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7.xml" ContentType="application/vnd.openxmlformats-officedocument.drawing+xml"/>
  <Override PartName="/xl/tables/table6.xml" ContentType="application/vnd.openxmlformats-officedocument.spreadsheetml.table+xml"/>
  <Override PartName="/xl/customProperty4.bin" ContentType="application/vnd.openxmlformats-officedocument.spreadsheetml.customProperty"/>
  <Override PartName="/xl/customProperty5.bin" ContentType="application/vnd.openxmlformats-officedocument.spreadsheetml.customProperty"/>
  <Override PartName="/xl/drawings/drawing8.xml" ContentType="application/vnd.openxmlformats-officedocument.drawing+xml"/>
  <Override PartName="/xl/tables/table7.xml" ContentType="application/vnd.openxmlformats-officedocument.spreadsheetml.table+xml"/>
  <Override PartName="/xl/customProperty6.bin" ContentType="application/vnd.openxmlformats-officedocument.spreadsheetml.customProperty"/>
  <Override PartName="/xl/customProperty7.bin" ContentType="application/vnd.openxmlformats-officedocument.spreadsheetml.customProperty"/>
  <Override PartName="/xl/drawings/drawing9.xml" ContentType="application/vnd.openxmlformats-officedocument.drawing+xml"/>
  <Override PartName="/xl/tables/table8.xml" ContentType="application/vnd.openxmlformats-officedocument.spreadsheetml.table+xml"/>
  <Override PartName="/xl/customProperty8.bin" ContentType="application/vnd.openxmlformats-officedocument.spreadsheetml.customProperty"/>
  <Override PartName="/xl/drawings/drawing10.xml" ContentType="application/vnd.openxmlformats-officedocument.drawing+xml"/>
  <Override PartName="/xl/tables/table9.xml" ContentType="application/vnd.openxmlformats-officedocument.spreadsheetml.table+xml"/>
  <Override PartName="/xl/customProperty9.bin" ContentType="application/vnd.openxmlformats-officedocument.spreadsheetml.customProperty"/>
  <Override PartName="/xl/drawings/drawing11.xml" ContentType="application/vnd.openxmlformats-officedocument.drawing+xml"/>
  <Override PartName="/xl/tables/table10.xml" ContentType="application/vnd.openxmlformats-officedocument.spreadsheetml.table+xml"/>
  <Override PartName="/xl/drawings/drawing12.xml" ContentType="application/vnd.openxmlformats-officedocument.drawing+xml"/>
  <Override PartName="/xl/tables/table11.xml" ContentType="application/vnd.openxmlformats-officedocument.spreadsheetml.table+xml"/>
  <Override PartName="/xl/drawings/drawing13.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ustomProperty12.bin" ContentType="application/vnd.openxmlformats-officedocument.spreadsheetml.customProperty"/>
  <Override PartName="/xl/tables/table1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https://netorgft8849656.sharepoint.com/sites/AnuvisionTeam/Shared Documents/01 Manufacturer Info and Pricing/Harman/MSRP/"/>
    </mc:Choice>
  </mc:AlternateContent>
  <xr:revisionPtr revIDLastSave="0" documentId="8_{846241B1-F8C9-4AE0-9C8C-E56810FCB063}" xr6:coauthVersionLast="47" xr6:coauthVersionMax="47" xr10:uidLastSave="{00000000-0000-0000-0000-000000000000}"/>
  <bookViews>
    <workbookView xWindow="2295" yWindow="2295" windowWidth="18570" windowHeight="11295" tabRatio="908" activeTab="11" xr2:uid="{00000000-000D-0000-FFFF-FFFF00000000}"/>
  </bookViews>
  <sheets>
    <sheet name="Cover" sheetId="29" r:id="rId1"/>
    <sheet name="AKG" sheetId="23" r:id="rId2"/>
    <sheet name="AMX" sheetId="24" r:id="rId3"/>
    <sheet name="BSS" sheetId="25" r:id="rId4"/>
    <sheet name="Crown" sheetId="26" r:id="rId5"/>
    <sheet name="DBX" sheetId="27" r:id="rId6"/>
    <sheet name="JBL" sheetId="6" r:id="rId7"/>
    <sheet name="JBL Commercial" sheetId="7" r:id="rId8"/>
    <sheet name="Cinema" sheetId="8" r:id="rId9"/>
    <sheet name="Lexicon" sheetId="9" r:id="rId10"/>
    <sheet name="Martin" sheetId="19" r:id="rId11"/>
    <sheet name="Soundcraft" sheetId="22" r:id="rId12"/>
    <sheet name="Customer Care" sheetId="30" r:id="rId13"/>
    <sheet name="Post-Sales Support" sheetId="14" r:id="rId14"/>
    <sheet name="US Channel Map" sheetId="31" r:id="rId15"/>
    <sheet name="Martin Territory Map" sheetId="32" r:id="rId16"/>
    <sheet name="Change Log" sheetId="16" r:id="rId17"/>
    <sheet name="All Skus" sheetId="28" r:id="rId18"/>
  </sheets>
  <definedNames>
    <definedName name="_xlnm._FilterDatabase" localSheetId="1" hidden="1">AKG!$A$2:$U$362</definedName>
    <definedName name="_xlnm._FilterDatabase" localSheetId="17" hidden="1">'All Skus'!$A$2:$AC$2905</definedName>
    <definedName name="_xlnm._FilterDatabase" localSheetId="2" hidden="1">AMX!$A$2:$T$519</definedName>
    <definedName name="_xlnm._FilterDatabase" localSheetId="3" hidden="1">BSS!$A$2:$T$49</definedName>
    <definedName name="_xlnm._FilterDatabase" localSheetId="16" hidden="1">'Change Log'!$A$1:$E$437</definedName>
    <definedName name="_xlnm._FilterDatabase" localSheetId="8" hidden="1">Cinema!$A$2:$U$60</definedName>
    <definedName name="_xlnm._FilterDatabase" localSheetId="4" hidden="1">Crown!$A$2:$T$91</definedName>
    <definedName name="_xlnm._FilterDatabase" localSheetId="5" hidden="1">DBX!$A$2:$U$63</definedName>
    <definedName name="_xlnm._FilterDatabase" localSheetId="6" hidden="1">JBL!$A$2:$V$868</definedName>
    <definedName name="_xlnm._FilterDatabase" localSheetId="7" hidden="1">'JBL Commercial'!$A$2:$U$26</definedName>
    <definedName name="_xlnm._FilterDatabase" localSheetId="9" hidden="1">Lexicon!$A$2:$V$2</definedName>
    <definedName name="_xlnm._FilterDatabase" localSheetId="10" hidden="1">Martin!$A$2:$T$896</definedName>
    <definedName name="_xlnm._FilterDatabase" localSheetId="11" hidden="1">Soundcraft!$A$2:$T$199</definedName>
    <definedName name="_xlnm._FilterDatabase" localSheetId="14" hidden="1">'US Channel Map'!$V$1:$AA$20</definedName>
    <definedName name="Dealer" localSheetId="0">#REF!</definedName>
    <definedName name="Dealer" localSheetId="12">#REF!</definedName>
    <definedName name="Dealer" localSheetId="15">#REF!</definedName>
    <definedName name="Dealer" localSheetId="14">#REF!</definedName>
    <definedName name="Dealer">#REF!</definedName>
    <definedName name="DemoKits">#REF!</definedName>
    <definedName name="Dist" localSheetId="0">#REF!</definedName>
    <definedName name="Dist" localSheetId="12">#REF!</definedName>
    <definedName name="Dist" localSheetId="15">#REF!</definedName>
    <definedName name="Dist" localSheetId="14">#REF!</definedName>
    <definedName name="Dist">#REF!</definedName>
    <definedName name="MAP" localSheetId="0">#REF!</definedName>
    <definedName name="MAP" localSheetId="12">#REF!</definedName>
    <definedName name="MAP" localSheetId="15">#REF!</definedName>
    <definedName name="MAP" localSheetId="14">#REF!</definedName>
    <definedName name="MAP">#REF!</definedName>
    <definedName name="New" localSheetId="2">#REF!</definedName>
    <definedName name="New" localSheetId="0">#REF!</definedName>
    <definedName name="New" localSheetId="12">#REF!</definedName>
    <definedName name="New" localSheetId="10">#REF!</definedName>
    <definedName name="New" localSheetId="15">#REF!</definedName>
    <definedName name="New" localSheetId="14">#REF!</definedName>
    <definedName name="New">#REF!</definedName>
    <definedName name="Price" localSheetId="2">#REF!</definedName>
    <definedName name="Price" localSheetId="0">#REF!</definedName>
    <definedName name="Price" localSheetId="12">#REF!</definedName>
    <definedName name="Price" localSheetId="10">#REF!</definedName>
    <definedName name="Price" localSheetId="15">#REF!</definedName>
    <definedName name="Price" localSheetId="13">#REF!</definedName>
    <definedName name="Price" localSheetId="14">#REF!</definedName>
    <definedName name="Price">#REF!</definedName>
    <definedName name="Price1">#REF!</definedName>
    <definedName name="_xlnm.Print_Area" localSheetId="16">'Change Log'!$A$1:$E$292</definedName>
    <definedName name="Retail" localSheetId="0">#REF!</definedName>
    <definedName name="Retail" localSheetId="12">#REF!</definedName>
    <definedName name="Retail" localSheetId="15">#REF!</definedName>
    <definedName name="Retail" localSheetId="14">#REF!</definedName>
    <definedName name="Retail">#REF!</definedName>
    <definedName name="SAPdata">#REF!</definedName>
    <definedName name="THRILL">#REF!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22" l="1"/>
  <c r="B10" i="22"/>
  <c r="B11" i="22"/>
  <c r="C9" i="22"/>
  <c r="C10" i="22"/>
  <c r="C11" i="22"/>
  <c r="D9" i="22"/>
  <c r="D10" i="22"/>
  <c r="D11" i="22"/>
  <c r="E9" i="22"/>
  <c r="E10" i="22"/>
  <c r="E11" i="22"/>
  <c r="F9" i="22"/>
  <c r="F10" i="22"/>
  <c r="F11" i="22"/>
  <c r="G9" i="22"/>
  <c r="G10" i="22"/>
  <c r="G11" i="22"/>
  <c r="H9" i="22"/>
  <c r="H10" i="22"/>
  <c r="H11" i="22"/>
  <c r="I9" i="22"/>
  <c r="I10" i="22"/>
  <c r="I11" i="22"/>
  <c r="J9" i="22"/>
  <c r="J10" i="22"/>
  <c r="J11" i="22"/>
  <c r="K9" i="22"/>
  <c r="K10" i="22"/>
  <c r="K11" i="22"/>
  <c r="L9" i="22"/>
  <c r="L10" i="22"/>
  <c r="L11" i="22"/>
  <c r="M9" i="22"/>
  <c r="M10" i="22"/>
  <c r="M11" i="22"/>
  <c r="N9" i="22"/>
  <c r="N10" i="22"/>
  <c r="N11" i="22"/>
  <c r="O9" i="22"/>
  <c r="O10" i="22"/>
  <c r="O11" i="22"/>
  <c r="P9" i="22"/>
  <c r="P10" i="22"/>
  <c r="P11" i="22"/>
  <c r="Q9" i="22"/>
  <c r="Q10" i="22"/>
  <c r="Q11" i="22"/>
  <c r="R9" i="22"/>
  <c r="R10" i="22"/>
  <c r="R11" i="22"/>
  <c r="S9" i="22"/>
  <c r="S10" i="22"/>
  <c r="S11" i="22"/>
  <c r="U1" i="28"/>
  <c r="T1" i="28"/>
  <c r="S1" i="28"/>
  <c r="R1" i="28"/>
  <c r="F298" i="24"/>
  <c r="B288" i="24"/>
  <c r="P282" i="24"/>
  <c r="F282" i="24"/>
  <c r="L254" i="24"/>
  <c r="B254" i="24"/>
  <c r="M118" i="24"/>
  <c r="I118" i="24"/>
  <c r="H118" i="24"/>
  <c r="G118" i="24"/>
  <c r="F118" i="24"/>
  <c r="E118" i="24"/>
  <c r="D118" i="24"/>
  <c r="C118" i="24"/>
  <c r="P117" i="24"/>
  <c r="F117" i="24"/>
  <c r="L47" i="24"/>
  <c r="B47" i="24"/>
  <c r="B43" i="24"/>
  <c r="B117" i="24"/>
  <c r="B118" i="24"/>
  <c r="B253" i="24"/>
  <c r="B282" i="24"/>
  <c r="B284" i="24"/>
  <c r="B287" i="24"/>
  <c r="B298" i="24"/>
  <c r="B299" i="24"/>
  <c r="C43" i="24"/>
  <c r="C47" i="24"/>
  <c r="C117" i="24"/>
  <c r="C253" i="24"/>
  <c r="C254" i="24"/>
  <c r="C282" i="24"/>
  <c r="C284" i="24"/>
  <c r="C287" i="24"/>
  <c r="C288" i="24"/>
  <c r="C298" i="24"/>
  <c r="C299" i="24"/>
  <c r="D43" i="24"/>
  <c r="D47" i="24"/>
  <c r="D117" i="24"/>
  <c r="D253" i="24"/>
  <c r="D254" i="24"/>
  <c r="D282" i="24"/>
  <c r="D284" i="24"/>
  <c r="D287" i="24"/>
  <c r="D288" i="24"/>
  <c r="D298" i="24"/>
  <c r="D299" i="24"/>
  <c r="E43" i="24"/>
  <c r="E47" i="24"/>
  <c r="E117" i="24"/>
  <c r="E253" i="24"/>
  <c r="E254" i="24"/>
  <c r="E282" i="24"/>
  <c r="E284" i="24"/>
  <c r="E287" i="24"/>
  <c r="E288" i="24"/>
  <c r="E298" i="24"/>
  <c r="E299" i="24"/>
  <c r="F43" i="24"/>
  <c r="F47" i="24"/>
  <c r="F253" i="24"/>
  <c r="F254" i="24"/>
  <c r="F284" i="24"/>
  <c r="F287" i="24"/>
  <c r="F288" i="24"/>
  <c r="F299" i="24"/>
  <c r="G43" i="24"/>
  <c r="G47" i="24"/>
  <c r="G117" i="24"/>
  <c r="G253" i="24"/>
  <c r="G254" i="24"/>
  <c r="G282" i="24"/>
  <c r="G284" i="24"/>
  <c r="G287" i="24"/>
  <c r="G288" i="24"/>
  <c r="G298" i="24"/>
  <c r="G299" i="24"/>
  <c r="H43" i="24"/>
  <c r="H47" i="24"/>
  <c r="H117" i="24"/>
  <c r="H253" i="24"/>
  <c r="H254" i="24"/>
  <c r="H282" i="24"/>
  <c r="H284" i="24"/>
  <c r="H287" i="24"/>
  <c r="H288" i="24"/>
  <c r="H298" i="24"/>
  <c r="H299" i="24"/>
  <c r="I43" i="24"/>
  <c r="I47" i="24"/>
  <c r="I117" i="24"/>
  <c r="I253" i="24"/>
  <c r="I254" i="24"/>
  <c r="I282" i="24"/>
  <c r="I284" i="24"/>
  <c r="I287" i="24"/>
  <c r="I288" i="24"/>
  <c r="I298" i="24"/>
  <c r="I299" i="24"/>
  <c r="J43" i="24"/>
  <c r="J47" i="24"/>
  <c r="J117" i="24"/>
  <c r="J118" i="24"/>
  <c r="J253" i="24"/>
  <c r="J254" i="24"/>
  <c r="J282" i="24"/>
  <c r="J284" i="24"/>
  <c r="J287" i="24"/>
  <c r="J288" i="24"/>
  <c r="J298" i="24"/>
  <c r="J299" i="24"/>
  <c r="K43" i="24"/>
  <c r="K47" i="24"/>
  <c r="K117" i="24"/>
  <c r="K118" i="24"/>
  <c r="K253" i="24"/>
  <c r="K254" i="24"/>
  <c r="K282" i="24"/>
  <c r="K284" i="24"/>
  <c r="K287" i="24"/>
  <c r="K288" i="24"/>
  <c r="K298" i="24"/>
  <c r="K299" i="24"/>
  <c r="L43" i="24"/>
  <c r="L117" i="24"/>
  <c r="L118" i="24"/>
  <c r="L253" i="24"/>
  <c r="L282" i="24"/>
  <c r="L284" i="24"/>
  <c r="L287" i="24"/>
  <c r="L288" i="24"/>
  <c r="L298" i="24"/>
  <c r="L299" i="24"/>
  <c r="M43" i="24"/>
  <c r="M47" i="24"/>
  <c r="M117" i="24"/>
  <c r="M253" i="24"/>
  <c r="M254" i="24"/>
  <c r="M282" i="24"/>
  <c r="M284" i="24"/>
  <c r="M287" i="24"/>
  <c r="M288" i="24"/>
  <c r="M298" i="24"/>
  <c r="M299" i="24"/>
  <c r="N43" i="24"/>
  <c r="N47" i="24"/>
  <c r="N117" i="24"/>
  <c r="N118" i="24"/>
  <c r="N253" i="24"/>
  <c r="N254" i="24"/>
  <c r="N282" i="24"/>
  <c r="N284" i="24"/>
  <c r="N287" i="24"/>
  <c r="N288" i="24"/>
  <c r="N298" i="24"/>
  <c r="N299" i="24"/>
  <c r="O43" i="24"/>
  <c r="O47" i="24"/>
  <c r="O117" i="24"/>
  <c r="O118" i="24"/>
  <c r="O253" i="24"/>
  <c r="O254" i="24"/>
  <c r="O282" i="24"/>
  <c r="O284" i="24"/>
  <c r="O287" i="24"/>
  <c r="O288" i="24"/>
  <c r="O298" i="24"/>
  <c r="O299" i="24"/>
  <c r="P43" i="24"/>
  <c r="P47" i="24"/>
  <c r="P118" i="24"/>
  <c r="P253" i="24"/>
  <c r="P254" i="24"/>
  <c r="P284" i="24"/>
  <c r="P287" i="24"/>
  <c r="P288" i="24"/>
  <c r="P298" i="24"/>
  <c r="P299" i="24"/>
  <c r="Q43" i="24"/>
  <c r="Q47" i="24"/>
  <c r="Q117" i="24"/>
  <c r="Q118" i="24"/>
  <c r="Q253" i="24"/>
  <c r="Q254" i="24"/>
  <c r="Q282" i="24"/>
  <c r="Q284" i="24"/>
  <c r="Q287" i="24"/>
  <c r="Q288" i="24"/>
  <c r="Q298" i="24"/>
  <c r="Q299" i="24"/>
  <c r="R43" i="24"/>
  <c r="R47" i="24"/>
  <c r="R117" i="24"/>
  <c r="R118" i="24"/>
  <c r="R253" i="24"/>
  <c r="R254" i="24"/>
  <c r="R282" i="24"/>
  <c r="R284" i="24"/>
  <c r="R287" i="24"/>
  <c r="R288" i="24"/>
  <c r="R298" i="24"/>
  <c r="R299" i="24"/>
  <c r="S43" i="24"/>
  <c r="S47" i="24"/>
  <c r="S117" i="24"/>
  <c r="S118" i="24"/>
  <c r="S253" i="24"/>
  <c r="S254" i="24"/>
  <c r="S282" i="24"/>
  <c r="S284" i="24"/>
  <c r="S287" i="24"/>
  <c r="S288" i="24"/>
  <c r="S298" i="24"/>
  <c r="S299" i="24"/>
  <c r="V198" i="6" l="1"/>
  <c r="V196" i="6"/>
  <c r="Y691" i="28"/>
  <c r="Y692" i="28" s="1"/>
  <c r="Y693" i="28" s="1"/>
  <c r="Y694" i="28" s="1"/>
  <c r="Y695" i="28" s="1"/>
  <c r="Y696" i="28" s="1"/>
  <c r="Y697" i="28" s="1"/>
  <c r="Y698" i="28" s="1"/>
  <c r="Y699" i="28" s="1"/>
  <c r="Y700" i="28" s="1"/>
  <c r="Y701" i="28" s="1"/>
  <c r="Y702" i="28" s="1"/>
  <c r="Y703" i="28" s="1"/>
  <c r="Y704" i="28" s="1"/>
  <c r="Y705" i="28" s="1"/>
  <c r="B5" i="24"/>
  <c r="B6" i="24"/>
  <c r="B7" i="24"/>
  <c r="B8" i="24"/>
  <c r="C5" i="24"/>
  <c r="C6" i="24"/>
  <c r="C7" i="24"/>
  <c r="C8" i="24"/>
  <c r="D5" i="24"/>
  <c r="D6" i="24"/>
  <c r="D7" i="24"/>
  <c r="D8" i="24"/>
  <c r="E5" i="24"/>
  <c r="E6" i="24"/>
  <c r="E7" i="24"/>
  <c r="E8" i="24"/>
  <c r="F5" i="24"/>
  <c r="F6" i="24"/>
  <c r="F7" i="24"/>
  <c r="F8" i="24"/>
  <c r="G5" i="24"/>
  <c r="G6" i="24"/>
  <c r="G7" i="24"/>
  <c r="G8" i="24"/>
  <c r="H5" i="24"/>
  <c r="H6" i="24"/>
  <c r="H7" i="24"/>
  <c r="H8" i="24"/>
  <c r="I5" i="24"/>
  <c r="I6" i="24"/>
  <c r="I7" i="24"/>
  <c r="I8" i="24"/>
  <c r="J5" i="24"/>
  <c r="J6" i="24"/>
  <c r="J7" i="24"/>
  <c r="J8" i="24"/>
  <c r="K5" i="24"/>
  <c r="K6" i="24"/>
  <c r="K7" i="24"/>
  <c r="K8" i="24"/>
  <c r="L5" i="24"/>
  <c r="L6" i="24"/>
  <c r="L7" i="24"/>
  <c r="L8" i="24"/>
  <c r="M5" i="24"/>
  <c r="M6" i="24"/>
  <c r="M7" i="24"/>
  <c r="M8" i="24"/>
  <c r="N5" i="24"/>
  <c r="N6" i="24"/>
  <c r="N7" i="24"/>
  <c r="N8" i="24"/>
  <c r="O5" i="24"/>
  <c r="O6" i="24"/>
  <c r="O7" i="24"/>
  <c r="O8" i="24"/>
  <c r="P5" i="24"/>
  <c r="P6" i="24"/>
  <c r="P7" i="24"/>
  <c r="P8" i="24"/>
  <c r="Q5" i="24"/>
  <c r="Q6" i="24"/>
  <c r="Q7" i="24"/>
  <c r="Q8" i="24"/>
  <c r="R5" i="24"/>
  <c r="R6" i="24"/>
  <c r="R7" i="24"/>
  <c r="R8" i="24"/>
  <c r="S5" i="24"/>
  <c r="S6" i="24"/>
  <c r="S7" i="24"/>
  <c r="S8" i="24"/>
  <c r="B9" i="24" l="1"/>
  <c r="B10" i="24"/>
  <c r="B11" i="24"/>
  <c r="B12" i="24"/>
  <c r="B3" i="24"/>
  <c r="B4" i="24"/>
  <c r="C9" i="24"/>
  <c r="C10" i="24"/>
  <c r="C11" i="24"/>
  <c r="C12" i="24"/>
  <c r="C3" i="24"/>
  <c r="C4" i="24"/>
  <c r="D9" i="24"/>
  <c r="D10" i="24"/>
  <c r="D11" i="24"/>
  <c r="D12" i="24"/>
  <c r="D3" i="24"/>
  <c r="D4" i="24"/>
  <c r="E9" i="24"/>
  <c r="E10" i="24"/>
  <c r="E11" i="24"/>
  <c r="E12" i="24"/>
  <c r="E3" i="24"/>
  <c r="E4" i="24"/>
  <c r="F9" i="24"/>
  <c r="F10" i="24"/>
  <c r="F11" i="24"/>
  <c r="F12" i="24"/>
  <c r="F3" i="24"/>
  <c r="F4" i="24"/>
  <c r="G9" i="24"/>
  <c r="G10" i="24"/>
  <c r="G11" i="24"/>
  <c r="G12" i="24"/>
  <c r="G3" i="24"/>
  <c r="G4" i="24"/>
  <c r="H9" i="24"/>
  <c r="H10" i="24"/>
  <c r="H11" i="24"/>
  <c r="H12" i="24"/>
  <c r="H3" i="24"/>
  <c r="H4" i="24"/>
  <c r="I9" i="24"/>
  <c r="I10" i="24"/>
  <c r="I11" i="24"/>
  <c r="I12" i="24"/>
  <c r="I3" i="24"/>
  <c r="I4" i="24"/>
  <c r="J9" i="24"/>
  <c r="J10" i="24"/>
  <c r="J11" i="24"/>
  <c r="J12" i="24"/>
  <c r="J3" i="24"/>
  <c r="J4" i="24"/>
  <c r="K9" i="24"/>
  <c r="K10" i="24"/>
  <c r="K11" i="24"/>
  <c r="K12" i="24"/>
  <c r="K3" i="24"/>
  <c r="K4" i="24"/>
  <c r="L9" i="24"/>
  <c r="L10" i="24"/>
  <c r="L11" i="24"/>
  <c r="L12" i="24"/>
  <c r="L3" i="24"/>
  <c r="L4" i="24"/>
  <c r="M9" i="24"/>
  <c r="M10" i="24"/>
  <c r="M11" i="24"/>
  <c r="M12" i="24"/>
  <c r="M3" i="24"/>
  <c r="M4" i="24"/>
  <c r="N9" i="24"/>
  <c r="N10" i="24"/>
  <c r="N11" i="24"/>
  <c r="N12" i="24"/>
  <c r="N3" i="24"/>
  <c r="N4" i="24"/>
  <c r="O9" i="24"/>
  <c r="O10" i="24"/>
  <c r="O11" i="24"/>
  <c r="O12" i="24"/>
  <c r="O3" i="24"/>
  <c r="O4" i="24"/>
  <c r="P9" i="24"/>
  <c r="P10" i="24"/>
  <c r="P11" i="24"/>
  <c r="P12" i="24"/>
  <c r="P3" i="24"/>
  <c r="P4" i="24"/>
  <c r="Q9" i="24"/>
  <c r="Q10" i="24"/>
  <c r="Q11" i="24"/>
  <c r="Q12" i="24"/>
  <c r="Q3" i="24"/>
  <c r="Q4" i="24"/>
  <c r="R9" i="24"/>
  <c r="R10" i="24"/>
  <c r="R11" i="24"/>
  <c r="R12" i="24"/>
  <c r="R3" i="24"/>
  <c r="R4" i="24"/>
  <c r="S9" i="24"/>
  <c r="S10" i="24"/>
  <c r="S11" i="24"/>
  <c r="S12" i="24"/>
  <c r="S3" i="24"/>
  <c r="S4" i="24"/>
  <c r="S21" i="24"/>
  <c r="S20" i="24"/>
  <c r="R21" i="24"/>
  <c r="R20" i="24"/>
  <c r="Q21" i="24"/>
  <c r="Q20" i="24"/>
  <c r="P21" i="24"/>
  <c r="P20" i="24"/>
  <c r="O21" i="24"/>
  <c r="O20" i="24"/>
  <c r="N21" i="24"/>
  <c r="N20" i="24"/>
  <c r="M21" i="24"/>
  <c r="M20" i="24"/>
  <c r="L21" i="24"/>
  <c r="L20" i="24"/>
  <c r="K21" i="24"/>
  <c r="K20" i="24"/>
  <c r="J21" i="24"/>
  <c r="J20" i="24"/>
  <c r="I21" i="24"/>
  <c r="I20" i="24"/>
  <c r="H21" i="24"/>
  <c r="H20" i="24"/>
  <c r="G21" i="24"/>
  <c r="G20" i="24"/>
  <c r="F21" i="24"/>
  <c r="F20" i="24"/>
  <c r="E21" i="24"/>
  <c r="E20" i="24"/>
  <c r="D21" i="24"/>
  <c r="D20" i="24"/>
  <c r="C21" i="24"/>
  <c r="C20" i="24"/>
  <c r="B21" i="24"/>
  <c r="B20" i="24"/>
  <c r="S4" i="22" l="1"/>
  <c r="S5" i="22"/>
  <c r="S6" i="22"/>
  <c r="S7" i="22"/>
  <c r="S8" i="22"/>
  <c r="S13" i="22"/>
  <c r="S14" i="22"/>
  <c r="S16" i="22"/>
  <c r="S12" i="22"/>
  <c r="S15" i="22"/>
  <c r="S17" i="22"/>
  <c r="S18" i="22"/>
  <c r="S19" i="22"/>
  <c r="S20" i="22"/>
  <c r="S21" i="22"/>
  <c r="S22" i="22"/>
  <c r="S23" i="22"/>
  <c r="S24" i="22"/>
  <c r="S25" i="22"/>
  <c r="S26" i="22"/>
  <c r="S27" i="22"/>
  <c r="S28" i="22"/>
  <c r="S29" i="22"/>
  <c r="S30" i="22"/>
  <c r="S31" i="22"/>
  <c r="S32" i="22"/>
  <c r="S33" i="22"/>
  <c r="S34" i="22"/>
  <c r="S35" i="22"/>
  <c r="S36" i="22"/>
  <c r="S37" i="22"/>
  <c r="S38" i="22"/>
  <c r="S39" i="22"/>
  <c r="S40" i="22"/>
  <c r="S41" i="22"/>
  <c r="S42" i="22"/>
  <c r="S43" i="22"/>
  <c r="S44" i="22"/>
  <c r="S45" i="22"/>
  <c r="S46" i="22"/>
  <c r="S47" i="22"/>
  <c r="S48" i="22"/>
  <c r="S49" i="22"/>
  <c r="S50" i="22"/>
  <c r="S51" i="22"/>
  <c r="S52" i="22"/>
  <c r="S53" i="22"/>
  <c r="S54" i="22"/>
  <c r="S55" i="22"/>
  <c r="S56" i="22"/>
  <c r="S57" i="22"/>
  <c r="S58" i="22"/>
  <c r="S59" i="22"/>
  <c r="S60" i="22"/>
  <c r="S61" i="22"/>
  <c r="S62" i="22"/>
  <c r="S63" i="22"/>
  <c r="S64" i="22"/>
  <c r="S65" i="22"/>
  <c r="S66" i="22"/>
  <c r="S67" i="22"/>
  <c r="S68" i="22"/>
  <c r="S69" i="22"/>
  <c r="S70" i="22"/>
  <c r="S71" i="22"/>
  <c r="S72" i="22"/>
  <c r="S73" i="22"/>
  <c r="S74" i="22"/>
  <c r="S75" i="22"/>
  <c r="S76" i="22"/>
  <c r="S77" i="22"/>
  <c r="S78" i="22"/>
  <c r="S79" i="22"/>
  <c r="S80" i="22"/>
  <c r="S81" i="22"/>
  <c r="S82" i="22"/>
  <c r="S83" i="22"/>
  <c r="S84" i="22"/>
  <c r="S85" i="22"/>
  <c r="S86" i="22"/>
  <c r="S87" i="22"/>
  <c r="S88" i="22"/>
  <c r="S89" i="22"/>
  <c r="S90" i="22"/>
  <c r="S91" i="22"/>
  <c r="S92" i="22"/>
  <c r="S93" i="22"/>
  <c r="S94" i="22"/>
  <c r="S95" i="22"/>
  <c r="S96" i="22"/>
  <c r="S97" i="22"/>
  <c r="S98" i="22"/>
  <c r="S99" i="22"/>
  <c r="S100" i="22"/>
  <c r="S101" i="22"/>
  <c r="S102" i="22"/>
  <c r="S103" i="22"/>
  <c r="S104" i="22"/>
  <c r="S105" i="22"/>
  <c r="S106" i="22"/>
  <c r="S107" i="22"/>
  <c r="S108" i="22"/>
  <c r="S109" i="22"/>
  <c r="S110" i="22"/>
  <c r="S111" i="22"/>
  <c r="S112" i="22"/>
  <c r="S113" i="22"/>
  <c r="S114" i="22"/>
  <c r="S115" i="22"/>
  <c r="S116" i="22"/>
  <c r="S117" i="22"/>
  <c r="S118" i="22"/>
  <c r="S119" i="22"/>
  <c r="S120" i="22"/>
  <c r="S121" i="22"/>
  <c r="S122" i="22"/>
  <c r="S123" i="22"/>
  <c r="S124" i="22"/>
  <c r="S125" i="22"/>
  <c r="S126" i="22"/>
  <c r="S127" i="22"/>
  <c r="S128" i="22"/>
  <c r="S129" i="22"/>
  <c r="S130" i="22"/>
  <c r="S131" i="22"/>
  <c r="S132" i="22"/>
  <c r="S133" i="22"/>
  <c r="S134" i="22"/>
  <c r="S135" i="22"/>
  <c r="S136" i="22"/>
  <c r="S137" i="22"/>
  <c r="S138" i="22"/>
  <c r="S139" i="22"/>
  <c r="S140" i="22"/>
  <c r="S141" i="22"/>
  <c r="S142" i="22"/>
  <c r="S143" i="22"/>
  <c r="S144" i="22"/>
  <c r="S145" i="22"/>
  <c r="S146" i="22"/>
  <c r="S147" i="22"/>
  <c r="S148" i="22"/>
  <c r="S149" i="22"/>
  <c r="S150" i="22"/>
  <c r="S151" i="22"/>
  <c r="S152" i="22"/>
  <c r="S153" i="22"/>
  <c r="S154" i="22"/>
  <c r="S155" i="22"/>
  <c r="S156" i="22"/>
  <c r="S157" i="22"/>
  <c r="S158" i="22"/>
  <c r="S159" i="22"/>
  <c r="S160" i="22"/>
  <c r="S161" i="22"/>
  <c r="S162" i="22"/>
  <c r="S163" i="22"/>
  <c r="S164" i="22"/>
  <c r="S165" i="22"/>
  <c r="S166" i="22"/>
  <c r="S167" i="22"/>
  <c r="S168" i="22"/>
  <c r="S169" i="22"/>
  <c r="S170" i="22"/>
  <c r="S171" i="22"/>
  <c r="S172" i="22"/>
  <c r="S173" i="22"/>
  <c r="S174" i="22"/>
  <c r="S175" i="22"/>
  <c r="S176" i="22"/>
  <c r="S177" i="22"/>
  <c r="S178" i="22"/>
  <c r="S179" i="22"/>
  <c r="S180" i="22"/>
  <c r="S181" i="22"/>
  <c r="S182" i="22"/>
  <c r="S183" i="22"/>
  <c r="S184" i="22"/>
  <c r="S185" i="22"/>
  <c r="S186" i="22"/>
  <c r="S187" i="22"/>
  <c r="S188" i="22"/>
  <c r="S189" i="22"/>
  <c r="S190" i="22"/>
  <c r="S191" i="22"/>
  <c r="S192" i="22"/>
  <c r="S193" i="22"/>
  <c r="S194" i="22"/>
  <c r="S195" i="22"/>
  <c r="S196" i="22"/>
  <c r="S197" i="22"/>
  <c r="S198" i="22"/>
  <c r="S199" i="22"/>
  <c r="S3" i="22"/>
  <c r="T896" i="19"/>
  <c r="T895" i="19"/>
  <c r="T894" i="19"/>
  <c r="T893" i="19"/>
  <c r="T892" i="19"/>
  <c r="T891" i="19"/>
  <c r="T890" i="19"/>
  <c r="T889" i="19"/>
  <c r="T888" i="19"/>
  <c r="T887" i="19"/>
  <c r="T886" i="19"/>
  <c r="T885" i="19"/>
  <c r="T884" i="19"/>
  <c r="T883" i="19"/>
  <c r="T882" i="19"/>
  <c r="T881" i="19"/>
  <c r="T880" i="19"/>
  <c r="T879" i="19"/>
  <c r="T878" i="19"/>
  <c r="T877" i="19"/>
  <c r="T876" i="19"/>
  <c r="T875" i="19"/>
  <c r="T874" i="19"/>
  <c r="T873" i="19"/>
  <c r="T872" i="19"/>
  <c r="T871" i="19"/>
  <c r="T870" i="19"/>
  <c r="T869" i="19"/>
  <c r="T868" i="19"/>
  <c r="T867" i="19"/>
  <c r="T866" i="19"/>
  <c r="T865" i="19"/>
  <c r="T864" i="19"/>
  <c r="T863" i="19"/>
  <c r="T862" i="19"/>
  <c r="T861" i="19"/>
  <c r="T860" i="19"/>
  <c r="T859" i="19"/>
  <c r="T858" i="19"/>
  <c r="T857" i="19"/>
  <c r="T856" i="19"/>
  <c r="T855" i="19"/>
  <c r="T854" i="19"/>
  <c r="T853" i="19"/>
  <c r="T852" i="19"/>
  <c r="T851" i="19"/>
  <c r="T850" i="19"/>
  <c r="T849" i="19"/>
  <c r="T848" i="19"/>
  <c r="T847" i="19"/>
  <c r="T846" i="19"/>
  <c r="T845" i="19"/>
  <c r="T844" i="19"/>
  <c r="T843" i="19"/>
  <c r="T842" i="19"/>
  <c r="T841" i="19"/>
  <c r="T840" i="19"/>
  <c r="T839" i="19"/>
  <c r="T838" i="19"/>
  <c r="T837" i="19"/>
  <c r="T836" i="19"/>
  <c r="T835" i="19"/>
  <c r="T834" i="19"/>
  <c r="T833" i="19"/>
  <c r="T832" i="19"/>
  <c r="T831" i="19"/>
  <c r="T830" i="19"/>
  <c r="T829" i="19"/>
  <c r="T828" i="19"/>
  <c r="T827" i="19"/>
  <c r="T826" i="19"/>
  <c r="T825" i="19"/>
  <c r="T824" i="19"/>
  <c r="T823" i="19"/>
  <c r="T822" i="19"/>
  <c r="T821" i="19"/>
  <c r="T820" i="19"/>
  <c r="T819" i="19"/>
  <c r="T818" i="19"/>
  <c r="T817" i="19"/>
  <c r="T816" i="19"/>
  <c r="T815" i="19"/>
  <c r="T814" i="19"/>
  <c r="T813" i="19"/>
  <c r="T812" i="19"/>
  <c r="T811" i="19"/>
  <c r="T810" i="19"/>
  <c r="T809" i="19"/>
  <c r="T808" i="19"/>
  <c r="T807" i="19"/>
  <c r="T806" i="19"/>
  <c r="T805" i="19"/>
  <c r="T804" i="19"/>
  <c r="T803" i="19"/>
  <c r="T802" i="19"/>
  <c r="T801" i="19"/>
  <c r="T800" i="19"/>
  <c r="T799" i="19"/>
  <c r="T798" i="19"/>
  <c r="T797" i="19"/>
  <c r="T796" i="19"/>
  <c r="T795" i="19"/>
  <c r="T794" i="19"/>
  <c r="T793" i="19"/>
  <c r="T792" i="19"/>
  <c r="T791" i="19"/>
  <c r="T790" i="19"/>
  <c r="T789" i="19"/>
  <c r="T788" i="19"/>
  <c r="T787" i="19"/>
  <c r="T786" i="19"/>
  <c r="T785" i="19"/>
  <c r="T784" i="19"/>
  <c r="T783" i="19"/>
  <c r="T782" i="19"/>
  <c r="T781" i="19"/>
  <c r="T780" i="19"/>
  <c r="T779" i="19"/>
  <c r="T778" i="19"/>
  <c r="T777" i="19"/>
  <c r="T776" i="19"/>
  <c r="T775" i="19"/>
  <c r="T774" i="19"/>
  <c r="T773" i="19"/>
  <c r="T772" i="19"/>
  <c r="T771" i="19"/>
  <c r="T770" i="19"/>
  <c r="T769" i="19"/>
  <c r="T768" i="19"/>
  <c r="T767" i="19"/>
  <c r="T766" i="19"/>
  <c r="T765" i="19"/>
  <c r="T764" i="19"/>
  <c r="T763" i="19"/>
  <c r="T762" i="19"/>
  <c r="T761" i="19"/>
  <c r="T760" i="19"/>
  <c r="T759" i="19"/>
  <c r="T758" i="19"/>
  <c r="T757" i="19"/>
  <c r="T756" i="19"/>
  <c r="T755" i="19"/>
  <c r="T754" i="19"/>
  <c r="T753" i="19"/>
  <c r="T752" i="19"/>
  <c r="T751" i="19"/>
  <c r="T750" i="19"/>
  <c r="T749" i="19"/>
  <c r="T748" i="19"/>
  <c r="T747" i="19"/>
  <c r="T746" i="19"/>
  <c r="T745" i="19"/>
  <c r="T744" i="19"/>
  <c r="T743" i="19"/>
  <c r="T742" i="19"/>
  <c r="T741" i="19"/>
  <c r="T740" i="19"/>
  <c r="T739" i="19"/>
  <c r="T738" i="19"/>
  <c r="T737" i="19"/>
  <c r="T736" i="19"/>
  <c r="T735" i="19"/>
  <c r="T734" i="19"/>
  <c r="T733" i="19"/>
  <c r="T732" i="19"/>
  <c r="T731" i="19"/>
  <c r="T730" i="19"/>
  <c r="T729" i="19"/>
  <c r="T728" i="19"/>
  <c r="T727" i="19"/>
  <c r="T726" i="19"/>
  <c r="T725" i="19"/>
  <c r="T724" i="19"/>
  <c r="T723" i="19"/>
  <c r="T722" i="19"/>
  <c r="T721" i="19"/>
  <c r="T720" i="19"/>
  <c r="T719" i="19"/>
  <c r="T718" i="19"/>
  <c r="T717" i="19"/>
  <c r="T716" i="19"/>
  <c r="T715" i="19"/>
  <c r="T714" i="19"/>
  <c r="T713" i="19"/>
  <c r="T712" i="19"/>
  <c r="T711" i="19"/>
  <c r="T710" i="19"/>
  <c r="T709" i="19"/>
  <c r="T708" i="19"/>
  <c r="T707" i="19"/>
  <c r="T706" i="19"/>
  <c r="T705" i="19"/>
  <c r="T704" i="19"/>
  <c r="T703" i="19"/>
  <c r="T702" i="19"/>
  <c r="T701" i="19"/>
  <c r="T700" i="19"/>
  <c r="T699" i="19"/>
  <c r="T698" i="19"/>
  <c r="T697" i="19"/>
  <c r="T696" i="19"/>
  <c r="T695" i="19"/>
  <c r="T694" i="19"/>
  <c r="T693" i="19"/>
  <c r="T692" i="19"/>
  <c r="T691" i="19"/>
  <c r="T690" i="19"/>
  <c r="T689" i="19"/>
  <c r="T688" i="19"/>
  <c r="T687" i="19"/>
  <c r="T686" i="19"/>
  <c r="T685" i="19"/>
  <c r="T684" i="19"/>
  <c r="T683" i="19"/>
  <c r="T682" i="19"/>
  <c r="T681" i="19"/>
  <c r="T680" i="19"/>
  <c r="T679" i="19"/>
  <c r="T678" i="19"/>
  <c r="T677" i="19"/>
  <c r="T676" i="19"/>
  <c r="T675" i="19"/>
  <c r="T674" i="19"/>
  <c r="T673" i="19"/>
  <c r="T672" i="19"/>
  <c r="T671" i="19"/>
  <c r="T670" i="19"/>
  <c r="T669" i="19"/>
  <c r="T668" i="19"/>
  <c r="T667" i="19"/>
  <c r="T666" i="19"/>
  <c r="T665" i="19"/>
  <c r="T664" i="19"/>
  <c r="T663" i="19"/>
  <c r="T662" i="19"/>
  <c r="T661" i="19"/>
  <c r="T660" i="19"/>
  <c r="T659" i="19"/>
  <c r="T658" i="19"/>
  <c r="T657" i="19"/>
  <c r="T656" i="19"/>
  <c r="T655" i="19"/>
  <c r="T654" i="19"/>
  <c r="T653" i="19"/>
  <c r="T652" i="19"/>
  <c r="T651" i="19"/>
  <c r="T650" i="19"/>
  <c r="T649" i="19"/>
  <c r="T648" i="19"/>
  <c r="T647" i="19"/>
  <c r="T646" i="19"/>
  <c r="T645" i="19"/>
  <c r="T644" i="19"/>
  <c r="T643" i="19"/>
  <c r="T642" i="19"/>
  <c r="T641" i="19"/>
  <c r="T640" i="19"/>
  <c r="T639" i="19"/>
  <c r="T638" i="19"/>
  <c r="T637" i="19"/>
  <c r="T636" i="19"/>
  <c r="T635" i="19"/>
  <c r="T634" i="19"/>
  <c r="T633" i="19"/>
  <c r="T632" i="19"/>
  <c r="T631" i="19"/>
  <c r="T630" i="19"/>
  <c r="T629" i="19"/>
  <c r="T628" i="19"/>
  <c r="T627" i="19"/>
  <c r="T626" i="19"/>
  <c r="T625" i="19"/>
  <c r="T624" i="19"/>
  <c r="T623" i="19"/>
  <c r="T622" i="19"/>
  <c r="T621" i="19"/>
  <c r="T620" i="19"/>
  <c r="T619" i="19"/>
  <c r="T618" i="19"/>
  <c r="T617" i="19"/>
  <c r="T616" i="19"/>
  <c r="T615" i="19"/>
  <c r="T614" i="19"/>
  <c r="T613" i="19"/>
  <c r="T612" i="19"/>
  <c r="T611" i="19"/>
  <c r="T610" i="19"/>
  <c r="T609" i="19"/>
  <c r="T608" i="19"/>
  <c r="T607" i="19"/>
  <c r="T606" i="19"/>
  <c r="T605" i="19"/>
  <c r="T604" i="19"/>
  <c r="T603" i="19"/>
  <c r="T602" i="19"/>
  <c r="T601" i="19"/>
  <c r="T600" i="19"/>
  <c r="T599" i="19"/>
  <c r="T598" i="19"/>
  <c r="T597" i="19"/>
  <c r="T596" i="19"/>
  <c r="T595" i="19"/>
  <c r="T594" i="19"/>
  <c r="T593" i="19"/>
  <c r="T592" i="19"/>
  <c r="T591" i="19"/>
  <c r="T590" i="19"/>
  <c r="T589" i="19"/>
  <c r="T588" i="19"/>
  <c r="T587" i="19"/>
  <c r="T586" i="19"/>
  <c r="T585" i="19"/>
  <c r="T584" i="19"/>
  <c r="T583" i="19"/>
  <c r="T582" i="19"/>
  <c r="T581" i="19"/>
  <c r="T580" i="19"/>
  <c r="T579" i="19"/>
  <c r="T578" i="19"/>
  <c r="T577" i="19"/>
  <c r="T576" i="19"/>
  <c r="T575" i="19"/>
  <c r="T574" i="19"/>
  <c r="T573" i="19"/>
  <c r="T572" i="19"/>
  <c r="T571" i="19"/>
  <c r="T570" i="19"/>
  <c r="T569" i="19"/>
  <c r="T568" i="19"/>
  <c r="T567" i="19"/>
  <c r="T566" i="19"/>
  <c r="T565" i="19"/>
  <c r="T564" i="19"/>
  <c r="T563" i="19"/>
  <c r="T562" i="19"/>
  <c r="T561" i="19"/>
  <c r="T560" i="19"/>
  <c r="T559" i="19"/>
  <c r="T558" i="19"/>
  <c r="T557" i="19"/>
  <c r="T556" i="19"/>
  <c r="T555" i="19"/>
  <c r="T554" i="19"/>
  <c r="T553" i="19"/>
  <c r="T552" i="19"/>
  <c r="T551" i="19"/>
  <c r="T550" i="19"/>
  <c r="T549" i="19"/>
  <c r="T548" i="19"/>
  <c r="T547" i="19"/>
  <c r="T546" i="19"/>
  <c r="T545" i="19"/>
  <c r="T544" i="19"/>
  <c r="T543" i="19"/>
  <c r="T542" i="19"/>
  <c r="T541" i="19"/>
  <c r="T540" i="19"/>
  <c r="T539" i="19"/>
  <c r="T538" i="19"/>
  <c r="T537" i="19"/>
  <c r="T536" i="19"/>
  <c r="T535" i="19"/>
  <c r="T534" i="19"/>
  <c r="T533" i="19"/>
  <c r="T532" i="19"/>
  <c r="T531" i="19"/>
  <c r="T530" i="19"/>
  <c r="T529" i="19"/>
  <c r="T528" i="19"/>
  <c r="T527" i="19"/>
  <c r="T526" i="19"/>
  <c r="T525" i="19"/>
  <c r="T524" i="19"/>
  <c r="T523" i="19"/>
  <c r="T522" i="19"/>
  <c r="T521" i="19"/>
  <c r="T520" i="19"/>
  <c r="T519" i="19"/>
  <c r="T518" i="19"/>
  <c r="T517" i="19"/>
  <c r="T516" i="19"/>
  <c r="T515" i="19"/>
  <c r="T514" i="19"/>
  <c r="T513" i="19"/>
  <c r="T512" i="19"/>
  <c r="T511" i="19"/>
  <c r="T510" i="19"/>
  <c r="T509" i="19"/>
  <c r="T508" i="19"/>
  <c r="T507" i="19"/>
  <c r="T506" i="19"/>
  <c r="T505" i="19"/>
  <c r="T504" i="19"/>
  <c r="T503" i="19"/>
  <c r="T502" i="19"/>
  <c r="T501" i="19"/>
  <c r="T500" i="19"/>
  <c r="T499" i="19"/>
  <c r="T498" i="19"/>
  <c r="T497" i="19"/>
  <c r="T496" i="19"/>
  <c r="T495" i="19"/>
  <c r="T494" i="19"/>
  <c r="T493" i="19"/>
  <c r="T492" i="19"/>
  <c r="T491" i="19"/>
  <c r="T490" i="19"/>
  <c r="T489" i="19"/>
  <c r="T488" i="19"/>
  <c r="T487" i="19"/>
  <c r="T486" i="19"/>
  <c r="T485" i="19"/>
  <c r="T484" i="19"/>
  <c r="T483" i="19"/>
  <c r="T482" i="19"/>
  <c r="T481" i="19"/>
  <c r="T480" i="19"/>
  <c r="T479" i="19"/>
  <c r="T478" i="19"/>
  <c r="T477" i="19"/>
  <c r="T476" i="19"/>
  <c r="T475" i="19"/>
  <c r="T474" i="19"/>
  <c r="T473" i="19"/>
  <c r="T472" i="19"/>
  <c r="T471" i="19"/>
  <c r="T470" i="19"/>
  <c r="T469" i="19"/>
  <c r="T468" i="19"/>
  <c r="T467" i="19"/>
  <c r="T466" i="19"/>
  <c r="T465" i="19"/>
  <c r="T464" i="19"/>
  <c r="T463" i="19"/>
  <c r="T462" i="19"/>
  <c r="T461" i="19"/>
  <c r="T460" i="19"/>
  <c r="T459" i="19"/>
  <c r="T458" i="19"/>
  <c r="T457" i="19"/>
  <c r="T456" i="19"/>
  <c r="T455" i="19"/>
  <c r="T454" i="19"/>
  <c r="T453" i="19"/>
  <c r="T452" i="19"/>
  <c r="T451" i="19"/>
  <c r="T450" i="19"/>
  <c r="T449" i="19"/>
  <c r="T448" i="19"/>
  <c r="T447" i="19"/>
  <c r="T446" i="19"/>
  <c r="T445" i="19"/>
  <c r="T444" i="19"/>
  <c r="T443" i="19"/>
  <c r="T442" i="19"/>
  <c r="T441" i="19"/>
  <c r="T440" i="19"/>
  <c r="T439" i="19"/>
  <c r="T438" i="19"/>
  <c r="T437" i="19"/>
  <c r="T436" i="19"/>
  <c r="T435" i="19"/>
  <c r="T434" i="19"/>
  <c r="T433" i="19"/>
  <c r="T432" i="19"/>
  <c r="T431" i="19"/>
  <c r="T430" i="19"/>
  <c r="T429" i="19"/>
  <c r="T428" i="19"/>
  <c r="T427" i="19"/>
  <c r="T426" i="19"/>
  <c r="T425" i="19"/>
  <c r="T424" i="19"/>
  <c r="T423" i="19"/>
  <c r="T422" i="19"/>
  <c r="T421" i="19"/>
  <c r="T420" i="19"/>
  <c r="T419" i="19"/>
  <c r="T418" i="19"/>
  <c r="T417" i="19"/>
  <c r="T416" i="19"/>
  <c r="T415" i="19"/>
  <c r="T414" i="19"/>
  <c r="T413" i="19"/>
  <c r="T412" i="19"/>
  <c r="T411" i="19"/>
  <c r="T410" i="19"/>
  <c r="T409" i="19"/>
  <c r="T408" i="19"/>
  <c r="T407" i="19"/>
  <c r="T406" i="19"/>
  <c r="T405" i="19"/>
  <c r="T404" i="19"/>
  <c r="T403" i="19"/>
  <c r="T402" i="19"/>
  <c r="T401" i="19"/>
  <c r="T400" i="19"/>
  <c r="T399" i="19"/>
  <c r="T398" i="19"/>
  <c r="T397" i="19"/>
  <c r="T396" i="19"/>
  <c r="T395" i="19"/>
  <c r="T394" i="19"/>
  <c r="T393" i="19"/>
  <c r="T392" i="19"/>
  <c r="T391" i="19"/>
  <c r="T390" i="19"/>
  <c r="T389" i="19"/>
  <c r="T388" i="19"/>
  <c r="T387" i="19"/>
  <c r="T386" i="19"/>
  <c r="T385" i="19"/>
  <c r="T384" i="19"/>
  <c r="T383" i="19"/>
  <c r="T382" i="19"/>
  <c r="T381" i="19"/>
  <c r="T380" i="19"/>
  <c r="T379" i="19"/>
  <c r="T378" i="19"/>
  <c r="T377" i="19"/>
  <c r="T376" i="19"/>
  <c r="T375" i="19"/>
  <c r="T374" i="19"/>
  <c r="T373" i="19"/>
  <c r="T372" i="19"/>
  <c r="T371" i="19"/>
  <c r="T370" i="19"/>
  <c r="T369" i="19"/>
  <c r="T368" i="19"/>
  <c r="T367" i="19"/>
  <c r="T366" i="19"/>
  <c r="T365" i="19"/>
  <c r="T364" i="19"/>
  <c r="T363" i="19"/>
  <c r="T362" i="19"/>
  <c r="T361" i="19"/>
  <c r="T360" i="19"/>
  <c r="T359" i="19"/>
  <c r="T358" i="19"/>
  <c r="T357" i="19"/>
  <c r="T356" i="19"/>
  <c r="T355" i="19"/>
  <c r="T354" i="19"/>
  <c r="T353" i="19"/>
  <c r="T352" i="19"/>
  <c r="T351" i="19"/>
  <c r="T350" i="19"/>
  <c r="T349" i="19"/>
  <c r="T348" i="19"/>
  <c r="T347" i="19"/>
  <c r="T346" i="19"/>
  <c r="T345" i="19"/>
  <c r="T344" i="19"/>
  <c r="T343" i="19"/>
  <c r="T342" i="19"/>
  <c r="T341" i="19"/>
  <c r="T340" i="19"/>
  <c r="T339" i="19"/>
  <c r="T338" i="19"/>
  <c r="T337" i="19"/>
  <c r="T336" i="19"/>
  <c r="T335" i="19"/>
  <c r="T334" i="19"/>
  <c r="T333" i="19"/>
  <c r="T332" i="19"/>
  <c r="T331" i="19"/>
  <c r="T330" i="19"/>
  <c r="T329" i="19"/>
  <c r="T328" i="19"/>
  <c r="T327" i="19"/>
  <c r="T326" i="19"/>
  <c r="T325" i="19"/>
  <c r="T324" i="19"/>
  <c r="T323" i="19"/>
  <c r="T322" i="19"/>
  <c r="T321" i="19"/>
  <c r="T320" i="19"/>
  <c r="T319" i="19"/>
  <c r="T318" i="19"/>
  <c r="T317" i="19"/>
  <c r="T316" i="19"/>
  <c r="T315" i="19"/>
  <c r="T314" i="19"/>
  <c r="T313" i="19"/>
  <c r="T312" i="19"/>
  <c r="T311" i="19"/>
  <c r="T310" i="19"/>
  <c r="T309" i="19"/>
  <c r="T308" i="19"/>
  <c r="T307" i="19"/>
  <c r="T306" i="19"/>
  <c r="T305" i="19"/>
  <c r="T304" i="19"/>
  <c r="T303" i="19"/>
  <c r="T302" i="19"/>
  <c r="T301" i="19"/>
  <c r="T300" i="19"/>
  <c r="T299" i="19"/>
  <c r="T298" i="19"/>
  <c r="T297" i="19"/>
  <c r="T296" i="19"/>
  <c r="T295" i="19"/>
  <c r="T294" i="19"/>
  <c r="T293" i="19"/>
  <c r="T292" i="19"/>
  <c r="T291" i="19"/>
  <c r="T290" i="19"/>
  <c r="T289" i="19"/>
  <c r="T288" i="19"/>
  <c r="T287" i="19"/>
  <c r="T286" i="19"/>
  <c r="T285" i="19"/>
  <c r="T284" i="19"/>
  <c r="T283" i="19"/>
  <c r="T282" i="19"/>
  <c r="T281" i="19"/>
  <c r="T280" i="19"/>
  <c r="T279" i="19"/>
  <c r="T278" i="19"/>
  <c r="T277" i="19"/>
  <c r="T276" i="19"/>
  <c r="T275" i="19"/>
  <c r="T274" i="19"/>
  <c r="T273" i="19"/>
  <c r="T272" i="19"/>
  <c r="T271" i="19"/>
  <c r="T270" i="19"/>
  <c r="T269" i="19"/>
  <c r="T268" i="19"/>
  <c r="T267" i="19"/>
  <c r="T266" i="19"/>
  <c r="T265" i="19"/>
  <c r="T264" i="19"/>
  <c r="T263" i="19"/>
  <c r="T262" i="19"/>
  <c r="T261" i="19"/>
  <c r="T260" i="19"/>
  <c r="T259" i="19"/>
  <c r="T258" i="19"/>
  <c r="T257" i="19"/>
  <c r="T256" i="19"/>
  <c r="T255" i="19"/>
  <c r="T254" i="19"/>
  <c r="T253" i="19"/>
  <c r="T252" i="19"/>
  <c r="T251" i="19"/>
  <c r="T250" i="19"/>
  <c r="T249" i="19"/>
  <c r="T248" i="19"/>
  <c r="T247" i="19"/>
  <c r="T246" i="19"/>
  <c r="T245" i="19"/>
  <c r="T244" i="19"/>
  <c r="T243" i="19"/>
  <c r="T242" i="19"/>
  <c r="T241" i="19"/>
  <c r="T240" i="19"/>
  <c r="T239" i="19"/>
  <c r="T238" i="19"/>
  <c r="T237" i="19"/>
  <c r="T236" i="19"/>
  <c r="T235" i="19"/>
  <c r="T234" i="19"/>
  <c r="T233" i="19"/>
  <c r="T232" i="19"/>
  <c r="T231" i="19"/>
  <c r="T230" i="19"/>
  <c r="T229" i="19"/>
  <c r="T228" i="19"/>
  <c r="T227" i="19"/>
  <c r="T226" i="19"/>
  <c r="T225" i="19"/>
  <c r="T224" i="19"/>
  <c r="T223" i="19"/>
  <c r="T222" i="19"/>
  <c r="T221" i="19"/>
  <c r="T220" i="19"/>
  <c r="T219" i="19"/>
  <c r="T218" i="19"/>
  <c r="T217" i="19"/>
  <c r="T216" i="19"/>
  <c r="T215" i="19"/>
  <c r="T214" i="19"/>
  <c r="T213" i="19"/>
  <c r="T212" i="19"/>
  <c r="T211" i="19"/>
  <c r="T210" i="19"/>
  <c r="T209" i="19"/>
  <c r="T208" i="19"/>
  <c r="T207" i="19"/>
  <c r="T206" i="19"/>
  <c r="T205" i="19"/>
  <c r="T204" i="19"/>
  <c r="T203" i="19"/>
  <c r="T202" i="19"/>
  <c r="T201" i="19"/>
  <c r="T200" i="19"/>
  <c r="T199" i="19"/>
  <c r="T198" i="19"/>
  <c r="T197" i="19"/>
  <c r="T196" i="19"/>
  <c r="T195" i="19"/>
  <c r="T194" i="19"/>
  <c r="T193" i="19"/>
  <c r="T192" i="19"/>
  <c r="T191" i="19"/>
  <c r="T190" i="19"/>
  <c r="T189" i="19"/>
  <c r="T188" i="19"/>
  <c r="T187" i="19"/>
  <c r="T186" i="19"/>
  <c r="T185" i="19"/>
  <c r="T184" i="19"/>
  <c r="T183" i="19"/>
  <c r="T182" i="19"/>
  <c r="T181" i="19"/>
  <c r="T180" i="19"/>
  <c r="T179" i="19"/>
  <c r="T178" i="19"/>
  <c r="T177" i="19"/>
  <c r="T176" i="19"/>
  <c r="T175" i="19"/>
  <c r="T174" i="19"/>
  <c r="T173" i="19"/>
  <c r="T172" i="19"/>
  <c r="T171" i="19"/>
  <c r="T170" i="19"/>
  <c r="T169" i="19"/>
  <c r="T168" i="19"/>
  <c r="T167" i="19"/>
  <c r="T166" i="19"/>
  <c r="T165" i="19"/>
  <c r="T164" i="19"/>
  <c r="T163" i="19"/>
  <c r="T162" i="19"/>
  <c r="T161" i="19"/>
  <c r="T160" i="19"/>
  <c r="T159" i="19"/>
  <c r="T158" i="19"/>
  <c r="T157" i="19"/>
  <c r="T156" i="19"/>
  <c r="T155" i="19"/>
  <c r="T154" i="19"/>
  <c r="T153" i="19"/>
  <c r="T152" i="19"/>
  <c r="T151" i="19"/>
  <c r="T150" i="19"/>
  <c r="T149" i="19"/>
  <c r="T148" i="19"/>
  <c r="T147" i="19"/>
  <c r="T146" i="19"/>
  <c r="T145" i="19"/>
  <c r="T144" i="19"/>
  <c r="T143" i="19"/>
  <c r="T142" i="19"/>
  <c r="T141" i="19"/>
  <c r="T140" i="19"/>
  <c r="T139" i="19"/>
  <c r="T138" i="19"/>
  <c r="T137" i="19"/>
  <c r="T136" i="19"/>
  <c r="T135" i="19"/>
  <c r="T134" i="19"/>
  <c r="T133" i="19"/>
  <c r="T132" i="19"/>
  <c r="T131" i="19"/>
  <c r="T130" i="19"/>
  <c r="T129" i="19"/>
  <c r="T128" i="19"/>
  <c r="T127" i="19"/>
  <c r="T126" i="19"/>
  <c r="T125" i="19"/>
  <c r="T124" i="19"/>
  <c r="T123" i="19"/>
  <c r="T122" i="19"/>
  <c r="T121" i="19"/>
  <c r="T120" i="19"/>
  <c r="T119" i="19"/>
  <c r="T118" i="19"/>
  <c r="T117" i="19"/>
  <c r="T116" i="19"/>
  <c r="T115" i="19"/>
  <c r="T114" i="19"/>
  <c r="T113" i="19"/>
  <c r="T112" i="19"/>
  <c r="T111" i="19"/>
  <c r="T110" i="19"/>
  <c r="T109" i="19"/>
  <c r="T108" i="19"/>
  <c r="T107" i="19"/>
  <c r="T106" i="19"/>
  <c r="T105" i="19"/>
  <c r="T104" i="19"/>
  <c r="T103" i="19"/>
  <c r="T102" i="19"/>
  <c r="T101" i="19"/>
  <c r="T100" i="19"/>
  <c r="T99" i="19"/>
  <c r="T98" i="19"/>
  <c r="T97" i="19"/>
  <c r="T96" i="19"/>
  <c r="T95" i="19"/>
  <c r="T94" i="19"/>
  <c r="T93" i="19"/>
  <c r="T92" i="19"/>
  <c r="T91" i="19"/>
  <c r="T90" i="19"/>
  <c r="T89" i="19"/>
  <c r="T88" i="19"/>
  <c r="T87" i="19"/>
  <c r="T86" i="19"/>
  <c r="T85" i="19"/>
  <c r="T84" i="19"/>
  <c r="T83" i="19"/>
  <c r="T82" i="19"/>
  <c r="T81" i="19"/>
  <c r="T80" i="19"/>
  <c r="T79" i="19"/>
  <c r="T78" i="19"/>
  <c r="T77" i="19"/>
  <c r="T76" i="19"/>
  <c r="T75" i="19"/>
  <c r="T74" i="19"/>
  <c r="T73" i="19"/>
  <c r="T72" i="19"/>
  <c r="T71" i="19"/>
  <c r="T70" i="19"/>
  <c r="T69" i="19"/>
  <c r="T68" i="19"/>
  <c r="T67" i="19"/>
  <c r="T66" i="19"/>
  <c r="T65" i="19"/>
  <c r="T64" i="19"/>
  <c r="T63" i="19"/>
  <c r="T62" i="19"/>
  <c r="T61" i="19"/>
  <c r="T60" i="19"/>
  <c r="T59" i="19"/>
  <c r="T58" i="19"/>
  <c r="T57" i="19"/>
  <c r="T56" i="19"/>
  <c r="T55" i="19"/>
  <c r="T54" i="19"/>
  <c r="T53" i="19"/>
  <c r="T52" i="19"/>
  <c r="T51" i="19"/>
  <c r="T50" i="19"/>
  <c r="T49" i="19"/>
  <c r="T48" i="19"/>
  <c r="T47" i="19"/>
  <c r="T46" i="19"/>
  <c r="T45" i="19"/>
  <c r="T44" i="19"/>
  <c r="T43" i="19"/>
  <c r="T42" i="19"/>
  <c r="T41" i="19"/>
  <c r="T40" i="19"/>
  <c r="T39" i="19"/>
  <c r="T38" i="19"/>
  <c r="T37" i="19"/>
  <c r="T36" i="19"/>
  <c r="T35" i="19"/>
  <c r="T34" i="19"/>
  <c r="T33" i="19"/>
  <c r="T32" i="19"/>
  <c r="T31" i="19"/>
  <c r="T30" i="19"/>
  <c r="T29" i="19"/>
  <c r="T28" i="19"/>
  <c r="T27" i="19"/>
  <c r="T26" i="19"/>
  <c r="T25" i="19"/>
  <c r="T24" i="19"/>
  <c r="T23" i="19"/>
  <c r="T22" i="19"/>
  <c r="T21" i="19"/>
  <c r="T20" i="19"/>
  <c r="T19" i="19"/>
  <c r="T18" i="19"/>
  <c r="T17" i="19"/>
  <c r="T16" i="19"/>
  <c r="T15" i="19"/>
  <c r="T14" i="19"/>
  <c r="T13" i="19"/>
  <c r="T12" i="19"/>
  <c r="T11" i="19"/>
  <c r="T10" i="19"/>
  <c r="T9" i="19"/>
  <c r="T8" i="19"/>
  <c r="T7" i="19"/>
  <c r="T6" i="19"/>
  <c r="T5" i="19"/>
  <c r="T4" i="19"/>
  <c r="T3" i="19"/>
  <c r="T14" i="9"/>
  <c r="T13" i="9"/>
  <c r="T12" i="9"/>
  <c r="T11" i="9"/>
  <c r="T10" i="9"/>
  <c r="T9" i="9"/>
  <c r="T8" i="9"/>
  <c r="T7" i="9"/>
  <c r="T6" i="9"/>
  <c r="T5" i="9"/>
  <c r="T4" i="9"/>
  <c r="T3" i="9"/>
  <c r="T4" i="8"/>
  <c r="T5" i="8"/>
  <c r="T6" i="8"/>
  <c r="T7" i="8"/>
  <c r="T8" i="8"/>
  <c r="T9" i="8"/>
  <c r="T10" i="8"/>
  <c r="T11" i="8"/>
  <c r="T12" i="8"/>
  <c r="T13" i="8"/>
  <c r="T14" i="8"/>
  <c r="T15" i="8"/>
  <c r="T16" i="8"/>
  <c r="T17" i="8"/>
  <c r="T18" i="8"/>
  <c r="T19" i="8"/>
  <c r="T20" i="8"/>
  <c r="T21" i="8"/>
  <c r="T22" i="8"/>
  <c r="T23" i="8"/>
  <c r="T24" i="8"/>
  <c r="T25" i="8"/>
  <c r="T26" i="8"/>
  <c r="T27" i="8"/>
  <c r="T28" i="8"/>
  <c r="T29" i="8"/>
  <c r="T30" i="8"/>
  <c r="T31" i="8"/>
  <c r="T32" i="8"/>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3" i="8"/>
  <c r="U26" i="7"/>
  <c r="U25" i="7"/>
  <c r="U24" i="7"/>
  <c r="U23" i="7"/>
  <c r="U22" i="7"/>
  <c r="U21" i="7"/>
  <c r="U20" i="7"/>
  <c r="U19" i="7"/>
  <c r="U18" i="7"/>
  <c r="U17" i="7"/>
  <c r="U16" i="7"/>
  <c r="U15" i="7"/>
  <c r="U14" i="7"/>
  <c r="U13" i="7"/>
  <c r="U12" i="7"/>
  <c r="U11" i="7"/>
  <c r="U10" i="7"/>
  <c r="U9" i="7"/>
  <c r="U8" i="7"/>
  <c r="U7" i="7"/>
  <c r="U6" i="7"/>
  <c r="U5" i="7"/>
  <c r="U4" i="7"/>
  <c r="U3" i="7"/>
  <c r="V867" i="6"/>
  <c r="V868" i="6"/>
  <c r="V865" i="6"/>
  <c r="V866" i="6"/>
  <c r="V863" i="6"/>
  <c r="V864" i="6"/>
  <c r="V861" i="6"/>
  <c r="V862" i="6"/>
  <c r="V859" i="6"/>
  <c r="V860" i="6"/>
  <c r="V857" i="6"/>
  <c r="V858" i="6"/>
  <c r="V855" i="6"/>
  <c r="V856" i="6"/>
  <c r="V853" i="6"/>
  <c r="V854" i="6"/>
  <c r="V851" i="6"/>
  <c r="V852" i="6"/>
  <c r="V849" i="6"/>
  <c r="V850" i="6"/>
  <c r="V847" i="6"/>
  <c r="V848" i="6"/>
  <c r="V845" i="6"/>
  <c r="V846" i="6"/>
  <c r="V843" i="6"/>
  <c r="V844" i="6"/>
  <c r="V841" i="6"/>
  <c r="V842" i="6"/>
  <c r="V839" i="6"/>
  <c r="V840" i="6"/>
  <c r="V837" i="6"/>
  <c r="V838" i="6"/>
  <c r="V835" i="6"/>
  <c r="V836" i="6"/>
  <c r="V676" i="6"/>
  <c r="V834" i="6"/>
  <c r="V832" i="6"/>
  <c r="V833" i="6"/>
  <c r="V830" i="6"/>
  <c r="V831" i="6"/>
  <c r="V828" i="6"/>
  <c r="V829" i="6"/>
  <c r="V826" i="6"/>
  <c r="V827" i="6"/>
  <c r="V824" i="6"/>
  <c r="V825" i="6"/>
  <c r="V822" i="6"/>
  <c r="V823" i="6"/>
  <c r="V820" i="6"/>
  <c r="V821" i="6"/>
  <c r="V818" i="6"/>
  <c r="V819" i="6"/>
  <c r="V816" i="6"/>
  <c r="V817" i="6"/>
  <c r="V814" i="6"/>
  <c r="V815" i="6"/>
  <c r="V812" i="6"/>
  <c r="V813" i="6"/>
  <c r="V810" i="6"/>
  <c r="V811" i="6"/>
  <c r="V808" i="6"/>
  <c r="V809" i="6"/>
  <c r="V806" i="6"/>
  <c r="V807" i="6"/>
  <c r="V804" i="6"/>
  <c r="V805" i="6"/>
  <c r="V802" i="6"/>
  <c r="V803" i="6"/>
  <c r="V800" i="6"/>
  <c r="V801" i="6"/>
  <c r="V798" i="6"/>
  <c r="V799" i="6"/>
  <c r="V796" i="6"/>
  <c r="V797" i="6"/>
  <c r="V794" i="6"/>
  <c r="V795" i="6"/>
  <c r="V792" i="6"/>
  <c r="V793" i="6"/>
  <c r="V790" i="6"/>
  <c r="V791" i="6"/>
  <c r="V788" i="6"/>
  <c r="V789" i="6"/>
  <c r="V786" i="6"/>
  <c r="V787" i="6"/>
  <c r="V785" i="6"/>
  <c r="V783" i="6"/>
  <c r="V782" i="6"/>
  <c r="V781" i="6"/>
  <c r="V780" i="6"/>
  <c r="V779" i="6"/>
  <c r="V778" i="6"/>
  <c r="V777" i="6"/>
  <c r="V776" i="6"/>
  <c r="V775" i="6"/>
  <c r="V774" i="6"/>
  <c r="V773" i="6"/>
  <c r="V772" i="6"/>
  <c r="V771" i="6"/>
  <c r="V770" i="6"/>
  <c r="V769" i="6"/>
  <c r="V768" i="6"/>
  <c r="V767" i="6"/>
  <c r="V766" i="6"/>
  <c r="V765" i="6"/>
  <c r="V764" i="6"/>
  <c r="V763" i="6"/>
  <c r="V762" i="6"/>
  <c r="V761" i="6"/>
  <c r="V760" i="6"/>
  <c r="V759" i="6"/>
  <c r="V758" i="6"/>
  <c r="V757" i="6"/>
  <c r="V756" i="6"/>
  <c r="V755" i="6"/>
  <c r="V754" i="6"/>
  <c r="V753" i="6"/>
  <c r="V752" i="6"/>
  <c r="V751" i="6"/>
  <c r="V750" i="6"/>
  <c r="V749" i="6"/>
  <c r="V748" i="6"/>
  <c r="V747" i="6"/>
  <c r="V746" i="6"/>
  <c r="V745" i="6"/>
  <c r="V744" i="6"/>
  <c r="V743" i="6"/>
  <c r="V742" i="6"/>
  <c r="V741" i="6"/>
  <c r="V740" i="6"/>
  <c r="V739" i="6"/>
  <c r="V738" i="6"/>
  <c r="V737" i="6"/>
  <c r="V736" i="6"/>
  <c r="V735" i="6"/>
  <c r="V734" i="6"/>
  <c r="V733" i="6"/>
  <c r="V732" i="6"/>
  <c r="V731" i="6"/>
  <c r="V730" i="6"/>
  <c r="V729" i="6"/>
  <c r="V728" i="6"/>
  <c r="V727" i="6"/>
  <c r="V726" i="6"/>
  <c r="V725" i="6"/>
  <c r="V724" i="6"/>
  <c r="V723" i="6"/>
  <c r="V722" i="6"/>
  <c r="V721" i="6"/>
  <c r="V720" i="6"/>
  <c r="V719" i="6"/>
  <c r="V718" i="6"/>
  <c r="V717" i="6"/>
  <c r="V716" i="6"/>
  <c r="V715" i="6"/>
  <c r="V714" i="6"/>
  <c r="V713" i="6"/>
  <c r="V712" i="6"/>
  <c r="V711" i="6"/>
  <c r="V710" i="6"/>
  <c r="V709" i="6"/>
  <c r="V708" i="6"/>
  <c r="V707" i="6"/>
  <c r="V706" i="6"/>
  <c r="V705" i="6"/>
  <c r="V704" i="6"/>
  <c r="V703" i="6"/>
  <c r="V702" i="6"/>
  <c r="V701" i="6"/>
  <c r="V700" i="6"/>
  <c r="V699" i="6"/>
  <c r="V698" i="6"/>
  <c r="V697" i="6"/>
  <c r="V696" i="6"/>
  <c r="V695" i="6"/>
  <c r="V694" i="6"/>
  <c r="V693" i="6"/>
  <c r="V692" i="6"/>
  <c r="V691" i="6"/>
  <c r="V690" i="6"/>
  <c r="V689" i="6"/>
  <c r="V688" i="6"/>
  <c r="V687" i="6"/>
  <c r="V686" i="6"/>
  <c r="V685" i="6"/>
  <c r="V684" i="6"/>
  <c r="V683" i="6"/>
  <c r="V682" i="6"/>
  <c r="V681" i="6"/>
  <c r="V680" i="6"/>
  <c r="V679" i="6"/>
  <c r="V678" i="6"/>
  <c r="V677" i="6"/>
  <c r="V675" i="6"/>
  <c r="V674" i="6"/>
  <c r="V673" i="6"/>
  <c r="V672" i="6"/>
  <c r="V671" i="6"/>
  <c r="V670" i="6"/>
  <c r="V669" i="6"/>
  <c r="V668" i="6"/>
  <c r="V667" i="6"/>
  <c r="V666" i="6"/>
  <c r="V665" i="6"/>
  <c r="V664" i="6"/>
  <c r="V663" i="6"/>
  <c r="V662" i="6"/>
  <c r="V661" i="6"/>
  <c r="V660" i="6"/>
  <c r="V659" i="6"/>
  <c r="V658" i="6"/>
  <c r="V657" i="6"/>
  <c r="V656" i="6"/>
  <c r="V655" i="6"/>
  <c r="V654" i="6"/>
  <c r="V653" i="6"/>
  <c r="V652" i="6"/>
  <c r="V651" i="6"/>
  <c r="V650" i="6"/>
  <c r="V649" i="6"/>
  <c r="V648" i="6"/>
  <c r="V647" i="6"/>
  <c r="V646" i="6"/>
  <c r="V645" i="6"/>
  <c r="V644" i="6"/>
  <c r="V643" i="6"/>
  <c r="V642" i="6"/>
  <c r="V641" i="6"/>
  <c r="V640" i="6"/>
  <c r="V639" i="6"/>
  <c r="V638" i="6"/>
  <c r="V637" i="6"/>
  <c r="V636" i="6"/>
  <c r="V635" i="6"/>
  <c r="V634" i="6"/>
  <c r="V633" i="6"/>
  <c r="V632" i="6"/>
  <c r="V631" i="6"/>
  <c r="V630" i="6"/>
  <c r="V629" i="6"/>
  <c r="V628" i="6"/>
  <c r="V627" i="6"/>
  <c r="V626" i="6"/>
  <c r="V625" i="6"/>
  <c r="V624" i="6"/>
  <c r="V623" i="6"/>
  <c r="V622" i="6"/>
  <c r="V621" i="6"/>
  <c r="V620" i="6"/>
  <c r="V619" i="6"/>
  <c r="V618" i="6"/>
  <c r="V617" i="6"/>
  <c r="V616" i="6"/>
  <c r="V615" i="6"/>
  <c r="V614" i="6"/>
  <c r="V613" i="6"/>
  <c r="V612" i="6"/>
  <c r="V611" i="6"/>
  <c r="V610" i="6"/>
  <c r="V609" i="6"/>
  <c r="V608" i="6"/>
  <c r="V607" i="6"/>
  <c r="V606" i="6"/>
  <c r="V605" i="6"/>
  <c r="V604" i="6"/>
  <c r="V603" i="6"/>
  <c r="V602" i="6"/>
  <c r="V601" i="6"/>
  <c r="V600" i="6"/>
  <c r="V599" i="6"/>
  <c r="V598" i="6"/>
  <c r="V597" i="6"/>
  <c r="V596" i="6"/>
  <c r="V595" i="6"/>
  <c r="V594" i="6"/>
  <c r="V593" i="6"/>
  <c r="V592" i="6"/>
  <c r="V591" i="6"/>
  <c r="V590" i="6"/>
  <c r="V589" i="6"/>
  <c r="V588" i="6"/>
  <c r="V587" i="6"/>
  <c r="V586" i="6"/>
  <c r="V585" i="6"/>
  <c r="V584" i="6"/>
  <c r="V583" i="6"/>
  <c r="V582" i="6"/>
  <c r="V581" i="6"/>
  <c r="V580" i="6"/>
  <c r="V579" i="6"/>
  <c r="V578" i="6"/>
  <c r="V577" i="6"/>
  <c r="V576" i="6"/>
  <c r="V575" i="6"/>
  <c r="V574" i="6"/>
  <c r="V573" i="6"/>
  <c r="V572" i="6"/>
  <c r="V571" i="6"/>
  <c r="V570" i="6"/>
  <c r="V569" i="6"/>
  <c r="V568" i="6"/>
  <c r="V567" i="6"/>
  <c r="V566" i="6"/>
  <c r="V565" i="6"/>
  <c r="V564" i="6"/>
  <c r="V563" i="6"/>
  <c r="V562" i="6"/>
  <c r="V561" i="6"/>
  <c r="V560" i="6"/>
  <c r="V559" i="6"/>
  <c r="V558" i="6"/>
  <c r="V557"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2" i="6"/>
  <c r="V321" i="6"/>
  <c r="V320" i="6"/>
  <c r="V319" i="6"/>
  <c r="V318" i="6"/>
  <c r="V317" i="6"/>
  <c r="V316" i="6"/>
  <c r="V315" i="6"/>
  <c r="V314" i="6"/>
  <c r="V313" i="6"/>
  <c r="V312" i="6"/>
  <c r="V311" i="6"/>
  <c r="V310" i="6"/>
  <c r="V309" i="6"/>
  <c r="V308" i="6"/>
  <c r="V307" i="6"/>
  <c r="V306" i="6"/>
  <c r="V305" i="6"/>
  <c r="V304" i="6"/>
  <c r="V303" i="6"/>
  <c r="V302" i="6"/>
  <c r="V301" i="6"/>
  <c r="V300" i="6"/>
  <c r="V299" i="6"/>
  <c r="V298" i="6"/>
  <c r="V297" i="6"/>
  <c r="V296" i="6"/>
  <c r="V295" i="6"/>
  <c r="V294" i="6"/>
  <c r="V293" i="6"/>
  <c r="V292" i="6"/>
  <c r="V291" i="6"/>
  <c r="V290" i="6"/>
  <c r="V289" i="6"/>
  <c r="V288" i="6"/>
  <c r="V287" i="6"/>
  <c r="V286" i="6"/>
  <c r="V285" i="6"/>
  <c r="V284" i="6"/>
  <c r="V283" i="6"/>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c r="V255" i="6"/>
  <c r="V254" i="6"/>
  <c r="V253" i="6"/>
  <c r="V252" i="6"/>
  <c r="V251" i="6"/>
  <c r="V250" i="6"/>
  <c r="V249" i="6"/>
  <c r="V248" i="6"/>
  <c r="V247" i="6"/>
  <c r="V246" i="6"/>
  <c r="V245" i="6"/>
  <c r="V244" i="6"/>
  <c r="V243" i="6"/>
  <c r="V242" i="6"/>
  <c r="V241" i="6"/>
  <c r="V240" i="6"/>
  <c r="V239" i="6"/>
  <c r="V238" i="6"/>
  <c r="V237" i="6"/>
  <c r="V236" i="6"/>
  <c r="V235" i="6"/>
  <c r="V234" i="6"/>
  <c r="V233" i="6"/>
  <c r="V232" i="6"/>
  <c r="V231" i="6"/>
  <c r="V230" i="6"/>
  <c r="V229" i="6"/>
  <c r="V228" i="6"/>
  <c r="V227" i="6"/>
  <c r="V226" i="6"/>
  <c r="V225" i="6"/>
  <c r="V224" i="6"/>
  <c r="V223" i="6"/>
  <c r="V222" i="6"/>
  <c r="V221" i="6"/>
  <c r="V220" i="6"/>
  <c r="V219" i="6"/>
  <c r="V218" i="6"/>
  <c r="V217" i="6"/>
  <c r="V216" i="6"/>
  <c r="V215" i="6"/>
  <c r="V214" i="6"/>
  <c r="V213" i="6"/>
  <c r="V212" i="6"/>
  <c r="V211" i="6"/>
  <c r="V210" i="6"/>
  <c r="V209" i="6"/>
  <c r="V208" i="6"/>
  <c r="V207" i="6"/>
  <c r="V206" i="6"/>
  <c r="V205" i="6"/>
  <c r="V204" i="6"/>
  <c r="V203" i="6"/>
  <c r="V202" i="6"/>
  <c r="V201" i="6"/>
  <c r="V200" i="6"/>
  <c r="V199" i="6"/>
  <c r="V197" i="6"/>
  <c r="V195" i="6"/>
  <c r="V194" i="6"/>
  <c r="V193" i="6"/>
  <c r="V192" i="6"/>
  <c r="V191" i="6"/>
  <c r="V190" i="6"/>
  <c r="V189" i="6"/>
  <c r="V188" i="6"/>
  <c r="V187" i="6"/>
  <c r="V186" i="6"/>
  <c r="V185" i="6"/>
  <c r="V184" i="6"/>
  <c r="V183" i="6"/>
  <c r="V182" i="6"/>
  <c r="V181" i="6"/>
  <c r="V180" i="6"/>
  <c r="V179" i="6"/>
  <c r="V178" i="6"/>
  <c r="V177" i="6"/>
  <c r="V176" i="6"/>
  <c r="V175" i="6"/>
  <c r="V174" i="6"/>
  <c r="V173" i="6"/>
  <c r="V172" i="6"/>
  <c r="V171" i="6"/>
  <c r="V170" i="6"/>
  <c r="V169" i="6"/>
  <c r="V168" i="6"/>
  <c r="V167" i="6"/>
  <c r="V166" i="6"/>
  <c r="V165" i="6"/>
  <c r="V164" i="6"/>
  <c r="V163" i="6"/>
  <c r="V162" i="6"/>
  <c r="V161" i="6"/>
  <c r="V160" i="6"/>
  <c r="V159" i="6"/>
  <c r="V158" i="6"/>
  <c r="V157" i="6"/>
  <c r="V156" i="6"/>
  <c r="V155" i="6"/>
  <c r="V154" i="6"/>
  <c r="V153" i="6"/>
  <c r="V152" i="6"/>
  <c r="V151" i="6"/>
  <c r="V150" i="6"/>
  <c r="V149" i="6"/>
  <c r="V148" i="6"/>
  <c r="V147" i="6"/>
  <c r="V146" i="6"/>
  <c r="V145" i="6"/>
  <c r="V144" i="6"/>
  <c r="V143"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V19" i="6"/>
  <c r="V18" i="6"/>
  <c r="V17" i="6"/>
  <c r="V16" i="6"/>
  <c r="V15" i="6"/>
  <c r="V14" i="6"/>
  <c r="V13" i="6"/>
  <c r="V12" i="6"/>
  <c r="V11" i="6"/>
  <c r="V10" i="6"/>
  <c r="V9" i="6"/>
  <c r="V8" i="6"/>
  <c r="V7" i="6"/>
  <c r="V6" i="6"/>
  <c r="V5" i="6"/>
  <c r="V4" i="6"/>
  <c r="V3" i="6"/>
  <c r="T4" i="27"/>
  <c r="T5" i="27"/>
  <c r="T6" i="27"/>
  <c r="T7" i="27"/>
  <c r="T8" i="27"/>
  <c r="T9" i="27"/>
  <c r="T10" i="27"/>
  <c r="T11" i="27"/>
  <c r="T12" i="27"/>
  <c r="T13" i="27"/>
  <c r="T14" i="27"/>
  <c r="T15" i="27"/>
  <c r="T16" i="27"/>
  <c r="T17" i="27"/>
  <c r="T18" i="27"/>
  <c r="T19" i="27"/>
  <c r="T20" i="27"/>
  <c r="T21" i="27"/>
  <c r="T22" i="27"/>
  <c r="T23" i="27"/>
  <c r="T24" i="27"/>
  <c r="T25" i="27"/>
  <c r="T26" i="27"/>
  <c r="T27" i="27"/>
  <c r="T28" i="27"/>
  <c r="T29" i="27"/>
  <c r="T30" i="27"/>
  <c r="T31" i="27"/>
  <c r="T32" i="27"/>
  <c r="T33" i="27"/>
  <c r="T34" i="27"/>
  <c r="T35" i="27"/>
  <c r="T36" i="27"/>
  <c r="T37" i="27"/>
  <c r="T38" i="27"/>
  <c r="T39" i="27"/>
  <c r="T40" i="27"/>
  <c r="T41" i="27"/>
  <c r="T42" i="27"/>
  <c r="T43" i="27"/>
  <c r="T44" i="27"/>
  <c r="T45" i="27"/>
  <c r="T46" i="27"/>
  <c r="T47" i="27"/>
  <c r="T48" i="27"/>
  <c r="T49" i="27"/>
  <c r="T50" i="27"/>
  <c r="T51" i="27"/>
  <c r="T52" i="27"/>
  <c r="T53" i="27"/>
  <c r="T54" i="27"/>
  <c r="T55" i="27"/>
  <c r="T56" i="27"/>
  <c r="T57" i="27"/>
  <c r="T58" i="27"/>
  <c r="T59" i="27"/>
  <c r="T60" i="27"/>
  <c r="T61" i="27"/>
  <c r="T62" i="27"/>
  <c r="T63" i="27"/>
  <c r="T3" i="27"/>
  <c r="T4" i="26"/>
  <c r="T5" i="26"/>
  <c r="T6" i="26"/>
  <c r="T7" i="26"/>
  <c r="T8" i="26"/>
  <c r="T9" i="26"/>
  <c r="T10" i="26"/>
  <c r="T11" i="26"/>
  <c r="T12" i="26"/>
  <c r="T13" i="26"/>
  <c r="T14" i="26"/>
  <c r="T15" i="26"/>
  <c r="T16" i="26"/>
  <c r="T17" i="26"/>
  <c r="T18" i="26"/>
  <c r="T19" i="26"/>
  <c r="T20" i="26"/>
  <c r="T21" i="26"/>
  <c r="T22" i="26"/>
  <c r="T23" i="26"/>
  <c r="T24" i="26"/>
  <c r="T25" i="26"/>
  <c r="T26" i="26"/>
  <c r="T27" i="26"/>
  <c r="T28" i="26"/>
  <c r="T29" i="26"/>
  <c r="T30" i="26"/>
  <c r="T31" i="26"/>
  <c r="T32" i="26"/>
  <c r="T33" i="26"/>
  <c r="T34" i="26"/>
  <c r="T35" i="26"/>
  <c r="T36" i="26"/>
  <c r="T37" i="26"/>
  <c r="T38" i="26"/>
  <c r="T39" i="26"/>
  <c r="T40" i="26"/>
  <c r="T41" i="26"/>
  <c r="T42" i="26"/>
  <c r="T43" i="26"/>
  <c r="T44" i="26"/>
  <c r="T45" i="26"/>
  <c r="T46" i="26"/>
  <c r="T47" i="26"/>
  <c r="T48" i="26"/>
  <c r="T49" i="26"/>
  <c r="T50" i="26"/>
  <c r="T51" i="26"/>
  <c r="T52" i="26"/>
  <c r="T53" i="26"/>
  <c r="T54" i="26"/>
  <c r="T55" i="26"/>
  <c r="T56" i="26"/>
  <c r="T57" i="26"/>
  <c r="T58" i="26"/>
  <c r="T59" i="26"/>
  <c r="T60" i="26"/>
  <c r="T61" i="26"/>
  <c r="T62" i="26"/>
  <c r="T63" i="26"/>
  <c r="T64" i="26"/>
  <c r="T65" i="26"/>
  <c r="T66" i="26"/>
  <c r="T67" i="26"/>
  <c r="T68" i="26"/>
  <c r="T69" i="26"/>
  <c r="T70" i="26"/>
  <c r="T71" i="26"/>
  <c r="T72" i="26"/>
  <c r="T73" i="26"/>
  <c r="T74" i="26"/>
  <c r="T75" i="26"/>
  <c r="T76" i="26"/>
  <c r="T77" i="26"/>
  <c r="T78" i="26"/>
  <c r="T79" i="26"/>
  <c r="T80" i="26"/>
  <c r="T81" i="26"/>
  <c r="T82" i="26"/>
  <c r="T83" i="26"/>
  <c r="T84" i="26"/>
  <c r="T85" i="26"/>
  <c r="T86" i="26"/>
  <c r="T87" i="26"/>
  <c r="T88" i="26"/>
  <c r="T89" i="26"/>
  <c r="T90" i="26"/>
  <c r="T91" i="26"/>
  <c r="T3" i="26"/>
  <c r="T4" i="25"/>
  <c r="T5" i="25"/>
  <c r="T6" i="25"/>
  <c r="T7" i="25"/>
  <c r="T8" i="25"/>
  <c r="T9" i="25"/>
  <c r="T10"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3" i="25"/>
  <c r="S14" i="24"/>
  <c r="S17" i="24"/>
  <c r="S18" i="24"/>
  <c r="S15" i="24"/>
  <c r="S19" i="24"/>
  <c r="S16" i="24"/>
  <c r="S22" i="24"/>
  <c r="S23" i="24"/>
  <c r="S24" i="24"/>
  <c r="S25" i="24"/>
  <c r="S26" i="24"/>
  <c r="S27" i="24"/>
  <c r="S28" i="24"/>
  <c r="S29" i="24"/>
  <c r="S30" i="24"/>
  <c r="S31" i="24"/>
  <c r="S32" i="24"/>
  <c r="S33" i="24"/>
  <c r="S34" i="24"/>
  <c r="S35" i="24"/>
  <c r="S36" i="24"/>
  <c r="S37" i="24"/>
  <c r="S38" i="24"/>
  <c r="S39" i="24"/>
  <c r="S40" i="24"/>
  <c r="S41" i="24"/>
  <c r="S42" i="24"/>
  <c r="S44" i="24"/>
  <c r="S45" i="24"/>
  <c r="S46" i="24"/>
  <c r="S48" i="24"/>
  <c r="S49" i="24"/>
  <c r="S50" i="24"/>
  <c r="S51" i="24"/>
  <c r="S52" i="24"/>
  <c r="S53" i="24"/>
  <c r="S54" i="24"/>
  <c r="S55" i="24"/>
  <c r="S56" i="24"/>
  <c r="S57" i="24"/>
  <c r="S58" i="24"/>
  <c r="S59" i="24"/>
  <c r="S60" i="24"/>
  <c r="S61" i="24"/>
  <c r="S62" i="24"/>
  <c r="S63" i="24"/>
  <c r="S64" i="24"/>
  <c r="S65" i="24"/>
  <c r="S66" i="24"/>
  <c r="S67" i="24"/>
  <c r="S68" i="24"/>
  <c r="S69" i="24"/>
  <c r="S70" i="24"/>
  <c r="S71" i="24"/>
  <c r="S72" i="24"/>
  <c r="S73" i="24"/>
  <c r="S74" i="24"/>
  <c r="S75" i="24"/>
  <c r="S76" i="24"/>
  <c r="S77" i="24"/>
  <c r="S78" i="24"/>
  <c r="S79" i="24"/>
  <c r="S80" i="24"/>
  <c r="S81" i="24"/>
  <c r="S82" i="24"/>
  <c r="S83" i="24"/>
  <c r="S84" i="24"/>
  <c r="S85" i="24"/>
  <c r="S86" i="24"/>
  <c r="S87" i="24"/>
  <c r="S88" i="24"/>
  <c r="S89" i="24"/>
  <c r="S90" i="24"/>
  <c r="S91" i="24"/>
  <c r="S92" i="24"/>
  <c r="S93" i="24"/>
  <c r="S94" i="24"/>
  <c r="S95" i="24"/>
  <c r="S96" i="24"/>
  <c r="S97" i="24"/>
  <c r="S98" i="24"/>
  <c r="S99" i="24"/>
  <c r="S100" i="24"/>
  <c r="S101" i="24"/>
  <c r="S102" i="24"/>
  <c r="S103" i="24"/>
  <c r="S104" i="24"/>
  <c r="S105" i="24"/>
  <c r="S106" i="24"/>
  <c r="S107" i="24"/>
  <c r="S108" i="24"/>
  <c r="S109" i="24"/>
  <c r="S110" i="24"/>
  <c r="S111" i="24"/>
  <c r="S112" i="24"/>
  <c r="S113" i="24"/>
  <c r="S114" i="24"/>
  <c r="S115" i="24"/>
  <c r="S116" i="24"/>
  <c r="S119" i="24"/>
  <c r="S120" i="24"/>
  <c r="S121" i="24"/>
  <c r="S122" i="24"/>
  <c r="S123" i="24"/>
  <c r="S124" i="24"/>
  <c r="S125" i="24"/>
  <c r="S126" i="24"/>
  <c r="S127" i="24"/>
  <c r="S128" i="24"/>
  <c r="S129" i="24"/>
  <c r="S130" i="24"/>
  <c r="S131" i="24"/>
  <c r="S132" i="24"/>
  <c r="S133" i="24"/>
  <c r="S134" i="24"/>
  <c r="S135" i="24"/>
  <c r="S136" i="24"/>
  <c r="S137" i="24"/>
  <c r="S138" i="24"/>
  <c r="S139" i="24"/>
  <c r="S140" i="24"/>
  <c r="S141" i="24"/>
  <c r="S142" i="24"/>
  <c r="S143" i="24"/>
  <c r="S144" i="24"/>
  <c r="S145" i="24"/>
  <c r="S146" i="24"/>
  <c r="S147" i="24"/>
  <c r="S148" i="24"/>
  <c r="S149" i="24"/>
  <c r="S150" i="24"/>
  <c r="S151" i="24"/>
  <c r="S152" i="24"/>
  <c r="S153" i="24"/>
  <c r="S154" i="24"/>
  <c r="S155" i="24"/>
  <c r="S156" i="24"/>
  <c r="S157" i="24"/>
  <c r="S158" i="24"/>
  <c r="S159" i="24"/>
  <c r="S160" i="24"/>
  <c r="S161" i="24"/>
  <c r="S162" i="24"/>
  <c r="S163" i="24"/>
  <c r="S164" i="24"/>
  <c r="S165" i="24"/>
  <c r="S166" i="24"/>
  <c r="S167" i="24"/>
  <c r="S168" i="24"/>
  <c r="S169" i="24"/>
  <c r="S170" i="24"/>
  <c r="S171" i="24"/>
  <c r="S172" i="24"/>
  <c r="S173" i="24"/>
  <c r="S174" i="24"/>
  <c r="S175" i="24"/>
  <c r="S176" i="24"/>
  <c r="S177" i="24"/>
  <c r="S178" i="24"/>
  <c r="S179" i="24"/>
  <c r="S180" i="24"/>
  <c r="S181" i="24"/>
  <c r="S182" i="24"/>
  <c r="S183" i="24"/>
  <c r="S184" i="24"/>
  <c r="S185" i="24"/>
  <c r="S186" i="24"/>
  <c r="S187" i="24"/>
  <c r="S188" i="24"/>
  <c r="S189" i="24"/>
  <c r="S190" i="24"/>
  <c r="S191" i="24"/>
  <c r="S192" i="24"/>
  <c r="S193" i="24"/>
  <c r="S194" i="24"/>
  <c r="S195" i="24"/>
  <c r="S196" i="24"/>
  <c r="S197" i="24"/>
  <c r="S198" i="24"/>
  <c r="S199" i="24"/>
  <c r="S200" i="24"/>
  <c r="S201" i="24"/>
  <c r="S202" i="24"/>
  <c r="S203" i="24"/>
  <c r="S204" i="24"/>
  <c r="S205" i="24"/>
  <c r="S206" i="24"/>
  <c r="S207" i="24"/>
  <c r="S208" i="24"/>
  <c r="S209" i="24"/>
  <c r="S210" i="24"/>
  <c r="S211" i="24"/>
  <c r="S212" i="24"/>
  <c r="S213" i="24"/>
  <c r="S214" i="24"/>
  <c r="S215" i="24"/>
  <c r="S216" i="24"/>
  <c r="S217" i="24"/>
  <c r="S218" i="24"/>
  <c r="S219" i="24"/>
  <c r="S220" i="24"/>
  <c r="S221" i="24"/>
  <c r="S222" i="24"/>
  <c r="S223" i="24"/>
  <c r="S224" i="24"/>
  <c r="S225" i="24"/>
  <c r="S226" i="24"/>
  <c r="S227" i="24"/>
  <c r="S228" i="24"/>
  <c r="S229" i="24"/>
  <c r="S230" i="24"/>
  <c r="S231" i="24"/>
  <c r="S232" i="24"/>
  <c r="S233" i="24"/>
  <c r="S234" i="24"/>
  <c r="S235" i="24"/>
  <c r="S236" i="24"/>
  <c r="S237" i="24"/>
  <c r="S238" i="24"/>
  <c r="S239" i="24"/>
  <c r="S240" i="24"/>
  <c r="S241" i="24"/>
  <c r="S242" i="24"/>
  <c r="S243" i="24"/>
  <c r="S244" i="24"/>
  <c r="S245" i="24"/>
  <c r="S246" i="24"/>
  <c r="S247" i="24"/>
  <c r="S248" i="24"/>
  <c r="S249" i="24"/>
  <c r="S250" i="24"/>
  <c r="S251" i="24"/>
  <c r="S252" i="24"/>
  <c r="S255" i="24"/>
  <c r="S256" i="24"/>
  <c r="S257" i="24"/>
  <c r="S258" i="24"/>
  <c r="S259" i="24"/>
  <c r="S260" i="24"/>
  <c r="S261" i="24"/>
  <c r="S262" i="24"/>
  <c r="S263" i="24"/>
  <c r="S264" i="24"/>
  <c r="S265" i="24"/>
  <c r="S266" i="24"/>
  <c r="S267" i="24"/>
  <c r="S268" i="24"/>
  <c r="S269" i="24"/>
  <c r="S270" i="24"/>
  <c r="S271" i="24"/>
  <c r="S272" i="24"/>
  <c r="S273" i="24"/>
  <c r="S274" i="24"/>
  <c r="S275" i="24"/>
  <c r="S276" i="24"/>
  <c r="S277" i="24"/>
  <c r="S278" i="24"/>
  <c r="S279" i="24"/>
  <c r="S280" i="24"/>
  <c r="S281" i="24"/>
  <c r="S283" i="24"/>
  <c r="S285" i="24"/>
  <c r="S286" i="24"/>
  <c r="S289" i="24"/>
  <c r="S290" i="24"/>
  <c r="S291" i="24"/>
  <c r="S292" i="24"/>
  <c r="S293" i="24"/>
  <c r="S294" i="24"/>
  <c r="S295" i="24"/>
  <c r="S296" i="24"/>
  <c r="S297" i="24"/>
  <c r="S13" i="24"/>
  <c r="T4" i="23"/>
  <c r="T5" i="23"/>
  <c r="T6" i="23"/>
  <c r="T7" i="23"/>
  <c r="T8" i="23"/>
  <c r="T9" i="23"/>
  <c r="T10" i="23"/>
  <c r="T11" i="23"/>
  <c r="T12" i="23"/>
  <c r="T13" i="23"/>
  <c r="T14" i="23"/>
  <c r="T15" i="23"/>
  <c r="T16" i="23"/>
  <c r="T17" i="23"/>
  <c r="T18" i="23"/>
  <c r="T19" i="23"/>
  <c r="T20" i="23"/>
  <c r="T21" i="23"/>
  <c r="T22" i="23"/>
  <c r="T23" i="23"/>
  <c r="T24" i="23"/>
  <c r="T25" i="23"/>
  <c r="T26" i="23"/>
  <c r="T27" i="23"/>
  <c r="T28" i="23"/>
  <c r="T29" i="23"/>
  <c r="T30" i="23"/>
  <c r="T31" i="23"/>
  <c r="T32" i="23"/>
  <c r="T33" i="23"/>
  <c r="T34" i="23"/>
  <c r="T35" i="23"/>
  <c r="T36" i="23"/>
  <c r="T37" i="23"/>
  <c r="T38" i="23"/>
  <c r="T39" i="23"/>
  <c r="T40" i="23"/>
  <c r="T41" i="23"/>
  <c r="T42" i="23"/>
  <c r="T43" i="23"/>
  <c r="T44" i="23"/>
  <c r="T45" i="23"/>
  <c r="T46" i="23"/>
  <c r="T47" i="23"/>
  <c r="T48" i="23"/>
  <c r="T49" i="23"/>
  <c r="T50" i="23"/>
  <c r="T51" i="23"/>
  <c r="T52" i="23"/>
  <c r="T53" i="23"/>
  <c r="T54" i="23"/>
  <c r="T55" i="23"/>
  <c r="T56" i="23"/>
  <c r="T57" i="23"/>
  <c r="T58" i="23"/>
  <c r="T59" i="23"/>
  <c r="T60" i="23"/>
  <c r="T61" i="23"/>
  <c r="T62" i="23"/>
  <c r="T63" i="23"/>
  <c r="T64" i="23"/>
  <c r="T65" i="23"/>
  <c r="T66" i="23"/>
  <c r="T67" i="23"/>
  <c r="T68" i="23"/>
  <c r="T69" i="23"/>
  <c r="T70" i="23"/>
  <c r="T71" i="23"/>
  <c r="T72" i="23"/>
  <c r="T73" i="23"/>
  <c r="T74" i="23"/>
  <c r="T75" i="23"/>
  <c r="T76" i="23"/>
  <c r="T77" i="23"/>
  <c r="T78" i="23"/>
  <c r="T79" i="23"/>
  <c r="T80" i="23"/>
  <c r="T81" i="23"/>
  <c r="T82" i="23"/>
  <c r="T83" i="23"/>
  <c r="T84" i="23"/>
  <c r="T85" i="23"/>
  <c r="T86" i="23"/>
  <c r="T87" i="23"/>
  <c r="T88" i="23"/>
  <c r="T89" i="23"/>
  <c r="T90" i="23"/>
  <c r="T91" i="23"/>
  <c r="T92" i="23"/>
  <c r="T93" i="23"/>
  <c r="T94" i="23"/>
  <c r="T95" i="23"/>
  <c r="T96" i="23"/>
  <c r="T97" i="23"/>
  <c r="T98" i="23"/>
  <c r="T99" i="23"/>
  <c r="T100" i="23"/>
  <c r="T101" i="23"/>
  <c r="T102" i="23"/>
  <c r="T103" i="23"/>
  <c r="T104" i="23"/>
  <c r="T105" i="23"/>
  <c r="T106" i="23"/>
  <c r="T107" i="23"/>
  <c r="T108" i="23"/>
  <c r="T109" i="23"/>
  <c r="T110" i="23"/>
  <c r="T111" i="23"/>
  <c r="T112" i="23"/>
  <c r="T113" i="23"/>
  <c r="T114" i="23"/>
  <c r="T115" i="23"/>
  <c r="T116" i="23"/>
  <c r="T117" i="23"/>
  <c r="T118" i="23"/>
  <c r="T119" i="23"/>
  <c r="T120" i="23"/>
  <c r="T121" i="23"/>
  <c r="T122" i="23"/>
  <c r="T123" i="23"/>
  <c r="T124" i="23"/>
  <c r="T125" i="23"/>
  <c r="T126" i="23"/>
  <c r="T127" i="23"/>
  <c r="T128" i="23"/>
  <c r="T129" i="23"/>
  <c r="T130" i="23"/>
  <c r="T131" i="23"/>
  <c r="T132" i="23"/>
  <c r="T133" i="23"/>
  <c r="T134" i="23"/>
  <c r="T135" i="23"/>
  <c r="T136" i="23"/>
  <c r="T137" i="23"/>
  <c r="T138" i="23"/>
  <c r="T139" i="23"/>
  <c r="T140" i="23"/>
  <c r="T141" i="23"/>
  <c r="T142" i="23"/>
  <c r="T143" i="23"/>
  <c r="T144" i="23"/>
  <c r="T145" i="23"/>
  <c r="T146" i="23"/>
  <c r="T147" i="23"/>
  <c r="T148" i="23"/>
  <c r="T149" i="23"/>
  <c r="T150" i="23"/>
  <c r="T151" i="23"/>
  <c r="T152" i="23"/>
  <c r="T153" i="23"/>
  <c r="T154" i="23"/>
  <c r="T155" i="23"/>
  <c r="T156" i="23"/>
  <c r="T157" i="23"/>
  <c r="T158" i="23"/>
  <c r="T159" i="23"/>
  <c r="T160" i="23"/>
  <c r="T161" i="23"/>
  <c r="T162" i="23"/>
  <c r="T163" i="23"/>
  <c r="T164" i="23"/>
  <c r="T165" i="23"/>
  <c r="T166" i="23"/>
  <c r="T167" i="23"/>
  <c r="T168" i="23"/>
  <c r="T169" i="23"/>
  <c r="T170" i="23"/>
  <c r="T171" i="23"/>
  <c r="T172" i="23"/>
  <c r="T173" i="23"/>
  <c r="T174" i="23"/>
  <c r="T175" i="23"/>
  <c r="T176" i="23"/>
  <c r="T177" i="23"/>
  <c r="T178" i="23"/>
  <c r="T179" i="23"/>
  <c r="T180" i="23"/>
  <c r="T181" i="23"/>
  <c r="T182" i="23"/>
  <c r="T183" i="23"/>
  <c r="T184" i="23"/>
  <c r="T185" i="23"/>
  <c r="T186" i="23"/>
  <c r="T187" i="23"/>
  <c r="T188" i="23"/>
  <c r="T189" i="23"/>
  <c r="T190" i="23"/>
  <c r="T191" i="23"/>
  <c r="T192" i="23"/>
  <c r="T193" i="23"/>
  <c r="T194" i="23"/>
  <c r="T195" i="23"/>
  <c r="T196" i="23"/>
  <c r="T197" i="23"/>
  <c r="T198" i="23"/>
  <c r="T199" i="23"/>
  <c r="T200" i="23"/>
  <c r="T201" i="23"/>
  <c r="T202" i="23"/>
  <c r="T203" i="23"/>
  <c r="T204" i="23"/>
  <c r="T205" i="23"/>
  <c r="T206" i="23"/>
  <c r="T207" i="23"/>
  <c r="T208" i="23"/>
  <c r="T209" i="23"/>
  <c r="T210" i="23"/>
  <c r="T211" i="23"/>
  <c r="T212" i="23"/>
  <c r="T213" i="23"/>
  <c r="T214" i="23"/>
  <c r="T215" i="23"/>
  <c r="T216" i="23"/>
  <c r="T217" i="23"/>
  <c r="T218" i="23"/>
  <c r="T219" i="23"/>
  <c r="T220" i="23"/>
  <c r="T221" i="23"/>
  <c r="T222" i="23"/>
  <c r="T223" i="23"/>
  <c r="T224" i="23"/>
  <c r="T225" i="23"/>
  <c r="T226" i="23"/>
  <c r="T227" i="23"/>
  <c r="T228" i="23"/>
  <c r="T229" i="23"/>
  <c r="T230" i="23"/>
  <c r="T231" i="23"/>
  <c r="T232" i="23"/>
  <c r="T233" i="23"/>
  <c r="T234" i="23"/>
  <c r="T235" i="23"/>
  <c r="T236" i="23"/>
  <c r="T237" i="23"/>
  <c r="T238" i="23"/>
  <c r="T239" i="23"/>
  <c r="T240" i="23"/>
  <c r="T241" i="23"/>
  <c r="T242" i="23"/>
  <c r="T243" i="23"/>
  <c r="T244" i="23"/>
  <c r="T245" i="23"/>
  <c r="T246" i="23"/>
  <c r="T247" i="23"/>
  <c r="T248" i="23"/>
  <c r="T249" i="23"/>
  <c r="T250" i="23"/>
  <c r="T251" i="23"/>
  <c r="T252" i="23"/>
  <c r="T253" i="23"/>
  <c r="T254" i="23"/>
  <c r="T255" i="23"/>
  <c r="T256" i="23"/>
  <c r="T257" i="23"/>
  <c r="T258" i="23"/>
  <c r="T259" i="23"/>
  <c r="T260" i="23"/>
  <c r="T261" i="23"/>
  <c r="T262" i="23"/>
  <c r="T263" i="23"/>
  <c r="T264" i="23"/>
  <c r="T265" i="23"/>
  <c r="T266" i="23"/>
  <c r="T267" i="23"/>
  <c r="T268" i="23"/>
  <c r="T269" i="23"/>
  <c r="T270" i="23"/>
  <c r="T271" i="23"/>
  <c r="T272" i="23"/>
  <c r="T273" i="23"/>
  <c r="T274" i="23"/>
  <c r="T275" i="23"/>
  <c r="T276" i="23"/>
  <c r="T277" i="23"/>
  <c r="T278" i="23"/>
  <c r="T279" i="23"/>
  <c r="T280" i="23"/>
  <c r="T281" i="23"/>
  <c r="T282" i="23"/>
  <c r="T283" i="23"/>
  <c r="T284" i="23"/>
  <c r="T285" i="23"/>
  <c r="T286" i="23"/>
  <c r="T287" i="23"/>
  <c r="T288" i="23"/>
  <c r="T289" i="23"/>
  <c r="T290" i="23"/>
  <c r="T291" i="23"/>
  <c r="T292" i="23"/>
  <c r="T293" i="23"/>
  <c r="T294" i="23"/>
  <c r="T295" i="23"/>
  <c r="T296" i="23"/>
  <c r="T297" i="23"/>
  <c r="T298" i="23"/>
  <c r="T299" i="23"/>
  <c r="T300" i="23"/>
  <c r="T301" i="23"/>
  <c r="T302" i="23"/>
  <c r="T3" i="23"/>
  <c r="F287" i="6"/>
  <c r="B245" i="6"/>
  <c r="B246" i="6"/>
  <c r="B247" i="6"/>
  <c r="B248" i="6"/>
  <c r="C245" i="6"/>
  <c r="C246" i="6"/>
  <c r="C247" i="6"/>
  <c r="C248" i="6"/>
  <c r="D245" i="6"/>
  <c r="D246" i="6"/>
  <c r="D247" i="6"/>
  <c r="D248" i="6"/>
  <c r="E245" i="6"/>
  <c r="E246" i="6"/>
  <c r="E247" i="6"/>
  <c r="E248" i="6"/>
  <c r="F245" i="6"/>
  <c r="F246" i="6"/>
  <c r="F247" i="6"/>
  <c r="F248" i="6"/>
  <c r="G245" i="6"/>
  <c r="G246" i="6"/>
  <c r="G247" i="6"/>
  <c r="G248" i="6"/>
  <c r="H245" i="6"/>
  <c r="H246" i="6"/>
  <c r="H247" i="6"/>
  <c r="H248" i="6"/>
  <c r="I245" i="6"/>
  <c r="I246" i="6"/>
  <c r="I247" i="6"/>
  <c r="I248" i="6"/>
  <c r="J245" i="6"/>
  <c r="J246" i="6"/>
  <c r="J247" i="6"/>
  <c r="J248" i="6"/>
  <c r="K245" i="6"/>
  <c r="K246" i="6"/>
  <c r="K247" i="6"/>
  <c r="K248" i="6"/>
  <c r="L245" i="6"/>
  <c r="L246" i="6"/>
  <c r="L247" i="6"/>
  <c r="L248" i="6"/>
  <c r="M245" i="6"/>
  <c r="M246" i="6"/>
  <c r="M247" i="6"/>
  <c r="M248" i="6"/>
  <c r="N245" i="6"/>
  <c r="N246" i="6"/>
  <c r="N247" i="6"/>
  <c r="N248" i="6"/>
  <c r="O245" i="6"/>
  <c r="O246" i="6"/>
  <c r="O247" i="6"/>
  <c r="O248" i="6"/>
  <c r="P245" i="6"/>
  <c r="P246" i="6"/>
  <c r="P247" i="6"/>
  <c r="P248" i="6"/>
  <c r="Q245" i="6"/>
  <c r="Q246" i="6"/>
  <c r="Q247" i="6"/>
  <c r="Q248" i="6"/>
  <c r="R245" i="6"/>
  <c r="R246" i="6"/>
  <c r="R247" i="6"/>
  <c r="R248" i="6"/>
  <c r="S245" i="6"/>
  <c r="S246" i="6"/>
  <c r="S247" i="6"/>
  <c r="S248" i="6"/>
  <c r="T245" i="6"/>
  <c r="T246" i="6"/>
  <c r="T247" i="6"/>
  <c r="T248" i="6"/>
  <c r="U245" i="6"/>
  <c r="U246" i="6"/>
  <c r="U247" i="6"/>
  <c r="U248" i="6"/>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3" i="25"/>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 i="23"/>
  <c r="B199" i="22"/>
  <c r="B198" i="22"/>
  <c r="B197" i="22"/>
  <c r="B196" i="22"/>
  <c r="B195" i="22"/>
  <c r="B194" i="22"/>
  <c r="B193" i="22"/>
  <c r="B192" i="22"/>
  <c r="B191" i="22"/>
  <c r="B190" i="22"/>
  <c r="B189" i="22"/>
  <c r="B188" i="22"/>
  <c r="B187" i="22"/>
  <c r="B186" i="22"/>
  <c r="B185" i="22"/>
  <c r="B184" i="22"/>
  <c r="B183" i="22"/>
  <c r="B182" i="22"/>
  <c r="B181" i="22"/>
  <c r="B180" i="22"/>
  <c r="B179" i="22"/>
  <c r="B178" i="22"/>
  <c r="B177" i="22"/>
  <c r="B176" i="22"/>
  <c r="B175" i="22"/>
  <c r="B174" i="22"/>
  <c r="B173" i="22"/>
  <c r="B172" i="22"/>
  <c r="B171" i="22"/>
  <c r="B170" i="22"/>
  <c r="B169" i="22"/>
  <c r="B168" i="22"/>
  <c r="B167" i="22"/>
  <c r="B166" i="22"/>
  <c r="B165" i="22"/>
  <c r="B164" i="22"/>
  <c r="B163" i="22"/>
  <c r="B162" i="22"/>
  <c r="B161" i="22"/>
  <c r="B160" i="22"/>
  <c r="B159" i="22"/>
  <c r="B158" i="22"/>
  <c r="B157" i="22"/>
  <c r="B156" i="22"/>
  <c r="B155" i="22"/>
  <c r="B154" i="22"/>
  <c r="B153" i="22"/>
  <c r="B152" i="22"/>
  <c r="B151" i="22"/>
  <c r="B150" i="22"/>
  <c r="B149" i="22"/>
  <c r="B148" i="22"/>
  <c r="B147" i="22"/>
  <c r="B146" i="22"/>
  <c r="B145" i="22"/>
  <c r="B144" i="22"/>
  <c r="B143" i="22"/>
  <c r="B142" i="22"/>
  <c r="B141" i="22"/>
  <c r="B140" i="22"/>
  <c r="B139" i="22"/>
  <c r="B138" i="22"/>
  <c r="B137" i="22"/>
  <c r="B136" i="22"/>
  <c r="B135" i="22"/>
  <c r="B134" i="22"/>
  <c r="B133" i="22"/>
  <c r="B132" i="22"/>
  <c r="B131" i="22"/>
  <c r="B130" i="22"/>
  <c r="B129" i="22"/>
  <c r="B128" i="22"/>
  <c r="B127" i="22"/>
  <c r="B126" i="22"/>
  <c r="B125" i="22"/>
  <c r="B124" i="22"/>
  <c r="B123" i="22"/>
  <c r="B122" i="22"/>
  <c r="B121" i="22"/>
  <c r="B120" i="22"/>
  <c r="B119" i="22"/>
  <c r="B118" i="22"/>
  <c r="B117" i="22"/>
  <c r="B116" i="22"/>
  <c r="B115" i="22"/>
  <c r="B114" i="22"/>
  <c r="B113" i="22"/>
  <c r="B112" i="22"/>
  <c r="B111" i="22"/>
  <c r="B110" i="22"/>
  <c r="B109" i="22"/>
  <c r="B108" i="22"/>
  <c r="B107" i="22"/>
  <c r="B106" i="22"/>
  <c r="B105" i="22"/>
  <c r="B104" i="22"/>
  <c r="B103" i="22"/>
  <c r="B102" i="22"/>
  <c r="B101" i="22"/>
  <c r="B100" i="22"/>
  <c r="B99" i="22"/>
  <c r="B98" i="22"/>
  <c r="B97" i="22"/>
  <c r="B96" i="22"/>
  <c r="B95" i="22"/>
  <c r="B94" i="22"/>
  <c r="B93" i="22"/>
  <c r="B92" i="22"/>
  <c r="B91" i="22"/>
  <c r="B90" i="22"/>
  <c r="B89" i="22"/>
  <c r="B88" i="22"/>
  <c r="B87" i="22"/>
  <c r="B86" i="22"/>
  <c r="B85" i="22"/>
  <c r="B84" i="22"/>
  <c r="B83" i="22"/>
  <c r="B82" i="22"/>
  <c r="B81" i="22"/>
  <c r="B80" i="22"/>
  <c r="B79" i="22"/>
  <c r="B78" i="22"/>
  <c r="B77" i="22"/>
  <c r="B76" i="22"/>
  <c r="B75" i="22"/>
  <c r="B74" i="22"/>
  <c r="B73" i="22"/>
  <c r="B72" i="22"/>
  <c r="B71" i="22"/>
  <c r="B70" i="22"/>
  <c r="B69" i="22"/>
  <c r="B68" i="22"/>
  <c r="B67" i="22"/>
  <c r="B66" i="22"/>
  <c r="B65" i="22"/>
  <c r="B64" i="22"/>
  <c r="B63" i="22"/>
  <c r="B62" i="22"/>
  <c r="B61" i="22"/>
  <c r="B60" i="22"/>
  <c r="B59" i="22"/>
  <c r="B58" i="22"/>
  <c r="B57" i="22"/>
  <c r="B56" i="22"/>
  <c r="B55" i="22"/>
  <c r="B54" i="22"/>
  <c r="B53" i="22"/>
  <c r="B52" i="22"/>
  <c r="B51" i="22"/>
  <c r="B50" i="22"/>
  <c r="B49" i="22"/>
  <c r="B48" i="22"/>
  <c r="B47" i="22"/>
  <c r="B46" i="22"/>
  <c r="B45" i="22"/>
  <c r="B44" i="22"/>
  <c r="B43" i="22"/>
  <c r="B42" i="22"/>
  <c r="B41" i="22"/>
  <c r="B40" i="22"/>
  <c r="B39" i="22"/>
  <c r="B38" i="22"/>
  <c r="B37" i="22"/>
  <c r="B36" i="22"/>
  <c r="B35" i="22"/>
  <c r="B34" i="22"/>
  <c r="B33" i="22"/>
  <c r="B32" i="22"/>
  <c r="B31" i="22"/>
  <c r="B30" i="22"/>
  <c r="B29" i="22"/>
  <c r="B28" i="22"/>
  <c r="B27" i="22"/>
  <c r="B26" i="22"/>
  <c r="B25" i="22"/>
  <c r="B24" i="22"/>
  <c r="B23" i="22"/>
  <c r="B22" i="22"/>
  <c r="B21" i="22"/>
  <c r="B20" i="22"/>
  <c r="B19" i="22"/>
  <c r="B18" i="22"/>
  <c r="B17" i="22"/>
  <c r="B15" i="22"/>
  <c r="B12" i="22"/>
  <c r="B16" i="22"/>
  <c r="B14" i="22"/>
  <c r="B13" i="22"/>
  <c r="B8" i="22"/>
  <c r="B7" i="22"/>
  <c r="B6" i="22"/>
  <c r="B5" i="22"/>
  <c r="B4" i="22"/>
  <c r="R199" i="22"/>
  <c r="Q199" i="22"/>
  <c r="P199" i="22"/>
  <c r="O199" i="22"/>
  <c r="N199" i="22"/>
  <c r="M199" i="22"/>
  <c r="L199" i="22"/>
  <c r="K199" i="22"/>
  <c r="J199" i="22"/>
  <c r="I199" i="22"/>
  <c r="H199" i="22"/>
  <c r="G199" i="22"/>
  <c r="F199" i="22"/>
  <c r="E199" i="22"/>
  <c r="D199" i="22"/>
  <c r="C199" i="22"/>
  <c r="R198" i="22"/>
  <c r="Q198" i="22"/>
  <c r="P198" i="22"/>
  <c r="O198" i="22"/>
  <c r="N198" i="22"/>
  <c r="M198" i="22"/>
  <c r="L198" i="22"/>
  <c r="K198" i="22"/>
  <c r="J198" i="22"/>
  <c r="I198" i="22"/>
  <c r="H198" i="22"/>
  <c r="G198" i="22"/>
  <c r="F198" i="22"/>
  <c r="E198" i="22"/>
  <c r="D198" i="22"/>
  <c r="C198" i="22"/>
  <c r="R197" i="22"/>
  <c r="Q197" i="22"/>
  <c r="P197" i="22"/>
  <c r="O197" i="22"/>
  <c r="N197" i="22"/>
  <c r="M197" i="22"/>
  <c r="L197" i="22"/>
  <c r="K197" i="22"/>
  <c r="J197" i="22"/>
  <c r="I197" i="22"/>
  <c r="H197" i="22"/>
  <c r="G197" i="22"/>
  <c r="F197" i="22"/>
  <c r="E197" i="22"/>
  <c r="D197" i="22"/>
  <c r="C197" i="22"/>
  <c r="R196" i="22"/>
  <c r="Q196" i="22"/>
  <c r="P196" i="22"/>
  <c r="O196" i="22"/>
  <c r="N196" i="22"/>
  <c r="M196" i="22"/>
  <c r="L196" i="22"/>
  <c r="K196" i="22"/>
  <c r="J196" i="22"/>
  <c r="I196" i="22"/>
  <c r="H196" i="22"/>
  <c r="G196" i="22"/>
  <c r="F196" i="22"/>
  <c r="E196" i="22"/>
  <c r="D196" i="22"/>
  <c r="C196" i="22"/>
  <c r="R195" i="22"/>
  <c r="Q195" i="22"/>
  <c r="P195" i="22"/>
  <c r="O195" i="22"/>
  <c r="N195" i="22"/>
  <c r="M195" i="22"/>
  <c r="L195" i="22"/>
  <c r="K195" i="22"/>
  <c r="J195" i="22"/>
  <c r="I195" i="22"/>
  <c r="H195" i="22"/>
  <c r="G195" i="22"/>
  <c r="F195" i="22"/>
  <c r="E195" i="22"/>
  <c r="D195" i="22"/>
  <c r="C195" i="22"/>
  <c r="R194" i="22"/>
  <c r="Q194" i="22"/>
  <c r="P194" i="22"/>
  <c r="O194" i="22"/>
  <c r="N194" i="22"/>
  <c r="M194" i="22"/>
  <c r="L194" i="22"/>
  <c r="K194" i="22"/>
  <c r="J194" i="22"/>
  <c r="I194" i="22"/>
  <c r="H194" i="22"/>
  <c r="G194" i="22"/>
  <c r="F194" i="22"/>
  <c r="E194" i="22"/>
  <c r="D194" i="22"/>
  <c r="C194" i="22"/>
  <c r="R193" i="22"/>
  <c r="Q193" i="22"/>
  <c r="P193" i="22"/>
  <c r="O193" i="22"/>
  <c r="N193" i="22"/>
  <c r="M193" i="22"/>
  <c r="L193" i="22"/>
  <c r="K193" i="22"/>
  <c r="J193" i="22"/>
  <c r="I193" i="22"/>
  <c r="H193" i="22"/>
  <c r="G193" i="22"/>
  <c r="F193" i="22"/>
  <c r="E193" i="22"/>
  <c r="D193" i="22"/>
  <c r="C193" i="22"/>
  <c r="R192" i="22"/>
  <c r="Q192" i="22"/>
  <c r="P192" i="22"/>
  <c r="O192" i="22"/>
  <c r="N192" i="22"/>
  <c r="M192" i="22"/>
  <c r="L192" i="22"/>
  <c r="K192" i="22"/>
  <c r="J192" i="22"/>
  <c r="I192" i="22"/>
  <c r="H192" i="22"/>
  <c r="G192" i="22"/>
  <c r="F192" i="22"/>
  <c r="E192" i="22"/>
  <c r="D192" i="22"/>
  <c r="C192" i="22"/>
  <c r="R191" i="22"/>
  <c r="Q191" i="22"/>
  <c r="P191" i="22"/>
  <c r="O191" i="22"/>
  <c r="N191" i="22"/>
  <c r="M191" i="22"/>
  <c r="L191" i="22"/>
  <c r="K191" i="22"/>
  <c r="J191" i="22"/>
  <c r="I191" i="22"/>
  <c r="H191" i="22"/>
  <c r="G191" i="22"/>
  <c r="F191" i="22"/>
  <c r="E191" i="22"/>
  <c r="D191" i="22"/>
  <c r="C191" i="22"/>
  <c r="R190" i="22"/>
  <c r="Q190" i="22"/>
  <c r="P190" i="22"/>
  <c r="O190" i="22"/>
  <c r="N190" i="22"/>
  <c r="M190" i="22"/>
  <c r="L190" i="22"/>
  <c r="K190" i="22"/>
  <c r="J190" i="22"/>
  <c r="I190" i="22"/>
  <c r="H190" i="22"/>
  <c r="G190" i="22"/>
  <c r="F190" i="22"/>
  <c r="E190" i="22"/>
  <c r="D190" i="22"/>
  <c r="C190" i="22"/>
  <c r="R189" i="22"/>
  <c r="Q189" i="22"/>
  <c r="P189" i="22"/>
  <c r="O189" i="22"/>
  <c r="N189" i="22"/>
  <c r="M189" i="22"/>
  <c r="L189" i="22"/>
  <c r="K189" i="22"/>
  <c r="J189" i="22"/>
  <c r="I189" i="22"/>
  <c r="H189" i="22"/>
  <c r="G189" i="22"/>
  <c r="F189" i="22"/>
  <c r="E189" i="22"/>
  <c r="D189" i="22"/>
  <c r="C189" i="22"/>
  <c r="R188" i="22"/>
  <c r="Q188" i="22"/>
  <c r="P188" i="22"/>
  <c r="O188" i="22"/>
  <c r="N188" i="22"/>
  <c r="M188" i="22"/>
  <c r="L188" i="22"/>
  <c r="K188" i="22"/>
  <c r="J188" i="22"/>
  <c r="I188" i="22"/>
  <c r="H188" i="22"/>
  <c r="G188" i="22"/>
  <c r="F188" i="22"/>
  <c r="E188" i="22"/>
  <c r="D188" i="22"/>
  <c r="C188" i="22"/>
  <c r="R187" i="22"/>
  <c r="Q187" i="22"/>
  <c r="P187" i="22"/>
  <c r="O187" i="22"/>
  <c r="N187" i="22"/>
  <c r="M187" i="22"/>
  <c r="L187" i="22"/>
  <c r="K187" i="22"/>
  <c r="J187" i="22"/>
  <c r="I187" i="22"/>
  <c r="H187" i="22"/>
  <c r="G187" i="22"/>
  <c r="F187" i="22"/>
  <c r="E187" i="22"/>
  <c r="D187" i="22"/>
  <c r="C187" i="22"/>
  <c r="R186" i="22"/>
  <c r="Q186" i="22"/>
  <c r="P186" i="22"/>
  <c r="O186" i="22"/>
  <c r="N186" i="22"/>
  <c r="M186" i="22"/>
  <c r="L186" i="22"/>
  <c r="K186" i="22"/>
  <c r="J186" i="22"/>
  <c r="I186" i="22"/>
  <c r="H186" i="22"/>
  <c r="G186" i="22"/>
  <c r="F186" i="22"/>
  <c r="E186" i="22"/>
  <c r="D186" i="22"/>
  <c r="C186" i="22"/>
  <c r="R185" i="22"/>
  <c r="Q185" i="22"/>
  <c r="P185" i="22"/>
  <c r="O185" i="22"/>
  <c r="N185" i="22"/>
  <c r="M185" i="22"/>
  <c r="L185" i="22"/>
  <c r="K185" i="22"/>
  <c r="J185" i="22"/>
  <c r="I185" i="22"/>
  <c r="H185" i="22"/>
  <c r="G185" i="22"/>
  <c r="F185" i="22"/>
  <c r="E185" i="22"/>
  <c r="D185" i="22"/>
  <c r="C185" i="22"/>
  <c r="R184" i="22"/>
  <c r="Q184" i="22"/>
  <c r="P184" i="22"/>
  <c r="O184" i="22"/>
  <c r="N184" i="22"/>
  <c r="M184" i="22"/>
  <c r="L184" i="22"/>
  <c r="K184" i="22"/>
  <c r="J184" i="22"/>
  <c r="I184" i="22"/>
  <c r="H184" i="22"/>
  <c r="G184" i="22"/>
  <c r="F184" i="22"/>
  <c r="E184" i="22"/>
  <c r="D184" i="22"/>
  <c r="C184" i="22"/>
  <c r="R183" i="22"/>
  <c r="Q183" i="22"/>
  <c r="P183" i="22"/>
  <c r="O183" i="22"/>
  <c r="N183" i="22"/>
  <c r="M183" i="22"/>
  <c r="L183" i="22"/>
  <c r="K183" i="22"/>
  <c r="J183" i="22"/>
  <c r="I183" i="22"/>
  <c r="H183" i="22"/>
  <c r="G183" i="22"/>
  <c r="F183" i="22"/>
  <c r="E183" i="22"/>
  <c r="D183" i="22"/>
  <c r="C183" i="22"/>
  <c r="R182" i="22"/>
  <c r="Q182" i="22"/>
  <c r="P182" i="22"/>
  <c r="O182" i="22"/>
  <c r="N182" i="22"/>
  <c r="M182" i="22"/>
  <c r="L182" i="22"/>
  <c r="K182" i="22"/>
  <c r="J182" i="22"/>
  <c r="I182" i="22"/>
  <c r="H182" i="22"/>
  <c r="G182" i="22"/>
  <c r="F182" i="22"/>
  <c r="E182" i="22"/>
  <c r="D182" i="22"/>
  <c r="C182" i="22"/>
  <c r="R181" i="22"/>
  <c r="Q181" i="22"/>
  <c r="P181" i="22"/>
  <c r="O181" i="22"/>
  <c r="N181" i="22"/>
  <c r="M181" i="22"/>
  <c r="L181" i="22"/>
  <c r="K181" i="22"/>
  <c r="J181" i="22"/>
  <c r="I181" i="22"/>
  <c r="H181" i="22"/>
  <c r="G181" i="22"/>
  <c r="F181" i="22"/>
  <c r="E181" i="22"/>
  <c r="D181" i="22"/>
  <c r="C181" i="22"/>
  <c r="R180" i="22"/>
  <c r="Q180" i="22"/>
  <c r="P180" i="22"/>
  <c r="O180" i="22"/>
  <c r="N180" i="22"/>
  <c r="M180" i="22"/>
  <c r="L180" i="22"/>
  <c r="K180" i="22"/>
  <c r="J180" i="22"/>
  <c r="I180" i="22"/>
  <c r="H180" i="22"/>
  <c r="G180" i="22"/>
  <c r="F180" i="22"/>
  <c r="E180" i="22"/>
  <c r="D180" i="22"/>
  <c r="C180" i="22"/>
  <c r="R179" i="22"/>
  <c r="Q179" i="22"/>
  <c r="P179" i="22"/>
  <c r="O179" i="22"/>
  <c r="N179" i="22"/>
  <c r="M179" i="22"/>
  <c r="L179" i="22"/>
  <c r="K179" i="22"/>
  <c r="J179" i="22"/>
  <c r="I179" i="22"/>
  <c r="H179" i="22"/>
  <c r="G179" i="22"/>
  <c r="F179" i="22"/>
  <c r="E179" i="22"/>
  <c r="D179" i="22"/>
  <c r="C179" i="22"/>
  <c r="R178" i="22"/>
  <c r="Q178" i="22"/>
  <c r="P178" i="22"/>
  <c r="O178" i="22"/>
  <c r="N178" i="22"/>
  <c r="M178" i="22"/>
  <c r="L178" i="22"/>
  <c r="K178" i="22"/>
  <c r="J178" i="22"/>
  <c r="I178" i="22"/>
  <c r="H178" i="22"/>
  <c r="G178" i="22"/>
  <c r="F178" i="22"/>
  <c r="E178" i="22"/>
  <c r="D178" i="22"/>
  <c r="C178" i="22"/>
  <c r="R177" i="22"/>
  <c r="Q177" i="22"/>
  <c r="P177" i="22"/>
  <c r="O177" i="22"/>
  <c r="N177" i="22"/>
  <c r="M177" i="22"/>
  <c r="L177" i="22"/>
  <c r="K177" i="22"/>
  <c r="J177" i="22"/>
  <c r="I177" i="22"/>
  <c r="H177" i="22"/>
  <c r="G177" i="22"/>
  <c r="F177" i="22"/>
  <c r="E177" i="22"/>
  <c r="D177" i="22"/>
  <c r="C177" i="22"/>
  <c r="R176" i="22"/>
  <c r="Q176" i="22"/>
  <c r="P176" i="22"/>
  <c r="O176" i="22"/>
  <c r="N176" i="22"/>
  <c r="M176" i="22"/>
  <c r="L176" i="22"/>
  <c r="K176" i="22"/>
  <c r="J176" i="22"/>
  <c r="I176" i="22"/>
  <c r="H176" i="22"/>
  <c r="G176" i="22"/>
  <c r="F176" i="22"/>
  <c r="E176" i="22"/>
  <c r="D176" i="22"/>
  <c r="C176" i="22"/>
  <c r="R175" i="22"/>
  <c r="Q175" i="22"/>
  <c r="P175" i="22"/>
  <c r="O175" i="22"/>
  <c r="N175" i="22"/>
  <c r="M175" i="22"/>
  <c r="L175" i="22"/>
  <c r="K175" i="22"/>
  <c r="J175" i="22"/>
  <c r="I175" i="22"/>
  <c r="H175" i="22"/>
  <c r="G175" i="22"/>
  <c r="F175" i="22"/>
  <c r="E175" i="22"/>
  <c r="D175" i="22"/>
  <c r="C175" i="22"/>
  <c r="R174" i="22"/>
  <c r="Q174" i="22"/>
  <c r="P174" i="22"/>
  <c r="O174" i="22"/>
  <c r="N174" i="22"/>
  <c r="M174" i="22"/>
  <c r="L174" i="22"/>
  <c r="K174" i="22"/>
  <c r="J174" i="22"/>
  <c r="I174" i="22"/>
  <c r="H174" i="22"/>
  <c r="G174" i="22"/>
  <c r="F174" i="22"/>
  <c r="E174" i="22"/>
  <c r="D174" i="22"/>
  <c r="C174" i="22"/>
  <c r="R173" i="22"/>
  <c r="Q173" i="22"/>
  <c r="P173" i="22"/>
  <c r="O173" i="22"/>
  <c r="N173" i="22"/>
  <c r="M173" i="22"/>
  <c r="L173" i="22"/>
  <c r="K173" i="22"/>
  <c r="J173" i="22"/>
  <c r="I173" i="22"/>
  <c r="H173" i="22"/>
  <c r="G173" i="22"/>
  <c r="F173" i="22"/>
  <c r="E173" i="22"/>
  <c r="D173" i="22"/>
  <c r="C173" i="22"/>
  <c r="R172" i="22"/>
  <c r="Q172" i="22"/>
  <c r="P172" i="22"/>
  <c r="O172" i="22"/>
  <c r="N172" i="22"/>
  <c r="M172" i="22"/>
  <c r="L172" i="22"/>
  <c r="K172" i="22"/>
  <c r="J172" i="22"/>
  <c r="I172" i="22"/>
  <c r="H172" i="22"/>
  <c r="G172" i="22"/>
  <c r="F172" i="22"/>
  <c r="E172" i="22"/>
  <c r="D172" i="22"/>
  <c r="C172" i="22"/>
  <c r="R171" i="22"/>
  <c r="Q171" i="22"/>
  <c r="P171" i="22"/>
  <c r="O171" i="22"/>
  <c r="N171" i="22"/>
  <c r="M171" i="22"/>
  <c r="L171" i="22"/>
  <c r="K171" i="22"/>
  <c r="J171" i="22"/>
  <c r="I171" i="22"/>
  <c r="H171" i="22"/>
  <c r="G171" i="22"/>
  <c r="F171" i="22"/>
  <c r="E171" i="22"/>
  <c r="D171" i="22"/>
  <c r="C171" i="22"/>
  <c r="R170" i="22"/>
  <c r="Q170" i="22"/>
  <c r="P170" i="22"/>
  <c r="O170" i="22"/>
  <c r="N170" i="22"/>
  <c r="M170" i="22"/>
  <c r="L170" i="22"/>
  <c r="K170" i="22"/>
  <c r="J170" i="22"/>
  <c r="I170" i="22"/>
  <c r="H170" i="22"/>
  <c r="G170" i="22"/>
  <c r="F170" i="22"/>
  <c r="E170" i="22"/>
  <c r="D170" i="22"/>
  <c r="C170" i="22"/>
  <c r="R169" i="22"/>
  <c r="Q169" i="22"/>
  <c r="P169" i="22"/>
  <c r="O169" i="22"/>
  <c r="N169" i="22"/>
  <c r="M169" i="22"/>
  <c r="L169" i="22"/>
  <c r="K169" i="22"/>
  <c r="J169" i="22"/>
  <c r="I169" i="22"/>
  <c r="H169" i="22"/>
  <c r="G169" i="22"/>
  <c r="F169" i="22"/>
  <c r="E169" i="22"/>
  <c r="D169" i="22"/>
  <c r="C169" i="22"/>
  <c r="R168" i="22"/>
  <c r="Q168" i="22"/>
  <c r="P168" i="22"/>
  <c r="O168" i="22"/>
  <c r="N168" i="22"/>
  <c r="M168" i="22"/>
  <c r="L168" i="22"/>
  <c r="K168" i="22"/>
  <c r="J168" i="22"/>
  <c r="I168" i="22"/>
  <c r="H168" i="22"/>
  <c r="G168" i="22"/>
  <c r="F168" i="22"/>
  <c r="E168" i="22"/>
  <c r="D168" i="22"/>
  <c r="C168" i="22"/>
  <c r="R167" i="22"/>
  <c r="Q167" i="22"/>
  <c r="P167" i="22"/>
  <c r="O167" i="22"/>
  <c r="N167" i="22"/>
  <c r="M167" i="22"/>
  <c r="L167" i="22"/>
  <c r="K167" i="22"/>
  <c r="J167" i="22"/>
  <c r="I167" i="22"/>
  <c r="H167" i="22"/>
  <c r="G167" i="22"/>
  <c r="F167" i="22"/>
  <c r="E167" i="22"/>
  <c r="D167" i="22"/>
  <c r="C167" i="22"/>
  <c r="R166" i="22"/>
  <c r="Q166" i="22"/>
  <c r="P166" i="22"/>
  <c r="O166" i="22"/>
  <c r="N166" i="22"/>
  <c r="M166" i="22"/>
  <c r="L166" i="22"/>
  <c r="K166" i="22"/>
  <c r="J166" i="22"/>
  <c r="I166" i="22"/>
  <c r="H166" i="22"/>
  <c r="G166" i="22"/>
  <c r="F166" i="22"/>
  <c r="E166" i="22"/>
  <c r="D166" i="22"/>
  <c r="C166" i="22"/>
  <c r="R165" i="22"/>
  <c r="Q165" i="22"/>
  <c r="P165" i="22"/>
  <c r="O165" i="22"/>
  <c r="N165" i="22"/>
  <c r="M165" i="22"/>
  <c r="L165" i="22"/>
  <c r="K165" i="22"/>
  <c r="J165" i="22"/>
  <c r="I165" i="22"/>
  <c r="H165" i="22"/>
  <c r="G165" i="22"/>
  <c r="F165" i="22"/>
  <c r="E165" i="22"/>
  <c r="D165" i="22"/>
  <c r="C165" i="22"/>
  <c r="R164" i="22"/>
  <c r="Q164" i="22"/>
  <c r="P164" i="22"/>
  <c r="O164" i="22"/>
  <c r="N164" i="22"/>
  <c r="M164" i="22"/>
  <c r="L164" i="22"/>
  <c r="K164" i="22"/>
  <c r="J164" i="22"/>
  <c r="I164" i="22"/>
  <c r="H164" i="22"/>
  <c r="G164" i="22"/>
  <c r="F164" i="22"/>
  <c r="E164" i="22"/>
  <c r="D164" i="22"/>
  <c r="C164" i="22"/>
  <c r="R163" i="22"/>
  <c r="Q163" i="22"/>
  <c r="P163" i="22"/>
  <c r="O163" i="22"/>
  <c r="N163" i="22"/>
  <c r="M163" i="22"/>
  <c r="L163" i="22"/>
  <c r="K163" i="22"/>
  <c r="J163" i="22"/>
  <c r="I163" i="22"/>
  <c r="H163" i="22"/>
  <c r="G163" i="22"/>
  <c r="F163" i="22"/>
  <c r="E163" i="22"/>
  <c r="D163" i="22"/>
  <c r="C163" i="22"/>
  <c r="R162" i="22"/>
  <c r="Q162" i="22"/>
  <c r="P162" i="22"/>
  <c r="O162" i="22"/>
  <c r="N162" i="22"/>
  <c r="M162" i="22"/>
  <c r="L162" i="22"/>
  <c r="K162" i="22"/>
  <c r="J162" i="22"/>
  <c r="I162" i="22"/>
  <c r="H162" i="22"/>
  <c r="G162" i="22"/>
  <c r="F162" i="22"/>
  <c r="E162" i="22"/>
  <c r="D162" i="22"/>
  <c r="C162" i="22"/>
  <c r="R161" i="22"/>
  <c r="Q161" i="22"/>
  <c r="P161" i="22"/>
  <c r="O161" i="22"/>
  <c r="N161" i="22"/>
  <c r="M161" i="22"/>
  <c r="L161" i="22"/>
  <c r="K161" i="22"/>
  <c r="J161" i="22"/>
  <c r="I161" i="22"/>
  <c r="H161" i="22"/>
  <c r="G161" i="22"/>
  <c r="F161" i="22"/>
  <c r="E161" i="22"/>
  <c r="D161" i="22"/>
  <c r="C161" i="22"/>
  <c r="R160" i="22"/>
  <c r="Q160" i="22"/>
  <c r="P160" i="22"/>
  <c r="O160" i="22"/>
  <c r="N160" i="22"/>
  <c r="M160" i="22"/>
  <c r="L160" i="22"/>
  <c r="K160" i="22"/>
  <c r="J160" i="22"/>
  <c r="I160" i="22"/>
  <c r="H160" i="22"/>
  <c r="G160" i="22"/>
  <c r="F160" i="22"/>
  <c r="E160" i="22"/>
  <c r="D160" i="22"/>
  <c r="C160" i="22"/>
  <c r="R159" i="22"/>
  <c r="Q159" i="22"/>
  <c r="P159" i="22"/>
  <c r="O159" i="22"/>
  <c r="N159" i="22"/>
  <c r="M159" i="22"/>
  <c r="L159" i="22"/>
  <c r="K159" i="22"/>
  <c r="J159" i="22"/>
  <c r="I159" i="22"/>
  <c r="H159" i="22"/>
  <c r="G159" i="22"/>
  <c r="F159" i="22"/>
  <c r="E159" i="22"/>
  <c r="D159" i="22"/>
  <c r="C159" i="22"/>
  <c r="R158" i="22"/>
  <c r="Q158" i="22"/>
  <c r="P158" i="22"/>
  <c r="O158" i="22"/>
  <c r="N158" i="22"/>
  <c r="M158" i="22"/>
  <c r="L158" i="22"/>
  <c r="K158" i="22"/>
  <c r="J158" i="22"/>
  <c r="I158" i="22"/>
  <c r="H158" i="22"/>
  <c r="G158" i="22"/>
  <c r="F158" i="22"/>
  <c r="E158" i="22"/>
  <c r="D158" i="22"/>
  <c r="C158" i="22"/>
  <c r="R157" i="22"/>
  <c r="Q157" i="22"/>
  <c r="P157" i="22"/>
  <c r="O157" i="22"/>
  <c r="N157" i="22"/>
  <c r="M157" i="22"/>
  <c r="L157" i="22"/>
  <c r="K157" i="22"/>
  <c r="J157" i="22"/>
  <c r="I157" i="22"/>
  <c r="H157" i="22"/>
  <c r="G157" i="22"/>
  <c r="F157" i="22"/>
  <c r="E157" i="22"/>
  <c r="D157" i="22"/>
  <c r="C157" i="22"/>
  <c r="R156" i="22"/>
  <c r="Q156" i="22"/>
  <c r="P156" i="22"/>
  <c r="O156" i="22"/>
  <c r="N156" i="22"/>
  <c r="M156" i="22"/>
  <c r="L156" i="22"/>
  <c r="K156" i="22"/>
  <c r="J156" i="22"/>
  <c r="I156" i="22"/>
  <c r="H156" i="22"/>
  <c r="G156" i="22"/>
  <c r="F156" i="22"/>
  <c r="E156" i="22"/>
  <c r="D156" i="22"/>
  <c r="C156" i="22"/>
  <c r="R155" i="22"/>
  <c r="Q155" i="22"/>
  <c r="P155" i="22"/>
  <c r="O155" i="22"/>
  <c r="N155" i="22"/>
  <c r="M155" i="22"/>
  <c r="L155" i="22"/>
  <c r="K155" i="22"/>
  <c r="J155" i="22"/>
  <c r="I155" i="22"/>
  <c r="H155" i="22"/>
  <c r="G155" i="22"/>
  <c r="F155" i="22"/>
  <c r="E155" i="22"/>
  <c r="D155" i="22"/>
  <c r="C155" i="22"/>
  <c r="R154" i="22"/>
  <c r="Q154" i="22"/>
  <c r="P154" i="22"/>
  <c r="O154" i="22"/>
  <c r="N154" i="22"/>
  <c r="M154" i="22"/>
  <c r="L154" i="22"/>
  <c r="K154" i="22"/>
  <c r="J154" i="22"/>
  <c r="I154" i="22"/>
  <c r="H154" i="22"/>
  <c r="G154" i="22"/>
  <c r="F154" i="22"/>
  <c r="E154" i="22"/>
  <c r="D154" i="22"/>
  <c r="C154" i="22"/>
  <c r="R153" i="22"/>
  <c r="Q153" i="22"/>
  <c r="P153" i="22"/>
  <c r="O153" i="22"/>
  <c r="N153" i="22"/>
  <c r="M153" i="22"/>
  <c r="L153" i="22"/>
  <c r="K153" i="22"/>
  <c r="J153" i="22"/>
  <c r="I153" i="22"/>
  <c r="H153" i="22"/>
  <c r="G153" i="22"/>
  <c r="F153" i="22"/>
  <c r="E153" i="22"/>
  <c r="D153" i="22"/>
  <c r="C153" i="22"/>
  <c r="R152" i="22"/>
  <c r="Q152" i="22"/>
  <c r="P152" i="22"/>
  <c r="O152" i="22"/>
  <c r="N152" i="22"/>
  <c r="M152" i="22"/>
  <c r="L152" i="22"/>
  <c r="K152" i="22"/>
  <c r="J152" i="22"/>
  <c r="I152" i="22"/>
  <c r="H152" i="22"/>
  <c r="G152" i="22"/>
  <c r="F152" i="22"/>
  <c r="E152" i="22"/>
  <c r="D152" i="22"/>
  <c r="C152" i="22"/>
  <c r="R151" i="22"/>
  <c r="Q151" i="22"/>
  <c r="P151" i="22"/>
  <c r="O151" i="22"/>
  <c r="N151" i="22"/>
  <c r="M151" i="22"/>
  <c r="L151" i="22"/>
  <c r="K151" i="22"/>
  <c r="J151" i="22"/>
  <c r="I151" i="22"/>
  <c r="H151" i="22"/>
  <c r="G151" i="22"/>
  <c r="F151" i="22"/>
  <c r="E151" i="22"/>
  <c r="D151" i="22"/>
  <c r="C151" i="22"/>
  <c r="R150" i="22"/>
  <c r="Q150" i="22"/>
  <c r="P150" i="22"/>
  <c r="O150" i="22"/>
  <c r="N150" i="22"/>
  <c r="M150" i="22"/>
  <c r="L150" i="22"/>
  <c r="K150" i="22"/>
  <c r="J150" i="22"/>
  <c r="I150" i="22"/>
  <c r="H150" i="22"/>
  <c r="G150" i="22"/>
  <c r="F150" i="22"/>
  <c r="E150" i="22"/>
  <c r="D150" i="22"/>
  <c r="C150" i="22"/>
  <c r="R149" i="22"/>
  <c r="Q149" i="22"/>
  <c r="P149" i="22"/>
  <c r="O149" i="22"/>
  <c r="N149" i="22"/>
  <c r="M149" i="22"/>
  <c r="L149" i="22"/>
  <c r="K149" i="22"/>
  <c r="J149" i="22"/>
  <c r="I149" i="22"/>
  <c r="H149" i="22"/>
  <c r="G149" i="22"/>
  <c r="F149" i="22"/>
  <c r="E149" i="22"/>
  <c r="D149" i="22"/>
  <c r="C149" i="22"/>
  <c r="R148" i="22"/>
  <c r="Q148" i="22"/>
  <c r="P148" i="22"/>
  <c r="O148" i="22"/>
  <c r="N148" i="22"/>
  <c r="M148" i="22"/>
  <c r="L148" i="22"/>
  <c r="K148" i="22"/>
  <c r="J148" i="22"/>
  <c r="I148" i="22"/>
  <c r="H148" i="22"/>
  <c r="G148" i="22"/>
  <c r="F148" i="22"/>
  <c r="E148" i="22"/>
  <c r="D148" i="22"/>
  <c r="C148" i="22"/>
  <c r="R147" i="22"/>
  <c r="Q147" i="22"/>
  <c r="P147" i="22"/>
  <c r="O147" i="22"/>
  <c r="N147" i="22"/>
  <c r="M147" i="22"/>
  <c r="L147" i="22"/>
  <c r="K147" i="22"/>
  <c r="J147" i="22"/>
  <c r="I147" i="22"/>
  <c r="H147" i="22"/>
  <c r="G147" i="22"/>
  <c r="F147" i="22"/>
  <c r="E147" i="22"/>
  <c r="D147" i="22"/>
  <c r="C147" i="22"/>
  <c r="R146" i="22"/>
  <c r="Q146" i="22"/>
  <c r="P146" i="22"/>
  <c r="O146" i="22"/>
  <c r="N146" i="22"/>
  <c r="M146" i="22"/>
  <c r="L146" i="22"/>
  <c r="K146" i="22"/>
  <c r="J146" i="22"/>
  <c r="I146" i="22"/>
  <c r="H146" i="22"/>
  <c r="G146" i="22"/>
  <c r="F146" i="22"/>
  <c r="E146" i="22"/>
  <c r="D146" i="22"/>
  <c r="C146" i="22"/>
  <c r="R145" i="22"/>
  <c r="Q145" i="22"/>
  <c r="P145" i="22"/>
  <c r="O145" i="22"/>
  <c r="N145" i="22"/>
  <c r="M145" i="22"/>
  <c r="L145" i="22"/>
  <c r="K145" i="22"/>
  <c r="J145" i="22"/>
  <c r="I145" i="22"/>
  <c r="H145" i="22"/>
  <c r="G145" i="22"/>
  <c r="F145" i="22"/>
  <c r="E145" i="22"/>
  <c r="D145" i="22"/>
  <c r="C145" i="22"/>
  <c r="R144" i="22"/>
  <c r="Q144" i="22"/>
  <c r="P144" i="22"/>
  <c r="O144" i="22"/>
  <c r="N144" i="22"/>
  <c r="M144" i="22"/>
  <c r="L144" i="22"/>
  <c r="K144" i="22"/>
  <c r="J144" i="22"/>
  <c r="I144" i="22"/>
  <c r="H144" i="22"/>
  <c r="G144" i="22"/>
  <c r="F144" i="22"/>
  <c r="E144" i="22"/>
  <c r="D144" i="22"/>
  <c r="C144" i="22"/>
  <c r="R143" i="22"/>
  <c r="Q143" i="22"/>
  <c r="P143" i="22"/>
  <c r="O143" i="22"/>
  <c r="N143" i="22"/>
  <c r="M143" i="22"/>
  <c r="L143" i="22"/>
  <c r="K143" i="22"/>
  <c r="J143" i="22"/>
  <c r="I143" i="22"/>
  <c r="H143" i="22"/>
  <c r="G143" i="22"/>
  <c r="F143" i="22"/>
  <c r="E143" i="22"/>
  <c r="D143" i="22"/>
  <c r="C143" i="22"/>
  <c r="R142" i="22"/>
  <c r="Q142" i="22"/>
  <c r="P142" i="22"/>
  <c r="O142" i="22"/>
  <c r="N142" i="22"/>
  <c r="M142" i="22"/>
  <c r="L142" i="22"/>
  <c r="K142" i="22"/>
  <c r="J142" i="22"/>
  <c r="I142" i="22"/>
  <c r="H142" i="22"/>
  <c r="G142" i="22"/>
  <c r="F142" i="22"/>
  <c r="E142" i="22"/>
  <c r="D142" i="22"/>
  <c r="C142" i="22"/>
  <c r="R141" i="22"/>
  <c r="Q141" i="22"/>
  <c r="P141" i="22"/>
  <c r="O141" i="22"/>
  <c r="N141" i="22"/>
  <c r="M141" i="22"/>
  <c r="L141" i="22"/>
  <c r="K141" i="22"/>
  <c r="J141" i="22"/>
  <c r="I141" i="22"/>
  <c r="H141" i="22"/>
  <c r="G141" i="22"/>
  <c r="F141" i="22"/>
  <c r="E141" i="22"/>
  <c r="D141" i="22"/>
  <c r="C141" i="22"/>
  <c r="R140" i="22"/>
  <c r="Q140" i="22"/>
  <c r="P140" i="22"/>
  <c r="O140" i="22"/>
  <c r="N140" i="22"/>
  <c r="M140" i="22"/>
  <c r="L140" i="22"/>
  <c r="K140" i="22"/>
  <c r="J140" i="22"/>
  <c r="I140" i="22"/>
  <c r="H140" i="22"/>
  <c r="G140" i="22"/>
  <c r="F140" i="22"/>
  <c r="E140" i="22"/>
  <c r="D140" i="22"/>
  <c r="C140" i="22"/>
  <c r="R139" i="22"/>
  <c r="Q139" i="22"/>
  <c r="P139" i="22"/>
  <c r="O139" i="22"/>
  <c r="N139" i="22"/>
  <c r="M139" i="22"/>
  <c r="L139" i="22"/>
  <c r="K139" i="22"/>
  <c r="J139" i="22"/>
  <c r="I139" i="22"/>
  <c r="H139" i="22"/>
  <c r="G139" i="22"/>
  <c r="F139" i="22"/>
  <c r="E139" i="22"/>
  <c r="D139" i="22"/>
  <c r="C139" i="22"/>
  <c r="R138" i="22"/>
  <c r="Q138" i="22"/>
  <c r="P138" i="22"/>
  <c r="O138" i="22"/>
  <c r="N138" i="22"/>
  <c r="M138" i="22"/>
  <c r="L138" i="22"/>
  <c r="K138" i="22"/>
  <c r="J138" i="22"/>
  <c r="I138" i="22"/>
  <c r="H138" i="22"/>
  <c r="G138" i="22"/>
  <c r="F138" i="22"/>
  <c r="E138" i="22"/>
  <c r="D138" i="22"/>
  <c r="C138" i="22"/>
  <c r="R137" i="22"/>
  <c r="Q137" i="22"/>
  <c r="P137" i="22"/>
  <c r="O137" i="22"/>
  <c r="N137" i="22"/>
  <c r="M137" i="22"/>
  <c r="L137" i="22"/>
  <c r="K137" i="22"/>
  <c r="J137" i="22"/>
  <c r="I137" i="22"/>
  <c r="H137" i="22"/>
  <c r="G137" i="22"/>
  <c r="F137" i="22"/>
  <c r="E137" i="22"/>
  <c r="D137" i="22"/>
  <c r="C137" i="22"/>
  <c r="R136" i="22"/>
  <c r="Q136" i="22"/>
  <c r="P136" i="22"/>
  <c r="O136" i="22"/>
  <c r="N136" i="22"/>
  <c r="M136" i="22"/>
  <c r="L136" i="22"/>
  <c r="K136" i="22"/>
  <c r="J136" i="22"/>
  <c r="I136" i="22"/>
  <c r="H136" i="22"/>
  <c r="G136" i="22"/>
  <c r="F136" i="22"/>
  <c r="E136" i="22"/>
  <c r="D136" i="22"/>
  <c r="C136" i="22"/>
  <c r="R135" i="22"/>
  <c r="Q135" i="22"/>
  <c r="P135" i="22"/>
  <c r="O135" i="22"/>
  <c r="N135" i="22"/>
  <c r="M135" i="22"/>
  <c r="L135" i="22"/>
  <c r="K135" i="22"/>
  <c r="J135" i="22"/>
  <c r="I135" i="22"/>
  <c r="H135" i="22"/>
  <c r="G135" i="22"/>
  <c r="F135" i="22"/>
  <c r="E135" i="22"/>
  <c r="D135" i="22"/>
  <c r="C135" i="22"/>
  <c r="R134" i="22"/>
  <c r="Q134" i="22"/>
  <c r="P134" i="22"/>
  <c r="O134" i="22"/>
  <c r="N134" i="22"/>
  <c r="M134" i="22"/>
  <c r="L134" i="22"/>
  <c r="K134" i="22"/>
  <c r="J134" i="22"/>
  <c r="I134" i="22"/>
  <c r="H134" i="22"/>
  <c r="G134" i="22"/>
  <c r="F134" i="22"/>
  <c r="E134" i="22"/>
  <c r="D134" i="22"/>
  <c r="C134" i="22"/>
  <c r="R133" i="22"/>
  <c r="Q133" i="22"/>
  <c r="P133" i="22"/>
  <c r="O133" i="22"/>
  <c r="N133" i="22"/>
  <c r="M133" i="22"/>
  <c r="L133" i="22"/>
  <c r="K133" i="22"/>
  <c r="J133" i="22"/>
  <c r="I133" i="22"/>
  <c r="H133" i="22"/>
  <c r="G133" i="22"/>
  <c r="F133" i="22"/>
  <c r="E133" i="22"/>
  <c r="D133" i="22"/>
  <c r="C133" i="22"/>
  <c r="R132" i="22"/>
  <c r="Q132" i="22"/>
  <c r="P132" i="22"/>
  <c r="O132" i="22"/>
  <c r="N132" i="22"/>
  <c r="M132" i="22"/>
  <c r="L132" i="22"/>
  <c r="K132" i="22"/>
  <c r="J132" i="22"/>
  <c r="I132" i="22"/>
  <c r="H132" i="22"/>
  <c r="G132" i="22"/>
  <c r="F132" i="22"/>
  <c r="E132" i="22"/>
  <c r="D132" i="22"/>
  <c r="C132" i="22"/>
  <c r="R131" i="22"/>
  <c r="Q131" i="22"/>
  <c r="P131" i="22"/>
  <c r="O131" i="22"/>
  <c r="N131" i="22"/>
  <c r="M131" i="22"/>
  <c r="L131" i="22"/>
  <c r="K131" i="22"/>
  <c r="J131" i="22"/>
  <c r="I131" i="22"/>
  <c r="H131" i="22"/>
  <c r="G131" i="22"/>
  <c r="F131" i="22"/>
  <c r="E131" i="22"/>
  <c r="D131" i="22"/>
  <c r="C131" i="22"/>
  <c r="R130" i="22"/>
  <c r="Q130" i="22"/>
  <c r="P130" i="22"/>
  <c r="O130" i="22"/>
  <c r="N130" i="22"/>
  <c r="M130" i="22"/>
  <c r="L130" i="22"/>
  <c r="K130" i="22"/>
  <c r="J130" i="22"/>
  <c r="I130" i="22"/>
  <c r="H130" i="22"/>
  <c r="G130" i="22"/>
  <c r="F130" i="22"/>
  <c r="E130" i="22"/>
  <c r="D130" i="22"/>
  <c r="C130" i="22"/>
  <c r="R129" i="22"/>
  <c r="Q129" i="22"/>
  <c r="P129" i="22"/>
  <c r="O129" i="22"/>
  <c r="N129" i="22"/>
  <c r="M129" i="22"/>
  <c r="L129" i="22"/>
  <c r="K129" i="22"/>
  <c r="J129" i="22"/>
  <c r="I129" i="22"/>
  <c r="H129" i="22"/>
  <c r="G129" i="22"/>
  <c r="F129" i="22"/>
  <c r="E129" i="22"/>
  <c r="D129" i="22"/>
  <c r="C129" i="22"/>
  <c r="R128" i="22"/>
  <c r="Q128" i="22"/>
  <c r="P128" i="22"/>
  <c r="O128" i="22"/>
  <c r="N128" i="22"/>
  <c r="M128" i="22"/>
  <c r="L128" i="22"/>
  <c r="K128" i="22"/>
  <c r="J128" i="22"/>
  <c r="I128" i="22"/>
  <c r="H128" i="22"/>
  <c r="G128" i="22"/>
  <c r="F128" i="22"/>
  <c r="E128" i="22"/>
  <c r="D128" i="22"/>
  <c r="C128" i="22"/>
  <c r="R127" i="22"/>
  <c r="Q127" i="22"/>
  <c r="P127" i="22"/>
  <c r="O127" i="22"/>
  <c r="N127" i="22"/>
  <c r="M127" i="22"/>
  <c r="L127" i="22"/>
  <c r="K127" i="22"/>
  <c r="J127" i="22"/>
  <c r="I127" i="22"/>
  <c r="H127" i="22"/>
  <c r="G127" i="22"/>
  <c r="F127" i="22"/>
  <c r="E127" i="22"/>
  <c r="D127" i="22"/>
  <c r="C127" i="22"/>
  <c r="R126" i="22"/>
  <c r="Q126" i="22"/>
  <c r="P126" i="22"/>
  <c r="O126" i="22"/>
  <c r="N126" i="22"/>
  <c r="M126" i="22"/>
  <c r="L126" i="22"/>
  <c r="K126" i="22"/>
  <c r="J126" i="22"/>
  <c r="I126" i="22"/>
  <c r="H126" i="22"/>
  <c r="G126" i="22"/>
  <c r="F126" i="22"/>
  <c r="E126" i="22"/>
  <c r="D126" i="22"/>
  <c r="C126" i="22"/>
  <c r="R125" i="22"/>
  <c r="Q125" i="22"/>
  <c r="P125" i="22"/>
  <c r="O125" i="22"/>
  <c r="N125" i="22"/>
  <c r="M125" i="22"/>
  <c r="L125" i="22"/>
  <c r="K125" i="22"/>
  <c r="J125" i="22"/>
  <c r="I125" i="22"/>
  <c r="H125" i="22"/>
  <c r="G125" i="22"/>
  <c r="F125" i="22"/>
  <c r="E125" i="22"/>
  <c r="D125" i="22"/>
  <c r="C125" i="22"/>
  <c r="R124" i="22"/>
  <c r="Q124" i="22"/>
  <c r="P124" i="22"/>
  <c r="O124" i="22"/>
  <c r="N124" i="22"/>
  <c r="M124" i="22"/>
  <c r="L124" i="22"/>
  <c r="K124" i="22"/>
  <c r="J124" i="22"/>
  <c r="I124" i="22"/>
  <c r="H124" i="22"/>
  <c r="G124" i="22"/>
  <c r="F124" i="22"/>
  <c r="E124" i="22"/>
  <c r="D124" i="22"/>
  <c r="C124" i="22"/>
  <c r="R123" i="22"/>
  <c r="Q123" i="22"/>
  <c r="P123" i="22"/>
  <c r="O123" i="22"/>
  <c r="N123" i="22"/>
  <c r="M123" i="22"/>
  <c r="L123" i="22"/>
  <c r="K123" i="22"/>
  <c r="J123" i="22"/>
  <c r="I123" i="22"/>
  <c r="H123" i="22"/>
  <c r="G123" i="22"/>
  <c r="F123" i="22"/>
  <c r="E123" i="22"/>
  <c r="D123" i="22"/>
  <c r="C123" i="22"/>
  <c r="R122" i="22"/>
  <c r="Q122" i="22"/>
  <c r="P122" i="22"/>
  <c r="O122" i="22"/>
  <c r="N122" i="22"/>
  <c r="M122" i="22"/>
  <c r="L122" i="22"/>
  <c r="K122" i="22"/>
  <c r="J122" i="22"/>
  <c r="I122" i="22"/>
  <c r="H122" i="22"/>
  <c r="G122" i="22"/>
  <c r="F122" i="22"/>
  <c r="E122" i="22"/>
  <c r="D122" i="22"/>
  <c r="C122" i="22"/>
  <c r="R121" i="22"/>
  <c r="Q121" i="22"/>
  <c r="P121" i="22"/>
  <c r="O121" i="22"/>
  <c r="N121" i="22"/>
  <c r="M121" i="22"/>
  <c r="L121" i="22"/>
  <c r="K121" i="22"/>
  <c r="J121" i="22"/>
  <c r="I121" i="22"/>
  <c r="H121" i="22"/>
  <c r="G121" i="22"/>
  <c r="F121" i="22"/>
  <c r="E121" i="22"/>
  <c r="D121" i="22"/>
  <c r="C121" i="22"/>
  <c r="R120" i="22"/>
  <c r="Q120" i="22"/>
  <c r="P120" i="22"/>
  <c r="O120" i="22"/>
  <c r="N120" i="22"/>
  <c r="M120" i="22"/>
  <c r="L120" i="22"/>
  <c r="K120" i="22"/>
  <c r="J120" i="22"/>
  <c r="I120" i="22"/>
  <c r="H120" i="22"/>
  <c r="G120" i="22"/>
  <c r="F120" i="22"/>
  <c r="E120" i="22"/>
  <c r="D120" i="22"/>
  <c r="C120" i="22"/>
  <c r="R119" i="22"/>
  <c r="Q119" i="22"/>
  <c r="P119" i="22"/>
  <c r="O119" i="22"/>
  <c r="N119" i="22"/>
  <c r="M119" i="22"/>
  <c r="L119" i="22"/>
  <c r="K119" i="22"/>
  <c r="J119" i="22"/>
  <c r="I119" i="22"/>
  <c r="H119" i="22"/>
  <c r="G119" i="22"/>
  <c r="F119" i="22"/>
  <c r="E119" i="22"/>
  <c r="D119" i="22"/>
  <c r="C119" i="22"/>
  <c r="R118" i="22"/>
  <c r="Q118" i="22"/>
  <c r="P118" i="22"/>
  <c r="O118" i="22"/>
  <c r="N118" i="22"/>
  <c r="M118" i="22"/>
  <c r="L118" i="22"/>
  <c r="K118" i="22"/>
  <c r="J118" i="22"/>
  <c r="I118" i="22"/>
  <c r="H118" i="22"/>
  <c r="G118" i="22"/>
  <c r="F118" i="22"/>
  <c r="E118" i="22"/>
  <c r="D118" i="22"/>
  <c r="C118" i="22"/>
  <c r="R117" i="22"/>
  <c r="Q117" i="22"/>
  <c r="P117" i="22"/>
  <c r="O117" i="22"/>
  <c r="N117" i="22"/>
  <c r="M117" i="22"/>
  <c r="L117" i="22"/>
  <c r="K117" i="22"/>
  <c r="J117" i="22"/>
  <c r="I117" i="22"/>
  <c r="H117" i="22"/>
  <c r="G117" i="22"/>
  <c r="F117" i="22"/>
  <c r="E117" i="22"/>
  <c r="D117" i="22"/>
  <c r="C117" i="22"/>
  <c r="R116" i="22"/>
  <c r="Q116" i="22"/>
  <c r="P116" i="22"/>
  <c r="O116" i="22"/>
  <c r="N116" i="22"/>
  <c r="M116" i="22"/>
  <c r="L116" i="22"/>
  <c r="K116" i="22"/>
  <c r="J116" i="22"/>
  <c r="I116" i="22"/>
  <c r="H116" i="22"/>
  <c r="G116" i="22"/>
  <c r="F116" i="22"/>
  <c r="E116" i="22"/>
  <c r="D116" i="22"/>
  <c r="C116" i="22"/>
  <c r="R115" i="22"/>
  <c r="Q115" i="22"/>
  <c r="P115" i="22"/>
  <c r="O115" i="22"/>
  <c r="N115" i="22"/>
  <c r="M115" i="22"/>
  <c r="L115" i="22"/>
  <c r="K115" i="22"/>
  <c r="J115" i="22"/>
  <c r="I115" i="22"/>
  <c r="H115" i="22"/>
  <c r="G115" i="22"/>
  <c r="F115" i="22"/>
  <c r="E115" i="22"/>
  <c r="D115" i="22"/>
  <c r="C115" i="22"/>
  <c r="R114" i="22"/>
  <c r="Q114" i="22"/>
  <c r="P114" i="22"/>
  <c r="O114" i="22"/>
  <c r="N114" i="22"/>
  <c r="M114" i="22"/>
  <c r="L114" i="22"/>
  <c r="K114" i="22"/>
  <c r="J114" i="22"/>
  <c r="I114" i="22"/>
  <c r="H114" i="22"/>
  <c r="G114" i="22"/>
  <c r="F114" i="22"/>
  <c r="E114" i="22"/>
  <c r="D114" i="22"/>
  <c r="C114" i="22"/>
  <c r="R113" i="22"/>
  <c r="Q113" i="22"/>
  <c r="P113" i="22"/>
  <c r="O113" i="22"/>
  <c r="N113" i="22"/>
  <c r="M113" i="22"/>
  <c r="L113" i="22"/>
  <c r="K113" i="22"/>
  <c r="J113" i="22"/>
  <c r="I113" i="22"/>
  <c r="H113" i="22"/>
  <c r="G113" i="22"/>
  <c r="F113" i="22"/>
  <c r="E113" i="22"/>
  <c r="D113" i="22"/>
  <c r="C113" i="22"/>
  <c r="R112" i="22"/>
  <c r="Q112" i="22"/>
  <c r="P112" i="22"/>
  <c r="O112" i="22"/>
  <c r="N112" i="22"/>
  <c r="M112" i="22"/>
  <c r="L112" i="22"/>
  <c r="K112" i="22"/>
  <c r="J112" i="22"/>
  <c r="I112" i="22"/>
  <c r="H112" i="22"/>
  <c r="G112" i="22"/>
  <c r="F112" i="22"/>
  <c r="E112" i="22"/>
  <c r="D112" i="22"/>
  <c r="C112" i="22"/>
  <c r="R111" i="22"/>
  <c r="Q111" i="22"/>
  <c r="P111" i="22"/>
  <c r="O111" i="22"/>
  <c r="N111" i="22"/>
  <c r="M111" i="22"/>
  <c r="L111" i="22"/>
  <c r="K111" i="22"/>
  <c r="J111" i="22"/>
  <c r="I111" i="22"/>
  <c r="H111" i="22"/>
  <c r="G111" i="22"/>
  <c r="F111" i="22"/>
  <c r="E111" i="22"/>
  <c r="D111" i="22"/>
  <c r="C111" i="22"/>
  <c r="R110" i="22"/>
  <c r="Q110" i="22"/>
  <c r="P110" i="22"/>
  <c r="O110" i="22"/>
  <c r="N110" i="22"/>
  <c r="M110" i="22"/>
  <c r="L110" i="22"/>
  <c r="K110" i="22"/>
  <c r="J110" i="22"/>
  <c r="I110" i="22"/>
  <c r="H110" i="22"/>
  <c r="G110" i="22"/>
  <c r="F110" i="22"/>
  <c r="E110" i="22"/>
  <c r="D110" i="22"/>
  <c r="C110" i="22"/>
  <c r="R109" i="22"/>
  <c r="Q109" i="22"/>
  <c r="P109" i="22"/>
  <c r="O109" i="22"/>
  <c r="N109" i="22"/>
  <c r="M109" i="22"/>
  <c r="L109" i="22"/>
  <c r="K109" i="22"/>
  <c r="J109" i="22"/>
  <c r="I109" i="22"/>
  <c r="H109" i="22"/>
  <c r="G109" i="22"/>
  <c r="F109" i="22"/>
  <c r="E109" i="22"/>
  <c r="D109" i="22"/>
  <c r="C109" i="22"/>
  <c r="R108" i="22"/>
  <c r="Q108" i="22"/>
  <c r="P108" i="22"/>
  <c r="O108" i="22"/>
  <c r="N108" i="22"/>
  <c r="M108" i="22"/>
  <c r="L108" i="22"/>
  <c r="K108" i="22"/>
  <c r="J108" i="22"/>
  <c r="I108" i="22"/>
  <c r="H108" i="22"/>
  <c r="G108" i="22"/>
  <c r="F108" i="22"/>
  <c r="E108" i="22"/>
  <c r="D108" i="22"/>
  <c r="C108" i="22"/>
  <c r="R107" i="22"/>
  <c r="Q107" i="22"/>
  <c r="P107" i="22"/>
  <c r="O107" i="22"/>
  <c r="N107" i="22"/>
  <c r="M107" i="22"/>
  <c r="L107" i="22"/>
  <c r="K107" i="22"/>
  <c r="J107" i="22"/>
  <c r="I107" i="22"/>
  <c r="H107" i="22"/>
  <c r="G107" i="22"/>
  <c r="F107" i="22"/>
  <c r="E107" i="22"/>
  <c r="D107" i="22"/>
  <c r="C107" i="22"/>
  <c r="R106" i="22"/>
  <c r="Q106" i="22"/>
  <c r="P106" i="22"/>
  <c r="O106" i="22"/>
  <c r="N106" i="22"/>
  <c r="M106" i="22"/>
  <c r="L106" i="22"/>
  <c r="K106" i="22"/>
  <c r="J106" i="22"/>
  <c r="I106" i="22"/>
  <c r="H106" i="22"/>
  <c r="G106" i="22"/>
  <c r="F106" i="22"/>
  <c r="E106" i="22"/>
  <c r="D106" i="22"/>
  <c r="C106" i="22"/>
  <c r="R105" i="22"/>
  <c r="Q105" i="22"/>
  <c r="P105" i="22"/>
  <c r="O105" i="22"/>
  <c r="N105" i="22"/>
  <c r="M105" i="22"/>
  <c r="L105" i="22"/>
  <c r="K105" i="22"/>
  <c r="J105" i="22"/>
  <c r="I105" i="22"/>
  <c r="H105" i="22"/>
  <c r="G105" i="22"/>
  <c r="F105" i="22"/>
  <c r="E105" i="22"/>
  <c r="D105" i="22"/>
  <c r="C105" i="22"/>
  <c r="R104" i="22"/>
  <c r="Q104" i="22"/>
  <c r="P104" i="22"/>
  <c r="O104" i="22"/>
  <c r="N104" i="22"/>
  <c r="M104" i="22"/>
  <c r="L104" i="22"/>
  <c r="K104" i="22"/>
  <c r="J104" i="22"/>
  <c r="I104" i="22"/>
  <c r="H104" i="22"/>
  <c r="G104" i="22"/>
  <c r="F104" i="22"/>
  <c r="E104" i="22"/>
  <c r="D104" i="22"/>
  <c r="C104" i="22"/>
  <c r="R103" i="22"/>
  <c r="Q103" i="22"/>
  <c r="P103" i="22"/>
  <c r="O103" i="22"/>
  <c r="N103" i="22"/>
  <c r="M103" i="22"/>
  <c r="L103" i="22"/>
  <c r="K103" i="22"/>
  <c r="J103" i="22"/>
  <c r="I103" i="22"/>
  <c r="H103" i="22"/>
  <c r="G103" i="22"/>
  <c r="F103" i="22"/>
  <c r="E103" i="22"/>
  <c r="D103" i="22"/>
  <c r="C103" i="22"/>
  <c r="R102" i="22"/>
  <c r="Q102" i="22"/>
  <c r="P102" i="22"/>
  <c r="O102" i="22"/>
  <c r="N102" i="22"/>
  <c r="M102" i="22"/>
  <c r="L102" i="22"/>
  <c r="K102" i="22"/>
  <c r="J102" i="22"/>
  <c r="I102" i="22"/>
  <c r="H102" i="22"/>
  <c r="G102" i="22"/>
  <c r="F102" i="22"/>
  <c r="E102" i="22"/>
  <c r="D102" i="22"/>
  <c r="C102" i="22"/>
  <c r="R101" i="22"/>
  <c r="Q101" i="22"/>
  <c r="P101" i="22"/>
  <c r="O101" i="22"/>
  <c r="N101" i="22"/>
  <c r="M101" i="22"/>
  <c r="L101" i="22"/>
  <c r="K101" i="22"/>
  <c r="J101" i="22"/>
  <c r="I101" i="22"/>
  <c r="H101" i="22"/>
  <c r="G101" i="22"/>
  <c r="F101" i="22"/>
  <c r="E101" i="22"/>
  <c r="D101" i="22"/>
  <c r="C101" i="22"/>
  <c r="R100" i="22"/>
  <c r="Q100" i="22"/>
  <c r="P100" i="22"/>
  <c r="O100" i="22"/>
  <c r="N100" i="22"/>
  <c r="M100" i="22"/>
  <c r="L100" i="22"/>
  <c r="K100" i="22"/>
  <c r="J100" i="22"/>
  <c r="I100" i="22"/>
  <c r="H100" i="22"/>
  <c r="G100" i="22"/>
  <c r="F100" i="22"/>
  <c r="E100" i="22"/>
  <c r="D100" i="22"/>
  <c r="C100" i="22"/>
  <c r="R99" i="22"/>
  <c r="Q99" i="22"/>
  <c r="P99" i="22"/>
  <c r="O99" i="22"/>
  <c r="N99" i="22"/>
  <c r="M99" i="22"/>
  <c r="L99" i="22"/>
  <c r="K99" i="22"/>
  <c r="J99" i="22"/>
  <c r="I99" i="22"/>
  <c r="H99" i="22"/>
  <c r="G99" i="22"/>
  <c r="F99" i="22"/>
  <c r="E99" i="22"/>
  <c r="D99" i="22"/>
  <c r="C99" i="22"/>
  <c r="R98" i="22"/>
  <c r="Q98" i="22"/>
  <c r="P98" i="22"/>
  <c r="O98" i="22"/>
  <c r="N98" i="22"/>
  <c r="M98" i="22"/>
  <c r="L98" i="22"/>
  <c r="K98" i="22"/>
  <c r="J98" i="22"/>
  <c r="I98" i="22"/>
  <c r="H98" i="22"/>
  <c r="G98" i="22"/>
  <c r="F98" i="22"/>
  <c r="E98" i="22"/>
  <c r="D98" i="22"/>
  <c r="C98" i="22"/>
  <c r="R97" i="22"/>
  <c r="Q97" i="22"/>
  <c r="P97" i="22"/>
  <c r="O97" i="22"/>
  <c r="N97" i="22"/>
  <c r="M97" i="22"/>
  <c r="L97" i="22"/>
  <c r="K97" i="22"/>
  <c r="J97" i="22"/>
  <c r="I97" i="22"/>
  <c r="H97" i="22"/>
  <c r="G97" i="22"/>
  <c r="F97" i="22"/>
  <c r="E97" i="22"/>
  <c r="D97" i="22"/>
  <c r="C97" i="22"/>
  <c r="R96" i="22"/>
  <c r="Q96" i="22"/>
  <c r="P96" i="22"/>
  <c r="O96" i="22"/>
  <c r="N96" i="22"/>
  <c r="M96" i="22"/>
  <c r="L96" i="22"/>
  <c r="K96" i="22"/>
  <c r="J96" i="22"/>
  <c r="I96" i="22"/>
  <c r="H96" i="22"/>
  <c r="G96" i="22"/>
  <c r="F96" i="22"/>
  <c r="E96" i="22"/>
  <c r="D96" i="22"/>
  <c r="C96" i="22"/>
  <c r="R95" i="22"/>
  <c r="Q95" i="22"/>
  <c r="P95" i="22"/>
  <c r="O95" i="22"/>
  <c r="N95" i="22"/>
  <c r="M95" i="22"/>
  <c r="L95" i="22"/>
  <c r="K95" i="22"/>
  <c r="J95" i="22"/>
  <c r="I95" i="22"/>
  <c r="H95" i="22"/>
  <c r="G95" i="22"/>
  <c r="F95" i="22"/>
  <c r="E95" i="22"/>
  <c r="D95" i="22"/>
  <c r="C95" i="22"/>
  <c r="R94" i="22"/>
  <c r="Q94" i="22"/>
  <c r="P94" i="22"/>
  <c r="O94" i="22"/>
  <c r="N94" i="22"/>
  <c r="M94" i="22"/>
  <c r="L94" i="22"/>
  <c r="K94" i="22"/>
  <c r="J94" i="22"/>
  <c r="I94" i="22"/>
  <c r="H94" i="22"/>
  <c r="G94" i="22"/>
  <c r="F94" i="22"/>
  <c r="E94" i="22"/>
  <c r="D94" i="22"/>
  <c r="C94" i="22"/>
  <c r="R93" i="22"/>
  <c r="Q93" i="22"/>
  <c r="P93" i="22"/>
  <c r="O93" i="22"/>
  <c r="N93" i="22"/>
  <c r="M93" i="22"/>
  <c r="L93" i="22"/>
  <c r="K93" i="22"/>
  <c r="J93" i="22"/>
  <c r="I93" i="22"/>
  <c r="H93" i="22"/>
  <c r="G93" i="22"/>
  <c r="F93" i="22"/>
  <c r="E93" i="22"/>
  <c r="D93" i="22"/>
  <c r="C93" i="22"/>
  <c r="R92" i="22"/>
  <c r="Q92" i="22"/>
  <c r="P92" i="22"/>
  <c r="O92" i="22"/>
  <c r="N92" i="22"/>
  <c r="M92" i="22"/>
  <c r="L92" i="22"/>
  <c r="K92" i="22"/>
  <c r="J92" i="22"/>
  <c r="I92" i="22"/>
  <c r="H92" i="22"/>
  <c r="G92" i="22"/>
  <c r="F92" i="22"/>
  <c r="E92" i="22"/>
  <c r="D92" i="22"/>
  <c r="C92" i="22"/>
  <c r="R91" i="22"/>
  <c r="Q91" i="22"/>
  <c r="P91" i="22"/>
  <c r="O91" i="22"/>
  <c r="N91" i="22"/>
  <c r="M91" i="22"/>
  <c r="L91" i="22"/>
  <c r="K91" i="22"/>
  <c r="J91" i="22"/>
  <c r="I91" i="22"/>
  <c r="H91" i="22"/>
  <c r="G91" i="22"/>
  <c r="F91" i="22"/>
  <c r="E91" i="22"/>
  <c r="D91" i="22"/>
  <c r="C91" i="22"/>
  <c r="R90" i="22"/>
  <c r="Q90" i="22"/>
  <c r="P90" i="22"/>
  <c r="O90" i="22"/>
  <c r="N90" i="22"/>
  <c r="M90" i="22"/>
  <c r="L90" i="22"/>
  <c r="K90" i="22"/>
  <c r="J90" i="22"/>
  <c r="I90" i="22"/>
  <c r="H90" i="22"/>
  <c r="G90" i="22"/>
  <c r="F90" i="22"/>
  <c r="E90" i="22"/>
  <c r="D90" i="22"/>
  <c r="C90" i="22"/>
  <c r="R89" i="22"/>
  <c r="Q89" i="22"/>
  <c r="P89" i="22"/>
  <c r="O89" i="22"/>
  <c r="N89" i="22"/>
  <c r="M89" i="22"/>
  <c r="L89" i="22"/>
  <c r="K89" i="22"/>
  <c r="J89" i="22"/>
  <c r="I89" i="22"/>
  <c r="H89" i="22"/>
  <c r="G89" i="22"/>
  <c r="F89" i="22"/>
  <c r="E89" i="22"/>
  <c r="D89" i="22"/>
  <c r="C89" i="22"/>
  <c r="R88" i="22"/>
  <c r="Q88" i="22"/>
  <c r="P88" i="22"/>
  <c r="O88" i="22"/>
  <c r="N88" i="22"/>
  <c r="M88" i="22"/>
  <c r="L88" i="22"/>
  <c r="K88" i="22"/>
  <c r="J88" i="22"/>
  <c r="I88" i="22"/>
  <c r="H88" i="22"/>
  <c r="G88" i="22"/>
  <c r="F88" i="22"/>
  <c r="E88" i="22"/>
  <c r="D88" i="22"/>
  <c r="C88" i="22"/>
  <c r="R87" i="22"/>
  <c r="Q87" i="22"/>
  <c r="P87" i="22"/>
  <c r="O87" i="22"/>
  <c r="N87" i="22"/>
  <c r="M87" i="22"/>
  <c r="L87" i="22"/>
  <c r="K87" i="22"/>
  <c r="J87" i="22"/>
  <c r="I87" i="22"/>
  <c r="H87" i="22"/>
  <c r="G87" i="22"/>
  <c r="F87" i="22"/>
  <c r="E87" i="22"/>
  <c r="D87" i="22"/>
  <c r="C87" i="22"/>
  <c r="R86" i="22"/>
  <c r="Q86" i="22"/>
  <c r="P86" i="22"/>
  <c r="O86" i="22"/>
  <c r="N86" i="22"/>
  <c r="M86" i="22"/>
  <c r="L86" i="22"/>
  <c r="K86" i="22"/>
  <c r="J86" i="22"/>
  <c r="I86" i="22"/>
  <c r="H86" i="22"/>
  <c r="G86" i="22"/>
  <c r="F86" i="22"/>
  <c r="E86" i="22"/>
  <c r="D86" i="22"/>
  <c r="C86" i="22"/>
  <c r="R85" i="22"/>
  <c r="Q85" i="22"/>
  <c r="P85" i="22"/>
  <c r="O85" i="22"/>
  <c r="N85" i="22"/>
  <c r="M85" i="22"/>
  <c r="L85" i="22"/>
  <c r="K85" i="22"/>
  <c r="J85" i="22"/>
  <c r="I85" i="22"/>
  <c r="H85" i="22"/>
  <c r="G85" i="22"/>
  <c r="F85" i="22"/>
  <c r="E85" i="22"/>
  <c r="D85" i="22"/>
  <c r="C85" i="22"/>
  <c r="R84" i="22"/>
  <c r="Q84" i="22"/>
  <c r="P84" i="22"/>
  <c r="O84" i="22"/>
  <c r="N84" i="22"/>
  <c r="M84" i="22"/>
  <c r="L84" i="22"/>
  <c r="K84" i="22"/>
  <c r="J84" i="22"/>
  <c r="I84" i="22"/>
  <c r="H84" i="22"/>
  <c r="G84" i="22"/>
  <c r="F84" i="22"/>
  <c r="E84" i="22"/>
  <c r="D84" i="22"/>
  <c r="C84" i="22"/>
  <c r="R83" i="22"/>
  <c r="Q83" i="22"/>
  <c r="P83" i="22"/>
  <c r="O83" i="22"/>
  <c r="N83" i="22"/>
  <c r="M83" i="22"/>
  <c r="L83" i="22"/>
  <c r="K83" i="22"/>
  <c r="J83" i="22"/>
  <c r="I83" i="22"/>
  <c r="H83" i="22"/>
  <c r="G83" i="22"/>
  <c r="F83" i="22"/>
  <c r="E83" i="22"/>
  <c r="D83" i="22"/>
  <c r="C83" i="22"/>
  <c r="R82" i="22"/>
  <c r="Q82" i="22"/>
  <c r="P82" i="22"/>
  <c r="O82" i="22"/>
  <c r="N82" i="22"/>
  <c r="M82" i="22"/>
  <c r="L82" i="22"/>
  <c r="K82" i="22"/>
  <c r="J82" i="22"/>
  <c r="I82" i="22"/>
  <c r="H82" i="22"/>
  <c r="G82" i="22"/>
  <c r="F82" i="22"/>
  <c r="E82" i="22"/>
  <c r="D82" i="22"/>
  <c r="C82" i="22"/>
  <c r="R81" i="22"/>
  <c r="Q81" i="22"/>
  <c r="P81" i="22"/>
  <c r="O81" i="22"/>
  <c r="N81" i="22"/>
  <c r="M81" i="22"/>
  <c r="L81" i="22"/>
  <c r="K81" i="22"/>
  <c r="J81" i="22"/>
  <c r="I81" i="22"/>
  <c r="H81" i="22"/>
  <c r="G81" i="22"/>
  <c r="F81" i="22"/>
  <c r="E81" i="22"/>
  <c r="D81" i="22"/>
  <c r="C81" i="22"/>
  <c r="R80" i="22"/>
  <c r="Q80" i="22"/>
  <c r="P80" i="22"/>
  <c r="O80" i="22"/>
  <c r="N80" i="22"/>
  <c r="M80" i="22"/>
  <c r="L80" i="22"/>
  <c r="K80" i="22"/>
  <c r="J80" i="22"/>
  <c r="I80" i="22"/>
  <c r="H80" i="22"/>
  <c r="G80" i="22"/>
  <c r="F80" i="22"/>
  <c r="E80" i="22"/>
  <c r="D80" i="22"/>
  <c r="C80" i="22"/>
  <c r="R79" i="22"/>
  <c r="Q79" i="22"/>
  <c r="P79" i="22"/>
  <c r="O79" i="22"/>
  <c r="N79" i="22"/>
  <c r="M79" i="22"/>
  <c r="L79" i="22"/>
  <c r="K79" i="22"/>
  <c r="J79" i="22"/>
  <c r="I79" i="22"/>
  <c r="H79" i="22"/>
  <c r="G79" i="22"/>
  <c r="F79" i="22"/>
  <c r="E79" i="22"/>
  <c r="D79" i="22"/>
  <c r="C79" i="22"/>
  <c r="R78" i="22"/>
  <c r="Q78" i="22"/>
  <c r="P78" i="22"/>
  <c r="O78" i="22"/>
  <c r="N78" i="22"/>
  <c r="M78" i="22"/>
  <c r="L78" i="22"/>
  <c r="K78" i="22"/>
  <c r="J78" i="22"/>
  <c r="I78" i="22"/>
  <c r="H78" i="22"/>
  <c r="G78" i="22"/>
  <c r="F78" i="22"/>
  <c r="E78" i="22"/>
  <c r="D78" i="22"/>
  <c r="C78" i="22"/>
  <c r="R77" i="22"/>
  <c r="Q77" i="22"/>
  <c r="P77" i="22"/>
  <c r="O77" i="22"/>
  <c r="N77" i="22"/>
  <c r="M77" i="22"/>
  <c r="L77" i="22"/>
  <c r="K77" i="22"/>
  <c r="J77" i="22"/>
  <c r="I77" i="22"/>
  <c r="H77" i="22"/>
  <c r="G77" i="22"/>
  <c r="F77" i="22"/>
  <c r="E77" i="22"/>
  <c r="D77" i="22"/>
  <c r="C77" i="22"/>
  <c r="R76" i="22"/>
  <c r="Q76" i="22"/>
  <c r="P76" i="22"/>
  <c r="O76" i="22"/>
  <c r="N76" i="22"/>
  <c r="M76" i="22"/>
  <c r="L76" i="22"/>
  <c r="K76" i="22"/>
  <c r="J76" i="22"/>
  <c r="I76" i="22"/>
  <c r="H76" i="22"/>
  <c r="G76" i="22"/>
  <c r="F76" i="22"/>
  <c r="E76" i="22"/>
  <c r="D76" i="22"/>
  <c r="C76" i="22"/>
  <c r="R75" i="22"/>
  <c r="Q75" i="22"/>
  <c r="P75" i="22"/>
  <c r="O75" i="22"/>
  <c r="N75" i="22"/>
  <c r="M75" i="22"/>
  <c r="L75" i="22"/>
  <c r="K75" i="22"/>
  <c r="J75" i="22"/>
  <c r="I75" i="22"/>
  <c r="H75" i="22"/>
  <c r="G75" i="22"/>
  <c r="F75" i="22"/>
  <c r="E75" i="22"/>
  <c r="D75" i="22"/>
  <c r="C75" i="22"/>
  <c r="R74" i="22"/>
  <c r="Q74" i="22"/>
  <c r="P74" i="22"/>
  <c r="O74" i="22"/>
  <c r="N74" i="22"/>
  <c r="M74" i="22"/>
  <c r="L74" i="22"/>
  <c r="K74" i="22"/>
  <c r="J74" i="22"/>
  <c r="I74" i="22"/>
  <c r="H74" i="22"/>
  <c r="G74" i="22"/>
  <c r="F74" i="22"/>
  <c r="E74" i="22"/>
  <c r="D74" i="22"/>
  <c r="C74" i="22"/>
  <c r="R73" i="22"/>
  <c r="Q73" i="22"/>
  <c r="P73" i="22"/>
  <c r="O73" i="22"/>
  <c r="N73" i="22"/>
  <c r="M73" i="22"/>
  <c r="L73" i="22"/>
  <c r="K73" i="22"/>
  <c r="J73" i="22"/>
  <c r="I73" i="22"/>
  <c r="H73" i="22"/>
  <c r="G73" i="22"/>
  <c r="F73" i="22"/>
  <c r="E73" i="22"/>
  <c r="D73" i="22"/>
  <c r="C73" i="22"/>
  <c r="R72" i="22"/>
  <c r="Q72" i="22"/>
  <c r="P72" i="22"/>
  <c r="O72" i="22"/>
  <c r="N72" i="22"/>
  <c r="M72" i="22"/>
  <c r="L72" i="22"/>
  <c r="K72" i="22"/>
  <c r="J72" i="22"/>
  <c r="I72" i="22"/>
  <c r="H72" i="22"/>
  <c r="G72" i="22"/>
  <c r="F72" i="22"/>
  <c r="E72" i="22"/>
  <c r="D72" i="22"/>
  <c r="C72" i="22"/>
  <c r="R71" i="22"/>
  <c r="Q71" i="22"/>
  <c r="P71" i="22"/>
  <c r="O71" i="22"/>
  <c r="N71" i="22"/>
  <c r="M71" i="22"/>
  <c r="L71" i="22"/>
  <c r="K71" i="22"/>
  <c r="J71" i="22"/>
  <c r="I71" i="22"/>
  <c r="H71" i="22"/>
  <c r="G71" i="22"/>
  <c r="F71" i="22"/>
  <c r="E71" i="22"/>
  <c r="D71" i="22"/>
  <c r="C71" i="22"/>
  <c r="R70" i="22"/>
  <c r="Q70" i="22"/>
  <c r="P70" i="22"/>
  <c r="O70" i="22"/>
  <c r="N70" i="22"/>
  <c r="M70" i="22"/>
  <c r="L70" i="22"/>
  <c r="K70" i="22"/>
  <c r="J70" i="22"/>
  <c r="I70" i="22"/>
  <c r="H70" i="22"/>
  <c r="G70" i="22"/>
  <c r="F70" i="22"/>
  <c r="E70" i="22"/>
  <c r="D70" i="22"/>
  <c r="C70" i="22"/>
  <c r="R69" i="22"/>
  <c r="Q69" i="22"/>
  <c r="P69" i="22"/>
  <c r="O69" i="22"/>
  <c r="N69" i="22"/>
  <c r="M69" i="22"/>
  <c r="L69" i="22"/>
  <c r="K69" i="22"/>
  <c r="J69" i="22"/>
  <c r="I69" i="22"/>
  <c r="H69" i="22"/>
  <c r="G69" i="22"/>
  <c r="F69" i="22"/>
  <c r="E69" i="22"/>
  <c r="D69" i="22"/>
  <c r="C69" i="22"/>
  <c r="R68" i="22"/>
  <c r="Q68" i="22"/>
  <c r="P68" i="22"/>
  <c r="O68" i="22"/>
  <c r="N68" i="22"/>
  <c r="M68" i="22"/>
  <c r="L68" i="22"/>
  <c r="K68" i="22"/>
  <c r="J68" i="22"/>
  <c r="I68" i="22"/>
  <c r="H68" i="22"/>
  <c r="G68" i="22"/>
  <c r="F68" i="22"/>
  <c r="E68" i="22"/>
  <c r="D68" i="22"/>
  <c r="C68" i="22"/>
  <c r="R67" i="22"/>
  <c r="Q67" i="22"/>
  <c r="P67" i="22"/>
  <c r="O67" i="22"/>
  <c r="N67" i="22"/>
  <c r="M67" i="22"/>
  <c r="L67" i="22"/>
  <c r="K67" i="22"/>
  <c r="J67" i="22"/>
  <c r="I67" i="22"/>
  <c r="H67" i="22"/>
  <c r="G67" i="22"/>
  <c r="F67" i="22"/>
  <c r="E67" i="22"/>
  <c r="D67" i="22"/>
  <c r="C67" i="22"/>
  <c r="R66" i="22"/>
  <c r="Q66" i="22"/>
  <c r="P66" i="22"/>
  <c r="O66" i="22"/>
  <c r="N66" i="22"/>
  <c r="M66" i="22"/>
  <c r="L66" i="22"/>
  <c r="K66" i="22"/>
  <c r="J66" i="22"/>
  <c r="I66" i="22"/>
  <c r="H66" i="22"/>
  <c r="G66" i="22"/>
  <c r="F66" i="22"/>
  <c r="E66" i="22"/>
  <c r="D66" i="22"/>
  <c r="C66" i="22"/>
  <c r="R65" i="22"/>
  <c r="Q65" i="22"/>
  <c r="P65" i="22"/>
  <c r="O65" i="22"/>
  <c r="N65" i="22"/>
  <c r="M65" i="22"/>
  <c r="L65" i="22"/>
  <c r="K65" i="22"/>
  <c r="J65" i="22"/>
  <c r="I65" i="22"/>
  <c r="H65" i="22"/>
  <c r="G65" i="22"/>
  <c r="F65" i="22"/>
  <c r="E65" i="22"/>
  <c r="D65" i="22"/>
  <c r="C65" i="22"/>
  <c r="R64" i="22"/>
  <c r="Q64" i="22"/>
  <c r="P64" i="22"/>
  <c r="O64" i="22"/>
  <c r="N64" i="22"/>
  <c r="M64" i="22"/>
  <c r="L64" i="22"/>
  <c r="K64" i="22"/>
  <c r="J64" i="22"/>
  <c r="I64" i="22"/>
  <c r="H64" i="22"/>
  <c r="G64" i="22"/>
  <c r="F64" i="22"/>
  <c r="E64" i="22"/>
  <c r="D64" i="22"/>
  <c r="C64" i="22"/>
  <c r="R63" i="22"/>
  <c r="Q63" i="22"/>
  <c r="P63" i="22"/>
  <c r="O63" i="22"/>
  <c r="N63" i="22"/>
  <c r="M63" i="22"/>
  <c r="L63" i="22"/>
  <c r="K63" i="22"/>
  <c r="J63" i="22"/>
  <c r="I63" i="22"/>
  <c r="H63" i="22"/>
  <c r="G63" i="22"/>
  <c r="F63" i="22"/>
  <c r="E63" i="22"/>
  <c r="D63" i="22"/>
  <c r="C63" i="22"/>
  <c r="R62" i="22"/>
  <c r="Q62" i="22"/>
  <c r="P62" i="22"/>
  <c r="O62" i="22"/>
  <c r="N62" i="22"/>
  <c r="M62" i="22"/>
  <c r="L62" i="22"/>
  <c r="K62" i="22"/>
  <c r="J62" i="22"/>
  <c r="I62" i="22"/>
  <c r="H62" i="22"/>
  <c r="G62" i="22"/>
  <c r="F62" i="22"/>
  <c r="E62" i="22"/>
  <c r="D62" i="22"/>
  <c r="C62" i="22"/>
  <c r="R61" i="22"/>
  <c r="Q61" i="22"/>
  <c r="P61" i="22"/>
  <c r="O61" i="22"/>
  <c r="N61" i="22"/>
  <c r="M61" i="22"/>
  <c r="L61" i="22"/>
  <c r="K61" i="22"/>
  <c r="J61" i="22"/>
  <c r="I61" i="22"/>
  <c r="H61" i="22"/>
  <c r="G61" i="22"/>
  <c r="F61" i="22"/>
  <c r="E61" i="22"/>
  <c r="D61" i="22"/>
  <c r="C61" i="22"/>
  <c r="R60" i="22"/>
  <c r="Q60" i="22"/>
  <c r="P60" i="22"/>
  <c r="O60" i="22"/>
  <c r="N60" i="22"/>
  <c r="M60" i="22"/>
  <c r="L60" i="22"/>
  <c r="K60" i="22"/>
  <c r="J60" i="22"/>
  <c r="I60" i="22"/>
  <c r="H60" i="22"/>
  <c r="G60" i="22"/>
  <c r="F60" i="22"/>
  <c r="E60" i="22"/>
  <c r="D60" i="22"/>
  <c r="C60" i="22"/>
  <c r="R59" i="22"/>
  <c r="Q59" i="22"/>
  <c r="P59" i="22"/>
  <c r="O59" i="22"/>
  <c r="N59" i="22"/>
  <c r="M59" i="22"/>
  <c r="L59" i="22"/>
  <c r="K59" i="22"/>
  <c r="J59" i="22"/>
  <c r="I59" i="22"/>
  <c r="H59" i="22"/>
  <c r="G59" i="22"/>
  <c r="F59" i="22"/>
  <c r="E59" i="22"/>
  <c r="D59" i="22"/>
  <c r="C59" i="22"/>
  <c r="R58" i="22"/>
  <c r="Q58" i="22"/>
  <c r="P58" i="22"/>
  <c r="O58" i="22"/>
  <c r="N58" i="22"/>
  <c r="M58" i="22"/>
  <c r="L58" i="22"/>
  <c r="K58" i="22"/>
  <c r="J58" i="22"/>
  <c r="I58" i="22"/>
  <c r="H58" i="22"/>
  <c r="G58" i="22"/>
  <c r="F58" i="22"/>
  <c r="E58" i="22"/>
  <c r="D58" i="22"/>
  <c r="C58" i="22"/>
  <c r="R57" i="22"/>
  <c r="Q57" i="22"/>
  <c r="P57" i="22"/>
  <c r="O57" i="22"/>
  <c r="N57" i="22"/>
  <c r="M57" i="22"/>
  <c r="L57" i="22"/>
  <c r="K57" i="22"/>
  <c r="J57" i="22"/>
  <c r="I57" i="22"/>
  <c r="H57" i="22"/>
  <c r="G57" i="22"/>
  <c r="F57" i="22"/>
  <c r="E57" i="22"/>
  <c r="D57" i="22"/>
  <c r="C57" i="22"/>
  <c r="R56" i="22"/>
  <c r="Q56" i="22"/>
  <c r="P56" i="22"/>
  <c r="O56" i="22"/>
  <c r="N56" i="22"/>
  <c r="M56" i="22"/>
  <c r="L56" i="22"/>
  <c r="K56" i="22"/>
  <c r="J56" i="22"/>
  <c r="I56" i="22"/>
  <c r="H56" i="22"/>
  <c r="G56" i="22"/>
  <c r="F56" i="22"/>
  <c r="E56" i="22"/>
  <c r="D56" i="22"/>
  <c r="C56" i="22"/>
  <c r="R55" i="22"/>
  <c r="Q55" i="22"/>
  <c r="P55" i="22"/>
  <c r="O55" i="22"/>
  <c r="N55" i="22"/>
  <c r="M55" i="22"/>
  <c r="L55" i="22"/>
  <c r="K55" i="22"/>
  <c r="J55" i="22"/>
  <c r="I55" i="22"/>
  <c r="H55" i="22"/>
  <c r="G55" i="22"/>
  <c r="F55" i="22"/>
  <c r="E55" i="22"/>
  <c r="D55" i="22"/>
  <c r="C55" i="22"/>
  <c r="R54" i="22"/>
  <c r="Q54" i="22"/>
  <c r="P54" i="22"/>
  <c r="O54" i="22"/>
  <c r="N54" i="22"/>
  <c r="M54" i="22"/>
  <c r="L54" i="22"/>
  <c r="K54" i="22"/>
  <c r="J54" i="22"/>
  <c r="I54" i="22"/>
  <c r="H54" i="22"/>
  <c r="G54" i="22"/>
  <c r="F54" i="22"/>
  <c r="E54" i="22"/>
  <c r="D54" i="22"/>
  <c r="C54" i="22"/>
  <c r="R53" i="22"/>
  <c r="Q53" i="22"/>
  <c r="P53" i="22"/>
  <c r="O53" i="22"/>
  <c r="N53" i="22"/>
  <c r="M53" i="22"/>
  <c r="L53" i="22"/>
  <c r="K53" i="22"/>
  <c r="J53" i="22"/>
  <c r="I53" i="22"/>
  <c r="H53" i="22"/>
  <c r="G53" i="22"/>
  <c r="F53" i="22"/>
  <c r="E53" i="22"/>
  <c r="D53" i="22"/>
  <c r="C53" i="22"/>
  <c r="R52" i="22"/>
  <c r="Q52" i="22"/>
  <c r="P52" i="22"/>
  <c r="O52" i="22"/>
  <c r="N52" i="22"/>
  <c r="M52" i="22"/>
  <c r="L52" i="22"/>
  <c r="K52" i="22"/>
  <c r="J52" i="22"/>
  <c r="I52" i="22"/>
  <c r="H52" i="22"/>
  <c r="G52" i="22"/>
  <c r="F52" i="22"/>
  <c r="E52" i="22"/>
  <c r="D52" i="22"/>
  <c r="C52" i="22"/>
  <c r="R51" i="22"/>
  <c r="Q51" i="22"/>
  <c r="P51" i="22"/>
  <c r="O51" i="22"/>
  <c r="N51" i="22"/>
  <c r="M51" i="22"/>
  <c r="L51" i="22"/>
  <c r="K51" i="22"/>
  <c r="J51" i="22"/>
  <c r="I51" i="22"/>
  <c r="H51" i="22"/>
  <c r="G51" i="22"/>
  <c r="F51" i="22"/>
  <c r="E51" i="22"/>
  <c r="D51" i="22"/>
  <c r="C51" i="22"/>
  <c r="R50" i="22"/>
  <c r="Q50" i="22"/>
  <c r="P50" i="22"/>
  <c r="O50" i="22"/>
  <c r="N50" i="22"/>
  <c r="M50" i="22"/>
  <c r="L50" i="22"/>
  <c r="K50" i="22"/>
  <c r="J50" i="22"/>
  <c r="I50" i="22"/>
  <c r="H50" i="22"/>
  <c r="G50" i="22"/>
  <c r="F50" i="22"/>
  <c r="E50" i="22"/>
  <c r="D50" i="22"/>
  <c r="C50" i="22"/>
  <c r="R49" i="22"/>
  <c r="Q49" i="22"/>
  <c r="P49" i="22"/>
  <c r="O49" i="22"/>
  <c r="N49" i="22"/>
  <c r="M49" i="22"/>
  <c r="L49" i="22"/>
  <c r="K49" i="22"/>
  <c r="J49" i="22"/>
  <c r="I49" i="22"/>
  <c r="H49" i="22"/>
  <c r="G49" i="22"/>
  <c r="F49" i="22"/>
  <c r="E49" i="22"/>
  <c r="D49" i="22"/>
  <c r="C49" i="22"/>
  <c r="R48" i="22"/>
  <c r="Q48" i="22"/>
  <c r="P48" i="22"/>
  <c r="O48" i="22"/>
  <c r="N48" i="22"/>
  <c r="M48" i="22"/>
  <c r="L48" i="22"/>
  <c r="K48" i="22"/>
  <c r="J48" i="22"/>
  <c r="I48" i="22"/>
  <c r="H48" i="22"/>
  <c r="G48" i="22"/>
  <c r="F48" i="22"/>
  <c r="E48" i="22"/>
  <c r="D48" i="22"/>
  <c r="C48" i="22"/>
  <c r="R47" i="22"/>
  <c r="Q47" i="22"/>
  <c r="P47" i="22"/>
  <c r="O47" i="22"/>
  <c r="N47" i="22"/>
  <c r="M47" i="22"/>
  <c r="L47" i="22"/>
  <c r="K47" i="22"/>
  <c r="J47" i="22"/>
  <c r="I47" i="22"/>
  <c r="H47" i="22"/>
  <c r="G47" i="22"/>
  <c r="F47" i="22"/>
  <c r="E47" i="22"/>
  <c r="D47" i="22"/>
  <c r="C47" i="22"/>
  <c r="R46" i="22"/>
  <c r="Q46" i="22"/>
  <c r="P46" i="22"/>
  <c r="O46" i="22"/>
  <c r="N46" i="22"/>
  <c r="M46" i="22"/>
  <c r="L46" i="22"/>
  <c r="K46" i="22"/>
  <c r="J46" i="22"/>
  <c r="I46" i="22"/>
  <c r="H46" i="22"/>
  <c r="G46" i="22"/>
  <c r="F46" i="22"/>
  <c r="E46" i="22"/>
  <c r="D46" i="22"/>
  <c r="C46" i="22"/>
  <c r="R45" i="22"/>
  <c r="Q45" i="22"/>
  <c r="P45" i="22"/>
  <c r="O45" i="22"/>
  <c r="N45" i="22"/>
  <c r="M45" i="22"/>
  <c r="L45" i="22"/>
  <c r="K45" i="22"/>
  <c r="J45" i="22"/>
  <c r="I45" i="22"/>
  <c r="H45" i="22"/>
  <c r="G45" i="22"/>
  <c r="F45" i="22"/>
  <c r="E45" i="22"/>
  <c r="D45" i="22"/>
  <c r="C45" i="22"/>
  <c r="R44" i="22"/>
  <c r="Q44" i="22"/>
  <c r="P44" i="22"/>
  <c r="O44" i="22"/>
  <c r="N44" i="22"/>
  <c r="M44" i="22"/>
  <c r="L44" i="22"/>
  <c r="K44" i="22"/>
  <c r="J44" i="22"/>
  <c r="I44" i="22"/>
  <c r="H44" i="22"/>
  <c r="G44" i="22"/>
  <c r="F44" i="22"/>
  <c r="E44" i="22"/>
  <c r="D44" i="22"/>
  <c r="C44" i="22"/>
  <c r="R43" i="22"/>
  <c r="Q43" i="22"/>
  <c r="P43" i="22"/>
  <c r="O43" i="22"/>
  <c r="N43" i="22"/>
  <c r="M43" i="22"/>
  <c r="L43" i="22"/>
  <c r="K43" i="22"/>
  <c r="J43" i="22"/>
  <c r="I43" i="22"/>
  <c r="H43" i="22"/>
  <c r="G43" i="22"/>
  <c r="F43" i="22"/>
  <c r="E43" i="22"/>
  <c r="D43" i="22"/>
  <c r="C43" i="22"/>
  <c r="R42" i="22"/>
  <c r="Q42" i="22"/>
  <c r="P42" i="22"/>
  <c r="O42" i="22"/>
  <c r="N42" i="22"/>
  <c r="M42" i="22"/>
  <c r="L42" i="22"/>
  <c r="K42" i="22"/>
  <c r="J42" i="22"/>
  <c r="I42" i="22"/>
  <c r="H42" i="22"/>
  <c r="G42" i="22"/>
  <c r="F42" i="22"/>
  <c r="E42" i="22"/>
  <c r="D42" i="22"/>
  <c r="C42" i="22"/>
  <c r="R41" i="22"/>
  <c r="Q41" i="22"/>
  <c r="P41" i="22"/>
  <c r="O41" i="22"/>
  <c r="N41" i="22"/>
  <c r="M41" i="22"/>
  <c r="L41" i="22"/>
  <c r="K41" i="22"/>
  <c r="J41" i="22"/>
  <c r="I41" i="22"/>
  <c r="H41" i="22"/>
  <c r="G41" i="22"/>
  <c r="F41" i="22"/>
  <c r="E41" i="22"/>
  <c r="D41" i="22"/>
  <c r="C41" i="22"/>
  <c r="R40" i="22"/>
  <c r="Q40" i="22"/>
  <c r="P40" i="22"/>
  <c r="O40" i="22"/>
  <c r="N40" i="22"/>
  <c r="M40" i="22"/>
  <c r="L40" i="22"/>
  <c r="K40" i="22"/>
  <c r="J40" i="22"/>
  <c r="I40" i="22"/>
  <c r="H40" i="22"/>
  <c r="G40" i="22"/>
  <c r="F40" i="22"/>
  <c r="E40" i="22"/>
  <c r="D40" i="22"/>
  <c r="C40" i="22"/>
  <c r="R39" i="22"/>
  <c r="Q39" i="22"/>
  <c r="P39" i="22"/>
  <c r="O39" i="22"/>
  <c r="N39" i="22"/>
  <c r="M39" i="22"/>
  <c r="L39" i="22"/>
  <c r="K39" i="22"/>
  <c r="J39" i="22"/>
  <c r="I39" i="22"/>
  <c r="H39" i="22"/>
  <c r="G39" i="22"/>
  <c r="F39" i="22"/>
  <c r="E39" i="22"/>
  <c r="D39" i="22"/>
  <c r="C39" i="22"/>
  <c r="R38" i="22"/>
  <c r="Q38" i="22"/>
  <c r="P38" i="22"/>
  <c r="O38" i="22"/>
  <c r="N38" i="22"/>
  <c r="M38" i="22"/>
  <c r="L38" i="22"/>
  <c r="K38" i="22"/>
  <c r="J38" i="22"/>
  <c r="I38" i="22"/>
  <c r="H38" i="22"/>
  <c r="G38" i="22"/>
  <c r="F38" i="22"/>
  <c r="E38" i="22"/>
  <c r="D38" i="22"/>
  <c r="C38" i="22"/>
  <c r="R37" i="22"/>
  <c r="Q37" i="22"/>
  <c r="P37" i="22"/>
  <c r="O37" i="22"/>
  <c r="N37" i="22"/>
  <c r="M37" i="22"/>
  <c r="L37" i="22"/>
  <c r="K37" i="22"/>
  <c r="J37" i="22"/>
  <c r="I37" i="22"/>
  <c r="H37" i="22"/>
  <c r="G37" i="22"/>
  <c r="F37" i="22"/>
  <c r="E37" i="22"/>
  <c r="D37" i="22"/>
  <c r="C37" i="22"/>
  <c r="R36" i="22"/>
  <c r="Q36" i="22"/>
  <c r="P36" i="22"/>
  <c r="O36" i="22"/>
  <c r="N36" i="22"/>
  <c r="M36" i="22"/>
  <c r="L36" i="22"/>
  <c r="K36" i="22"/>
  <c r="J36" i="22"/>
  <c r="I36" i="22"/>
  <c r="H36" i="22"/>
  <c r="G36" i="22"/>
  <c r="F36" i="22"/>
  <c r="E36" i="22"/>
  <c r="D36" i="22"/>
  <c r="C36" i="22"/>
  <c r="R35" i="22"/>
  <c r="Q35" i="22"/>
  <c r="P35" i="22"/>
  <c r="O35" i="22"/>
  <c r="N35" i="22"/>
  <c r="M35" i="22"/>
  <c r="L35" i="22"/>
  <c r="K35" i="22"/>
  <c r="J35" i="22"/>
  <c r="I35" i="22"/>
  <c r="H35" i="22"/>
  <c r="G35" i="22"/>
  <c r="F35" i="22"/>
  <c r="E35" i="22"/>
  <c r="D35" i="22"/>
  <c r="C35" i="22"/>
  <c r="R34" i="22"/>
  <c r="Q34" i="22"/>
  <c r="P34" i="22"/>
  <c r="O34" i="22"/>
  <c r="N34" i="22"/>
  <c r="M34" i="22"/>
  <c r="L34" i="22"/>
  <c r="K34" i="22"/>
  <c r="J34" i="22"/>
  <c r="I34" i="22"/>
  <c r="H34" i="22"/>
  <c r="G34" i="22"/>
  <c r="F34" i="22"/>
  <c r="E34" i="22"/>
  <c r="D34" i="22"/>
  <c r="C34" i="22"/>
  <c r="R33" i="22"/>
  <c r="Q33" i="22"/>
  <c r="P33" i="22"/>
  <c r="O33" i="22"/>
  <c r="N33" i="22"/>
  <c r="M33" i="22"/>
  <c r="L33" i="22"/>
  <c r="K33" i="22"/>
  <c r="J33" i="22"/>
  <c r="I33" i="22"/>
  <c r="H33" i="22"/>
  <c r="G33" i="22"/>
  <c r="F33" i="22"/>
  <c r="E33" i="22"/>
  <c r="D33" i="22"/>
  <c r="C33" i="22"/>
  <c r="R32" i="22"/>
  <c r="Q32" i="22"/>
  <c r="P32" i="22"/>
  <c r="O32" i="22"/>
  <c r="N32" i="22"/>
  <c r="M32" i="22"/>
  <c r="L32" i="22"/>
  <c r="K32" i="22"/>
  <c r="J32" i="22"/>
  <c r="I32" i="22"/>
  <c r="H32" i="22"/>
  <c r="G32" i="22"/>
  <c r="F32" i="22"/>
  <c r="E32" i="22"/>
  <c r="D32" i="22"/>
  <c r="C32" i="22"/>
  <c r="R31" i="22"/>
  <c r="Q31" i="22"/>
  <c r="P31" i="22"/>
  <c r="O31" i="22"/>
  <c r="N31" i="22"/>
  <c r="M31" i="22"/>
  <c r="L31" i="22"/>
  <c r="K31" i="22"/>
  <c r="J31" i="22"/>
  <c r="I31" i="22"/>
  <c r="H31" i="22"/>
  <c r="G31" i="22"/>
  <c r="F31" i="22"/>
  <c r="E31" i="22"/>
  <c r="D31" i="22"/>
  <c r="C31" i="22"/>
  <c r="R30" i="22"/>
  <c r="Q30" i="22"/>
  <c r="P30" i="22"/>
  <c r="O30" i="22"/>
  <c r="N30" i="22"/>
  <c r="M30" i="22"/>
  <c r="L30" i="22"/>
  <c r="K30" i="22"/>
  <c r="J30" i="22"/>
  <c r="I30" i="22"/>
  <c r="H30" i="22"/>
  <c r="G30" i="22"/>
  <c r="F30" i="22"/>
  <c r="E30" i="22"/>
  <c r="D30" i="22"/>
  <c r="C30" i="22"/>
  <c r="R29" i="22"/>
  <c r="Q29" i="22"/>
  <c r="P29" i="22"/>
  <c r="O29" i="22"/>
  <c r="N29" i="22"/>
  <c r="M29" i="22"/>
  <c r="L29" i="22"/>
  <c r="K29" i="22"/>
  <c r="J29" i="22"/>
  <c r="I29" i="22"/>
  <c r="H29" i="22"/>
  <c r="G29" i="22"/>
  <c r="F29" i="22"/>
  <c r="E29" i="22"/>
  <c r="D29" i="22"/>
  <c r="C29" i="22"/>
  <c r="R28" i="22"/>
  <c r="Q28" i="22"/>
  <c r="P28" i="22"/>
  <c r="O28" i="22"/>
  <c r="N28" i="22"/>
  <c r="M28" i="22"/>
  <c r="L28" i="22"/>
  <c r="K28" i="22"/>
  <c r="J28" i="22"/>
  <c r="I28" i="22"/>
  <c r="H28" i="22"/>
  <c r="G28" i="22"/>
  <c r="F28" i="22"/>
  <c r="E28" i="22"/>
  <c r="D28" i="22"/>
  <c r="C28" i="22"/>
  <c r="R27" i="22"/>
  <c r="Q27" i="22"/>
  <c r="P27" i="22"/>
  <c r="O27" i="22"/>
  <c r="N27" i="22"/>
  <c r="M27" i="22"/>
  <c r="L27" i="22"/>
  <c r="K27" i="22"/>
  <c r="J27" i="22"/>
  <c r="I27" i="22"/>
  <c r="H27" i="22"/>
  <c r="G27" i="22"/>
  <c r="F27" i="22"/>
  <c r="E27" i="22"/>
  <c r="D27" i="22"/>
  <c r="C27" i="22"/>
  <c r="R26" i="22"/>
  <c r="Q26" i="22"/>
  <c r="P26" i="22"/>
  <c r="O26" i="22"/>
  <c r="N26" i="22"/>
  <c r="M26" i="22"/>
  <c r="L26" i="22"/>
  <c r="K26" i="22"/>
  <c r="J26" i="22"/>
  <c r="I26" i="22"/>
  <c r="H26" i="22"/>
  <c r="G26" i="22"/>
  <c r="F26" i="22"/>
  <c r="E26" i="22"/>
  <c r="D26" i="22"/>
  <c r="C26" i="22"/>
  <c r="R25" i="22"/>
  <c r="Q25" i="22"/>
  <c r="P25" i="22"/>
  <c r="O25" i="22"/>
  <c r="N25" i="22"/>
  <c r="M25" i="22"/>
  <c r="L25" i="22"/>
  <c r="K25" i="22"/>
  <c r="J25" i="22"/>
  <c r="I25" i="22"/>
  <c r="H25" i="22"/>
  <c r="G25" i="22"/>
  <c r="F25" i="22"/>
  <c r="E25" i="22"/>
  <c r="D25" i="22"/>
  <c r="C25" i="22"/>
  <c r="R24" i="22"/>
  <c r="Q24" i="22"/>
  <c r="P24" i="22"/>
  <c r="O24" i="22"/>
  <c r="N24" i="22"/>
  <c r="M24" i="22"/>
  <c r="L24" i="22"/>
  <c r="K24" i="22"/>
  <c r="J24" i="22"/>
  <c r="I24" i="22"/>
  <c r="H24" i="22"/>
  <c r="G24" i="22"/>
  <c r="F24" i="22"/>
  <c r="E24" i="22"/>
  <c r="D24" i="22"/>
  <c r="C24" i="22"/>
  <c r="R23" i="22"/>
  <c r="Q23" i="22"/>
  <c r="P23" i="22"/>
  <c r="O23" i="22"/>
  <c r="N23" i="22"/>
  <c r="M23" i="22"/>
  <c r="L23" i="22"/>
  <c r="K23" i="22"/>
  <c r="J23" i="22"/>
  <c r="I23" i="22"/>
  <c r="H23" i="22"/>
  <c r="G23" i="22"/>
  <c r="F23" i="22"/>
  <c r="E23" i="22"/>
  <c r="D23" i="22"/>
  <c r="C23" i="22"/>
  <c r="R22" i="22"/>
  <c r="Q22" i="22"/>
  <c r="P22" i="22"/>
  <c r="O22" i="22"/>
  <c r="N22" i="22"/>
  <c r="M22" i="22"/>
  <c r="L22" i="22"/>
  <c r="K22" i="22"/>
  <c r="J22" i="22"/>
  <c r="I22" i="22"/>
  <c r="H22" i="22"/>
  <c r="G22" i="22"/>
  <c r="F22" i="22"/>
  <c r="E22" i="22"/>
  <c r="D22" i="22"/>
  <c r="C22" i="22"/>
  <c r="R21" i="22"/>
  <c r="Q21" i="22"/>
  <c r="P21" i="22"/>
  <c r="O21" i="22"/>
  <c r="N21" i="22"/>
  <c r="M21" i="22"/>
  <c r="L21" i="22"/>
  <c r="K21" i="22"/>
  <c r="J21" i="22"/>
  <c r="I21" i="22"/>
  <c r="H21" i="22"/>
  <c r="G21" i="22"/>
  <c r="F21" i="22"/>
  <c r="E21" i="22"/>
  <c r="D21" i="22"/>
  <c r="C21" i="22"/>
  <c r="R20" i="22"/>
  <c r="Q20" i="22"/>
  <c r="P20" i="22"/>
  <c r="O20" i="22"/>
  <c r="N20" i="22"/>
  <c r="M20" i="22"/>
  <c r="L20" i="22"/>
  <c r="K20" i="22"/>
  <c r="J20" i="22"/>
  <c r="I20" i="22"/>
  <c r="H20" i="22"/>
  <c r="G20" i="22"/>
  <c r="F20" i="22"/>
  <c r="E20" i="22"/>
  <c r="D20" i="22"/>
  <c r="C20" i="22"/>
  <c r="R19" i="22"/>
  <c r="Q19" i="22"/>
  <c r="P19" i="22"/>
  <c r="O19" i="22"/>
  <c r="N19" i="22"/>
  <c r="M19" i="22"/>
  <c r="L19" i="22"/>
  <c r="K19" i="22"/>
  <c r="J19" i="22"/>
  <c r="I19" i="22"/>
  <c r="H19" i="22"/>
  <c r="G19" i="22"/>
  <c r="F19" i="22"/>
  <c r="E19" i="22"/>
  <c r="D19" i="22"/>
  <c r="C19" i="22"/>
  <c r="R18" i="22"/>
  <c r="Q18" i="22"/>
  <c r="P18" i="22"/>
  <c r="O18" i="22"/>
  <c r="N18" i="22"/>
  <c r="M18" i="22"/>
  <c r="L18" i="22"/>
  <c r="K18" i="22"/>
  <c r="J18" i="22"/>
  <c r="I18" i="22"/>
  <c r="H18" i="22"/>
  <c r="G18" i="22"/>
  <c r="F18" i="22"/>
  <c r="E18" i="22"/>
  <c r="D18" i="22"/>
  <c r="C18" i="22"/>
  <c r="R17" i="22"/>
  <c r="Q17" i="22"/>
  <c r="P17" i="22"/>
  <c r="O17" i="22"/>
  <c r="N17" i="22"/>
  <c r="M17" i="22"/>
  <c r="L17" i="22"/>
  <c r="K17" i="22"/>
  <c r="J17" i="22"/>
  <c r="I17" i="22"/>
  <c r="H17" i="22"/>
  <c r="G17" i="22"/>
  <c r="F17" i="22"/>
  <c r="E17" i="22"/>
  <c r="D17" i="22"/>
  <c r="C17" i="22"/>
  <c r="R15" i="22"/>
  <c r="Q15" i="22"/>
  <c r="P15" i="22"/>
  <c r="O15" i="22"/>
  <c r="N15" i="22"/>
  <c r="M15" i="22"/>
  <c r="L15" i="22"/>
  <c r="K15" i="22"/>
  <c r="J15" i="22"/>
  <c r="I15" i="22"/>
  <c r="H15" i="22"/>
  <c r="G15" i="22"/>
  <c r="F15" i="22"/>
  <c r="E15" i="22"/>
  <c r="D15" i="22"/>
  <c r="C15" i="22"/>
  <c r="R12" i="22"/>
  <c r="Q12" i="22"/>
  <c r="P12" i="22"/>
  <c r="O12" i="22"/>
  <c r="N12" i="22"/>
  <c r="M12" i="22"/>
  <c r="L12" i="22"/>
  <c r="K12" i="22"/>
  <c r="J12" i="22"/>
  <c r="I12" i="22"/>
  <c r="H12" i="22"/>
  <c r="G12" i="22"/>
  <c r="F12" i="22"/>
  <c r="E12" i="22"/>
  <c r="D12" i="22"/>
  <c r="C12" i="22"/>
  <c r="R16" i="22"/>
  <c r="Q16" i="22"/>
  <c r="P16" i="22"/>
  <c r="O16" i="22"/>
  <c r="N16" i="22"/>
  <c r="M16" i="22"/>
  <c r="L16" i="22"/>
  <c r="K16" i="22"/>
  <c r="J16" i="22"/>
  <c r="I16" i="22"/>
  <c r="H16" i="22"/>
  <c r="G16" i="22"/>
  <c r="F16" i="22"/>
  <c r="E16" i="22"/>
  <c r="D16" i="22"/>
  <c r="C16" i="22"/>
  <c r="R14" i="22"/>
  <c r="Q14" i="22"/>
  <c r="P14" i="22"/>
  <c r="O14" i="22"/>
  <c r="N14" i="22"/>
  <c r="M14" i="22"/>
  <c r="L14" i="22"/>
  <c r="K14" i="22"/>
  <c r="J14" i="22"/>
  <c r="I14" i="22"/>
  <c r="H14" i="22"/>
  <c r="G14" i="22"/>
  <c r="F14" i="22"/>
  <c r="E14" i="22"/>
  <c r="D14" i="22"/>
  <c r="C14" i="22"/>
  <c r="R13" i="22"/>
  <c r="Q13" i="22"/>
  <c r="P13" i="22"/>
  <c r="O13" i="22"/>
  <c r="N13" i="22"/>
  <c r="M13" i="22"/>
  <c r="L13" i="22"/>
  <c r="K13" i="22"/>
  <c r="J13" i="22"/>
  <c r="I13" i="22"/>
  <c r="H13" i="22"/>
  <c r="G13" i="22"/>
  <c r="F13" i="22"/>
  <c r="E13" i="22"/>
  <c r="D13" i="22"/>
  <c r="C13" i="22"/>
  <c r="R8" i="22"/>
  <c r="Q8" i="22"/>
  <c r="P8" i="22"/>
  <c r="O8" i="22"/>
  <c r="N8" i="22"/>
  <c r="M8" i="22"/>
  <c r="L8" i="22"/>
  <c r="K8" i="22"/>
  <c r="J8" i="22"/>
  <c r="I8" i="22"/>
  <c r="H8" i="22"/>
  <c r="G8" i="22"/>
  <c r="F8" i="22"/>
  <c r="E8" i="22"/>
  <c r="D8" i="22"/>
  <c r="C8" i="22"/>
  <c r="R7" i="22"/>
  <c r="Q7" i="22"/>
  <c r="P7" i="22"/>
  <c r="O7" i="22"/>
  <c r="N7" i="22"/>
  <c r="M7" i="22"/>
  <c r="L7" i="22"/>
  <c r="K7" i="22"/>
  <c r="J7" i="22"/>
  <c r="I7" i="22"/>
  <c r="H7" i="22"/>
  <c r="G7" i="22"/>
  <c r="F7" i="22"/>
  <c r="E7" i="22"/>
  <c r="D7" i="22"/>
  <c r="C7" i="22"/>
  <c r="R6" i="22"/>
  <c r="Q6" i="22"/>
  <c r="P6" i="22"/>
  <c r="O6" i="22"/>
  <c r="N6" i="22"/>
  <c r="M6" i="22"/>
  <c r="L6" i="22"/>
  <c r="K6" i="22"/>
  <c r="J6" i="22"/>
  <c r="I6" i="22"/>
  <c r="H6" i="22"/>
  <c r="G6" i="22"/>
  <c r="F6" i="22"/>
  <c r="E6" i="22"/>
  <c r="D6" i="22"/>
  <c r="C6" i="22"/>
  <c r="R5" i="22"/>
  <c r="Q5" i="22"/>
  <c r="P5" i="22"/>
  <c r="O5" i="22"/>
  <c r="N5" i="22"/>
  <c r="M5" i="22"/>
  <c r="L5" i="22"/>
  <c r="K5" i="22"/>
  <c r="J5" i="22"/>
  <c r="I5" i="22"/>
  <c r="H5" i="22"/>
  <c r="G5" i="22"/>
  <c r="F5" i="22"/>
  <c r="E5" i="22"/>
  <c r="D5" i="22"/>
  <c r="C5" i="22"/>
  <c r="R4" i="22"/>
  <c r="Q4" i="22"/>
  <c r="P4" i="22"/>
  <c r="O4" i="22"/>
  <c r="N4" i="22"/>
  <c r="M4" i="22"/>
  <c r="L4" i="22"/>
  <c r="K4" i="22"/>
  <c r="J4" i="22"/>
  <c r="I4" i="22"/>
  <c r="H4" i="22"/>
  <c r="G4" i="22"/>
  <c r="F4" i="22"/>
  <c r="E4" i="22"/>
  <c r="D4" i="22"/>
  <c r="C4" i="22"/>
  <c r="R3" i="22"/>
  <c r="Q3" i="22"/>
  <c r="P3" i="22"/>
  <c r="O3" i="22"/>
  <c r="N3" i="22"/>
  <c r="M3" i="22"/>
  <c r="L3" i="22"/>
  <c r="K3" i="22"/>
  <c r="J3" i="22"/>
  <c r="I3" i="22"/>
  <c r="H3" i="22"/>
  <c r="G3" i="22"/>
  <c r="F3" i="22"/>
  <c r="E3" i="22"/>
  <c r="D3" i="22"/>
  <c r="C3" i="22"/>
  <c r="B3" i="22"/>
  <c r="B4" i="19"/>
  <c r="C4" i="19"/>
  <c r="D4" i="19"/>
  <c r="E4" i="19"/>
  <c r="F4" i="19"/>
  <c r="G4" i="19"/>
  <c r="H4" i="19"/>
  <c r="I4" i="19"/>
  <c r="J4" i="19"/>
  <c r="K4" i="19"/>
  <c r="L4" i="19"/>
  <c r="M4" i="19"/>
  <c r="N4" i="19"/>
  <c r="O4" i="19"/>
  <c r="P4" i="19"/>
  <c r="Q4" i="19"/>
  <c r="R4" i="19"/>
  <c r="S4" i="19"/>
  <c r="B5" i="19"/>
  <c r="C5" i="19"/>
  <c r="D5" i="19"/>
  <c r="E5" i="19"/>
  <c r="F5" i="19"/>
  <c r="G5" i="19"/>
  <c r="H5" i="19"/>
  <c r="I5" i="19"/>
  <c r="J5" i="19"/>
  <c r="K5" i="19"/>
  <c r="L5" i="19"/>
  <c r="M5" i="19"/>
  <c r="N5" i="19"/>
  <c r="O5" i="19"/>
  <c r="P5" i="19"/>
  <c r="Q5" i="19"/>
  <c r="R5" i="19"/>
  <c r="S5" i="19"/>
  <c r="B6" i="19"/>
  <c r="C6" i="19"/>
  <c r="D6" i="19"/>
  <c r="E6" i="19"/>
  <c r="F6" i="19"/>
  <c r="G6" i="19"/>
  <c r="H6" i="19"/>
  <c r="I6" i="19"/>
  <c r="J6" i="19"/>
  <c r="K6" i="19"/>
  <c r="L6" i="19"/>
  <c r="M6" i="19"/>
  <c r="N6" i="19"/>
  <c r="O6" i="19"/>
  <c r="P6" i="19"/>
  <c r="Q6" i="19"/>
  <c r="R6" i="19"/>
  <c r="S6" i="19"/>
  <c r="B7" i="19"/>
  <c r="C7" i="19"/>
  <c r="D7" i="19"/>
  <c r="E7" i="19"/>
  <c r="F7" i="19"/>
  <c r="G7" i="19"/>
  <c r="H7" i="19"/>
  <c r="I7" i="19"/>
  <c r="J7" i="19"/>
  <c r="K7" i="19"/>
  <c r="L7" i="19"/>
  <c r="M7" i="19"/>
  <c r="N7" i="19"/>
  <c r="O7" i="19"/>
  <c r="P7" i="19"/>
  <c r="Q7" i="19"/>
  <c r="R7" i="19"/>
  <c r="S7" i="19"/>
  <c r="B8" i="19"/>
  <c r="C8" i="19"/>
  <c r="D8" i="19"/>
  <c r="E8" i="19"/>
  <c r="F8" i="19"/>
  <c r="G8" i="19"/>
  <c r="H8" i="19"/>
  <c r="I8" i="19"/>
  <c r="J8" i="19"/>
  <c r="K8" i="19"/>
  <c r="L8" i="19"/>
  <c r="M8" i="19"/>
  <c r="N8" i="19"/>
  <c r="O8" i="19"/>
  <c r="P8" i="19"/>
  <c r="Q8" i="19"/>
  <c r="R8" i="19"/>
  <c r="S8" i="19"/>
  <c r="B9" i="19"/>
  <c r="C9" i="19"/>
  <c r="D9" i="19"/>
  <c r="E9" i="19"/>
  <c r="F9" i="19"/>
  <c r="G9" i="19"/>
  <c r="H9" i="19"/>
  <c r="I9" i="19"/>
  <c r="J9" i="19"/>
  <c r="K9" i="19"/>
  <c r="L9" i="19"/>
  <c r="M9" i="19"/>
  <c r="N9" i="19"/>
  <c r="O9" i="19"/>
  <c r="P9" i="19"/>
  <c r="Q9" i="19"/>
  <c r="R9" i="19"/>
  <c r="S9" i="19"/>
  <c r="B10" i="19"/>
  <c r="C10" i="19"/>
  <c r="D10" i="19"/>
  <c r="E10" i="19"/>
  <c r="F10" i="19"/>
  <c r="G10" i="19"/>
  <c r="H10" i="19"/>
  <c r="I10" i="19"/>
  <c r="J10" i="19"/>
  <c r="K10" i="19"/>
  <c r="L10" i="19"/>
  <c r="M10" i="19"/>
  <c r="N10" i="19"/>
  <c r="O10" i="19"/>
  <c r="P10" i="19"/>
  <c r="Q10" i="19"/>
  <c r="R10" i="19"/>
  <c r="S10" i="19"/>
  <c r="B11" i="19"/>
  <c r="C11" i="19"/>
  <c r="D11" i="19"/>
  <c r="E11" i="19"/>
  <c r="F11" i="19"/>
  <c r="G11" i="19"/>
  <c r="H11" i="19"/>
  <c r="I11" i="19"/>
  <c r="J11" i="19"/>
  <c r="K11" i="19"/>
  <c r="L11" i="19"/>
  <c r="M11" i="19"/>
  <c r="N11" i="19"/>
  <c r="O11" i="19"/>
  <c r="P11" i="19"/>
  <c r="Q11" i="19"/>
  <c r="R11" i="19"/>
  <c r="S11" i="19"/>
  <c r="B12" i="19"/>
  <c r="C12" i="19"/>
  <c r="D12" i="19"/>
  <c r="E12" i="19"/>
  <c r="F12" i="19"/>
  <c r="G12" i="19"/>
  <c r="H12" i="19"/>
  <c r="I12" i="19"/>
  <c r="J12" i="19"/>
  <c r="K12" i="19"/>
  <c r="L12" i="19"/>
  <c r="M12" i="19"/>
  <c r="N12" i="19"/>
  <c r="O12" i="19"/>
  <c r="P12" i="19"/>
  <c r="Q12" i="19"/>
  <c r="R12" i="19"/>
  <c r="S12" i="19"/>
  <c r="B13" i="19"/>
  <c r="C13" i="19"/>
  <c r="D13" i="19"/>
  <c r="E13" i="19"/>
  <c r="F13" i="19"/>
  <c r="G13" i="19"/>
  <c r="H13" i="19"/>
  <c r="I13" i="19"/>
  <c r="J13" i="19"/>
  <c r="K13" i="19"/>
  <c r="L13" i="19"/>
  <c r="M13" i="19"/>
  <c r="N13" i="19"/>
  <c r="O13" i="19"/>
  <c r="P13" i="19"/>
  <c r="Q13" i="19"/>
  <c r="R13" i="19"/>
  <c r="S13" i="19"/>
  <c r="B14" i="19"/>
  <c r="C14" i="19"/>
  <c r="D14" i="19"/>
  <c r="E14" i="19"/>
  <c r="F14" i="19"/>
  <c r="G14" i="19"/>
  <c r="H14" i="19"/>
  <c r="I14" i="19"/>
  <c r="J14" i="19"/>
  <c r="K14" i="19"/>
  <c r="L14" i="19"/>
  <c r="M14" i="19"/>
  <c r="N14" i="19"/>
  <c r="O14" i="19"/>
  <c r="P14" i="19"/>
  <c r="Q14" i="19"/>
  <c r="R14" i="19"/>
  <c r="S14" i="19"/>
  <c r="B15" i="19"/>
  <c r="C15" i="19"/>
  <c r="D15" i="19"/>
  <c r="E15" i="19"/>
  <c r="F15" i="19"/>
  <c r="G15" i="19"/>
  <c r="H15" i="19"/>
  <c r="I15" i="19"/>
  <c r="J15" i="19"/>
  <c r="K15" i="19"/>
  <c r="L15" i="19"/>
  <c r="M15" i="19"/>
  <c r="N15" i="19"/>
  <c r="O15" i="19"/>
  <c r="P15" i="19"/>
  <c r="Q15" i="19"/>
  <c r="R15" i="19"/>
  <c r="S15" i="19"/>
  <c r="B16" i="19"/>
  <c r="C16" i="19"/>
  <c r="D16" i="19"/>
  <c r="E16" i="19"/>
  <c r="F16" i="19"/>
  <c r="G16" i="19"/>
  <c r="H16" i="19"/>
  <c r="I16" i="19"/>
  <c r="J16" i="19"/>
  <c r="K16" i="19"/>
  <c r="L16" i="19"/>
  <c r="M16" i="19"/>
  <c r="N16" i="19"/>
  <c r="O16" i="19"/>
  <c r="P16" i="19"/>
  <c r="Q16" i="19"/>
  <c r="R16" i="19"/>
  <c r="S16" i="19"/>
  <c r="B17" i="19"/>
  <c r="C17" i="19"/>
  <c r="D17" i="19"/>
  <c r="E17" i="19"/>
  <c r="F17" i="19"/>
  <c r="G17" i="19"/>
  <c r="H17" i="19"/>
  <c r="I17" i="19"/>
  <c r="J17" i="19"/>
  <c r="K17" i="19"/>
  <c r="L17" i="19"/>
  <c r="M17" i="19"/>
  <c r="N17" i="19"/>
  <c r="O17" i="19"/>
  <c r="P17" i="19"/>
  <c r="Q17" i="19"/>
  <c r="R17" i="19"/>
  <c r="S17" i="19"/>
  <c r="B18" i="19"/>
  <c r="C18" i="19"/>
  <c r="D18" i="19"/>
  <c r="E18" i="19"/>
  <c r="F18" i="19"/>
  <c r="G18" i="19"/>
  <c r="H18" i="19"/>
  <c r="I18" i="19"/>
  <c r="J18" i="19"/>
  <c r="K18" i="19"/>
  <c r="L18" i="19"/>
  <c r="M18" i="19"/>
  <c r="N18" i="19"/>
  <c r="O18" i="19"/>
  <c r="P18" i="19"/>
  <c r="Q18" i="19"/>
  <c r="R18" i="19"/>
  <c r="S18" i="19"/>
  <c r="B19" i="19"/>
  <c r="C19" i="19"/>
  <c r="D19" i="19"/>
  <c r="E19" i="19"/>
  <c r="F19" i="19"/>
  <c r="G19" i="19"/>
  <c r="H19" i="19"/>
  <c r="I19" i="19"/>
  <c r="J19" i="19"/>
  <c r="K19" i="19"/>
  <c r="L19" i="19"/>
  <c r="M19" i="19"/>
  <c r="N19" i="19"/>
  <c r="O19" i="19"/>
  <c r="P19" i="19"/>
  <c r="Q19" i="19"/>
  <c r="R19" i="19"/>
  <c r="S19" i="19"/>
  <c r="B20" i="19"/>
  <c r="C20" i="19"/>
  <c r="D20" i="19"/>
  <c r="E20" i="19"/>
  <c r="F20" i="19"/>
  <c r="G20" i="19"/>
  <c r="H20" i="19"/>
  <c r="I20" i="19"/>
  <c r="J20" i="19"/>
  <c r="K20" i="19"/>
  <c r="L20" i="19"/>
  <c r="M20" i="19"/>
  <c r="N20" i="19"/>
  <c r="O20" i="19"/>
  <c r="P20" i="19"/>
  <c r="Q20" i="19"/>
  <c r="R20" i="19"/>
  <c r="S20" i="19"/>
  <c r="B21" i="19"/>
  <c r="C21" i="19"/>
  <c r="D21" i="19"/>
  <c r="E21" i="19"/>
  <c r="F21" i="19"/>
  <c r="G21" i="19"/>
  <c r="H21" i="19"/>
  <c r="I21" i="19"/>
  <c r="J21" i="19"/>
  <c r="K21" i="19"/>
  <c r="L21" i="19"/>
  <c r="M21" i="19"/>
  <c r="N21" i="19"/>
  <c r="O21" i="19"/>
  <c r="P21" i="19"/>
  <c r="Q21" i="19"/>
  <c r="R21" i="19"/>
  <c r="S21" i="19"/>
  <c r="B22" i="19"/>
  <c r="C22" i="19"/>
  <c r="D22" i="19"/>
  <c r="E22" i="19"/>
  <c r="F22" i="19"/>
  <c r="G22" i="19"/>
  <c r="H22" i="19"/>
  <c r="I22" i="19"/>
  <c r="J22" i="19"/>
  <c r="K22" i="19"/>
  <c r="L22" i="19"/>
  <c r="M22" i="19"/>
  <c r="N22" i="19"/>
  <c r="O22" i="19"/>
  <c r="P22" i="19"/>
  <c r="Q22" i="19"/>
  <c r="R22" i="19"/>
  <c r="S22" i="19"/>
  <c r="B23" i="19"/>
  <c r="C23" i="19"/>
  <c r="D23" i="19"/>
  <c r="E23" i="19"/>
  <c r="F23" i="19"/>
  <c r="G23" i="19"/>
  <c r="H23" i="19"/>
  <c r="I23" i="19"/>
  <c r="J23" i="19"/>
  <c r="K23" i="19"/>
  <c r="L23" i="19"/>
  <c r="M23" i="19"/>
  <c r="N23" i="19"/>
  <c r="O23" i="19"/>
  <c r="P23" i="19"/>
  <c r="Q23" i="19"/>
  <c r="R23" i="19"/>
  <c r="S23" i="19"/>
  <c r="B24" i="19"/>
  <c r="C24" i="19"/>
  <c r="D24" i="19"/>
  <c r="E24" i="19"/>
  <c r="F24" i="19"/>
  <c r="G24" i="19"/>
  <c r="H24" i="19"/>
  <c r="I24" i="19"/>
  <c r="J24" i="19"/>
  <c r="K24" i="19"/>
  <c r="L24" i="19"/>
  <c r="M24" i="19"/>
  <c r="N24" i="19"/>
  <c r="O24" i="19"/>
  <c r="P24" i="19"/>
  <c r="Q24" i="19"/>
  <c r="R24" i="19"/>
  <c r="S24" i="19"/>
  <c r="B25" i="19"/>
  <c r="C25" i="19"/>
  <c r="D25" i="19"/>
  <c r="E25" i="19"/>
  <c r="F25" i="19"/>
  <c r="G25" i="19"/>
  <c r="H25" i="19"/>
  <c r="I25" i="19"/>
  <c r="J25" i="19"/>
  <c r="K25" i="19"/>
  <c r="L25" i="19"/>
  <c r="M25" i="19"/>
  <c r="N25" i="19"/>
  <c r="O25" i="19"/>
  <c r="P25" i="19"/>
  <c r="Q25" i="19"/>
  <c r="R25" i="19"/>
  <c r="S25" i="19"/>
  <c r="B26" i="19"/>
  <c r="C26" i="19"/>
  <c r="D26" i="19"/>
  <c r="E26" i="19"/>
  <c r="F26" i="19"/>
  <c r="G26" i="19"/>
  <c r="H26" i="19"/>
  <c r="I26" i="19"/>
  <c r="J26" i="19"/>
  <c r="K26" i="19"/>
  <c r="L26" i="19"/>
  <c r="M26" i="19"/>
  <c r="N26" i="19"/>
  <c r="O26" i="19"/>
  <c r="P26" i="19"/>
  <c r="Q26" i="19"/>
  <c r="R26" i="19"/>
  <c r="S26" i="19"/>
  <c r="B27" i="19"/>
  <c r="C27" i="19"/>
  <c r="D27" i="19"/>
  <c r="E27" i="19"/>
  <c r="F27" i="19"/>
  <c r="G27" i="19"/>
  <c r="H27" i="19"/>
  <c r="I27" i="19"/>
  <c r="J27" i="19"/>
  <c r="K27" i="19"/>
  <c r="L27" i="19"/>
  <c r="M27" i="19"/>
  <c r="N27" i="19"/>
  <c r="O27" i="19"/>
  <c r="P27" i="19"/>
  <c r="Q27" i="19"/>
  <c r="R27" i="19"/>
  <c r="S27" i="19"/>
  <c r="B28" i="19"/>
  <c r="C28" i="19"/>
  <c r="D28" i="19"/>
  <c r="E28" i="19"/>
  <c r="F28" i="19"/>
  <c r="G28" i="19"/>
  <c r="H28" i="19"/>
  <c r="I28" i="19"/>
  <c r="J28" i="19"/>
  <c r="K28" i="19"/>
  <c r="L28" i="19"/>
  <c r="M28" i="19"/>
  <c r="N28" i="19"/>
  <c r="O28" i="19"/>
  <c r="P28" i="19"/>
  <c r="Q28" i="19"/>
  <c r="R28" i="19"/>
  <c r="S28" i="19"/>
  <c r="B29" i="19"/>
  <c r="C29" i="19"/>
  <c r="D29" i="19"/>
  <c r="E29" i="19"/>
  <c r="F29" i="19"/>
  <c r="G29" i="19"/>
  <c r="H29" i="19"/>
  <c r="I29" i="19"/>
  <c r="J29" i="19"/>
  <c r="K29" i="19"/>
  <c r="L29" i="19"/>
  <c r="M29" i="19"/>
  <c r="N29" i="19"/>
  <c r="O29" i="19"/>
  <c r="P29" i="19"/>
  <c r="Q29" i="19"/>
  <c r="R29" i="19"/>
  <c r="S29" i="19"/>
  <c r="B30" i="19"/>
  <c r="C30" i="19"/>
  <c r="D30" i="19"/>
  <c r="E30" i="19"/>
  <c r="F30" i="19"/>
  <c r="G30" i="19"/>
  <c r="H30" i="19"/>
  <c r="I30" i="19"/>
  <c r="J30" i="19"/>
  <c r="K30" i="19"/>
  <c r="L30" i="19"/>
  <c r="M30" i="19"/>
  <c r="N30" i="19"/>
  <c r="O30" i="19"/>
  <c r="P30" i="19"/>
  <c r="Q30" i="19"/>
  <c r="R30" i="19"/>
  <c r="S30" i="19"/>
  <c r="B31" i="19"/>
  <c r="C31" i="19"/>
  <c r="D31" i="19"/>
  <c r="E31" i="19"/>
  <c r="F31" i="19"/>
  <c r="G31" i="19"/>
  <c r="H31" i="19"/>
  <c r="I31" i="19"/>
  <c r="J31" i="19"/>
  <c r="K31" i="19"/>
  <c r="L31" i="19"/>
  <c r="M31" i="19"/>
  <c r="N31" i="19"/>
  <c r="O31" i="19"/>
  <c r="P31" i="19"/>
  <c r="Q31" i="19"/>
  <c r="R31" i="19"/>
  <c r="S31" i="19"/>
  <c r="B32" i="19"/>
  <c r="C32" i="19"/>
  <c r="D32" i="19"/>
  <c r="E32" i="19"/>
  <c r="F32" i="19"/>
  <c r="G32" i="19"/>
  <c r="H32" i="19"/>
  <c r="I32" i="19"/>
  <c r="J32" i="19"/>
  <c r="K32" i="19"/>
  <c r="L32" i="19"/>
  <c r="M32" i="19"/>
  <c r="N32" i="19"/>
  <c r="O32" i="19"/>
  <c r="P32" i="19"/>
  <c r="Q32" i="19"/>
  <c r="R32" i="19"/>
  <c r="S32" i="19"/>
  <c r="B33" i="19"/>
  <c r="C33" i="19"/>
  <c r="D33" i="19"/>
  <c r="E33" i="19"/>
  <c r="F33" i="19"/>
  <c r="G33" i="19"/>
  <c r="H33" i="19"/>
  <c r="I33" i="19"/>
  <c r="J33" i="19"/>
  <c r="K33" i="19"/>
  <c r="L33" i="19"/>
  <c r="M33" i="19"/>
  <c r="N33" i="19"/>
  <c r="O33" i="19"/>
  <c r="P33" i="19"/>
  <c r="Q33" i="19"/>
  <c r="R33" i="19"/>
  <c r="S33" i="19"/>
  <c r="B34" i="19"/>
  <c r="C34" i="19"/>
  <c r="D34" i="19"/>
  <c r="E34" i="19"/>
  <c r="F34" i="19"/>
  <c r="G34" i="19"/>
  <c r="H34" i="19"/>
  <c r="I34" i="19"/>
  <c r="J34" i="19"/>
  <c r="K34" i="19"/>
  <c r="L34" i="19"/>
  <c r="M34" i="19"/>
  <c r="N34" i="19"/>
  <c r="O34" i="19"/>
  <c r="P34" i="19"/>
  <c r="Q34" i="19"/>
  <c r="R34" i="19"/>
  <c r="S34" i="19"/>
  <c r="B35" i="19"/>
  <c r="C35" i="19"/>
  <c r="D35" i="19"/>
  <c r="E35" i="19"/>
  <c r="F35" i="19"/>
  <c r="G35" i="19"/>
  <c r="H35" i="19"/>
  <c r="I35" i="19"/>
  <c r="J35" i="19"/>
  <c r="K35" i="19"/>
  <c r="L35" i="19"/>
  <c r="M35" i="19"/>
  <c r="N35" i="19"/>
  <c r="O35" i="19"/>
  <c r="P35" i="19"/>
  <c r="Q35" i="19"/>
  <c r="R35" i="19"/>
  <c r="S35" i="19"/>
  <c r="B36" i="19"/>
  <c r="C36" i="19"/>
  <c r="D36" i="19"/>
  <c r="E36" i="19"/>
  <c r="F36" i="19"/>
  <c r="G36" i="19"/>
  <c r="H36" i="19"/>
  <c r="I36" i="19"/>
  <c r="J36" i="19"/>
  <c r="K36" i="19"/>
  <c r="L36" i="19"/>
  <c r="M36" i="19"/>
  <c r="N36" i="19"/>
  <c r="O36" i="19"/>
  <c r="P36" i="19"/>
  <c r="Q36" i="19"/>
  <c r="R36" i="19"/>
  <c r="S36" i="19"/>
  <c r="B37" i="19"/>
  <c r="C37" i="19"/>
  <c r="D37" i="19"/>
  <c r="E37" i="19"/>
  <c r="F37" i="19"/>
  <c r="G37" i="19"/>
  <c r="H37" i="19"/>
  <c r="I37" i="19"/>
  <c r="J37" i="19"/>
  <c r="K37" i="19"/>
  <c r="L37" i="19"/>
  <c r="M37" i="19"/>
  <c r="N37" i="19"/>
  <c r="O37" i="19"/>
  <c r="P37" i="19"/>
  <c r="Q37" i="19"/>
  <c r="R37" i="19"/>
  <c r="S37" i="19"/>
  <c r="B38" i="19"/>
  <c r="C38" i="19"/>
  <c r="D38" i="19"/>
  <c r="E38" i="19"/>
  <c r="F38" i="19"/>
  <c r="G38" i="19"/>
  <c r="H38" i="19"/>
  <c r="I38" i="19"/>
  <c r="J38" i="19"/>
  <c r="K38" i="19"/>
  <c r="L38" i="19"/>
  <c r="M38" i="19"/>
  <c r="N38" i="19"/>
  <c r="O38" i="19"/>
  <c r="P38" i="19"/>
  <c r="Q38" i="19"/>
  <c r="R38" i="19"/>
  <c r="S38" i="19"/>
  <c r="B39" i="19"/>
  <c r="C39" i="19"/>
  <c r="D39" i="19"/>
  <c r="E39" i="19"/>
  <c r="F39" i="19"/>
  <c r="G39" i="19"/>
  <c r="H39" i="19"/>
  <c r="I39" i="19"/>
  <c r="J39" i="19"/>
  <c r="K39" i="19"/>
  <c r="L39" i="19"/>
  <c r="M39" i="19"/>
  <c r="N39" i="19"/>
  <c r="O39" i="19"/>
  <c r="P39" i="19"/>
  <c r="Q39" i="19"/>
  <c r="R39" i="19"/>
  <c r="S39" i="19"/>
  <c r="B40" i="19"/>
  <c r="C40" i="19"/>
  <c r="D40" i="19"/>
  <c r="E40" i="19"/>
  <c r="F40" i="19"/>
  <c r="G40" i="19"/>
  <c r="H40" i="19"/>
  <c r="I40" i="19"/>
  <c r="J40" i="19"/>
  <c r="K40" i="19"/>
  <c r="L40" i="19"/>
  <c r="M40" i="19"/>
  <c r="N40" i="19"/>
  <c r="O40" i="19"/>
  <c r="P40" i="19"/>
  <c r="Q40" i="19"/>
  <c r="R40" i="19"/>
  <c r="S40" i="19"/>
  <c r="B41" i="19"/>
  <c r="C41" i="19"/>
  <c r="D41" i="19"/>
  <c r="E41" i="19"/>
  <c r="F41" i="19"/>
  <c r="G41" i="19"/>
  <c r="H41" i="19"/>
  <c r="I41" i="19"/>
  <c r="J41" i="19"/>
  <c r="K41" i="19"/>
  <c r="L41" i="19"/>
  <c r="M41" i="19"/>
  <c r="N41" i="19"/>
  <c r="O41" i="19"/>
  <c r="P41" i="19"/>
  <c r="Q41" i="19"/>
  <c r="R41" i="19"/>
  <c r="S41" i="19"/>
  <c r="B42" i="19"/>
  <c r="C42" i="19"/>
  <c r="D42" i="19"/>
  <c r="E42" i="19"/>
  <c r="F42" i="19"/>
  <c r="G42" i="19"/>
  <c r="H42" i="19"/>
  <c r="I42" i="19"/>
  <c r="J42" i="19"/>
  <c r="K42" i="19"/>
  <c r="L42" i="19"/>
  <c r="M42" i="19"/>
  <c r="N42" i="19"/>
  <c r="O42" i="19"/>
  <c r="P42" i="19"/>
  <c r="Q42" i="19"/>
  <c r="R42" i="19"/>
  <c r="S42" i="19"/>
  <c r="B43" i="19"/>
  <c r="C43" i="19"/>
  <c r="D43" i="19"/>
  <c r="E43" i="19"/>
  <c r="F43" i="19"/>
  <c r="G43" i="19"/>
  <c r="H43" i="19"/>
  <c r="I43" i="19"/>
  <c r="J43" i="19"/>
  <c r="K43" i="19"/>
  <c r="L43" i="19"/>
  <c r="M43" i="19"/>
  <c r="N43" i="19"/>
  <c r="O43" i="19"/>
  <c r="P43" i="19"/>
  <c r="Q43" i="19"/>
  <c r="R43" i="19"/>
  <c r="S43" i="19"/>
  <c r="B44" i="19"/>
  <c r="C44" i="19"/>
  <c r="D44" i="19"/>
  <c r="E44" i="19"/>
  <c r="F44" i="19"/>
  <c r="G44" i="19"/>
  <c r="H44" i="19"/>
  <c r="I44" i="19"/>
  <c r="J44" i="19"/>
  <c r="K44" i="19"/>
  <c r="L44" i="19"/>
  <c r="M44" i="19"/>
  <c r="N44" i="19"/>
  <c r="O44" i="19"/>
  <c r="P44" i="19"/>
  <c r="Q44" i="19"/>
  <c r="R44" i="19"/>
  <c r="S44" i="19"/>
  <c r="B45" i="19"/>
  <c r="C45" i="19"/>
  <c r="D45" i="19"/>
  <c r="E45" i="19"/>
  <c r="F45" i="19"/>
  <c r="G45" i="19"/>
  <c r="H45" i="19"/>
  <c r="I45" i="19"/>
  <c r="J45" i="19"/>
  <c r="K45" i="19"/>
  <c r="L45" i="19"/>
  <c r="M45" i="19"/>
  <c r="N45" i="19"/>
  <c r="O45" i="19"/>
  <c r="P45" i="19"/>
  <c r="Q45" i="19"/>
  <c r="R45" i="19"/>
  <c r="S45" i="19"/>
  <c r="B46" i="19"/>
  <c r="C46" i="19"/>
  <c r="D46" i="19"/>
  <c r="E46" i="19"/>
  <c r="F46" i="19"/>
  <c r="G46" i="19"/>
  <c r="H46" i="19"/>
  <c r="I46" i="19"/>
  <c r="J46" i="19"/>
  <c r="K46" i="19"/>
  <c r="L46" i="19"/>
  <c r="M46" i="19"/>
  <c r="N46" i="19"/>
  <c r="O46" i="19"/>
  <c r="P46" i="19"/>
  <c r="Q46" i="19"/>
  <c r="R46" i="19"/>
  <c r="S46" i="19"/>
  <c r="B47" i="19"/>
  <c r="C47" i="19"/>
  <c r="D47" i="19"/>
  <c r="E47" i="19"/>
  <c r="F47" i="19"/>
  <c r="G47" i="19"/>
  <c r="H47" i="19"/>
  <c r="I47" i="19"/>
  <c r="J47" i="19"/>
  <c r="K47" i="19"/>
  <c r="L47" i="19"/>
  <c r="M47" i="19"/>
  <c r="N47" i="19"/>
  <c r="O47" i="19"/>
  <c r="P47" i="19"/>
  <c r="Q47" i="19"/>
  <c r="R47" i="19"/>
  <c r="S47" i="19"/>
  <c r="B48" i="19"/>
  <c r="C48" i="19"/>
  <c r="D48" i="19"/>
  <c r="E48" i="19"/>
  <c r="F48" i="19"/>
  <c r="G48" i="19"/>
  <c r="H48" i="19"/>
  <c r="I48" i="19"/>
  <c r="J48" i="19"/>
  <c r="K48" i="19"/>
  <c r="L48" i="19"/>
  <c r="M48" i="19"/>
  <c r="N48" i="19"/>
  <c r="O48" i="19"/>
  <c r="P48" i="19"/>
  <c r="Q48" i="19"/>
  <c r="R48" i="19"/>
  <c r="S48" i="19"/>
  <c r="B49" i="19"/>
  <c r="C49" i="19"/>
  <c r="D49" i="19"/>
  <c r="E49" i="19"/>
  <c r="F49" i="19"/>
  <c r="G49" i="19"/>
  <c r="H49" i="19"/>
  <c r="I49" i="19"/>
  <c r="J49" i="19"/>
  <c r="K49" i="19"/>
  <c r="L49" i="19"/>
  <c r="M49" i="19"/>
  <c r="N49" i="19"/>
  <c r="O49" i="19"/>
  <c r="P49" i="19"/>
  <c r="Q49" i="19"/>
  <c r="R49" i="19"/>
  <c r="S49" i="19"/>
  <c r="B50" i="19"/>
  <c r="C50" i="19"/>
  <c r="D50" i="19"/>
  <c r="E50" i="19"/>
  <c r="F50" i="19"/>
  <c r="G50" i="19"/>
  <c r="H50" i="19"/>
  <c r="I50" i="19"/>
  <c r="J50" i="19"/>
  <c r="K50" i="19"/>
  <c r="L50" i="19"/>
  <c r="M50" i="19"/>
  <c r="N50" i="19"/>
  <c r="O50" i="19"/>
  <c r="P50" i="19"/>
  <c r="Q50" i="19"/>
  <c r="R50" i="19"/>
  <c r="S50" i="19"/>
  <c r="B51" i="19"/>
  <c r="C51" i="19"/>
  <c r="D51" i="19"/>
  <c r="E51" i="19"/>
  <c r="F51" i="19"/>
  <c r="G51" i="19"/>
  <c r="H51" i="19"/>
  <c r="I51" i="19"/>
  <c r="J51" i="19"/>
  <c r="K51" i="19"/>
  <c r="L51" i="19"/>
  <c r="M51" i="19"/>
  <c r="N51" i="19"/>
  <c r="O51" i="19"/>
  <c r="P51" i="19"/>
  <c r="Q51" i="19"/>
  <c r="R51" i="19"/>
  <c r="S51" i="19"/>
  <c r="B52" i="19"/>
  <c r="C52" i="19"/>
  <c r="D52" i="19"/>
  <c r="E52" i="19"/>
  <c r="F52" i="19"/>
  <c r="G52" i="19"/>
  <c r="H52" i="19"/>
  <c r="I52" i="19"/>
  <c r="J52" i="19"/>
  <c r="K52" i="19"/>
  <c r="L52" i="19"/>
  <c r="M52" i="19"/>
  <c r="N52" i="19"/>
  <c r="O52" i="19"/>
  <c r="P52" i="19"/>
  <c r="Q52" i="19"/>
  <c r="R52" i="19"/>
  <c r="S52" i="19"/>
  <c r="B53" i="19"/>
  <c r="C53" i="19"/>
  <c r="D53" i="19"/>
  <c r="E53" i="19"/>
  <c r="F53" i="19"/>
  <c r="G53" i="19"/>
  <c r="H53" i="19"/>
  <c r="I53" i="19"/>
  <c r="J53" i="19"/>
  <c r="K53" i="19"/>
  <c r="L53" i="19"/>
  <c r="M53" i="19"/>
  <c r="N53" i="19"/>
  <c r="O53" i="19"/>
  <c r="P53" i="19"/>
  <c r="Q53" i="19"/>
  <c r="R53" i="19"/>
  <c r="S53" i="19"/>
  <c r="B54" i="19"/>
  <c r="C54" i="19"/>
  <c r="D54" i="19"/>
  <c r="E54" i="19"/>
  <c r="F54" i="19"/>
  <c r="G54" i="19"/>
  <c r="H54" i="19"/>
  <c r="I54" i="19"/>
  <c r="J54" i="19"/>
  <c r="K54" i="19"/>
  <c r="L54" i="19"/>
  <c r="M54" i="19"/>
  <c r="N54" i="19"/>
  <c r="O54" i="19"/>
  <c r="P54" i="19"/>
  <c r="Q54" i="19"/>
  <c r="R54" i="19"/>
  <c r="S54" i="19"/>
  <c r="B55" i="19"/>
  <c r="C55" i="19"/>
  <c r="D55" i="19"/>
  <c r="E55" i="19"/>
  <c r="F55" i="19"/>
  <c r="G55" i="19"/>
  <c r="H55" i="19"/>
  <c r="I55" i="19"/>
  <c r="J55" i="19"/>
  <c r="K55" i="19"/>
  <c r="L55" i="19"/>
  <c r="M55" i="19"/>
  <c r="N55" i="19"/>
  <c r="O55" i="19"/>
  <c r="P55" i="19"/>
  <c r="Q55" i="19"/>
  <c r="R55" i="19"/>
  <c r="S55" i="19"/>
  <c r="B56" i="19"/>
  <c r="C56" i="19"/>
  <c r="D56" i="19"/>
  <c r="E56" i="19"/>
  <c r="F56" i="19"/>
  <c r="G56" i="19"/>
  <c r="H56" i="19"/>
  <c r="I56" i="19"/>
  <c r="J56" i="19"/>
  <c r="K56" i="19"/>
  <c r="L56" i="19"/>
  <c r="M56" i="19"/>
  <c r="N56" i="19"/>
  <c r="O56" i="19"/>
  <c r="P56" i="19"/>
  <c r="Q56" i="19"/>
  <c r="R56" i="19"/>
  <c r="S56" i="19"/>
  <c r="B57" i="19"/>
  <c r="C57" i="19"/>
  <c r="D57" i="19"/>
  <c r="E57" i="19"/>
  <c r="F57" i="19"/>
  <c r="G57" i="19"/>
  <c r="H57" i="19"/>
  <c r="I57" i="19"/>
  <c r="J57" i="19"/>
  <c r="K57" i="19"/>
  <c r="L57" i="19"/>
  <c r="M57" i="19"/>
  <c r="N57" i="19"/>
  <c r="O57" i="19"/>
  <c r="P57" i="19"/>
  <c r="Q57" i="19"/>
  <c r="R57" i="19"/>
  <c r="S57" i="19"/>
  <c r="B58" i="19"/>
  <c r="C58" i="19"/>
  <c r="D58" i="19"/>
  <c r="E58" i="19"/>
  <c r="F58" i="19"/>
  <c r="G58" i="19"/>
  <c r="H58" i="19"/>
  <c r="I58" i="19"/>
  <c r="J58" i="19"/>
  <c r="K58" i="19"/>
  <c r="L58" i="19"/>
  <c r="M58" i="19"/>
  <c r="N58" i="19"/>
  <c r="O58" i="19"/>
  <c r="P58" i="19"/>
  <c r="Q58" i="19"/>
  <c r="R58" i="19"/>
  <c r="S58" i="19"/>
  <c r="B59" i="19"/>
  <c r="C59" i="19"/>
  <c r="D59" i="19"/>
  <c r="E59" i="19"/>
  <c r="F59" i="19"/>
  <c r="G59" i="19"/>
  <c r="H59" i="19"/>
  <c r="I59" i="19"/>
  <c r="J59" i="19"/>
  <c r="K59" i="19"/>
  <c r="L59" i="19"/>
  <c r="M59" i="19"/>
  <c r="N59" i="19"/>
  <c r="O59" i="19"/>
  <c r="P59" i="19"/>
  <c r="Q59" i="19"/>
  <c r="R59" i="19"/>
  <c r="S59" i="19"/>
  <c r="B60" i="19"/>
  <c r="C60" i="19"/>
  <c r="D60" i="19"/>
  <c r="E60" i="19"/>
  <c r="F60" i="19"/>
  <c r="G60" i="19"/>
  <c r="H60" i="19"/>
  <c r="I60" i="19"/>
  <c r="J60" i="19"/>
  <c r="K60" i="19"/>
  <c r="L60" i="19"/>
  <c r="M60" i="19"/>
  <c r="N60" i="19"/>
  <c r="O60" i="19"/>
  <c r="P60" i="19"/>
  <c r="Q60" i="19"/>
  <c r="R60" i="19"/>
  <c r="S60" i="19"/>
  <c r="B61" i="19"/>
  <c r="C61" i="19"/>
  <c r="D61" i="19"/>
  <c r="E61" i="19"/>
  <c r="F61" i="19"/>
  <c r="G61" i="19"/>
  <c r="H61" i="19"/>
  <c r="I61" i="19"/>
  <c r="J61" i="19"/>
  <c r="K61" i="19"/>
  <c r="L61" i="19"/>
  <c r="M61" i="19"/>
  <c r="N61" i="19"/>
  <c r="O61" i="19"/>
  <c r="P61" i="19"/>
  <c r="Q61" i="19"/>
  <c r="R61" i="19"/>
  <c r="S61" i="19"/>
  <c r="B62" i="19"/>
  <c r="C62" i="19"/>
  <c r="D62" i="19"/>
  <c r="E62" i="19"/>
  <c r="F62" i="19"/>
  <c r="G62" i="19"/>
  <c r="H62" i="19"/>
  <c r="I62" i="19"/>
  <c r="J62" i="19"/>
  <c r="K62" i="19"/>
  <c r="L62" i="19"/>
  <c r="M62" i="19"/>
  <c r="N62" i="19"/>
  <c r="O62" i="19"/>
  <c r="P62" i="19"/>
  <c r="Q62" i="19"/>
  <c r="R62" i="19"/>
  <c r="S62" i="19"/>
  <c r="B63" i="19"/>
  <c r="C63" i="19"/>
  <c r="D63" i="19"/>
  <c r="E63" i="19"/>
  <c r="F63" i="19"/>
  <c r="G63" i="19"/>
  <c r="H63" i="19"/>
  <c r="I63" i="19"/>
  <c r="J63" i="19"/>
  <c r="K63" i="19"/>
  <c r="L63" i="19"/>
  <c r="M63" i="19"/>
  <c r="N63" i="19"/>
  <c r="O63" i="19"/>
  <c r="P63" i="19"/>
  <c r="Q63" i="19"/>
  <c r="R63" i="19"/>
  <c r="S63" i="19"/>
  <c r="B64" i="19"/>
  <c r="C64" i="19"/>
  <c r="D64" i="19"/>
  <c r="E64" i="19"/>
  <c r="F64" i="19"/>
  <c r="G64" i="19"/>
  <c r="H64" i="19"/>
  <c r="I64" i="19"/>
  <c r="J64" i="19"/>
  <c r="K64" i="19"/>
  <c r="L64" i="19"/>
  <c r="M64" i="19"/>
  <c r="N64" i="19"/>
  <c r="O64" i="19"/>
  <c r="P64" i="19"/>
  <c r="Q64" i="19"/>
  <c r="R64" i="19"/>
  <c r="S64" i="19"/>
  <c r="B65" i="19"/>
  <c r="C65" i="19"/>
  <c r="D65" i="19"/>
  <c r="E65" i="19"/>
  <c r="F65" i="19"/>
  <c r="G65" i="19"/>
  <c r="H65" i="19"/>
  <c r="I65" i="19"/>
  <c r="J65" i="19"/>
  <c r="K65" i="19"/>
  <c r="L65" i="19"/>
  <c r="M65" i="19"/>
  <c r="N65" i="19"/>
  <c r="O65" i="19"/>
  <c r="P65" i="19"/>
  <c r="Q65" i="19"/>
  <c r="R65" i="19"/>
  <c r="S65" i="19"/>
  <c r="B66" i="19"/>
  <c r="C66" i="19"/>
  <c r="D66" i="19"/>
  <c r="E66" i="19"/>
  <c r="F66" i="19"/>
  <c r="G66" i="19"/>
  <c r="H66" i="19"/>
  <c r="I66" i="19"/>
  <c r="J66" i="19"/>
  <c r="K66" i="19"/>
  <c r="L66" i="19"/>
  <c r="M66" i="19"/>
  <c r="N66" i="19"/>
  <c r="O66" i="19"/>
  <c r="P66" i="19"/>
  <c r="Q66" i="19"/>
  <c r="R66" i="19"/>
  <c r="S66" i="19"/>
  <c r="B67" i="19"/>
  <c r="C67" i="19"/>
  <c r="D67" i="19"/>
  <c r="E67" i="19"/>
  <c r="F67" i="19"/>
  <c r="G67" i="19"/>
  <c r="H67" i="19"/>
  <c r="I67" i="19"/>
  <c r="J67" i="19"/>
  <c r="K67" i="19"/>
  <c r="L67" i="19"/>
  <c r="M67" i="19"/>
  <c r="N67" i="19"/>
  <c r="O67" i="19"/>
  <c r="P67" i="19"/>
  <c r="Q67" i="19"/>
  <c r="R67" i="19"/>
  <c r="S67" i="19"/>
  <c r="B68" i="19"/>
  <c r="C68" i="19"/>
  <c r="D68" i="19"/>
  <c r="E68" i="19"/>
  <c r="F68" i="19"/>
  <c r="G68" i="19"/>
  <c r="H68" i="19"/>
  <c r="I68" i="19"/>
  <c r="J68" i="19"/>
  <c r="K68" i="19"/>
  <c r="L68" i="19"/>
  <c r="M68" i="19"/>
  <c r="N68" i="19"/>
  <c r="O68" i="19"/>
  <c r="P68" i="19"/>
  <c r="Q68" i="19"/>
  <c r="R68" i="19"/>
  <c r="S68" i="19"/>
  <c r="B69" i="19"/>
  <c r="C69" i="19"/>
  <c r="D69" i="19"/>
  <c r="E69" i="19"/>
  <c r="F69" i="19"/>
  <c r="G69" i="19"/>
  <c r="H69" i="19"/>
  <c r="I69" i="19"/>
  <c r="J69" i="19"/>
  <c r="K69" i="19"/>
  <c r="L69" i="19"/>
  <c r="M69" i="19"/>
  <c r="N69" i="19"/>
  <c r="O69" i="19"/>
  <c r="P69" i="19"/>
  <c r="Q69" i="19"/>
  <c r="R69" i="19"/>
  <c r="S69" i="19"/>
  <c r="B70" i="19"/>
  <c r="C70" i="19"/>
  <c r="D70" i="19"/>
  <c r="E70" i="19"/>
  <c r="F70" i="19"/>
  <c r="G70" i="19"/>
  <c r="H70" i="19"/>
  <c r="I70" i="19"/>
  <c r="J70" i="19"/>
  <c r="K70" i="19"/>
  <c r="L70" i="19"/>
  <c r="M70" i="19"/>
  <c r="N70" i="19"/>
  <c r="O70" i="19"/>
  <c r="P70" i="19"/>
  <c r="Q70" i="19"/>
  <c r="R70" i="19"/>
  <c r="S70" i="19"/>
  <c r="B71" i="19"/>
  <c r="C71" i="19"/>
  <c r="D71" i="19"/>
  <c r="E71" i="19"/>
  <c r="F71" i="19"/>
  <c r="G71" i="19"/>
  <c r="H71" i="19"/>
  <c r="I71" i="19"/>
  <c r="J71" i="19"/>
  <c r="K71" i="19"/>
  <c r="L71" i="19"/>
  <c r="M71" i="19"/>
  <c r="N71" i="19"/>
  <c r="O71" i="19"/>
  <c r="P71" i="19"/>
  <c r="Q71" i="19"/>
  <c r="R71" i="19"/>
  <c r="S71" i="19"/>
  <c r="B72" i="19"/>
  <c r="C72" i="19"/>
  <c r="D72" i="19"/>
  <c r="E72" i="19"/>
  <c r="F72" i="19"/>
  <c r="G72" i="19"/>
  <c r="H72" i="19"/>
  <c r="I72" i="19"/>
  <c r="J72" i="19"/>
  <c r="K72" i="19"/>
  <c r="L72" i="19"/>
  <c r="M72" i="19"/>
  <c r="N72" i="19"/>
  <c r="O72" i="19"/>
  <c r="P72" i="19"/>
  <c r="Q72" i="19"/>
  <c r="R72" i="19"/>
  <c r="S72" i="19"/>
  <c r="B73" i="19"/>
  <c r="C73" i="19"/>
  <c r="D73" i="19"/>
  <c r="E73" i="19"/>
  <c r="F73" i="19"/>
  <c r="G73" i="19"/>
  <c r="H73" i="19"/>
  <c r="I73" i="19"/>
  <c r="J73" i="19"/>
  <c r="K73" i="19"/>
  <c r="L73" i="19"/>
  <c r="M73" i="19"/>
  <c r="N73" i="19"/>
  <c r="O73" i="19"/>
  <c r="P73" i="19"/>
  <c r="Q73" i="19"/>
  <c r="R73" i="19"/>
  <c r="S73" i="19"/>
  <c r="B74" i="19"/>
  <c r="C74" i="19"/>
  <c r="D74" i="19"/>
  <c r="E74" i="19"/>
  <c r="F74" i="19"/>
  <c r="G74" i="19"/>
  <c r="H74" i="19"/>
  <c r="I74" i="19"/>
  <c r="J74" i="19"/>
  <c r="K74" i="19"/>
  <c r="L74" i="19"/>
  <c r="M74" i="19"/>
  <c r="N74" i="19"/>
  <c r="O74" i="19"/>
  <c r="P74" i="19"/>
  <c r="Q74" i="19"/>
  <c r="R74" i="19"/>
  <c r="S74" i="19"/>
  <c r="B75" i="19"/>
  <c r="C75" i="19"/>
  <c r="D75" i="19"/>
  <c r="E75" i="19"/>
  <c r="F75" i="19"/>
  <c r="G75" i="19"/>
  <c r="H75" i="19"/>
  <c r="I75" i="19"/>
  <c r="J75" i="19"/>
  <c r="K75" i="19"/>
  <c r="L75" i="19"/>
  <c r="M75" i="19"/>
  <c r="N75" i="19"/>
  <c r="O75" i="19"/>
  <c r="P75" i="19"/>
  <c r="Q75" i="19"/>
  <c r="R75" i="19"/>
  <c r="S75" i="19"/>
  <c r="B76" i="19"/>
  <c r="C76" i="19"/>
  <c r="D76" i="19"/>
  <c r="E76" i="19"/>
  <c r="F76" i="19"/>
  <c r="G76" i="19"/>
  <c r="H76" i="19"/>
  <c r="I76" i="19"/>
  <c r="J76" i="19"/>
  <c r="K76" i="19"/>
  <c r="L76" i="19"/>
  <c r="M76" i="19"/>
  <c r="N76" i="19"/>
  <c r="O76" i="19"/>
  <c r="P76" i="19"/>
  <c r="Q76" i="19"/>
  <c r="R76" i="19"/>
  <c r="S76" i="19"/>
  <c r="B77" i="19"/>
  <c r="C77" i="19"/>
  <c r="D77" i="19"/>
  <c r="E77" i="19"/>
  <c r="F77" i="19"/>
  <c r="G77" i="19"/>
  <c r="H77" i="19"/>
  <c r="I77" i="19"/>
  <c r="J77" i="19"/>
  <c r="K77" i="19"/>
  <c r="L77" i="19"/>
  <c r="M77" i="19"/>
  <c r="N77" i="19"/>
  <c r="O77" i="19"/>
  <c r="P77" i="19"/>
  <c r="Q77" i="19"/>
  <c r="R77" i="19"/>
  <c r="S77" i="19"/>
  <c r="B78" i="19"/>
  <c r="C78" i="19"/>
  <c r="D78" i="19"/>
  <c r="E78" i="19"/>
  <c r="F78" i="19"/>
  <c r="G78" i="19"/>
  <c r="H78" i="19"/>
  <c r="I78" i="19"/>
  <c r="J78" i="19"/>
  <c r="K78" i="19"/>
  <c r="L78" i="19"/>
  <c r="M78" i="19"/>
  <c r="N78" i="19"/>
  <c r="O78" i="19"/>
  <c r="P78" i="19"/>
  <c r="Q78" i="19"/>
  <c r="R78" i="19"/>
  <c r="S78" i="19"/>
  <c r="B79" i="19"/>
  <c r="C79" i="19"/>
  <c r="D79" i="19"/>
  <c r="E79" i="19"/>
  <c r="F79" i="19"/>
  <c r="G79" i="19"/>
  <c r="H79" i="19"/>
  <c r="I79" i="19"/>
  <c r="J79" i="19"/>
  <c r="K79" i="19"/>
  <c r="L79" i="19"/>
  <c r="M79" i="19"/>
  <c r="N79" i="19"/>
  <c r="O79" i="19"/>
  <c r="P79" i="19"/>
  <c r="Q79" i="19"/>
  <c r="R79" i="19"/>
  <c r="S79" i="19"/>
  <c r="B80" i="19"/>
  <c r="C80" i="19"/>
  <c r="D80" i="19"/>
  <c r="E80" i="19"/>
  <c r="F80" i="19"/>
  <c r="G80" i="19"/>
  <c r="H80" i="19"/>
  <c r="I80" i="19"/>
  <c r="J80" i="19"/>
  <c r="K80" i="19"/>
  <c r="L80" i="19"/>
  <c r="M80" i="19"/>
  <c r="N80" i="19"/>
  <c r="O80" i="19"/>
  <c r="P80" i="19"/>
  <c r="Q80" i="19"/>
  <c r="R80" i="19"/>
  <c r="S80" i="19"/>
  <c r="B81" i="19"/>
  <c r="C81" i="19"/>
  <c r="D81" i="19"/>
  <c r="E81" i="19"/>
  <c r="F81" i="19"/>
  <c r="G81" i="19"/>
  <c r="H81" i="19"/>
  <c r="I81" i="19"/>
  <c r="J81" i="19"/>
  <c r="K81" i="19"/>
  <c r="L81" i="19"/>
  <c r="M81" i="19"/>
  <c r="N81" i="19"/>
  <c r="O81" i="19"/>
  <c r="P81" i="19"/>
  <c r="Q81" i="19"/>
  <c r="R81" i="19"/>
  <c r="S81" i="19"/>
  <c r="B82" i="19"/>
  <c r="C82" i="19"/>
  <c r="D82" i="19"/>
  <c r="E82" i="19"/>
  <c r="F82" i="19"/>
  <c r="G82" i="19"/>
  <c r="H82" i="19"/>
  <c r="I82" i="19"/>
  <c r="J82" i="19"/>
  <c r="K82" i="19"/>
  <c r="L82" i="19"/>
  <c r="M82" i="19"/>
  <c r="N82" i="19"/>
  <c r="O82" i="19"/>
  <c r="P82" i="19"/>
  <c r="Q82" i="19"/>
  <c r="R82" i="19"/>
  <c r="S82" i="19"/>
  <c r="B83" i="19"/>
  <c r="C83" i="19"/>
  <c r="D83" i="19"/>
  <c r="E83" i="19"/>
  <c r="F83" i="19"/>
  <c r="G83" i="19"/>
  <c r="H83" i="19"/>
  <c r="I83" i="19"/>
  <c r="J83" i="19"/>
  <c r="K83" i="19"/>
  <c r="L83" i="19"/>
  <c r="M83" i="19"/>
  <c r="N83" i="19"/>
  <c r="O83" i="19"/>
  <c r="P83" i="19"/>
  <c r="Q83" i="19"/>
  <c r="R83" i="19"/>
  <c r="S83" i="19"/>
  <c r="B84" i="19"/>
  <c r="C84" i="19"/>
  <c r="D84" i="19"/>
  <c r="E84" i="19"/>
  <c r="F84" i="19"/>
  <c r="G84" i="19"/>
  <c r="H84" i="19"/>
  <c r="I84" i="19"/>
  <c r="J84" i="19"/>
  <c r="K84" i="19"/>
  <c r="L84" i="19"/>
  <c r="M84" i="19"/>
  <c r="N84" i="19"/>
  <c r="O84" i="19"/>
  <c r="P84" i="19"/>
  <c r="Q84" i="19"/>
  <c r="R84" i="19"/>
  <c r="S84" i="19"/>
  <c r="B85" i="19"/>
  <c r="C85" i="19"/>
  <c r="D85" i="19"/>
  <c r="E85" i="19"/>
  <c r="F85" i="19"/>
  <c r="G85" i="19"/>
  <c r="H85" i="19"/>
  <c r="I85" i="19"/>
  <c r="J85" i="19"/>
  <c r="K85" i="19"/>
  <c r="L85" i="19"/>
  <c r="M85" i="19"/>
  <c r="N85" i="19"/>
  <c r="O85" i="19"/>
  <c r="P85" i="19"/>
  <c r="Q85" i="19"/>
  <c r="R85" i="19"/>
  <c r="S85" i="19"/>
  <c r="B86" i="19"/>
  <c r="C86" i="19"/>
  <c r="D86" i="19"/>
  <c r="E86" i="19"/>
  <c r="F86" i="19"/>
  <c r="G86" i="19"/>
  <c r="H86" i="19"/>
  <c r="I86" i="19"/>
  <c r="J86" i="19"/>
  <c r="K86" i="19"/>
  <c r="L86" i="19"/>
  <c r="M86" i="19"/>
  <c r="N86" i="19"/>
  <c r="O86" i="19"/>
  <c r="P86" i="19"/>
  <c r="Q86" i="19"/>
  <c r="R86" i="19"/>
  <c r="S86" i="19"/>
  <c r="B87" i="19"/>
  <c r="C87" i="19"/>
  <c r="D87" i="19"/>
  <c r="E87" i="19"/>
  <c r="F87" i="19"/>
  <c r="G87" i="19"/>
  <c r="H87" i="19"/>
  <c r="I87" i="19"/>
  <c r="J87" i="19"/>
  <c r="K87" i="19"/>
  <c r="L87" i="19"/>
  <c r="M87" i="19"/>
  <c r="N87" i="19"/>
  <c r="O87" i="19"/>
  <c r="P87" i="19"/>
  <c r="Q87" i="19"/>
  <c r="R87" i="19"/>
  <c r="S87" i="19"/>
  <c r="B88" i="19"/>
  <c r="C88" i="19"/>
  <c r="D88" i="19"/>
  <c r="E88" i="19"/>
  <c r="F88" i="19"/>
  <c r="G88" i="19"/>
  <c r="H88" i="19"/>
  <c r="I88" i="19"/>
  <c r="J88" i="19"/>
  <c r="K88" i="19"/>
  <c r="L88" i="19"/>
  <c r="M88" i="19"/>
  <c r="N88" i="19"/>
  <c r="O88" i="19"/>
  <c r="P88" i="19"/>
  <c r="Q88" i="19"/>
  <c r="R88" i="19"/>
  <c r="S88" i="19"/>
  <c r="B89" i="19"/>
  <c r="C89" i="19"/>
  <c r="D89" i="19"/>
  <c r="E89" i="19"/>
  <c r="F89" i="19"/>
  <c r="G89" i="19"/>
  <c r="H89" i="19"/>
  <c r="I89" i="19"/>
  <c r="J89" i="19"/>
  <c r="K89" i="19"/>
  <c r="L89" i="19"/>
  <c r="M89" i="19"/>
  <c r="N89" i="19"/>
  <c r="O89" i="19"/>
  <c r="P89" i="19"/>
  <c r="Q89" i="19"/>
  <c r="R89" i="19"/>
  <c r="S89" i="19"/>
  <c r="B90" i="19"/>
  <c r="C90" i="19"/>
  <c r="D90" i="19"/>
  <c r="E90" i="19"/>
  <c r="F90" i="19"/>
  <c r="G90" i="19"/>
  <c r="H90" i="19"/>
  <c r="I90" i="19"/>
  <c r="J90" i="19"/>
  <c r="K90" i="19"/>
  <c r="L90" i="19"/>
  <c r="M90" i="19"/>
  <c r="N90" i="19"/>
  <c r="O90" i="19"/>
  <c r="P90" i="19"/>
  <c r="Q90" i="19"/>
  <c r="R90" i="19"/>
  <c r="S90" i="19"/>
  <c r="B91" i="19"/>
  <c r="C91" i="19"/>
  <c r="D91" i="19"/>
  <c r="E91" i="19"/>
  <c r="F91" i="19"/>
  <c r="G91" i="19"/>
  <c r="H91" i="19"/>
  <c r="I91" i="19"/>
  <c r="J91" i="19"/>
  <c r="K91" i="19"/>
  <c r="L91" i="19"/>
  <c r="M91" i="19"/>
  <c r="N91" i="19"/>
  <c r="O91" i="19"/>
  <c r="P91" i="19"/>
  <c r="Q91" i="19"/>
  <c r="R91" i="19"/>
  <c r="S91" i="19"/>
  <c r="B92" i="19"/>
  <c r="C92" i="19"/>
  <c r="D92" i="19"/>
  <c r="E92" i="19"/>
  <c r="F92" i="19"/>
  <c r="G92" i="19"/>
  <c r="H92" i="19"/>
  <c r="I92" i="19"/>
  <c r="J92" i="19"/>
  <c r="K92" i="19"/>
  <c r="L92" i="19"/>
  <c r="M92" i="19"/>
  <c r="N92" i="19"/>
  <c r="O92" i="19"/>
  <c r="P92" i="19"/>
  <c r="Q92" i="19"/>
  <c r="R92" i="19"/>
  <c r="S92" i="19"/>
  <c r="B93" i="19"/>
  <c r="C93" i="19"/>
  <c r="D93" i="19"/>
  <c r="E93" i="19"/>
  <c r="F93" i="19"/>
  <c r="G93" i="19"/>
  <c r="H93" i="19"/>
  <c r="I93" i="19"/>
  <c r="J93" i="19"/>
  <c r="K93" i="19"/>
  <c r="L93" i="19"/>
  <c r="M93" i="19"/>
  <c r="N93" i="19"/>
  <c r="O93" i="19"/>
  <c r="P93" i="19"/>
  <c r="Q93" i="19"/>
  <c r="R93" i="19"/>
  <c r="S93" i="19"/>
  <c r="B94" i="19"/>
  <c r="C94" i="19"/>
  <c r="D94" i="19"/>
  <c r="E94" i="19"/>
  <c r="F94" i="19"/>
  <c r="G94" i="19"/>
  <c r="H94" i="19"/>
  <c r="I94" i="19"/>
  <c r="J94" i="19"/>
  <c r="K94" i="19"/>
  <c r="L94" i="19"/>
  <c r="M94" i="19"/>
  <c r="N94" i="19"/>
  <c r="O94" i="19"/>
  <c r="P94" i="19"/>
  <c r="Q94" i="19"/>
  <c r="R94" i="19"/>
  <c r="S94" i="19"/>
  <c r="B95" i="19"/>
  <c r="C95" i="19"/>
  <c r="D95" i="19"/>
  <c r="E95" i="19"/>
  <c r="F95" i="19"/>
  <c r="G95" i="19"/>
  <c r="H95" i="19"/>
  <c r="I95" i="19"/>
  <c r="J95" i="19"/>
  <c r="K95" i="19"/>
  <c r="L95" i="19"/>
  <c r="M95" i="19"/>
  <c r="N95" i="19"/>
  <c r="O95" i="19"/>
  <c r="P95" i="19"/>
  <c r="Q95" i="19"/>
  <c r="R95" i="19"/>
  <c r="S95" i="19"/>
  <c r="B96" i="19"/>
  <c r="C96" i="19"/>
  <c r="D96" i="19"/>
  <c r="E96" i="19"/>
  <c r="F96" i="19"/>
  <c r="G96" i="19"/>
  <c r="H96" i="19"/>
  <c r="I96" i="19"/>
  <c r="J96" i="19"/>
  <c r="K96" i="19"/>
  <c r="L96" i="19"/>
  <c r="M96" i="19"/>
  <c r="N96" i="19"/>
  <c r="O96" i="19"/>
  <c r="P96" i="19"/>
  <c r="Q96" i="19"/>
  <c r="R96" i="19"/>
  <c r="S96" i="19"/>
  <c r="B97" i="19"/>
  <c r="C97" i="19"/>
  <c r="D97" i="19"/>
  <c r="E97" i="19"/>
  <c r="F97" i="19"/>
  <c r="G97" i="19"/>
  <c r="H97" i="19"/>
  <c r="I97" i="19"/>
  <c r="J97" i="19"/>
  <c r="K97" i="19"/>
  <c r="L97" i="19"/>
  <c r="M97" i="19"/>
  <c r="N97" i="19"/>
  <c r="O97" i="19"/>
  <c r="P97" i="19"/>
  <c r="Q97" i="19"/>
  <c r="R97" i="19"/>
  <c r="S97" i="19"/>
  <c r="B98" i="19"/>
  <c r="C98" i="19"/>
  <c r="D98" i="19"/>
  <c r="E98" i="19"/>
  <c r="F98" i="19"/>
  <c r="G98" i="19"/>
  <c r="H98" i="19"/>
  <c r="I98" i="19"/>
  <c r="J98" i="19"/>
  <c r="K98" i="19"/>
  <c r="L98" i="19"/>
  <c r="M98" i="19"/>
  <c r="N98" i="19"/>
  <c r="O98" i="19"/>
  <c r="P98" i="19"/>
  <c r="Q98" i="19"/>
  <c r="R98" i="19"/>
  <c r="S98" i="19"/>
  <c r="B99" i="19"/>
  <c r="C99" i="19"/>
  <c r="D99" i="19"/>
  <c r="E99" i="19"/>
  <c r="F99" i="19"/>
  <c r="G99" i="19"/>
  <c r="H99" i="19"/>
  <c r="I99" i="19"/>
  <c r="J99" i="19"/>
  <c r="K99" i="19"/>
  <c r="L99" i="19"/>
  <c r="M99" i="19"/>
  <c r="N99" i="19"/>
  <c r="O99" i="19"/>
  <c r="P99" i="19"/>
  <c r="Q99" i="19"/>
  <c r="R99" i="19"/>
  <c r="S99" i="19"/>
  <c r="B100" i="19"/>
  <c r="C100" i="19"/>
  <c r="D100" i="19"/>
  <c r="E100" i="19"/>
  <c r="F100" i="19"/>
  <c r="G100" i="19"/>
  <c r="H100" i="19"/>
  <c r="I100" i="19"/>
  <c r="J100" i="19"/>
  <c r="K100" i="19"/>
  <c r="L100" i="19"/>
  <c r="M100" i="19"/>
  <c r="N100" i="19"/>
  <c r="O100" i="19"/>
  <c r="P100" i="19"/>
  <c r="Q100" i="19"/>
  <c r="R100" i="19"/>
  <c r="S100" i="19"/>
  <c r="B101" i="19"/>
  <c r="C101" i="19"/>
  <c r="D101" i="19"/>
  <c r="E101" i="19"/>
  <c r="F101" i="19"/>
  <c r="G101" i="19"/>
  <c r="H101" i="19"/>
  <c r="I101" i="19"/>
  <c r="J101" i="19"/>
  <c r="K101" i="19"/>
  <c r="L101" i="19"/>
  <c r="M101" i="19"/>
  <c r="N101" i="19"/>
  <c r="O101" i="19"/>
  <c r="P101" i="19"/>
  <c r="Q101" i="19"/>
  <c r="R101" i="19"/>
  <c r="S101" i="19"/>
  <c r="B102" i="19"/>
  <c r="C102" i="19"/>
  <c r="D102" i="19"/>
  <c r="E102" i="19"/>
  <c r="F102" i="19"/>
  <c r="G102" i="19"/>
  <c r="H102" i="19"/>
  <c r="I102" i="19"/>
  <c r="J102" i="19"/>
  <c r="K102" i="19"/>
  <c r="L102" i="19"/>
  <c r="M102" i="19"/>
  <c r="N102" i="19"/>
  <c r="O102" i="19"/>
  <c r="P102" i="19"/>
  <c r="Q102" i="19"/>
  <c r="R102" i="19"/>
  <c r="S102" i="19"/>
  <c r="B103" i="19"/>
  <c r="C103" i="19"/>
  <c r="D103" i="19"/>
  <c r="E103" i="19"/>
  <c r="F103" i="19"/>
  <c r="G103" i="19"/>
  <c r="H103" i="19"/>
  <c r="I103" i="19"/>
  <c r="J103" i="19"/>
  <c r="K103" i="19"/>
  <c r="L103" i="19"/>
  <c r="M103" i="19"/>
  <c r="N103" i="19"/>
  <c r="O103" i="19"/>
  <c r="P103" i="19"/>
  <c r="Q103" i="19"/>
  <c r="R103" i="19"/>
  <c r="S103" i="19"/>
  <c r="B104" i="19"/>
  <c r="C104" i="19"/>
  <c r="D104" i="19"/>
  <c r="E104" i="19"/>
  <c r="F104" i="19"/>
  <c r="G104" i="19"/>
  <c r="H104" i="19"/>
  <c r="I104" i="19"/>
  <c r="J104" i="19"/>
  <c r="K104" i="19"/>
  <c r="L104" i="19"/>
  <c r="M104" i="19"/>
  <c r="N104" i="19"/>
  <c r="O104" i="19"/>
  <c r="P104" i="19"/>
  <c r="Q104" i="19"/>
  <c r="R104" i="19"/>
  <c r="S104" i="19"/>
  <c r="B105" i="19"/>
  <c r="C105" i="19"/>
  <c r="D105" i="19"/>
  <c r="E105" i="19"/>
  <c r="F105" i="19"/>
  <c r="G105" i="19"/>
  <c r="H105" i="19"/>
  <c r="I105" i="19"/>
  <c r="J105" i="19"/>
  <c r="K105" i="19"/>
  <c r="L105" i="19"/>
  <c r="M105" i="19"/>
  <c r="N105" i="19"/>
  <c r="O105" i="19"/>
  <c r="P105" i="19"/>
  <c r="Q105" i="19"/>
  <c r="R105" i="19"/>
  <c r="S105" i="19"/>
  <c r="B106" i="19"/>
  <c r="C106" i="19"/>
  <c r="D106" i="19"/>
  <c r="E106" i="19"/>
  <c r="F106" i="19"/>
  <c r="G106" i="19"/>
  <c r="H106" i="19"/>
  <c r="I106" i="19"/>
  <c r="J106" i="19"/>
  <c r="K106" i="19"/>
  <c r="L106" i="19"/>
  <c r="M106" i="19"/>
  <c r="N106" i="19"/>
  <c r="O106" i="19"/>
  <c r="P106" i="19"/>
  <c r="Q106" i="19"/>
  <c r="R106" i="19"/>
  <c r="S106" i="19"/>
  <c r="B107" i="19"/>
  <c r="C107" i="19"/>
  <c r="D107" i="19"/>
  <c r="E107" i="19"/>
  <c r="F107" i="19"/>
  <c r="G107" i="19"/>
  <c r="H107" i="19"/>
  <c r="I107" i="19"/>
  <c r="J107" i="19"/>
  <c r="K107" i="19"/>
  <c r="L107" i="19"/>
  <c r="M107" i="19"/>
  <c r="N107" i="19"/>
  <c r="O107" i="19"/>
  <c r="P107" i="19"/>
  <c r="Q107" i="19"/>
  <c r="R107" i="19"/>
  <c r="S107" i="19"/>
  <c r="B108" i="19"/>
  <c r="C108" i="19"/>
  <c r="D108" i="19"/>
  <c r="E108" i="19"/>
  <c r="F108" i="19"/>
  <c r="G108" i="19"/>
  <c r="H108" i="19"/>
  <c r="I108" i="19"/>
  <c r="J108" i="19"/>
  <c r="K108" i="19"/>
  <c r="L108" i="19"/>
  <c r="M108" i="19"/>
  <c r="N108" i="19"/>
  <c r="O108" i="19"/>
  <c r="P108" i="19"/>
  <c r="Q108" i="19"/>
  <c r="R108" i="19"/>
  <c r="S108" i="19"/>
  <c r="B109" i="19"/>
  <c r="C109" i="19"/>
  <c r="D109" i="19"/>
  <c r="E109" i="19"/>
  <c r="F109" i="19"/>
  <c r="G109" i="19"/>
  <c r="H109" i="19"/>
  <c r="I109" i="19"/>
  <c r="J109" i="19"/>
  <c r="K109" i="19"/>
  <c r="L109" i="19"/>
  <c r="M109" i="19"/>
  <c r="N109" i="19"/>
  <c r="O109" i="19"/>
  <c r="P109" i="19"/>
  <c r="Q109" i="19"/>
  <c r="R109" i="19"/>
  <c r="S109" i="19"/>
  <c r="B110" i="19"/>
  <c r="C110" i="19"/>
  <c r="D110" i="19"/>
  <c r="E110" i="19"/>
  <c r="F110" i="19"/>
  <c r="G110" i="19"/>
  <c r="H110" i="19"/>
  <c r="I110" i="19"/>
  <c r="J110" i="19"/>
  <c r="K110" i="19"/>
  <c r="L110" i="19"/>
  <c r="M110" i="19"/>
  <c r="N110" i="19"/>
  <c r="O110" i="19"/>
  <c r="P110" i="19"/>
  <c r="Q110" i="19"/>
  <c r="R110" i="19"/>
  <c r="S110" i="19"/>
  <c r="B111" i="19"/>
  <c r="C111" i="19"/>
  <c r="D111" i="19"/>
  <c r="E111" i="19"/>
  <c r="F111" i="19"/>
  <c r="G111" i="19"/>
  <c r="H111" i="19"/>
  <c r="I111" i="19"/>
  <c r="J111" i="19"/>
  <c r="K111" i="19"/>
  <c r="L111" i="19"/>
  <c r="M111" i="19"/>
  <c r="N111" i="19"/>
  <c r="O111" i="19"/>
  <c r="P111" i="19"/>
  <c r="Q111" i="19"/>
  <c r="R111" i="19"/>
  <c r="S111" i="19"/>
  <c r="B112" i="19"/>
  <c r="C112" i="19"/>
  <c r="D112" i="19"/>
  <c r="E112" i="19"/>
  <c r="F112" i="19"/>
  <c r="G112" i="19"/>
  <c r="H112" i="19"/>
  <c r="I112" i="19"/>
  <c r="J112" i="19"/>
  <c r="K112" i="19"/>
  <c r="L112" i="19"/>
  <c r="M112" i="19"/>
  <c r="N112" i="19"/>
  <c r="O112" i="19"/>
  <c r="P112" i="19"/>
  <c r="Q112" i="19"/>
  <c r="R112" i="19"/>
  <c r="S112" i="19"/>
  <c r="B113" i="19"/>
  <c r="C113" i="19"/>
  <c r="D113" i="19"/>
  <c r="E113" i="19"/>
  <c r="F113" i="19"/>
  <c r="G113" i="19"/>
  <c r="H113" i="19"/>
  <c r="I113" i="19"/>
  <c r="J113" i="19"/>
  <c r="K113" i="19"/>
  <c r="L113" i="19"/>
  <c r="M113" i="19"/>
  <c r="N113" i="19"/>
  <c r="O113" i="19"/>
  <c r="P113" i="19"/>
  <c r="Q113" i="19"/>
  <c r="R113" i="19"/>
  <c r="S113" i="19"/>
  <c r="B114" i="19"/>
  <c r="C114" i="19"/>
  <c r="D114" i="19"/>
  <c r="E114" i="19"/>
  <c r="F114" i="19"/>
  <c r="G114" i="19"/>
  <c r="H114" i="19"/>
  <c r="I114" i="19"/>
  <c r="J114" i="19"/>
  <c r="K114" i="19"/>
  <c r="L114" i="19"/>
  <c r="M114" i="19"/>
  <c r="N114" i="19"/>
  <c r="O114" i="19"/>
  <c r="P114" i="19"/>
  <c r="Q114" i="19"/>
  <c r="R114" i="19"/>
  <c r="S114" i="19"/>
  <c r="B115" i="19"/>
  <c r="C115" i="19"/>
  <c r="D115" i="19"/>
  <c r="E115" i="19"/>
  <c r="F115" i="19"/>
  <c r="G115" i="19"/>
  <c r="H115" i="19"/>
  <c r="I115" i="19"/>
  <c r="J115" i="19"/>
  <c r="K115" i="19"/>
  <c r="L115" i="19"/>
  <c r="M115" i="19"/>
  <c r="N115" i="19"/>
  <c r="O115" i="19"/>
  <c r="P115" i="19"/>
  <c r="Q115" i="19"/>
  <c r="R115" i="19"/>
  <c r="S115" i="19"/>
  <c r="B116" i="19"/>
  <c r="C116" i="19"/>
  <c r="D116" i="19"/>
  <c r="E116" i="19"/>
  <c r="F116" i="19"/>
  <c r="G116" i="19"/>
  <c r="H116" i="19"/>
  <c r="I116" i="19"/>
  <c r="J116" i="19"/>
  <c r="K116" i="19"/>
  <c r="L116" i="19"/>
  <c r="M116" i="19"/>
  <c r="N116" i="19"/>
  <c r="O116" i="19"/>
  <c r="P116" i="19"/>
  <c r="Q116" i="19"/>
  <c r="R116" i="19"/>
  <c r="S116" i="19"/>
  <c r="B117" i="19"/>
  <c r="C117" i="19"/>
  <c r="D117" i="19"/>
  <c r="E117" i="19"/>
  <c r="F117" i="19"/>
  <c r="G117" i="19"/>
  <c r="H117" i="19"/>
  <c r="I117" i="19"/>
  <c r="J117" i="19"/>
  <c r="K117" i="19"/>
  <c r="L117" i="19"/>
  <c r="M117" i="19"/>
  <c r="N117" i="19"/>
  <c r="O117" i="19"/>
  <c r="P117" i="19"/>
  <c r="Q117" i="19"/>
  <c r="R117" i="19"/>
  <c r="S117" i="19"/>
  <c r="B118" i="19"/>
  <c r="C118" i="19"/>
  <c r="D118" i="19"/>
  <c r="E118" i="19"/>
  <c r="F118" i="19"/>
  <c r="G118" i="19"/>
  <c r="H118" i="19"/>
  <c r="I118" i="19"/>
  <c r="J118" i="19"/>
  <c r="K118" i="19"/>
  <c r="L118" i="19"/>
  <c r="M118" i="19"/>
  <c r="N118" i="19"/>
  <c r="O118" i="19"/>
  <c r="P118" i="19"/>
  <c r="Q118" i="19"/>
  <c r="R118" i="19"/>
  <c r="S118" i="19"/>
  <c r="B119" i="19"/>
  <c r="C119" i="19"/>
  <c r="D119" i="19"/>
  <c r="E119" i="19"/>
  <c r="F119" i="19"/>
  <c r="G119" i="19"/>
  <c r="H119" i="19"/>
  <c r="I119" i="19"/>
  <c r="J119" i="19"/>
  <c r="K119" i="19"/>
  <c r="L119" i="19"/>
  <c r="M119" i="19"/>
  <c r="N119" i="19"/>
  <c r="O119" i="19"/>
  <c r="P119" i="19"/>
  <c r="Q119" i="19"/>
  <c r="R119" i="19"/>
  <c r="S119" i="19"/>
  <c r="B120" i="19"/>
  <c r="C120" i="19"/>
  <c r="D120" i="19"/>
  <c r="E120" i="19"/>
  <c r="F120" i="19"/>
  <c r="G120" i="19"/>
  <c r="H120" i="19"/>
  <c r="I120" i="19"/>
  <c r="J120" i="19"/>
  <c r="K120" i="19"/>
  <c r="L120" i="19"/>
  <c r="M120" i="19"/>
  <c r="N120" i="19"/>
  <c r="O120" i="19"/>
  <c r="P120" i="19"/>
  <c r="Q120" i="19"/>
  <c r="R120" i="19"/>
  <c r="S120" i="19"/>
  <c r="B121" i="19"/>
  <c r="C121" i="19"/>
  <c r="D121" i="19"/>
  <c r="E121" i="19"/>
  <c r="F121" i="19"/>
  <c r="G121" i="19"/>
  <c r="H121" i="19"/>
  <c r="I121" i="19"/>
  <c r="J121" i="19"/>
  <c r="K121" i="19"/>
  <c r="L121" i="19"/>
  <c r="M121" i="19"/>
  <c r="N121" i="19"/>
  <c r="O121" i="19"/>
  <c r="P121" i="19"/>
  <c r="Q121" i="19"/>
  <c r="R121" i="19"/>
  <c r="S121" i="19"/>
  <c r="B122" i="19"/>
  <c r="C122" i="19"/>
  <c r="D122" i="19"/>
  <c r="E122" i="19"/>
  <c r="F122" i="19"/>
  <c r="G122" i="19"/>
  <c r="H122" i="19"/>
  <c r="I122" i="19"/>
  <c r="J122" i="19"/>
  <c r="K122" i="19"/>
  <c r="L122" i="19"/>
  <c r="M122" i="19"/>
  <c r="N122" i="19"/>
  <c r="O122" i="19"/>
  <c r="P122" i="19"/>
  <c r="Q122" i="19"/>
  <c r="R122" i="19"/>
  <c r="S122" i="19"/>
  <c r="B123" i="19"/>
  <c r="C123" i="19"/>
  <c r="D123" i="19"/>
  <c r="E123" i="19"/>
  <c r="F123" i="19"/>
  <c r="G123" i="19"/>
  <c r="H123" i="19"/>
  <c r="I123" i="19"/>
  <c r="J123" i="19"/>
  <c r="K123" i="19"/>
  <c r="L123" i="19"/>
  <c r="M123" i="19"/>
  <c r="N123" i="19"/>
  <c r="O123" i="19"/>
  <c r="P123" i="19"/>
  <c r="Q123" i="19"/>
  <c r="R123" i="19"/>
  <c r="S123" i="19"/>
  <c r="B124" i="19"/>
  <c r="C124" i="19"/>
  <c r="D124" i="19"/>
  <c r="E124" i="19"/>
  <c r="F124" i="19"/>
  <c r="G124" i="19"/>
  <c r="H124" i="19"/>
  <c r="I124" i="19"/>
  <c r="J124" i="19"/>
  <c r="K124" i="19"/>
  <c r="L124" i="19"/>
  <c r="M124" i="19"/>
  <c r="N124" i="19"/>
  <c r="O124" i="19"/>
  <c r="P124" i="19"/>
  <c r="Q124" i="19"/>
  <c r="R124" i="19"/>
  <c r="S124" i="19"/>
  <c r="B125" i="19"/>
  <c r="C125" i="19"/>
  <c r="D125" i="19"/>
  <c r="E125" i="19"/>
  <c r="F125" i="19"/>
  <c r="G125" i="19"/>
  <c r="H125" i="19"/>
  <c r="I125" i="19"/>
  <c r="J125" i="19"/>
  <c r="K125" i="19"/>
  <c r="L125" i="19"/>
  <c r="M125" i="19"/>
  <c r="N125" i="19"/>
  <c r="O125" i="19"/>
  <c r="P125" i="19"/>
  <c r="Q125" i="19"/>
  <c r="R125" i="19"/>
  <c r="S125" i="19"/>
  <c r="B126" i="19"/>
  <c r="C126" i="19"/>
  <c r="D126" i="19"/>
  <c r="E126" i="19"/>
  <c r="F126" i="19"/>
  <c r="G126" i="19"/>
  <c r="H126" i="19"/>
  <c r="I126" i="19"/>
  <c r="J126" i="19"/>
  <c r="K126" i="19"/>
  <c r="L126" i="19"/>
  <c r="M126" i="19"/>
  <c r="N126" i="19"/>
  <c r="O126" i="19"/>
  <c r="P126" i="19"/>
  <c r="Q126" i="19"/>
  <c r="R126" i="19"/>
  <c r="S126" i="19"/>
  <c r="B127" i="19"/>
  <c r="C127" i="19"/>
  <c r="D127" i="19"/>
  <c r="E127" i="19"/>
  <c r="F127" i="19"/>
  <c r="G127" i="19"/>
  <c r="H127" i="19"/>
  <c r="I127" i="19"/>
  <c r="J127" i="19"/>
  <c r="K127" i="19"/>
  <c r="L127" i="19"/>
  <c r="M127" i="19"/>
  <c r="N127" i="19"/>
  <c r="O127" i="19"/>
  <c r="P127" i="19"/>
  <c r="Q127" i="19"/>
  <c r="R127" i="19"/>
  <c r="S127" i="19"/>
  <c r="B128" i="19"/>
  <c r="C128" i="19"/>
  <c r="D128" i="19"/>
  <c r="E128" i="19"/>
  <c r="F128" i="19"/>
  <c r="G128" i="19"/>
  <c r="H128" i="19"/>
  <c r="I128" i="19"/>
  <c r="J128" i="19"/>
  <c r="K128" i="19"/>
  <c r="L128" i="19"/>
  <c r="M128" i="19"/>
  <c r="N128" i="19"/>
  <c r="O128" i="19"/>
  <c r="P128" i="19"/>
  <c r="Q128" i="19"/>
  <c r="R128" i="19"/>
  <c r="S128" i="19"/>
  <c r="B129" i="19"/>
  <c r="C129" i="19"/>
  <c r="D129" i="19"/>
  <c r="E129" i="19"/>
  <c r="F129" i="19"/>
  <c r="G129" i="19"/>
  <c r="H129" i="19"/>
  <c r="I129" i="19"/>
  <c r="J129" i="19"/>
  <c r="K129" i="19"/>
  <c r="L129" i="19"/>
  <c r="M129" i="19"/>
  <c r="N129" i="19"/>
  <c r="O129" i="19"/>
  <c r="P129" i="19"/>
  <c r="Q129" i="19"/>
  <c r="R129" i="19"/>
  <c r="S129" i="19"/>
  <c r="B130" i="19"/>
  <c r="C130" i="19"/>
  <c r="D130" i="19"/>
  <c r="E130" i="19"/>
  <c r="F130" i="19"/>
  <c r="G130" i="19"/>
  <c r="H130" i="19"/>
  <c r="I130" i="19"/>
  <c r="J130" i="19"/>
  <c r="K130" i="19"/>
  <c r="L130" i="19"/>
  <c r="M130" i="19"/>
  <c r="N130" i="19"/>
  <c r="O130" i="19"/>
  <c r="P130" i="19"/>
  <c r="Q130" i="19"/>
  <c r="R130" i="19"/>
  <c r="S130" i="19"/>
  <c r="B131" i="19"/>
  <c r="C131" i="19"/>
  <c r="D131" i="19"/>
  <c r="E131" i="19"/>
  <c r="F131" i="19"/>
  <c r="G131" i="19"/>
  <c r="H131" i="19"/>
  <c r="I131" i="19"/>
  <c r="J131" i="19"/>
  <c r="K131" i="19"/>
  <c r="L131" i="19"/>
  <c r="M131" i="19"/>
  <c r="N131" i="19"/>
  <c r="O131" i="19"/>
  <c r="P131" i="19"/>
  <c r="Q131" i="19"/>
  <c r="R131" i="19"/>
  <c r="S131" i="19"/>
  <c r="B132" i="19"/>
  <c r="C132" i="19"/>
  <c r="D132" i="19"/>
  <c r="E132" i="19"/>
  <c r="F132" i="19"/>
  <c r="G132" i="19"/>
  <c r="H132" i="19"/>
  <c r="I132" i="19"/>
  <c r="J132" i="19"/>
  <c r="K132" i="19"/>
  <c r="L132" i="19"/>
  <c r="M132" i="19"/>
  <c r="N132" i="19"/>
  <c r="O132" i="19"/>
  <c r="P132" i="19"/>
  <c r="Q132" i="19"/>
  <c r="R132" i="19"/>
  <c r="S132" i="19"/>
  <c r="B133" i="19"/>
  <c r="C133" i="19"/>
  <c r="D133" i="19"/>
  <c r="E133" i="19"/>
  <c r="F133" i="19"/>
  <c r="G133" i="19"/>
  <c r="H133" i="19"/>
  <c r="I133" i="19"/>
  <c r="J133" i="19"/>
  <c r="K133" i="19"/>
  <c r="L133" i="19"/>
  <c r="M133" i="19"/>
  <c r="N133" i="19"/>
  <c r="O133" i="19"/>
  <c r="P133" i="19"/>
  <c r="Q133" i="19"/>
  <c r="R133" i="19"/>
  <c r="S133" i="19"/>
  <c r="B134" i="19"/>
  <c r="C134" i="19"/>
  <c r="D134" i="19"/>
  <c r="E134" i="19"/>
  <c r="F134" i="19"/>
  <c r="G134" i="19"/>
  <c r="H134" i="19"/>
  <c r="I134" i="19"/>
  <c r="J134" i="19"/>
  <c r="K134" i="19"/>
  <c r="L134" i="19"/>
  <c r="M134" i="19"/>
  <c r="N134" i="19"/>
  <c r="O134" i="19"/>
  <c r="P134" i="19"/>
  <c r="Q134" i="19"/>
  <c r="R134" i="19"/>
  <c r="S134" i="19"/>
  <c r="B135" i="19"/>
  <c r="C135" i="19"/>
  <c r="D135" i="19"/>
  <c r="E135" i="19"/>
  <c r="F135" i="19"/>
  <c r="G135" i="19"/>
  <c r="H135" i="19"/>
  <c r="I135" i="19"/>
  <c r="J135" i="19"/>
  <c r="K135" i="19"/>
  <c r="L135" i="19"/>
  <c r="M135" i="19"/>
  <c r="N135" i="19"/>
  <c r="O135" i="19"/>
  <c r="P135" i="19"/>
  <c r="Q135" i="19"/>
  <c r="R135" i="19"/>
  <c r="S135" i="19"/>
  <c r="B136" i="19"/>
  <c r="C136" i="19"/>
  <c r="D136" i="19"/>
  <c r="E136" i="19"/>
  <c r="F136" i="19"/>
  <c r="G136" i="19"/>
  <c r="H136" i="19"/>
  <c r="I136" i="19"/>
  <c r="J136" i="19"/>
  <c r="K136" i="19"/>
  <c r="L136" i="19"/>
  <c r="M136" i="19"/>
  <c r="N136" i="19"/>
  <c r="O136" i="19"/>
  <c r="P136" i="19"/>
  <c r="Q136" i="19"/>
  <c r="R136" i="19"/>
  <c r="S136" i="19"/>
  <c r="B137" i="19"/>
  <c r="C137" i="19"/>
  <c r="D137" i="19"/>
  <c r="E137" i="19"/>
  <c r="F137" i="19"/>
  <c r="G137" i="19"/>
  <c r="H137" i="19"/>
  <c r="I137" i="19"/>
  <c r="J137" i="19"/>
  <c r="K137" i="19"/>
  <c r="L137" i="19"/>
  <c r="M137" i="19"/>
  <c r="N137" i="19"/>
  <c r="O137" i="19"/>
  <c r="P137" i="19"/>
  <c r="Q137" i="19"/>
  <c r="R137" i="19"/>
  <c r="S137" i="19"/>
  <c r="B138" i="19"/>
  <c r="C138" i="19"/>
  <c r="D138" i="19"/>
  <c r="E138" i="19"/>
  <c r="F138" i="19"/>
  <c r="G138" i="19"/>
  <c r="H138" i="19"/>
  <c r="I138" i="19"/>
  <c r="J138" i="19"/>
  <c r="K138" i="19"/>
  <c r="L138" i="19"/>
  <c r="M138" i="19"/>
  <c r="N138" i="19"/>
  <c r="O138" i="19"/>
  <c r="P138" i="19"/>
  <c r="Q138" i="19"/>
  <c r="R138" i="19"/>
  <c r="S138" i="19"/>
  <c r="B139" i="19"/>
  <c r="C139" i="19"/>
  <c r="D139" i="19"/>
  <c r="E139" i="19"/>
  <c r="F139" i="19"/>
  <c r="G139" i="19"/>
  <c r="H139" i="19"/>
  <c r="I139" i="19"/>
  <c r="J139" i="19"/>
  <c r="K139" i="19"/>
  <c r="L139" i="19"/>
  <c r="M139" i="19"/>
  <c r="N139" i="19"/>
  <c r="O139" i="19"/>
  <c r="P139" i="19"/>
  <c r="Q139" i="19"/>
  <c r="R139" i="19"/>
  <c r="S139" i="19"/>
  <c r="B140" i="19"/>
  <c r="C140" i="19"/>
  <c r="D140" i="19"/>
  <c r="E140" i="19"/>
  <c r="F140" i="19"/>
  <c r="G140" i="19"/>
  <c r="H140" i="19"/>
  <c r="I140" i="19"/>
  <c r="J140" i="19"/>
  <c r="K140" i="19"/>
  <c r="L140" i="19"/>
  <c r="M140" i="19"/>
  <c r="N140" i="19"/>
  <c r="O140" i="19"/>
  <c r="P140" i="19"/>
  <c r="Q140" i="19"/>
  <c r="R140" i="19"/>
  <c r="S140" i="19"/>
  <c r="B141" i="19"/>
  <c r="C141" i="19"/>
  <c r="D141" i="19"/>
  <c r="E141" i="19"/>
  <c r="F141" i="19"/>
  <c r="G141" i="19"/>
  <c r="H141" i="19"/>
  <c r="I141" i="19"/>
  <c r="J141" i="19"/>
  <c r="K141" i="19"/>
  <c r="L141" i="19"/>
  <c r="M141" i="19"/>
  <c r="N141" i="19"/>
  <c r="O141" i="19"/>
  <c r="P141" i="19"/>
  <c r="Q141" i="19"/>
  <c r="R141" i="19"/>
  <c r="S141" i="19"/>
  <c r="B142" i="19"/>
  <c r="C142" i="19"/>
  <c r="D142" i="19"/>
  <c r="E142" i="19"/>
  <c r="F142" i="19"/>
  <c r="G142" i="19"/>
  <c r="H142" i="19"/>
  <c r="I142" i="19"/>
  <c r="J142" i="19"/>
  <c r="K142" i="19"/>
  <c r="L142" i="19"/>
  <c r="M142" i="19"/>
  <c r="N142" i="19"/>
  <c r="O142" i="19"/>
  <c r="P142" i="19"/>
  <c r="Q142" i="19"/>
  <c r="R142" i="19"/>
  <c r="S142" i="19"/>
  <c r="B143" i="19"/>
  <c r="C143" i="19"/>
  <c r="D143" i="19"/>
  <c r="E143" i="19"/>
  <c r="F143" i="19"/>
  <c r="G143" i="19"/>
  <c r="H143" i="19"/>
  <c r="I143" i="19"/>
  <c r="J143" i="19"/>
  <c r="K143" i="19"/>
  <c r="L143" i="19"/>
  <c r="M143" i="19"/>
  <c r="N143" i="19"/>
  <c r="O143" i="19"/>
  <c r="P143" i="19"/>
  <c r="Q143" i="19"/>
  <c r="R143" i="19"/>
  <c r="S143" i="19"/>
  <c r="B144" i="19"/>
  <c r="C144" i="19"/>
  <c r="D144" i="19"/>
  <c r="E144" i="19"/>
  <c r="F144" i="19"/>
  <c r="G144" i="19"/>
  <c r="H144" i="19"/>
  <c r="I144" i="19"/>
  <c r="J144" i="19"/>
  <c r="K144" i="19"/>
  <c r="L144" i="19"/>
  <c r="M144" i="19"/>
  <c r="N144" i="19"/>
  <c r="O144" i="19"/>
  <c r="P144" i="19"/>
  <c r="Q144" i="19"/>
  <c r="R144" i="19"/>
  <c r="S144" i="19"/>
  <c r="B145" i="19"/>
  <c r="C145" i="19"/>
  <c r="D145" i="19"/>
  <c r="E145" i="19"/>
  <c r="F145" i="19"/>
  <c r="G145" i="19"/>
  <c r="H145" i="19"/>
  <c r="I145" i="19"/>
  <c r="J145" i="19"/>
  <c r="K145" i="19"/>
  <c r="L145" i="19"/>
  <c r="M145" i="19"/>
  <c r="N145" i="19"/>
  <c r="O145" i="19"/>
  <c r="P145" i="19"/>
  <c r="Q145" i="19"/>
  <c r="R145" i="19"/>
  <c r="S145" i="19"/>
  <c r="B146" i="19"/>
  <c r="C146" i="19"/>
  <c r="D146" i="19"/>
  <c r="E146" i="19"/>
  <c r="F146" i="19"/>
  <c r="G146" i="19"/>
  <c r="H146" i="19"/>
  <c r="I146" i="19"/>
  <c r="J146" i="19"/>
  <c r="K146" i="19"/>
  <c r="L146" i="19"/>
  <c r="M146" i="19"/>
  <c r="N146" i="19"/>
  <c r="O146" i="19"/>
  <c r="P146" i="19"/>
  <c r="Q146" i="19"/>
  <c r="R146" i="19"/>
  <c r="S146" i="19"/>
  <c r="B147" i="19"/>
  <c r="C147" i="19"/>
  <c r="D147" i="19"/>
  <c r="E147" i="19"/>
  <c r="F147" i="19"/>
  <c r="G147" i="19"/>
  <c r="H147" i="19"/>
  <c r="I147" i="19"/>
  <c r="J147" i="19"/>
  <c r="K147" i="19"/>
  <c r="L147" i="19"/>
  <c r="M147" i="19"/>
  <c r="N147" i="19"/>
  <c r="O147" i="19"/>
  <c r="P147" i="19"/>
  <c r="Q147" i="19"/>
  <c r="R147" i="19"/>
  <c r="S147" i="19"/>
  <c r="B148" i="19"/>
  <c r="C148" i="19"/>
  <c r="D148" i="19"/>
  <c r="E148" i="19"/>
  <c r="F148" i="19"/>
  <c r="G148" i="19"/>
  <c r="H148" i="19"/>
  <c r="I148" i="19"/>
  <c r="J148" i="19"/>
  <c r="K148" i="19"/>
  <c r="L148" i="19"/>
  <c r="M148" i="19"/>
  <c r="N148" i="19"/>
  <c r="O148" i="19"/>
  <c r="P148" i="19"/>
  <c r="Q148" i="19"/>
  <c r="R148" i="19"/>
  <c r="S148" i="19"/>
  <c r="B149" i="19"/>
  <c r="C149" i="19"/>
  <c r="D149" i="19"/>
  <c r="E149" i="19"/>
  <c r="F149" i="19"/>
  <c r="G149" i="19"/>
  <c r="H149" i="19"/>
  <c r="I149" i="19"/>
  <c r="J149" i="19"/>
  <c r="K149" i="19"/>
  <c r="L149" i="19"/>
  <c r="M149" i="19"/>
  <c r="N149" i="19"/>
  <c r="O149" i="19"/>
  <c r="P149" i="19"/>
  <c r="Q149" i="19"/>
  <c r="R149" i="19"/>
  <c r="S149" i="19"/>
  <c r="B150" i="19"/>
  <c r="C150" i="19"/>
  <c r="D150" i="19"/>
  <c r="E150" i="19"/>
  <c r="F150" i="19"/>
  <c r="G150" i="19"/>
  <c r="H150" i="19"/>
  <c r="I150" i="19"/>
  <c r="J150" i="19"/>
  <c r="K150" i="19"/>
  <c r="L150" i="19"/>
  <c r="M150" i="19"/>
  <c r="N150" i="19"/>
  <c r="O150" i="19"/>
  <c r="P150" i="19"/>
  <c r="Q150" i="19"/>
  <c r="R150" i="19"/>
  <c r="S150" i="19"/>
  <c r="B151" i="19"/>
  <c r="C151" i="19"/>
  <c r="D151" i="19"/>
  <c r="E151" i="19"/>
  <c r="F151" i="19"/>
  <c r="G151" i="19"/>
  <c r="H151" i="19"/>
  <c r="I151" i="19"/>
  <c r="J151" i="19"/>
  <c r="K151" i="19"/>
  <c r="L151" i="19"/>
  <c r="M151" i="19"/>
  <c r="N151" i="19"/>
  <c r="O151" i="19"/>
  <c r="P151" i="19"/>
  <c r="Q151" i="19"/>
  <c r="R151" i="19"/>
  <c r="S151" i="19"/>
  <c r="B152" i="19"/>
  <c r="C152" i="19"/>
  <c r="D152" i="19"/>
  <c r="E152" i="19"/>
  <c r="F152" i="19"/>
  <c r="G152" i="19"/>
  <c r="H152" i="19"/>
  <c r="I152" i="19"/>
  <c r="J152" i="19"/>
  <c r="K152" i="19"/>
  <c r="L152" i="19"/>
  <c r="M152" i="19"/>
  <c r="N152" i="19"/>
  <c r="O152" i="19"/>
  <c r="P152" i="19"/>
  <c r="Q152" i="19"/>
  <c r="R152" i="19"/>
  <c r="S152" i="19"/>
  <c r="B153" i="19"/>
  <c r="C153" i="19"/>
  <c r="D153" i="19"/>
  <c r="E153" i="19"/>
  <c r="F153" i="19"/>
  <c r="G153" i="19"/>
  <c r="H153" i="19"/>
  <c r="I153" i="19"/>
  <c r="J153" i="19"/>
  <c r="K153" i="19"/>
  <c r="L153" i="19"/>
  <c r="M153" i="19"/>
  <c r="N153" i="19"/>
  <c r="O153" i="19"/>
  <c r="P153" i="19"/>
  <c r="Q153" i="19"/>
  <c r="R153" i="19"/>
  <c r="S153" i="19"/>
  <c r="B154" i="19"/>
  <c r="C154" i="19"/>
  <c r="D154" i="19"/>
  <c r="E154" i="19"/>
  <c r="F154" i="19"/>
  <c r="G154" i="19"/>
  <c r="H154" i="19"/>
  <c r="I154" i="19"/>
  <c r="J154" i="19"/>
  <c r="K154" i="19"/>
  <c r="L154" i="19"/>
  <c r="M154" i="19"/>
  <c r="N154" i="19"/>
  <c r="O154" i="19"/>
  <c r="P154" i="19"/>
  <c r="Q154" i="19"/>
  <c r="R154" i="19"/>
  <c r="S154" i="19"/>
  <c r="B155" i="19"/>
  <c r="C155" i="19"/>
  <c r="D155" i="19"/>
  <c r="E155" i="19"/>
  <c r="F155" i="19"/>
  <c r="G155" i="19"/>
  <c r="H155" i="19"/>
  <c r="I155" i="19"/>
  <c r="J155" i="19"/>
  <c r="K155" i="19"/>
  <c r="L155" i="19"/>
  <c r="M155" i="19"/>
  <c r="N155" i="19"/>
  <c r="O155" i="19"/>
  <c r="P155" i="19"/>
  <c r="Q155" i="19"/>
  <c r="R155" i="19"/>
  <c r="S155" i="19"/>
  <c r="B156" i="19"/>
  <c r="C156" i="19"/>
  <c r="D156" i="19"/>
  <c r="E156" i="19"/>
  <c r="F156" i="19"/>
  <c r="G156" i="19"/>
  <c r="H156" i="19"/>
  <c r="I156" i="19"/>
  <c r="J156" i="19"/>
  <c r="K156" i="19"/>
  <c r="L156" i="19"/>
  <c r="M156" i="19"/>
  <c r="N156" i="19"/>
  <c r="O156" i="19"/>
  <c r="P156" i="19"/>
  <c r="Q156" i="19"/>
  <c r="R156" i="19"/>
  <c r="S156" i="19"/>
  <c r="B157" i="19"/>
  <c r="C157" i="19"/>
  <c r="D157" i="19"/>
  <c r="E157" i="19"/>
  <c r="F157" i="19"/>
  <c r="G157" i="19"/>
  <c r="H157" i="19"/>
  <c r="I157" i="19"/>
  <c r="J157" i="19"/>
  <c r="K157" i="19"/>
  <c r="L157" i="19"/>
  <c r="M157" i="19"/>
  <c r="N157" i="19"/>
  <c r="O157" i="19"/>
  <c r="P157" i="19"/>
  <c r="Q157" i="19"/>
  <c r="R157" i="19"/>
  <c r="S157" i="19"/>
  <c r="B158" i="19"/>
  <c r="C158" i="19"/>
  <c r="D158" i="19"/>
  <c r="E158" i="19"/>
  <c r="F158" i="19"/>
  <c r="G158" i="19"/>
  <c r="H158" i="19"/>
  <c r="I158" i="19"/>
  <c r="J158" i="19"/>
  <c r="K158" i="19"/>
  <c r="L158" i="19"/>
  <c r="M158" i="19"/>
  <c r="N158" i="19"/>
  <c r="O158" i="19"/>
  <c r="P158" i="19"/>
  <c r="Q158" i="19"/>
  <c r="R158" i="19"/>
  <c r="S158" i="19"/>
  <c r="B159" i="19"/>
  <c r="C159" i="19"/>
  <c r="D159" i="19"/>
  <c r="E159" i="19"/>
  <c r="F159" i="19"/>
  <c r="G159" i="19"/>
  <c r="H159" i="19"/>
  <c r="I159" i="19"/>
  <c r="J159" i="19"/>
  <c r="K159" i="19"/>
  <c r="L159" i="19"/>
  <c r="M159" i="19"/>
  <c r="N159" i="19"/>
  <c r="O159" i="19"/>
  <c r="P159" i="19"/>
  <c r="Q159" i="19"/>
  <c r="R159" i="19"/>
  <c r="S159" i="19"/>
  <c r="B160" i="19"/>
  <c r="C160" i="19"/>
  <c r="D160" i="19"/>
  <c r="E160" i="19"/>
  <c r="F160" i="19"/>
  <c r="G160" i="19"/>
  <c r="H160" i="19"/>
  <c r="I160" i="19"/>
  <c r="J160" i="19"/>
  <c r="K160" i="19"/>
  <c r="L160" i="19"/>
  <c r="M160" i="19"/>
  <c r="N160" i="19"/>
  <c r="O160" i="19"/>
  <c r="P160" i="19"/>
  <c r="Q160" i="19"/>
  <c r="R160" i="19"/>
  <c r="S160" i="19"/>
  <c r="B161" i="19"/>
  <c r="C161" i="19"/>
  <c r="D161" i="19"/>
  <c r="E161" i="19"/>
  <c r="F161" i="19"/>
  <c r="G161" i="19"/>
  <c r="H161" i="19"/>
  <c r="I161" i="19"/>
  <c r="J161" i="19"/>
  <c r="K161" i="19"/>
  <c r="L161" i="19"/>
  <c r="M161" i="19"/>
  <c r="N161" i="19"/>
  <c r="O161" i="19"/>
  <c r="P161" i="19"/>
  <c r="Q161" i="19"/>
  <c r="R161" i="19"/>
  <c r="S161" i="19"/>
  <c r="B162" i="19"/>
  <c r="C162" i="19"/>
  <c r="D162" i="19"/>
  <c r="E162" i="19"/>
  <c r="F162" i="19"/>
  <c r="G162" i="19"/>
  <c r="H162" i="19"/>
  <c r="I162" i="19"/>
  <c r="J162" i="19"/>
  <c r="K162" i="19"/>
  <c r="L162" i="19"/>
  <c r="M162" i="19"/>
  <c r="N162" i="19"/>
  <c r="O162" i="19"/>
  <c r="P162" i="19"/>
  <c r="Q162" i="19"/>
  <c r="R162" i="19"/>
  <c r="S162" i="19"/>
  <c r="B163" i="19"/>
  <c r="C163" i="19"/>
  <c r="D163" i="19"/>
  <c r="E163" i="19"/>
  <c r="F163" i="19"/>
  <c r="G163" i="19"/>
  <c r="H163" i="19"/>
  <c r="I163" i="19"/>
  <c r="J163" i="19"/>
  <c r="K163" i="19"/>
  <c r="L163" i="19"/>
  <c r="M163" i="19"/>
  <c r="N163" i="19"/>
  <c r="O163" i="19"/>
  <c r="P163" i="19"/>
  <c r="Q163" i="19"/>
  <c r="R163" i="19"/>
  <c r="S163" i="19"/>
  <c r="B164" i="19"/>
  <c r="C164" i="19"/>
  <c r="D164" i="19"/>
  <c r="E164" i="19"/>
  <c r="F164" i="19"/>
  <c r="G164" i="19"/>
  <c r="H164" i="19"/>
  <c r="I164" i="19"/>
  <c r="J164" i="19"/>
  <c r="K164" i="19"/>
  <c r="L164" i="19"/>
  <c r="M164" i="19"/>
  <c r="N164" i="19"/>
  <c r="O164" i="19"/>
  <c r="P164" i="19"/>
  <c r="Q164" i="19"/>
  <c r="R164" i="19"/>
  <c r="S164" i="19"/>
  <c r="B165" i="19"/>
  <c r="C165" i="19"/>
  <c r="D165" i="19"/>
  <c r="E165" i="19"/>
  <c r="F165" i="19"/>
  <c r="G165" i="19"/>
  <c r="H165" i="19"/>
  <c r="I165" i="19"/>
  <c r="J165" i="19"/>
  <c r="K165" i="19"/>
  <c r="L165" i="19"/>
  <c r="M165" i="19"/>
  <c r="N165" i="19"/>
  <c r="O165" i="19"/>
  <c r="P165" i="19"/>
  <c r="Q165" i="19"/>
  <c r="R165" i="19"/>
  <c r="S165" i="19"/>
  <c r="B166" i="19"/>
  <c r="C166" i="19"/>
  <c r="D166" i="19"/>
  <c r="E166" i="19"/>
  <c r="F166" i="19"/>
  <c r="G166" i="19"/>
  <c r="H166" i="19"/>
  <c r="I166" i="19"/>
  <c r="J166" i="19"/>
  <c r="K166" i="19"/>
  <c r="L166" i="19"/>
  <c r="M166" i="19"/>
  <c r="N166" i="19"/>
  <c r="O166" i="19"/>
  <c r="P166" i="19"/>
  <c r="Q166" i="19"/>
  <c r="R166" i="19"/>
  <c r="S166" i="19"/>
  <c r="B167" i="19"/>
  <c r="C167" i="19"/>
  <c r="D167" i="19"/>
  <c r="E167" i="19"/>
  <c r="F167" i="19"/>
  <c r="G167" i="19"/>
  <c r="H167" i="19"/>
  <c r="I167" i="19"/>
  <c r="J167" i="19"/>
  <c r="K167" i="19"/>
  <c r="L167" i="19"/>
  <c r="M167" i="19"/>
  <c r="N167" i="19"/>
  <c r="O167" i="19"/>
  <c r="P167" i="19"/>
  <c r="Q167" i="19"/>
  <c r="R167" i="19"/>
  <c r="S167" i="19"/>
  <c r="B168" i="19"/>
  <c r="C168" i="19"/>
  <c r="D168" i="19"/>
  <c r="E168" i="19"/>
  <c r="F168" i="19"/>
  <c r="G168" i="19"/>
  <c r="H168" i="19"/>
  <c r="I168" i="19"/>
  <c r="J168" i="19"/>
  <c r="K168" i="19"/>
  <c r="L168" i="19"/>
  <c r="M168" i="19"/>
  <c r="N168" i="19"/>
  <c r="O168" i="19"/>
  <c r="P168" i="19"/>
  <c r="Q168" i="19"/>
  <c r="R168" i="19"/>
  <c r="S168" i="19"/>
  <c r="B169" i="19"/>
  <c r="C169" i="19"/>
  <c r="D169" i="19"/>
  <c r="E169" i="19"/>
  <c r="F169" i="19"/>
  <c r="G169" i="19"/>
  <c r="H169" i="19"/>
  <c r="I169" i="19"/>
  <c r="J169" i="19"/>
  <c r="K169" i="19"/>
  <c r="L169" i="19"/>
  <c r="M169" i="19"/>
  <c r="N169" i="19"/>
  <c r="O169" i="19"/>
  <c r="P169" i="19"/>
  <c r="Q169" i="19"/>
  <c r="R169" i="19"/>
  <c r="S169" i="19"/>
  <c r="B170" i="19"/>
  <c r="C170" i="19"/>
  <c r="D170" i="19"/>
  <c r="E170" i="19"/>
  <c r="F170" i="19"/>
  <c r="G170" i="19"/>
  <c r="H170" i="19"/>
  <c r="I170" i="19"/>
  <c r="J170" i="19"/>
  <c r="K170" i="19"/>
  <c r="L170" i="19"/>
  <c r="M170" i="19"/>
  <c r="N170" i="19"/>
  <c r="O170" i="19"/>
  <c r="P170" i="19"/>
  <c r="Q170" i="19"/>
  <c r="R170" i="19"/>
  <c r="S170" i="19"/>
  <c r="B171" i="19"/>
  <c r="C171" i="19"/>
  <c r="D171" i="19"/>
  <c r="E171" i="19"/>
  <c r="F171" i="19"/>
  <c r="G171" i="19"/>
  <c r="H171" i="19"/>
  <c r="I171" i="19"/>
  <c r="J171" i="19"/>
  <c r="K171" i="19"/>
  <c r="L171" i="19"/>
  <c r="M171" i="19"/>
  <c r="N171" i="19"/>
  <c r="O171" i="19"/>
  <c r="P171" i="19"/>
  <c r="Q171" i="19"/>
  <c r="R171" i="19"/>
  <c r="S171" i="19"/>
  <c r="B172" i="19"/>
  <c r="C172" i="19"/>
  <c r="D172" i="19"/>
  <c r="E172" i="19"/>
  <c r="F172" i="19"/>
  <c r="G172" i="19"/>
  <c r="H172" i="19"/>
  <c r="I172" i="19"/>
  <c r="J172" i="19"/>
  <c r="K172" i="19"/>
  <c r="L172" i="19"/>
  <c r="M172" i="19"/>
  <c r="N172" i="19"/>
  <c r="O172" i="19"/>
  <c r="P172" i="19"/>
  <c r="Q172" i="19"/>
  <c r="R172" i="19"/>
  <c r="S172" i="19"/>
  <c r="B173" i="19"/>
  <c r="C173" i="19"/>
  <c r="D173" i="19"/>
  <c r="E173" i="19"/>
  <c r="F173" i="19"/>
  <c r="G173" i="19"/>
  <c r="H173" i="19"/>
  <c r="I173" i="19"/>
  <c r="J173" i="19"/>
  <c r="K173" i="19"/>
  <c r="L173" i="19"/>
  <c r="M173" i="19"/>
  <c r="N173" i="19"/>
  <c r="O173" i="19"/>
  <c r="P173" i="19"/>
  <c r="Q173" i="19"/>
  <c r="R173" i="19"/>
  <c r="S173" i="19"/>
  <c r="B174" i="19"/>
  <c r="C174" i="19"/>
  <c r="D174" i="19"/>
  <c r="E174" i="19"/>
  <c r="F174" i="19"/>
  <c r="G174" i="19"/>
  <c r="H174" i="19"/>
  <c r="I174" i="19"/>
  <c r="J174" i="19"/>
  <c r="K174" i="19"/>
  <c r="L174" i="19"/>
  <c r="M174" i="19"/>
  <c r="N174" i="19"/>
  <c r="O174" i="19"/>
  <c r="P174" i="19"/>
  <c r="Q174" i="19"/>
  <c r="R174" i="19"/>
  <c r="S174" i="19"/>
  <c r="B175" i="19"/>
  <c r="C175" i="19"/>
  <c r="D175" i="19"/>
  <c r="E175" i="19"/>
  <c r="F175" i="19"/>
  <c r="G175" i="19"/>
  <c r="H175" i="19"/>
  <c r="I175" i="19"/>
  <c r="J175" i="19"/>
  <c r="K175" i="19"/>
  <c r="L175" i="19"/>
  <c r="M175" i="19"/>
  <c r="N175" i="19"/>
  <c r="O175" i="19"/>
  <c r="P175" i="19"/>
  <c r="Q175" i="19"/>
  <c r="R175" i="19"/>
  <c r="S175" i="19"/>
  <c r="B176" i="19"/>
  <c r="C176" i="19"/>
  <c r="D176" i="19"/>
  <c r="E176" i="19"/>
  <c r="F176" i="19"/>
  <c r="G176" i="19"/>
  <c r="H176" i="19"/>
  <c r="I176" i="19"/>
  <c r="J176" i="19"/>
  <c r="K176" i="19"/>
  <c r="L176" i="19"/>
  <c r="M176" i="19"/>
  <c r="N176" i="19"/>
  <c r="O176" i="19"/>
  <c r="P176" i="19"/>
  <c r="Q176" i="19"/>
  <c r="R176" i="19"/>
  <c r="S176" i="19"/>
  <c r="B177" i="19"/>
  <c r="C177" i="19"/>
  <c r="D177" i="19"/>
  <c r="E177" i="19"/>
  <c r="F177" i="19"/>
  <c r="G177" i="19"/>
  <c r="H177" i="19"/>
  <c r="I177" i="19"/>
  <c r="J177" i="19"/>
  <c r="K177" i="19"/>
  <c r="L177" i="19"/>
  <c r="M177" i="19"/>
  <c r="N177" i="19"/>
  <c r="O177" i="19"/>
  <c r="P177" i="19"/>
  <c r="Q177" i="19"/>
  <c r="R177" i="19"/>
  <c r="S177" i="19"/>
  <c r="B178" i="19"/>
  <c r="C178" i="19"/>
  <c r="D178" i="19"/>
  <c r="E178" i="19"/>
  <c r="F178" i="19"/>
  <c r="G178" i="19"/>
  <c r="H178" i="19"/>
  <c r="I178" i="19"/>
  <c r="J178" i="19"/>
  <c r="K178" i="19"/>
  <c r="L178" i="19"/>
  <c r="M178" i="19"/>
  <c r="N178" i="19"/>
  <c r="O178" i="19"/>
  <c r="P178" i="19"/>
  <c r="Q178" i="19"/>
  <c r="R178" i="19"/>
  <c r="S178" i="19"/>
  <c r="B179" i="19"/>
  <c r="C179" i="19"/>
  <c r="D179" i="19"/>
  <c r="E179" i="19"/>
  <c r="F179" i="19"/>
  <c r="G179" i="19"/>
  <c r="H179" i="19"/>
  <c r="I179" i="19"/>
  <c r="J179" i="19"/>
  <c r="K179" i="19"/>
  <c r="L179" i="19"/>
  <c r="M179" i="19"/>
  <c r="N179" i="19"/>
  <c r="O179" i="19"/>
  <c r="P179" i="19"/>
  <c r="Q179" i="19"/>
  <c r="R179" i="19"/>
  <c r="S179" i="19"/>
  <c r="B180" i="19"/>
  <c r="C180" i="19"/>
  <c r="D180" i="19"/>
  <c r="E180" i="19"/>
  <c r="F180" i="19"/>
  <c r="G180" i="19"/>
  <c r="H180" i="19"/>
  <c r="I180" i="19"/>
  <c r="J180" i="19"/>
  <c r="K180" i="19"/>
  <c r="L180" i="19"/>
  <c r="M180" i="19"/>
  <c r="N180" i="19"/>
  <c r="O180" i="19"/>
  <c r="P180" i="19"/>
  <c r="Q180" i="19"/>
  <c r="R180" i="19"/>
  <c r="S180" i="19"/>
  <c r="B181" i="19"/>
  <c r="C181" i="19"/>
  <c r="D181" i="19"/>
  <c r="E181" i="19"/>
  <c r="F181" i="19"/>
  <c r="G181" i="19"/>
  <c r="H181" i="19"/>
  <c r="I181" i="19"/>
  <c r="J181" i="19"/>
  <c r="K181" i="19"/>
  <c r="L181" i="19"/>
  <c r="M181" i="19"/>
  <c r="N181" i="19"/>
  <c r="O181" i="19"/>
  <c r="P181" i="19"/>
  <c r="Q181" i="19"/>
  <c r="R181" i="19"/>
  <c r="S181" i="19"/>
  <c r="B182" i="19"/>
  <c r="C182" i="19"/>
  <c r="D182" i="19"/>
  <c r="E182" i="19"/>
  <c r="F182" i="19"/>
  <c r="G182" i="19"/>
  <c r="H182" i="19"/>
  <c r="I182" i="19"/>
  <c r="J182" i="19"/>
  <c r="K182" i="19"/>
  <c r="L182" i="19"/>
  <c r="M182" i="19"/>
  <c r="N182" i="19"/>
  <c r="O182" i="19"/>
  <c r="P182" i="19"/>
  <c r="Q182" i="19"/>
  <c r="R182" i="19"/>
  <c r="S182" i="19"/>
  <c r="B183" i="19"/>
  <c r="C183" i="19"/>
  <c r="D183" i="19"/>
  <c r="E183" i="19"/>
  <c r="F183" i="19"/>
  <c r="G183" i="19"/>
  <c r="H183" i="19"/>
  <c r="I183" i="19"/>
  <c r="J183" i="19"/>
  <c r="K183" i="19"/>
  <c r="L183" i="19"/>
  <c r="M183" i="19"/>
  <c r="N183" i="19"/>
  <c r="O183" i="19"/>
  <c r="P183" i="19"/>
  <c r="Q183" i="19"/>
  <c r="R183" i="19"/>
  <c r="S183" i="19"/>
  <c r="B184" i="19"/>
  <c r="C184" i="19"/>
  <c r="D184" i="19"/>
  <c r="E184" i="19"/>
  <c r="F184" i="19"/>
  <c r="G184" i="19"/>
  <c r="H184" i="19"/>
  <c r="I184" i="19"/>
  <c r="J184" i="19"/>
  <c r="K184" i="19"/>
  <c r="L184" i="19"/>
  <c r="M184" i="19"/>
  <c r="N184" i="19"/>
  <c r="O184" i="19"/>
  <c r="P184" i="19"/>
  <c r="Q184" i="19"/>
  <c r="R184" i="19"/>
  <c r="S184" i="19"/>
  <c r="B185" i="19"/>
  <c r="C185" i="19"/>
  <c r="D185" i="19"/>
  <c r="E185" i="19"/>
  <c r="F185" i="19"/>
  <c r="G185" i="19"/>
  <c r="H185" i="19"/>
  <c r="I185" i="19"/>
  <c r="J185" i="19"/>
  <c r="K185" i="19"/>
  <c r="L185" i="19"/>
  <c r="M185" i="19"/>
  <c r="N185" i="19"/>
  <c r="O185" i="19"/>
  <c r="P185" i="19"/>
  <c r="Q185" i="19"/>
  <c r="R185" i="19"/>
  <c r="S185" i="19"/>
  <c r="B186" i="19"/>
  <c r="C186" i="19"/>
  <c r="D186" i="19"/>
  <c r="E186" i="19"/>
  <c r="F186" i="19"/>
  <c r="G186" i="19"/>
  <c r="H186" i="19"/>
  <c r="I186" i="19"/>
  <c r="J186" i="19"/>
  <c r="K186" i="19"/>
  <c r="L186" i="19"/>
  <c r="M186" i="19"/>
  <c r="N186" i="19"/>
  <c r="O186" i="19"/>
  <c r="P186" i="19"/>
  <c r="Q186" i="19"/>
  <c r="R186" i="19"/>
  <c r="S186" i="19"/>
  <c r="B187" i="19"/>
  <c r="C187" i="19"/>
  <c r="D187" i="19"/>
  <c r="E187" i="19"/>
  <c r="F187" i="19"/>
  <c r="G187" i="19"/>
  <c r="H187" i="19"/>
  <c r="I187" i="19"/>
  <c r="J187" i="19"/>
  <c r="K187" i="19"/>
  <c r="L187" i="19"/>
  <c r="M187" i="19"/>
  <c r="N187" i="19"/>
  <c r="O187" i="19"/>
  <c r="P187" i="19"/>
  <c r="Q187" i="19"/>
  <c r="R187" i="19"/>
  <c r="S187" i="19"/>
  <c r="B188" i="19"/>
  <c r="C188" i="19"/>
  <c r="D188" i="19"/>
  <c r="E188" i="19"/>
  <c r="F188" i="19"/>
  <c r="G188" i="19"/>
  <c r="H188" i="19"/>
  <c r="I188" i="19"/>
  <c r="J188" i="19"/>
  <c r="K188" i="19"/>
  <c r="L188" i="19"/>
  <c r="M188" i="19"/>
  <c r="N188" i="19"/>
  <c r="O188" i="19"/>
  <c r="P188" i="19"/>
  <c r="Q188" i="19"/>
  <c r="R188" i="19"/>
  <c r="S188" i="19"/>
  <c r="B189" i="19"/>
  <c r="C189" i="19"/>
  <c r="D189" i="19"/>
  <c r="E189" i="19"/>
  <c r="F189" i="19"/>
  <c r="G189" i="19"/>
  <c r="H189" i="19"/>
  <c r="I189" i="19"/>
  <c r="J189" i="19"/>
  <c r="K189" i="19"/>
  <c r="L189" i="19"/>
  <c r="M189" i="19"/>
  <c r="N189" i="19"/>
  <c r="O189" i="19"/>
  <c r="P189" i="19"/>
  <c r="Q189" i="19"/>
  <c r="R189" i="19"/>
  <c r="S189" i="19"/>
  <c r="B190" i="19"/>
  <c r="C190" i="19"/>
  <c r="D190" i="19"/>
  <c r="E190" i="19"/>
  <c r="F190" i="19"/>
  <c r="G190" i="19"/>
  <c r="H190" i="19"/>
  <c r="I190" i="19"/>
  <c r="J190" i="19"/>
  <c r="K190" i="19"/>
  <c r="L190" i="19"/>
  <c r="M190" i="19"/>
  <c r="N190" i="19"/>
  <c r="O190" i="19"/>
  <c r="P190" i="19"/>
  <c r="Q190" i="19"/>
  <c r="R190" i="19"/>
  <c r="S190" i="19"/>
  <c r="B191" i="19"/>
  <c r="C191" i="19"/>
  <c r="D191" i="19"/>
  <c r="E191" i="19"/>
  <c r="F191" i="19"/>
  <c r="G191" i="19"/>
  <c r="H191" i="19"/>
  <c r="I191" i="19"/>
  <c r="J191" i="19"/>
  <c r="K191" i="19"/>
  <c r="L191" i="19"/>
  <c r="M191" i="19"/>
  <c r="N191" i="19"/>
  <c r="O191" i="19"/>
  <c r="P191" i="19"/>
  <c r="Q191" i="19"/>
  <c r="R191" i="19"/>
  <c r="S191" i="19"/>
  <c r="B192" i="19"/>
  <c r="C192" i="19"/>
  <c r="D192" i="19"/>
  <c r="E192" i="19"/>
  <c r="F192" i="19"/>
  <c r="G192" i="19"/>
  <c r="H192" i="19"/>
  <c r="I192" i="19"/>
  <c r="J192" i="19"/>
  <c r="K192" i="19"/>
  <c r="L192" i="19"/>
  <c r="M192" i="19"/>
  <c r="N192" i="19"/>
  <c r="O192" i="19"/>
  <c r="P192" i="19"/>
  <c r="Q192" i="19"/>
  <c r="R192" i="19"/>
  <c r="S192" i="19"/>
  <c r="B193" i="19"/>
  <c r="C193" i="19"/>
  <c r="D193" i="19"/>
  <c r="E193" i="19"/>
  <c r="F193" i="19"/>
  <c r="G193" i="19"/>
  <c r="H193" i="19"/>
  <c r="I193" i="19"/>
  <c r="J193" i="19"/>
  <c r="K193" i="19"/>
  <c r="L193" i="19"/>
  <c r="M193" i="19"/>
  <c r="N193" i="19"/>
  <c r="O193" i="19"/>
  <c r="P193" i="19"/>
  <c r="Q193" i="19"/>
  <c r="R193" i="19"/>
  <c r="S193" i="19"/>
  <c r="B194" i="19"/>
  <c r="C194" i="19"/>
  <c r="D194" i="19"/>
  <c r="E194" i="19"/>
  <c r="F194" i="19"/>
  <c r="G194" i="19"/>
  <c r="H194" i="19"/>
  <c r="I194" i="19"/>
  <c r="J194" i="19"/>
  <c r="K194" i="19"/>
  <c r="L194" i="19"/>
  <c r="M194" i="19"/>
  <c r="N194" i="19"/>
  <c r="O194" i="19"/>
  <c r="P194" i="19"/>
  <c r="Q194" i="19"/>
  <c r="R194" i="19"/>
  <c r="S194" i="19"/>
  <c r="B195" i="19"/>
  <c r="C195" i="19"/>
  <c r="D195" i="19"/>
  <c r="E195" i="19"/>
  <c r="F195" i="19"/>
  <c r="G195" i="19"/>
  <c r="H195" i="19"/>
  <c r="I195" i="19"/>
  <c r="J195" i="19"/>
  <c r="K195" i="19"/>
  <c r="L195" i="19"/>
  <c r="M195" i="19"/>
  <c r="N195" i="19"/>
  <c r="O195" i="19"/>
  <c r="P195" i="19"/>
  <c r="Q195" i="19"/>
  <c r="R195" i="19"/>
  <c r="S195" i="19"/>
  <c r="B196" i="19"/>
  <c r="C196" i="19"/>
  <c r="D196" i="19"/>
  <c r="E196" i="19"/>
  <c r="F196" i="19"/>
  <c r="G196" i="19"/>
  <c r="H196" i="19"/>
  <c r="I196" i="19"/>
  <c r="J196" i="19"/>
  <c r="K196" i="19"/>
  <c r="L196" i="19"/>
  <c r="M196" i="19"/>
  <c r="N196" i="19"/>
  <c r="O196" i="19"/>
  <c r="P196" i="19"/>
  <c r="Q196" i="19"/>
  <c r="R196" i="19"/>
  <c r="S196" i="19"/>
  <c r="B197" i="19"/>
  <c r="C197" i="19"/>
  <c r="D197" i="19"/>
  <c r="E197" i="19"/>
  <c r="F197" i="19"/>
  <c r="G197" i="19"/>
  <c r="H197" i="19"/>
  <c r="I197" i="19"/>
  <c r="J197" i="19"/>
  <c r="K197" i="19"/>
  <c r="L197" i="19"/>
  <c r="M197" i="19"/>
  <c r="N197" i="19"/>
  <c r="O197" i="19"/>
  <c r="P197" i="19"/>
  <c r="Q197" i="19"/>
  <c r="R197" i="19"/>
  <c r="S197" i="19"/>
  <c r="B198" i="19"/>
  <c r="C198" i="19"/>
  <c r="D198" i="19"/>
  <c r="E198" i="19"/>
  <c r="F198" i="19"/>
  <c r="G198" i="19"/>
  <c r="H198" i="19"/>
  <c r="I198" i="19"/>
  <c r="J198" i="19"/>
  <c r="K198" i="19"/>
  <c r="L198" i="19"/>
  <c r="M198" i="19"/>
  <c r="N198" i="19"/>
  <c r="O198" i="19"/>
  <c r="P198" i="19"/>
  <c r="Q198" i="19"/>
  <c r="R198" i="19"/>
  <c r="S198" i="19"/>
  <c r="B199" i="19"/>
  <c r="C199" i="19"/>
  <c r="D199" i="19"/>
  <c r="E199" i="19"/>
  <c r="F199" i="19"/>
  <c r="G199" i="19"/>
  <c r="H199" i="19"/>
  <c r="I199" i="19"/>
  <c r="J199" i="19"/>
  <c r="K199" i="19"/>
  <c r="L199" i="19"/>
  <c r="M199" i="19"/>
  <c r="N199" i="19"/>
  <c r="O199" i="19"/>
  <c r="P199" i="19"/>
  <c r="Q199" i="19"/>
  <c r="R199" i="19"/>
  <c r="S199" i="19"/>
  <c r="B200" i="19"/>
  <c r="C200" i="19"/>
  <c r="D200" i="19"/>
  <c r="E200" i="19"/>
  <c r="F200" i="19"/>
  <c r="G200" i="19"/>
  <c r="H200" i="19"/>
  <c r="I200" i="19"/>
  <c r="J200" i="19"/>
  <c r="K200" i="19"/>
  <c r="L200" i="19"/>
  <c r="M200" i="19"/>
  <c r="N200" i="19"/>
  <c r="O200" i="19"/>
  <c r="P200" i="19"/>
  <c r="Q200" i="19"/>
  <c r="R200" i="19"/>
  <c r="S200" i="19"/>
  <c r="B201" i="19"/>
  <c r="C201" i="19"/>
  <c r="D201" i="19"/>
  <c r="E201" i="19"/>
  <c r="F201" i="19"/>
  <c r="G201" i="19"/>
  <c r="H201" i="19"/>
  <c r="I201" i="19"/>
  <c r="J201" i="19"/>
  <c r="K201" i="19"/>
  <c r="L201" i="19"/>
  <c r="M201" i="19"/>
  <c r="N201" i="19"/>
  <c r="O201" i="19"/>
  <c r="P201" i="19"/>
  <c r="Q201" i="19"/>
  <c r="R201" i="19"/>
  <c r="S201" i="19"/>
  <c r="B202" i="19"/>
  <c r="C202" i="19"/>
  <c r="D202" i="19"/>
  <c r="E202" i="19"/>
  <c r="F202" i="19"/>
  <c r="G202" i="19"/>
  <c r="H202" i="19"/>
  <c r="I202" i="19"/>
  <c r="J202" i="19"/>
  <c r="K202" i="19"/>
  <c r="L202" i="19"/>
  <c r="M202" i="19"/>
  <c r="N202" i="19"/>
  <c r="O202" i="19"/>
  <c r="P202" i="19"/>
  <c r="Q202" i="19"/>
  <c r="R202" i="19"/>
  <c r="S202" i="19"/>
  <c r="B203" i="19"/>
  <c r="C203" i="19"/>
  <c r="D203" i="19"/>
  <c r="E203" i="19"/>
  <c r="F203" i="19"/>
  <c r="G203" i="19"/>
  <c r="H203" i="19"/>
  <c r="I203" i="19"/>
  <c r="J203" i="19"/>
  <c r="K203" i="19"/>
  <c r="L203" i="19"/>
  <c r="M203" i="19"/>
  <c r="N203" i="19"/>
  <c r="O203" i="19"/>
  <c r="P203" i="19"/>
  <c r="Q203" i="19"/>
  <c r="R203" i="19"/>
  <c r="S203" i="19"/>
  <c r="B204" i="19"/>
  <c r="C204" i="19"/>
  <c r="D204" i="19"/>
  <c r="E204" i="19"/>
  <c r="F204" i="19"/>
  <c r="G204" i="19"/>
  <c r="H204" i="19"/>
  <c r="I204" i="19"/>
  <c r="J204" i="19"/>
  <c r="K204" i="19"/>
  <c r="L204" i="19"/>
  <c r="M204" i="19"/>
  <c r="N204" i="19"/>
  <c r="O204" i="19"/>
  <c r="P204" i="19"/>
  <c r="Q204" i="19"/>
  <c r="R204" i="19"/>
  <c r="S204" i="19"/>
  <c r="B205" i="19"/>
  <c r="C205" i="19"/>
  <c r="D205" i="19"/>
  <c r="E205" i="19"/>
  <c r="F205" i="19"/>
  <c r="G205" i="19"/>
  <c r="H205" i="19"/>
  <c r="I205" i="19"/>
  <c r="J205" i="19"/>
  <c r="K205" i="19"/>
  <c r="L205" i="19"/>
  <c r="M205" i="19"/>
  <c r="N205" i="19"/>
  <c r="O205" i="19"/>
  <c r="P205" i="19"/>
  <c r="Q205" i="19"/>
  <c r="R205" i="19"/>
  <c r="S205" i="19"/>
  <c r="B206" i="19"/>
  <c r="C206" i="19"/>
  <c r="D206" i="19"/>
  <c r="E206" i="19"/>
  <c r="F206" i="19"/>
  <c r="G206" i="19"/>
  <c r="H206" i="19"/>
  <c r="I206" i="19"/>
  <c r="J206" i="19"/>
  <c r="K206" i="19"/>
  <c r="L206" i="19"/>
  <c r="M206" i="19"/>
  <c r="N206" i="19"/>
  <c r="O206" i="19"/>
  <c r="P206" i="19"/>
  <c r="Q206" i="19"/>
  <c r="R206" i="19"/>
  <c r="S206" i="19"/>
  <c r="B207" i="19"/>
  <c r="C207" i="19"/>
  <c r="D207" i="19"/>
  <c r="E207" i="19"/>
  <c r="F207" i="19"/>
  <c r="G207" i="19"/>
  <c r="H207" i="19"/>
  <c r="I207" i="19"/>
  <c r="J207" i="19"/>
  <c r="K207" i="19"/>
  <c r="L207" i="19"/>
  <c r="M207" i="19"/>
  <c r="N207" i="19"/>
  <c r="O207" i="19"/>
  <c r="P207" i="19"/>
  <c r="Q207" i="19"/>
  <c r="R207" i="19"/>
  <c r="S207" i="19"/>
  <c r="B208" i="19"/>
  <c r="C208" i="19"/>
  <c r="D208" i="19"/>
  <c r="E208" i="19"/>
  <c r="F208" i="19"/>
  <c r="G208" i="19"/>
  <c r="H208" i="19"/>
  <c r="I208" i="19"/>
  <c r="J208" i="19"/>
  <c r="K208" i="19"/>
  <c r="L208" i="19"/>
  <c r="M208" i="19"/>
  <c r="N208" i="19"/>
  <c r="O208" i="19"/>
  <c r="P208" i="19"/>
  <c r="Q208" i="19"/>
  <c r="R208" i="19"/>
  <c r="S208" i="19"/>
  <c r="B209" i="19"/>
  <c r="C209" i="19"/>
  <c r="D209" i="19"/>
  <c r="E209" i="19"/>
  <c r="F209" i="19"/>
  <c r="G209" i="19"/>
  <c r="H209" i="19"/>
  <c r="I209" i="19"/>
  <c r="J209" i="19"/>
  <c r="K209" i="19"/>
  <c r="L209" i="19"/>
  <c r="M209" i="19"/>
  <c r="N209" i="19"/>
  <c r="O209" i="19"/>
  <c r="P209" i="19"/>
  <c r="Q209" i="19"/>
  <c r="R209" i="19"/>
  <c r="S209" i="19"/>
  <c r="B210" i="19"/>
  <c r="C210" i="19"/>
  <c r="D210" i="19"/>
  <c r="E210" i="19"/>
  <c r="F210" i="19"/>
  <c r="G210" i="19"/>
  <c r="H210" i="19"/>
  <c r="I210" i="19"/>
  <c r="J210" i="19"/>
  <c r="K210" i="19"/>
  <c r="L210" i="19"/>
  <c r="M210" i="19"/>
  <c r="N210" i="19"/>
  <c r="O210" i="19"/>
  <c r="P210" i="19"/>
  <c r="Q210" i="19"/>
  <c r="R210" i="19"/>
  <c r="S210" i="19"/>
  <c r="B211" i="19"/>
  <c r="C211" i="19"/>
  <c r="D211" i="19"/>
  <c r="E211" i="19"/>
  <c r="F211" i="19"/>
  <c r="G211" i="19"/>
  <c r="H211" i="19"/>
  <c r="I211" i="19"/>
  <c r="J211" i="19"/>
  <c r="K211" i="19"/>
  <c r="L211" i="19"/>
  <c r="M211" i="19"/>
  <c r="N211" i="19"/>
  <c r="O211" i="19"/>
  <c r="P211" i="19"/>
  <c r="Q211" i="19"/>
  <c r="R211" i="19"/>
  <c r="S211" i="19"/>
  <c r="B212" i="19"/>
  <c r="C212" i="19"/>
  <c r="D212" i="19"/>
  <c r="E212" i="19"/>
  <c r="F212" i="19"/>
  <c r="G212" i="19"/>
  <c r="H212" i="19"/>
  <c r="I212" i="19"/>
  <c r="J212" i="19"/>
  <c r="K212" i="19"/>
  <c r="L212" i="19"/>
  <c r="M212" i="19"/>
  <c r="N212" i="19"/>
  <c r="O212" i="19"/>
  <c r="P212" i="19"/>
  <c r="Q212" i="19"/>
  <c r="R212" i="19"/>
  <c r="S212" i="19"/>
  <c r="B213" i="19"/>
  <c r="C213" i="19"/>
  <c r="D213" i="19"/>
  <c r="E213" i="19"/>
  <c r="F213" i="19"/>
  <c r="G213" i="19"/>
  <c r="H213" i="19"/>
  <c r="I213" i="19"/>
  <c r="J213" i="19"/>
  <c r="K213" i="19"/>
  <c r="L213" i="19"/>
  <c r="M213" i="19"/>
  <c r="N213" i="19"/>
  <c r="O213" i="19"/>
  <c r="P213" i="19"/>
  <c r="Q213" i="19"/>
  <c r="R213" i="19"/>
  <c r="S213" i="19"/>
  <c r="B214" i="19"/>
  <c r="C214" i="19"/>
  <c r="D214" i="19"/>
  <c r="E214" i="19"/>
  <c r="F214" i="19"/>
  <c r="G214" i="19"/>
  <c r="H214" i="19"/>
  <c r="I214" i="19"/>
  <c r="J214" i="19"/>
  <c r="K214" i="19"/>
  <c r="L214" i="19"/>
  <c r="M214" i="19"/>
  <c r="N214" i="19"/>
  <c r="O214" i="19"/>
  <c r="P214" i="19"/>
  <c r="Q214" i="19"/>
  <c r="R214" i="19"/>
  <c r="S214" i="19"/>
  <c r="B215" i="19"/>
  <c r="C215" i="19"/>
  <c r="D215" i="19"/>
  <c r="E215" i="19"/>
  <c r="F215" i="19"/>
  <c r="G215" i="19"/>
  <c r="H215" i="19"/>
  <c r="I215" i="19"/>
  <c r="J215" i="19"/>
  <c r="K215" i="19"/>
  <c r="L215" i="19"/>
  <c r="M215" i="19"/>
  <c r="N215" i="19"/>
  <c r="O215" i="19"/>
  <c r="P215" i="19"/>
  <c r="Q215" i="19"/>
  <c r="R215" i="19"/>
  <c r="S215" i="19"/>
  <c r="B216" i="19"/>
  <c r="C216" i="19"/>
  <c r="D216" i="19"/>
  <c r="E216" i="19"/>
  <c r="F216" i="19"/>
  <c r="G216" i="19"/>
  <c r="H216" i="19"/>
  <c r="I216" i="19"/>
  <c r="J216" i="19"/>
  <c r="K216" i="19"/>
  <c r="L216" i="19"/>
  <c r="M216" i="19"/>
  <c r="N216" i="19"/>
  <c r="O216" i="19"/>
  <c r="P216" i="19"/>
  <c r="Q216" i="19"/>
  <c r="R216" i="19"/>
  <c r="S216" i="19"/>
  <c r="B217" i="19"/>
  <c r="C217" i="19"/>
  <c r="D217" i="19"/>
  <c r="E217" i="19"/>
  <c r="F217" i="19"/>
  <c r="G217" i="19"/>
  <c r="H217" i="19"/>
  <c r="I217" i="19"/>
  <c r="J217" i="19"/>
  <c r="K217" i="19"/>
  <c r="L217" i="19"/>
  <c r="M217" i="19"/>
  <c r="N217" i="19"/>
  <c r="O217" i="19"/>
  <c r="P217" i="19"/>
  <c r="Q217" i="19"/>
  <c r="R217" i="19"/>
  <c r="S217" i="19"/>
  <c r="B218" i="19"/>
  <c r="C218" i="19"/>
  <c r="D218" i="19"/>
  <c r="E218" i="19"/>
  <c r="F218" i="19"/>
  <c r="G218" i="19"/>
  <c r="H218" i="19"/>
  <c r="I218" i="19"/>
  <c r="J218" i="19"/>
  <c r="K218" i="19"/>
  <c r="L218" i="19"/>
  <c r="M218" i="19"/>
  <c r="N218" i="19"/>
  <c r="O218" i="19"/>
  <c r="P218" i="19"/>
  <c r="Q218" i="19"/>
  <c r="R218" i="19"/>
  <c r="S218" i="19"/>
  <c r="B219" i="19"/>
  <c r="C219" i="19"/>
  <c r="D219" i="19"/>
  <c r="E219" i="19"/>
  <c r="F219" i="19"/>
  <c r="G219" i="19"/>
  <c r="H219" i="19"/>
  <c r="I219" i="19"/>
  <c r="J219" i="19"/>
  <c r="K219" i="19"/>
  <c r="L219" i="19"/>
  <c r="M219" i="19"/>
  <c r="N219" i="19"/>
  <c r="O219" i="19"/>
  <c r="P219" i="19"/>
  <c r="Q219" i="19"/>
  <c r="R219" i="19"/>
  <c r="S219" i="19"/>
  <c r="B220" i="19"/>
  <c r="C220" i="19"/>
  <c r="D220" i="19"/>
  <c r="E220" i="19"/>
  <c r="F220" i="19"/>
  <c r="G220" i="19"/>
  <c r="H220" i="19"/>
  <c r="I220" i="19"/>
  <c r="J220" i="19"/>
  <c r="K220" i="19"/>
  <c r="L220" i="19"/>
  <c r="M220" i="19"/>
  <c r="N220" i="19"/>
  <c r="O220" i="19"/>
  <c r="P220" i="19"/>
  <c r="Q220" i="19"/>
  <c r="R220" i="19"/>
  <c r="S220" i="19"/>
  <c r="B221" i="19"/>
  <c r="C221" i="19"/>
  <c r="D221" i="19"/>
  <c r="E221" i="19"/>
  <c r="F221" i="19"/>
  <c r="G221" i="19"/>
  <c r="H221" i="19"/>
  <c r="I221" i="19"/>
  <c r="J221" i="19"/>
  <c r="K221" i="19"/>
  <c r="L221" i="19"/>
  <c r="M221" i="19"/>
  <c r="N221" i="19"/>
  <c r="O221" i="19"/>
  <c r="P221" i="19"/>
  <c r="Q221" i="19"/>
  <c r="R221" i="19"/>
  <c r="S221" i="19"/>
  <c r="B222" i="19"/>
  <c r="C222" i="19"/>
  <c r="D222" i="19"/>
  <c r="E222" i="19"/>
  <c r="F222" i="19"/>
  <c r="G222" i="19"/>
  <c r="H222" i="19"/>
  <c r="I222" i="19"/>
  <c r="J222" i="19"/>
  <c r="K222" i="19"/>
  <c r="L222" i="19"/>
  <c r="M222" i="19"/>
  <c r="N222" i="19"/>
  <c r="O222" i="19"/>
  <c r="P222" i="19"/>
  <c r="Q222" i="19"/>
  <c r="R222" i="19"/>
  <c r="S222" i="19"/>
  <c r="B223" i="19"/>
  <c r="C223" i="19"/>
  <c r="D223" i="19"/>
  <c r="E223" i="19"/>
  <c r="F223" i="19"/>
  <c r="G223" i="19"/>
  <c r="H223" i="19"/>
  <c r="I223" i="19"/>
  <c r="J223" i="19"/>
  <c r="K223" i="19"/>
  <c r="L223" i="19"/>
  <c r="M223" i="19"/>
  <c r="N223" i="19"/>
  <c r="O223" i="19"/>
  <c r="P223" i="19"/>
  <c r="Q223" i="19"/>
  <c r="R223" i="19"/>
  <c r="S223" i="19"/>
  <c r="B224" i="19"/>
  <c r="C224" i="19"/>
  <c r="D224" i="19"/>
  <c r="E224" i="19"/>
  <c r="F224" i="19"/>
  <c r="G224" i="19"/>
  <c r="H224" i="19"/>
  <c r="I224" i="19"/>
  <c r="J224" i="19"/>
  <c r="K224" i="19"/>
  <c r="L224" i="19"/>
  <c r="M224" i="19"/>
  <c r="N224" i="19"/>
  <c r="O224" i="19"/>
  <c r="P224" i="19"/>
  <c r="Q224" i="19"/>
  <c r="R224" i="19"/>
  <c r="S224" i="19"/>
  <c r="B225" i="19"/>
  <c r="C225" i="19"/>
  <c r="D225" i="19"/>
  <c r="E225" i="19"/>
  <c r="F225" i="19"/>
  <c r="G225" i="19"/>
  <c r="H225" i="19"/>
  <c r="I225" i="19"/>
  <c r="J225" i="19"/>
  <c r="K225" i="19"/>
  <c r="L225" i="19"/>
  <c r="M225" i="19"/>
  <c r="N225" i="19"/>
  <c r="O225" i="19"/>
  <c r="P225" i="19"/>
  <c r="Q225" i="19"/>
  <c r="R225" i="19"/>
  <c r="S225" i="19"/>
  <c r="B226" i="19"/>
  <c r="C226" i="19"/>
  <c r="D226" i="19"/>
  <c r="E226" i="19"/>
  <c r="F226" i="19"/>
  <c r="G226" i="19"/>
  <c r="H226" i="19"/>
  <c r="I226" i="19"/>
  <c r="J226" i="19"/>
  <c r="K226" i="19"/>
  <c r="L226" i="19"/>
  <c r="M226" i="19"/>
  <c r="N226" i="19"/>
  <c r="O226" i="19"/>
  <c r="P226" i="19"/>
  <c r="Q226" i="19"/>
  <c r="R226" i="19"/>
  <c r="S226" i="19"/>
  <c r="B227" i="19"/>
  <c r="C227" i="19"/>
  <c r="D227" i="19"/>
  <c r="E227" i="19"/>
  <c r="F227" i="19"/>
  <c r="G227" i="19"/>
  <c r="H227" i="19"/>
  <c r="I227" i="19"/>
  <c r="J227" i="19"/>
  <c r="K227" i="19"/>
  <c r="L227" i="19"/>
  <c r="M227" i="19"/>
  <c r="N227" i="19"/>
  <c r="O227" i="19"/>
  <c r="P227" i="19"/>
  <c r="Q227" i="19"/>
  <c r="R227" i="19"/>
  <c r="S227" i="19"/>
  <c r="B228" i="19"/>
  <c r="C228" i="19"/>
  <c r="D228" i="19"/>
  <c r="E228" i="19"/>
  <c r="F228" i="19"/>
  <c r="G228" i="19"/>
  <c r="H228" i="19"/>
  <c r="I228" i="19"/>
  <c r="J228" i="19"/>
  <c r="K228" i="19"/>
  <c r="L228" i="19"/>
  <c r="M228" i="19"/>
  <c r="N228" i="19"/>
  <c r="O228" i="19"/>
  <c r="P228" i="19"/>
  <c r="Q228" i="19"/>
  <c r="R228" i="19"/>
  <c r="S228" i="19"/>
  <c r="B229" i="19"/>
  <c r="C229" i="19"/>
  <c r="D229" i="19"/>
  <c r="E229" i="19"/>
  <c r="F229" i="19"/>
  <c r="G229" i="19"/>
  <c r="H229" i="19"/>
  <c r="I229" i="19"/>
  <c r="J229" i="19"/>
  <c r="K229" i="19"/>
  <c r="L229" i="19"/>
  <c r="M229" i="19"/>
  <c r="N229" i="19"/>
  <c r="O229" i="19"/>
  <c r="P229" i="19"/>
  <c r="Q229" i="19"/>
  <c r="R229" i="19"/>
  <c r="S229" i="19"/>
  <c r="B230" i="19"/>
  <c r="C230" i="19"/>
  <c r="D230" i="19"/>
  <c r="E230" i="19"/>
  <c r="F230" i="19"/>
  <c r="G230" i="19"/>
  <c r="H230" i="19"/>
  <c r="I230" i="19"/>
  <c r="J230" i="19"/>
  <c r="K230" i="19"/>
  <c r="L230" i="19"/>
  <c r="M230" i="19"/>
  <c r="N230" i="19"/>
  <c r="O230" i="19"/>
  <c r="P230" i="19"/>
  <c r="Q230" i="19"/>
  <c r="R230" i="19"/>
  <c r="S230" i="19"/>
  <c r="B231" i="19"/>
  <c r="C231" i="19"/>
  <c r="D231" i="19"/>
  <c r="E231" i="19"/>
  <c r="F231" i="19"/>
  <c r="G231" i="19"/>
  <c r="H231" i="19"/>
  <c r="I231" i="19"/>
  <c r="J231" i="19"/>
  <c r="K231" i="19"/>
  <c r="L231" i="19"/>
  <c r="M231" i="19"/>
  <c r="N231" i="19"/>
  <c r="O231" i="19"/>
  <c r="P231" i="19"/>
  <c r="Q231" i="19"/>
  <c r="R231" i="19"/>
  <c r="S231" i="19"/>
  <c r="B232" i="19"/>
  <c r="C232" i="19"/>
  <c r="D232" i="19"/>
  <c r="E232" i="19"/>
  <c r="F232" i="19"/>
  <c r="G232" i="19"/>
  <c r="H232" i="19"/>
  <c r="I232" i="19"/>
  <c r="J232" i="19"/>
  <c r="K232" i="19"/>
  <c r="L232" i="19"/>
  <c r="M232" i="19"/>
  <c r="N232" i="19"/>
  <c r="O232" i="19"/>
  <c r="P232" i="19"/>
  <c r="Q232" i="19"/>
  <c r="R232" i="19"/>
  <c r="S232" i="19"/>
  <c r="B233" i="19"/>
  <c r="C233" i="19"/>
  <c r="D233" i="19"/>
  <c r="E233" i="19"/>
  <c r="F233" i="19"/>
  <c r="G233" i="19"/>
  <c r="H233" i="19"/>
  <c r="I233" i="19"/>
  <c r="J233" i="19"/>
  <c r="K233" i="19"/>
  <c r="L233" i="19"/>
  <c r="M233" i="19"/>
  <c r="N233" i="19"/>
  <c r="O233" i="19"/>
  <c r="P233" i="19"/>
  <c r="Q233" i="19"/>
  <c r="R233" i="19"/>
  <c r="S233" i="19"/>
  <c r="B234" i="19"/>
  <c r="C234" i="19"/>
  <c r="D234" i="19"/>
  <c r="E234" i="19"/>
  <c r="F234" i="19"/>
  <c r="G234" i="19"/>
  <c r="H234" i="19"/>
  <c r="I234" i="19"/>
  <c r="J234" i="19"/>
  <c r="K234" i="19"/>
  <c r="L234" i="19"/>
  <c r="M234" i="19"/>
  <c r="N234" i="19"/>
  <c r="O234" i="19"/>
  <c r="P234" i="19"/>
  <c r="Q234" i="19"/>
  <c r="R234" i="19"/>
  <c r="S234" i="19"/>
  <c r="B235" i="19"/>
  <c r="C235" i="19"/>
  <c r="D235" i="19"/>
  <c r="E235" i="19"/>
  <c r="F235" i="19"/>
  <c r="G235" i="19"/>
  <c r="H235" i="19"/>
  <c r="I235" i="19"/>
  <c r="J235" i="19"/>
  <c r="K235" i="19"/>
  <c r="L235" i="19"/>
  <c r="M235" i="19"/>
  <c r="N235" i="19"/>
  <c r="O235" i="19"/>
  <c r="P235" i="19"/>
  <c r="Q235" i="19"/>
  <c r="R235" i="19"/>
  <c r="S235" i="19"/>
  <c r="B236" i="19"/>
  <c r="C236" i="19"/>
  <c r="D236" i="19"/>
  <c r="E236" i="19"/>
  <c r="F236" i="19"/>
  <c r="G236" i="19"/>
  <c r="H236" i="19"/>
  <c r="I236" i="19"/>
  <c r="J236" i="19"/>
  <c r="K236" i="19"/>
  <c r="L236" i="19"/>
  <c r="M236" i="19"/>
  <c r="N236" i="19"/>
  <c r="O236" i="19"/>
  <c r="P236" i="19"/>
  <c r="Q236" i="19"/>
  <c r="R236" i="19"/>
  <c r="S236" i="19"/>
  <c r="B237" i="19"/>
  <c r="C237" i="19"/>
  <c r="D237" i="19"/>
  <c r="E237" i="19"/>
  <c r="F237" i="19"/>
  <c r="G237" i="19"/>
  <c r="H237" i="19"/>
  <c r="I237" i="19"/>
  <c r="J237" i="19"/>
  <c r="K237" i="19"/>
  <c r="L237" i="19"/>
  <c r="M237" i="19"/>
  <c r="N237" i="19"/>
  <c r="O237" i="19"/>
  <c r="P237" i="19"/>
  <c r="Q237" i="19"/>
  <c r="R237" i="19"/>
  <c r="S237" i="19"/>
  <c r="B238" i="19"/>
  <c r="C238" i="19"/>
  <c r="D238" i="19"/>
  <c r="E238" i="19"/>
  <c r="F238" i="19"/>
  <c r="G238" i="19"/>
  <c r="H238" i="19"/>
  <c r="I238" i="19"/>
  <c r="J238" i="19"/>
  <c r="K238" i="19"/>
  <c r="L238" i="19"/>
  <c r="M238" i="19"/>
  <c r="N238" i="19"/>
  <c r="O238" i="19"/>
  <c r="P238" i="19"/>
  <c r="Q238" i="19"/>
  <c r="R238" i="19"/>
  <c r="S238" i="19"/>
  <c r="B239" i="19"/>
  <c r="C239" i="19"/>
  <c r="D239" i="19"/>
  <c r="E239" i="19"/>
  <c r="F239" i="19"/>
  <c r="G239" i="19"/>
  <c r="H239" i="19"/>
  <c r="I239" i="19"/>
  <c r="J239" i="19"/>
  <c r="K239" i="19"/>
  <c r="L239" i="19"/>
  <c r="M239" i="19"/>
  <c r="N239" i="19"/>
  <c r="O239" i="19"/>
  <c r="P239" i="19"/>
  <c r="Q239" i="19"/>
  <c r="R239" i="19"/>
  <c r="S239" i="19"/>
  <c r="B240" i="19"/>
  <c r="C240" i="19"/>
  <c r="D240" i="19"/>
  <c r="E240" i="19"/>
  <c r="F240" i="19"/>
  <c r="G240" i="19"/>
  <c r="H240" i="19"/>
  <c r="I240" i="19"/>
  <c r="J240" i="19"/>
  <c r="K240" i="19"/>
  <c r="L240" i="19"/>
  <c r="M240" i="19"/>
  <c r="N240" i="19"/>
  <c r="O240" i="19"/>
  <c r="P240" i="19"/>
  <c r="Q240" i="19"/>
  <c r="R240" i="19"/>
  <c r="S240" i="19"/>
  <c r="B241" i="19"/>
  <c r="C241" i="19"/>
  <c r="D241" i="19"/>
  <c r="E241" i="19"/>
  <c r="F241" i="19"/>
  <c r="G241" i="19"/>
  <c r="H241" i="19"/>
  <c r="I241" i="19"/>
  <c r="J241" i="19"/>
  <c r="K241" i="19"/>
  <c r="L241" i="19"/>
  <c r="M241" i="19"/>
  <c r="N241" i="19"/>
  <c r="O241" i="19"/>
  <c r="P241" i="19"/>
  <c r="Q241" i="19"/>
  <c r="R241" i="19"/>
  <c r="S241" i="19"/>
  <c r="B242" i="19"/>
  <c r="C242" i="19"/>
  <c r="D242" i="19"/>
  <c r="E242" i="19"/>
  <c r="F242" i="19"/>
  <c r="G242" i="19"/>
  <c r="H242" i="19"/>
  <c r="I242" i="19"/>
  <c r="J242" i="19"/>
  <c r="K242" i="19"/>
  <c r="L242" i="19"/>
  <c r="M242" i="19"/>
  <c r="N242" i="19"/>
  <c r="O242" i="19"/>
  <c r="P242" i="19"/>
  <c r="Q242" i="19"/>
  <c r="R242" i="19"/>
  <c r="S242" i="19"/>
  <c r="B243" i="19"/>
  <c r="C243" i="19"/>
  <c r="D243" i="19"/>
  <c r="E243" i="19"/>
  <c r="F243" i="19"/>
  <c r="G243" i="19"/>
  <c r="H243" i="19"/>
  <c r="I243" i="19"/>
  <c r="J243" i="19"/>
  <c r="K243" i="19"/>
  <c r="L243" i="19"/>
  <c r="M243" i="19"/>
  <c r="N243" i="19"/>
  <c r="O243" i="19"/>
  <c r="P243" i="19"/>
  <c r="Q243" i="19"/>
  <c r="R243" i="19"/>
  <c r="S243" i="19"/>
  <c r="B244" i="19"/>
  <c r="C244" i="19"/>
  <c r="D244" i="19"/>
  <c r="E244" i="19"/>
  <c r="F244" i="19"/>
  <c r="G244" i="19"/>
  <c r="H244" i="19"/>
  <c r="I244" i="19"/>
  <c r="J244" i="19"/>
  <c r="K244" i="19"/>
  <c r="L244" i="19"/>
  <c r="M244" i="19"/>
  <c r="N244" i="19"/>
  <c r="O244" i="19"/>
  <c r="P244" i="19"/>
  <c r="Q244" i="19"/>
  <c r="R244" i="19"/>
  <c r="S244" i="19"/>
  <c r="B245" i="19"/>
  <c r="C245" i="19"/>
  <c r="D245" i="19"/>
  <c r="E245" i="19"/>
  <c r="F245" i="19"/>
  <c r="G245" i="19"/>
  <c r="H245" i="19"/>
  <c r="I245" i="19"/>
  <c r="J245" i="19"/>
  <c r="K245" i="19"/>
  <c r="L245" i="19"/>
  <c r="M245" i="19"/>
  <c r="N245" i="19"/>
  <c r="O245" i="19"/>
  <c r="P245" i="19"/>
  <c r="Q245" i="19"/>
  <c r="R245" i="19"/>
  <c r="S245" i="19"/>
  <c r="B246" i="19"/>
  <c r="C246" i="19"/>
  <c r="D246" i="19"/>
  <c r="E246" i="19"/>
  <c r="F246" i="19"/>
  <c r="G246" i="19"/>
  <c r="H246" i="19"/>
  <c r="I246" i="19"/>
  <c r="J246" i="19"/>
  <c r="K246" i="19"/>
  <c r="L246" i="19"/>
  <c r="M246" i="19"/>
  <c r="N246" i="19"/>
  <c r="O246" i="19"/>
  <c r="P246" i="19"/>
  <c r="Q246" i="19"/>
  <c r="R246" i="19"/>
  <c r="S246" i="19"/>
  <c r="B247" i="19"/>
  <c r="C247" i="19"/>
  <c r="D247" i="19"/>
  <c r="E247" i="19"/>
  <c r="F247" i="19"/>
  <c r="G247" i="19"/>
  <c r="H247" i="19"/>
  <c r="I247" i="19"/>
  <c r="J247" i="19"/>
  <c r="K247" i="19"/>
  <c r="L247" i="19"/>
  <c r="M247" i="19"/>
  <c r="N247" i="19"/>
  <c r="O247" i="19"/>
  <c r="P247" i="19"/>
  <c r="Q247" i="19"/>
  <c r="R247" i="19"/>
  <c r="S247" i="19"/>
  <c r="B248" i="19"/>
  <c r="C248" i="19"/>
  <c r="D248" i="19"/>
  <c r="E248" i="19"/>
  <c r="F248" i="19"/>
  <c r="G248" i="19"/>
  <c r="H248" i="19"/>
  <c r="I248" i="19"/>
  <c r="J248" i="19"/>
  <c r="K248" i="19"/>
  <c r="L248" i="19"/>
  <c r="M248" i="19"/>
  <c r="N248" i="19"/>
  <c r="O248" i="19"/>
  <c r="P248" i="19"/>
  <c r="Q248" i="19"/>
  <c r="R248" i="19"/>
  <c r="S248" i="19"/>
  <c r="B249" i="19"/>
  <c r="C249" i="19"/>
  <c r="D249" i="19"/>
  <c r="E249" i="19"/>
  <c r="F249" i="19"/>
  <c r="G249" i="19"/>
  <c r="H249" i="19"/>
  <c r="I249" i="19"/>
  <c r="J249" i="19"/>
  <c r="K249" i="19"/>
  <c r="L249" i="19"/>
  <c r="M249" i="19"/>
  <c r="N249" i="19"/>
  <c r="O249" i="19"/>
  <c r="P249" i="19"/>
  <c r="Q249" i="19"/>
  <c r="R249" i="19"/>
  <c r="S249" i="19"/>
  <c r="B250" i="19"/>
  <c r="C250" i="19"/>
  <c r="D250" i="19"/>
  <c r="E250" i="19"/>
  <c r="F250" i="19"/>
  <c r="G250" i="19"/>
  <c r="H250" i="19"/>
  <c r="I250" i="19"/>
  <c r="J250" i="19"/>
  <c r="K250" i="19"/>
  <c r="L250" i="19"/>
  <c r="M250" i="19"/>
  <c r="N250" i="19"/>
  <c r="O250" i="19"/>
  <c r="P250" i="19"/>
  <c r="Q250" i="19"/>
  <c r="R250" i="19"/>
  <c r="S250" i="19"/>
  <c r="B251" i="19"/>
  <c r="C251" i="19"/>
  <c r="D251" i="19"/>
  <c r="E251" i="19"/>
  <c r="F251" i="19"/>
  <c r="G251" i="19"/>
  <c r="H251" i="19"/>
  <c r="I251" i="19"/>
  <c r="J251" i="19"/>
  <c r="K251" i="19"/>
  <c r="L251" i="19"/>
  <c r="M251" i="19"/>
  <c r="N251" i="19"/>
  <c r="O251" i="19"/>
  <c r="P251" i="19"/>
  <c r="Q251" i="19"/>
  <c r="R251" i="19"/>
  <c r="S251" i="19"/>
  <c r="B252" i="19"/>
  <c r="C252" i="19"/>
  <c r="D252" i="19"/>
  <c r="E252" i="19"/>
  <c r="F252" i="19"/>
  <c r="G252" i="19"/>
  <c r="H252" i="19"/>
  <c r="I252" i="19"/>
  <c r="J252" i="19"/>
  <c r="K252" i="19"/>
  <c r="L252" i="19"/>
  <c r="M252" i="19"/>
  <c r="N252" i="19"/>
  <c r="O252" i="19"/>
  <c r="P252" i="19"/>
  <c r="Q252" i="19"/>
  <c r="R252" i="19"/>
  <c r="S252" i="19"/>
  <c r="B253" i="19"/>
  <c r="C253" i="19"/>
  <c r="D253" i="19"/>
  <c r="E253" i="19"/>
  <c r="F253" i="19"/>
  <c r="G253" i="19"/>
  <c r="H253" i="19"/>
  <c r="I253" i="19"/>
  <c r="J253" i="19"/>
  <c r="K253" i="19"/>
  <c r="L253" i="19"/>
  <c r="M253" i="19"/>
  <c r="N253" i="19"/>
  <c r="O253" i="19"/>
  <c r="P253" i="19"/>
  <c r="Q253" i="19"/>
  <c r="R253" i="19"/>
  <c r="S253" i="19"/>
  <c r="B254" i="19"/>
  <c r="C254" i="19"/>
  <c r="D254" i="19"/>
  <c r="E254" i="19"/>
  <c r="F254" i="19"/>
  <c r="G254" i="19"/>
  <c r="H254" i="19"/>
  <c r="I254" i="19"/>
  <c r="J254" i="19"/>
  <c r="K254" i="19"/>
  <c r="L254" i="19"/>
  <c r="M254" i="19"/>
  <c r="N254" i="19"/>
  <c r="O254" i="19"/>
  <c r="P254" i="19"/>
  <c r="Q254" i="19"/>
  <c r="R254" i="19"/>
  <c r="S254" i="19"/>
  <c r="B255" i="19"/>
  <c r="C255" i="19"/>
  <c r="D255" i="19"/>
  <c r="E255" i="19"/>
  <c r="F255" i="19"/>
  <c r="G255" i="19"/>
  <c r="H255" i="19"/>
  <c r="I255" i="19"/>
  <c r="J255" i="19"/>
  <c r="K255" i="19"/>
  <c r="L255" i="19"/>
  <c r="M255" i="19"/>
  <c r="N255" i="19"/>
  <c r="O255" i="19"/>
  <c r="P255" i="19"/>
  <c r="Q255" i="19"/>
  <c r="R255" i="19"/>
  <c r="S255" i="19"/>
  <c r="B256" i="19"/>
  <c r="C256" i="19"/>
  <c r="D256" i="19"/>
  <c r="E256" i="19"/>
  <c r="F256" i="19"/>
  <c r="G256" i="19"/>
  <c r="H256" i="19"/>
  <c r="I256" i="19"/>
  <c r="J256" i="19"/>
  <c r="K256" i="19"/>
  <c r="L256" i="19"/>
  <c r="M256" i="19"/>
  <c r="N256" i="19"/>
  <c r="O256" i="19"/>
  <c r="P256" i="19"/>
  <c r="Q256" i="19"/>
  <c r="R256" i="19"/>
  <c r="S256" i="19"/>
  <c r="B257" i="19"/>
  <c r="C257" i="19"/>
  <c r="D257" i="19"/>
  <c r="E257" i="19"/>
  <c r="F257" i="19"/>
  <c r="G257" i="19"/>
  <c r="H257" i="19"/>
  <c r="I257" i="19"/>
  <c r="J257" i="19"/>
  <c r="K257" i="19"/>
  <c r="L257" i="19"/>
  <c r="M257" i="19"/>
  <c r="N257" i="19"/>
  <c r="O257" i="19"/>
  <c r="P257" i="19"/>
  <c r="Q257" i="19"/>
  <c r="R257" i="19"/>
  <c r="S257" i="19"/>
  <c r="B258" i="19"/>
  <c r="C258" i="19"/>
  <c r="D258" i="19"/>
  <c r="E258" i="19"/>
  <c r="F258" i="19"/>
  <c r="G258" i="19"/>
  <c r="H258" i="19"/>
  <c r="I258" i="19"/>
  <c r="J258" i="19"/>
  <c r="K258" i="19"/>
  <c r="L258" i="19"/>
  <c r="M258" i="19"/>
  <c r="N258" i="19"/>
  <c r="O258" i="19"/>
  <c r="P258" i="19"/>
  <c r="Q258" i="19"/>
  <c r="R258" i="19"/>
  <c r="S258" i="19"/>
  <c r="B259" i="19"/>
  <c r="C259" i="19"/>
  <c r="D259" i="19"/>
  <c r="E259" i="19"/>
  <c r="F259" i="19"/>
  <c r="G259" i="19"/>
  <c r="H259" i="19"/>
  <c r="I259" i="19"/>
  <c r="J259" i="19"/>
  <c r="K259" i="19"/>
  <c r="L259" i="19"/>
  <c r="M259" i="19"/>
  <c r="N259" i="19"/>
  <c r="O259" i="19"/>
  <c r="P259" i="19"/>
  <c r="Q259" i="19"/>
  <c r="R259" i="19"/>
  <c r="S259" i="19"/>
  <c r="B260" i="19"/>
  <c r="C260" i="19"/>
  <c r="D260" i="19"/>
  <c r="E260" i="19"/>
  <c r="F260" i="19"/>
  <c r="G260" i="19"/>
  <c r="H260" i="19"/>
  <c r="I260" i="19"/>
  <c r="J260" i="19"/>
  <c r="K260" i="19"/>
  <c r="L260" i="19"/>
  <c r="M260" i="19"/>
  <c r="N260" i="19"/>
  <c r="O260" i="19"/>
  <c r="P260" i="19"/>
  <c r="Q260" i="19"/>
  <c r="R260" i="19"/>
  <c r="S260" i="19"/>
  <c r="B261" i="19"/>
  <c r="C261" i="19"/>
  <c r="D261" i="19"/>
  <c r="E261" i="19"/>
  <c r="F261" i="19"/>
  <c r="G261" i="19"/>
  <c r="H261" i="19"/>
  <c r="I261" i="19"/>
  <c r="J261" i="19"/>
  <c r="K261" i="19"/>
  <c r="L261" i="19"/>
  <c r="M261" i="19"/>
  <c r="N261" i="19"/>
  <c r="O261" i="19"/>
  <c r="P261" i="19"/>
  <c r="Q261" i="19"/>
  <c r="R261" i="19"/>
  <c r="S261" i="19"/>
  <c r="B262" i="19"/>
  <c r="C262" i="19"/>
  <c r="D262" i="19"/>
  <c r="E262" i="19"/>
  <c r="F262" i="19"/>
  <c r="G262" i="19"/>
  <c r="H262" i="19"/>
  <c r="I262" i="19"/>
  <c r="J262" i="19"/>
  <c r="K262" i="19"/>
  <c r="L262" i="19"/>
  <c r="M262" i="19"/>
  <c r="N262" i="19"/>
  <c r="O262" i="19"/>
  <c r="P262" i="19"/>
  <c r="Q262" i="19"/>
  <c r="R262" i="19"/>
  <c r="S262" i="19"/>
  <c r="B263" i="19"/>
  <c r="C263" i="19"/>
  <c r="D263" i="19"/>
  <c r="E263" i="19"/>
  <c r="F263" i="19"/>
  <c r="G263" i="19"/>
  <c r="H263" i="19"/>
  <c r="I263" i="19"/>
  <c r="J263" i="19"/>
  <c r="K263" i="19"/>
  <c r="L263" i="19"/>
  <c r="M263" i="19"/>
  <c r="N263" i="19"/>
  <c r="O263" i="19"/>
  <c r="P263" i="19"/>
  <c r="Q263" i="19"/>
  <c r="R263" i="19"/>
  <c r="S263" i="19"/>
  <c r="B264" i="19"/>
  <c r="C264" i="19"/>
  <c r="D264" i="19"/>
  <c r="E264" i="19"/>
  <c r="F264" i="19"/>
  <c r="G264" i="19"/>
  <c r="H264" i="19"/>
  <c r="I264" i="19"/>
  <c r="J264" i="19"/>
  <c r="K264" i="19"/>
  <c r="L264" i="19"/>
  <c r="M264" i="19"/>
  <c r="N264" i="19"/>
  <c r="O264" i="19"/>
  <c r="P264" i="19"/>
  <c r="Q264" i="19"/>
  <c r="R264" i="19"/>
  <c r="S264" i="19"/>
  <c r="B265" i="19"/>
  <c r="C265" i="19"/>
  <c r="D265" i="19"/>
  <c r="E265" i="19"/>
  <c r="F265" i="19"/>
  <c r="G265" i="19"/>
  <c r="H265" i="19"/>
  <c r="I265" i="19"/>
  <c r="J265" i="19"/>
  <c r="K265" i="19"/>
  <c r="L265" i="19"/>
  <c r="M265" i="19"/>
  <c r="N265" i="19"/>
  <c r="O265" i="19"/>
  <c r="P265" i="19"/>
  <c r="Q265" i="19"/>
  <c r="R265" i="19"/>
  <c r="S265" i="19"/>
  <c r="B266" i="19"/>
  <c r="C266" i="19"/>
  <c r="D266" i="19"/>
  <c r="E266" i="19"/>
  <c r="F266" i="19"/>
  <c r="G266" i="19"/>
  <c r="H266" i="19"/>
  <c r="I266" i="19"/>
  <c r="J266" i="19"/>
  <c r="K266" i="19"/>
  <c r="L266" i="19"/>
  <c r="M266" i="19"/>
  <c r="N266" i="19"/>
  <c r="O266" i="19"/>
  <c r="P266" i="19"/>
  <c r="Q266" i="19"/>
  <c r="R266" i="19"/>
  <c r="S266" i="19"/>
  <c r="B267" i="19"/>
  <c r="C267" i="19"/>
  <c r="D267" i="19"/>
  <c r="E267" i="19"/>
  <c r="F267" i="19"/>
  <c r="G267" i="19"/>
  <c r="H267" i="19"/>
  <c r="I267" i="19"/>
  <c r="J267" i="19"/>
  <c r="K267" i="19"/>
  <c r="L267" i="19"/>
  <c r="M267" i="19"/>
  <c r="N267" i="19"/>
  <c r="O267" i="19"/>
  <c r="P267" i="19"/>
  <c r="Q267" i="19"/>
  <c r="R267" i="19"/>
  <c r="S267" i="19"/>
  <c r="B268" i="19"/>
  <c r="C268" i="19"/>
  <c r="D268" i="19"/>
  <c r="E268" i="19"/>
  <c r="F268" i="19"/>
  <c r="G268" i="19"/>
  <c r="H268" i="19"/>
  <c r="I268" i="19"/>
  <c r="J268" i="19"/>
  <c r="K268" i="19"/>
  <c r="L268" i="19"/>
  <c r="M268" i="19"/>
  <c r="N268" i="19"/>
  <c r="O268" i="19"/>
  <c r="P268" i="19"/>
  <c r="Q268" i="19"/>
  <c r="R268" i="19"/>
  <c r="S268" i="19"/>
  <c r="B269" i="19"/>
  <c r="C269" i="19"/>
  <c r="D269" i="19"/>
  <c r="E269" i="19"/>
  <c r="F269" i="19"/>
  <c r="G269" i="19"/>
  <c r="H269" i="19"/>
  <c r="I269" i="19"/>
  <c r="J269" i="19"/>
  <c r="K269" i="19"/>
  <c r="L269" i="19"/>
  <c r="M269" i="19"/>
  <c r="N269" i="19"/>
  <c r="O269" i="19"/>
  <c r="P269" i="19"/>
  <c r="Q269" i="19"/>
  <c r="R269" i="19"/>
  <c r="S269" i="19"/>
  <c r="B270" i="19"/>
  <c r="C270" i="19"/>
  <c r="D270" i="19"/>
  <c r="E270" i="19"/>
  <c r="F270" i="19"/>
  <c r="G270" i="19"/>
  <c r="H270" i="19"/>
  <c r="I270" i="19"/>
  <c r="J270" i="19"/>
  <c r="K270" i="19"/>
  <c r="L270" i="19"/>
  <c r="M270" i="19"/>
  <c r="N270" i="19"/>
  <c r="O270" i="19"/>
  <c r="P270" i="19"/>
  <c r="Q270" i="19"/>
  <c r="R270" i="19"/>
  <c r="S270" i="19"/>
  <c r="B271" i="19"/>
  <c r="C271" i="19"/>
  <c r="D271" i="19"/>
  <c r="E271" i="19"/>
  <c r="F271" i="19"/>
  <c r="G271" i="19"/>
  <c r="H271" i="19"/>
  <c r="I271" i="19"/>
  <c r="J271" i="19"/>
  <c r="K271" i="19"/>
  <c r="L271" i="19"/>
  <c r="M271" i="19"/>
  <c r="N271" i="19"/>
  <c r="O271" i="19"/>
  <c r="P271" i="19"/>
  <c r="Q271" i="19"/>
  <c r="R271" i="19"/>
  <c r="S271" i="19"/>
  <c r="B272" i="19"/>
  <c r="C272" i="19"/>
  <c r="D272" i="19"/>
  <c r="E272" i="19"/>
  <c r="F272" i="19"/>
  <c r="G272" i="19"/>
  <c r="H272" i="19"/>
  <c r="I272" i="19"/>
  <c r="J272" i="19"/>
  <c r="K272" i="19"/>
  <c r="L272" i="19"/>
  <c r="M272" i="19"/>
  <c r="N272" i="19"/>
  <c r="O272" i="19"/>
  <c r="P272" i="19"/>
  <c r="Q272" i="19"/>
  <c r="R272" i="19"/>
  <c r="S272" i="19"/>
  <c r="B273" i="19"/>
  <c r="C273" i="19"/>
  <c r="D273" i="19"/>
  <c r="E273" i="19"/>
  <c r="F273" i="19"/>
  <c r="G273" i="19"/>
  <c r="H273" i="19"/>
  <c r="I273" i="19"/>
  <c r="J273" i="19"/>
  <c r="K273" i="19"/>
  <c r="L273" i="19"/>
  <c r="M273" i="19"/>
  <c r="N273" i="19"/>
  <c r="O273" i="19"/>
  <c r="P273" i="19"/>
  <c r="Q273" i="19"/>
  <c r="R273" i="19"/>
  <c r="S273" i="19"/>
  <c r="B274" i="19"/>
  <c r="C274" i="19"/>
  <c r="D274" i="19"/>
  <c r="E274" i="19"/>
  <c r="F274" i="19"/>
  <c r="G274" i="19"/>
  <c r="H274" i="19"/>
  <c r="I274" i="19"/>
  <c r="J274" i="19"/>
  <c r="K274" i="19"/>
  <c r="L274" i="19"/>
  <c r="M274" i="19"/>
  <c r="N274" i="19"/>
  <c r="O274" i="19"/>
  <c r="P274" i="19"/>
  <c r="Q274" i="19"/>
  <c r="R274" i="19"/>
  <c r="S274" i="19"/>
  <c r="B275" i="19"/>
  <c r="C275" i="19"/>
  <c r="D275" i="19"/>
  <c r="E275" i="19"/>
  <c r="F275" i="19"/>
  <c r="G275" i="19"/>
  <c r="H275" i="19"/>
  <c r="I275" i="19"/>
  <c r="J275" i="19"/>
  <c r="K275" i="19"/>
  <c r="L275" i="19"/>
  <c r="M275" i="19"/>
  <c r="N275" i="19"/>
  <c r="O275" i="19"/>
  <c r="P275" i="19"/>
  <c r="Q275" i="19"/>
  <c r="R275" i="19"/>
  <c r="S275" i="19"/>
  <c r="B276" i="19"/>
  <c r="C276" i="19"/>
  <c r="D276" i="19"/>
  <c r="E276" i="19"/>
  <c r="F276" i="19"/>
  <c r="G276" i="19"/>
  <c r="H276" i="19"/>
  <c r="I276" i="19"/>
  <c r="J276" i="19"/>
  <c r="K276" i="19"/>
  <c r="L276" i="19"/>
  <c r="M276" i="19"/>
  <c r="N276" i="19"/>
  <c r="O276" i="19"/>
  <c r="P276" i="19"/>
  <c r="Q276" i="19"/>
  <c r="R276" i="19"/>
  <c r="S276" i="19"/>
  <c r="B277" i="19"/>
  <c r="C277" i="19"/>
  <c r="D277" i="19"/>
  <c r="E277" i="19"/>
  <c r="F277" i="19"/>
  <c r="G277" i="19"/>
  <c r="H277" i="19"/>
  <c r="I277" i="19"/>
  <c r="J277" i="19"/>
  <c r="K277" i="19"/>
  <c r="L277" i="19"/>
  <c r="M277" i="19"/>
  <c r="N277" i="19"/>
  <c r="O277" i="19"/>
  <c r="P277" i="19"/>
  <c r="Q277" i="19"/>
  <c r="R277" i="19"/>
  <c r="S277" i="19"/>
  <c r="B278" i="19"/>
  <c r="C278" i="19"/>
  <c r="D278" i="19"/>
  <c r="E278" i="19"/>
  <c r="F278" i="19"/>
  <c r="G278" i="19"/>
  <c r="H278" i="19"/>
  <c r="I278" i="19"/>
  <c r="J278" i="19"/>
  <c r="K278" i="19"/>
  <c r="L278" i="19"/>
  <c r="M278" i="19"/>
  <c r="N278" i="19"/>
  <c r="O278" i="19"/>
  <c r="P278" i="19"/>
  <c r="Q278" i="19"/>
  <c r="R278" i="19"/>
  <c r="S278" i="19"/>
  <c r="B279" i="19"/>
  <c r="C279" i="19"/>
  <c r="D279" i="19"/>
  <c r="E279" i="19"/>
  <c r="F279" i="19"/>
  <c r="G279" i="19"/>
  <c r="H279" i="19"/>
  <c r="I279" i="19"/>
  <c r="J279" i="19"/>
  <c r="K279" i="19"/>
  <c r="L279" i="19"/>
  <c r="M279" i="19"/>
  <c r="N279" i="19"/>
  <c r="O279" i="19"/>
  <c r="P279" i="19"/>
  <c r="Q279" i="19"/>
  <c r="R279" i="19"/>
  <c r="S279" i="19"/>
  <c r="B280" i="19"/>
  <c r="C280" i="19"/>
  <c r="D280" i="19"/>
  <c r="E280" i="19"/>
  <c r="F280" i="19"/>
  <c r="G280" i="19"/>
  <c r="H280" i="19"/>
  <c r="I280" i="19"/>
  <c r="J280" i="19"/>
  <c r="K280" i="19"/>
  <c r="L280" i="19"/>
  <c r="M280" i="19"/>
  <c r="N280" i="19"/>
  <c r="O280" i="19"/>
  <c r="P280" i="19"/>
  <c r="Q280" i="19"/>
  <c r="R280" i="19"/>
  <c r="S280" i="19"/>
  <c r="B281" i="19"/>
  <c r="C281" i="19"/>
  <c r="D281" i="19"/>
  <c r="E281" i="19"/>
  <c r="F281" i="19"/>
  <c r="G281" i="19"/>
  <c r="H281" i="19"/>
  <c r="I281" i="19"/>
  <c r="J281" i="19"/>
  <c r="K281" i="19"/>
  <c r="L281" i="19"/>
  <c r="M281" i="19"/>
  <c r="N281" i="19"/>
  <c r="O281" i="19"/>
  <c r="P281" i="19"/>
  <c r="Q281" i="19"/>
  <c r="R281" i="19"/>
  <c r="S281" i="19"/>
  <c r="B282" i="19"/>
  <c r="C282" i="19"/>
  <c r="D282" i="19"/>
  <c r="E282" i="19"/>
  <c r="F282" i="19"/>
  <c r="G282" i="19"/>
  <c r="H282" i="19"/>
  <c r="I282" i="19"/>
  <c r="J282" i="19"/>
  <c r="K282" i="19"/>
  <c r="L282" i="19"/>
  <c r="M282" i="19"/>
  <c r="N282" i="19"/>
  <c r="O282" i="19"/>
  <c r="P282" i="19"/>
  <c r="Q282" i="19"/>
  <c r="R282" i="19"/>
  <c r="S282" i="19"/>
  <c r="B283" i="19"/>
  <c r="C283" i="19"/>
  <c r="D283" i="19"/>
  <c r="E283" i="19"/>
  <c r="F283" i="19"/>
  <c r="G283" i="19"/>
  <c r="H283" i="19"/>
  <c r="I283" i="19"/>
  <c r="J283" i="19"/>
  <c r="K283" i="19"/>
  <c r="L283" i="19"/>
  <c r="M283" i="19"/>
  <c r="N283" i="19"/>
  <c r="O283" i="19"/>
  <c r="P283" i="19"/>
  <c r="Q283" i="19"/>
  <c r="R283" i="19"/>
  <c r="S283" i="19"/>
  <c r="B284" i="19"/>
  <c r="C284" i="19"/>
  <c r="D284" i="19"/>
  <c r="E284" i="19"/>
  <c r="F284" i="19"/>
  <c r="G284" i="19"/>
  <c r="H284" i="19"/>
  <c r="I284" i="19"/>
  <c r="J284" i="19"/>
  <c r="K284" i="19"/>
  <c r="L284" i="19"/>
  <c r="M284" i="19"/>
  <c r="N284" i="19"/>
  <c r="O284" i="19"/>
  <c r="P284" i="19"/>
  <c r="Q284" i="19"/>
  <c r="R284" i="19"/>
  <c r="S284" i="19"/>
  <c r="B285" i="19"/>
  <c r="C285" i="19"/>
  <c r="D285" i="19"/>
  <c r="E285" i="19"/>
  <c r="F285" i="19"/>
  <c r="G285" i="19"/>
  <c r="H285" i="19"/>
  <c r="I285" i="19"/>
  <c r="J285" i="19"/>
  <c r="K285" i="19"/>
  <c r="L285" i="19"/>
  <c r="M285" i="19"/>
  <c r="N285" i="19"/>
  <c r="O285" i="19"/>
  <c r="P285" i="19"/>
  <c r="Q285" i="19"/>
  <c r="R285" i="19"/>
  <c r="S285" i="19"/>
  <c r="B286" i="19"/>
  <c r="C286" i="19"/>
  <c r="D286" i="19"/>
  <c r="E286" i="19"/>
  <c r="F286" i="19"/>
  <c r="G286" i="19"/>
  <c r="H286" i="19"/>
  <c r="I286" i="19"/>
  <c r="J286" i="19"/>
  <c r="K286" i="19"/>
  <c r="L286" i="19"/>
  <c r="M286" i="19"/>
  <c r="N286" i="19"/>
  <c r="O286" i="19"/>
  <c r="P286" i="19"/>
  <c r="Q286" i="19"/>
  <c r="R286" i="19"/>
  <c r="S286" i="19"/>
  <c r="B287" i="19"/>
  <c r="C287" i="19"/>
  <c r="D287" i="19"/>
  <c r="E287" i="19"/>
  <c r="F287" i="19"/>
  <c r="G287" i="19"/>
  <c r="H287" i="19"/>
  <c r="I287" i="19"/>
  <c r="J287" i="19"/>
  <c r="K287" i="19"/>
  <c r="L287" i="19"/>
  <c r="M287" i="19"/>
  <c r="N287" i="19"/>
  <c r="O287" i="19"/>
  <c r="P287" i="19"/>
  <c r="Q287" i="19"/>
  <c r="R287" i="19"/>
  <c r="S287" i="19"/>
  <c r="B288" i="19"/>
  <c r="C288" i="19"/>
  <c r="D288" i="19"/>
  <c r="E288" i="19"/>
  <c r="F288" i="19"/>
  <c r="G288" i="19"/>
  <c r="H288" i="19"/>
  <c r="I288" i="19"/>
  <c r="J288" i="19"/>
  <c r="K288" i="19"/>
  <c r="L288" i="19"/>
  <c r="M288" i="19"/>
  <c r="N288" i="19"/>
  <c r="O288" i="19"/>
  <c r="P288" i="19"/>
  <c r="Q288" i="19"/>
  <c r="R288" i="19"/>
  <c r="S288" i="19"/>
  <c r="B289" i="19"/>
  <c r="C289" i="19"/>
  <c r="D289" i="19"/>
  <c r="E289" i="19"/>
  <c r="F289" i="19"/>
  <c r="G289" i="19"/>
  <c r="H289" i="19"/>
  <c r="I289" i="19"/>
  <c r="J289" i="19"/>
  <c r="K289" i="19"/>
  <c r="L289" i="19"/>
  <c r="M289" i="19"/>
  <c r="N289" i="19"/>
  <c r="O289" i="19"/>
  <c r="P289" i="19"/>
  <c r="Q289" i="19"/>
  <c r="R289" i="19"/>
  <c r="S289" i="19"/>
  <c r="B290" i="19"/>
  <c r="C290" i="19"/>
  <c r="D290" i="19"/>
  <c r="E290" i="19"/>
  <c r="F290" i="19"/>
  <c r="G290" i="19"/>
  <c r="H290" i="19"/>
  <c r="I290" i="19"/>
  <c r="J290" i="19"/>
  <c r="K290" i="19"/>
  <c r="L290" i="19"/>
  <c r="M290" i="19"/>
  <c r="N290" i="19"/>
  <c r="O290" i="19"/>
  <c r="P290" i="19"/>
  <c r="Q290" i="19"/>
  <c r="R290" i="19"/>
  <c r="S290" i="19"/>
  <c r="B291" i="19"/>
  <c r="C291" i="19"/>
  <c r="D291" i="19"/>
  <c r="E291" i="19"/>
  <c r="F291" i="19"/>
  <c r="G291" i="19"/>
  <c r="H291" i="19"/>
  <c r="I291" i="19"/>
  <c r="J291" i="19"/>
  <c r="K291" i="19"/>
  <c r="L291" i="19"/>
  <c r="M291" i="19"/>
  <c r="N291" i="19"/>
  <c r="O291" i="19"/>
  <c r="P291" i="19"/>
  <c r="Q291" i="19"/>
  <c r="R291" i="19"/>
  <c r="S291" i="19"/>
  <c r="B292" i="19"/>
  <c r="C292" i="19"/>
  <c r="D292" i="19"/>
  <c r="E292" i="19"/>
  <c r="F292" i="19"/>
  <c r="G292" i="19"/>
  <c r="H292" i="19"/>
  <c r="I292" i="19"/>
  <c r="J292" i="19"/>
  <c r="K292" i="19"/>
  <c r="L292" i="19"/>
  <c r="M292" i="19"/>
  <c r="N292" i="19"/>
  <c r="O292" i="19"/>
  <c r="P292" i="19"/>
  <c r="Q292" i="19"/>
  <c r="R292" i="19"/>
  <c r="S292" i="19"/>
  <c r="B293" i="19"/>
  <c r="C293" i="19"/>
  <c r="D293" i="19"/>
  <c r="E293" i="19"/>
  <c r="F293" i="19"/>
  <c r="G293" i="19"/>
  <c r="H293" i="19"/>
  <c r="I293" i="19"/>
  <c r="J293" i="19"/>
  <c r="K293" i="19"/>
  <c r="L293" i="19"/>
  <c r="M293" i="19"/>
  <c r="N293" i="19"/>
  <c r="O293" i="19"/>
  <c r="P293" i="19"/>
  <c r="Q293" i="19"/>
  <c r="R293" i="19"/>
  <c r="S293" i="19"/>
  <c r="B294" i="19"/>
  <c r="C294" i="19"/>
  <c r="D294" i="19"/>
  <c r="E294" i="19"/>
  <c r="F294" i="19"/>
  <c r="G294" i="19"/>
  <c r="H294" i="19"/>
  <c r="I294" i="19"/>
  <c r="J294" i="19"/>
  <c r="K294" i="19"/>
  <c r="L294" i="19"/>
  <c r="M294" i="19"/>
  <c r="N294" i="19"/>
  <c r="O294" i="19"/>
  <c r="P294" i="19"/>
  <c r="Q294" i="19"/>
  <c r="R294" i="19"/>
  <c r="S294" i="19"/>
  <c r="B295" i="19"/>
  <c r="C295" i="19"/>
  <c r="D295" i="19"/>
  <c r="E295" i="19"/>
  <c r="F295" i="19"/>
  <c r="G295" i="19"/>
  <c r="H295" i="19"/>
  <c r="I295" i="19"/>
  <c r="J295" i="19"/>
  <c r="K295" i="19"/>
  <c r="L295" i="19"/>
  <c r="M295" i="19"/>
  <c r="N295" i="19"/>
  <c r="O295" i="19"/>
  <c r="P295" i="19"/>
  <c r="Q295" i="19"/>
  <c r="R295" i="19"/>
  <c r="S295" i="19"/>
  <c r="B296" i="19"/>
  <c r="C296" i="19"/>
  <c r="D296" i="19"/>
  <c r="E296" i="19"/>
  <c r="F296" i="19"/>
  <c r="G296" i="19"/>
  <c r="H296" i="19"/>
  <c r="I296" i="19"/>
  <c r="J296" i="19"/>
  <c r="K296" i="19"/>
  <c r="L296" i="19"/>
  <c r="M296" i="19"/>
  <c r="N296" i="19"/>
  <c r="O296" i="19"/>
  <c r="P296" i="19"/>
  <c r="Q296" i="19"/>
  <c r="R296" i="19"/>
  <c r="S296" i="19"/>
  <c r="B297" i="19"/>
  <c r="C297" i="19"/>
  <c r="D297" i="19"/>
  <c r="E297" i="19"/>
  <c r="F297" i="19"/>
  <c r="G297" i="19"/>
  <c r="H297" i="19"/>
  <c r="I297" i="19"/>
  <c r="J297" i="19"/>
  <c r="K297" i="19"/>
  <c r="L297" i="19"/>
  <c r="M297" i="19"/>
  <c r="N297" i="19"/>
  <c r="O297" i="19"/>
  <c r="P297" i="19"/>
  <c r="Q297" i="19"/>
  <c r="R297" i="19"/>
  <c r="S297" i="19"/>
  <c r="B298" i="19"/>
  <c r="C298" i="19"/>
  <c r="D298" i="19"/>
  <c r="E298" i="19"/>
  <c r="F298" i="19"/>
  <c r="G298" i="19"/>
  <c r="H298" i="19"/>
  <c r="I298" i="19"/>
  <c r="J298" i="19"/>
  <c r="K298" i="19"/>
  <c r="L298" i="19"/>
  <c r="M298" i="19"/>
  <c r="N298" i="19"/>
  <c r="O298" i="19"/>
  <c r="P298" i="19"/>
  <c r="Q298" i="19"/>
  <c r="R298" i="19"/>
  <c r="S298" i="19"/>
  <c r="B299" i="19"/>
  <c r="C299" i="19"/>
  <c r="D299" i="19"/>
  <c r="E299" i="19"/>
  <c r="F299" i="19"/>
  <c r="G299" i="19"/>
  <c r="H299" i="19"/>
  <c r="I299" i="19"/>
  <c r="J299" i="19"/>
  <c r="K299" i="19"/>
  <c r="L299" i="19"/>
  <c r="M299" i="19"/>
  <c r="N299" i="19"/>
  <c r="O299" i="19"/>
  <c r="P299" i="19"/>
  <c r="Q299" i="19"/>
  <c r="R299" i="19"/>
  <c r="S299" i="19"/>
  <c r="B300" i="19"/>
  <c r="C300" i="19"/>
  <c r="D300" i="19"/>
  <c r="E300" i="19"/>
  <c r="F300" i="19"/>
  <c r="G300" i="19"/>
  <c r="H300" i="19"/>
  <c r="I300" i="19"/>
  <c r="J300" i="19"/>
  <c r="K300" i="19"/>
  <c r="L300" i="19"/>
  <c r="M300" i="19"/>
  <c r="N300" i="19"/>
  <c r="O300" i="19"/>
  <c r="P300" i="19"/>
  <c r="Q300" i="19"/>
  <c r="R300" i="19"/>
  <c r="S300" i="19"/>
  <c r="B301" i="19"/>
  <c r="C301" i="19"/>
  <c r="D301" i="19"/>
  <c r="E301" i="19"/>
  <c r="F301" i="19"/>
  <c r="G301" i="19"/>
  <c r="H301" i="19"/>
  <c r="I301" i="19"/>
  <c r="J301" i="19"/>
  <c r="K301" i="19"/>
  <c r="L301" i="19"/>
  <c r="M301" i="19"/>
  <c r="N301" i="19"/>
  <c r="O301" i="19"/>
  <c r="P301" i="19"/>
  <c r="Q301" i="19"/>
  <c r="R301" i="19"/>
  <c r="S301" i="19"/>
  <c r="B302" i="19"/>
  <c r="C302" i="19"/>
  <c r="D302" i="19"/>
  <c r="E302" i="19"/>
  <c r="F302" i="19"/>
  <c r="G302" i="19"/>
  <c r="H302" i="19"/>
  <c r="I302" i="19"/>
  <c r="J302" i="19"/>
  <c r="K302" i="19"/>
  <c r="L302" i="19"/>
  <c r="M302" i="19"/>
  <c r="N302" i="19"/>
  <c r="O302" i="19"/>
  <c r="P302" i="19"/>
  <c r="Q302" i="19"/>
  <c r="R302" i="19"/>
  <c r="S302" i="19"/>
  <c r="B303" i="19"/>
  <c r="C303" i="19"/>
  <c r="D303" i="19"/>
  <c r="E303" i="19"/>
  <c r="F303" i="19"/>
  <c r="G303" i="19"/>
  <c r="H303" i="19"/>
  <c r="I303" i="19"/>
  <c r="J303" i="19"/>
  <c r="K303" i="19"/>
  <c r="L303" i="19"/>
  <c r="M303" i="19"/>
  <c r="N303" i="19"/>
  <c r="O303" i="19"/>
  <c r="P303" i="19"/>
  <c r="Q303" i="19"/>
  <c r="R303" i="19"/>
  <c r="S303" i="19"/>
  <c r="B304" i="19"/>
  <c r="C304" i="19"/>
  <c r="D304" i="19"/>
  <c r="E304" i="19"/>
  <c r="F304" i="19"/>
  <c r="G304" i="19"/>
  <c r="H304" i="19"/>
  <c r="I304" i="19"/>
  <c r="J304" i="19"/>
  <c r="K304" i="19"/>
  <c r="L304" i="19"/>
  <c r="M304" i="19"/>
  <c r="N304" i="19"/>
  <c r="O304" i="19"/>
  <c r="P304" i="19"/>
  <c r="Q304" i="19"/>
  <c r="R304" i="19"/>
  <c r="S304" i="19"/>
  <c r="B305" i="19"/>
  <c r="C305" i="19"/>
  <c r="D305" i="19"/>
  <c r="E305" i="19"/>
  <c r="F305" i="19"/>
  <c r="G305" i="19"/>
  <c r="H305" i="19"/>
  <c r="I305" i="19"/>
  <c r="J305" i="19"/>
  <c r="K305" i="19"/>
  <c r="L305" i="19"/>
  <c r="M305" i="19"/>
  <c r="N305" i="19"/>
  <c r="O305" i="19"/>
  <c r="P305" i="19"/>
  <c r="Q305" i="19"/>
  <c r="R305" i="19"/>
  <c r="S305" i="19"/>
  <c r="B306" i="19"/>
  <c r="C306" i="19"/>
  <c r="D306" i="19"/>
  <c r="E306" i="19"/>
  <c r="F306" i="19"/>
  <c r="G306" i="19"/>
  <c r="H306" i="19"/>
  <c r="I306" i="19"/>
  <c r="J306" i="19"/>
  <c r="K306" i="19"/>
  <c r="L306" i="19"/>
  <c r="M306" i="19"/>
  <c r="N306" i="19"/>
  <c r="O306" i="19"/>
  <c r="P306" i="19"/>
  <c r="Q306" i="19"/>
  <c r="R306" i="19"/>
  <c r="S306" i="19"/>
  <c r="B307" i="19"/>
  <c r="C307" i="19"/>
  <c r="D307" i="19"/>
  <c r="E307" i="19"/>
  <c r="F307" i="19"/>
  <c r="G307" i="19"/>
  <c r="H307" i="19"/>
  <c r="I307" i="19"/>
  <c r="J307" i="19"/>
  <c r="K307" i="19"/>
  <c r="L307" i="19"/>
  <c r="M307" i="19"/>
  <c r="N307" i="19"/>
  <c r="O307" i="19"/>
  <c r="P307" i="19"/>
  <c r="Q307" i="19"/>
  <c r="R307" i="19"/>
  <c r="S307" i="19"/>
  <c r="B308" i="19"/>
  <c r="C308" i="19"/>
  <c r="D308" i="19"/>
  <c r="E308" i="19"/>
  <c r="F308" i="19"/>
  <c r="G308" i="19"/>
  <c r="H308" i="19"/>
  <c r="I308" i="19"/>
  <c r="J308" i="19"/>
  <c r="K308" i="19"/>
  <c r="L308" i="19"/>
  <c r="M308" i="19"/>
  <c r="N308" i="19"/>
  <c r="O308" i="19"/>
  <c r="P308" i="19"/>
  <c r="Q308" i="19"/>
  <c r="R308" i="19"/>
  <c r="S308" i="19"/>
  <c r="B309" i="19"/>
  <c r="C309" i="19"/>
  <c r="D309" i="19"/>
  <c r="E309" i="19"/>
  <c r="F309" i="19"/>
  <c r="G309" i="19"/>
  <c r="H309" i="19"/>
  <c r="I309" i="19"/>
  <c r="J309" i="19"/>
  <c r="K309" i="19"/>
  <c r="L309" i="19"/>
  <c r="M309" i="19"/>
  <c r="N309" i="19"/>
  <c r="O309" i="19"/>
  <c r="P309" i="19"/>
  <c r="Q309" i="19"/>
  <c r="R309" i="19"/>
  <c r="S309" i="19"/>
  <c r="B310" i="19"/>
  <c r="C310" i="19"/>
  <c r="D310" i="19"/>
  <c r="E310" i="19"/>
  <c r="F310" i="19"/>
  <c r="G310" i="19"/>
  <c r="H310" i="19"/>
  <c r="I310" i="19"/>
  <c r="J310" i="19"/>
  <c r="K310" i="19"/>
  <c r="L310" i="19"/>
  <c r="M310" i="19"/>
  <c r="N310" i="19"/>
  <c r="O310" i="19"/>
  <c r="P310" i="19"/>
  <c r="Q310" i="19"/>
  <c r="R310" i="19"/>
  <c r="S310" i="19"/>
  <c r="B311" i="19"/>
  <c r="C311" i="19"/>
  <c r="D311" i="19"/>
  <c r="E311" i="19"/>
  <c r="F311" i="19"/>
  <c r="G311" i="19"/>
  <c r="H311" i="19"/>
  <c r="I311" i="19"/>
  <c r="J311" i="19"/>
  <c r="K311" i="19"/>
  <c r="L311" i="19"/>
  <c r="M311" i="19"/>
  <c r="N311" i="19"/>
  <c r="O311" i="19"/>
  <c r="P311" i="19"/>
  <c r="Q311" i="19"/>
  <c r="R311" i="19"/>
  <c r="S311" i="19"/>
  <c r="B312" i="19"/>
  <c r="C312" i="19"/>
  <c r="D312" i="19"/>
  <c r="E312" i="19"/>
  <c r="F312" i="19"/>
  <c r="G312" i="19"/>
  <c r="H312" i="19"/>
  <c r="I312" i="19"/>
  <c r="J312" i="19"/>
  <c r="K312" i="19"/>
  <c r="L312" i="19"/>
  <c r="M312" i="19"/>
  <c r="N312" i="19"/>
  <c r="O312" i="19"/>
  <c r="P312" i="19"/>
  <c r="Q312" i="19"/>
  <c r="R312" i="19"/>
  <c r="S312" i="19"/>
  <c r="B313" i="19"/>
  <c r="C313" i="19"/>
  <c r="D313" i="19"/>
  <c r="E313" i="19"/>
  <c r="F313" i="19"/>
  <c r="G313" i="19"/>
  <c r="H313" i="19"/>
  <c r="I313" i="19"/>
  <c r="J313" i="19"/>
  <c r="K313" i="19"/>
  <c r="L313" i="19"/>
  <c r="M313" i="19"/>
  <c r="N313" i="19"/>
  <c r="O313" i="19"/>
  <c r="P313" i="19"/>
  <c r="Q313" i="19"/>
  <c r="R313" i="19"/>
  <c r="S313" i="19"/>
  <c r="B314" i="19"/>
  <c r="C314" i="19"/>
  <c r="D314" i="19"/>
  <c r="E314" i="19"/>
  <c r="F314" i="19"/>
  <c r="G314" i="19"/>
  <c r="H314" i="19"/>
  <c r="I314" i="19"/>
  <c r="J314" i="19"/>
  <c r="K314" i="19"/>
  <c r="L314" i="19"/>
  <c r="M314" i="19"/>
  <c r="N314" i="19"/>
  <c r="O314" i="19"/>
  <c r="P314" i="19"/>
  <c r="Q314" i="19"/>
  <c r="R314" i="19"/>
  <c r="S314" i="19"/>
  <c r="B315" i="19"/>
  <c r="C315" i="19"/>
  <c r="D315" i="19"/>
  <c r="E315" i="19"/>
  <c r="F315" i="19"/>
  <c r="G315" i="19"/>
  <c r="H315" i="19"/>
  <c r="I315" i="19"/>
  <c r="J315" i="19"/>
  <c r="K315" i="19"/>
  <c r="L315" i="19"/>
  <c r="M315" i="19"/>
  <c r="N315" i="19"/>
  <c r="O315" i="19"/>
  <c r="P315" i="19"/>
  <c r="Q315" i="19"/>
  <c r="R315" i="19"/>
  <c r="S315" i="19"/>
  <c r="B316" i="19"/>
  <c r="C316" i="19"/>
  <c r="D316" i="19"/>
  <c r="E316" i="19"/>
  <c r="F316" i="19"/>
  <c r="G316" i="19"/>
  <c r="H316" i="19"/>
  <c r="I316" i="19"/>
  <c r="J316" i="19"/>
  <c r="K316" i="19"/>
  <c r="L316" i="19"/>
  <c r="M316" i="19"/>
  <c r="N316" i="19"/>
  <c r="O316" i="19"/>
  <c r="P316" i="19"/>
  <c r="Q316" i="19"/>
  <c r="R316" i="19"/>
  <c r="S316" i="19"/>
  <c r="B317" i="19"/>
  <c r="C317" i="19"/>
  <c r="D317" i="19"/>
  <c r="E317" i="19"/>
  <c r="F317" i="19"/>
  <c r="G317" i="19"/>
  <c r="H317" i="19"/>
  <c r="I317" i="19"/>
  <c r="J317" i="19"/>
  <c r="K317" i="19"/>
  <c r="L317" i="19"/>
  <c r="M317" i="19"/>
  <c r="N317" i="19"/>
  <c r="O317" i="19"/>
  <c r="P317" i="19"/>
  <c r="Q317" i="19"/>
  <c r="R317" i="19"/>
  <c r="S317" i="19"/>
  <c r="B318" i="19"/>
  <c r="C318" i="19"/>
  <c r="D318" i="19"/>
  <c r="E318" i="19"/>
  <c r="F318" i="19"/>
  <c r="G318" i="19"/>
  <c r="H318" i="19"/>
  <c r="I318" i="19"/>
  <c r="J318" i="19"/>
  <c r="K318" i="19"/>
  <c r="L318" i="19"/>
  <c r="M318" i="19"/>
  <c r="N318" i="19"/>
  <c r="O318" i="19"/>
  <c r="P318" i="19"/>
  <c r="Q318" i="19"/>
  <c r="R318" i="19"/>
  <c r="S318" i="19"/>
  <c r="B319" i="19"/>
  <c r="C319" i="19"/>
  <c r="D319" i="19"/>
  <c r="E319" i="19"/>
  <c r="F319" i="19"/>
  <c r="G319" i="19"/>
  <c r="H319" i="19"/>
  <c r="I319" i="19"/>
  <c r="J319" i="19"/>
  <c r="K319" i="19"/>
  <c r="L319" i="19"/>
  <c r="M319" i="19"/>
  <c r="N319" i="19"/>
  <c r="O319" i="19"/>
  <c r="P319" i="19"/>
  <c r="Q319" i="19"/>
  <c r="R319" i="19"/>
  <c r="S319" i="19"/>
  <c r="B320" i="19"/>
  <c r="C320" i="19"/>
  <c r="D320" i="19"/>
  <c r="E320" i="19"/>
  <c r="F320" i="19"/>
  <c r="G320" i="19"/>
  <c r="H320" i="19"/>
  <c r="I320" i="19"/>
  <c r="J320" i="19"/>
  <c r="K320" i="19"/>
  <c r="L320" i="19"/>
  <c r="M320" i="19"/>
  <c r="N320" i="19"/>
  <c r="O320" i="19"/>
  <c r="P320" i="19"/>
  <c r="Q320" i="19"/>
  <c r="R320" i="19"/>
  <c r="S320" i="19"/>
  <c r="B321" i="19"/>
  <c r="C321" i="19"/>
  <c r="D321" i="19"/>
  <c r="E321" i="19"/>
  <c r="F321" i="19"/>
  <c r="G321" i="19"/>
  <c r="H321" i="19"/>
  <c r="I321" i="19"/>
  <c r="J321" i="19"/>
  <c r="K321" i="19"/>
  <c r="L321" i="19"/>
  <c r="M321" i="19"/>
  <c r="N321" i="19"/>
  <c r="O321" i="19"/>
  <c r="P321" i="19"/>
  <c r="Q321" i="19"/>
  <c r="R321" i="19"/>
  <c r="S321" i="19"/>
  <c r="B322" i="19"/>
  <c r="C322" i="19"/>
  <c r="D322" i="19"/>
  <c r="E322" i="19"/>
  <c r="F322" i="19"/>
  <c r="G322" i="19"/>
  <c r="H322" i="19"/>
  <c r="I322" i="19"/>
  <c r="J322" i="19"/>
  <c r="K322" i="19"/>
  <c r="L322" i="19"/>
  <c r="M322" i="19"/>
  <c r="N322" i="19"/>
  <c r="O322" i="19"/>
  <c r="P322" i="19"/>
  <c r="Q322" i="19"/>
  <c r="R322" i="19"/>
  <c r="S322" i="19"/>
  <c r="B323" i="19"/>
  <c r="C323" i="19"/>
  <c r="D323" i="19"/>
  <c r="E323" i="19"/>
  <c r="F323" i="19"/>
  <c r="G323" i="19"/>
  <c r="H323" i="19"/>
  <c r="I323" i="19"/>
  <c r="J323" i="19"/>
  <c r="K323" i="19"/>
  <c r="L323" i="19"/>
  <c r="M323" i="19"/>
  <c r="N323" i="19"/>
  <c r="O323" i="19"/>
  <c r="P323" i="19"/>
  <c r="Q323" i="19"/>
  <c r="R323" i="19"/>
  <c r="S323" i="19"/>
  <c r="B324" i="19"/>
  <c r="C324" i="19"/>
  <c r="D324" i="19"/>
  <c r="E324" i="19"/>
  <c r="F324" i="19"/>
  <c r="G324" i="19"/>
  <c r="H324" i="19"/>
  <c r="I324" i="19"/>
  <c r="J324" i="19"/>
  <c r="K324" i="19"/>
  <c r="L324" i="19"/>
  <c r="M324" i="19"/>
  <c r="N324" i="19"/>
  <c r="O324" i="19"/>
  <c r="P324" i="19"/>
  <c r="Q324" i="19"/>
  <c r="R324" i="19"/>
  <c r="S324" i="19"/>
  <c r="B325" i="19"/>
  <c r="C325" i="19"/>
  <c r="D325" i="19"/>
  <c r="E325" i="19"/>
  <c r="F325" i="19"/>
  <c r="G325" i="19"/>
  <c r="H325" i="19"/>
  <c r="I325" i="19"/>
  <c r="J325" i="19"/>
  <c r="K325" i="19"/>
  <c r="L325" i="19"/>
  <c r="M325" i="19"/>
  <c r="N325" i="19"/>
  <c r="O325" i="19"/>
  <c r="P325" i="19"/>
  <c r="Q325" i="19"/>
  <c r="R325" i="19"/>
  <c r="S325" i="19"/>
  <c r="B326" i="19"/>
  <c r="C326" i="19"/>
  <c r="D326" i="19"/>
  <c r="E326" i="19"/>
  <c r="F326" i="19"/>
  <c r="G326" i="19"/>
  <c r="H326" i="19"/>
  <c r="I326" i="19"/>
  <c r="J326" i="19"/>
  <c r="K326" i="19"/>
  <c r="L326" i="19"/>
  <c r="M326" i="19"/>
  <c r="N326" i="19"/>
  <c r="O326" i="19"/>
  <c r="P326" i="19"/>
  <c r="Q326" i="19"/>
  <c r="R326" i="19"/>
  <c r="S326" i="19"/>
  <c r="B327" i="19"/>
  <c r="C327" i="19"/>
  <c r="D327" i="19"/>
  <c r="E327" i="19"/>
  <c r="F327" i="19"/>
  <c r="G327" i="19"/>
  <c r="H327" i="19"/>
  <c r="I327" i="19"/>
  <c r="J327" i="19"/>
  <c r="K327" i="19"/>
  <c r="L327" i="19"/>
  <c r="M327" i="19"/>
  <c r="N327" i="19"/>
  <c r="O327" i="19"/>
  <c r="P327" i="19"/>
  <c r="Q327" i="19"/>
  <c r="R327" i="19"/>
  <c r="S327" i="19"/>
  <c r="B328" i="19"/>
  <c r="C328" i="19"/>
  <c r="D328" i="19"/>
  <c r="E328" i="19"/>
  <c r="F328" i="19"/>
  <c r="G328" i="19"/>
  <c r="H328" i="19"/>
  <c r="I328" i="19"/>
  <c r="J328" i="19"/>
  <c r="K328" i="19"/>
  <c r="L328" i="19"/>
  <c r="M328" i="19"/>
  <c r="N328" i="19"/>
  <c r="O328" i="19"/>
  <c r="P328" i="19"/>
  <c r="Q328" i="19"/>
  <c r="R328" i="19"/>
  <c r="S328" i="19"/>
  <c r="B329" i="19"/>
  <c r="C329" i="19"/>
  <c r="D329" i="19"/>
  <c r="E329" i="19"/>
  <c r="F329" i="19"/>
  <c r="G329" i="19"/>
  <c r="H329" i="19"/>
  <c r="I329" i="19"/>
  <c r="J329" i="19"/>
  <c r="K329" i="19"/>
  <c r="L329" i="19"/>
  <c r="M329" i="19"/>
  <c r="N329" i="19"/>
  <c r="O329" i="19"/>
  <c r="P329" i="19"/>
  <c r="Q329" i="19"/>
  <c r="R329" i="19"/>
  <c r="S329" i="19"/>
  <c r="B330" i="19"/>
  <c r="C330" i="19"/>
  <c r="D330" i="19"/>
  <c r="E330" i="19"/>
  <c r="F330" i="19"/>
  <c r="G330" i="19"/>
  <c r="H330" i="19"/>
  <c r="I330" i="19"/>
  <c r="J330" i="19"/>
  <c r="K330" i="19"/>
  <c r="L330" i="19"/>
  <c r="M330" i="19"/>
  <c r="N330" i="19"/>
  <c r="O330" i="19"/>
  <c r="P330" i="19"/>
  <c r="Q330" i="19"/>
  <c r="R330" i="19"/>
  <c r="S330" i="19"/>
  <c r="B331" i="19"/>
  <c r="C331" i="19"/>
  <c r="D331" i="19"/>
  <c r="E331" i="19"/>
  <c r="F331" i="19"/>
  <c r="G331" i="19"/>
  <c r="H331" i="19"/>
  <c r="I331" i="19"/>
  <c r="J331" i="19"/>
  <c r="K331" i="19"/>
  <c r="L331" i="19"/>
  <c r="M331" i="19"/>
  <c r="N331" i="19"/>
  <c r="O331" i="19"/>
  <c r="P331" i="19"/>
  <c r="Q331" i="19"/>
  <c r="R331" i="19"/>
  <c r="S331" i="19"/>
  <c r="B332" i="19"/>
  <c r="C332" i="19"/>
  <c r="D332" i="19"/>
  <c r="E332" i="19"/>
  <c r="F332" i="19"/>
  <c r="G332" i="19"/>
  <c r="H332" i="19"/>
  <c r="I332" i="19"/>
  <c r="J332" i="19"/>
  <c r="K332" i="19"/>
  <c r="L332" i="19"/>
  <c r="M332" i="19"/>
  <c r="N332" i="19"/>
  <c r="O332" i="19"/>
  <c r="P332" i="19"/>
  <c r="Q332" i="19"/>
  <c r="R332" i="19"/>
  <c r="S332" i="19"/>
  <c r="B333" i="19"/>
  <c r="C333" i="19"/>
  <c r="D333" i="19"/>
  <c r="E333" i="19"/>
  <c r="F333" i="19"/>
  <c r="G333" i="19"/>
  <c r="H333" i="19"/>
  <c r="I333" i="19"/>
  <c r="J333" i="19"/>
  <c r="K333" i="19"/>
  <c r="L333" i="19"/>
  <c r="M333" i="19"/>
  <c r="N333" i="19"/>
  <c r="O333" i="19"/>
  <c r="P333" i="19"/>
  <c r="Q333" i="19"/>
  <c r="R333" i="19"/>
  <c r="S333" i="19"/>
  <c r="B334" i="19"/>
  <c r="C334" i="19"/>
  <c r="D334" i="19"/>
  <c r="E334" i="19"/>
  <c r="F334" i="19"/>
  <c r="G334" i="19"/>
  <c r="H334" i="19"/>
  <c r="I334" i="19"/>
  <c r="J334" i="19"/>
  <c r="K334" i="19"/>
  <c r="L334" i="19"/>
  <c r="M334" i="19"/>
  <c r="N334" i="19"/>
  <c r="O334" i="19"/>
  <c r="P334" i="19"/>
  <c r="Q334" i="19"/>
  <c r="R334" i="19"/>
  <c r="S334" i="19"/>
  <c r="B335" i="19"/>
  <c r="C335" i="19"/>
  <c r="D335" i="19"/>
  <c r="E335" i="19"/>
  <c r="F335" i="19"/>
  <c r="G335" i="19"/>
  <c r="H335" i="19"/>
  <c r="I335" i="19"/>
  <c r="J335" i="19"/>
  <c r="K335" i="19"/>
  <c r="L335" i="19"/>
  <c r="M335" i="19"/>
  <c r="N335" i="19"/>
  <c r="O335" i="19"/>
  <c r="P335" i="19"/>
  <c r="Q335" i="19"/>
  <c r="R335" i="19"/>
  <c r="S335" i="19"/>
  <c r="B336" i="19"/>
  <c r="C336" i="19"/>
  <c r="D336" i="19"/>
  <c r="E336" i="19"/>
  <c r="F336" i="19"/>
  <c r="G336" i="19"/>
  <c r="H336" i="19"/>
  <c r="I336" i="19"/>
  <c r="J336" i="19"/>
  <c r="K336" i="19"/>
  <c r="L336" i="19"/>
  <c r="M336" i="19"/>
  <c r="N336" i="19"/>
  <c r="O336" i="19"/>
  <c r="P336" i="19"/>
  <c r="Q336" i="19"/>
  <c r="R336" i="19"/>
  <c r="S336" i="19"/>
  <c r="B337" i="19"/>
  <c r="C337" i="19"/>
  <c r="D337" i="19"/>
  <c r="E337" i="19"/>
  <c r="F337" i="19"/>
  <c r="G337" i="19"/>
  <c r="H337" i="19"/>
  <c r="I337" i="19"/>
  <c r="J337" i="19"/>
  <c r="K337" i="19"/>
  <c r="L337" i="19"/>
  <c r="M337" i="19"/>
  <c r="N337" i="19"/>
  <c r="O337" i="19"/>
  <c r="P337" i="19"/>
  <c r="Q337" i="19"/>
  <c r="R337" i="19"/>
  <c r="S337" i="19"/>
  <c r="B338" i="19"/>
  <c r="C338" i="19"/>
  <c r="D338" i="19"/>
  <c r="E338" i="19"/>
  <c r="F338" i="19"/>
  <c r="G338" i="19"/>
  <c r="H338" i="19"/>
  <c r="I338" i="19"/>
  <c r="J338" i="19"/>
  <c r="K338" i="19"/>
  <c r="L338" i="19"/>
  <c r="M338" i="19"/>
  <c r="N338" i="19"/>
  <c r="O338" i="19"/>
  <c r="P338" i="19"/>
  <c r="Q338" i="19"/>
  <c r="R338" i="19"/>
  <c r="S338" i="19"/>
  <c r="B339" i="19"/>
  <c r="C339" i="19"/>
  <c r="D339" i="19"/>
  <c r="E339" i="19"/>
  <c r="F339" i="19"/>
  <c r="G339" i="19"/>
  <c r="H339" i="19"/>
  <c r="I339" i="19"/>
  <c r="J339" i="19"/>
  <c r="K339" i="19"/>
  <c r="L339" i="19"/>
  <c r="M339" i="19"/>
  <c r="N339" i="19"/>
  <c r="O339" i="19"/>
  <c r="P339" i="19"/>
  <c r="Q339" i="19"/>
  <c r="R339" i="19"/>
  <c r="S339" i="19"/>
  <c r="B340" i="19"/>
  <c r="C340" i="19"/>
  <c r="D340" i="19"/>
  <c r="E340" i="19"/>
  <c r="F340" i="19"/>
  <c r="G340" i="19"/>
  <c r="H340" i="19"/>
  <c r="I340" i="19"/>
  <c r="J340" i="19"/>
  <c r="K340" i="19"/>
  <c r="L340" i="19"/>
  <c r="M340" i="19"/>
  <c r="N340" i="19"/>
  <c r="O340" i="19"/>
  <c r="P340" i="19"/>
  <c r="Q340" i="19"/>
  <c r="R340" i="19"/>
  <c r="S340" i="19"/>
  <c r="B341" i="19"/>
  <c r="C341" i="19"/>
  <c r="D341" i="19"/>
  <c r="E341" i="19"/>
  <c r="F341" i="19"/>
  <c r="G341" i="19"/>
  <c r="H341" i="19"/>
  <c r="I341" i="19"/>
  <c r="J341" i="19"/>
  <c r="K341" i="19"/>
  <c r="L341" i="19"/>
  <c r="M341" i="19"/>
  <c r="N341" i="19"/>
  <c r="O341" i="19"/>
  <c r="P341" i="19"/>
  <c r="Q341" i="19"/>
  <c r="R341" i="19"/>
  <c r="S341" i="19"/>
  <c r="B342" i="19"/>
  <c r="C342" i="19"/>
  <c r="D342" i="19"/>
  <c r="E342" i="19"/>
  <c r="F342" i="19"/>
  <c r="G342" i="19"/>
  <c r="H342" i="19"/>
  <c r="I342" i="19"/>
  <c r="J342" i="19"/>
  <c r="K342" i="19"/>
  <c r="L342" i="19"/>
  <c r="M342" i="19"/>
  <c r="N342" i="19"/>
  <c r="O342" i="19"/>
  <c r="P342" i="19"/>
  <c r="Q342" i="19"/>
  <c r="R342" i="19"/>
  <c r="S342" i="19"/>
  <c r="B343" i="19"/>
  <c r="C343" i="19"/>
  <c r="D343" i="19"/>
  <c r="E343" i="19"/>
  <c r="F343" i="19"/>
  <c r="G343" i="19"/>
  <c r="H343" i="19"/>
  <c r="I343" i="19"/>
  <c r="J343" i="19"/>
  <c r="K343" i="19"/>
  <c r="L343" i="19"/>
  <c r="M343" i="19"/>
  <c r="N343" i="19"/>
  <c r="O343" i="19"/>
  <c r="P343" i="19"/>
  <c r="Q343" i="19"/>
  <c r="R343" i="19"/>
  <c r="S343" i="19"/>
  <c r="B344" i="19"/>
  <c r="C344" i="19"/>
  <c r="D344" i="19"/>
  <c r="E344" i="19"/>
  <c r="F344" i="19"/>
  <c r="G344" i="19"/>
  <c r="H344" i="19"/>
  <c r="I344" i="19"/>
  <c r="J344" i="19"/>
  <c r="K344" i="19"/>
  <c r="L344" i="19"/>
  <c r="M344" i="19"/>
  <c r="N344" i="19"/>
  <c r="O344" i="19"/>
  <c r="P344" i="19"/>
  <c r="Q344" i="19"/>
  <c r="R344" i="19"/>
  <c r="S344" i="19"/>
  <c r="B345" i="19"/>
  <c r="C345" i="19"/>
  <c r="D345" i="19"/>
  <c r="E345" i="19"/>
  <c r="F345" i="19"/>
  <c r="G345" i="19"/>
  <c r="H345" i="19"/>
  <c r="I345" i="19"/>
  <c r="J345" i="19"/>
  <c r="K345" i="19"/>
  <c r="L345" i="19"/>
  <c r="M345" i="19"/>
  <c r="N345" i="19"/>
  <c r="O345" i="19"/>
  <c r="P345" i="19"/>
  <c r="Q345" i="19"/>
  <c r="R345" i="19"/>
  <c r="S345" i="19"/>
  <c r="B346" i="19"/>
  <c r="C346" i="19"/>
  <c r="D346" i="19"/>
  <c r="E346" i="19"/>
  <c r="F346" i="19"/>
  <c r="G346" i="19"/>
  <c r="H346" i="19"/>
  <c r="I346" i="19"/>
  <c r="J346" i="19"/>
  <c r="K346" i="19"/>
  <c r="L346" i="19"/>
  <c r="M346" i="19"/>
  <c r="N346" i="19"/>
  <c r="O346" i="19"/>
  <c r="P346" i="19"/>
  <c r="Q346" i="19"/>
  <c r="R346" i="19"/>
  <c r="S346" i="19"/>
  <c r="B347" i="19"/>
  <c r="C347" i="19"/>
  <c r="D347" i="19"/>
  <c r="E347" i="19"/>
  <c r="F347" i="19"/>
  <c r="G347" i="19"/>
  <c r="H347" i="19"/>
  <c r="I347" i="19"/>
  <c r="J347" i="19"/>
  <c r="K347" i="19"/>
  <c r="L347" i="19"/>
  <c r="M347" i="19"/>
  <c r="N347" i="19"/>
  <c r="O347" i="19"/>
  <c r="P347" i="19"/>
  <c r="Q347" i="19"/>
  <c r="R347" i="19"/>
  <c r="S347" i="19"/>
  <c r="B348" i="19"/>
  <c r="C348" i="19"/>
  <c r="D348" i="19"/>
  <c r="E348" i="19"/>
  <c r="F348" i="19"/>
  <c r="G348" i="19"/>
  <c r="H348" i="19"/>
  <c r="I348" i="19"/>
  <c r="J348" i="19"/>
  <c r="K348" i="19"/>
  <c r="L348" i="19"/>
  <c r="M348" i="19"/>
  <c r="N348" i="19"/>
  <c r="O348" i="19"/>
  <c r="P348" i="19"/>
  <c r="Q348" i="19"/>
  <c r="R348" i="19"/>
  <c r="S348" i="19"/>
  <c r="B349" i="19"/>
  <c r="C349" i="19"/>
  <c r="D349" i="19"/>
  <c r="E349" i="19"/>
  <c r="F349" i="19"/>
  <c r="G349" i="19"/>
  <c r="H349" i="19"/>
  <c r="I349" i="19"/>
  <c r="J349" i="19"/>
  <c r="K349" i="19"/>
  <c r="L349" i="19"/>
  <c r="M349" i="19"/>
  <c r="N349" i="19"/>
  <c r="O349" i="19"/>
  <c r="P349" i="19"/>
  <c r="Q349" i="19"/>
  <c r="R349" i="19"/>
  <c r="S349" i="19"/>
  <c r="B350" i="19"/>
  <c r="C350" i="19"/>
  <c r="D350" i="19"/>
  <c r="E350" i="19"/>
  <c r="F350" i="19"/>
  <c r="G350" i="19"/>
  <c r="H350" i="19"/>
  <c r="I350" i="19"/>
  <c r="J350" i="19"/>
  <c r="K350" i="19"/>
  <c r="L350" i="19"/>
  <c r="M350" i="19"/>
  <c r="N350" i="19"/>
  <c r="O350" i="19"/>
  <c r="P350" i="19"/>
  <c r="Q350" i="19"/>
  <c r="R350" i="19"/>
  <c r="S350" i="19"/>
  <c r="B351" i="19"/>
  <c r="C351" i="19"/>
  <c r="D351" i="19"/>
  <c r="E351" i="19"/>
  <c r="F351" i="19"/>
  <c r="G351" i="19"/>
  <c r="H351" i="19"/>
  <c r="I351" i="19"/>
  <c r="J351" i="19"/>
  <c r="K351" i="19"/>
  <c r="L351" i="19"/>
  <c r="M351" i="19"/>
  <c r="N351" i="19"/>
  <c r="O351" i="19"/>
  <c r="P351" i="19"/>
  <c r="Q351" i="19"/>
  <c r="R351" i="19"/>
  <c r="S351" i="19"/>
  <c r="B352" i="19"/>
  <c r="C352" i="19"/>
  <c r="D352" i="19"/>
  <c r="E352" i="19"/>
  <c r="F352" i="19"/>
  <c r="G352" i="19"/>
  <c r="H352" i="19"/>
  <c r="I352" i="19"/>
  <c r="J352" i="19"/>
  <c r="K352" i="19"/>
  <c r="L352" i="19"/>
  <c r="M352" i="19"/>
  <c r="N352" i="19"/>
  <c r="O352" i="19"/>
  <c r="P352" i="19"/>
  <c r="Q352" i="19"/>
  <c r="R352" i="19"/>
  <c r="S352" i="19"/>
  <c r="B353" i="19"/>
  <c r="C353" i="19"/>
  <c r="D353" i="19"/>
  <c r="E353" i="19"/>
  <c r="F353" i="19"/>
  <c r="G353" i="19"/>
  <c r="H353" i="19"/>
  <c r="I353" i="19"/>
  <c r="J353" i="19"/>
  <c r="K353" i="19"/>
  <c r="L353" i="19"/>
  <c r="M353" i="19"/>
  <c r="N353" i="19"/>
  <c r="O353" i="19"/>
  <c r="P353" i="19"/>
  <c r="Q353" i="19"/>
  <c r="R353" i="19"/>
  <c r="S353" i="19"/>
  <c r="B354" i="19"/>
  <c r="C354" i="19"/>
  <c r="D354" i="19"/>
  <c r="E354" i="19"/>
  <c r="F354" i="19"/>
  <c r="G354" i="19"/>
  <c r="H354" i="19"/>
  <c r="I354" i="19"/>
  <c r="J354" i="19"/>
  <c r="K354" i="19"/>
  <c r="L354" i="19"/>
  <c r="M354" i="19"/>
  <c r="N354" i="19"/>
  <c r="O354" i="19"/>
  <c r="P354" i="19"/>
  <c r="Q354" i="19"/>
  <c r="R354" i="19"/>
  <c r="S354" i="19"/>
  <c r="B355" i="19"/>
  <c r="C355" i="19"/>
  <c r="D355" i="19"/>
  <c r="E355" i="19"/>
  <c r="F355" i="19"/>
  <c r="G355" i="19"/>
  <c r="H355" i="19"/>
  <c r="I355" i="19"/>
  <c r="J355" i="19"/>
  <c r="K355" i="19"/>
  <c r="L355" i="19"/>
  <c r="M355" i="19"/>
  <c r="N355" i="19"/>
  <c r="O355" i="19"/>
  <c r="P355" i="19"/>
  <c r="Q355" i="19"/>
  <c r="R355" i="19"/>
  <c r="S355" i="19"/>
  <c r="B356" i="19"/>
  <c r="C356" i="19"/>
  <c r="D356" i="19"/>
  <c r="E356" i="19"/>
  <c r="F356" i="19"/>
  <c r="G356" i="19"/>
  <c r="H356" i="19"/>
  <c r="I356" i="19"/>
  <c r="J356" i="19"/>
  <c r="K356" i="19"/>
  <c r="L356" i="19"/>
  <c r="M356" i="19"/>
  <c r="N356" i="19"/>
  <c r="O356" i="19"/>
  <c r="P356" i="19"/>
  <c r="Q356" i="19"/>
  <c r="R356" i="19"/>
  <c r="S356" i="19"/>
  <c r="B357" i="19"/>
  <c r="C357" i="19"/>
  <c r="D357" i="19"/>
  <c r="E357" i="19"/>
  <c r="F357" i="19"/>
  <c r="G357" i="19"/>
  <c r="H357" i="19"/>
  <c r="I357" i="19"/>
  <c r="J357" i="19"/>
  <c r="K357" i="19"/>
  <c r="L357" i="19"/>
  <c r="M357" i="19"/>
  <c r="N357" i="19"/>
  <c r="O357" i="19"/>
  <c r="P357" i="19"/>
  <c r="Q357" i="19"/>
  <c r="R357" i="19"/>
  <c r="S357" i="19"/>
  <c r="B358" i="19"/>
  <c r="C358" i="19"/>
  <c r="D358" i="19"/>
  <c r="E358" i="19"/>
  <c r="F358" i="19"/>
  <c r="G358" i="19"/>
  <c r="H358" i="19"/>
  <c r="I358" i="19"/>
  <c r="J358" i="19"/>
  <c r="K358" i="19"/>
  <c r="L358" i="19"/>
  <c r="M358" i="19"/>
  <c r="N358" i="19"/>
  <c r="O358" i="19"/>
  <c r="P358" i="19"/>
  <c r="Q358" i="19"/>
  <c r="R358" i="19"/>
  <c r="S358" i="19"/>
  <c r="B359" i="19"/>
  <c r="C359" i="19"/>
  <c r="D359" i="19"/>
  <c r="E359" i="19"/>
  <c r="F359" i="19"/>
  <c r="G359" i="19"/>
  <c r="H359" i="19"/>
  <c r="I359" i="19"/>
  <c r="J359" i="19"/>
  <c r="K359" i="19"/>
  <c r="L359" i="19"/>
  <c r="M359" i="19"/>
  <c r="N359" i="19"/>
  <c r="O359" i="19"/>
  <c r="P359" i="19"/>
  <c r="Q359" i="19"/>
  <c r="R359" i="19"/>
  <c r="S359" i="19"/>
  <c r="B360" i="19"/>
  <c r="C360" i="19"/>
  <c r="D360" i="19"/>
  <c r="E360" i="19"/>
  <c r="F360" i="19"/>
  <c r="G360" i="19"/>
  <c r="H360" i="19"/>
  <c r="I360" i="19"/>
  <c r="J360" i="19"/>
  <c r="K360" i="19"/>
  <c r="L360" i="19"/>
  <c r="M360" i="19"/>
  <c r="N360" i="19"/>
  <c r="O360" i="19"/>
  <c r="P360" i="19"/>
  <c r="Q360" i="19"/>
  <c r="R360" i="19"/>
  <c r="S360" i="19"/>
  <c r="B361" i="19"/>
  <c r="C361" i="19"/>
  <c r="D361" i="19"/>
  <c r="E361" i="19"/>
  <c r="F361" i="19"/>
  <c r="G361" i="19"/>
  <c r="H361" i="19"/>
  <c r="I361" i="19"/>
  <c r="J361" i="19"/>
  <c r="K361" i="19"/>
  <c r="L361" i="19"/>
  <c r="M361" i="19"/>
  <c r="N361" i="19"/>
  <c r="O361" i="19"/>
  <c r="P361" i="19"/>
  <c r="Q361" i="19"/>
  <c r="R361" i="19"/>
  <c r="S361" i="19"/>
  <c r="B362" i="19"/>
  <c r="C362" i="19"/>
  <c r="D362" i="19"/>
  <c r="E362" i="19"/>
  <c r="F362" i="19"/>
  <c r="G362" i="19"/>
  <c r="H362" i="19"/>
  <c r="I362" i="19"/>
  <c r="J362" i="19"/>
  <c r="K362" i="19"/>
  <c r="L362" i="19"/>
  <c r="M362" i="19"/>
  <c r="N362" i="19"/>
  <c r="O362" i="19"/>
  <c r="P362" i="19"/>
  <c r="Q362" i="19"/>
  <c r="R362" i="19"/>
  <c r="S362" i="19"/>
  <c r="B363" i="19"/>
  <c r="C363" i="19"/>
  <c r="D363" i="19"/>
  <c r="E363" i="19"/>
  <c r="F363" i="19"/>
  <c r="G363" i="19"/>
  <c r="H363" i="19"/>
  <c r="I363" i="19"/>
  <c r="J363" i="19"/>
  <c r="K363" i="19"/>
  <c r="L363" i="19"/>
  <c r="M363" i="19"/>
  <c r="N363" i="19"/>
  <c r="O363" i="19"/>
  <c r="P363" i="19"/>
  <c r="Q363" i="19"/>
  <c r="R363" i="19"/>
  <c r="S363" i="19"/>
  <c r="B364" i="19"/>
  <c r="C364" i="19"/>
  <c r="D364" i="19"/>
  <c r="E364" i="19"/>
  <c r="F364" i="19"/>
  <c r="G364" i="19"/>
  <c r="H364" i="19"/>
  <c r="I364" i="19"/>
  <c r="J364" i="19"/>
  <c r="K364" i="19"/>
  <c r="L364" i="19"/>
  <c r="M364" i="19"/>
  <c r="N364" i="19"/>
  <c r="O364" i="19"/>
  <c r="P364" i="19"/>
  <c r="Q364" i="19"/>
  <c r="R364" i="19"/>
  <c r="S364" i="19"/>
  <c r="B365" i="19"/>
  <c r="C365" i="19"/>
  <c r="D365" i="19"/>
  <c r="E365" i="19"/>
  <c r="F365" i="19"/>
  <c r="G365" i="19"/>
  <c r="H365" i="19"/>
  <c r="I365" i="19"/>
  <c r="J365" i="19"/>
  <c r="K365" i="19"/>
  <c r="L365" i="19"/>
  <c r="M365" i="19"/>
  <c r="N365" i="19"/>
  <c r="O365" i="19"/>
  <c r="P365" i="19"/>
  <c r="Q365" i="19"/>
  <c r="R365" i="19"/>
  <c r="S365" i="19"/>
  <c r="B366" i="19"/>
  <c r="C366" i="19"/>
  <c r="D366" i="19"/>
  <c r="E366" i="19"/>
  <c r="F366" i="19"/>
  <c r="G366" i="19"/>
  <c r="H366" i="19"/>
  <c r="I366" i="19"/>
  <c r="J366" i="19"/>
  <c r="K366" i="19"/>
  <c r="L366" i="19"/>
  <c r="M366" i="19"/>
  <c r="N366" i="19"/>
  <c r="O366" i="19"/>
  <c r="P366" i="19"/>
  <c r="Q366" i="19"/>
  <c r="R366" i="19"/>
  <c r="S366" i="19"/>
  <c r="B367" i="19"/>
  <c r="C367" i="19"/>
  <c r="D367" i="19"/>
  <c r="E367" i="19"/>
  <c r="F367" i="19"/>
  <c r="G367" i="19"/>
  <c r="H367" i="19"/>
  <c r="I367" i="19"/>
  <c r="J367" i="19"/>
  <c r="K367" i="19"/>
  <c r="L367" i="19"/>
  <c r="M367" i="19"/>
  <c r="N367" i="19"/>
  <c r="O367" i="19"/>
  <c r="P367" i="19"/>
  <c r="Q367" i="19"/>
  <c r="R367" i="19"/>
  <c r="S367" i="19"/>
  <c r="B368" i="19"/>
  <c r="C368" i="19"/>
  <c r="D368" i="19"/>
  <c r="E368" i="19"/>
  <c r="F368" i="19"/>
  <c r="G368" i="19"/>
  <c r="H368" i="19"/>
  <c r="I368" i="19"/>
  <c r="J368" i="19"/>
  <c r="K368" i="19"/>
  <c r="L368" i="19"/>
  <c r="M368" i="19"/>
  <c r="N368" i="19"/>
  <c r="O368" i="19"/>
  <c r="P368" i="19"/>
  <c r="Q368" i="19"/>
  <c r="R368" i="19"/>
  <c r="S368" i="19"/>
  <c r="B369" i="19"/>
  <c r="C369" i="19"/>
  <c r="D369" i="19"/>
  <c r="E369" i="19"/>
  <c r="F369" i="19"/>
  <c r="G369" i="19"/>
  <c r="H369" i="19"/>
  <c r="I369" i="19"/>
  <c r="J369" i="19"/>
  <c r="K369" i="19"/>
  <c r="L369" i="19"/>
  <c r="M369" i="19"/>
  <c r="N369" i="19"/>
  <c r="O369" i="19"/>
  <c r="P369" i="19"/>
  <c r="Q369" i="19"/>
  <c r="R369" i="19"/>
  <c r="S369" i="19"/>
  <c r="B370" i="19"/>
  <c r="C370" i="19"/>
  <c r="D370" i="19"/>
  <c r="E370" i="19"/>
  <c r="F370" i="19"/>
  <c r="G370" i="19"/>
  <c r="H370" i="19"/>
  <c r="I370" i="19"/>
  <c r="J370" i="19"/>
  <c r="K370" i="19"/>
  <c r="L370" i="19"/>
  <c r="M370" i="19"/>
  <c r="N370" i="19"/>
  <c r="O370" i="19"/>
  <c r="P370" i="19"/>
  <c r="Q370" i="19"/>
  <c r="R370" i="19"/>
  <c r="S370" i="19"/>
  <c r="B371" i="19"/>
  <c r="C371" i="19"/>
  <c r="D371" i="19"/>
  <c r="E371" i="19"/>
  <c r="F371" i="19"/>
  <c r="G371" i="19"/>
  <c r="H371" i="19"/>
  <c r="I371" i="19"/>
  <c r="J371" i="19"/>
  <c r="K371" i="19"/>
  <c r="L371" i="19"/>
  <c r="M371" i="19"/>
  <c r="N371" i="19"/>
  <c r="O371" i="19"/>
  <c r="P371" i="19"/>
  <c r="Q371" i="19"/>
  <c r="R371" i="19"/>
  <c r="S371" i="19"/>
  <c r="B372" i="19"/>
  <c r="C372" i="19"/>
  <c r="D372" i="19"/>
  <c r="E372" i="19"/>
  <c r="F372" i="19"/>
  <c r="G372" i="19"/>
  <c r="H372" i="19"/>
  <c r="I372" i="19"/>
  <c r="J372" i="19"/>
  <c r="K372" i="19"/>
  <c r="L372" i="19"/>
  <c r="M372" i="19"/>
  <c r="N372" i="19"/>
  <c r="O372" i="19"/>
  <c r="P372" i="19"/>
  <c r="Q372" i="19"/>
  <c r="R372" i="19"/>
  <c r="S372" i="19"/>
  <c r="B373" i="19"/>
  <c r="C373" i="19"/>
  <c r="D373" i="19"/>
  <c r="E373" i="19"/>
  <c r="F373" i="19"/>
  <c r="G373" i="19"/>
  <c r="H373" i="19"/>
  <c r="I373" i="19"/>
  <c r="J373" i="19"/>
  <c r="K373" i="19"/>
  <c r="L373" i="19"/>
  <c r="M373" i="19"/>
  <c r="N373" i="19"/>
  <c r="O373" i="19"/>
  <c r="P373" i="19"/>
  <c r="Q373" i="19"/>
  <c r="R373" i="19"/>
  <c r="S373" i="19"/>
  <c r="B374" i="19"/>
  <c r="C374" i="19"/>
  <c r="D374" i="19"/>
  <c r="E374" i="19"/>
  <c r="F374" i="19"/>
  <c r="G374" i="19"/>
  <c r="H374" i="19"/>
  <c r="I374" i="19"/>
  <c r="J374" i="19"/>
  <c r="K374" i="19"/>
  <c r="L374" i="19"/>
  <c r="M374" i="19"/>
  <c r="N374" i="19"/>
  <c r="O374" i="19"/>
  <c r="P374" i="19"/>
  <c r="Q374" i="19"/>
  <c r="R374" i="19"/>
  <c r="S374" i="19"/>
  <c r="B375" i="19"/>
  <c r="C375" i="19"/>
  <c r="D375" i="19"/>
  <c r="E375" i="19"/>
  <c r="F375" i="19"/>
  <c r="G375" i="19"/>
  <c r="H375" i="19"/>
  <c r="I375" i="19"/>
  <c r="J375" i="19"/>
  <c r="K375" i="19"/>
  <c r="L375" i="19"/>
  <c r="M375" i="19"/>
  <c r="N375" i="19"/>
  <c r="O375" i="19"/>
  <c r="P375" i="19"/>
  <c r="Q375" i="19"/>
  <c r="R375" i="19"/>
  <c r="S375" i="19"/>
  <c r="B376" i="19"/>
  <c r="C376" i="19"/>
  <c r="D376" i="19"/>
  <c r="E376" i="19"/>
  <c r="F376" i="19"/>
  <c r="G376" i="19"/>
  <c r="H376" i="19"/>
  <c r="I376" i="19"/>
  <c r="J376" i="19"/>
  <c r="K376" i="19"/>
  <c r="L376" i="19"/>
  <c r="M376" i="19"/>
  <c r="N376" i="19"/>
  <c r="O376" i="19"/>
  <c r="P376" i="19"/>
  <c r="Q376" i="19"/>
  <c r="R376" i="19"/>
  <c r="S376" i="19"/>
  <c r="B377" i="19"/>
  <c r="C377" i="19"/>
  <c r="D377" i="19"/>
  <c r="E377" i="19"/>
  <c r="F377" i="19"/>
  <c r="G377" i="19"/>
  <c r="H377" i="19"/>
  <c r="I377" i="19"/>
  <c r="J377" i="19"/>
  <c r="K377" i="19"/>
  <c r="L377" i="19"/>
  <c r="M377" i="19"/>
  <c r="N377" i="19"/>
  <c r="O377" i="19"/>
  <c r="P377" i="19"/>
  <c r="Q377" i="19"/>
  <c r="R377" i="19"/>
  <c r="S377" i="19"/>
  <c r="B378" i="19"/>
  <c r="C378" i="19"/>
  <c r="D378" i="19"/>
  <c r="E378" i="19"/>
  <c r="F378" i="19"/>
  <c r="G378" i="19"/>
  <c r="H378" i="19"/>
  <c r="I378" i="19"/>
  <c r="J378" i="19"/>
  <c r="K378" i="19"/>
  <c r="L378" i="19"/>
  <c r="M378" i="19"/>
  <c r="N378" i="19"/>
  <c r="O378" i="19"/>
  <c r="P378" i="19"/>
  <c r="Q378" i="19"/>
  <c r="R378" i="19"/>
  <c r="S378" i="19"/>
  <c r="B379" i="19"/>
  <c r="C379" i="19"/>
  <c r="D379" i="19"/>
  <c r="E379" i="19"/>
  <c r="F379" i="19"/>
  <c r="G379" i="19"/>
  <c r="H379" i="19"/>
  <c r="I379" i="19"/>
  <c r="J379" i="19"/>
  <c r="K379" i="19"/>
  <c r="L379" i="19"/>
  <c r="M379" i="19"/>
  <c r="N379" i="19"/>
  <c r="O379" i="19"/>
  <c r="P379" i="19"/>
  <c r="Q379" i="19"/>
  <c r="R379" i="19"/>
  <c r="S379" i="19"/>
  <c r="B380" i="19"/>
  <c r="C380" i="19"/>
  <c r="D380" i="19"/>
  <c r="E380" i="19"/>
  <c r="F380" i="19"/>
  <c r="G380" i="19"/>
  <c r="H380" i="19"/>
  <c r="I380" i="19"/>
  <c r="J380" i="19"/>
  <c r="K380" i="19"/>
  <c r="L380" i="19"/>
  <c r="M380" i="19"/>
  <c r="N380" i="19"/>
  <c r="O380" i="19"/>
  <c r="P380" i="19"/>
  <c r="Q380" i="19"/>
  <c r="R380" i="19"/>
  <c r="S380" i="19"/>
  <c r="B381" i="19"/>
  <c r="C381" i="19"/>
  <c r="D381" i="19"/>
  <c r="E381" i="19"/>
  <c r="F381" i="19"/>
  <c r="G381" i="19"/>
  <c r="H381" i="19"/>
  <c r="I381" i="19"/>
  <c r="J381" i="19"/>
  <c r="K381" i="19"/>
  <c r="L381" i="19"/>
  <c r="M381" i="19"/>
  <c r="N381" i="19"/>
  <c r="O381" i="19"/>
  <c r="P381" i="19"/>
  <c r="Q381" i="19"/>
  <c r="R381" i="19"/>
  <c r="S381" i="19"/>
  <c r="B382" i="19"/>
  <c r="C382" i="19"/>
  <c r="D382" i="19"/>
  <c r="E382" i="19"/>
  <c r="F382" i="19"/>
  <c r="G382" i="19"/>
  <c r="H382" i="19"/>
  <c r="I382" i="19"/>
  <c r="J382" i="19"/>
  <c r="K382" i="19"/>
  <c r="L382" i="19"/>
  <c r="M382" i="19"/>
  <c r="N382" i="19"/>
  <c r="O382" i="19"/>
  <c r="P382" i="19"/>
  <c r="Q382" i="19"/>
  <c r="R382" i="19"/>
  <c r="S382" i="19"/>
  <c r="B383" i="19"/>
  <c r="C383" i="19"/>
  <c r="D383" i="19"/>
  <c r="E383" i="19"/>
  <c r="F383" i="19"/>
  <c r="G383" i="19"/>
  <c r="H383" i="19"/>
  <c r="I383" i="19"/>
  <c r="J383" i="19"/>
  <c r="K383" i="19"/>
  <c r="L383" i="19"/>
  <c r="M383" i="19"/>
  <c r="N383" i="19"/>
  <c r="O383" i="19"/>
  <c r="P383" i="19"/>
  <c r="Q383" i="19"/>
  <c r="R383" i="19"/>
  <c r="S383" i="19"/>
  <c r="B384" i="19"/>
  <c r="C384" i="19"/>
  <c r="D384" i="19"/>
  <c r="E384" i="19"/>
  <c r="F384" i="19"/>
  <c r="G384" i="19"/>
  <c r="H384" i="19"/>
  <c r="I384" i="19"/>
  <c r="J384" i="19"/>
  <c r="K384" i="19"/>
  <c r="L384" i="19"/>
  <c r="M384" i="19"/>
  <c r="N384" i="19"/>
  <c r="O384" i="19"/>
  <c r="P384" i="19"/>
  <c r="Q384" i="19"/>
  <c r="R384" i="19"/>
  <c r="S384" i="19"/>
  <c r="B385" i="19"/>
  <c r="C385" i="19"/>
  <c r="D385" i="19"/>
  <c r="E385" i="19"/>
  <c r="F385" i="19"/>
  <c r="G385" i="19"/>
  <c r="H385" i="19"/>
  <c r="I385" i="19"/>
  <c r="J385" i="19"/>
  <c r="K385" i="19"/>
  <c r="L385" i="19"/>
  <c r="M385" i="19"/>
  <c r="N385" i="19"/>
  <c r="O385" i="19"/>
  <c r="P385" i="19"/>
  <c r="Q385" i="19"/>
  <c r="R385" i="19"/>
  <c r="S385" i="19"/>
  <c r="B386" i="19"/>
  <c r="C386" i="19"/>
  <c r="D386" i="19"/>
  <c r="E386" i="19"/>
  <c r="F386" i="19"/>
  <c r="G386" i="19"/>
  <c r="H386" i="19"/>
  <c r="I386" i="19"/>
  <c r="J386" i="19"/>
  <c r="K386" i="19"/>
  <c r="L386" i="19"/>
  <c r="M386" i="19"/>
  <c r="N386" i="19"/>
  <c r="O386" i="19"/>
  <c r="P386" i="19"/>
  <c r="Q386" i="19"/>
  <c r="R386" i="19"/>
  <c r="S386" i="19"/>
  <c r="B387" i="19"/>
  <c r="C387" i="19"/>
  <c r="D387" i="19"/>
  <c r="E387" i="19"/>
  <c r="F387" i="19"/>
  <c r="G387" i="19"/>
  <c r="H387" i="19"/>
  <c r="I387" i="19"/>
  <c r="J387" i="19"/>
  <c r="K387" i="19"/>
  <c r="L387" i="19"/>
  <c r="M387" i="19"/>
  <c r="N387" i="19"/>
  <c r="O387" i="19"/>
  <c r="P387" i="19"/>
  <c r="Q387" i="19"/>
  <c r="R387" i="19"/>
  <c r="S387" i="19"/>
  <c r="B388" i="19"/>
  <c r="C388" i="19"/>
  <c r="D388" i="19"/>
  <c r="E388" i="19"/>
  <c r="F388" i="19"/>
  <c r="G388" i="19"/>
  <c r="H388" i="19"/>
  <c r="I388" i="19"/>
  <c r="J388" i="19"/>
  <c r="K388" i="19"/>
  <c r="L388" i="19"/>
  <c r="M388" i="19"/>
  <c r="N388" i="19"/>
  <c r="O388" i="19"/>
  <c r="P388" i="19"/>
  <c r="Q388" i="19"/>
  <c r="R388" i="19"/>
  <c r="S388" i="19"/>
  <c r="B389" i="19"/>
  <c r="C389" i="19"/>
  <c r="D389" i="19"/>
  <c r="E389" i="19"/>
  <c r="F389" i="19"/>
  <c r="G389" i="19"/>
  <c r="H389" i="19"/>
  <c r="I389" i="19"/>
  <c r="J389" i="19"/>
  <c r="K389" i="19"/>
  <c r="L389" i="19"/>
  <c r="M389" i="19"/>
  <c r="N389" i="19"/>
  <c r="O389" i="19"/>
  <c r="P389" i="19"/>
  <c r="Q389" i="19"/>
  <c r="R389" i="19"/>
  <c r="S389" i="19"/>
  <c r="B390" i="19"/>
  <c r="C390" i="19"/>
  <c r="D390" i="19"/>
  <c r="E390" i="19"/>
  <c r="F390" i="19"/>
  <c r="G390" i="19"/>
  <c r="H390" i="19"/>
  <c r="I390" i="19"/>
  <c r="J390" i="19"/>
  <c r="K390" i="19"/>
  <c r="L390" i="19"/>
  <c r="M390" i="19"/>
  <c r="N390" i="19"/>
  <c r="O390" i="19"/>
  <c r="P390" i="19"/>
  <c r="Q390" i="19"/>
  <c r="R390" i="19"/>
  <c r="S390" i="19"/>
  <c r="B391" i="19"/>
  <c r="C391" i="19"/>
  <c r="D391" i="19"/>
  <c r="E391" i="19"/>
  <c r="F391" i="19"/>
  <c r="G391" i="19"/>
  <c r="H391" i="19"/>
  <c r="I391" i="19"/>
  <c r="J391" i="19"/>
  <c r="K391" i="19"/>
  <c r="L391" i="19"/>
  <c r="M391" i="19"/>
  <c r="N391" i="19"/>
  <c r="O391" i="19"/>
  <c r="P391" i="19"/>
  <c r="Q391" i="19"/>
  <c r="R391" i="19"/>
  <c r="S391" i="19"/>
  <c r="B392" i="19"/>
  <c r="C392" i="19"/>
  <c r="D392" i="19"/>
  <c r="E392" i="19"/>
  <c r="F392" i="19"/>
  <c r="G392" i="19"/>
  <c r="H392" i="19"/>
  <c r="I392" i="19"/>
  <c r="J392" i="19"/>
  <c r="K392" i="19"/>
  <c r="L392" i="19"/>
  <c r="M392" i="19"/>
  <c r="N392" i="19"/>
  <c r="O392" i="19"/>
  <c r="P392" i="19"/>
  <c r="Q392" i="19"/>
  <c r="R392" i="19"/>
  <c r="S392" i="19"/>
  <c r="B393" i="19"/>
  <c r="C393" i="19"/>
  <c r="D393" i="19"/>
  <c r="E393" i="19"/>
  <c r="F393" i="19"/>
  <c r="G393" i="19"/>
  <c r="H393" i="19"/>
  <c r="I393" i="19"/>
  <c r="J393" i="19"/>
  <c r="K393" i="19"/>
  <c r="L393" i="19"/>
  <c r="M393" i="19"/>
  <c r="N393" i="19"/>
  <c r="O393" i="19"/>
  <c r="P393" i="19"/>
  <c r="Q393" i="19"/>
  <c r="R393" i="19"/>
  <c r="S393" i="19"/>
  <c r="B394" i="19"/>
  <c r="C394" i="19"/>
  <c r="D394" i="19"/>
  <c r="E394" i="19"/>
  <c r="F394" i="19"/>
  <c r="G394" i="19"/>
  <c r="H394" i="19"/>
  <c r="I394" i="19"/>
  <c r="J394" i="19"/>
  <c r="K394" i="19"/>
  <c r="L394" i="19"/>
  <c r="M394" i="19"/>
  <c r="N394" i="19"/>
  <c r="O394" i="19"/>
  <c r="P394" i="19"/>
  <c r="Q394" i="19"/>
  <c r="R394" i="19"/>
  <c r="S394" i="19"/>
  <c r="B395" i="19"/>
  <c r="C395" i="19"/>
  <c r="D395" i="19"/>
  <c r="E395" i="19"/>
  <c r="F395" i="19"/>
  <c r="G395" i="19"/>
  <c r="H395" i="19"/>
  <c r="I395" i="19"/>
  <c r="J395" i="19"/>
  <c r="K395" i="19"/>
  <c r="L395" i="19"/>
  <c r="M395" i="19"/>
  <c r="N395" i="19"/>
  <c r="O395" i="19"/>
  <c r="P395" i="19"/>
  <c r="Q395" i="19"/>
  <c r="R395" i="19"/>
  <c r="S395" i="19"/>
  <c r="B396" i="19"/>
  <c r="C396" i="19"/>
  <c r="D396" i="19"/>
  <c r="E396" i="19"/>
  <c r="F396" i="19"/>
  <c r="G396" i="19"/>
  <c r="H396" i="19"/>
  <c r="I396" i="19"/>
  <c r="J396" i="19"/>
  <c r="K396" i="19"/>
  <c r="L396" i="19"/>
  <c r="M396" i="19"/>
  <c r="N396" i="19"/>
  <c r="O396" i="19"/>
  <c r="P396" i="19"/>
  <c r="Q396" i="19"/>
  <c r="R396" i="19"/>
  <c r="S396" i="19"/>
  <c r="B397" i="19"/>
  <c r="C397" i="19"/>
  <c r="D397" i="19"/>
  <c r="E397" i="19"/>
  <c r="F397" i="19"/>
  <c r="G397" i="19"/>
  <c r="H397" i="19"/>
  <c r="I397" i="19"/>
  <c r="J397" i="19"/>
  <c r="K397" i="19"/>
  <c r="L397" i="19"/>
  <c r="M397" i="19"/>
  <c r="N397" i="19"/>
  <c r="O397" i="19"/>
  <c r="P397" i="19"/>
  <c r="Q397" i="19"/>
  <c r="R397" i="19"/>
  <c r="S397" i="19"/>
  <c r="B398" i="19"/>
  <c r="C398" i="19"/>
  <c r="D398" i="19"/>
  <c r="E398" i="19"/>
  <c r="F398" i="19"/>
  <c r="G398" i="19"/>
  <c r="H398" i="19"/>
  <c r="I398" i="19"/>
  <c r="J398" i="19"/>
  <c r="K398" i="19"/>
  <c r="L398" i="19"/>
  <c r="M398" i="19"/>
  <c r="N398" i="19"/>
  <c r="O398" i="19"/>
  <c r="P398" i="19"/>
  <c r="Q398" i="19"/>
  <c r="R398" i="19"/>
  <c r="S398" i="19"/>
  <c r="B399" i="19"/>
  <c r="C399" i="19"/>
  <c r="D399" i="19"/>
  <c r="E399" i="19"/>
  <c r="F399" i="19"/>
  <c r="G399" i="19"/>
  <c r="H399" i="19"/>
  <c r="I399" i="19"/>
  <c r="J399" i="19"/>
  <c r="K399" i="19"/>
  <c r="L399" i="19"/>
  <c r="M399" i="19"/>
  <c r="N399" i="19"/>
  <c r="O399" i="19"/>
  <c r="P399" i="19"/>
  <c r="Q399" i="19"/>
  <c r="R399" i="19"/>
  <c r="S399" i="19"/>
  <c r="B400" i="19"/>
  <c r="C400" i="19"/>
  <c r="D400" i="19"/>
  <c r="E400" i="19"/>
  <c r="F400" i="19"/>
  <c r="G400" i="19"/>
  <c r="H400" i="19"/>
  <c r="I400" i="19"/>
  <c r="J400" i="19"/>
  <c r="K400" i="19"/>
  <c r="L400" i="19"/>
  <c r="M400" i="19"/>
  <c r="N400" i="19"/>
  <c r="O400" i="19"/>
  <c r="P400" i="19"/>
  <c r="Q400" i="19"/>
  <c r="R400" i="19"/>
  <c r="S400" i="19"/>
  <c r="B401" i="19"/>
  <c r="C401" i="19"/>
  <c r="D401" i="19"/>
  <c r="E401" i="19"/>
  <c r="F401" i="19"/>
  <c r="G401" i="19"/>
  <c r="H401" i="19"/>
  <c r="I401" i="19"/>
  <c r="J401" i="19"/>
  <c r="K401" i="19"/>
  <c r="L401" i="19"/>
  <c r="M401" i="19"/>
  <c r="N401" i="19"/>
  <c r="O401" i="19"/>
  <c r="P401" i="19"/>
  <c r="Q401" i="19"/>
  <c r="R401" i="19"/>
  <c r="S401" i="19"/>
  <c r="B402" i="19"/>
  <c r="C402" i="19"/>
  <c r="D402" i="19"/>
  <c r="E402" i="19"/>
  <c r="F402" i="19"/>
  <c r="G402" i="19"/>
  <c r="H402" i="19"/>
  <c r="I402" i="19"/>
  <c r="J402" i="19"/>
  <c r="K402" i="19"/>
  <c r="L402" i="19"/>
  <c r="M402" i="19"/>
  <c r="N402" i="19"/>
  <c r="O402" i="19"/>
  <c r="P402" i="19"/>
  <c r="Q402" i="19"/>
  <c r="R402" i="19"/>
  <c r="S402" i="19"/>
  <c r="B403" i="19"/>
  <c r="C403" i="19"/>
  <c r="D403" i="19"/>
  <c r="E403" i="19"/>
  <c r="F403" i="19"/>
  <c r="G403" i="19"/>
  <c r="H403" i="19"/>
  <c r="I403" i="19"/>
  <c r="J403" i="19"/>
  <c r="K403" i="19"/>
  <c r="L403" i="19"/>
  <c r="M403" i="19"/>
  <c r="N403" i="19"/>
  <c r="O403" i="19"/>
  <c r="P403" i="19"/>
  <c r="Q403" i="19"/>
  <c r="R403" i="19"/>
  <c r="S403" i="19"/>
  <c r="B404" i="19"/>
  <c r="C404" i="19"/>
  <c r="D404" i="19"/>
  <c r="E404" i="19"/>
  <c r="F404" i="19"/>
  <c r="G404" i="19"/>
  <c r="H404" i="19"/>
  <c r="I404" i="19"/>
  <c r="J404" i="19"/>
  <c r="K404" i="19"/>
  <c r="L404" i="19"/>
  <c r="M404" i="19"/>
  <c r="N404" i="19"/>
  <c r="O404" i="19"/>
  <c r="P404" i="19"/>
  <c r="Q404" i="19"/>
  <c r="R404" i="19"/>
  <c r="S404" i="19"/>
  <c r="B405" i="19"/>
  <c r="C405" i="19"/>
  <c r="D405" i="19"/>
  <c r="E405" i="19"/>
  <c r="F405" i="19"/>
  <c r="G405" i="19"/>
  <c r="H405" i="19"/>
  <c r="I405" i="19"/>
  <c r="J405" i="19"/>
  <c r="K405" i="19"/>
  <c r="L405" i="19"/>
  <c r="M405" i="19"/>
  <c r="N405" i="19"/>
  <c r="O405" i="19"/>
  <c r="P405" i="19"/>
  <c r="Q405" i="19"/>
  <c r="R405" i="19"/>
  <c r="S405" i="19"/>
  <c r="B406" i="19"/>
  <c r="C406" i="19"/>
  <c r="D406" i="19"/>
  <c r="E406" i="19"/>
  <c r="F406" i="19"/>
  <c r="G406" i="19"/>
  <c r="H406" i="19"/>
  <c r="I406" i="19"/>
  <c r="J406" i="19"/>
  <c r="K406" i="19"/>
  <c r="L406" i="19"/>
  <c r="M406" i="19"/>
  <c r="N406" i="19"/>
  <c r="O406" i="19"/>
  <c r="P406" i="19"/>
  <c r="Q406" i="19"/>
  <c r="R406" i="19"/>
  <c r="S406" i="19"/>
  <c r="B407" i="19"/>
  <c r="C407" i="19"/>
  <c r="D407" i="19"/>
  <c r="E407" i="19"/>
  <c r="F407" i="19"/>
  <c r="G407" i="19"/>
  <c r="H407" i="19"/>
  <c r="I407" i="19"/>
  <c r="J407" i="19"/>
  <c r="K407" i="19"/>
  <c r="L407" i="19"/>
  <c r="M407" i="19"/>
  <c r="N407" i="19"/>
  <c r="O407" i="19"/>
  <c r="P407" i="19"/>
  <c r="Q407" i="19"/>
  <c r="R407" i="19"/>
  <c r="S407" i="19"/>
  <c r="B408" i="19"/>
  <c r="C408" i="19"/>
  <c r="D408" i="19"/>
  <c r="E408" i="19"/>
  <c r="F408" i="19"/>
  <c r="G408" i="19"/>
  <c r="H408" i="19"/>
  <c r="I408" i="19"/>
  <c r="J408" i="19"/>
  <c r="K408" i="19"/>
  <c r="L408" i="19"/>
  <c r="M408" i="19"/>
  <c r="N408" i="19"/>
  <c r="O408" i="19"/>
  <c r="P408" i="19"/>
  <c r="Q408" i="19"/>
  <c r="R408" i="19"/>
  <c r="S408" i="19"/>
  <c r="B409" i="19"/>
  <c r="C409" i="19"/>
  <c r="D409" i="19"/>
  <c r="E409" i="19"/>
  <c r="F409" i="19"/>
  <c r="G409" i="19"/>
  <c r="H409" i="19"/>
  <c r="I409" i="19"/>
  <c r="J409" i="19"/>
  <c r="K409" i="19"/>
  <c r="L409" i="19"/>
  <c r="M409" i="19"/>
  <c r="N409" i="19"/>
  <c r="O409" i="19"/>
  <c r="P409" i="19"/>
  <c r="Q409" i="19"/>
  <c r="R409" i="19"/>
  <c r="S409" i="19"/>
  <c r="B410" i="19"/>
  <c r="C410" i="19"/>
  <c r="D410" i="19"/>
  <c r="E410" i="19"/>
  <c r="F410" i="19"/>
  <c r="G410" i="19"/>
  <c r="H410" i="19"/>
  <c r="I410" i="19"/>
  <c r="J410" i="19"/>
  <c r="K410" i="19"/>
  <c r="L410" i="19"/>
  <c r="M410" i="19"/>
  <c r="N410" i="19"/>
  <c r="O410" i="19"/>
  <c r="P410" i="19"/>
  <c r="Q410" i="19"/>
  <c r="R410" i="19"/>
  <c r="S410" i="19"/>
  <c r="B411" i="19"/>
  <c r="C411" i="19"/>
  <c r="D411" i="19"/>
  <c r="E411" i="19"/>
  <c r="F411" i="19"/>
  <c r="G411" i="19"/>
  <c r="H411" i="19"/>
  <c r="I411" i="19"/>
  <c r="J411" i="19"/>
  <c r="K411" i="19"/>
  <c r="L411" i="19"/>
  <c r="M411" i="19"/>
  <c r="N411" i="19"/>
  <c r="O411" i="19"/>
  <c r="P411" i="19"/>
  <c r="Q411" i="19"/>
  <c r="R411" i="19"/>
  <c r="S411" i="19"/>
  <c r="B412" i="19"/>
  <c r="C412" i="19"/>
  <c r="D412" i="19"/>
  <c r="E412" i="19"/>
  <c r="F412" i="19"/>
  <c r="G412" i="19"/>
  <c r="H412" i="19"/>
  <c r="I412" i="19"/>
  <c r="J412" i="19"/>
  <c r="K412" i="19"/>
  <c r="L412" i="19"/>
  <c r="M412" i="19"/>
  <c r="N412" i="19"/>
  <c r="O412" i="19"/>
  <c r="P412" i="19"/>
  <c r="Q412" i="19"/>
  <c r="R412" i="19"/>
  <c r="S412" i="19"/>
  <c r="B413" i="19"/>
  <c r="C413" i="19"/>
  <c r="D413" i="19"/>
  <c r="E413" i="19"/>
  <c r="F413" i="19"/>
  <c r="G413" i="19"/>
  <c r="H413" i="19"/>
  <c r="I413" i="19"/>
  <c r="J413" i="19"/>
  <c r="K413" i="19"/>
  <c r="L413" i="19"/>
  <c r="M413" i="19"/>
  <c r="N413" i="19"/>
  <c r="O413" i="19"/>
  <c r="P413" i="19"/>
  <c r="Q413" i="19"/>
  <c r="R413" i="19"/>
  <c r="S413" i="19"/>
  <c r="B414" i="19"/>
  <c r="C414" i="19"/>
  <c r="D414" i="19"/>
  <c r="E414" i="19"/>
  <c r="F414" i="19"/>
  <c r="G414" i="19"/>
  <c r="H414" i="19"/>
  <c r="I414" i="19"/>
  <c r="J414" i="19"/>
  <c r="K414" i="19"/>
  <c r="L414" i="19"/>
  <c r="M414" i="19"/>
  <c r="N414" i="19"/>
  <c r="O414" i="19"/>
  <c r="P414" i="19"/>
  <c r="Q414" i="19"/>
  <c r="R414" i="19"/>
  <c r="S414" i="19"/>
  <c r="B415" i="19"/>
  <c r="C415" i="19"/>
  <c r="D415" i="19"/>
  <c r="E415" i="19"/>
  <c r="F415" i="19"/>
  <c r="G415" i="19"/>
  <c r="H415" i="19"/>
  <c r="I415" i="19"/>
  <c r="J415" i="19"/>
  <c r="K415" i="19"/>
  <c r="L415" i="19"/>
  <c r="M415" i="19"/>
  <c r="N415" i="19"/>
  <c r="O415" i="19"/>
  <c r="P415" i="19"/>
  <c r="Q415" i="19"/>
  <c r="R415" i="19"/>
  <c r="S415" i="19"/>
  <c r="B416" i="19"/>
  <c r="C416" i="19"/>
  <c r="D416" i="19"/>
  <c r="E416" i="19"/>
  <c r="F416" i="19"/>
  <c r="G416" i="19"/>
  <c r="H416" i="19"/>
  <c r="I416" i="19"/>
  <c r="J416" i="19"/>
  <c r="K416" i="19"/>
  <c r="L416" i="19"/>
  <c r="M416" i="19"/>
  <c r="N416" i="19"/>
  <c r="O416" i="19"/>
  <c r="P416" i="19"/>
  <c r="Q416" i="19"/>
  <c r="R416" i="19"/>
  <c r="S416" i="19"/>
  <c r="B417" i="19"/>
  <c r="C417" i="19"/>
  <c r="D417" i="19"/>
  <c r="E417" i="19"/>
  <c r="F417" i="19"/>
  <c r="G417" i="19"/>
  <c r="H417" i="19"/>
  <c r="I417" i="19"/>
  <c r="J417" i="19"/>
  <c r="K417" i="19"/>
  <c r="L417" i="19"/>
  <c r="M417" i="19"/>
  <c r="N417" i="19"/>
  <c r="O417" i="19"/>
  <c r="P417" i="19"/>
  <c r="Q417" i="19"/>
  <c r="R417" i="19"/>
  <c r="S417" i="19"/>
  <c r="B418" i="19"/>
  <c r="C418" i="19"/>
  <c r="D418" i="19"/>
  <c r="E418" i="19"/>
  <c r="F418" i="19"/>
  <c r="G418" i="19"/>
  <c r="H418" i="19"/>
  <c r="I418" i="19"/>
  <c r="J418" i="19"/>
  <c r="K418" i="19"/>
  <c r="L418" i="19"/>
  <c r="M418" i="19"/>
  <c r="N418" i="19"/>
  <c r="O418" i="19"/>
  <c r="P418" i="19"/>
  <c r="Q418" i="19"/>
  <c r="R418" i="19"/>
  <c r="S418" i="19"/>
  <c r="B419" i="19"/>
  <c r="C419" i="19"/>
  <c r="D419" i="19"/>
  <c r="E419" i="19"/>
  <c r="F419" i="19"/>
  <c r="G419" i="19"/>
  <c r="H419" i="19"/>
  <c r="I419" i="19"/>
  <c r="J419" i="19"/>
  <c r="K419" i="19"/>
  <c r="L419" i="19"/>
  <c r="M419" i="19"/>
  <c r="N419" i="19"/>
  <c r="O419" i="19"/>
  <c r="P419" i="19"/>
  <c r="Q419" i="19"/>
  <c r="R419" i="19"/>
  <c r="S419" i="19"/>
  <c r="B420" i="19"/>
  <c r="C420" i="19"/>
  <c r="D420" i="19"/>
  <c r="E420" i="19"/>
  <c r="F420" i="19"/>
  <c r="G420" i="19"/>
  <c r="H420" i="19"/>
  <c r="I420" i="19"/>
  <c r="J420" i="19"/>
  <c r="K420" i="19"/>
  <c r="L420" i="19"/>
  <c r="M420" i="19"/>
  <c r="N420" i="19"/>
  <c r="O420" i="19"/>
  <c r="P420" i="19"/>
  <c r="Q420" i="19"/>
  <c r="R420" i="19"/>
  <c r="S420" i="19"/>
  <c r="B421" i="19"/>
  <c r="C421" i="19"/>
  <c r="D421" i="19"/>
  <c r="E421" i="19"/>
  <c r="F421" i="19"/>
  <c r="G421" i="19"/>
  <c r="H421" i="19"/>
  <c r="I421" i="19"/>
  <c r="J421" i="19"/>
  <c r="K421" i="19"/>
  <c r="L421" i="19"/>
  <c r="M421" i="19"/>
  <c r="N421" i="19"/>
  <c r="O421" i="19"/>
  <c r="P421" i="19"/>
  <c r="Q421" i="19"/>
  <c r="R421" i="19"/>
  <c r="S421" i="19"/>
  <c r="B422" i="19"/>
  <c r="C422" i="19"/>
  <c r="D422" i="19"/>
  <c r="E422" i="19"/>
  <c r="F422" i="19"/>
  <c r="G422" i="19"/>
  <c r="H422" i="19"/>
  <c r="I422" i="19"/>
  <c r="J422" i="19"/>
  <c r="K422" i="19"/>
  <c r="L422" i="19"/>
  <c r="M422" i="19"/>
  <c r="N422" i="19"/>
  <c r="O422" i="19"/>
  <c r="P422" i="19"/>
  <c r="Q422" i="19"/>
  <c r="R422" i="19"/>
  <c r="S422" i="19"/>
  <c r="B423" i="19"/>
  <c r="C423" i="19"/>
  <c r="D423" i="19"/>
  <c r="E423" i="19"/>
  <c r="F423" i="19"/>
  <c r="G423" i="19"/>
  <c r="H423" i="19"/>
  <c r="I423" i="19"/>
  <c r="J423" i="19"/>
  <c r="K423" i="19"/>
  <c r="L423" i="19"/>
  <c r="M423" i="19"/>
  <c r="N423" i="19"/>
  <c r="O423" i="19"/>
  <c r="P423" i="19"/>
  <c r="Q423" i="19"/>
  <c r="R423" i="19"/>
  <c r="S423" i="19"/>
  <c r="B424" i="19"/>
  <c r="C424" i="19"/>
  <c r="D424" i="19"/>
  <c r="E424" i="19"/>
  <c r="F424" i="19"/>
  <c r="G424" i="19"/>
  <c r="H424" i="19"/>
  <c r="I424" i="19"/>
  <c r="J424" i="19"/>
  <c r="K424" i="19"/>
  <c r="L424" i="19"/>
  <c r="M424" i="19"/>
  <c r="N424" i="19"/>
  <c r="O424" i="19"/>
  <c r="P424" i="19"/>
  <c r="Q424" i="19"/>
  <c r="R424" i="19"/>
  <c r="S424" i="19"/>
  <c r="B425" i="19"/>
  <c r="C425" i="19"/>
  <c r="D425" i="19"/>
  <c r="E425" i="19"/>
  <c r="F425" i="19"/>
  <c r="G425" i="19"/>
  <c r="H425" i="19"/>
  <c r="I425" i="19"/>
  <c r="J425" i="19"/>
  <c r="K425" i="19"/>
  <c r="L425" i="19"/>
  <c r="M425" i="19"/>
  <c r="N425" i="19"/>
  <c r="O425" i="19"/>
  <c r="P425" i="19"/>
  <c r="Q425" i="19"/>
  <c r="R425" i="19"/>
  <c r="S425" i="19"/>
  <c r="B426" i="19"/>
  <c r="C426" i="19"/>
  <c r="D426" i="19"/>
  <c r="E426" i="19"/>
  <c r="F426" i="19"/>
  <c r="G426" i="19"/>
  <c r="H426" i="19"/>
  <c r="I426" i="19"/>
  <c r="J426" i="19"/>
  <c r="K426" i="19"/>
  <c r="L426" i="19"/>
  <c r="M426" i="19"/>
  <c r="N426" i="19"/>
  <c r="O426" i="19"/>
  <c r="P426" i="19"/>
  <c r="Q426" i="19"/>
  <c r="R426" i="19"/>
  <c r="S426" i="19"/>
  <c r="B427" i="19"/>
  <c r="C427" i="19"/>
  <c r="D427" i="19"/>
  <c r="E427" i="19"/>
  <c r="F427" i="19"/>
  <c r="G427" i="19"/>
  <c r="H427" i="19"/>
  <c r="I427" i="19"/>
  <c r="J427" i="19"/>
  <c r="K427" i="19"/>
  <c r="L427" i="19"/>
  <c r="M427" i="19"/>
  <c r="N427" i="19"/>
  <c r="O427" i="19"/>
  <c r="P427" i="19"/>
  <c r="Q427" i="19"/>
  <c r="R427" i="19"/>
  <c r="S427" i="19"/>
  <c r="B428" i="19"/>
  <c r="C428" i="19"/>
  <c r="D428" i="19"/>
  <c r="E428" i="19"/>
  <c r="F428" i="19"/>
  <c r="G428" i="19"/>
  <c r="H428" i="19"/>
  <c r="I428" i="19"/>
  <c r="J428" i="19"/>
  <c r="K428" i="19"/>
  <c r="L428" i="19"/>
  <c r="M428" i="19"/>
  <c r="N428" i="19"/>
  <c r="O428" i="19"/>
  <c r="P428" i="19"/>
  <c r="Q428" i="19"/>
  <c r="R428" i="19"/>
  <c r="S428" i="19"/>
  <c r="B429" i="19"/>
  <c r="C429" i="19"/>
  <c r="D429" i="19"/>
  <c r="E429" i="19"/>
  <c r="F429" i="19"/>
  <c r="G429" i="19"/>
  <c r="H429" i="19"/>
  <c r="I429" i="19"/>
  <c r="J429" i="19"/>
  <c r="K429" i="19"/>
  <c r="L429" i="19"/>
  <c r="M429" i="19"/>
  <c r="N429" i="19"/>
  <c r="O429" i="19"/>
  <c r="P429" i="19"/>
  <c r="Q429" i="19"/>
  <c r="R429" i="19"/>
  <c r="S429" i="19"/>
  <c r="B430" i="19"/>
  <c r="C430" i="19"/>
  <c r="D430" i="19"/>
  <c r="E430" i="19"/>
  <c r="F430" i="19"/>
  <c r="G430" i="19"/>
  <c r="H430" i="19"/>
  <c r="I430" i="19"/>
  <c r="J430" i="19"/>
  <c r="K430" i="19"/>
  <c r="L430" i="19"/>
  <c r="M430" i="19"/>
  <c r="N430" i="19"/>
  <c r="O430" i="19"/>
  <c r="P430" i="19"/>
  <c r="Q430" i="19"/>
  <c r="R430" i="19"/>
  <c r="S430" i="19"/>
  <c r="B431" i="19"/>
  <c r="C431" i="19"/>
  <c r="D431" i="19"/>
  <c r="E431" i="19"/>
  <c r="F431" i="19"/>
  <c r="G431" i="19"/>
  <c r="H431" i="19"/>
  <c r="I431" i="19"/>
  <c r="J431" i="19"/>
  <c r="K431" i="19"/>
  <c r="L431" i="19"/>
  <c r="M431" i="19"/>
  <c r="N431" i="19"/>
  <c r="O431" i="19"/>
  <c r="P431" i="19"/>
  <c r="Q431" i="19"/>
  <c r="R431" i="19"/>
  <c r="S431" i="19"/>
  <c r="B432" i="19"/>
  <c r="C432" i="19"/>
  <c r="D432" i="19"/>
  <c r="E432" i="19"/>
  <c r="F432" i="19"/>
  <c r="G432" i="19"/>
  <c r="H432" i="19"/>
  <c r="I432" i="19"/>
  <c r="J432" i="19"/>
  <c r="K432" i="19"/>
  <c r="L432" i="19"/>
  <c r="M432" i="19"/>
  <c r="N432" i="19"/>
  <c r="O432" i="19"/>
  <c r="P432" i="19"/>
  <c r="Q432" i="19"/>
  <c r="R432" i="19"/>
  <c r="S432" i="19"/>
  <c r="B433" i="19"/>
  <c r="C433" i="19"/>
  <c r="D433" i="19"/>
  <c r="E433" i="19"/>
  <c r="F433" i="19"/>
  <c r="G433" i="19"/>
  <c r="H433" i="19"/>
  <c r="I433" i="19"/>
  <c r="J433" i="19"/>
  <c r="K433" i="19"/>
  <c r="L433" i="19"/>
  <c r="M433" i="19"/>
  <c r="N433" i="19"/>
  <c r="O433" i="19"/>
  <c r="P433" i="19"/>
  <c r="Q433" i="19"/>
  <c r="R433" i="19"/>
  <c r="S433" i="19"/>
  <c r="B434" i="19"/>
  <c r="C434" i="19"/>
  <c r="D434" i="19"/>
  <c r="E434" i="19"/>
  <c r="F434" i="19"/>
  <c r="G434" i="19"/>
  <c r="H434" i="19"/>
  <c r="I434" i="19"/>
  <c r="J434" i="19"/>
  <c r="K434" i="19"/>
  <c r="L434" i="19"/>
  <c r="M434" i="19"/>
  <c r="N434" i="19"/>
  <c r="O434" i="19"/>
  <c r="P434" i="19"/>
  <c r="Q434" i="19"/>
  <c r="R434" i="19"/>
  <c r="S434" i="19"/>
  <c r="B435" i="19"/>
  <c r="C435" i="19"/>
  <c r="D435" i="19"/>
  <c r="E435" i="19"/>
  <c r="F435" i="19"/>
  <c r="G435" i="19"/>
  <c r="H435" i="19"/>
  <c r="I435" i="19"/>
  <c r="J435" i="19"/>
  <c r="K435" i="19"/>
  <c r="L435" i="19"/>
  <c r="M435" i="19"/>
  <c r="N435" i="19"/>
  <c r="O435" i="19"/>
  <c r="P435" i="19"/>
  <c r="Q435" i="19"/>
  <c r="R435" i="19"/>
  <c r="S435" i="19"/>
  <c r="B436" i="19"/>
  <c r="C436" i="19"/>
  <c r="D436" i="19"/>
  <c r="E436" i="19"/>
  <c r="F436" i="19"/>
  <c r="G436" i="19"/>
  <c r="H436" i="19"/>
  <c r="I436" i="19"/>
  <c r="J436" i="19"/>
  <c r="K436" i="19"/>
  <c r="L436" i="19"/>
  <c r="M436" i="19"/>
  <c r="N436" i="19"/>
  <c r="O436" i="19"/>
  <c r="P436" i="19"/>
  <c r="Q436" i="19"/>
  <c r="R436" i="19"/>
  <c r="S436" i="19"/>
  <c r="B437" i="19"/>
  <c r="C437" i="19"/>
  <c r="D437" i="19"/>
  <c r="E437" i="19"/>
  <c r="F437" i="19"/>
  <c r="G437" i="19"/>
  <c r="H437" i="19"/>
  <c r="I437" i="19"/>
  <c r="J437" i="19"/>
  <c r="K437" i="19"/>
  <c r="L437" i="19"/>
  <c r="M437" i="19"/>
  <c r="N437" i="19"/>
  <c r="O437" i="19"/>
  <c r="P437" i="19"/>
  <c r="Q437" i="19"/>
  <c r="R437" i="19"/>
  <c r="S437" i="19"/>
  <c r="B438" i="19"/>
  <c r="C438" i="19"/>
  <c r="D438" i="19"/>
  <c r="E438" i="19"/>
  <c r="F438" i="19"/>
  <c r="G438" i="19"/>
  <c r="H438" i="19"/>
  <c r="I438" i="19"/>
  <c r="J438" i="19"/>
  <c r="K438" i="19"/>
  <c r="L438" i="19"/>
  <c r="M438" i="19"/>
  <c r="N438" i="19"/>
  <c r="O438" i="19"/>
  <c r="P438" i="19"/>
  <c r="Q438" i="19"/>
  <c r="R438" i="19"/>
  <c r="S438" i="19"/>
  <c r="B439" i="19"/>
  <c r="C439" i="19"/>
  <c r="D439" i="19"/>
  <c r="E439" i="19"/>
  <c r="F439" i="19"/>
  <c r="G439" i="19"/>
  <c r="H439" i="19"/>
  <c r="I439" i="19"/>
  <c r="J439" i="19"/>
  <c r="K439" i="19"/>
  <c r="L439" i="19"/>
  <c r="M439" i="19"/>
  <c r="N439" i="19"/>
  <c r="O439" i="19"/>
  <c r="P439" i="19"/>
  <c r="Q439" i="19"/>
  <c r="R439" i="19"/>
  <c r="S439" i="19"/>
  <c r="B440" i="19"/>
  <c r="C440" i="19"/>
  <c r="D440" i="19"/>
  <c r="E440" i="19"/>
  <c r="F440" i="19"/>
  <c r="G440" i="19"/>
  <c r="H440" i="19"/>
  <c r="I440" i="19"/>
  <c r="J440" i="19"/>
  <c r="K440" i="19"/>
  <c r="L440" i="19"/>
  <c r="M440" i="19"/>
  <c r="N440" i="19"/>
  <c r="O440" i="19"/>
  <c r="P440" i="19"/>
  <c r="Q440" i="19"/>
  <c r="R440" i="19"/>
  <c r="S440" i="19"/>
  <c r="B441" i="19"/>
  <c r="C441" i="19"/>
  <c r="D441" i="19"/>
  <c r="E441" i="19"/>
  <c r="F441" i="19"/>
  <c r="G441" i="19"/>
  <c r="H441" i="19"/>
  <c r="I441" i="19"/>
  <c r="J441" i="19"/>
  <c r="K441" i="19"/>
  <c r="L441" i="19"/>
  <c r="M441" i="19"/>
  <c r="N441" i="19"/>
  <c r="O441" i="19"/>
  <c r="P441" i="19"/>
  <c r="Q441" i="19"/>
  <c r="R441" i="19"/>
  <c r="S441" i="19"/>
  <c r="B442" i="19"/>
  <c r="C442" i="19"/>
  <c r="D442" i="19"/>
  <c r="E442" i="19"/>
  <c r="F442" i="19"/>
  <c r="G442" i="19"/>
  <c r="H442" i="19"/>
  <c r="I442" i="19"/>
  <c r="J442" i="19"/>
  <c r="K442" i="19"/>
  <c r="L442" i="19"/>
  <c r="M442" i="19"/>
  <c r="N442" i="19"/>
  <c r="O442" i="19"/>
  <c r="P442" i="19"/>
  <c r="Q442" i="19"/>
  <c r="R442" i="19"/>
  <c r="S442" i="19"/>
  <c r="B443" i="19"/>
  <c r="C443" i="19"/>
  <c r="D443" i="19"/>
  <c r="E443" i="19"/>
  <c r="F443" i="19"/>
  <c r="G443" i="19"/>
  <c r="H443" i="19"/>
  <c r="I443" i="19"/>
  <c r="J443" i="19"/>
  <c r="K443" i="19"/>
  <c r="L443" i="19"/>
  <c r="M443" i="19"/>
  <c r="N443" i="19"/>
  <c r="O443" i="19"/>
  <c r="P443" i="19"/>
  <c r="Q443" i="19"/>
  <c r="R443" i="19"/>
  <c r="S443" i="19"/>
  <c r="B444" i="19"/>
  <c r="C444" i="19"/>
  <c r="D444" i="19"/>
  <c r="E444" i="19"/>
  <c r="F444" i="19"/>
  <c r="G444" i="19"/>
  <c r="H444" i="19"/>
  <c r="I444" i="19"/>
  <c r="J444" i="19"/>
  <c r="K444" i="19"/>
  <c r="L444" i="19"/>
  <c r="M444" i="19"/>
  <c r="N444" i="19"/>
  <c r="O444" i="19"/>
  <c r="P444" i="19"/>
  <c r="Q444" i="19"/>
  <c r="R444" i="19"/>
  <c r="S444" i="19"/>
  <c r="B445" i="19"/>
  <c r="C445" i="19"/>
  <c r="D445" i="19"/>
  <c r="E445" i="19"/>
  <c r="F445" i="19"/>
  <c r="G445" i="19"/>
  <c r="H445" i="19"/>
  <c r="I445" i="19"/>
  <c r="J445" i="19"/>
  <c r="K445" i="19"/>
  <c r="L445" i="19"/>
  <c r="M445" i="19"/>
  <c r="N445" i="19"/>
  <c r="O445" i="19"/>
  <c r="P445" i="19"/>
  <c r="Q445" i="19"/>
  <c r="R445" i="19"/>
  <c r="S445" i="19"/>
  <c r="B446" i="19"/>
  <c r="C446" i="19"/>
  <c r="D446" i="19"/>
  <c r="E446" i="19"/>
  <c r="F446" i="19"/>
  <c r="G446" i="19"/>
  <c r="H446" i="19"/>
  <c r="I446" i="19"/>
  <c r="J446" i="19"/>
  <c r="K446" i="19"/>
  <c r="L446" i="19"/>
  <c r="M446" i="19"/>
  <c r="N446" i="19"/>
  <c r="O446" i="19"/>
  <c r="P446" i="19"/>
  <c r="Q446" i="19"/>
  <c r="R446" i="19"/>
  <c r="S446" i="19"/>
  <c r="B447" i="19"/>
  <c r="C447" i="19"/>
  <c r="D447" i="19"/>
  <c r="E447" i="19"/>
  <c r="F447" i="19"/>
  <c r="G447" i="19"/>
  <c r="H447" i="19"/>
  <c r="I447" i="19"/>
  <c r="J447" i="19"/>
  <c r="K447" i="19"/>
  <c r="L447" i="19"/>
  <c r="M447" i="19"/>
  <c r="N447" i="19"/>
  <c r="O447" i="19"/>
  <c r="P447" i="19"/>
  <c r="Q447" i="19"/>
  <c r="R447" i="19"/>
  <c r="S447" i="19"/>
  <c r="B448" i="19"/>
  <c r="C448" i="19"/>
  <c r="D448" i="19"/>
  <c r="E448" i="19"/>
  <c r="F448" i="19"/>
  <c r="G448" i="19"/>
  <c r="H448" i="19"/>
  <c r="I448" i="19"/>
  <c r="J448" i="19"/>
  <c r="K448" i="19"/>
  <c r="L448" i="19"/>
  <c r="M448" i="19"/>
  <c r="N448" i="19"/>
  <c r="O448" i="19"/>
  <c r="P448" i="19"/>
  <c r="Q448" i="19"/>
  <c r="R448" i="19"/>
  <c r="S448" i="19"/>
  <c r="B449" i="19"/>
  <c r="C449" i="19"/>
  <c r="D449" i="19"/>
  <c r="E449" i="19"/>
  <c r="F449" i="19"/>
  <c r="G449" i="19"/>
  <c r="H449" i="19"/>
  <c r="I449" i="19"/>
  <c r="J449" i="19"/>
  <c r="K449" i="19"/>
  <c r="L449" i="19"/>
  <c r="M449" i="19"/>
  <c r="N449" i="19"/>
  <c r="O449" i="19"/>
  <c r="P449" i="19"/>
  <c r="Q449" i="19"/>
  <c r="R449" i="19"/>
  <c r="S449" i="19"/>
  <c r="B450" i="19"/>
  <c r="C450" i="19"/>
  <c r="D450" i="19"/>
  <c r="E450" i="19"/>
  <c r="F450" i="19"/>
  <c r="G450" i="19"/>
  <c r="H450" i="19"/>
  <c r="I450" i="19"/>
  <c r="J450" i="19"/>
  <c r="K450" i="19"/>
  <c r="L450" i="19"/>
  <c r="M450" i="19"/>
  <c r="N450" i="19"/>
  <c r="O450" i="19"/>
  <c r="P450" i="19"/>
  <c r="Q450" i="19"/>
  <c r="R450" i="19"/>
  <c r="S450" i="19"/>
  <c r="B451" i="19"/>
  <c r="C451" i="19"/>
  <c r="D451" i="19"/>
  <c r="E451" i="19"/>
  <c r="F451" i="19"/>
  <c r="G451" i="19"/>
  <c r="H451" i="19"/>
  <c r="I451" i="19"/>
  <c r="J451" i="19"/>
  <c r="K451" i="19"/>
  <c r="L451" i="19"/>
  <c r="M451" i="19"/>
  <c r="N451" i="19"/>
  <c r="O451" i="19"/>
  <c r="P451" i="19"/>
  <c r="Q451" i="19"/>
  <c r="R451" i="19"/>
  <c r="S451" i="19"/>
  <c r="B452" i="19"/>
  <c r="C452" i="19"/>
  <c r="D452" i="19"/>
  <c r="E452" i="19"/>
  <c r="F452" i="19"/>
  <c r="G452" i="19"/>
  <c r="H452" i="19"/>
  <c r="I452" i="19"/>
  <c r="J452" i="19"/>
  <c r="K452" i="19"/>
  <c r="L452" i="19"/>
  <c r="M452" i="19"/>
  <c r="N452" i="19"/>
  <c r="O452" i="19"/>
  <c r="P452" i="19"/>
  <c r="Q452" i="19"/>
  <c r="R452" i="19"/>
  <c r="S452" i="19"/>
  <c r="B453" i="19"/>
  <c r="C453" i="19"/>
  <c r="D453" i="19"/>
  <c r="E453" i="19"/>
  <c r="F453" i="19"/>
  <c r="G453" i="19"/>
  <c r="H453" i="19"/>
  <c r="I453" i="19"/>
  <c r="J453" i="19"/>
  <c r="K453" i="19"/>
  <c r="L453" i="19"/>
  <c r="M453" i="19"/>
  <c r="N453" i="19"/>
  <c r="O453" i="19"/>
  <c r="P453" i="19"/>
  <c r="Q453" i="19"/>
  <c r="R453" i="19"/>
  <c r="S453" i="19"/>
  <c r="B454" i="19"/>
  <c r="C454" i="19"/>
  <c r="D454" i="19"/>
  <c r="E454" i="19"/>
  <c r="F454" i="19"/>
  <c r="G454" i="19"/>
  <c r="H454" i="19"/>
  <c r="I454" i="19"/>
  <c r="J454" i="19"/>
  <c r="K454" i="19"/>
  <c r="L454" i="19"/>
  <c r="M454" i="19"/>
  <c r="N454" i="19"/>
  <c r="O454" i="19"/>
  <c r="P454" i="19"/>
  <c r="Q454" i="19"/>
  <c r="R454" i="19"/>
  <c r="S454" i="19"/>
  <c r="B455" i="19"/>
  <c r="C455" i="19"/>
  <c r="D455" i="19"/>
  <c r="E455" i="19"/>
  <c r="F455" i="19"/>
  <c r="G455" i="19"/>
  <c r="H455" i="19"/>
  <c r="I455" i="19"/>
  <c r="J455" i="19"/>
  <c r="K455" i="19"/>
  <c r="L455" i="19"/>
  <c r="M455" i="19"/>
  <c r="N455" i="19"/>
  <c r="O455" i="19"/>
  <c r="P455" i="19"/>
  <c r="Q455" i="19"/>
  <c r="R455" i="19"/>
  <c r="S455" i="19"/>
  <c r="B456" i="19"/>
  <c r="C456" i="19"/>
  <c r="D456" i="19"/>
  <c r="E456" i="19"/>
  <c r="F456" i="19"/>
  <c r="G456" i="19"/>
  <c r="H456" i="19"/>
  <c r="I456" i="19"/>
  <c r="J456" i="19"/>
  <c r="K456" i="19"/>
  <c r="L456" i="19"/>
  <c r="M456" i="19"/>
  <c r="N456" i="19"/>
  <c r="O456" i="19"/>
  <c r="P456" i="19"/>
  <c r="Q456" i="19"/>
  <c r="R456" i="19"/>
  <c r="S456" i="19"/>
  <c r="B457" i="19"/>
  <c r="C457" i="19"/>
  <c r="D457" i="19"/>
  <c r="E457" i="19"/>
  <c r="F457" i="19"/>
  <c r="G457" i="19"/>
  <c r="H457" i="19"/>
  <c r="I457" i="19"/>
  <c r="J457" i="19"/>
  <c r="K457" i="19"/>
  <c r="L457" i="19"/>
  <c r="M457" i="19"/>
  <c r="N457" i="19"/>
  <c r="O457" i="19"/>
  <c r="P457" i="19"/>
  <c r="Q457" i="19"/>
  <c r="R457" i="19"/>
  <c r="S457" i="19"/>
  <c r="B458" i="19"/>
  <c r="C458" i="19"/>
  <c r="D458" i="19"/>
  <c r="E458" i="19"/>
  <c r="F458" i="19"/>
  <c r="G458" i="19"/>
  <c r="H458" i="19"/>
  <c r="I458" i="19"/>
  <c r="J458" i="19"/>
  <c r="K458" i="19"/>
  <c r="L458" i="19"/>
  <c r="M458" i="19"/>
  <c r="N458" i="19"/>
  <c r="O458" i="19"/>
  <c r="P458" i="19"/>
  <c r="Q458" i="19"/>
  <c r="R458" i="19"/>
  <c r="S458" i="19"/>
  <c r="B459" i="19"/>
  <c r="C459" i="19"/>
  <c r="D459" i="19"/>
  <c r="E459" i="19"/>
  <c r="F459" i="19"/>
  <c r="G459" i="19"/>
  <c r="H459" i="19"/>
  <c r="I459" i="19"/>
  <c r="J459" i="19"/>
  <c r="K459" i="19"/>
  <c r="L459" i="19"/>
  <c r="M459" i="19"/>
  <c r="N459" i="19"/>
  <c r="O459" i="19"/>
  <c r="P459" i="19"/>
  <c r="Q459" i="19"/>
  <c r="R459" i="19"/>
  <c r="S459" i="19"/>
  <c r="B460" i="19"/>
  <c r="C460" i="19"/>
  <c r="D460" i="19"/>
  <c r="E460" i="19"/>
  <c r="F460" i="19"/>
  <c r="G460" i="19"/>
  <c r="H460" i="19"/>
  <c r="I460" i="19"/>
  <c r="J460" i="19"/>
  <c r="K460" i="19"/>
  <c r="L460" i="19"/>
  <c r="M460" i="19"/>
  <c r="N460" i="19"/>
  <c r="O460" i="19"/>
  <c r="P460" i="19"/>
  <c r="Q460" i="19"/>
  <c r="R460" i="19"/>
  <c r="S460" i="19"/>
  <c r="B461" i="19"/>
  <c r="C461" i="19"/>
  <c r="D461" i="19"/>
  <c r="E461" i="19"/>
  <c r="F461" i="19"/>
  <c r="G461" i="19"/>
  <c r="H461" i="19"/>
  <c r="I461" i="19"/>
  <c r="J461" i="19"/>
  <c r="K461" i="19"/>
  <c r="L461" i="19"/>
  <c r="M461" i="19"/>
  <c r="N461" i="19"/>
  <c r="O461" i="19"/>
  <c r="P461" i="19"/>
  <c r="Q461" i="19"/>
  <c r="R461" i="19"/>
  <c r="S461" i="19"/>
  <c r="B462" i="19"/>
  <c r="C462" i="19"/>
  <c r="D462" i="19"/>
  <c r="E462" i="19"/>
  <c r="F462" i="19"/>
  <c r="G462" i="19"/>
  <c r="H462" i="19"/>
  <c r="I462" i="19"/>
  <c r="J462" i="19"/>
  <c r="K462" i="19"/>
  <c r="L462" i="19"/>
  <c r="M462" i="19"/>
  <c r="N462" i="19"/>
  <c r="O462" i="19"/>
  <c r="P462" i="19"/>
  <c r="Q462" i="19"/>
  <c r="R462" i="19"/>
  <c r="S462" i="19"/>
  <c r="B463" i="19"/>
  <c r="C463" i="19"/>
  <c r="D463" i="19"/>
  <c r="E463" i="19"/>
  <c r="F463" i="19"/>
  <c r="G463" i="19"/>
  <c r="H463" i="19"/>
  <c r="I463" i="19"/>
  <c r="J463" i="19"/>
  <c r="K463" i="19"/>
  <c r="L463" i="19"/>
  <c r="M463" i="19"/>
  <c r="N463" i="19"/>
  <c r="O463" i="19"/>
  <c r="P463" i="19"/>
  <c r="Q463" i="19"/>
  <c r="R463" i="19"/>
  <c r="S463" i="19"/>
  <c r="B464" i="19"/>
  <c r="C464" i="19"/>
  <c r="D464" i="19"/>
  <c r="E464" i="19"/>
  <c r="F464" i="19"/>
  <c r="G464" i="19"/>
  <c r="H464" i="19"/>
  <c r="I464" i="19"/>
  <c r="J464" i="19"/>
  <c r="K464" i="19"/>
  <c r="L464" i="19"/>
  <c r="M464" i="19"/>
  <c r="N464" i="19"/>
  <c r="O464" i="19"/>
  <c r="P464" i="19"/>
  <c r="Q464" i="19"/>
  <c r="R464" i="19"/>
  <c r="S464" i="19"/>
  <c r="B465" i="19"/>
  <c r="C465" i="19"/>
  <c r="D465" i="19"/>
  <c r="E465" i="19"/>
  <c r="F465" i="19"/>
  <c r="G465" i="19"/>
  <c r="H465" i="19"/>
  <c r="I465" i="19"/>
  <c r="J465" i="19"/>
  <c r="K465" i="19"/>
  <c r="L465" i="19"/>
  <c r="M465" i="19"/>
  <c r="N465" i="19"/>
  <c r="O465" i="19"/>
  <c r="P465" i="19"/>
  <c r="Q465" i="19"/>
  <c r="R465" i="19"/>
  <c r="S465" i="19"/>
  <c r="B466" i="19"/>
  <c r="C466" i="19"/>
  <c r="D466" i="19"/>
  <c r="E466" i="19"/>
  <c r="F466" i="19"/>
  <c r="G466" i="19"/>
  <c r="H466" i="19"/>
  <c r="I466" i="19"/>
  <c r="J466" i="19"/>
  <c r="K466" i="19"/>
  <c r="L466" i="19"/>
  <c r="M466" i="19"/>
  <c r="N466" i="19"/>
  <c r="O466" i="19"/>
  <c r="P466" i="19"/>
  <c r="Q466" i="19"/>
  <c r="R466" i="19"/>
  <c r="S466" i="19"/>
  <c r="B467" i="19"/>
  <c r="C467" i="19"/>
  <c r="D467" i="19"/>
  <c r="E467" i="19"/>
  <c r="F467" i="19"/>
  <c r="G467" i="19"/>
  <c r="H467" i="19"/>
  <c r="I467" i="19"/>
  <c r="J467" i="19"/>
  <c r="K467" i="19"/>
  <c r="L467" i="19"/>
  <c r="M467" i="19"/>
  <c r="N467" i="19"/>
  <c r="O467" i="19"/>
  <c r="P467" i="19"/>
  <c r="Q467" i="19"/>
  <c r="R467" i="19"/>
  <c r="S467" i="19"/>
  <c r="B468" i="19"/>
  <c r="C468" i="19"/>
  <c r="D468" i="19"/>
  <c r="E468" i="19"/>
  <c r="F468" i="19"/>
  <c r="G468" i="19"/>
  <c r="H468" i="19"/>
  <c r="I468" i="19"/>
  <c r="J468" i="19"/>
  <c r="K468" i="19"/>
  <c r="L468" i="19"/>
  <c r="M468" i="19"/>
  <c r="N468" i="19"/>
  <c r="O468" i="19"/>
  <c r="P468" i="19"/>
  <c r="Q468" i="19"/>
  <c r="R468" i="19"/>
  <c r="S468" i="19"/>
  <c r="B469" i="19"/>
  <c r="C469" i="19"/>
  <c r="D469" i="19"/>
  <c r="E469" i="19"/>
  <c r="F469" i="19"/>
  <c r="G469" i="19"/>
  <c r="H469" i="19"/>
  <c r="I469" i="19"/>
  <c r="J469" i="19"/>
  <c r="K469" i="19"/>
  <c r="L469" i="19"/>
  <c r="M469" i="19"/>
  <c r="N469" i="19"/>
  <c r="O469" i="19"/>
  <c r="P469" i="19"/>
  <c r="Q469" i="19"/>
  <c r="R469" i="19"/>
  <c r="S469" i="19"/>
  <c r="B470" i="19"/>
  <c r="C470" i="19"/>
  <c r="D470" i="19"/>
  <c r="E470" i="19"/>
  <c r="F470" i="19"/>
  <c r="G470" i="19"/>
  <c r="H470" i="19"/>
  <c r="I470" i="19"/>
  <c r="J470" i="19"/>
  <c r="K470" i="19"/>
  <c r="L470" i="19"/>
  <c r="M470" i="19"/>
  <c r="N470" i="19"/>
  <c r="O470" i="19"/>
  <c r="P470" i="19"/>
  <c r="Q470" i="19"/>
  <c r="R470" i="19"/>
  <c r="S470" i="19"/>
  <c r="B471" i="19"/>
  <c r="C471" i="19"/>
  <c r="D471" i="19"/>
  <c r="E471" i="19"/>
  <c r="F471" i="19"/>
  <c r="G471" i="19"/>
  <c r="H471" i="19"/>
  <c r="I471" i="19"/>
  <c r="J471" i="19"/>
  <c r="K471" i="19"/>
  <c r="L471" i="19"/>
  <c r="M471" i="19"/>
  <c r="N471" i="19"/>
  <c r="O471" i="19"/>
  <c r="P471" i="19"/>
  <c r="Q471" i="19"/>
  <c r="R471" i="19"/>
  <c r="S471" i="19"/>
  <c r="B472" i="19"/>
  <c r="C472" i="19"/>
  <c r="D472" i="19"/>
  <c r="E472" i="19"/>
  <c r="F472" i="19"/>
  <c r="G472" i="19"/>
  <c r="H472" i="19"/>
  <c r="I472" i="19"/>
  <c r="J472" i="19"/>
  <c r="K472" i="19"/>
  <c r="L472" i="19"/>
  <c r="M472" i="19"/>
  <c r="N472" i="19"/>
  <c r="O472" i="19"/>
  <c r="P472" i="19"/>
  <c r="Q472" i="19"/>
  <c r="R472" i="19"/>
  <c r="S472" i="19"/>
  <c r="B473" i="19"/>
  <c r="C473" i="19"/>
  <c r="D473" i="19"/>
  <c r="E473" i="19"/>
  <c r="F473" i="19"/>
  <c r="G473" i="19"/>
  <c r="H473" i="19"/>
  <c r="I473" i="19"/>
  <c r="J473" i="19"/>
  <c r="K473" i="19"/>
  <c r="L473" i="19"/>
  <c r="M473" i="19"/>
  <c r="N473" i="19"/>
  <c r="O473" i="19"/>
  <c r="P473" i="19"/>
  <c r="Q473" i="19"/>
  <c r="R473" i="19"/>
  <c r="S473" i="19"/>
  <c r="B474" i="19"/>
  <c r="C474" i="19"/>
  <c r="D474" i="19"/>
  <c r="E474" i="19"/>
  <c r="F474" i="19"/>
  <c r="G474" i="19"/>
  <c r="H474" i="19"/>
  <c r="I474" i="19"/>
  <c r="J474" i="19"/>
  <c r="K474" i="19"/>
  <c r="L474" i="19"/>
  <c r="M474" i="19"/>
  <c r="N474" i="19"/>
  <c r="O474" i="19"/>
  <c r="P474" i="19"/>
  <c r="Q474" i="19"/>
  <c r="R474" i="19"/>
  <c r="S474" i="19"/>
  <c r="B475" i="19"/>
  <c r="C475" i="19"/>
  <c r="D475" i="19"/>
  <c r="E475" i="19"/>
  <c r="F475" i="19"/>
  <c r="G475" i="19"/>
  <c r="H475" i="19"/>
  <c r="I475" i="19"/>
  <c r="J475" i="19"/>
  <c r="K475" i="19"/>
  <c r="L475" i="19"/>
  <c r="M475" i="19"/>
  <c r="N475" i="19"/>
  <c r="O475" i="19"/>
  <c r="P475" i="19"/>
  <c r="Q475" i="19"/>
  <c r="R475" i="19"/>
  <c r="S475" i="19"/>
  <c r="B476" i="19"/>
  <c r="C476" i="19"/>
  <c r="D476" i="19"/>
  <c r="E476" i="19"/>
  <c r="F476" i="19"/>
  <c r="G476" i="19"/>
  <c r="H476" i="19"/>
  <c r="I476" i="19"/>
  <c r="J476" i="19"/>
  <c r="K476" i="19"/>
  <c r="L476" i="19"/>
  <c r="M476" i="19"/>
  <c r="N476" i="19"/>
  <c r="O476" i="19"/>
  <c r="P476" i="19"/>
  <c r="Q476" i="19"/>
  <c r="R476" i="19"/>
  <c r="S476" i="19"/>
  <c r="B477" i="19"/>
  <c r="C477" i="19"/>
  <c r="D477" i="19"/>
  <c r="E477" i="19"/>
  <c r="F477" i="19"/>
  <c r="G477" i="19"/>
  <c r="H477" i="19"/>
  <c r="I477" i="19"/>
  <c r="J477" i="19"/>
  <c r="K477" i="19"/>
  <c r="L477" i="19"/>
  <c r="M477" i="19"/>
  <c r="N477" i="19"/>
  <c r="O477" i="19"/>
  <c r="P477" i="19"/>
  <c r="Q477" i="19"/>
  <c r="R477" i="19"/>
  <c r="S477" i="19"/>
  <c r="B478" i="19"/>
  <c r="C478" i="19"/>
  <c r="D478" i="19"/>
  <c r="E478" i="19"/>
  <c r="F478" i="19"/>
  <c r="G478" i="19"/>
  <c r="H478" i="19"/>
  <c r="I478" i="19"/>
  <c r="J478" i="19"/>
  <c r="K478" i="19"/>
  <c r="L478" i="19"/>
  <c r="M478" i="19"/>
  <c r="N478" i="19"/>
  <c r="O478" i="19"/>
  <c r="P478" i="19"/>
  <c r="Q478" i="19"/>
  <c r="R478" i="19"/>
  <c r="S478" i="19"/>
  <c r="B479" i="19"/>
  <c r="C479" i="19"/>
  <c r="D479" i="19"/>
  <c r="E479" i="19"/>
  <c r="F479" i="19"/>
  <c r="G479" i="19"/>
  <c r="H479" i="19"/>
  <c r="I479" i="19"/>
  <c r="J479" i="19"/>
  <c r="K479" i="19"/>
  <c r="L479" i="19"/>
  <c r="M479" i="19"/>
  <c r="N479" i="19"/>
  <c r="O479" i="19"/>
  <c r="P479" i="19"/>
  <c r="Q479" i="19"/>
  <c r="R479" i="19"/>
  <c r="S479" i="19"/>
  <c r="B480" i="19"/>
  <c r="C480" i="19"/>
  <c r="D480" i="19"/>
  <c r="E480" i="19"/>
  <c r="F480" i="19"/>
  <c r="G480" i="19"/>
  <c r="H480" i="19"/>
  <c r="I480" i="19"/>
  <c r="J480" i="19"/>
  <c r="K480" i="19"/>
  <c r="L480" i="19"/>
  <c r="M480" i="19"/>
  <c r="N480" i="19"/>
  <c r="O480" i="19"/>
  <c r="P480" i="19"/>
  <c r="Q480" i="19"/>
  <c r="R480" i="19"/>
  <c r="S480" i="19"/>
  <c r="B481" i="19"/>
  <c r="C481" i="19"/>
  <c r="D481" i="19"/>
  <c r="E481" i="19"/>
  <c r="F481" i="19"/>
  <c r="G481" i="19"/>
  <c r="H481" i="19"/>
  <c r="I481" i="19"/>
  <c r="J481" i="19"/>
  <c r="K481" i="19"/>
  <c r="L481" i="19"/>
  <c r="M481" i="19"/>
  <c r="N481" i="19"/>
  <c r="O481" i="19"/>
  <c r="P481" i="19"/>
  <c r="Q481" i="19"/>
  <c r="R481" i="19"/>
  <c r="S481" i="19"/>
  <c r="B482" i="19"/>
  <c r="C482" i="19"/>
  <c r="D482" i="19"/>
  <c r="E482" i="19"/>
  <c r="F482" i="19"/>
  <c r="G482" i="19"/>
  <c r="H482" i="19"/>
  <c r="I482" i="19"/>
  <c r="J482" i="19"/>
  <c r="K482" i="19"/>
  <c r="L482" i="19"/>
  <c r="M482" i="19"/>
  <c r="N482" i="19"/>
  <c r="O482" i="19"/>
  <c r="P482" i="19"/>
  <c r="Q482" i="19"/>
  <c r="R482" i="19"/>
  <c r="S482" i="19"/>
  <c r="B483" i="19"/>
  <c r="C483" i="19"/>
  <c r="D483" i="19"/>
  <c r="E483" i="19"/>
  <c r="F483" i="19"/>
  <c r="G483" i="19"/>
  <c r="H483" i="19"/>
  <c r="I483" i="19"/>
  <c r="J483" i="19"/>
  <c r="K483" i="19"/>
  <c r="L483" i="19"/>
  <c r="M483" i="19"/>
  <c r="N483" i="19"/>
  <c r="O483" i="19"/>
  <c r="P483" i="19"/>
  <c r="Q483" i="19"/>
  <c r="R483" i="19"/>
  <c r="S483" i="19"/>
  <c r="B484" i="19"/>
  <c r="C484" i="19"/>
  <c r="D484" i="19"/>
  <c r="E484" i="19"/>
  <c r="F484" i="19"/>
  <c r="G484" i="19"/>
  <c r="H484" i="19"/>
  <c r="I484" i="19"/>
  <c r="J484" i="19"/>
  <c r="K484" i="19"/>
  <c r="L484" i="19"/>
  <c r="M484" i="19"/>
  <c r="N484" i="19"/>
  <c r="O484" i="19"/>
  <c r="P484" i="19"/>
  <c r="Q484" i="19"/>
  <c r="R484" i="19"/>
  <c r="S484" i="19"/>
  <c r="B485" i="19"/>
  <c r="C485" i="19"/>
  <c r="D485" i="19"/>
  <c r="E485" i="19"/>
  <c r="F485" i="19"/>
  <c r="G485" i="19"/>
  <c r="H485" i="19"/>
  <c r="I485" i="19"/>
  <c r="J485" i="19"/>
  <c r="K485" i="19"/>
  <c r="L485" i="19"/>
  <c r="M485" i="19"/>
  <c r="N485" i="19"/>
  <c r="O485" i="19"/>
  <c r="P485" i="19"/>
  <c r="Q485" i="19"/>
  <c r="R485" i="19"/>
  <c r="S485" i="19"/>
  <c r="B486" i="19"/>
  <c r="C486" i="19"/>
  <c r="D486" i="19"/>
  <c r="E486" i="19"/>
  <c r="F486" i="19"/>
  <c r="G486" i="19"/>
  <c r="H486" i="19"/>
  <c r="I486" i="19"/>
  <c r="J486" i="19"/>
  <c r="K486" i="19"/>
  <c r="L486" i="19"/>
  <c r="M486" i="19"/>
  <c r="N486" i="19"/>
  <c r="O486" i="19"/>
  <c r="P486" i="19"/>
  <c r="Q486" i="19"/>
  <c r="R486" i="19"/>
  <c r="S486" i="19"/>
  <c r="B487" i="19"/>
  <c r="C487" i="19"/>
  <c r="D487" i="19"/>
  <c r="E487" i="19"/>
  <c r="F487" i="19"/>
  <c r="G487" i="19"/>
  <c r="H487" i="19"/>
  <c r="I487" i="19"/>
  <c r="J487" i="19"/>
  <c r="K487" i="19"/>
  <c r="L487" i="19"/>
  <c r="M487" i="19"/>
  <c r="N487" i="19"/>
  <c r="O487" i="19"/>
  <c r="P487" i="19"/>
  <c r="Q487" i="19"/>
  <c r="R487" i="19"/>
  <c r="S487" i="19"/>
  <c r="B488" i="19"/>
  <c r="C488" i="19"/>
  <c r="D488" i="19"/>
  <c r="E488" i="19"/>
  <c r="F488" i="19"/>
  <c r="G488" i="19"/>
  <c r="H488" i="19"/>
  <c r="I488" i="19"/>
  <c r="J488" i="19"/>
  <c r="K488" i="19"/>
  <c r="L488" i="19"/>
  <c r="M488" i="19"/>
  <c r="N488" i="19"/>
  <c r="O488" i="19"/>
  <c r="P488" i="19"/>
  <c r="Q488" i="19"/>
  <c r="R488" i="19"/>
  <c r="S488" i="19"/>
  <c r="B489" i="19"/>
  <c r="C489" i="19"/>
  <c r="D489" i="19"/>
  <c r="E489" i="19"/>
  <c r="F489" i="19"/>
  <c r="G489" i="19"/>
  <c r="H489" i="19"/>
  <c r="I489" i="19"/>
  <c r="J489" i="19"/>
  <c r="K489" i="19"/>
  <c r="L489" i="19"/>
  <c r="M489" i="19"/>
  <c r="N489" i="19"/>
  <c r="O489" i="19"/>
  <c r="P489" i="19"/>
  <c r="Q489" i="19"/>
  <c r="R489" i="19"/>
  <c r="S489" i="19"/>
  <c r="B490" i="19"/>
  <c r="C490" i="19"/>
  <c r="D490" i="19"/>
  <c r="E490" i="19"/>
  <c r="F490" i="19"/>
  <c r="G490" i="19"/>
  <c r="H490" i="19"/>
  <c r="I490" i="19"/>
  <c r="J490" i="19"/>
  <c r="K490" i="19"/>
  <c r="L490" i="19"/>
  <c r="M490" i="19"/>
  <c r="N490" i="19"/>
  <c r="O490" i="19"/>
  <c r="P490" i="19"/>
  <c r="Q490" i="19"/>
  <c r="R490" i="19"/>
  <c r="S490" i="19"/>
  <c r="B491" i="19"/>
  <c r="C491" i="19"/>
  <c r="D491" i="19"/>
  <c r="E491" i="19"/>
  <c r="F491" i="19"/>
  <c r="G491" i="19"/>
  <c r="H491" i="19"/>
  <c r="I491" i="19"/>
  <c r="J491" i="19"/>
  <c r="K491" i="19"/>
  <c r="L491" i="19"/>
  <c r="M491" i="19"/>
  <c r="N491" i="19"/>
  <c r="O491" i="19"/>
  <c r="P491" i="19"/>
  <c r="Q491" i="19"/>
  <c r="R491" i="19"/>
  <c r="S491" i="19"/>
  <c r="B492" i="19"/>
  <c r="C492" i="19"/>
  <c r="D492" i="19"/>
  <c r="E492" i="19"/>
  <c r="F492" i="19"/>
  <c r="G492" i="19"/>
  <c r="H492" i="19"/>
  <c r="I492" i="19"/>
  <c r="J492" i="19"/>
  <c r="K492" i="19"/>
  <c r="L492" i="19"/>
  <c r="M492" i="19"/>
  <c r="N492" i="19"/>
  <c r="O492" i="19"/>
  <c r="P492" i="19"/>
  <c r="Q492" i="19"/>
  <c r="R492" i="19"/>
  <c r="S492" i="19"/>
  <c r="B493" i="19"/>
  <c r="C493" i="19"/>
  <c r="D493" i="19"/>
  <c r="E493" i="19"/>
  <c r="F493" i="19"/>
  <c r="G493" i="19"/>
  <c r="H493" i="19"/>
  <c r="I493" i="19"/>
  <c r="J493" i="19"/>
  <c r="K493" i="19"/>
  <c r="L493" i="19"/>
  <c r="M493" i="19"/>
  <c r="N493" i="19"/>
  <c r="O493" i="19"/>
  <c r="P493" i="19"/>
  <c r="Q493" i="19"/>
  <c r="R493" i="19"/>
  <c r="S493" i="19"/>
  <c r="B494" i="19"/>
  <c r="C494" i="19"/>
  <c r="D494" i="19"/>
  <c r="E494" i="19"/>
  <c r="F494" i="19"/>
  <c r="G494" i="19"/>
  <c r="H494" i="19"/>
  <c r="I494" i="19"/>
  <c r="J494" i="19"/>
  <c r="K494" i="19"/>
  <c r="L494" i="19"/>
  <c r="M494" i="19"/>
  <c r="N494" i="19"/>
  <c r="O494" i="19"/>
  <c r="P494" i="19"/>
  <c r="Q494" i="19"/>
  <c r="R494" i="19"/>
  <c r="S494" i="19"/>
  <c r="B495" i="19"/>
  <c r="C495" i="19"/>
  <c r="D495" i="19"/>
  <c r="E495" i="19"/>
  <c r="F495" i="19"/>
  <c r="G495" i="19"/>
  <c r="H495" i="19"/>
  <c r="I495" i="19"/>
  <c r="J495" i="19"/>
  <c r="K495" i="19"/>
  <c r="L495" i="19"/>
  <c r="M495" i="19"/>
  <c r="N495" i="19"/>
  <c r="O495" i="19"/>
  <c r="P495" i="19"/>
  <c r="Q495" i="19"/>
  <c r="R495" i="19"/>
  <c r="S495" i="19"/>
  <c r="B496" i="19"/>
  <c r="C496" i="19"/>
  <c r="D496" i="19"/>
  <c r="E496" i="19"/>
  <c r="F496" i="19"/>
  <c r="G496" i="19"/>
  <c r="H496" i="19"/>
  <c r="I496" i="19"/>
  <c r="J496" i="19"/>
  <c r="K496" i="19"/>
  <c r="L496" i="19"/>
  <c r="M496" i="19"/>
  <c r="N496" i="19"/>
  <c r="O496" i="19"/>
  <c r="P496" i="19"/>
  <c r="Q496" i="19"/>
  <c r="R496" i="19"/>
  <c r="S496" i="19"/>
  <c r="B497" i="19"/>
  <c r="C497" i="19"/>
  <c r="D497" i="19"/>
  <c r="E497" i="19"/>
  <c r="F497" i="19"/>
  <c r="G497" i="19"/>
  <c r="H497" i="19"/>
  <c r="I497" i="19"/>
  <c r="J497" i="19"/>
  <c r="K497" i="19"/>
  <c r="L497" i="19"/>
  <c r="M497" i="19"/>
  <c r="N497" i="19"/>
  <c r="O497" i="19"/>
  <c r="P497" i="19"/>
  <c r="Q497" i="19"/>
  <c r="R497" i="19"/>
  <c r="S497" i="19"/>
  <c r="B498" i="19"/>
  <c r="C498" i="19"/>
  <c r="D498" i="19"/>
  <c r="E498" i="19"/>
  <c r="F498" i="19"/>
  <c r="G498" i="19"/>
  <c r="H498" i="19"/>
  <c r="I498" i="19"/>
  <c r="J498" i="19"/>
  <c r="K498" i="19"/>
  <c r="L498" i="19"/>
  <c r="M498" i="19"/>
  <c r="N498" i="19"/>
  <c r="O498" i="19"/>
  <c r="P498" i="19"/>
  <c r="Q498" i="19"/>
  <c r="R498" i="19"/>
  <c r="S498" i="19"/>
  <c r="B499" i="19"/>
  <c r="C499" i="19"/>
  <c r="D499" i="19"/>
  <c r="E499" i="19"/>
  <c r="F499" i="19"/>
  <c r="G499" i="19"/>
  <c r="H499" i="19"/>
  <c r="I499" i="19"/>
  <c r="J499" i="19"/>
  <c r="K499" i="19"/>
  <c r="L499" i="19"/>
  <c r="M499" i="19"/>
  <c r="N499" i="19"/>
  <c r="O499" i="19"/>
  <c r="P499" i="19"/>
  <c r="Q499" i="19"/>
  <c r="R499" i="19"/>
  <c r="S499" i="19"/>
  <c r="B500" i="19"/>
  <c r="C500" i="19"/>
  <c r="D500" i="19"/>
  <c r="E500" i="19"/>
  <c r="F500" i="19"/>
  <c r="G500" i="19"/>
  <c r="H500" i="19"/>
  <c r="I500" i="19"/>
  <c r="J500" i="19"/>
  <c r="K500" i="19"/>
  <c r="L500" i="19"/>
  <c r="M500" i="19"/>
  <c r="N500" i="19"/>
  <c r="O500" i="19"/>
  <c r="P500" i="19"/>
  <c r="Q500" i="19"/>
  <c r="R500" i="19"/>
  <c r="S500" i="19"/>
  <c r="B501" i="19"/>
  <c r="C501" i="19"/>
  <c r="D501" i="19"/>
  <c r="E501" i="19"/>
  <c r="F501" i="19"/>
  <c r="G501" i="19"/>
  <c r="H501" i="19"/>
  <c r="I501" i="19"/>
  <c r="J501" i="19"/>
  <c r="K501" i="19"/>
  <c r="L501" i="19"/>
  <c r="M501" i="19"/>
  <c r="N501" i="19"/>
  <c r="O501" i="19"/>
  <c r="P501" i="19"/>
  <c r="Q501" i="19"/>
  <c r="R501" i="19"/>
  <c r="S501" i="19"/>
  <c r="B502" i="19"/>
  <c r="C502" i="19"/>
  <c r="D502" i="19"/>
  <c r="E502" i="19"/>
  <c r="F502" i="19"/>
  <c r="G502" i="19"/>
  <c r="H502" i="19"/>
  <c r="I502" i="19"/>
  <c r="J502" i="19"/>
  <c r="K502" i="19"/>
  <c r="L502" i="19"/>
  <c r="M502" i="19"/>
  <c r="N502" i="19"/>
  <c r="O502" i="19"/>
  <c r="P502" i="19"/>
  <c r="Q502" i="19"/>
  <c r="R502" i="19"/>
  <c r="S502" i="19"/>
  <c r="B503" i="19"/>
  <c r="C503" i="19"/>
  <c r="D503" i="19"/>
  <c r="E503" i="19"/>
  <c r="F503" i="19"/>
  <c r="G503" i="19"/>
  <c r="H503" i="19"/>
  <c r="I503" i="19"/>
  <c r="J503" i="19"/>
  <c r="K503" i="19"/>
  <c r="L503" i="19"/>
  <c r="M503" i="19"/>
  <c r="N503" i="19"/>
  <c r="O503" i="19"/>
  <c r="P503" i="19"/>
  <c r="Q503" i="19"/>
  <c r="R503" i="19"/>
  <c r="S503" i="19"/>
  <c r="B504" i="19"/>
  <c r="C504" i="19"/>
  <c r="D504" i="19"/>
  <c r="E504" i="19"/>
  <c r="F504" i="19"/>
  <c r="G504" i="19"/>
  <c r="H504" i="19"/>
  <c r="I504" i="19"/>
  <c r="J504" i="19"/>
  <c r="K504" i="19"/>
  <c r="L504" i="19"/>
  <c r="M504" i="19"/>
  <c r="N504" i="19"/>
  <c r="O504" i="19"/>
  <c r="P504" i="19"/>
  <c r="Q504" i="19"/>
  <c r="R504" i="19"/>
  <c r="S504" i="19"/>
  <c r="B505" i="19"/>
  <c r="C505" i="19"/>
  <c r="D505" i="19"/>
  <c r="E505" i="19"/>
  <c r="F505" i="19"/>
  <c r="G505" i="19"/>
  <c r="H505" i="19"/>
  <c r="I505" i="19"/>
  <c r="J505" i="19"/>
  <c r="K505" i="19"/>
  <c r="L505" i="19"/>
  <c r="M505" i="19"/>
  <c r="N505" i="19"/>
  <c r="O505" i="19"/>
  <c r="P505" i="19"/>
  <c r="Q505" i="19"/>
  <c r="R505" i="19"/>
  <c r="S505" i="19"/>
  <c r="B506" i="19"/>
  <c r="C506" i="19"/>
  <c r="D506" i="19"/>
  <c r="E506" i="19"/>
  <c r="F506" i="19"/>
  <c r="G506" i="19"/>
  <c r="H506" i="19"/>
  <c r="I506" i="19"/>
  <c r="J506" i="19"/>
  <c r="K506" i="19"/>
  <c r="L506" i="19"/>
  <c r="M506" i="19"/>
  <c r="N506" i="19"/>
  <c r="O506" i="19"/>
  <c r="P506" i="19"/>
  <c r="Q506" i="19"/>
  <c r="R506" i="19"/>
  <c r="S506" i="19"/>
  <c r="B507" i="19"/>
  <c r="C507" i="19"/>
  <c r="D507" i="19"/>
  <c r="E507" i="19"/>
  <c r="F507" i="19"/>
  <c r="G507" i="19"/>
  <c r="H507" i="19"/>
  <c r="I507" i="19"/>
  <c r="J507" i="19"/>
  <c r="K507" i="19"/>
  <c r="L507" i="19"/>
  <c r="M507" i="19"/>
  <c r="N507" i="19"/>
  <c r="O507" i="19"/>
  <c r="P507" i="19"/>
  <c r="Q507" i="19"/>
  <c r="R507" i="19"/>
  <c r="S507" i="19"/>
  <c r="B508" i="19"/>
  <c r="C508" i="19"/>
  <c r="D508" i="19"/>
  <c r="E508" i="19"/>
  <c r="F508" i="19"/>
  <c r="G508" i="19"/>
  <c r="H508" i="19"/>
  <c r="I508" i="19"/>
  <c r="J508" i="19"/>
  <c r="K508" i="19"/>
  <c r="L508" i="19"/>
  <c r="M508" i="19"/>
  <c r="N508" i="19"/>
  <c r="O508" i="19"/>
  <c r="P508" i="19"/>
  <c r="Q508" i="19"/>
  <c r="R508" i="19"/>
  <c r="S508" i="19"/>
  <c r="B509" i="19"/>
  <c r="C509" i="19"/>
  <c r="D509" i="19"/>
  <c r="E509" i="19"/>
  <c r="F509" i="19"/>
  <c r="G509" i="19"/>
  <c r="H509" i="19"/>
  <c r="I509" i="19"/>
  <c r="J509" i="19"/>
  <c r="K509" i="19"/>
  <c r="L509" i="19"/>
  <c r="M509" i="19"/>
  <c r="N509" i="19"/>
  <c r="O509" i="19"/>
  <c r="P509" i="19"/>
  <c r="Q509" i="19"/>
  <c r="R509" i="19"/>
  <c r="S509" i="19"/>
  <c r="B510" i="19"/>
  <c r="C510" i="19"/>
  <c r="D510" i="19"/>
  <c r="E510" i="19"/>
  <c r="F510" i="19"/>
  <c r="G510" i="19"/>
  <c r="H510" i="19"/>
  <c r="I510" i="19"/>
  <c r="J510" i="19"/>
  <c r="K510" i="19"/>
  <c r="L510" i="19"/>
  <c r="M510" i="19"/>
  <c r="N510" i="19"/>
  <c r="O510" i="19"/>
  <c r="P510" i="19"/>
  <c r="Q510" i="19"/>
  <c r="R510" i="19"/>
  <c r="S510" i="19"/>
  <c r="B511" i="19"/>
  <c r="C511" i="19"/>
  <c r="D511" i="19"/>
  <c r="E511" i="19"/>
  <c r="F511" i="19"/>
  <c r="G511" i="19"/>
  <c r="H511" i="19"/>
  <c r="I511" i="19"/>
  <c r="J511" i="19"/>
  <c r="K511" i="19"/>
  <c r="L511" i="19"/>
  <c r="M511" i="19"/>
  <c r="N511" i="19"/>
  <c r="O511" i="19"/>
  <c r="P511" i="19"/>
  <c r="Q511" i="19"/>
  <c r="R511" i="19"/>
  <c r="S511" i="19"/>
  <c r="B512" i="19"/>
  <c r="C512" i="19"/>
  <c r="D512" i="19"/>
  <c r="E512" i="19"/>
  <c r="F512" i="19"/>
  <c r="G512" i="19"/>
  <c r="H512" i="19"/>
  <c r="I512" i="19"/>
  <c r="J512" i="19"/>
  <c r="K512" i="19"/>
  <c r="L512" i="19"/>
  <c r="M512" i="19"/>
  <c r="N512" i="19"/>
  <c r="O512" i="19"/>
  <c r="P512" i="19"/>
  <c r="Q512" i="19"/>
  <c r="R512" i="19"/>
  <c r="S512" i="19"/>
  <c r="B513" i="19"/>
  <c r="C513" i="19"/>
  <c r="D513" i="19"/>
  <c r="E513" i="19"/>
  <c r="F513" i="19"/>
  <c r="G513" i="19"/>
  <c r="H513" i="19"/>
  <c r="I513" i="19"/>
  <c r="J513" i="19"/>
  <c r="K513" i="19"/>
  <c r="L513" i="19"/>
  <c r="M513" i="19"/>
  <c r="N513" i="19"/>
  <c r="O513" i="19"/>
  <c r="P513" i="19"/>
  <c r="Q513" i="19"/>
  <c r="R513" i="19"/>
  <c r="S513" i="19"/>
  <c r="B514" i="19"/>
  <c r="C514" i="19"/>
  <c r="D514" i="19"/>
  <c r="E514" i="19"/>
  <c r="F514" i="19"/>
  <c r="G514" i="19"/>
  <c r="H514" i="19"/>
  <c r="I514" i="19"/>
  <c r="J514" i="19"/>
  <c r="K514" i="19"/>
  <c r="L514" i="19"/>
  <c r="M514" i="19"/>
  <c r="N514" i="19"/>
  <c r="O514" i="19"/>
  <c r="P514" i="19"/>
  <c r="Q514" i="19"/>
  <c r="R514" i="19"/>
  <c r="S514" i="19"/>
  <c r="B515" i="19"/>
  <c r="C515" i="19"/>
  <c r="D515" i="19"/>
  <c r="E515" i="19"/>
  <c r="F515" i="19"/>
  <c r="G515" i="19"/>
  <c r="H515" i="19"/>
  <c r="I515" i="19"/>
  <c r="J515" i="19"/>
  <c r="K515" i="19"/>
  <c r="L515" i="19"/>
  <c r="M515" i="19"/>
  <c r="N515" i="19"/>
  <c r="O515" i="19"/>
  <c r="P515" i="19"/>
  <c r="Q515" i="19"/>
  <c r="R515" i="19"/>
  <c r="S515" i="19"/>
  <c r="B516" i="19"/>
  <c r="C516" i="19"/>
  <c r="D516" i="19"/>
  <c r="E516" i="19"/>
  <c r="F516" i="19"/>
  <c r="G516" i="19"/>
  <c r="H516" i="19"/>
  <c r="I516" i="19"/>
  <c r="J516" i="19"/>
  <c r="K516" i="19"/>
  <c r="L516" i="19"/>
  <c r="M516" i="19"/>
  <c r="N516" i="19"/>
  <c r="O516" i="19"/>
  <c r="P516" i="19"/>
  <c r="Q516" i="19"/>
  <c r="R516" i="19"/>
  <c r="S516" i="19"/>
  <c r="B517" i="19"/>
  <c r="C517" i="19"/>
  <c r="D517" i="19"/>
  <c r="E517" i="19"/>
  <c r="F517" i="19"/>
  <c r="G517" i="19"/>
  <c r="H517" i="19"/>
  <c r="I517" i="19"/>
  <c r="J517" i="19"/>
  <c r="K517" i="19"/>
  <c r="L517" i="19"/>
  <c r="M517" i="19"/>
  <c r="N517" i="19"/>
  <c r="O517" i="19"/>
  <c r="P517" i="19"/>
  <c r="Q517" i="19"/>
  <c r="R517" i="19"/>
  <c r="S517" i="19"/>
  <c r="B518" i="19"/>
  <c r="C518" i="19"/>
  <c r="D518" i="19"/>
  <c r="E518" i="19"/>
  <c r="F518" i="19"/>
  <c r="G518" i="19"/>
  <c r="H518" i="19"/>
  <c r="I518" i="19"/>
  <c r="J518" i="19"/>
  <c r="K518" i="19"/>
  <c r="L518" i="19"/>
  <c r="M518" i="19"/>
  <c r="N518" i="19"/>
  <c r="O518" i="19"/>
  <c r="P518" i="19"/>
  <c r="Q518" i="19"/>
  <c r="R518" i="19"/>
  <c r="S518" i="19"/>
  <c r="B519" i="19"/>
  <c r="C519" i="19"/>
  <c r="D519" i="19"/>
  <c r="E519" i="19"/>
  <c r="F519" i="19"/>
  <c r="G519" i="19"/>
  <c r="H519" i="19"/>
  <c r="I519" i="19"/>
  <c r="J519" i="19"/>
  <c r="K519" i="19"/>
  <c r="L519" i="19"/>
  <c r="M519" i="19"/>
  <c r="N519" i="19"/>
  <c r="O519" i="19"/>
  <c r="P519" i="19"/>
  <c r="Q519" i="19"/>
  <c r="R519" i="19"/>
  <c r="S519" i="19"/>
  <c r="B520" i="19"/>
  <c r="C520" i="19"/>
  <c r="D520" i="19"/>
  <c r="E520" i="19"/>
  <c r="F520" i="19"/>
  <c r="G520" i="19"/>
  <c r="H520" i="19"/>
  <c r="I520" i="19"/>
  <c r="J520" i="19"/>
  <c r="K520" i="19"/>
  <c r="L520" i="19"/>
  <c r="M520" i="19"/>
  <c r="N520" i="19"/>
  <c r="O520" i="19"/>
  <c r="P520" i="19"/>
  <c r="Q520" i="19"/>
  <c r="R520" i="19"/>
  <c r="S520" i="19"/>
  <c r="B521" i="19"/>
  <c r="C521" i="19"/>
  <c r="D521" i="19"/>
  <c r="E521" i="19"/>
  <c r="F521" i="19"/>
  <c r="G521" i="19"/>
  <c r="H521" i="19"/>
  <c r="I521" i="19"/>
  <c r="J521" i="19"/>
  <c r="K521" i="19"/>
  <c r="L521" i="19"/>
  <c r="M521" i="19"/>
  <c r="N521" i="19"/>
  <c r="O521" i="19"/>
  <c r="P521" i="19"/>
  <c r="Q521" i="19"/>
  <c r="R521" i="19"/>
  <c r="S521" i="19"/>
  <c r="B522" i="19"/>
  <c r="C522" i="19"/>
  <c r="D522" i="19"/>
  <c r="E522" i="19"/>
  <c r="F522" i="19"/>
  <c r="G522" i="19"/>
  <c r="H522" i="19"/>
  <c r="I522" i="19"/>
  <c r="J522" i="19"/>
  <c r="K522" i="19"/>
  <c r="L522" i="19"/>
  <c r="M522" i="19"/>
  <c r="N522" i="19"/>
  <c r="O522" i="19"/>
  <c r="P522" i="19"/>
  <c r="Q522" i="19"/>
  <c r="R522" i="19"/>
  <c r="S522" i="19"/>
  <c r="B523" i="19"/>
  <c r="C523" i="19"/>
  <c r="D523" i="19"/>
  <c r="E523" i="19"/>
  <c r="F523" i="19"/>
  <c r="G523" i="19"/>
  <c r="H523" i="19"/>
  <c r="I523" i="19"/>
  <c r="J523" i="19"/>
  <c r="K523" i="19"/>
  <c r="L523" i="19"/>
  <c r="M523" i="19"/>
  <c r="N523" i="19"/>
  <c r="O523" i="19"/>
  <c r="P523" i="19"/>
  <c r="Q523" i="19"/>
  <c r="R523" i="19"/>
  <c r="S523" i="19"/>
  <c r="B524" i="19"/>
  <c r="C524" i="19"/>
  <c r="D524" i="19"/>
  <c r="E524" i="19"/>
  <c r="F524" i="19"/>
  <c r="G524" i="19"/>
  <c r="H524" i="19"/>
  <c r="I524" i="19"/>
  <c r="J524" i="19"/>
  <c r="K524" i="19"/>
  <c r="L524" i="19"/>
  <c r="M524" i="19"/>
  <c r="N524" i="19"/>
  <c r="O524" i="19"/>
  <c r="P524" i="19"/>
  <c r="Q524" i="19"/>
  <c r="R524" i="19"/>
  <c r="S524" i="19"/>
  <c r="B525" i="19"/>
  <c r="C525" i="19"/>
  <c r="D525" i="19"/>
  <c r="E525" i="19"/>
  <c r="F525" i="19"/>
  <c r="G525" i="19"/>
  <c r="H525" i="19"/>
  <c r="I525" i="19"/>
  <c r="J525" i="19"/>
  <c r="K525" i="19"/>
  <c r="L525" i="19"/>
  <c r="M525" i="19"/>
  <c r="N525" i="19"/>
  <c r="O525" i="19"/>
  <c r="P525" i="19"/>
  <c r="Q525" i="19"/>
  <c r="R525" i="19"/>
  <c r="S525" i="19"/>
  <c r="B526" i="19"/>
  <c r="C526" i="19"/>
  <c r="D526" i="19"/>
  <c r="E526" i="19"/>
  <c r="F526" i="19"/>
  <c r="G526" i="19"/>
  <c r="H526" i="19"/>
  <c r="I526" i="19"/>
  <c r="J526" i="19"/>
  <c r="K526" i="19"/>
  <c r="L526" i="19"/>
  <c r="M526" i="19"/>
  <c r="N526" i="19"/>
  <c r="O526" i="19"/>
  <c r="P526" i="19"/>
  <c r="Q526" i="19"/>
  <c r="R526" i="19"/>
  <c r="S526" i="19"/>
  <c r="B527" i="19"/>
  <c r="C527" i="19"/>
  <c r="D527" i="19"/>
  <c r="E527" i="19"/>
  <c r="F527" i="19"/>
  <c r="G527" i="19"/>
  <c r="H527" i="19"/>
  <c r="I527" i="19"/>
  <c r="J527" i="19"/>
  <c r="K527" i="19"/>
  <c r="L527" i="19"/>
  <c r="M527" i="19"/>
  <c r="N527" i="19"/>
  <c r="O527" i="19"/>
  <c r="P527" i="19"/>
  <c r="Q527" i="19"/>
  <c r="R527" i="19"/>
  <c r="S527" i="19"/>
  <c r="B528" i="19"/>
  <c r="C528" i="19"/>
  <c r="D528" i="19"/>
  <c r="E528" i="19"/>
  <c r="F528" i="19"/>
  <c r="G528" i="19"/>
  <c r="H528" i="19"/>
  <c r="I528" i="19"/>
  <c r="J528" i="19"/>
  <c r="K528" i="19"/>
  <c r="L528" i="19"/>
  <c r="M528" i="19"/>
  <c r="N528" i="19"/>
  <c r="O528" i="19"/>
  <c r="P528" i="19"/>
  <c r="Q528" i="19"/>
  <c r="R528" i="19"/>
  <c r="S528" i="19"/>
  <c r="B529" i="19"/>
  <c r="C529" i="19"/>
  <c r="D529" i="19"/>
  <c r="E529" i="19"/>
  <c r="F529" i="19"/>
  <c r="G529" i="19"/>
  <c r="H529" i="19"/>
  <c r="I529" i="19"/>
  <c r="J529" i="19"/>
  <c r="K529" i="19"/>
  <c r="L529" i="19"/>
  <c r="M529" i="19"/>
  <c r="N529" i="19"/>
  <c r="O529" i="19"/>
  <c r="P529" i="19"/>
  <c r="Q529" i="19"/>
  <c r="R529" i="19"/>
  <c r="S529" i="19"/>
  <c r="B530" i="19"/>
  <c r="C530" i="19"/>
  <c r="D530" i="19"/>
  <c r="E530" i="19"/>
  <c r="F530" i="19"/>
  <c r="G530" i="19"/>
  <c r="H530" i="19"/>
  <c r="I530" i="19"/>
  <c r="J530" i="19"/>
  <c r="K530" i="19"/>
  <c r="L530" i="19"/>
  <c r="M530" i="19"/>
  <c r="N530" i="19"/>
  <c r="O530" i="19"/>
  <c r="P530" i="19"/>
  <c r="Q530" i="19"/>
  <c r="R530" i="19"/>
  <c r="S530" i="19"/>
  <c r="B531" i="19"/>
  <c r="C531" i="19"/>
  <c r="D531" i="19"/>
  <c r="E531" i="19"/>
  <c r="F531" i="19"/>
  <c r="G531" i="19"/>
  <c r="H531" i="19"/>
  <c r="I531" i="19"/>
  <c r="J531" i="19"/>
  <c r="K531" i="19"/>
  <c r="L531" i="19"/>
  <c r="M531" i="19"/>
  <c r="N531" i="19"/>
  <c r="O531" i="19"/>
  <c r="P531" i="19"/>
  <c r="Q531" i="19"/>
  <c r="R531" i="19"/>
  <c r="S531" i="19"/>
  <c r="B532" i="19"/>
  <c r="C532" i="19"/>
  <c r="D532" i="19"/>
  <c r="E532" i="19"/>
  <c r="F532" i="19"/>
  <c r="G532" i="19"/>
  <c r="H532" i="19"/>
  <c r="I532" i="19"/>
  <c r="J532" i="19"/>
  <c r="K532" i="19"/>
  <c r="L532" i="19"/>
  <c r="M532" i="19"/>
  <c r="N532" i="19"/>
  <c r="O532" i="19"/>
  <c r="P532" i="19"/>
  <c r="Q532" i="19"/>
  <c r="R532" i="19"/>
  <c r="S532" i="19"/>
  <c r="B533" i="19"/>
  <c r="C533" i="19"/>
  <c r="D533" i="19"/>
  <c r="E533" i="19"/>
  <c r="F533" i="19"/>
  <c r="G533" i="19"/>
  <c r="H533" i="19"/>
  <c r="I533" i="19"/>
  <c r="J533" i="19"/>
  <c r="K533" i="19"/>
  <c r="L533" i="19"/>
  <c r="M533" i="19"/>
  <c r="N533" i="19"/>
  <c r="O533" i="19"/>
  <c r="P533" i="19"/>
  <c r="Q533" i="19"/>
  <c r="R533" i="19"/>
  <c r="S533" i="19"/>
  <c r="B534" i="19"/>
  <c r="C534" i="19"/>
  <c r="D534" i="19"/>
  <c r="E534" i="19"/>
  <c r="F534" i="19"/>
  <c r="G534" i="19"/>
  <c r="H534" i="19"/>
  <c r="I534" i="19"/>
  <c r="J534" i="19"/>
  <c r="K534" i="19"/>
  <c r="L534" i="19"/>
  <c r="M534" i="19"/>
  <c r="N534" i="19"/>
  <c r="O534" i="19"/>
  <c r="P534" i="19"/>
  <c r="Q534" i="19"/>
  <c r="R534" i="19"/>
  <c r="S534" i="19"/>
  <c r="B535" i="19"/>
  <c r="C535" i="19"/>
  <c r="D535" i="19"/>
  <c r="E535" i="19"/>
  <c r="F535" i="19"/>
  <c r="G535" i="19"/>
  <c r="H535" i="19"/>
  <c r="I535" i="19"/>
  <c r="J535" i="19"/>
  <c r="K535" i="19"/>
  <c r="L535" i="19"/>
  <c r="M535" i="19"/>
  <c r="N535" i="19"/>
  <c r="O535" i="19"/>
  <c r="P535" i="19"/>
  <c r="Q535" i="19"/>
  <c r="R535" i="19"/>
  <c r="S535" i="19"/>
  <c r="B536" i="19"/>
  <c r="C536" i="19"/>
  <c r="D536" i="19"/>
  <c r="E536" i="19"/>
  <c r="F536" i="19"/>
  <c r="G536" i="19"/>
  <c r="H536" i="19"/>
  <c r="I536" i="19"/>
  <c r="J536" i="19"/>
  <c r="K536" i="19"/>
  <c r="L536" i="19"/>
  <c r="M536" i="19"/>
  <c r="N536" i="19"/>
  <c r="O536" i="19"/>
  <c r="P536" i="19"/>
  <c r="Q536" i="19"/>
  <c r="R536" i="19"/>
  <c r="S536" i="19"/>
  <c r="B537" i="19"/>
  <c r="C537" i="19"/>
  <c r="D537" i="19"/>
  <c r="E537" i="19"/>
  <c r="F537" i="19"/>
  <c r="G537" i="19"/>
  <c r="H537" i="19"/>
  <c r="I537" i="19"/>
  <c r="J537" i="19"/>
  <c r="K537" i="19"/>
  <c r="L537" i="19"/>
  <c r="M537" i="19"/>
  <c r="N537" i="19"/>
  <c r="O537" i="19"/>
  <c r="P537" i="19"/>
  <c r="Q537" i="19"/>
  <c r="R537" i="19"/>
  <c r="S537" i="19"/>
  <c r="B538" i="19"/>
  <c r="C538" i="19"/>
  <c r="D538" i="19"/>
  <c r="E538" i="19"/>
  <c r="F538" i="19"/>
  <c r="G538" i="19"/>
  <c r="H538" i="19"/>
  <c r="I538" i="19"/>
  <c r="J538" i="19"/>
  <c r="K538" i="19"/>
  <c r="L538" i="19"/>
  <c r="M538" i="19"/>
  <c r="N538" i="19"/>
  <c r="O538" i="19"/>
  <c r="P538" i="19"/>
  <c r="Q538" i="19"/>
  <c r="R538" i="19"/>
  <c r="S538" i="19"/>
  <c r="B539" i="19"/>
  <c r="C539" i="19"/>
  <c r="D539" i="19"/>
  <c r="E539" i="19"/>
  <c r="F539" i="19"/>
  <c r="G539" i="19"/>
  <c r="H539" i="19"/>
  <c r="I539" i="19"/>
  <c r="J539" i="19"/>
  <c r="K539" i="19"/>
  <c r="L539" i="19"/>
  <c r="M539" i="19"/>
  <c r="N539" i="19"/>
  <c r="O539" i="19"/>
  <c r="P539" i="19"/>
  <c r="Q539" i="19"/>
  <c r="R539" i="19"/>
  <c r="S539" i="19"/>
  <c r="B540" i="19"/>
  <c r="C540" i="19"/>
  <c r="D540" i="19"/>
  <c r="E540" i="19"/>
  <c r="F540" i="19"/>
  <c r="G540" i="19"/>
  <c r="H540" i="19"/>
  <c r="I540" i="19"/>
  <c r="J540" i="19"/>
  <c r="K540" i="19"/>
  <c r="L540" i="19"/>
  <c r="M540" i="19"/>
  <c r="N540" i="19"/>
  <c r="O540" i="19"/>
  <c r="P540" i="19"/>
  <c r="Q540" i="19"/>
  <c r="R540" i="19"/>
  <c r="S540" i="19"/>
  <c r="B541" i="19"/>
  <c r="C541" i="19"/>
  <c r="D541" i="19"/>
  <c r="E541" i="19"/>
  <c r="F541" i="19"/>
  <c r="G541" i="19"/>
  <c r="H541" i="19"/>
  <c r="I541" i="19"/>
  <c r="J541" i="19"/>
  <c r="K541" i="19"/>
  <c r="L541" i="19"/>
  <c r="M541" i="19"/>
  <c r="N541" i="19"/>
  <c r="O541" i="19"/>
  <c r="P541" i="19"/>
  <c r="Q541" i="19"/>
  <c r="R541" i="19"/>
  <c r="S541" i="19"/>
  <c r="B542" i="19"/>
  <c r="C542" i="19"/>
  <c r="D542" i="19"/>
  <c r="E542" i="19"/>
  <c r="F542" i="19"/>
  <c r="G542" i="19"/>
  <c r="H542" i="19"/>
  <c r="I542" i="19"/>
  <c r="J542" i="19"/>
  <c r="K542" i="19"/>
  <c r="L542" i="19"/>
  <c r="M542" i="19"/>
  <c r="N542" i="19"/>
  <c r="O542" i="19"/>
  <c r="P542" i="19"/>
  <c r="Q542" i="19"/>
  <c r="R542" i="19"/>
  <c r="S542" i="19"/>
  <c r="B543" i="19"/>
  <c r="C543" i="19"/>
  <c r="D543" i="19"/>
  <c r="E543" i="19"/>
  <c r="F543" i="19"/>
  <c r="G543" i="19"/>
  <c r="H543" i="19"/>
  <c r="I543" i="19"/>
  <c r="J543" i="19"/>
  <c r="K543" i="19"/>
  <c r="L543" i="19"/>
  <c r="M543" i="19"/>
  <c r="N543" i="19"/>
  <c r="O543" i="19"/>
  <c r="P543" i="19"/>
  <c r="Q543" i="19"/>
  <c r="R543" i="19"/>
  <c r="S543" i="19"/>
  <c r="B544" i="19"/>
  <c r="C544" i="19"/>
  <c r="D544" i="19"/>
  <c r="E544" i="19"/>
  <c r="F544" i="19"/>
  <c r="G544" i="19"/>
  <c r="H544" i="19"/>
  <c r="I544" i="19"/>
  <c r="J544" i="19"/>
  <c r="K544" i="19"/>
  <c r="L544" i="19"/>
  <c r="M544" i="19"/>
  <c r="N544" i="19"/>
  <c r="O544" i="19"/>
  <c r="P544" i="19"/>
  <c r="Q544" i="19"/>
  <c r="R544" i="19"/>
  <c r="S544" i="19"/>
  <c r="B545" i="19"/>
  <c r="C545" i="19"/>
  <c r="D545" i="19"/>
  <c r="E545" i="19"/>
  <c r="F545" i="19"/>
  <c r="G545" i="19"/>
  <c r="H545" i="19"/>
  <c r="I545" i="19"/>
  <c r="J545" i="19"/>
  <c r="K545" i="19"/>
  <c r="L545" i="19"/>
  <c r="M545" i="19"/>
  <c r="N545" i="19"/>
  <c r="O545" i="19"/>
  <c r="P545" i="19"/>
  <c r="Q545" i="19"/>
  <c r="R545" i="19"/>
  <c r="S545" i="19"/>
  <c r="B546" i="19"/>
  <c r="C546" i="19"/>
  <c r="D546" i="19"/>
  <c r="E546" i="19"/>
  <c r="F546" i="19"/>
  <c r="G546" i="19"/>
  <c r="H546" i="19"/>
  <c r="I546" i="19"/>
  <c r="J546" i="19"/>
  <c r="K546" i="19"/>
  <c r="L546" i="19"/>
  <c r="M546" i="19"/>
  <c r="N546" i="19"/>
  <c r="O546" i="19"/>
  <c r="P546" i="19"/>
  <c r="Q546" i="19"/>
  <c r="R546" i="19"/>
  <c r="S546" i="19"/>
  <c r="B547" i="19"/>
  <c r="C547" i="19"/>
  <c r="D547" i="19"/>
  <c r="E547" i="19"/>
  <c r="F547" i="19"/>
  <c r="G547" i="19"/>
  <c r="H547" i="19"/>
  <c r="I547" i="19"/>
  <c r="J547" i="19"/>
  <c r="K547" i="19"/>
  <c r="L547" i="19"/>
  <c r="M547" i="19"/>
  <c r="N547" i="19"/>
  <c r="O547" i="19"/>
  <c r="P547" i="19"/>
  <c r="Q547" i="19"/>
  <c r="R547" i="19"/>
  <c r="S547" i="19"/>
  <c r="B548" i="19"/>
  <c r="C548" i="19"/>
  <c r="D548" i="19"/>
  <c r="E548" i="19"/>
  <c r="F548" i="19"/>
  <c r="G548" i="19"/>
  <c r="H548" i="19"/>
  <c r="I548" i="19"/>
  <c r="J548" i="19"/>
  <c r="K548" i="19"/>
  <c r="L548" i="19"/>
  <c r="M548" i="19"/>
  <c r="N548" i="19"/>
  <c r="O548" i="19"/>
  <c r="P548" i="19"/>
  <c r="Q548" i="19"/>
  <c r="R548" i="19"/>
  <c r="S548" i="19"/>
  <c r="B549" i="19"/>
  <c r="C549" i="19"/>
  <c r="D549" i="19"/>
  <c r="E549" i="19"/>
  <c r="F549" i="19"/>
  <c r="G549" i="19"/>
  <c r="H549" i="19"/>
  <c r="I549" i="19"/>
  <c r="J549" i="19"/>
  <c r="K549" i="19"/>
  <c r="L549" i="19"/>
  <c r="M549" i="19"/>
  <c r="N549" i="19"/>
  <c r="O549" i="19"/>
  <c r="P549" i="19"/>
  <c r="Q549" i="19"/>
  <c r="R549" i="19"/>
  <c r="S549" i="19"/>
  <c r="B550" i="19"/>
  <c r="C550" i="19"/>
  <c r="D550" i="19"/>
  <c r="E550" i="19"/>
  <c r="F550" i="19"/>
  <c r="G550" i="19"/>
  <c r="H550" i="19"/>
  <c r="I550" i="19"/>
  <c r="J550" i="19"/>
  <c r="K550" i="19"/>
  <c r="L550" i="19"/>
  <c r="M550" i="19"/>
  <c r="N550" i="19"/>
  <c r="O550" i="19"/>
  <c r="P550" i="19"/>
  <c r="Q550" i="19"/>
  <c r="R550" i="19"/>
  <c r="S550" i="19"/>
  <c r="B551" i="19"/>
  <c r="C551" i="19"/>
  <c r="D551" i="19"/>
  <c r="E551" i="19"/>
  <c r="F551" i="19"/>
  <c r="G551" i="19"/>
  <c r="H551" i="19"/>
  <c r="I551" i="19"/>
  <c r="J551" i="19"/>
  <c r="K551" i="19"/>
  <c r="L551" i="19"/>
  <c r="M551" i="19"/>
  <c r="N551" i="19"/>
  <c r="O551" i="19"/>
  <c r="P551" i="19"/>
  <c r="Q551" i="19"/>
  <c r="R551" i="19"/>
  <c r="S551" i="19"/>
  <c r="B552" i="19"/>
  <c r="C552" i="19"/>
  <c r="D552" i="19"/>
  <c r="E552" i="19"/>
  <c r="F552" i="19"/>
  <c r="G552" i="19"/>
  <c r="H552" i="19"/>
  <c r="I552" i="19"/>
  <c r="J552" i="19"/>
  <c r="K552" i="19"/>
  <c r="L552" i="19"/>
  <c r="M552" i="19"/>
  <c r="N552" i="19"/>
  <c r="O552" i="19"/>
  <c r="P552" i="19"/>
  <c r="Q552" i="19"/>
  <c r="R552" i="19"/>
  <c r="S552" i="19"/>
  <c r="B553" i="19"/>
  <c r="C553" i="19"/>
  <c r="D553" i="19"/>
  <c r="E553" i="19"/>
  <c r="F553" i="19"/>
  <c r="G553" i="19"/>
  <c r="H553" i="19"/>
  <c r="I553" i="19"/>
  <c r="J553" i="19"/>
  <c r="K553" i="19"/>
  <c r="L553" i="19"/>
  <c r="M553" i="19"/>
  <c r="N553" i="19"/>
  <c r="O553" i="19"/>
  <c r="P553" i="19"/>
  <c r="Q553" i="19"/>
  <c r="R553" i="19"/>
  <c r="S553" i="19"/>
  <c r="B554" i="19"/>
  <c r="C554" i="19"/>
  <c r="D554" i="19"/>
  <c r="E554" i="19"/>
  <c r="F554" i="19"/>
  <c r="G554" i="19"/>
  <c r="H554" i="19"/>
  <c r="I554" i="19"/>
  <c r="J554" i="19"/>
  <c r="K554" i="19"/>
  <c r="L554" i="19"/>
  <c r="M554" i="19"/>
  <c r="N554" i="19"/>
  <c r="O554" i="19"/>
  <c r="P554" i="19"/>
  <c r="Q554" i="19"/>
  <c r="R554" i="19"/>
  <c r="S554" i="19"/>
  <c r="B555" i="19"/>
  <c r="C555" i="19"/>
  <c r="D555" i="19"/>
  <c r="E555" i="19"/>
  <c r="F555" i="19"/>
  <c r="G555" i="19"/>
  <c r="H555" i="19"/>
  <c r="I555" i="19"/>
  <c r="J555" i="19"/>
  <c r="K555" i="19"/>
  <c r="L555" i="19"/>
  <c r="M555" i="19"/>
  <c r="N555" i="19"/>
  <c r="O555" i="19"/>
  <c r="P555" i="19"/>
  <c r="Q555" i="19"/>
  <c r="R555" i="19"/>
  <c r="S555" i="19"/>
  <c r="B556" i="19"/>
  <c r="C556" i="19"/>
  <c r="D556" i="19"/>
  <c r="E556" i="19"/>
  <c r="F556" i="19"/>
  <c r="G556" i="19"/>
  <c r="H556" i="19"/>
  <c r="I556" i="19"/>
  <c r="J556" i="19"/>
  <c r="K556" i="19"/>
  <c r="L556" i="19"/>
  <c r="M556" i="19"/>
  <c r="N556" i="19"/>
  <c r="O556" i="19"/>
  <c r="P556" i="19"/>
  <c r="Q556" i="19"/>
  <c r="R556" i="19"/>
  <c r="S556" i="19"/>
  <c r="B557" i="19"/>
  <c r="C557" i="19"/>
  <c r="D557" i="19"/>
  <c r="E557" i="19"/>
  <c r="F557" i="19"/>
  <c r="G557" i="19"/>
  <c r="H557" i="19"/>
  <c r="I557" i="19"/>
  <c r="J557" i="19"/>
  <c r="K557" i="19"/>
  <c r="L557" i="19"/>
  <c r="M557" i="19"/>
  <c r="N557" i="19"/>
  <c r="O557" i="19"/>
  <c r="P557" i="19"/>
  <c r="Q557" i="19"/>
  <c r="R557" i="19"/>
  <c r="S557" i="19"/>
  <c r="B558" i="19"/>
  <c r="C558" i="19"/>
  <c r="D558" i="19"/>
  <c r="E558" i="19"/>
  <c r="F558" i="19"/>
  <c r="G558" i="19"/>
  <c r="H558" i="19"/>
  <c r="I558" i="19"/>
  <c r="J558" i="19"/>
  <c r="K558" i="19"/>
  <c r="L558" i="19"/>
  <c r="M558" i="19"/>
  <c r="N558" i="19"/>
  <c r="O558" i="19"/>
  <c r="P558" i="19"/>
  <c r="Q558" i="19"/>
  <c r="R558" i="19"/>
  <c r="S558" i="19"/>
  <c r="B559" i="19"/>
  <c r="C559" i="19"/>
  <c r="D559" i="19"/>
  <c r="E559" i="19"/>
  <c r="F559" i="19"/>
  <c r="G559" i="19"/>
  <c r="H559" i="19"/>
  <c r="I559" i="19"/>
  <c r="J559" i="19"/>
  <c r="K559" i="19"/>
  <c r="L559" i="19"/>
  <c r="M559" i="19"/>
  <c r="N559" i="19"/>
  <c r="O559" i="19"/>
  <c r="P559" i="19"/>
  <c r="Q559" i="19"/>
  <c r="R559" i="19"/>
  <c r="S559" i="19"/>
  <c r="B560" i="19"/>
  <c r="C560" i="19"/>
  <c r="D560" i="19"/>
  <c r="E560" i="19"/>
  <c r="F560" i="19"/>
  <c r="G560" i="19"/>
  <c r="H560" i="19"/>
  <c r="I560" i="19"/>
  <c r="J560" i="19"/>
  <c r="K560" i="19"/>
  <c r="L560" i="19"/>
  <c r="M560" i="19"/>
  <c r="N560" i="19"/>
  <c r="O560" i="19"/>
  <c r="P560" i="19"/>
  <c r="Q560" i="19"/>
  <c r="R560" i="19"/>
  <c r="S560" i="19"/>
  <c r="B561" i="19"/>
  <c r="C561" i="19"/>
  <c r="D561" i="19"/>
  <c r="E561" i="19"/>
  <c r="F561" i="19"/>
  <c r="G561" i="19"/>
  <c r="H561" i="19"/>
  <c r="I561" i="19"/>
  <c r="J561" i="19"/>
  <c r="K561" i="19"/>
  <c r="L561" i="19"/>
  <c r="M561" i="19"/>
  <c r="N561" i="19"/>
  <c r="O561" i="19"/>
  <c r="P561" i="19"/>
  <c r="Q561" i="19"/>
  <c r="R561" i="19"/>
  <c r="S561" i="19"/>
  <c r="B562" i="19"/>
  <c r="C562" i="19"/>
  <c r="D562" i="19"/>
  <c r="E562" i="19"/>
  <c r="F562" i="19"/>
  <c r="G562" i="19"/>
  <c r="H562" i="19"/>
  <c r="I562" i="19"/>
  <c r="J562" i="19"/>
  <c r="K562" i="19"/>
  <c r="L562" i="19"/>
  <c r="M562" i="19"/>
  <c r="N562" i="19"/>
  <c r="O562" i="19"/>
  <c r="P562" i="19"/>
  <c r="Q562" i="19"/>
  <c r="R562" i="19"/>
  <c r="S562" i="19"/>
  <c r="B563" i="19"/>
  <c r="C563" i="19"/>
  <c r="D563" i="19"/>
  <c r="E563" i="19"/>
  <c r="F563" i="19"/>
  <c r="G563" i="19"/>
  <c r="H563" i="19"/>
  <c r="I563" i="19"/>
  <c r="J563" i="19"/>
  <c r="K563" i="19"/>
  <c r="L563" i="19"/>
  <c r="M563" i="19"/>
  <c r="N563" i="19"/>
  <c r="O563" i="19"/>
  <c r="P563" i="19"/>
  <c r="Q563" i="19"/>
  <c r="R563" i="19"/>
  <c r="S563" i="19"/>
  <c r="B564" i="19"/>
  <c r="C564" i="19"/>
  <c r="D564" i="19"/>
  <c r="E564" i="19"/>
  <c r="F564" i="19"/>
  <c r="G564" i="19"/>
  <c r="H564" i="19"/>
  <c r="I564" i="19"/>
  <c r="J564" i="19"/>
  <c r="K564" i="19"/>
  <c r="L564" i="19"/>
  <c r="M564" i="19"/>
  <c r="N564" i="19"/>
  <c r="O564" i="19"/>
  <c r="P564" i="19"/>
  <c r="Q564" i="19"/>
  <c r="R564" i="19"/>
  <c r="S564" i="19"/>
  <c r="B565" i="19"/>
  <c r="C565" i="19"/>
  <c r="D565" i="19"/>
  <c r="E565" i="19"/>
  <c r="F565" i="19"/>
  <c r="G565" i="19"/>
  <c r="H565" i="19"/>
  <c r="I565" i="19"/>
  <c r="J565" i="19"/>
  <c r="K565" i="19"/>
  <c r="L565" i="19"/>
  <c r="M565" i="19"/>
  <c r="N565" i="19"/>
  <c r="O565" i="19"/>
  <c r="P565" i="19"/>
  <c r="Q565" i="19"/>
  <c r="R565" i="19"/>
  <c r="S565" i="19"/>
  <c r="B566" i="19"/>
  <c r="C566" i="19"/>
  <c r="D566" i="19"/>
  <c r="E566" i="19"/>
  <c r="F566" i="19"/>
  <c r="G566" i="19"/>
  <c r="H566" i="19"/>
  <c r="I566" i="19"/>
  <c r="J566" i="19"/>
  <c r="K566" i="19"/>
  <c r="L566" i="19"/>
  <c r="M566" i="19"/>
  <c r="N566" i="19"/>
  <c r="O566" i="19"/>
  <c r="P566" i="19"/>
  <c r="Q566" i="19"/>
  <c r="R566" i="19"/>
  <c r="S566" i="19"/>
  <c r="B567" i="19"/>
  <c r="C567" i="19"/>
  <c r="D567" i="19"/>
  <c r="E567" i="19"/>
  <c r="F567" i="19"/>
  <c r="G567" i="19"/>
  <c r="H567" i="19"/>
  <c r="I567" i="19"/>
  <c r="J567" i="19"/>
  <c r="K567" i="19"/>
  <c r="L567" i="19"/>
  <c r="M567" i="19"/>
  <c r="N567" i="19"/>
  <c r="O567" i="19"/>
  <c r="P567" i="19"/>
  <c r="Q567" i="19"/>
  <c r="R567" i="19"/>
  <c r="S567" i="19"/>
  <c r="B568" i="19"/>
  <c r="C568" i="19"/>
  <c r="D568" i="19"/>
  <c r="E568" i="19"/>
  <c r="F568" i="19"/>
  <c r="G568" i="19"/>
  <c r="H568" i="19"/>
  <c r="I568" i="19"/>
  <c r="J568" i="19"/>
  <c r="K568" i="19"/>
  <c r="L568" i="19"/>
  <c r="M568" i="19"/>
  <c r="N568" i="19"/>
  <c r="O568" i="19"/>
  <c r="P568" i="19"/>
  <c r="Q568" i="19"/>
  <c r="R568" i="19"/>
  <c r="S568" i="19"/>
  <c r="B569" i="19"/>
  <c r="C569" i="19"/>
  <c r="D569" i="19"/>
  <c r="E569" i="19"/>
  <c r="F569" i="19"/>
  <c r="G569" i="19"/>
  <c r="H569" i="19"/>
  <c r="I569" i="19"/>
  <c r="J569" i="19"/>
  <c r="K569" i="19"/>
  <c r="L569" i="19"/>
  <c r="M569" i="19"/>
  <c r="N569" i="19"/>
  <c r="O569" i="19"/>
  <c r="P569" i="19"/>
  <c r="Q569" i="19"/>
  <c r="R569" i="19"/>
  <c r="S569" i="19"/>
  <c r="B570" i="19"/>
  <c r="C570" i="19"/>
  <c r="D570" i="19"/>
  <c r="E570" i="19"/>
  <c r="F570" i="19"/>
  <c r="G570" i="19"/>
  <c r="H570" i="19"/>
  <c r="I570" i="19"/>
  <c r="J570" i="19"/>
  <c r="K570" i="19"/>
  <c r="L570" i="19"/>
  <c r="M570" i="19"/>
  <c r="N570" i="19"/>
  <c r="O570" i="19"/>
  <c r="P570" i="19"/>
  <c r="Q570" i="19"/>
  <c r="R570" i="19"/>
  <c r="S570" i="19"/>
  <c r="B571" i="19"/>
  <c r="C571" i="19"/>
  <c r="D571" i="19"/>
  <c r="E571" i="19"/>
  <c r="F571" i="19"/>
  <c r="G571" i="19"/>
  <c r="H571" i="19"/>
  <c r="I571" i="19"/>
  <c r="J571" i="19"/>
  <c r="K571" i="19"/>
  <c r="L571" i="19"/>
  <c r="M571" i="19"/>
  <c r="N571" i="19"/>
  <c r="O571" i="19"/>
  <c r="P571" i="19"/>
  <c r="Q571" i="19"/>
  <c r="R571" i="19"/>
  <c r="S571" i="19"/>
  <c r="B572" i="19"/>
  <c r="C572" i="19"/>
  <c r="D572" i="19"/>
  <c r="E572" i="19"/>
  <c r="F572" i="19"/>
  <c r="G572" i="19"/>
  <c r="H572" i="19"/>
  <c r="I572" i="19"/>
  <c r="J572" i="19"/>
  <c r="K572" i="19"/>
  <c r="L572" i="19"/>
  <c r="M572" i="19"/>
  <c r="N572" i="19"/>
  <c r="O572" i="19"/>
  <c r="P572" i="19"/>
  <c r="Q572" i="19"/>
  <c r="R572" i="19"/>
  <c r="S572" i="19"/>
  <c r="B573" i="19"/>
  <c r="C573" i="19"/>
  <c r="D573" i="19"/>
  <c r="E573" i="19"/>
  <c r="F573" i="19"/>
  <c r="G573" i="19"/>
  <c r="H573" i="19"/>
  <c r="I573" i="19"/>
  <c r="J573" i="19"/>
  <c r="K573" i="19"/>
  <c r="L573" i="19"/>
  <c r="M573" i="19"/>
  <c r="N573" i="19"/>
  <c r="O573" i="19"/>
  <c r="P573" i="19"/>
  <c r="Q573" i="19"/>
  <c r="R573" i="19"/>
  <c r="S573" i="19"/>
  <c r="B574" i="19"/>
  <c r="C574" i="19"/>
  <c r="D574" i="19"/>
  <c r="E574" i="19"/>
  <c r="F574" i="19"/>
  <c r="G574" i="19"/>
  <c r="H574" i="19"/>
  <c r="I574" i="19"/>
  <c r="J574" i="19"/>
  <c r="K574" i="19"/>
  <c r="L574" i="19"/>
  <c r="M574" i="19"/>
  <c r="N574" i="19"/>
  <c r="O574" i="19"/>
  <c r="P574" i="19"/>
  <c r="Q574" i="19"/>
  <c r="R574" i="19"/>
  <c r="S574" i="19"/>
  <c r="B575" i="19"/>
  <c r="C575" i="19"/>
  <c r="D575" i="19"/>
  <c r="E575" i="19"/>
  <c r="F575" i="19"/>
  <c r="G575" i="19"/>
  <c r="H575" i="19"/>
  <c r="I575" i="19"/>
  <c r="J575" i="19"/>
  <c r="K575" i="19"/>
  <c r="L575" i="19"/>
  <c r="M575" i="19"/>
  <c r="N575" i="19"/>
  <c r="O575" i="19"/>
  <c r="P575" i="19"/>
  <c r="Q575" i="19"/>
  <c r="R575" i="19"/>
  <c r="S575" i="19"/>
  <c r="B576" i="19"/>
  <c r="C576" i="19"/>
  <c r="D576" i="19"/>
  <c r="E576" i="19"/>
  <c r="F576" i="19"/>
  <c r="G576" i="19"/>
  <c r="H576" i="19"/>
  <c r="I576" i="19"/>
  <c r="J576" i="19"/>
  <c r="K576" i="19"/>
  <c r="L576" i="19"/>
  <c r="M576" i="19"/>
  <c r="N576" i="19"/>
  <c r="O576" i="19"/>
  <c r="P576" i="19"/>
  <c r="Q576" i="19"/>
  <c r="R576" i="19"/>
  <c r="S576" i="19"/>
  <c r="B577" i="19"/>
  <c r="C577" i="19"/>
  <c r="D577" i="19"/>
  <c r="E577" i="19"/>
  <c r="F577" i="19"/>
  <c r="G577" i="19"/>
  <c r="H577" i="19"/>
  <c r="I577" i="19"/>
  <c r="J577" i="19"/>
  <c r="K577" i="19"/>
  <c r="L577" i="19"/>
  <c r="M577" i="19"/>
  <c r="N577" i="19"/>
  <c r="O577" i="19"/>
  <c r="P577" i="19"/>
  <c r="Q577" i="19"/>
  <c r="R577" i="19"/>
  <c r="S577" i="19"/>
  <c r="B578" i="19"/>
  <c r="C578" i="19"/>
  <c r="D578" i="19"/>
  <c r="E578" i="19"/>
  <c r="F578" i="19"/>
  <c r="G578" i="19"/>
  <c r="H578" i="19"/>
  <c r="I578" i="19"/>
  <c r="J578" i="19"/>
  <c r="K578" i="19"/>
  <c r="L578" i="19"/>
  <c r="M578" i="19"/>
  <c r="N578" i="19"/>
  <c r="O578" i="19"/>
  <c r="P578" i="19"/>
  <c r="Q578" i="19"/>
  <c r="R578" i="19"/>
  <c r="S578" i="19"/>
  <c r="B579" i="19"/>
  <c r="C579" i="19"/>
  <c r="D579" i="19"/>
  <c r="E579" i="19"/>
  <c r="F579" i="19"/>
  <c r="G579" i="19"/>
  <c r="H579" i="19"/>
  <c r="I579" i="19"/>
  <c r="J579" i="19"/>
  <c r="K579" i="19"/>
  <c r="L579" i="19"/>
  <c r="M579" i="19"/>
  <c r="N579" i="19"/>
  <c r="O579" i="19"/>
  <c r="P579" i="19"/>
  <c r="Q579" i="19"/>
  <c r="R579" i="19"/>
  <c r="S579" i="19"/>
  <c r="B580" i="19"/>
  <c r="C580" i="19"/>
  <c r="D580" i="19"/>
  <c r="E580" i="19"/>
  <c r="F580" i="19"/>
  <c r="G580" i="19"/>
  <c r="H580" i="19"/>
  <c r="I580" i="19"/>
  <c r="J580" i="19"/>
  <c r="K580" i="19"/>
  <c r="L580" i="19"/>
  <c r="M580" i="19"/>
  <c r="N580" i="19"/>
  <c r="O580" i="19"/>
  <c r="P580" i="19"/>
  <c r="Q580" i="19"/>
  <c r="R580" i="19"/>
  <c r="S580" i="19"/>
  <c r="B581" i="19"/>
  <c r="C581" i="19"/>
  <c r="D581" i="19"/>
  <c r="E581" i="19"/>
  <c r="F581" i="19"/>
  <c r="G581" i="19"/>
  <c r="H581" i="19"/>
  <c r="I581" i="19"/>
  <c r="J581" i="19"/>
  <c r="K581" i="19"/>
  <c r="L581" i="19"/>
  <c r="M581" i="19"/>
  <c r="N581" i="19"/>
  <c r="O581" i="19"/>
  <c r="P581" i="19"/>
  <c r="Q581" i="19"/>
  <c r="R581" i="19"/>
  <c r="S581" i="19"/>
  <c r="B582" i="19"/>
  <c r="C582" i="19"/>
  <c r="D582" i="19"/>
  <c r="E582" i="19"/>
  <c r="F582" i="19"/>
  <c r="G582" i="19"/>
  <c r="H582" i="19"/>
  <c r="I582" i="19"/>
  <c r="J582" i="19"/>
  <c r="K582" i="19"/>
  <c r="L582" i="19"/>
  <c r="M582" i="19"/>
  <c r="N582" i="19"/>
  <c r="O582" i="19"/>
  <c r="P582" i="19"/>
  <c r="Q582" i="19"/>
  <c r="R582" i="19"/>
  <c r="S582" i="19"/>
  <c r="B583" i="19"/>
  <c r="C583" i="19"/>
  <c r="D583" i="19"/>
  <c r="E583" i="19"/>
  <c r="F583" i="19"/>
  <c r="G583" i="19"/>
  <c r="H583" i="19"/>
  <c r="I583" i="19"/>
  <c r="J583" i="19"/>
  <c r="K583" i="19"/>
  <c r="L583" i="19"/>
  <c r="M583" i="19"/>
  <c r="N583" i="19"/>
  <c r="O583" i="19"/>
  <c r="P583" i="19"/>
  <c r="Q583" i="19"/>
  <c r="R583" i="19"/>
  <c r="S583" i="19"/>
  <c r="B584" i="19"/>
  <c r="C584" i="19"/>
  <c r="D584" i="19"/>
  <c r="E584" i="19"/>
  <c r="F584" i="19"/>
  <c r="G584" i="19"/>
  <c r="H584" i="19"/>
  <c r="I584" i="19"/>
  <c r="J584" i="19"/>
  <c r="K584" i="19"/>
  <c r="L584" i="19"/>
  <c r="M584" i="19"/>
  <c r="N584" i="19"/>
  <c r="O584" i="19"/>
  <c r="P584" i="19"/>
  <c r="Q584" i="19"/>
  <c r="R584" i="19"/>
  <c r="S584" i="19"/>
  <c r="B585" i="19"/>
  <c r="C585" i="19"/>
  <c r="D585" i="19"/>
  <c r="E585" i="19"/>
  <c r="F585" i="19"/>
  <c r="G585" i="19"/>
  <c r="H585" i="19"/>
  <c r="I585" i="19"/>
  <c r="J585" i="19"/>
  <c r="K585" i="19"/>
  <c r="L585" i="19"/>
  <c r="M585" i="19"/>
  <c r="N585" i="19"/>
  <c r="O585" i="19"/>
  <c r="P585" i="19"/>
  <c r="Q585" i="19"/>
  <c r="R585" i="19"/>
  <c r="S585" i="19"/>
  <c r="B586" i="19"/>
  <c r="C586" i="19"/>
  <c r="D586" i="19"/>
  <c r="E586" i="19"/>
  <c r="F586" i="19"/>
  <c r="G586" i="19"/>
  <c r="H586" i="19"/>
  <c r="I586" i="19"/>
  <c r="J586" i="19"/>
  <c r="K586" i="19"/>
  <c r="L586" i="19"/>
  <c r="M586" i="19"/>
  <c r="N586" i="19"/>
  <c r="O586" i="19"/>
  <c r="P586" i="19"/>
  <c r="Q586" i="19"/>
  <c r="R586" i="19"/>
  <c r="S586" i="19"/>
  <c r="B587" i="19"/>
  <c r="C587" i="19"/>
  <c r="D587" i="19"/>
  <c r="E587" i="19"/>
  <c r="F587" i="19"/>
  <c r="G587" i="19"/>
  <c r="H587" i="19"/>
  <c r="I587" i="19"/>
  <c r="J587" i="19"/>
  <c r="K587" i="19"/>
  <c r="L587" i="19"/>
  <c r="M587" i="19"/>
  <c r="N587" i="19"/>
  <c r="O587" i="19"/>
  <c r="P587" i="19"/>
  <c r="Q587" i="19"/>
  <c r="R587" i="19"/>
  <c r="S587" i="19"/>
  <c r="B588" i="19"/>
  <c r="C588" i="19"/>
  <c r="D588" i="19"/>
  <c r="E588" i="19"/>
  <c r="F588" i="19"/>
  <c r="G588" i="19"/>
  <c r="H588" i="19"/>
  <c r="I588" i="19"/>
  <c r="J588" i="19"/>
  <c r="K588" i="19"/>
  <c r="L588" i="19"/>
  <c r="M588" i="19"/>
  <c r="N588" i="19"/>
  <c r="O588" i="19"/>
  <c r="P588" i="19"/>
  <c r="Q588" i="19"/>
  <c r="R588" i="19"/>
  <c r="S588" i="19"/>
  <c r="B589" i="19"/>
  <c r="C589" i="19"/>
  <c r="D589" i="19"/>
  <c r="E589" i="19"/>
  <c r="F589" i="19"/>
  <c r="G589" i="19"/>
  <c r="H589" i="19"/>
  <c r="I589" i="19"/>
  <c r="J589" i="19"/>
  <c r="K589" i="19"/>
  <c r="L589" i="19"/>
  <c r="M589" i="19"/>
  <c r="N589" i="19"/>
  <c r="O589" i="19"/>
  <c r="P589" i="19"/>
  <c r="Q589" i="19"/>
  <c r="R589" i="19"/>
  <c r="S589" i="19"/>
  <c r="B590" i="19"/>
  <c r="C590" i="19"/>
  <c r="D590" i="19"/>
  <c r="E590" i="19"/>
  <c r="F590" i="19"/>
  <c r="G590" i="19"/>
  <c r="H590" i="19"/>
  <c r="I590" i="19"/>
  <c r="J590" i="19"/>
  <c r="K590" i="19"/>
  <c r="L590" i="19"/>
  <c r="M590" i="19"/>
  <c r="N590" i="19"/>
  <c r="O590" i="19"/>
  <c r="P590" i="19"/>
  <c r="Q590" i="19"/>
  <c r="R590" i="19"/>
  <c r="S590" i="19"/>
  <c r="B591" i="19"/>
  <c r="C591" i="19"/>
  <c r="D591" i="19"/>
  <c r="E591" i="19"/>
  <c r="F591" i="19"/>
  <c r="G591" i="19"/>
  <c r="H591" i="19"/>
  <c r="I591" i="19"/>
  <c r="J591" i="19"/>
  <c r="K591" i="19"/>
  <c r="L591" i="19"/>
  <c r="M591" i="19"/>
  <c r="N591" i="19"/>
  <c r="O591" i="19"/>
  <c r="P591" i="19"/>
  <c r="Q591" i="19"/>
  <c r="R591" i="19"/>
  <c r="S591" i="19"/>
  <c r="B592" i="19"/>
  <c r="C592" i="19"/>
  <c r="D592" i="19"/>
  <c r="E592" i="19"/>
  <c r="F592" i="19"/>
  <c r="G592" i="19"/>
  <c r="H592" i="19"/>
  <c r="I592" i="19"/>
  <c r="J592" i="19"/>
  <c r="K592" i="19"/>
  <c r="L592" i="19"/>
  <c r="M592" i="19"/>
  <c r="N592" i="19"/>
  <c r="O592" i="19"/>
  <c r="P592" i="19"/>
  <c r="Q592" i="19"/>
  <c r="R592" i="19"/>
  <c r="S592" i="19"/>
  <c r="B593" i="19"/>
  <c r="C593" i="19"/>
  <c r="D593" i="19"/>
  <c r="E593" i="19"/>
  <c r="F593" i="19"/>
  <c r="G593" i="19"/>
  <c r="H593" i="19"/>
  <c r="I593" i="19"/>
  <c r="J593" i="19"/>
  <c r="K593" i="19"/>
  <c r="L593" i="19"/>
  <c r="M593" i="19"/>
  <c r="N593" i="19"/>
  <c r="O593" i="19"/>
  <c r="P593" i="19"/>
  <c r="Q593" i="19"/>
  <c r="R593" i="19"/>
  <c r="S593" i="19"/>
  <c r="B594" i="19"/>
  <c r="C594" i="19"/>
  <c r="D594" i="19"/>
  <c r="E594" i="19"/>
  <c r="F594" i="19"/>
  <c r="G594" i="19"/>
  <c r="H594" i="19"/>
  <c r="I594" i="19"/>
  <c r="J594" i="19"/>
  <c r="K594" i="19"/>
  <c r="L594" i="19"/>
  <c r="M594" i="19"/>
  <c r="N594" i="19"/>
  <c r="O594" i="19"/>
  <c r="P594" i="19"/>
  <c r="Q594" i="19"/>
  <c r="R594" i="19"/>
  <c r="S594" i="19"/>
  <c r="B595" i="19"/>
  <c r="C595" i="19"/>
  <c r="D595" i="19"/>
  <c r="E595" i="19"/>
  <c r="F595" i="19"/>
  <c r="G595" i="19"/>
  <c r="H595" i="19"/>
  <c r="I595" i="19"/>
  <c r="J595" i="19"/>
  <c r="K595" i="19"/>
  <c r="L595" i="19"/>
  <c r="M595" i="19"/>
  <c r="N595" i="19"/>
  <c r="O595" i="19"/>
  <c r="P595" i="19"/>
  <c r="Q595" i="19"/>
  <c r="R595" i="19"/>
  <c r="S595" i="19"/>
  <c r="B596" i="19"/>
  <c r="C596" i="19"/>
  <c r="D596" i="19"/>
  <c r="E596" i="19"/>
  <c r="F596" i="19"/>
  <c r="G596" i="19"/>
  <c r="H596" i="19"/>
  <c r="I596" i="19"/>
  <c r="J596" i="19"/>
  <c r="K596" i="19"/>
  <c r="L596" i="19"/>
  <c r="M596" i="19"/>
  <c r="N596" i="19"/>
  <c r="O596" i="19"/>
  <c r="P596" i="19"/>
  <c r="Q596" i="19"/>
  <c r="R596" i="19"/>
  <c r="S596" i="19"/>
  <c r="B597" i="19"/>
  <c r="C597" i="19"/>
  <c r="D597" i="19"/>
  <c r="E597" i="19"/>
  <c r="F597" i="19"/>
  <c r="G597" i="19"/>
  <c r="H597" i="19"/>
  <c r="I597" i="19"/>
  <c r="J597" i="19"/>
  <c r="K597" i="19"/>
  <c r="L597" i="19"/>
  <c r="M597" i="19"/>
  <c r="N597" i="19"/>
  <c r="O597" i="19"/>
  <c r="P597" i="19"/>
  <c r="Q597" i="19"/>
  <c r="R597" i="19"/>
  <c r="S597" i="19"/>
  <c r="B598" i="19"/>
  <c r="C598" i="19"/>
  <c r="D598" i="19"/>
  <c r="E598" i="19"/>
  <c r="F598" i="19"/>
  <c r="G598" i="19"/>
  <c r="H598" i="19"/>
  <c r="I598" i="19"/>
  <c r="J598" i="19"/>
  <c r="K598" i="19"/>
  <c r="L598" i="19"/>
  <c r="M598" i="19"/>
  <c r="N598" i="19"/>
  <c r="O598" i="19"/>
  <c r="P598" i="19"/>
  <c r="Q598" i="19"/>
  <c r="R598" i="19"/>
  <c r="S598" i="19"/>
  <c r="B599" i="19"/>
  <c r="C599" i="19"/>
  <c r="D599" i="19"/>
  <c r="E599" i="19"/>
  <c r="F599" i="19"/>
  <c r="G599" i="19"/>
  <c r="H599" i="19"/>
  <c r="I599" i="19"/>
  <c r="J599" i="19"/>
  <c r="K599" i="19"/>
  <c r="L599" i="19"/>
  <c r="M599" i="19"/>
  <c r="N599" i="19"/>
  <c r="O599" i="19"/>
  <c r="P599" i="19"/>
  <c r="Q599" i="19"/>
  <c r="R599" i="19"/>
  <c r="S599" i="19"/>
  <c r="B600" i="19"/>
  <c r="C600" i="19"/>
  <c r="D600" i="19"/>
  <c r="E600" i="19"/>
  <c r="F600" i="19"/>
  <c r="G600" i="19"/>
  <c r="H600" i="19"/>
  <c r="I600" i="19"/>
  <c r="J600" i="19"/>
  <c r="K600" i="19"/>
  <c r="L600" i="19"/>
  <c r="M600" i="19"/>
  <c r="N600" i="19"/>
  <c r="O600" i="19"/>
  <c r="P600" i="19"/>
  <c r="Q600" i="19"/>
  <c r="R600" i="19"/>
  <c r="S600" i="19"/>
  <c r="B601" i="19"/>
  <c r="C601" i="19"/>
  <c r="D601" i="19"/>
  <c r="E601" i="19"/>
  <c r="F601" i="19"/>
  <c r="G601" i="19"/>
  <c r="H601" i="19"/>
  <c r="I601" i="19"/>
  <c r="J601" i="19"/>
  <c r="K601" i="19"/>
  <c r="L601" i="19"/>
  <c r="M601" i="19"/>
  <c r="N601" i="19"/>
  <c r="O601" i="19"/>
  <c r="P601" i="19"/>
  <c r="Q601" i="19"/>
  <c r="R601" i="19"/>
  <c r="S601" i="19"/>
  <c r="B602" i="19"/>
  <c r="C602" i="19"/>
  <c r="D602" i="19"/>
  <c r="E602" i="19"/>
  <c r="F602" i="19"/>
  <c r="G602" i="19"/>
  <c r="H602" i="19"/>
  <c r="I602" i="19"/>
  <c r="J602" i="19"/>
  <c r="K602" i="19"/>
  <c r="L602" i="19"/>
  <c r="M602" i="19"/>
  <c r="N602" i="19"/>
  <c r="O602" i="19"/>
  <c r="P602" i="19"/>
  <c r="Q602" i="19"/>
  <c r="R602" i="19"/>
  <c r="S602" i="19"/>
  <c r="B603" i="19"/>
  <c r="C603" i="19"/>
  <c r="D603" i="19"/>
  <c r="E603" i="19"/>
  <c r="F603" i="19"/>
  <c r="G603" i="19"/>
  <c r="H603" i="19"/>
  <c r="I603" i="19"/>
  <c r="J603" i="19"/>
  <c r="K603" i="19"/>
  <c r="L603" i="19"/>
  <c r="M603" i="19"/>
  <c r="N603" i="19"/>
  <c r="O603" i="19"/>
  <c r="P603" i="19"/>
  <c r="Q603" i="19"/>
  <c r="R603" i="19"/>
  <c r="S603" i="19"/>
  <c r="B604" i="19"/>
  <c r="C604" i="19"/>
  <c r="D604" i="19"/>
  <c r="E604" i="19"/>
  <c r="F604" i="19"/>
  <c r="G604" i="19"/>
  <c r="H604" i="19"/>
  <c r="I604" i="19"/>
  <c r="J604" i="19"/>
  <c r="K604" i="19"/>
  <c r="L604" i="19"/>
  <c r="M604" i="19"/>
  <c r="N604" i="19"/>
  <c r="O604" i="19"/>
  <c r="P604" i="19"/>
  <c r="Q604" i="19"/>
  <c r="R604" i="19"/>
  <c r="S604" i="19"/>
  <c r="B605" i="19"/>
  <c r="C605" i="19"/>
  <c r="D605" i="19"/>
  <c r="E605" i="19"/>
  <c r="F605" i="19"/>
  <c r="G605" i="19"/>
  <c r="H605" i="19"/>
  <c r="I605" i="19"/>
  <c r="J605" i="19"/>
  <c r="K605" i="19"/>
  <c r="L605" i="19"/>
  <c r="M605" i="19"/>
  <c r="N605" i="19"/>
  <c r="O605" i="19"/>
  <c r="P605" i="19"/>
  <c r="Q605" i="19"/>
  <c r="R605" i="19"/>
  <c r="S605" i="19"/>
  <c r="B606" i="19"/>
  <c r="C606" i="19"/>
  <c r="D606" i="19"/>
  <c r="E606" i="19"/>
  <c r="F606" i="19"/>
  <c r="G606" i="19"/>
  <c r="H606" i="19"/>
  <c r="I606" i="19"/>
  <c r="J606" i="19"/>
  <c r="K606" i="19"/>
  <c r="L606" i="19"/>
  <c r="M606" i="19"/>
  <c r="N606" i="19"/>
  <c r="O606" i="19"/>
  <c r="P606" i="19"/>
  <c r="Q606" i="19"/>
  <c r="R606" i="19"/>
  <c r="S606" i="19"/>
  <c r="B607" i="19"/>
  <c r="C607" i="19"/>
  <c r="D607" i="19"/>
  <c r="E607" i="19"/>
  <c r="F607" i="19"/>
  <c r="G607" i="19"/>
  <c r="H607" i="19"/>
  <c r="I607" i="19"/>
  <c r="J607" i="19"/>
  <c r="K607" i="19"/>
  <c r="L607" i="19"/>
  <c r="M607" i="19"/>
  <c r="N607" i="19"/>
  <c r="O607" i="19"/>
  <c r="P607" i="19"/>
  <c r="Q607" i="19"/>
  <c r="R607" i="19"/>
  <c r="S607" i="19"/>
  <c r="B608" i="19"/>
  <c r="C608" i="19"/>
  <c r="D608" i="19"/>
  <c r="E608" i="19"/>
  <c r="F608" i="19"/>
  <c r="G608" i="19"/>
  <c r="H608" i="19"/>
  <c r="I608" i="19"/>
  <c r="J608" i="19"/>
  <c r="K608" i="19"/>
  <c r="L608" i="19"/>
  <c r="M608" i="19"/>
  <c r="N608" i="19"/>
  <c r="O608" i="19"/>
  <c r="P608" i="19"/>
  <c r="Q608" i="19"/>
  <c r="R608" i="19"/>
  <c r="S608" i="19"/>
  <c r="B609" i="19"/>
  <c r="C609" i="19"/>
  <c r="D609" i="19"/>
  <c r="E609" i="19"/>
  <c r="F609" i="19"/>
  <c r="G609" i="19"/>
  <c r="H609" i="19"/>
  <c r="I609" i="19"/>
  <c r="J609" i="19"/>
  <c r="K609" i="19"/>
  <c r="L609" i="19"/>
  <c r="M609" i="19"/>
  <c r="N609" i="19"/>
  <c r="O609" i="19"/>
  <c r="P609" i="19"/>
  <c r="Q609" i="19"/>
  <c r="R609" i="19"/>
  <c r="S609" i="19"/>
  <c r="B610" i="19"/>
  <c r="C610" i="19"/>
  <c r="D610" i="19"/>
  <c r="E610" i="19"/>
  <c r="F610" i="19"/>
  <c r="G610" i="19"/>
  <c r="H610" i="19"/>
  <c r="I610" i="19"/>
  <c r="J610" i="19"/>
  <c r="K610" i="19"/>
  <c r="L610" i="19"/>
  <c r="M610" i="19"/>
  <c r="N610" i="19"/>
  <c r="O610" i="19"/>
  <c r="P610" i="19"/>
  <c r="Q610" i="19"/>
  <c r="R610" i="19"/>
  <c r="S610" i="19"/>
  <c r="B611" i="19"/>
  <c r="C611" i="19"/>
  <c r="D611" i="19"/>
  <c r="E611" i="19"/>
  <c r="F611" i="19"/>
  <c r="G611" i="19"/>
  <c r="H611" i="19"/>
  <c r="I611" i="19"/>
  <c r="J611" i="19"/>
  <c r="K611" i="19"/>
  <c r="L611" i="19"/>
  <c r="M611" i="19"/>
  <c r="N611" i="19"/>
  <c r="O611" i="19"/>
  <c r="P611" i="19"/>
  <c r="Q611" i="19"/>
  <c r="R611" i="19"/>
  <c r="S611" i="19"/>
  <c r="B612" i="19"/>
  <c r="C612" i="19"/>
  <c r="D612" i="19"/>
  <c r="E612" i="19"/>
  <c r="F612" i="19"/>
  <c r="G612" i="19"/>
  <c r="H612" i="19"/>
  <c r="I612" i="19"/>
  <c r="J612" i="19"/>
  <c r="K612" i="19"/>
  <c r="L612" i="19"/>
  <c r="M612" i="19"/>
  <c r="N612" i="19"/>
  <c r="O612" i="19"/>
  <c r="P612" i="19"/>
  <c r="Q612" i="19"/>
  <c r="R612" i="19"/>
  <c r="S612" i="19"/>
  <c r="B613" i="19"/>
  <c r="C613" i="19"/>
  <c r="D613" i="19"/>
  <c r="E613" i="19"/>
  <c r="F613" i="19"/>
  <c r="G613" i="19"/>
  <c r="H613" i="19"/>
  <c r="I613" i="19"/>
  <c r="J613" i="19"/>
  <c r="K613" i="19"/>
  <c r="L613" i="19"/>
  <c r="M613" i="19"/>
  <c r="N613" i="19"/>
  <c r="O613" i="19"/>
  <c r="P613" i="19"/>
  <c r="Q613" i="19"/>
  <c r="R613" i="19"/>
  <c r="S613" i="19"/>
  <c r="B614" i="19"/>
  <c r="C614" i="19"/>
  <c r="D614" i="19"/>
  <c r="E614" i="19"/>
  <c r="F614" i="19"/>
  <c r="G614" i="19"/>
  <c r="H614" i="19"/>
  <c r="I614" i="19"/>
  <c r="J614" i="19"/>
  <c r="K614" i="19"/>
  <c r="L614" i="19"/>
  <c r="M614" i="19"/>
  <c r="N614" i="19"/>
  <c r="O614" i="19"/>
  <c r="P614" i="19"/>
  <c r="Q614" i="19"/>
  <c r="R614" i="19"/>
  <c r="S614" i="19"/>
  <c r="B615" i="19"/>
  <c r="C615" i="19"/>
  <c r="D615" i="19"/>
  <c r="E615" i="19"/>
  <c r="F615" i="19"/>
  <c r="G615" i="19"/>
  <c r="H615" i="19"/>
  <c r="I615" i="19"/>
  <c r="J615" i="19"/>
  <c r="K615" i="19"/>
  <c r="L615" i="19"/>
  <c r="M615" i="19"/>
  <c r="N615" i="19"/>
  <c r="O615" i="19"/>
  <c r="P615" i="19"/>
  <c r="Q615" i="19"/>
  <c r="R615" i="19"/>
  <c r="S615" i="19"/>
  <c r="B616" i="19"/>
  <c r="C616" i="19"/>
  <c r="D616" i="19"/>
  <c r="E616" i="19"/>
  <c r="F616" i="19"/>
  <c r="G616" i="19"/>
  <c r="H616" i="19"/>
  <c r="I616" i="19"/>
  <c r="J616" i="19"/>
  <c r="K616" i="19"/>
  <c r="L616" i="19"/>
  <c r="M616" i="19"/>
  <c r="N616" i="19"/>
  <c r="O616" i="19"/>
  <c r="P616" i="19"/>
  <c r="Q616" i="19"/>
  <c r="R616" i="19"/>
  <c r="S616" i="19"/>
  <c r="B617" i="19"/>
  <c r="C617" i="19"/>
  <c r="D617" i="19"/>
  <c r="E617" i="19"/>
  <c r="F617" i="19"/>
  <c r="G617" i="19"/>
  <c r="H617" i="19"/>
  <c r="I617" i="19"/>
  <c r="J617" i="19"/>
  <c r="K617" i="19"/>
  <c r="L617" i="19"/>
  <c r="M617" i="19"/>
  <c r="N617" i="19"/>
  <c r="O617" i="19"/>
  <c r="P617" i="19"/>
  <c r="Q617" i="19"/>
  <c r="R617" i="19"/>
  <c r="S617" i="19"/>
  <c r="B618" i="19"/>
  <c r="C618" i="19"/>
  <c r="D618" i="19"/>
  <c r="E618" i="19"/>
  <c r="F618" i="19"/>
  <c r="G618" i="19"/>
  <c r="H618" i="19"/>
  <c r="I618" i="19"/>
  <c r="J618" i="19"/>
  <c r="K618" i="19"/>
  <c r="L618" i="19"/>
  <c r="M618" i="19"/>
  <c r="N618" i="19"/>
  <c r="O618" i="19"/>
  <c r="P618" i="19"/>
  <c r="Q618" i="19"/>
  <c r="R618" i="19"/>
  <c r="S618" i="19"/>
  <c r="B619" i="19"/>
  <c r="C619" i="19"/>
  <c r="D619" i="19"/>
  <c r="E619" i="19"/>
  <c r="F619" i="19"/>
  <c r="G619" i="19"/>
  <c r="H619" i="19"/>
  <c r="I619" i="19"/>
  <c r="J619" i="19"/>
  <c r="K619" i="19"/>
  <c r="L619" i="19"/>
  <c r="M619" i="19"/>
  <c r="N619" i="19"/>
  <c r="O619" i="19"/>
  <c r="P619" i="19"/>
  <c r="Q619" i="19"/>
  <c r="R619" i="19"/>
  <c r="S619" i="19"/>
  <c r="B620" i="19"/>
  <c r="C620" i="19"/>
  <c r="D620" i="19"/>
  <c r="E620" i="19"/>
  <c r="F620" i="19"/>
  <c r="G620" i="19"/>
  <c r="H620" i="19"/>
  <c r="I620" i="19"/>
  <c r="J620" i="19"/>
  <c r="K620" i="19"/>
  <c r="L620" i="19"/>
  <c r="M620" i="19"/>
  <c r="N620" i="19"/>
  <c r="O620" i="19"/>
  <c r="P620" i="19"/>
  <c r="Q620" i="19"/>
  <c r="R620" i="19"/>
  <c r="S620" i="19"/>
  <c r="B621" i="19"/>
  <c r="C621" i="19"/>
  <c r="D621" i="19"/>
  <c r="E621" i="19"/>
  <c r="F621" i="19"/>
  <c r="G621" i="19"/>
  <c r="H621" i="19"/>
  <c r="I621" i="19"/>
  <c r="J621" i="19"/>
  <c r="K621" i="19"/>
  <c r="L621" i="19"/>
  <c r="M621" i="19"/>
  <c r="N621" i="19"/>
  <c r="O621" i="19"/>
  <c r="P621" i="19"/>
  <c r="Q621" i="19"/>
  <c r="R621" i="19"/>
  <c r="S621" i="19"/>
  <c r="B622" i="19"/>
  <c r="C622" i="19"/>
  <c r="D622" i="19"/>
  <c r="E622" i="19"/>
  <c r="F622" i="19"/>
  <c r="G622" i="19"/>
  <c r="H622" i="19"/>
  <c r="I622" i="19"/>
  <c r="J622" i="19"/>
  <c r="K622" i="19"/>
  <c r="L622" i="19"/>
  <c r="M622" i="19"/>
  <c r="N622" i="19"/>
  <c r="O622" i="19"/>
  <c r="P622" i="19"/>
  <c r="Q622" i="19"/>
  <c r="R622" i="19"/>
  <c r="S622" i="19"/>
  <c r="B623" i="19"/>
  <c r="C623" i="19"/>
  <c r="D623" i="19"/>
  <c r="E623" i="19"/>
  <c r="F623" i="19"/>
  <c r="G623" i="19"/>
  <c r="H623" i="19"/>
  <c r="I623" i="19"/>
  <c r="J623" i="19"/>
  <c r="K623" i="19"/>
  <c r="L623" i="19"/>
  <c r="M623" i="19"/>
  <c r="N623" i="19"/>
  <c r="O623" i="19"/>
  <c r="P623" i="19"/>
  <c r="Q623" i="19"/>
  <c r="R623" i="19"/>
  <c r="S623" i="19"/>
  <c r="B624" i="19"/>
  <c r="C624" i="19"/>
  <c r="D624" i="19"/>
  <c r="E624" i="19"/>
  <c r="F624" i="19"/>
  <c r="G624" i="19"/>
  <c r="H624" i="19"/>
  <c r="I624" i="19"/>
  <c r="J624" i="19"/>
  <c r="K624" i="19"/>
  <c r="L624" i="19"/>
  <c r="M624" i="19"/>
  <c r="N624" i="19"/>
  <c r="O624" i="19"/>
  <c r="P624" i="19"/>
  <c r="Q624" i="19"/>
  <c r="R624" i="19"/>
  <c r="S624" i="19"/>
  <c r="B625" i="19"/>
  <c r="C625" i="19"/>
  <c r="D625" i="19"/>
  <c r="E625" i="19"/>
  <c r="F625" i="19"/>
  <c r="G625" i="19"/>
  <c r="H625" i="19"/>
  <c r="I625" i="19"/>
  <c r="J625" i="19"/>
  <c r="K625" i="19"/>
  <c r="L625" i="19"/>
  <c r="M625" i="19"/>
  <c r="N625" i="19"/>
  <c r="O625" i="19"/>
  <c r="P625" i="19"/>
  <c r="Q625" i="19"/>
  <c r="R625" i="19"/>
  <c r="S625" i="19"/>
  <c r="B626" i="19"/>
  <c r="C626" i="19"/>
  <c r="D626" i="19"/>
  <c r="E626" i="19"/>
  <c r="F626" i="19"/>
  <c r="G626" i="19"/>
  <c r="H626" i="19"/>
  <c r="I626" i="19"/>
  <c r="J626" i="19"/>
  <c r="K626" i="19"/>
  <c r="L626" i="19"/>
  <c r="M626" i="19"/>
  <c r="N626" i="19"/>
  <c r="O626" i="19"/>
  <c r="P626" i="19"/>
  <c r="Q626" i="19"/>
  <c r="R626" i="19"/>
  <c r="S626" i="19"/>
  <c r="B627" i="19"/>
  <c r="C627" i="19"/>
  <c r="D627" i="19"/>
  <c r="E627" i="19"/>
  <c r="F627" i="19"/>
  <c r="G627" i="19"/>
  <c r="H627" i="19"/>
  <c r="I627" i="19"/>
  <c r="J627" i="19"/>
  <c r="K627" i="19"/>
  <c r="L627" i="19"/>
  <c r="M627" i="19"/>
  <c r="N627" i="19"/>
  <c r="O627" i="19"/>
  <c r="P627" i="19"/>
  <c r="Q627" i="19"/>
  <c r="R627" i="19"/>
  <c r="S627" i="19"/>
  <c r="B628" i="19"/>
  <c r="C628" i="19"/>
  <c r="D628" i="19"/>
  <c r="E628" i="19"/>
  <c r="F628" i="19"/>
  <c r="G628" i="19"/>
  <c r="H628" i="19"/>
  <c r="I628" i="19"/>
  <c r="J628" i="19"/>
  <c r="K628" i="19"/>
  <c r="L628" i="19"/>
  <c r="M628" i="19"/>
  <c r="N628" i="19"/>
  <c r="O628" i="19"/>
  <c r="P628" i="19"/>
  <c r="Q628" i="19"/>
  <c r="R628" i="19"/>
  <c r="S628" i="19"/>
  <c r="B629" i="19"/>
  <c r="C629" i="19"/>
  <c r="D629" i="19"/>
  <c r="E629" i="19"/>
  <c r="F629" i="19"/>
  <c r="G629" i="19"/>
  <c r="H629" i="19"/>
  <c r="I629" i="19"/>
  <c r="J629" i="19"/>
  <c r="K629" i="19"/>
  <c r="L629" i="19"/>
  <c r="M629" i="19"/>
  <c r="N629" i="19"/>
  <c r="O629" i="19"/>
  <c r="P629" i="19"/>
  <c r="Q629" i="19"/>
  <c r="R629" i="19"/>
  <c r="S629" i="19"/>
  <c r="B630" i="19"/>
  <c r="C630" i="19"/>
  <c r="D630" i="19"/>
  <c r="E630" i="19"/>
  <c r="F630" i="19"/>
  <c r="G630" i="19"/>
  <c r="H630" i="19"/>
  <c r="I630" i="19"/>
  <c r="J630" i="19"/>
  <c r="K630" i="19"/>
  <c r="L630" i="19"/>
  <c r="M630" i="19"/>
  <c r="N630" i="19"/>
  <c r="O630" i="19"/>
  <c r="P630" i="19"/>
  <c r="Q630" i="19"/>
  <c r="R630" i="19"/>
  <c r="S630" i="19"/>
  <c r="B631" i="19"/>
  <c r="C631" i="19"/>
  <c r="D631" i="19"/>
  <c r="E631" i="19"/>
  <c r="F631" i="19"/>
  <c r="G631" i="19"/>
  <c r="H631" i="19"/>
  <c r="I631" i="19"/>
  <c r="J631" i="19"/>
  <c r="K631" i="19"/>
  <c r="L631" i="19"/>
  <c r="M631" i="19"/>
  <c r="N631" i="19"/>
  <c r="O631" i="19"/>
  <c r="P631" i="19"/>
  <c r="Q631" i="19"/>
  <c r="R631" i="19"/>
  <c r="S631" i="19"/>
  <c r="B632" i="19"/>
  <c r="C632" i="19"/>
  <c r="D632" i="19"/>
  <c r="E632" i="19"/>
  <c r="F632" i="19"/>
  <c r="G632" i="19"/>
  <c r="H632" i="19"/>
  <c r="I632" i="19"/>
  <c r="J632" i="19"/>
  <c r="K632" i="19"/>
  <c r="L632" i="19"/>
  <c r="M632" i="19"/>
  <c r="N632" i="19"/>
  <c r="O632" i="19"/>
  <c r="P632" i="19"/>
  <c r="Q632" i="19"/>
  <c r="R632" i="19"/>
  <c r="S632" i="19"/>
  <c r="B633" i="19"/>
  <c r="C633" i="19"/>
  <c r="D633" i="19"/>
  <c r="E633" i="19"/>
  <c r="F633" i="19"/>
  <c r="G633" i="19"/>
  <c r="H633" i="19"/>
  <c r="I633" i="19"/>
  <c r="J633" i="19"/>
  <c r="K633" i="19"/>
  <c r="L633" i="19"/>
  <c r="M633" i="19"/>
  <c r="N633" i="19"/>
  <c r="O633" i="19"/>
  <c r="P633" i="19"/>
  <c r="Q633" i="19"/>
  <c r="R633" i="19"/>
  <c r="S633" i="19"/>
  <c r="B634" i="19"/>
  <c r="C634" i="19"/>
  <c r="D634" i="19"/>
  <c r="E634" i="19"/>
  <c r="F634" i="19"/>
  <c r="G634" i="19"/>
  <c r="H634" i="19"/>
  <c r="I634" i="19"/>
  <c r="J634" i="19"/>
  <c r="K634" i="19"/>
  <c r="L634" i="19"/>
  <c r="M634" i="19"/>
  <c r="N634" i="19"/>
  <c r="O634" i="19"/>
  <c r="P634" i="19"/>
  <c r="Q634" i="19"/>
  <c r="R634" i="19"/>
  <c r="S634" i="19"/>
  <c r="B635" i="19"/>
  <c r="C635" i="19"/>
  <c r="D635" i="19"/>
  <c r="E635" i="19"/>
  <c r="F635" i="19"/>
  <c r="G635" i="19"/>
  <c r="H635" i="19"/>
  <c r="I635" i="19"/>
  <c r="J635" i="19"/>
  <c r="K635" i="19"/>
  <c r="L635" i="19"/>
  <c r="M635" i="19"/>
  <c r="N635" i="19"/>
  <c r="O635" i="19"/>
  <c r="P635" i="19"/>
  <c r="Q635" i="19"/>
  <c r="R635" i="19"/>
  <c r="S635" i="19"/>
  <c r="B636" i="19"/>
  <c r="C636" i="19"/>
  <c r="D636" i="19"/>
  <c r="E636" i="19"/>
  <c r="F636" i="19"/>
  <c r="G636" i="19"/>
  <c r="H636" i="19"/>
  <c r="I636" i="19"/>
  <c r="J636" i="19"/>
  <c r="K636" i="19"/>
  <c r="L636" i="19"/>
  <c r="M636" i="19"/>
  <c r="N636" i="19"/>
  <c r="O636" i="19"/>
  <c r="P636" i="19"/>
  <c r="Q636" i="19"/>
  <c r="R636" i="19"/>
  <c r="S636" i="19"/>
  <c r="B637" i="19"/>
  <c r="C637" i="19"/>
  <c r="D637" i="19"/>
  <c r="E637" i="19"/>
  <c r="F637" i="19"/>
  <c r="G637" i="19"/>
  <c r="H637" i="19"/>
  <c r="I637" i="19"/>
  <c r="J637" i="19"/>
  <c r="K637" i="19"/>
  <c r="L637" i="19"/>
  <c r="M637" i="19"/>
  <c r="N637" i="19"/>
  <c r="O637" i="19"/>
  <c r="P637" i="19"/>
  <c r="Q637" i="19"/>
  <c r="R637" i="19"/>
  <c r="S637" i="19"/>
  <c r="B638" i="19"/>
  <c r="C638" i="19"/>
  <c r="D638" i="19"/>
  <c r="E638" i="19"/>
  <c r="F638" i="19"/>
  <c r="G638" i="19"/>
  <c r="H638" i="19"/>
  <c r="I638" i="19"/>
  <c r="J638" i="19"/>
  <c r="K638" i="19"/>
  <c r="L638" i="19"/>
  <c r="M638" i="19"/>
  <c r="N638" i="19"/>
  <c r="O638" i="19"/>
  <c r="P638" i="19"/>
  <c r="Q638" i="19"/>
  <c r="R638" i="19"/>
  <c r="S638" i="19"/>
  <c r="B639" i="19"/>
  <c r="C639" i="19"/>
  <c r="D639" i="19"/>
  <c r="E639" i="19"/>
  <c r="F639" i="19"/>
  <c r="G639" i="19"/>
  <c r="H639" i="19"/>
  <c r="I639" i="19"/>
  <c r="J639" i="19"/>
  <c r="K639" i="19"/>
  <c r="L639" i="19"/>
  <c r="M639" i="19"/>
  <c r="N639" i="19"/>
  <c r="O639" i="19"/>
  <c r="P639" i="19"/>
  <c r="Q639" i="19"/>
  <c r="R639" i="19"/>
  <c r="S639" i="19"/>
  <c r="B640" i="19"/>
  <c r="C640" i="19"/>
  <c r="D640" i="19"/>
  <c r="E640" i="19"/>
  <c r="F640" i="19"/>
  <c r="G640" i="19"/>
  <c r="H640" i="19"/>
  <c r="I640" i="19"/>
  <c r="J640" i="19"/>
  <c r="K640" i="19"/>
  <c r="L640" i="19"/>
  <c r="M640" i="19"/>
  <c r="N640" i="19"/>
  <c r="O640" i="19"/>
  <c r="P640" i="19"/>
  <c r="Q640" i="19"/>
  <c r="R640" i="19"/>
  <c r="S640" i="19"/>
  <c r="B641" i="19"/>
  <c r="C641" i="19"/>
  <c r="D641" i="19"/>
  <c r="E641" i="19"/>
  <c r="F641" i="19"/>
  <c r="G641" i="19"/>
  <c r="H641" i="19"/>
  <c r="I641" i="19"/>
  <c r="J641" i="19"/>
  <c r="K641" i="19"/>
  <c r="L641" i="19"/>
  <c r="M641" i="19"/>
  <c r="N641" i="19"/>
  <c r="O641" i="19"/>
  <c r="P641" i="19"/>
  <c r="Q641" i="19"/>
  <c r="R641" i="19"/>
  <c r="S641" i="19"/>
  <c r="B642" i="19"/>
  <c r="C642" i="19"/>
  <c r="D642" i="19"/>
  <c r="E642" i="19"/>
  <c r="F642" i="19"/>
  <c r="G642" i="19"/>
  <c r="H642" i="19"/>
  <c r="I642" i="19"/>
  <c r="J642" i="19"/>
  <c r="K642" i="19"/>
  <c r="L642" i="19"/>
  <c r="M642" i="19"/>
  <c r="N642" i="19"/>
  <c r="O642" i="19"/>
  <c r="P642" i="19"/>
  <c r="Q642" i="19"/>
  <c r="R642" i="19"/>
  <c r="S642" i="19"/>
  <c r="B643" i="19"/>
  <c r="C643" i="19"/>
  <c r="D643" i="19"/>
  <c r="E643" i="19"/>
  <c r="F643" i="19"/>
  <c r="G643" i="19"/>
  <c r="H643" i="19"/>
  <c r="I643" i="19"/>
  <c r="J643" i="19"/>
  <c r="K643" i="19"/>
  <c r="L643" i="19"/>
  <c r="M643" i="19"/>
  <c r="N643" i="19"/>
  <c r="O643" i="19"/>
  <c r="P643" i="19"/>
  <c r="Q643" i="19"/>
  <c r="R643" i="19"/>
  <c r="S643" i="19"/>
  <c r="B644" i="19"/>
  <c r="C644" i="19"/>
  <c r="D644" i="19"/>
  <c r="E644" i="19"/>
  <c r="F644" i="19"/>
  <c r="G644" i="19"/>
  <c r="H644" i="19"/>
  <c r="I644" i="19"/>
  <c r="J644" i="19"/>
  <c r="K644" i="19"/>
  <c r="L644" i="19"/>
  <c r="M644" i="19"/>
  <c r="N644" i="19"/>
  <c r="O644" i="19"/>
  <c r="P644" i="19"/>
  <c r="Q644" i="19"/>
  <c r="R644" i="19"/>
  <c r="S644" i="19"/>
  <c r="B645" i="19"/>
  <c r="C645" i="19"/>
  <c r="D645" i="19"/>
  <c r="E645" i="19"/>
  <c r="F645" i="19"/>
  <c r="G645" i="19"/>
  <c r="H645" i="19"/>
  <c r="I645" i="19"/>
  <c r="J645" i="19"/>
  <c r="K645" i="19"/>
  <c r="L645" i="19"/>
  <c r="M645" i="19"/>
  <c r="N645" i="19"/>
  <c r="O645" i="19"/>
  <c r="P645" i="19"/>
  <c r="Q645" i="19"/>
  <c r="R645" i="19"/>
  <c r="S645" i="19"/>
  <c r="B646" i="19"/>
  <c r="C646" i="19"/>
  <c r="D646" i="19"/>
  <c r="E646" i="19"/>
  <c r="F646" i="19"/>
  <c r="G646" i="19"/>
  <c r="H646" i="19"/>
  <c r="I646" i="19"/>
  <c r="J646" i="19"/>
  <c r="K646" i="19"/>
  <c r="L646" i="19"/>
  <c r="M646" i="19"/>
  <c r="N646" i="19"/>
  <c r="O646" i="19"/>
  <c r="P646" i="19"/>
  <c r="Q646" i="19"/>
  <c r="R646" i="19"/>
  <c r="S646" i="19"/>
  <c r="B647" i="19"/>
  <c r="C647" i="19"/>
  <c r="D647" i="19"/>
  <c r="E647" i="19"/>
  <c r="F647" i="19"/>
  <c r="G647" i="19"/>
  <c r="H647" i="19"/>
  <c r="I647" i="19"/>
  <c r="J647" i="19"/>
  <c r="K647" i="19"/>
  <c r="L647" i="19"/>
  <c r="M647" i="19"/>
  <c r="N647" i="19"/>
  <c r="O647" i="19"/>
  <c r="P647" i="19"/>
  <c r="Q647" i="19"/>
  <c r="R647" i="19"/>
  <c r="S647" i="19"/>
  <c r="B648" i="19"/>
  <c r="C648" i="19"/>
  <c r="D648" i="19"/>
  <c r="E648" i="19"/>
  <c r="F648" i="19"/>
  <c r="G648" i="19"/>
  <c r="H648" i="19"/>
  <c r="I648" i="19"/>
  <c r="J648" i="19"/>
  <c r="K648" i="19"/>
  <c r="L648" i="19"/>
  <c r="M648" i="19"/>
  <c r="N648" i="19"/>
  <c r="O648" i="19"/>
  <c r="P648" i="19"/>
  <c r="Q648" i="19"/>
  <c r="R648" i="19"/>
  <c r="S648" i="19"/>
  <c r="B649" i="19"/>
  <c r="C649" i="19"/>
  <c r="D649" i="19"/>
  <c r="E649" i="19"/>
  <c r="F649" i="19"/>
  <c r="G649" i="19"/>
  <c r="H649" i="19"/>
  <c r="I649" i="19"/>
  <c r="J649" i="19"/>
  <c r="K649" i="19"/>
  <c r="L649" i="19"/>
  <c r="M649" i="19"/>
  <c r="N649" i="19"/>
  <c r="O649" i="19"/>
  <c r="P649" i="19"/>
  <c r="Q649" i="19"/>
  <c r="R649" i="19"/>
  <c r="S649" i="19"/>
  <c r="B650" i="19"/>
  <c r="C650" i="19"/>
  <c r="D650" i="19"/>
  <c r="E650" i="19"/>
  <c r="F650" i="19"/>
  <c r="G650" i="19"/>
  <c r="H650" i="19"/>
  <c r="I650" i="19"/>
  <c r="J650" i="19"/>
  <c r="K650" i="19"/>
  <c r="L650" i="19"/>
  <c r="M650" i="19"/>
  <c r="N650" i="19"/>
  <c r="O650" i="19"/>
  <c r="P650" i="19"/>
  <c r="Q650" i="19"/>
  <c r="R650" i="19"/>
  <c r="S650" i="19"/>
  <c r="B651" i="19"/>
  <c r="C651" i="19"/>
  <c r="D651" i="19"/>
  <c r="E651" i="19"/>
  <c r="F651" i="19"/>
  <c r="G651" i="19"/>
  <c r="H651" i="19"/>
  <c r="I651" i="19"/>
  <c r="J651" i="19"/>
  <c r="K651" i="19"/>
  <c r="L651" i="19"/>
  <c r="M651" i="19"/>
  <c r="N651" i="19"/>
  <c r="O651" i="19"/>
  <c r="P651" i="19"/>
  <c r="Q651" i="19"/>
  <c r="R651" i="19"/>
  <c r="S651" i="19"/>
  <c r="B652" i="19"/>
  <c r="C652" i="19"/>
  <c r="D652" i="19"/>
  <c r="E652" i="19"/>
  <c r="F652" i="19"/>
  <c r="G652" i="19"/>
  <c r="H652" i="19"/>
  <c r="I652" i="19"/>
  <c r="J652" i="19"/>
  <c r="K652" i="19"/>
  <c r="L652" i="19"/>
  <c r="M652" i="19"/>
  <c r="N652" i="19"/>
  <c r="O652" i="19"/>
  <c r="P652" i="19"/>
  <c r="Q652" i="19"/>
  <c r="R652" i="19"/>
  <c r="S652" i="19"/>
  <c r="B653" i="19"/>
  <c r="C653" i="19"/>
  <c r="D653" i="19"/>
  <c r="E653" i="19"/>
  <c r="F653" i="19"/>
  <c r="G653" i="19"/>
  <c r="H653" i="19"/>
  <c r="I653" i="19"/>
  <c r="J653" i="19"/>
  <c r="K653" i="19"/>
  <c r="L653" i="19"/>
  <c r="M653" i="19"/>
  <c r="N653" i="19"/>
  <c r="O653" i="19"/>
  <c r="P653" i="19"/>
  <c r="Q653" i="19"/>
  <c r="R653" i="19"/>
  <c r="S653" i="19"/>
  <c r="B654" i="19"/>
  <c r="C654" i="19"/>
  <c r="D654" i="19"/>
  <c r="E654" i="19"/>
  <c r="F654" i="19"/>
  <c r="G654" i="19"/>
  <c r="H654" i="19"/>
  <c r="I654" i="19"/>
  <c r="J654" i="19"/>
  <c r="K654" i="19"/>
  <c r="L654" i="19"/>
  <c r="M654" i="19"/>
  <c r="N654" i="19"/>
  <c r="O654" i="19"/>
  <c r="P654" i="19"/>
  <c r="Q654" i="19"/>
  <c r="R654" i="19"/>
  <c r="S654" i="19"/>
  <c r="B655" i="19"/>
  <c r="C655" i="19"/>
  <c r="D655" i="19"/>
  <c r="E655" i="19"/>
  <c r="F655" i="19"/>
  <c r="G655" i="19"/>
  <c r="H655" i="19"/>
  <c r="I655" i="19"/>
  <c r="J655" i="19"/>
  <c r="K655" i="19"/>
  <c r="L655" i="19"/>
  <c r="M655" i="19"/>
  <c r="N655" i="19"/>
  <c r="O655" i="19"/>
  <c r="P655" i="19"/>
  <c r="Q655" i="19"/>
  <c r="R655" i="19"/>
  <c r="S655" i="19"/>
  <c r="B656" i="19"/>
  <c r="C656" i="19"/>
  <c r="D656" i="19"/>
  <c r="E656" i="19"/>
  <c r="F656" i="19"/>
  <c r="G656" i="19"/>
  <c r="H656" i="19"/>
  <c r="I656" i="19"/>
  <c r="J656" i="19"/>
  <c r="K656" i="19"/>
  <c r="L656" i="19"/>
  <c r="M656" i="19"/>
  <c r="N656" i="19"/>
  <c r="O656" i="19"/>
  <c r="P656" i="19"/>
  <c r="Q656" i="19"/>
  <c r="R656" i="19"/>
  <c r="S656" i="19"/>
  <c r="B657" i="19"/>
  <c r="C657" i="19"/>
  <c r="D657" i="19"/>
  <c r="E657" i="19"/>
  <c r="F657" i="19"/>
  <c r="G657" i="19"/>
  <c r="H657" i="19"/>
  <c r="I657" i="19"/>
  <c r="J657" i="19"/>
  <c r="K657" i="19"/>
  <c r="L657" i="19"/>
  <c r="M657" i="19"/>
  <c r="N657" i="19"/>
  <c r="O657" i="19"/>
  <c r="P657" i="19"/>
  <c r="Q657" i="19"/>
  <c r="R657" i="19"/>
  <c r="S657" i="19"/>
  <c r="B658" i="19"/>
  <c r="C658" i="19"/>
  <c r="D658" i="19"/>
  <c r="E658" i="19"/>
  <c r="F658" i="19"/>
  <c r="G658" i="19"/>
  <c r="H658" i="19"/>
  <c r="I658" i="19"/>
  <c r="J658" i="19"/>
  <c r="K658" i="19"/>
  <c r="L658" i="19"/>
  <c r="M658" i="19"/>
  <c r="N658" i="19"/>
  <c r="O658" i="19"/>
  <c r="P658" i="19"/>
  <c r="Q658" i="19"/>
  <c r="R658" i="19"/>
  <c r="S658" i="19"/>
  <c r="B659" i="19"/>
  <c r="C659" i="19"/>
  <c r="D659" i="19"/>
  <c r="E659" i="19"/>
  <c r="F659" i="19"/>
  <c r="G659" i="19"/>
  <c r="H659" i="19"/>
  <c r="I659" i="19"/>
  <c r="J659" i="19"/>
  <c r="K659" i="19"/>
  <c r="L659" i="19"/>
  <c r="M659" i="19"/>
  <c r="N659" i="19"/>
  <c r="O659" i="19"/>
  <c r="P659" i="19"/>
  <c r="Q659" i="19"/>
  <c r="R659" i="19"/>
  <c r="S659" i="19"/>
  <c r="B660" i="19"/>
  <c r="C660" i="19"/>
  <c r="D660" i="19"/>
  <c r="E660" i="19"/>
  <c r="F660" i="19"/>
  <c r="G660" i="19"/>
  <c r="H660" i="19"/>
  <c r="I660" i="19"/>
  <c r="J660" i="19"/>
  <c r="K660" i="19"/>
  <c r="L660" i="19"/>
  <c r="M660" i="19"/>
  <c r="N660" i="19"/>
  <c r="O660" i="19"/>
  <c r="P660" i="19"/>
  <c r="Q660" i="19"/>
  <c r="R660" i="19"/>
  <c r="S660" i="19"/>
  <c r="B661" i="19"/>
  <c r="C661" i="19"/>
  <c r="D661" i="19"/>
  <c r="E661" i="19"/>
  <c r="F661" i="19"/>
  <c r="G661" i="19"/>
  <c r="H661" i="19"/>
  <c r="I661" i="19"/>
  <c r="J661" i="19"/>
  <c r="K661" i="19"/>
  <c r="L661" i="19"/>
  <c r="M661" i="19"/>
  <c r="N661" i="19"/>
  <c r="O661" i="19"/>
  <c r="P661" i="19"/>
  <c r="Q661" i="19"/>
  <c r="R661" i="19"/>
  <c r="S661" i="19"/>
  <c r="B662" i="19"/>
  <c r="C662" i="19"/>
  <c r="D662" i="19"/>
  <c r="E662" i="19"/>
  <c r="F662" i="19"/>
  <c r="G662" i="19"/>
  <c r="H662" i="19"/>
  <c r="I662" i="19"/>
  <c r="J662" i="19"/>
  <c r="K662" i="19"/>
  <c r="L662" i="19"/>
  <c r="M662" i="19"/>
  <c r="N662" i="19"/>
  <c r="O662" i="19"/>
  <c r="P662" i="19"/>
  <c r="Q662" i="19"/>
  <c r="R662" i="19"/>
  <c r="S662" i="19"/>
  <c r="B663" i="19"/>
  <c r="C663" i="19"/>
  <c r="D663" i="19"/>
  <c r="E663" i="19"/>
  <c r="F663" i="19"/>
  <c r="G663" i="19"/>
  <c r="H663" i="19"/>
  <c r="I663" i="19"/>
  <c r="J663" i="19"/>
  <c r="K663" i="19"/>
  <c r="L663" i="19"/>
  <c r="M663" i="19"/>
  <c r="N663" i="19"/>
  <c r="O663" i="19"/>
  <c r="P663" i="19"/>
  <c r="Q663" i="19"/>
  <c r="R663" i="19"/>
  <c r="S663" i="19"/>
  <c r="B664" i="19"/>
  <c r="C664" i="19"/>
  <c r="D664" i="19"/>
  <c r="E664" i="19"/>
  <c r="F664" i="19"/>
  <c r="G664" i="19"/>
  <c r="H664" i="19"/>
  <c r="I664" i="19"/>
  <c r="J664" i="19"/>
  <c r="K664" i="19"/>
  <c r="L664" i="19"/>
  <c r="M664" i="19"/>
  <c r="N664" i="19"/>
  <c r="O664" i="19"/>
  <c r="P664" i="19"/>
  <c r="Q664" i="19"/>
  <c r="R664" i="19"/>
  <c r="S664" i="19"/>
  <c r="B665" i="19"/>
  <c r="C665" i="19"/>
  <c r="D665" i="19"/>
  <c r="E665" i="19"/>
  <c r="F665" i="19"/>
  <c r="G665" i="19"/>
  <c r="H665" i="19"/>
  <c r="I665" i="19"/>
  <c r="J665" i="19"/>
  <c r="K665" i="19"/>
  <c r="L665" i="19"/>
  <c r="M665" i="19"/>
  <c r="N665" i="19"/>
  <c r="O665" i="19"/>
  <c r="P665" i="19"/>
  <c r="Q665" i="19"/>
  <c r="R665" i="19"/>
  <c r="S665" i="19"/>
  <c r="B666" i="19"/>
  <c r="C666" i="19"/>
  <c r="D666" i="19"/>
  <c r="E666" i="19"/>
  <c r="F666" i="19"/>
  <c r="G666" i="19"/>
  <c r="H666" i="19"/>
  <c r="I666" i="19"/>
  <c r="J666" i="19"/>
  <c r="K666" i="19"/>
  <c r="L666" i="19"/>
  <c r="M666" i="19"/>
  <c r="N666" i="19"/>
  <c r="O666" i="19"/>
  <c r="P666" i="19"/>
  <c r="Q666" i="19"/>
  <c r="R666" i="19"/>
  <c r="S666" i="19"/>
  <c r="B667" i="19"/>
  <c r="C667" i="19"/>
  <c r="D667" i="19"/>
  <c r="E667" i="19"/>
  <c r="F667" i="19"/>
  <c r="G667" i="19"/>
  <c r="H667" i="19"/>
  <c r="I667" i="19"/>
  <c r="J667" i="19"/>
  <c r="K667" i="19"/>
  <c r="L667" i="19"/>
  <c r="M667" i="19"/>
  <c r="N667" i="19"/>
  <c r="O667" i="19"/>
  <c r="P667" i="19"/>
  <c r="Q667" i="19"/>
  <c r="R667" i="19"/>
  <c r="S667" i="19"/>
  <c r="B668" i="19"/>
  <c r="C668" i="19"/>
  <c r="D668" i="19"/>
  <c r="E668" i="19"/>
  <c r="F668" i="19"/>
  <c r="G668" i="19"/>
  <c r="H668" i="19"/>
  <c r="I668" i="19"/>
  <c r="J668" i="19"/>
  <c r="K668" i="19"/>
  <c r="L668" i="19"/>
  <c r="M668" i="19"/>
  <c r="N668" i="19"/>
  <c r="O668" i="19"/>
  <c r="P668" i="19"/>
  <c r="Q668" i="19"/>
  <c r="R668" i="19"/>
  <c r="S668" i="19"/>
  <c r="B669" i="19"/>
  <c r="C669" i="19"/>
  <c r="D669" i="19"/>
  <c r="E669" i="19"/>
  <c r="F669" i="19"/>
  <c r="G669" i="19"/>
  <c r="H669" i="19"/>
  <c r="I669" i="19"/>
  <c r="J669" i="19"/>
  <c r="K669" i="19"/>
  <c r="L669" i="19"/>
  <c r="M669" i="19"/>
  <c r="N669" i="19"/>
  <c r="O669" i="19"/>
  <c r="P669" i="19"/>
  <c r="Q669" i="19"/>
  <c r="R669" i="19"/>
  <c r="S669" i="19"/>
  <c r="B670" i="19"/>
  <c r="C670" i="19"/>
  <c r="D670" i="19"/>
  <c r="E670" i="19"/>
  <c r="F670" i="19"/>
  <c r="G670" i="19"/>
  <c r="H670" i="19"/>
  <c r="I670" i="19"/>
  <c r="J670" i="19"/>
  <c r="K670" i="19"/>
  <c r="L670" i="19"/>
  <c r="M670" i="19"/>
  <c r="N670" i="19"/>
  <c r="O670" i="19"/>
  <c r="P670" i="19"/>
  <c r="Q670" i="19"/>
  <c r="R670" i="19"/>
  <c r="S670" i="19"/>
  <c r="B671" i="19"/>
  <c r="C671" i="19"/>
  <c r="D671" i="19"/>
  <c r="E671" i="19"/>
  <c r="F671" i="19"/>
  <c r="G671" i="19"/>
  <c r="H671" i="19"/>
  <c r="I671" i="19"/>
  <c r="J671" i="19"/>
  <c r="K671" i="19"/>
  <c r="L671" i="19"/>
  <c r="M671" i="19"/>
  <c r="N671" i="19"/>
  <c r="O671" i="19"/>
  <c r="P671" i="19"/>
  <c r="Q671" i="19"/>
  <c r="R671" i="19"/>
  <c r="S671" i="19"/>
  <c r="B672" i="19"/>
  <c r="C672" i="19"/>
  <c r="D672" i="19"/>
  <c r="E672" i="19"/>
  <c r="F672" i="19"/>
  <c r="G672" i="19"/>
  <c r="H672" i="19"/>
  <c r="I672" i="19"/>
  <c r="J672" i="19"/>
  <c r="K672" i="19"/>
  <c r="L672" i="19"/>
  <c r="M672" i="19"/>
  <c r="N672" i="19"/>
  <c r="O672" i="19"/>
  <c r="P672" i="19"/>
  <c r="Q672" i="19"/>
  <c r="R672" i="19"/>
  <c r="S672" i="19"/>
  <c r="B673" i="19"/>
  <c r="C673" i="19"/>
  <c r="D673" i="19"/>
  <c r="E673" i="19"/>
  <c r="F673" i="19"/>
  <c r="G673" i="19"/>
  <c r="H673" i="19"/>
  <c r="I673" i="19"/>
  <c r="J673" i="19"/>
  <c r="K673" i="19"/>
  <c r="L673" i="19"/>
  <c r="M673" i="19"/>
  <c r="N673" i="19"/>
  <c r="O673" i="19"/>
  <c r="P673" i="19"/>
  <c r="Q673" i="19"/>
  <c r="R673" i="19"/>
  <c r="S673" i="19"/>
  <c r="B674" i="19"/>
  <c r="C674" i="19"/>
  <c r="D674" i="19"/>
  <c r="E674" i="19"/>
  <c r="F674" i="19"/>
  <c r="G674" i="19"/>
  <c r="H674" i="19"/>
  <c r="I674" i="19"/>
  <c r="J674" i="19"/>
  <c r="K674" i="19"/>
  <c r="L674" i="19"/>
  <c r="M674" i="19"/>
  <c r="N674" i="19"/>
  <c r="O674" i="19"/>
  <c r="P674" i="19"/>
  <c r="Q674" i="19"/>
  <c r="R674" i="19"/>
  <c r="S674" i="19"/>
  <c r="B675" i="19"/>
  <c r="C675" i="19"/>
  <c r="D675" i="19"/>
  <c r="E675" i="19"/>
  <c r="F675" i="19"/>
  <c r="G675" i="19"/>
  <c r="H675" i="19"/>
  <c r="I675" i="19"/>
  <c r="J675" i="19"/>
  <c r="K675" i="19"/>
  <c r="L675" i="19"/>
  <c r="M675" i="19"/>
  <c r="N675" i="19"/>
  <c r="O675" i="19"/>
  <c r="P675" i="19"/>
  <c r="Q675" i="19"/>
  <c r="R675" i="19"/>
  <c r="S675" i="19"/>
  <c r="B676" i="19"/>
  <c r="C676" i="19"/>
  <c r="D676" i="19"/>
  <c r="E676" i="19"/>
  <c r="F676" i="19"/>
  <c r="G676" i="19"/>
  <c r="H676" i="19"/>
  <c r="I676" i="19"/>
  <c r="J676" i="19"/>
  <c r="K676" i="19"/>
  <c r="L676" i="19"/>
  <c r="M676" i="19"/>
  <c r="N676" i="19"/>
  <c r="O676" i="19"/>
  <c r="P676" i="19"/>
  <c r="Q676" i="19"/>
  <c r="R676" i="19"/>
  <c r="S676" i="19"/>
  <c r="B677" i="19"/>
  <c r="C677" i="19"/>
  <c r="D677" i="19"/>
  <c r="E677" i="19"/>
  <c r="F677" i="19"/>
  <c r="G677" i="19"/>
  <c r="H677" i="19"/>
  <c r="I677" i="19"/>
  <c r="J677" i="19"/>
  <c r="K677" i="19"/>
  <c r="L677" i="19"/>
  <c r="M677" i="19"/>
  <c r="N677" i="19"/>
  <c r="O677" i="19"/>
  <c r="P677" i="19"/>
  <c r="Q677" i="19"/>
  <c r="R677" i="19"/>
  <c r="S677" i="19"/>
  <c r="B678" i="19"/>
  <c r="C678" i="19"/>
  <c r="D678" i="19"/>
  <c r="E678" i="19"/>
  <c r="F678" i="19"/>
  <c r="G678" i="19"/>
  <c r="H678" i="19"/>
  <c r="I678" i="19"/>
  <c r="J678" i="19"/>
  <c r="K678" i="19"/>
  <c r="L678" i="19"/>
  <c r="M678" i="19"/>
  <c r="N678" i="19"/>
  <c r="O678" i="19"/>
  <c r="P678" i="19"/>
  <c r="Q678" i="19"/>
  <c r="R678" i="19"/>
  <c r="S678" i="19"/>
  <c r="B679" i="19"/>
  <c r="C679" i="19"/>
  <c r="D679" i="19"/>
  <c r="E679" i="19"/>
  <c r="F679" i="19"/>
  <c r="G679" i="19"/>
  <c r="H679" i="19"/>
  <c r="I679" i="19"/>
  <c r="J679" i="19"/>
  <c r="K679" i="19"/>
  <c r="L679" i="19"/>
  <c r="M679" i="19"/>
  <c r="N679" i="19"/>
  <c r="O679" i="19"/>
  <c r="P679" i="19"/>
  <c r="Q679" i="19"/>
  <c r="R679" i="19"/>
  <c r="S679" i="19"/>
  <c r="B680" i="19"/>
  <c r="C680" i="19"/>
  <c r="D680" i="19"/>
  <c r="E680" i="19"/>
  <c r="F680" i="19"/>
  <c r="G680" i="19"/>
  <c r="H680" i="19"/>
  <c r="I680" i="19"/>
  <c r="J680" i="19"/>
  <c r="K680" i="19"/>
  <c r="L680" i="19"/>
  <c r="M680" i="19"/>
  <c r="N680" i="19"/>
  <c r="O680" i="19"/>
  <c r="P680" i="19"/>
  <c r="Q680" i="19"/>
  <c r="R680" i="19"/>
  <c r="S680" i="19"/>
  <c r="B681" i="19"/>
  <c r="C681" i="19"/>
  <c r="D681" i="19"/>
  <c r="E681" i="19"/>
  <c r="F681" i="19"/>
  <c r="G681" i="19"/>
  <c r="H681" i="19"/>
  <c r="I681" i="19"/>
  <c r="J681" i="19"/>
  <c r="K681" i="19"/>
  <c r="L681" i="19"/>
  <c r="M681" i="19"/>
  <c r="N681" i="19"/>
  <c r="O681" i="19"/>
  <c r="P681" i="19"/>
  <c r="Q681" i="19"/>
  <c r="R681" i="19"/>
  <c r="S681" i="19"/>
  <c r="B682" i="19"/>
  <c r="C682" i="19"/>
  <c r="D682" i="19"/>
  <c r="E682" i="19"/>
  <c r="F682" i="19"/>
  <c r="G682" i="19"/>
  <c r="H682" i="19"/>
  <c r="I682" i="19"/>
  <c r="J682" i="19"/>
  <c r="K682" i="19"/>
  <c r="L682" i="19"/>
  <c r="M682" i="19"/>
  <c r="N682" i="19"/>
  <c r="O682" i="19"/>
  <c r="P682" i="19"/>
  <c r="Q682" i="19"/>
  <c r="R682" i="19"/>
  <c r="S682" i="19"/>
  <c r="B683" i="19"/>
  <c r="C683" i="19"/>
  <c r="D683" i="19"/>
  <c r="E683" i="19"/>
  <c r="F683" i="19"/>
  <c r="G683" i="19"/>
  <c r="H683" i="19"/>
  <c r="I683" i="19"/>
  <c r="J683" i="19"/>
  <c r="K683" i="19"/>
  <c r="L683" i="19"/>
  <c r="M683" i="19"/>
  <c r="N683" i="19"/>
  <c r="O683" i="19"/>
  <c r="P683" i="19"/>
  <c r="Q683" i="19"/>
  <c r="R683" i="19"/>
  <c r="S683" i="19"/>
  <c r="B684" i="19"/>
  <c r="C684" i="19"/>
  <c r="D684" i="19"/>
  <c r="E684" i="19"/>
  <c r="F684" i="19"/>
  <c r="G684" i="19"/>
  <c r="H684" i="19"/>
  <c r="I684" i="19"/>
  <c r="J684" i="19"/>
  <c r="K684" i="19"/>
  <c r="L684" i="19"/>
  <c r="M684" i="19"/>
  <c r="N684" i="19"/>
  <c r="O684" i="19"/>
  <c r="P684" i="19"/>
  <c r="Q684" i="19"/>
  <c r="R684" i="19"/>
  <c r="S684" i="19"/>
  <c r="B685" i="19"/>
  <c r="C685" i="19"/>
  <c r="D685" i="19"/>
  <c r="E685" i="19"/>
  <c r="F685" i="19"/>
  <c r="G685" i="19"/>
  <c r="H685" i="19"/>
  <c r="I685" i="19"/>
  <c r="J685" i="19"/>
  <c r="K685" i="19"/>
  <c r="L685" i="19"/>
  <c r="M685" i="19"/>
  <c r="N685" i="19"/>
  <c r="O685" i="19"/>
  <c r="P685" i="19"/>
  <c r="Q685" i="19"/>
  <c r="R685" i="19"/>
  <c r="S685" i="19"/>
  <c r="B686" i="19"/>
  <c r="C686" i="19"/>
  <c r="D686" i="19"/>
  <c r="E686" i="19"/>
  <c r="F686" i="19"/>
  <c r="G686" i="19"/>
  <c r="H686" i="19"/>
  <c r="I686" i="19"/>
  <c r="J686" i="19"/>
  <c r="K686" i="19"/>
  <c r="L686" i="19"/>
  <c r="M686" i="19"/>
  <c r="N686" i="19"/>
  <c r="O686" i="19"/>
  <c r="P686" i="19"/>
  <c r="Q686" i="19"/>
  <c r="R686" i="19"/>
  <c r="S686" i="19"/>
  <c r="B687" i="19"/>
  <c r="C687" i="19"/>
  <c r="D687" i="19"/>
  <c r="E687" i="19"/>
  <c r="F687" i="19"/>
  <c r="G687" i="19"/>
  <c r="H687" i="19"/>
  <c r="I687" i="19"/>
  <c r="J687" i="19"/>
  <c r="K687" i="19"/>
  <c r="L687" i="19"/>
  <c r="M687" i="19"/>
  <c r="N687" i="19"/>
  <c r="O687" i="19"/>
  <c r="P687" i="19"/>
  <c r="Q687" i="19"/>
  <c r="R687" i="19"/>
  <c r="S687" i="19"/>
  <c r="B688" i="19"/>
  <c r="C688" i="19"/>
  <c r="D688" i="19"/>
  <c r="E688" i="19"/>
  <c r="F688" i="19"/>
  <c r="G688" i="19"/>
  <c r="H688" i="19"/>
  <c r="I688" i="19"/>
  <c r="J688" i="19"/>
  <c r="K688" i="19"/>
  <c r="L688" i="19"/>
  <c r="M688" i="19"/>
  <c r="N688" i="19"/>
  <c r="O688" i="19"/>
  <c r="P688" i="19"/>
  <c r="Q688" i="19"/>
  <c r="R688" i="19"/>
  <c r="S688" i="19"/>
  <c r="B689" i="19"/>
  <c r="C689" i="19"/>
  <c r="D689" i="19"/>
  <c r="E689" i="19"/>
  <c r="F689" i="19"/>
  <c r="G689" i="19"/>
  <c r="H689" i="19"/>
  <c r="I689" i="19"/>
  <c r="J689" i="19"/>
  <c r="K689" i="19"/>
  <c r="L689" i="19"/>
  <c r="M689" i="19"/>
  <c r="N689" i="19"/>
  <c r="O689" i="19"/>
  <c r="P689" i="19"/>
  <c r="Q689" i="19"/>
  <c r="R689" i="19"/>
  <c r="S689" i="19"/>
  <c r="B690" i="19"/>
  <c r="C690" i="19"/>
  <c r="D690" i="19"/>
  <c r="E690" i="19"/>
  <c r="F690" i="19"/>
  <c r="G690" i="19"/>
  <c r="H690" i="19"/>
  <c r="I690" i="19"/>
  <c r="J690" i="19"/>
  <c r="K690" i="19"/>
  <c r="L690" i="19"/>
  <c r="M690" i="19"/>
  <c r="N690" i="19"/>
  <c r="O690" i="19"/>
  <c r="P690" i="19"/>
  <c r="Q690" i="19"/>
  <c r="R690" i="19"/>
  <c r="S690" i="19"/>
  <c r="B691" i="19"/>
  <c r="C691" i="19"/>
  <c r="D691" i="19"/>
  <c r="E691" i="19"/>
  <c r="F691" i="19"/>
  <c r="G691" i="19"/>
  <c r="H691" i="19"/>
  <c r="I691" i="19"/>
  <c r="J691" i="19"/>
  <c r="K691" i="19"/>
  <c r="L691" i="19"/>
  <c r="M691" i="19"/>
  <c r="N691" i="19"/>
  <c r="O691" i="19"/>
  <c r="P691" i="19"/>
  <c r="Q691" i="19"/>
  <c r="R691" i="19"/>
  <c r="S691" i="19"/>
  <c r="B692" i="19"/>
  <c r="C692" i="19"/>
  <c r="D692" i="19"/>
  <c r="E692" i="19"/>
  <c r="F692" i="19"/>
  <c r="G692" i="19"/>
  <c r="H692" i="19"/>
  <c r="I692" i="19"/>
  <c r="J692" i="19"/>
  <c r="K692" i="19"/>
  <c r="L692" i="19"/>
  <c r="M692" i="19"/>
  <c r="N692" i="19"/>
  <c r="O692" i="19"/>
  <c r="P692" i="19"/>
  <c r="Q692" i="19"/>
  <c r="R692" i="19"/>
  <c r="S692" i="19"/>
  <c r="B693" i="19"/>
  <c r="C693" i="19"/>
  <c r="D693" i="19"/>
  <c r="E693" i="19"/>
  <c r="F693" i="19"/>
  <c r="G693" i="19"/>
  <c r="H693" i="19"/>
  <c r="I693" i="19"/>
  <c r="J693" i="19"/>
  <c r="K693" i="19"/>
  <c r="L693" i="19"/>
  <c r="M693" i="19"/>
  <c r="N693" i="19"/>
  <c r="O693" i="19"/>
  <c r="P693" i="19"/>
  <c r="Q693" i="19"/>
  <c r="R693" i="19"/>
  <c r="S693" i="19"/>
  <c r="B694" i="19"/>
  <c r="C694" i="19"/>
  <c r="D694" i="19"/>
  <c r="E694" i="19"/>
  <c r="F694" i="19"/>
  <c r="G694" i="19"/>
  <c r="H694" i="19"/>
  <c r="I694" i="19"/>
  <c r="J694" i="19"/>
  <c r="K694" i="19"/>
  <c r="L694" i="19"/>
  <c r="M694" i="19"/>
  <c r="N694" i="19"/>
  <c r="O694" i="19"/>
  <c r="P694" i="19"/>
  <c r="Q694" i="19"/>
  <c r="R694" i="19"/>
  <c r="S694" i="19"/>
  <c r="B695" i="19"/>
  <c r="C695" i="19"/>
  <c r="D695" i="19"/>
  <c r="E695" i="19"/>
  <c r="F695" i="19"/>
  <c r="G695" i="19"/>
  <c r="H695" i="19"/>
  <c r="I695" i="19"/>
  <c r="J695" i="19"/>
  <c r="K695" i="19"/>
  <c r="L695" i="19"/>
  <c r="M695" i="19"/>
  <c r="N695" i="19"/>
  <c r="O695" i="19"/>
  <c r="P695" i="19"/>
  <c r="Q695" i="19"/>
  <c r="R695" i="19"/>
  <c r="S695" i="19"/>
  <c r="B696" i="19"/>
  <c r="C696" i="19"/>
  <c r="D696" i="19"/>
  <c r="E696" i="19"/>
  <c r="F696" i="19"/>
  <c r="G696" i="19"/>
  <c r="H696" i="19"/>
  <c r="I696" i="19"/>
  <c r="J696" i="19"/>
  <c r="K696" i="19"/>
  <c r="L696" i="19"/>
  <c r="M696" i="19"/>
  <c r="N696" i="19"/>
  <c r="O696" i="19"/>
  <c r="P696" i="19"/>
  <c r="Q696" i="19"/>
  <c r="R696" i="19"/>
  <c r="S696" i="19"/>
  <c r="B697" i="19"/>
  <c r="C697" i="19"/>
  <c r="D697" i="19"/>
  <c r="E697" i="19"/>
  <c r="F697" i="19"/>
  <c r="G697" i="19"/>
  <c r="H697" i="19"/>
  <c r="I697" i="19"/>
  <c r="J697" i="19"/>
  <c r="K697" i="19"/>
  <c r="L697" i="19"/>
  <c r="M697" i="19"/>
  <c r="N697" i="19"/>
  <c r="O697" i="19"/>
  <c r="P697" i="19"/>
  <c r="Q697" i="19"/>
  <c r="R697" i="19"/>
  <c r="S697" i="19"/>
  <c r="B698" i="19"/>
  <c r="C698" i="19"/>
  <c r="D698" i="19"/>
  <c r="E698" i="19"/>
  <c r="F698" i="19"/>
  <c r="G698" i="19"/>
  <c r="H698" i="19"/>
  <c r="I698" i="19"/>
  <c r="J698" i="19"/>
  <c r="K698" i="19"/>
  <c r="L698" i="19"/>
  <c r="M698" i="19"/>
  <c r="N698" i="19"/>
  <c r="O698" i="19"/>
  <c r="P698" i="19"/>
  <c r="Q698" i="19"/>
  <c r="R698" i="19"/>
  <c r="S698" i="19"/>
  <c r="B699" i="19"/>
  <c r="C699" i="19"/>
  <c r="D699" i="19"/>
  <c r="E699" i="19"/>
  <c r="F699" i="19"/>
  <c r="G699" i="19"/>
  <c r="H699" i="19"/>
  <c r="I699" i="19"/>
  <c r="J699" i="19"/>
  <c r="K699" i="19"/>
  <c r="L699" i="19"/>
  <c r="M699" i="19"/>
  <c r="N699" i="19"/>
  <c r="O699" i="19"/>
  <c r="P699" i="19"/>
  <c r="Q699" i="19"/>
  <c r="R699" i="19"/>
  <c r="S699" i="19"/>
  <c r="B700" i="19"/>
  <c r="C700" i="19"/>
  <c r="D700" i="19"/>
  <c r="E700" i="19"/>
  <c r="F700" i="19"/>
  <c r="G700" i="19"/>
  <c r="H700" i="19"/>
  <c r="I700" i="19"/>
  <c r="J700" i="19"/>
  <c r="K700" i="19"/>
  <c r="L700" i="19"/>
  <c r="M700" i="19"/>
  <c r="N700" i="19"/>
  <c r="O700" i="19"/>
  <c r="P700" i="19"/>
  <c r="Q700" i="19"/>
  <c r="R700" i="19"/>
  <c r="S700" i="19"/>
  <c r="B701" i="19"/>
  <c r="C701" i="19"/>
  <c r="D701" i="19"/>
  <c r="E701" i="19"/>
  <c r="F701" i="19"/>
  <c r="G701" i="19"/>
  <c r="H701" i="19"/>
  <c r="I701" i="19"/>
  <c r="J701" i="19"/>
  <c r="K701" i="19"/>
  <c r="L701" i="19"/>
  <c r="M701" i="19"/>
  <c r="N701" i="19"/>
  <c r="O701" i="19"/>
  <c r="P701" i="19"/>
  <c r="Q701" i="19"/>
  <c r="R701" i="19"/>
  <c r="S701" i="19"/>
  <c r="B702" i="19"/>
  <c r="C702" i="19"/>
  <c r="D702" i="19"/>
  <c r="E702" i="19"/>
  <c r="F702" i="19"/>
  <c r="G702" i="19"/>
  <c r="H702" i="19"/>
  <c r="I702" i="19"/>
  <c r="J702" i="19"/>
  <c r="K702" i="19"/>
  <c r="L702" i="19"/>
  <c r="M702" i="19"/>
  <c r="N702" i="19"/>
  <c r="O702" i="19"/>
  <c r="P702" i="19"/>
  <c r="Q702" i="19"/>
  <c r="R702" i="19"/>
  <c r="S702" i="19"/>
  <c r="B703" i="19"/>
  <c r="C703" i="19"/>
  <c r="D703" i="19"/>
  <c r="E703" i="19"/>
  <c r="F703" i="19"/>
  <c r="G703" i="19"/>
  <c r="H703" i="19"/>
  <c r="I703" i="19"/>
  <c r="J703" i="19"/>
  <c r="K703" i="19"/>
  <c r="L703" i="19"/>
  <c r="M703" i="19"/>
  <c r="N703" i="19"/>
  <c r="O703" i="19"/>
  <c r="P703" i="19"/>
  <c r="Q703" i="19"/>
  <c r="R703" i="19"/>
  <c r="S703" i="19"/>
  <c r="B704" i="19"/>
  <c r="C704" i="19"/>
  <c r="D704" i="19"/>
  <c r="E704" i="19"/>
  <c r="F704" i="19"/>
  <c r="G704" i="19"/>
  <c r="H704" i="19"/>
  <c r="I704" i="19"/>
  <c r="J704" i="19"/>
  <c r="K704" i="19"/>
  <c r="L704" i="19"/>
  <c r="M704" i="19"/>
  <c r="N704" i="19"/>
  <c r="O704" i="19"/>
  <c r="P704" i="19"/>
  <c r="Q704" i="19"/>
  <c r="R704" i="19"/>
  <c r="S704" i="19"/>
  <c r="B705" i="19"/>
  <c r="C705" i="19"/>
  <c r="D705" i="19"/>
  <c r="E705" i="19"/>
  <c r="F705" i="19"/>
  <c r="G705" i="19"/>
  <c r="H705" i="19"/>
  <c r="I705" i="19"/>
  <c r="J705" i="19"/>
  <c r="K705" i="19"/>
  <c r="L705" i="19"/>
  <c r="M705" i="19"/>
  <c r="N705" i="19"/>
  <c r="O705" i="19"/>
  <c r="P705" i="19"/>
  <c r="Q705" i="19"/>
  <c r="R705" i="19"/>
  <c r="S705" i="19"/>
  <c r="B706" i="19"/>
  <c r="C706" i="19"/>
  <c r="D706" i="19"/>
  <c r="E706" i="19"/>
  <c r="F706" i="19"/>
  <c r="G706" i="19"/>
  <c r="H706" i="19"/>
  <c r="I706" i="19"/>
  <c r="J706" i="19"/>
  <c r="K706" i="19"/>
  <c r="L706" i="19"/>
  <c r="M706" i="19"/>
  <c r="N706" i="19"/>
  <c r="O706" i="19"/>
  <c r="P706" i="19"/>
  <c r="Q706" i="19"/>
  <c r="R706" i="19"/>
  <c r="S706" i="19"/>
  <c r="B707" i="19"/>
  <c r="C707" i="19"/>
  <c r="D707" i="19"/>
  <c r="E707" i="19"/>
  <c r="F707" i="19"/>
  <c r="G707" i="19"/>
  <c r="H707" i="19"/>
  <c r="I707" i="19"/>
  <c r="J707" i="19"/>
  <c r="K707" i="19"/>
  <c r="L707" i="19"/>
  <c r="M707" i="19"/>
  <c r="N707" i="19"/>
  <c r="O707" i="19"/>
  <c r="P707" i="19"/>
  <c r="Q707" i="19"/>
  <c r="R707" i="19"/>
  <c r="S707" i="19"/>
  <c r="B708" i="19"/>
  <c r="C708" i="19"/>
  <c r="D708" i="19"/>
  <c r="E708" i="19"/>
  <c r="F708" i="19"/>
  <c r="G708" i="19"/>
  <c r="H708" i="19"/>
  <c r="I708" i="19"/>
  <c r="J708" i="19"/>
  <c r="K708" i="19"/>
  <c r="L708" i="19"/>
  <c r="M708" i="19"/>
  <c r="N708" i="19"/>
  <c r="O708" i="19"/>
  <c r="P708" i="19"/>
  <c r="Q708" i="19"/>
  <c r="R708" i="19"/>
  <c r="S708" i="19"/>
  <c r="B709" i="19"/>
  <c r="C709" i="19"/>
  <c r="D709" i="19"/>
  <c r="E709" i="19"/>
  <c r="F709" i="19"/>
  <c r="G709" i="19"/>
  <c r="H709" i="19"/>
  <c r="I709" i="19"/>
  <c r="J709" i="19"/>
  <c r="K709" i="19"/>
  <c r="L709" i="19"/>
  <c r="M709" i="19"/>
  <c r="N709" i="19"/>
  <c r="O709" i="19"/>
  <c r="P709" i="19"/>
  <c r="Q709" i="19"/>
  <c r="R709" i="19"/>
  <c r="S709" i="19"/>
  <c r="B710" i="19"/>
  <c r="C710" i="19"/>
  <c r="D710" i="19"/>
  <c r="E710" i="19"/>
  <c r="F710" i="19"/>
  <c r="G710" i="19"/>
  <c r="H710" i="19"/>
  <c r="I710" i="19"/>
  <c r="J710" i="19"/>
  <c r="K710" i="19"/>
  <c r="L710" i="19"/>
  <c r="M710" i="19"/>
  <c r="N710" i="19"/>
  <c r="O710" i="19"/>
  <c r="P710" i="19"/>
  <c r="Q710" i="19"/>
  <c r="R710" i="19"/>
  <c r="S710" i="19"/>
  <c r="B711" i="19"/>
  <c r="C711" i="19"/>
  <c r="D711" i="19"/>
  <c r="E711" i="19"/>
  <c r="F711" i="19"/>
  <c r="G711" i="19"/>
  <c r="H711" i="19"/>
  <c r="I711" i="19"/>
  <c r="J711" i="19"/>
  <c r="K711" i="19"/>
  <c r="L711" i="19"/>
  <c r="M711" i="19"/>
  <c r="N711" i="19"/>
  <c r="O711" i="19"/>
  <c r="P711" i="19"/>
  <c r="Q711" i="19"/>
  <c r="R711" i="19"/>
  <c r="S711" i="19"/>
  <c r="B712" i="19"/>
  <c r="C712" i="19"/>
  <c r="D712" i="19"/>
  <c r="E712" i="19"/>
  <c r="F712" i="19"/>
  <c r="G712" i="19"/>
  <c r="H712" i="19"/>
  <c r="I712" i="19"/>
  <c r="J712" i="19"/>
  <c r="K712" i="19"/>
  <c r="L712" i="19"/>
  <c r="M712" i="19"/>
  <c r="N712" i="19"/>
  <c r="O712" i="19"/>
  <c r="P712" i="19"/>
  <c r="Q712" i="19"/>
  <c r="R712" i="19"/>
  <c r="S712" i="19"/>
  <c r="B713" i="19"/>
  <c r="C713" i="19"/>
  <c r="D713" i="19"/>
  <c r="E713" i="19"/>
  <c r="F713" i="19"/>
  <c r="G713" i="19"/>
  <c r="H713" i="19"/>
  <c r="I713" i="19"/>
  <c r="J713" i="19"/>
  <c r="K713" i="19"/>
  <c r="L713" i="19"/>
  <c r="M713" i="19"/>
  <c r="N713" i="19"/>
  <c r="O713" i="19"/>
  <c r="P713" i="19"/>
  <c r="Q713" i="19"/>
  <c r="R713" i="19"/>
  <c r="S713" i="19"/>
  <c r="B714" i="19"/>
  <c r="C714" i="19"/>
  <c r="D714" i="19"/>
  <c r="E714" i="19"/>
  <c r="F714" i="19"/>
  <c r="G714" i="19"/>
  <c r="H714" i="19"/>
  <c r="I714" i="19"/>
  <c r="J714" i="19"/>
  <c r="K714" i="19"/>
  <c r="L714" i="19"/>
  <c r="M714" i="19"/>
  <c r="N714" i="19"/>
  <c r="O714" i="19"/>
  <c r="P714" i="19"/>
  <c r="Q714" i="19"/>
  <c r="R714" i="19"/>
  <c r="S714" i="19"/>
  <c r="B715" i="19"/>
  <c r="C715" i="19"/>
  <c r="D715" i="19"/>
  <c r="E715" i="19"/>
  <c r="F715" i="19"/>
  <c r="G715" i="19"/>
  <c r="H715" i="19"/>
  <c r="I715" i="19"/>
  <c r="J715" i="19"/>
  <c r="K715" i="19"/>
  <c r="L715" i="19"/>
  <c r="M715" i="19"/>
  <c r="N715" i="19"/>
  <c r="O715" i="19"/>
  <c r="P715" i="19"/>
  <c r="Q715" i="19"/>
  <c r="R715" i="19"/>
  <c r="S715" i="19"/>
  <c r="B716" i="19"/>
  <c r="C716" i="19"/>
  <c r="D716" i="19"/>
  <c r="E716" i="19"/>
  <c r="F716" i="19"/>
  <c r="G716" i="19"/>
  <c r="H716" i="19"/>
  <c r="I716" i="19"/>
  <c r="J716" i="19"/>
  <c r="K716" i="19"/>
  <c r="L716" i="19"/>
  <c r="M716" i="19"/>
  <c r="N716" i="19"/>
  <c r="O716" i="19"/>
  <c r="P716" i="19"/>
  <c r="Q716" i="19"/>
  <c r="R716" i="19"/>
  <c r="S716" i="19"/>
  <c r="B717" i="19"/>
  <c r="C717" i="19"/>
  <c r="D717" i="19"/>
  <c r="E717" i="19"/>
  <c r="F717" i="19"/>
  <c r="G717" i="19"/>
  <c r="H717" i="19"/>
  <c r="I717" i="19"/>
  <c r="J717" i="19"/>
  <c r="K717" i="19"/>
  <c r="L717" i="19"/>
  <c r="M717" i="19"/>
  <c r="N717" i="19"/>
  <c r="O717" i="19"/>
  <c r="P717" i="19"/>
  <c r="Q717" i="19"/>
  <c r="R717" i="19"/>
  <c r="S717" i="19"/>
  <c r="B718" i="19"/>
  <c r="C718" i="19"/>
  <c r="D718" i="19"/>
  <c r="E718" i="19"/>
  <c r="F718" i="19"/>
  <c r="G718" i="19"/>
  <c r="H718" i="19"/>
  <c r="I718" i="19"/>
  <c r="J718" i="19"/>
  <c r="K718" i="19"/>
  <c r="L718" i="19"/>
  <c r="M718" i="19"/>
  <c r="N718" i="19"/>
  <c r="O718" i="19"/>
  <c r="P718" i="19"/>
  <c r="Q718" i="19"/>
  <c r="R718" i="19"/>
  <c r="S718" i="19"/>
  <c r="B719" i="19"/>
  <c r="C719" i="19"/>
  <c r="D719" i="19"/>
  <c r="E719" i="19"/>
  <c r="F719" i="19"/>
  <c r="G719" i="19"/>
  <c r="H719" i="19"/>
  <c r="I719" i="19"/>
  <c r="J719" i="19"/>
  <c r="K719" i="19"/>
  <c r="L719" i="19"/>
  <c r="M719" i="19"/>
  <c r="N719" i="19"/>
  <c r="O719" i="19"/>
  <c r="P719" i="19"/>
  <c r="Q719" i="19"/>
  <c r="R719" i="19"/>
  <c r="S719" i="19"/>
  <c r="B720" i="19"/>
  <c r="C720" i="19"/>
  <c r="D720" i="19"/>
  <c r="E720" i="19"/>
  <c r="F720" i="19"/>
  <c r="G720" i="19"/>
  <c r="H720" i="19"/>
  <c r="I720" i="19"/>
  <c r="J720" i="19"/>
  <c r="K720" i="19"/>
  <c r="L720" i="19"/>
  <c r="M720" i="19"/>
  <c r="N720" i="19"/>
  <c r="O720" i="19"/>
  <c r="P720" i="19"/>
  <c r="Q720" i="19"/>
  <c r="R720" i="19"/>
  <c r="S720" i="19"/>
  <c r="B721" i="19"/>
  <c r="C721" i="19"/>
  <c r="D721" i="19"/>
  <c r="E721" i="19"/>
  <c r="F721" i="19"/>
  <c r="G721" i="19"/>
  <c r="H721" i="19"/>
  <c r="I721" i="19"/>
  <c r="J721" i="19"/>
  <c r="K721" i="19"/>
  <c r="L721" i="19"/>
  <c r="M721" i="19"/>
  <c r="N721" i="19"/>
  <c r="O721" i="19"/>
  <c r="P721" i="19"/>
  <c r="Q721" i="19"/>
  <c r="R721" i="19"/>
  <c r="S721" i="19"/>
  <c r="B722" i="19"/>
  <c r="C722" i="19"/>
  <c r="D722" i="19"/>
  <c r="E722" i="19"/>
  <c r="F722" i="19"/>
  <c r="G722" i="19"/>
  <c r="H722" i="19"/>
  <c r="I722" i="19"/>
  <c r="J722" i="19"/>
  <c r="K722" i="19"/>
  <c r="L722" i="19"/>
  <c r="M722" i="19"/>
  <c r="N722" i="19"/>
  <c r="O722" i="19"/>
  <c r="P722" i="19"/>
  <c r="Q722" i="19"/>
  <c r="R722" i="19"/>
  <c r="S722" i="19"/>
  <c r="B723" i="19"/>
  <c r="C723" i="19"/>
  <c r="D723" i="19"/>
  <c r="E723" i="19"/>
  <c r="F723" i="19"/>
  <c r="G723" i="19"/>
  <c r="H723" i="19"/>
  <c r="I723" i="19"/>
  <c r="J723" i="19"/>
  <c r="K723" i="19"/>
  <c r="L723" i="19"/>
  <c r="M723" i="19"/>
  <c r="N723" i="19"/>
  <c r="O723" i="19"/>
  <c r="P723" i="19"/>
  <c r="Q723" i="19"/>
  <c r="R723" i="19"/>
  <c r="S723" i="19"/>
  <c r="B724" i="19"/>
  <c r="C724" i="19"/>
  <c r="D724" i="19"/>
  <c r="E724" i="19"/>
  <c r="F724" i="19"/>
  <c r="G724" i="19"/>
  <c r="H724" i="19"/>
  <c r="I724" i="19"/>
  <c r="J724" i="19"/>
  <c r="K724" i="19"/>
  <c r="L724" i="19"/>
  <c r="M724" i="19"/>
  <c r="N724" i="19"/>
  <c r="O724" i="19"/>
  <c r="P724" i="19"/>
  <c r="Q724" i="19"/>
  <c r="R724" i="19"/>
  <c r="S724" i="19"/>
  <c r="B725" i="19"/>
  <c r="C725" i="19"/>
  <c r="D725" i="19"/>
  <c r="E725" i="19"/>
  <c r="F725" i="19"/>
  <c r="G725" i="19"/>
  <c r="H725" i="19"/>
  <c r="I725" i="19"/>
  <c r="J725" i="19"/>
  <c r="K725" i="19"/>
  <c r="L725" i="19"/>
  <c r="M725" i="19"/>
  <c r="N725" i="19"/>
  <c r="O725" i="19"/>
  <c r="P725" i="19"/>
  <c r="Q725" i="19"/>
  <c r="R725" i="19"/>
  <c r="S725" i="19"/>
  <c r="B726" i="19"/>
  <c r="C726" i="19"/>
  <c r="D726" i="19"/>
  <c r="E726" i="19"/>
  <c r="F726" i="19"/>
  <c r="G726" i="19"/>
  <c r="H726" i="19"/>
  <c r="I726" i="19"/>
  <c r="J726" i="19"/>
  <c r="K726" i="19"/>
  <c r="L726" i="19"/>
  <c r="M726" i="19"/>
  <c r="N726" i="19"/>
  <c r="O726" i="19"/>
  <c r="P726" i="19"/>
  <c r="Q726" i="19"/>
  <c r="R726" i="19"/>
  <c r="S726" i="19"/>
  <c r="B727" i="19"/>
  <c r="C727" i="19"/>
  <c r="D727" i="19"/>
  <c r="E727" i="19"/>
  <c r="F727" i="19"/>
  <c r="G727" i="19"/>
  <c r="H727" i="19"/>
  <c r="I727" i="19"/>
  <c r="J727" i="19"/>
  <c r="K727" i="19"/>
  <c r="L727" i="19"/>
  <c r="M727" i="19"/>
  <c r="N727" i="19"/>
  <c r="O727" i="19"/>
  <c r="P727" i="19"/>
  <c r="Q727" i="19"/>
  <c r="R727" i="19"/>
  <c r="S727" i="19"/>
  <c r="B728" i="19"/>
  <c r="C728" i="19"/>
  <c r="D728" i="19"/>
  <c r="E728" i="19"/>
  <c r="F728" i="19"/>
  <c r="G728" i="19"/>
  <c r="H728" i="19"/>
  <c r="I728" i="19"/>
  <c r="J728" i="19"/>
  <c r="K728" i="19"/>
  <c r="L728" i="19"/>
  <c r="M728" i="19"/>
  <c r="N728" i="19"/>
  <c r="O728" i="19"/>
  <c r="P728" i="19"/>
  <c r="Q728" i="19"/>
  <c r="R728" i="19"/>
  <c r="S728" i="19"/>
  <c r="B729" i="19"/>
  <c r="C729" i="19"/>
  <c r="D729" i="19"/>
  <c r="E729" i="19"/>
  <c r="F729" i="19"/>
  <c r="G729" i="19"/>
  <c r="H729" i="19"/>
  <c r="I729" i="19"/>
  <c r="J729" i="19"/>
  <c r="K729" i="19"/>
  <c r="L729" i="19"/>
  <c r="M729" i="19"/>
  <c r="N729" i="19"/>
  <c r="O729" i="19"/>
  <c r="P729" i="19"/>
  <c r="Q729" i="19"/>
  <c r="R729" i="19"/>
  <c r="S729" i="19"/>
  <c r="B730" i="19"/>
  <c r="C730" i="19"/>
  <c r="D730" i="19"/>
  <c r="E730" i="19"/>
  <c r="F730" i="19"/>
  <c r="G730" i="19"/>
  <c r="H730" i="19"/>
  <c r="I730" i="19"/>
  <c r="J730" i="19"/>
  <c r="K730" i="19"/>
  <c r="L730" i="19"/>
  <c r="M730" i="19"/>
  <c r="N730" i="19"/>
  <c r="O730" i="19"/>
  <c r="P730" i="19"/>
  <c r="Q730" i="19"/>
  <c r="R730" i="19"/>
  <c r="S730" i="19"/>
  <c r="B731" i="19"/>
  <c r="C731" i="19"/>
  <c r="D731" i="19"/>
  <c r="E731" i="19"/>
  <c r="F731" i="19"/>
  <c r="G731" i="19"/>
  <c r="H731" i="19"/>
  <c r="I731" i="19"/>
  <c r="J731" i="19"/>
  <c r="K731" i="19"/>
  <c r="L731" i="19"/>
  <c r="M731" i="19"/>
  <c r="N731" i="19"/>
  <c r="O731" i="19"/>
  <c r="P731" i="19"/>
  <c r="Q731" i="19"/>
  <c r="R731" i="19"/>
  <c r="S731" i="19"/>
  <c r="B732" i="19"/>
  <c r="C732" i="19"/>
  <c r="D732" i="19"/>
  <c r="E732" i="19"/>
  <c r="F732" i="19"/>
  <c r="G732" i="19"/>
  <c r="H732" i="19"/>
  <c r="I732" i="19"/>
  <c r="J732" i="19"/>
  <c r="K732" i="19"/>
  <c r="L732" i="19"/>
  <c r="M732" i="19"/>
  <c r="N732" i="19"/>
  <c r="O732" i="19"/>
  <c r="P732" i="19"/>
  <c r="Q732" i="19"/>
  <c r="R732" i="19"/>
  <c r="S732" i="19"/>
  <c r="B733" i="19"/>
  <c r="C733" i="19"/>
  <c r="D733" i="19"/>
  <c r="E733" i="19"/>
  <c r="F733" i="19"/>
  <c r="G733" i="19"/>
  <c r="H733" i="19"/>
  <c r="I733" i="19"/>
  <c r="J733" i="19"/>
  <c r="K733" i="19"/>
  <c r="L733" i="19"/>
  <c r="M733" i="19"/>
  <c r="N733" i="19"/>
  <c r="O733" i="19"/>
  <c r="P733" i="19"/>
  <c r="Q733" i="19"/>
  <c r="R733" i="19"/>
  <c r="S733" i="19"/>
  <c r="B734" i="19"/>
  <c r="C734" i="19"/>
  <c r="D734" i="19"/>
  <c r="E734" i="19"/>
  <c r="F734" i="19"/>
  <c r="G734" i="19"/>
  <c r="H734" i="19"/>
  <c r="I734" i="19"/>
  <c r="J734" i="19"/>
  <c r="K734" i="19"/>
  <c r="L734" i="19"/>
  <c r="M734" i="19"/>
  <c r="N734" i="19"/>
  <c r="O734" i="19"/>
  <c r="P734" i="19"/>
  <c r="Q734" i="19"/>
  <c r="R734" i="19"/>
  <c r="S734" i="19"/>
  <c r="B735" i="19"/>
  <c r="C735" i="19"/>
  <c r="D735" i="19"/>
  <c r="E735" i="19"/>
  <c r="F735" i="19"/>
  <c r="G735" i="19"/>
  <c r="H735" i="19"/>
  <c r="I735" i="19"/>
  <c r="J735" i="19"/>
  <c r="K735" i="19"/>
  <c r="L735" i="19"/>
  <c r="M735" i="19"/>
  <c r="N735" i="19"/>
  <c r="O735" i="19"/>
  <c r="P735" i="19"/>
  <c r="Q735" i="19"/>
  <c r="R735" i="19"/>
  <c r="S735" i="19"/>
  <c r="B736" i="19"/>
  <c r="C736" i="19"/>
  <c r="D736" i="19"/>
  <c r="E736" i="19"/>
  <c r="F736" i="19"/>
  <c r="G736" i="19"/>
  <c r="H736" i="19"/>
  <c r="I736" i="19"/>
  <c r="J736" i="19"/>
  <c r="K736" i="19"/>
  <c r="L736" i="19"/>
  <c r="M736" i="19"/>
  <c r="N736" i="19"/>
  <c r="O736" i="19"/>
  <c r="P736" i="19"/>
  <c r="Q736" i="19"/>
  <c r="R736" i="19"/>
  <c r="S736" i="19"/>
  <c r="B737" i="19"/>
  <c r="C737" i="19"/>
  <c r="D737" i="19"/>
  <c r="E737" i="19"/>
  <c r="F737" i="19"/>
  <c r="G737" i="19"/>
  <c r="H737" i="19"/>
  <c r="I737" i="19"/>
  <c r="J737" i="19"/>
  <c r="K737" i="19"/>
  <c r="L737" i="19"/>
  <c r="M737" i="19"/>
  <c r="N737" i="19"/>
  <c r="O737" i="19"/>
  <c r="P737" i="19"/>
  <c r="Q737" i="19"/>
  <c r="R737" i="19"/>
  <c r="S737" i="19"/>
  <c r="B738" i="19"/>
  <c r="C738" i="19"/>
  <c r="D738" i="19"/>
  <c r="E738" i="19"/>
  <c r="F738" i="19"/>
  <c r="G738" i="19"/>
  <c r="H738" i="19"/>
  <c r="I738" i="19"/>
  <c r="J738" i="19"/>
  <c r="K738" i="19"/>
  <c r="L738" i="19"/>
  <c r="M738" i="19"/>
  <c r="N738" i="19"/>
  <c r="O738" i="19"/>
  <c r="P738" i="19"/>
  <c r="Q738" i="19"/>
  <c r="R738" i="19"/>
  <c r="S738" i="19"/>
  <c r="B739" i="19"/>
  <c r="C739" i="19"/>
  <c r="D739" i="19"/>
  <c r="E739" i="19"/>
  <c r="F739" i="19"/>
  <c r="G739" i="19"/>
  <c r="H739" i="19"/>
  <c r="I739" i="19"/>
  <c r="J739" i="19"/>
  <c r="K739" i="19"/>
  <c r="L739" i="19"/>
  <c r="M739" i="19"/>
  <c r="N739" i="19"/>
  <c r="O739" i="19"/>
  <c r="P739" i="19"/>
  <c r="Q739" i="19"/>
  <c r="R739" i="19"/>
  <c r="S739" i="19"/>
  <c r="B740" i="19"/>
  <c r="C740" i="19"/>
  <c r="D740" i="19"/>
  <c r="E740" i="19"/>
  <c r="F740" i="19"/>
  <c r="G740" i="19"/>
  <c r="H740" i="19"/>
  <c r="I740" i="19"/>
  <c r="J740" i="19"/>
  <c r="K740" i="19"/>
  <c r="L740" i="19"/>
  <c r="M740" i="19"/>
  <c r="N740" i="19"/>
  <c r="O740" i="19"/>
  <c r="P740" i="19"/>
  <c r="Q740" i="19"/>
  <c r="R740" i="19"/>
  <c r="S740" i="19"/>
  <c r="B741" i="19"/>
  <c r="C741" i="19"/>
  <c r="D741" i="19"/>
  <c r="E741" i="19"/>
  <c r="F741" i="19"/>
  <c r="G741" i="19"/>
  <c r="H741" i="19"/>
  <c r="I741" i="19"/>
  <c r="J741" i="19"/>
  <c r="K741" i="19"/>
  <c r="L741" i="19"/>
  <c r="M741" i="19"/>
  <c r="N741" i="19"/>
  <c r="O741" i="19"/>
  <c r="P741" i="19"/>
  <c r="Q741" i="19"/>
  <c r="R741" i="19"/>
  <c r="S741" i="19"/>
  <c r="B742" i="19"/>
  <c r="C742" i="19"/>
  <c r="D742" i="19"/>
  <c r="E742" i="19"/>
  <c r="F742" i="19"/>
  <c r="G742" i="19"/>
  <c r="H742" i="19"/>
  <c r="I742" i="19"/>
  <c r="J742" i="19"/>
  <c r="K742" i="19"/>
  <c r="L742" i="19"/>
  <c r="M742" i="19"/>
  <c r="N742" i="19"/>
  <c r="O742" i="19"/>
  <c r="P742" i="19"/>
  <c r="Q742" i="19"/>
  <c r="R742" i="19"/>
  <c r="S742" i="19"/>
  <c r="B743" i="19"/>
  <c r="C743" i="19"/>
  <c r="D743" i="19"/>
  <c r="E743" i="19"/>
  <c r="F743" i="19"/>
  <c r="G743" i="19"/>
  <c r="H743" i="19"/>
  <c r="I743" i="19"/>
  <c r="J743" i="19"/>
  <c r="K743" i="19"/>
  <c r="L743" i="19"/>
  <c r="M743" i="19"/>
  <c r="N743" i="19"/>
  <c r="O743" i="19"/>
  <c r="P743" i="19"/>
  <c r="Q743" i="19"/>
  <c r="R743" i="19"/>
  <c r="S743" i="19"/>
  <c r="B744" i="19"/>
  <c r="C744" i="19"/>
  <c r="D744" i="19"/>
  <c r="E744" i="19"/>
  <c r="F744" i="19"/>
  <c r="G744" i="19"/>
  <c r="H744" i="19"/>
  <c r="I744" i="19"/>
  <c r="J744" i="19"/>
  <c r="K744" i="19"/>
  <c r="L744" i="19"/>
  <c r="M744" i="19"/>
  <c r="N744" i="19"/>
  <c r="O744" i="19"/>
  <c r="P744" i="19"/>
  <c r="Q744" i="19"/>
  <c r="R744" i="19"/>
  <c r="S744" i="19"/>
  <c r="B745" i="19"/>
  <c r="C745" i="19"/>
  <c r="D745" i="19"/>
  <c r="E745" i="19"/>
  <c r="F745" i="19"/>
  <c r="G745" i="19"/>
  <c r="H745" i="19"/>
  <c r="I745" i="19"/>
  <c r="J745" i="19"/>
  <c r="K745" i="19"/>
  <c r="L745" i="19"/>
  <c r="M745" i="19"/>
  <c r="N745" i="19"/>
  <c r="O745" i="19"/>
  <c r="P745" i="19"/>
  <c r="Q745" i="19"/>
  <c r="R745" i="19"/>
  <c r="S745" i="19"/>
  <c r="B746" i="19"/>
  <c r="C746" i="19"/>
  <c r="D746" i="19"/>
  <c r="E746" i="19"/>
  <c r="F746" i="19"/>
  <c r="G746" i="19"/>
  <c r="H746" i="19"/>
  <c r="I746" i="19"/>
  <c r="J746" i="19"/>
  <c r="K746" i="19"/>
  <c r="L746" i="19"/>
  <c r="M746" i="19"/>
  <c r="N746" i="19"/>
  <c r="O746" i="19"/>
  <c r="P746" i="19"/>
  <c r="Q746" i="19"/>
  <c r="R746" i="19"/>
  <c r="S746" i="19"/>
  <c r="B747" i="19"/>
  <c r="C747" i="19"/>
  <c r="D747" i="19"/>
  <c r="E747" i="19"/>
  <c r="F747" i="19"/>
  <c r="G747" i="19"/>
  <c r="H747" i="19"/>
  <c r="I747" i="19"/>
  <c r="J747" i="19"/>
  <c r="K747" i="19"/>
  <c r="L747" i="19"/>
  <c r="M747" i="19"/>
  <c r="N747" i="19"/>
  <c r="O747" i="19"/>
  <c r="P747" i="19"/>
  <c r="Q747" i="19"/>
  <c r="R747" i="19"/>
  <c r="S747" i="19"/>
  <c r="B748" i="19"/>
  <c r="C748" i="19"/>
  <c r="D748" i="19"/>
  <c r="E748" i="19"/>
  <c r="F748" i="19"/>
  <c r="G748" i="19"/>
  <c r="H748" i="19"/>
  <c r="I748" i="19"/>
  <c r="J748" i="19"/>
  <c r="K748" i="19"/>
  <c r="L748" i="19"/>
  <c r="M748" i="19"/>
  <c r="N748" i="19"/>
  <c r="O748" i="19"/>
  <c r="P748" i="19"/>
  <c r="Q748" i="19"/>
  <c r="R748" i="19"/>
  <c r="S748" i="19"/>
  <c r="B749" i="19"/>
  <c r="C749" i="19"/>
  <c r="D749" i="19"/>
  <c r="E749" i="19"/>
  <c r="F749" i="19"/>
  <c r="G749" i="19"/>
  <c r="H749" i="19"/>
  <c r="I749" i="19"/>
  <c r="J749" i="19"/>
  <c r="K749" i="19"/>
  <c r="L749" i="19"/>
  <c r="M749" i="19"/>
  <c r="N749" i="19"/>
  <c r="O749" i="19"/>
  <c r="P749" i="19"/>
  <c r="Q749" i="19"/>
  <c r="R749" i="19"/>
  <c r="S749" i="19"/>
  <c r="B750" i="19"/>
  <c r="C750" i="19"/>
  <c r="D750" i="19"/>
  <c r="E750" i="19"/>
  <c r="F750" i="19"/>
  <c r="G750" i="19"/>
  <c r="H750" i="19"/>
  <c r="I750" i="19"/>
  <c r="J750" i="19"/>
  <c r="K750" i="19"/>
  <c r="L750" i="19"/>
  <c r="M750" i="19"/>
  <c r="N750" i="19"/>
  <c r="O750" i="19"/>
  <c r="P750" i="19"/>
  <c r="Q750" i="19"/>
  <c r="R750" i="19"/>
  <c r="S750" i="19"/>
  <c r="B751" i="19"/>
  <c r="C751" i="19"/>
  <c r="D751" i="19"/>
  <c r="E751" i="19"/>
  <c r="F751" i="19"/>
  <c r="G751" i="19"/>
  <c r="H751" i="19"/>
  <c r="I751" i="19"/>
  <c r="J751" i="19"/>
  <c r="K751" i="19"/>
  <c r="L751" i="19"/>
  <c r="M751" i="19"/>
  <c r="N751" i="19"/>
  <c r="O751" i="19"/>
  <c r="P751" i="19"/>
  <c r="Q751" i="19"/>
  <c r="R751" i="19"/>
  <c r="S751" i="19"/>
  <c r="B752" i="19"/>
  <c r="C752" i="19"/>
  <c r="D752" i="19"/>
  <c r="E752" i="19"/>
  <c r="F752" i="19"/>
  <c r="G752" i="19"/>
  <c r="H752" i="19"/>
  <c r="I752" i="19"/>
  <c r="J752" i="19"/>
  <c r="K752" i="19"/>
  <c r="L752" i="19"/>
  <c r="M752" i="19"/>
  <c r="N752" i="19"/>
  <c r="O752" i="19"/>
  <c r="P752" i="19"/>
  <c r="Q752" i="19"/>
  <c r="R752" i="19"/>
  <c r="S752" i="19"/>
  <c r="B753" i="19"/>
  <c r="C753" i="19"/>
  <c r="D753" i="19"/>
  <c r="E753" i="19"/>
  <c r="F753" i="19"/>
  <c r="G753" i="19"/>
  <c r="H753" i="19"/>
  <c r="I753" i="19"/>
  <c r="J753" i="19"/>
  <c r="K753" i="19"/>
  <c r="L753" i="19"/>
  <c r="M753" i="19"/>
  <c r="N753" i="19"/>
  <c r="O753" i="19"/>
  <c r="P753" i="19"/>
  <c r="Q753" i="19"/>
  <c r="R753" i="19"/>
  <c r="S753" i="19"/>
  <c r="B754" i="19"/>
  <c r="C754" i="19"/>
  <c r="D754" i="19"/>
  <c r="E754" i="19"/>
  <c r="F754" i="19"/>
  <c r="G754" i="19"/>
  <c r="H754" i="19"/>
  <c r="I754" i="19"/>
  <c r="J754" i="19"/>
  <c r="K754" i="19"/>
  <c r="L754" i="19"/>
  <c r="M754" i="19"/>
  <c r="N754" i="19"/>
  <c r="O754" i="19"/>
  <c r="P754" i="19"/>
  <c r="Q754" i="19"/>
  <c r="R754" i="19"/>
  <c r="S754" i="19"/>
  <c r="B755" i="19"/>
  <c r="C755" i="19"/>
  <c r="D755" i="19"/>
  <c r="E755" i="19"/>
  <c r="F755" i="19"/>
  <c r="G755" i="19"/>
  <c r="H755" i="19"/>
  <c r="I755" i="19"/>
  <c r="J755" i="19"/>
  <c r="K755" i="19"/>
  <c r="L755" i="19"/>
  <c r="M755" i="19"/>
  <c r="N755" i="19"/>
  <c r="O755" i="19"/>
  <c r="P755" i="19"/>
  <c r="Q755" i="19"/>
  <c r="R755" i="19"/>
  <c r="S755" i="19"/>
  <c r="B756" i="19"/>
  <c r="C756" i="19"/>
  <c r="D756" i="19"/>
  <c r="E756" i="19"/>
  <c r="F756" i="19"/>
  <c r="G756" i="19"/>
  <c r="H756" i="19"/>
  <c r="I756" i="19"/>
  <c r="J756" i="19"/>
  <c r="K756" i="19"/>
  <c r="L756" i="19"/>
  <c r="M756" i="19"/>
  <c r="N756" i="19"/>
  <c r="O756" i="19"/>
  <c r="P756" i="19"/>
  <c r="Q756" i="19"/>
  <c r="R756" i="19"/>
  <c r="S756" i="19"/>
  <c r="B757" i="19"/>
  <c r="C757" i="19"/>
  <c r="D757" i="19"/>
  <c r="E757" i="19"/>
  <c r="F757" i="19"/>
  <c r="G757" i="19"/>
  <c r="H757" i="19"/>
  <c r="I757" i="19"/>
  <c r="J757" i="19"/>
  <c r="K757" i="19"/>
  <c r="L757" i="19"/>
  <c r="M757" i="19"/>
  <c r="N757" i="19"/>
  <c r="O757" i="19"/>
  <c r="P757" i="19"/>
  <c r="Q757" i="19"/>
  <c r="R757" i="19"/>
  <c r="S757" i="19"/>
  <c r="B758" i="19"/>
  <c r="C758" i="19"/>
  <c r="D758" i="19"/>
  <c r="E758" i="19"/>
  <c r="F758" i="19"/>
  <c r="G758" i="19"/>
  <c r="H758" i="19"/>
  <c r="I758" i="19"/>
  <c r="J758" i="19"/>
  <c r="K758" i="19"/>
  <c r="L758" i="19"/>
  <c r="M758" i="19"/>
  <c r="N758" i="19"/>
  <c r="O758" i="19"/>
  <c r="P758" i="19"/>
  <c r="Q758" i="19"/>
  <c r="R758" i="19"/>
  <c r="S758" i="19"/>
  <c r="B759" i="19"/>
  <c r="C759" i="19"/>
  <c r="D759" i="19"/>
  <c r="E759" i="19"/>
  <c r="F759" i="19"/>
  <c r="G759" i="19"/>
  <c r="H759" i="19"/>
  <c r="I759" i="19"/>
  <c r="J759" i="19"/>
  <c r="K759" i="19"/>
  <c r="L759" i="19"/>
  <c r="M759" i="19"/>
  <c r="N759" i="19"/>
  <c r="O759" i="19"/>
  <c r="P759" i="19"/>
  <c r="Q759" i="19"/>
  <c r="R759" i="19"/>
  <c r="S759" i="19"/>
  <c r="B760" i="19"/>
  <c r="C760" i="19"/>
  <c r="D760" i="19"/>
  <c r="E760" i="19"/>
  <c r="F760" i="19"/>
  <c r="G760" i="19"/>
  <c r="H760" i="19"/>
  <c r="I760" i="19"/>
  <c r="J760" i="19"/>
  <c r="K760" i="19"/>
  <c r="L760" i="19"/>
  <c r="M760" i="19"/>
  <c r="N760" i="19"/>
  <c r="O760" i="19"/>
  <c r="P760" i="19"/>
  <c r="Q760" i="19"/>
  <c r="R760" i="19"/>
  <c r="S760" i="19"/>
  <c r="B761" i="19"/>
  <c r="C761" i="19"/>
  <c r="D761" i="19"/>
  <c r="E761" i="19"/>
  <c r="F761" i="19"/>
  <c r="G761" i="19"/>
  <c r="H761" i="19"/>
  <c r="I761" i="19"/>
  <c r="J761" i="19"/>
  <c r="K761" i="19"/>
  <c r="L761" i="19"/>
  <c r="M761" i="19"/>
  <c r="N761" i="19"/>
  <c r="O761" i="19"/>
  <c r="P761" i="19"/>
  <c r="Q761" i="19"/>
  <c r="R761" i="19"/>
  <c r="S761" i="19"/>
  <c r="B762" i="19"/>
  <c r="C762" i="19"/>
  <c r="D762" i="19"/>
  <c r="E762" i="19"/>
  <c r="F762" i="19"/>
  <c r="G762" i="19"/>
  <c r="H762" i="19"/>
  <c r="I762" i="19"/>
  <c r="J762" i="19"/>
  <c r="K762" i="19"/>
  <c r="L762" i="19"/>
  <c r="M762" i="19"/>
  <c r="N762" i="19"/>
  <c r="O762" i="19"/>
  <c r="P762" i="19"/>
  <c r="Q762" i="19"/>
  <c r="R762" i="19"/>
  <c r="S762" i="19"/>
  <c r="B763" i="19"/>
  <c r="C763" i="19"/>
  <c r="D763" i="19"/>
  <c r="E763" i="19"/>
  <c r="F763" i="19"/>
  <c r="G763" i="19"/>
  <c r="H763" i="19"/>
  <c r="I763" i="19"/>
  <c r="J763" i="19"/>
  <c r="K763" i="19"/>
  <c r="L763" i="19"/>
  <c r="M763" i="19"/>
  <c r="N763" i="19"/>
  <c r="O763" i="19"/>
  <c r="P763" i="19"/>
  <c r="Q763" i="19"/>
  <c r="R763" i="19"/>
  <c r="S763" i="19"/>
  <c r="B764" i="19"/>
  <c r="C764" i="19"/>
  <c r="D764" i="19"/>
  <c r="E764" i="19"/>
  <c r="F764" i="19"/>
  <c r="G764" i="19"/>
  <c r="H764" i="19"/>
  <c r="I764" i="19"/>
  <c r="J764" i="19"/>
  <c r="K764" i="19"/>
  <c r="L764" i="19"/>
  <c r="M764" i="19"/>
  <c r="N764" i="19"/>
  <c r="O764" i="19"/>
  <c r="P764" i="19"/>
  <c r="Q764" i="19"/>
  <c r="R764" i="19"/>
  <c r="S764" i="19"/>
  <c r="B765" i="19"/>
  <c r="C765" i="19"/>
  <c r="D765" i="19"/>
  <c r="E765" i="19"/>
  <c r="F765" i="19"/>
  <c r="G765" i="19"/>
  <c r="H765" i="19"/>
  <c r="I765" i="19"/>
  <c r="J765" i="19"/>
  <c r="K765" i="19"/>
  <c r="L765" i="19"/>
  <c r="M765" i="19"/>
  <c r="N765" i="19"/>
  <c r="O765" i="19"/>
  <c r="P765" i="19"/>
  <c r="Q765" i="19"/>
  <c r="R765" i="19"/>
  <c r="S765" i="19"/>
  <c r="B766" i="19"/>
  <c r="C766" i="19"/>
  <c r="D766" i="19"/>
  <c r="E766" i="19"/>
  <c r="F766" i="19"/>
  <c r="G766" i="19"/>
  <c r="H766" i="19"/>
  <c r="I766" i="19"/>
  <c r="J766" i="19"/>
  <c r="K766" i="19"/>
  <c r="L766" i="19"/>
  <c r="M766" i="19"/>
  <c r="N766" i="19"/>
  <c r="O766" i="19"/>
  <c r="P766" i="19"/>
  <c r="Q766" i="19"/>
  <c r="R766" i="19"/>
  <c r="S766" i="19"/>
  <c r="B767" i="19"/>
  <c r="C767" i="19"/>
  <c r="D767" i="19"/>
  <c r="E767" i="19"/>
  <c r="F767" i="19"/>
  <c r="G767" i="19"/>
  <c r="H767" i="19"/>
  <c r="I767" i="19"/>
  <c r="J767" i="19"/>
  <c r="K767" i="19"/>
  <c r="L767" i="19"/>
  <c r="M767" i="19"/>
  <c r="N767" i="19"/>
  <c r="O767" i="19"/>
  <c r="P767" i="19"/>
  <c r="Q767" i="19"/>
  <c r="R767" i="19"/>
  <c r="S767" i="19"/>
  <c r="B768" i="19"/>
  <c r="C768" i="19"/>
  <c r="D768" i="19"/>
  <c r="E768" i="19"/>
  <c r="F768" i="19"/>
  <c r="G768" i="19"/>
  <c r="H768" i="19"/>
  <c r="I768" i="19"/>
  <c r="J768" i="19"/>
  <c r="K768" i="19"/>
  <c r="L768" i="19"/>
  <c r="M768" i="19"/>
  <c r="N768" i="19"/>
  <c r="O768" i="19"/>
  <c r="P768" i="19"/>
  <c r="Q768" i="19"/>
  <c r="R768" i="19"/>
  <c r="S768" i="19"/>
  <c r="B769" i="19"/>
  <c r="C769" i="19"/>
  <c r="D769" i="19"/>
  <c r="E769" i="19"/>
  <c r="F769" i="19"/>
  <c r="G769" i="19"/>
  <c r="H769" i="19"/>
  <c r="I769" i="19"/>
  <c r="J769" i="19"/>
  <c r="K769" i="19"/>
  <c r="L769" i="19"/>
  <c r="M769" i="19"/>
  <c r="N769" i="19"/>
  <c r="O769" i="19"/>
  <c r="P769" i="19"/>
  <c r="Q769" i="19"/>
  <c r="R769" i="19"/>
  <c r="S769" i="19"/>
  <c r="B770" i="19"/>
  <c r="C770" i="19"/>
  <c r="D770" i="19"/>
  <c r="E770" i="19"/>
  <c r="F770" i="19"/>
  <c r="G770" i="19"/>
  <c r="H770" i="19"/>
  <c r="I770" i="19"/>
  <c r="J770" i="19"/>
  <c r="K770" i="19"/>
  <c r="L770" i="19"/>
  <c r="M770" i="19"/>
  <c r="N770" i="19"/>
  <c r="O770" i="19"/>
  <c r="P770" i="19"/>
  <c r="Q770" i="19"/>
  <c r="R770" i="19"/>
  <c r="S770" i="19"/>
  <c r="B771" i="19"/>
  <c r="C771" i="19"/>
  <c r="D771" i="19"/>
  <c r="E771" i="19"/>
  <c r="F771" i="19"/>
  <c r="G771" i="19"/>
  <c r="H771" i="19"/>
  <c r="I771" i="19"/>
  <c r="J771" i="19"/>
  <c r="K771" i="19"/>
  <c r="L771" i="19"/>
  <c r="M771" i="19"/>
  <c r="N771" i="19"/>
  <c r="O771" i="19"/>
  <c r="P771" i="19"/>
  <c r="Q771" i="19"/>
  <c r="R771" i="19"/>
  <c r="S771" i="19"/>
  <c r="B772" i="19"/>
  <c r="C772" i="19"/>
  <c r="D772" i="19"/>
  <c r="E772" i="19"/>
  <c r="F772" i="19"/>
  <c r="G772" i="19"/>
  <c r="H772" i="19"/>
  <c r="I772" i="19"/>
  <c r="J772" i="19"/>
  <c r="K772" i="19"/>
  <c r="L772" i="19"/>
  <c r="M772" i="19"/>
  <c r="N772" i="19"/>
  <c r="O772" i="19"/>
  <c r="P772" i="19"/>
  <c r="Q772" i="19"/>
  <c r="R772" i="19"/>
  <c r="S772" i="19"/>
  <c r="B773" i="19"/>
  <c r="C773" i="19"/>
  <c r="D773" i="19"/>
  <c r="E773" i="19"/>
  <c r="F773" i="19"/>
  <c r="G773" i="19"/>
  <c r="H773" i="19"/>
  <c r="I773" i="19"/>
  <c r="J773" i="19"/>
  <c r="K773" i="19"/>
  <c r="L773" i="19"/>
  <c r="M773" i="19"/>
  <c r="N773" i="19"/>
  <c r="O773" i="19"/>
  <c r="P773" i="19"/>
  <c r="Q773" i="19"/>
  <c r="R773" i="19"/>
  <c r="S773" i="19"/>
  <c r="B774" i="19"/>
  <c r="C774" i="19"/>
  <c r="D774" i="19"/>
  <c r="E774" i="19"/>
  <c r="F774" i="19"/>
  <c r="G774" i="19"/>
  <c r="H774" i="19"/>
  <c r="I774" i="19"/>
  <c r="J774" i="19"/>
  <c r="K774" i="19"/>
  <c r="L774" i="19"/>
  <c r="M774" i="19"/>
  <c r="N774" i="19"/>
  <c r="O774" i="19"/>
  <c r="P774" i="19"/>
  <c r="Q774" i="19"/>
  <c r="R774" i="19"/>
  <c r="S774" i="19"/>
  <c r="B775" i="19"/>
  <c r="C775" i="19"/>
  <c r="D775" i="19"/>
  <c r="E775" i="19"/>
  <c r="F775" i="19"/>
  <c r="G775" i="19"/>
  <c r="H775" i="19"/>
  <c r="I775" i="19"/>
  <c r="J775" i="19"/>
  <c r="K775" i="19"/>
  <c r="L775" i="19"/>
  <c r="M775" i="19"/>
  <c r="N775" i="19"/>
  <c r="O775" i="19"/>
  <c r="P775" i="19"/>
  <c r="Q775" i="19"/>
  <c r="R775" i="19"/>
  <c r="S775" i="19"/>
  <c r="B776" i="19"/>
  <c r="C776" i="19"/>
  <c r="D776" i="19"/>
  <c r="E776" i="19"/>
  <c r="F776" i="19"/>
  <c r="G776" i="19"/>
  <c r="H776" i="19"/>
  <c r="I776" i="19"/>
  <c r="J776" i="19"/>
  <c r="K776" i="19"/>
  <c r="L776" i="19"/>
  <c r="M776" i="19"/>
  <c r="N776" i="19"/>
  <c r="O776" i="19"/>
  <c r="P776" i="19"/>
  <c r="Q776" i="19"/>
  <c r="R776" i="19"/>
  <c r="S776" i="19"/>
  <c r="B777" i="19"/>
  <c r="C777" i="19"/>
  <c r="D777" i="19"/>
  <c r="E777" i="19"/>
  <c r="F777" i="19"/>
  <c r="G777" i="19"/>
  <c r="H777" i="19"/>
  <c r="I777" i="19"/>
  <c r="J777" i="19"/>
  <c r="K777" i="19"/>
  <c r="L777" i="19"/>
  <c r="M777" i="19"/>
  <c r="N777" i="19"/>
  <c r="O777" i="19"/>
  <c r="P777" i="19"/>
  <c r="Q777" i="19"/>
  <c r="R777" i="19"/>
  <c r="S777" i="19"/>
  <c r="B778" i="19"/>
  <c r="C778" i="19"/>
  <c r="D778" i="19"/>
  <c r="E778" i="19"/>
  <c r="F778" i="19"/>
  <c r="G778" i="19"/>
  <c r="H778" i="19"/>
  <c r="I778" i="19"/>
  <c r="J778" i="19"/>
  <c r="K778" i="19"/>
  <c r="L778" i="19"/>
  <c r="M778" i="19"/>
  <c r="N778" i="19"/>
  <c r="O778" i="19"/>
  <c r="P778" i="19"/>
  <c r="Q778" i="19"/>
  <c r="R778" i="19"/>
  <c r="S778" i="19"/>
  <c r="B779" i="19"/>
  <c r="C779" i="19"/>
  <c r="D779" i="19"/>
  <c r="E779" i="19"/>
  <c r="F779" i="19"/>
  <c r="G779" i="19"/>
  <c r="H779" i="19"/>
  <c r="I779" i="19"/>
  <c r="J779" i="19"/>
  <c r="K779" i="19"/>
  <c r="L779" i="19"/>
  <c r="M779" i="19"/>
  <c r="N779" i="19"/>
  <c r="O779" i="19"/>
  <c r="P779" i="19"/>
  <c r="Q779" i="19"/>
  <c r="R779" i="19"/>
  <c r="S779" i="19"/>
  <c r="B780" i="19"/>
  <c r="C780" i="19"/>
  <c r="D780" i="19"/>
  <c r="E780" i="19"/>
  <c r="F780" i="19"/>
  <c r="G780" i="19"/>
  <c r="H780" i="19"/>
  <c r="I780" i="19"/>
  <c r="J780" i="19"/>
  <c r="K780" i="19"/>
  <c r="L780" i="19"/>
  <c r="M780" i="19"/>
  <c r="N780" i="19"/>
  <c r="O780" i="19"/>
  <c r="P780" i="19"/>
  <c r="Q780" i="19"/>
  <c r="R780" i="19"/>
  <c r="S780" i="19"/>
  <c r="B781" i="19"/>
  <c r="C781" i="19"/>
  <c r="D781" i="19"/>
  <c r="E781" i="19"/>
  <c r="F781" i="19"/>
  <c r="G781" i="19"/>
  <c r="H781" i="19"/>
  <c r="I781" i="19"/>
  <c r="J781" i="19"/>
  <c r="K781" i="19"/>
  <c r="L781" i="19"/>
  <c r="M781" i="19"/>
  <c r="N781" i="19"/>
  <c r="O781" i="19"/>
  <c r="P781" i="19"/>
  <c r="Q781" i="19"/>
  <c r="R781" i="19"/>
  <c r="S781" i="19"/>
  <c r="B782" i="19"/>
  <c r="C782" i="19"/>
  <c r="D782" i="19"/>
  <c r="E782" i="19"/>
  <c r="F782" i="19"/>
  <c r="G782" i="19"/>
  <c r="H782" i="19"/>
  <c r="I782" i="19"/>
  <c r="J782" i="19"/>
  <c r="K782" i="19"/>
  <c r="L782" i="19"/>
  <c r="M782" i="19"/>
  <c r="N782" i="19"/>
  <c r="O782" i="19"/>
  <c r="P782" i="19"/>
  <c r="Q782" i="19"/>
  <c r="R782" i="19"/>
  <c r="S782" i="19"/>
  <c r="B783" i="19"/>
  <c r="C783" i="19"/>
  <c r="D783" i="19"/>
  <c r="E783" i="19"/>
  <c r="F783" i="19"/>
  <c r="G783" i="19"/>
  <c r="H783" i="19"/>
  <c r="I783" i="19"/>
  <c r="J783" i="19"/>
  <c r="K783" i="19"/>
  <c r="L783" i="19"/>
  <c r="M783" i="19"/>
  <c r="N783" i="19"/>
  <c r="O783" i="19"/>
  <c r="P783" i="19"/>
  <c r="Q783" i="19"/>
  <c r="R783" i="19"/>
  <c r="S783" i="19"/>
  <c r="B784" i="19"/>
  <c r="C784" i="19"/>
  <c r="D784" i="19"/>
  <c r="E784" i="19"/>
  <c r="F784" i="19"/>
  <c r="G784" i="19"/>
  <c r="H784" i="19"/>
  <c r="I784" i="19"/>
  <c r="J784" i="19"/>
  <c r="K784" i="19"/>
  <c r="L784" i="19"/>
  <c r="M784" i="19"/>
  <c r="N784" i="19"/>
  <c r="O784" i="19"/>
  <c r="P784" i="19"/>
  <c r="Q784" i="19"/>
  <c r="R784" i="19"/>
  <c r="S784" i="19"/>
  <c r="B785" i="19"/>
  <c r="C785" i="19"/>
  <c r="D785" i="19"/>
  <c r="E785" i="19"/>
  <c r="F785" i="19"/>
  <c r="G785" i="19"/>
  <c r="H785" i="19"/>
  <c r="I785" i="19"/>
  <c r="J785" i="19"/>
  <c r="K785" i="19"/>
  <c r="L785" i="19"/>
  <c r="M785" i="19"/>
  <c r="N785" i="19"/>
  <c r="O785" i="19"/>
  <c r="P785" i="19"/>
  <c r="Q785" i="19"/>
  <c r="R785" i="19"/>
  <c r="S785" i="19"/>
  <c r="B786" i="19"/>
  <c r="C786" i="19"/>
  <c r="D786" i="19"/>
  <c r="E786" i="19"/>
  <c r="F786" i="19"/>
  <c r="G786" i="19"/>
  <c r="H786" i="19"/>
  <c r="I786" i="19"/>
  <c r="J786" i="19"/>
  <c r="K786" i="19"/>
  <c r="L786" i="19"/>
  <c r="M786" i="19"/>
  <c r="N786" i="19"/>
  <c r="O786" i="19"/>
  <c r="P786" i="19"/>
  <c r="Q786" i="19"/>
  <c r="R786" i="19"/>
  <c r="S786" i="19"/>
  <c r="B787" i="19"/>
  <c r="C787" i="19"/>
  <c r="D787" i="19"/>
  <c r="E787" i="19"/>
  <c r="F787" i="19"/>
  <c r="G787" i="19"/>
  <c r="H787" i="19"/>
  <c r="I787" i="19"/>
  <c r="J787" i="19"/>
  <c r="K787" i="19"/>
  <c r="L787" i="19"/>
  <c r="M787" i="19"/>
  <c r="N787" i="19"/>
  <c r="O787" i="19"/>
  <c r="P787" i="19"/>
  <c r="Q787" i="19"/>
  <c r="R787" i="19"/>
  <c r="S787" i="19"/>
  <c r="B788" i="19"/>
  <c r="C788" i="19"/>
  <c r="D788" i="19"/>
  <c r="E788" i="19"/>
  <c r="F788" i="19"/>
  <c r="G788" i="19"/>
  <c r="H788" i="19"/>
  <c r="I788" i="19"/>
  <c r="J788" i="19"/>
  <c r="K788" i="19"/>
  <c r="L788" i="19"/>
  <c r="M788" i="19"/>
  <c r="N788" i="19"/>
  <c r="O788" i="19"/>
  <c r="P788" i="19"/>
  <c r="Q788" i="19"/>
  <c r="R788" i="19"/>
  <c r="S788" i="19"/>
  <c r="B789" i="19"/>
  <c r="C789" i="19"/>
  <c r="D789" i="19"/>
  <c r="E789" i="19"/>
  <c r="F789" i="19"/>
  <c r="G789" i="19"/>
  <c r="H789" i="19"/>
  <c r="I789" i="19"/>
  <c r="J789" i="19"/>
  <c r="K789" i="19"/>
  <c r="L789" i="19"/>
  <c r="M789" i="19"/>
  <c r="N789" i="19"/>
  <c r="O789" i="19"/>
  <c r="P789" i="19"/>
  <c r="Q789" i="19"/>
  <c r="R789" i="19"/>
  <c r="S789" i="19"/>
  <c r="B790" i="19"/>
  <c r="C790" i="19"/>
  <c r="D790" i="19"/>
  <c r="E790" i="19"/>
  <c r="F790" i="19"/>
  <c r="G790" i="19"/>
  <c r="H790" i="19"/>
  <c r="I790" i="19"/>
  <c r="J790" i="19"/>
  <c r="K790" i="19"/>
  <c r="L790" i="19"/>
  <c r="M790" i="19"/>
  <c r="N790" i="19"/>
  <c r="O790" i="19"/>
  <c r="P790" i="19"/>
  <c r="Q790" i="19"/>
  <c r="R790" i="19"/>
  <c r="S790" i="19"/>
  <c r="B791" i="19"/>
  <c r="C791" i="19"/>
  <c r="D791" i="19"/>
  <c r="E791" i="19"/>
  <c r="F791" i="19"/>
  <c r="G791" i="19"/>
  <c r="H791" i="19"/>
  <c r="I791" i="19"/>
  <c r="J791" i="19"/>
  <c r="K791" i="19"/>
  <c r="L791" i="19"/>
  <c r="M791" i="19"/>
  <c r="N791" i="19"/>
  <c r="O791" i="19"/>
  <c r="P791" i="19"/>
  <c r="Q791" i="19"/>
  <c r="R791" i="19"/>
  <c r="S791" i="19"/>
  <c r="B792" i="19"/>
  <c r="C792" i="19"/>
  <c r="D792" i="19"/>
  <c r="E792" i="19"/>
  <c r="F792" i="19"/>
  <c r="G792" i="19"/>
  <c r="H792" i="19"/>
  <c r="I792" i="19"/>
  <c r="J792" i="19"/>
  <c r="K792" i="19"/>
  <c r="L792" i="19"/>
  <c r="M792" i="19"/>
  <c r="N792" i="19"/>
  <c r="O792" i="19"/>
  <c r="P792" i="19"/>
  <c r="Q792" i="19"/>
  <c r="R792" i="19"/>
  <c r="S792" i="19"/>
  <c r="B793" i="19"/>
  <c r="C793" i="19"/>
  <c r="D793" i="19"/>
  <c r="E793" i="19"/>
  <c r="F793" i="19"/>
  <c r="G793" i="19"/>
  <c r="H793" i="19"/>
  <c r="I793" i="19"/>
  <c r="J793" i="19"/>
  <c r="K793" i="19"/>
  <c r="L793" i="19"/>
  <c r="M793" i="19"/>
  <c r="N793" i="19"/>
  <c r="O793" i="19"/>
  <c r="P793" i="19"/>
  <c r="Q793" i="19"/>
  <c r="R793" i="19"/>
  <c r="S793" i="19"/>
  <c r="B794" i="19"/>
  <c r="C794" i="19"/>
  <c r="D794" i="19"/>
  <c r="E794" i="19"/>
  <c r="F794" i="19"/>
  <c r="G794" i="19"/>
  <c r="H794" i="19"/>
  <c r="I794" i="19"/>
  <c r="J794" i="19"/>
  <c r="K794" i="19"/>
  <c r="L794" i="19"/>
  <c r="M794" i="19"/>
  <c r="N794" i="19"/>
  <c r="O794" i="19"/>
  <c r="P794" i="19"/>
  <c r="Q794" i="19"/>
  <c r="R794" i="19"/>
  <c r="S794" i="19"/>
  <c r="B795" i="19"/>
  <c r="C795" i="19"/>
  <c r="D795" i="19"/>
  <c r="E795" i="19"/>
  <c r="F795" i="19"/>
  <c r="G795" i="19"/>
  <c r="H795" i="19"/>
  <c r="I795" i="19"/>
  <c r="J795" i="19"/>
  <c r="K795" i="19"/>
  <c r="L795" i="19"/>
  <c r="M795" i="19"/>
  <c r="N795" i="19"/>
  <c r="O795" i="19"/>
  <c r="P795" i="19"/>
  <c r="Q795" i="19"/>
  <c r="R795" i="19"/>
  <c r="S795" i="19"/>
  <c r="B796" i="19"/>
  <c r="C796" i="19"/>
  <c r="D796" i="19"/>
  <c r="E796" i="19"/>
  <c r="F796" i="19"/>
  <c r="G796" i="19"/>
  <c r="H796" i="19"/>
  <c r="I796" i="19"/>
  <c r="J796" i="19"/>
  <c r="K796" i="19"/>
  <c r="L796" i="19"/>
  <c r="M796" i="19"/>
  <c r="N796" i="19"/>
  <c r="O796" i="19"/>
  <c r="P796" i="19"/>
  <c r="Q796" i="19"/>
  <c r="R796" i="19"/>
  <c r="S796" i="19"/>
  <c r="B797" i="19"/>
  <c r="C797" i="19"/>
  <c r="D797" i="19"/>
  <c r="E797" i="19"/>
  <c r="F797" i="19"/>
  <c r="G797" i="19"/>
  <c r="H797" i="19"/>
  <c r="I797" i="19"/>
  <c r="J797" i="19"/>
  <c r="K797" i="19"/>
  <c r="L797" i="19"/>
  <c r="M797" i="19"/>
  <c r="N797" i="19"/>
  <c r="O797" i="19"/>
  <c r="P797" i="19"/>
  <c r="Q797" i="19"/>
  <c r="R797" i="19"/>
  <c r="S797" i="19"/>
  <c r="B798" i="19"/>
  <c r="C798" i="19"/>
  <c r="D798" i="19"/>
  <c r="E798" i="19"/>
  <c r="F798" i="19"/>
  <c r="G798" i="19"/>
  <c r="H798" i="19"/>
  <c r="I798" i="19"/>
  <c r="J798" i="19"/>
  <c r="K798" i="19"/>
  <c r="L798" i="19"/>
  <c r="M798" i="19"/>
  <c r="N798" i="19"/>
  <c r="O798" i="19"/>
  <c r="P798" i="19"/>
  <c r="Q798" i="19"/>
  <c r="R798" i="19"/>
  <c r="S798" i="19"/>
  <c r="B799" i="19"/>
  <c r="C799" i="19"/>
  <c r="D799" i="19"/>
  <c r="E799" i="19"/>
  <c r="F799" i="19"/>
  <c r="G799" i="19"/>
  <c r="H799" i="19"/>
  <c r="I799" i="19"/>
  <c r="J799" i="19"/>
  <c r="K799" i="19"/>
  <c r="L799" i="19"/>
  <c r="M799" i="19"/>
  <c r="N799" i="19"/>
  <c r="O799" i="19"/>
  <c r="P799" i="19"/>
  <c r="Q799" i="19"/>
  <c r="R799" i="19"/>
  <c r="S799" i="19"/>
  <c r="B800" i="19"/>
  <c r="C800" i="19"/>
  <c r="D800" i="19"/>
  <c r="E800" i="19"/>
  <c r="F800" i="19"/>
  <c r="G800" i="19"/>
  <c r="H800" i="19"/>
  <c r="I800" i="19"/>
  <c r="J800" i="19"/>
  <c r="K800" i="19"/>
  <c r="L800" i="19"/>
  <c r="M800" i="19"/>
  <c r="N800" i="19"/>
  <c r="O800" i="19"/>
  <c r="P800" i="19"/>
  <c r="Q800" i="19"/>
  <c r="R800" i="19"/>
  <c r="S800" i="19"/>
  <c r="B801" i="19"/>
  <c r="C801" i="19"/>
  <c r="D801" i="19"/>
  <c r="E801" i="19"/>
  <c r="F801" i="19"/>
  <c r="G801" i="19"/>
  <c r="H801" i="19"/>
  <c r="I801" i="19"/>
  <c r="J801" i="19"/>
  <c r="K801" i="19"/>
  <c r="L801" i="19"/>
  <c r="M801" i="19"/>
  <c r="N801" i="19"/>
  <c r="O801" i="19"/>
  <c r="P801" i="19"/>
  <c r="Q801" i="19"/>
  <c r="R801" i="19"/>
  <c r="S801" i="19"/>
  <c r="B802" i="19"/>
  <c r="C802" i="19"/>
  <c r="D802" i="19"/>
  <c r="E802" i="19"/>
  <c r="F802" i="19"/>
  <c r="G802" i="19"/>
  <c r="H802" i="19"/>
  <c r="I802" i="19"/>
  <c r="J802" i="19"/>
  <c r="K802" i="19"/>
  <c r="L802" i="19"/>
  <c r="M802" i="19"/>
  <c r="N802" i="19"/>
  <c r="O802" i="19"/>
  <c r="P802" i="19"/>
  <c r="Q802" i="19"/>
  <c r="R802" i="19"/>
  <c r="S802" i="19"/>
  <c r="B803" i="19"/>
  <c r="C803" i="19"/>
  <c r="D803" i="19"/>
  <c r="E803" i="19"/>
  <c r="F803" i="19"/>
  <c r="G803" i="19"/>
  <c r="H803" i="19"/>
  <c r="I803" i="19"/>
  <c r="J803" i="19"/>
  <c r="K803" i="19"/>
  <c r="L803" i="19"/>
  <c r="M803" i="19"/>
  <c r="N803" i="19"/>
  <c r="O803" i="19"/>
  <c r="P803" i="19"/>
  <c r="Q803" i="19"/>
  <c r="R803" i="19"/>
  <c r="S803" i="19"/>
  <c r="B804" i="19"/>
  <c r="C804" i="19"/>
  <c r="D804" i="19"/>
  <c r="E804" i="19"/>
  <c r="F804" i="19"/>
  <c r="G804" i="19"/>
  <c r="H804" i="19"/>
  <c r="I804" i="19"/>
  <c r="J804" i="19"/>
  <c r="K804" i="19"/>
  <c r="L804" i="19"/>
  <c r="M804" i="19"/>
  <c r="N804" i="19"/>
  <c r="O804" i="19"/>
  <c r="P804" i="19"/>
  <c r="Q804" i="19"/>
  <c r="R804" i="19"/>
  <c r="S804" i="19"/>
  <c r="B805" i="19"/>
  <c r="C805" i="19"/>
  <c r="D805" i="19"/>
  <c r="E805" i="19"/>
  <c r="F805" i="19"/>
  <c r="G805" i="19"/>
  <c r="H805" i="19"/>
  <c r="I805" i="19"/>
  <c r="J805" i="19"/>
  <c r="K805" i="19"/>
  <c r="L805" i="19"/>
  <c r="M805" i="19"/>
  <c r="N805" i="19"/>
  <c r="O805" i="19"/>
  <c r="P805" i="19"/>
  <c r="Q805" i="19"/>
  <c r="R805" i="19"/>
  <c r="S805" i="19"/>
  <c r="B806" i="19"/>
  <c r="C806" i="19"/>
  <c r="D806" i="19"/>
  <c r="E806" i="19"/>
  <c r="F806" i="19"/>
  <c r="G806" i="19"/>
  <c r="H806" i="19"/>
  <c r="I806" i="19"/>
  <c r="J806" i="19"/>
  <c r="K806" i="19"/>
  <c r="L806" i="19"/>
  <c r="M806" i="19"/>
  <c r="N806" i="19"/>
  <c r="O806" i="19"/>
  <c r="P806" i="19"/>
  <c r="Q806" i="19"/>
  <c r="R806" i="19"/>
  <c r="S806" i="19"/>
  <c r="B807" i="19"/>
  <c r="C807" i="19"/>
  <c r="D807" i="19"/>
  <c r="E807" i="19"/>
  <c r="F807" i="19"/>
  <c r="G807" i="19"/>
  <c r="H807" i="19"/>
  <c r="I807" i="19"/>
  <c r="J807" i="19"/>
  <c r="K807" i="19"/>
  <c r="L807" i="19"/>
  <c r="M807" i="19"/>
  <c r="N807" i="19"/>
  <c r="O807" i="19"/>
  <c r="P807" i="19"/>
  <c r="Q807" i="19"/>
  <c r="R807" i="19"/>
  <c r="S807" i="19"/>
  <c r="B808" i="19"/>
  <c r="C808" i="19"/>
  <c r="D808" i="19"/>
  <c r="E808" i="19"/>
  <c r="F808" i="19"/>
  <c r="G808" i="19"/>
  <c r="H808" i="19"/>
  <c r="I808" i="19"/>
  <c r="J808" i="19"/>
  <c r="K808" i="19"/>
  <c r="L808" i="19"/>
  <c r="M808" i="19"/>
  <c r="N808" i="19"/>
  <c r="O808" i="19"/>
  <c r="P808" i="19"/>
  <c r="Q808" i="19"/>
  <c r="R808" i="19"/>
  <c r="S808" i="19"/>
  <c r="B809" i="19"/>
  <c r="C809" i="19"/>
  <c r="D809" i="19"/>
  <c r="E809" i="19"/>
  <c r="F809" i="19"/>
  <c r="G809" i="19"/>
  <c r="H809" i="19"/>
  <c r="I809" i="19"/>
  <c r="J809" i="19"/>
  <c r="K809" i="19"/>
  <c r="L809" i="19"/>
  <c r="M809" i="19"/>
  <c r="N809" i="19"/>
  <c r="O809" i="19"/>
  <c r="P809" i="19"/>
  <c r="Q809" i="19"/>
  <c r="R809" i="19"/>
  <c r="S809" i="19"/>
  <c r="B810" i="19"/>
  <c r="C810" i="19"/>
  <c r="D810" i="19"/>
  <c r="E810" i="19"/>
  <c r="F810" i="19"/>
  <c r="G810" i="19"/>
  <c r="H810" i="19"/>
  <c r="I810" i="19"/>
  <c r="J810" i="19"/>
  <c r="K810" i="19"/>
  <c r="L810" i="19"/>
  <c r="M810" i="19"/>
  <c r="N810" i="19"/>
  <c r="O810" i="19"/>
  <c r="P810" i="19"/>
  <c r="Q810" i="19"/>
  <c r="R810" i="19"/>
  <c r="S810" i="19"/>
  <c r="B811" i="19"/>
  <c r="C811" i="19"/>
  <c r="D811" i="19"/>
  <c r="E811" i="19"/>
  <c r="F811" i="19"/>
  <c r="G811" i="19"/>
  <c r="H811" i="19"/>
  <c r="I811" i="19"/>
  <c r="J811" i="19"/>
  <c r="K811" i="19"/>
  <c r="L811" i="19"/>
  <c r="M811" i="19"/>
  <c r="N811" i="19"/>
  <c r="O811" i="19"/>
  <c r="P811" i="19"/>
  <c r="Q811" i="19"/>
  <c r="R811" i="19"/>
  <c r="S811" i="19"/>
  <c r="B812" i="19"/>
  <c r="C812" i="19"/>
  <c r="D812" i="19"/>
  <c r="E812" i="19"/>
  <c r="F812" i="19"/>
  <c r="G812" i="19"/>
  <c r="H812" i="19"/>
  <c r="I812" i="19"/>
  <c r="J812" i="19"/>
  <c r="K812" i="19"/>
  <c r="L812" i="19"/>
  <c r="M812" i="19"/>
  <c r="N812" i="19"/>
  <c r="O812" i="19"/>
  <c r="P812" i="19"/>
  <c r="Q812" i="19"/>
  <c r="R812" i="19"/>
  <c r="S812" i="19"/>
  <c r="B813" i="19"/>
  <c r="C813" i="19"/>
  <c r="D813" i="19"/>
  <c r="E813" i="19"/>
  <c r="F813" i="19"/>
  <c r="G813" i="19"/>
  <c r="H813" i="19"/>
  <c r="I813" i="19"/>
  <c r="J813" i="19"/>
  <c r="K813" i="19"/>
  <c r="L813" i="19"/>
  <c r="M813" i="19"/>
  <c r="N813" i="19"/>
  <c r="O813" i="19"/>
  <c r="P813" i="19"/>
  <c r="Q813" i="19"/>
  <c r="R813" i="19"/>
  <c r="S813" i="19"/>
  <c r="B814" i="19"/>
  <c r="C814" i="19"/>
  <c r="D814" i="19"/>
  <c r="E814" i="19"/>
  <c r="F814" i="19"/>
  <c r="G814" i="19"/>
  <c r="H814" i="19"/>
  <c r="I814" i="19"/>
  <c r="J814" i="19"/>
  <c r="K814" i="19"/>
  <c r="L814" i="19"/>
  <c r="M814" i="19"/>
  <c r="N814" i="19"/>
  <c r="O814" i="19"/>
  <c r="P814" i="19"/>
  <c r="Q814" i="19"/>
  <c r="R814" i="19"/>
  <c r="S814" i="19"/>
  <c r="B815" i="19"/>
  <c r="C815" i="19"/>
  <c r="D815" i="19"/>
  <c r="E815" i="19"/>
  <c r="F815" i="19"/>
  <c r="G815" i="19"/>
  <c r="H815" i="19"/>
  <c r="I815" i="19"/>
  <c r="J815" i="19"/>
  <c r="K815" i="19"/>
  <c r="L815" i="19"/>
  <c r="M815" i="19"/>
  <c r="N815" i="19"/>
  <c r="O815" i="19"/>
  <c r="P815" i="19"/>
  <c r="Q815" i="19"/>
  <c r="R815" i="19"/>
  <c r="S815" i="19"/>
  <c r="B816" i="19"/>
  <c r="C816" i="19"/>
  <c r="D816" i="19"/>
  <c r="E816" i="19"/>
  <c r="F816" i="19"/>
  <c r="G816" i="19"/>
  <c r="H816" i="19"/>
  <c r="I816" i="19"/>
  <c r="J816" i="19"/>
  <c r="K816" i="19"/>
  <c r="L816" i="19"/>
  <c r="M816" i="19"/>
  <c r="N816" i="19"/>
  <c r="O816" i="19"/>
  <c r="P816" i="19"/>
  <c r="Q816" i="19"/>
  <c r="R816" i="19"/>
  <c r="S816" i="19"/>
  <c r="B817" i="19"/>
  <c r="C817" i="19"/>
  <c r="D817" i="19"/>
  <c r="E817" i="19"/>
  <c r="F817" i="19"/>
  <c r="G817" i="19"/>
  <c r="H817" i="19"/>
  <c r="I817" i="19"/>
  <c r="J817" i="19"/>
  <c r="K817" i="19"/>
  <c r="L817" i="19"/>
  <c r="M817" i="19"/>
  <c r="N817" i="19"/>
  <c r="O817" i="19"/>
  <c r="P817" i="19"/>
  <c r="Q817" i="19"/>
  <c r="R817" i="19"/>
  <c r="S817" i="19"/>
  <c r="B818" i="19"/>
  <c r="C818" i="19"/>
  <c r="D818" i="19"/>
  <c r="E818" i="19"/>
  <c r="F818" i="19"/>
  <c r="G818" i="19"/>
  <c r="H818" i="19"/>
  <c r="I818" i="19"/>
  <c r="J818" i="19"/>
  <c r="K818" i="19"/>
  <c r="L818" i="19"/>
  <c r="M818" i="19"/>
  <c r="N818" i="19"/>
  <c r="O818" i="19"/>
  <c r="P818" i="19"/>
  <c r="Q818" i="19"/>
  <c r="R818" i="19"/>
  <c r="S818" i="19"/>
  <c r="B819" i="19"/>
  <c r="C819" i="19"/>
  <c r="D819" i="19"/>
  <c r="E819" i="19"/>
  <c r="F819" i="19"/>
  <c r="G819" i="19"/>
  <c r="H819" i="19"/>
  <c r="I819" i="19"/>
  <c r="J819" i="19"/>
  <c r="K819" i="19"/>
  <c r="L819" i="19"/>
  <c r="M819" i="19"/>
  <c r="N819" i="19"/>
  <c r="O819" i="19"/>
  <c r="P819" i="19"/>
  <c r="Q819" i="19"/>
  <c r="R819" i="19"/>
  <c r="S819" i="19"/>
  <c r="B820" i="19"/>
  <c r="C820" i="19"/>
  <c r="D820" i="19"/>
  <c r="E820" i="19"/>
  <c r="F820" i="19"/>
  <c r="G820" i="19"/>
  <c r="H820" i="19"/>
  <c r="I820" i="19"/>
  <c r="J820" i="19"/>
  <c r="K820" i="19"/>
  <c r="L820" i="19"/>
  <c r="M820" i="19"/>
  <c r="N820" i="19"/>
  <c r="O820" i="19"/>
  <c r="P820" i="19"/>
  <c r="Q820" i="19"/>
  <c r="R820" i="19"/>
  <c r="S820" i="19"/>
  <c r="B821" i="19"/>
  <c r="C821" i="19"/>
  <c r="D821" i="19"/>
  <c r="E821" i="19"/>
  <c r="F821" i="19"/>
  <c r="G821" i="19"/>
  <c r="H821" i="19"/>
  <c r="I821" i="19"/>
  <c r="J821" i="19"/>
  <c r="K821" i="19"/>
  <c r="L821" i="19"/>
  <c r="M821" i="19"/>
  <c r="N821" i="19"/>
  <c r="O821" i="19"/>
  <c r="P821" i="19"/>
  <c r="Q821" i="19"/>
  <c r="R821" i="19"/>
  <c r="S821" i="19"/>
  <c r="B822" i="19"/>
  <c r="C822" i="19"/>
  <c r="D822" i="19"/>
  <c r="E822" i="19"/>
  <c r="F822" i="19"/>
  <c r="G822" i="19"/>
  <c r="H822" i="19"/>
  <c r="I822" i="19"/>
  <c r="J822" i="19"/>
  <c r="K822" i="19"/>
  <c r="L822" i="19"/>
  <c r="M822" i="19"/>
  <c r="N822" i="19"/>
  <c r="O822" i="19"/>
  <c r="P822" i="19"/>
  <c r="Q822" i="19"/>
  <c r="R822" i="19"/>
  <c r="S822" i="19"/>
  <c r="B823" i="19"/>
  <c r="C823" i="19"/>
  <c r="D823" i="19"/>
  <c r="E823" i="19"/>
  <c r="F823" i="19"/>
  <c r="G823" i="19"/>
  <c r="H823" i="19"/>
  <c r="I823" i="19"/>
  <c r="J823" i="19"/>
  <c r="K823" i="19"/>
  <c r="L823" i="19"/>
  <c r="M823" i="19"/>
  <c r="N823" i="19"/>
  <c r="O823" i="19"/>
  <c r="P823" i="19"/>
  <c r="Q823" i="19"/>
  <c r="R823" i="19"/>
  <c r="S823" i="19"/>
  <c r="B824" i="19"/>
  <c r="C824" i="19"/>
  <c r="D824" i="19"/>
  <c r="E824" i="19"/>
  <c r="F824" i="19"/>
  <c r="G824" i="19"/>
  <c r="H824" i="19"/>
  <c r="I824" i="19"/>
  <c r="J824" i="19"/>
  <c r="K824" i="19"/>
  <c r="L824" i="19"/>
  <c r="M824" i="19"/>
  <c r="N824" i="19"/>
  <c r="O824" i="19"/>
  <c r="P824" i="19"/>
  <c r="Q824" i="19"/>
  <c r="R824" i="19"/>
  <c r="S824" i="19"/>
  <c r="B825" i="19"/>
  <c r="C825" i="19"/>
  <c r="D825" i="19"/>
  <c r="E825" i="19"/>
  <c r="F825" i="19"/>
  <c r="G825" i="19"/>
  <c r="H825" i="19"/>
  <c r="I825" i="19"/>
  <c r="J825" i="19"/>
  <c r="K825" i="19"/>
  <c r="L825" i="19"/>
  <c r="M825" i="19"/>
  <c r="N825" i="19"/>
  <c r="O825" i="19"/>
  <c r="P825" i="19"/>
  <c r="Q825" i="19"/>
  <c r="R825" i="19"/>
  <c r="S825" i="19"/>
  <c r="B826" i="19"/>
  <c r="C826" i="19"/>
  <c r="D826" i="19"/>
  <c r="E826" i="19"/>
  <c r="F826" i="19"/>
  <c r="G826" i="19"/>
  <c r="H826" i="19"/>
  <c r="I826" i="19"/>
  <c r="J826" i="19"/>
  <c r="K826" i="19"/>
  <c r="L826" i="19"/>
  <c r="M826" i="19"/>
  <c r="N826" i="19"/>
  <c r="O826" i="19"/>
  <c r="P826" i="19"/>
  <c r="Q826" i="19"/>
  <c r="R826" i="19"/>
  <c r="S826" i="19"/>
  <c r="B827" i="19"/>
  <c r="C827" i="19"/>
  <c r="D827" i="19"/>
  <c r="E827" i="19"/>
  <c r="F827" i="19"/>
  <c r="G827" i="19"/>
  <c r="H827" i="19"/>
  <c r="I827" i="19"/>
  <c r="J827" i="19"/>
  <c r="K827" i="19"/>
  <c r="L827" i="19"/>
  <c r="M827" i="19"/>
  <c r="N827" i="19"/>
  <c r="O827" i="19"/>
  <c r="P827" i="19"/>
  <c r="Q827" i="19"/>
  <c r="R827" i="19"/>
  <c r="S827" i="19"/>
  <c r="B828" i="19"/>
  <c r="C828" i="19"/>
  <c r="D828" i="19"/>
  <c r="E828" i="19"/>
  <c r="F828" i="19"/>
  <c r="G828" i="19"/>
  <c r="H828" i="19"/>
  <c r="I828" i="19"/>
  <c r="J828" i="19"/>
  <c r="K828" i="19"/>
  <c r="L828" i="19"/>
  <c r="M828" i="19"/>
  <c r="N828" i="19"/>
  <c r="O828" i="19"/>
  <c r="P828" i="19"/>
  <c r="Q828" i="19"/>
  <c r="R828" i="19"/>
  <c r="S828" i="19"/>
  <c r="B829" i="19"/>
  <c r="C829" i="19"/>
  <c r="D829" i="19"/>
  <c r="E829" i="19"/>
  <c r="F829" i="19"/>
  <c r="G829" i="19"/>
  <c r="H829" i="19"/>
  <c r="I829" i="19"/>
  <c r="J829" i="19"/>
  <c r="K829" i="19"/>
  <c r="L829" i="19"/>
  <c r="M829" i="19"/>
  <c r="N829" i="19"/>
  <c r="O829" i="19"/>
  <c r="P829" i="19"/>
  <c r="Q829" i="19"/>
  <c r="R829" i="19"/>
  <c r="S829" i="19"/>
  <c r="B830" i="19"/>
  <c r="C830" i="19"/>
  <c r="D830" i="19"/>
  <c r="E830" i="19"/>
  <c r="F830" i="19"/>
  <c r="G830" i="19"/>
  <c r="H830" i="19"/>
  <c r="I830" i="19"/>
  <c r="J830" i="19"/>
  <c r="K830" i="19"/>
  <c r="L830" i="19"/>
  <c r="M830" i="19"/>
  <c r="N830" i="19"/>
  <c r="O830" i="19"/>
  <c r="P830" i="19"/>
  <c r="Q830" i="19"/>
  <c r="R830" i="19"/>
  <c r="S830" i="19"/>
  <c r="B831" i="19"/>
  <c r="C831" i="19"/>
  <c r="D831" i="19"/>
  <c r="E831" i="19"/>
  <c r="F831" i="19"/>
  <c r="G831" i="19"/>
  <c r="H831" i="19"/>
  <c r="I831" i="19"/>
  <c r="J831" i="19"/>
  <c r="K831" i="19"/>
  <c r="L831" i="19"/>
  <c r="M831" i="19"/>
  <c r="N831" i="19"/>
  <c r="O831" i="19"/>
  <c r="P831" i="19"/>
  <c r="Q831" i="19"/>
  <c r="R831" i="19"/>
  <c r="S831" i="19"/>
  <c r="B832" i="19"/>
  <c r="C832" i="19"/>
  <c r="D832" i="19"/>
  <c r="E832" i="19"/>
  <c r="F832" i="19"/>
  <c r="G832" i="19"/>
  <c r="H832" i="19"/>
  <c r="I832" i="19"/>
  <c r="J832" i="19"/>
  <c r="K832" i="19"/>
  <c r="L832" i="19"/>
  <c r="M832" i="19"/>
  <c r="N832" i="19"/>
  <c r="O832" i="19"/>
  <c r="P832" i="19"/>
  <c r="Q832" i="19"/>
  <c r="R832" i="19"/>
  <c r="S832" i="19"/>
  <c r="B833" i="19"/>
  <c r="C833" i="19"/>
  <c r="D833" i="19"/>
  <c r="E833" i="19"/>
  <c r="F833" i="19"/>
  <c r="G833" i="19"/>
  <c r="H833" i="19"/>
  <c r="I833" i="19"/>
  <c r="J833" i="19"/>
  <c r="K833" i="19"/>
  <c r="L833" i="19"/>
  <c r="M833" i="19"/>
  <c r="N833" i="19"/>
  <c r="O833" i="19"/>
  <c r="P833" i="19"/>
  <c r="Q833" i="19"/>
  <c r="R833" i="19"/>
  <c r="S833" i="19"/>
  <c r="B834" i="19"/>
  <c r="C834" i="19"/>
  <c r="D834" i="19"/>
  <c r="E834" i="19"/>
  <c r="F834" i="19"/>
  <c r="G834" i="19"/>
  <c r="H834" i="19"/>
  <c r="I834" i="19"/>
  <c r="J834" i="19"/>
  <c r="K834" i="19"/>
  <c r="L834" i="19"/>
  <c r="M834" i="19"/>
  <c r="N834" i="19"/>
  <c r="O834" i="19"/>
  <c r="P834" i="19"/>
  <c r="Q834" i="19"/>
  <c r="R834" i="19"/>
  <c r="S834" i="19"/>
  <c r="B835" i="19"/>
  <c r="C835" i="19"/>
  <c r="D835" i="19"/>
  <c r="E835" i="19"/>
  <c r="F835" i="19"/>
  <c r="G835" i="19"/>
  <c r="H835" i="19"/>
  <c r="I835" i="19"/>
  <c r="J835" i="19"/>
  <c r="K835" i="19"/>
  <c r="L835" i="19"/>
  <c r="M835" i="19"/>
  <c r="N835" i="19"/>
  <c r="O835" i="19"/>
  <c r="P835" i="19"/>
  <c r="Q835" i="19"/>
  <c r="R835" i="19"/>
  <c r="S835" i="19"/>
  <c r="B836" i="19"/>
  <c r="C836" i="19"/>
  <c r="D836" i="19"/>
  <c r="E836" i="19"/>
  <c r="F836" i="19"/>
  <c r="G836" i="19"/>
  <c r="H836" i="19"/>
  <c r="I836" i="19"/>
  <c r="J836" i="19"/>
  <c r="K836" i="19"/>
  <c r="L836" i="19"/>
  <c r="M836" i="19"/>
  <c r="N836" i="19"/>
  <c r="O836" i="19"/>
  <c r="P836" i="19"/>
  <c r="Q836" i="19"/>
  <c r="R836" i="19"/>
  <c r="S836" i="19"/>
  <c r="B837" i="19"/>
  <c r="C837" i="19"/>
  <c r="D837" i="19"/>
  <c r="E837" i="19"/>
  <c r="F837" i="19"/>
  <c r="G837" i="19"/>
  <c r="H837" i="19"/>
  <c r="I837" i="19"/>
  <c r="J837" i="19"/>
  <c r="K837" i="19"/>
  <c r="L837" i="19"/>
  <c r="M837" i="19"/>
  <c r="N837" i="19"/>
  <c r="O837" i="19"/>
  <c r="P837" i="19"/>
  <c r="Q837" i="19"/>
  <c r="R837" i="19"/>
  <c r="S837" i="19"/>
  <c r="B838" i="19"/>
  <c r="C838" i="19"/>
  <c r="D838" i="19"/>
  <c r="E838" i="19"/>
  <c r="F838" i="19"/>
  <c r="G838" i="19"/>
  <c r="H838" i="19"/>
  <c r="I838" i="19"/>
  <c r="J838" i="19"/>
  <c r="K838" i="19"/>
  <c r="L838" i="19"/>
  <c r="M838" i="19"/>
  <c r="N838" i="19"/>
  <c r="O838" i="19"/>
  <c r="P838" i="19"/>
  <c r="Q838" i="19"/>
  <c r="R838" i="19"/>
  <c r="S838" i="19"/>
  <c r="B839" i="19"/>
  <c r="C839" i="19"/>
  <c r="D839" i="19"/>
  <c r="E839" i="19"/>
  <c r="F839" i="19"/>
  <c r="G839" i="19"/>
  <c r="H839" i="19"/>
  <c r="I839" i="19"/>
  <c r="J839" i="19"/>
  <c r="K839" i="19"/>
  <c r="L839" i="19"/>
  <c r="M839" i="19"/>
  <c r="N839" i="19"/>
  <c r="O839" i="19"/>
  <c r="P839" i="19"/>
  <c r="Q839" i="19"/>
  <c r="R839" i="19"/>
  <c r="S839" i="19"/>
  <c r="B840" i="19"/>
  <c r="C840" i="19"/>
  <c r="D840" i="19"/>
  <c r="E840" i="19"/>
  <c r="F840" i="19"/>
  <c r="G840" i="19"/>
  <c r="H840" i="19"/>
  <c r="I840" i="19"/>
  <c r="J840" i="19"/>
  <c r="K840" i="19"/>
  <c r="L840" i="19"/>
  <c r="M840" i="19"/>
  <c r="N840" i="19"/>
  <c r="O840" i="19"/>
  <c r="P840" i="19"/>
  <c r="Q840" i="19"/>
  <c r="R840" i="19"/>
  <c r="S840" i="19"/>
  <c r="B841" i="19"/>
  <c r="C841" i="19"/>
  <c r="D841" i="19"/>
  <c r="E841" i="19"/>
  <c r="F841" i="19"/>
  <c r="G841" i="19"/>
  <c r="H841" i="19"/>
  <c r="I841" i="19"/>
  <c r="J841" i="19"/>
  <c r="K841" i="19"/>
  <c r="L841" i="19"/>
  <c r="M841" i="19"/>
  <c r="N841" i="19"/>
  <c r="O841" i="19"/>
  <c r="P841" i="19"/>
  <c r="Q841" i="19"/>
  <c r="R841" i="19"/>
  <c r="S841" i="19"/>
  <c r="B842" i="19"/>
  <c r="C842" i="19"/>
  <c r="D842" i="19"/>
  <c r="E842" i="19"/>
  <c r="F842" i="19"/>
  <c r="G842" i="19"/>
  <c r="H842" i="19"/>
  <c r="I842" i="19"/>
  <c r="J842" i="19"/>
  <c r="K842" i="19"/>
  <c r="L842" i="19"/>
  <c r="M842" i="19"/>
  <c r="N842" i="19"/>
  <c r="O842" i="19"/>
  <c r="P842" i="19"/>
  <c r="Q842" i="19"/>
  <c r="R842" i="19"/>
  <c r="S842" i="19"/>
  <c r="B843" i="19"/>
  <c r="C843" i="19"/>
  <c r="D843" i="19"/>
  <c r="E843" i="19"/>
  <c r="F843" i="19"/>
  <c r="G843" i="19"/>
  <c r="H843" i="19"/>
  <c r="I843" i="19"/>
  <c r="J843" i="19"/>
  <c r="K843" i="19"/>
  <c r="L843" i="19"/>
  <c r="M843" i="19"/>
  <c r="N843" i="19"/>
  <c r="O843" i="19"/>
  <c r="P843" i="19"/>
  <c r="Q843" i="19"/>
  <c r="R843" i="19"/>
  <c r="S843" i="19"/>
  <c r="B844" i="19"/>
  <c r="C844" i="19"/>
  <c r="D844" i="19"/>
  <c r="E844" i="19"/>
  <c r="F844" i="19"/>
  <c r="G844" i="19"/>
  <c r="H844" i="19"/>
  <c r="I844" i="19"/>
  <c r="J844" i="19"/>
  <c r="K844" i="19"/>
  <c r="L844" i="19"/>
  <c r="M844" i="19"/>
  <c r="N844" i="19"/>
  <c r="O844" i="19"/>
  <c r="P844" i="19"/>
  <c r="Q844" i="19"/>
  <c r="R844" i="19"/>
  <c r="S844" i="19"/>
  <c r="B845" i="19"/>
  <c r="C845" i="19"/>
  <c r="D845" i="19"/>
  <c r="E845" i="19"/>
  <c r="F845" i="19"/>
  <c r="G845" i="19"/>
  <c r="H845" i="19"/>
  <c r="I845" i="19"/>
  <c r="J845" i="19"/>
  <c r="K845" i="19"/>
  <c r="L845" i="19"/>
  <c r="M845" i="19"/>
  <c r="N845" i="19"/>
  <c r="O845" i="19"/>
  <c r="P845" i="19"/>
  <c r="Q845" i="19"/>
  <c r="R845" i="19"/>
  <c r="S845" i="19"/>
  <c r="B846" i="19"/>
  <c r="C846" i="19"/>
  <c r="D846" i="19"/>
  <c r="E846" i="19"/>
  <c r="F846" i="19"/>
  <c r="G846" i="19"/>
  <c r="H846" i="19"/>
  <c r="I846" i="19"/>
  <c r="J846" i="19"/>
  <c r="K846" i="19"/>
  <c r="L846" i="19"/>
  <c r="M846" i="19"/>
  <c r="N846" i="19"/>
  <c r="O846" i="19"/>
  <c r="P846" i="19"/>
  <c r="Q846" i="19"/>
  <c r="R846" i="19"/>
  <c r="S846" i="19"/>
  <c r="B847" i="19"/>
  <c r="C847" i="19"/>
  <c r="D847" i="19"/>
  <c r="E847" i="19"/>
  <c r="F847" i="19"/>
  <c r="G847" i="19"/>
  <c r="H847" i="19"/>
  <c r="I847" i="19"/>
  <c r="J847" i="19"/>
  <c r="K847" i="19"/>
  <c r="L847" i="19"/>
  <c r="M847" i="19"/>
  <c r="N847" i="19"/>
  <c r="O847" i="19"/>
  <c r="P847" i="19"/>
  <c r="Q847" i="19"/>
  <c r="R847" i="19"/>
  <c r="S847" i="19"/>
  <c r="B848" i="19"/>
  <c r="C848" i="19"/>
  <c r="D848" i="19"/>
  <c r="E848" i="19"/>
  <c r="F848" i="19"/>
  <c r="G848" i="19"/>
  <c r="H848" i="19"/>
  <c r="I848" i="19"/>
  <c r="J848" i="19"/>
  <c r="K848" i="19"/>
  <c r="L848" i="19"/>
  <c r="M848" i="19"/>
  <c r="N848" i="19"/>
  <c r="O848" i="19"/>
  <c r="P848" i="19"/>
  <c r="Q848" i="19"/>
  <c r="R848" i="19"/>
  <c r="S848" i="19"/>
  <c r="B849" i="19"/>
  <c r="C849" i="19"/>
  <c r="D849" i="19"/>
  <c r="E849" i="19"/>
  <c r="F849" i="19"/>
  <c r="G849" i="19"/>
  <c r="H849" i="19"/>
  <c r="I849" i="19"/>
  <c r="J849" i="19"/>
  <c r="K849" i="19"/>
  <c r="L849" i="19"/>
  <c r="M849" i="19"/>
  <c r="N849" i="19"/>
  <c r="O849" i="19"/>
  <c r="P849" i="19"/>
  <c r="Q849" i="19"/>
  <c r="R849" i="19"/>
  <c r="S849" i="19"/>
  <c r="B850" i="19"/>
  <c r="C850" i="19"/>
  <c r="D850" i="19"/>
  <c r="E850" i="19"/>
  <c r="F850" i="19"/>
  <c r="G850" i="19"/>
  <c r="H850" i="19"/>
  <c r="I850" i="19"/>
  <c r="J850" i="19"/>
  <c r="K850" i="19"/>
  <c r="L850" i="19"/>
  <c r="M850" i="19"/>
  <c r="N850" i="19"/>
  <c r="O850" i="19"/>
  <c r="P850" i="19"/>
  <c r="Q850" i="19"/>
  <c r="R850" i="19"/>
  <c r="S850" i="19"/>
  <c r="B851" i="19"/>
  <c r="C851" i="19"/>
  <c r="D851" i="19"/>
  <c r="E851" i="19"/>
  <c r="F851" i="19"/>
  <c r="G851" i="19"/>
  <c r="H851" i="19"/>
  <c r="I851" i="19"/>
  <c r="J851" i="19"/>
  <c r="K851" i="19"/>
  <c r="L851" i="19"/>
  <c r="M851" i="19"/>
  <c r="N851" i="19"/>
  <c r="O851" i="19"/>
  <c r="P851" i="19"/>
  <c r="Q851" i="19"/>
  <c r="R851" i="19"/>
  <c r="S851" i="19"/>
  <c r="B852" i="19"/>
  <c r="C852" i="19"/>
  <c r="D852" i="19"/>
  <c r="E852" i="19"/>
  <c r="F852" i="19"/>
  <c r="G852" i="19"/>
  <c r="H852" i="19"/>
  <c r="I852" i="19"/>
  <c r="J852" i="19"/>
  <c r="K852" i="19"/>
  <c r="L852" i="19"/>
  <c r="M852" i="19"/>
  <c r="N852" i="19"/>
  <c r="O852" i="19"/>
  <c r="P852" i="19"/>
  <c r="Q852" i="19"/>
  <c r="R852" i="19"/>
  <c r="S852" i="19"/>
  <c r="B853" i="19"/>
  <c r="C853" i="19"/>
  <c r="D853" i="19"/>
  <c r="E853" i="19"/>
  <c r="F853" i="19"/>
  <c r="G853" i="19"/>
  <c r="H853" i="19"/>
  <c r="I853" i="19"/>
  <c r="J853" i="19"/>
  <c r="K853" i="19"/>
  <c r="L853" i="19"/>
  <c r="M853" i="19"/>
  <c r="N853" i="19"/>
  <c r="O853" i="19"/>
  <c r="P853" i="19"/>
  <c r="Q853" i="19"/>
  <c r="R853" i="19"/>
  <c r="S853" i="19"/>
  <c r="B854" i="19"/>
  <c r="C854" i="19"/>
  <c r="D854" i="19"/>
  <c r="E854" i="19"/>
  <c r="F854" i="19"/>
  <c r="G854" i="19"/>
  <c r="H854" i="19"/>
  <c r="I854" i="19"/>
  <c r="J854" i="19"/>
  <c r="K854" i="19"/>
  <c r="L854" i="19"/>
  <c r="M854" i="19"/>
  <c r="N854" i="19"/>
  <c r="O854" i="19"/>
  <c r="P854" i="19"/>
  <c r="Q854" i="19"/>
  <c r="R854" i="19"/>
  <c r="S854" i="19"/>
  <c r="B855" i="19"/>
  <c r="C855" i="19"/>
  <c r="D855" i="19"/>
  <c r="E855" i="19"/>
  <c r="F855" i="19"/>
  <c r="G855" i="19"/>
  <c r="H855" i="19"/>
  <c r="I855" i="19"/>
  <c r="J855" i="19"/>
  <c r="K855" i="19"/>
  <c r="L855" i="19"/>
  <c r="M855" i="19"/>
  <c r="N855" i="19"/>
  <c r="O855" i="19"/>
  <c r="P855" i="19"/>
  <c r="Q855" i="19"/>
  <c r="R855" i="19"/>
  <c r="S855" i="19"/>
  <c r="B856" i="19"/>
  <c r="C856" i="19"/>
  <c r="D856" i="19"/>
  <c r="E856" i="19"/>
  <c r="F856" i="19"/>
  <c r="G856" i="19"/>
  <c r="H856" i="19"/>
  <c r="I856" i="19"/>
  <c r="J856" i="19"/>
  <c r="K856" i="19"/>
  <c r="L856" i="19"/>
  <c r="M856" i="19"/>
  <c r="N856" i="19"/>
  <c r="O856" i="19"/>
  <c r="P856" i="19"/>
  <c r="Q856" i="19"/>
  <c r="R856" i="19"/>
  <c r="S856" i="19"/>
  <c r="B857" i="19"/>
  <c r="C857" i="19"/>
  <c r="D857" i="19"/>
  <c r="E857" i="19"/>
  <c r="F857" i="19"/>
  <c r="G857" i="19"/>
  <c r="H857" i="19"/>
  <c r="I857" i="19"/>
  <c r="J857" i="19"/>
  <c r="K857" i="19"/>
  <c r="L857" i="19"/>
  <c r="M857" i="19"/>
  <c r="N857" i="19"/>
  <c r="O857" i="19"/>
  <c r="P857" i="19"/>
  <c r="Q857" i="19"/>
  <c r="R857" i="19"/>
  <c r="S857" i="19"/>
  <c r="B858" i="19"/>
  <c r="C858" i="19"/>
  <c r="D858" i="19"/>
  <c r="E858" i="19"/>
  <c r="F858" i="19"/>
  <c r="G858" i="19"/>
  <c r="H858" i="19"/>
  <c r="I858" i="19"/>
  <c r="J858" i="19"/>
  <c r="K858" i="19"/>
  <c r="L858" i="19"/>
  <c r="M858" i="19"/>
  <c r="N858" i="19"/>
  <c r="O858" i="19"/>
  <c r="P858" i="19"/>
  <c r="Q858" i="19"/>
  <c r="R858" i="19"/>
  <c r="S858" i="19"/>
  <c r="B859" i="19"/>
  <c r="C859" i="19"/>
  <c r="D859" i="19"/>
  <c r="E859" i="19"/>
  <c r="F859" i="19"/>
  <c r="G859" i="19"/>
  <c r="H859" i="19"/>
  <c r="I859" i="19"/>
  <c r="J859" i="19"/>
  <c r="K859" i="19"/>
  <c r="L859" i="19"/>
  <c r="M859" i="19"/>
  <c r="N859" i="19"/>
  <c r="O859" i="19"/>
  <c r="P859" i="19"/>
  <c r="Q859" i="19"/>
  <c r="R859" i="19"/>
  <c r="S859" i="19"/>
  <c r="B860" i="19"/>
  <c r="C860" i="19"/>
  <c r="D860" i="19"/>
  <c r="E860" i="19"/>
  <c r="F860" i="19"/>
  <c r="G860" i="19"/>
  <c r="H860" i="19"/>
  <c r="I860" i="19"/>
  <c r="J860" i="19"/>
  <c r="K860" i="19"/>
  <c r="L860" i="19"/>
  <c r="M860" i="19"/>
  <c r="N860" i="19"/>
  <c r="O860" i="19"/>
  <c r="P860" i="19"/>
  <c r="Q860" i="19"/>
  <c r="R860" i="19"/>
  <c r="S860" i="19"/>
  <c r="B861" i="19"/>
  <c r="C861" i="19"/>
  <c r="D861" i="19"/>
  <c r="E861" i="19"/>
  <c r="F861" i="19"/>
  <c r="G861" i="19"/>
  <c r="H861" i="19"/>
  <c r="I861" i="19"/>
  <c r="J861" i="19"/>
  <c r="K861" i="19"/>
  <c r="L861" i="19"/>
  <c r="M861" i="19"/>
  <c r="N861" i="19"/>
  <c r="O861" i="19"/>
  <c r="P861" i="19"/>
  <c r="Q861" i="19"/>
  <c r="R861" i="19"/>
  <c r="S861" i="19"/>
  <c r="B862" i="19"/>
  <c r="C862" i="19"/>
  <c r="D862" i="19"/>
  <c r="E862" i="19"/>
  <c r="F862" i="19"/>
  <c r="G862" i="19"/>
  <c r="H862" i="19"/>
  <c r="I862" i="19"/>
  <c r="J862" i="19"/>
  <c r="K862" i="19"/>
  <c r="L862" i="19"/>
  <c r="M862" i="19"/>
  <c r="N862" i="19"/>
  <c r="O862" i="19"/>
  <c r="P862" i="19"/>
  <c r="Q862" i="19"/>
  <c r="R862" i="19"/>
  <c r="S862" i="19"/>
  <c r="B863" i="19"/>
  <c r="C863" i="19"/>
  <c r="D863" i="19"/>
  <c r="E863" i="19"/>
  <c r="F863" i="19"/>
  <c r="G863" i="19"/>
  <c r="H863" i="19"/>
  <c r="I863" i="19"/>
  <c r="J863" i="19"/>
  <c r="K863" i="19"/>
  <c r="L863" i="19"/>
  <c r="M863" i="19"/>
  <c r="N863" i="19"/>
  <c r="O863" i="19"/>
  <c r="P863" i="19"/>
  <c r="Q863" i="19"/>
  <c r="R863" i="19"/>
  <c r="S863" i="19"/>
  <c r="B864" i="19"/>
  <c r="C864" i="19"/>
  <c r="D864" i="19"/>
  <c r="E864" i="19"/>
  <c r="F864" i="19"/>
  <c r="G864" i="19"/>
  <c r="H864" i="19"/>
  <c r="I864" i="19"/>
  <c r="J864" i="19"/>
  <c r="K864" i="19"/>
  <c r="L864" i="19"/>
  <c r="M864" i="19"/>
  <c r="N864" i="19"/>
  <c r="O864" i="19"/>
  <c r="P864" i="19"/>
  <c r="Q864" i="19"/>
  <c r="R864" i="19"/>
  <c r="S864" i="19"/>
  <c r="B865" i="19"/>
  <c r="C865" i="19"/>
  <c r="D865" i="19"/>
  <c r="E865" i="19"/>
  <c r="F865" i="19"/>
  <c r="G865" i="19"/>
  <c r="H865" i="19"/>
  <c r="I865" i="19"/>
  <c r="J865" i="19"/>
  <c r="K865" i="19"/>
  <c r="L865" i="19"/>
  <c r="M865" i="19"/>
  <c r="N865" i="19"/>
  <c r="O865" i="19"/>
  <c r="P865" i="19"/>
  <c r="Q865" i="19"/>
  <c r="R865" i="19"/>
  <c r="S865" i="19"/>
  <c r="B866" i="19"/>
  <c r="C866" i="19"/>
  <c r="D866" i="19"/>
  <c r="E866" i="19"/>
  <c r="F866" i="19"/>
  <c r="G866" i="19"/>
  <c r="H866" i="19"/>
  <c r="I866" i="19"/>
  <c r="J866" i="19"/>
  <c r="K866" i="19"/>
  <c r="L866" i="19"/>
  <c r="M866" i="19"/>
  <c r="N866" i="19"/>
  <c r="O866" i="19"/>
  <c r="P866" i="19"/>
  <c r="Q866" i="19"/>
  <c r="R866" i="19"/>
  <c r="S866" i="19"/>
  <c r="B867" i="19"/>
  <c r="C867" i="19"/>
  <c r="D867" i="19"/>
  <c r="E867" i="19"/>
  <c r="F867" i="19"/>
  <c r="G867" i="19"/>
  <c r="H867" i="19"/>
  <c r="I867" i="19"/>
  <c r="J867" i="19"/>
  <c r="K867" i="19"/>
  <c r="L867" i="19"/>
  <c r="M867" i="19"/>
  <c r="N867" i="19"/>
  <c r="O867" i="19"/>
  <c r="P867" i="19"/>
  <c r="Q867" i="19"/>
  <c r="R867" i="19"/>
  <c r="S867" i="19"/>
  <c r="B868" i="19"/>
  <c r="C868" i="19"/>
  <c r="D868" i="19"/>
  <c r="E868" i="19"/>
  <c r="F868" i="19"/>
  <c r="G868" i="19"/>
  <c r="H868" i="19"/>
  <c r="I868" i="19"/>
  <c r="J868" i="19"/>
  <c r="K868" i="19"/>
  <c r="L868" i="19"/>
  <c r="M868" i="19"/>
  <c r="N868" i="19"/>
  <c r="O868" i="19"/>
  <c r="P868" i="19"/>
  <c r="Q868" i="19"/>
  <c r="R868" i="19"/>
  <c r="S868" i="19"/>
  <c r="B869" i="19"/>
  <c r="C869" i="19"/>
  <c r="D869" i="19"/>
  <c r="E869" i="19"/>
  <c r="F869" i="19"/>
  <c r="G869" i="19"/>
  <c r="H869" i="19"/>
  <c r="I869" i="19"/>
  <c r="J869" i="19"/>
  <c r="K869" i="19"/>
  <c r="L869" i="19"/>
  <c r="M869" i="19"/>
  <c r="N869" i="19"/>
  <c r="O869" i="19"/>
  <c r="P869" i="19"/>
  <c r="Q869" i="19"/>
  <c r="R869" i="19"/>
  <c r="S869" i="19"/>
  <c r="B870" i="19"/>
  <c r="C870" i="19"/>
  <c r="D870" i="19"/>
  <c r="E870" i="19"/>
  <c r="F870" i="19"/>
  <c r="G870" i="19"/>
  <c r="H870" i="19"/>
  <c r="I870" i="19"/>
  <c r="J870" i="19"/>
  <c r="K870" i="19"/>
  <c r="L870" i="19"/>
  <c r="M870" i="19"/>
  <c r="N870" i="19"/>
  <c r="O870" i="19"/>
  <c r="P870" i="19"/>
  <c r="Q870" i="19"/>
  <c r="R870" i="19"/>
  <c r="S870" i="19"/>
  <c r="B871" i="19"/>
  <c r="C871" i="19"/>
  <c r="D871" i="19"/>
  <c r="E871" i="19"/>
  <c r="F871" i="19"/>
  <c r="G871" i="19"/>
  <c r="H871" i="19"/>
  <c r="I871" i="19"/>
  <c r="J871" i="19"/>
  <c r="K871" i="19"/>
  <c r="L871" i="19"/>
  <c r="M871" i="19"/>
  <c r="N871" i="19"/>
  <c r="O871" i="19"/>
  <c r="P871" i="19"/>
  <c r="Q871" i="19"/>
  <c r="R871" i="19"/>
  <c r="S871" i="19"/>
  <c r="B872" i="19"/>
  <c r="C872" i="19"/>
  <c r="D872" i="19"/>
  <c r="E872" i="19"/>
  <c r="F872" i="19"/>
  <c r="G872" i="19"/>
  <c r="H872" i="19"/>
  <c r="I872" i="19"/>
  <c r="J872" i="19"/>
  <c r="K872" i="19"/>
  <c r="L872" i="19"/>
  <c r="M872" i="19"/>
  <c r="N872" i="19"/>
  <c r="O872" i="19"/>
  <c r="P872" i="19"/>
  <c r="Q872" i="19"/>
  <c r="R872" i="19"/>
  <c r="S872" i="19"/>
  <c r="B873" i="19"/>
  <c r="C873" i="19"/>
  <c r="D873" i="19"/>
  <c r="E873" i="19"/>
  <c r="F873" i="19"/>
  <c r="G873" i="19"/>
  <c r="H873" i="19"/>
  <c r="I873" i="19"/>
  <c r="J873" i="19"/>
  <c r="K873" i="19"/>
  <c r="L873" i="19"/>
  <c r="M873" i="19"/>
  <c r="N873" i="19"/>
  <c r="O873" i="19"/>
  <c r="P873" i="19"/>
  <c r="Q873" i="19"/>
  <c r="R873" i="19"/>
  <c r="S873" i="19"/>
  <c r="B874" i="19"/>
  <c r="C874" i="19"/>
  <c r="D874" i="19"/>
  <c r="E874" i="19"/>
  <c r="F874" i="19"/>
  <c r="G874" i="19"/>
  <c r="H874" i="19"/>
  <c r="I874" i="19"/>
  <c r="J874" i="19"/>
  <c r="K874" i="19"/>
  <c r="L874" i="19"/>
  <c r="M874" i="19"/>
  <c r="N874" i="19"/>
  <c r="O874" i="19"/>
  <c r="P874" i="19"/>
  <c r="Q874" i="19"/>
  <c r="R874" i="19"/>
  <c r="S874" i="19"/>
  <c r="B875" i="19"/>
  <c r="C875" i="19"/>
  <c r="D875" i="19"/>
  <c r="E875" i="19"/>
  <c r="F875" i="19"/>
  <c r="G875" i="19"/>
  <c r="H875" i="19"/>
  <c r="I875" i="19"/>
  <c r="J875" i="19"/>
  <c r="K875" i="19"/>
  <c r="L875" i="19"/>
  <c r="M875" i="19"/>
  <c r="N875" i="19"/>
  <c r="O875" i="19"/>
  <c r="P875" i="19"/>
  <c r="Q875" i="19"/>
  <c r="R875" i="19"/>
  <c r="S875" i="19"/>
  <c r="B876" i="19"/>
  <c r="C876" i="19"/>
  <c r="D876" i="19"/>
  <c r="E876" i="19"/>
  <c r="F876" i="19"/>
  <c r="G876" i="19"/>
  <c r="H876" i="19"/>
  <c r="I876" i="19"/>
  <c r="J876" i="19"/>
  <c r="K876" i="19"/>
  <c r="L876" i="19"/>
  <c r="M876" i="19"/>
  <c r="N876" i="19"/>
  <c r="O876" i="19"/>
  <c r="P876" i="19"/>
  <c r="Q876" i="19"/>
  <c r="R876" i="19"/>
  <c r="S876" i="19"/>
  <c r="B877" i="19"/>
  <c r="C877" i="19"/>
  <c r="D877" i="19"/>
  <c r="E877" i="19"/>
  <c r="F877" i="19"/>
  <c r="G877" i="19"/>
  <c r="H877" i="19"/>
  <c r="I877" i="19"/>
  <c r="J877" i="19"/>
  <c r="K877" i="19"/>
  <c r="L877" i="19"/>
  <c r="M877" i="19"/>
  <c r="N877" i="19"/>
  <c r="O877" i="19"/>
  <c r="P877" i="19"/>
  <c r="Q877" i="19"/>
  <c r="R877" i="19"/>
  <c r="S877" i="19"/>
  <c r="B878" i="19"/>
  <c r="C878" i="19"/>
  <c r="D878" i="19"/>
  <c r="E878" i="19"/>
  <c r="F878" i="19"/>
  <c r="G878" i="19"/>
  <c r="H878" i="19"/>
  <c r="I878" i="19"/>
  <c r="J878" i="19"/>
  <c r="K878" i="19"/>
  <c r="L878" i="19"/>
  <c r="M878" i="19"/>
  <c r="N878" i="19"/>
  <c r="O878" i="19"/>
  <c r="P878" i="19"/>
  <c r="Q878" i="19"/>
  <c r="R878" i="19"/>
  <c r="S878" i="19"/>
  <c r="B879" i="19"/>
  <c r="C879" i="19"/>
  <c r="D879" i="19"/>
  <c r="E879" i="19"/>
  <c r="F879" i="19"/>
  <c r="G879" i="19"/>
  <c r="H879" i="19"/>
  <c r="I879" i="19"/>
  <c r="J879" i="19"/>
  <c r="K879" i="19"/>
  <c r="L879" i="19"/>
  <c r="M879" i="19"/>
  <c r="N879" i="19"/>
  <c r="O879" i="19"/>
  <c r="P879" i="19"/>
  <c r="Q879" i="19"/>
  <c r="R879" i="19"/>
  <c r="S879" i="19"/>
  <c r="B880" i="19"/>
  <c r="C880" i="19"/>
  <c r="D880" i="19"/>
  <c r="E880" i="19"/>
  <c r="F880" i="19"/>
  <c r="G880" i="19"/>
  <c r="H880" i="19"/>
  <c r="I880" i="19"/>
  <c r="J880" i="19"/>
  <c r="K880" i="19"/>
  <c r="L880" i="19"/>
  <c r="M880" i="19"/>
  <c r="N880" i="19"/>
  <c r="O880" i="19"/>
  <c r="P880" i="19"/>
  <c r="Q880" i="19"/>
  <c r="R880" i="19"/>
  <c r="S880" i="19"/>
  <c r="B881" i="19"/>
  <c r="C881" i="19"/>
  <c r="D881" i="19"/>
  <c r="E881" i="19"/>
  <c r="F881" i="19"/>
  <c r="G881" i="19"/>
  <c r="H881" i="19"/>
  <c r="I881" i="19"/>
  <c r="J881" i="19"/>
  <c r="K881" i="19"/>
  <c r="L881" i="19"/>
  <c r="M881" i="19"/>
  <c r="N881" i="19"/>
  <c r="O881" i="19"/>
  <c r="P881" i="19"/>
  <c r="Q881" i="19"/>
  <c r="R881" i="19"/>
  <c r="S881" i="19"/>
  <c r="B882" i="19"/>
  <c r="C882" i="19"/>
  <c r="D882" i="19"/>
  <c r="E882" i="19"/>
  <c r="F882" i="19"/>
  <c r="G882" i="19"/>
  <c r="H882" i="19"/>
  <c r="I882" i="19"/>
  <c r="J882" i="19"/>
  <c r="K882" i="19"/>
  <c r="L882" i="19"/>
  <c r="M882" i="19"/>
  <c r="N882" i="19"/>
  <c r="O882" i="19"/>
  <c r="P882" i="19"/>
  <c r="Q882" i="19"/>
  <c r="R882" i="19"/>
  <c r="S882" i="19"/>
  <c r="B883" i="19"/>
  <c r="C883" i="19"/>
  <c r="D883" i="19"/>
  <c r="E883" i="19"/>
  <c r="F883" i="19"/>
  <c r="G883" i="19"/>
  <c r="H883" i="19"/>
  <c r="I883" i="19"/>
  <c r="J883" i="19"/>
  <c r="K883" i="19"/>
  <c r="L883" i="19"/>
  <c r="M883" i="19"/>
  <c r="N883" i="19"/>
  <c r="O883" i="19"/>
  <c r="P883" i="19"/>
  <c r="Q883" i="19"/>
  <c r="R883" i="19"/>
  <c r="S883" i="19"/>
  <c r="B884" i="19"/>
  <c r="C884" i="19"/>
  <c r="D884" i="19"/>
  <c r="E884" i="19"/>
  <c r="F884" i="19"/>
  <c r="G884" i="19"/>
  <c r="H884" i="19"/>
  <c r="I884" i="19"/>
  <c r="J884" i="19"/>
  <c r="K884" i="19"/>
  <c r="L884" i="19"/>
  <c r="M884" i="19"/>
  <c r="N884" i="19"/>
  <c r="O884" i="19"/>
  <c r="P884" i="19"/>
  <c r="Q884" i="19"/>
  <c r="R884" i="19"/>
  <c r="S884" i="19"/>
  <c r="B885" i="19"/>
  <c r="C885" i="19"/>
  <c r="D885" i="19"/>
  <c r="E885" i="19"/>
  <c r="F885" i="19"/>
  <c r="G885" i="19"/>
  <c r="H885" i="19"/>
  <c r="I885" i="19"/>
  <c r="J885" i="19"/>
  <c r="K885" i="19"/>
  <c r="L885" i="19"/>
  <c r="M885" i="19"/>
  <c r="N885" i="19"/>
  <c r="O885" i="19"/>
  <c r="P885" i="19"/>
  <c r="Q885" i="19"/>
  <c r="R885" i="19"/>
  <c r="S885" i="19"/>
  <c r="B886" i="19"/>
  <c r="C886" i="19"/>
  <c r="D886" i="19"/>
  <c r="E886" i="19"/>
  <c r="F886" i="19"/>
  <c r="G886" i="19"/>
  <c r="H886" i="19"/>
  <c r="I886" i="19"/>
  <c r="J886" i="19"/>
  <c r="K886" i="19"/>
  <c r="L886" i="19"/>
  <c r="M886" i="19"/>
  <c r="N886" i="19"/>
  <c r="O886" i="19"/>
  <c r="P886" i="19"/>
  <c r="Q886" i="19"/>
  <c r="R886" i="19"/>
  <c r="S886" i="19"/>
  <c r="B887" i="19"/>
  <c r="C887" i="19"/>
  <c r="D887" i="19"/>
  <c r="E887" i="19"/>
  <c r="F887" i="19"/>
  <c r="G887" i="19"/>
  <c r="H887" i="19"/>
  <c r="I887" i="19"/>
  <c r="J887" i="19"/>
  <c r="K887" i="19"/>
  <c r="L887" i="19"/>
  <c r="M887" i="19"/>
  <c r="N887" i="19"/>
  <c r="O887" i="19"/>
  <c r="P887" i="19"/>
  <c r="Q887" i="19"/>
  <c r="R887" i="19"/>
  <c r="S887" i="19"/>
  <c r="B888" i="19"/>
  <c r="C888" i="19"/>
  <c r="D888" i="19"/>
  <c r="E888" i="19"/>
  <c r="F888" i="19"/>
  <c r="G888" i="19"/>
  <c r="H888" i="19"/>
  <c r="I888" i="19"/>
  <c r="J888" i="19"/>
  <c r="K888" i="19"/>
  <c r="L888" i="19"/>
  <c r="M888" i="19"/>
  <c r="N888" i="19"/>
  <c r="O888" i="19"/>
  <c r="P888" i="19"/>
  <c r="Q888" i="19"/>
  <c r="R888" i="19"/>
  <c r="S888" i="19"/>
  <c r="B889" i="19"/>
  <c r="C889" i="19"/>
  <c r="D889" i="19"/>
  <c r="E889" i="19"/>
  <c r="F889" i="19"/>
  <c r="G889" i="19"/>
  <c r="H889" i="19"/>
  <c r="I889" i="19"/>
  <c r="J889" i="19"/>
  <c r="K889" i="19"/>
  <c r="L889" i="19"/>
  <c r="M889" i="19"/>
  <c r="N889" i="19"/>
  <c r="O889" i="19"/>
  <c r="P889" i="19"/>
  <c r="Q889" i="19"/>
  <c r="R889" i="19"/>
  <c r="S889" i="19"/>
  <c r="B890" i="19"/>
  <c r="C890" i="19"/>
  <c r="D890" i="19"/>
  <c r="E890" i="19"/>
  <c r="F890" i="19"/>
  <c r="G890" i="19"/>
  <c r="H890" i="19"/>
  <c r="I890" i="19"/>
  <c r="J890" i="19"/>
  <c r="K890" i="19"/>
  <c r="L890" i="19"/>
  <c r="M890" i="19"/>
  <c r="N890" i="19"/>
  <c r="O890" i="19"/>
  <c r="P890" i="19"/>
  <c r="Q890" i="19"/>
  <c r="R890" i="19"/>
  <c r="S890" i="19"/>
  <c r="B891" i="19"/>
  <c r="C891" i="19"/>
  <c r="D891" i="19"/>
  <c r="E891" i="19"/>
  <c r="F891" i="19"/>
  <c r="G891" i="19"/>
  <c r="H891" i="19"/>
  <c r="I891" i="19"/>
  <c r="J891" i="19"/>
  <c r="K891" i="19"/>
  <c r="L891" i="19"/>
  <c r="M891" i="19"/>
  <c r="N891" i="19"/>
  <c r="O891" i="19"/>
  <c r="P891" i="19"/>
  <c r="Q891" i="19"/>
  <c r="R891" i="19"/>
  <c r="S891" i="19"/>
  <c r="B892" i="19"/>
  <c r="C892" i="19"/>
  <c r="D892" i="19"/>
  <c r="E892" i="19"/>
  <c r="F892" i="19"/>
  <c r="G892" i="19"/>
  <c r="H892" i="19"/>
  <c r="I892" i="19"/>
  <c r="J892" i="19"/>
  <c r="K892" i="19"/>
  <c r="L892" i="19"/>
  <c r="M892" i="19"/>
  <c r="N892" i="19"/>
  <c r="O892" i="19"/>
  <c r="P892" i="19"/>
  <c r="Q892" i="19"/>
  <c r="R892" i="19"/>
  <c r="S892" i="19"/>
  <c r="B893" i="19"/>
  <c r="C893" i="19"/>
  <c r="D893" i="19"/>
  <c r="E893" i="19"/>
  <c r="F893" i="19"/>
  <c r="G893" i="19"/>
  <c r="H893" i="19"/>
  <c r="I893" i="19"/>
  <c r="J893" i="19"/>
  <c r="K893" i="19"/>
  <c r="L893" i="19"/>
  <c r="M893" i="19"/>
  <c r="N893" i="19"/>
  <c r="O893" i="19"/>
  <c r="P893" i="19"/>
  <c r="Q893" i="19"/>
  <c r="R893" i="19"/>
  <c r="S893" i="19"/>
  <c r="B894" i="19"/>
  <c r="C894" i="19"/>
  <c r="D894" i="19"/>
  <c r="E894" i="19"/>
  <c r="F894" i="19"/>
  <c r="G894" i="19"/>
  <c r="H894" i="19"/>
  <c r="I894" i="19"/>
  <c r="J894" i="19"/>
  <c r="K894" i="19"/>
  <c r="L894" i="19"/>
  <c r="M894" i="19"/>
  <c r="N894" i="19"/>
  <c r="O894" i="19"/>
  <c r="P894" i="19"/>
  <c r="Q894" i="19"/>
  <c r="R894" i="19"/>
  <c r="S894" i="19"/>
  <c r="B895" i="19"/>
  <c r="C895" i="19"/>
  <c r="D895" i="19"/>
  <c r="E895" i="19"/>
  <c r="F895" i="19"/>
  <c r="G895" i="19"/>
  <c r="H895" i="19"/>
  <c r="I895" i="19"/>
  <c r="J895" i="19"/>
  <c r="K895" i="19"/>
  <c r="L895" i="19"/>
  <c r="M895" i="19"/>
  <c r="N895" i="19"/>
  <c r="O895" i="19"/>
  <c r="P895" i="19"/>
  <c r="Q895" i="19"/>
  <c r="R895" i="19"/>
  <c r="S895" i="19"/>
  <c r="B896" i="19"/>
  <c r="C896" i="19"/>
  <c r="D896" i="19"/>
  <c r="E896" i="19"/>
  <c r="F896" i="19"/>
  <c r="G896" i="19"/>
  <c r="H896" i="19"/>
  <c r="I896" i="19"/>
  <c r="J896" i="19"/>
  <c r="K896" i="19"/>
  <c r="L896" i="19"/>
  <c r="M896" i="19"/>
  <c r="N896" i="19"/>
  <c r="O896" i="19"/>
  <c r="P896" i="19"/>
  <c r="Q896" i="19"/>
  <c r="R896" i="19"/>
  <c r="S896" i="19"/>
  <c r="B4" i="8"/>
  <c r="C4" i="8"/>
  <c r="D4" i="8"/>
  <c r="E4" i="8"/>
  <c r="F4" i="8"/>
  <c r="G4" i="8"/>
  <c r="H4" i="8"/>
  <c r="I4" i="8"/>
  <c r="J4" i="8"/>
  <c r="K4" i="8"/>
  <c r="L4" i="8"/>
  <c r="M4" i="8"/>
  <c r="N4" i="8"/>
  <c r="O4" i="8"/>
  <c r="P4" i="8"/>
  <c r="Q4" i="8"/>
  <c r="R4" i="8"/>
  <c r="S4" i="8"/>
  <c r="B5" i="8"/>
  <c r="C5" i="8"/>
  <c r="D5" i="8"/>
  <c r="E5" i="8"/>
  <c r="F5" i="8"/>
  <c r="G5" i="8"/>
  <c r="H5" i="8"/>
  <c r="I5" i="8"/>
  <c r="J5" i="8"/>
  <c r="K5" i="8"/>
  <c r="L5" i="8"/>
  <c r="M5" i="8"/>
  <c r="N5" i="8"/>
  <c r="O5" i="8"/>
  <c r="P5" i="8"/>
  <c r="Q5" i="8"/>
  <c r="R5" i="8"/>
  <c r="S5" i="8"/>
  <c r="B6" i="8"/>
  <c r="C6" i="8"/>
  <c r="D6" i="8"/>
  <c r="E6" i="8"/>
  <c r="F6" i="8"/>
  <c r="G6" i="8"/>
  <c r="H6" i="8"/>
  <c r="I6" i="8"/>
  <c r="J6" i="8"/>
  <c r="K6" i="8"/>
  <c r="L6" i="8"/>
  <c r="M6" i="8"/>
  <c r="N6" i="8"/>
  <c r="O6" i="8"/>
  <c r="P6" i="8"/>
  <c r="Q6" i="8"/>
  <c r="R6" i="8"/>
  <c r="S6" i="8"/>
  <c r="B7" i="8"/>
  <c r="C7" i="8"/>
  <c r="D7" i="8"/>
  <c r="E7" i="8"/>
  <c r="F7" i="8"/>
  <c r="G7" i="8"/>
  <c r="H7" i="8"/>
  <c r="I7" i="8"/>
  <c r="J7" i="8"/>
  <c r="K7" i="8"/>
  <c r="L7" i="8"/>
  <c r="M7" i="8"/>
  <c r="N7" i="8"/>
  <c r="O7" i="8"/>
  <c r="P7" i="8"/>
  <c r="Q7" i="8"/>
  <c r="R7" i="8"/>
  <c r="S7" i="8"/>
  <c r="B8" i="8"/>
  <c r="C8" i="8"/>
  <c r="D8" i="8"/>
  <c r="E8" i="8"/>
  <c r="F8" i="8"/>
  <c r="G8" i="8"/>
  <c r="H8" i="8"/>
  <c r="I8" i="8"/>
  <c r="J8" i="8"/>
  <c r="K8" i="8"/>
  <c r="L8" i="8"/>
  <c r="M8" i="8"/>
  <c r="N8" i="8"/>
  <c r="O8" i="8"/>
  <c r="P8" i="8"/>
  <c r="Q8" i="8"/>
  <c r="R8" i="8"/>
  <c r="S8" i="8"/>
  <c r="B9" i="8"/>
  <c r="C9" i="8"/>
  <c r="D9" i="8"/>
  <c r="E9" i="8"/>
  <c r="F9" i="8"/>
  <c r="G9" i="8"/>
  <c r="H9" i="8"/>
  <c r="I9" i="8"/>
  <c r="J9" i="8"/>
  <c r="K9" i="8"/>
  <c r="L9" i="8"/>
  <c r="M9" i="8"/>
  <c r="N9" i="8"/>
  <c r="O9" i="8"/>
  <c r="P9" i="8"/>
  <c r="Q9" i="8"/>
  <c r="R9" i="8"/>
  <c r="S9" i="8"/>
  <c r="B10" i="8"/>
  <c r="C10" i="8"/>
  <c r="D10" i="8"/>
  <c r="E10" i="8"/>
  <c r="F10" i="8"/>
  <c r="G10" i="8"/>
  <c r="H10" i="8"/>
  <c r="I10" i="8"/>
  <c r="J10" i="8"/>
  <c r="K10" i="8"/>
  <c r="L10" i="8"/>
  <c r="M10" i="8"/>
  <c r="N10" i="8"/>
  <c r="O10" i="8"/>
  <c r="P10" i="8"/>
  <c r="Q10" i="8"/>
  <c r="R10" i="8"/>
  <c r="S10" i="8"/>
  <c r="B11" i="8"/>
  <c r="C11" i="8"/>
  <c r="D11" i="8"/>
  <c r="E11" i="8"/>
  <c r="F11" i="8"/>
  <c r="G11" i="8"/>
  <c r="H11" i="8"/>
  <c r="I11" i="8"/>
  <c r="J11" i="8"/>
  <c r="K11" i="8"/>
  <c r="L11" i="8"/>
  <c r="M11" i="8"/>
  <c r="N11" i="8"/>
  <c r="O11" i="8"/>
  <c r="P11" i="8"/>
  <c r="Q11" i="8"/>
  <c r="R11" i="8"/>
  <c r="S11" i="8"/>
  <c r="B12" i="8"/>
  <c r="C12" i="8"/>
  <c r="D12" i="8"/>
  <c r="E12" i="8"/>
  <c r="F12" i="8"/>
  <c r="G12" i="8"/>
  <c r="H12" i="8"/>
  <c r="I12" i="8"/>
  <c r="J12" i="8"/>
  <c r="K12" i="8"/>
  <c r="L12" i="8"/>
  <c r="M12" i="8"/>
  <c r="N12" i="8"/>
  <c r="O12" i="8"/>
  <c r="P12" i="8"/>
  <c r="Q12" i="8"/>
  <c r="R12" i="8"/>
  <c r="S12" i="8"/>
  <c r="B13" i="8"/>
  <c r="C13" i="8"/>
  <c r="D13" i="8"/>
  <c r="E13" i="8"/>
  <c r="F13" i="8"/>
  <c r="G13" i="8"/>
  <c r="H13" i="8"/>
  <c r="I13" i="8"/>
  <c r="J13" i="8"/>
  <c r="K13" i="8"/>
  <c r="L13" i="8"/>
  <c r="M13" i="8"/>
  <c r="N13" i="8"/>
  <c r="O13" i="8"/>
  <c r="P13" i="8"/>
  <c r="Q13" i="8"/>
  <c r="R13" i="8"/>
  <c r="S13" i="8"/>
  <c r="B14" i="8"/>
  <c r="C14" i="8"/>
  <c r="D14" i="8"/>
  <c r="E14" i="8"/>
  <c r="F14" i="8"/>
  <c r="G14" i="8"/>
  <c r="H14" i="8"/>
  <c r="I14" i="8"/>
  <c r="J14" i="8"/>
  <c r="K14" i="8"/>
  <c r="L14" i="8"/>
  <c r="M14" i="8"/>
  <c r="N14" i="8"/>
  <c r="O14" i="8"/>
  <c r="P14" i="8"/>
  <c r="Q14" i="8"/>
  <c r="R14" i="8"/>
  <c r="S14" i="8"/>
  <c r="B15" i="8"/>
  <c r="C15" i="8"/>
  <c r="D15" i="8"/>
  <c r="E15" i="8"/>
  <c r="F15" i="8"/>
  <c r="G15" i="8"/>
  <c r="H15" i="8"/>
  <c r="I15" i="8"/>
  <c r="J15" i="8"/>
  <c r="K15" i="8"/>
  <c r="L15" i="8"/>
  <c r="M15" i="8"/>
  <c r="N15" i="8"/>
  <c r="O15" i="8"/>
  <c r="P15" i="8"/>
  <c r="Q15" i="8"/>
  <c r="R15" i="8"/>
  <c r="S15" i="8"/>
  <c r="B16" i="8"/>
  <c r="C16" i="8"/>
  <c r="D16" i="8"/>
  <c r="E16" i="8"/>
  <c r="F16" i="8"/>
  <c r="G16" i="8"/>
  <c r="H16" i="8"/>
  <c r="I16" i="8"/>
  <c r="J16" i="8"/>
  <c r="K16" i="8"/>
  <c r="L16" i="8"/>
  <c r="M16" i="8"/>
  <c r="N16" i="8"/>
  <c r="O16" i="8"/>
  <c r="P16" i="8"/>
  <c r="Q16" i="8"/>
  <c r="R16" i="8"/>
  <c r="S16" i="8"/>
  <c r="B17" i="8"/>
  <c r="C17" i="8"/>
  <c r="D17" i="8"/>
  <c r="E17" i="8"/>
  <c r="F17" i="8"/>
  <c r="G17" i="8"/>
  <c r="H17" i="8"/>
  <c r="I17" i="8"/>
  <c r="J17" i="8"/>
  <c r="K17" i="8"/>
  <c r="L17" i="8"/>
  <c r="M17" i="8"/>
  <c r="N17" i="8"/>
  <c r="O17" i="8"/>
  <c r="P17" i="8"/>
  <c r="Q17" i="8"/>
  <c r="R17" i="8"/>
  <c r="S17" i="8"/>
  <c r="B18" i="8"/>
  <c r="C18" i="8"/>
  <c r="D18" i="8"/>
  <c r="E18" i="8"/>
  <c r="F18" i="8"/>
  <c r="G18" i="8"/>
  <c r="H18" i="8"/>
  <c r="I18" i="8"/>
  <c r="J18" i="8"/>
  <c r="K18" i="8"/>
  <c r="L18" i="8"/>
  <c r="M18" i="8"/>
  <c r="N18" i="8"/>
  <c r="O18" i="8"/>
  <c r="P18" i="8"/>
  <c r="Q18" i="8"/>
  <c r="R18" i="8"/>
  <c r="S18" i="8"/>
  <c r="B19" i="8"/>
  <c r="C19" i="8"/>
  <c r="D19" i="8"/>
  <c r="E19" i="8"/>
  <c r="F19" i="8"/>
  <c r="G19" i="8"/>
  <c r="H19" i="8"/>
  <c r="I19" i="8"/>
  <c r="J19" i="8"/>
  <c r="K19" i="8"/>
  <c r="L19" i="8"/>
  <c r="M19" i="8"/>
  <c r="N19" i="8"/>
  <c r="O19" i="8"/>
  <c r="P19" i="8"/>
  <c r="Q19" i="8"/>
  <c r="R19" i="8"/>
  <c r="S19" i="8"/>
  <c r="B20" i="8"/>
  <c r="C20" i="8"/>
  <c r="D20" i="8"/>
  <c r="E20" i="8"/>
  <c r="F20" i="8"/>
  <c r="G20" i="8"/>
  <c r="H20" i="8"/>
  <c r="I20" i="8"/>
  <c r="J20" i="8"/>
  <c r="K20" i="8"/>
  <c r="L20" i="8"/>
  <c r="M20" i="8"/>
  <c r="N20" i="8"/>
  <c r="O20" i="8"/>
  <c r="P20" i="8"/>
  <c r="Q20" i="8"/>
  <c r="R20" i="8"/>
  <c r="S20" i="8"/>
  <c r="B21" i="8"/>
  <c r="C21" i="8"/>
  <c r="D21" i="8"/>
  <c r="E21" i="8"/>
  <c r="F21" i="8"/>
  <c r="G21" i="8"/>
  <c r="H21" i="8"/>
  <c r="I21" i="8"/>
  <c r="J21" i="8"/>
  <c r="K21" i="8"/>
  <c r="L21" i="8"/>
  <c r="M21" i="8"/>
  <c r="N21" i="8"/>
  <c r="O21" i="8"/>
  <c r="P21" i="8"/>
  <c r="Q21" i="8"/>
  <c r="R21" i="8"/>
  <c r="S21" i="8"/>
  <c r="B22" i="8"/>
  <c r="C22" i="8"/>
  <c r="D22" i="8"/>
  <c r="E22" i="8"/>
  <c r="F22" i="8"/>
  <c r="G22" i="8"/>
  <c r="H22" i="8"/>
  <c r="I22" i="8"/>
  <c r="J22" i="8"/>
  <c r="K22" i="8"/>
  <c r="L22" i="8"/>
  <c r="M22" i="8"/>
  <c r="N22" i="8"/>
  <c r="O22" i="8"/>
  <c r="P22" i="8"/>
  <c r="Q22" i="8"/>
  <c r="R22" i="8"/>
  <c r="S22" i="8"/>
  <c r="B23" i="8"/>
  <c r="C23" i="8"/>
  <c r="D23" i="8"/>
  <c r="E23" i="8"/>
  <c r="F23" i="8"/>
  <c r="G23" i="8"/>
  <c r="H23" i="8"/>
  <c r="I23" i="8"/>
  <c r="J23" i="8"/>
  <c r="K23" i="8"/>
  <c r="L23" i="8"/>
  <c r="M23" i="8"/>
  <c r="N23" i="8"/>
  <c r="O23" i="8"/>
  <c r="P23" i="8"/>
  <c r="Q23" i="8"/>
  <c r="R23" i="8"/>
  <c r="S23" i="8"/>
  <c r="B24" i="8"/>
  <c r="C24" i="8"/>
  <c r="D24" i="8"/>
  <c r="E24" i="8"/>
  <c r="F24" i="8"/>
  <c r="G24" i="8"/>
  <c r="H24" i="8"/>
  <c r="I24" i="8"/>
  <c r="J24" i="8"/>
  <c r="K24" i="8"/>
  <c r="L24" i="8"/>
  <c r="M24" i="8"/>
  <c r="N24" i="8"/>
  <c r="O24" i="8"/>
  <c r="P24" i="8"/>
  <c r="Q24" i="8"/>
  <c r="R24" i="8"/>
  <c r="S24" i="8"/>
  <c r="B25" i="8"/>
  <c r="C25" i="8"/>
  <c r="D25" i="8"/>
  <c r="E25" i="8"/>
  <c r="F25" i="8"/>
  <c r="G25" i="8"/>
  <c r="H25" i="8"/>
  <c r="I25" i="8"/>
  <c r="J25" i="8"/>
  <c r="K25" i="8"/>
  <c r="L25" i="8"/>
  <c r="M25" i="8"/>
  <c r="N25" i="8"/>
  <c r="O25" i="8"/>
  <c r="P25" i="8"/>
  <c r="Q25" i="8"/>
  <c r="R25" i="8"/>
  <c r="S25" i="8"/>
  <c r="B26" i="8"/>
  <c r="C26" i="8"/>
  <c r="D26" i="8"/>
  <c r="E26" i="8"/>
  <c r="F26" i="8"/>
  <c r="G26" i="8"/>
  <c r="H26" i="8"/>
  <c r="I26" i="8"/>
  <c r="J26" i="8"/>
  <c r="K26" i="8"/>
  <c r="L26" i="8"/>
  <c r="M26" i="8"/>
  <c r="N26" i="8"/>
  <c r="O26" i="8"/>
  <c r="P26" i="8"/>
  <c r="Q26" i="8"/>
  <c r="R26" i="8"/>
  <c r="S26" i="8"/>
  <c r="B27" i="8"/>
  <c r="C27" i="8"/>
  <c r="D27" i="8"/>
  <c r="E27" i="8"/>
  <c r="F27" i="8"/>
  <c r="G27" i="8"/>
  <c r="H27" i="8"/>
  <c r="I27" i="8"/>
  <c r="J27" i="8"/>
  <c r="K27" i="8"/>
  <c r="L27" i="8"/>
  <c r="M27" i="8"/>
  <c r="N27" i="8"/>
  <c r="O27" i="8"/>
  <c r="P27" i="8"/>
  <c r="Q27" i="8"/>
  <c r="R27" i="8"/>
  <c r="S27" i="8"/>
  <c r="B28" i="8"/>
  <c r="C28" i="8"/>
  <c r="D28" i="8"/>
  <c r="E28" i="8"/>
  <c r="F28" i="8"/>
  <c r="G28" i="8"/>
  <c r="H28" i="8"/>
  <c r="I28" i="8"/>
  <c r="J28" i="8"/>
  <c r="K28" i="8"/>
  <c r="L28" i="8"/>
  <c r="M28" i="8"/>
  <c r="N28" i="8"/>
  <c r="O28" i="8"/>
  <c r="P28" i="8"/>
  <c r="Q28" i="8"/>
  <c r="R28" i="8"/>
  <c r="S28" i="8"/>
  <c r="B29" i="8"/>
  <c r="C29" i="8"/>
  <c r="D29" i="8"/>
  <c r="E29" i="8"/>
  <c r="F29" i="8"/>
  <c r="G29" i="8"/>
  <c r="H29" i="8"/>
  <c r="I29" i="8"/>
  <c r="J29" i="8"/>
  <c r="K29" i="8"/>
  <c r="L29" i="8"/>
  <c r="M29" i="8"/>
  <c r="N29" i="8"/>
  <c r="O29" i="8"/>
  <c r="P29" i="8"/>
  <c r="Q29" i="8"/>
  <c r="R29" i="8"/>
  <c r="S29" i="8"/>
  <c r="B30" i="8"/>
  <c r="C30" i="8"/>
  <c r="D30" i="8"/>
  <c r="E30" i="8"/>
  <c r="F30" i="8"/>
  <c r="G30" i="8"/>
  <c r="H30" i="8"/>
  <c r="I30" i="8"/>
  <c r="J30" i="8"/>
  <c r="K30" i="8"/>
  <c r="L30" i="8"/>
  <c r="M30" i="8"/>
  <c r="N30" i="8"/>
  <c r="O30" i="8"/>
  <c r="P30" i="8"/>
  <c r="Q30" i="8"/>
  <c r="R30" i="8"/>
  <c r="S30" i="8"/>
  <c r="B31" i="8"/>
  <c r="C31" i="8"/>
  <c r="D31" i="8"/>
  <c r="E31" i="8"/>
  <c r="F31" i="8"/>
  <c r="G31" i="8"/>
  <c r="H31" i="8"/>
  <c r="I31" i="8"/>
  <c r="J31" i="8"/>
  <c r="K31" i="8"/>
  <c r="L31" i="8"/>
  <c r="M31" i="8"/>
  <c r="N31" i="8"/>
  <c r="O31" i="8"/>
  <c r="P31" i="8"/>
  <c r="Q31" i="8"/>
  <c r="R31" i="8"/>
  <c r="S31" i="8"/>
  <c r="B32" i="8"/>
  <c r="C32" i="8"/>
  <c r="D32" i="8"/>
  <c r="E32" i="8"/>
  <c r="F32" i="8"/>
  <c r="G32" i="8"/>
  <c r="H32" i="8"/>
  <c r="I32" i="8"/>
  <c r="J32" i="8"/>
  <c r="K32" i="8"/>
  <c r="L32" i="8"/>
  <c r="M32" i="8"/>
  <c r="N32" i="8"/>
  <c r="O32" i="8"/>
  <c r="P32" i="8"/>
  <c r="Q32" i="8"/>
  <c r="R32" i="8"/>
  <c r="S32" i="8"/>
  <c r="B33" i="8"/>
  <c r="C33" i="8"/>
  <c r="D33" i="8"/>
  <c r="E33" i="8"/>
  <c r="F33" i="8"/>
  <c r="G33" i="8"/>
  <c r="H33" i="8"/>
  <c r="I33" i="8"/>
  <c r="J33" i="8"/>
  <c r="K33" i="8"/>
  <c r="L33" i="8"/>
  <c r="M33" i="8"/>
  <c r="N33" i="8"/>
  <c r="O33" i="8"/>
  <c r="P33" i="8"/>
  <c r="Q33" i="8"/>
  <c r="R33" i="8"/>
  <c r="S33" i="8"/>
  <c r="B34" i="8"/>
  <c r="C34" i="8"/>
  <c r="D34" i="8"/>
  <c r="E34" i="8"/>
  <c r="F34" i="8"/>
  <c r="G34" i="8"/>
  <c r="H34" i="8"/>
  <c r="I34" i="8"/>
  <c r="J34" i="8"/>
  <c r="K34" i="8"/>
  <c r="L34" i="8"/>
  <c r="M34" i="8"/>
  <c r="N34" i="8"/>
  <c r="O34" i="8"/>
  <c r="P34" i="8"/>
  <c r="Q34" i="8"/>
  <c r="R34" i="8"/>
  <c r="S34" i="8"/>
  <c r="B35" i="8"/>
  <c r="C35" i="8"/>
  <c r="D35" i="8"/>
  <c r="E35" i="8"/>
  <c r="F35" i="8"/>
  <c r="G35" i="8"/>
  <c r="H35" i="8"/>
  <c r="I35" i="8"/>
  <c r="J35" i="8"/>
  <c r="K35" i="8"/>
  <c r="L35" i="8"/>
  <c r="M35" i="8"/>
  <c r="N35" i="8"/>
  <c r="O35" i="8"/>
  <c r="P35" i="8"/>
  <c r="Q35" i="8"/>
  <c r="R35" i="8"/>
  <c r="S35" i="8"/>
  <c r="B36" i="8"/>
  <c r="C36" i="8"/>
  <c r="D36" i="8"/>
  <c r="E36" i="8"/>
  <c r="F36" i="8"/>
  <c r="G36" i="8"/>
  <c r="H36" i="8"/>
  <c r="I36" i="8"/>
  <c r="J36" i="8"/>
  <c r="K36" i="8"/>
  <c r="L36" i="8"/>
  <c r="M36" i="8"/>
  <c r="N36" i="8"/>
  <c r="O36" i="8"/>
  <c r="P36" i="8"/>
  <c r="Q36" i="8"/>
  <c r="R36" i="8"/>
  <c r="S36" i="8"/>
  <c r="B37" i="8"/>
  <c r="C37" i="8"/>
  <c r="D37" i="8"/>
  <c r="E37" i="8"/>
  <c r="F37" i="8"/>
  <c r="G37" i="8"/>
  <c r="H37" i="8"/>
  <c r="I37" i="8"/>
  <c r="J37" i="8"/>
  <c r="K37" i="8"/>
  <c r="L37" i="8"/>
  <c r="M37" i="8"/>
  <c r="N37" i="8"/>
  <c r="O37" i="8"/>
  <c r="P37" i="8"/>
  <c r="Q37" i="8"/>
  <c r="R37" i="8"/>
  <c r="S37" i="8"/>
  <c r="B38" i="8"/>
  <c r="C38" i="8"/>
  <c r="D38" i="8"/>
  <c r="E38" i="8"/>
  <c r="F38" i="8"/>
  <c r="G38" i="8"/>
  <c r="H38" i="8"/>
  <c r="I38" i="8"/>
  <c r="J38" i="8"/>
  <c r="K38" i="8"/>
  <c r="L38" i="8"/>
  <c r="M38" i="8"/>
  <c r="N38" i="8"/>
  <c r="O38" i="8"/>
  <c r="P38" i="8"/>
  <c r="Q38" i="8"/>
  <c r="R38" i="8"/>
  <c r="S38" i="8"/>
  <c r="B39" i="8"/>
  <c r="C39" i="8"/>
  <c r="D39" i="8"/>
  <c r="E39" i="8"/>
  <c r="F39" i="8"/>
  <c r="G39" i="8"/>
  <c r="H39" i="8"/>
  <c r="I39" i="8"/>
  <c r="J39" i="8"/>
  <c r="K39" i="8"/>
  <c r="L39" i="8"/>
  <c r="M39" i="8"/>
  <c r="N39" i="8"/>
  <c r="O39" i="8"/>
  <c r="P39" i="8"/>
  <c r="Q39" i="8"/>
  <c r="R39" i="8"/>
  <c r="S39" i="8"/>
  <c r="B40" i="8"/>
  <c r="C40" i="8"/>
  <c r="D40" i="8"/>
  <c r="E40" i="8"/>
  <c r="F40" i="8"/>
  <c r="G40" i="8"/>
  <c r="H40" i="8"/>
  <c r="I40" i="8"/>
  <c r="J40" i="8"/>
  <c r="K40" i="8"/>
  <c r="L40" i="8"/>
  <c r="M40" i="8"/>
  <c r="N40" i="8"/>
  <c r="O40" i="8"/>
  <c r="P40" i="8"/>
  <c r="Q40" i="8"/>
  <c r="R40" i="8"/>
  <c r="S40" i="8"/>
  <c r="B41" i="8"/>
  <c r="C41" i="8"/>
  <c r="D41" i="8"/>
  <c r="E41" i="8"/>
  <c r="F41" i="8"/>
  <c r="G41" i="8"/>
  <c r="H41" i="8"/>
  <c r="I41" i="8"/>
  <c r="J41" i="8"/>
  <c r="K41" i="8"/>
  <c r="L41" i="8"/>
  <c r="M41" i="8"/>
  <c r="N41" i="8"/>
  <c r="O41" i="8"/>
  <c r="P41" i="8"/>
  <c r="Q41" i="8"/>
  <c r="R41" i="8"/>
  <c r="S41" i="8"/>
  <c r="B42" i="8"/>
  <c r="C42" i="8"/>
  <c r="D42" i="8"/>
  <c r="E42" i="8"/>
  <c r="F42" i="8"/>
  <c r="G42" i="8"/>
  <c r="H42" i="8"/>
  <c r="I42" i="8"/>
  <c r="J42" i="8"/>
  <c r="K42" i="8"/>
  <c r="L42" i="8"/>
  <c r="M42" i="8"/>
  <c r="N42" i="8"/>
  <c r="O42" i="8"/>
  <c r="P42" i="8"/>
  <c r="Q42" i="8"/>
  <c r="R42" i="8"/>
  <c r="S42" i="8"/>
  <c r="B43" i="8"/>
  <c r="C43" i="8"/>
  <c r="D43" i="8"/>
  <c r="E43" i="8"/>
  <c r="F43" i="8"/>
  <c r="G43" i="8"/>
  <c r="H43" i="8"/>
  <c r="I43" i="8"/>
  <c r="J43" i="8"/>
  <c r="K43" i="8"/>
  <c r="L43" i="8"/>
  <c r="M43" i="8"/>
  <c r="N43" i="8"/>
  <c r="O43" i="8"/>
  <c r="P43" i="8"/>
  <c r="Q43" i="8"/>
  <c r="R43" i="8"/>
  <c r="S43" i="8"/>
  <c r="B44" i="8"/>
  <c r="C44" i="8"/>
  <c r="D44" i="8"/>
  <c r="E44" i="8"/>
  <c r="F44" i="8"/>
  <c r="G44" i="8"/>
  <c r="H44" i="8"/>
  <c r="I44" i="8"/>
  <c r="J44" i="8"/>
  <c r="K44" i="8"/>
  <c r="L44" i="8"/>
  <c r="M44" i="8"/>
  <c r="N44" i="8"/>
  <c r="O44" i="8"/>
  <c r="P44" i="8"/>
  <c r="Q44" i="8"/>
  <c r="R44" i="8"/>
  <c r="S44" i="8"/>
  <c r="B45" i="8"/>
  <c r="C45" i="8"/>
  <c r="D45" i="8"/>
  <c r="E45" i="8"/>
  <c r="F45" i="8"/>
  <c r="G45" i="8"/>
  <c r="H45" i="8"/>
  <c r="I45" i="8"/>
  <c r="J45" i="8"/>
  <c r="K45" i="8"/>
  <c r="L45" i="8"/>
  <c r="M45" i="8"/>
  <c r="N45" i="8"/>
  <c r="O45" i="8"/>
  <c r="P45" i="8"/>
  <c r="Q45" i="8"/>
  <c r="R45" i="8"/>
  <c r="S45" i="8"/>
  <c r="B46" i="8"/>
  <c r="C46" i="8"/>
  <c r="D46" i="8"/>
  <c r="E46" i="8"/>
  <c r="F46" i="8"/>
  <c r="G46" i="8"/>
  <c r="H46" i="8"/>
  <c r="I46" i="8"/>
  <c r="J46" i="8"/>
  <c r="K46" i="8"/>
  <c r="L46" i="8"/>
  <c r="M46" i="8"/>
  <c r="N46" i="8"/>
  <c r="O46" i="8"/>
  <c r="P46" i="8"/>
  <c r="Q46" i="8"/>
  <c r="R46" i="8"/>
  <c r="S46" i="8"/>
  <c r="B47" i="8"/>
  <c r="C47" i="8"/>
  <c r="D47" i="8"/>
  <c r="E47" i="8"/>
  <c r="F47" i="8"/>
  <c r="G47" i="8"/>
  <c r="H47" i="8"/>
  <c r="I47" i="8"/>
  <c r="J47" i="8"/>
  <c r="K47" i="8"/>
  <c r="L47" i="8"/>
  <c r="M47" i="8"/>
  <c r="N47" i="8"/>
  <c r="O47" i="8"/>
  <c r="P47" i="8"/>
  <c r="Q47" i="8"/>
  <c r="R47" i="8"/>
  <c r="S47" i="8"/>
  <c r="B48" i="8"/>
  <c r="C48" i="8"/>
  <c r="D48" i="8"/>
  <c r="E48" i="8"/>
  <c r="F48" i="8"/>
  <c r="G48" i="8"/>
  <c r="H48" i="8"/>
  <c r="I48" i="8"/>
  <c r="J48" i="8"/>
  <c r="K48" i="8"/>
  <c r="L48" i="8"/>
  <c r="M48" i="8"/>
  <c r="N48" i="8"/>
  <c r="O48" i="8"/>
  <c r="P48" i="8"/>
  <c r="Q48" i="8"/>
  <c r="R48" i="8"/>
  <c r="S48" i="8"/>
  <c r="B49" i="8"/>
  <c r="C49" i="8"/>
  <c r="D49" i="8"/>
  <c r="E49" i="8"/>
  <c r="F49" i="8"/>
  <c r="G49" i="8"/>
  <c r="H49" i="8"/>
  <c r="I49" i="8"/>
  <c r="J49" i="8"/>
  <c r="K49" i="8"/>
  <c r="L49" i="8"/>
  <c r="M49" i="8"/>
  <c r="N49" i="8"/>
  <c r="O49" i="8"/>
  <c r="P49" i="8"/>
  <c r="Q49" i="8"/>
  <c r="R49" i="8"/>
  <c r="S49" i="8"/>
  <c r="B50" i="8"/>
  <c r="C50" i="8"/>
  <c r="D50" i="8"/>
  <c r="E50" i="8"/>
  <c r="F50" i="8"/>
  <c r="G50" i="8"/>
  <c r="H50" i="8"/>
  <c r="I50" i="8"/>
  <c r="J50" i="8"/>
  <c r="K50" i="8"/>
  <c r="L50" i="8"/>
  <c r="M50" i="8"/>
  <c r="N50" i="8"/>
  <c r="O50" i="8"/>
  <c r="P50" i="8"/>
  <c r="Q50" i="8"/>
  <c r="R50" i="8"/>
  <c r="S50" i="8"/>
  <c r="B51" i="8"/>
  <c r="C51" i="8"/>
  <c r="D51" i="8"/>
  <c r="E51" i="8"/>
  <c r="F51" i="8"/>
  <c r="G51" i="8"/>
  <c r="H51" i="8"/>
  <c r="I51" i="8"/>
  <c r="J51" i="8"/>
  <c r="K51" i="8"/>
  <c r="L51" i="8"/>
  <c r="M51" i="8"/>
  <c r="N51" i="8"/>
  <c r="O51" i="8"/>
  <c r="P51" i="8"/>
  <c r="Q51" i="8"/>
  <c r="R51" i="8"/>
  <c r="S51" i="8"/>
  <c r="B52" i="8"/>
  <c r="C52" i="8"/>
  <c r="D52" i="8"/>
  <c r="E52" i="8"/>
  <c r="F52" i="8"/>
  <c r="G52" i="8"/>
  <c r="H52" i="8"/>
  <c r="I52" i="8"/>
  <c r="J52" i="8"/>
  <c r="K52" i="8"/>
  <c r="L52" i="8"/>
  <c r="M52" i="8"/>
  <c r="N52" i="8"/>
  <c r="O52" i="8"/>
  <c r="P52" i="8"/>
  <c r="Q52" i="8"/>
  <c r="R52" i="8"/>
  <c r="S52" i="8"/>
  <c r="B53" i="8"/>
  <c r="C53" i="8"/>
  <c r="D53" i="8"/>
  <c r="E53" i="8"/>
  <c r="F53" i="8"/>
  <c r="G53" i="8"/>
  <c r="H53" i="8"/>
  <c r="I53" i="8"/>
  <c r="J53" i="8"/>
  <c r="K53" i="8"/>
  <c r="L53" i="8"/>
  <c r="M53" i="8"/>
  <c r="N53" i="8"/>
  <c r="O53" i="8"/>
  <c r="P53" i="8"/>
  <c r="Q53" i="8"/>
  <c r="R53" i="8"/>
  <c r="S53" i="8"/>
  <c r="B54" i="8"/>
  <c r="C54" i="8"/>
  <c r="D54" i="8"/>
  <c r="E54" i="8"/>
  <c r="F54" i="8"/>
  <c r="G54" i="8"/>
  <c r="H54" i="8"/>
  <c r="I54" i="8"/>
  <c r="J54" i="8"/>
  <c r="K54" i="8"/>
  <c r="L54" i="8"/>
  <c r="M54" i="8"/>
  <c r="N54" i="8"/>
  <c r="O54" i="8"/>
  <c r="P54" i="8"/>
  <c r="Q54" i="8"/>
  <c r="R54" i="8"/>
  <c r="S54" i="8"/>
  <c r="B55" i="8"/>
  <c r="C55" i="8"/>
  <c r="D55" i="8"/>
  <c r="E55" i="8"/>
  <c r="F55" i="8"/>
  <c r="G55" i="8"/>
  <c r="H55" i="8"/>
  <c r="I55" i="8"/>
  <c r="J55" i="8"/>
  <c r="K55" i="8"/>
  <c r="L55" i="8"/>
  <c r="M55" i="8"/>
  <c r="N55" i="8"/>
  <c r="O55" i="8"/>
  <c r="P55" i="8"/>
  <c r="Q55" i="8"/>
  <c r="R55" i="8"/>
  <c r="S55" i="8"/>
  <c r="B56" i="8"/>
  <c r="C56" i="8"/>
  <c r="D56" i="8"/>
  <c r="E56" i="8"/>
  <c r="F56" i="8"/>
  <c r="G56" i="8"/>
  <c r="H56" i="8"/>
  <c r="I56" i="8"/>
  <c r="J56" i="8"/>
  <c r="K56" i="8"/>
  <c r="L56" i="8"/>
  <c r="M56" i="8"/>
  <c r="N56" i="8"/>
  <c r="O56" i="8"/>
  <c r="P56" i="8"/>
  <c r="Q56" i="8"/>
  <c r="R56" i="8"/>
  <c r="S56" i="8"/>
  <c r="B57" i="8"/>
  <c r="C57" i="8"/>
  <c r="D57" i="8"/>
  <c r="E57" i="8"/>
  <c r="F57" i="8"/>
  <c r="G57" i="8"/>
  <c r="H57" i="8"/>
  <c r="I57" i="8"/>
  <c r="J57" i="8"/>
  <c r="K57" i="8"/>
  <c r="L57" i="8"/>
  <c r="M57" i="8"/>
  <c r="N57" i="8"/>
  <c r="O57" i="8"/>
  <c r="P57" i="8"/>
  <c r="Q57" i="8"/>
  <c r="R57" i="8"/>
  <c r="S57" i="8"/>
  <c r="B58" i="8"/>
  <c r="C58" i="8"/>
  <c r="D58" i="8"/>
  <c r="E58" i="8"/>
  <c r="F58" i="8"/>
  <c r="G58" i="8"/>
  <c r="H58" i="8"/>
  <c r="I58" i="8"/>
  <c r="J58" i="8"/>
  <c r="K58" i="8"/>
  <c r="L58" i="8"/>
  <c r="M58" i="8"/>
  <c r="N58" i="8"/>
  <c r="O58" i="8"/>
  <c r="P58" i="8"/>
  <c r="Q58" i="8"/>
  <c r="R58" i="8"/>
  <c r="S58" i="8"/>
  <c r="B59" i="8"/>
  <c r="C59" i="8"/>
  <c r="D59" i="8"/>
  <c r="E59" i="8"/>
  <c r="F59" i="8"/>
  <c r="G59" i="8"/>
  <c r="H59" i="8"/>
  <c r="I59" i="8"/>
  <c r="J59" i="8"/>
  <c r="K59" i="8"/>
  <c r="L59" i="8"/>
  <c r="M59" i="8"/>
  <c r="N59" i="8"/>
  <c r="O59" i="8"/>
  <c r="P59" i="8"/>
  <c r="Q59" i="8"/>
  <c r="R59" i="8"/>
  <c r="S59" i="8"/>
  <c r="B60" i="8"/>
  <c r="C60" i="8"/>
  <c r="D60" i="8"/>
  <c r="E60" i="8"/>
  <c r="F60" i="8"/>
  <c r="G60" i="8"/>
  <c r="H60" i="8"/>
  <c r="I60" i="8"/>
  <c r="J60" i="8"/>
  <c r="K60" i="8"/>
  <c r="L60" i="8"/>
  <c r="M60" i="8"/>
  <c r="N60" i="8"/>
  <c r="O60" i="8"/>
  <c r="P60" i="8"/>
  <c r="Q60" i="8"/>
  <c r="R60" i="8"/>
  <c r="S60" i="8"/>
  <c r="B4" i="6"/>
  <c r="C4" i="6"/>
  <c r="D4" i="6"/>
  <c r="E4" i="6"/>
  <c r="F4" i="6"/>
  <c r="G4" i="6"/>
  <c r="H4" i="6"/>
  <c r="I4" i="6"/>
  <c r="J4" i="6"/>
  <c r="K4" i="6"/>
  <c r="L4" i="6"/>
  <c r="M4" i="6"/>
  <c r="N4" i="6"/>
  <c r="O4" i="6"/>
  <c r="P4" i="6"/>
  <c r="Q4" i="6"/>
  <c r="R4" i="6"/>
  <c r="S4" i="6"/>
  <c r="T4" i="6"/>
  <c r="U4" i="6"/>
  <c r="B5" i="6"/>
  <c r="C5" i="6"/>
  <c r="D5" i="6"/>
  <c r="E5" i="6"/>
  <c r="F5" i="6"/>
  <c r="G5" i="6"/>
  <c r="H5" i="6"/>
  <c r="I5" i="6"/>
  <c r="J5" i="6"/>
  <c r="K5" i="6"/>
  <c r="L5" i="6"/>
  <c r="M5" i="6"/>
  <c r="N5" i="6"/>
  <c r="O5" i="6"/>
  <c r="P5" i="6"/>
  <c r="Q5" i="6"/>
  <c r="R5" i="6"/>
  <c r="S5" i="6"/>
  <c r="T5" i="6"/>
  <c r="U5" i="6"/>
  <c r="B6" i="6"/>
  <c r="C6" i="6"/>
  <c r="D6" i="6"/>
  <c r="E6" i="6"/>
  <c r="F6" i="6"/>
  <c r="G6" i="6"/>
  <c r="H6" i="6"/>
  <c r="I6" i="6"/>
  <c r="J6" i="6"/>
  <c r="K6" i="6"/>
  <c r="L6" i="6"/>
  <c r="M6" i="6"/>
  <c r="N6" i="6"/>
  <c r="O6" i="6"/>
  <c r="P6" i="6"/>
  <c r="Q6" i="6"/>
  <c r="R6" i="6"/>
  <c r="S6" i="6"/>
  <c r="T6" i="6"/>
  <c r="U6" i="6"/>
  <c r="B7" i="6"/>
  <c r="C7" i="6"/>
  <c r="D7" i="6"/>
  <c r="E7" i="6"/>
  <c r="F7" i="6"/>
  <c r="G7" i="6"/>
  <c r="H7" i="6"/>
  <c r="I7" i="6"/>
  <c r="J7" i="6"/>
  <c r="K7" i="6"/>
  <c r="L7" i="6"/>
  <c r="M7" i="6"/>
  <c r="N7" i="6"/>
  <c r="O7" i="6"/>
  <c r="P7" i="6"/>
  <c r="Q7" i="6"/>
  <c r="R7" i="6"/>
  <c r="S7" i="6"/>
  <c r="T7" i="6"/>
  <c r="U7" i="6"/>
  <c r="B8" i="6"/>
  <c r="C8" i="6"/>
  <c r="D8" i="6"/>
  <c r="E8" i="6"/>
  <c r="F8" i="6"/>
  <c r="G8" i="6"/>
  <c r="H8" i="6"/>
  <c r="I8" i="6"/>
  <c r="J8" i="6"/>
  <c r="K8" i="6"/>
  <c r="L8" i="6"/>
  <c r="M8" i="6"/>
  <c r="N8" i="6"/>
  <c r="O8" i="6"/>
  <c r="P8" i="6"/>
  <c r="Q8" i="6"/>
  <c r="R8" i="6"/>
  <c r="S8" i="6"/>
  <c r="T8" i="6"/>
  <c r="U8" i="6"/>
  <c r="B9" i="6"/>
  <c r="C9" i="6"/>
  <c r="D9" i="6"/>
  <c r="E9" i="6"/>
  <c r="F9" i="6"/>
  <c r="G9" i="6"/>
  <c r="H9" i="6"/>
  <c r="I9" i="6"/>
  <c r="J9" i="6"/>
  <c r="K9" i="6"/>
  <c r="L9" i="6"/>
  <c r="M9" i="6"/>
  <c r="N9" i="6"/>
  <c r="O9" i="6"/>
  <c r="P9" i="6"/>
  <c r="Q9" i="6"/>
  <c r="R9" i="6"/>
  <c r="S9" i="6"/>
  <c r="T9" i="6"/>
  <c r="U9" i="6"/>
  <c r="B10" i="6"/>
  <c r="C10" i="6"/>
  <c r="D10" i="6"/>
  <c r="E10" i="6"/>
  <c r="F10" i="6"/>
  <c r="G10" i="6"/>
  <c r="H10" i="6"/>
  <c r="I10" i="6"/>
  <c r="J10" i="6"/>
  <c r="K10" i="6"/>
  <c r="L10" i="6"/>
  <c r="M10" i="6"/>
  <c r="N10" i="6"/>
  <c r="O10" i="6"/>
  <c r="P10" i="6"/>
  <c r="Q10" i="6"/>
  <c r="R10" i="6"/>
  <c r="S10" i="6"/>
  <c r="T10" i="6"/>
  <c r="U10" i="6"/>
  <c r="B11" i="6"/>
  <c r="C11" i="6"/>
  <c r="D11" i="6"/>
  <c r="E11" i="6"/>
  <c r="F11" i="6"/>
  <c r="G11" i="6"/>
  <c r="H11" i="6"/>
  <c r="I11" i="6"/>
  <c r="J11" i="6"/>
  <c r="K11" i="6"/>
  <c r="L11" i="6"/>
  <c r="M11" i="6"/>
  <c r="N11" i="6"/>
  <c r="O11" i="6"/>
  <c r="P11" i="6"/>
  <c r="Q11" i="6"/>
  <c r="R11" i="6"/>
  <c r="S11" i="6"/>
  <c r="T11" i="6"/>
  <c r="U11" i="6"/>
  <c r="B12" i="6"/>
  <c r="C12" i="6"/>
  <c r="D12" i="6"/>
  <c r="E12" i="6"/>
  <c r="F12" i="6"/>
  <c r="G12" i="6"/>
  <c r="H12" i="6"/>
  <c r="I12" i="6"/>
  <c r="J12" i="6"/>
  <c r="K12" i="6"/>
  <c r="L12" i="6"/>
  <c r="M12" i="6"/>
  <c r="N12" i="6"/>
  <c r="O12" i="6"/>
  <c r="P12" i="6"/>
  <c r="Q12" i="6"/>
  <c r="R12" i="6"/>
  <c r="S12" i="6"/>
  <c r="T12" i="6"/>
  <c r="U12" i="6"/>
  <c r="B13" i="6"/>
  <c r="C13" i="6"/>
  <c r="D13" i="6"/>
  <c r="E13" i="6"/>
  <c r="F13" i="6"/>
  <c r="G13" i="6"/>
  <c r="H13" i="6"/>
  <c r="I13" i="6"/>
  <c r="J13" i="6"/>
  <c r="K13" i="6"/>
  <c r="L13" i="6"/>
  <c r="M13" i="6"/>
  <c r="N13" i="6"/>
  <c r="O13" i="6"/>
  <c r="P13" i="6"/>
  <c r="Q13" i="6"/>
  <c r="R13" i="6"/>
  <c r="S13" i="6"/>
  <c r="T13" i="6"/>
  <c r="U13" i="6"/>
  <c r="B14" i="6"/>
  <c r="C14" i="6"/>
  <c r="D14" i="6"/>
  <c r="E14" i="6"/>
  <c r="F14" i="6"/>
  <c r="G14" i="6"/>
  <c r="H14" i="6"/>
  <c r="I14" i="6"/>
  <c r="J14" i="6"/>
  <c r="K14" i="6"/>
  <c r="L14" i="6"/>
  <c r="M14" i="6"/>
  <c r="N14" i="6"/>
  <c r="O14" i="6"/>
  <c r="P14" i="6"/>
  <c r="Q14" i="6"/>
  <c r="R14" i="6"/>
  <c r="S14" i="6"/>
  <c r="T14" i="6"/>
  <c r="U14" i="6"/>
  <c r="B15" i="6"/>
  <c r="C15" i="6"/>
  <c r="D15" i="6"/>
  <c r="E15" i="6"/>
  <c r="F15" i="6"/>
  <c r="G15" i="6"/>
  <c r="H15" i="6"/>
  <c r="I15" i="6"/>
  <c r="J15" i="6"/>
  <c r="K15" i="6"/>
  <c r="L15" i="6"/>
  <c r="M15" i="6"/>
  <c r="N15" i="6"/>
  <c r="O15" i="6"/>
  <c r="P15" i="6"/>
  <c r="Q15" i="6"/>
  <c r="R15" i="6"/>
  <c r="S15" i="6"/>
  <c r="T15" i="6"/>
  <c r="U15" i="6"/>
  <c r="B16" i="6"/>
  <c r="C16" i="6"/>
  <c r="D16" i="6"/>
  <c r="E16" i="6"/>
  <c r="F16" i="6"/>
  <c r="G16" i="6"/>
  <c r="H16" i="6"/>
  <c r="I16" i="6"/>
  <c r="J16" i="6"/>
  <c r="K16" i="6"/>
  <c r="L16" i="6"/>
  <c r="M16" i="6"/>
  <c r="N16" i="6"/>
  <c r="O16" i="6"/>
  <c r="P16" i="6"/>
  <c r="Q16" i="6"/>
  <c r="R16" i="6"/>
  <c r="S16" i="6"/>
  <c r="T16" i="6"/>
  <c r="U16" i="6"/>
  <c r="B17" i="6"/>
  <c r="C17" i="6"/>
  <c r="D17" i="6"/>
  <c r="E17" i="6"/>
  <c r="F17" i="6"/>
  <c r="G17" i="6"/>
  <c r="H17" i="6"/>
  <c r="I17" i="6"/>
  <c r="J17" i="6"/>
  <c r="K17" i="6"/>
  <c r="L17" i="6"/>
  <c r="M17" i="6"/>
  <c r="N17" i="6"/>
  <c r="O17" i="6"/>
  <c r="P17" i="6"/>
  <c r="Q17" i="6"/>
  <c r="R17" i="6"/>
  <c r="S17" i="6"/>
  <c r="T17" i="6"/>
  <c r="U17" i="6"/>
  <c r="B18" i="6"/>
  <c r="C18" i="6"/>
  <c r="D18" i="6"/>
  <c r="E18" i="6"/>
  <c r="F18" i="6"/>
  <c r="G18" i="6"/>
  <c r="H18" i="6"/>
  <c r="I18" i="6"/>
  <c r="J18" i="6"/>
  <c r="K18" i="6"/>
  <c r="L18" i="6"/>
  <c r="M18" i="6"/>
  <c r="N18" i="6"/>
  <c r="O18" i="6"/>
  <c r="P18" i="6"/>
  <c r="Q18" i="6"/>
  <c r="R18" i="6"/>
  <c r="S18" i="6"/>
  <c r="T18" i="6"/>
  <c r="U18" i="6"/>
  <c r="B19" i="6"/>
  <c r="C19" i="6"/>
  <c r="D19" i="6"/>
  <c r="E19" i="6"/>
  <c r="F19" i="6"/>
  <c r="G19" i="6"/>
  <c r="H19" i="6"/>
  <c r="I19" i="6"/>
  <c r="J19" i="6"/>
  <c r="K19" i="6"/>
  <c r="L19" i="6"/>
  <c r="M19" i="6"/>
  <c r="N19" i="6"/>
  <c r="O19" i="6"/>
  <c r="P19" i="6"/>
  <c r="Q19" i="6"/>
  <c r="R19" i="6"/>
  <c r="S19" i="6"/>
  <c r="T19" i="6"/>
  <c r="U19" i="6"/>
  <c r="B20" i="6"/>
  <c r="C20" i="6"/>
  <c r="D20" i="6"/>
  <c r="E20" i="6"/>
  <c r="F20" i="6"/>
  <c r="G20" i="6"/>
  <c r="H20" i="6"/>
  <c r="I20" i="6"/>
  <c r="J20" i="6"/>
  <c r="K20" i="6"/>
  <c r="L20" i="6"/>
  <c r="M20" i="6"/>
  <c r="N20" i="6"/>
  <c r="O20" i="6"/>
  <c r="P20" i="6"/>
  <c r="Q20" i="6"/>
  <c r="R20" i="6"/>
  <c r="S20" i="6"/>
  <c r="T20" i="6"/>
  <c r="U20" i="6"/>
  <c r="B21" i="6"/>
  <c r="C21" i="6"/>
  <c r="D21" i="6"/>
  <c r="E21" i="6"/>
  <c r="F21" i="6"/>
  <c r="G21" i="6"/>
  <c r="H21" i="6"/>
  <c r="I21" i="6"/>
  <c r="J21" i="6"/>
  <c r="K21" i="6"/>
  <c r="L21" i="6"/>
  <c r="M21" i="6"/>
  <c r="N21" i="6"/>
  <c r="O21" i="6"/>
  <c r="P21" i="6"/>
  <c r="Q21" i="6"/>
  <c r="R21" i="6"/>
  <c r="S21" i="6"/>
  <c r="T21" i="6"/>
  <c r="U21" i="6"/>
  <c r="B22" i="6"/>
  <c r="C22" i="6"/>
  <c r="D22" i="6"/>
  <c r="E22" i="6"/>
  <c r="F22" i="6"/>
  <c r="G22" i="6"/>
  <c r="H22" i="6"/>
  <c r="I22" i="6"/>
  <c r="J22" i="6"/>
  <c r="K22" i="6"/>
  <c r="L22" i="6"/>
  <c r="M22" i="6"/>
  <c r="N22" i="6"/>
  <c r="O22" i="6"/>
  <c r="P22" i="6"/>
  <c r="Q22" i="6"/>
  <c r="R22" i="6"/>
  <c r="S22" i="6"/>
  <c r="T22" i="6"/>
  <c r="U22" i="6"/>
  <c r="B23" i="6"/>
  <c r="C23" i="6"/>
  <c r="D23" i="6"/>
  <c r="E23" i="6"/>
  <c r="F23" i="6"/>
  <c r="G23" i="6"/>
  <c r="H23" i="6"/>
  <c r="I23" i="6"/>
  <c r="J23" i="6"/>
  <c r="K23" i="6"/>
  <c r="L23" i="6"/>
  <c r="M23" i="6"/>
  <c r="N23" i="6"/>
  <c r="O23" i="6"/>
  <c r="P23" i="6"/>
  <c r="Q23" i="6"/>
  <c r="R23" i="6"/>
  <c r="S23" i="6"/>
  <c r="T23" i="6"/>
  <c r="U23" i="6"/>
  <c r="B24" i="6"/>
  <c r="C24" i="6"/>
  <c r="D24" i="6"/>
  <c r="E24" i="6"/>
  <c r="F24" i="6"/>
  <c r="G24" i="6"/>
  <c r="H24" i="6"/>
  <c r="I24" i="6"/>
  <c r="J24" i="6"/>
  <c r="K24" i="6"/>
  <c r="L24" i="6"/>
  <c r="M24" i="6"/>
  <c r="N24" i="6"/>
  <c r="O24" i="6"/>
  <c r="P24" i="6"/>
  <c r="Q24" i="6"/>
  <c r="R24" i="6"/>
  <c r="S24" i="6"/>
  <c r="T24" i="6"/>
  <c r="U24" i="6"/>
  <c r="B25" i="6"/>
  <c r="C25" i="6"/>
  <c r="D25" i="6"/>
  <c r="E25" i="6"/>
  <c r="F25" i="6"/>
  <c r="G25" i="6"/>
  <c r="H25" i="6"/>
  <c r="I25" i="6"/>
  <c r="J25" i="6"/>
  <c r="K25" i="6"/>
  <c r="L25" i="6"/>
  <c r="M25" i="6"/>
  <c r="N25" i="6"/>
  <c r="O25" i="6"/>
  <c r="P25" i="6"/>
  <c r="Q25" i="6"/>
  <c r="R25" i="6"/>
  <c r="S25" i="6"/>
  <c r="T25" i="6"/>
  <c r="U25" i="6"/>
  <c r="B26" i="6"/>
  <c r="C26" i="6"/>
  <c r="D26" i="6"/>
  <c r="E26" i="6"/>
  <c r="F26" i="6"/>
  <c r="G26" i="6"/>
  <c r="H26" i="6"/>
  <c r="I26" i="6"/>
  <c r="J26" i="6"/>
  <c r="K26" i="6"/>
  <c r="L26" i="6"/>
  <c r="M26" i="6"/>
  <c r="N26" i="6"/>
  <c r="O26" i="6"/>
  <c r="P26" i="6"/>
  <c r="Q26" i="6"/>
  <c r="R26" i="6"/>
  <c r="S26" i="6"/>
  <c r="T26" i="6"/>
  <c r="U26" i="6"/>
  <c r="B27" i="6"/>
  <c r="C27" i="6"/>
  <c r="D27" i="6"/>
  <c r="E27" i="6"/>
  <c r="F27" i="6"/>
  <c r="G27" i="6"/>
  <c r="H27" i="6"/>
  <c r="I27" i="6"/>
  <c r="J27" i="6"/>
  <c r="K27" i="6"/>
  <c r="L27" i="6"/>
  <c r="M27" i="6"/>
  <c r="N27" i="6"/>
  <c r="O27" i="6"/>
  <c r="P27" i="6"/>
  <c r="Q27" i="6"/>
  <c r="R27" i="6"/>
  <c r="S27" i="6"/>
  <c r="T27" i="6"/>
  <c r="U27" i="6"/>
  <c r="B28" i="6"/>
  <c r="C28" i="6"/>
  <c r="D28" i="6"/>
  <c r="E28" i="6"/>
  <c r="F28" i="6"/>
  <c r="G28" i="6"/>
  <c r="H28" i="6"/>
  <c r="I28" i="6"/>
  <c r="J28" i="6"/>
  <c r="K28" i="6"/>
  <c r="L28" i="6"/>
  <c r="M28" i="6"/>
  <c r="N28" i="6"/>
  <c r="O28" i="6"/>
  <c r="P28" i="6"/>
  <c r="Q28" i="6"/>
  <c r="R28" i="6"/>
  <c r="S28" i="6"/>
  <c r="T28" i="6"/>
  <c r="U28" i="6"/>
  <c r="B29" i="6"/>
  <c r="C29" i="6"/>
  <c r="D29" i="6"/>
  <c r="E29" i="6"/>
  <c r="F29" i="6"/>
  <c r="G29" i="6"/>
  <c r="H29" i="6"/>
  <c r="I29" i="6"/>
  <c r="J29" i="6"/>
  <c r="K29" i="6"/>
  <c r="L29" i="6"/>
  <c r="M29" i="6"/>
  <c r="N29" i="6"/>
  <c r="O29" i="6"/>
  <c r="P29" i="6"/>
  <c r="Q29" i="6"/>
  <c r="R29" i="6"/>
  <c r="S29" i="6"/>
  <c r="T29" i="6"/>
  <c r="U29" i="6"/>
  <c r="B30" i="6"/>
  <c r="C30" i="6"/>
  <c r="D30" i="6"/>
  <c r="E30" i="6"/>
  <c r="F30" i="6"/>
  <c r="G30" i="6"/>
  <c r="H30" i="6"/>
  <c r="I30" i="6"/>
  <c r="J30" i="6"/>
  <c r="K30" i="6"/>
  <c r="L30" i="6"/>
  <c r="M30" i="6"/>
  <c r="N30" i="6"/>
  <c r="O30" i="6"/>
  <c r="P30" i="6"/>
  <c r="Q30" i="6"/>
  <c r="R30" i="6"/>
  <c r="S30" i="6"/>
  <c r="T30" i="6"/>
  <c r="U30" i="6"/>
  <c r="B31" i="6"/>
  <c r="C31" i="6"/>
  <c r="D31" i="6"/>
  <c r="E31" i="6"/>
  <c r="F31" i="6"/>
  <c r="G31" i="6"/>
  <c r="H31" i="6"/>
  <c r="I31" i="6"/>
  <c r="J31" i="6"/>
  <c r="K31" i="6"/>
  <c r="L31" i="6"/>
  <c r="M31" i="6"/>
  <c r="N31" i="6"/>
  <c r="O31" i="6"/>
  <c r="P31" i="6"/>
  <c r="Q31" i="6"/>
  <c r="R31" i="6"/>
  <c r="S31" i="6"/>
  <c r="T31" i="6"/>
  <c r="U31" i="6"/>
  <c r="B32" i="6"/>
  <c r="C32" i="6"/>
  <c r="D32" i="6"/>
  <c r="E32" i="6"/>
  <c r="F32" i="6"/>
  <c r="G32" i="6"/>
  <c r="H32" i="6"/>
  <c r="I32" i="6"/>
  <c r="J32" i="6"/>
  <c r="K32" i="6"/>
  <c r="L32" i="6"/>
  <c r="M32" i="6"/>
  <c r="N32" i="6"/>
  <c r="O32" i="6"/>
  <c r="P32" i="6"/>
  <c r="Q32" i="6"/>
  <c r="R32" i="6"/>
  <c r="S32" i="6"/>
  <c r="T32" i="6"/>
  <c r="U32" i="6"/>
  <c r="B33" i="6"/>
  <c r="C33" i="6"/>
  <c r="D33" i="6"/>
  <c r="E33" i="6"/>
  <c r="F33" i="6"/>
  <c r="G33" i="6"/>
  <c r="H33" i="6"/>
  <c r="I33" i="6"/>
  <c r="J33" i="6"/>
  <c r="K33" i="6"/>
  <c r="L33" i="6"/>
  <c r="M33" i="6"/>
  <c r="N33" i="6"/>
  <c r="O33" i="6"/>
  <c r="P33" i="6"/>
  <c r="Q33" i="6"/>
  <c r="R33" i="6"/>
  <c r="S33" i="6"/>
  <c r="T33" i="6"/>
  <c r="U33" i="6"/>
  <c r="B34" i="6"/>
  <c r="C34" i="6"/>
  <c r="D34" i="6"/>
  <c r="E34" i="6"/>
  <c r="F34" i="6"/>
  <c r="G34" i="6"/>
  <c r="H34" i="6"/>
  <c r="I34" i="6"/>
  <c r="J34" i="6"/>
  <c r="K34" i="6"/>
  <c r="L34" i="6"/>
  <c r="M34" i="6"/>
  <c r="N34" i="6"/>
  <c r="O34" i="6"/>
  <c r="P34" i="6"/>
  <c r="Q34" i="6"/>
  <c r="R34" i="6"/>
  <c r="S34" i="6"/>
  <c r="T34" i="6"/>
  <c r="U34" i="6"/>
  <c r="B35" i="6"/>
  <c r="C35" i="6"/>
  <c r="D35" i="6"/>
  <c r="E35" i="6"/>
  <c r="F35" i="6"/>
  <c r="G35" i="6"/>
  <c r="H35" i="6"/>
  <c r="I35" i="6"/>
  <c r="J35" i="6"/>
  <c r="K35" i="6"/>
  <c r="L35" i="6"/>
  <c r="M35" i="6"/>
  <c r="N35" i="6"/>
  <c r="O35" i="6"/>
  <c r="P35" i="6"/>
  <c r="Q35" i="6"/>
  <c r="R35" i="6"/>
  <c r="S35" i="6"/>
  <c r="T35" i="6"/>
  <c r="U35" i="6"/>
  <c r="B36" i="6"/>
  <c r="C36" i="6"/>
  <c r="D36" i="6"/>
  <c r="E36" i="6"/>
  <c r="F36" i="6"/>
  <c r="G36" i="6"/>
  <c r="H36" i="6"/>
  <c r="I36" i="6"/>
  <c r="J36" i="6"/>
  <c r="K36" i="6"/>
  <c r="L36" i="6"/>
  <c r="M36" i="6"/>
  <c r="N36" i="6"/>
  <c r="O36" i="6"/>
  <c r="P36" i="6"/>
  <c r="Q36" i="6"/>
  <c r="R36" i="6"/>
  <c r="S36" i="6"/>
  <c r="T36" i="6"/>
  <c r="U36" i="6"/>
  <c r="B37" i="6"/>
  <c r="C37" i="6"/>
  <c r="D37" i="6"/>
  <c r="E37" i="6"/>
  <c r="F37" i="6"/>
  <c r="G37" i="6"/>
  <c r="H37" i="6"/>
  <c r="I37" i="6"/>
  <c r="J37" i="6"/>
  <c r="K37" i="6"/>
  <c r="L37" i="6"/>
  <c r="M37" i="6"/>
  <c r="N37" i="6"/>
  <c r="O37" i="6"/>
  <c r="P37" i="6"/>
  <c r="Q37" i="6"/>
  <c r="R37" i="6"/>
  <c r="S37" i="6"/>
  <c r="T37" i="6"/>
  <c r="U37" i="6"/>
  <c r="B38" i="6"/>
  <c r="C38" i="6"/>
  <c r="D38" i="6"/>
  <c r="E38" i="6"/>
  <c r="F38" i="6"/>
  <c r="G38" i="6"/>
  <c r="H38" i="6"/>
  <c r="I38" i="6"/>
  <c r="J38" i="6"/>
  <c r="K38" i="6"/>
  <c r="L38" i="6"/>
  <c r="M38" i="6"/>
  <c r="N38" i="6"/>
  <c r="O38" i="6"/>
  <c r="P38" i="6"/>
  <c r="Q38" i="6"/>
  <c r="R38" i="6"/>
  <c r="S38" i="6"/>
  <c r="T38" i="6"/>
  <c r="U38" i="6"/>
  <c r="B39" i="6"/>
  <c r="C39" i="6"/>
  <c r="D39" i="6"/>
  <c r="E39" i="6"/>
  <c r="F39" i="6"/>
  <c r="G39" i="6"/>
  <c r="H39" i="6"/>
  <c r="I39" i="6"/>
  <c r="J39" i="6"/>
  <c r="K39" i="6"/>
  <c r="L39" i="6"/>
  <c r="M39" i="6"/>
  <c r="N39" i="6"/>
  <c r="O39" i="6"/>
  <c r="P39" i="6"/>
  <c r="Q39" i="6"/>
  <c r="R39" i="6"/>
  <c r="S39" i="6"/>
  <c r="T39" i="6"/>
  <c r="U39" i="6"/>
  <c r="B40" i="6"/>
  <c r="C40" i="6"/>
  <c r="D40" i="6"/>
  <c r="E40" i="6"/>
  <c r="F40" i="6"/>
  <c r="G40" i="6"/>
  <c r="H40" i="6"/>
  <c r="I40" i="6"/>
  <c r="J40" i="6"/>
  <c r="K40" i="6"/>
  <c r="L40" i="6"/>
  <c r="M40" i="6"/>
  <c r="N40" i="6"/>
  <c r="O40" i="6"/>
  <c r="P40" i="6"/>
  <c r="Q40" i="6"/>
  <c r="R40" i="6"/>
  <c r="S40" i="6"/>
  <c r="T40" i="6"/>
  <c r="U40" i="6"/>
  <c r="B41" i="6"/>
  <c r="C41" i="6"/>
  <c r="D41" i="6"/>
  <c r="E41" i="6"/>
  <c r="F41" i="6"/>
  <c r="G41" i="6"/>
  <c r="H41" i="6"/>
  <c r="I41" i="6"/>
  <c r="J41" i="6"/>
  <c r="K41" i="6"/>
  <c r="L41" i="6"/>
  <c r="M41" i="6"/>
  <c r="N41" i="6"/>
  <c r="O41" i="6"/>
  <c r="P41" i="6"/>
  <c r="Q41" i="6"/>
  <c r="R41" i="6"/>
  <c r="S41" i="6"/>
  <c r="T41" i="6"/>
  <c r="U41" i="6"/>
  <c r="B42" i="6"/>
  <c r="C42" i="6"/>
  <c r="D42" i="6"/>
  <c r="E42" i="6"/>
  <c r="F42" i="6"/>
  <c r="G42" i="6"/>
  <c r="H42" i="6"/>
  <c r="I42" i="6"/>
  <c r="J42" i="6"/>
  <c r="K42" i="6"/>
  <c r="L42" i="6"/>
  <c r="M42" i="6"/>
  <c r="N42" i="6"/>
  <c r="O42" i="6"/>
  <c r="P42" i="6"/>
  <c r="Q42" i="6"/>
  <c r="R42" i="6"/>
  <c r="S42" i="6"/>
  <c r="T42" i="6"/>
  <c r="U42" i="6"/>
  <c r="B43" i="6"/>
  <c r="C43" i="6"/>
  <c r="D43" i="6"/>
  <c r="E43" i="6"/>
  <c r="F43" i="6"/>
  <c r="G43" i="6"/>
  <c r="H43" i="6"/>
  <c r="I43" i="6"/>
  <c r="J43" i="6"/>
  <c r="K43" i="6"/>
  <c r="L43" i="6"/>
  <c r="M43" i="6"/>
  <c r="N43" i="6"/>
  <c r="O43" i="6"/>
  <c r="P43" i="6"/>
  <c r="Q43" i="6"/>
  <c r="R43" i="6"/>
  <c r="S43" i="6"/>
  <c r="T43" i="6"/>
  <c r="U43" i="6"/>
  <c r="B44" i="6"/>
  <c r="C44" i="6"/>
  <c r="D44" i="6"/>
  <c r="E44" i="6"/>
  <c r="F44" i="6"/>
  <c r="G44" i="6"/>
  <c r="H44" i="6"/>
  <c r="I44" i="6"/>
  <c r="J44" i="6"/>
  <c r="K44" i="6"/>
  <c r="L44" i="6"/>
  <c r="M44" i="6"/>
  <c r="N44" i="6"/>
  <c r="O44" i="6"/>
  <c r="P44" i="6"/>
  <c r="Q44" i="6"/>
  <c r="R44" i="6"/>
  <c r="S44" i="6"/>
  <c r="T44" i="6"/>
  <c r="U44" i="6"/>
  <c r="B45" i="6"/>
  <c r="C45" i="6"/>
  <c r="D45" i="6"/>
  <c r="E45" i="6"/>
  <c r="F45" i="6"/>
  <c r="G45" i="6"/>
  <c r="H45" i="6"/>
  <c r="I45" i="6"/>
  <c r="J45" i="6"/>
  <c r="K45" i="6"/>
  <c r="L45" i="6"/>
  <c r="M45" i="6"/>
  <c r="N45" i="6"/>
  <c r="O45" i="6"/>
  <c r="P45" i="6"/>
  <c r="Q45" i="6"/>
  <c r="R45" i="6"/>
  <c r="S45" i="6"/>
  <c r="T45" i="6"/>
  <c r="U45" i="6"/>
  <c r="B46" i="6"/>
  <c r="C46" i="6"/>
  <c r="D46" i="6"/>
  <c r="E46" i="6"/>
  <c r="F46" i="6"/>
  <c r="G46" i="6"/>
  <c r="H46" i="6"/>
  <c r="I46" i="6"/>
  <c r="J46" i="6"/>
  <c r="K46" i="6"/>
  <c r="L46" i="6"/>
  <c r="M46" i="6"/>
  <c r="N46" i="6"/>
  <c r="O46" i="6"/>
  <c r="P46" i="6"/>
  <c r="Q46" i="6"/>
  <c r="R46" i="6"/>
  <c r="S46" i="6"/>
  <c r="T46" i="6"/>
  <c r="U46" i="6"/>
  <c r="B47" i="6"/>
  <c r="C47" i="6"/>
  <c r="D47" i="6"/>
  <c r="E47" i="6"/>
  <c r="F47" i="6"/>
  <c r="G47" i="6"/>
  <c r="H47" i="6"/>
  <c r="I47" i="6"/>
  <c r="J47" i="6"/>
  <c r="K47" i="6"/>
  <c r="L47" i="6"/>
  <c r="M47" i="6"/>
  <c r="N47" i="6"/>
  <c r="O47" i="6"/>
  <c r="P47" i="6"/>
  <c r="Q47" i="6"/>
  <c r="R47" i="6"/>
  <c r="S47" i="6"/>
  <c r="T47" i="6"/>
  <c r="U47" i="6"/>
  <c r="B48" i="6"/>
  <c r="C48" i="6"/>
  <c r="D48" i="6"/>
  <c r="E48" i="6"/>
  <c r="F48" i="6"/>
  <c r="G48" i="6"/>
  <c r="H48" i="6"/>
  <c r="I48" i="6"/>
  <c r="J48" i="6"/>
  <c r="K48" i="6"/>
  <c r="L48" i="6"/>
  <c r="M48" i="6"/>
  <c r="N48" i="6"/>
  <c r="O48" i="6"/>
  <c r="P48" i="6"/>
  <c r="Q48" i="6"/>
  <c r="R48" i="6"/>
  <c r="S48" i="6"/>
  <c r="T48" i="6"/>
  <c r="U48" i="6"/>
  <c r="B49" i="6"/>
  <c r="C49" i="6"/>
  <c r="D49" i="6"/>
  <c r="E49" i="6"/>
  <c r="F49" i="6"/>
  <c r="G49" i="6"/>
  <c r="H49" i="6"/>
  <c r="I49" i="6"/>
  <c r="J49" i="6"/>
  <c r="K49" i="6"/>
  <c r="L49" i="6"/>
  <c r="M49" i="6"/>
  <c r="N49" i="6"/>
  <c r="O49" i="6"/>
  <c r="P49" i="6"/>
  <c r="Q49" i="6"/>
  <c r="R49" i="6"/>
  <c r="S49" i="6"/>
  <c r="T49" i="6"/>
  <c r="U49" i="6"/>
  <c r="B50" i="6"/>
  <c r="C50" i="6"/>
  <c r="D50" i="6"/>
  <c r="E50" i="6"/>
  <c r="F50" i="6"/>
  <c r="G50" i="6"/>
  <c r="H50" i="6"/>
  <c r="I50" i="6"/>
  <c r="J50" i="6"/>
  <c r="K50" i="6"/>
  <c r="L50" i="6"/>
  <c r="M50" i="6"/>
  <c r="N50" i="6"/>
  <c r="O50" i="6"/>
  <c r="P50" i="6"/>
  <c r="Q50" i="6"/>
  <c r="R50" i="6"/>
  <c r="S50" i="6"/>
  <c r="T50" i="6"/>
  <c r="U50" i="6"/>
  <c r="B51" i="6"/>
  <c r="C51" i="6"/>
  <c r="D51" i="6"/>
  <c r="E51" i="6"/>
  <c r="F51" i="6"/>
  <c r="G51" i="6"/>
  <c r="H51" i="6"/>
  <c r="I51" i="6"/>
  <c r="J51" i="6"/>
  <c r="K51" i="6"/>
  <c r="L51" i="6"/>
  <c r="M51" i="6"/>
  <c r="N51" i="6"/>
  <c r="O51" i="6"/>
  <c r="P51" i="6"/>
  <c r="Q51" i="6"/>
  <c r="R51" i="6"/>
  <c r="S51" i="6"/>
  <c r="T51" i="6"/>
  <c r="U51" i="6"/>
  <c r="B52" i="6"/>
  <c r="C52" i="6"/>
  <c r="D52" i="6"/>
  <c r="E52" i="6"/>
  <c r="F52" i="6"/>
  <c r="G52" i="6"/>
  <c r="H52" i="6"/>
  <c r="I52" i="6"/>
  <c r="J52" i="6"/>
  <c r="K52" i="6"/>
  <c r="L52" i="6"/>
  <c r="M52" i="6"/>
  <c r="N52" i="6"/>
  <c r="O52" i="6"/>
  <c r="P52" i="6"/>
  <c r="Q52" i="6"/>
  <c r="R52" i="6"/>
  <c r="S52" i="6"/>
  <c r="T52" i="6"/>
  <c r="U52" i="6"/>
  <c r="B53" i="6"/>
  <c r="C53" i="6"/>
  <c r="D53" i="6"/>
  <c r="E53" i="6"/>
  <c r="F53" i="6"/>
  <c r="G53" i="6"/>
  <c r="H53" i="6"/>
  <c r="I53" i="6"/>
  <c r="J53" i="6"/>
  <c r="K53" i="6"/>
  <c r="L53" i="6"/>
  <c r="M53" i="6"/>
  <c r="N53" i="6"/>
  <c r="O53" i="6"/>
  <c r="P53" i="6"/>
  <c r="Q53" i="6"/>
  <c r="R53" i="6"/>
  <c r="S53" i="6"/>
  <c r="T53" i="6"/>
  <c r="U53" i="6"/>
  <c r="B54" i="6"/>
  <c r="C54" i="6"/>
  <c r="D54" i="6"/>
  <c r="E54" i="6"/>
  <c r="F54" i="6"/>
  <c r="G54" i="6"/>
  <c r="H54" i="6"/>
  <c r="I54" i="6"/>
  <c r="J54" i="6"/>
  <c r="K54" i="6"/>
  <c r="L54" i="6"/>
  <c r="M54" i="6"/>
  <c r="N54" i="6"/>
  <c r="O54" i="6"/>
  <c r="P54" i="6"/>
  <c r="Q54" i="6"/>
  <c r="R54" i="6"/>
  <c r="S54" i="6"/>
  <c r="T54" i="6"/>
  <c r="U54" i="6"/>
  <c r="B55" i="6"/>
  <c r="C55" i="6"/>
  <c r="D55" i="6"/>
  <c r="E55" i="6"/>
  <c r="F55" i="6"/>
  <c r="G55" i="6"/>
  <c r="H55" i="6"/>
  <c r="I55" i="6"/>
  <c r="J55" i="6"/>
  <c r="K55" i="6"/>
  <c r="L55" i="6"/>
  <c r="M55" i="6"/>
  <c r="N55" i="6"/>
  <c r="O55" i="6"/>
  <c r="P55" i="6"/>
  <c r="Q55" i="6"/>
  <c r="R55" i="6"/>
  <c r="S55" i="6"/>
  <c r="T55" i="6"/>
  <c r="U55" i="6"/>
  <c r="B56" i="6"/>
  <c r="C56" i="6"/>
  <c r="D56" i="6"/>
  <c r="E56" i="6"/>
  <c r="F56" i="6"/>
  <c r="G56" i="6"/>
  <c r="H56" i="6"/>
  <c r="I56" i="6"/>
  <c r="J56" i="6"/>
  <c r="K56" i="6"/>
  <c r="L56" i="6"/>
  <c r="M56" i="6"/>
  <c r="N56" i="6"/>
  <c r="O56" i="6"/>
  <c r="P56" i="6"/>
  <c r="Q56" i="6"/>
  <c r="R56" i="6"/>
  <c r="S56" i="6"/>
  <c r="T56" i="6"/>
  <c r="U56" i="6"/>
  <c r="B57" i="6"/>
  <c r="C57" i="6"/>
  <c r="D57" i="6"/>
  <c r="E57" i="6"/>
  <c r="F57" i="6"/>
  <c r="G57" i="6"/>
  <c r="H57" i="6"/>
  <c r="I57" i="6"/>
  <c r="J57" i="6"/>
  <c r="K57" i="6"/>
  <c r="L57" i="6"/>
  <c r="M57" i="6"/>
  <c r="N57" i="6"/>
  <c r="O57" i="6"/>
  <c r="P57" i="6"/>
  <c r="Q57" i="6"/>
  <c r="R57" i="6"/>
  <c r="S57" i="6"/>
  <c r="T57" i="6"/>
  <c r="U57" i="6"/>
  <c r="B58" i="6"/>
  <c r="C58" i="6"/>
  <c r="D58" i="6"/>
  <c r="E58" i="6"/>
  <c r="F58" i="6"/>
  <c r="G58" i="6"/>
  <c r="H58" i="6"/>
  <c r="I58" i="6"/>
  <c r="J58" i="6"/>
  <c r="K58" i="6"/>
  <c r="L58" i="6"/>
  <c r="M58" i="6"/>
  <c r="N58" i="6"/>
  <c r="O58" i="6"/>
  <c r="P58" i="6"/>
  <c r="Q58" i="6"/>
  <c r="R58" i="6"/>
  <c r="S58" i="6"/>
  <c r="T58" i="6"/>
  <c r="U58" i="6"/>
  <c r="B59" i="6"/>
  <c r="C59" i="6"/>
  <c r="D59" i="6"/>
  <c r="E59" i="6"/>
  <c r="F59" i="6"/>
  <c r="G59" i="6"/>
  <c r="H59" i="6"/>
  <c r="I59" i="6"/>
  <c r="J59" i="6"/>
  <c r="K59" i="6"/>
  <c r="L59" i="6"/>
  <c r="M59" i="6"/>
  <c r="N59" i="6"/>
  <c r="O59" i="6"/>
  <c r="P59" i="6"/>
  <c r="Q59" i="6"/>
  <c r="R59" i="6"/>
  <c r="S59" i="6"/>
  <c r="T59" i="6"/>
  <c r="U59" i="6"/>
  <c r="B60" i="6"/>
  <c r="C60" i="6"/>
  <c r="D60" i="6"/>
  <c r="E60" i="6"/>
  <c r="F60" i="6"/>
  <c r="G60" i="6"/>
  <c r="H60" i="6"/>
  <c r="I60" i="6"/>
  <c r="J60" i="6"/>
  <c r="K60" i="6"/>
  <c r="L60" i="6"/>
  <c r="M60" i="6"/>
  <c r="N60" i="6"/>
  <c r="O60" i="6"/>
  <c r="P60" i="6"/>
  <c r="Q60" i="6"/>
  <c r="R60" i="6"/>
  <c r="S60" i="6"/>
  <c r="T60" i="6"/>
  <c r="U60" i="6"/>
  <c r="B61" i="6"/>
  <c r="C61" i="6"/>
  <c r="D61" i="6"/>
  <c r="E61" i="6"/>
  <c r="F61" i="6"/>
  <c r="G61" i="6"/>
  <c r="H61" i="6"/>
  <c r="I61" i="6"/>
  <c r="J61" i="6"/>
  <c r="K61" i="6"/>
  <c r="L61" i="6"/>
  <c r="M61" i="6"/>
  <c r="N61" i="6"/>
  <c r="O61" i="6"/>
  <c r="P61" i="6"/>
  <c r="Q61" i="6"/>
  <c r="R61" i="6"/>
  <c r="S61" i="6"/>
  <c r="T61" i="6"/>
  <c r="U61" i="6"/>
  <c r="B62" i="6"/>
  <c r="C62" i="6"/>
  <c r="D62" i="6"/>
  <c r="E62" i="6"/>
  <c r="F62" i="6"/>
  <c r="G62" i="6"/>
  <c r="H62" i="6"/>
  <c r="I62" i="6"/>
  <c r="J62" i="6"/>
  <c r="K62" i="6"/>
  <c r="L62" i="6"/>
  <c r="M62" i="6"/>
  <c r="N62" i="6"/>
  <c r="O62" i="6"/>
  <c r="P62" i="6"/>
  <c r="Q62" i="6"/>
  <c r="R62" i="6"/>
  <c r="S62" i="6"/>
  <c r="T62" i="6"/>
  <c r="U62" i="6"/>
  <c r="B63" i="6"/>
  <c r="C63" i="6"/>
  <c r="D63" i="6"/>
  <c r="E63" i="6"/>
  <c r="F63" i="6"/>
  <c r="G63" i="6"/>
  <c r="H63" i="6"/>
  <c r="I63" i="6"/>
  <c r="J63" i="6"/>
  <c r="K63" i="6"/>
  <c r="L63" i="6"/>
  <c r="M63" i="6"/>
  <c r="N63" i="6"/>
  <c r="O63" i="6"/>
  <c r="P63" i="6"/>
  <c r="Q63" i="6"/>
  <c r="R63" i="6"/>
  <c r="S63" i="6"/>
  <c r="T63" i="6"/>
  <c r="U63" i="6"/>
  <c r="B64" i="6"/>
  <c r="C64" i="6"/>
  <c r="D64" i="6"/>
  <c r="E64" i="6"/>
  <c r="F64" i="6"/>
  <c r="G64" i="6"/>
  <c r="H64" i="6"/>
  <c r="I64" i="6"/>
  <c r="J64" i="6"/>
  <c r="K64" i="6"/>
  <c r="L64" i="6"/>
  <c r="M64" i="6"/>
  <c r="N64" i="6"/>
  <c r="O64" i="6"/>
  <c r="P64" i="6"/>
  <c r="Q64" i="6"/>
  <c r="R64" i="6"/>
  <c r="S64" i="6"/>
  <c r="T64" i="6"/>
  <c r="U64" i="6"/>
  <c r="B65" i="6"/>
  <c r="C65" i="6"/>
  <c r="D65" i="6"/>
  <c r="E65" i="6"/>
  <c r="F65" i="6"/>
  <c r="G65" i="6"/>
  <c r="H65" i="6"/>
  <c r="I65" i="6"/>
  <c r="J65" i="6"/>
  <c r="K65" i="6"/>
  <c r="L65" i="6"/>
  <c r="M65" i="6"/>
  <c r="N65" i="6"/>
  <c r="O65" i="6"/>
  <c r="P65" i="6"/>
  <c r="Q65" i="6"/>
  <c r="R65" i="6"/>
  <c r="S65" i="6"/>
  <c r="T65" i="6"/>
  <c r="U65" i="6"/>
  <c r="B66" i="6"/>
  <c r="C66" i="6"/>
  <c r="D66" i="6"/>
  <c r="E66" i="6"/>
  <c r="F66" i="6"/>
  <c r="G66" i="6"/>
  <c r="H66" i="6"/>
  <c r="I66" i="6"/>
  <c r="J66" i="6"/>
  <c r="K66" i="6"/>
  <c r="L66" i="6"/>
  <c r="M66" i="6"/>
  <c r="N66" i="6"/>
  <c r="O66" i="6"/>
  <c r="P66" i="6"/>
  <c r="Q66" i="6"/>
  <c r="R66" i="6"/>
  <c r="S66" i="6"/>
  <c r="T66" i="6"/>
  <c r="U66" i="6"/>
  <c r="B67" i="6"/>
  <c r="C67" i="6"/>
  <c r="D67" i="6"/>
  <c r="E67" i="6"/>
  <c r="F67" i="6"/>
  <c r="G67" i="6"/>
  <c r="H67" i="6"/>
  <c r="I67" i="6"/>
  <c r="J67" i="6"/>
  <c r="K67" i="6"/>
  <c r="L67" i="6"/>
  <c r="M67" i="6"/>
  <c r="N67" i="6"/>
  <c r="O67" i="6"/>
  <c r="P67" i="6"/>
  <c r="Q67" i="6"/>
  <c r="R67" i="6"/>
  <c r="S67" i="6"/>
  <c r="T67" i="6"/>
  <c r="U67" i="6"/>
  <c r="B68" i="6"/>
  <c r="C68" i="6"/>
  <c r="D68" i="6"/>
  <c r="E68" i="6"/>
  <c r="F68" i="6"/>
  <c r="G68" i="6"/>
  <c r="H68" i="6"/>
  <c r="I68" i="6"/>
  <c r="J68" i="6"/>
  <c r="K68" i="6"/>
  <c r="L68" i="6"/>
  <c r="M68" i="6"/>
  <c r="N68" i="6"/>
  <c r="O68" i="6"/>
  <c r="P68" i="6"/>
  <c r="Q68" i="6"/>
  <c r="R68" i="6"/>
  <c r="S68" i="6"/>
  <c r="T68" i="6"/>
  <c r="U68" i="6"/>
  <c r="B69" i="6"/>
  <c r="C69" i="6"/>
  <c r="D69" i="6"/>
  <c r="E69" i="6"/>
  <c r="F69" i="6"/>
  <c r="G69" i="6"/>
  <c r="H69" i="6"/>
  <c r="I69" i="6"/>
  <c r="J69" i="6"/>
  <c r="K69" i="6"/>
  <c r="L69" i="6"/>
  <c r="M69" i="6"/>
  <c r="N69" i="6"/>
  <c r="O69" i="6"/>
  <c r="P69" i="6"/>
  <c r="Q69" i="6"/>
  <c r="R69" i="6"/>
  <c r="S69" i="6"/>
  <c r="T69" i="6"/>
  <c r="U69" i="6"/>
  <c r="B70" i="6"/>
  <c r="C70" i="6"/>
  <c r="D70" i="6"/>
  <c r="E70" i="6"/>
  <c r="F70" i="6"/>
  <c r="G70" i="6"/>
  <c r="H70" i="6"/>
  <c r="I70" i="6"/>
  <c r="J70" i="6"/>
  <c r="K70" i="6"/>
  <c r="L70" i="6"/>
  <c r="M70" i="6"/>
  <c r="N70" i="6"/>
  <c r="O70" i="6"/>
  <c r="P70" i="6"/>
  <c r="Q70" i="6"/>
  <c r="R70" i="6"/>
  <c r="S70" i="6"/>
  <c r="T70" i="6"/>
  <c r="U70" i="6"/>
  <c r="B71" i="6"/>
  <c r="C71" i="6"/>
  <c r="D71" i="6"/>
  <c r="E71" i="6"/>
  <c r="F71" i="6"/>
  <c r="G71" i="6"/>
  <c r="H71" i="6"/>
  <c r="I71" i="6"/>
  <c r="J71" i="6"/>
  <c r="K71" i="6"/>
  <c r="L71" i="6"/>
  <c r="M71" i="6"/>
  <c r="N71" i="6"/>
  <c r="O71" i="6"/>
  <c r="P71" i="6"/>
  <c r="Q71" i="6"/>
  <c r="R71" i="6"/>
  <c r="S71" i="6"/>
  <c r="T71" i="6"/>
  <c r="U71" i="6"/>
  <c r="B72" i="6"/>
  <c r="C72" i="6"/>
  <c r="D72" i="6"/>
  <c r="E72" i="6"/>
  <c r="F72" i="6"/>
  <c r="G72" i="6"/>
  <c r="H72" i="6"/>
  <c r="I72" i="6"/>
  <c r="J72" i="6"/>
  <c r="K72" i="6"/>
  <c r="L72" i="6"/>
  <c r="M72" i="6"/>
  <c r="N72" i="6"/>
  <c r="O72" i="6"/>
  <c r="P72" i="6"/>
  <c r="Q72" i="6"/>
  <c r="R72" i="6"/>
  <c r="S72" i="6"/>
  <c r="T72" i="6"/>
  <c r="U72" i="6"/>
  <c r="B73" i="6"/>
  <c r="C73" i="6"/>
  <c r="D73" i="6"/>
  <c r="E73" i="6"/>
  <c r="F73" i="6"/>
  <c r="G73" i="6"/>
  <c r="H73" i="6"/>
  <c r="I73" i="6"/>
  <c r="J73" i="6"/>
  <c r="K73" i="6"/>
  <c r="L73" i="6"/>
  <c r="M73" i="6"/>
  <c r="N73" i="6"/>
  <c r="O73" i="6"/>
  <c r="P73" i="6"/>
  <c r="Q73" i="6"/>
  <c r="R73" i="6"/>
  <c r="S73" i="6"/>
  <c r="T73" i="6"/>
  <c r="U73" i="6"/>
  <c r="B74" i="6"/>
  <c r="C74" i="6"/>
  <c r="D74" i="6"/>
  <c r="E74" i="6"/>
  <c r="F74" i="6"/>
  <c r="G74" i="6"/>
  <c r="H74" i="6"/>
  <c r="I74" i="6"/>
  <c r="J74" i="6"/>
  <c r="K74" i="6"/>
  <c r="L74" i="6"/>
  <c r="M74" i="6"/>
  <c r="N74" i="6"/>
  <c r="O74" i="6"/>
  <c r="P74" i="6"/>
  <c r="Q74" i="6"/>
  <c r="R74" i="6"/>
  <c r="S74" i="6"/>
  <c r="T74" i="6"/>
  <c r="U74" i="6"/>
  <c r="B75" i="6"/>
  <c r="C75" i="6"/>
  <c r="D75" i="6"/>
  <c r="E75" i="6"/>
  <c r="F75" i="6"/>
  <c r="G75" i="6"/>
  <c r="H75" i="6"/>
  <c r="I75" i="6"/>
  <c r="J75" i="6"/>
  <c r="K75" i="6"/>
  <c r="L75" i="6"/>
  <c r="M75" i="6"/>
  <c r="N75" i="6"/>
  <c r="O75" i="6"/>
  <c r="P75" i="6"/>
  <c r="Q75" i="6"/>
  <c r="R75" i="6"/>
  <c r="S75" i="6"/>
  <c r="T75" i="6"/>
  <c r="U75" i="6"/>
  <c r="B76" i="6"/>
  <c r="C76" i="6"/>
  <c r="D76" i="6"/>
  <c r="E76" i="6"/>
  <c r="F76" i="6"/>
  <c r="G76" i="6"/>
  <c r="H76" i="6"/>
  <c r="I76" i="6"/>
  <c r="J76" i="6"/>
  <c r="K76" i="6"/>
  <c r="L76" i="6"/>
  <c r="M76" i="6"/>
  <c r="N76" i="6"/>
  <c r="O76" i="6"/>
  <c r="P76" i="6"/>
  <c r="Q76" i="6"/>
  <c r="R76" i="6"/>
  <c r="S76" i="6"/>
  <c r="T76" i="6"/>
  <c r="U76" i="6"/>
  <c r="B77" i="6"/>
  <c r="C77" i="6"/>
  <c r="D77" i="6"/>
  <c r="E77" i="6"/>
  <c r="F77" i="6"/>
  <c r="G77" i="6"/>
  <c r="H77" i="6"/>
  <c r="I77" i="6"/>
  <c r="J77" i="6"/>
  <c r="K77" i="6"/>
  <c r="L77" i="6"/>
  <c r="M77" i="6"/>
  <c r="N77" i="6"/>
  <c r="O77" i="6"/>
  <c r="P77" i="6"/>
  <c r="Q77" i="6"/>
  <c r="R77" i="6"/>
  <c r="S77" i="6"/>
  <c r="T77" i="6"/>
  <c r="U77" i="6"/>
  <c r="B78" i="6"/>
  <c r="C78" i="6"/>
  <c r="D78" i="6"/>
  <c r="E78" i="6"/>
  <c r="F78" i="6"/>
  <c r="G78" i="6"/>
  <c r="H78" i="6"/>
  <c r="I78" i="6"/>
  <c r="J78" i="6"/>
  <c r="K78" i="6"/>
  <c r="L78" i="6"/>
  <c r="M78" i="6"/>
  <c r="N78" i="6"/>
  <c r="O78" i="6"/>
  <c r="P78" i="6"/>
  <c r="Q78" i="6"/>
  <c r="R78" i="6"/>
  <c r="S78" i="6"/>
  <c r="T78" i="6"/>
  <c r="U78" i="6"/>
  <c r="B79" i="6"/>
  <c r="C79" i="6"/>
  <c r="D79" i="6"/>
  <c r="E79" i="6"/>
  <c r="F79" i="6"/>
  <c r="G79" i="6"/>
  <c r="H79" i="6"/>
  <c r="I79" i="6"/>
  <c r="J79" i="6"/>
  <c r="K79" i="6"/>
  <c r="L79" i="6"/>
  <c r="M79" i="6"/>
  <c r="N79" i="6"/>
  <c r="O79" i="6"/>
  <c r="P79" i="6"/>
  <c r="Q79" i="6"/>
  <c r="R79" i="6"/>
  <c r="S79" i="6"/>
  <c r="T79" i="6"/>
  <c r="U79" i="6"/>
  <c r="B80" i="6"/>
  <c r="C80" i="6"/>
  <c r="D80" i="6"/>
  <c r="E80" i="6"/>
  <c r="F80" i="6"/>
  <c r="G80" i="6"/>
  <c r="H80" i="6"/>
  <c r="I80" i="6"/>
  <c r="J80" i="6"/>
  <c r="K80" i="6"/>
  <c r="L80" i="6"/>
  <c r="M80" i="6"/>
  <c r="N80" i="6"/>
  <c r="O80" i="6"/>
  <c r="P80" i="6"/>
  <c r="Q80" i="6"/>
  <c r="R80" i="6"/>
  <c r="S80" i="6"/>
  <c r="T80" i="6"/>
  <c r="U80" i="6"/>
  <c r="B81" i="6"/>
  <c r="C81" i="6"/>
  <c r="D81" i="6"/>
  <c r="E81" i="6"/>
  <c r="F81" i="6"/>
  <c r="G81" i="6"/>
  <c r="H81" i="6"/>
  <c r="I81" i="6"/>
  <c r="J81" i="6"/>
  <c r="K81" i="6"/>
  <c r="L81" i="6"/>
  <c r="M81" i="6"/>
  <c r="N81" i="6"/>
  <c r="O81" i="6"/>
  <c r="P81" i="6"/>
  <c r="Q81" i="6"/>
  <c r="R81" i="6"/>
  <c r="S81" i="6"/>
  <c r="T81" i="6"/>
  <c r="U81" i="6"/>
  <c r="B82" i="6"/>
  <c r="C82" i="6"/>
  <c r="D82" i="6"/>
  <c r="E82" i="6"/>
  <c r="F82" i="6"/>
  <c r="G82" i="6"/>
  <c r="H82" i="6"/>
  <c r="I82" i="6"/>
  <c r="J82" i="6"/>
  <c r="K82" i="6"/>
  <c r="L82" i="6"/>
  <c r="M82" i="6"/>
  <c r="N82" i="6"/>
  <c r="O82" i="6"/>
  <c r="P82" i="6"/>
  <c r="Q82" i="6"/>
  <c r="R82" i="6"/>
  <c r="S82" i="6"/>
  <c r="T82" i="6"/>
  <c r="U82" i="6"/>
  <c r="B83" i="6"/>
  <c r="C83" i="6"/>
  <c r="D83" i="6"/>
  <c r="E83" i="6"/>
  <c r="F83" i="6"/>
  <c r="G83" i="6"/>
  <c r="H83" i="6"/>
  <c r="I83" i="6"/>
  <c r="J83" i="6"/>
  <c r="K83" i="6"/>
  <c r="L83" i="6"/>
  <c r="M83" i="6"/>
  <c r="N83" i="6"/>
  <c r="O83" i="6"/>
  <c r="P83" i="6"/>
  <c r="Q83" i="6"/>
  <c r="R83" i="6"/>
  <c r="S83" i="6"/>
  <c r="T83" i="6"/>
  <c r="U83" i="6"/>
  <c r="B84" i="6"/>
  <c r="C84" i="6"/>
  <c r="D84" i="6"/>
  <c r="E84" i="6"/>
  <c r="F84" i="6"/>
  <c r="G84" i="6"/>
  <c r="H84" i="6"/>
  <c r="I84" i="6"/>
  <c r="J84" i="6"/>
  <c r="K84" i="6"/>
  <c r="L84" i="6"/>
  <c r="M84" i="6"/>
  <c r="N84" i="6"/>
  <c r="O84" i="6"/>
  <c r="P84" i="6"/>
  <c r="Q84" i="6"/>
  <c r="R84" i="6"/>
  <c r="S84" i="6"/>
  <c r="T84" i="6"/>
  <c r="U84" i="6"/>
  <c r="B85" i="6"/>
  <c r="C85" i="6"/>
  <c r="D85" i="6"/>
  <c r="E85" i="6"/>
  <c r="F85" i="6"/>
  <c r="G85" i="6"/>
  <c r="H85" i="6"/>
  <c r="I85" i="6"/>
  <c r="J85" i="6"/>
  <c r="K85" i="6"/>
  <c r="L85" i="6"/>
  <c r="M85" i="6"/>
  <c r="N85" i="6"/>
  <c r="O85" i="6"/>
  <c r="P85" i="6"/>
  <c r="Q85" i="6"/>
  <c r="R85" i="6"/>
  <c r="S85" i="6"/>
  <c r="T85" i="6"/>
  <c r="U85" i="6"/>
  <c r="B86" i="6"/>
  <c r="C86" i="6"/>
  <c r="D86" i="6"/>
  <c r="E86" i="6"/>
  <c r="F86" i="6"/>
  <c r="G86" i="6"/>
  <c r="H86" i="6"/>
  <c r="I86" i="6"/>
  <c r="J86" i="6"/>
  <c r="K86" i="6"/>
  <c r="L86" i="6"/>
  <c r="M86" i="6"/>
  <c r="N86" i="6"/>
  <c r="O86" i="6"/>
  <c r="P86" i="6"/>
  <c r="Q86" i="6"/>
  <c r="R86" i="6"/>
  <c r="S86" i="6"/>
  <c r="T86" i="6"/>
  <c r="U86" i="6"/>
  <c r="B87" i="6"/>
  <c r="C87" i="6"/>
  <c r="D87" i="6"/>
  <c r="E87" i="6"/>
  <c r="F87" i="6"/>
  <c r="G87" i="6"/>
  <c r="H87" i="6"/>
  <c r="I87" i="6"/>
  <c r="J87" i="6"/>
  <c r="K87" i="6"/>
  <c r="L87" i="6"/>
  <c r="M87" i="6"/>
  <c r="N87" i="6"/>
  <c r="O87" i="6"/>
  <c r="P87" i="6"/>
  <c r="Q87" i="6"/>
  <c r="R87" i="6"/>
  <c r="S87" i="6"/>
  <c r="T87" i="6"/>
  <c r="U87" i="6"/>
  <c r="B88" i="6"/>
  <c r="C88" i="6"/>
  <c r="D88" i="6"/>
  <c r="E88" i="6"/>
  <c r="F88" i="6"/>
  <c r="G88" i="6"/>
  <c r="H88" i="6"/>
  <c r="I88" i="6"/>
  <c r="J88" i="6"/>
  <c r="K88" i="6"/>
  <c r="L88" i="6"/>
  <c r="M88" i="6"/>
  <c r="N88" i="6"/>
  <c r="O88" i="6"/>
  <c r="P88" i="6"/>
  <c r="Q88" i="6"/>
  <c r="R88" i="6"/>
  <c r="S88" i="6"/>
  <c r="T88" i="6"/>
  <c r="U88" i="6"/>
  <c r="B89" i="6"/>
  <c r="C89" i="6"/>
  <c r="D89" i="6"/>
  <c r="E89" i="6"/>
  <c r="F89" i="6"/>
  <c r="G89" i="6"/>
  <c r="H89" i="6"/>
  <c r="I89" i="6"/>
  <c r="J89" i="6"/>
  <c r="K89" i="6"/>
  <c r="L89" i="6"/>
  <c r="M89" i="6"/>
  <c r="N89" i="6"/>
  <c r="O89" i="6"/>
  <c r="P89" i="6"/>
  <c r="Q89" i="6"/>
  <c r="R89" i="6"/>
  <c r="S89" i="6"/>
  <c r="T89" i="6"/>
  <c r="U89" i="6"/>
  <c r="B90" i="6"/>
  <c r="C90" i="6"/>
  <c r="D90" i="6"/>
  <c r="E90" i="6"/>
  <c r="F90" i="6"/>
  <c r="G90" i="6"/>
  <c r="H90" i="6"/>
  <c r="I90" i="6"/>
  <c r="J90" i="6"/>
  <c r="K90" i="6"/>
  <c r="L90" i="6"/>
  <c r="M90" i="6"/>
  <c r="N90" i="6"/>
  <c r="O90" i="6"/>
  <c r="P90" i="6"/>
  <c r="Q90" i="6"/>
  <c r="R90" i="6"/>
  <c r="S90" i="6"/>
  <c r="T90" i="6"/>
  <c r="U90" i="6"/>
  <c r="B91" i="6"/>
  <c r="C91" i="6"/>
  <c r="D91" i="6"/>
  <c r="E91" i="6"/>
  <c r="F91" i="6"/>
  <c r="G91" i="6"/>
  <c r="H91" i="6"/>
  <c r="I91" i="6"/>
  <c r="J91" i="6"/>
  <c r="K91" i="6"/>
  <c r="L91" i="6"/>
  <c r="M91" i="6"/>
  <c r="N91" i="6"/>
  <c r="O91" i="6"/>
  <c r="P91" i="6"/>
  <c r="Q91" i="6"/>
  <c r="R91" i="6"/>
  <c r="S91" i="6"/>
  <c r="T91" i="6"/>
  <c r="U91" i="6"/>
  <c r="B92" i="6"/>
  <c r="C92" i="6"/>
  <c r="D92" i="6"/>
  <c r="E92" i="6"/>
  <c r="F92" i="6"/>
  <c r="G92" i="6"/>
  <c r="H92" i="6"/>
  <c r="I92" i="6"/>
  <c r="J92" i="6"/>
  <c r="K92" i="6"/>
  <c r="L92" i="6"/>
  <c r="M92" i="6"/>
  <c r="N92" i="6"/>
  <c r="O92" i="6"/>
  <c r="P92" i="6"/>
  <c r="Q92" i="6"/>
  <c r="R92" i="6"/>
  <c r="S92" i="6"/>
  <c r="T92" i="6"/>
  <c r="U92" i="6"/>
  <c r="B93" i="6"/>
  <c r="C93" i="6"/>
  <c r="D93" i="6"/>
  <c r="E93" i="6"/>
  <c r="F93" i="6"/>
  <c r="G93" i="6"/>
  <c r="H93" i="6"/>
  <c r="I93" i="6"/>
  <c r="J93" i="6"/>
  <c r="K93" i="6"/>
  <c r="L93" i="6"/>
  <c r="M93" i="6"/>
  <c r="N93" i="6"/>
  <c r="O93" i="6"/>
  <c r="P93" i="6"/>
  <c r="Q93" i="6"/>
  <c r="R93" i="6"/>
  <c r="S93" i="6"/>
  <c r="T93" i="6"/>
  <c r="U93" i="6"/>
  <c r="B94" i="6"/>
  <c r="C94" i="6"/>
  <c r="D94" i="6"/>
  <c r="E94" i="6"/>
  <c r="F94" i="6"/>
  <c r="G94" i="6"/>
  <c r="H94" i="6"/>
  <c r="I94" i="6"/>
  <c r="J94" i="6"/>
  <c r="K94" i="6"/>
  <c r="L94" i="6"/>
  <c r="M94" i="6"/>
  <c r="N94" i="6"/>
  <c r="O94" i="6"/>
  <c r="P94" i="6"/>
  <c r="Q94" i="6"/>
  <c r="R94" i="6"/>
  <c r="S94" i="6"/>
  <c r="T94" i="6"/>
  <c r="U94" i="6"/>
  <c r="B95" i="6"/>
  <c r="C95" i="6"/>
  <c r="D95" i="6"/>
  <c r="E95" i="6"/>
  <c r="F95" i="6"/>
  <c r="G95" i="6"/>
  <c r="H95" i="6"/>
  <c r="I95" i="6"/>
  <c r="J95" i="6"/>
  <c r="K95" i="6"/>
  <c r="L95" i="6"/>
  <c r="M95" i="6"/>
  <c r="N95" i="6"/>
  <c r="O95" i="6"/>
  <c r="P95" i="6"/>
  <c r="Q95" i="6"/>
  <c r="R95" i="6"/>
  <c r="S95" i="6"/>
  <c r="T95" i="6"/>
  <c r="U95" i="6"/>
  <c r="B96" i="6"/>
  <c r="C96" i="6"/>
  <c r="D96" i="6"/>
  <c r="E96" i="6"/>
  <c r="F96" i="6"/>
  <c r="G96" i="6"/>
  <c r="H96" i="6"/>
  <c r="I96" i="6"/>
  <c r="J96" i="6"/>
  <c r="K96" i="6"/>
  <c r="L96" i="6"/>
  <c r="M96" i="6"/>
  <c r="N96" i="6"/>
  <c r="O96" i="6"/>
  <c r="P96" i="6"/>
  <c r="Q96" i="6"/>
  <c r="R96" i="6"/>
  <c r="S96" i="6"/>
  <c r="T96" i="6"/>
  <c r="U96" i="6"/>
  <c r="B97" i="6"/>
  <c r="C97" i="6"/>
  <c r="D97" i="6"/>
  <c r="E97" i="6"/>
  <c r="F97" i="6"/>
  <c r="G97" i="6"/>
  <c r="H97" i="6"/>
  <c r="I97" i="6"/>
  <c r="J97" i="6"/>
  <c r="K97" i="6"/>
  <c r="L97" i="6"/>
  <c r="M97" i="6"/>
  <c r="N97" i="6"/>
  <c r="O97" i="6"/>
  <c r="P97" i="6"/>
  <c r="Q97" i="6"/>
  <c r="R97" i="6"/>
  <c r="S97" i="6"/>
  <c r="T97" i="6"/>
  <c r="U97" i="6"/>
  <c r="B98" i="6"/>
  <c r="C98" i="6"/>
  <c r="D98" i="6"/>
  <c r="E98" i="6"/>
  <c r="F98" i="6"/>
  <c r="G98" i="6"/>
  <c r="H98" i="6"/>
  <c r="I98" i="6"/>
  <c r="J98" i="6"/>
  <c r="K98" i="6"/>
  <c r="L98" i="6"/>
  <c r="M98" i="6"/>
  <c r="N98" i="6"/>
  <c r="O98" i="6"/>
  <c r="P98" i="6"/>
  <c r="Q98" i="6"/>
  <c r="R98" i="6"/>
  <c r="S98" i="6"/>
  <c r="T98" i="6"/>
  <c r="U98" i="6"/>
  <c r="B99" i="6"/>
  <c r="C99" i="6"/>
  <c r="D99" i="6"/>
  <c r="E99" i="6"/>
  <c r="F99" i="6"/>
  <c r="G99" i="6"/>
  <c r="H99" i="6"/>
  <c r="I99" i="6"/>
  <c r="J99" i="6"/>
  <c r="K99" i="6"/>
  <c r="L99" i="6"/>
  <c r="M99" i="6"/>
  <c r="N99" i="6"/>
  <c r="O99" i="6"/>
  <c r="P99" i="6"/>
  <c r="Q99" i="6"/>
  <c r="R99" i="6"/>
  <c r="S99" i="6"/>
  <c r="T99" i="6"/>
  <c r="U99" i="6"/>
  <c r="B100" i="6"/>
  <c r="C100" i="6"/>
  <c r="D100" i="6"/>
  <c r="E100" i="6"/>
  <c r="F100" i="6"/>
  <c r="G100" i="6"/>
  <c r="H100" i="6"/>
  <c r="I100" i="6"/>
  <c r="J100" i="6"/>
  <c r="K100" i="6"/>
  <c r="L100" i="6"/>
  <c r="M100" i="6"/>
  <c r="N100" i="6"/>
  <c r="O100" i="6"/>
  <c r="P100" i="6"/>
  <c r="Q100" i="6"/>
  <c r="R100" i="6"/>
  <c r="S100" i="6"/>
  <c r="T100" i="6"/>
  <c r="U100" i="6"/>
  <c r="B101" i="6"/>
  <c r="C101" i="6"/>
  <c r="D101" i="6"/>
  <c r="E101" i="6"/>
  <c r="F101" i="6"/>
  <c r="G101" i="6"/>
  <c r="H101" i="6"/>
  <c r="I101" i="6"/>
  <c r="J101" i="6"/>
  <c r="K101" i="6"/>
  <c r="L101" i="6"/>
  <c r="M101" i="6"/>
  <c r="N101" i="6"/>
  <c r="O101" i="6"/>
  <c r="P101" i="6"/>
  <c r="Q101" i="6"/>
  <c r="R101" i="6"/>
  <c r="S101" i="6"/>
  <c r="T101" i="6"/>
  <c r="U101" i="6"/>
  <c r="B102" i="6"/>
  <c r="C102" i="6"/>
  <c r="D102" i="6"/>
  <c r="E102" i="6"/>
  <c r="F102" i="6"/>
  <c r="G102" i="6"/>
  <c r="H102" i="6"/>
  <c r="I102" i="6"/>
  <c r="J102" i="6"/>
  <c r="K102" i="6"/>
  <c r="L102" i="6"/>
  <c r="M102" i="6"/>
  <c r="N102" i="6"/>
  <c r="O102" i="6"/>
  <c r="P102" i="6"/>
  <c r="Q102" i="6"/>
  <c r="R102" i="6"/>
  <c r="S102" i="6"/>
  <c r="T102" i="6"/>
  <c r="U102" i="6"/>
  <c r="B103" i="6"/>
  <c r="C103" i="6"/>
  <c r="D103" i="6"/>
  <c r="E103" i="6"/>
  <c r="F103" i="6"/>
  <c r="G103" i="6"/>
  <c r="H103" i="6"/>
  <c r="I103" i="6"/>
  <c r="J103" i="6"/>
  <c r="K103" i="6"/>
  <c r="L103" i="6"/>
  <c r="M103" i="6"/>
  <c r="N103" i="6"/>
  <c r="O103" i="6"/>
  <c r="P103" i="6"/>
  <c r="Q103" i="6"/>
  <c r="R103" i="6"/>
  <c r="S103" i="6"/>
  <c r="T103" i="6"/>
  <c r="U103" i="6"/>
  <c r="B104" i="6"/>
  <c r="C104" i="6"/>
  <c r="D104" i="6"/>
  <c r="E104" i="6"/>
  <c r="F104" i="6"/>
  <c r="G104" i="6"/>
  <c r="H104" i="6"/>
  <c r="I104" i="6"/>
  <c r="J104" i="6"/>
  <c r="K104" i="6"/>
  <c r="L104" i="6"/>
  <c r="M104" i="6"/>
  <c r="N104" i="6"/>
  <c r="O104" i="6"/>
  <c r="P104" i="6"/>
  <c r="Q104" i="6"/>
  <c r="R104" i="6"/>
  <c r="S104" i="6"/>
  <c r="T104" i="6"/>
  <c r="U104" i="6"/>
  <c r="B105" i="6"/>
  <c r="C105" i="6"/>
  <c r="D105" i="6"/>
  <c r="E105" i="6"/>
  <c r="F105" i="6"/>
  <c r="G105" i="6"/>
  <c r="H105" i="6"/>
  <c r="I105" i="6"/>
  <c r="J105" i="6"/>
  <c r="K105" i="6"/>
  <c r="L105" i="6"/>
  <c r="M105" i="6"/>
  <c r="N105" i="6"/>
  <c r="O105" i="6"/>
  <c r="P105" i="6"/>
  <c r="Q105" i="6"/>
  <c r="R105" i="6"/>
  <c r="S105" i="6"/>
  <c r="T105" i="6"/>
  <c r="U105" i="6"/>
  <c r="B106" i="6"/>
  <c r="C106" i="6"/>
  <c r="D106" i="6"/>
  <c r="E106" i="6"/>
  <c r="F106" i="6"/>
  <c r="G106" i="6"/>
  <c r="H106" i="6"/>
  <c r="I106" i="6"/>
  <c r="J106" i="6"/>
  <c r="K106" i="6"/>
  <c r="L106" i="6"/>
  <c r="M106" i="6"/>
  <c r="N106" i="6"/>
  <c r="O106" i="6"/>
  <c r="P106" i="6"/>
  <c r="Q106" i="6"/>
  <c r="R106" i="6"/>
  <c r="S106" i="6"/>
  <c r="T106" i="6"/>
  <c r="U106" i="6"/>
  <c r="B107" i="6"/>
  <c r="C107" i="6"/>
  <c r="D107" i="6"/>
  <c r="E107" i="6"/>
  <c r="F107" i="6"/>
  <c r="G107" i="6"/>
  <c r="H107" i="6"/>
  <c r="I107" i="6"/>
  <c r="J107" i="6"/>
  <c r="K107" i="6"/>
  <c r="L107" i="6"/>
  <c r="M107" i="6"/>
  <c r="N107" i="6"/>
  <c r="O107" i="6"/>
  <c r="P107" i="6"/>
  <c r="Q107" i="6"/>
  <c r="R107" i="6"/>
  <c r="S107" i="6"/>
  <c r="T107" i="6"/>
  <c r="U107" i="6"/>
  <c r="B108" i="6"/>
  <c r="C108" i="6"/>
  <c r="D108" i="6"/>
  <c r="E108" i="6"/>
  <c r="F108" i="6"/>
  <c r="G108" i="6"/>
  <c r="H108" i="6"/>
  <c r="I108" i="6"/>
  <c r="J108" i="6"/>
  <c r="K108" i="6"/>
  <c r="L108" i="6"/>
  <c r="M108" i="6"/>
  <c r="N108" i="6"/>
  <c r="O108" i="6"/>
  <c r="P108" i="6"/>
  <c r="Q108" i="6"/>
  <c r="R108" i="6"/>
  <c r="S108" i="6"/>
  <c r="T108" i="6"/>
  <c r="U108" i="6"/>
  <c r="B109" i="6"/>
  <c r="C109" i="6"/>
  <c r="D109" i="6"/>
  <c r="E109" i="6"/>
  <c r="F109" i="6"/>
  <c r="G109" i="6"/>
  <c r="H109" i="6"/>
  <c r="I109" i="6"/>
  <c r="J109" i="6"/>
  <c r="K109" i="6"/>
  <c r="L109" i="6"/>
  <c r="M109" i="6"/>
  <c r="N109" i="6"/>
  <c r="O109" i="6"/>
  <c r="P109" i="6"/>
  <c r="Q109" i="6"/>
  <c r="R109" i="6"/>
  <c r="S109" i="6"/>
  <c r="T109" i="6"/>
  <c r="U109" i="6"/>
  <c r="B110" i="6"/>
  <c r="C110" i="6"/>
  <c r="D110" i="6"/>
  <c r="E110" i="6"/>
  <c r="F110" i="6"/>
  <c r="G110" i="6"/>
  <c r="H110" i="6"/>
  <c r="I110" i="6"/>
  <c r="J110" i="6"/>
  <c r="K110" i="6"/>
  <c r="L110" i="6"/>
  <c r="M110" i="6"/>
  <c r="N110" i="6"/>
  <c r="O110" i="6"/>
  <c r="P110" i="6"/>
  <c r="Q110" i="6"/>
  <c r="R110" i="6"/>
  <c r="S110" i="6"/>
  <c r="T110" i="6"/>
  <c r="U110" i="6"/>
  <c r="B111" i="6"/>
  <c r="C111" i="6"/>
  <c r="D111" i="6"/>
  <c r="E111" i="6"/>
  <c r="F111" i="6"/>
  <c r="G111" i="6"/>
  <c r="H111" i="6"/>
  <c r="I111" i="6"/>
  <c r="J111" i="6"/>
  <c r="K111" i="6"/>
  <c r="L111" i="6"/>
  <c r="M111" i="6"/>
  <c r="N111" i="6"/>
  <c r="O111" i="6"/>
  <c r="P111" i="6"/>
  <c r="Q111" i="6"/>
  <c r="R111" i="6"/>
  <c r="S111" i="6"/>
  <c r="T111" i="6"/>
  <c r="U111" i="6"/>
  <c r="B112" i="6"/>
  <c r="C112" i="6"/>
  <c r="D112" i="6"/>
  <c r="E112" i="6"/>
  <c r="F112" i="6"/>
  <c r="G112" i="6"/>
  <c r="H112" i="6"/>
  <c r="I112" i="6"/>
  <c r="J112" i="6"/>
  <c r="K112" i="6"/>
  <c r="L112" i="6"/>
  <c r="M112" i="6"/>
  <c r="N112" i="6"/>
  <c r="O112" i="6"/>
  <c r="P112" i="6"/>
  <c r="Q112" i="6"/>
  <c r="R112" i="6"/>
  <c r="S112" i="6"/>
  <c r="T112" i="6"/>
  <c r="U112" i="6"/>
  <c r="B113" i="6"/>
  <c r="C113" i="6"/>
  <c r="D113" i="6"/>
  <c r="E113" i="6"/>
  <c r="F113" i="6"/>
  <c r="G113" i="6"/>
  <c r="H113" i="6"/>
  <c r="I113" i="6"/>
  <c r="J113" i="6"/>
  <c r="K113" i="6"/>
  <c r="L113" i="6"/>
  <c r="M113" i="6"/>
  <c r="N113" i="6"/>
  <c r="O113" i="6"/>
  <c r="P113" i="6"/>
  <c r="Q113" i="6"/>
  <c r="R113" i="6"/>
  <c r="S113" i="6"/>
  <c r="T113" i="6"/>
  <c r="U113" i="6"/>
  <c r="B114" i="6"/>
  <c r="C114" i="6"/>
  <c r="D114" i="6"/>
  <c r="E114" i="6"/>
  <c r="F114" i="6"/>
  <c r="G114" i="6"/>
  <c r="H114" i="6"/>
  <c r="I114" i="6"/>
  <c r="J114" i="6"/>
  <c r="K114" i="6"/>
  <c r="L114" i="6"/>
  <c r="M114" i="6"/>
  <c r="N114" i="6"/>
  <c r="O114" i="6"/>
  <c r="P114" i="6"/>
  <c r="Q114" i="6"/>
  <c r="R114" i="6"/>
  <c r="S114" i="6"/>
  <c r="T114" i="6"/>
  <c r="U114" i="6"/>
  <c r="B115" i="6"/>
  <c r="C115" i="6"/>
  <c r="D115" i="6"/>
  <c r="E115" i="6"/>
  <c r="F115" i="6"/>
  <c r="G115" i="6"/>
  <c r="H115" i="6"/>
  <c r="I115" i="6"/>
  <c r="J115" i="6"/>
  <c r="K115" i="6"/>
  <c r="L115" i="6"/>
  <c r="M115" i="6"/>
  <c r="N115" i="6"/>
  <c r="O115" i="6"/>
  <c r="P115" i="6"/>
  <c r="Q115" i="6"/>
  <c r="R115" i="6"/>
  <c r="S115" i="6"/>
  <c r="T115" i="6"/>
  <c r="U115" i="6"/>
  <c r="B116" i="6"/>
  <c r="C116" i="6"/>
  <c r="D116" i="6"/>
  <c r="E116" i="6"/>
  <c r="F116" i="6"/>
  <c r="G116" i="6"/>
  <c r="H116" i="6"/>
  <c r="I116" i="6"/>
  <c r="J116" i="6"/>
  <c r="K116" i="6"/>
  <c r="L116" i="6"/>
  <c r="M116" i="6"/>
  <c r="N116" i="6"/>
  <c r="O116" i="6"/>
  <c r="P116" i="6"/>
  <c r="Q116" i="6"/>
  <c r="R116" i="6"/>
  <c r="S116" i="6"/>
  <c r="T116" i="6"/>
  <c r="U116" i="6"/>
  <c r="B117" i="6"/>
  <c r="C117" i="6"/>
  <c r="D117" i="6"/>
  <c r="E117" i="6"/>
  <c r="F117" i="6"/>
  <c r="G117" i="6"/>
  <c r="H117" i="6"/>
  <c r="I117" i="6"/>
  <c r="J117" i="6"/>
  <c r="K117" i="6"/>
  <c r="L117" i="6"/>
  <c r="M117" i="6"/>
  <c r="N117" i="6"/>
  <c r="O117" i="6"/>
  <c r="P117" i="6"/>
  <c r="Q117" i="6"/>
  <c r="R117" i="6"/>
  <c r="S117" i="6"/>
  <c r="T117" i="6"/>
  <c r="U117" i="6"/>
  <c r="B118" i="6"/>
  <c r="C118" i="6"/>
  <c r="D118" i="6"/>
  <c r="E118" i="6"/>
  <c r="F118" i="6"/>
  <c r="G118" i="6"/>
  <c r="H118" i="6"/>
  <c r="I118" i="6"/>
  <c r="J118" i="6"/>
  <c r="K118" i="6"/>
  <c r="L118" i="6"/>
  <c r="M118" i="6"/>
  <c r="N118" i="6"/>
  <c r="O118" i="6"/>
  <c r="P118" i="6"/>
  <c r="Q118" i="6"/>
  <c r="R118" i="6"/>
  <c r="S118" i="6"/>
  <c r="T118" i="6"/>
  <c r="U118" i="6"/>
  <c r="B119" i="6"/>
  <c r="C119" i="6"/>
  <c r="D119" i="6"/>
  <c r="E119" i="6"/>
  <c r="F119" i="6"/>
  <c r="G119" i="6"/>
  <c r="H119" i="6"/>
  <c r="I119" i="6"/>
  <c r="J119" i="6"/>
  <c r="K119" i="6"/>
  <c r="L119" i="6"/>
  <c r="M119" i="6"/>
  <c r="N119" i="6"/>
  <c r="O119" i="6"/>
  <c r="P119" i="6"/>
  <c r="Q119" i="6"/>
  <c r="R119" i="6"/>
  <c r="S119" i="6"/>
  <c r="T119" i="6"/>
  <c r="U119" i="6"/>
  <c r="B120" i="6"/>
  <c r="C120" i="6"/>
  <c r="D120" i="6"/>
  <c r="E120" i="6"/>
  <c r="F120" i="6"/>
  <c r="G120" i="6"/>
  <c r="H120" i="6"/>
  <c r="I120" i="6"/>
  <c r="J120" i="6"/>
  <c r="K120" i="6"/>
  <c r="L120" i="6"/>
  <c r="M120" i="6"/>
  <c r="N120" i="6"/>
  <c r="O120" i="6"/>
  <c r="P120" i="6"/>
  <c r="Q120" i="6"/>
  <c r="R120" i="6"/>
  <c r="S120" i="6"/>
  <c r="T120" i="6"/>
  <c r="U120" i="6"/>
  <c r="B121" i="6"/>
  <c r="C121" i="6"/>
  <c r="D121" i="6"/>
  <c r="E121" i="6"/>
  <c r="F121" i="6"/>
  <c r="G121" i="6"/>
  <c r="H121" i="6"/>
  <c r="I121" i="6"/>
  <c r="J121" i="6"/>
  <c r="K121" i="6"/>
  <c r="L121" i="6"/>
  <c r="M121" i="6"/>
  <c r="N121" i="6"/>
  <c r="O121" i="6"/>
  <c r="P121" i="6"/>
  <c r="Q121" i="6"/>
  <c r="R121" i="6"/>
  <c r="S121" i="6"/>
  <c r="T121" i="6"/>
  <c r="U121" i="6"/>
  <c r="B122" i="6"/>
  <c r="C122" i="6"/>
  <c r="D122" i="6"/>
  <c r="E122" i="6"/>
  <c r="F122" i="6"/>
  <c r="G122" i="6"/>
  <c r="H122" i="6"/>
  <c r="I122" i="6"/>
  <c r="J122" i="6"/>
  <c r="K122" i="6"/>
  <c r="L122" i="6"/>
  <c r="M122" i="6"/>
  <c r="N122" i="6"/>
  <c r="O122" i="6"/>
  <c r="P122" i="6"/>
  <c r="Q122" i="6"/>
  <c r="R122" i="6"/>
  <c r="S122" i="6"/>
  <c r="T122" i="6"/>
  <c r="U122" i="6"/>
  <c r="B123" i="6"/>
  <c r="C123" i="6"/>
  <c r="D123" i="6"/>
  <c r="E123" i="6"/>
  <c r="F123" i="6"/>
  <c r="G123" i="6"/>
  <c r="H123" i="6"/>
  <c r="I123" i="6"/>
  <c r="J123" i="6"/>
  <c r="K123" i="6"/>
  <c r="L123" i="6"/>
  <c r="M123" i="6"/>
  <c r="N123" i="6"/>
  <c r="O123" i="6"/>
  <c r="P123" i="6"/>
  <c r="Q123" i="6"/>
  <c r="R123" i="6"/>
  <c r="S123" i="6"/>
  <c r="T123" i="6"/>
  <c r="U123" i="6"/>
  <c r="B124" i="6"/>
  <c r="C124" i="6"/>
  <c r="D124" i="6"/>
  <c r="E124" i="6"/>
  <c r="F124" i="6"/>
  <c r="G124" i="6"/>
  <c r="H124" i="6"/>
  <c r="I124" i="6"/>
  <c r="J124" i="6"/>
  <c r="K124" i="6"/>
  <c r="L124" i="6"/>
  <c r="M124" i="6"/>
  <c r="N124" i="6"/>
  <c r="O124" i="6"/>
  <c r="P124" i="6"/>
  <c r="Q124" i="6"/>
  <c r="R124" i="6"/>
  <c r="S124" i="6"/>
  <c r="T124" i="6"/>
  <c r="U124" i="6"/>
  <c r="B125" i="6"/>
  <c r="C125" i="6"/>
  <c r="D125" i="6"/>
  <c r="E125" i="6"/>
  <c r="F125" i="6"/>
  <c r="G125" i="6"/>
  <c r="H125" i="6"/>
  <c r="I125" i="6"/>
  <c r="J125" i="6"/>
  <c r="K125" i="6"/>
  <c r="L125" i="6"/>
  <c r="M125" i="6"/>
  <c r="N125" i="6"/>
  <c r="O125" i="6"/>
  <c r="P125" i="6"/>
  <c r="Q125" i="6"/>
  <c r="R125" i="6"/>
  <c r="S125" i="6"/>
  <c r="T125" i="6"/>
  <c r="U125" i="6"/>
  <c r="B126" i="6"/>
  <c r="C126" i="6"/>
  <c r="D126" i="6"/>
  <c r="E126" i="6"/>
  <c r="F126" i="6"/>
  <c r="G126" i="6"/>
  <c r="H126" i="6"/>
  <c r="I126" i="6"/>
  <c r="J126" i="6"/>
  <c r="K126" i="6"/>
  <c r="L126" i="6"/>
  <c r="M126" i="6"/>
  <c r="N126" i="6"/>
  <c r="O126" i="6"/>
  <c r="P126" i="6"/>
  <c r="Q126" i="6"/>
  <c r="R126" i="6"/>
  <c r="S126" i="6"/>
  <c r="T126" i="6"/>
  <c r="U126" i="6"/>
  <c r="B127" i="6"/>
  <c r="C127" i="6"/>
  <c r="D127" i="6"/>
  <c r="E127" i="6"/>
  <c r="F127" i="6"/>
  <c r="G127" i="6"/>
  <c r="H127" i="6"/>
  <c r="I127" i="6"/>
  <c r="J127" i="6"/>
  <c r="K127" i="6"/>
  <c r="L127" i="6"/>
  <c r="M127" i="6"/>
  <c r="N127" i="6"/>
  <c r="O127" i="6"/>
  <c r="P127" i="6"/>
  <c r="Q127" i="6"/>
  <c r="R127" i="6"/>
  <c r="S127" i="6"/>
  <c r="T127" i="6"/>
  <c r="U127" i="6"/>
  <c r="B128" i="6"/>
  <c r="C128" i="6"/>
  <c r="D128" i="6"/>
  <c r="E128" i="6"/>
  <c r="F128" i="6"/>
  <c r="G128" i="6"/>
  <c r="H128" i="6"/>
  <c r="I128" i="6"/>
  <c r="J128" i="6"/>
  <c r="K128" i="6"/>
  <c r="L128" i="6"/>
  <c r="M128" i="6"/>
  <c r="N128" i="6"/>
  <c r="O128" i="6"/>
  <c r="P128" i="6"/>
  <c r="Q128" i="6"/>
  <c r="R128" i="6"/>
  <c r="S128" i="6"/>
  <c r="T128" i="6"/>
  <c r="U128" i="6"/>
  <c r="B129" i="6"/>
  <c r="C129" i="6"/>
  <c r="D129" i="6"/>
  <c r="E129" i="6"/>
  <c r="F129" i="6"/>
  <c r="G129" i="6"/>
  <c r="H129" i="6"/>
  <c r="I129" i="6"/>
  <c r="J129" i="6"/>
  <c r="K129" i="6"/>
  <c r="L129" i="6"/>
  <c r="M129" i="6"/>
  <c r="N129" i="6"/>
  <c r="O129" i="6"/>
  <c r="P129" i="6"/>
  <c r="Q129" i="6"/>
  <c r="R129" i="6"/>
  <c r="S129" i="6"/>
  <c r="T129" i="6"/>
  <c r="U129" i="6"/>
  <c r="B130" i="6"/>
  <c r="C130" i="6"/>
  <c r="D130" i="6"/>
  <c r="E130" i="6"/>
  <c r="F130" i="6"/>
  <c r="G130" i="6"/>
  <c r="H130" i="6"/>
  <c r="I130" i="6"/>
  <c r="J130" i="6"/>
  <c r="K130" i="6"/>
  <c r="L130" i="6"/>
  <c r="M130" i="6"/>
  <c r="N130" i="6"/>
  <c r="O130" i="6"/>
  <c r="P130" i="6"/>
  <c r="Q130" i="6"/>
  <c r="R130" i="6"/>
  <c r="S130" i="6"/>
  <c r="T130" i="6"/>
  <c r="U130" i="6"/>
  <c r="B131" i="6"/>
  <c r="C131" i="6"/>
  <c r="D131" i="6"/>
  <c r="E131" i="6"/>
  <c r="F131" i="6"/>
  <c r="G131" i="6"/>
  <c r="H131" i="6"/>
  <c r="I131" i="6"/>
  <c r="J131" i="6"/>
  <c r="K131" i="6"/>
  <c r="L131" i="6"/>
  <c r="M131" i="6"/>
  <c r="N131" i="6"/>
  <c r="O131" i="6"/>
  <c r="P131" i="6"/>
  <c r="Q131" i="6"/>
  <c r="R131" i="6"/>
  <c r="S131" i="6"/>
  <c r="T131" i="6"/>
  <c r="U131" i="6"/>
  <c r="B132" i="6"/>
  <c r="C132" i="6"/>
  <c r="D132" i="6"/>
  <c r="E132" i="6"/>
  <c r="F132" i="6"/>
  <c r="G132" i="6"/>
  <c r="H132" i="6"/>
  <c r="I132" i="6"/>
  <c r="J132" i="6"/>
  <c r="K132" i="6"/>
  <c r="L132" i="6"/>
  <c r="M132" i="6"/>
  <c r="N132" i="6"/>
  <c r="O132" i="6"/>
  <c r="P132" i="6"/>
  <c r="Q132" i="6"/>
  <c r="R132" i="6"/>
  <c r="S132" i="6"/>
  <c r="T132" i="6"/>
  <c r="U132" i="6"/>
  <c r="B133" i="6"/>
  <c r="C133" i="6"/>
  <c r="D133" i="6"/>
  <c r="E133" i="6"/>
  <c r="F133" i="6"/>
  <c r="G133" i="6"/>
  <c r="H133" i="6"/>
  <c r="I133" i="6"/>
  <c r="J133" i="6"/>
  <c r="K133" i="6"/>
  <c r="L133" i="6"/>
  <c r="M133" i="6"/>
  <c r="N133" i="6"/>
  <c r="O133" i="6"/>
  <c r="P133" i="6"/>
  <c r="Q133" i="6"/>
  <c r="R133" i="6"/>
  <c r="S133" i="6"/>
  <c r="T133" i="6"/>
  <c r="U133" i="6"/>
  <c r="B134" i="6"/>
  <c r="C134" i="6"/>
  <c r="D134" i="6"/>
  <c r="E134" i="6"/>
  <c r="F134" i="6"/>
  <c r="G134" i="6"/>
  <c r="H134" i="6"/>
  <c r="I134" i="6"/>
  <c r="J134" i="6"/>
  <c r="K134" i="6"/>
  <c r="L134" i="6"/>
  <c r="M134" i="6"/>
  <c r="N134" i="6"/>
  <c r="O134" i="6"/>
  <c r="P134" i="6"/>
  <c r="Q134" i="6"/>
  <c r="R134" i="6"/>
  <c r="S134" i="6"/>
  <c r="T134" i="6"/>
  <c r="U134" i="6"/>
  <c r="B135" i="6"/>
  <c r="C135" i="6"/>
  <c r="D135" i="6"/>
  <c r="E135" i="6"/>
  <c r="F135" i="6"/>
  <c r="G135" i="6"/>
  <c r="H135" i="6"/>
  <c r="I135" i="6"/>
  <c r="J135" i="6"/>
  <c r="K135" i="6"/>
  <c r="L135" i="6"/>
  <c r="M135" i="6"/>
  <c r="N135" i="6"/>
  <c r="O135" i="6"/>
  <c r="P135" i="6"/>
  <c r="Q135" i="6"/>
  <c r="R135" i="6"/>
  <c r="S135" i="6"/>
  <c r="T135" i="6"/>
  <c r="U135" i="6"/>
  <c r="B136" i="6"/>
  <c r="C136" i="6"/>
  <c r="D136" i="6"/>
  <c r="E136" i="6"/>
  <c r="F136" i="6"/>
  <c r="G136" i="6"/>
  <c r="H136" i="6"/>
  <c r="I136" i="6"/>
  <c r="J136" i="6"/>
  <c r="K136" i="6"/>
  <c r="L136" i="6"/>
  <c r="M136" i="6"/>
  <c r="N136" i="6"/>
  <c r="O136" i="6"/>
  <c r="P136" i="6"/>
  <c r="Q136" i="6"/>
  <c r="R136" i="6"/>
  <c r="S136" i="6"/>
  <c r="T136" i="6"/>
  <c r="U136" i="6"/>
  <c r="B137" i="6"/>
  <c r="C137" i="6"/>
  <c r="D137" i="6"/>
  <c r="E137" i="6"/>
  <c r="F137" i="6"/>
  <c r="G137" i="6"/>
  <c r="H137" i="6"/>
  <c r="I137" i="6"/>
  <c r="J137" i="6"/>
  <c r="K137" i="6"/>
  <c r="L137" i="6"/>
  <c r="M137" i="6"/>
  <c r="N137" i="6"/>
  <c r="O137" i="6"/>
  <c r="P137" i="6"/>
  <c r="Q137" i="6"/>
  <c r="R137" i="6"/>
  <c r="S137" i="6"/>
  <c r="T137" i="6"/>
  <c r="U137" i="6"/>
  <c r="B138" i="6"/>
  <c r="C138" i="6"/>
  <c r="D138" i="6"/>
  <c r="E138" i="6"/>
  <c r="F138" i="6"/>
  <c r="G138" i="6"/>
  <c r="H138" i="6"/>
  <c r="I138" i="6"/>
  <c r="J138" i="6"/>
  <c r="K138" i="6"/>
  <c r="L138" i="6"/>
  <c r="M138" i="6"/>
  <c r="N138" i="6"/>
  <c r="O138" i="6"/>
  <c r="P138" i="6"/>
  <c r="Q138" i="6"/>
  <c r="R138" i="6"/>
  <c r="S138" i="6"/>
  <c r="T138" i="6"/>
  <c r="U138" i="6"/>
  <c r="B139" i="6"/>
  <c r="C139" i="6"/>
  <c r="D139" i="6"/>
  <c r="E139" i="6"/>
  <c r="F139" i="6"/>
  <c r="G139" i="6"/>
  <c r="H139" i="6"/>
  <c r="I139" i="6"/>
  <c r="J139" i="6"/>
  <c r="K139" i="6"/>
  <c r="L139" i="6"/>
  <c r="M139" i="6"/>
  <c r="N139" i="6"/>
  <c r="O139" i="6"/>
  <c r="P139" i="6"/>
  <c r="Q139" i="6"/>
  <c r="R139" i="6"/>
  <c r="S139" i="6"/>
  <c r="T139" i="6"/>
  <c r="U139" i="6"/>
  <c r="B140" i="6"/>
  <c r="C140" i="6"/>
  <c r="D140" i="6"/>
  <c r="E140" i="6"/>
  <c r="F140" i="6"/>
  <c r="G140" i="6"/>
  <c r="H140" i="6"/>
  <c r="I140" i="6"/>
  <c r="J140" i="6"/>
  <c r="K140" i="6"/>
  <c r="L140" i="6"/>
  <c r="M140" i="6"/>
  <c r="N140" i="6"/>
  <c r="O140" i="6"/>
  <c r="P140" i="6"/>
  <c r="Q140" i="6"/>
  <c r="R140" i="6"/>
  <c r="S140" i="6"/>
  <c r="T140" i="6"/>
  <c r="U140" i="6"/>
  <c r="B141" i="6"/>
  <c r="C141" i="6"/>
  <c r="D141" i="6"/>
  <c r="E141" i="6"/>
  <c r="F141" i="6"/>
  <c r="G141" i="6"/>
  <c r="H141" i="6"/>
  <c r="I141" i="6"/>
  <c r="J141" i="6"/>
  <c r="K141" i="6"/>
  <c r="L141" i="6"/>
  <c r="M141" i="6"/>
  <c r="N141" i="6"/>
  <c r="O141" i="6"/>
  <c r="P141" i="6"/>
  <c r="Q141" i="6"/>
  <c r="R141" i="6"/>
  <c r="S141" i="6"/>
  <c r="T141" i="6"/>
  <c r="U141" i="6"/>
  <c r="B142" i="6"/>
  <c r="C142" i="6"/>
  <c r="D142" i="6"/>
  <c r="E142" i="6"/>
  <c r="F142" i="6"/>
  <c r="G142" i="6"/>
  <c r="H142" i="6"/>
  <c r="I142" i="6"/>
  <c r="J142" i="6"/>
  <c r="K142" i="6"/>
  <c r="L142" i="6"/>
  <c r="M142" i="6"/>
  <c r="N142" i="6"/>
  <c r="O142" i="6"/>
  <c r="P142" i="6"/>
  <c r="Q142" i="6"/>
  <c r="R142" i="6"/>
  <c r="S142" i="6"/>
  <c r="T142" i="6"/>
  <c r="U142" i="6"/>
  <c r="B143" i="6"/>
  <c r="C143" i="6"/>
  <c r="D143" i="6"/>
  <c r="E143" i="6"/>
  <c r="F143" i="6"/>
  <c r="G143" i="6"/>
  <c r="H143" i="6"/>
  <c r="I143" i="6"/>
  <c r="J143" i="6"/>
  <c r="K143" i="6"/>
  <c r="L143" i="6"/>
  <c r="M143" i="6"/>
  <c r="N143" i="6"/>
  <c r="O143" i="6"/>
  <c r="P143" i="6"/>
  <c r="Q143" i="6"/>
  <c r="R143" i="6"/>
  <c r="S143" i="6"/>
  <c r="T143" i="6"/>
  <c r="U143" i="6"/>
  <c r="B144" i="6"/>
  <c r="C144" i="6"/>
  <c r="D144" i="6"/>
  <c r="E144" i="6"/>
  <c r="F144" i="6"/>
  <c r="G144" i="6"/>
  <c r="H144" i="6"/>
  <c r="I144" i="6"/>
  <c r="J144" i="6"/>
  <c r="K144" i="6"/>
  <c r="L144" i="6"/>
  <c r="M144" i="6"/>
  <c r="N144" i="6"/>
  <c r="O144" i="6"/>
  <c r="P144" i="6"/>
  <c r="Q144" i="6"/>
  <c r="R144" i="6"/>
  <c r="S144" i="6"/>
  <c r="T144" i="6"/>
  <c r="U144" i="6"/>
  <c r="B145" i="6"/>
  <c r="C145" i="6"/>
  <c r="D145" i="6"/>
  <c r="E145" i="6"/>
  <c r="F145" i="6"/>
  <c r="G145" i="6"/>
  <c r="H145" i="6"/>
  <c r="I145" i="6"/>
  <c r="J145" i="6"/>
  <c r="K145" i="6"/>
  <c r="L145" i="6"/>
  <c r="M145" i="6"/>
  <c r="N145" i="6"/>
  <c r="O145" i="6"/>
  <c r="P145" i="6"/>
  <c r="Q145" i="6"/>
  <c r="R145" i="6"/>
  <c r="S145" i="6"/>
  <c r="T145" i="6"/>
  <c r="U145" i="6"/>
  <c r="B146" i="6"/>
  <c r="C146" i="6"/>
  <c r="D146" i="6"/>
  <c r="E146" i="6"/>
  <c r="F146" i="6"/>
  <c r="G146" i="6"/>
  <c r="H146" i="6"/>
  <c r="I146" i="6"/>
  <c r="J146" i="6"/>
  <c r="K146" i="6"/>
  <c r="L146" i="6"/>
  <c r="M146" i="6"/>
  <c r="N146" i="6"/>
  <c r="O146" i="6"/>
  <c r="P146" i="6"/>
  <c r="Q146" i="6"/>
  <c r="R146" i="6"/>
  <c r="S146" i="6"/>
  <c r="T146" i="6"/>
  <c r="U146" i="6"/>
  <c r="B147" i="6"/>
  <c r="C147" i="6"/>
  <c r="D147" i="6"/>
  <c r="E147" i="6"/>
  <c r="F147" i="6"/>
  <c r="G147" i="6"/>
  <c r="H147" i="6"/>
  <c r="I147" i="6"/>
  <c r="J147" i="6"/>
  <c r="K147" i="6"/>
  <c r="L147" i="6"/>
  <c r="M147" i="6"/>
  <c r="N147" i="6"/>
  <c r="O147" i="6"/>
  <c r="P147" i="6"/>
  <c r="Q147" i="6"/>
  <c r="R147" i="6"/>
  <c r="S147" i="6"/>
  <c r="T147" i="6"/>
  <c r="U147" i="6"/>
  <c r="B148" i="6"/>
  <c r="C148" i="6"/>
  <c r="D148" i="6"/>
  <c r="E148" i="6"/>
  <c r="F148" i="6"/>
  <c r="G148" i="6"/>
  <c r="H148" i="6"/>
  <c r="I148" i="6"/>
  <c r="J148" i="6"/>
  <c r="K148" i="6"/>
  <c r="L148" i="6"/>
  <c r="M148" i="6"/>
  <c r="N148" i="6"/>
  <c r="O148" i="6"/>
  <c r="P148" i="6"/>
  <c r="Q148" i="6"/>
  <c r="R148" i="6"/>
  <c r="S148" i="6"/>
  <c r="T148" i="6"/>
  <c r="U148" i="6"/>
  <c r="B149" i="6"/>
  <c r="C149" i="6"/>
  <c r="D149" i="6"/>
  <c r="E149" i="6"/>
  <c r="F149" i="6"/>
  <c r="G149" i="6"/>
  <c r="H149" i="6"/>
  <c r="I149" i="6"/>
  <c r="J149" i="6"/>
  <c r="K149" i="6"/>
  <c r="L149" i="6"/>
  <c r="M149" i="6"/>
  <c r="N149" i="6"/>
  <c r="O149" i="6"/>
  <c r="P149" i="6"/>
  <c r="Q149" i="6"/>
  <c r="R149" i="6"/>
  <c r="S149" i="6"/>
  <c r="T149" i="6"/>
  <c r="U149" i="6"/>
  <c r="B150" i="6"/>
  <c r="C150" i="6"/>
  <c r="D150" i="6"/>
  <c r="E150" i="6"/>
  <c r="F150" i="6"/>
  <c r="G150" i="6"/>
  <c r="H150" i="6"/>
  <c r="I150" i="6"/>
  <c r="J150" i="6"/>
  <c r="K150" i="6"/>
  <c r="L150" i="6"/>
  <c r="M150" i="6"/>
  <c r="N150" i="6"/>
  <c r="O150" i="6"/>
  <c r="P150" i="6"/>
  <c r="Q150" i="6"/>
  <c r="R150" i="6"/>
  <c r="S150" i="6"/>
  <c r="T150" i="6"/>
  <c r="U150" i="6"/>
  <c r="B151" i="6"/>
  <c r="C151" i="6"/>
  <c r="D151" i="6"/>
  <c r="E151" i="6"/>
  <c r="F151" i="6"/>
  <c r="G151" i="6"/>
  <c r="H151" i="6"/>
  <c r="I151" i="6"/>
  <c r="J151" i="6"/>
  <c r="K151" i="6"/>
  <c r="L151" i="6"/>
  <c r="M151" i="6"/>
  <c r="N151" i="6"/>
  <c r="O151" i="6"/>
  <c r="P151" i="6"/>
  <c r="Q151" i="6"/>
  <c r="R151" i="6"/>
  <c r="S151" i="6"/>
  <c r="T151" i="6"/>
  <c r="U151" i="6"/>
  <c r="B152" i="6"/>
  <c r="C152" i="6"/>
  <c r="D152" i="6"/>
  <c r="E152" i="6"/>
  <c r="F152" i="6"/>
  <c r="G152" i="6"/>
  <c r="H152" i="6"/>
  <c r="I152" i="6"/>
  <c r="J152" i="6"/>
  <c r="K152" i="6"/>
  <c r="L152" i="6"/>
  <c r="M152" i="6"/>
  <c r="N152" i="6"/>
  <c r="O152" i="6"/>
  <c r="P152" i="6"/>
  <c r="Q152" i="6"/>
  <c r="R152" i="6"/>
  <c r="S152" i="6"/>
  <c r="T152" i="6"/>
  <c r="U152" i="6"/>
  <c r="B153" i="6"/>
  <c r="C153" i="6"/>
  <c r="D153" i="6"/>
  <c r="E153" i="6"/>
  <c r="F153" i="6"/>
  <c r="G153" i="6"/>
  <c r="H153" i="6"/>
  <c r="I153" i="6"/>
  <c r="J153" i="6"/>
  <c r="K153" i="6"/>
  <c r="L153" i="6"/>
  <c r="M153" i="6"/>
  <c r="N153" i="6"/>
  <c r="O153" i="6"/>
  <c r="P153" i="6"/>
  <c r="Q153" i="6"/>
  <c r="R153" i="6"/>
  <c r="S153" i="6"/>
  <c r="T153" i="6"/>
  <c r="U153" i="6"/>
  <c r="B154" i="6"/>
  <c r="C154" i="6"/>
  <c r="D154" i="6"/>
  <c r="E154" i="6"/>
  <c r="F154" i="6"/>
  <c r="G154" i="6"/>
  <c r="H154" i="6"/>
  <c r="I154" i="6"/>
  <c r="J154" i="6"/>
  <c r="K154" i="6"/>
  <c r="L154" i="6"/>
  <c r="M154" i="6"/>
  <c r="N154" i="6"/>
  <c r="O154" i="6"/>
  <c r="P154" i="6"/>
  <c r="Q154" i="6"/>
  <c r="R154" i="6"/>
  <c r="S154" i="6"/>
  <c r="T154" i="6"/>
  <c r="U154" i="6"/>
  <c r="B155" i="6"/>
  <c r="C155" i="6"/>
  <c r="D155" i="6"/>
  <c r="E155" i="6"/>
  <c r="F155" i="6"/>
  <c r="G155" i="6"/>
  <c r="H155" i="6"/>
  <c r="I155" i="6"/>
  <c r="J155" i="6"/>
  <c r="K155" i="6"/>
  <c r="L155" i="6"/>
  <c r="M155" i="6"/>
  <c r="N155" i="6"/>
  <c r="O155" i="6"/>
  <c r="P155" i="6"/>
  <c r="Q155" i="6"/>
  <c r="R155" i="6"/>
  <c r="S155" i="6"/>
  <c r="T155" i="6"/>
  <c r="U155" i="6"/>
  <c r="B156" i="6"/>
  <c r="C156" i="6"/>
  <c r="D156" i="6"/>
  <c r="E156" i="6"/>
  <c r="F156" i="6"/>
  <c r="G156" i="6"/>
  <c r="H156" i="6"/>
  <c r="I156" i="6"/>
  <c r="J156" i="6"/>
  <c r="K156" i="6"/>
  <c r="L156" i="6"/>
  <c r="M156" i="6"/>
  <c r="N156" i="6"/>
  <c r="O156" i="6"/>
  <c r="P156" i="6"/>
  <c r="Q156" i="6"/>
  <c r="R156" i="6"/>
  <c r="S156" i="6"/>
  <c r="T156" i="6"/>
  <c r="U156" i="6"/>
  <c r="B157" i="6"/>
  <c r="C157" i="6"/>
  <c r="D157" i="6"/>
  <c r="E157" i="6"/>
  <c r="F157" i="6"/>
  <c r="G157" i="6"/>
  <c r="H157" i="6"/>
  <c r="I157" i="6"/>
  <c r="J157" i="6"/>
  <c r="K157" i="6"/>
  <c r="L157" i="6"/>
  <c r="M157" i="6"/>
  <c r="N157" i="6"/>
  <c r="O157" i="6"/>
  <c r="P157" i="6"/>
  <c r="Q157" i="6"/>
  <c r="R157" i="6"/>
  <c r="S157" i="6"/>
  <c r="T157" i="6"/>
  <c r="U157" i="6"/>
  <c r="B158" i="6"/>
  <c r="C158" i="6"/>
  <c r="D158" i="6"/>
  <c r="E158" i="6"/>
  <c r="F158" i="6"/>
  <c r="G158" i="6"/>
  <c r="H158" i="6"/>
  <c r="I158" i="6"/>
  <c r="J158" i="6"/>
  <c r="K158" i="6"/>
  <c r="L158" i="6"/>
  <c r="M158" i="6"/>
  <c r="N158" i="6"/>
  <c r="O158" i="6"/>
  <c r="P158" i="6"/>
  <c r="Q158" i="6"/>
  <c r="R158" i="6"/>
  <c r="S158" i="6"/>
  <c r="T158" i="6"/>
  <c r="U158" i="6"/>
  <c r="B159" i="6"/>
  <c r="C159" i="6"/>
  <c r="D159" i="6"/>
  <c r="E159" i="6"/>
  <c r="F159" i="6"/>
  <c r="G159" i="6"/>
  <c r="H159" i="6"/>
  <c r="I159" i="6"/>
  <c r="J159" i="6"/>
  <c r="K159" i="6"/>
  <c r="L159" i="6"/>
  <c r="M159" i="6"/>
  <c r="N159" i="6"/>
  <c r="O159" i="6"/>
  <c r="P159" i="6"/>
  <c r="Q159" i="6"/>
  <c r="R159" i="6"/>
  <c r="S159" i="6"/>
  <c r="T159" i="6"/>
  <c r="U159" i="6"/>
  <c r="B160" i="6"/>
  <c r="C160" i="6"/>
  <c r="D160" i="6"/>
  <c r="E160" i="6"/>
  <c r="F160" i="6"/>
  <c r="G160" i="6"/>
  <c r="H160" i="6"/>
  <c r="I160" i="6"/>
  <c r="J160" i="6"/>
  <c r="K160" i="6"/>
  <c r="L160" i="6"/>
  <c r="M160" i="6"/>
  <c r="N160" i="6"/>
  <c r="O160" i="6"/>
  <c r="P160" i="6"/>
  <c r="Q160" i="6"/>
  <c r="R160" i="6"/>
  <c r="S160" i="6"/>
  <c r="T160" i="6"/>
  <c r="U160" i="6"/>
  <c r="B161" i="6"/>
  <c r="C161" i="6"/>
  <c r="D161" i="6"/>
  <c r="E161" i="6"/>
  <c r="F161" i="6"/>
  <c r="G161" i="6"/>
  <c r="H161" i="6"/>
  <c r="I161" i="6"/>
  <c r="J161" i="6"/>
  <c r="K161" i="6"/>
  <c r="L161" i="6"/>
  <c r="M161" i="6"/>
  <c r="N161" i="6"/>
  <c r="O161" i="6"/>
  <c r="P161" i="6"/>
  <c r="Q161" i="6"/>
  <c r="R161" i="6"/>
  <c r="S161" i="6"/>
  <c r="T161" i="6"/>
  <c r="U161" i="6"/>
  <c r="B162" i="6"/>
  <c r="C162" i="6"/>
  <c r="D162" i="6"/>
  <c r="E162" i="6"/>
  <c r="F162" i="6"/>
  <c r="G162" i="6"/>
  <c r="H162" i="6"/>
  <c r="I162" i="6"/>
  <c r="J162" i="6"/>
  <c r="K162" i="6"/>
  <c r="L162" i="6"/>
  <c r="M162" i="6"/>
  <c r="N162" i="6"/>
  <c r="O162" i="6"/>
  <c r="P162" i="6"/>
  <c r="Q162" i="6"/>
  <c r="R162" i="6"/>
  <c r="S162" i="6"/>
  <c r="T162" i="6"/>
  <c r="U162" i="6"/>
  <c r="B163" i="6"/>
  <c r="C163" i="6"/>
  <c r="D163" i="6"/>
  <c r="E163" i="6"/>
  <c r="F163" i="6"/>
  <c r="G163" i="6"/>
  <c r="H163" i="6"/>
  <c r="I163" i="6"/>
  <c r="J163" i="6"/>
  <c r="K163" i="6"/>
  <c r="L163" i="6"/>
  <c r="M163" i="6"/>
  <c r="N163" i="6"/>
  <c r="O163" i="6"/>
  <c r="P163" i="6"/>
  <c r="Q163" i="6"/>
  <c r="R163" i="6"/>
  <c r="S163" i="6"/>
  <c r="T163" i="6"/>
  <c r="U163" i="6"/>
  <c r="B164" i="6"/>
  <c r="C164" i="6"/>
  <c r="D164" i="6"/>
  <c r="E164" i="6"/>
  <c r="F164" i="6"/>
  <c r="G164" i="6"/>
  <c r="H164" i="6"/>
  <c r="I164" i="6"/>
  <c r="J164" i="6"/>
  <c r="K164" i="6"/>
  <c r="L164" i="6"/>
  <c r="M164" i="6"/>
  <c r="N164" i="6"/>
  <c r="O164" i="6"/>
  <c r="P164" i="6"/>
  <c r="Q164" i="6"/>
  <c r="R164" i="6"/>
  <c r="S164" i="6"/>
  <c r="T164" i="6"/>
  <c r="U164" i="6"/>
  <c r="B165" i="6"/>
  <c r="C165" i="6"/>
  <c r="D165" i="6"/>
  <c r="E165" i="6"/>
  <c r="F165" i="6"/>
  <c r="G165" i="6"/>
  <c r="H165" i="6"/>
  <c r="I165" i="6"/>
  <c r="J165" i="6"/>
  <c r="K165" i="6"/>
  <c r="L165" i="6"/>
  <c r="M165" i="6"/>
  <c r="N165" i="6"/>
  <c r="O165" i="6"/>
  <c r="P165" i="6"/>
  <c r="Q165" i="6"/>
  <c r="R165" i="6"/>
  <c r="S165" i="6"/>
  <c r="T165" i="6"/>
  <c r="U165" i="6"/>
  <c r="B166" i="6"/>
  <c r="C166" i="6"/>
  <c r="D166" i="6"/>
  <c r="E166" i="6"/>
  <c r="F166" i="6"/>
  <c r="G166" i="6"/>
  <c r="H166" i="6"/>
  <c r="I166" i="6"/>
  <c r="J166" i="6"/>
  <c r="K166" i="6"/>
  <c r="L166" i="6"/>
  <c r="M166" i="6"/>
  <c r="N166" i="6"/>
  <c r="O166" i="6"/>
  <c r="P166" i="6"/>
  <c r="Q166" i="6"/>
  <c r="R166" i="6"/>
  <c r="S166" i="6"/>
  <c r="T166" i="6"/>
  <c r="U166" i="6"/>
  <c r="B167" i="6"/>
  <c r="C167" i="6"/>
  <c r="D167" i="6"/>
  <c r="E167" i="6"/>
  <c r="F167" i="6"/>
  <c r="G167" i="6"/>
  <c r="H167" i="6"/>
  <c r="I167" i="6"/>
  <c r="J167" i="6"/>
  <c r="K167" i="6"/>
  <c r="L167" i="6"/>
  <c r="M167" i="6"/>
  <c r="N167" i="6"/>
  <c r="O167" i="6"/>
  <c r="P167" i="6"/>
  <c r="Q167" i="6"/>
  <c r="R167" i="6"/>
  <c r="S167" i="6"/>
  <c r="T167" i="6"/>
  <c r="U167" i="6"/>
  <c r="B168" i="6"/>
  <c r="C168" i="6"/>
  <c r="D168" i="6"/>
  <c r="E168" i="6"/>
  <c r="F168" i="6"/>
  <c r="G168" i="6"/>
  <c r="H168" i="6"/>
  <c r="I168" i="6"/>
  <c r="J168" i="6"/>
  <c r="K168" i="6"/>
  <c r="L168" i="6"/>
  <c r="M168" i="6"/>
  <c r="N168" i="6"/>
  <c r="O168" i="6"/>
  <c r="P168" i="6"/>
  <c r="Q168" i="6"/>
  <c r="R168" i="6"/>
  <c r="S168" i="6"/>
  <c r="T168" i="6"/>
  <c r="U168" i="6"/>
  <c r="B169" i="6"/>
  <c r="C169" i="6"/>
  <c r="D169" i="6"/>
  <c r="E169" i="6"/>
  <c r="F169" i="6"/>
  <c r="G169" i="6"/>
  <c r="H169" i="6"/>
  <c r="I169" i="6"/>
  <c r="J169" i="6"/>
  <c r="K169" i="6"/>
  <c r="L169" i="6"/>
  <c r="M169" i="6"/>
  <c r="N169" i="6"/>
  <c r="O169" i="6"/>
  <c r="P169" i="6"/>
  <c r="Q169" i="6"/>
  <c r="R169" i="6"/>
  <c r="S169" i="6"/>
  <c r="T169" i="6"/>
  <c r="U169" i="6"/>
  <c r="B170" i="6"/>
  <c r="C170" i="6"/>
  <c r="D170" i="6"/>
  <c r="E170" i="6"/>
  <c r="F170" i="6"/>
  <c r="G170" i="6"/>
  <c r="H170" i="6"/>
  <c r="I170" i="6"/>
  <c r="J170" i="6"/>
  <c r="K170" i="6"/>
  <c r="L170" i="6"/>
  <c r="M170" i="6"/>
  <c r="N170" i="6"/>
  <c r="O170" i="6"/>
  <c r="P170" i="6"/>
  <c r="Q170" i="6"/>
  <c r="R170" i="6"/>
  <c r="S170" i="6"/>
  <c r="T170" i="6"/>
  <c r="U170" i="6"/>
  <c r="B171" i="6"/>
  <c r="C171" i="6"/>
  <c r="D171" i="6"/>
  <c r="E171" i="6"/>
  <c r="F171" i="6"/>
  <c r="G171" i="6"/>
  <c r="H171" i="6"/>
  <c r="I171" i="6"/>
  <c r="J171" i="6"/>
  <c r="K171" i="6"/>
  <c r="L171" i="6"/>
  <c r="M171" i="6"/>
  <c r="N171" i="6"/>
  <c r="O171" i="6"/>
  <c r="P171" i="6"/>
  <c r="Q171" i="6"/>
  <c r="R171" i="6"/>
  <c r="S171" i="6"/>
  <c r="T171" i="6"/>
  <c r="U171" i="6"/>
  <c r="B172" i="6"/>
  <c r="C172" i="6"/>
  <c r="D172" i="6"/>
  <c r="E172" i="6"/>
  <c r="F172" i="6"/>
  <c r="G172" i="6"/>
  <c r="H172" i="6"/>
  <c r="I172" i="6"/>
  <c r="J172" i="6"/>
  <c r="K172" i="6"/>
  <c r="L172" i="6"/>
  <c r="M172" i="6"/>
  <c r="N172" i="6"/>
  <c r="O172" i="6"/>
  <c r="P172" i="6"/>
  <c r="Q172" i="6"/>
  <c r="R172" i="6"/>
  <c r="S172" i="6"/>
  <c r="T172" i="6"/>
  <c r="U172" i="6"/>
  <c r="B173" i="6"/>
  <c r="C173" i="6"/>
  <c r="D173" i="6"/>
  <c r="E173" i="6"/>
  <c r="F173" i="6"/>
  <c r="G173" i="6"/>
  <c r="H173" i="6"/>
  <c r="I173" i="6"/>
  <c r="J173" i="6"/>
  <c r="K173" i="6"/>
  <c r="L173" i="6"/>
  <c r="M173" i="6"/>
  <c r="N173" i="6"/>
  <c r="O173" i="6"/>
  <c r="P173" i="6"/>
  <c r="Q173" i="6"/>
  <c r="R173" i="6"/>
  <c r="S173" i="6"/>
  <c r="T173" i="6"/>
  <c r="U173" i="6"/>
  <c r="B174" i="6"/>
  <c r="C174" i="6"/>
  <c r="D174" i="6"/>
  <c r="E174" i="6"/>
  <c r="F174" i="6"/>
  <c r="G174" i="6"/>
  <c r="H174" i="6"/>
  <c r="I174" i="6"/>
  <c r="J174" i="6"/>
  <c r="K174" i="6"/>
  <c r="L174" i="6"/>
  <c r="M174" i="6"/>
  <c r="N174" i="6"/>
  <c r="O174" i="6"/>
  <c r="P174" i="6"/>
  <c r="Q174" i="6"/>
  <c r="R174" i="6"/>
  <c r="S174" i="6"/>
  <c r="T174" i="6"/>
  <c r="U174" i="6"/>
  <c r="B175" i="6"/>
  <c r="C175" i="6"/>
  <c r="D175" i="6"/>
  <c r="E175" i="6"/>
  <c r="F175" i="6"/>
  <c r="G175" i="6"/>
  <c r="H175" i="6"/>
  <c r="I175" i="6"/>
  <c r="J175" i="6"/>
  <c r="K175" i="6"/>
  <c r="L175" i="6"/>
  <c r="M175" i="6"/>
  <c r="N175" i="6"/>
  <c r="O175" i="6"/>
  <c r="P175" i="6"/>
  <c r="Q175" i="6"/>
  <c r="R175" i="6"/>
  <c r="S175" i="6"/>
  <c r="T175" i="6"/>
  <c r="U175" i="6"/>
  <c r="B176" i="6"/>
  <c r="C176" i="6"/>
  <c r="D176" i="6"/>
  <c r="E176" i="6"/>
  <c r="F176" i="6"/>
  <c r="G176" i="6"/>
  <c r="H176" i="6"/>
  <c r="I176" i="6"/>
  <c r="J176" i="6"/>
  <c r="K176" i="6"/>
  <c r="L176" i="6"/>
  <c r="M176" i="6"/>
  <c r="N176" i="6"/>
  <c r="O176" i="6"/>
  <c r="P176" i="6"/>
  <c r="Q176" i="6"/>
  <c r="R176" i="6"/>
  <c r="S176" i="6"/>
  <c r="T176" i="6"/>
  <c r="U176" i="6"/>
  <c r="B177" i="6"/>
  <c r="C177" i="6"/>
  <c r="D177" i="6"/>
  <c r="E177" i="6"/>
  <c r="F177" i="6"/>
  <c r="G177" i="6"/>
  <c r="H177" i="6"/>
  <c r="I177" i="6"/>
  <c r="J177" i="6"/>
  <c r="K177" i="6"/>
  <c r="L177" i="6"/>
  <c r="M177" i="6"/>
  <c r="N177" i="6"/>
  <c r="O177" i="6"/>
  <c r="P177" i="6"/>
  <c r="Q177" i="6"/>
  <c r="R177" i="6"/>
  <c r="S177" i="6"/>
  <c r="T177" i="6"/>
  <c r="U177" i="6"/>
  <c r="B178" i="6"/>
  <c r="C178" i="6"/>
  <c r="D178" i="6"/>
  <c r="E178" i="6"/>
  <c r="F178" i="6"/>
  <c r="G178" i="6"/>
  <c r="H178" i="6"/>
  <c r="I178" i="6"/>
  <c r="J178" i="6"/>
  <c r="K178" i="6"/>
  <c r="L178" i="6"/>
  <c r="M178" i="6"/>
  <c r="N178" i="6"/>
  <c r="O178" i="6"/>
  <c r="P178" i="6"/>
  <c r="Q178" i="6"/>
  <c r="R178" i="6"/>
  <c r="S178" i="6"/>
  <c r="T178" i="6"/>
  <c r="U178" i="6"/>
  <c r="B179" i="6"/>
  <c r="C179" i="6"/>
  <c r="D179" i="6"/>
  <c r="E179" i="6"/>
  <c r="F179" i="6"/>
  <c r="G179" i="6"/>
  <c r="H179" i="6"/>
  <c r="I179" i="6"/>
  <c r="J179" i="6"/>
  <c r="K179" i="6"/>
  <c r="L179" i="6"/>
  <c r="M179" i="6"/>
  <c r="N179" i="6"/>
  <c r="O179" i="6"/>
  <c r="P179" i="6"/>
  <c r="Q179" i="6"/>
  <c r="R179" i="6"/>
  <c r="S179" i="6"/>
  <c r="T179" i="6"/>
  <c r="U179" i="6"/>
  <c r="B180" i="6"/>
  <c r="C180" i="6"/>
  <c r="D180" i="6"/>
  <c r="E180" i="6"/>
  <c r="F180" i="6"/>
  <c r="G180" i="6"/>
  <c r="H180" i="6"/>
  <c r="I180" i="6"/>
  <c r="J180" i="6"/>
  <c r="K180" i="6"/>
  <c r="L180" i="6"/>
  <c r="M180" i="6"/>
  <c r="N180" i="6"/>
  <c r="O180" i="6"/>
  <c r="P180" i="6"/>
  <c r="Q180" i="6"/>
  <c r="R180" i="6"/>
  <c r="S180" i="6"/>
  <c r="T180" i="6"/>
  <c r="U180" i="6"/>
  <c r="B181" i="6"/>
  <c r="C181" i="6"/>
  <c r="D181" i="6"/>
  <c r="E181" i="6"/>
  <c r="F181" i="6"/>
  <c r="G181" i="6"/>
  <c r="H181" i="6"/>
  <c r="I181" i="6"/>
  <c r="J181" i="6"/>
  <c r="K181" i="6"/>
  <c r="L181" i="6"/>
  <c r="M181" i="6"/>
  <c r="N181" i="6"/>
  <c r="O181" i="6"/>
  <c r="P181" i="6"/>
  <c r="Q181" i="6"/>
  <c r="R181" i="6"/>
  <c r="S181" i="6"/>
  <c r="T181" i="6"/>
  <c r="U181" i="6"/>
  <c r="B182" i="6"/>
  <c r="C182" i="6"/>
  <c r="D182" i="6"/>
  <c r="E182" i="6"/>
  <c r="F182" i="6"/>
  <c r="G182" i="6"/>
  <c r="H182" i="6"/>
  <c r="I182" i="6"/>
  <c r="J182" i="6"/>
  <c r="K182" i="6"/>
  <c r="L182" i="6"/>
  <c r="M182" i="6"/>
  <c r="N182" i="6"/>
  <c r="O182" i="6"/>
  <c r="P182" i="6"/>
  <c r="Q182" i="6"/>
  <c r="R182" i="6"/>
  <c r="S182" i="6"/>
  <c r="T182" i="6"/>
  <c r="U182" i="6"/>
  <c r="B183" i="6"/>
  <c r="C183" i="6"/>
  <c r="D183" i="6"/>
  <c r="E183" i="6"/>
  <c r="F183" i="6"/>
  <c r="G183" i="6"/>
  <c r="H183" i="6"/>
  <c r="I183" i="6"/>
  <c r="J183" i="6"/>
  <c r="K183" i="6"/>
  <c r="L183" i="6"/>
  <c r="M183" i="6"/>
  <c r="N183" i="6"/>
  <c r="O183" i="6"/>
  <c r="P183" i="6"/>
  <c r="Q183" i="6"/>
  <c r="R183" i="6"/>
  <c r="S183" i="6"/>
  <c r="T183" i="6"/>
  <c r="U183" i="6"/>
  <c r="B184" i="6"/>
  <c r="C184" i="6"/>
  <c r="D184" i="6"/>
  <c r="E184" i="6"/>
  <c r="F184" i="6"/>
  <c r="G184" i="6"/>
  <c r="H184" i="6"/>
  <c r="I184" i="6"/>
  <c r="J184" i="6"/>
  <c r="K184" i="6"/>
  <c r="L184" i="6"/>
  <c r="M184" i="6"/>
  <c r="N184" i="6"/>
  <c r="O184" i="6"/>
  <c r="P184" i="6"/>
  <c r="Q184" i="6"/>
  <c r="R184" i="6"/>
  <c r="S184" i="6"/>
  <c r="T184" i="6"/>
  <c r="U184" i="6"/>
  <c r="B185" i="6"/>
  <c r="C185" i="6"/>
  <c r="D185" i="6"/>
  <c r="E185" i="6"/>
  <c r="F185" i="6"/>
  <c r="G185" i="6"/>
  <c r="H185" i="6"/>
  <c r="I185" i="6"/>
  <c r="J185" i="6"/>
  <c r="K185" i="6"/>
  <c r="L185" i="6"/>
  <c r="M185" i="6"/>
  <c r="N185" i="6"/>
  <c r="O185" i="6"/>
  <c r="P185" i="6"/>
  <c r="Q185" i="6"/>
  <c r="R185" i="6"/>
  <c r="S185" i="6"/>
  <c r="T185" i="6"/>
  <c r="U185" i="6"/>
  <c r="B186" i="6"/>
  <c r="C186" i="6"/>
  <c r="D186" i="6"/>
  <c r="E186" i="6"/>
  <c r="F186" i="6"/>
  <c r="G186" i="6"/>
  <c r="H186" i="6"/>
  <c r="I186" i="6"/>
  <c r="J186" i="6"/>
  <c r="K186" i="6"/>
  <c r="L186" i="6"/>
  <c r="M186" i="6"/>
  <c r="N186" i="6"/>
  <c r="O186" i="6"/>
  <c r="P186" i="6"/>
  <c r="Q186" i="6"/>
  <c r="R186" i="6"/>
  <c r="S186" i="6"/>
  <c r="T186" i="6"/>
  <c r="U186" i="6"/>
  <c r="B187" i="6"/>
  <c r="C187" i="6"/>
  <c r="D187" i="6"/>
  <c r="E187" i="6"/>
  <c r="F187" i="6"/>
  <c r="G187" i="6"/>
  <c r="H187" i="6"/>
  <c r="I187" i="6"/>
  <c r="J187" i="6"/>
  <c r="K187" i="6"/>
  <c r="L187" i="6"/>
  <c r="M187" i="6"/>
  <c r="N187" i="6"/>
  <c r="O187" i="6"/>
  <c r="P187" i="6"/>
  <c r="Q187" i="6"/>
  <c r="R187" i="6"/>
  <c r="S187" i="6"/>
  <c r="T187" i="6"/>
  <c r="U187" i="6"/>
  <c r="B188" i="6"/>
  <c r="C188" i="6"/>
  <c r="D188" i="6"/>
  <c r="E188" i="6"/>
  <c r="F188" i="6"/>
  <c r="G188" i="6"/>
  <c r="H188" i="6"/>
  <c r="I188" i="6"/>
  <c r="J188" i="6"/>
  <c r="K188" i="6"/>
  <c r="L188" i="6"/>
  <c r="M188" i="6"/>
  <c r="N188" i="6"/>
  <c r="O188" i="6"/>
  <c r="P188" i="6"/>
  <c r="Q188" i="6"/>
  <c r="R188" i="6"/>
  <c r="S188" i="6"/>
  <c r="T188" i="6"/>
  <c r="U188" i="6"/>
  <c r="B189" i="6"/>
  <c r="C189" i="6"/>
  <c r="D189" i="6"/>
  <c r="E189" i="6"/>
  <c r="F189" i="6"/>
  <c r="G189" i="6"/>
  <c r="H189" i="6"/>
  <c r="I189" i="6"/>
  <c r="J189" i="6"/>
  <c r="K189" i="6"/>
  <c r="L189" i="6"/>
  <c r="M189" i="6"/>
  <c r="N189" i="6"/>
  <c r="O189" i="6"/>
  <c r="P189" i="6"/>
  <c r="Q189" i="6"/>
  <c r="R189" i="6"/>
  <c r="S189" i="6"/>
  <c r="T189" i="6"/>
  <c r="U189" i="6"/>
  <c r="B190" i="6"/>
  <c r="C190" i="6"/>
  <c r="D190" i="6"/>
  <c r="E190" i="6"/>
  <c r="F190" i="6"/>
  <c r="G190" i="6"/>
  <c r="H190" i="6"/>
  <c r="I190" i="6"/>
  <c r="J190" i="6"/>
  <c r="K190" i="6"/>
  <c r="L190" i="6"/>
  <c r="M190" i="6"/>
  <c r="N190" i="6"/>
  <c r="O190" i="6"/>
  <c r="P190" i="6"/>
  <c r="Q190" i="6"/>
  <c r="R190" i="6"/>
  <c r="S190" i="6"/>
  <c r="T190" i="6"/>
  <c r="U190" i="6"/>
  <c r="B191" i="6"/>
  <c r="C191" i="6"/>
  <c r="D191" i="6"/>
  <c r="E191" i="6"/>
  <c r="F191" i="6"/>
  <c r="G191" i="6"/>
  <c r="H191" i="6"/>
  <c r="I191" i="6"/>
  <c r="J191" i="6"/>
  <c r="K191" i="6"/>
  <c r="L191" i="6"/>
  <c r="M191" i="6"/>
  <c r="N191" i="6"/>
  <c r="O191" i="6"/>
  <c r="P191" i="6"/>
  <c r="Q191" i="6"/>
  <c r="R191" i="6"/>
  <c r="S191" i="6"/>
  <c r="T191" i="6"/>
  <c r="U191" i="6"/>
  <c r="B192" i="6"/>
  <c r="C192" i="6"/>
  <c r="D192" i="6"/>
  <c r="E192" i="6"/>
  <c r="F192" i="6"/>
  <c r="G192" i="6"/>
  <c r="H192" i="6"/>
  <c r="I192" i="6"/>
  <c r="J192" i="6"/>
  <c r="K192" i="6"/>
  <c r="L192" i="6"/>
  <c r="M192" i="6"/>
  <c r="N192" i="6"/>
  <c r="O192" i="6"/>
  <c r="P192" i="6"/>
  <c r="Q192" i="6"/>
  <c r="R192" i="6"/>
  <c r="S192" i="6"/>
  <c r="T192" i="6"/>
  <c r="U192" i="6"/>
  <c r="B193" i="6"/>
  <c r="C193" i="6"/>
  <c r="D193" i="6"/>
  <c r="E193" i="6"/>
  <c r="F193" i="6"/>
  <c r="G193" i="6"/>
  <c r="H193" i="6"/>
  <c r="I193" i="6"/>
  <c r="J193" i="6"/>
  <c r="K193" i="6"/>
  <c r="L193" i="6"/>
  <c r="M193" i="6"/>
  <c r="N193" i="6"/>
  <c r="O193" i="6"/>
  <c r="P193" i="6"/>
  <c r="Q193" i="6"/>
  <c r="R193" i="6"/>
  <c r="S193" i="6"/>
  <c r="T193" i="6"/>
  <c r="U193" i="6"/>
  <c r="B194" i="6"/>
  <c r="C194" i="6"/>
  <c r="D194" i="6"/>
  <c r="E194" i="6"/>
  <c r="F194" i="6"/>
  <c r="G194" i="6"/>
  <c r="H194" i="6"/>
  <c r="I194" i="6"/>
  <c r="J194" i="6"/>
  <c r="K194" i="6"/>
  <c r="L194" i="6"/>
  <c r="M194" i="6"/>
  <c r="N194" i="6"/>
  <c r="O194" i="6"/>
  <c r="P194" i="6"/>
  <c r="Q194" i="6"/>
  <c r="R194" i="6"/>
  <c r="S194" i="6"/>
  <c r="T194" i="6"/>
  <c r="U194" i="6"/>
  <c r="B195" i="6"/>
  <c r="C195" i="6"/>
  <c r="D195" i="6"/>
  <c r="E195" i="6"/>
  <c r="F195" i="6"/>
  <c r="G195" i="6"/>
  <c r="H195" i="6"/>
  <c r="I195" i="6"/>
  <c r="J195" i="6"/>
  <c r="K195" i="6"/>
  <c r="L195" i="6"/>
  <c r="M195" i="6"/>
  <c r="N195" i="6"/>
  <c r="O195" i="6"/>
  <c r="P195" i="6"/>
  <c r="Q195" i="6"/>
  <c r="R195" i="6"/>
  <c r="S195" i="6"/>
  <c r="T195" i="6"/>
  <c r="U195" i="6"/>
  <c r="B196" i="6"/>
  <c r="C196" i="6"/>
  <c r="D196" i="6"/>
  <c r="E196" i="6"/>
  <c r="F196" i="6"/>
  <c r="G196" i="6"/>
  <c r="H196" i="6"/>
  <c r="I196" i="6"/>
  <c r="J196" i="6"/>
  <c r="K196" i="6"/>
  <c r="L196" i="6"/>
  <c r="M196" i="6"/>
  <c r="N196" i="6"/>
  <c r="O196" i="6"/>
  <c r="P196" i="6"/>
  <c r="Q196" i="6"/>
  <c r="R196" i="6"/>
  <c r="S196" i="6"/>
  <c r="T196" i="6"/>
  <c r="U196" i="6"/>
  <c r="B197" i="6"/>
  <c r="C197" i="6"/>
  <c r="D197" i="6"/>
  <c r="E197" i="6"/>
  <c r="F197" i="6"/>
  <c r="G197" i="6"/>
  <c r="H197" i="6"/>
  <c r="I197" i="6"/>
  <c r="J197" i="6"/>
  <c r="K197" i="6"/>
  <c r="L197" i="6"/>
  <c r="M197" i="6"/>
  <c r="N197" i="6"/>
  <c r="O197" i="6"/>
  <c r="P197" i="6"/>
  <c r="Q197" i="6"/>
  <c r="R197" i="6"/>
  <c r="S197" i="6"/>
  <c r="T197" i="6"/>
  <c r="U197" i="6"/>
  <c r="B198" i="6"/>
  <c r="C198" i="6"/>
  <c r="D198" i="6"/>
  <c r="E198" i="6"/>
  <c r="F198" i="6"/>
  <c r="G198" i="6"/>
  <c r="H198" i="6"/>
  <c r="I198" i="6"/>
  <c r="J198" i="6"/>
  <c r="K198" i="6"/>
  <c r="L198" i="6"/>
  <c r="M198" i="6"/>
  <c r="N198" i="6"/>
  <c r="O198" i="6"/>
  <c r="P198" i="6"/>
  <c r="Q198" i="6"/>
  <c r="R198" i="6"/>
  <c r="S198" i="6"/>
  <c r="T198" i="6"/>
  <c r="U198" i="6"/>
  <c r="B199" i="6"/>
  <c r="C199" i="6"/>
  <c r="D199" i="6"/>
  <c r="E199" i="6"/>
  <c r="F199" i="6"/>
  <c r="G199" i="6"/>
  <c r="H199" i="6"/>
  <c r="I199" i="6"/>
  <c r="J199" i="6"/>
  <c r="K199" i="6"/>
  <c r="L199" i="6"/>
  <c r="M199" i="6"/>
  <c r="N199" i="6"/>
  <c r="O199" i="6"/>
  <c r="P199" i="6"/>
  <c r="Q199" i="6"/>
  <c r="R199" i="6"/>
  <c r="S199" i="6"/>
  <c r="T199" i="6"/>
  <c r="U199" i="6"/>
  <c r="B200" i="6"/>
  <c r="C200" i="6"/>
  <c r="D200" i="6"/>
  <c r="E200" i="6"/>
  <c r="F200" i="6"/>
  <c r="G200" i="6"/>
  <c r="H200" i="6"/>
  <c r="I200" i="6"/>
  <c r="J200" i="6"/>
  <c r="K200" i="6"/>
  <c r="L200" i="6"/>
  <c r="M200" i="6"/>
  <c r="N200" i="6"/>
  <c r="O200" i="6"/>
  <c r="P200" i="6"/>
  <c r="Q200" i="6"/>
  <c r="R200" i="6"/>
  <c r="S200" i="6"/>
  <c r="T200" i="6"/>
  <c r="U200" i="6"/>
  <c r="B201" i="6"/>
  <c r="C201" i="6"/>
  <c r="D201" i="6"/>
  <c r="E201" i="6"/>
  <c r="F201" i="6"/>
  <c r="G201" i="6"/>
  <c r="H201" i="6"/>
  <c r="I201" i="6"/>
  <c r="J201" i="6"/>
  <c r="K201" i="6"/>
  <c r="L201" i="6"/>
  <c r="M201" i="6"/>
  <c r="N201" i="6"/>
  <c r="O201" i="6"/>
  <c r="P201" i="6"/>
  <c r="Q201" i="6"/>
  <c r="R201" i="6"/>
  <c r="S201" i="6"/>
  <c r="T201" i="6"/>
  <c r="U201" i="6"/>
  <c r="B202" i="6"/>
  <c r="C202" i="6"/>
  <c r="D202" i="6"/>
  <c r="E202" i="6"/>
  <c r="F202" i="6"/>
  <c r="G202" i="6"/>
  <c r="H202" i="6"/>
  <c r="I202" i="6"/>
  <c r="J202" i="6"/>
  <c r="K202" i="6"/>
  <c r="L202" i="6"/>
  <c r="M202" i="6"/>
  <c r="N202" i="6"/>
  <c r="O202" i="6"/>
  <c r="P202" i="6"/>
  <c r="Q202" i="6"/>
  <c r="R202" i="6"/>
  <c r="S202" i="6"/>
  <c r="T202" i="6"/>
  <c r="U202" i="6"/>
  <c r="B203" i="6"/>
  <c r="C203" i="6"/>
  <c r="D203" i="6"/>
  <c r="E203" i="6"/>
  <c r="F203" i="6"/>
  <c r="G203" i="6"/>
  <c r="H203" i="6"/>
  <c r="I203" i="6"/>
  <c r="J203" i="6"/>
  <c r="K203" i="6"/>
  <c r="L203" i="6"/>
  <c r="M203" i="6"/>
  <c r="N203" i="6"/>
  <c r="O203" i="6"/>
  <c r="P203" i="6"/>
  <c r="Q203" i="6"/>
  <c r="R203" i="6"/>
  <c r="S203" i="6"/>
  <c r="T203" i="6"/>
  <c r="U203" i="6"/>
  <c r="B204" i="6"/>
  <c r="C204" i="6"/>
  <c r="D204" i="6"/>
  <c r="E204" i="6"/>
  <c r="F204" i="6"/>
  <c r="G204" i="6"/>
  <c r="H204" i="6"/>
  <c r="I204" i="6"/>
  <c r="J204" i="6"/>
  <c r="K204" i="6"/>
  <c r="L204" i="6"/>
  <c r="M204" i="6"/>
  <c r="N204" i="6"/>
  <c r="O204" i="6"/>
  <c r="P204" i="6"/>
  <c r="Q204" i="6"/>
  <c r="R204" i="6"/>
  <c r="S204" i="6"/>
  <c r="T204" i="6"/>
  <c r="U204" i="6"/>
  <c r="B205" i="6"/>
  <c r="C205" i="6"/>
  <c r="D205" i="6"/>
  <c r="E205" i="6"/>
  <c r="F205" i="6"/>
  <c r="G205" i="6"/>
  <c r="H205" i="6"/>
  <c r="I205" i="6"/>
  <c r="J205" i="6"/>
  <c r="K205" i="6"/>
  <c r="L205" i="6"/>
  <c r="M205" i="6"/>
  <c r="N205" i="6"/>
  <c r="O205" i="6"/>
  <c r="P205" i="6"/>
  <c r="Q205" i="6"/>
  <c r="R205" i="6"/>
  <c r="S205" i="6"/>
  <c r="T205" i="6"/>
  <c r="U205" i="6"/>
  <c r="B206" i="6"/>
  <c r="C206" i="6"/>
  <c r="D206" i="6"/>
  <c r="E206" i="6"/>
  <c r="F206" i="6"/>
  <c r="G206" i="6"/>
  <c r="H206" i="6"/>
  <c r="I206" i="6"/>
  <c r="J206" i="6"/>
  <c r="K206" i="6"/>
  <c r="L206" i="6"/>
  <c r="M206" i="6"/>
  <c r="N206" i="6"/>
  <c r="O206" i="6"/>
  <c r="P206" i="6"/>
  <c r="Q206" i="6"/>
  <c r="R206" i="6"/>
  <c r="S206" i="6"/>
  <c r="T206" i="6"/>
  <c r="U206" i="6"/>
  <c r="B207" i="6"/>
  <c r="C207" i="6"/>
  <c r="D207" i="6"/>
  <c r="E207" i="6"/>
  <c r="F207" i="6"/>
  <c r="G207" i="6"/>
  <c r="H207" i="6"/>
  <c r="I207" i="6"/>
  <c r="J207" i="6"/>
  <c r="K207" i="6"/>
  <c r="L207" i="6"/>
  <c r="M207" i="6"/>
  <c r="N207" i="6"/>
  <c r="O207" i="6"/>
  <c r="P207" i="6"/>
  <c r="Q207" i="6"/>
  <c r="R207" i="6"/>
  <c r="S207" i="6"/>
  <c r="T207" i="6"/>
  <c r="U207" i="6"/>
  <c r="B208" i="6"/>
  <c r="C208" i="6"/>
  <c r="D208" i="6"/>
  <c r="E208" i="6"/>
  <c r="F208" i="6"/>
  <c r="G208" i="6"/>
  <c r="H208" i="6"/>
  <c r="I208" i="6"/>
  <c r="J208" i="6"/>
  <c r="K208" i="6"/>
  <c r="L208" i="6"/>
  <c r="M208" i="6"/>
  <c r="N208" i="6"/>
  <c r="O208" i="6"/>
  <c r="P208" i="6"/>
  <c r="Q208" i="6"/>
  <c r="R208" i="6"/>
  <c r="S208" i="6"/>
  <c r="T208" i="6"/>
  <c r="U208" i="6"/>
  <c r="B209" i="6"/>
  <c r="C209" i="6"/>
  <c r="D209" i="6"/>
  <c r="E209" i="6"/>
  <c r="F209" i="6"/>
  <c r="G209" i="6"/>
  <c r="H209" i="6"/>
  <c r="I209" i="6"/>
  <c r="J209" i="6"/>
  <c r="K209" i="6"/>
  <c r="L209" i="6"/>
  <c r="M209" i="6"/>
  <c r="N209" i="6"/>
  <c r="O209" i="6"/>
  <c r="P209" i="6"/>
  <c r="Q209" i="6"/>
  <c r="R209" i="6"/>
  <c r="S209" i="6"/>
  <c r="T209" i="6"/>
  <c r="U209" i="6"/>
  <c r="B210" i="6"/>
  <c r="C210" i="6"/>
  <c r="D210" i="6"/>
  <c r="E210" i="6"/>
  <c r="F210" i="6"/>
  <c r="G210" i="6"/>
  <c r="H210" i="6"/>
  <c r="I210" i="6"/>
  <c r="J210" i="6"/>
  <c r="K210" i="6"/>
  <c r="L210" i="6"/>
  <c r="M210" i="6"/>
  <c r="N210" i="6"/>
  <c r="O210" i="6"/>
  <c r="P210" i="6"/>
  <c r="Q210" i="6"/>
  <c r="R210" i="6"/>
  <c r="S210" i="6"/>
  <c r="T210" i="6"/>
  <c r="U210" i="6"/>
  <c r="B211" i="6"/>
  <c r="C211" i="6"/>
  <c r="D211" i="6"/>
  <c r="E211" i="6"/>
  <c r="F211" i="6"/>
  <c r="G211" i="6"/>
  <c r="H211" i="6"/>
  <c r="I211" i="6"/>
  <c r="J211" i="6"/>
  <c r="K211" i="6"/>
  <c r="L211" i="6"/>
  <c r="M211" i="6"/>
  <c r="N211" i="6"/>
  <c r="O211" i="6"/>
  <c r="P211" i="6"/>
  <c r="Q211" i="6"/>
  <c r="R211" i="6"/>
  <c r="S211" i="6"/>
  <c r="T211" i="6"/>
  <c r="U211" i="6"/>
  <c r="B212" i="6"/>
  <c r="C212" i="6"/>
  <c r="D212" i="6"/>
  <c r="E212" i="6"/>
  <c r="F212" i="6"/>
  <c r="G212" i="6"/>
  <c r="H212" i="6"/>
  <c r="I212" i="6"/>
  <c r="J212" i="6"/>
  <c r="K212" i="6"/>
  <c r="L212" i="6"/>
  <c r="M212" i="6"/>
  <c r="N212" i="6"/>
  <c r="O212" i="6"/>
  <c r="P212" i="6"/>
  <c r="Q212" i="6"/>
  <c r="R212" i="6"/>
  <c r="S212" i="6"/>
  <c r="T212" i="6"/>
  <c r="U212" i="6"/>
  <c r="B213" i="6"/>
  <c r="C213" i="6"/>
  <c r="D213" i="6"/>
  <c r="E213" i="6"/>
  <c r="F213" i="6"/>
  <c r="G213" i="6"/>
  <c r="H213" i="6"/>
  <c r="I213" i="6"/>
  <c r="J213" i="6"/>
  <c r="K213" i="6"/>
  <c r="L213" i="6"/>
  <c r="M213" i="6"/>
  <c r="N213" i="6"/>
  <c r="O213" i="6"/>
  <c r="P213" i="6"/>
  <c r="Q213" i="6"/>
  <c r="R213" i="6"/>
  <c r="S213" i="6"/>
  <c r="T213" i="6"/>
  <c r="U213" i="6"/>
  <c r="B214" i="6"/>
  <c r="C214" i="6"/>
  <c r="D214" i="6"/>
  <c r="E214" i="6"/>
  <c r="F214" i="6"/>
  <c r="G214" i="6"/>
  <c r="H214" i="6"/>
  <c r="I214" i="6"/>
  <c r="J214" i="6"/>
  <c r="K214" i="6"/>
  <c r="L214" i="6"/>
  <c r="M214" i="6"/>
  <c r="N214" i="6"/>
  <c r="O214" i="6"/>
  <c r="P214" i="6"/>
  <c r="Q214" i="6"/>
  <c r="R214" i="6"/>
  <c r="S214" i="6"/>
  <c r="T214" i="6"/>
  <c r="U214" i="6"/>
  <c r="B215" i="6"/>
  <c r="C215" i="6"/>
  <c r="D215" i="6"/>
  <c r="E215" i="6"/>
  <c r="F215" i="6"/>
  <c r="G215" i="6"/>
  <c r="H215" i="6"/>
  <c r="I215" i="6"/>
  <c r="J215" i="6"/>
  <c r="K215" i="6"/>
  <c r="L215" i="6"/>
  <c r="M215" i="6"/>
  <c r="N215" i="6"/>
  <c r="O215" i="6"/>
  <c r="P215" i="6"/>
  <c r="Q215" i="6"/>
  <c r="R215" i="6"/>
  <c r="S215" i="6"/>
  <c r="T215" i="6"/>
  <c r="U215" i="6"/>
  <c r="B216" i="6"/>
  <c r="C216" i="6"/>
  <c r="D216" i="6"/>
  <c r="E216" i="6"/>
  <c r="F216" i="6"/>
  <c r="G216" i="6"/>
  <c r="H216" i="6"/>
  <c r="I216" i="6"/>
  <c r="J216" i="6"/>
  <c r="K216" i="6"/>
  <c r="L216" i="6"/>
  <c r="M216" i="6"/>
  <c r="N216" i="6"/>
  <c r="O216" i="6"/>
  <c r="P216" i="6"/>
  <c r="Q216" i="6"/>
  <c r="R216" i="6"/>
  <c r="S216" i="6"/>
  <c r="T216" i="6"/>
  <c r="U216" i="6"/>
  <c r="B217" i="6"/>
  <c r="C217" i="6"/>
  <c r="D217" i="6"/>
  <c r="E217" i="6"/>
  <c r="F217" i="6"/>
  <c r="G217" i="6"/>
  <c r="H217" i="6"/>
  <c r="I217" i="6"/>
  <c r="J217" i="6"/>
  <c r="K217" i="6"/>
  <c r="L217" i="6"/>
  <c r="M217" i="6"/>
  <c r="N217" i="6"/>
  <c r="O217" i="6"/>
  <c r="P217" i="6"/>
  <c r="Q217" i="6"/>
  <c r="R217" i="6"/>
  <c r="S217" i="6"/>
  <c r="T217" i="6"/>
  <c r="U217" i="6"/>
  <c r="B218" i="6"/>
  <c r="C218" i="6"/>
  <c r="D218" i="6"/>
  <c r="E218" i="6"/>
  <c r="F218" i="6"/>
  <c r="G218" i="6"/>
  <c r="H218" i="6"/>
  <c r="I218" i="6"/>
  <c r="J218" i="6"/>
  <c r="K218" i="6"/>
  <c r="L218" i="6"/>
  <c r="M218" i="6"/>
  <c r="N218" i="6"/>
  <c r="O218" i="6"/>
  <c r="P218" i="6"/>
  <c r="Q218" i="6"/>
  <c r="R218" i="6"/>
  <c r="S218" i="6"/>
  <c r="T218" i="6"/>
  <c r="U218" i="6"/>
  <c r="B219" i="6"/>
  <c r="C219" i="6"/>
  <c r="D219" i="6"/>
  <c r="E219" i="6"/>
  <c r="F219" i="6"/>
  <c r="G219" i="6"/>
  <c r="H219" i="6"/>
  <c r="I219" i="6"/>
  <c r="J219" i="6"/>
  <c r="K219" i="6"/>
  <c r="L219" i="6"/>
  <c r="M219" i="6"/>
  <c r="N219" i="6"/>
  <c r="O219" i="6"/>
  <c r="P219" i="6"/>
  <c r="Q219" i="6"/>
  <c r="R219" i="6"/>
  <c r="S219" i="6"/>
  <c r="T219" i="6"/>
  <c r="U219" i="6"/>
  <c r="B220" i="6"/>
  <c r="C220" i="6"/>
  <c r="D220" i="6"/>
  <c r="E220" i="6"/>
  <c r="F220" i="6"/>
  <c r="G220" i="6"/>
  <c r="H220" i="6"/>
  <c r="I220" i="6"/>
  <c r="J220" i="6"/>
  <c r="K220" i="6"/>
  <c r="L220" i="6"/>
  <c r="M220" i="6"/>
  <c r="N220" i="6"/>
  <c r="O220" i="6"/>
  <c r="P220" i="6"/>
  <c r="Q220" i="6"/>
  <c r="R220" i="6"/>
  <c r="S220" i="6"/>
  <c r="T220" i="6"/>
  <c r="U220" i="6"/>
  <c r="B221" i="6"/>
  <c r="C221" i="6"/>
  <c r="D221" i="6"/>
  <c r="E221" i="6"/>
  <c r="F221" i="6"/>
  <c r="G221" i="6"/>
  <c r="H221" i="6"/>
  <c r="I221" i="6"/>
  <c r="J221" i="6"/>
  <c r="K221" i="6"/>
  <c r="L221" i="6"/>
  <c r="M221" i="6"/>
  <c r="N221" i="6"/>
  <c r="O221" i="6"/>
  <c r="P221" i="6"/>
  <c r="Q221" i="6"/>
  <c r="R221" i="6"/>
  <c r="S221" i="6"/>
  <c r="T221" i="6"/>
  <c r="U221" i="6"/>
  <c r="B222" i="6"/>
  <c r="C222" i="6"/>
  <c r="D222" i="6"/>
  <c r="E222" i="6"/>
  <c r="F222" i="6"/>
  <c r="G222" i="6"/>
  <c r="H222" i="6"/>
  <c r="I222" i="6"/>
  <c r="J222" i="6"/>
  <c r="K222" i="6"/>
  <c r="L222" i="6"/>
  <c r="M222" i="6"/>
  <c r="N222" i="6"/>
  <c r="O222" i="6"/>
  <c r="P222" i="6"/>
  <c r="Q222" i="6"/>
  <c r="R222" i="6"/>
  <c r="S222" i="6"/>
  <c r="T222" i="6"/>
  <c r="U222" i="6"/>
  <c r="B223" i="6"/>
  <c r="C223" i="6"/>
  <c r="D223" i="6"/>
  <c r="E223" i="6"/>
  <c r="F223" i="6"/>
  <c r="G223" i="6"/>
  <c r="H223" i="6"/>
  <c r="I223" i="6"/>
  <c r="J223" i="6"/>
  <c r="K223" i="6"/>
  <c r="L223" i="6"/>
  <c r="M223" i="6"/>
  <c r="N223" i="6"/>
  <c r="O223" i="6"/>
  <c r="P223" i="6"/>
  <c r="Q223" i="6"/>
  <c r="R223" i="6"/>
  <c r="S223" i="6"/>
  <c r="T223" i="6"/>
  <c r="U223" i="6"/>
  <c r="B224" i="6"/>
  <c r="C224" i="6"/>
  <c r="D224" i="6"/>
  <c r="E224" i="6"/>
  <c r="F224" i="6"/>
  <c r="G224" i="6"/>
  <c r="H224" i="6"/>
  <c r="I224" i="6"/>
  <c r="J224" i="6"/>
  <c r="K224" i="6"/>
  <c r="L224" i="6"/>
  <c r="M224" i="6"/>
  <c r="N224" i="6"/>
  <c r="O224" i="6"/>
  <c r="P224" i="6"/>
  <c r="Q224" i="6"/>
  <c r="R224" i="6"/>
  <c r="S224" i="6"/>
  <c r="T224" i="6"/>
  <c r="U224" i="6"/>
  <c r="B225" i="6"/>
  <c r="C225" i="6"/>
  <c r="D225" i="6"/>
  <c r="E225" i="6"/>
  <c r="F225" i="6"/>
  <c r="G225" i="6"/>
  <c r="H225" i="6"/>
  <c r="I225" i="6"/>
  <c r="J225" i="6"/>
  <c r="K225" i="6"/>
  <c r="L225" i="6"/>
  <c r="M225" i="6"/>
  <c r="N225" i="6"/>
  <c r="O225" i="6"/>
  <c r="P225" i="6"/>
  <c r="Q225" i="6"/>
  <c r="R225" i="6"/>
  <c r="S225" i="6"/>
  <c r="T225" i="6"/>
  <c r="U225" i="6"/>
  <c r="B226" i="6"/>
  <c r="C226" i="6"/>
  <c r="D226" i="6"/>
  <c r="E226" i="6"/>
  <c r="F226" i="6"/>
  <c r="G226" i="6"/>
  <c r="H226" i="6"/>
  <c r="I226" i="6"/>
  <c r="J226" i="6"/>
  <c r="K226" i="6"/>
  <c r="L226" i="6"/>
  <c r="M226" i="6"/>
  <c r="N226" i="6"/>
  <c r="O226" i="6"/>
  <c r="P226" i="6"/>
  <c r="Q226" i="6"/>
  <c r="R226" i="6"/>
  <c r="S226" i="6"/>
  <c r="T226" i="6"/>
  <c r="U226" i="6"/>
  <c r="B227" i="6"/>
  <c r="C227" i="6"/>
  <c r="D227" i="6"/>
  <c r="E227" i="6"/>
  <c r="F227" i="6"/>
  <c r="G227" i="6"/>
  <c r="H227" i="6"/>
  <c r="I227" i="6"/>
  <c r="J227" i="6"/>
  <c r="K227" i="6"/>
  <c r="L227" i="6"/>
  <c r="M227" i="6"/>
  <c r="N227" i="6"/>
  <c r="O227" i="6"/>
  <c r="P227" i="6"/>
  <c r="Q227" i="6"/>
  <c r="R227" i="6"/>
  <c r="S227" i="6"/>
  <c r="T227" i="6"/>
  <c r="U227" i="6"/>
  <c r="B228" i="6"/>
  <c r="C228" i="6"/>
  <c r="D228" i="6"/>
  <c r="E228" i="6"/>
  <c r="F228" i="6"/>
  <c r="G228" i="6"/>
  <c r="H228" i="6"/>
  <c r="I228" i="6"/>
  <c r="J228" i="6"/>
  <c r="K228" i="6"/>
  <c r="L228" i="6"/>
  <c r="M228" i="6"/>
  <c r="N228" i="6"/>
  <c r="O228" i="6"/>
  <c r="P228" i="6"/>
  <c r="Q228" i="6"/>
  <c r="R228" i="6"/>
  <c r="S228" i="6"/>
  <c r="T228" i="6"/>
  <c r="U228" i="6"/>
  <c r="B229" i="6"/>
  <c r="C229" i="6"/>
  <c r="D229" i="6"/>
  <c r="E229" i="6"/>
  <c r="F229" i="6"/>
  <c r="G229" i="6"/>
  <c r="H229" i="6"/>
  <c r="I229" i="6"/>
  <c r="J229" i="6"/>
  <c r="K229" i="6"/>
  <c r="L229" i="6"/>
  <c r="M229" i="6"/>
  <c r="N229" i="6"/>
  <c r="O229" i="6"/>
  <c r="P229" i="6"/>
  <c r="Q229" i="6"/>
  <c r="R229" i="6"/>
  <c r="S229" i="6"/>
  <c r="T229" i="6"/>
  <c r="U229" i="6"/>
  <c r="B230" i="6"/>
  <c r="C230" i="6"/>
  <c r="D230" i="6"/>
  <c r="E230" i="6"/>
  <c r="F230" i="6"/>
  <c r="G230" i="6"/>
  <c r="H230" i="6"/>
  <c r="I230" i="6"/>
  <c r="J230" i="6"/>
  <c r="K230" i="6"/>
  <c r="L230" i="6"/>
  <c r="M230" i="6"/>
  <c r="N230" i="6"/>
  <c r="O230" i="6"/>
  <c r="P230" i="6"/>
  <c r="Q230" i="6"/>
  <c r="R230" i="6"/>
  <c r="S230" i="6"/>
  <c r="T230" i="6"/>
  <c r="U230" i="6"/>
  <c r="B231" i="6"/>
  <c r="C231" i="6"/>
  <c r="D231" i="6"/>
  <c r="E231" i="6"/>
  <c r="F231" i="6"/>
  <c r="G231" i="6"/>
  <c r="H231" i="6"/>
  <c r="I231" i="6"/>
  <c r="J231" i="6"/>
  <c r="K231" i="6"/>
  <c r="L231" i="6"/>
  <c r="M231" i="6"/>
  <c r="N231" i="6"/>
  <c r="O231" i="6"/>
  <c r="P231" i="6"/>
  <c r="Q231" i="6"/>
  <c r="R231" i="6"/>
  <c r="S231" i="6"/>
  <c r="T231" i="6"/>
  <c r="U231" i="6"/>
  <c r="B232" i="6"/>
  <c r="C232" i="6"/>
  <c r="D232" i="6"/>
  <c r="E232" i="6"/>
  <c r="F232" i="6"/>
  <c r="G232" i="6"/>
  <c r="H232" i="6"/>
  <c r="I232" i="6"/>
  <c r="J232" i="6"/>
  <c r="K232" i="6"/>
  <c r="L232" i="6"/>
  <c r="M232" i="6"/>
  <c r="N232" i="6"/>
  <c r="O232" i="6"/>
  <c r="P232" i="6"/>
  <c r="Q232" i="6"/>
  <c r="R232" i="6"/>
  <c r="S232" i="6"/>
  <c r="T232" i="6"/>
  <c r="U232" i="6"/>
  <c r="B233" i="6"/>
  <c r="C233" i="6"/>
  <c r="D233" i="6"/>
  <c r="E233" i="6"/>
  <c r="F233" i="6"/>
  <c r="G233" i="6"/>
  <c r="H233" i="6"/>
  <c r="I233" i="6"/>
  <c r="J233" i="6"/>
  <c r="K233" i="6"/>
  <c r="L233" i="6"/>
  <c r="M233" i="6"/>
  <c r="N233" i="6"/>
  <c r="O233" i="6"/>
  <c r="P233" i="6"/>
  <c r="Q233" i="6"/>
  <c r="R233" i="6"/>
  <c r="S233" i="6"/>
  <c r="T233" i="6"/>
  <c r="U233" i="6"/>
  <c r="B234" i="6"/>
  <c r="C234" i="6"/>
  <c r="D234" i="6"/>
  <c r="E234" i="6"/>
  <c r="F234" i="6"/>
  <c r="G234" i="6"/>
  <c r="H234" i="6"/>
  <c r="I234" i="6"/>
  <c r="J234" i="6"/>
  <c r="K234" i="6"/>
  <c r="L234" i="6"/>
  <c r="M234" i="6"/>
  <c r="N234" i="6"/>
  <c r="O234" i="6"/>
  <c r="P234" i="6"/>
  <c r="Q234" i="6"/>
  <c r="R234" i="6"/>
  <c r="S234" i="6"/>
  <c r="T234" i="6"/>
  <c r="U234" i="6"/>
  <c r="B235" i="6"/>
  <c r="C235" i="6"/>
  <c r="D235" i="6"/>
  <c r="E235" i="6"/>
  <c r="F235" i="6"/>
  <c r="G235" i="6"/>
  <c r="H235" i="6"/>
  <c r="I235" i="6"/>
  <c r="J235" i="6"/>
  <c r="K235" i="6"/>
  <c r="L235" i="6"/>
  <c r="M235" i="6"/>
  <c r="N235" i="6"/>
  <c r="O235" i="6"/>
  <c r="P235" i="6"/>
  <c r="Q235" i="6"/>
  <c r="R235" i="6"/>
  <c r="S235" i="6"/>
  <c r="T235" i="6"/>
  <c r="U235" i="6"/>
  <c r="B236" i="6"/>
  <c r="C236" i="6"/>
  <c r="D236" i="6"/>
  <c r="E236" i="6"/>
  <c r="F236" i="6"/>
  <c r="G236" i="6"/>
  <c r="H236" i="6"/>
  <c r="I236" i="6"/>
  <c r="J236" i="6"/>
  <c r="K236" i="6"/>
  <c r="L236" i="6"/>
  <c r="M236" i="6"/>
  <c r="N236" i="6"/>
  <c r="O236" i="6"/>
  <c r="P236" i="6"/>
  <c r="Q236" i="6"/>
  <c r="R236" i="6"/>
  <c r="S236" i="6"/>
  <c r="T236" i="6"/>
  <c r="U236" i="6"/>
  <c r="B237" i="6"/>
  <c r="C237" i="6"/>
  <c r="D237" i="6"/>
  <c r="E237" i="6"/>
  <c r="F237" i="6"/>
  <c r="G237" i="6"/>
  <c r="H237" i="6"/>
  <c r="I237" i="6"/>
  <c r="J237" i="6"/>
  <c r="K237" i="6"/>
  <c r="L237" i="6"/>
  <c r="M237" i="6"/>
  <c r="N237" i="6"/>
  <c r="O237" i="6"/>
  <c r="P237" i="6"/>
  <c r="Q237" i="6"/>
  <c r="R237" i="6"/>
  <c r="S237" i="6"/>
  <c r="T237" i="6"/>
  <c r="U237" i="6"/>
  <c r="B238" i="6"/>
  <c r="C238" i="6"/>
  <c r="D238" i="6"/>
  <c r="E238" i="6"/>
  <c r="F238" i="6"/>
  <c r="G238" i="6"/>
  <c r="H238" i="6"/>
  <c r="I238" i="6"/>
  <c r="J238" i="6"/>
  <c r="K238" i="6"/>
  <c r="L238" i="6"/>
  <c r="M238" i="6"/>
  <c r="N238" i="6"/>
  <c r="O238" i="6"/>
  <c r="P238" i="6"/>
  <c r="Q238" i="6"/>
  <c r="R238" i="6"/>
  <c r="S238" i="6"/>
  <c r="T238" i="6"/>
  <c r="U238" i="6"/>
  <c r="B239" i="6"/>
  <c r="C239" i="6"/>
  <c r="D239" i="6"/>
  <c r="E239" i="6"/>
  <c r="F239" i="6"/>
  <c r="G239" i="6"/>
  <c r="H239" i="6"/>
  <c r="I239" i="6"/>
  <c r="J239" i="6"/>
  <c r="K239" i="6"/>
  <c r="L239" i="6"/>
  <c r="M239" i="6"/>
  <c r="N239" i="6"/>
  <c r="O239" i="6"/>
  <c r="P239" i="6"/>
  <c r="Q239" i="6"/>
  <c r="R239" i="6"/>
  <c r="S239" i="6"/>
  <c r="T239" i="6"/>
  <c r="U239" i="6"/>
  <c r="B240" i="6"/>
  <c r="C240" i="6"/>
  <c r="D240" i="6"/>
  <c r="E240" i="6"/>
  <c r="F240" i="6"/>
  <c r="G240" i="6"/>
  <c r="H240" i="6"/>
  <c r="I240" i="6"/>
  <c r="J240" i="6"/>
  <c r="K240" i="6"/>
  <c r="L240" i="6"/>
  <c r="M240" i="6"/>
  <c r="N240" i="6"/>
  <c r="O240" i="6"/>
  <c r="P240" i="6"/>
  <c r="Q240" i="6"/>
  <c r="R240" i="6"/>
  <c r="S240" i="6"/>
  <c r="T240" i="6"/>
  <c r="U240" i="6"/>
  <c r="B241" i="6"/>
  <c r="C241" i="6"/>
  <c r="D241" i="6"/>
  <c r="E241" i="6"/>
  <c r="F241" i="6"/>
  <c r="G241" i="6"/>
  <c r="H241" i="6"/>
  <c r="I241" i="6"/>
  <c r="J241" i="6"/>
  <c r="K241" i="6"/>
  <c r="L241" i="6"/>
  <c r="M241" i="6"/>
  <c r="N241" i="6"/>
  <c r="O241" i="6"/>
  <c r="P241" i="6"/>
  <c r="Q241" i="6"/>
  <c r="R241" i="6"/>
  <c r="S241" i="6"/>
  <c r="T241" i="6"/>
  <c r="U241" i="6"/>
  <c r="B242" i="6"/>
  <c r="C242" i="6"/>
  <c r="D242" i="6"/>
  <c r="E242" i="6"/>
  <c r="F242" i="6"/>
  <c r="G242" i="6"/>
  <c r="H242" i="6"/>
  <c r="I242" i="6"/>
  <c r="J242" i="6"/>
  <c r="K242" i="6"/>
  <c r="L242" i="6"/>
  <c r="M242" i="6"/>
  <c r="N242" i="6"/>
  <c r="O242" i="6"/>
  <c r="P242" i="6"/>
  <c r="Q242" i="6"/>
  <c r="R242" i="6"/>
  <c r="S242" i="6"/>
  <c r="T242" i="6"/>
  <c r="U242" i="6"/>
  <c r="B243" i="6"/>
  <c r="C243" i="6"/>
  <c r="D243" i="6"/>
  <c r="E243" i="6"/>
  <c r="F243" i="6"/>
  <c r="G243" i="6"/>
  <c r="H243" i="6"/>
  <c r="I243" i="6"/>
  <c r="J243" i="6"/>
  <c r="K243" i="6"/>
  <c r="L243" i="6"/>
  <c r="M243" i="6"/>
  <c r="N243" i="6"/>
  <c r="O243" i="6"/>
  <c r="P243" i="6"/>
  <c r="Q243" i="6"/>
  <c r="R243" i="6"/>
  <c r="S243" i="6"/>
  <c r="T243" i="6"/>
  <c r="U243" i="6"/>
  <c r="B244" i="6"/>
  <c r="C244" i="6"/>
  <c r="D244" i="6"/>
  <c r="E244" i="6"/>
  <c r="F244" i="6"/>
  <c r="G244" i="6"/>
  <c r="H244" i="6"/>
  <c r="I244" i="6"/>
  <c r="J244" i="6"/>
  <c r="K244" i="6"/>
  <c r="L244" i="6"/>
  <c r="M244" i="6"/>
  <c r="N244" i="6"/>
  <c r="O244" i="6"/>
  <c r="P244" i="6"/>
  <c r="Q244" i="6"/>
  <c r="R244" i="6"/>
  <c r="S244" i="6"/>
  <c r="T244" i="6"/>
  <c r="U244" i="6"/>
  <c r="B249" i="6"/>
  <c r="C249" i="6"/>
  <c r="D249" i="6"/>
  <c r="E249" i="6"/>
  <c r="F249" i="6"/>
  <c r="G249" i="6"/>
  <c r="H249" i="6"/>
  <c r="I249" i="6"/>
  <c r="J249" i="6"/>
  <c r="K249" i="6"/>
  <c r="L249" i="6"/>
  <c r="M249" i="6"/>
  <c r="N249" i="6"/>
  <c r="O249" i="6"/>
  <c r="P249" i="6"/>
  <c r="Q249" i="6"/>
  <c r="R249" i="6"/>
  <c r="S249" i="6"/>
  <c r="T249" i="6"/>
  <c r="U249" i="6"/>
  <c r="B251" i="6"/>
  <c r="C251" i="6"/>
  <c r="D251" i="6"/>
  <c r="E251" i="6"/>
  <c r="F251" i="6"/>
  <c r="G251" i="6"/>
  <c r="H251" i="6"/>
  <c r="I251" i="6"/>
  <c r="J251" i="6"/>
  <c r="K251" i="6"/>
  <c r="L251" i="6"/>
  <c r="M251" i="6"/>
  <c r="N251" i="6"/>
  <c r="O251" i="6"/>
  <c r="P251" i="6"/>
  <c r="Q251" i="6"/>
  <c r="R251" i="6"/>
  <c r="S251" i="6"/>
  <c r="T251" i="6"/>
  <c r="U251" i="6"/>
  <c r="B253" i="6"/>
  <c r="C253" i="6"/>
  <c r="D253" i="6"/>
  <c r="E253" i="6"/>
  <c r="F253" i="6"/>
  <c r="G253" i="6"/>
  <c r="H253" i="6"/>
  <c r="I253" i="6"/>
  <c r="J253" i="6"/>
  <c r="K253" i="6"/>
  <c r="L253" i="6"/>
  <c r="M253" i="6"/>
  <c r="N253" i="6"/>
  <c r="O253" i="6"/>
  <c r="P253" i="6"/>
  <c r="Q253" i="6"/>
  <c r="R253" i="6"/>
  <c r="S253" i="6"/>
  <c r="T253" i="6"/>
  <c r="U253" i="6"/>
  <c r="B255" i="6"/>
  <c r="C255" i="6"/>
  <c r="D255" i="6"/>
  <c r="E255" i="6"/>
  <c r="F255" i="6"/>
  <c r="G255" i="6"/>
  <c r="H255" i="6"/>
  <c r="I255" i="6"/>
  <c r="J255" i="6"/>
  <c r="K255" i="6"/>
  <c r="L255" i="6"/>
  <c r="M255" i="6"/>
  <c r="N255" i="6"/>
  <c r="O255" i="6"/>
  <c r="P255" i="6"/>
  <c r="Q255" i="6"/>
  <c r="R255" i="6"/>
  <c r="S255" i="6"/>
  <c r="T255" i="6"/>
  <c r="U255" i="6"/>
  <c r="B250" i="6"/>
  <c r="C250" i="6"/>
  <c r="D250" i="6"/>
  <c r="E250" i="6"/>
  <c r="F250" i="6"/>
  <c r="G250" i="6"/>
  <c r="H250" i="6"/>
  <c r="I250" i="6"/>
  <c r="J250" i="6"/>
  <c r="K250" i="6"/>
  <c r="L250" i="6"/>
  <c r="M250" i="6"/>
  <c r="N250" i="6"/>
  <c r="O250" i="6"/>
  <c r="P250" i="6"/>
  <c r="Q250" i="6"/>
  <c r="R250" i="6"/>
  <c r="S250" i="6"/>
  <c r="T250" i="6"/>
  <c r="U250" i="6"/>
  <c r="B252" i="6"/>
  <c r="C252" i="6"/>
  <c r="D252" i="6"/>
  <c r="E252" i="6"/>
  <c r="F252" i="6"/>
  <c r="G252" i="6"/>
  <c r="H252" i="6"/>
  <c r="I252" i="6"/>
  <c r="J252" i="6"/>
  <c r="K252" i="6"/>
  <c r="L252" i="6"/>
  <c r="M252" i="6"/>
  <c r="N252" i="6"/>
  <c r="O252" i="6"/>
  <c r="P252" i="6"/>
  <c r="Q252" i="6"/>
  <c r="R252" i="6"/>
  <c r="S252" i="6"/>
  <c r="T252" i="6"/>
  <c r="U252" i="6"/>
  <c r="B254" i="6"/>
  <c r="C254" i="6"/>
  <c r="D254" i="6"/>
  <c r="E254" i="6"/>
  <c r="F254" i="6"/>
  <c r="G254" i="6"/>
  <c r="H254" i="6"/>
  <c r="I254" i="6"/>
  <c r="J254" i="6"/>
  <c r="K254" i="6"/>
  <c r="L254" i="6"/>
  <c r="M254" i="6"/>
  <c r="N254" i="6"/>
  <c r="O254" i="6"/>
  <c r="P254" i="6"/>
  <c r="Q254" i="6"/>
  <c r="R254" i="6"/>
  <c r="S254" i="6"/>
  <c r="T254" i="6"/>
  <c r="U254" i="6"/>
  <c r="B256" i="6"/>
  <c r="C256" i="6"/>
  <c r="D256" i="6"/>
  <c r="E256" i="6"/>
  <c r="F256" i="6"/>
  <c r="G256" i="6"/>
  <c r="H256" i="6"/>
  <c r="I256" i="6"/>
  <c r="J256" i="6"/>
  <c r="K256" i="6"/>
  <c r="L256" i="6"/>
  <c r="M256" i="6"/>
  <c r="N256" i="6"/>
  <c r="O256" i="6"/>
  <c r="P256" i="6"/>
  <c r="Q256" i="6"/>
  <c r="R256" i="6"/>
  <c r="S256" i="6"/>
  <c r="T256" i="6"/>
  <c r="U256" i="6"/>
  <c r="B257" i="6"/>
  <c r="C257" i="6"/>
  <c r="D257" i="6"/>
  <c r="E257" i="6"/>
  <c r="F257" i="6"/>
  <c r="G257" i="6"/>
  <c r="H257" i="6"/>
  <c r="I257" i="6"/>
  <c r="J257" i="6"/>
  <c r="K257" i="6"/>
  <c r="L257" i="6"/>
  <c r="M257" i="6"/>
  <c r="N257" i="6"/>
  <c r="O257" i="6"/>
  <c r="P257" i="6"/>
  <c r="Q257" i="6"/>
  <c r="R257" i="6"/>
  <c r="S257" i="6"/>
  <c r="T257" i="6"/>
  <c r="U257" i="6"/>
  <c r="B258" i="6"/>
  <c r="C258" i="6"/>
  <c r="D258" i="6"/>
  <c r="E258" i="6"/>
  <c r="F258" i="6"/>
  <c r="G258" i="6"/>
  <c r="H258" i="6"/>
  <c r="I258" i="6"/>
  <c r="J258" i="6"/>
  <c r="K258" i="6"/>
  <c r="L258" i="6"/>
  <c r="M258" i="6"/>
  <c r="N258" i="6"/>
  <c r="O258" i="6"/>
  <c r="P258" i="6"/>
  <c r="Q258" i="6"/>
  <c r="R258" i="6"/>
  <c r="S258" i="6"/>
  <c r="T258" i="6"/>
  <c r="U258" i="6"/>
  <c r="B259" i="6"/>
  <c r="C259" i="6"/>
  <c r="D259" i="6"/>
  <c r="E259" i="6"/>
  <c r="F259" i="6"/>
  <c r="G259" i="6"/>
  <c r="H259" i="6"/>
  <c r="I259" i="6"/>
  <c r="J259" i="6"/>
  <c r="K259" i="6"/>
  <c r="L259" i="6"/>
  <c r="M259" i="6"/>
  <c r="N259" i="6"/>
  <c r="O259" i="6"/>
  <c r="P259" i="6"/>
  <c r="Q259" i="6"/>
  <c r="R259" i="6"/>
  <c r="S259" i="6"/>
  <c r="T259" i="6"/>
  <c r="U259" i="6"/>
  <c r="B260" i="6"/>
  <c r="C260" i="6"/>
  <c r="D260" i="6"/>
  <c r="E260" i="6"/>
  <c r="F260" i="6"/>
  <c r="G260" i="6"/>
  <c r="H260" i="6"/>
  <c r="I260" i="6"/>
  <c r="J260" i="6"/>
  <c r="K260" i="6"/>
  <c r="L260" i="6"/>
  <c r="M260" i="6"/>
  <c r="N260" i="6"/>
  <c r="O260" i="6"/>
  <c r="P260" i="6"/>
  <c r="Q260" i="6"/>
  <c r="R260" i="6"/>
  <c r="S260" i="6"/>
  <c r="T260" i="6"/>
  <c r="U260" i="6"/>
  <c r="B261" i="6"/>
  <c r="C261" i="6"/>
  <c r="D261" i="6"/>
  <c r="E261" i="6"/>
  <c r="F261" i="6"/>
  <c r="G261" i="6"/>
  <c r="H261" i="6"/>
  <c r="I261" i="6"/>
  <c r="J261" i="6"/>
  <c r="K261" i="6"/>
  <c r="L261" i="6"/>
  <c r="M261" i="6"/>
  <c r="N261" i="6"/>
  <c r="O261" i="6"/>
  <c r="P261" i="6"/>
  <c r="Q261" i="6"/>
  <c r="R261" i="6"/>
  <c r="S261" i="6"/>
  <c r="T261" i="6"/>
  <c r="U261" i="6"/>
  <c r="B262" i="6"/>
  <c r="C262" i="6"/>
  <c r="D262" i="6"/>
  <c r="E262" i="6"/>
  <c r="F262" i="6"/>
  <c r="G262" i="6"/>
  <c r="H262" i="6"/>
  <c r="I262" i="6"/>
  <c r="J262" i="6"/>
  <c r="K262" i="6"/>
  <c r="L262" i="6"/>
  <c r="M262" i="6"/>
  <c r="N262" i="6"/>
  <c r="O262" i="6"/>
  <c r="P262" i="6"/>
  <c r="Q262" i="6"/>
  <c r="R262" i="6"/>
  <c r="S262" i="6"/>
  <c r="T262" i="6"/>
  <c r="U262" i="6"/>
  <c r="B263" i="6"/>
  <c r="C263" i="6"/>
  <c r="D263" i="6"/>
  <c r="E263" i="6"/>
  <c r="F263" i="6"/>
  <c r="G263" i="6"/>
  <c r="H263" i="6"/>
  <c r="I263" i="6"/>
  <c r="J263" i="6"/>
  <c r="K263" i="6"/>
  <c r="L263" i="6"/>
  <c r="M263" i="6"/>
  <c r="N263" i="6"/>
  <c r="O263" i="6"/>
  <c r="P263" i="6"/>
  <c r="Q263" i="6"/>
  <c r="R263" i="6"/>
  <c r="S263" i="6"/>
  <c r="T263" i="6"/>
  <c r="U263" i="6"/>
  <c r="B264" i="6"/>
  <c r="C264" i="6"/>
  <c r="D264" i="6"/>
  <c r="E264" i="6"/>
  <c r="F264" i="6"/>
  <c r="G264" i="6"/>
  <c r="H264" i="6"/>
  <c r="I264" i="6"/>
  <c r="J264" i="6"/>
  <c r="K264" i="6"/>
  <c r="L264" i="6"/>
  <c r="M264" i="6"/>
  <c r="N264" i="6"/>
  <c r="O264" i="6"/>
  <c r="P264" i="6"/>
  <c r="Q264" i="6"/>
  <c r="R264" i="6"/>
  <c r="S264" i="6"/>
  <c r="T264" i="6"/>
  <c r="U264" i="6"/>
  <c r="B265" i="6"/>
  <c r="C265" i="6"/>
  <c r="D265" i="6"/>
  <c r="E265" i="6"/>
  <c r="F265" i="6"/>
  <c r="G265" i="6"/>
  <c r="H265" i="6"/>
  <c r="I265" i="6"/>
  <c r="J265" i="6"/>
  <c r="K265" i="6"/>
  <c r="L265" i="6"/>
  <c r="M265" i="6"/>
  <c r="N265" i="6"/>
  <c r="O265" i="6"/>
  <c r="P265" i="6"/>
  <c r="Q265" i="6"/>
  <c r="R265" i="6"/>
  <c r="S265" i="6"/>
  <c r="T265" i="6"/>
  <c r="U265" i="6"/>
  <c r="B266" i="6"/>
  <c r="C266" i="6"/>
  <c r="D266" i="6"/>
  <c r="E266" i="6"/>
  <c r="F266" i="6"/>
  <c r="G266" i="6"/>
  <c r="H266" i="6"/>
  <c r="I266" i="6"/>
  <c r="J266" i="6"/>
  <c r="K266" i="6"/>
  <c r="L266" i="6"/>
  <c r="M266" i="6"/>
  <c r="N266" i="6"/>
  <c r="O266" i="6"/>
  <c r="P266" i="6"/>
  <c r="Q266" i="6"/>
  <c r="R266" i="6"/>
  <c r="S266" i="6"/>
  <c r="T266" i="6"/>
  <c r="U266" i="6"/>
  <c r="B267" i="6"/>
  <c r="C267" i="6"/>
  <c r="D267" i="6"/>
  <c r="E267" i="6"/>
  <c r="F267" i="6"/>
  <c r="G267" i="6"/>
  <c r="H267" i="6"/>
  <c r="I267" i="6"/>
  <c r="J267" i="6"/>
  <c r="K267" i="6"/>
  <c r="L267" i="6"/>
  <c r="M267" i="6"/>
  <c r="N267" i="6"/>
  <c r="O267" i="6"/>
  <c r="P267" i="6"/>
  <c r="Q267" i="6"/>
  <c r="R267" i="6"/>
  <c r="S267" i="6"/>
  <c r="T267" i="6"/>
  <c r="U267" i="6"/>
  <c r="B268" i="6"/>
  <c r="C268" i="6"/>
  <c r="D268" i="6"/>
  <c r="E268" i="6"/>
  <c r="F268" i="6"/>
  <c r="G268" i="6"/>
  <c r="H268" i="6"/>
  <c r="I268" i="6"/>
  <c r="J268" i="6"/>
  <c r="K268" i="6"/>
  <c r="L268" i="6"/>
  <c r="M268" i="6"/>
  <c r="N268" i="6"/>
  <c r="O268" i="6"/>
  <c r="P268" i="6"/>
  <c r="Q268" i="6"/>
  <c r="R268" i="6"/>
  <c r="S268" i="6"/>
  <c r="T268" i="6"/>
  <c r="U268" i="6"/>
  <c r="B269" i="6"/>
  <c r="C269" i="6"/>
  <c r="D269" i="6"/>
  <c r="E269" i="6"/>
  <c r="F269" i="6"/>
  <c r="G269" i="6"/>
  <c r="H269" i="6"/>
  <c r="I269" i="6"/>
  <c r="J269" i="6"/>
  <c r="K269" i="6"/>
  <c r="L269" i="6"/>
  <c r="M269" i="6"/>
  <c r="N269" i="6"/>
  <c r="O269" i="6"/>
  <c r="P269" i="6"/>
  <c r="Q269" i="6"/>
  <c r="R269" i="6"/>
  <c r="S269" i="6"/>
  <c r="T269" i="6"/>
  <c r="U269" i="6"/>
  <c r="B270" i="6"/>
  <c r="C270" i="6"/>
  <c r="D270" i="6"/>
  <c r="E270" i="6"/>
  <c r="F270" i="6"/>
  <c r="G270" i="6"/>
  <c r="H270" i="6"/>
  <c r="I270" i="6"/>
  <c r="J270" i="6"/>
  <c r="K270" i="6"/>
  <c r="L270" i="6"/>
  <c r="M270" i="6"/>
  <c r="N270" i="6"/>
  <c r="O270" i="6"/>
  <c r="P270" i="6"/>
  <c r="Q270" i="6"/>
  <c r="R270" i="6"/>
  <c r="S270" i="6"/>
  <c r="T270" i="6"/>
  <c r="U270" i="6"/>
  <c r="B271" i="6"/>
  <c r="C271" i="6"/>
  <c r="D271" i="6"/>
  <c r="E271" i="6"/>
  <c r="F271" i="6"/>
  <c r="G271" i="6"/>
  <c r="H271" i="6"/>
  <c r="I271" i="6"/>
  <c r="J271" i="6"/>
  <c r="K271" i="6"/>
  <c r="L271" i="6"/>
  <c r="M271" i="6"/>
  <c r="N271" i="6"/>
  <c r="O271" i="6"/>
  <c r="P271" i="6"/>
  <c r="Q271" i="6"/>
  <c r="R271" i="6"/>
  <c r="S271" i="6"/>
  <c r="T271" i="6"/>
  <c r="U271" i="6"/>
  <c r="B272" i="6"/>
  <c r="C272" i="6"/>
  <c r="D272" i="6"/>
  <c r="E272" i="6"/>
  <c r="F272" i="6"/>
  <c r="G272" i="6"/>
  <c r="H272" i="6"/>
  <c r="I272" i="6"/>
  <c r="J272" i="6"/>
  <c r="K272" i="6"/>
  <c r="L272" i="6"/>
  <c r="M272" i="6"/>
  <c r="N272" i="6"/>
  <c r="O272" i="6"/>
  <c r="P272" i="6"/>
  <c r="Q272" i="6"/>
  <c r="R272" i="6"/>
  <c r="S272" i="6"/>
  <c r="T272" i="6"/>
  <c r="U272" i="6"/>
  <c r="B273" i="6"/>
  <c r="C273" i="6"/>
  <c r="D273" i="6"/>
  <c r="E273" i="6"/>
  <c r="F273" i="6"/>
  <c r="G273" i="6"/>
  <c r="H273" i="6"/>
  <c r="I273" i="6"/>
  <c r="J273" i="6"/>
  <c r="K273" i="6"/>
  <c r="L273" i="6"/>
  <c r="M273" i="6"/>
  <c r="N273" i="6"/>
  <c r="O273" i="6"/>
  <c r="P273" i="6"/>
  <c r="Q273" i="6"/>
  <c r="R273" i="6"/>
  <c r="S273" i="6"/>
  <c r="T273" i="6"/>
  <c r="U273" i="6"/>
  <c r="B274" i="6"/>
  <c r="C274" i="6"/>
  <c r="D274" i="6"/>
  <c r="E274" i="6"/>
  <c r="F274" i="6"/>
  <c r="G274" i="6"/>
  <c r="H274" i="6"/>
  <c r="I274" i="6"/>
  <c r="J274" i="6"/>
  <c r="K274" i="6"/>
  <c r="L274" i="6"/>
  <c r="M274" i="6"/>
  <c r="N274" i="6"/>
  <c r="O274" i="6"/>
  <c r="P274" i="6"/>
  <c r="Q274" i="6"/>
  <c r="R274" i="6"/>
  <c r="S274" i="6"/>
  <c r="T274" i="6"/>
  <c r="U274" i="6"/>
  <c r="B275" i="6"/>
  <c r="C275" i="6"/>
  <c r="D275" i="6"/>
  <c r="E275" i="6"/>
  <c r="F275" i="6"/>
  <c r="G275" i="6"/>
  <c r="H275" i="6"/>
  <c r="I275" i="6"/>
  <c r="J275" i="6"/>
  <c r="K275" i="6"/>
  <c r="L275" i="6"/>
  <c r="M275" i="6"/>
  <c r="N275" i="6"/>
  <c r="O275" i="6"/>
  <c r="P275" i="6"/>
  <c r="Q275" i="6"/>
  <c r="R275" i="6"/>
  <c r="S275" i="6"/>
  <c r="T275" i="6"/>
  <c r="U275" i="6"/>
  <c r="B276" i="6"/>
  <c r="C276" i="6"/>
  <c r="D276" i="6"/>
  <c r="E276" i="6"/>
  <c r="F276" i="6"/>
  <c r="G276" i="6"/>
  <c r="H276" i="6"/>
  <c r="I276" i="6"/>
  <c r="J276" i="6"/>
  <c r="K276" i="6"/>
  <c r="L276" i="6"/>
  <c r="M276" i="6"/>
  <c r="N276" i="6"/>
  <c r="O276" i="6"/>
  <c r="P276" i="6"/>
  <c r="Q276" i="6"/>
  <c r="R276" i="6"/>
  <c r="S276" i="6"/>
  <c r="T276" i="6"/>
  <c r="U276" i="6"/>
  <c r="B277" i="6"/>
  <c r="C277" i="6"/>
  <c r="D277" i="6"/>
  <c r="E277" i="6"/>
  <c r="F277" i="6"/>
  <c r="G277" i="6"/>
  <c r="H277" i="6"/>
  <c r="I277" i="6"/>
  <c r="J277" i="6"/>
  <c r="K277" i="6"/>
  <c r="L277" i="6"/>
  <c r="M277" i="6"/>
  <c r="N277" i="6"/>
  <c r="O277" i="6"/>
  <c r="P277" i="6"/>
  <c r="Q277" i="6"/>
  <c r="R277" i="6"/>
  <c r="S277" i="6"/>
  <c r="T277" i="6"/>
  <c r="U277" i="6"/>
  <c r="B278" i="6"/>
  <c r="C278" i="6"/>
  <c r="D278" i="6"/>
  <c r="E278" i="6"/>
  <c r="F278" i="6"/>
  <c r="G278" i="6"/>
  <c r="H278" i="6"/>
  <c r="I278" i="6"/>
  <c r="J278" i="6"/>
  <c r="K278" i="6"/>
  <c r="L278" i="6"/>
  <c r="M278" i="6"/>
  <c r="N278" i="6"/>
  <c r="O278" i="6"/>
  <c r="P278" i="6"/>
  <c r="Q278" i="6"/>
  <c r="R278" i="6"/>
  <c r="S278" i="6"/>
  <c r="T278" i="6"/>
  <c r="U278" i="6"/>
  <c r="B279" i="6"/>
  <c r="C279" i="6"/>
  <c r="D279" i="6"/>
  <c r="E279" i="6"/>
  <c r="F279" i="6"/>
  <c r="G279" i="6"/>
  <c r="H279" i="6"/>
  <c r="I279" i="6"/>
  <c r="J279" i="6"/>
  <c r="K279" i="6"/>
  <c r="L279" i="6"/>
  <c r="M279" i="6"/>
  <c r="N279" i="6"/>
  <c r="O279" i="6"/>
  <c r="P279" i="6"/>
  <c r="Q279" i="6"/>
  <c r="R279" i="6"/>
  <c r="S279" i="6"/>
  <c r="T279" i="6"/>
  <c r="U279" i="6"/>
  <c r="B280" i="6"/>
  <c r="C280" i="6"/>
  <c r="D280" i="6"/>
  <c r="E280" i="6"/>
  <c r="F280" i="6"/>
  <c r="G280" i="6"/>
  <c r="H280" i="6"/>
  <c r="I280" i="6"/>
  <c r="J280" i="6"/>
  <c r="K280" i="6"/>
  <c r="L280" i="6"/>
  <c r="M280" i="6"/>
  <c r="N280" i="6"/>
  <c r="O280" i="6"/>
  <c r="P280" i="6"/>
  <c r="Q280" i="6"/>
  <c r="R280" i="6"/>
  <c r="S280" i="6"/>
  <c r="T280" i="6"/>
  <c r="U280" i="6"/>
  <c r="B281" i="6"/>
  <c r="C281" i="6"/>
  <c r="D281" i="6"/>
  <c r="E281" i="6"/>
  <c r="F281" i="6"/>
  <c r="G281" i="6"/>
  <c r="H281" i="6"/>
  <c r="I281" i="6"/>
  <c r="J281" i="6"/>
  <c r="K281" i="6"/>
  <c r="L281" i="6"/>
  <c r="M281" i="6"/>
  <c r="N281" i="6"/>
  <c r="O281" i="6"/>
  <c r="P281" i="6"/>
  <c r="Q281" i="6"/>
  <c r="R281" i="6"/>
  <c r="S281" i="6"/>
  <c r="T281" i="6"/>
  <c r="U281" i="6"/>
  <c r="B282" i="6"/>
  <c r="C282" i="6"/>
  <c r="D282" i="6"/>
  <c r="E282" i="6"/>
  <c r="F282" i="6"/>
  <c r="G282" i="6"/>
  <c r="H282" i="6"/>
  <c r="I282" i="6"/>
  <c r="J282" i="6"/>
  <c r="K282" i="6"/>
  <c r="L282" i="6"/>
  <c r="M282" i="6"/>
  <c r="N282" i="6"/>
  <c r="O282" i="6"/>
  <c r="P282" i="6"/>
  <c r="Q282" i="6"/>
  <c r="R282" i="6"/>
  <c r="S282" i="6"/>
  <c r="T282" i="6"/>
  <c r="U282" i="6"/>
  <c r="B283" i="6"/>
  <c r="C283" i="6"/>
  <c r="D283" i="6"/>
  <c r="E283" i="6"/>
  <c r="F283" i="6"/>
  <c r="G283" i="6"/>
  <c r="H283" i="6"/>
  <c r="I283" i="6"/>
  <c r="J283" i="6"/>
  <c r="K283" i="6"/>
  <c r="L283" i="6"/>
  <c r="M283" i="6"/>
  <c r="N283" i="6"/>
  <c r="O283" i="6"/>
  <c r="P283" i="6"/>
  <c r="Q283" i="6"/>
  <c r="R283" i="6"/>
  <c r="S283" i="6"/>
  <c r="T283" i="6"/>
  <c r="U283" i="6"/>
  <c r="B284" i="6"/>
  <c r="C284" i="6"/>
  <c r="D284" i="6"/>
  <c r="E284" i="6"/>
  <c r="F284" i="6"/>
  <c r="G284" i="6"/>
  <c r="H284" i="6"/>
  <c r="I284" i="6"/>
  <c r="J284" i="6"/>
  <c r="K284" i="6"/>
  <c r="L284" i="6"/>
  <c r="M284" i="6"/>
  <c r="N284" i="6"/>
  <c r="O284" i="6"/>
  <c r="P284" i="6"/>
  <c r="Q284" i="6"/>
  <c r="R284" i="6"/>
  <c r="S284" i="6"/>
  <c r="T284" i="6"/>
  <c r="U284" i="6"/>
  <c r="B285" i="6"/>
  <c r="C285" i="6"/>
  <c r="D285" i="6"/>
  <c r="E285" i="6"/>
  <c r="F285" i="6"/>
  <c r="G285" i="6"/>
  <c r="H285" i="6"/>
  <c r="I285" i="6"/>
  <c r="J285" i="6"/>
  <c r="K285" i="6"/>
  <c r="L285" i="6"/>
  <c r="M285" i="6"/>
  <c r="N285" i="6"/>
  <c r="O285" i="6"/>
  <c r="P285" i="6"/>
  <c r="Q285" i="6"/>
  <c r="R285" i="6"/>
  <c r="S285" i="6"/>
  <c r="T285" i="6"/>
  <c r="U285" i="6"/>
  <c r="B286" i="6"/>
  <c r="C286" i="6"/>
  <c r="D286" i="6"/>
  <c r="E286" i="6"/>
  <c r="F286" i="6"/>
  <c r="G286" i="6"/>
  <c r="H286" i="6"/>
  <c r="I286" i="6"/>
  <c r="J286" i="6"/>
  <c r="K286" i="6"/>
  <c r="L286" i="6"/>
  <c r="M286" i="6"/>
  <c r="N286" i="6"/>
  <c r="O286" i="6"/>
  <c r="P286" i="6"/>
  <c r="Q286" i="6"/>
  <c r="R286" i="6"/>
  <c r="S286" i="6"/>
  <c r="T286" i="6"/>
  <c r="U286" i="6"/>
  <c r="B287" i="6"/>
  <c r="C287" i="6"/>
  <c r="D287" i="6"/>
  <c r="E287" i="6"/>
  <c r="G287" i="6"/>
  <c r="H287" i="6"/>
  <c r="I287" i="6"/>
  <c r="J287" i="6"/>
  <c r="K287" i="6"/>
  <c r="L287" i="6"/>
  <c r="M287" i="6"/>
  <c r="N287" i="6"/>
  <c r="O287" i="6"/>
  <c r="P287" i="6"/>
  <c r="Q287" i="6"/>
  <c r="R287" i="6"/>
  <c r="S287" i="6"/>
  <c r="T287" i="6"/>
  <c r="U287" i="6"/>
  <c r="B288" i="6"/>
  <c r="C288" i="6"/>
  <c r="D288" i="6"/>
  <c r="E288" i="6"/>
  <c r="F288" i="6"/>
  <c r="G288" i="6"/>
  <c r="H288" i="6"/>
  <c r="I288" i="6"/>
  <c r="J288" i="6"/>
  <c r="K288" i="6"/>
  <c r="L288" i="6"/>
  <c r="M288" i="6"/>
  <c r="N288" i="6"/>
  <c r="O288" i="6"/>
  <c r="P288" i="6"/>
  <c r="Q288" i="6"/>
  <c r="R288" i="6"/>
  <c r="S288" i="6"/>
  <c r="T288" i="6"/>
  <c r="U288" i="6"/>
  <c r="B289" i="6"/>
  <c r="C289" i="6"/>
  <c r="D289" i="6"/>
  <c r="E289" i="6"/>
  <c r="F289" i="6"/>
  <c r="G289" i="6"/>
  <c r="H289" i="6"/>
  <c r="I289" i="6"/>
  <c r="J289" i="6"/>
  <c r="K289" i="6"/>
  <c r="L289" i="6"/>
  <c r="M289" i="6"/>
  <c r="N289" i="6"/>
  <c r="O289" i="6"/>
  <c r="P289" i="6"/>
  <c r="Q289" i="6"/>
  <c r="R289" i="6"/>
  <c r="S289" i="6"/>
  <c r="T289" i="6"/>
  <c r="U289" i="6"/>
  <c r="B290" i="6"/>
  <c r="C290" i="6"/>
  <c r="D290" i="6"/>
  <c r="E290" i="6"/>
  <c r="F290" i="6"/>
  <c r="G290" i="6"/>
  <c r="H290" i="6"/>
  <c r="I290" i="6"/>
  <c r="J290" i="6"/>
  <c r="K290" i="6"/>
  <c r="L290" i="6"/>
  <c r="M290" i="6"/>
  <c r="N290" i="6"/>
  <c r="O290" i="6"/>
  <c r="P290" i="6"/>
  <c r="Q290" i="6"/>
  <c r="R290" i="6"/>
  <c r="S290" i="6"/>
  <c r="T290" i="6"/>
  <c r="U290" i="6"/>
  <c r="B291" i="6"/>
  <c r="C291" i="6"/>
  <c r="D291" i="6"/>
  <c r="E291" i="6"/>
  <c r="F291" i="6"/>
  <c r="G291" i="6"/>
  <c r="H291" i="6"/>
  <c r="I291" i="6"/>
  <c r="J291" i="6"/>
  <c r="K291" i="6"/>
  <c r="L291" i="6"/>
  <c r="M291" i="6"/>
  <c r="N291" i="6"/>
  <c r="O291" i="6"/>
  <c r="P291" i="6"/>
  <c r="Q291" i="6"/>
  <c r="R291" i="6"/>
  <c r="S291" i="6"/>
  <c r="T291" i="6"/>
  <c r="U291" i="6"/>
  <c r="B292" i="6"/>
  <c r="C292" i="6"/>
  <c r="D292" i="6"/>
  <c r="E292" i="6"/>
  <c r="F292" i="6"/>
  <c r="G292" i="6"/>
  <c r="H292" i="6"/>
  <c r="I292" i="6"/>
  <c r="J292" i="6"/>
  <c r="K292" i="6"/>
  <c r="L292" i="6"/>
  <c r="M292" i="6"/>
  <c r="N292" i="6"/>
  <c r="O292" i="6"/>
  <c r="P292" i="6"/>
  <c r="Q292" i="6"/>
  <c r="R292" i="6"/>
  <c r="S292" i="6"/>
  <c r="T292" i="6"/>
  <c r="U292" i="6"/>
  <c r="B293" i="6"/>
  <c r="C293" i="6"/>
  <c r="D293" i="6"/>
  <c r="E293" i="6"/>
  <c r="F293" i="6"/>
  <c r="G293" i="6"/>
  <c r="H293" i="6"/>
  <c r="I293" i="6"/>
  <c r="J293" i="6"/>
  <c r="K293" i="6"/>
  <c r="L293" i="6"/>
  <c r="M293" i="6"/>
  <c r="N293" i="6"/>
  <c r="O293" i="6"/>
  <c r="P293" i="6"/>
  <c r="Q293" i="6"/>
  <c r="R293" i="6"/>
  <c r="S293" i="6"/>
  <c r="T293" i="6"/>
  <c r="U293" i="6"/>
  <c r="B294" i="6"/>
  <c r="C294" i="6"/>
  <c r="D294" i="6"/>
  <c r="E294" i="6"/>
  <c r="F294" i="6"/>
  <c r="G294" i="6"/>
  <c r="H294" i="6"/>
  <c r="I294" i="6"/>
  <c r="J294" i="6"/>
  <c r="K294" i="6"/>
  <c r="L294" i="6"/>
  <c r="M294" i="6"/>
  <c r="N294" i="6"/>
  <c r="O294" i="6"/>
  <c r="P294" i="6"/>
  <c r="Q294" i="6"/>
  <c r="R294" i="6"/>
  <c r="S294" i="6"/>
  <c r="T294" i="6"/>
  <c r="U294" i="6"/>
  <c r="B295" i="6"/>
  <c r="C295" i="6"/>
  <c r="D295" i="6"/>
  <c r="E295" i="6"/>
  <c r="F295" i="6"/>
  <c r="G295" i="6"/>
  <c r="H295" i="6"/>
  <c r="I295" i="6"/>
  <c r="J295" i="6"/>
  <c r="K295" i="6"/>
  <c r="L295" i="6"/>
  <c r="M295" i="6"/>
  <c r="N295" i="6"/>
  <c r="O295" i="6"/>
  <c r="P295" i="6"/>
  <c r="Q295" i="6"/>
  <c r="R295" i="6"/>
  <c r="S295" i="6"/>
  <c r="T295" i="6"/>
  <c r="U295" i="6"/>
  <c r="B296" i="6"/>
  <c r="C296" i="6"/>
  <c r="D296" i="6"/>
  <c r="E296" i="6"/>
  <c r="F296" i="6"/>
  <c r="G296" i="6"/>
  <c r="H296" i="6"/>
  <c r="I296" i="6"/>
  <c r="J296" i="6"/>
  <c r="K296" i="6"/>
  <c r="L296" i="6"/>
  <c r="M296" i="6"/>
  <c r="N296" i="6"/>
  <c r="O296" i="6"/>
  <c r="P296" i="6"/>
  <c r="Q296" i="6"/>
  <c r="R296" i="6"/>
  <c r="S296" i="6"/>
  <c r="T296" i="6"/>
  <c r="U296" i="6"/>
  <c r="B297" i="6"/>
  <c r="C297" i="6"/>
  <c r="D297" i="6"/>
  <c r="E297" i="6"/>
  <c r="F297" i="6"/>
  <c r="G297" i="6"/>
  <c r="H297" i="6"/>
  <c r="I297" i="6"/>
  <c r="J297" i="6"/>
  <c r="K297" i="6"/>
  <c r="L297" i="6"/>
  <c r="M297" i="6"/>
  <c r="N297" i="6"/>
  <c r="O297" i="6"/>
  <c r="P297" i="6"/>
  <c r="Q297" i="6"/>
  <c r="R297" i="6"/>
  <c r="S297" i="6"/>
  <c r="T297" i="6"/>
  <c r="U297" i="6"/>
  <c r="B298" i="6"/>
  <c r="C298" i="6"/>
  <c r="D298" i="6"/>
  <c r="E298" i="6"/>
  <c r="F298" i="6"/>
  <c r="G298" i="6"/>
  <c r="H298" i="6"/>
  <c r="I298" i="6"/>
  <c r="J298" i="6"/>
  <c r="K298" i="6"/>
  <c r="L298" i="6"/>
  <c r="M298" i="6"/>
  <c r="N298" i="6"/>
  <c r="O298" i="6"/>
  <c r="P298" i="6"/>
  <c r="Q298" i="6"/>
  <c r="R298" i="6"/>
  <c r="S298" i="6"/>
  <c r="T298" i="6"/>
  <c r="U298" i="6"/>
  <c r="B299" i="6"/>
  <c r="C299" i="6"/>
  <c r="D299" i="6"/>
  <c r="E299" i="6"/>
  <c r="F299" i="6"/>
  <c r="G299" i="6"/>
  <c r="H299" i="6"/>
  <c r="I299" i="6"/>
  <c r="J299" i="6"/>
  <c r="K299" i="6"/>
  <c r="L299" i="6"/>
  <c r="M299" i="6"/>
  <c r="N299" i="6"/>
  <c r="O299" i="6"/>
  <c r="P299" i="6"/>
  <c r="Q299" i="6"/>
  <c r="R299" i="6"/>
  <c r="S299" i="6"/>
  <c r="T299" i="6"/>
  <c r="U299" i="6"/>
  <c r="B300" i="6"/>
  <c r="C300" i="6"/>
  <c r="D300" i="6"/>
  <c r="E300" i="6"/>
  <c r="F300" i="6"/>
  <c r="G300" i="6"/>
  <c r="H300" i="6"/>
  <c r="I300" i="6"/>
  <c r="J300" i="6"/>
  <c r="K300" i="6"/>
  <c r="L300" i="6"/>
  <c r="M300" i="6"/>
  <c r="N300" i="6"/>
  <c r="O300" i="6"/>
  <c r="P300" i="6"/>
  <c r="Q300" i="6"/>
  <c r="R300" i="6"/>
  <c r="S300" i="6"/>
  <c r="T300" i="6"/>
  <c r="U300" i="6"/>
  <c r="B301" i="6"/>
  <c r="C301" i="6"/>
  <c r="D301" i="6"/>
  <c r="E301" i="6"/>
  <c r="F301" i="6"/>
  <c r="G301" i="6"/>
  <c r="H301" i="6"/>
  <c r="I301" i="6"/>
  <c r="J301" i="6"/>
  <c r="K301" i="6"/>
  <c r="L301" i="6"/>
  <c r="M301" i="6"/>
  <c r="N301" i="6"/>
  <c r="O301" i="6"/>
  <c r="P301" i="6"/>
  <c r="Q301" i="6"/>
  <c r="R301" i="6"/>
  <c r="S301" i="6"/>
  <c r="T301" i="6"/>
  <c r="U301" i="6"/>
  <c r="B302" i="6"/>
  <c r="C302" i="6"/>
  <c r="D302" i="6"/>
  <c r="E302" i="6"/>
  <c r="F302" i="6"/>
  <c r="G302" i="6"/>
  <c r="H302" i="6"/>
  <c r="I302" i="6"/>
  <c r="J302" i="6"/>
  <c r="K302" i="6"/>
  <c r="L302" i="6"/>
  <c r="M302" i="6"/>
  <c r="N302" i="6"/>
  <c r="O302" i="6"/>
  <c r="P302" i="6"/>
  <c r="Q302" i="6"/>
  <c r="R302" i="6"/>
  <c r="S302" i="6"/>
  <c r="T302" i="6"/>
  <c r="U302" i="6"/>
  <c r="B303" i="6"/>
  <c r="C303" i="6"/>
  <c r="D303" i="6"/>
  <c r="E303" i="6"/>
  <c r="F303" i="6"/>
  <c r="G303" i="6"/>
  <c r="H303" i="6"/>
  <c r="I303" i="6"/>
  <c r="J303" i="6"/>
  <c r="K303" i="6"/>
  <c r="L303" i="6"/>
  <c r="M303" i="6"/>
  <c r="N303" i="6"/>
  <c r="O303" i="6"/>
  <c r="P303" i="6"/>
  <c r="Q303" i="6"/>
  <c r="R303" i="6"/>
  <c r="S303" i="6"/>
  <c r="T303" i="6"/>
  <c r="U303" i="6"/>
  <c r="B304" i="6"/>
  <c r="C304" i="6"/>
  <c r="D304" i="6"/>
  <c r="E304" i="6"/>
  <c r="F304" i="6"/>
  <c r="G304" i="6"/>
  <c r="H304" i="6"/>
  <c r="I304" i="6"/>
  <c r="J304" i="6"/>
  <c r="K304" i="6"/>
  <c r="L304" i="6"/>
  <c r="M304" i="6"/>
  <c r="N304" i="6"/>
  <c r="O304" i="6"/>
  <c r="P304" i="6"/>
  <c r="Q304" i="6"/>
  <c r="R304" i="6"/>
  <c r="S304" i="6"/>
  <c r="T304" i="6"/>
  <c r="U304" i="6"/>
  <c r="B305" i="6"/>
  <c r="C305" i="6"/>
  <c r="D305" i="6"/>
  <c r="E305" i="6"/>
  <c r="F305" i="6"/>
  <c r="G305" i="6"/>
  <c r="H305" i="6"/>
  <c r="I305" i="6"/>
  <c r="J305" i="6"/>
  <c r="K305" i="6"/>
  <c r="L305" i="6"/>
  <c r="M305" i="6"/>
  <c r="N305" i="6"/>
  <c r="O305" i="6"/>
  <c r="P305" i="6"/>
  <c r="Q305" i="6"/>
  <c r="R305" i="6"/>
  <c r="S305" i="6"/>
  <c r="T305" i="6"/>
  <c r="U305" i="6"/>
  <c r="B306" i="6"/>
  <c r="C306" i="6"/>
  <c r="D306" i="6"/>
  <c r="E306" i="6"/>
  <c r="F306" i="6"/>
  <c r="G306" i="6"/>
  <c r="H306" i="6"/>
  <c r="I306" i="6"/>
  <c r="J306" i="6"/>
  <c r="K306" i="6"/>
  <c r="L306" i="6"/>
  <c r="M306" i="6"/>
  <c r="N306" i="6"/>
  <c r="O306" i="6"/>
  <c r="P306" i="6"/>
  <c r="Q306" i="6"/>
  <c r="R306" i="6"/>
  <c r="S306" i="6"/>
  <c r="T306" i="6"/>
  <c r="U306" i="6"/>
  <c r="B307" i="6"/>
  <c r="C307" i="6"/>
  <c r="D307" i="6"/>
  <c r="E307" i="6"/>
  <c r="F307" i="6"/>
  <c r="G307" i="6"/>
  <c r="H307" i="6"/>
  <c r="I307" i="6"/>
  <c r="J307" i="6"/>
  <c r="K307" i="6"/>
  <c r="L307" i="6"/>
  <c r="M307" i="6"/>
  <c r="N307" i="6"/>
  <c r="O307" i="6"/>
  <c r="P307" i="6"/>
  <c r="Q307" i="6"/>
  <c r="R307" i="6"/>
  <c r="S307" i="6"/>
  <c r="T307" i="6"/>
  <c r="U307" i="6"/>
  <c r="B308" i="6"/>
  <c r="C308" i="6"/>
  <c r="D308" i="6"/>
  <c r="E308" i="6"/>
  <c r="F308" i="6"/>
  <c r="G308" i="6"/>
  <c r="H308" i="6"/>
  <c r="I308" i="6"/>
  <c r="J308" i="6"/>
  <c r="K308" i="6"/>
  <c r="L308" i="6"/>
  <c r="M308" i="6"/>
  <c r="N308" i="6"/>
  <c r="O308" i="6"/>
  <c r="P308" i="6"/>
  <c r="Q308" i="6"/>
  <c r="R308" i="6"/>
  <c r="S308" i="6"/>
  <c r="T308" i="6"/>
  <c r="U308" i="6"/>
  <c r="B309" i="6"/>
  <c r="C309" i="6"/>
  <c r="D309" i="6"/>
  <c r="E309" i="6"/>
  <c r="F309" i="6"/>
  <c r="G309" i="6"/>
  <c r="H309" i="6"/>
  <c r="I309" i="6"/>
  <c r="J309" i="6"/>
  <c r="K309" i="6"/>
  <c r="L309" i="6"/>
  <c r="M309" i="6"/>
  <c r="N309" i="6"/>
  <c r="O309" i="6"/>
  <c r="P309" i="6"/>
  <c r="Q309" i="6"/>
  <c r="R309" i="6"/>
  <c r="S309" i="6"/>
  <c r="T309" i="6"/>
  <c r="U309" i="6"/>
  <c r="B310" i="6"/>
  <c r="C310" i="6"/>
  <c r="D310" i="6"/>
  <c r="E310" i="6"/>
  <c r="F310" i="6"/>
  <c r="G310" i="6"/>
  <c r="H310" i="6"/>
  <c r="I310" i="6"/>
  <c r="J310" i="6"/>
  <c r="K310" i="6"/>
  <c r="L310" i="6"/>
  <c r="M310" i="6"/>
  <c r="N310" i="6"/>
  <c r="O310" i="6"/>
  <c r="P310" i="6"/>
  <c r="Q310" i="6"/>
  <c r="R310" i="6"/>
  <c r="S310" i="6"/>
  <c r="T310" i="6"/>
  <c r="U310" i="6"/>
  <c r="B311" i="6"/>
  <c r="C311" i="6"/>
  <c r="D311" i="6"/>
  <c r="E311" i="6"/>
  <c r="F311" i="6"/>
  <c r="G311" i="6"/>
  <c r="H311" i="6"/>
  <c r="I311" i="6"/>
  <c r="J311" i="6"/>
  <c r="K311" i="6"/>
  <c r="L311" i="6"/>
  <c r="M311" i="6"/>
  <c r="N311" i="6"/>
  <c r="O311" i="6"/>
  <c r="P311" i="6"/>
  <c r="Q311" i="6"/>
  <c r="R311" i="6"/>
  <c r="S311" i="6"/>
  <c r="T311" i="6"/>
  <c r="U311" i="6"/>
  <c r="B312" i="6"/>
  <c r="C312" i="6"/>
  <c r="D312" i="6"/>
  <c r="E312" i="6"/>
  <c r="F312" i="6"/>
  <c r="G312" i="6"/>
  <c r="H312" i="6"/>
  <c r="I312" i="6"/>
  <c r="J312" i="6"/>
  <c r="K312" i="6"/>
  <c r="L312" i="6"/>
  <c r="M312" i="6"/>
  <c r="N312" i="6"/>
  <c r="O312" i="6"/>
  <c r="P312" i="6"/>
  <c r="Q312" i="6"/>
  <c r="R312" i="6"/>
  <c r="S312" i="6"/>
  <c r="T312" i="6"/>
  <c r="U312" i="6"/>
  <c r="B313" i="6"/>
  <c r="C313" i="6"/>
  <c r="D313" i="6"/>
  <c r="E313" i="6"/>
  <c r="F313" i="6"/>
  <c r="G313" i="6"/>
  <c r="H313" i="6"/>
  <c r="I313" i="6"/>
  <c r="J313" i="6"/>
  <c r="K313" i="6"/>
  <c r="L313" i="6"/>
  <c r="M313" i="6"/>
  <c r="N313" i="6"/>
  <c r="O313" i="6"/>
  <c r="P313" i="6"/>
  <c r="Q313" i="6"/>
  <c r="R313" i="6"/>
  <c r="S313" i="6"/>
  <c r="T313" i="6"/>
  <c r="U313" i="6"/>
  <c r="B314" i="6"/>
  <c r="C314" i="6"/>
  <c r="D314" i="6"/>
  <c r="E314" i="6"/>
  <c r="F314" i="6"/>
  <c r="G314" i="6"/>
  <c r="H314" i="6"/>
  <c r="I314" i="6"/>
  <c r="J314" i="6"/>
  <c r="K314" i="6"/>
  <c r="L314" i="6"/>
  <c r="M314" i="6"/>
  <c r="N314" i="6"/>
  <c r="O314" i="6"/>
  <c r="P314" i="6"/>
  <c r="Q314" i="6"/>
  <c r="R314" i="6"/>
  <c r="S314" i="6"/>
  <c r="T314" i="6"/>
  <c r="U314" i="6"/>
  <c r="B315" i="6"/>
  <c r="C315" i="6"/>
  <c r="D315" i="6"/>
  <c r="E315" i="6"/>
  <c r="F315" i="6"/>
  <c r="G315" i="6"/>
  <c r="H315" i="6"/>
  <c r="I315" i="6"/>
  <c r="J315" i="6"/>
  <c r="K315" i="6"/>
  <c r="L315" i="6"/>
  <c r="M315" i="6"/>
  <c r="N315" i="6"/>
  <c r="O315" i="6"/>
  <c r="P315" i="6"/>
  <c r="Q315" i="6"/>
  <c r="R315" i="6"/>
  <c r="S315" i="6"/>
  <c r="T315" i="6"/>
  <c r="U315" i="6"/>
  <c r="B316" i="6"/>
  <c r="C316" i="6"/>
  <c r="D316" i="6"/>
  <c r="E316" i="6"/>
  <c r="F316" i="6"/>
  <c r="G316" i="6"/>
  <c r="H316" i="6"/>
  <c r="I316" i="6"/>
  <c r="J316" i="6"/>
  <c r="K316" i="6"/>
  <c r="L316" i="6"/>
  <c r="M316" i="6"/>
  <c r="N316" i="6"/>
  <c r="O316" i="6"/>
  <c r="P316" i="6"/>
  <c r="Q316" i="6"/>
  <c r="R316" i="6"/>
  <c r="S316" i="6"/>
  <c r="T316" i="6"/>
  <c r="U316" i="6"/>
  <c r="B317" i="6"/>
  <c r="C317" i="6"/>
  <c r="D317" i="6"/>
  <c r="E317" i="6"/>
  <c r="F317" i="6"/>
  <c r="G317" i="6"/>
  <c r="H317" i="6"/>
  <c r="I317" i="6"/>
  <c r="J317" i="6"/>
  <c r="K317" i="6"/>
  <c r="L317" i="6"/>
  <c r="M317" i="6"/>
  <c r="N317" i="6"/>
  <c r="O317" i="6"/>
  <c r="P317" i="6"/>
  <c r="Q317" i="6"/>
  <c r="R317" i="6"/>
  <c r="S317" i="6"/>
  <c r="T317" i="6"/>
  <c r="U317" i="6"/>
  <c r="B318" i="6"/>
  <c r="C318" i="6"/>
  <c r="D318" i="6"/>
  <c r="E318" i="6"/>
  <c r="F318" i="6"/>
  <c r="G318" i="6"/>
  <c r="H318" i="6"/>
  <c r="I318" i="6"/>
  <c r="J318" i="6"/>
  <c r="K318" i="6"/>
  <c r="L318" i="6"/>
  <c r="M318" i="6"/>
  <c r="N318" i="6"/>
  <c r="O318" i="6"/>
  <c r="P318" i="6"/>
  <c r="Q318" i="6"/>
  <c r="R318" i="6"/>
  <c r="S318" i="6"/>
  <c r="T318" i="6"/>
  <c r="U318" i="6"/>
  <c r="B319" i="6"/>
  <c r="C319" i="6"/>
  <c r="D319" i="6"/>
  <c r="E319" i="6"/>
  <c r="F319" i="6"/>
  <c r="G319" i="6"/>
  <c r="H319" i="6"/>
  <c r="I319" i="6"/>
  <c r="J319" i="6"/>
  <c r="K319" i="6"/>
  <c r="L319" i="6"/>
  <c r="M319" i="6"/>
  <c r="N319" i="6"/>
  <c r="O319" i="6"/>
  <c r="P319" i="6"/>
  <c r="Q319" i="6"/>
  <c r="R319" i="6"/>
  <c r="S319" i="6"/>
  <c r="T319" i="6"/>
  <c r="U319" i="6"/>
  <c r="B320" i="6"/>
  <c r="C320" i="6"/>
  <c r="D320" i="6"/>
  <c r="E320" i="6"/>
  <c r="F320" i="6"/>
  <c r="G320" i="6"/>
  <c r="H320" i="6"/>
  <c r="I320" i="6"/>
  <c r="J320" i="6"/>
  <c r="K320" i="6"/>
  <c r="L320" i="6"/>
  <c r="M320" i="6"/>
  <c r="N320" i="6"/>
  <c r="O320" i="6"/>
  <c r="P320" i="6"/>
  <c r="Q320" i="6"/>
  <c r="R320" i="6"/>
  <c r="S320" i="6"/>
  <c r="T320" i="6"/>
  <c r="U320" i="6"/>
  <c r="B321" i="6"/>
  <c r="C321" i="6"/>
  <c r="D321" i="6"/>
  <c r="E321" i="6"/>
  <c r="F321" i="6"/>
  <c r="G321" i="6"/>
  <c r="H321" i="6"/>
  <c r="I321" i="6"/>
  <c r="J321" i="6"/>
  <c r="K321" i="6"/>
  <c r="L321" i="6"/>
  <c r="M321" i="6"/>
  <c r="N321" i="6"/>
  <c r="O321" i="6"/>
  <c r="P321" i="6"/>
  <c r="Q321" i="6"/>
  <c r="R321" i="6"/>
  <c r="S321" i="6"/>
  <c r="T321" i="6"/>
  <c r="U321" i="6"/>
  <c r="B322" i="6"/>
  <c r="C322" i="6"/>
  <c r="D322" i="6"/>
  <c r="E322" i="6"/>
  <c r="F322" i="6"/>
  <c r="G322" i="6"/>
  <c r="H322" i="6"/>
  <c r="I322" i="6"/>
  <c r="J322" i="6"/>
  <c r="K322" i="6"/>
  <c r="L322" i="6"/>
  <c r="M322" i="6"/>
  <c r="N322" i="6"/>
  <c r="O322" i="6"/>
  <c r="P322" i="6"/>
  <c r="Q322" i="6"/>
  <c r="R322" i="6"/>
  <c r="S322" i="6"/>
  <c r="T322" i="6"/>
  <c r="U322" i="6"/>
  <c r="B323" i="6"/>
  <c r="C323" i="6"/>
  <c r="D323" i="6"/>
  <c r="E323" i="6"/>
  <c r="F323" i="6"/>
  <c r="G323" i="6"/>
  <c r="H323" i="6"/>
  <c r="I323" i="6"/>
  <c r="J323" i="6"/>
  <c r="K323" i="6"/>
  <c r="L323" i="6"/>
  <c r="M323" i="6"/>
  <c r="N323" i="6"/>
  <c r="O323" i="6"/>
  <c r="P323" i="6"/>
  <c r="Q323" i="6"/>
  <c r="R323" i="6"/>
  <c r="S323" i="6"/>
  <c r="T323" i="6"/>
  <c r="U323" i="6"/>
  <c r="B324" i="6"/>
  <c r="C324" i="6"/>
  <c r="D324" i="6"/>
  <c r="E324" i="6"/>
  <c r="F324" i="6"/>
  <c r="G324" i="6"/>
  <c r="H324" i="6"/>
  <c r="I324" i="6"/>
  <c r="J324" i="6"/>
  <c r="K324" i="6"/>
  <c r="L324" i="6"/>
  <c r="M324" i="6"/>
  <c r="N324" i="6"/>
  <c r="O324" i="6"/>
  <c r="P324" i="6"/>
  <c r="Q324" i="6"/>
  <c r="R324" i="6"/>
  <c r="S324" i="6"/>
  <c r="T324" i="6"/>
  <c r="U324" i="6"/>
  <c r="B325" i="6"/>
  <c r="C325" i="6"/>
  <c r="D325" i="6"/>
  <c r="E325" i="6"/>
  <c r="F325" i="6"/>
  <c r="G325" i="6"/>
  <c r="H325" i="6"/>
  <c r="I325" i="6"/>
  <c r="J325" i="6"/>
  <c r="K325" i="6"/>
  <c r="L325" i="6"/>
  <c r="M325" i="6"/>
  <c r="N325" i="6"/>
  <c r="O325" i="6"/>
  <c r="P325" i="6"/>
  <c r="Q325" i="6"/>
  <c r="R325" i="6"/>
  <c r="S325" i="6"/>
  <c r="T325" i="6"/>
  <c r="U325" i="6"/>
  <c r="B326" i="6"/>
  <c r="C326" i="6"/>
  <c r="D326" i="6"/>
  <c r="E326" i="6"/>
  <c r="F326" i="6"/>
  <c r="G326" i="6"/>
  <c r="H326" i="6"/>
  <c r="I326" i="6"/>
  <c r="J326" i="6"/>
  <c r="K326" i="6"/>
  <c r="L326" i="6"/>
  <c r="M326" i="6"/>
  <c r="N326" i="6"/>
  <c r="O326" i="6"/>
  <c r="P326" i="6"/>
  <c r="Q326" i="6"/>
  <c r="R326" i="6"/>
  <c r="S326" i="6"/>
  <c r="T326" i="6"/>
  <c r="U326" i="6"/>
  <c r="B327" i="6"/>
  <c r="C327" i="6"/>
  <c r="D327" i="6"/>
  <c r="E327" i="6"/>
  <c r="F327" i="6"/>
  <c r="G327" i="6"/>
  <c r="H327" i="6"/>
  <c r="I327" i="6"/>
  <c r="J327" i="6"/>
  <c r="K327" i="6"/>
  <c r="L327" i="6"/>
  <c r="M327" i="6"/>
  <c r="N327" i="6"/>
  <c r="O327" i="6"/>
  <c r="P327" i="6"/>
  <c r="Q327" i="6"/>
  <c r="R327" i="6"/>
  <c r="S327" i="6"/>
  <c r="T327" i="6"/>
  <c r="U327" i="6"/>
  <c r="B328" i="6"/>
  <c r="C328" i="6"/>
  <c r="D328" i="6"/>
  <c r="E328" i="6"/>
  <c r="F328" i="6"/>
  <c r="G328" i="6"/>
  <c r="H328" i="6"/>
  <c r="I328" i="6"/>
  <c r="J328" i="6"/>
  <c r="K328" i="6"/>
  <c r="L328" i="6"/>
  <c r="M328" i="6"/>
  <c r="N328" i="6"/>
  <c r="O328" i="6"/>
  <c r="P328" i="6"/>
  <c r="Q328" i="6"/>
  <c r="R328" i="6"/>
  <c r="S328" i="6"/>
  <c r="T328" i="6"/>
  <c r="U328" i="6"/>
  <c r="B329" i="6"/>
  <c r="C329" i="6"/>
  <c r="D329" i="6"/>
  <c r="E329" i="6"/>
  <c r="F329" i="6"/>
  <c r="G329" i="6"/>
  <c r="H329" i="6"/>
  <c r="I329" i="6"/>
  <c r="J329" i="6"/>
  <c r="K329" i="6"/>
  <c r="L329" i="6"/>
  <c r="M329" i="6"/>
  <c r="N329" i="6"/>
  <c r="O329" i="6"/>
  <c r="P329" i="6"/>
  <c r="Q329" i="6"/>
  <c r="R329" i="6"/>
  <c r="S329" i="6"/>
  <c r="T329" i="6"/>
  <c r="U329" i="6"/>
  <c r="B330" i="6"/>
  <c r="C330" i="6"/>
  <c r="D330" i="6"/>
  <c r="E330" i="6"/>
  <c r="F330" i="6"/>
  <c r="G330" i="6"/>
  <c r="H330" i="6"/>
  <c r="I330" i="6"/>
  <c r="J330" i="6"/>
  <c r="K330" i="6"/>
  <c r="L330" i="6"/>
  <c r="M330" i="6"/>
  <c r="N330" i="6"/>
  <c r="O330" i="6"/>
  <c r="P330" i="6"/>
  <c r="Q330" i="6"/>
  <c r="R330" i="6"/>
  <c r="S330" i="6"/>
  <c r="T330" i="6"/>
  <c r="U330" i="6"/>
  <c r="B331" i="6"/>
  <c r="C331" i="6"/>
  <c r="D331" i="6"/>
  <c r="E331" i="6"/>
  <c r="F331" i="6"/>
  <c r="G331" i="6"/>
  <c r="H331" i="6"/>
  <c r="I331" i="6"/>
  <c r="J331" i="6"/>
  <c r="K331" i="6"/>
  <c r="L331" i="6"/>
  <c r="M331" i="6"/>
  <c r="N331" i="6"/>
  <c r="O331" i="6"/>
  <c r="P331" i="6"/>
  <c r="Q331" i="6"/>
  <c r="R331" i="6"/>
  <c r="S331" i="6"/>
  <c r="T331" i="6"/>
  <c r="U331" i="6"/>
  <c r="B332" i="6"/>
  <c r="C332" i="6"/>
  <c r="D332" i="6"/>
  <c r="E332" i="6"/>
  <c r="F332" i="6"/>
  <c r="G332" i="6"/>
  <c r="H332" i="6"/>
  <c r="I332" i="6"/>
  <c r="J332" i="6"/>
  <c r="K332" i="6"/>
  <c r="L332" i="6"/>
  <c r="M332" i="6"/>
  <c r="N332" i="6"/>
  <c r="O332" i="6"/>
  <c r="P332" i="6"/>
  <c r="Q332" i="6"/>
  <c r="R332" i="6"/>
  <c r="S332" i="6"/>
  <c r="T332" i="6"/>
  <c r="U332" i="6"/>
  <c r="B333" i="6"/>
  <c r="C333" i="6"/>
  <c r="D333" i="6"/>
  <c r="E333" i="6"/>
  <c r="F333" i="6"/>
  <c r="G333" i="6"/>
  <c r="H333" i="6"/>
  <c r="I333" i="6"/>
  <c r="J333" i="6"/>
  <c r="K333" i="6"/>
  <c r="L333" i="6"/>
  <c r="M333" i="6"/>
  <c r="N333" i="6"/>
  <c r="O333" i="6"/>
  <c r="P333" i="6"/>
  <c r="Q333" i="6"/>
  <c r="R333" i="6"/>
  <c r="S333" i="6"/>
  <c r="T333" i="6"/>
  <c r="U333" i="6"/>
  <c r="B334" i="6"/>
  <c r="C334" i="6"/>
  <c r="D334" i="6"/>
  <c r="E334" i="6"/>
  <c r="F334" i="6"/>
  <c r="G334" i="6"/>
  <c r="H334" i="6"/>
  <c r="I334" i="6"/>
  <c r="J334" i="6"/>
  <c r="K334" i="6"/>
  <c r="L334" i="6"/>
  <c r="M334" i="6"/>
  <c r="N334" i="6"/>
  <c r="O334" i="6"/>
  <c r="P334" i="6"/>
  <c r="Q334" i="6"/>
  <c r="R334" i="6"/>
  <c r="S334" i="6"/>
  <c r="T334" i="6"/>
  <c r="U334" i="6"/>
  <c r="B335" i="6"/>
  <c r="C335" i="6"/>
  <c r="D335" i="6"/>
  <c r="E335" i="6"/>
  <c r="F335" i="6"/>
  <c r="G335" i="6"/>
  <c r="H335" i="6"/>
  <c r="I335" i="6"/>
  <c r="J335" i="6"/>
  <c r="K335" i="6"/>
  <c r="L335" i="6"/>
  <c r="M335" i="6"/>
  <c r="N335" i="6"/>
  <c r="O335" i="6"/>
  <c r="P335" i="6"/>
  <c r="Q335" i="6"/>
  <c r="R335" i="6"/>
  <c r="S335" i="6"/>
  <c r="T335" i="6"/>
  <c r="U335" i="6"/>
  <c r="B336" i="6"/>
  <c r="C336" i="6"/>
  <c r="D336" i="6"/>
  <c r="E336" i="6"/>
  <c r="F336" i="6"/>
  <c r="G336" i="6"/>
  <c r="H336" i="6"/>
  <c r="I336" i="6"/>
  <c r="J336" i="6"/>
  <c r="K336" i="6"/>
  <c r="L336" i="6"/>
  <c r="M336" i="6"/>
  <c r="N336" i="6"/>
  <c r="O336" i="6"/>
  <c r="P336" i="6"/>
  <c r="Q336" i="6"/>
  <c r="R336" i="6"/>
  <c r="S336" i="6"/>
  <c r="T336" i="6"/>
  <c r="U336" i="6"/>
  <c r="B337" i="6"/>
  <c r="C337" i="6"/>
  <c r="D337" i="6"/>
  <c r="E337" i="6"/>
  <c r="F337" i="6"/>
  <c r="G337" i="6"/>
  <c r="H337" i="6"/>
  <c r="I337" i="6"/>
  <c r="J337" i="6"/>
  <c r="K337" i="6"/>
  <c r="L337" i="6"/>
  <c r="M337" i="6"/>
  <c r="N337" i="6"/>
  <c r="O337" i="6"/>
  <c r="P337" i="6"/>
  <c r="Q337" i="6"/>
  <c r="R337" i="6"/>
  <c r="S337" i="6"/>
  <c r="T337" i="6"/>
  <c r="U337" i="6"/>
  <c r="B338" i="6"/>
  <c r="C338" i="6"/>
  <c r="D338" i="6"/>
  <c r="E338" i="6"/>
  <c r="F338" i="6"/>
  <c r="G338" i="6"/>
  <c r="H338" i="6"/>
  <c r="I338" i="6"/>
  <c r="J338" i="6"/>
  <c r="K338" i="6"/>
  <c r="L338" i="6"/>
  <c r="M338" i="6"/>
  <c r="N338" i="6"/>
  <c r="O338" i="6"/>
  <c r="P338" i="6"/>
  <c r="Q338" i="6"/>
  <c r="R338" i="6"/>
  <c r="S338" i="6"/>
  <c r="T338" i="6"/>
  <c r="U338" i="6"/>
  <c r="B339" i="6"/>
  <c r="C339" i="6"/>
  <c r="D339" i="6"/>
  <c r="E339" i="6"/>
  <c r="F339" i="6"/>
  <c r="G339" i="6"/>
  <c r="H339" i="6"/>
  <c r="I339" i="6"/>
  <c r="J339" i="6"/>
  <c r="K339" i="6"/>
  <c r="L339" i="6"/>
  <c r="M339" i="6"/>
  <c r="N339" i="6"/>
  <c r="O339" i="6"/>
  <c r="P339" i="6"/>
  <c r="Q339" i="6"/>
  <c r="R339" i="6"/>
  <c r="S339" i="6"/>
  <c r="T339" i="6"/>
  <c r="U339" i="6"/>
  <c r="B340" i="6"/>
  <c r="C340" i="6"/>
  <c r="D340" i="6"/>
  <c r="E340" i="6"/>
  <c r="F340" i="6"/>
  <c r="G340" i="6"/>
  <c r="H340" i="6"/>
  <c r="I340" i="6"/>
  <c r="J340" i="6"/>
  <c r="K340" i="6"/>
  <c r="L340" i="6"/>
  <c r="M340" i="6"/>
  <c r="N340" i="6"/>
  <c r="O340" i="6"/>
  <c r="P340" i="6"/>
  <c r="Q340" i="6"/>
  <c r="R340" i="6"/>
  <c r="S340" i="6"/>
  <c r="T340" i="6"/>
  <c r="U340" i="6"/>
  <c r="B341" i="6"/>
  <c r="C341" i="6"/>
  <c r="D341" i="6"/>
  <c r="E341" i="6"/>
  <c r="F341" i="6"/>
  <c r="G341" i="6"/>
  <c r="H341" i="6"/>
  <c r="I341" i="6"/>
  <c r="J341" i="6"/>
  <c r="K341" i="6"/>
  <c r="L341" i="6"/>
  <c r="M341" i="6"/>
  <c r="N341" i="6"/>
  <c r="O341" i="6"/>
  <c r="P341" i="6"/>
  <c r="Q341" i="6"/>
  <c r="R341" i="6"/>
  <c r="S341" i="6"/>
  <c r="T341" i="6"/>
  <c r="U341" i="6"/>
  <c r="B342" i="6"/>
  <c r="C342" i="6"/>
  <c r="D342" i="6"/>
  <c r="E342" i="6"/>
  <c r="F342" i="6"/>
  <c r="G342" i="6"/>
  <c r="H342" i="6"/>
  <c r="I342" i="6"/>
  <c r="J342" i="6"/>
  <c r="K342" i="6"/>
  <c r="L342" i="6"/>
  <c r="M342" i="6"/>
  <c r="N342" i="6"/>
  <c r="O342" i="6"/>
  <c r="P342" i="6"/>
  <c r="Q342" i="6"/>
  <c r="R342" i="6"/>
  <c r="S342" i="6"/>
  <c r="T342" i="6"/>
  <c r="U342" i="6"/>
  <c r="B343" i="6"/>
  <c r="C343" i="6"/>
  <c r="D343" i="6"/>
  <c r="E343" i="6"/>
  <c r="F343" i="6"/>
  <c r="G343" i="6"/>
  <c r="H343" i="6"/>
  <c r="I343" i="6"/>
  <c r="J343" i="6"/>
  <c r="K343" i="6"/>
  <c r="L343" i="6"/>
  <c r="M343" i="6"/>
  <c r="N343" i="6"/>
  <c r="O343" i="6"/>
  <c r="P343" i="6"/>
  <c r="Q343" i="6"/>
  <c r="R343" i="6"/>
  <c r="S343" i="6"/>
  <c r="T343" i="6"/>
  <c r="U343" i="6"/>
  <c r="B344" i="6"/>
  <c r="C344" i="6"/>
  <c r="D344" i="6"/>
  <c r="E344" i="6"/>
  <c r="F344" i="6"/>
  <c r="G344" i="6"/>
  <c r="H344" i="6"/>
  <c r="I344" i="6"/>
  <c r="J344" i="6"/>
  <c r="K344" i="6"/>
  <c r="L344" i="6"/>
  <c r="M344" i="6"/>
  <c r="N344" i="6"/>
  <c r="O344" i="6"/>
  <c r="P344" i="6"/>
  <c r="Q344" i="6"/>
  <c r="R344" i="6"/>
  <c r="S344" i="6"/>
  <c r="T344" i="6"/>
  <c r="U344" i="6"/>
  <c r="B345" i="6"/>
  <c r="C345" i="6"/>
  <c r="D345" i="6"/>
  <c r="E345" i="6"/>
  <c r="F345" i="6"/>
  <c r="G345" i="6"/>
  <c r="H345" i="6"/>
  <c r="I345" i="6"/>
  <c r="J345" i="6"/>
  <c r="K345" i="6"/>
  <c r="L345" i="6"/>
  <c r="M345" i="6"/>
  <c r="N345" i="6"/>
  <c r="O345" i="6"/>
  <c r="P345" i="6"/>
  <c r="Q345" i="6"/>
  <c r="R345" i="6"/>
  <c r="S345" i="6"/>
  <c r="T345" i="6"/>
  <c r="U345" i="6"/>
  <c r="B346" i="6"/>
  <c r="C346" i="6"/>
  <c r="D346" i="6"/>
  <c r="E346" i="6"/>
  <c r="F346" i="6"/>
  <c r="G346" i="6"/>
  <c r="H346" i="6"/>
  <c r="I346" i="6"/>
  <c r="J346" i="6"/>
  <c r="K346" i="6"/>
  <c r="L346" i="6"/>
  <c r="M346" i="6"/>
  <c r="N346" i="6"/>
  <c r="O346" i="6"/>
  <c r="P346" i="6"/>
  <c r="Q346" i="6"/>
  <c r="R346" i="6"/>
  <c r="S346" i="6"/>
  <c r="T346" i="6"/>
  <c r="U346" i="6"/>
  <c r="B347" i="6"/>
  <c r="C347" i="6"/>
  <c r="D347" i="6"/>
  <c r="E347" i="6"/>
  <c r="F347" i="6"/>
  <c r="G347" i="6"/>
  <c r="H347" i="6"/>
  <c r="I347" i="6"/>
  <c r="J347" i="6"/>
  <c r="K347" i="6"/>
  <c r="L347" i="6"/>
  <c r="M347" i="6"/>
  <c r="N347" i="6"/>
  <c r="O347" i="6"/>
  <c r="P347" i="6"/>
  <c r="Q347" i="6"/>
  <c r="R347" i="6"/>
  <c r="S347" i="6"/>
  <c r="T347" i="6"/>
  <c r="U347" i="6"/>
  <c r="B348" i="6"/>
  <c r="C348" i="6"/>
  <c r="D348" i="6"/>
  <c r="E348" i="6"/>
  <c r="F348" i="6"/>
  <c r="G348" i="6"/>
  <c r="H348" i="6"/>
  <c r="I348" i="6"/>
  <c r="J348" i="6"/>
  <c r="K348" i="6"/>
  <c r="L348" i="6"/>
  <c r="M348" i="6"/>
  <c r="N348" i="6"/>
  <c r="O348" i="6"/>
  <c r="P348" i="6"/>
  <c r="Q348" i="6"/>
  <c r="R348" i="6"/>
  <c r="S348" i="6"/>
  <c r="T348" i="6"/>
  <c r="U348" i="6"/>
  <c r="B349" i="6"/>
  <c r="C349" i="6"/>
  <c r="D349" i="6"/>
  <c r="E349" i="6"/>
  <c r="F349" i="6"/>
  <c r="G349" i="6"/>
  <c r="H349" i="6"/>
  <c r="I349" i="6"/>
  <c r="J349" i="6"/>
  <c r="K349" i="6"/>
  <c r="L349" i="6"/>
  <c r="M349" i="6"/>
  <c r="N349" i="6"/>
  <c r="O349" i="6"/>
  <c r="P349" i="6"/>
  <c r="Q349" i="6"/>
  <c r="R349" i="6"/>
  <c r="S349" i="6"/>
  <c r="T349" i="6"/>
  <c r="U349" i="6"/>
  <c r="B350" i="6"/>
  <c r="C350" i="6"/>
  <c r="D350" i="6"/>
  <c r="E350" i="6"/>
  <c r="F350" i="6"/>
  <c r="G350" i="6"/>
  <c r="H350" i="6"/>
  <c r="I350" i="6"/>
  <c r="J350" i="6"/>
  <c r="K350" i="6"/>
  <c r="L350" i="6"/>
  <c r="M350" i="6"/>
  <c r="N350" i="6"/>
  <c r="O350" i="6"/>
  <c r="P350" i="6"/>
  <c r="Q350" i="6"/>
  <c r="R350" i="6"/>
  <c r="S350" i="6"/>
  <c r="T350" i="6"/>
  <c r="U350" i="6"/>
  <c r="B351" i="6"/>
  <c r="C351" i="6"/>
  <c r="D351" i="6"/>
  <c r="E351" i="6"/>
  <c r="F351" i="6"/>
  <c r="G351" i="6"/>
  <c r="H351" i="6"/>
  <c r="I351" i="6"/>
  <c r="J351" i="6"/>
  <c r="K351" i="6"/>
  <c r="L351" i="6"/>
  <c r="M351" i="6"/>
  <c r="N351" i="6"/>
  <c r="O351" i="6"/>
  <c r="P351" i="6"/>
  <c r="Q351" i="6"/>
  <c r="R351" i="6"/>
  <c r="S351" i="6"/>
  <c r="T351" i="6"/>
  <c r="U351" i="6"/>
  <c r="B352" i="6"/>
  <c r="C352" i="6"/>
  <c r="D352" i="6"/>
  <c r="E352" i="6"/>
  <c r="F352" i="6"/>
  <c r="G352" i="6"/>
  <c r="H352" i="6"/>
  <c r="I352" i="6"/>
  <c r="J352" i="6"/>
  <c r="K352" i="6"/>
  <c r="L352" i="6"/>
  <c r="M352" i="6"/>
  <c r="N352" i="6"/>
  <c r="O352" i="6"/>
  <c r="P352" i="6"/>
  <c r="Q352" i="6"/>
  <c r="R352" i="6"/>
  <c r="S352" i="6"/>
  <c r="T352" i="6"/>
  <c r="U352" i="6"/>
  <c r="B353" i="6"/>
  <c r="C353" i="6"/>
  <c r="D353" i="6"/>
  <c r="E353" i="6"/>
  <c r="F353" i="6"/>
  <c r="G353" i="6"/>
  <c r="H353" i="6"/>
  <c r="I353" i="6"/>
  <c r="J353" i="6"/>
  <c r="K353" i="6"/>
  <c r="L353" i="6"/>
  <c r="M353" i="6"/>
  <c r="N353" i="6"/>
  <c r="O353" i="6"/>
  <c r="P353" i="6"/>
  <c r="Q353" i="6"/>
  <c r="R353" i="6"/>
  <c r="S353" i="6"/>
  <c r="T353" i="6"/>
  <c r="U353" i="6"/>
  <c r="B354" i="6"/>
  <c r="C354" i="6"/>
  <c r="D354" i="6"/>
  <c r="E354" i="6"/>
  <c r="F354" i="6"/>
  <c r="G354" i="6"/>
  <c r="H354" i="6"/>
  <c r="I354" i="6"/>
  <c r="J354" i="6"/>
  <c r="K354" i="6"/>
  <c r="L354" i="6"/>
  <c r="M354" i="6"/>
  <c r="N354" i="6"/>
  <c r="O354" i="6"/>
  <c r="P354" i="6"/>
  <c r="Q354" i="6"/>
  <c r="R354" i="6"/>
  <c r="S354" i="6"/>
  <c r="T354" i="6"/>
  <c r="U354" i="6"/>
  <c r="B355" i="6"/>
  <c r="C355" i="6"/>
  <c r="D355" i="6"/>
  <c r="E355" i="6"/>
  <c r="F355" i="6"/>
  <c r="G355" i="6"/>
  <c r="H355" i="6"/>
  <c r="I355" i="6"/>
  <c r="J355" i="6"/>
  <c r="K355" i="6"/>
  <c r="L355" i="6"/>
  <c r="M355" i="6"/>
  <c r="N355" i="6"/>
  <c r="O355" i="6"/>
  <c r="P355" i="6"/>
  <c r="Q355" i="6"/>
  <c r="R355" i="6"/>
  <c r="S355" i="6"/>
  <c r="T355" i="6"/>
  <c r="U355" i="6"/>
  <c r="B356" i="6"/>
  <c r="C356" i="6"/>
  <c r="D356" i="6"/>
  <c r="E356" i="6"/>
  <c r="F356" i="6"/>
  <c r="G356" i="6"/>
  <c r="H356" i="6"/>
  <c r="I356" i="6"/>
  <c r="J356" i="6"/>
  <c r="K356" i="6"/>
  <c r="L356" i="6"/>
  <c r="M356" i="6"/>
  <c r="N356" i="6"/>
  <c r="O356" i="6"/>
  <c r="P356" i="6"/>
  <c r="Q356" i="6"/>
  <c r="R356" i="6"/>
  <c r="S356" i="6"/>
  <c r="T356" i="6"/>
  <c r="U356" i="6"/>
  <c r="B357" i="6"/>
  <c r="C357" i="6"/>
  <c r="D357" i="6"/>
  <c r="E357" i="6"/>
  <c r="F357" i="6"/>
  <c r="G357" i="6"/>
  <c r="H357" i="6"/>
  <c r="I357" i="6"/>
  <c r="J357" i="6"/>
  <c r="K357" i="6"/>
  <c r="L357" i="6"/>
  <c r="M357" i="6"/>
  <c r="N357" i="6"/>
  <c r="O357" i="6"/>
  <c r="P357" i="6"/>
  <c r="Q357" i="6"/>
  <c r="R357" i="6"/>
  <c r="S357" i="6"/>
  <c r="T357" i="6"/>
  <c r="U357" i="6"/>
  <c r="B358" i="6"/>
  <c r="C358" i="6"/>
  <c r="D358" i="6"/>
  <c r="E358" i="6"/>
  <c r="F358" i="6"/>
  <c r="G358" i="6"/>
  <c r="H358" i="6"/>
  <c r="I358" i="6"/>
  <c r="J358" i="6"/>
  <c r="K358" i="6"/>
  <c r="L358" i="6"/>
  <c r="M358" i="6"/>
  <c r="N358" i="6"/>
  <c r="O358" i="6"/>
  <c r="P358" i="6"/>
  <c r="Q358" i="6"/>
  <c r="R358" i="6"/>
  <c r="S358" i="6"/>
  <c r="T358" i="6"/>
  <c r="U358" i="6"/>
  <c r="B359" i="6"/>
  <c r="C359" i="6"/>
  <c r="D359" i="6"/>
  <c r="E359" i="6"/>
  <c r="F359" i="6"/>
  <c r="G359" i="6"/>
  <c r="H359" i="6"/>
  <c r="I359" i="6"/>
  <c r="J359" i="6"/>
  <c r="K359" i="6"/>
  <c r="L359" i="6"/>
  <c r="M359" i="6"/>
  <c r="N359" i="6"/>
  <c r="O359" i="6"/>
  <c r="P359" i="6"/>
  <c r="Q359" i="6"/>
  <c r="R359" i="6"/>
  <c r="S359" i="6"/>
  <c r="T359" i="6"/>
  <c r="U359" i="6"/>
  <c r="B360" i="6"/>
  <c r="C360" i="6"/>
  <c r="D360" i="6"/>
  <c r="E360" i="6"/>
  <c r="F360" i="6"/>
  <c r="G360" i="6"/>
  <c r="H360" i="6"/>
  <c r="I360" i="6"/>
  <c r="J360" i="6"/>
  <c r="K360" i="6"/>
  <c r="L360" i="6"/>
  <c r="M360" i="6"/>
  <c r="N360" i="6"/>
  <c r="O360" i="6"/>
  <c r="P360" i="6"/>
  <c r="Q360" i="6"/>
  <c r="R360" i="6"/>
  <c r="S360" i="6"/>
  <c r="T360" i="6"/>
  <c r="U360" i="6"/>
  <c r="B361" i="6"/>
  <c r="C361" i="6"/>
  <c r="D361" i="6"/>
  <c r="E361" i="6"/>
  <c r="F361" i="6"/>
  <c r="G361" i="6"/>
  <c r="H361" i="6"/>
  <c r="I361" i="6"/>
  <c r="J361" i="6"/>
  <c r="K361" i="6"/>
  <c r="L361" i="6"/>
  <c r="M361" i="6"/>
  <c r="N361" i="6"/>
  <c r="O361" i="6"/>
  <c r="P361" i="6"/>
  <c r="Q361" i="6"/>
  <c r="R361" i="6"/>
  <c r="S361" i="6"/>
  <c r="T361" i="6"/>
  <c r="U361" i="6"/>
  <c r="B362" i="6"/>
  <c r="C362" i="6"/>
  <c r="D362" i="6"/>
  <c r="E362" i="6"/>
  <c r="F362" i="6"/>
  <c r="G362" i="6"/>
  <c r="H362" i="6"/>
  <c r="I362" i="6"/>
  <c r="J362" i="6"/>
  <c r="K362" i="6"/>
  <c r="L362" i="6"/>
  <c r="M362" i="6"/>
  <c r="N362" i="6"/>
  <c r="O362" i="6"/>
  <c r="P362" i="6"/>
  <c r="Q362" i="6"/>
  <c r="R362" i="6"/>
  <c r="S362" i="6"/>
  <c r="T362" i="6"/>
  <c r="U362" i="6"/>
  <c r="B363" i="6"/>
  <c r="C363" i="6"/>
  <c r="D363" i="6"/>
  <c r="E363" i="6"/>
  <c r="F363" i="6"/>
  <c r="G363" i="6"/>
  <c r="H363" i="6"/>
  <c r="I363" i="6"/>
  <c r="J363" i="6"/>
  <c r="K363" i="6"/>
  <c r="L363" i="6"/>
  <c r="M363" i="6"/>
  <c r="N363" i="6"/>
  <c r="O363" i="6"/>
  <c r="P363" i="6"/>
  <c r="Q363" i="6"/>
  <c r="R363" i="6"/>
  <c r="S363" i="6"/>
  <c r="T363" i="6"/>
  <c r="U363" i="6"/>
  <c r="B364" i="6"/>
  <c r="C364" i="6"/>
  <c r="D364" i="6"/>
  <c r="E364" i="6"/>
  <c r="F364" i="6"/>
  <c r="G364" i="6"/>
  <c r="H364" i="6"/>
  <c r="I364" i="6"/>
  <c r="J364" i="6"/>
  <c r="K364" i="6"/>
  <c r="L364" i="6"/>
  <c r="M364" i="6"/>
  <c r="N364" i="6"/>
  <c r="O364" i="6"/>
  <c r="P364" i="6"/>
  <c r="Q364" i="6"/>
  <c r="R364" i="6"/>
  <c r="S364" i="6"/>
  <c r="T364" i="6"/>
  <c r="U364" i="6"/>
  <c r="B365" i="6"/>
  <c r="C365" i="6"/>
  <c r="D365" i="6"/>
  <c r="E365" i="6"/>
  <c r="F365" i="6"/>
  <c r="G365" i="6"/>
  <c r="H365" i="6"/>
  <c r="I365" i="6"/>
  <c r="J365" i="6"/>
  <c r="K365" i="6"/>
  <c r="L365" i="6"/>
  <c r="M365" i="6"/>
  <c r="N365" i="6"/>
  <c r="O365" i="6"/>
  <c r="P365" i="6"/>
  <c r="Q365" i="6"/>
  <c r="R365" i="6"/>
  <c r="S365" i="6"/>
  <c r="T365" i="6"/>
  <c r="U365" i="6"/>
  <c r="B366" i="6"/>
  <c r="C366" i="6"/>
  <c r="D366" i="6"/>
  <c r="E366" i="6"/>
  <c r="F366" i="6"/>
  <c r="G366" i="6"/>
  <c r="H366" i="6"/>
  <c r="I366" i="6"/>
  <c r="J366" i="6"/>
  <c r="K366" i="6"/>
  <c r="L366" i="6"/>
  <c r="M366" i="6"/>
  <c r="N366" i="6"/>
  <c r="O366" i="6"/>
  <c r="P366" i="6"/>
  <c r="Q366" i="6"/>
  <c r="R366" i="6"/>
  <c r="S366" i="6"/>
  <c r="T366" i="6"/>
  <c r="U366" i="6"/>
  <c r="B367" i="6"/>
  <c r="C367" i="6"/>
  <c r="D367" i="6"/>
  <c r="E367" i="6"/>
  <c r="F367" i="6"/>
  <c r="G367" i="6"/>
  <c r="H367" i="6"/>
  <c r="I367" i="6"/>
  <c r="J367" i="6"/>
  <c r="K367" i="6"/>
  <c r="L367" i="6"/>
  <c r="M367" i="6"/>
  <c r="N367" i="6"/>
  <c r="O367" i="6"/>
  <c r="P367" i="6"/>
  <c r="Q367" i="6"/>
  <c r="R367" i="6"/>
  <c r="S367" i="6"/>
  <c r="T367" i="6"/>
  <c r="U367" i="6"/>
  <c r="B368" i="6"/>
  <c r="C368" i="6"/>
  <c r="D368" i="6"/>
  <c r="E368" i="6"/>
  <c r="F368" i="6"/>
  <c r="G368" i="6"/>
  <c r="H368" i="6"/>
  <c r="I368" i="6"/>
  <c r="J368" i="6"/>
  <c r="K368" i="6"/>
  <c r="L368" i="6"/>
  <c r="M368" i="6"/>
  <c r="N368" i="6"/>
  <c r="O368" i="6"/>
  <c r="P368" i="6"/>
  <c r="Q368" i="6"/>
  <c r="R368" i="6"/>
  <c r="S368" i="6"/>
  <c r="T368" i="6"/>
  <c r="U368" i="6"/>
  <c r="B369" i="6"/>
  <c r="C369" i="6"/>
  <c r="D369" i="6"/>
  <c r="E369" i="6"/>
  <c r="F369" i="6"/>
  <c r="G369" i="6"/>
  <c r="H369" i="6"/>
  <c r="I369" i="6"/>
  <c r="J369" i="6"/>
  <c r="K369" i="6"/>
  <c r="L369" i="6"/>
  <c r="M369" i="6"/>
  <c r="N369" i="6"/>
  <c r="O369" i="6"/>
  <c r="P369" i="6"/>
  <c r="Q369" i="6"/>
  <c r="R369" i="6"/>
  <c r="S369" i="6"/>
  <c r="T369" i="6"/>
  <c r="U369" i="6"/>
  <c r="B370" i="6"/>
  <c r="C370" i="6"/>
  <c r="D370" i="6"/>
  <c r="E370" i="6"/>
  <c r="F370" i="6"/>
  <c r="G370" i="6"/>
  <c r="H370" i="6"/>
  <c r="I370" i="6"/>
  <c r="J370" i="6"/>
  <c r="K370" i="6"/>
  <c r="L370" i="6"/>
  <c r="M370" i="6"/>
  <c r="N370" i="6"/>
  <c r="O370" i="6"/>
  <c r="P370" i="6"/>
  <c r="Q370" i="6"/>
  <c r="R370" i="6"/>
  <c r="S370" i="6"/>
  <c r="T370" i="6"/>
  <c r="U370" i="6"/>
  <c r="B371" i="6"/>
  <c r="C371" i="6"/>
  <c r="D371" i="6"/>
  <c r="E371" i="6"/>
  <c r="F371" i="6"/>
  <c r="G371" i="6"/>
  <c r="H371" i="6"/>
  <c r="I371" i="6"/>
  <c r="J371" i="6"/>
  <c r="K371" i="6"/>
  <c r="L371" i="6"/>
  <c r="M371" i="6"/>
  <c r="N371" i="6"/>
  <c r="O371" i="6"/>
  <c r="P371" i="6"/>
  <c r="Q371" i="6"/>
  <c r="R371" i="6"/>
  <c r="S371" i="6"/>
  <c r="T371" i="6"/>
  <c r="U371" i="6"/>
  <c r="B372" i="6"/>
  <c r="C372" i="6"/>
  <c r="D372" i="6"/>
  <c r="E372" i="6"/>
  <c r="F372" i="6"/>
  <c r="G372" i="6"/>
  <c r="H372" i="6"/>
  <c r="I372" i="6"/>
  <c r="J372" i="6"/>
  <c r="K372" i="6"/>
  <c r="L372" i="6"/>
  <c r="M372" i="6"/>
  <c r="N372" i="6"/>
  <c r="O372" i="6"/>
  <c r="P372" i="6"/>
  <c r="Q372" i="6"/>
  <c r="R372" i="6"/>
  <c r="S372" i="6"/>
  <c r="T372" i="6"/>
  <c r="U372" i="6"/>
  <c r="B373" i="6"/>
  <c r="C373" i="6"/>
  <c r="D373" i="6"/>
  <c r="E373" i="6"/>
  <c r="F373" i="6"/>
  <c r="G373" i="6"/>
  <c r="H373" i="6"/>
  <c r="I373" i="6"/>
  <c r="J373" i="6"/>
  <c r="K373" i="6"/>
  <c r="L373" i="6"/>
  <c r="M373" i="6"/>
  <c r="N373" i="6"/>
  <c r="O373" i="6"/>
  <c r="P373" i="6"/>
  <c r="Q373" i="6"/>
  <c r="R373" i="6"/>
  <c r="S373" i="6"/>
  <c r="T373" i="6"/>
  <c r="U373" i="6"/>
  <c r="B374" i="6"/>
  <c r="C374" i="6"/>
  <c r="D374" i="6"/>
  <c r="E374" i="6"/>
  <c r="F374" i="6"/>
  <c r="G374" i="6"/>
  <c r="H374" i="6"/>
  <c r="I374" i="6"/>
  <c r="J374" i="6"/>
  <c r="K374" i="6"/>
  <c r="L374" i="6"/>
  <c r="M374" i="6"/>
  <c r="N374" i="6"/>
  <c r="O374" i="6"/>
  <c r="P374" i="6"/>
  <c r="Q374" i="6"/>
  <c r="R374" i="6"/>
  <c r="S374" i="6"/>
  <c r="T374" i="6"/>
  <c r="U374" i="6"/>
  <c r="B375" i="6"/>
  <c r="C375" i="6"/>
  <c r="D375" i="6"/>
  <c r="E375" i="6"/>
  <c r="F375" i="6"/>
  <c r="G375" i="6"/>
  <c r="H375" i="6"/>
  <c r="I375" i="6"/>
  <c r="J375" i="6"/>
  <c r="K375" i="6"/>
  <c r="L375" i="6"/>
  <c r="M375" i="6"/>
  <c r="N375" i="6"/>
  <c r="O375" i="6"/>
  <c r="P375" i="6"/>
  <c r="Q375" i="6"/>
  <c r="R375" i="6"/>
  <c r="S375" i="6"/>
  <c r="T375" i="6"/>
  <c r="U375" i="6"/>
  <c r="B376" i="6"/>
  <c r="C376" i="6"/>
  <c r="D376" i="6"/>
  <c r="E376" i="6"/>
  <c r="F376" i="6"/>
  <c r="G376" i="6"/>
  <c r="H376" i="6"/>
  <c r="I376" i="6"/>
  <c r="J376" i="6"/>
  <c r="K376" i="6"/>
  <c r="L376" i="6"/>
  <c r="M376" i="6"/>
  <c r="N376" i="6"/>
  <c r="O376" i="6"/>
  <c r="P376" i="6"/>
  <c r="Q376" i="6"/>
  <c r="R376" i="6"/>
  <c r="S376" i="6"/>
  <c r="T376" i="6"/>
  <c r="U376" i="6"/>
  <c r="B377" i="6"/>
  <c r="C377" i="6"/>
  <c r="D377" i="6"/>
  <c r="E377" i="6"/>
  <c r="F377" i="6"/>
  <c r="G377" i="6"/>
  <c r="H377" i="6"/>
  <c r="I377" i="6"/>
  <c r="J377" i="6"/>
  <c r="K377" i="6"/>
  <c r="L377" i="6"/>
  <c r="M377" i="6"/>
  <c r="N377" i="6"/>
  <c r="O377" i="6"/>
  <c r="P377" i="6"/>
  <c r="Q377" i="6"/>
  <c r="R377" i="6"/>
  <c r="S377" i="6"/>
  <c r="T377" i="6"/>
  <c r="U377" i="6"/>
  <c r="B378" i="6"/>
  <c r="C378" i="6"/>
  <c r="D378" i="6"/>
  <c r="E378" i="6"/>
  <c r="F378" i="6"/>
  <c r="G378" i="6"/>
  <c r="H378" i="6"/>
  <c r="I378" i="6"/>
  <c r="J378" i="6"/>
  <c r="K378" i="6"/>
  <c r="L378" i="6"/>
  <c r="M378" i="6"/>
  <c r="N378" i="6"/>
  <c r="O378" i="6"/>
  <c r="P378" i="6"/>
  <c r="Q378" i="6"/>
  <c r="R378" i="6"/>
  <c r="S378" i="6"/>
  <c r="T378" i="6"/>
  <c r="U378" i="6"/>
  <c r="B379" i="6"/>
  <c r="C379" i="6"/>
  <c r="D379" i="6"/>
  <c r="E379" i="6"/>
  <c r="F379" i="6"/>
  <c r="G379" i="6"/>
  <c r="H379" i="6"/>
  <c r="I379" i="6"/>
  <c r="J379" i="6"/>
  <c r="K379" i="6"/>
  <c r="L379" i="6"/>
  <c r="M379" i="6"/>
  <c r="N379" i="6"/>
  <c r="O379" i="6"/>
  <c r="P379" i="6"/>
  <c r="Q379" i="6"/>
  <c r="R379" i="6"/>
  <c r="S379" i="6"/>
  <c r="T379" i="6"/>
  <c r="U379" i="6"/>
  <c r="B380" i="6"/>
  <c r="C380" i="6"/>
  <c r="D380" i="6"/>
  <c r="E380" i="6"/>
  <c r="F380" i="6"/>
  <c r="G380" i="6"/>
  <c r="H380" i="6"/>
  <c r="I380" i="6"/>
  <c r="J380" i="6"/>
  <c r="K380" i="6"/>
  <c r="L380" i="6"/>
  <c r="M380" i="6"/>
  <c r="N380" i="6"/>
  <c r="O380" i="6"/>
  <c r="P380" i="6"/>
  <c r="Q380" i="6"/>
  <c r="R380" i="6"/>
  <c r="S380" i="6"/>
  <c r="T380" i="6"/>
  <c r="U380" i="6"/>
  <c r="B381" i="6"/>
  <c r="C381" i="6"/>
  <c r="D381" i="6"/>
  <c r="E381" i="6"/>
  <c r="F381" i="6"/>
  <c r="G381" i="6"/>
  <c r="H381" i="6"/>
  <c r="I381" i="6"/>
  <c r="J381" i="6"/>
  <c r="K381" i="6"/>
  <c r="L381" i="6"/>
  <c r="M381" i="6"/>
  <c r="N381" i="6"/>
  <c r="O381" i="6"/>
  <c r="P381" i="6"/>
  <c r="Q381" i="6"/>
  <c r="R381" i="6"/>
  <c r="S381" i="6"/>
  <c r="T381" i="6"/>
  <c r="U381" i="6"/>
  <c r="B382" i="6"/>
  <c r="C382" i="6"/>
  <c r="D382" i="6"/>
  <c r="E382" i="6"/>
  <c r="F382" i="6"/>
  <c r="G382" i="6"/>
  <c r="H382" i="6"/>
  <c r="I382" i="6"/>
  <c r="J382" i="6"/>
  <c r="K382" i="6"/>
  <c r="L382" i="6"/>
  <c r="M382" i="6"/>
  <c r="N382" i="6"/>
  <c r="O382" i="6"/>
  <c r="P382" i="6"/>
  <c r="Q382" i="6"/>
  <c r="R382" i="6"/>
  <c r="S382" i="6"/>
  <c r="T382" i="6"/>
  <c r="U382" i="6"/>
  <c r="B383" i="6"/>
  <c r="C383" i="6"/>
  <c r="D383" i="6"/>
  <c r="E383" i="6"/>
  <c r="F383" i="6"/>
  <c r="G383" i="6"/>
  <c r="H383" i="6"/>
  <c r="I383" i="6"/>
  <c r="J383" i="6"/>
  <c r="K383" i="6"/>
  <c r="L383" i="6"/>
  <c r="M383" i="6"/>
  <c r="N383" i="6"/>
  <c r="O383" i="6"/>
  <c r="P383" i="6"/>
  <c r="Q383" i="6"/>
  <c r="R383" i="6"/>
  <c r="S383" i="6"/>
  <c r="T383" i="6"/>
  <c r="U383" i="6"/>
  <c r="B384" i="6"/>
  <c r="C384" i="6"/>
  <c r="D384" i="6"/>
  <c r="E384" i="6"/>
  <c r="F384" i="6"/>
  <c r="G384" i="6"/>
  <c r="H384" i="6"/>
  <c r="I384" i="6"/>
  <c r="J384" i="6"/>
  <c r="K384" i="6"/>
  <c r="L384" i="6"/>
  <c r="M384" i="6"/>
  <c r="N384" i="6"/>
  <c r="O384" i="6"/>
  <c r="P384" i="6"/>
  <c r="Q384" i="6"/>
  <c r="R384" i="6"/>
  <c r="S384" i="6"/>
  <c r="T384" i="6"/>
  <c r="U384" i="6"/>
  <c r="B385" i="6"/>
  <c r="C385" i="6"/>
  <c r="D385" i="6"/>
  <c r="E385" i="6"/>
  <c r="F385" i="6"/>
  <c r="G385" i="6"/>
  <c r="H385" i="6"/>
  <c r="I385" i="6"/>
  <c r="J385" i="6"/>
  <c r="K385" i="6"/>
  <c r="L385" i="6"/>
  <c r="M385" i="6"/>
  <c r="N385" i="6"/>
  <c r="O385" i="6"/>
  <c r="P385" i="6"/>
  <c r="Q385" i="6"/>
  <c r="R385" i="6"/>
  <c r="S385" i="6"/>
  <c r="T385" i="6"/>
  <c r="U385" i="6"/>
  <c r="B386" i="6"/>
  <c r="C386" i="6"/>
  <c r="D386" i="6"/>
  <c r="E386" i="6"/>
  <c r="F386" i="6"/>
  <c r="G386" i="6"/>
  <c r="H386" i="6"/>
  <c r="I386" i="6"/>
  <c r="J386" i="6"/>
  <c r="K386" i="6"/>
  <c r="L386" i="6"/>
  <c r="M386" i="6"/>
  <c r="N386" i="6"/>
  <c r="O386" i="6"/>
  <c r="P386" i="6"/>
  <c r="Q386" i="6"/>
  <c r="R386" i="6"/>
  <c r="S386" i="6"/>
  <c r="T386" i="6"/>
  <c r="U386" i="6"/>
  <c r="B387" i="6"/>
  <c r="C387" i="6"/>
  <c r="D387" i="6"/>
  <c r="E387" i="6"/>
  <c r="F387" i="6"/>
  <c r="G387" i="6"/>
  <c r="H387" i="6"/>
  <c r="I387" i="6"/>
  <c r="J387" i="6"/>
  <c r="K387" i="6"/>
  <c r="L387" i="6"/>
  <c r="M387" i="6"/>
  <c r="N387" i="6"/>
  <c r="O387" i="6"/>
  <c r="P387" i="6"/>
  <c r="Q387" i="6"/>
  <c r="R387" i="6"/>
  <c r="S387" i="6"/>
  <c r="T387" i="6"/>
  <c r="U387" i="6"/>
  <c r="B388" i="6"/>
  <c r="C388" i="6"/>
  <c r="D388" i="6"/>
  <c r="E388" i="6"/>
  <c r="F388" i="6"/>
  <c r="G388" i="6"/>
  <c r="H388" i="6"/>
  <c r="I388" i="6"/>
  <c r="J388" i="6"/>
  <c r="K388" i="6"/>
  <c r="L388" i="6"/>
  <c r="M388" i="6"/>
  <c r="N388" i="6"/>
  <c r="O388" i="6"/>
  <c r="P388" i="6"/>
  <c r="Q388" i="6"/>
  <c r="R388" i="6"/>
  <c r="S388" i="6"/>
  <c r="T388" i="6"/>
  <c r="U388" i="6"/>
  <c r="B389" i="6"/>
  <c r="C389" i="6"/>
  <c r="D389" i="6"/>
  <c r="E389" i="6"/>
  <c r="F389" i="6"/>
  <c r="G389" i="6"/>
  <c r="H389" i="6"/>
  <c r="I389" i="6"/>
  <c r="J389" i="6"/>
  <c r="K389" i="6"/>
  <c r="L389" i="6"/>
  <c r="M389" i="6"/>
  <c r="N389" i="6"/>
  <c r="O389" i="6"/>
  <c r="P389" i="6"/>
  <c r="Q389" i="6"/>
  <c r="R389" i="6"/>
  <c r="S389" i="6"/>
  <c r="T389" i="6"/>
  <c r="U389" i="6"/>
  <c r="B390" i="6"/>
  <c r="C390" i="6"/>
  <c r="D390" i="6"/>
  <c r="E390" i="6"/>
  <c r="F390" i="6"/>
  <c r="G390" i="6"/>
  <c r="H390" i="6"/>
  <c r="I390" i="6"/>
  <c r="J390" i="6"/>
  <c r="K390" i="6"/>
  <c r="L390" i="6"/>
  <c r="M390" i="6"/>
  <c r="N390" i="6"/>
  <c r="O390" i="6"/>
  <c r="P390" i="6"/>
  <c r="Q390" i="6"/>
  <c r="R390" i="6"/>
  <c r="S390" i="6"/>
  <c r="T390" i="6"/>
  <c r="U390" i="6"/>
  <c r="B391" i="6"/>
  <c r="C391" i="6"/>
  <c r="D391" i="6"/>
  <c r="E391" i="6"/>
  <c r="F391" i="6"/>
  <c r="G391" i="6"/>
  <c r="H391" i="6"/>
  <c r="I391" i="6"/>
  <c r="J391" i="6"/>
  <c r="K391" i="6"/>
  <c r="L391" i="6"/>
  <c r="M391" i="6"/>
  <c r="N391" i="6"/>
  <c r="O391" i="6"/>
  <c r="P391" i="6"/>
  <c r="Q391" i="6"/>
  <c r="R391" i="6"/>
  <c r="S391" i="6"/>
  <c r="T391" i="6"/>
  <c r="U391" i="6"/>
  <c r="B392" i="6"/>
  <c r="C392" i="6"/>
  <c r="D392" i="6"/>
  <c r="E392" i="6"/>
  <c r="F392" i="6"/>
  <c r="G392" i="6"/>
  <c r="H392" i="6"/>
  <c r="I392" i="6"/>
  <c r="J392" i="6"/>
  <c r="K392" i="6"/>
  <c r="L392" i="6"/>
  <c r="M392" i="6"/>
  <c r="N392" i="6"/>
  <c r="O392" i="6"/>
  <c r="P392" i="6"/>
  <c r="Q392" i="6"/>
  <c r="R392" i="6"/>
  <c r="S392" i="6"/>
  <c r="T392" i="6"/>
  <c r="U392" i="6"/>
  <c r="B393" i="6"/>
  <c r="C393" i="6"/>
  <c r="D393" i="6"/>
  <c r="E393" i="6"/>
  <c r="F393" i="6"/>
  <c r="G393" i="6"/>
  <c r="H393" i="6"/>
  <c r="I393" i="6"/>
  <c r="J393" i="6"/>
  <c r="K393" i="6"/>
  <c r="L393" i="6"/>
  <c r="M393" i="6"/>
  <c r="N393" i="6"/>
  <c r="O393" i="6"/>
  <c r="P393" i="6"/>
  <c r="Q393" i="6"/>
  <c r="R393" i="6"/>
  <c r="S393" i="6"/>
  <c r="T393" i="6"/>
  <c r="U393" i="6"/>
  <c r="B394" i="6"/>
  <c r="C394" i="6"/>
  <c r="D394" i="6"/>
  <c r="E394" i="6"/>
  <c r="F394" i="6"/>
  <c r="G394" i="6"/>
  <c r="H394" i="6"/>
  <c r="I394" i="6"/>
  <c r="J394" i="6"/>
  <c r="K394" i="6"/>
  <c r="L394" i="6"/>
  <c r="M394" i="6"/>
  <c r="N394" i="6"/>
  <c r="O394" i="6"/>
  <c r="P394" i="6"/>
  <c r="Q394" i="6"/>
  <c r="R394" i="6"/>
  <c r="S394" i="6"/>
  <c r="T394" i="6"/>
  <c r="U394" i="6"/>
  <c r="B395" i="6"/>
  <c r="C395" i="6"/>
  <c r="D395" i="6"/>
  <c r="E395" i="6"/>
  <c r="F395" i="6"/>
  <c r="G395" i="6"/>
  <c r="H395" i="6"/>
  <c r="I395" i="6"/>
  <c r="J395" i="6"/>
  <c r="K395" i="6"/>
  <c r="L395" i="6"/>
  <c r="M395" i="6"/>
  <c r="N395" i="6"/>
  <c r="O395" i="6"/>
  <c r="P395" i="6"/>
  <c r="Q395" i="6"/>
  <c r="R395" i="6"/>
  <c r="S395" i="6"/>
  <c r="T395" i="6"/>
  <c r="U395" i="6"/>
  <c r="B396" i="6"/>
  <c r="C396" i="6"/>
  <c r="D396" i="6"/>
  <c r="E396" i="6"/>
  <c r="F396" i="6"/>
  <c r="G396" i="6"/>
  <c r="H396" i="6"/>
  <c r="I396" i="6"/>
  <c r="J396" i="6"/>
  <c r="K396" i="6"/>
  <c r="L396" i="6"/>
  <c r="M396" i="6"/>
  <c r="N396" i="6"/>
  <c r="O396" i="6"/>
  <c r="P396" i="6"/>
  <c r="Q396" i="6"/>
  <c r="R396" i="6"/>
  <c r="S396" i="6"/>
  <c r="T396" i="6"/>
  <c r="U396" i="6"/>
  <c r="B397" i="6"/>
  <c r="C397" i="6"/>
  <c r="D397" i="6"/>
  <c r="E397" i="6"/>
  <c r="F397" i="6"/>
  <c r="G397" i="6"/>
  <c r="H397" i="6"/>
  <c r="I397" i="6"/>
  <c r="J397" i="6"/>
  <c r="K397" i="6"/>
  <c r="L397" i="6"/>
  <c r="M397" i="6"/>
  <c r="N397" i="6"/>
  <c r="O397" i="6"/>
  <c r="P397" i="6"/>
  <c r="Q397" i="6"/>
  <c r="R397" i="6"/>
  <c r="S397" i="6"/>
  <c r="T397" i="6"/>
  <c r="U397" i="6"/>
  <c r="B398" i="6"/>
  <c r="C398" i="6"/>
  <c r="D398" i="6"/>
  <c r="E398" i="6"/>
  <c r="F398" i="6"/>
  <c r="G398" i="6"/>
  <c r="H398" i="6"/>
  <c r="I398" i="6"/>
  <c r="J398" i="6"/>
  <c r="K398" i="6"/>
  <c r="L398" i="6"/>
  <c r="M398" i="6"/>
  <c r="N398" i="6"/>
  <c r="O398" i="6"/>
  <c r="P398" i="6"/>
  <c r="Q398" i="6"/>
  <c r="R398" i="6"/>
  <c r="S398" i="6"/>
  <c r="T398" i="6"/>
  <c r="U398" i="6"/>
  <c r="B399" i="6"/>
  <c r="C399" i="6"/>
  <c r="D399" i="6"/>
  <c r="E399" i="6"/>
  <c r="F399" i="6"/>
  <c r="G399" i="6"/>
  <c r="H399" i="6"/>
  <c r="I399" i="6"/>
  <c r="J399" i="6"/>
  <c r="K399" i="6"/>
  <c r="L399" i="6"/>
  <c r="M399" i="6"/>
  <c r="N399" i="6"/>
  <c r="O399" i="6"/>
  <c r="P399" i="6"/>
  <c r="Q399" i="6"/>
  <c r="R399" i="6"/>
  <c r="S399" i="6"/>
  <c r="T399" i="6"/>
  <c r="U399" i="6"/>
  <c r="B400" i="6"/>
  <c r="C400" i="6"/>
  <c r="D400" i="6"/>
  <c r="E400" i="6"/>
  <c r="F400" i="6"/>
  <c r="G400" i="6"/>
  <c r="H400" i="6"/>
  <c r="I400" i="6"/>
  <c r="J400" i="6"/>
  <c r="K400" i="6"/>
  <c r="L400" i="6"/>
  <c r="M400" i="6"/>
  <c r="N400" i="6"/>
  <c r="O400" i="6"/>
  <c r="P400" i="6"/>
  <c r="Q400" i="6"/>
  <c r="R400" i="6"/>
  <c r="S400" i="6"/>
  <c r="T400" i="6"/>
  <c r="U400" i="6"/>
  <c r="B401" i="6"/>
  <c r="C401" i="6"/>
  <c r="D401" i="6"/>
  <c r="E401" i="6"/>
  <c r="F401" i="6"/>
  <c r="G401" i="6"/>
  <c r="H401" i="6"/>
  <c r="I401" i="6"/>
  <c r="J401" i="6"/>
  <c r="K401" i="6"/>
  <c r="L401" i="6"/>
  <c r="M401" i="6"/>
  <c r="N401" i="6"/>
  <c r="O401" i="6"/>
  <c r="P401" i="6"/>
  <c r="Q401" i="6"/>
  <c r="R401" i="6"/>
  <c r="S401" i="6"/>
  <c r="T401" i="6"/>
  <c r="U401" i="6"/>
  <c r="B402" i="6"/>
  <c r="C402" i="6"/>
  <c r="D402" i="6"/>
  <c r="E402" i="6"/>
  <c r="F402" i="6"/>
  <c r="G402" i="6"/>
  <c r="H402" i="6"/>
  <c r="I402" i="6"/>
  <c r="J402" i="6"/>
  <c r="K402" i="6"/>
  <c r="L402" i="6"/>
  <c r="M402" i="6"/>
  <c r="N402" i="6"/>
  <c r="O402" i="6"/>
  <c r="P402" i="6"/>
  <c r="Q402" i="6"/>
  <c r="R402" i="6"/>
  <c r="S402" i="6"/>
  <c r="T402" i="6"/>
  <c r="U402" i="6"/>
  <c r="B403" i="6"/>
  <c r="C403" i="6"/>
  <c r="D403" i="6"/>
  <c r="E403" i="6"/>
  <c r="F403" i="6"/>
  <c r="G403" i="6"/>
  <c r="H403" i="6"/>
  <c r="I403" i="6"/>
  <c r="J403" i="6"/>
  <c r="K403" i="6"/>
  <c r="L403" i="6"/>
  <c r="M403" i="6"/>
  <c r="N403" i="6"/>
  <c r="O403" i="6"/>
  <c r="P403" i="6"/>
  <c r="Q403" i="6"/>
  <c r="R403" i="6"/>
  <c r="S403" i="6"/>
  <c r="T403" i="6"/>
  <c r="U403" i="6"/>
  <c r="B404" i="6"/>
  <c r="C404" i="6"/>
  <c r="D404" i="6"/>
  <c r="E404" i="6"/>
  <c r="F404" i="6"/>
  <c r="G404" i="6"/>
  <c r="H404" i="6"/>
  <c r="I404" i="6"/>
  <c r="J404" i="6"/>
  <c r="K404" i="6"/>
  <c r="L404" i="6"/>
  <c r="M404" i="6"/>
  <c r="N404" i="6"/>
  <c r="O404" i="6"/>
  <c r="P404" i="6"/>
  <c r="Q404" i="6"/>
  <c r="R404" i="6"/>
  <c r="S404" i="6"/>
  <c r="T404" i="6"/>
  <c r="U404" i="6"/>
  <c r="B405" i="6"/>
  <c r="C405" i="6"/>
  <c r="D405" i="6"/>
  <c r="E405" i="6"/>
  <c r="F405" i="6"/>
  <c r="G405" i="6"/>
  <c r="H405" i="6"/>
  <c r="I405" i="6"/>
  <c r="J405" i="6"/>
  <c r="K405" i="6"/>
  <c r="L405" i="6"/>
  <c r="M405" i="6"/>
  <c r="N405" i="6"/>
  <c r="O405" i="6"/>
  <c r="P405" i="6"/>
  <c r="Q405" i="6"/>
  <c r="R405" i="6"/>
  <c r="S405" i="6"/>
  <c r="T405" i="6"/>
  <c r="U405" i="6"/>
  <c r="B406" i="6"/>
  <c r="C406" i="6"/>
  <c r="D406" i="6"/>
  <c r="E406" i="6"/>
  <c r="F406" i="6"/>
  <c r="G406" i="6"/>
  <c r="H406" i="6"/>
  <c r="I406" i="6"/>
  <c r="J406" i="6"/>
  <c r="K406" i="6"/>
  <c r="L406" i="6"/>
  <c r="M406" i="6"/>
  <c r="N406" i="6"/>
  <c r="O406" i="6"/>
  <c r="P406" i="6"/>
  <c r="Q406" i="6"/>
  <c r="R406" i="6"/>
  <c r="S406" i="6"/>
  <c r="T406" i="6"/>
  <c r="U406" i="6"/>
  <c r="B407" i="6"/>
  <c r="C407" i="6"/>
  <c r="D407" i="6"/>
  <c r="E407" i="6"/>
  <c r="F407" i="6"/>
  <c r="G407" i="6"/>
  <c r="H407" i="6"/>
  <c r="I407" i="6"/>
  <c r="J407" i="6"/>
  <c r="K407" i="6"/>
  <c r="L407" i="6"/>
  <c r="M407" i="6"/>
  <c r="N407" i="6"/>
  <c r="O407" i="6"/>
  <c r="P407" i="6"/>
  <c r="Q407" i="6"/>
  <c r="R407" i="6"/>
  <c r="S407" i="6"/>
  <c r="T407" i="6"/>
  <c r="U407" i="6"/>
  <c r="B408" i="6"/>
  <c r="C408" i="6"/>
  <c r="D408" i="6"/>
  <c r="E408" i="6"/>
  <c r="F408" i="6"/>
  <c r="G408" i="6"/>
  <c r="H408" i="6"/>
  <c r="I408" i="6"/>
  <c r="J408" i="6"/>
  <c r="K408" i="6"/>
  <c r="L408" i="6"/>
  <c r="M408" i="6"/>
  <c r="N408" i="6"/>
  <c r="O408" i="6"/>
  <c r="P408" i="6"/>
  <c r="Q408" i="6"/>
  <c r="R408" i="6"/>
  <c r="S408" i="6"/>
  <c r="T408" i="6"/>
  <c r="U408" i="6"/>
  <c r="B409" i="6"/>
  <c r="C409" i="6"/>
  <c r="D409" i="6"/>
  <c r="E409" i="6"/>
  <c r="F409" i="6"/>
  <c r="G409" i="6"/>
  <c r="H409" i="6"/>
  <c r="I409" i="6"/>
  <c r="J409" i="6"/>
  <c r="K409" i="6"/>
  <c r="L409" i="6"/>
  <c r="M409" i="6"/>
  <c r="N409" i="6"/>
  <c r="O409" i="6"/>
  <c r="P409" i="6"/>
  <c r="Q409" i="6"/>
  <c r="R409" i="6"/>
  <c r="S409" i="6"/>
  <c r="T409" i="6"/>
  <c r="U409" i="6"/>
  <c r="B410" i="6"/>
  <c r="C410" i="6"/>
  <c r="D410" i="6"/>
  <c r="E410" i="6"/>
  <c r="F410" i="6"/>
  <c r="G410" i="6"/>
  <c r="H410" i="6"/>
  <c r="I410" i="6"/>
  <c r="J410" i="6"/>
  <c r="K410" i="6"/>
  <c r="L410" i="6"/>
  <c r="M410" i="6"/>
  <c r="N410" i="6"/>
  <c r="O410" i="6"/>
  <c r="P410" i="6"/>
  <c r="Q410" i="6"/>
  <c r="R410" i="6"/>
  <c r="S410" i="6"/>
  <c r="T410" i="6"/>
  <c r="U410" i="6"/>
  <c r="B411" i="6"/>
  <c r="C411" i="6"/>
  <c r="D411" i="6"/>
  <c r="E411" i="6"/>
  <c r="F411" i="6"/>
  <c r="G411" i="6"/>
  <c r="H411" i="6"/>
  <c r="I411" i="6"/>
  <c r="J411" i="6"/>
  <c r="K411" i="6"/>
  <c r="L411" i="6"/>
  <c r="M411" i="6"/>
  <c r="N411" i="6"/>
  <c r="O411" i="6"/>
  <c r="P411" i="6"/>
  <c r="Q411" i="6"/>
  <c r="R411" i="6"/>
  <c r="S411" i="6"/>
  <c r="T411" i="6"/>
  <c r="U411" i="6"/>
  <c r="B412" i="6"/>
  <c r="C412" i="6"/>
  <c r="D412" i="6"/>
  <c r="E412" i="6"/>
  <c r="F412" i="6"/>
  <c r="G412" i="6"/>
  <c r="H412" i="6"/>
  <c r="I412" i="6"/>
  <c r="J412" i="6"/>
  <c r="K412" i="6"/>
  <c r="L412" i="6"/>
  <c r="M412" i="6"/>
  <c r="N412" i="6"/>
  <c r="O412" i="6"/>
  <c r="P412" i="6"/>
  <c r="Q412" i="6"/>
  <c r="R412" i="6"/>
  <c r="S412" i="6"/>
  <c r="T412" i="6"/>
  <c r="U412" i="6"/>
  <c r="B413" i="6"/>
  <c r="C413" i="6"/>
  <c r="D413" i="6"/>
  <c r="E413" i="6"/>
  <c r="F413" i="6"/>
  <c r="G413" i="6"/>
  <c r="H413" i="6"/>
  <c r="I413" i="6"/>
  <c r="J413" i="6"/>
  <c r="K413" i="6"/>
  <c r="L413" i="6"/>
  <c r="M413" i="6"/>
  <c r="N413" i="6"/>
  <c r="O413" i="6"/>
  <c r="P413" i="6"/>
  <c r="Q413" i="6"/>
  <c r="R413" i="6"/>
  <c r="S413" i="6"/>
  <c r="T413" i="6"/>
  <c r="U413" i="6"/>
  <c r="B414" i="6"/>
  <c r="C414" i="6"/>
  <c r="D414" i="6"/>
  <c r="E414" i="6"/>
  <c r="F414" i="6"/>
  <c r="G414" i="6"/>
  <c r="H414" i="6"/>
  <c r="I414" i="6"/>
  <c r="J414" i="6"/>
  <c r="K414" i="6"/>
  <c r="L414" i="6"/>
  <c r="M414" i="6"/>
  <c r="N414" i="6"/>
  <c r="O414" i="6"/>
  <c r="P414" i="6"/>
  <c r="Q414" i="6"/>
  <c r="R414" i="6"/>
  <c r="S414" i="6"/>
  <c r="T414" i="6"/>
  <c r="U414" i="6"/>
  <c r="B415" i="6"/>
  <c r="C415" i="6"/>
  <c r="D415" i="6"/>
  <c r="E415" i="6"/>
  <c r="F415" i="6"/>
  <c r="G415" i="6"/>
  <c r="H415" i="6"/>
  <c r="I415" i="6"/>
  <c r="J415" i="6"/>
  <c r="K415" i="6"/>
  <c r="L415" i="6"/>
  <c r="M415" i="6"/>
  <c r="N415" i="6"/>
  <c r="O415" i="6"/>
  <c r="P415" i="6"/>
  <c r="Q415" i="6"/>
  <c r="R415" i="6"/>
  <c r="S415" i="6"/>
  <c r="T415" i="6"/>
  <c r="U415" i="6"/>
  <c r="B416" i="6"/>
  <c r="C416" i="6"/>
  <c r="D416" i="6"/>
  <c r="E416" i="6"/>
  <c r="F416" i="6"/>
  <c r="G416" i="6"/>
  <c r="H416" i="6"/>
  <c r="I416" i="6"/>
  <c r="J416" i="6"/>
  <c r="K416" i="6"/>
  <c r="L416" i="6"/>
  <c r="M416" i="6"/>
  <c r="N416" i="6"/>
  <c r="O416" i="6"/>
  <c r="P416" i="6"/>
  <c r="Q416" i="6"/>
  <c r="R416" i="6"/>
  <c r="S416" i="6"/>
  <c r="T416" i="6"/>
  <c r="U416" i="6"/>
  <c r="B417" i="6"/>
  <c r="C417" i="6"/>
  <c r="D417" i="6"/>
  <c r="E417" i="6"/>
  <c r="F417" i="6"/>
  <c r="G417" i="6"/>
  <c r="H417" i="6"/>
  <c r="I417" i="6"/>
  <c r="J417" i="6"/>
  <c r="K417" i="6"/>
  <c r="L417" i="6"/>
  <c r="M417" i="6"/>
  <c r="N417" i="6"/>
  <c r="O417" i="6"/>
  <c r="P417" i="6"/>
  <c r="Q417" i="6"/>
  <c r="R417" i="6"/>
  <c r="S417" i="6"/>
  <c r="T417" i="6"/>
  <c r="U417" i="6"/>
  <c r="B418" i="6"/>
  <c r="C418" i="6"/>
  <c r="D418" i="6"/>
  <c r="E418" i="6"/>
  <c r="F418" i="6"/>
  <c r="G418" i="6"/>
  <c r="H418" i="6"/>
  <c r="I418" i="6"/>
  <c r="J418" i="6"/>
  <c r="K418" i="6"/>
  <c r="L418" i="6"/>
  <c r="M418" i="6"/>
  <c r="N418" i="6"/>
  <c r="O418" i="6"/>
  <c r="P418" i="6"/>
  <c r="Q418" i="6"/>
  <c r="R418" i="6"/>
  <c r="S418" i="6"/>
  <c r="T418" i="6"/>
  <c r="U418" i="6"/>
  <c r="B419" i="6"/>
  <c r="C419" i="6"/>
  <c r="D419" i="6"/>
  <c r="E419" i="6"/>
  <c r="F419" i="6"/>
  <c r="G419" i="6"/>
  <c r="H419" i="6"/>
  <c r="I419" i="6"/>
  <c r="J419" i="6"/>
  <c r="K419" i="6"/>
  <c r="L419" i="6"/>
  <c r="M419" i="6"/>
  <c r="N419" i="6"/>
  <c r="O419" i="6"/>
  <c r="P419" i="6"/>
  <c r="Q419" i="6"/>
  <c r="R419" i="6"/>
  <c r="S419" i="6"/>
  <c r="T419" i="6"/>
  <c r="U419" i="6"/>
  <c r="B420" i="6"/>
  <c r="C420" i="6"/>
  <c r="D420" i="6"/>
  <c r="E420" i="6"/>
  <c r="F420" i="6"/>
  <c r="G420" i="6"/>
  <c r="H420" i="6"/>
  <c r="I420" i="6"/>
  <c r="J420" i="6"/>
  <c r="K420" i="6"/>
  <c r="L420" i="6"/>
  <c r="M420" i="6"/>
  <c r="N420" i="6"/>
  <c r="O420" i="6"/>
  <c r="P420" i="6"/>
  <c r="Q420" i="6"/>
  <c r="R420" i="6"/>
  <c r="S420" i="6"/>
  <c r="T420" i="6"/>
  <c r="U420" i="6"/>
  <c r="B421" i="6"/>
  <c r="C421" i="6"/>
  <c r="D421" i="6"/>
  <c r="E421" i="6"/>
  <c r="F421" i="6"/>
  <c r="G421" i="6"/>
  <c r="H421" i="6"/>
  <c r="I421" i="6"/>
  <c r="J421" i="6"/>
  <c r="K421" i="6"/>
  <c r="L421" i="6"/>
  <c r="M421" i="6"/>
  <c r="N421" i="6"/>
  <c r="O421" i="6"/>
  <c r="P421" i="6"/>
  <c r="Q421" i="6"/>
  <c r="R421" i="6"/>
  <c r="S421" i="6"/>
  <c r="T421" i="6"/>
  <c r="U421" i="6"/>
  <c r="B422" i="6"/>
  <c r="C422" i="6"/>
  <c r="D422" i="6"/>
  <c r="E422" i="6"/>
  <c r="F422" i="6"/>
  <c r="G422" i="6"/>
  <c r="H422" i="6"/>
  <c r="I422" i="6"/>
  <c r="J422" i="6"/>
  <c r="K422" i="6"/>
  <c r="L422" i="6"/>
  <c r="M422" i="6"/>
  <c r="N422" i="6"/>
  <c r="O422" i="6"/>
  <c r="P422" i="6"/>
  <c r="Q422" i="6"/>
  <c r="R422" i="6"/>
  <c r="S422" i="6"/>
  <c r="T422" i="6"/>
  <c r="U422" i="6"/>
  <c r="B423" i="6"/>
  <c r="C423" i="6"/>
  <c r="D423" i="6"/>
  <c r="E423" i="6"/>
  <c r="F423" i="6"/>
  <c r="G423" i="6"/>
  <c r="H423" i="6"/>
  <c r="I423" i="6"/>
  <c r="J423" i="6"/>
  <c r="K423" i="6"/>
  <c r="L423" i="6"/>
  <c r="M423" i="6"/>
  <c r="N423" i="6"/>
  <c r="O423" i="6"/>
  <c r="P423" i="6"/>
  <c r="Q423" i="6"/>
  <c r="R423" i="6"/>
  <c r="S423" i="6"/>
  <c r="T423" i="6"/>
  <c r="U423" i="6"/>
  <c r="B424" i="6"/>
  <c r="C424" i="6"/>
  <c r="D424" i="6"/>
  <c r="E424" i="6"/>
  <c r="F424" i="6"/>
  <c r="G424" i="6"/>
  <c r="H424" i="6"/>
  <c r="I424" i="6"/>
  <c r="J424" i="6"/>
  <c r="K424" i="6"/>
  <c r="L424" i="6"/>
  <c r="M424" i="6"/>
  <c r="N424" i="6"/>
  <c r="O424" i="6"/>
  <c r="P424" i="6"/>
  <c r="Q424" i="6"/>
  <c r="R424" i="6"/>
  <c r="S424" i="6"/>
  <c r="T424" i="6"/>
  <c r="U424" i="6"/>
  <c r="B425" i="6"/>
  <c r="C425" i="6"/>
  <c r="D425" i="6"/>
  <c r="E425" i="6"/>
  <c r="F425" i="6"/>
  <c r="G425" i="6"/>
  <c r="H425" i="6"/>
  <c r="I425" i="6"/>
  <c r="J425" i="6"/>
  <c r="K425" i="6"/>
  <c r="L425" i="6"/>
  <c r="M425" i="6"/>
  <c r="N425" i="6"/>
  <c r="O425" i="6"/>
  <c r="P425" i="6"/>
  <c r="Q425" i="6"/>
  <c r="R425" i="6"/>
  <c r="S425" i="6"/>
  <c r="T425" i="6"/>
  <c r="U425" i="6"/>
  <c r="B426" i="6"/>
  <c r="C426" i="6"/>
  <c r="D426" i="6"/>
  <c r="E426" i="6"/>
  <c r="F426" i="6"/>
  <c r="G426" i="6"/>
  <c r="H426" i="6"/>
  <c r="I426" i="6"/>
  <c r="J426" i="6"/>
  <c r="K426" i="6"/>
  <c r="L426" i="6"/>
  <c r="M426" i="6"/>
  <c r="N426" i="6"/>
  <c r="O426" i="6"/>
  <c r="P426" i="6"/>
  <c r="Q426" i="6"/>
  <c r="R426" i="6"/>
  <c r="S426" i="6"/>
  <c r="T426" i="6"/>
  <c r="U426" i="6"/>
  <c r="B427" i="6"/>
  <c r="C427" i="6"/>
  <c r="D427" i="6"/>
  <c r="E427" i="6"/>
  <c r="F427" i="6"/>
  <c r="G427" i="6"/>
  <c r="H427" i="6"/>
  <c r="I427" i="6"/>
  <c r="J427" i="6"/>
  <c r="K427" i="6"/>
  <c r="L427" i="6"/>
  <c r="M427" i="6"/>
  <c r="N427" i="6"/>
  <c r="O427" i="6"/>
  <c r="P427" i="6"/>
  <c r="Q427" i="6"/>
  <c r="R427" i="6"/>
  <c r="S427" i="6"/>
  <c r="T427" i="6"/>
  <c r="U427" i="6"/>
  <c r="B428" i="6"/>
  <c r="C428" i="6"/>
  <c r="D428" i="6"/>
  <c r="E428" i="6"/>
  <c r="F428" i="6"/>
  <c r="G428" i="6"/>
  <c r="H428" i="6"/>
  <c r="I428" i="6"/>
  <c r="J428" i="6"/>
  <c r="K428" i="6"/>
  <c r="L428" i="6"/>
  <c r="M428" i="6"/>
  <c r="N428" i="6"/>
  <c r="O428" i="6"/>
  <c r="P428" i="6"/>
  <c r="Q428" i="6"/>
  <c r="R428" i="6"/>
  <c r="S428" i="6"/>
  <c r="T428" i="6"/>
  <c r="U428" i="6"/>
  <c r="B429" i="6"/>
  <c r="C429" i="6"/>
  <c r="D429" i="6"/>
  <c r="E429" i="6"/>
  <c r="F429" i="6"/>
  <c r="G429" i="6"/>
  <c r="H429" i="6"/>
  <c r="I429" i="6"/>
  <c r="J429" i="6"/>
  <c r="K429" i="6"/>
  <c r="L429" i="6"/>
  <c r="M429" i="6"/>
  <c r="N429" i="6"/>
  <c r="O429" i="6"/>
  <c r="P429" i="6"/>
  <c r="Q429" i="6"/>
  <c r="R429" i="6"/>
  <c r="S429" i="6"/>
  <c r="T429" i="6"/>
  <c r="U429" i="6"/>
  <c r="B430" i="6"/>
  <c r="C430" i="6"/>
  <c r="D430" i="6"/>
  <c r="E430" i="6"/>
  <c r="F430" i="6"/>
  <c r="G430" i="6"/>
  <c r="H430" i="6"/>
  <c r="I430" i="6"/>
  <c r="J430" i="6"/>
  <c r="K430" i="6"/>
  <c r="L430" i="6"/>
  <c r="M430" i="6"/>
  <c r="N430" i="6"/>
  <c r="O430" i="6"/>
  <c r="P430" i="6"/>
  <c r="Q430" i="6"/>
  <c r="R430" i="6"/>
  <c r="S430" i="6"/>
  <c r="T430" i="6"/>
  <c r="U430" i="6"/>
  <c r="B431" i="6"/>
  <c r="C431" i="6"/>
  <c r="D431" i="6"/>
  <c r="E431" i="6"/>
  <c r="F431" i="6"/>
  <c r="G431" i="6"/>
  <c r="H431" i="6"/>
  <c r="I431" i="6"/>
  <c r="J431" i="6"/>
  <c r="K431" i="6"/>
  <c r="L431" i="6"/>
  <c r="M431" i="6"/>
  <c r="N431" i="6"/>
  <c r="O431" i="6"/>
  <c r="P431" i="6"/>
  <c r="Q431" i="6"/>
  <c r="R431" i="6"/>
  <c r="S431" i="6"/>
  <c r="T431" i="6"/>
  <c r="U431" i="6"/>
  <c r="B432" i="6"/>
  <c r="C432" i="6"/>
  <c r="D432" i="6"/>
  <c r="E432" i="6"/>
  <c r="F432" i="6"/>
  <c r="G432" i="6"/>
  <c r="H432" i="6"/>
  <c r="I432" i="6"/>
  <c r="J432" i="6"/>
  <c r="K432" i="6"/>
  <c r="L432" i="6"/>
  <c r="M432" i="6"/>
  <c r="N432" i="6"/>
  <c r="O432" i="6"/>
  <c r="P432" i="6"/>
  <c r="Q432" i="6"/>
  <c r="R432" i="6"/>
  <c r="S432" i="6"/>
  <c r="T432" i="6"/>
  <c r="U432" i="6"/>
  <c r="B433" i="6"/>
  <c r="C433" i="6"/>
  <c r="D433" i="6"/>
  <c r="E433" i="6"/>
  <c r="F433" i="6"/>
  <c r="G433" i="6"/>
  <c r="H433" i="6"/>
  <c r="I433" i="6"/>
  <c r="J433" i="6"/>
  <c r="K433" i="6"/>
  <c r="L433" i="6"/>
  <c r="M433" i="6"/>
  <c r="N433" i="6"/>
  <c r="O433" i="6"/>
  <c r="P433" i="6"/>
  <c r="Q433" i="6"/>
  <c r="R433" i="6"/>
  <c r="S433" i="6"/>
  <c r="T433" i="6"/>
  <c r="U433" i="6"/>
  <c r="B434" i="6"/>
  <c r="C434" i="6"/>
  <c r="D434" i="6"/>
  <c r="E434" i="6"/>
  <c r="F434" i="6"/>
  <c r="G434" i="6"/>
  <c r="H434" i="6"/>
  <c r="I434" i="6"/>
  <c r="J434" i="6"/>
  <c r="K434" i="6"/>
  <c r="L434" i="6"/>
  <c r="M434" i="6"/>
  <c r="N434" i="6"/>
  <c r="O434" i="6"/>
  <c r="P434" i="6"/>
  <c r="Q434" i="6"/>
  <c r="R434" i="6"/>
  <c r="S434" i="6"/>
  <c r="T434" i="6"/>
  <c r="U434" i="6"/>
  <c r="B435" i="6"/>
  <c r="C435" i="6"/>
  <c r="D435" i="6"/>
  <c r="E435" i="6"/>
  <c r="F435" i="6"/>
  <c r="G435" i="6"/>
  <c r="H435" i="6"/>
  <c r="I435" i="6"/>
  <c r="J435" i="6"/>
  <c r="K435" i="6"/>
  <c r="L435" i="6"/>
  <c r="M435" i="6"/>
  <c r="N435" i="6"/>
  <c r="O435" i="6"/>
  <c r="P435" i="6"/>
  <c r="Q435" i="6"/>
  <c r="R435" i="6"/>
  <c r="S435" i="6"/>
  <c r="T435" i="6"/>
  <c r="U435" i="6"/>
  <c r="B436" i="6"/>
  <c r="C436" i="6"/>
  <c r="D436" i="6"/>
  <c r="E436" i="6"/>
  <c r="F436" i="6"/>
  <c r="G436" i="6"/>
  <c r="H436" i="6"/>
  <c r="I436" i="6"/>
  <c r="J436" i="6"/>
  <c r="K436" i="6"/>
  <c r="L436" i="6"/>
  <c r="M436" i="6"/>
  <c r="N436" i="6"/>
  <c r="O436" i="6"/>
  <c r="P436" i="6"/>
  <c r="Q436" i="6"/>
  <c r="R436" i="6"/>
  <c r="S436" i="6"/>
  <c r="T436" i="6"/>
  <c r="U436" i="6"/>
  <c r="B437" i="6"/>
  <c r="C437" i="6"/>
  <c r="D437" i="6"/>
  <c r="E437" i="6"/>
  <c r="F437" i="6"/>
  <c r="G437" i="6"/>
  <c r="H437" i="6"/>
  <c r="I437" i="6"/>
  <c r="J437" i="6"/>
  <c r="K437" i="6"/>
  <c r="L437" i="6"/>
  <c r="M437" i="6"/>
  <c r="N437" i="6"/>
  <c r="O437" i="6"/>
  <c r="P437" i="6"/>
  <c r="Q437" i="6"/>
  <c r="R437" i="6"/>
  <c r="S437" i="6"/>
  <c r="T437" i="6"/>
  <c r="U437" i="6"/>
  <c r="B438" i="6"/>
  <c r="C438" i="6"/>
  <c r="D438" i="6"/>
  <c r="E438" i="6"/>
  <c r="F438" i="6"/>
  <c r="G438" i="6"/>
  <c r="H438" i="6"/>
  <c r="I438" i="6"/>
  <c r="J438" i="6"/>
  <c r="K438" i="6"/>
  <c r="L438" i="6"/>
  <c r="M438" i="6"/>
  <c r="N438" i="6"/>
  <c r="O438" i="6"/>
  <c r="P438" i="6"/>
  <c r="Q438" i="6"/>
  <c r="R438" i="6"/>
  <c r="S438" i="6"/>
  <c r="T438" i="6"/>
  <c r="U438" i="6"/>
  <c r="B439" i="6"/>
  <c r="C439" i="6"/>
  <c r="D439" i="6"/>
  <c r="E439" i="6"/>
  <c r="F439" i="6"/>
  <c r="G439" i="6"/>
  <c r="H439" i="6"/>
  <c r="I439" i="6"/>
  <c r="J439" i="6"/>
  <c r="K439" i="6"/>
  <c r="L439" i="6"/>
  <c r="M439" i="6"/>
  <c r="N439" i="6"/>
  <c r="O439" i="6"/>
  <c r="P439" i="6"/>
  <c r="Q439" i="6"/>
  <c r="R439" i="6"/>
  <c r="S439" i="6"/>
  <c r="T439" i="6"/>
  <c r="U439" i="6"/>
  <c r="B440" i="6"/>
  <c r="C440" i="6"/>
  <c r="D440" i="6"/>
  <c r="E440" i="6"/>
  <c r="F440" i="6"/>
  <c r="G440" i="6"/>
  <c r="H440" i="6"/>
  <c r="I440" i="6"/>
  <c r="J440" i="6"/>
  <c r="K440" i="6"/>
  <c r="L440" i="6"/>
  <c r="M440" i="6"/>
  <c r="N440" i="6"/>
  <c r="O440" i="6"/>
  <c r="P440" i="6"/>
  <c r="Q440" i="6"/>
  <c r="R440" i="6"/>
  <c r="S440" i="6"/>
  <c r="T440" i="6"/>
  <c r="U440" i="6"/>
  <c r="B441" i="6"/>
  <c r="C441" i="6"/>
  <c r="D441" i="6"/>
  <c r="E441" i="6"/>
  <c r="F441" i="6"/>
  <c r="G441" i="6"/>
  <c r="H441" i="6"/>
  <c r="I441" i="6"/>
  <c r="J441" i="6"/>
  <c r="K441" i="6"/>
  <c r="L441" i="6"/>
  <c r="M441" i="6"/>
  <c r="N441" i="6"/>
  <c r="O441" i="6"/>
  <c r="P441" i="6"/>
  <c r="Q441" i="6"/>
  <c r="R441" i="6"/>
  <c r="S441" i="6"/>
  <c r="T441" i="6"/>
  <c r="U441" i="6"/>
  <c r="B442" i="6"/>
  <c r="C442" i="6"/>
  <c r="D442" i="6"/>
  <c r="E442" i="6"/>
  <c r="F442" i="6"/>
  <c r="G442" i="6"/>
  <c r="H442" i="6"/>
  <c r="I442" i="6"/>
  <c r="J442" i="6"/>
  <c r="K442" i="6"/>
  <c r="L442" i="6"/>
  <c r="M442" i="6"/>
  <c r="N442" i="6"/>
  <c r="O442" i="6"/>
  <c r="P442" i="6"/>
  <c r="Q442" i="6"/>
  <c r="R442" i="6"/>
  <c r="S442" i="6"/>
  <c r="T442" i="6"/>
  <c r="U442" i="6"/>
  <c r="B443" i="6"/>
  <c r="C443" i="6"/>
  <c r="D443" i="6"/>
  <c r="E443" i="6"/>
  <c r="F443" i="6"/>
  <c r="G443" i="6"/>
  <c r="H443" i="6"/>
  <c r="I443" i="6"/>
  <c r="J443" i="6"/>
  <c r="K443" i="6"/>
  <c r="L443" i="6"/>
  <c r="M443" i="6"/>
  <c r="N443" i="6"/>
  <c r="O443" i="6"/>
  <c r="P443" i="6"/>
  <c r="Q443" i="6"/>
  <c r="R443" i="6"/>
  <c r="S443" i="6"/>
  <c r="T443" i="6"/>
  <c r="U443" i="6"/>
  <c r="B444" i="6"/>
  <c r="C444" i="6"/>
  <c r="D444" i="6"/>
  <c r="E444" i="6"/>
  <c r="F444" i="6"/>
  <c r="G444" i="6"/>
  <c r="H444" i="6"/>
  <c r="I444" i="6"/>
  <c r="J444" i="6"/>
  <c r="K444" i="6"/>
  <c r="L444" i="6"/>
  <c r="M444" i="6"/>
  <c r="N444" i="6"/>
  <c r="O444" i="6"/>
  <c r="P444" i="6"/>
  <c r="Q444" i="6"/>
  <c r="R444" i="6"/>
  <c r="S444" i="6"/>
  <c r="T444" i="6"/>
  <c r="U444" i="6"/>
  <c r="B445" i="6"/>
  <c r="C445" i="6"/>
  <c r="D445" i="6"/>
  <c r="E445" i="6"/>
  <c r="F445" i="6"/>
  <c r="G445" i="6"/>
  <c r="H445" i="6"/>
  <c r="I445" i="6"/>
  <c r="J445" i="6"/>
  <c r="K445" i="6"/>
  <c r="L445" i="6"/>
  <c r="M445" i="6"/>
  <c r="N445" i="6"/>
  <c r="O445" i="6"/>
  <c r="P445" i="6"/>
  <c r="Q445" i="6"/>
  <c r="R445" i="6"/>
  <c r="S445" i="6"/>
  <c r="T445" i="6"/>
  <c r="U445" i="6"/>
  <c r="B446" i="6"/>
  <c r="C446" i="6"/>
  <c r="D446" i="6"/>
  <c r="E446" i="6"/>
  <c r="F446" i="6"/>
  <c r="G446" i="6"/>
  <c r="H446" i="6"/>
  <c r="I446" i="6"/>
  <c r="J446" i="6"/>
  <c r="K446" i="6"/>
  <c r="L446" i="6"/>
  <c r="M446" i="6"/>
  <c r="N446" i="6"/>
  <c r="O446" i="6"/>
  <c r="P446" i="6"/>
  <c r="Q446" i="6"/>
  <c r="R446" i="6"/>
  <c r="S446" i="6"/>
  <c r="T446" i="6"/>
  <c r="U446" i="6"/>
  <c r="B447" i="6"/>
  <c r="C447" i="6"/>
  <c r="D447" i="6"/>
  <c r="E447" i="6"/>
  <c r="F447" i="6"/>
  <c r="G447" i="6"/>
  <c r="H447" i="6"/>
  <c r="I447" i="6"/>
  <c r="J447" i="6"/>
  <c r="K447" i="6"/>
  <c r="L447" i="6"/>
  <c r="M447" i="6"/>
  <c r="N447" i="6"/>
  <c r="O447" i="6"/>
  <c r="P447" i="6"/>
  <c r="Q447" i="6"/>
  <c r="R447" i="6"/>
  <c r="S447" i="6"/>
  <c r="T447" i="6"/>
  <c r="U447" i="6"/>
  <c r="B448" i="6"/>
  <c r="C448" i="6"/>
  <c r="D448" i="6"/>
  <c r="E448" i="6"/>
  <c r="F448" i="6"/>
  <c r="G448" i="6"/>
  <c r="H448" i="6"/>
  <c r="I448" i="6"/>
  <c r="J448" i="6"/>
  <c r="K448" i="6"/>
  <c r="L448" i="6"/>
  <c r="M448" i="6"/>
  <c r="N448" i="6"/>
  <c r="O448" i="6"/>
  <c r="P448" i="6"/>
  <c r="Q448" i="6"/>
  <c r="R448" i="6"/>
  <c r="S448" i="6"/>
  <c r="T448" i="6"/>
  <c r="U448" i="6"/>
  <c r="B449" i="6"/>
  <c r="C449" i="6"/>
  <c r="D449" i="6"/>
  <c r="E449" i="6"/>
  <c r="F449" i="6"/>
  <c r="G449" i="6"/>
  <c r="H449" i="6"/>
  <c r="I449" i="6"/>
  <c r="J449" i="6"/>
  <c r="K449" i="6"/>
  <c r="L449" i="6"/>
  <c r="M449" i="6"/>
  <c r="N449" i="6"/>
  <c r="O449" i="6"/>
  <c r="P449" i="6"/>
  <c r="Q449" i="6"/>
  <c r="R449" i="6"/>
  <c r="S449" i="6"/>
  <c r="T449" i="6"/>
  <c r="U449" i="6"/>
  <c r="B450" i="6"/>
  <c r="C450" i="6"/>
  <c r="D450" i="6"/>
  <c r="E450" i="6"/>
  <c r="F450" i="6"/>
  <c r="G450" i="6"/>
  <c r="H450" i="6"/>
  <c r="I450" i="6"/>
  <c r="J450" i="6"/>
  <c r="K450" i="6"/>
  <c r="L450" i="6"/>
  <c r="M450" i="6"/>
  <c r="N450" i="6"/>
  <c r="O450" i="6"/>
  <c r="P450" i="6"/>
  <c r="Q450" i="6"/>
  <c r="R450" i="6"/>
  <c r="S450" i="6"/>
  <c r="T450" i="6"/>
  <c r="U450" i="6"/>
  <c r="B451" i="6"/>
  <c r="C451" i="6"/>
  <c r="D451" i="6"/>
  <c r="E451" i="6"/>
  <c r="F451" i="6"/>
  <c r="G451" i="6"/>
  <c r="H451" i="6"/>
  <c r="I451" i="6"/>
  <c r="J451" i="6"/>
  <c r="K451" i="6"/>
  <c r="L451" i="6"/>
  <c r="M451" i="6"/>
  <c r="N451" i="6"/>
  <c r="O451" i="6"/>
  <c r="P451" i="6"/>
  <c r="Q451" i="6"/>
  <c r="R451" i="6"/>
  <c r="S451" i="6"/>
  <c r="T451" i="6"/>
  <c r="U451" i="6"/>
  <c r="B452" i="6"/>
  <c r="C452" i="6"/>
  <c r="D452" i="6"/>
  <c r="E452" i="6"/>
  <c r="F452" i="6"/>
  <c r="G452" i="6"/>
  <c r="H452" i="6"/>
  <c r="I452" i="6"/>
  <c r="J452" i="6"/>
  <c r="K452" i="6"/>
  <c r="L452" i="6"/>
  <c r="M452" i="6"/>
  <c r="N452" i="6"/>
  <c r="O452" i="6"/>
  <c r="P452" i="6"/>
  <c r="Q452" i="6"/>
  <c r="R452" i="6"/>
  <c r="S452" i="6"/>
  <c r="T452" i="6"/>
  <c r="U452" i="6"/>
  <c r="B453" i="6"/>
  <c r="C453" i="6"/>
  <c r="D453" i="6"/>
  <c r="E453" i="6"/>
  <c r="F453" i="6"/>
  <c r="G453" i="6"/>
  <c r="H453" i="6"/>
  <c r="I453" i="6"/>
  <c r="J453" i="6"/>
  <c r="K453" i="6"/>
  <c r="L453" i="6"/>
  <c r="M453" i="6"/>
  <c r="N453" i="6"/>
  <c r="O453" i="6"/>
  <c r="P453" i="6"/>
  <c r="Q453" i="6"/>
  <c r="R453" i="6"/>
  <c r="S453" i="6"/>
  <c r="T453" i="6"/>
  <c r="U453" i="6"/>
  <c r="B454" i="6"/>
  <c r="C454" i="6"/>
  <c r="D454" i="6"/>
  <c r="E454" i="6"/>
  <c r="F454" i="6"/>
  <c r="G454" i="6"/>
  <c r="H454" i="6"/>
  <c r="I454" i="6"/>
  <c r="J454" i="6"/>
  <c r="K454" i="6"/>
  <c r="L454" i="6"/>
  <c r="M454" i="6"/>
  <c r="N454" i="6"/>
  <c r="O454" i="6"/>
  <c r="P454" i="6"/>
  <c r="Q454" i="6"/>
  <c r="R454" i="6"/>
  <c r="S454" i="6"/>
  <c r="T454" i="6"/>
  <c r="U454" i="6"/>
  <c r="B455" i="6"/>
  <c r="C455" i="6"/>
  <c r="D455" i="6"/>
  <c r="E455" i="6"/>
  <c r="F455" i="6"/>
  <c r="G455" i="6"/>
  <c r="H455" i="6"/>
  <c r="I455" i="6"/>
  <c r="J455" i="6"/>
  <c r="K455" i="6"/>
  <c r="L455" i="6"/>
  <c r="M455" i="6"/>
  <c r="N455" i="6"/>
  <c r="O455" i="6"/>
  <c r="P455" i="6"/>
  <c r="Q455" i="6"/>
  <c r="R455" i="6"/>
  <c r="S455" i="6"/>
  <c r="T455" i="6"/>
  <c r="U455" i="6"/>
  <c r="B456" i="6"/>
  <c r="C456" i="6"/>
  <c r="D456" i="6"/>
  <c r="E456" i="6"/>
  <c r="F456" i="6"/>
  <c r="G456" i="6"/>
  <c r="H456" i="6"/>
  <c r="I456" i="6"/>
  <c r="J456" i="6"/>
  <c r="K456" i="6"/>
  <c r="L456" i="6"/>
  <c r="M456" i="6"/>
  <c r="N456" i="6"/>
  <c r="O456" i="6"/>
  <c r="P456" i="6"/>
  <c r="Q456" i="6"/>
  <c r="R456" i="6"/>
  <c r="S456" i="6"/>
  <c r="T456" i="6"/>
  <c r="U456" i="6"/>
  <c r="B457" i="6"/>
  <c r="C457" i="6"/>
  <c r="D457" i="6"/>
  <c r="E457" i="6"/>
  <c r="F457" i="6"/>
  <c r="G457" i="6"/>
  <c r="H457" i="6"/>
  <c r="I457" i="6"/>
  <c r="J457" i="6"/>
  <c r="K457" i="6"/>
  <c r="L457" i="6"/>
  <c r="M457" i="6"/>
  <c r="N457" i="6"/>
  <c r="O457" i="6"/>
  <c r="P457" i="6"/>
  <c r="Q457" i="6"/>
  <c r="R457" i="6"/>
  <c r="S457" i="6"/>
  <c r="T457" i="6"/>
  <c r="U457" i="6"/>
  <c r="B458" i="6"/>
  <c r="C458" i="6"/>
  <c r="D458" i="6"/>
  <c r="E458" i="6"/>
  <c r="F458" i="6"/>
  <c r="G458" i="6"/>
  <c r="H458" i="6"/>
  <c r="I458" i="6"/>
  <c r="J458" i="6"/>
  <c r="K458" i="6"/>
  <c r="L458" i="6"/>
  <c r="M458" i="6"/>
  <c r="N458" i="6"/>
  <c r="O458" i="6"/>
  <c r="P458" i="6"/>
  <c r="Q458" i="6"/>
  <c r="R458" i="6"/>
  <c r="S458" i="6"/>
  <c r="T458" i="6"/>
  <c r="U458" i="6"/>
  <c r="B459" i="6"/>
  <c r="C459" i="6"/>
  <c r="D459" i="6"/>
  <c r="E459" i="6"/>
  <c r="F459" i="6"/>
  <c r="G459" i="6"/>
  <c r="H459" i="6"/>
  <c r="I459" i="6"/>
  <c r="J459" i="6"/>
  <c r="K459" i="6"/>
  <c r="L459" i="6"/>
  <c r="M459" i="6"/>
  <c r="N459" i="6"/>
  <c r="O459" i="6"/>
  <c r="P459" i="6"/>
  <c r="Q459" i="6"/>
  <c r="R459" i="6"/>
  <c r="S459" i="6"/>
  <c r="T459" i="6"/>
  <c r="U459" i="6"/>
  <c r="B460" i="6"/>
  <c r="C460" i="6"/>
  <c r="D460" i="6"/>
  <c r="E460" i="6"/>
  <c r="F460" i="6"/>
  <c r="G460" i="6"/>
  <c r="H460" i="6"/>
  <c r="I460" i="6"/>
  <c r="J460" i="6"/>
  <c r="K460" i="6"/>
  <c r="L460" i="6"/>
  <c r="M460" i="6"/>
  <c r="N460" i="6"/>
  <c r="O460" i="6"/>
  <c r="P460" i="6"/>
  <c r="Q460" i="6"/>
  <c r="R460" i="6"/>
  <c r="S460" i="6"/>
  <c r="T460" i="6"/>
  <c r="U460" i="6"/>
  <c r="B461" i="6"/>
  <c r="C461" i="6"/>
  <c r="D461" i="6"/>
  <c r="E461" i="6"/>
  <c r="F461" i="6"/>
  <c r="G461" i="6"/>
  <c r="H461" i="6"/>
  <c r="I461" i="6"/>
  <c r="J461" i="6"/>
  <c r="K461" i="6"/>
  <c r="L461" i="6"/>
  <c r="M461" i="6"/>
  <c r="N461" i="6"/>
  <c r="O461" i="6"/>
  <c r="P461" i="6"/>
  <c r="Q461" i="6"/>
  <c r="R461" i="6"/>
  <c r="S461" i="6"/>
  <c r="T461" i="6"/>
  <c r="U461" i="6"/>
  <c r="B462" i="6"/>
  <c r="C462" i="6"/>
  <c r="D462" i="6"/>
  <c r="E462" i="6"/>
  <c r="F462" i="6"/>
  <c r="G462" i="6"/>
  <c r="H462" i="6"/>
  <c r="I462" i="6"/>
  <c r="J462" i="6"/>
  <c r="K462" i="6"/>
  <c r="L462" i="6"/>
  <c r="M462" i="6"/>
  <c r="N462" i="6"/>
  <c r="O462" i="6"/>
  <c r="P462" i="6"/>
  <c r="Q462" i="6"/>
  <c r="R462" i="6"/>
  <c r="S462" i="6"/>
  <c r="T462" i="6"/>
  <c r="U462" i="6"/>
  <c r="B463" i="6"/>
  <c r="C463" i="6"/>
  <c r="D463" i="6"/>
  <c r="E463" i="6"/>
  <c r="F463" i="6"/>
  <c r="G463" i="6"/>
  <c r="H463" i="6"/>
  <c r="I463" i="6"/>
  <c r="J463" i="6"/>
  <c r="K463" i="6"/>
  <c r="L463" i="6"/>
  <c r="M463" i="6"/>
  <c r="N463" i="6"/>
  <c r="O463" i="6"/>
  <c r="P463" i="6"/>
  <c r="Q463" i="6"/>
  <c r="R463" i="6"/>
  <c r="S463" i="6"/>
  <c r="T463" i="6"/>
  <c r="U463" i="6"/>
  <c r="B464" i="6"/>
  <c r="C464" i="6"/>
  <c r="D464" i="6"/>
  <c r="E464" i="6"/>
  <c r="F464" i="6"/>
  <c r="G464" i="6"/>
  <c r="H464" i="6"/>
  <c r="I464" i="6"/>
  <c r="J464" i="6"/>
  <c r="K464" i="6"/>
  <c r="L464" i="6"/>
  <c r="M464" i="6"/>
  <c r="N464" i="6"/>
  <c r="O464" i="6"/>
  <c r="P464" i="6"/>
  <c r="Q464" i="6"/>
  <c r="R464" i="6"/>
  <c r="S464" i="6"/>
  <c r="T464" i="6"/>
  <c r="U464" i="6"/>
  <c r="B465" i="6"/>
  <c r="C465" i="6"/>
  <c r="D465" i="6"/>
  <c r="E465" i="6"/>
  <c r="F465" i="6"/>
  <c r="G465" i="6"/>
  <c r="H465" i="6"/>
  <c r="I465" i="6"/>
  <c r="J465" i="6"/>
  <c r="K465" i="6"/>
  <c r="L465" i="6"/>
  <c r="M465" i="6"/>
  <c r="N465" i="6"/>
  <c r="O465" i="6"/>
  <c r="P465" i="6"/>
  <c r="Q465" i="6"/>
  <c r="R465" i="6"/>
  <c r="S465" i="6"/>
  <c r="T465" i="6"/>
  <c r="U465" i="6"/>
  <c r="B466" i="6"/>
  <c r="C466" i="6"/>
  <c r="D466" i="6"/>
  <c r="E466" i="6"/>
  <c r="F466" i="6"/>
  <c r="G466" i="6"/>
  <c r="H466" i="6"/>
  <c r="I466" i="6"/>
  <c r="J466" i="6"/>
  <c r="K466" i="6"/>
  <c r="L466" i="6"/>
  <c r="M466" i="6"/>
  <c r="N466" i="6"/>
  <c r="O466" i="6"/>
  <c r="P466" i="6"/>
  <c r="Q466" i="6"/>
  <c r="R466" i="6"/>
  <c r="S466" i="6"/>
  <c r="T466" i="6"/>
  <c r="U466" i="6"/>
  <c r="B467" i="6"/>
  <c r="C467" i="6"/>
  <c r="D467" i="6"/>
  <c r="E467" i="6"/>
  <c r="F467" i="6"/>
  <c r="G467" i="6"/>
  <c r="H467" i="6"/>
  <c r="I467" i="6"/>
  <c r="J467" i="6"/>
  <c r="K467" i="6"/>
  <c r="L467" i="6"/>
  <c r="M467" i="6"/>
  <c r="N467" i="6"/>
  <c r="O467" i="6"/>
  <c r="P467" i="6"/>
  <c r="Q467" i="6"/>
  <c r="R467" i="6"/>
  <c r="S467" i="6"/>
  <c r="T467" i="6"/>
  <c r="U467" i="6"/>
  <c r="B468" i="6"/>
  <c r="C468" i="6"/>
  <c r="D468" i="6"/>
  <c r="E468" i="6"/>
  <c r="F468" i="6"/>
  <c r="G468" i="6"/>
  <c r="H468" i="6"/>
  <c r="I468" i="6"/>
  <c r="J468" i="6"/>
  <c r="K468" i="6"/>
  <c r="L468" i="6"/>
  <c r="M468" i="6"/>
  <c r="N468" i="6"/>
  <c r="O468" i="6"/>
  <c r="P468" i="6"/>
  <c r="Q468" i="6"/>
  <c r="R468" i="6"/>
  <c r="S468" i="6"/>
  <c r="T468" i="6"/>
  <c r="U468" i="6"/>
  <c r="B469" i="6"/>
  <c r="C469" i="6"/>
  <c r="D469" i="6"/>
  <c r="E469" i="6"/>
  <c r="F469" i="6"/>
  <c r="G469" i="6"/>
  <c r="H469" i="6"/>
  <c r="I469" i="6"/>
  <c r="J469" i="6"/>
  <c r="K469" i="6"/>
  <c r="L469" i="6"/>
  <c r="M469" i="6"/>
  <c r="N469" i="6"/>
  <c r="O469" i="6"/>
  <c r="P469" i="6"/>
  <c r="Q469" i="6"/>
  <c r="R469" i="6"/>
  <c r="S469" i="6"/>
  <c r="T469" i="6"/>
  <c r="U469" i="6"/>
  <c r="B470" i="6"/>
  <c r="C470" i="6"/>
  <c r="D470" i="6"/>
  <c r="E470" i="6"/>
  <c r="F470" i="6"/>
  <c r="G470" i="6"/>
  <c r="H470" i="6"/>
  <c r="I470" i="6"/>
  <c r="J470" i="6"/>
  <c r="K470" i="6"/>
  <c r="L470" i="6"/>
  <c r="M470" i="6"/>
  <c r="N470" i="6"/>
  <c r="O470" i="6"/>
  <c r="P470" i="6"/>
  <c r="Q470" i="6"/>
  <c r="R470" i="6"/>
  <c r="S470" i="6"/>
  <c r="T470" i="6"/>
  <c r="U470" i="6"/>
  <c r="B471" i="6"/>
  <c r="C471" i="6"/>
  <c r="D471" i="6"/>
  <c r="E471" i="6"/>
  <c r="F471" i="6"/>
  <c r="G471" i="6"/>
  <c r="H471" i="6"/>
  <c r="I471" i="6"/>
  <c r="J471" i="6"/>
  <c r="K471" i="6"/>
  <c r="L471" i="6"/>
  <c r="M471" i="6"/>
  <c r="N471" i="6"/>
  <c r="O471" i="6"/>
  <c r="P471" i="6"/>
  <c r="Q471" i="6"/>
  <c r="R471" i="6"/>
  <c r="S471" i="6"/>
  <c r="T471" i="6"/>
  <c r="U471" i="6"/>
  <c r="B472" i="6"/>
  <c r="C472" i="6"/>
  <c r="D472" i="6"/>
  <c r="E472" i="6"/>
  <c r="F472" i="6"/>
  <c r="G472" i="6"/>
  <c r="H472" i="6"/>
  <c r="I472" i="6"/>
  <c r="J472" i="6"/>
  <c r="K472" i="6"/>
  <c r="L472" i="6"/>
  <c r="M472" i="6"/>
  <c r="N472" i="6"/>
  <c r="O472" i="6"/>
  <c r="P472" i="6"/>
  <c r="Q472" i="6"/>
  <c r="R472" i="6"/>
  <c r="S472" i="6"/>
  <c r="T472" i="6"/>
  <c r="U472" i="6"/>
  <c r="B473" i="6"/>
  <c r="C473" i="6"/>
  <c r="D473" i="6"/>
  <c r="E473" i="6"/>
  <c r="F473" i="6"/>
  <c r="G473" i="6"/>
  <c r="H473" i="6"/>
  <c r="I473" i="6"/>
  <c r="J473" i="6"/>
  <c r="K473" i="6"/>
  <c r="L473" i="6"/>
  <c r="M473" i="6"/>
  <c r="N473" i="6"/>
  <c r="O473" i="6"/>
  <c r="P473" i="6"/>
  <c r="Q473" i="6"/>
  <c r="R473" i="6"/>
  <c r="S473" i="6"/>
  <c r="T473" i="6"/>
  <c r="U473" i="6"/>
  <c r="B474" i="6"/>
  <c r="C474" i="6"/>
  <c r="D474" i="6"/>
  <c r="E474" i="6"/>
  <c r="F474" i="6"/>
  <c r="G474" i="6"/>
  <c r="H474" i="6"/>
  <c r="I474" i="6"/>
  <c r="J474" i="6"/>
  <c r="K474" i="6"/>
  <c r="L474" i="6"/>
  <c r="M474" i="6"/>
  <c r="N474" i="6"/>
  <c r="O474" i="6"/>
  <c r="P474" i="6"/>
  <c r="Q474" i="6"/>
  <c r="R474" i="6"/>
  <c r="S474" i="6"/>
  <c r="T474" i="6"/>
  <c r="U474" i="6"/>
  <c r="B475" i="6"/>
  <c r="C475" i="6"/>
  <c r="D475" i="6"/>
  <c r="E475" i="6"/>
  <c r="F475" i="6"/>
  <c r="G475" i="6"/>
  <c r="H475" i="6"/>
  <c r="I475" i="6"/>
  <c r="J475" i="6"/>
  <c r="K475" i="6"/>
  <c r="L475" i="6"/>
  <c r="M475" i="6"/>
  <c r="N475" i="6"/>
  <c r="O475" i="6"/>
  <c r="P475" i="6"/>
  <c r="Q475" i="6"/>
  <c r="R475" i="6"/>
  <c r="S475" i="6"/>
  <c r="T475" i="6"/>
  <c r="U475" i="6"/>
  <c r="B476" i="6"/>
  <c r="C476" i="6"/>
  <c r="D476" i="6"/>
  <c r="E476" i="6"/>
  <c r="F476" i="6"/>
  <c r="G476" i="6"/>
  <c r="H476" i="6"/>
  <c r="I476" i="6"/>
  <c r="J476" i="6"/>
  <c r="K476" i="6"/>
  <c r="L476" i="6"/>
  <c r="M476" i="6"/>
  <c r="N476" i="6"/>
  <c r="O476" i="6"/>
  <c r="P476" i="6"/>
  <c r="Q476" i="6"/>
  <c r="R476" i="6"/>
  <c r="S476" i="6"/>
  <c r="T476" i="6"/>
  <c r="U476" i="6"/>
  <c r="B477" i="6"/>
  <c r="C477" i="6"/>
  <c r="D477" i="6"/>
  <c r="E477" i="6"/>
  <c r="F477" i="6"/>
  <c r="G477" i="6"/>
  <c r="H477" i="6"/>
  <c r="I477" i="6"/>
  <c r="J477" i="6"/>
  <c r="K477" i="6"/>
  <c r="L477" i="6"/>
  <c r="M477" i="6"/>
  <c r="N477" i="6"/>
  <c r="O477" i="6"/>
  <c r="P477" i="6"/>
  <c r="Q477" i="6"/>
  <c r="R477" i="6"/>
  <c r="S477" i="6"/>
  <c r="T477" i="6"/>
  <c r="U477" i="6"/>
  <c r="B478" i="6"/>
  <c r="C478" i="6"/>
  <c r="D478" i="6"/>
  <c r="E478" i="6"/>
  <c r="F478" i="6"/>
  <c r="G478" i="6"/>
  <c r="H478" i="6"/>
  <c r="I478" i="6"/>
  <c r="J478" i="6"/>
  <c r="K478" i="6"/>
  <c r="L478" i="6"/>
  <c r="M478" i="6"/>
  <c r="N478" i="6"/>
  <c r="O478" i="6"/>
  <c r="P478" i="6"/>
  <c r="Q478" i="6"/>
  <c r="R478" i="6"/>
  <c r="S478" i="6"/>
  <c r="T478" i="6"/>
  <c r="U478" i="6"/>
  <c r="B479" i="6"/>
  <c r="C479" i="6"/>
  <c r="D479" i="6"/>
  <c r="E479" i="6"/>
  <c r="F479" i="6"/>
  <c r="G479" i="6"/>
  <c r="H479" i="6"/>
  <c r="I479" i="6"/>
  <c r="J479" i="6"/>
  <c r="K479" i="6"/>
  <c r="L479" i="6"/>
  <c r="M479" i="6"/>
  <c r="N479" i="6"/>
  <c r="O479" i="6"/>
  <c r="P479" i="6"/>
  <c r="Q479" i="6"/>
  <c r="R479" i="6"/>
  <c r="S479" i="6"/>
  <c r="T479" i="6"/>
  <c r="U479" i="6"/>
  <c r="B480" i="6"/>
  <c r="C480" i="6"/>
  <c r="D480" i="6"/>
  <c r="E480" i="6"/>
  <c r="F480" i="6"/>
  <c r="G480" i="6"/>
  <c r="H480" i="6"/>
  <c r="I480" i="6"/>
  <c r="J480" i="6"/>
  <c r="K480" i="6"/>
  <c r="L480" i="6"/>
  <c r="M480" i="6"/>
  <c r="N480" i="6"/>
  <c r="O480" i="6"/>
  <c r="P480" i="6"/>
  <c r="Q480" i="6"/>
  <c r="R480" i="6"/>
  <c r="S480" i="6"/>
  <c r="T480" i="6"/>
  <c r="U480" i="6"/>
  <c r="B481" i="6"/>
  <c r="C481" i="6"/>
  <c r="D481" i="6"/>
  <c r="E481" i="6"/>
  <c r="F481" i="6"/>
  <c r="G481" i="6"/>
  <c r="H481" i="6"/>
  <c r="I481" i="6"/>
  <c r="J481" i="6"/>
  <c r="K481" i="6"/>
  <c r="L481" i="6"/>
  <c r="M481" i="6"/>
  <c r="N481" i="6"/>
  <c r="O481" i="6"/>
  <c r="P481" i="6"/>
  <c r="Q481" i="6"/>
  <c r="R481" i="6"/>
  <c r="S481" i="6"/>
  <c r="T481" i="6"/>
  <c r="U481" i="6"/>
  <c r="B482" i="6"/>
  <c r="C482" i="6"/>
  <c r="D482" i="6"/>
  <c r="E482" i="6"/>
  <c r="F482" i="6"/>
  <c r="G482" i="6"/>
  <c r="H482" i="6"/>
  <c r="I482" i="6"/>
  <c r="J482" i="6"/>
  <c r="K482" i="6"/>
  <c r="L482" i="6"/>
  <c r="M482" i="6"/>
  <c r="N482" i="6"/>
  <c r="O482" i="6"/>
  <c r="P482" i="6"/>
  <c r="Q482" i="6"/>
  <c r="R482" i="6"/>
  <c r="S482" i="6"/>
  <c r="T482" i="6"/>
  <c r="U482" i="6"/>
  <c r="B483" i="6"/>
  <c r="C483" i="6"/>
  <c r="D483" i="6"/>
  <c r="E483" i="6"/>
  <c r="F483" i="6"/>
  <c r="G483" i="6"/>
  <c r="H483" i="6"/>
  <c r="I483" i="6"/>
  <c r="J483" i="6"/>
  <c r="K483" i="6"/>
  <c r="L483" i="6"/>
  <c r="M483" i="6"/>
  <c r="N483" i="6"/>
  <c r="O483" i="6"/>
  <c r="P483" i="6"/>
  <c r="Q483" i="6"/>
  <c r="R483" i="6"/>
  <c r="S483" i="6"/>
  <c r="T483" i="6"/>
  <c r="U483" i="6"/>
  <c r="B484" i="6"/>
  <c r="C484" i="6"/>
  <c r="D484" i="6"/>
  <c r="E484" i="6"/>
  <c r="F484" i="6"/>
  <c r="G484" i="6"/>
  <c r="H484" i="6"/>
  <c r="I484" i="6"/>
  <c r="J484" i="6"/>
  <c r="K484" i="6"/>
  <c r="L484" i="6"/>
  <c r="M484" i="6"/>
  <c r="N484" i="6"/>
  <c r="O484" i="6"/>
  <c r="P484" i="6"/>
  <c r="Q484" i="6"/>
  <c r="R484" i="6"/>
  <c r="S484" i="6"/>
  <c r="T484" i="6"/>
  <c r="U484" i="6"/>
  <c r="B485" i="6"/>
  <c r="C485" i="6"/>
  <c r="D485" i="6"/>
  <c r="E485" i="6"/>
  <c r="F485" i="6"/>
  <c r="G485" i="6"/>
  <c r="H485" i="6"/>
  <c r="I485" i="6"/>
  <c r="J485" i="6"/>
  <c r="K485" i="6"/>
  <c r="L485" i="6"/>
  <c r="M485" i="6"/>
  <c r="N485" i="6"/>
  <c r="O485" i="6"/>
  <c r="P485" i="6"/>
  <c r="Q485" i="6"/>
  <c r="R485" i="6"/>
  <c r="S485" i="6"/>
  <c r="T485" i="6"/>
  <c r="U485" i="6"/>
  <c r="B486" i="6"/>
  <c r="C486" i="6"/>
  <c r="D486" i="6"/>
  <c r="E486" i="6"/>
  <c r="F486" i="6"/>
  <c r="G486" i="6"/>
  <c r="H486" i="6"/>
  <c r="I486" i="6"/>
  <c r="J486" i="6"/>
  <c r="K486" i="6"/>
  <c r="L486" i="6"/>
  <c r="M486" i="6"/>
  <c r="N486" i="6"/>
  <c r="O486" i="6"/>
  <c r="P486" i="6"/>
  <c r="Q486" i="6"/>
  <c r="R486" i="6"/>
  <c r="S486" i="6"/>
  <c r="T486" i="6"/>
  <c r="U486" i="6"/>
  <c r="B487" i="6"/>
  <c r="C487" i="6"/>
  <c r="D487" i="6"/>
  <c r="E487" i="6"/>
  <c r="F487" i="6"/>
  <c r="G487" i="6"/>
  <c r="H487" i="6"/>
  <c r="I487" i="6"/>
  <c r="J487" i="6"/>
  <c r="K487" i="6"/>
  <c r="L487" i="6"/>
  <c r="M487" i="6"/>
  <c r="N487" i="6"/>
  <c r="O487" i="6"/>
  <c r="P487" i="6"/>
  <c r="Q487" i="6"/>
  <c r="R487" i="6"/>
  <c r="S487" i="6"/>
  <c r="T487" i="6"/>
  <c r="U487" i="6"/>
  <c r="B488" i="6"/>
  <c r="C488" i="6"/>
  <c r="D488" i="6"/>
  <c r="E488" i="6"/>
  <c r="F488" i="6"/>
  <c r="G488" i="6"/>
  <c r="H488" i="6"/>
  <c r="I488" i="6"/>
  <c r="J488" i="6"/>
  <c r="K488" i="6"/>
  <c r="L488" i="6"/>
  <c r="M488" i="6"/>
  <c r="N488" i="6"/>
  <c r="O488" i="6"/>
  <c r="P488" i="6"/>
  <c r="Q488" i="6"/>
  <c r="R488" i="6"/>
  <c r="S488" i="6"/>
  <c r="T488" i="6"/>
  <c r="U488" i="6"/>
  <c r="B489" i="6"/>
  <c r="C489" i="6"/>
  <c r="D489" i="6"/>
  <c r="E489" i="6"/>
  <c r="F489" i="6"/>
  <c r="G489" i="6"/>
  <c r="H489" i="6"/>
  <c r="I489" i="6"/>
  <c r="J489" i="6"/>
  <c r="K489" i="6"/>
  <c r="L489" i="6"/>
  <c r="M489" i="6"/>
  <c r="N489" i="6"/>
  <c r="O489" i="6"/>
  <c r="P489" i="6"/>
  <c r="Q489" i="6"/>
  <c r="R489" i="6"/>
  <c r="S489" i="6"/>
  <c r="T489" i="6"/>
  <c r="U489" i="6"/>
  <c r="B490" i="6"/>
  <c r="C490" i="6"/>
  <c r="D490" i="6"/>
  <c r="E490" i="6"/>
  <c r="F490" i="6"/>
  <c r="G490" i="6"/>
  <c r="H490" i="6"/>
  <c r="I490" i="6"/>
  <c r="J490" i="6"/>
  <c r="K490" i="6"/>
  <c r="L490" i="6"/>
  <c r="M490" i="6"/>
  <c r="N490" i="6"/>
  <c r="O490" i="6"/>
  <c r="P490" i="6"/>
  <c r="Q490" i="6"/>
  <c r="R490" i="6"/>
  <c r="S490" i="6"/>
  <c r="T490" i="6"/>
  <c r="U490" i="6"/>
  <c r="B491" i="6"/>
  <c r="C491" i="6"/>
  <c r="D491" i="6"/>
  <c r="E491" i="6"/>
  <c r="F491" i="6"/>
  <c r="G491" i="6"/>
  <c r="H491" i="6"/>
  <c r="I491" i="6"/>
  <c r="J491" i="6"/>
  <c r="K491" i="6"/>
  <c r="L491" i="6"/>
  <c r="M491" i="6"/>
  <c r="N491" i="6"/>
  <c r="O491" i="6"/>
  <c r="P491" i="6"/>
  <c r="Q491" i="6"/>
  <c r="R491" i="6"/>
  <c r="S491" i="6"/>
  <c r="T491" i="6"/>
  <c r="U491" i="6"/>
  <c r="B492" i="6"/>
  <c r="C492" i="6"/>
  <c r="D492" i="6"/>
  <c r="E492" i="6"/>
  <c r="F492" i="6"/>
  <c r="G492" i="6"/>
  <c r="H492" i="6"/>
  <c r="I492" i="6"/>
  <c r="J492" i="6"/>
  <c r="K492" i="6"/>
  <c r="L492" i="6"/>
  <c r="M492" i="6"/>
  <c r="N492" i="6"/>
  <c r="O492" i="6"/>
  <c r="P492" i="6"/>
  <c r="Q492" i="6"/>
  <c r="R492" i="6"/>
  <c r="S492" i="6"/>
  <c r="T492" i="6"/>
  <c r="U492" i="6"/>
  <c r="B493" i="6"/>
  <c r="C493" i="6"/>
  <c r="D493" i="6"/>
  <c r="E493" i="6"/>
  <c r="F493" i="6"/>
  <c r="G493" i="6"/>
  <c r="H493" i="6"/>
  <c r="I493" i="6"/>
  <c r="J493" i="6"/>
  <c r="K493" i="6"/>
  <c r="L493" i="6"/>
  <c r="M493" i="6"/>
  <c r="N493" i="6"/>
  <c r="O493" i="6"/>
  <c r="P493" i="6"/>
  <c r="Q493" i="6"/>
  <c r="R493" i="6"/>
  <c r="S493" i="6"/>
  <c r="T493" i="6"/>
  <c r="U493" i="6"/>
  <c r="B494" i="6"/>
  <c r="C494" i="6"/>
  <c r="D494" i="6"/>
  <c r="E494" i="6"/>
  <c r="F494" i="6"/>
  <c r="G494" i="6"/>
  <c r="H494" i="6"/>
  <c r="I494" i="6"/>
  <c r="J494" i="6"/>
  <c r="K494" i="6"/>
  <c r="L494" i="6"/>
  <c r="M494" i="6"/>
  <c r="N494" i="6"/>
  <c r="O494" i="6"/>
  <c r="P494" i="6"/>
  <c r="Q494" i="6"/>
  <c r="R494" i="6"/>
  <c r="S494" i="6"/>
  <c r="T494" i="6"/>
  <c r="U494" i="6"/>
  <c r="B495" i="6"/>
  <c r="C495" i="6"/>
  <c r="D495" i="6"/>
  <c r="E495" i="6"/>
  <c r="F495" i="6"/>
  <c r="G495" i="6"/>
  <c r="H495" i="6"/>
  <c r="I495" i="6"/>
  <c r="J495" i="6"/>
  <c r="K495" i="6"/>
  <c r="L495" i="6"/>
  <c r="M495" i="6"/>
  <c r="N495" i="6"/>
  <c r="O495" i="6"/>
  <c r="P495" i="6"/>
  <c r="Q495" i="6"/>
  <c r="R495" i="6"/>
  <c r="S495" i="6"/>
  <c r="T495" i="6"/>
  <c r="U495" i="6"/>
  <c r="B496" i="6"/>
  <c r="C496" i="6"/>
  <c r="D496" i="6"/>
  <c r="E496" i="6"/>
  <c r="F496" i="6"/>
  <c r="G496" i="6"/>
  <c r="H496" i="6"/>
  <c r="I496" i="6"/>
  <c r="J496" i="6"/>
  <c r="K496" i="6"/>
  <c r="L496" i="6"/>
  <c r="M496" i="6"/>
  <c r="N496" i="6"/>
  <c r="O496" i="6"/>
  <c r="P496" i="6"/>
  <c r="Q496" i="6"/>
  <c r="R496" i="6"/>
  <c r="S496" i="6"/>
  <c r="T496" i="6"/>
  <c r="U496" i="6"/>
  <c r="B497" i="6"/>
  <c r="C497" i="6"/>
  <c r="D497" i="6"/>
  <c r="E497" i="6"/>
  <c r="F497" i="6"/>
  <c r="G497" i="6"/>
  <c r="H497" i="6"/>
  <c r="I497" i="6"/>
  <c r="J497" i="6"/>
  <c r="K497" i="6"/>
  <c r="L497" i="6"/>
  <c r="M497" i="6"/>
  <c r="N497" i="6"/>
  <c r="O497" i="6"/>
  <c r="P497" i="6"/>
  <c r="Q497" i="6"/>
  <c r="R497" i="6"/>
  <c r="S497" i="6"/>
  <c r="T497" i="6"/>
  <c r="U497" i="6"/>
  <c r="B498" i="6"/>
  <c r="C498" i="6"/>
  <c r="D498" i="6"/>
  <c r="E498" i="6"/>
  <c r="F498" i="6"/>
  <c r="G498" i="6"/>
  <c r="H498" i="6"/>
  <c r="I498" i="6"/>
  <c r="J498" i="6"/>
  <c r="K498" i="6"/>
  <c r="L498" i="6"/>
  <c r="M498" i="6"/>
  <c r="N498" i="6"/>
  <c r="O498" i="6"/>
  <c r="P498" i="6"/>
  <c r="Q498" i="6"/>
  <c r="R498" i="6"/>
  <c r="S498" i="6"/>
  <c r="T498" i="6"/>
  <c r="U498" i="6"/>
  <c r="B499" i="6"/>
  <c r="C499" i="6"/>
  <c r="D499" i="6"/>
  <c r="E499" i="6"/>
  <c r="F499" i="6"/>
  <c r="G499" i="6"/>
  <c r="H499" i="6"/>
  <c r="I499" i="6"/>
  <c r="J499" i="6"/>
  <c r="K499" i="6"/>
  <c r="L499" i="6"/>
  <c r="M499" i="6"/>
  <c r="N499" i="6"/>
  <c r="O499" i="6"/>
  <c r="P499" i="6"/>
  <c r="Q499" i="6"/>
  <c r="R499" i="6"/>
  <c r="S499" i="6"/>
  <c r="T499" i="6"/>
  <c r="U499" i="6"/>
  <c r="B500" i="6"/>
  <c r="C500" i="6"/>
  <c r="D500" i="6"/>
  <c r="E500" i="6"/>
  <c r="F500" i="6"/>
  <c r="G500" i="6"/>
  <c r="H500" i="6"/>
  <c r="I500" i="6"/>
  <c r="J500" i="6"/>
  <c r="K500" i="6"/>
  <c r="L500" i="6"/>
  <c r="M500" i="6"/>
  <c r="N500" i="6"/>
  <c r="O500" i="6"/>
  <c r="P500" i="6"/>
  <c r="Q500" i="6"/>
  <c r="R500" i="6"/>
  <c r="S500" i="6"/>
  <c r="T500" i="6"/>
  <c r="U500" i="6"/>
  <c r="B501" i="6"/>
  <c r="C501" i="6"/>
  <c r="D501" i="6"/>
  <c r="E501" i="6"/>
  <c r="F501" i="6"/>
  <c r="G501" i="6"/>
  <c r="H501" i="6"/>
  <c r="I501" i="6"/>
  <c r="J501" i="6"/>
  <c r="K501" i="6"/>
  <c r="L501" i="6"/>
  <c r="M501" i="6"/>
  <c r="N501" i="6"/>
  <c r="O501" i="6"/>
  <c r="P501" i="6"/>
  <c r="Q501" i="6"/>
  <c r="R501" i="6"/>
  <c r="S501" i="6"/>
  <c r="T501" i="6"/>
  <c r="U501" i="6"/>
  <c r="B502" i="6"/>
  <c r="C502" i="6"/>
  <c r="D502" i="6"/>
  <c r="E502" i="6"/>
  <c r="F502" i="6"/>
  <c r="G502" i="6"/>
  <c r="H502" i="6"/>
  <c r="I502" i="6"/>
  <c r="J502" i="6"/>
  <c r="K502" i="6"/>
  <c r="L502" i="6"/>
  <c r="M502" i="6"/>
  <c r="N502" i="6"/>
  <c r="O502" i="6"/>
  <c r="P502" i="6"/>
  <c r="Q502" i="6"/>
  <c r="R502" i="6"/>
  <c r="S502" i="6"/>
  <c r="T502" i="6"/>
  <c r="U502" i="6"/>
  <c r="B503" i="6"/>
  <c r="C503" i="6"/>
  <c r="D503" i="6"/>
  <c r="E503" i="6"/>
  <c r="F503" i="6"/>
  <c r="G503" i="6"/>
  <c r="H503" i="6"/>
  <c r="I503" i="6"/>
  <c r="J503" i="6"/>
  <c r="K503" i="6"/>
  <c r="L503" i="6"/>
  <c r="M503" i="6"/>
  <c r="N503" i="6"/>
  <c r="O503" i="6"/>
  <c r="P503" i="6"/>
  <c r="Q503" i="6"/>
  <c r="R503" i="6"/>
  <c r="S503" i="6"/>
  <c r="T503" i="6"/>
  <c r="U503" i="6"/>
  <c r="B504" i="6"/>
  <c r="C504" i="6"/>
  <c r="D504" i="6"/>
  <c r="E504" i="6"/>
  <c r="F504" i="6"/>
  <c r="G504" i="6"/>
  <c r="H504" i="6"/>
  <c r="I504" i="6"/>
  <c r="J504" i="6"/>
  <c r="K504" i="6"/>
  <c r="L504" i="6"/>
  <c r="M504" i="6"/>
  <c r="N504" i="6"/>
  <c r="O504" i="6"/>
  <c r="P504" i="6"/>
  <c r="Q504" i="6"/>
  <c r="R504" i="6"/>
  <c r="S504" i="6"/>
  <c r="T504" i="6"/>
  <c r="U504" i="6"/>
  <c r="B505" i="6"/>
  <c r="C505" i="6"/>
  <c r="D505" i="6"/>
  <c r="E505" i="6"/>
  <c r="F505" i="6"/>
  <c r="G505" i="6"/>
  <c r="H505" i="6"/>
  <c r="I505" i="6"/>
  <c r="J505" i="6"/>
  <c r="K505" i="6"/>
  <c r="L505" i="6"/>
  <c r="M505" i="6"/>
  <c r="N505" i="6"/>
  <c r="O505" i="6"/>
  <c r="P505" i="6"/>
  <c r="Q505" i="6"/>
  <c r="R505" i="6"/>
  <c r="S505" i="6"/>
  <c r="T505" i="6"/>
  <c r="U505" i="6"/>
  <c r="B506" i="6"/>
  <c r="C506" i="6"/>
  <c r="D506" i="6"/>
  <c r="E506" i="6"/>
  <c r="F506" i="6"/>
  <c r="G506" i="6"/>
  <c r="H506" i="6"/>
  <c r="I506" i="6"/>
  <c r="J506" i="6"/>
  <c r="K506" i="6"/>
  <c r="L506" i="6"/>
  <c r="M506" i="6"/>
  <c r="N506" i="6"/>
  <c r="O506" i="6"/>
  <c r="P506" i="6"/>
  <c r="Q506" i="6"/>
  <c r="R506" i="6"/>
  <c r="S506" i="6"/>
  <c r="T506" i="6"/>
  <c r="U506" i="6"/>
  <c r="B507" i="6"/>
  <c r="C507" i="6"/>
  <c r="D507" i="6"/>
  <c r="E507" i="6"/>
  <c r="F507" i="6"/>
  <c r="G507" i="6"/>
  <c r="H507" i="6"/>
  <c r="I507" i="6"/>
  <c r="J507" i="6"/>
  <c r="K507" i="6"/>
  <c r="L507" i="6"/>
  <c r="M507" i="6"/>
  <c r="N507" i="6"/>
  <c r="O507" i="6"/>
  <c r="P507" i="6"/>
  <c r="Q507" i="6"/>
  <c r="R507" i="6"/>
  <c r="S507" i="6"/>
  <c r="T507" i="6"/>
  <c r="U507" i="6"/>
  <c r="B508" i="6"/>
  <c r="C508" i="6"/>
  <c r="D508" i="6"/>
  <c r="E508" i="6"/>
  <c r="F508" i="6"/>
  <c r="G508" i="6"/>
  <c r="H508" i="6"/>
  <c r="I508" i="6"/>
  <c r="J508" i="6"/>
  <c r="K508" i="6"/>
  <c r="L508" i="6"/>
  <c r="M508" i="6"/>
  <c r="N508" i="6"/>
  <c r="O508" i="6"/>
  <c r="P508" i="6"/>
  <c r="Q508" i="6"/>
  <c r="R508" i="6"/>
  <c r="S508" i="6"/>
  <c r="T508" i="6"/>
  <c r="U508" i="6"/>
  <c r="B509" i="6"/>
  <c r="C509" i="6"/>
  <c r="D509" i="6"/>
  <c r="E509" i="6"/>
  <c r="F509" i="6"/>
  <c r="G509" i="6"/>
  <c r="H509" i="6"/>
  <c r="I509" i="6"/>
  <c r="J509" i="6"/>
  <c r="K509" i="6"/>
  <c r="L509" i="6"/>
  <c r="M509" i="6"/>
  <c r="N509" i="6"/>
  <c r="O509" i="6"/>
  <c r="P509" i="6"/>
  <c r="Q509" i="6"/>
  <c r="R509" i="6"/>
  <c r="S509" i="6"/>
  <c r="T509" i="6"/>
  <c r="U509" i="6"/>
  <c r="B510" i="6"/>
  <c r="C510" i="6"/>
  <c r="D510" i="6"/>
  <c r="E510" i="6"/>
  <c r="F510" i="6"/>
  <c r="G510" i="6"/>
  <c r="H510" i="6"/>
  <c r="I510" i="6"/>
  <c r="J510" i="6"/>
  <c r="K510" i="6"/>
  <c r="L510" i="6"/>
  <c r="M510" i="6"/>
  <c r="N510" i="6"/>
  <c r="O510" i="6"/>
  <c r="P510" i="6"/>
  <c r="Q510" i="6"/>
  <c r="R510" i="6"/>
  <c r="S510" i="6"/>
  <c r="T510" i="6"/>
  <c r="U510" i="6"/>
  <c r="B511" i="6"/>
  <c r="C511" i="6"/>
  <c r="D511" i="6"/>
  <c r="E511" i="6"/>
  <c r="F511" i="6"/>
  <c r="G511" i="6"/>
  <c r="H511" i="6"/>
  <c r="I511" i="6"/>
  <c r="J511" i="6"/>
  <c r="K511" i="6"/>
  <c r="L511" i="6"/>
  <c r="M511" i="6"/>
  <c r="N511" i="6"/>
  <c r="O511" i="6"/>
  <c r="P511" i="6"/>
  <c r="Q511" i="6"/>
  <c r="R511" i="6"/>
  <c r="S511" i="6"/>
  <c r="T511" i="6"/>
  <c r="U511" i="6"/>
  <c r="B512" i="6"/>
  <c r="C512" i="6"/>
  <c r="D512" i="6"/>
  <c r="E512" i="6"/>
  <c r="F512" i="6"/>
  <c r="G512" i="6"/>
  <c r="H512" i="6"/>
  <c r="I512" i="6"/>
  <c r="J512" i="6"/>
  <c r="K512" i="6"/>
  <c r="L512" i="6"/>
  <c r="M512" i="6"/>
  <c r="N512" i="6"/>
  <c r="O512" i="6"/>
  <c r="P512" i="6"/>
  <c r="Q512" i="6"/>
  <c r="R512" i="6"/>
  <c r="S512" i="6"/>
  <c r="T512" i="6"/>
  <c r="U512" i="6"/>
  <c r="B513" i="6"/>
  <c r="C513" i="6"/>
  <c r="D513" i="6"/>
  <c r="E513" i="6"/>
  <c r="F513" i="6"/>
  <c r="G513" i="6"/>
  <c r="H513" i="6"/>
  <c r="I513" i="6"/>
  <c r="J513" i="6"/>
  <c r="K513" i="6"/>
  <c r="L513" i="6"/>
  <c r="M513" i="6"/>
  <c r="N513" i="6"/>
  <c r="O513" i="6"/>
  <c r="P513" i="6"/>
  <c r="Q513" i="6"/>
  <c r="R513" i="6"/>
  <c r="S513" i="6"/>
  <c r="T513" i="6"/>
  <c r="U513" i="6"/>
  <c r="B514" i="6"/>
  <c r="C514" i="6"/>
  <c r="D514" i="6"/>
  <c r="E514" i="6"/>
  <c r="F514" i="6"/>
  <c r="G514" i="6"/>
  <c r="H514" i="6"/>
  <c r="I514" i="6"/>
  <c r="J514" i="6"/>
  <c r="K514" i="6"/>
  <c r="L514" i="6"/>
  <c r="M514" i="6"/>
  <c r="N514" i="6"/>
  <c r="O514" i="6"/>
  <c r="P514" i="6"/>
  <c r="Q514" i="6"/>
  <c r="R514" i="6"/>
  <c r="S514" i="6"/>
  <c r="T514" i="6"/>
  <c r="U514" i="6"/>
  <c r="B515" i="6"/>
  <c r="C515" i="6"/>
  <c r="D515" i="6"/>
  <c r="E515" i="6"/>
  <c r="F515" i="6"/>
  <c r="G515" i="6"/>
  <c r="H515" i="6"/>
  <c r="I515" i="6"/>
  <c r="J515" i="6"/>
  <c r="K515" i="6"/>
  <c r="L515" i="6"/>
  <c r="M515" i="6"/>
  <c r="N515" i="6"/>
  <c r="O515" i="6"/>
  <c r="P515" i="6"/>
  <c r="Q515" i="6"/>
  <c r="R515" i="6"/>
  <c r="S515" i="6"/>
  <c r="T515" i="6"/>
  <c r="U515" i="6"/>
  <c r="B516" i="6"/>
  <c r="C516" i="6"/>
  <c r="D516" i="6"/>
  <c r="E516" i="6"/>
  <c r="F516" i="6"/>
  <c r="G516" i="6"/>
  <c r="H516" i="6"/>
  <c r="I516" i="6"/>
  <c r="J516" i="6"/>
  <c r="K516" i="6"/>
  <c r="L516" i="6"/>
  <c r="M516" i="6"/>
  <c r="N516" i="6"/>
  <c r="O516" i="6"/>
  <c r="P516" i="6"/>
  <c r="Q516" i="6"/>
  <c r="R516" i="6"/>
  <c r="S516" i="6"/>
  <c r="T516" i="6"/>
  <c r="U516" i="6"/>
  <c r="B517" i="6"/>
  <c r="C517" i="6"/>
  <c r="D517" i="6"/>
  <c r="E517" i="6"/>
  <c r="F517" i="6"/>
  <c r="G517" i="6"/>
  <c r="H517" i="6"/>
  <c r="I517" i="6"/>
  <c r="J517" i="6"/>
  <c r="K517" i="6"/>
  <c r="L517" i="6"/>
  <c r="M517" i="6"/>
  <c r="N517" i="6"/>
  <c r="O517" i="6"/>
  <c r="P517" i="6"/>
  <c r="Q517" i="6"/>
  <c r="R517" i="6"/>
  <c r="S517" i="6"/>
  <c r="T517" i="6"/>
  <c r="U517" i="6"/>
  <c r="B518" i="6"/>
  <c r="C518" i="6"/>
  <c r="D518" i="6"/>
  <c r="E518" i="6"/>
  <c r="F518" i="6"/>
  <c r="G518" i="6"/>
  <c r="H518" i="6"/>
  <c r="I518" i="6"/>
  <c r="J518" i="6"/>
  <c r="K518" i="6"/>
  <c r="L518" i="6"/>
  <c r="M518" i="6"/>
  <c r="N518" i="6"/>
  <c r="O518" i="6"/>
  <c r="P518" i="6"/>
  <c r="Q518" i="6"/>
  <c r="R518" i="6"/>
  <c r="S518" i="6"/>
  <c r="T518" i="6"/>
  <c r="U518" i="6"/>
  <c r="B519" i="6"/>
  <c r="C519" i="6"/>
  <c r="D519" i="6"/>
  <c r="E519" i="6"/>
  <c r="F519" i="6"/>
  <c r="G519" i="6"/>
  <c r="H519" i="6"/>
  <c r="I519" i="6"/>
  <c r="J519" i="6"/>
  <c r="K519" i="6"/>
  <c r="L519" i="6"/>
  <c r="M519" i="6"/>
  <c r="N519" i="6"/>
  <c r="O519" i="6"/>
  <c r="P519" i="6"/>
  <c r="Q519" i="6"/>
  <c r="R519" i="6"/>
  <c r="S519" i="6"/>
  <c r="T519" i="6"/>
  <c r="U519" i="6"/>
  <c r="B520" i="6"/>
  <c r="C520" i="6"/>
  <c r="D520" i="6"/>
  <c r="E520" i="6"/>
  <c r="F520" i="6"/>
  <c r="G520" i="6"/>
  <c r="H520" i="6"/>
  <c r="I520" i="6"/>
  <c r="J520" i="6"/>
  <c r="K520" i="6"/>
  <c r="L520" i="6"/>
  <c r="M520" i="6"/>
  <c r="N520" i="6"/>
  <c r="O520" i="6"/>
  <c r="P520" i="6"/>
  <c r="Q520" i="6"/>
  <c r="R520" i="6"/>
  <c r="S520" i="6"/>
  <c r="T520" i="6"/>
  <c r="U520" i="6"/>
  <c r="B521" i="6"/>
  <c r="C521" i="6"/>
  <c r="D521" i="6"/>
  <c r="E521" i="6"/>
  <c r="F521" i="6"/>
  <c r="G521" i="6"/>
  <c r="H521" i="6"/>
  <c r="I521" i="6"/>
  <c r="J521" i="6"/>
  <c r="K521" i="6"/>
  <c r="L521" i="6"/>
  <c r="M521" i="6"/>
  <c r="N521" i="6"/>
  <c r="O521" i="6"/>
  <c r="P521" i="6"/>
  <c r="Q521" i="6"/>
  <c r="R521" i="6"/>
  <c r="S521" i="6"/>
  <c r="T521" i="6"/>
  <c r="U521" i="6"/>
  <c r="B522" i="6"/>
  <c r="C522" i="6"/>
  <c r="D522" i="6"/>
  <c r="E522" i="6"/>
  <c r="F522" i="6"/>
  <c r="G522" i="6"/>
  <c r="H522" i="6"/>
  <c r="I522" i="6"/>
  <c r="J522" i="6"/>
  <c r="K522" i="6"/>
  <c r="L522" i="6"/>
  <c r="M522" i="6"/>
  <c r="N522" i="6"/>
  <c r="O522" i="6"/>
  <c r="P522" i="6"/>
  <c r="Q522" i="6"/>
  <c r="R522" i="6"/>
  <c r="S522" i="6"/>
  <c r="T522" i="6"/>
  <c r="U522" i="6"/>
  <c r="B523" i="6"/>
  <c r="C523" i="6"/>
  <c r="D523" i="6"/>
  <c r="E523" i="6"/>
  <c r="F523" i="6"/>
  <c r="G523" i="6"/>
  <c r="H523" i="6"/>
  <c r="I523" i="6"/>
  <c r="J523" i="6"/>
  <c r="K523" i="6"/>
  <c r="L523" i="6"/>
  <c r="M523" i="6"/>
  <c r="N523" i="6"/>
  <c r="O523" i="6"/>
  <c r="P523" i="6"/>
  <c r="Q523" i="6"/>
  <c r="R523" i="6"/>
  <c r="S523" i="6"/>
  <c r="T523" i="6"/>
  <c r="U523" i="6"/>
  <c r="B524" i="6"/>
  <c r="C524" i="6"/>
  <c r="D524" i="6"/>
  <c r="E524" i="6"/>
  <c r="F524" i="6"/>
  <c r="G524" i="6"/>
  <c r="H524" i="6"/>
  <c r="I524" i="6"/>
  <c r="J524" i="6"/>
  <c r="K524" i="6"/>
  <c r="L524" i="6"/>
  <c r="M524" i="6"/>
  <c r="N524" i="6"/>
  <c r="O524" i="6"/>
  <c r="P524" i="6"/>
  <c r="Q524" i="6"/>
  <c r="R524" i="6"/>
  <c r="S524" i="6"/>
  <c r="T524" i="6"/>
  <c r="U524" i="6"/>
  <c r="B525" i="6"/>
  <c r="C525" i="6"/>
  <c r="D525" i="6"/>
  <c r="E525" i="6"/>
  <c r="F525" i="6"/>
  <c r="G525" i="6"/>
  <c r="H525" i="6"/>
  <c r="I525" i="6"/>
  <c r="J525" i="6"/>
  <c r="K525" i="6"/>
  <c r="L525" i="6"/>
  <c r="M525" i="6"/>
  <c r="N525" i="6"/>
  <c r="O525" i="6"/>
  <c r="P525" i="6"/>
  <c r="Q525" i="6"/>
  <c r="R525" i="6"/>
  <c r="S525" i="6"/>
  <c r="T525" i="6"/>
  <c r="U525" i="6"/>
  <c r="B526" i="6"/>
  <c r="C526" i="6"/>
  <c r="D526" i="6"/>
  <c r="E526" i="6"/>
  <c r="F526" i="6"/>
  <c r="G526" i="6"/>
  <c r="H526" i="6"/>
  <c r="I526" i="6"/>
  <c r="J526" i="6"/>
  <c r="K526" i="6"/>
  <c r="L526" i="6"/>
  <c r="M526" i="6"/>
  <c r="N526" i="6"/>
  <c r="O526" i="6"/>
  <c r="P526" i="6"/>
  <c r="Q526" i="6"/>
  <c r="R526" i="6"/>
  <c r="S526" i="6"/>
  <c r="T526" i="6"/>
  <c r="U526" i="6"/>
  <c r="B527" i="6"/>
  <c r="C527" i="6"/>
  <c r="D527" i="6"/>
  <c r="E527" i="6"/>
  <c r="F527" i="6"/>
  <c r="G527" i="6"/>
  <c r="H527" i="6"/>
  <c r="I527" i="6"/>
  <c r="J527" i="6"/>
  <c r="K527" i="6"/>
  <c r="L527" i="6"/>
  <c r="M527" i="6"/>
  <c r="N527" i="6"/>
  <c r="O527" i="6"/>
  <c r="P527" i="6"/>
  <c r="Q527" i="6"/>
  <c r="R527" i="6"/>
  <c r="S527" i="6"/>
  <c r="T527" i="6"/>
  <c r="U527" i="6"/>
  <c r="B528" i="6"/>
  <c r="C528" i="6"/>
  <c r="D528" i="6"/>
  <c r="E528" i="6"/>
  <c r="F528" i="6"/>
  <c r="G528" i="6"/>
  <c r="H528" i="6"/>
  <c r="I528" i="6"/>
  <c r="J528" i="6"/>
  <c r="K528" i="6"/>
  <c r="L528" i="6"/>
  <c r="M528" i="6"/>
  <c r="N528" i="6"/>
  <c r="O528" i="6"/>
  <c r="P528" i="6"/>
  <c r="Q528" i="6"/>
  <c r="R528" i="6"/>
  <c r="S528" i="6"/>
  <c r="T528" i="6"/>
  <c r="U528" i="6"/>
  <c r="B529" i="6"/>
  <c r="C529" i="6"/>
  <c r="D529" i="6"/>
  <c r="E529" i="6"/>
  <c r="F529" i="6"/>
  <c r="G529" i="6"/>
  <c r="H529" i="6"/>
  <c r="I529" i="6"/>
  <c r="J529" i="6"/>
  <c r="K529" i="6"/>
  <c r="L529" i="6"/>
  <c r="M529" i="6"/>
  <c r="N529" i="6"/>
  <c r="O529" i="6"/>
  <c r="P529" i="6"/>
  <c r="Q529" i="6"/>
  <c r="R529" i="6"/>
  <c r="S529" i="6"/>
  <c r="T529" i="6"/>
  <c r="U529" i="6"/>
  <c r="B530" i="6"/>
  <c r="C530" i="6"/>
  <c r="D530" i="6"/>
  <c r="E530" i="6"/>
  <c r="F530" i="6"/>
  <c r="G530" i="6"/>
  <c r="H530" i="6"/>
  <c r="I530" i="6"/>
  <c r="J530" i="6"/>
  <c r="K530" i="6"/>
  <c r="L530" i="6"/>
  <c r="M530" i="6"/>
  <c r="N530" i="6"/>
  <c r="O530" i="6"/>
  <c r="P530" i="6"/>
  <c r="Q530" i="6"/>
  <c r="R530" i="6"/>
  <c r="S530" i="6"/>
  <c r="T530" i="6"/>
  <c r="U530" i="6"/>
  <c r="B531" i="6"/>
  <c r="C531" i="6"/>
  <c r="D531" i="6"/>
  <c r="E531" i="6"/>
  <c r="F531" i="6"/>
  <c r="G531" i="6"/>
  <c r="H531" i="6"/>
  <c r="I531" i="6"/>
  <c r="J531" i="6"/>
  <c r="K531" i="6"/>
  <c r="L531" i="6"/>
  <c r="M531" i="6"/>
  <c r="N531" i="6"/>
  <c r="O531" i="6"/>
  <c r="P531" i="6"/>
  <c r="Q531" i="6"/>
  <c r="R531" i="6"/>
  <c r="S531" i="6"/>
  <c r="T531" i="6"/>
  <c r="U531" i="6"/>
  <c r="B532" i="6"/>
  <c r="C532" i="6"/>
  <c r="D532" i="6"/>
  <c r="E532" i="6"/>
  <c r="F532" i="6"/>
  <c r="G532" i="6"/>
  <c r="H532" i="6"/>
  <c r="I532" i="6"/>
  <c r="J532" i="6"/>
  <c r="K532" i="6"/>
  <c r="L532" i="6"/>
  <c r="M532" i="6"/>
  <c r="N532" i="6"/>
  <c r="O532" i="6"/>
  <c r="P532" i="6"/>
  <c r="Q532" i="6"/>
  <c r="R532" i="6"/>
  <c r="S532" i="6"/>
  <c r="T532" i="6"/>
  <c r="U532" i="6"/>
  <c r="B533" i="6"/>
  <c r="C533" i="6"/>
  <c r="D533" i="6"/>
  <c r="E533" i="6"/>
  <c r="F533" i="6"/>
  <c r="G533" i="6"/>
  <c r="H533" i="6"/>
  <c r="I533" i="6"/>
  <c r="J533" i="6"/>
  <c r="K533" i="6"/>
  <c r="L533" i="6"/>
  <c r="M533" i="6"/>
  <c r="N533" i="6"/>
  <c r="O533" i="6"/>
  <c r="P533" i="6"/>
  <c r="Q533" i="6"/>
  <c r="R533" i="6"/>
  <c r="S533" i="6"/>
  <c r="T533" i="6"/>
  <c r="U533" i="6"/>
  <c r="B534" i="6"/>
  <c r="C534" i="6"/>
  <c r="D534" i="6"/>
  <c r="E534" i="6"/>
  <c r="F534" i="6"/>
  <c r="G534" i="6"/>
  <c r="H534" i="6"/>
  <c r="I534" i="6"/>
  <c r="J534" i="6"/>
  <c r="K534" i="6"/>
  <c r="L534" i="6"/>
  <c r="M534" i="6"/>
  <c r="N534" i="6"/>
  <c r="O534" i="6"/>
  <c r="P534" i="6"/>
  <c r="Q534" i="6"/>
  <c r="R534" i="6"/>
  <c r="S534" i="6"/>
  <c r="T534" i="6"/>
  <c r="U534" i="6"/>
  <c r="B535" i="6"/>
  <c r="C535" i="6"/>
  <c r="D535" i="6"/>
  <c r="E535" i="6"/>
  <c r="F535" i="6"/>
  <c r="G535" i="6"/>
  <c r="H535" i="6"/>
  <c r="I535" i="6"/>
  <c r="J535" i="6"/>
  <c r="K535" i="6"/>
  <c r="L535" i="6"/>
  <c r="M535" i="6"/>
  <c r="N535" i="6"/>
  <c r="O535" i="6"/>
  <c r="P535" i="6"/>
  <c r="Q535" i="6"/>
  <c r="R535" i="6"/>
  <c r="S535" i="6"/>
  <c r="T535" i="6"/>
  <c r="U535" i="6"/>
  <c r="B536" i="6"/>
  <c r="C536" i="6"/>
  <c r="D536" i="6"/>
  <c r="E536" i="6"/>
  <c r="F536" i="6"/>
  <c r="G536" i="6"/>
  <c r="H536" i="6"/>
  <c r="I536" i="6"/>
  <c r="J536" i="6"/>
  <c r="K536" i="6"/>
  <c r="L536" i="6"/>
  <c r="M536" i="6"/>
  <c r="N536" i="6"/>
  <c r="O536" i="6"/>
  <c r="P536" i="6"/>
  <c r="Q536" i="6"/>
  <c r="R536" i="6"/>
  <c r="S536" i="6"/>
  <c r="T536" i="6"/>
  <c r="U536" i="6"/>
  <c r="B537" i="6"/>
  <c r="C537" i="6"/>
  <c r="D537" i="6"/>
  <c r="E537" i="6"/>
  <c r="F537" i="6"/>
  <c r="G537" i="6"/>
  <c r="H537" i="6"/>
  <c r="I537" i="6"/>
  <c r="J537" i="6"/>
  <c r="K537" i="6"/>
  <c r="L537" i="6"/>
  <c r="M537" i="6"/>
  <c r="N537" i="6"/>
  <c r="O537" i="6"/>
  <c r="P537" i="6"/>
  <c r="Q537" i="6"/>
  <c r="R537" i="6"/>
  <c r="S537" i="6"/>
  <c r="T537" i="6"/>
  <c r="U537" i="6"/>
  <c r="B538" i="6"/>
  <c r="C538" i="6"/>
  <c r="D538" i="6"/>
  <c r="E538" i="6"/>
  <c r="F538" i="6"/>
  <c r="G538" i="6"/>
  <c r="H538" i="6"/>
  <c r="I538" i="6"/>
  <c r="J538" i="6"/>
  <c r="K538" i="6"/>
  <c r="L538" i="6"/>
  <c r="M538" i="6"/>
  <c r="N538" i="6"/>
  <c r="O538" i="6"/>
  <c r="P538" i="6"/>
  <c r="Q538" i="6"/>
  <c r="R538" i="6"/>
  <c r="S538" i="6"/>
  <c r="T538" i="6"/>
  <c r="U538" i="6"/>
  <c r="B539" i="6"/>
  <c r="C539" i="6"/>
  <c r="D539" i="6"/>
  <c r="E539" i="6"/>
  <c r="F539" i="6"/>
  <c r="G539" i="6"/>
  <c r="H539" i="6"/>
  <c r="I539" i="6"/>
  <c r="J539" i="6"/>
  <c r="K539" i="6"/>
  <c r="L539" i="6"/>
  <c r="M539" i="6"/>
  <c r="N539" i="6"/>
  <c r="O539" i="6"/>
  <c r="P539" i="6"/>
  <c r="Q539" i="6"/>
  <c r="R539" i="6"/>
  <c r="S539" i="6"/>
  <c r="T539" i="6"/>
  <c r="U539" i="6"/>
  <c r="B540" i="6"/>
  <c r="C540" i="6"/>
  <c r="D540" i="6"/>
  <c r="E540" i="6"/>
  <c r="F540" i="6"/>
  <c r="G540" i="6"/>
  <c r="H540" i="6"/>
  <c r="I540" i="6"/>
  <c r="J540" i="6"/>
  <c r="K540" i="6"/>
  <c r="L540" i="6"/>
  <c r="M540" i="6"/>
  <c r="N540" i="6"/>
  <c r="O540" i="6"/>
  <c r="P540" i="6"/>
  <c r="Q540" i="6"/>
  <c r="R540" i="6"/>
  <c r="S540" i="6"/>
  <c r="T540" i="6"/>
  <c r="U540" i="6"/>
  <c r="B541" i="6"/>
  <c r="C541" i="6"/>
  <c r="D541" i="6"/>
  <c r="E541" i="6"/>
  <c r="F541" i="6"/>
  <c r="G541" i="6"/>
  <c r="H541" i="6"/>
  <c r="I541" i="6"/>
  <c r="J541" i="6"/>
  <c r="K541" i="6"/>
  <c r="L541" i="6"/>
  <c r="M541" i="6"/>
  <c r="N541" i="6"/>
  <c r="O541" i="6"/>
  <c r="P541" i="6"/>
  <c r="Q541" i="6"/>
  <c r="R541" i="6"/>
  <c r="S541" i="6"/>
  <c r="T541" i="6"/>
  <c r="U541" i="6"/>
  <c r="B542" i="6"/>
  <c r="C542" i="6"/>
  <c r="D542" i="6"/>
  <c r="E542" i="6"/>
  <c r="F542" i="6"/>
  <c r="G542" i="6"/>
  <c r="H542" i="6"/>
  <c r="I542" i="6"/>
  <c r="J542" i="6"/>
  <c r="K542" i="6"/>
  <c r="L542" i="6"/>
  <c r="M542" i="6"/>
  <c r="N542" i="6"/>
  <c r="O542" i="6"/>
  <c r="P542" i="6"/>
  <c r="Q542" i="6"/>
  <c r="R542" i="6"/>
  <c r="S542" i="6"/>
  <c r="T542" i="6"/>
  <c r="U542" i="6"/>
  <c r="B543" i="6"/>
  <c r="C543" i="6"/>
  <c r="D543" i="6"/>
  <c r="E543" i="6"/>
  <c r="F543" i="6"/>
  <c r="G543" i="6"/>
  <c r="H543" i="6"/>
  <c r="I543" i="6"/>
  <c r="J543" i="6"/>
  <c r="K543" i="6"/>
  <c r="L543" i="6"/>
  <c r="M543" i="6"/>
  <c r="N543" i="6"/>
  <c r="O543" i="6"/>
  <c r="P543" i="6"/>
  <c r="Q543" i="6"/>
  <c r="R543" i="6"/>
  <c r="S543" i="6"/>
  <c r="T543" i="6"/>
  <c r="U543" i="6"/>
  <c r="B544" i="6"/>
  <c r="C544" i="6"/>
  <c r="D544" i="6"/>
  <c r="E544" i="6"/>
  <c r="F544" i="6"/>
  <c r="G544" i="6"/>
  <c r="H544" i="6"/>
  <c r="I544" i="6"/>
  <c r="J544" i="6"/>
  <c r="K544" i="6"/>
  <c r="L544" i="6"/>
  <c r="M544" i="6"/>
  <c r="N544" i="6"/>
  <c r="O544" i="6"/>
  <c r="P544" i="6"/>
  <c r="Q544" i="6"/>
  <c r="R544" i="6"/>
  <c r="S544" i="6"/>
  <c r="T544" i="6"/>
  <c r="U544" i="6"/>
  <c r="B545" i="6"/>
  <c r="C545" i="6"/>
  <c r="D545" i="6"/>
  <c r="E545" i="6"/>
  <c r="F545" i="6"/>
  <c r="G545" i="6"/>
  <c r="H545" i="6"/>
  <c r="I545" i="6"/>
  <c r="J545" i="6"/>
  <c r="K545" i="6"/>
  <c r="L545" i="6"/>
  <c r="M545" i="6"/>
  <c r="N545" i="6"/>
  <c r="O545" i="6"/>
  <c r="P545" i="6"/>
  <c r="Q545" i="6"/>
  <c r="R545" i="6"/>
  <c r="S545" i="6"/>
  <c r="T545" i="6"/>
  <c r="U545" i="6"/>
  <c r="B546" i="6"/>
  <c r="C546" i="6"/>
  <c r="D546" i="6"/>
  <c r="E546" i="6"/>
  <c r="F546" i="6"/>
  <c r="G546" i="6"/>
  <c r="H546" i="6"/>
  <c r="I546" i="6"/>
  <c r="J546" i="6"/>
  <c r="K546" i="6"/>
  <c r="L546" i="6"/>
  <c r="M546" i="6"/>
  <c r="N546" i="6"/>
  <c r="O546" i="6"/>
  <c r="P546" i="6"/>
  <c r="Q546" i="6"/>
  <c r="R546" i="6"/>
  <c r="S546" i="6"/>
  <c r="T546" i="6"/>
  <c r="U546" i="6"/>
  <c r="B547" i="6"/>
  <c r="C547" i="6"/>
  <c r="D547" i="6"/>
  <c r="E547" i="6"/>
  <c r="F547" i="6"/>
  <c r="G547" i="6"/>
  <c r="H547" i="6"/>
  <c r="I547" i="6"/>
  <c r="J547" i="6"/>
  <c r="K547" i="6"/>
  <c r="L547" i="6"/>
  <c r="M547" i="6"/>
  <c r="N547" i="6"/>
  <c r="O547" i="6"/>
  <c r="P547" i="6"/>
  <c r="Q547" i="6"/>
  <c r="R547" i="6"/>
  <c r="S547" i="6"/>
  <c r="T547" i="6"/>
  <c r="U547" i="6"/>
  <c r="B548" i="6"/>
  <c r="C548" i="6"/>
  <c r="D548" i="6"/>
  <c r="E548" i="6"/>
  <c r="F548" i="6"/>
  <c r="G548" i="6"/>
  <c r="H548" i="6"/>
  <c r="I548" i="6"/>
  <c r="J548" i="6"/>
  <c r="K548" i="6"/>
  <c r="L548" i="6"/>
  <c r="M548" i="6"/>
  <c r="N548" i="6"/>
  <c r="O548" i="6"/>
  <c r="P548" i="6"/>
  <c r="Q548" i="6"/>
  <c r="R548" i="6"/>
  <c r="S548" i="6"/>
  <c r="T548" i="6"/>
  <c r="U548" i="6"/>
  <c r="B549" i="6"/>
  <c r="C549" i="6"/>
  <c r="D549" i="6"/>
  <c r="E549" i="6"/>
  <c r="F549" i="6"/>
  <c r="G549" i="6"/>
  <c r="H549" i="6"/>
  <c r="I549" i="6"/>
  <c r="J549" i="6"/>
  <c r="K549" i="6"/>
  <c r="L549" i="6"/>
  <c r="M549" i="6"/>
  <c r="N549" i="6"/>
  <c r="O549" i="6"/>
  <c r="P549" i="6"/>
  <c r="Q549" i="6"/>
  <c r="R549" i="6"/>
  <c r="S549" i="6"/>
  <c r="T549" i="6"/>
  <c r="U549" i="6"/>
  <c r="B550" i="6"/>
  <c r="C550" i="6"/>
  <c r="D550" i="6"/>
  <c r="E550" i="6"/>
  <c r="F550" i="6"/>
  <c r="G550" i="6"/>
  <c r="H550" i="6"/>
  <c r="I550" i="6"/>
  <c r="J550" i="6"/>
  <c r="K550" i="6"/>
  <c r="L550" i="6"/>
  <c r="M550" i="6"/>
  <c r="N550" i="6"/>
  <c r="O550" i="6"/>
  <c r="P550" i="6"/>
  <c r="Q550" i="6"/>
  <c r="R550" i="6"/>
  <c r="S550" i="6"/>
  <c r="T550" i="6"/>
  <c r="U550" i="6"/>
  <c r="B551" i="6"/>
  <c r="C551" i="6"/>
  <c r="D551" i="6"/>
  <c r="E551" i="6"/>
  <c r="F551" i="6"/>
  <c r="G551" i="6"/>
  <c r="H551" i="6"/>
  <c r="I551" i="6"/>
  <c r="J551" i="6"/>
  <c r="K551" i="6"/>
  <c r="L551" i="6"/>
  <c r="M551" i="6"/>
  <c r="N551" i="6"/>
  <c r="O551" i="6"/>
  <c r="P551" i="6"/>
  <c r="Q551" i="6"/>
  <c r="R551" i="6"/>
  <c r="S551" i="6"/>
  <c r="T551" i="6"/>
  <c r="U551" i="6"/>
  <c r="B552" i="6"/>
  <c r="C552" i="6"/>
  <c r="D552" i="6"/>
  <c r="E552" i="6"/>
  <c r="F552" i="6"/>
  <c r="G552" i="6"/>
  <c r="H552" i="6"/>
  <c r="I552" i="6"/>
  <c r="J552" i="6"/>
  <c r="K552" i="6"/>
  <c r="L552" i="6"/>
  <c r="M552" i="6"/>
  <c r="N552" i="6"/>
  <c r="O552" i="6"/>
  <c r="P552" i="6"/>
  <c r="Q552" i="6"/>
  <c r="R552" i="6"/>
  <c r="S552" i="6"/>
  <c r="T552" i="6"/>
  <c r="U552" i="6"/>
  <c r="B553" i="6"/>
  <c r="C553" i="6"/>
  <c r="D553" i="6"/>
  <c r="E553" i="6"/>
  <c r="F553" i="6"/>
  <c r="G553" i="6"/>
  <c r="H553" i="6"/>
  <c r="I553" i="6"/>
  <c r="J553" i="6"/>
  <c r="K553" i="6"/>
  <c r="L553" i="6"/>
  <c r="M553" i="6"/>
  <c r="N553" i="6"/>
  <c r="O553" i="6"/>
  <c r="P553" i="6"/>
  <c r="Q553" i="6"/>
  <c r="R553" i="6"/>
  <c r="S553" i="6"/>
  <c r="T553" i="6"/>
  <c r="U553" i="6"/>
  <c r="B554" i="6"/>
  <c r="C554" i="6"/>
  <c r="D554" i="6"/>
  <c r="E554" i="6"/>
  <c r="F554" i="6"/>
  <c r="G554" i="6"/>
  <c r="H554" i="6"/>
  <c r="I554" i="6"/>
  <c r="J554" i="6"/>
  <c r="K554" i="6"/>
  <c r="L554" i="6"/>
  <c r="M554" i="6"/>
  <c r="N554" i="6"/>
  <c r="O554" i="6"/>
  <c r="P554" i="6"/>
  <c r="Q554" i="6"/>
  <c r="R554" i="6"/>
  <c r="S554" i="6"/>
  <c r="T554" i="6"/>
  <c r="U554" i="6"/>
  <c r="B555" i="6"/>
  <c r="C555" i="6"/>
  <c r="D555" i="6"/>
  <c r="E555" i="6"/>
  <c r="F555" i="6"/>
  <c r="G555" i="6"/>
  <c r="H555" i="6"/>
  <c r="I555" i="6"/>
  <c r="J555" i="6"/>
  <c r="K555" i="6"/>
  <c r="L555" i="6"/>
  <c r="M555" i="6"/>
  <c r="N555" i="6"/>
  <c r="O555" i="6"/>
  <c r="P555" i="6"/>
  <c r="Q555" i="6"/>
  <c r="R555" i="6"/>
  <c r="S555" i="6"/>
  <c r="T555" i="6"/>
  <c r="U555" i="6"/>
  <c r="B556" i="6"/>
  <c r="C556" i="6"/>
  <c r="D556" i="6"/>
  <c r="E556" i="6"/>
  <c r="F556" i="6"/>
  <c r="G556" i="6"/>
  <c r="H556" i="6"/>
  <c r="I556" i="6"/>
  <c r="J556" i="6"/>
  <c r="K556" i="6"/>
  <c r="L556" i="6"/>
  <c r="M556" i="6"/>
  <c r="N556" i="6"/>
  <c r="O556" i="6"/>
  <c r="P556" i="6"/>
  <c r="Q556" i="6"/>
  <c r="R556" i="6"/>
  <c r="S556" i="6"/>
  <c r="T556" i="6"/>
  <c r="U556" i="6"/>
  <c r="B557" i="6"/>
  <c r="C557" i="6"/>
  <c r="D557" i="6"/>
  <c r="E557" i="6"/>
  <c r="F557" i="6"/>
  <c r="G557" i="6"/>
  <c r="H557" i="6"/>
  <c r="I557" i="6"/>
  <c r="J557" i="6"/>
  <c r="K557" i="6"/>
  <c r="L557" i="6"/>
  <c r="M557" i="6"/>
  <c r="N557" i="6"/>
  <c r="O557" i="6"/>
  <c r="P557" i="6"/>
  <c r="Q557" i="6"/>
  <c r="R557" i="6"/>
  <c r="S557" i="6"/>
  <c r="T557" i="6"/>
  <c r="U557" i="6"/>
  <c r="B558" i="6"/>
  <c r="C558" i="6"/>
  <c r="D558" i="6"/>
  <c r="E558" i="6"/>
  <c r="F558" i="6"/>
  <c r="G558" i="6"/>
  <c r="H558" i="6"/>
  <c r="I558" i="6"/>
  <c r="J558" i="6"/>
  <c r="K558" i="6"/>
  <c r="L558" i="6"/>
  <c r="M558" i="6"/>
  <c r="N558" i="6"/>
  <c r="O558" i="6"/>
  <c r="P558" i="6"/>
  <c r="Q558" i="6"/>
  <c r="R558" i="6"/>
  <c r="S558" i="6"/>
  <c r="T558" i="6"/>
  <c r="U558" i="6"/>
  <c r="B559" i="6"/>
  <c r="C559" i="6"/>
  <c r="D559" i="6"/>
  <c r="E559" i="6"/>
  <c r="F559" i="6"/>
  <c r="G559" i="6"/>
  <c r="H559" i="6"/>
  <c r="I559" i="6"/>
  <c r="J559" i="6"/>
  <c r="K559" i="6"/>
  <c r="L559" i="6"/>
  <c r="M559" i="6"/>
  <c r="N559" i="6"/>
  <c r="O559" i="6"/>
  <c r="P559" i="6"/>
  <c r="Q559" i="6"/>
  <c r="R559" i="6"/>
  <c r="S559" i="6"/>
  <c r="T559" i="6"/>
  <c r="U559" i="6"/>
  <c r="B560" i="6"/>
  <c r="C560" i="6"/>
  <c r="D560" i="6"/>
  <c r="E560" i="6"/>
  <c r="F560" i="6"/>
  <c r="G560" i="6"/>
  <c r="H560" i="6"/>
  <c r="I560" i="6"/>
  <c r="J560" i="6"/>
  <c r="K560" i="6"/>
  <c r="L560" i="6"/>
  <c r="M560" i="6"/>
  <c r="N560" i="6"/>
  <c r="O560" i="6"/>
  <c r="P560" i="6"/>
  <c r="Q560" i="6"/>
  <c r="R560" i="6"/>
  <c r="S560" i="6"/>
  <c r="T560" i="6"/>
  <c r="U560" i="6"/>
  <c r="B561" i="6"/>
  <c r="C561" i="6"/>
  <c r="D561" i="6"/>
  <c r="E561" i="6"/>
  <c r="F561" i="6"/>
  <c r="G561" i="6"/>
  <c r="H561" i="6"/>
  <c r="I561" i="6"/>
  <c r="J561" i="6"/>
  <c r="K561" i="6"/>
  <c r="L561" i="6"/>
  <c r="M561" i="6"/>
  <c r="N561" i="6"/>
  <c r="O561" i="6"/>
  <c r="P561" i="6"/>
  <c r="Q561" i="6"/>
  <c r="R561" i="6"/>
  <c r="S561" i="6"/>
  <c r="T561" i="6"/>
  <c r="U561" i="6"/>
  <c r="B562" i="6"/>
  <c r="C562" i="6"/>
  <c r="D562" i="6"/>
  <c r="E562" i="6"/>
  <c r="F562" i="6"/>
  <c r="G562" i="6"/>
  <c r="H562" i="6"/>
  <c r="I562" i="6"/>
  <c r="J562" i="6"/>
  <c r="K562" i="6"/>
  <c r="L562" i="6"/>
  <c r="M562" i="6"/>
  <c r="N562" i="6"/>
  <c r="O562" i="6"/>
  <c r="P562" i="6"/>
  <c r="Q562" i="6"/>
  <c r="R562" i="6"/>
  <c r="S562" i="6"/>
  <c r="T562" i="6"/>
  <c r="U562" i="6"/>
  <c r="B563" i="6"/>
  <c r="C563" i="6"/>
  <c r="D563" i="6"/>
  <c r="E563" i="6"/>
  <c r="F563" i="6"/>
  <c r="G563" i="6"/>
  <c r="H563" i="6"/>
  <c r="I563" i="6"/>
  <c r="J563" i="6"/>
  <c r="K563" i="6"/>
  <c r="L563" i="6"/>
  <c r="M563" i="6"/>
  <c r="N563" i="6"/>
  <c r="O563" i="6"/>
  <c r="P563" i="6"/>
  <c r="Q563" i="6"/>
  <c r="R563" i="6"/>
  <c r="S563" i="6"/>
  <c r="T563" i="6"/>
  <c r="U563" i="6"/>
  <c r="B564" i="6"/>
  <c r="C564" i="6"/>
  <c r="D564" i="6"/>
  <c r="E564" i="6"/>
  <c r="F564" i="6"/>
  <c r="G564" i="6"/>
  <c r="H564" i="6"/>
  <c r="I564" i="6"/>
  <c r="J564" i="6"/>
  <c r="K564" i="6"/>
  <c r="L564" i="6"/>
  <c r="M564" i="6"/>
  <c r="N564" i="6"/>
  <c r="O564" i="6"/>
  <c r="P564" i="6"/>
  <c r="Q564" i="6"/>
  <c r="R564" i="6"/>
  <c r="S564" i="6"/>
  <c r="T564" i="6"/>
  <c r="U564" i="6"/>
  <c r="B565" i="6"/>
  <c r="C565" i="6"/>
  <c r="D565" i="6"/>
  <c r="E565" i="6"/>
  <c r="F565" i="6"/>
  <c r="G565" i="6"/>
  <c r="H565" i="6"/>
  <c r="I565" i="6"/>
  <c r="J565" i="6"/>
  <c r="K565" i="6"/>
  <c r="L565" i="6"/>
  <c r="M565" i="6"/>
  <c r="N565" i="6"/>
  <c r="O565" i="6"/>
  <c r="P565" i="6"/>
  <c r="Q565" i="6"/>
  <c r="R565" i="6"/>
  <c r="S565" i="6"/>
  <c r="T565" i="6"/>
  <c r="U565" i="6"/>
  <c r="B566" i="6"/>
  <c r="C566" i="6"/>
  <c r="D566" i="6"/>
  <c r="E566" i="6"/>
  <c r="F566" i="6"/>
  <c r="G566" i="6"/>
  <c r="H566" i="6"/>
  <c r="I566" i="6"/>
  <c r="J566" i="6"/>
  <c r="K566" i="6"/>
  <c r="L566" i="6"/>
  <c r="M566" i="6"/>
  <c r="N566" i="6"/>
  <c r="O566" i="6"/>
  <c r="P566" i="6"/>
  <c r="Q566" i="6"/>
  <c r="R566" i="6"/>
  <c r="S566" i="6"/>
  <c r="T566" i="6"/>
  <c r="U566" i="6"/>
  <c r="B567" i="6"/>
  <c r="C567" i="6"/>
  <c r="D567" i="6"/>
  <c r="E567" i="6"/>
  <c r="F567" i="6"/>
  <c r="G567" i="6"/>
  <c r="H567" i="6"/>
  <c r="I567" i="6"/>
  <c r="J567" i="6"/>
  <c r="K567" i="6"/>
  <c r="L567" i="6"/>
  <c r="M567" i="6"/>
  <c r="N567" i="6"/>
  <c r="O567" i="6"/>
  <c r="P567" i="6"/>
  <c r="Q567" i="6"/>
  <c r="R567" i="6"/>
  <c r="S567" i="6"/>
  <c r="T567" i="6"/>
  <c r="U567" i="6"/>
  <c r="B568" i="6"/>
  <c r="C568" i="6"/>
  <c r="D568" i="6"/>
  <c r="E568" i="6"/>
  <c r="F568" i="6"/>
  <c r="G568" i="6"/>
  <c r="H568" i="6"/>
  <c r="I568" i="6"/>
  <c r="J568" i="6"/>
  <c r="K568" i="6"/>
  <c r="L568" i="6"/>
  <c r="M568" i="6"/>
  <c r="N568" i="6"/>
  <c r="O568" i="6"/>
  <c r="P568" i="6"/>
  <c r="Q568" i="6"/>
  <c r="R568" i="6"/>
  <c r="S568" i="6"/>
  <c r="T568" i="6"/>
  <c r="U568" i="6"/>
  <c r="B569" i="6"/>
  <c r="C569" i="6"/>
  <c r="D569" i="6"/>
  <c r="E569" i="6"/>
  <c r="F569" i="6"/>
  <c r="G569" i="6"/>
  <c r="H569" i="6"/>
  <c r="I569" i="6"/>
  <c r="J569" i="6"/>
  <c r="K569" i="6"/>
  <c r="L569" i="6"/>
  <c r="M569" i="6"/>
  <c r="N569" i="6"/>
  <c r="O569" i="6"/>
  <c r="P569" i="6"/>
  <c r="Q569" i="6"/>
  <c r="R569" i="6"/>
  <c r="S569" i="6"/>
  <c r="T569" i="6"/>
  <c r="U569" i="6"/>
  <c r="B570" i="6"/>
  <c r="C570" i="6"/>
  <c r="D570" i="6"/>
  <c r="E570" i="6"/>
  <c r="F570" i="6"/>
  <c r="G570" i="6"/>
  <c r="H570" i="6"/>
  <c r="I570" i="6"/>
  <c r="J570" i="6"/>
  <c r="K570" i="6"/>
  <c r="L570" i="6"/>
  <c r="M570" i="6"/>
  <c r="N570" i="6"/>
  <c r="O570" i="6"/>
  <c r="P570" i="6"/>
  <c r="Q570" i="6"/>
  <c r="R570" i="6"/>
  <c r="S570" i="6"/>
  <c r="T570" i="6"/>
  <c r="U570" i="6"/>
  <c r="B571" i="6"/>
  <c r="C571" i="6"/>
  <c r="D571" i="6"/>
  <c r="E571" i="6"/>
  <c r="F571" i="6"/>
  <c r="G571" i="6"/>
  <c r="H571" i="6"/>
  <c r="I571" i="6"/>
  <c r="J571" i="6"/>
  <c r="K571" i="6"/>
  <c r="L571" i="6"/>
  <c r="M571" i="6"/>
  <c r="N571" i="6"/>
  <c r="O571" i="6"/>
  <c r="P571" i="6"/>
  <c r="Q571" i="6"/>
  <c r="R571" i="6"/>
  <c r="S571" i="6"/>
  <c r="T571" i="6"/>
  <c r="U571" i="6"/>
  <c r="B572" i="6"/>
  <c r="C572" i="6"/>
  <c r="D572" i="6"/>
  <c r="E572" i="6"/>
  <c r="F572" i="6"/>
  <c r="G572" i="6"/>
  <c r="H572" i="6"/>
  <c r="I572" i="6"/>
  <c r="J572" i="6"/>
  <c r="K572" i="6"/>
  <c r="L572" i="6"/>
  <c r="M572" i="6"/>
  <c r="N572" i="6"/>
  <c r="O572" i="6"/>
  <c r="P572" i="6"/>
  <c r="Q572" i="6"/>
  <c r="R572" i="6"/>
  <c r="S572" i="6"/>
  <c r="T572" i="6"/>
  <c r="U572" i="6"/>
  <c r="B573" i="6"/>
  <c r="C573" i="6"/>
  <c r="D573" i="6"/>
  <c r="E573" i="6"/>
  <c r="F573" i="6"/>
  <c r="G573" i="6"/>
  <c r="H573" i="6"/>
  <c r="I573" i="6"/>
  <c r="J573" i="6"/>
  <c r="K573" i="6"/>
  <c r="L573" i="6"/>
  <c r="M573" i="6"/>
  <c r="N573" i="6"/>
  <c r="O573" i="6"/>
  <c r="P573" i="6"/>
  <c r="Q573" i="6"/>
  <c r="R573" i="6"/>
  <c r="S573" i="6"/>
  <c r="T573" i="6"/>
  <c r="U573" i="6"/>
  <c r="B574" i="6"/>
  <c r="C574" i="6"/>
  <c r="D574" i="6"/>
  <c r="E574" i="6"/>
  <c r="F574" i="6"/>
  <c r="G574" i="6"/>
  <c r="H574" i="6"/>
  <c r="I574" i="6"/>
  <c r="J574" i="6"/>
  <c r="K574" i="6"/>
  <c r="L574" i="6"/>
  <c r="M574" i="6"/>
  <c r="N574" i="6"/>
  <c r="O574" i="6"/>
  <c r="P574" i="6"/>
  <c r="Q574" i="6"/>
  <c r="R574" i="6"/>
  <c r="S574" i="6"/>
  <c r="T574" i="6"/>
  <c r="U574" i="6"/>
  <c r="B575" i="6"/>
  <c r="C575" i="6"/>
  <c r="D575" i="6"/>
  <c r="E575" i="6"/>
  <c r="F575" i="6"/>
  <c r="G575" i="6"/>
  <c r="H575" i="6"/>
  <c r="I575" i="6"/>
  <c r="J575" i="6"/>
  <c r="K575" i="6"/>
  <c r="L575" i="6"/>
  <c r="M575" i="6"/>
  <c r="N575" i="6"/>
  <c r="O575" i="6"/>
  <c r="P575" i="6"/>
  <c r="Q575" i="6"/>
  <c r="R575" i="6"/>
  <c r="S575" i="6"/>
  <c r="T575" i="6"/>
  <c r="U575" i="6"/>
  <c r="B576" i="6"/>
  <c r="C576" i="6"/>
  <c r="D576" i="6"/>
  <c r="E576" i="6"/>
  <c r="F576" i="6"/>
  <c r="G576" i="6"/>
  <c r="H576" i="6"/>
  <c r="I576" i="6"/>
  <c r="J576" i="6"/>
  <c r="K576" i="6"/>
  <c r="L576" i="6"/>
  <c r="M576" i="6"/>
  <c r="N576" i="6"/>
  <c r="O576" i="6"/>
  <c r="P576" i="6"/>
  <c r="Q576" i="6"/>
  <c r="R576" i="6"/>
  <c r="S576" i="6"/>
  <c r="T576" i="6"/>
  <c r="U576" i="6"/>
  <c r="B577" i="6"/>
  <c r="C577" i="6"/>
  <c r="D577" i="6"/>
  <c r="E577" i="6"/>
  <c r="F577" i="6"/>
  <c r="G577" i="6"/>
  <c r="H577" i="6"/>
  <c r="I577" i="6"/>
  <c r="J577" i="6"/>
  <c r="K577" i="6"/>
  <c r="L577" i="6"/>
  <c r="M577" i="6"/>
  <c r="N577" i="6"/>
  <c r="O577" i="6"/>
  <c r="P577" i="6"/>
  <c r="Q577" i="6"/>
  <c r="R577" i="6"/>
  <c r="S577" i="6"/>
  <c r="T577" i="6"/>
  <c r="U577" i="6"/>
  <c r="B578" i="6"/>
  <c r="C578" i="6"/>
  <c r="D578" i="6"/>
  <c r="E578" i="6"/>
  <c r="F578" i="6"/>
  <c r="G578" i="6"/>
  <c r="H578" i="6"/>
  <c r="I578" i="6"/>
  <c r="J578" i="6"/>
  <c r="K578" i="6"/>
  <c r="L578" i="6"/>
  <c r="M578" i="6"/>
  <c r="N578" i="6"/>
  <c r="O578" i="6"/>
  <c r="P578" i="6"/>
  <c r="Q578" i="6"/>
  <c r="R578" i="6"/>
  <c r="S578" i="6"/>
  <c r="T578" i="6"/>
  <c r="U578" i="6"/>
  <c r="B579" i="6"/>
  <c r="C579" i="6"/>
  <c r="D579" i="6"/>
  <c r="E579" i="6"/>
  <c r="F579" i="6"/>
  <c r="G579" i="6"/>
  <c r="H579" i="6"/>
  <c r="I579" i="6"/>
  <c r="J579" i="6"/>
  <c r="K579" i="6"/>
  <c r="L579" i="6"/>
  <c r="M579" i="6"/>
  <c r="N579" i="6"/>
  <c r="O579" i="6"/>
  <c r="P579" i="6"/>
  <c r="Q579" i="6"/>
  <c r="R579" i="6"/>
  <c r="S579" i="6"/>
  <c r="T579" i="6"/>
  <c r="U579" i="6"/>
  <c r="B580" i="6"/>
  <c r="C580" i="6"/>
  <c r="D580" i="6"/>
  <c r="E580" i="6"/>
  <c r="F580" i="6"/>
  <c r="G580" i="6"/>
  <c r="H580" i="6"/>
  <c r="I580" i="6"/>
  <c r="J580" i="6"/>
  <c r="K580" i="6"/>
  <c r="L580" i="6"/>
  <c r="M580" i="6"/>
  <c r="N580" i="6"/>
  <c r="O580" i="6"/>
  <c r="P580" i="6"/>
  <c r="Q580" i="6"/>
  <c r="R580" i="6"/>
  <c r="S580" i="6"/>
  <c r="T580" i="6"/>
  <c r="U580" i="6"/>
  <c r="B581" i="6"/>
  <c r="C581" i="6"/>
  <c r="D581" i="6"/>
  <c r="E581" i="6"/>
  <c r="F581" i="6"/>
  <c r="G581" i="6"/>
  <c r="H581" i="6"/>
  <c r="I581" i="6"/>
  <c r="J581" i="6"/>
  <c r="K581" i="6"/>
  <c r="L581" i="6"/>
  <c r="M581" i="6"/>
  <c r="N581" i="6"/>
  <c r="O581" i="6"/>
  <c r="P581" i="6"/>
  <c r="Q581" i="6"/>
  <c r="R581" i="6"/>
  <c r="S581" i="6"/>
  <c r="T581" i="6"/>
  <c r="U581" i="6"/>
  <c r="B582" i="6"/>
  <c r="C582" i="6"/>
  <c r="D582" i="6"/>
  <c r="E582" i="6"/>
  <c r="F582" i="6"/>
  <c r="G582" i="6"/>
  <c r="H582" i="6"/>
  <c r="I582" i="6"/>
  <c r="J582" i="6"/>
  <c r="K582" i="6"/>
  <c r="L582" i="6"/>
  <c r="M582" i="6"/>
  <c r="N582" i="6"/>
  <c r="O582" i="6"/>
  <c r="P582" i="6"/>
  <c r="Q582" i="6"/>
  <c r="R582" i="6"/>
  <c r="S582" i="6"/>
  <c r="T582" i="6"/>
  <c r="U582" i="6"/>
  <c r="B583" i="6"/>
  <c r="C583" i="6"/>
  <c r="D583" i="6"/>
  <c r="E583" i="6"/>
  <c r="F583" i="6"/>
  <c r="G583" i="6"/>
  <c r="H583" i="6"/>
  <c r="I583" i="6"/>
  <c r="J583" i="6"/>
  <c r="K583" i="6"/>
  <c r="L583" i="6"/>
  <c r="M583" i="6"/>
  <c r="N583" i="6"/>
  <c r="O583" i="6"/>
  <c r="P583" i="6"/>
  <c r="Q583" i="6"/>
  <c r="R583" i="6"/>
  <c r="S583" i="6"/>
  <c r="T583" i="6"/>
  <c r="U583" i="6"/>
  <c r="B584" i="6"/>
  <c r="C584" i="6"/>
  <c r="D584" i="6"/>
  <c r="E584" i="6"/>
  <c r="F584" i="6"/>
  <c r="G584" i="6"/>
  <c r="H584" i="6"/>
  <c r="I584" i="6"/>
  <c r="J584" i="6"/>
  <c r="K584" i="6"/>
  <c r="L584" i="6"/>
  <c r="M584" i="6"/>
  <c r="N584" i="6"/>
  <c r="O584" i="6"/>
  <c r="P584" i="6"/>
  <c r="Q584" i="6"/>
  <c r="R584" i="6"/>
  <c r="S584" i="6"/>
  <c r="T584" i="6"/>
  <c r="U584" i="6"/>
  <c r="B585" i="6"/>
  <c r="C585" i="6"/>
  <c r="D585" i="6"/>
  <c r="E585" i="6"/>
  <c r="F585" i="6"/>
  <c r="G585" i="6"/>
  <c r="H585" i="6"/>
  <c r="I585" i="6"/>
  <c r="J585" i="6"/>
  <c r="K585" i="6"/>
  <c r="L585" i="6"/>
  <c r="M585" i="6"/>
  <c r="N585" i="6"/>
  <c r="O585" i="6"/>
  <c r="P585" i="6"/>
  <c r="Q585" i="6"/>
  <c r="R585" i="6"/>
  <c r="S585" i="6"/>
  <c r="T585" i="6"/>
  <c r="U585" i="6"/>
  <c r="B586" i="6"/>
  <c r="C586" i="6"/>
  <c r="D586" i="6"/>
  <c r="E586" i="6"/>
  <c r="F586" i="6"/>
  <c r="G586" i="6"/>
  <c r="H586" i="6"/>
  <c r="I586" i="6"/>
  <c r="J586" i="6"/>
  <c r="K586" i="6"/>
  <c r="L586" i="6"/>
  <c r="M586" i="6"/>
  <c r="N586" i="6"/>
  <c r="O586" i="6"/>
  <c r="P586" i="6"/>
  <c r="Q586" i="6"/>
  <c r="R586" i="6"/>
  <c r="S586" i="6"/>
  <c r="T586" i="6"/>
  <c r="U586" i="6"/>
  <c r="B587" i="6"/>
  <c r="C587" i="6"/>
  <c r="D587" i="6"/>
  <c r="E587" i="6"/>
  <c r="F587" i="6"/>
  <c r="G587" i="6"/>
  <c r="H587" i="6"/>
  <c r="I587" i="6"/>
  <c r="J587" i="6"/>
  <c r="K587" i="6"/>
  <c r="L587" i="6"/>
  <c r="M587" i="6"/>
  <c r="N587" i="6"/>
  <c r="O587" i="6"/>
  <c r="P587" i="6"/>
  <c r="Q587" i="6"/>
  <c r="R587" i="6"/>
  <c r="S587" i="6"/>
  <c r="T587" i="6"/>
  <c r="U587" i="6"/>
  <c r="B588" i="6"/>
  <c r="C588" i="6"/>
  <c r="D588" i="6"/>
  <c r="E588" i="6"/>
  <c r="F588" i="6"/>
  <c r="G588" i="6"/>
  <c r="H588" i="6"/>
  <c r="I588" i="6"/>
  <c r="J588" i="6"/>
  <c r="K588" i="6"/>
  <c r="L588" i="6"/>
  <c r="M588" i="6"/>
  <c r="N588" i="6"/>
  <c r="O588" i="6"/>
  <c r="P588" i="6"/>
  <c r="Q588" i="6"/>
  <c r="R588" i="6"/>
  <c r="S588" i="6"/>
  <c r="T588" i="6"/>
  <c r="U588" i="6"/>
  <c r="B589" i="6"/>
  <c r="C589" i="6"/>
  <c r="D589" i="6"/>
  <c r="E589" i="6"/>
  <c r="F589" i="6"/>
  <c r="G589" i="6"/>
  <c r="H589" i="6"/>
  <c r="I589" i="6"/>
  <c r="J589" i="6"/>
  <c r="K589" i="6"/>
  <c r="L589" i="6"/>
  <c r="M589" i="6"/>
  <c r="N589" i="6"/>
  <c r="O589" i="6"/>
  <c r="P589" i="6"/>
  <c r="Q589" i="6"/>
  <c r="R589" i="6"/>
  <c r="S589" i="6"/>
  <c r="T589" i="6"/>
  <c r="U589" i="6"/>
  <c r="B590" i="6"/>
  <c r="C590" i="6"/>
  <c r="D590" i="6"/>
  <c r="E590" i="6"/>
  <c r="F590" i="6"/>
  <c r="G590" i="6"/>
  <c r="H590" i="6"/>
  <c r="I590" i="6"/>
  <c r="J590" i="6"/>
  <c r="K590" i="6"/>
  <c r="L590" i="6"/>
  <c r="M590" i="6"/>
  <c r="N590" i="6"/>
  <c r="O590" i="6"/>
  <c r="P590" i="6"/>
  <c r="Q590" i="6"/>
  <c r="R590" i="6"/>
  <c r="S590" i="6"/>
  <c r="T590" i="6"/>
  <c r="U590" i="6"/>
  <c r="B591" i="6"/>
  <c r="C591" i="6"/>
  <c r="D591" i="6"/>
  <c r="E591" i="6"/>
  <c r="F591" i="6"/>
  <c r="G591" i="6"/>
  <c r="H591" i="6"/>
  <c r="I591" i="6"/>
  <c r="J591" i="6"/>
  <c r="K591" i="6"/>
  <c r="L591" i="6"/>
  <c r="M591" i="6"/>
  <c r="N591" i="6"/>
  <c r="O591" i="6"/>
  <c r="P591" i="6"/>
  <c r="Q591" i="6"/>
  <c r="R591" i="6"/>
  <c r="S591" i="6"/>
  <c r="T591" i="6"/>
  <c r="U591" i="6"/>
  <c r="B592" i="6"/>
  <c r="C592" i="6"/>
  <c r="D592" i="6"/>
  <c r="E592" i="6"/>
  <c r="F592" i="6"/>
  <c r="G592" i="6"/>
  <c r="H592" i="6"/>
  <c r="I592" i="6"/>
  <c r="J592" i="6"/>
  <c r="K592" i="6"/>
  <c r="L592" i="6"/>
  <c r="M592" i="6"/>
  <c r="N592" i="6"/>
  <c r="O592" i="6"/>
  <c r="P592" i="6"/>
  <c r="Q592" i="6"/>
  <c r="R592" i="6"/>
  <c r="S592" i="6"/>
  <c r="T592" i="6"/>
  <c r="U592" i="6"/>
  <c r="B593" i="6"/>
  <c r="C593" i="6"/>
  <c r="D593" i="6"/>
  <c r="E593" i="6"/>
  <c r="F593" i="6"/>
  <c r="G593" i="6"/>
  <c r="H593" i="6"/>
  <c r="I593" i="6"/>
  <c r="J593" i="6"/>
  <c r="K593" i="6"/>
  <c r="L593" i="6"/>
  <c r="M593" i="6"/>
  <c r="N593" i="6"/>
  <c r="O593" i="6"/>
  <c r="P593" i="6"/>
  <c r="Q593" i="6"/>
  <c r="R593" i="6"/>
  <c r="S593" i="6"/>
  <c r="T593" i="6"/>
  <c r="U593" i="6"/>
  <c r="B594" i="6"/>
  <c r="C594" i="6"/>
  <c r="D594" i="6"/>
  <c r="E594" i="6"/>
  <c r="F594" i="6"/>
  <c r="G594" i="6"/>
  <c r="H594" i="6"/>
  <c r="I594" i="6"/>
  <c r="J594" i="6"/>
  <c r="K594" i="6"/>
  <c r="L594" i="6"/>
  <c r="M594" i="6"/>
  <c r="N594" i="6"/>
  <c r="O594" i="6"/>
  <c r="P594" i="6"/>
  <c r="Q594" i="6"/>
  <c r="R594" i="6"/>
  <c r="S594" i="6"/>
  <c r="T594" i="6"/>
  <c r="U594" i="6"/>
  <c r="B595" i="6"/>
  <c r="C595" i="6"/>
  <c r="D595" i="6"/>
  <c r="E595" i="6"/>
  <c r="F595" i="6"/>
  <c r="G595" i="6"/>
  <c r="H595" i="6"/>
  <c r="I595" i="6"/>
  <c r="J595" i="6"/>
  <c r="K595" i="6"/>
  <c r="L595" i="6"/>
  <c r="M595" i="6"/>
  <c r="N595" i="6"/>
  <c r="O595" i="6"/>
  <c r="P595" i="6"/>
  <c r="Q595" i="6"/>
  <c r="R595" i="6"/>
  <c r="S595" i="6"/>
  <c r="T595" i="6"/>
  <c r="U595" i="6"/>
  <c r="B596" i="6"/>
  <c r="C596" i="6"/>
  <c r="D596" i="6"/>
  <c r="E596" i="6"/>
  <c r="F596" i="6"/>
  <c r="G596" i="6"/>
  <c r="H596" i="6"/>
  <c r="I596" i="6"/>
  <c r="J596" i="6"/>
  <c r="K596" i="6"/>
  <c r="L596" i="6"/>
  <c r="M596" i="6"/>
  <c r="N596" i="6"/>
  <c r="O596" i="6"/>
  <c r="P596" i="6"/>
  <c r="Q596" i="6"/>
  <c r="R596" i="6"/>
  <c r="S596" i="6"/>
  <c r="T596" i="6"/>
  <c r="U596" i="6"/>
  <c r="B597" i="6"/>
  <c r="C597" i="6"/>
  <c r="D597" i="6"/>
  <c r="E597" i="6"/>
  <c r="F597" i="6"/>
  <c r="G597" i="6"/>
  <c r="H597" i="6"/>
  <c r="I597" i="6"/>
  <c r="J597" i="6"/>
  <c r="K597" i="6"/>
  <c r="L597" i="6"/>
  <c r="M597" i="6"/>
  <c r="N597" i="6"/>
  <c r="O597" i="6"/>
  <c r="P597" i="6"/>
  <c r="Q597" i="6"/>
  <c r="R597" i="6"/>
  <c r="S597" i="6"/>
  <c r="T597" i="6"/>
  <c r="U597" i="6"/>
  <c r="B598" i="6"/>
  <c r="C598" i="6"/>
  <c r="D598" i="6"/>
  <c r="E598" i="6"/>
  <c r="F598" i="6"/>
  <c r="G598" i="6"/>
  <c r="H598" i="6"/>
  <c r="I598" i="6"/>
  <c r="J598" i="6"/>
  <c r="K598" i="6"/>
  <c r="L598" i="6"/>
  <c r="M598" i="6"/>
  <c r="N598" i="6"/>
  <c r="O598" i="6"/>
  <c r="P598" i="6"/>
  <c r="Q598" i="6"/>
  <c r="R598" i="6"/>
  <c r="S598" i="6"/>
  <c r="T598" i="6"/>
  <c r="U598" i="6"/>
  <c r="B599" i="6"/>
  <c r="C599" i="6"/>
  <c r="D599" i="6"/>
  <c r="E599" i="6"/>
  <c r="F599" i="6"/>
  <c r="G599" i="6"/>
  <c r="H599" i="6"/>
  <c r="I599" i="6"/>
  <c r="J599" i="6"/>
  <c r="K599" i="6"/>
  <c r="L599" i="6"/>
  <c r="M599" i="6"/>
  <c r="N599" i="6"/>
  <c r="O599" i="6"/>
  <c r="P599" i="6"/>
  <c r="Q599" i="6"/>
  <c r="R599" i="6"/>
  <c r="S599" i="6"/>
  <c r="T599" i="6"/>
  <c r="U599" i="6"/>
  <c r="B600" i="6"/>
  <c r="C600" i="6"/>
  <c r="D600" i="6"/>
  <c r="E600" i="6"/>
  <c r="F600" i="6"/>
  <c r="G600" i="6"/>
  <c r="H600" i="6"/>
  <c r="I600" i="6"/>
  <c r="J600" i="6"/>
  <c r="K600" i="6"/>
  <c r="L600" i="6"/>
  <c r="M600" i="6"/>
  <c r="N600" i="6"/>
  <c r="O600" i="6"/>
  <c r="P600" i="6"/>
  <c r="Q600" i="6"/>
  <c r="R600" i="6"/>
  <c r="S600" i="6"/>
  <c r="T600" i="6"/>
  <c r="U600" i="6"/>
  <c r="B601" i="6"/>
  <c r="C601" i="6"/>
  <c r="D601" i="6"/>
  <c r="E601" i="6"/>
  <c r="F601" i="6"/>
  <c r="G601" i="6"/>
  <c r="H601" i="6"/>
  <c r="I601" i="6"/>
  <c r="J601" i="6"/>
  <c r="K601" i="6"/>
  <c r="L601" i="6"/>
  <c r="M601" i="6"/>
  <c r="N601" i="6"/>
  <c r="O601" i="6"/>
  <c r="P601" i="6"/>
  <c r="Q601" i="6"/>
  <c r="R601" i="6"/>
  <c r="S601" i="6"/>
  <c r="T601" i="6"/>
  <c r="U601" i="6"/>
  <c r="B602" i="6"/>
  <c r="C602" i="6"/>
  <c r="D602" i="6"/>
  <c r="E602" i="6"/>
  <c r="F602" i="6"/>
  <c r="G602" i="6"/>
  <c r="H602" i="6"/>
  <c r="I602" i="6"/>
  <c r="J602" i="6"/>
  <c r="K602" i="6"/>
  <c r="L602" i="6"/>
  <c r="M602" i="6"/>
  <c r="N602" i="6"/>
  <c r="O602" i="6"/>
  <c r="P602" i="6"/>
  <c r="Q602" i="6"/>
  <c r="R602" i="6"/>
  <c r="S602" i="6"/>
  <c r="T602" i="6"/>
  <c r="U602" i="6"/>
  <c r="B603" i="6"/>
  <c r="C603" i="6"/>
  <c r="D603" i="6"/>
  <c r="E603" i="6"/>
  <c r="F603" i="6"/>
  <c r="G603" i="6"/>
  <c r="H603" i="6"/>
  <c r="I603" i="6"/>
  <c r="J603" i="6"/>
  <c r="K603" i="6"/>
  <c r="L603" i="6"/>
  <c r="M603" i="6"/>
  <c r="N603" i="6"/>
  <c r="O603" i="6"/>
  <c r="P603" i="6"/>
  <c r="Q603" i="6"/>
  <c r="R603" i="6"/>
  <c r="S603" i="6"/>
  <c r="T603" i="6"/>
  <c r="U603" i="6"/>
  <c r="B604" i="6"/>
  <c r="C604" i="6"/>
  <c r="D604" i="6"/>
  <c r="E604" i="6"/>
  <c r="F604" i="6"/>
  <c r="G604" i="6"/>
  <c r="H604" i="6"/>
  <c r="I604" i="6"/>
  <c r="J604" i="6"/>
  <c r="K604" i="6"/>
  <c r="L604" i="6"/>
  <c r="M604" i="6"/>
  <c r="N604" i="6"/>
  <c r="O604" i="6"/>
  <c r="P604" i="6"/>
  <c r="Q604" i="6"/>
  <c r="R604" i="6"/>
  <c r="S604" i="6"/>
  <c r="T604" i="6"/>
  <c r="U604" i="6"/>
  <c r="B605" i="6"/>
  <c r="C605" i="6"/>
  <c r="D605" i="6"/>
  <c r="E605" i="6"/>
  <c r="F605" i="6"/>
  <c r="G605" i="6"/>
  <c r="H605" i="6"/>
  <c r="I605" i="6"/>
  <c r="J605" i="6"/>
  <c r="K605" i="6"/>
  <c r="L605" i="6"/>
  <c r="M605" i="6"/>
  <c r="N605" i="6"/>
  <c r="O605" i="6"/>
  <c r="P605" i="6"/>
  <c r="Q605" i="6"/>
  <c r="R605" i="6"/>
  <c r="S605" i="6"/>
  <c r="T605" i="6"/>
  <c r="U605" i="6"/>
  <c r="B606" i="6"/>
  <c r="C606" i="6"/>
  <c r="D606" i="6"/>
  <c r="E606" i="6"/>
  <c r="F606" i="6"/>
  <c r="G606" i="6"/>
  <c r="H606" i="6"/>
  <c r="I606" i="6"/>
  <c r="J606" i="6"/>
  <c r="K606" i="6"/>
  <c r="L606" i="6"/>
  <c r="M606" i="6"/>
  <c r="N606" i="6"/>
  <c r="O606" i="6"/>
  <c r="P606" i="6"/>
  <c r="Q606" i="6"/>
  <c r="R606" i="6"/>
  <c r="S606" i="6"/>
  <c r="T606" i="6"/>
  <c r="U606" i="6"/>
  <c r="B607" i="6"/>
  <c r="C607" i="6"/>
  <c r="D607" i="6"/>
  <c r="E607" i="6"/>
  <c r="F607" i="6"/>
  <c r="G607" i="6"/>
  <c r="H607" i="6"/>
  <c r="I607" i="6"/>
  <c r="J607" i="6"/>
  <c r="K607" i="6"/>
  <c r="L607" i="6"/>
  <c r="M607" i="6"/>
  <c r="N607" i="6"/>
  <c r="O607" i="6"/>
  <c r="P607" i="6"/>
  <c r="Q607" i="6"/>
  <c r="R607" i="6"/>
  <c r="S607" i="6"/>
  <c r="T607" i="6"/>
  <c r="U607" i="6"/>
  <c r="B608" i="6"/>
  <c r="C608" i="6"/>
  <c r="D608" i="6"/>
  <c r="E608" i="6"/>
  <c r="F608" i="6"/>
  <c r="G608" i="6"/>
  <c r="H608" i="6"/>
  <c r="I608" i="6"/>
  <c r="J608" i="6"/>
  <c r="K608" i="6"/>
  <c r="L608" i="6"/>
  <c r="M608" i="6"/>
  <c r="N608" i="6"/>
  <c r="O608" i="6"/>
  <c r="P608" i="6"/>
  <c r="Q608" i="6"/>
  <c r="R608" i="6"/>
  <c r="S608" i="6"/>
  <c r="T608" i="6"/>
  <c r="U608" i="6"/>
  <c r="B609" i="6"/>
  <c r="C609" i="6"/>
  <c r="D609" i="6"/>
  <c r="E609" i="6"/>
  <c r="F609" i="6"/>
  <c r="G609" i="6"/>
  <c r="H609" i="6"/>
  <c r="I609" i="6"/>
  <c r="J609" i="6"/>
  <c r="K609" i="6"/>
  <c r="L609" i="6"/>
  <c r="M609" i="6"/>
  <c r="N609" i="6"/>
  <c r="O609" i="6"/>
  <c r="P609" i="6"/>
  <c r="Q609" i="6"/>
  <c r="R609" i="6"/>
  <c r="S609" i="6"/>
  <c r="T609" i="6"/>
  <c r="U609" i="6"/>
  <c r="B610" i="6"/>
  <c r="C610" i="6"/>
  <c r="D610" i="6"/>
  <c r="E610" i="6"/>
  <c r="F610" i="6"/>
  <c r="G610" i="6"/>
  <c r="H610" i="6"/>
  <c r="I610" i="6"/>
  <c r="J610" i="6"/>
  <c r="K610" i="6"/>
  <c r="L610" i="6"/>
  <c r="M610" i="6"/>
  <c r="N610" i="6"/>
  <c r="O610" i="6"/>
  <c r="P610" i="6"/>
  <c r="Q610" i="6"/>
  <c r="R610" i="6"/>
  <c r="S610" i="6"/>
  <c r="T610" i="6"/>
  <c r="U610" i="6"/>
  <c r="B611" i="6"/>
  <c r="C611" i="6"/>
  <c r="D611" i="6"/>
  <c r="E611" i="6"/>
  <c r="F611" i="6"/>
  <c r="G611" i="6"/>
  <c r="H611" i="6"/>
  <c r="I611" i="6"/>
  <c r="J611" i="6"/>
  <c r="K611" i="6"/>
  <c r="L611" i="6"/>
  <c r="M611" i="6"/>
  <c r="N611" i="6"/>
  <c r="O611" i="6"/>
  <c r="P611" i="6"/>
  <c r="Q611" i="6"/>
  <c r="R611" i="6"/>
  <c r="S611" i="6"/>
  <c r="T611" i="6"/>
  <c r="U611" i="6"/>
  <c r="B612" i="6"/>
  <c r="C612" i="6"/>
  <c r="D612" i="6"/>
  <c r="E612" i="6"/>
  <c r="F612" i="6"/>
  <c r="G612" i="6"/>
  <c r="H612" i="6"/>
  <c r="I612" i="6"/>
  <c r="J612" i="6"/>
  <c r="K612" i="6"/>
  <c r="L612" i="6"/>
  <c r="M612" i="6"/>
  <c r="N612" i="6"/>
  <c r="O612" i="6"/>
  <c r="P612" i="6"/>
  <c r="Q612" i="6"/>
  <c r="R612" i="6"/>
  <c r="S612" i="6"/>
  <c r="T612" i="6"/>
  <c r="U612" i="6"/>
  <c r="B613" i="6"/>
  <c r="C613" i="6"/>
  <c r="D613" i="6"/>
  <c r="E613" i="6"/>
  <c r="F613" i="6"/>
  <c r="G613" i="6"/>
  <c r="H613" i="6"/>
  <c r="I613" i="6"/>
  <c r="J613" i="6"/>
  <c r="K613" i="6"/>
  <c r="L613" i="6"/>
  <c r="M613" i="6"/>
  <c r="N613" i="6"/>
  <c r="O613" i="6"/>
  <c r="P613" i="6"/>
  <c r="Q613" i="6"/>
  <c r="R613" i="6"/>
  <c r="S613" i="6"/>
  <c r="T613" i="6"/>
  <c r="U613" i="6"/>
  <c r="B614" i="6"/>
  <c r="C614" i="6"/>
  <c r="D614" i="6"/>
  <c r="E614" i="6"/>
  <c r="F614" i="6"/>
  <c r="G614" i="6"/>
  <c r="H614" i="6"/>
  <c r="I614" i="6"/>
  <c r="J614" i="6"/>
  <c r="K614" i="6"/>
  <c r="L614" i="6"/>
  <c r="M614" i="6"/>
  <c r="N614" i="6"/>
  <c r="O614" i="6"/>
  <c r="P614" i="6"/>
  <c r="Q614" i="6"/>
  <c r="R614" i="6"/>
  <c r="S614" i="6"/>
  <c r="T614" i="6"/>
  <c r="U614" i="6"/>
  <c r="B615" i="6"/>
  <c r="C615" i="6"/>
  <c r="D615" i="6"/>
  <c r="E615" i="6"/>
  <c r="F615" i="6"/>
  <c r="G615" i="6"/>
  <c r="H615" i="6"/>
  <c r="I615" i="6"/>
  <c r="J615" i="6"/>
  <c r="K615" i="6"/>
  <c r="L615" i="6"/>
  <c r="M615" i="6"/>
  <c r="N615" i="6"/>
  <c r="O615" i="6"/>
  <c r="P615" i="6"/>
  <c r="Q615" i="6"/>
  <c r="R615" i="6"/>
  <c r="S615" i="6"/>
  <c r="T615" i="6"/>
  <c r="U615" i="6"/>
  <c r="B616" i="6"/>
  <c r="C616" i="6"/>
  <c r="D616" i="6"/>
  <c r="E616" i="6"/>
  <c r="F616" i="6"/>
  <c r="G616" i="6"/>
  <c r="H616" i="6"/>
  <c r="I616" i="6"/>
  <c r="J616" i="6"/>
  <c r="K616" i="6"/>
  <c r="L616" i="6"/>
  <c r="M616" i="6"/>
  <c r="N616" i="6"/>
  <c r="O616" i="6"/>
  <c r="P616" i="6"/>
  <c r="Q616" i="6"/>
  <c r="R616" i="6"/>
  <c r="S616" i="6"/>
  <c r="T616" i="6"/>
  <c r="U616" i="6"/>
  <c r="B617" i="6"/>
  <c r="C617" i="6"/>
  <c r="D617" i="6"/>
  <c r="E617" i="6"/>
  <c r="F617" i="6"/>
  <c r="G617" i="6"/>
  <c r="H617" i="6"/>
  <c r="I617" i="6"/>
  <c r="J617" i="6"/>
  <c r="K617" i="6"/>
  <c r="L617" i="6"/>
  <c r="M617" i="6"/>
  <c r="N617" i="6"/>
  <c r="O617" i="6"/>
  <c r="P617" i="6"/>
  <c r="Q617" i="6"/>
  <c r="R617" i="6"/>
  <c r="S617" i="6"/>
  <c r="T617" i="6"/>
  <c r="U617" i="6"/>
  <c r="B618" i="6"/>
  <c r="C618" i="6"/>
  <c r="D618" i="6"/>
  <c r="E618" i="6"/>
  <c r="F618" i="6"/>
  <c r="G618" i="6"/>
  <c r="H618" i="6"/>
  <c r="I618" i="6"/>
  <c r="J618" i="6"/>
  <c r="K618" i="6"/>
  <c r="L618" i="6"/>
  <c r="M618" i="6"/>
  <c r="N618" i="6"/>
  <c r="O618" i="6"/>
  <c r="P618" i="6"/>
  <c r="Q618" i="6"/>
  <c r="R618" i="6"/>
  <c r="S618" i="6"/>
  <c r="T618" i="6"/>
  <c r="U618" i="6"/>
  <c r="B619" i="6"/>
  <c r="C619" i="6"/>
  <c r="D619" i="6"/>
  <c r="E619" i="6"/>
  <c r="F619" i="6"/>
  <c r="G619" i="6"/>
  <c r="H619" i="6"/>
  <c r="I619" i="6"/>
  <c r="J619" i="6"/>
  <c r="K619" i="6"/>
  <c r="L619" i="6"/>
  <c r="M619" i="6"/>
  <c r="N619" i="6"/>
  <c r="O619" i="6"/>
  <c r="P619" i="6"/>
  <c r="Q619" i="6"/>
  <c r="R619" i="6"/>
  <c r="S619" i="6"/>
  <c r="T619" i="6"/>
  <c r="U619" i="6"/>
  <c r="B620" i="6"/>
  <c r="C620" i="6"/>
  <c r="D620" i="6"/>
  <c r="E620" i="6"/>
  <c r="F620" i="6"/>
  <c r="G620" i="6"/>
  <c r="H620" i="6"/>
  <c r="I620" i="6"/>
  <c r="J620" i="6"/>
  <c r="K620" i="6"/>
  <c r="L620" i="6"/>
  <c r="M620" i="6"/>
  <c r="N620" i="6"/>
  <c r="O620" i="6"/>
  <c r="P620" i="6"/>
  <c r="Q620" i="6"/>
  <c r="R620" i="6"/>
  <c r="S620" i="6"/>
  <c r="T620" i="6"/>
  <c r="U620" i="6"/>
  <c r="B621" i="6"/>
  <c r="C621" i="6"/>
  <c r="D621" i="6"/>
  <c r="E621" i="6"/>
  <c r="F621" i="6"/>
  <c r="G621" i="6"/>
  <c r="H621" i="6"/>
  <c r="I621" i="6"/>
  <c r="J621" i="6"/>
  <c r="K621" i="6"/>
  <c r="L621" i="6"/>
  <c r="M621" i="6"/>
  <c r="N621" i="6"/>
  <c r="O621" i="6"/>
  <c r="P621" i="6"/>
  <c r="Q621" i="6"/>
  <c r="R621" i="6"/>
  <c r="S621" i="6"/>
  <c r="T621" i="6"/>
  <c r="U621" i="6"/>
  <c r="B622" i="6"/>
  <c r="C622" i="6"/>
  <c r="D622" i="6"/>
  <c r="E622" i="6"/>
  <c r="F622" i="6"/>
  <c r="G622" i="6"/>
  <c r="H622" i="6"/>
  <c r="I622" i="6"/>
  <c r="J622" i="6"/>
  <c r="K622" i="6"/>
  <c r="L622" i="6"/>
  <c r="M622" i="6"/>
  <c r="N622" i="6"/>
  <c r="O622" i="6"/>
  <c r="P622" i="6"/>
  <c r="Q622" i="6"/>
  <c r="R622" i="6"/>
  <c r="S622" i="6"/>
  <c r="T622" i="6"/>
  <c r="U622" i="6"/>
  <c r="B623" i="6"/>
  <c r="C623" i="6"/>
  <c r="D623" i="6"/>
  <c r="E623" i="6"/>
  <c r="F623" i="6"/>
  <c r="G623" i="6"/>
  <c r="H623" i="6"/>
  <c r="I623" i="6"/>
  <c r="J623" i="6"/>
  <c r="K623" i="6"/>
  <c r="L623" i="6"/>
  <c r="M623" i="6"/>
  <c r="N623" i="6"/>
  <c r="O623" i="6"/>
  <c r="P623" i="6"/>
  <c r="Q623" i="6"/>
  <c r="R623" i="6"/>
  <c r="S623" i="6"/>
  <c r="T623" i="6"/>
  <c r="U623" i="6"/>
  <c r="B624" i="6"/>
  <c r="C624" i="6"/>
  <c r="D624" i="6"/>
  <c r="E624" i="6"/>
  <c r="F624" i="6"/>
  <c r="G624" i="6"/>
  <c r="H624" i="6"/>
  <c r="I624" i="6"/>
  <c r="J624" i="6"/>
  <c r="K624" i="6"/>
  <c r="L624" i="6"/>
  <c r="M624" i="6"/>
  <c r="N624" i="6"/>
  <c r="O624" i="6"/>
  <c r="P624" i="6"/>
  <c r="Q624" i="6"/>
  <c r="R624" i="6"/>
  <c r="S624" i="6"/>
  <c r="T624" i="6"/>
  <c r="U624" i="6"/>
  <c r="B625" i="6"/>
  <c r="C625" i="6"/>
  <c r="D625" i="6"/>
  <c r="E625" i="6"/>
  <c r="F625" i="6"/>
  <c r="G625" i="6"/>
  <c r="H625" i="6"/>
  <c r="I625" i="6"/>
  <c r="J625" i="6"/>
  <c r="K625" i="6"/>
  <c r="L625" i="6"/>
  <c r="M625" i="6"/>
  <c r="N625" i="6"/>
  <c r="O625" i="6"/>
  <c r="P625" i="6"/>
  <c r="Q625" i="6"/>
  <c r="R625" i="6"/>
  <c r="S625" i="6"/>
  <c r="T625" i="6"/>
  <c r="U625" i="6"/>
  <c r="B626" i="6"/>
  <c r="C626" i="6"/>
  <c r="D626" i="6"/>
  <c r="E626" i="6"/>
  <c r="F626" i="6"/>
  <c r="G626" i="6"/>
  <c r="H626" i="6"/>
  <c r="I626" i="6"/>
  <c r="J626" i="6"/>
  <c r="K626" i="6"/>
  <c r="L626" i="6"/>
  <c r="M626" i="6"/>
  <c r="N626" i="6"/>
  <c r="O626" i="6"/>
  <c r="P626" i="6"/>
  <c r="Q626" i="6"/>
  <c r="R626" i="6"/>
  <c r="S626" i="6"/>
  <c r="T626" i="6"/>
  <c r="U626" i="6"/>
  <c r="B627" i="6"/>
  <c r="C627" i="6"/>
  <c r="D627" i="6"/>
  <c r="E627" i="6"/>
  <c r="F627" i="6"/>
  <c r="G627" i="6"/>
  <c r="H627" i="6"/>
  <c r="I627" i="6"/>
  <c r="J627" i="6"/>
  <c r="K627" i="6"/>
  <c r="L627" i="6"/>
  <c r="M627" i="6"/>
  <c r="N627" i="6"/>
  <c r="O627" i="6"/>
  <c r="P627" i="6"/>
  <c r="Q627" i="6"/>
  <c r="R627" i="6"/>
  <c r="S627" i="6"/>
  <c r="T627" i="6"/>
  <c r="U627" i="6"/>
  <c r="B628" i="6"/>
  <c r="C628" i="6"/>
  <c r="D628" i="6"/>
  <c r="E628" i="6"/>
  <c r="F628" i="6"/>
  <c r="G628" i="6"/>
  <c r="H628" i="6"/>
  <c r="I628" i="6"/>
  <c r="J628" i="6"/>
  <c r="K628" i="6"/>
  <c r="L628" i="6"/>
  <c r="M628" i="6"/>
  <c r="N628" i="6"/>
  <c r="O628" i="6"/>
  <c r="P628" i="6"/>
  <c r="Q628" i="6"/>
  <c r="R628" i="6"/>
  <c r="S628" i="6"/>
  <c r="T628" i="6"/>
  <c r="U628" i="6"/>
  <c r="B629" i="6"/>
  <c r="C629" i="6"/>
  <c r="D629" i="6"/>
  <c r="E629" i="6"/>
  <c r="F629" i="6"/>
  <c r="G629" i="6"/>
  <c r="H629" i="6"/>
  <c r="I629" i="6"/>
  <c r="J629" i="6"/>
  <c r="K629" i="6"/>
  <c r="L629" i="6"/>
  <c r="M629" i="6"/>
  <c r="N629" i="6"/>
  <c r="O629" i="6"/>
  <c r="P629" i="6"/>
  <c r="Q629" i="6"/>
  <c r="R629" i="6"/>
  <c r="S629" i="6"/>
  <c r="T629" i="6"/>
  <c r="U629" i="6"/>
  <c r="B630" i="6"/>
  <c r="C630" i="6"/>
  <c r="D630" i="6"/>
  <c r="E630" i="6"/>
  <c r="F630" i="6"/>
  <c r="G630" i="6"/>
  <c r="H630" i="6"/>
  <c r="I630" i="6"/>
  <c r="J630" i="6"/>
  <c r="K630" i="6"/>
  <c r="L630" i="6"/>
  <c r="M630" i="6"/>
  <c r="N630" i="6"/>
  <c r="O630" i="6"/>
  <c r="P630" i="6"/>
  <c r="Q630" i="6"/>
  <c r="R630" i="6"/>
  <c r="S630" i="6"/>
  <c r="T630" i="6"/>
  <c r="U630" i="6"/>
  <c r="B631" i="6"/>
  <c r="C631" i="6"/>
  <c r="D631" i="6"/>
  <c r="E631" i="6"/>
  <c r="F631" i="6"/>
  <c r="G631" i="6"/>
  <c r="H631" i="6"/>
  <c r="I631" i="6"/>
  <c r="J631" i="6"/>
  <c r="K631" i="6"/>
  <c r="L631" i="6"/>
  <c r="M631" i="6"/>
  <c r="N631" i="6"/>
  <c r="O631" i="6"/>
  <c r="P631" i="6"/>
  <c r="Q631" i="6"/>
  <c r="R631" i="6"/>
  <c r="S631" i="6"/>
  <c r="T631" i="6"/>
  <c r="U631" i="6"/>
  <c r="B632" i="6"/>
  <c r="C632" i="6"/>
  <c r="D632" i="6"/>
  <c r="E632" i="6"/>
  <c r="F632" i="6"/>
  <c r="G632" i="6"/>
  <c r="H632" i="6"/>
  <c r="I632" i="6"/>
  <c r="J632" i="6"/>
  <c r="K632" i="6"/>
  <c r="L632" i="6"/>
  <c r="M632" i="6"/>
  <c r="N632" i="6"/>
  <c r="O632" i="6"/>
  <c r="P632" i="6"/>
  <c r="Q632" i="6"/>
  <c r="R632" i="6"/>
  <c r="S632" i="6"/>
  <c r="T632" i="6"/>
  <c r="U632" i="6"/>
  <c r="B633" i="6"/>
  <c r="C633" i="6"/>
  <c r="D633" i="6"/>
  <c r="E633" i="6"/>
  <c r="F633" i="6"/>
  <c r="G633" i="6"/>
  <c r="H633" i="6"/>
  <c r="I633" i="6"/>
  <c r="J633" i="6"/>
  <c r="K633" i="6"/>
  <c r="L633" i="6"/>
  <c r="M633" i="6"/>
  <c r="N633" i="6"/>
  <c r="O633" i="6"/>
  <c r="P633" i="6"/>
  <c r="Q633" i="6"/>
  <c r="R633" i="6"/>
  <c r="S633" i="6"/>
  <c r="T633" i="6"/>
  <c r="U633" i="6"/>
  <c r="B634" i="6"/>
  <c r="C634" i="6"/>
  <c r="D634" i="6"/>
  <c r="E634" i="6"/>
  <c r="F634" i="6"/>
  <c r="G634" i="6"/>
  <c r="H634" i="6"/>
  <c r="I634" i="6"/>
  <c r="J634" i="6"/>
  <c r="K634" i="6"/>
  <c r="L634" i="6"/>
  <c r="M634" i="6"/>
  <c r="N634" i="6"/>
  <c r="O634" i="6"/>
  <c r="P634" i="6"/>
  <c r="Q634" i="6"/>
  <c r="R634" i="6"/>
  <c r="S634" i="6"/>
  <c r="T634" i="6"/>
  <c r="U634" i="6"/>
  <c r="B635" i="6"/>
  <c r="C635" i="6"/>
  <c r="D635" i="6"/>
  <c r="E635" i="6"/>
  <c r="F635" i="6"/>
  <c r="G635" i="6"/>
  <c r="H635" i="6"/>
  <c r="I635" i="6"/>
  <c r="J635" i="6"/>
  <c r="K635" i="6"/>
  <c r="L635" i="6"/>
  <c r="M635" i="6"/>
  <c r="N635" i="6"/>
  <c r="O635" i="6"/>
  <c r="P635" i="6"/>
  <c r="Q635" i="6"/>
  <c r="R635" i="6"/>
  <c r="S635" i="6"/>
  <c r="T635" i="6"/>
  <c r="U635" i="6"/>
  <c r="B636" i="6"/>
  <c r="C636" i="6"/>
  <c r="D636" i="6"/>
  <c r="E636" i="6"/>
  <c r="F636" i="6"/>
  <c r="G636" i="6"/>
  <c r="H636" i="6"/>
  <c r="I636" i="6"/>
  <c r="J636" i="6"/>
  <c r="K636" i="6"/>
  <c r="L636" i="6"/>
  <c r="M636" i="6"/>
  <c r="N636" i="6"/>
  <c r="O636" i="6"/>
  <c r="P636" i="6"/>
  <c r="Q636" i="6"/>
  <c r="R636" i="6"/>
  <c r="S636" i="6"/>
  <c r="T636" i="6"/>
  <c r="U636" i="6"/>
  <c r="B637" i="6"/>
  <c r="C637" i="6"/>
  <c r="D637" i="6"/>
  <c r="E637" i="6"/>
  <c r="F637" i="6"/>
  <c r="G637" i="6"/>
  <c r="H637" i="6"/>
  <c r="I637" i="6"/>
  <c r="J637" i="6"/>
  <c r="K637" i="6"/>
  <c r="L637" i="6"/>
  <c r="M637" i="6"/>
  <c r="N637" i="6"/>
  <c r="O637" i="6"/>
  <c r="P637" i="6"/>
  <c r="Q637" i="6"/>
  <c r="R637" i="6"/>
  <c r="S637" i="6"/>
  <c r="T637" i="6"/>
  <c r="U637" i="6"/>
  <c r="B638" i="6"/>
  <c r="C638" i="6"/>
  <c r="D638" i="6"/>
  <c r="E638" i="6"/>
  <c r="F638" i="6"/>
  <c r="G638" i="6"/>
  <c r="H638" i="6"/>
  <c r="I638" i="6"/>
  <c r="J638" i="6"/>
  <c r="K638" i="6"/>
  <c r="L638" i="6"/>
  <c r="M638" i="6"/>
  <c r="N638" i="6"/>
  <c r="O638" i="6"/>
  <c r="P638" i="6"/>
  <c r="Q638" i="6"/>
  <c r="R638" i="6"/>
  <c r="S638" i="6"/>
  <c r="T638" i="6"/>
  <c r="U638" i="6"/>
  <c r="B639" i="6"/>
  <c r="C639" i="6"/>
  <c r="D639" i="6"/>
  <c r="E639" i="6"/>
  <c r="F639" i="6"/>
  <c r="G639" i="6"/>
  <c r="H639" i="6"/>
  <c r="I639" i="6"/>
  <c r="J639" i="6"/>
  <c r="K639" i="6"/>
  <c r="L639" i="6"/>
  <c r="M639" i="6"/>
  <c r="N639" i="6"/>
  <c r="O639" i="6"/>
  <c r="P639" i="6"/>
  <c r="Q639" i="6"/>
  <c r="R639" i="6"/>
  <c r="S639" i="6"/>
  <c r="T639" i="6"/>
  <c r="U639" i="6"/>
  <c r="B640" i="6"/>
  <c r="C640" i="6"/>
  <c r="D640" i="6"/>
  <c r="E640" i="6"/>
  <c r="F640" i="6"/>
  <c r="G640" i="6"/>
  <c r="H640" i="6"/>
  <c r="I640" i="6"/>
  <c r="J640" i="6"/>
  <c r="K640" i="6"/>
  <c r="L640" i="6"/>
  <c r="M640" i="6"/>
  <c r="N640" i="6"/>
  <c r="O640" i="6"/>
  <c r="P640" i="6"/>
  <c r="Q640" i="6"/>
  <c r="R640" i="6"/>
  <c r="S640" i="6"/>
  <c r="T640" i="6"/>
  <c r="U640" i="6"/>
  <c r="B641" i="6"/>
  <c r="C641" i="6"/>
  <c r="D641" i="6"/>
  <c r="E641" i="6"/>
  <c r="F641" i="6"/>
  <c r="G641" i="6"/>
  <c r="H641" i="6"/>
  <c r="I641" i="6"/>
  <c r="J641" i="6"/>
  <c r="K641" i="6"/>
  <c r="L641" i="6"/>
  <c r="M641" i="6"/>
  <c r="N641" i="6"/>
  <c r="O641" i="6"/>
  <c r="P641" i="6"/>
  <c r="Q641" i="6"/>
  <c r="R641" i="6"/>
  <c r="S641" i="6"/>
  <c r="T641" i="6"/>
  <c r="U641" i="6"/>
  <c r="B642" i="6"/>
  <c r="C642" i="6"/>
  <c r="D642" i="6"/>
  <c r="E642" i="6"/>
  <c r="F642" i="6"/>
  <c r="G642" i="6"/>
  <c r="H642" i="6"/>
  <c r="I642" i="6"/>
  <c r="J642" i="6"/>
  <c r="K642" i="6"/>
  <c r="L642" i="6"/>
  <c r="M642" i="6"/>
  <c r="N642" i="6"/>
  <c r="O642" i="6"/>
  <c r="P642" i="6"/>
  <c r="Q642" i="6"/>
  <c r="R642" i="6"/>
  <c r="S642" i="6"/>
  <c r="T642" i="6"/>
  <c r="U642" i="6"/>
  <c r="B643" i="6"/>
  <c r="C643" i="6"/>
  <c r="D643" i="6"/>
  <c r="E643" i="6"/>
  <c r="F643" i="6"/>
  <c r="G643" i="6"/>
  <c r="H643" i="6"/>
  <c r="I643" i="6"/>
  <c r="J643" i="6"/>
  <c r="K643" i="6"/>
  <c r="L643" i="6"/>
  <c r="M643" i="6"/>
  <c r="N643" i="6"/>
  <c r="O643" i="6"/>
  <c r="P643" i="6"/>
  <c r="Q643" i="6"/>
  <c r="R643" i="6"/>
  <c r="S643" i="6"/>
  <c r="T643" i="6"/>
  <c r="U643" i="6"/>
  <c r="B644" i="6"/>
  <c r="C644" i="6"/>
  <c r="D644" i="6"/>
  <c r="E644" i="6"/>
  <c r="F644" i="6"/>
  <c r="G644" i="6"/>
  <c r="H644" i="6"/>
  <c r="I644" i="6"/>
  <c r="J644" i="6"/>
  <c r="K644" i="6"/>
  <c r="L644" i="6"/>
  <c r="M644" i="6"/>
  <c r="N644" i="6"/>
  <c r="O644" i="6"/>
  <c r="P644" i="6"/>
  <c r="Q644" i="6"/>
  <c r="R644" i="6"/>
  <c r="S644" i="6"/>
  <c r="T644" i="6"/>
  <c r="U644" i="6"/>
  <c r="B645" i="6"/>
  <c r="C645" i="6"/>
  <c r="D645" i="6"/>
  <c r="E645" i="6"/>
  <c r="F645" i="6"/>
  <c r="G645" i="6"/>
  <c r="H645" i="6"/>
  <c r="I645" i="6"/>
  <c r="J645" i="6"/>
  <c r="K645" i="6"/>
  <c r="L645" i="6"/>
  <c r="M645" i="6"/>
  <c r="N645" i="6"/>
  <c r="O645" i="6"/>
  <c r="P645" i="6"/>
  <c r="Q645" i="6"/>
  <c r="R645" i="6"/>
  <c r="S645" i="6"/>
  <c r="T645" i="6"/>
  <c r="U645" i="6"/>
  <c r="B646" i="6"/>
  <c r="C646" i="6"/>
  <c r="D646" i="6"/>
  <c r="E646" i="6"/>
  <c r="F646" i="6"/>
  <c r="G646" i="6"/>
  <c r="H646" i="6"/>
  <c r="I646" i="6"/>
  <c r="J646" i="6"/>
  <c r="K646" i="6"/>
  <c r="L646" i="6"/>
  <c r="M646" i="6"/>
  <c r="N646" i="6"/>
  <c r="O646" i="6"/>
  <c r="P646" i="6"/>
  <c r="Q646" i="6"/>
  <c r="R646" i="6"/>
  <c r="S646" i="6"/>
  <c r="T646" i="6"/>
  <c r="U646" i="6"/>
  <c r="B647" i="6"/>
  <c r="C647" i="6"/>
  <c r="D647" i="6"/>
  <c r="E647" i="6"/>
  <c r="F647" i="6"/>
  <c r="G647" i="6"/>
  <c r="H647" i="6"/>
  <c r="I647" i="6"/>
  <c r="J647" i="6"/>
  <c r="K647" i="6"/>
  <c r="L647" i="6"/>
  <c r="M647" i="6"/>
  <c r="N647" i="6"/>
  <c r="O647" i="6"/>
  <c r="P647" i="6"/>
  <c r="Q647" i="6"/>
  <c r="R647" i="6"/>
  <c r="S647" i="6"/>
  <c r="T647" i="6"/>
  <c r="U647" i="6"/>
  <c r="B648" i="6"/>
  <c r="C648" i="6"/>
  <c r="D648" i="6"/>
  <c r="E648" i="6"/>
  <c r="F648" i="6"/>
  <c r="G648" i="6"/>
  <c r="H648" i="6"/>
  <c r="I648" i="6"/>
  <c r="J648" i="6"/>
  <c r="K648" i="6"/>
  <c r="L648" i="6"/>
  <c r="M648" i="6"/>
  <c r="N648" i="6"/>
  <c r="O648" i="6"/>
  <c r="P648" i="6"/>
  <c r="Q648" i="6"/>
  <c r="R648" i="6"/>
  <c r="S648" i="6"/>
  <c r="T648" i="6"/>
  <c r="U648" i="6"/>
  <c r="B649" i="6"/>
  <c r="C649" i="6"/>
  <c r="D649" i="6"/>
  <c r="E649" i="6"/>
  <c r="F649" i="6"/>
  <c r="G649" i="6"/>
  <c r="H649" i="6"/>
  <c r="I649" i="6"/>
  <c r="J649" i="6"/>
  <c r="K649" i="6"/>
  <c r="L649" i="6"/>
  <c r="M649" i="6"/>
  <c r="N649" i="6"/>
  <c r="O649" i="6"/>
  <c r="P649" i="6"/>
  <c r="Q649" i="6"/>
  <c r="R649" i="6"/>
  <c r="S649" i="6"/>
  <c r="T649" i="6"/>
  <c r="U649" i="6"/>
  <c r="B650" i="6"/>
  <c r="C650" i="6"/>
  <c r="D650" i="6"/>
  <c r="E650" i="6"/>
  <c r="F650" i="6"/>
  <c r="G650" i="6"/>
  <c r="H650" i="6"/>
  <c r="I650" i="6"/>
  <c r="J650" i="6"/>
  <c r="K650" i="6"/>
  <c r="L650" i="6"/>
  <c r="M650" i="6"/>
  <c r="N650" i="6"/>
  <c r="O650" i="6"/>
  <c r="P650" i="6"/>
  <c r="Q650" i="6"/>
  <c r="R650" i="6"/>
  <c r="S650" i="6"/>
  <c r="T650" i="6"/>
  <c r="U650" i="6"/>
  <c r="B651" i="6"/>
  <c r="C651" i="6"/>
  <c r="D651" i="6"/>
  <c r="E651" i="6"/>
  <c r="F651" i="6"/>
  <c r="G651" i="6"/>
  <c r="H651" i="6"/>
  <c r="I651" i="6"/>
  <c r="J651" i="6"/>
  <c r="K651" i="6"/>
  <c r="L651" i="6"/>
  <c r="M651" i="6"/>
  <c r="N651" i="6"/>
  <c r="O651" i="6"/>
  <c r="P651" i="6"/>
  <c r="Q651" i="6"/>
  <c r="R651" i="6"/>
  <c r="S651" i="6"/>
  <c r="T651" i="6"/>
  <c r="U651" i="6"/>
  <c r="B652" i="6"/>
  <c r="C652" i="6"/>
  <c r="D652" i="6"/>
  <c r="E652" i="6"/>
  <c r="F652" i="6"/>
  <c r="G652" i="6"/>
  <c r="H652" i="6"/>
  <c r="I652" i="6"/>
  <c r="J652" i="6"/>
  <c r="K652" i="6"/>
  <c r="L652" i="6"/>
  <c r="M652" i="6"/>
  <c r="N652" i="6"/>
  <c r="O652" i="6"/>
  <c r="P652" i="6"/>
  <c r="Q652" i="6"/>
  <c r="R652" i="6"/>
  <c r="S652" i="6"/>
  <c r="T652" i="6"/>
  <c r="U652" i="6"/>
  <c r="B653" i="6"/>
  <c r="C653" i="6"/>
  <c r="D653" i="6"/>
  <c r="E653" i="6"/>
  <c r="F653" i="6"/>
  <c r="G653" i="6"/>
  <c r="H653" i="6"/>
  <c r="I653" i="6"/>
  <c r="J653" i="6"/>
  <c r="K653" i="6"/>
  <c r="L653" i="6"/>
  <c r="M653" i="6"/>
  <c r="N653" i="6"/>
  <c r="O653" i="6"/>
  <c r="P653" i="6"/>
  <c r="Q653" i="6"/>
  <c r="R653" i="6"/>
  <c r="S653" i="6"/>
  <c r="T653" i="6"/>
  <c r="U653" i="6"/>
  <c r="B654" i="6"/>
  <c r="C654" i="6"/>
  <c r="D654" i="6"/>
  <c r="E654" i="6"/>
  <c r="F654" i="6"/>
  <c r="G654" i="6"/>
  <c r="H654" i="6"/>
  <c r="I654" i="6"/>
  <c r="J654" i="6"/>
  <c r="K654" i="6"/>
  <c r="L654" i="6"/>
  <c r="M654" i="6"/>
  <c r="N654" i="6"/>
  <c r="O654" i="6"/>
  <c r="P654" i="6"/>
  <c r="Q654" i="6"/>
  <c r="R654" i="6"/>
  <c r="S654" i="6"/>
  <c r="T654" i="6"/>
  <c r="U654" i="6"/>
  <c r="B655" i="6"/>
  <c r="C655" i="6"/>
  <c r="D655" i="6"/>
  <c r="E655" i="6"/>
  <c r="F655" i="6"/>
  <c r="G655" i="6"/>
  <c r="H655" i="6"/>
  <c r="I655" i="6"/>
  <c r="J655" i="6"/>
  <c r="K655" i="6"/>
  <c r="L655" i="6"/>
  <c r="M655" i="6"/>
  <c r="N655" i="6"/>
  <c r="O655" i="6"/>
  <c r="P655" i="6"/>
  <c r="Q655" i="6"/>
  <c r="R655" i="6"/>
  <c r="S655" i="6"/>
  <c r="T655" i="6"/>
  <c r="U655" i="6"/>
  <c r="B656" i="6"/>
  <c r="C656" i="6"/>
  <c r="D656" i="6"/>
  <c r="E656" i="6"/>
  <c r="F656" i="6"/>
  <c r="G656" i="6"/>
  <c r="H656" i="6"/>
  <c r="I656" i="6"/>
  <c r="J656" i="6"/>
  <c r="K656" i="6"/>
  <c r="L656" i="6"/>
  <c r="M656" i="6"/>
  <c r="N656" i="6"/>
  <c r="O656" i="6"/>
  <c r="P656" i="6"/>
  <c r="Q656" i="6"/>
  <c r="R656" i="6"/>
  <c r="S656" i="6"/>
  <c r="T656" i="6"/>
  <c r="U656" i="6"/>
  <c r="B657" i="6"/>
  <c r="C657" i="6"/>
  <c r="D657" i="6"/>
  <c r="E657" i="6"/>
  <c r="F657" i="6"/>
  <c r="G657" i="6"/>
  <c r="H657" i="6"/>
  <c r="I657" i="6"/>
  <c r="J657" i="6"/>
  <c r="K657" i="6"/>
  <c r="L657" i="6"/>
  <c r="M657" i="6"/>
  <c r="N657" i="6"/>
  <c r="O657" i="6"/>
  <c r="P657" i="6"/>
  <c r="Q657" i="6"/>
  <c r="R657" i="6"/>
  <c r="S657" i="6"/>
  <c r="T657" i="6"/>
  <c r="U657" i="6"/>
  <c r="B658" i="6"/>
  <c r="C658" i="6"/>
  <c r="D658" i="6"/>
  <c r="E658" i="6"/>
  <c r="F658" i="6"/>
  <c r="G658" i="6"/>
  <c r="H658" i="6"/>
  <c r="I658" i="6"/>
  <c r="J658" i="6"/>
  <c r="K658" i="6"/>
  <c r="L658" i="6"/>
  <c r="M658" i="6"/>
  <c r="N658" i="6"/>
  <c r="O658" i="6"/>
  <c r="P658" i="6"/>
  <c r="Q658" i="6"/>
  <c r="R658" i="6"/>
  <c r="S658" i="6"/>
  <c r="T658" i="6"/>
  <c r="U658" i="6"/>
  <c r="B659" i="6"/>
  <c r="C659" i="6"/>
  <c r="D659" i="6"/>
  <c r="E659" i="6"/>
  <c r="F659" i="6"/>
  <c r="G659" i="6"/>
  <c r="H659" i="6"/>
  <c r="I659" i="6"/>
  <c r="J659" i="6"/>
  <c r="K659" i="6"/>
  <c r="L659" i="6"/>
  <c r="M659" i="6"/>
  <c r="N659" i="6"/>
  <c r="O659" i="6"/>
  <c r="P659" i="6"/>
  <c r="Q659" i="6"/>
  <c r="R659" i="6"/>
  <c r="S659" i="6"/>
  <c r="T659" i="6"/>
  <c r="U659" i="6"/>
  <c r="B660" i="6"/>
  <c r="C660" i="6"/>
  <c r="D660" i="6"/>
  <c r="E660" i="6"/>
  <c r="F660" i="6"/>
  <c r="G660" i="6"/>
  <c r="H660" i="6"/>
  <c r="I660" i="6"/>
  <c r="J660" i="6"/>
  <c r="K660" i="6"/>
  <c r="L660" i="6"/>
  <c r="M660" i="6"/>
  <c r="N660" i="6"/>
  <c r="O660" i="6"/>
  <c r="P660" i="6"/>
  <c r="Q660" i="6"/>
  <c r="R660" i="6"/>
  <c r="S660" i="6"/>
  <c r="T660" i="6"/>
  <c r="U660" i="6"/>
  <c r="B661" i="6"/>
  <c r="C661" i="6"/>
  <c r="D661" i="6"/>
  <c r="E661" i="6"/>
  <c r="F661" i="6"/>
  <c r="G661" i="6"/>
  <c r="H661" i="6"/>
  <c r="I661" i="6"/>
  <c r="J661" i="6"/>
  <c r="K661" i="6"/>
  <c r="L661" i="6"/>
  <c r="M661" i="6"/>
  <c r="N661" i="6"/>
  <c r="O661" i="6"/>
  <c r="P661" i="6"/>
  <c r="Q661" i="6"/>
  <c r="R661" i="6"/>
  <c r="S661" i="6"/>
  <c r="T661" i="6"/>
  <c r="U661" i="6"/>
  <c r="B662" i="6"/>
  <c r="C662" i="6"/>
  <c r="D662" i="6"/>
  <c r="E662" i="6"/>
  <c r="F662" i="6"/>
  <c r="G662" i="6"/>
  <c r="H662" i="6"/>
  <c r="I662" i="6"/>
  <c r="J662" i="6"/>
  <c r="K662" i="6"/>
  <c r="L662" i="6"/>
  <c r="M662" i="6"/>
  <c r="N662" i="6"/>
  <c r="O662" i="6"/>
  <c r="P662" i="6"/>
  <c r="Q662" i="6"/>
  <c r="R662" i="6"/>
  <c r="S662" i="6"/>
  <c r="T662" i="6"/>
  <c r="U662" i="6"/>
  <c r="B663" i="6"/>
  <c r="C663" i="6"/>
  <c r="D663" i="6"/>
  <c r="E663" i="6"/>
  <c r="F663" i="6"/>
  <c r="G663" i="6"/>
  <c r="H663" i="6"/>
  <c r="I663" i="6"/>
  <c r="J663" i="6"/>
  <c r="K663" i="6"/>
  <c r="L663" i="6"/>
  <c r="M663" i="6"/>
  <c r="N663" i="6"/>
  <c r="O663" i="6"/>
  <c r="P663" i="6"/>
  <c r="Q663" i="6"/>
  <c r="R663" i="6"/>
  <c r="S663" i="6"/>
  <c r="T663" i="6"/>
  <c r="U663" i="6"/>
  <c r="B664" i="6"/>
  <c r="C664" i="6"/>
  <c r="D664" i="6"/>
  <c r="E664" i="6"/>
  <c r="F664" i="6"/>
  <c r="G664" i="6"/>
  <c r="H664" i="6"/>
  <c r="I664" i="6"/>
  <c r="J664" i="6"/>
  <c r="K664" i="6"/>
  <c r="L664" i="6"/>
  <c r="M664" i="6"/>
  <c r="N664" i="6"/>
  <c r="O664" i="6"/>
  <c r="P664" i="6"/>
  <c r="Q664" i="6"/>
  <c r="R664" i="6"/>
  <c r="S664" i="6"/>
  <c r="T664" i="6"/>
  <c r="U664" i="6"/>
  <c r="B665" i="6"/>
  <c r="C665" i="6"/>
  <c r="D665" i="6"/>
  <c r="E665" i="6"/>
  <c r="F665" i="6"/>
  <c r="G665" i="6"/>
  <c r="H665" i="6"/>
  <c r="I665" i="6"/>
  <c r="J665" i="6"/>
  <c r="K665" i="6"/>
  <c r="L665" i="6"/>
  <c r="M665" i="6"/>
  <c r="N665" i="6"/>
  <c r="O665" i="6"/>
  <c r="P665" i="6"/>
  <c r="Q665" i="6"/>
  <c r="R665" i="6"/>
  <c r="S665" i="6"/>
  <c r="T665" i="6"/>
  <c r="U665" i="6"/>
  <c r="B666" i="6"/>
  <c r="C666" i="6"/>
  <c r="D666" i="6"/>
  <c r="E666" i="6"/>
  <c r="F666" i="6"/>
  <c r="G666" i="6"/>
  <c r="H666" i="6"/>
  <c r="I666" i="6"/>
  <c r="J666" i="6"/>
  <c r="K666" i="6"/>
  <c r="L666" i="6"/>
  <c r="M666" i="6"/>
  <c r="N666" i="6"/>
  <c r="O666" i="6"/>
  <c r="P666" i="6"/>
  <c r="Q666" i="6"/>
  <c r="R666" i="6"/>
  <c r="S666" i="6"/>
  <c r="T666" i="6"/>
  <c r="U666" i="6"/>
  <c r="B667" i="6"/>
  <c r="C667" i="6"/>
  <c r="D667" i="6"/>
  <c r="E667" i="6"/>
  <c r="F667" i="6"/>
  <c r="G667" i="6"/>
  <c r="H667" i="6"/>
  <c r="I667" i="6"/>
  <c r="J667" i="6"/>
  <c r="K667" i="6"/>
  <c r="L667" i="6"/>
  <c r="M667" i="6"/>
  <c r="N667" i="6"/>
  <c r="O667" i="6"/>
  <c r="P667" i="6"/>
  <c r="Q667" i="6"/>
  <c r="R667" i="6"/>
  <c r="S667" i="6"/>
  <c r="T667" i="6"/>
  <c r="U667" i="6"/>
  <c r="B668" i="6"/>
  <c r="C668" i="6"/>
  <c r="D668" i="6"/>
  <c r="E668" i="6"/>
  <c r="F668" i="6"/>
  <c r="G668" i="6"/>
  <c r="H668" i="6"/>
  <c r="I668" i="6"/>
  <c r="J668" i="6"/>
  <c r="K668" i="6"/>
  <c r="L668" i="6"/>
  <c r="M668" i="6"/>
  <c r="N668" i="6"/>
  <c r="O668" i="6"/>
  <c r="P668" i="6"/>
  <c r="Q668" i="6"/>
  <c r="R668" i="6"/>
  <c r="S668" i="6"/>
  <c r="T668" i="6"/>
  <c r="U668" i="6"/>
  <c r="B669" i="6"/>
  <c r="C669" i="6"/>
  <c r="D669" i="6"/>
  <c r="E669" i="6"/>
  <c r="F669" i="6"/>
  <c r="G669" i="6"/>
  <c r="H669" i="6"/>
  <c r="I669" i="6"/>
  <c r="J669" i="6"/>
  <c r="K669" i="6"/>
  <c r="L669" i="6"/>
  <c r="M669" i="6"/>
  <c r="N669" i="6"/>
  <c r="O669" i="6"/>
  <c r="P669" i="6"/>
  <c r="Q669" i="6"/>
  <c r="R669" i="6"/>
  <c r="S669" i="6"/>
  <c r="T669" i="6"/>
  <c r="U669" i="6"/>
  <c r="B670" i="6"/>
  <c r="C670" i="6"/>
  <c r="D670" i="6"/>
  <c r="E670" i="6"/>
  <c r="F670" i="6"/>
  <c r="G670" i="6"/>
  <c r="H670" i="6"/>
  <c r="I670" i="6"/>
  <c r="J670" i="6"/>
  <c r="K670" i="6"/>
  <c r="L670" i="6"/>
  <c r="M670" i="6"/>
  <c r="N670" i="6"/>
  <c r="O670" i="6"/>
  <c r="P670" i="6"/>
  <c r="Q670" i="6"/>
  <c r="R670" i="6"/>
  <c r="S670" i="6"/>
  <c r="T670" i="6"/>
  <c r="U670" i="6"/>
  <c r="B671" i="6"/>
  <c r="C671" i="6"/>
  <c r="D671" i="6"/>
  <c r="E671" i="6"/>
  <c r="F671" i="6"/>
  <c r="G671" i="6"/>
  <c r="H671" i="6"/>
  <c r="I671" i="6"/>
  <c r="J671" i="6"/>
  <c r="K671" i="6"/>
  <c r="L671" i="6"/>
  <c r="M671" i="6"/>
  <c r="N671" i="6"/>
  <c r="O671" i="6"/>
  <c r="P671" i="6"/>
  <c r="Q671" i="6"/>
  <c r="R671" i="6"/>
  <c r="S671" i="6"/>
  <c r="T671" i="6"/>
  <c r="U671" i="6"/>
  <c r="B672" i="6"/>
  <c r="C672" i="6"/>
  <c r="D672" i="6"/>
  <c r="E672" i="6"/>
  <c r="F672" i="6"/>
  <c r="G672" i="6"/>
  <c r="H672" i="6"/>
  <c r="I672" i="6"/>
  <c r="J672" i="6"/>
  <c r="K672" i="6"/>
  <c r="L672" i="6"/>
  <c r="M672" i="6"/>
  <c r="N672" i="6"/>
  <c r="O672" i="6"/>
  <c r="P672" i="6"/>
  <c r="Q672" i="6"/>
  <c r="R672" i="6"/>
  <c r="S672" i="6"/>
  <c r="T672" i="6"/>
  <c r="U672" i="6"/>
  <c r="B673" i="6"/>
  <c r="C673" i="6"/>
  <c r="D673" i="6"/>
  <c r="E673" i="6"/>
  <c r="F673" i="6"/>
  <c r="G673" i="6"/>
  <c r="H673" i="6"/>
  <c r="I673" i="6"/>
  <c r="J673" i="6"/>
  <c r="K673" i="6"/>
  <c r="L673" i="6"/>
  <c r="M673" i="6"/>
  <c r="N673" i="6"/>
  <c r="O673" i="6"/>
  <c r="P673" i="6"/>
  <c r="Q673" i="6"/>
  <c r="R673" i="6"/>
  <c r="S673" i="6"/>
  <c r="T673" i="6"/>
  <c r="U673" i="6"/>
  <c r="B674" i="6"/>
  <c r="C674" i="6"/>
  <c r="D674" i="6"/>
  <c r="E674" i="6"/>
  <c r="F674" i="6"/>
  <c r="G674" i="6"/>
  <c r="H674" i="6"/>
  <c r="I674" i="6"/>
  <c r="J674" i="6"/>
  <c r="K674" i="6"/>
  <c r="L674" i="6"/>
  <c r="M674" i="6"/>
  <c r="N674" i="6"/>
  <c r="O674" i="6"/>
  <c r="P674" i="6"/>
  <c r="Q674" i="6"/>
  <c r="R674" i="6"/>
  <c r="S674" i="6"/>
  <c r="T674" i="6"/>
  <c r="U674" i="6"/>
  <c r="B675" i="6"/>
  <c r="C675" i="6"/>
  <c r="D675" i="6"/>
  <c r="E675" i="6"/>
  <c r="F675" i="6"/>
  <c r="G675" i="6"/>
  <c r="H675" i="6"/>
  <c r="I675" i="6"/>
  <c r="J675" i="6"/>
  <c r="K675" i="6"/>
  <c r="L675" i="6"/>
  <c r="M675" i="6"/>
  <c r="N675" i="6"/>
  <c r="O675" i="6"/>
  <c r="P675" i="6"/>
  <c r="Q675" i="6"/>
  <c r="R675" i="6"/>
  <c r="S675" i="6"/>
  <c r="T675" i="6"/>
  <c r="U675" i="6"/>
  <c r="B677" i="6"/>
  <c r="C677" i="6"/>
  <c r="D677" i="6"/>
  <c r="E677" i="6"/>
  <c r="F677" i="6"/>
  <c r="G677" i="6"/>
  <c r="H677" i="6"/>
  <c r="I677" i="6"/>
  <c r="J677" i="6"/>
  <c r="K677" i="6"/>
  <c r="L677" i="6"/>
  <c r="M677" i="6"/>
  <c r="N677" i="6"/>
  <c r="O677" i="6"/>
  <c r="P677" i="6"/>
  <c r="Q677" i="6"/>
  <c r="R677" i="6"/>
  <c r="S677" i="6"/>
  <c r="T677" i="6"/>
  <c r="U677" i="6"/>
  <c r="B678" i="6"/>
  <c r="C678" i="6"/>
  <c r="D678" i="6"/>
  <c r="E678" i="6"/>
  <c r="F678" i="6"/>
  <c r="G678" i="6"/>
  <c r="H678" i="6"/>
  <c r="I678" i="6"/>
  <c r="J678" i="6"/>
  <c r="K678" i="6"/>
  <c r="L678" i="6"/>
  <c r="M678" i="6"/>
  <c r="N678" i="6"/>
  <c r="O678" i="6"/>
  <c r="P678" i="6"/>
  <c r="Q678" i="6"/>
  <c r="R678" i="6"/>
  <c r="S678" i="6"/>
  <c r="T678" i="6"/>
  <c r="U678" i="6"/>
  <c r="B679" i="6"/>
  <c r="C679" i="6"/>
  <c r="D679" i="6"/>
  <c r="E679" i="6"/>
  <c r="F679" i="6"/>
  <c r="G679" i="6"/>
  <c r="H679" i="6"/>
  <c r="I679" i="6"/>
  <c r="J679" i="6"/>
  <c r="K679" i="6"/>
  <c r="L679" i="6"/>
  <c r="M679" i="6"/>
  <c r="N679" i="6"/>
  <c r="O679" i="6"/>
  <c r="P679" i="6"/>
  <c r="Q679" i="6"/>
  <c r="R679" i="6"/>
  <c r="S679" i="6"/>
  <c r="T679" i="6"/>
  <c r="U679" i="6"/>
  <c r="B680" i="6"/>
  <c r="C680" i="6"/>
  <c r="D680" i="6"/>
  <c r="E680" i="6"/>
  <c r="F680" i="6"/>
  <c r="G680" i="6"/>
  <c r="H680" i="6"/>
  <c r="I680" i="6"/>
  <c r="J680" i="6"/>
  <c r="K680" i="6"/>
  <c r="L680" i="6"/>
  <c r="M680" i="6"/>
  <c r="N680" i="6"/>
  <c r="O680" i="6"/>
  <c r="P680" i="6"/>
  <c r="Q680" i="6"/>
  <c r="R680" i="6"/>
  <c r="S680" i="6"/>
  <c r="T680" i="6"/>
  <c r="U680" i="6"/>
  <c r="B681" i="6"/>
  <c r="C681" i="6"/>
  <c r="D681" i="6"/>
  <c r="E681" i="6"/>
  <c r="F681" i="6"/>
  <c r="G681" i="6"/>
  <c r="H681" i="6"/>
  <c r="I681" i="6"/>
  <c r="J681" i="6"/>
  <c r="K681" i="6"/>
  <c r="L681" i="6"/>
  <c r="M681" i="6"/>
  <c r="N681" i="6"/>
  <c r="O681" i="6"/>
  <c r="P681" i="6"/>
  <c r="Q681" i="6"/>
  <c r="R681" i="6"/>
  <c r="S681" i="6"/>
  <c r="T681" i="6"/>
  <c r="U681" i="6"/>
  <c r="B682" i="6"/>
  <c r="C682" i="6"/>
  <c r="D682" i="6"/>
  <c r="E682" i="6"/>
  <c r="F682" i="6"/>
  <c r="G682" i="6"/>
  <c r="H682" i="6"/>
  <c r="I682" i="6"/>
  <c r="J682" i="6"/>
  <c r="K682" i="6"/>
  <c r="L682" i="6"/>
  <c r="M682" i="6"/>
  <c r="N682" i="6"/>
  <c r="O682" i="6"/>
  <c r="P682" i="6"/>
  <c r="Q682" i="6"/>
  <c r="R682" i="6"/>
  <c r="S682" i="6"/>
  <c r="T682" i="6"/>
  <c r="U682" i="6"/>
  <c r="B683" i="6"/>
  <c r="C683" i="6"/>
  <c r="D683" i="6"/>
  <c r="E683" i="6"/>
  <c r="F683" i="6"/>
  <c r="G683" i="6"/>
  <c r="H683" i="6"/>
  <c r="I683" i="6"/>
  <c r="J683" i="6"/>
  <c r="K683" i="6"/>
  <c r="L683" i="6"/>
  <c r="M683" i="6"/>
  <c r="N683" i="6"/>
  <c r="O683" i="6"/>
  <c r="P683" i="6"/>
  <c r="Q683" i="6"/>
  <c r="R683" i="6"/>
  <c r="S683" i="6"/>
  <c r="T683" i="6"/>
  <c r="U683" i="6"/>
  <c r="B684" i="6"/>
  <c r="C684" i="6"/>
  <c r="D684" i="6"/>
  <c r="E684" i="6"/>
  <c r="F684" i="6"/>
  <c r="G684" i="6"/>
  <c r="H684" i="6"/>
  <c r="I684" i="6"/>
  <c r="J684" i="6"/>
  <c r="K684" i="6"/>
  <c r="L684" i="6"/>
  <c r="M684" i="6"/>
  <c r="N684" i="6"/>
  <c r="O684" i="6"/>
  <c r="P684" i="6"/>
  <c r="Q684" i="6"/>
  <c r="R684" i="6"/>
  <c r="S684" i="6"/>
  <c r="T684" i="6"/>
  <c r="U684" i="6"/>
  <c r="B685" i="6"/>
  <c r="C685" i="6"/>
  <c r="D685" i="6"/>
  <c r="E685" i="6"/>
  <c r="F685" i="6"/>
  <c r="G685" i="6"/>
  <c r="H685" i="6"/>
  <c r="I685" i="6"/>
  <c r="J685" i="6"/>
  <c r="K685" i="6"/>
  <c r="L685" i="6"/>
  <c r="M685" i="6"/>
  <c r="N685" i="6"/>
  <c r="O685" i="6"/>
  <c r="P685" i="6"/>
  <c r="Q685" i="6"/>
  <c r="R685" i="6"/>
  <c r="S685" i="6"/>
  <c r="T685" i="6"/>
  <c r="U685" i="6"/>
  <c r="B686" i="6"/>
  <c r="C686" i="6"/>
  <c r="D686" i="6"/>
  <c r="E686" i="6"/>
  <c r="F686" i="6"/>
  <c r="G686" i="6"/>
  <c r="H686" i="6"/>
  <c r="I686" i="6"/>
  <c r="J686" i="6"/>
  <c r="K686" i="6"/>
  <c r="L686" i="6"/>
  <c r="M686" i="6"/>
  <c r="N686" i="6"/>
  <c r="O686" i="6"/>
  <c r="P686" i="6"/>
  <c r="Q686" i="6"/>
  <c r="R686" i="6"/>
  <c r="S686" i="6"/>
  <c r="T686" i="6"/>
  <c r="U686" i="6"/>
  <c r="B687" i="6"/>
  <c r="C687" i="6"/>
  <c r="D687" i="6"/>
  <c r="E687" i="6"/>
  <c r="F687" i="6"/>
  <c r="G687" i="6"/>
  <c r="H687" i="6"/>
  <c r="I687" i="6"/>
  <c r="J687" i="6"/>
  <c r="K687" i="6"/>
  <c r="L687" i="6"/>
  <c r="M687" i="6"/>
  <c r="N687" i="6"/>
  <c r="O687" i="6"/>
  <c r="P687" i="6"/>
  <c r="Q687" i="6"/>
  <c r="R687" i="6"/>
  <c r="S687" i="6"/>
  <c r="T687" i="6"/>
  <c r="U687" i="6"/>
  <c r="B688" i="6"/>
  <c r="C688" i="6"/>
  <c r="D688" i="6"/>
  <c r="E688" i="6"/>
  <c r="F688" i="6"/>
  <c r="G688" i="6"/>
  <c r="H688" i="6"/>
  <c r="I688" i="6"/>
  <c r="J688" i="6"/>
  <c r="K688" i="6"/>
  <c r="L688" i="6"/>
  <c r="M688" i="6"/>
  <c r="N688" i="6"/>
  <c r="O688" i="6"/>
  <c r="P688" i="6"/>
  <c r="Q688" i="6"/>
  <c r="R688" i="6"/>
  <c r="S688" i="6"/>
  <c r="T688" i="6"/>
  <c r="U688" i="6"/>
  <c r="B689" i="6"/>
  <c r="C689" i="6"/>
  <c r="D689" i="6"/>
  <c r="E689" i="6"/>
  <c r="F689" i="6"/>
  <c r="G689" i="6"/>
  <c r="H689" i="6"/>
  <c r="I689" i="6"/>
  <c r="J689" i="6"/>
  <c r="K689" i="6"/>
  <c r="L689" i="6"/>
  <c r="M689" i="6"/>
  <c r="N689" i="6"/>
  <c r="O689" i="6"/>
  <c r="P689" i="6"/>
  <c r="Q689" i="6"/>
  <c r="R689" i="6"/>
  <c r="S689" i="6"/>
  <c r="T689" i="6"/>
  <c r="U689" i="6"/>
  <c r="B690" i="6"/>
  <c r="C690" i="6"/>
  <c r="D690" i="6"/>
  <c r="E690" i="6"/>
  <c r="F690" i="6"/>
  <c r="G690" i="6"/>
  <c r="H690" i="6"/>
  <c r="I690" i="6"/>
  <c r="J690" i="6"/>
  <c r="K690" i="6"/>
  <c r="L690" i="6"/>
  <c r="M690" i="6"/>
  <c r="N690" i="6"/>
  <c r="O690" i="6"/>
  <c r="P690" i="6"/>
  <c r="Q690" i="6"/>
  <c r="R690" i="6"/>
  <c r="S690" i="6"/>
  <c r="T690" i="6"/>
  <c r="U690" i="6"/>
  <c r="B691" i="6"/>
  <c r="C691" i="6"/>
  <c r="D691" i="6"/>
  <c r="E691" i="6"/>
  <c r="F691" i="6"/>
  <c r="G691" i="6"/>
  <c r="H691" i="6"/>
  <c r="I691" i="6"/>
  <c r="J691" i="6"/>
  <c r="K691" i="6"/>
  <c r="L691" i="6"/>
  <c r="M691" i="6"/>
  <c r="N691" i="6"/>
  <c r="O691" i="6"/>
  <c r="P691" i="6"/>
  <c r="Q691" i="6"/>
  <c r="R691" i="6"/>
  <c r="S691" i="6"/>
  <c r="T691" i="6"/>
  <c r="U691" i="6"/>
  <c r="B692" i="6"/>
  <c r="C692" i="6"/>
  <c r="D692" i="6"/>
  <c r="E692" i="6"/>
  <c r="F692" i="6"/>
  <c r="G692" i="6"/>
  <c r="H692" i="6"/>
  <c r="I692" i="6"/>
  <c r="J692" i="6"/>
  <c r="K692" i="6"/>
  <c r="L692" i="6"/>
  <c r="M692" i="6"/>
  <c r="N692" i="6"/>
  <c r="O692" i="6"/>
  <c r="P692" i="6"/>
  <c r="Q692" i="6"/>
  <c r="R692" i="6"/>
  <c r="S692" i="6"/>
  <c r="T692" i="6"/>
  <c r="U692" i="6"/>
  <c r="B693" i="6"/>
  <c r="C693" i="6"/>
  <c r="D693" i="6"/>
  <c r="E693" i="6"/>
  <c r="F693" i="6"/>
  <c r="G693" i="6"/>
  <c r="H693" i="6"/>
  <c r="I693" i="6"/>
  <c r="J693" i="6"/>
  <c r="K693" i="6"/>
  <c r="L693" i="6"/>
  <c r="M693" i="6"/>
  <c r="N693" i="6"/>
  <c r="O693" i="6"/>
  <c r="P693" i="6"/>
  <c r="Q693" i="6"/>
  <c r="R693" i="6"/>
  <c r="S693" i="6"/>
  <c r="T693" i="6"/>
  <c r="U693" i="6"/>
  <c r="B694" i="6"/>
  <c r="C694" i="6"/>
  <c r="D694" i="6"/>
  <c r="E694" i="6"/>
  <c r="F694" i="6"/>
  <c r="G694" i="6"/>
  <c r="H694" i="6"/>
  <c r="I694" i="6"/>
  <c r="J694" i="6"/>
  <c r="K694" i="6"/>
  <c r="L694" i="6"/>
  <c r="M694" i="6"/>
  <c r="N694" i="6"/>
  <c r="O694" i="6"/>
  <c r="P694" i="6"/>
  <c r="Q694" i="6"/>
  <c r="R694" i="6"/>
  <c r="S694" i="6"/>
  <c r="T694" i="6"/>
  <c r="U694" i="6"/>
  <c r="B695" i="6"/>
  <c r="C695" i="6"/>
  <c r="D695" i="6"/>
  <c r="E695" i="6"/>
  <c r="F695" i="6"/>
  <c r="G695" i="6"/>
  <c r="H695" i="6"/>
  <c r="I695" i="6"/>
  <c r="J695" i="6"/>
  <c r="K695" i="6"/>
  <c r="L695" i="6"/>
  <c r="M695" i="6"/>
  <c r="N695" i="6"/>
  <c r="O695" i="6"/>
  <c r="P695" i="6"/>
  <c r="Q695" i="6"/>
  <c r="R695" i="6"/>
  <c r="S695" i="6"/>
  <c r="T695" i="6"/>
  <c r="U695" i="6"/>
  <c r="B696" i="6"/>
  <c r="C696" i="6"/>
  <c r="D696" i="6"/>
  <c r="E696" i="6"/>
  <c r="F696" i="6"/>
  <c r="G696" i="6"/>
  <c r="H696" i="6"/>
  <c r="I696" i="6"/>
  <c r="J696" i="6"/>
  <c r="K696" i="6"/>
  <c r="L696" i="6"/>
  <c r="M696" i="6"/>
  <c r="N696" i="6"/>
  <c r="O696" i="6"/>
  <c r="P696" i="6"/>
  <c r="Q696" i="6"/>
  <c r="R696" i="6"/>
  <c r="S696" i="6"/>
  <c r="T696" i="6"/>
  <c r="U696" i="6"/>
  <c r="B697" i="6"/>
  <c r="C697" i="6"/>
  <c r="D697" i="6"/>
  <c r="E697" i="6"/>
  <c r="F697" i="6"/>
  <c r="G697" i="6"/>
  <c r="H697" i="6"/>
  <c r="I697" i="6"/>
  <c r="J697" i="6"/>
  <c r="K697" i="6"/>
  <c r="L697" i="6"/>
  <c r="M697" i="6"/>
  <c r="N697" i="6"/>
  <c r="O697" i="6"/>
  <c r="P697" i="6"/>
  <c r="Q697" i="6"/>
  <c r="R697" i="6"/>
  <c r="S697" i="6"/>
  <c r="T697" i="6"/>
  <c r="U697" i="6"/>
  <c r="B698" i="6"/>
  <c r="C698" i="6"/>
  <c r="D698" i="6"/>
  <c r="E698" i="6"/>
  <c r="F698" i="6"/>
  <c r="G698" i="6"/>
  <c r="H698" i="6"/>
  <c r="I698" i="6"/>
  <c r="J698" i="6"/>
  <c r="K698" i="6"/>
  <c r="L698" i="6"/>
  <c r="M698" i="6"/>
  <c r="N698" i="6"/>
  <c r="O698" i="6"/>
  <c r="P698" i="6"/>
  <c r="Q698" i="6"/>
  <c r="R698" i="6"/>
  <c r="S698" i="6"/>
  <c r="T698" i="6"/>
  <c r="U698" i="6"/>
  <c r="B699" i="6"/>
  <c r="C699" i="6"/>
  <c r="D699" i="6"/>
  <c r="E699" i="6"/>
  <c r="F699" i="6"/>
  <c r="G699" i="6"/>
  <c r="H699" i="6"/>
  <c r="I699" i="6"/>
  <c r="J699" i="6"/>
  <c r="K699" i="6"/>
  <c r="L699" i="6"/>
  <c r="M699" i="6"/>
  <c r="N699" i="6"/>
  <c r="O699" i="6"/>
  <c r="P699" i="6"/>
  <c r="Q699" i="6"/>
  <c r="R699" i="6"/>
  <c r="S699" i="6"/>
  <c r="T699" i="6"/>
  <c r="U699" i="6"/>
  <c r="B700" i="6"/>
  <c r="C700" i="6"/>
  <c r="D700" i="6"/>
  <c r="E700" i="6"/>
  <c r="F700" i="6"/>
  <c r="G700" i="6"/>
  <c r="H700" i="6"/>
  <c r="I700" i="6"/>
  <c r="J700" i="6"/>
  <c r="K700" i="6"/>
  <c r="L700" i="6"/>
  <c r="M700" i="6"/>
  <c r="N700" i="6"/>
  <c r="O700" i="6"/>
  <c r="P700" i="6"/>
  <c r="Q700" i="6"/>
  <c r="R700" i="6"/>
  <c r="S700" i="6"/>
  <c r="T700" i="6"/>
  <c r="U700" i="6"/>
  <c r="B701" i="6"/>
  <c r="C701" i="6"/>
  <c r="D701" i="6"/>
  <c r="E701" i="6"/>
  <c r="F701" i="6"/>
  <c r="G701" i="6"/>
  <c r="H701" i="6"/>
  <c r="I701" i="6"/>
  <c r="J701" i="6"/>
  <c r="K701" i="6"/>
  <c r="L701" i="6"/>
  <c r="M701" i="6"/>
  <c r="N701" i="6"/>
  <c r="O701" i="6"/>
  <c r="P701" i="6"/>
  <c r="Q701" i="6"/>
  <c r="R701" i="6"/>
  <c r="S701" i="6"/>
  <c r="T701" i="6"/>
  <c r="U701" i="6"/>
  <c r="B702" i="6"/>
  <c r="C702" i="6"/>
  <c r="D702" i="6"/>
  <c r="E702" i="6"/>
  <c r="F702" i="6"/>
  <c r="G702" i="6"/>
  <c r="H702" i="6"/>
  <c r="I702" i="6"/>
  <c r="J702" i="6"/>
  <c r="K702" i="6"/>
  <c r="L702" i="6"/>
  <c r="M702" i="6"/>
  <c r="N702" i="6"/>
  <c r="O702" i="6"/>
  <c r="P702" i="6"/>
  <c r="Q702" i="6"/>
  <c r="R702" i="6"/>
  <c r="S702" i="6"/>
  <c r="T702" i="6"/>
  <c r="U702" i="6"/>
  <c r="B703" i="6"/>
  <c r="C703" i="6"/>
  <c r="D703" i="6"/>
  <c r="E703" i="6"/>
  <c r="F703" i="6"/>
  <c r="G703" i="6"/>
  <c r="H703" i="6"/>
  <c r="I703" i="6"/>
  <c r="J703" i="6"/>
  <c r="K703" i="6"/>
  <c r="L703" i="6"/>
  <c r="M703" i="6"/>
  <c r="N703" i="6"/>
  <c r="O703" i="6"/>
  <c r="P703" i="6"/>
  <c r="Q703" i="6"/>
  <c r="R703" i="6"/>
  <c r="S703" i="6"/>
  <c r="T703" i="6"/>
  <c r="U703" i="6"/>
  <c r="B704" i="6"/>
  <c r="C704" i="6"/>
  <c r="D704" i="6"/>
  <c r="E704" i="6"/>
  <c r="F704" i="6"/>
  <c r="G704" i="6"/>
  <c r="H704" i="6"/>
  <c r="I704" i="6"/>
  <c r="J704" i="6"/>
  <c r="K704" i="6"/>
  <c r="L704" i="6"/>
  <c r="M704" i="6"/>
  <c r="N704" i="6"/>
  <c r="O704" i="6"/>
  <c r="P704" i="6"/>
  <c r="Q704" i="6"/>
  <c r="R704" i="6"/>
  <c r="S704" i="6"/>
  <c r="T704" i="6"/>
  <c r="U704" i="6"/>
  <c r="B705" i="6"/>
  <c r="C705" i="6"/>
  <c r="D705" i="6"/>
  <c r="E705" i="6"/>
  <c r="F705" i="6"/>
  <c r="G705" i="6"/>
  <c r="H705" i="6"/>
  <c r="I705" i="6"/>
  <c r="J705" i="6"/>
  <c r="K705" i="6"/>
  <c r="L705" i="6"/>
  <c r="M705" i="6"/>
  <c r="N705" i="6"/>
  <c r="O705" i="6"/>
  <c r="P705" i="6"/>
  <c r="Q705" i="6"/>
  <c r="R705" i="6"/>
  <c r="S705" i="6"/>
  <c r="T705" i="6"/>
  <c r="U705" i="6"/>
  <c r="B706" i="6"/>
  <c r="C706" i="6"/>
  <c r="D706" i="6"/>
  <c r="E706" i="6"/>
  <c r="F706" i="6"/>
  <c r="G706" i="6"/>
  <c r="H706" i="6"/>
  <c r="I706" i="6"/>
  <c r="J706" i="6"/>
  <c r="K706" i="6"/>
  <c r="L706" i="6"/>
  <c r="M706" i="6"/>
  <c r="N706" i="6"/>
  <c r="O706" i="6"/>
  <c r="P706" i="6"/>
  <c r="Q706" i="6"/>
  <c r="R706" i="6"/>
  <c r="S706" i="6"/>
  <c r="T706" i="6"/>
  <c r="U706" i="6"/>
  <c r="B707" i="6"/>
  <c r="C707" i="6"/>
  <c r="D707" i="6"/>
  <c r="E707" i="6"/>
  <c r="F707" i="6"/>
  <c r="G707" i="6"/>
  <c r="H707" i="6"/>
  <c r="I707" i="6"/>
  <c r="J707" i="6"/>
  <c r="K707" i="6"/>
  <c r="L707" i="6"/>
  <c r="M707" i="6"/>
  <c r="N707" i="6"/>
  <c r="O707" i="6"/>
  <c r="P707" i="6"/>
  <c r="Q707" i="6"/>
  <c r="R707" i="6"/>
  <c r="S707" i="6"/>
  <c r="T707" i="6"/>
  <c r="U707" i="6"/>
  <c r="B708" i="6"/>
  <c r="C708" i="6"/>
  <c r="D708" i="6"/>
  <c r="E708" i="6"/>
  <c r="F708" i="6"/>
  <c r="G708" i="6"/>
  <c r="H708" i="6"/>
  <c r="I708" i="6"/>
  <c r="J708" i="6"/>
  <c r="K708" i="6"/>
  <c r="L708" i="6"/>
  <c r="M708" i="6"/>
  <c r="N708" i="6"/>
  <c r="O708" i="6"/>
  <c r="P708" i="6"/>
  <c r="Q708" i="6"/>
  <c r="R708" i="6"/>
  <c r="S708" i="6"/>
  <c r="T708" i="6"/>
  <c r="U708" i="6"/>
  <c r="B709" i="6"/>
  <c r="C709" i="6"/>
  <c r="D709" i="6"/>
  <c r="E709" i="6"/>
  <c r="F709" i="6"/>
  <c r="G709" i="6"/>
  <c r="H709" i="6"/>
  <c r="I709" i="6"/>
  <c r="J709" i="6"/>
  <c r="K709" i="6"/>
  <c r="L709" i="6"/>
  <c r="M709" i="6"/>
  <c r="N709" i="6"/>
  <c r="O709" i="6"/>
  <c r="P709" i="6"/>
  <c r="Q709" i="6"/>
  <c r="R709" i="6"/>
  <c r="S709" i="6"/>
  <c r="T709" i="6"/>
  <c r="U709" i="6"/>
  <c r="B710" i="6"/>
  <c r="C710" i="6"/>
  <c r="D710" i="6"/>
  <c r="E710" i="6"/>
  <c r="F710" i="6"/>
  <c r="G710" i="6"/>
  <c r="H710" i="6"/>
  <c r="I710" i="6"/>
  <c r="J710" i="6"/>
  <c r="K710" i="6"/>
  <c r="L710" i="6"/>
  <c r="M710" i="6"/>
  <c r="N710" i="6"/>
  <c r="O710" i="6"/>
  <c r="P710" i="6"/>
  <c r="Q710" i="6"/>
  <c r="R710" i="6"/>
  <c r="S710" i="6"/>
  <c r="T710" i="6"/>
  <c r="U710" i="6"/>
  <c r="B711" i="6"/>
  <c r="C711" i="6"/>
  <c r="D711" i="6"/>
  <c r="E711" i="6"/>
  <c r="F711" i="6"/>
  <c r="G711" i="6"/>
  <c r="H711" i="6"/>
  <c r="I711" i="6"/>
  <c r="J711" i="6"/>
  <c r="K711" i="6"/>
  <c r="L711" i="6"/>
  <c r="M711" i="6"/>
  <c r="N711" i="6"/>
  <c r="O711" i="6"/>
  <c r="P711" i="6"/>
  <c r="Q711" i="6"/>
  <c r="R711" i="6"/>
  <c r="S711" i="6"/>
  <c r="T711" i="6"/>
  <c r="U711" i="6"/>
  <c r="B712" i="6"/>
  <c r="C712" i="6"/>
  <c r="D712" i="6"/>
  <c r="E712" i="6"/>
  <c r="F712" i="6"/>
  <c r="G712" i="6"/>
  <c r="H712" i="6"/>
  <c r="I712" i="6"/>
  <c r="J712" i="6"/>
  <c r="K712" i="6"/>
  <c r="L712" i="6"/>
  <c r="M712" i="6"/>
  <c r="N712" i="6"/>
  <c r="O712" i="6"/>
  <c r="P712" i="6"/>
  <c r="Q712" i="6"/>
  <c r="R712" i="6"/>
  <c r="S712" i="6"/>
  <c r="T712" i="6"/>
  <c r="U712" i="6"/>
  <c r="B713" i="6"/>
  <c r="C713" i="6"/>
  <c r="D713" i="6"/>
  <c r="E713" i="6"/>
  <c r="F713" i="6"/>
  <c r="G713" i="6"/>
  <c r="H713" i="6"/>
  <c r="I713" i="6"/>
  <c r="J713" i="6"/>
  <c r="K713" i="6"/>
  <c r="L713" i="6"/>
  <c r="M713" i="6"/>
  <c r="N713" i="6"/>
  <c r="O713" i="6"/>
  <c r="P713" i="6"/>
  <c r="Q713" i="6"/>
  <c r="R713" i="6"/>
  <c r="S713" i="6"/>
  <c r="T713" i="6"/>
  <c r="U713" i="6"/>
  <c r="B714" i="6"/>
  <c r="C714" i="6"/>
  <c r="D714" i="6"/>
  <c r="E714" i="6"/>
  <c r="F714" i="6"/>
  <c r="G714" i="6"/>
  <c r="H714" i="6"/>
  <c r="I714" i="6"/>
  <c r="J714" i="6"/>
  <c r="K714" i="6"/>
  <c r="L714" i="6"/>
  <c r="M714" i="6"/>
  <c r="N714" i="6"/>
  <c r="O714" i="6"/>
  <c r="P714" i="6"/>
  <c r="Q714" i="6"/>
  <c r="R714" i="6"/>
  <c r="S714" i="6"/>
  <c r="T714" i="6"/>
  <c r="U714" i="6"/>
  <c r="B715" i="6"/>
  <c r="C715" i="6"/>
  <c r="D715" i="6"/>
  <c r="E715" i="6"/>
  <c r="F715" i="6"/>
  <c r="G715" i="6"/>
  <c r="H715" i="6"/>
  <c r="I715" i="6"/>
  <c r="J715" i="6"/>
  <c r="K715" i="6"/>
  <c r="L715" i="6"/>
  <c r="M715" i="6"/>
  <c r="N715" i="6"/>
  <c r="O715" i="6"/>
  <c r="P715" i="6"/>
  <c r="Q715" i="6"/>
  <c r="R715" i="6"/>
  <c r="S715" i="6"/>
  <c r="T715" i="6"/>
  <c r="U715" i="6"/>
  <c r="B716" i="6"/>
  <c r="C716" i="6"/>
  <c r="D716" i="6"/>
  <c r="E716" i="6"/>
  <c r="F716" i="6"/>
  <c r="G716" i="6"/>
  <c r="H716" i="6"/>
  <c r="I716" i="6"/>
  <c r="J716" i="6"/>
  <c r="K716" i="6"/>
  <c r="L716" i="6"/>
  <c r="M716" i="6"/>
  <c r="N716" i="6"/>
  <c r="O716" i="6"/>
  <c r="P716" i="6"/>
  <c r="Q716" i="6"/>
  <c r="R716" i="6"/>
  <c r="S716" i="6"/>
  <c r="T716" i="6"/>
  <c r="U716" i="6"/>
  <c r="B717" i="6"/>
  <c r="C717" i="6"/>
  <c r="D717" i="6"/>
  <c r="E717" i="6"/>
  <c r="F717" i="6"/>
  <c r="G717" i="6"/>
  <c r="H717" i="6"/>
  <c r="I717" i="6"/>
  <c r="J717" i="6"/>
  <c r="K717" i="6"/>
  <c r="L717" i="6"/>
  <c r="M717" i="6"/>
  <c r="N717" i="6"/>
  <c r="O717" i="6"/>
  <c r="P717" i="6"/>
  <c r="Q717" i="6"/>
  <c r="R717" i="6"/>
  <c r="S717" i="6"/>
  <c r="T717" i="6"/>
  <c r="U717" i="6"/>
  <c r="B718" i="6"/>
  <c r="C718" i="6"/>
  <c r="D718" i="6"/>
  <c r="E718" i="6"/>
  <c r="F718" i="6"/>
  <c r="G718" i="6"/>
  <c r="H718" i="6"/>
  <c r="I718" i="6"/>
  <c r="J718" i="6"/>
  <c r="K718" i="6"/>
  <c r="L718" i="6"/>
  <c r="M718" i="6"/>
  <c r="N718" i="6"/>
  <c r="O718" i="6"/>
  <c r="P718" i="6"/>
  <c r="Q718" i="6"/>
  <c r="R718" i="6"/>
  <c r="S718" i="6"/>
  <c r="T718" i="6"/>
  <c r="U718" i="6"/>
  <c r="B719" i="6"/>
  <c r="C719" i="6"/>
  <c r="D719" i="6"/>
  <c r="E719" i="6"/>
  <c r="F719" i="6"/>
  <c r="G719" i="6"/>
  <c r="H719" i="6"/>
  <c r="I719" i="6"/>
  <c r="J719" i="6"/>
  <c r="K719" i="6"/>
  <c r="L719" i="6"/>
  <c r="M719" i="6"/>
  <c r="N719" i="6"/>
  <c r="O719" i="6"/>
  <c r="P719" i="6"/>
  <c r="Q719" i="6"/>
  <c r="R719" i="6"/>
  <c r="S719" i="6"/>
  <c r="T719" i="6"/>
  <c r="U719" i="6"/>
  <c r="B720" i="6"/>
  <c r="C720" i="6"/>
  <c r="D720" i="6"/>
  <c r="E720" i="6"/>
  <c r="F720" i="6"/>
  <c r="G720" i="6"/>
  <c r="H720" i="6"/>
  <c r="I720" i="6"/>
  <c r="J720" i="6"/>
  <c r="K720" i="6"/>
  <c r="L720" i="6"/>
  <c r="M720" i="6"/>
  <c r="N720" i="6"/>
  <c r="O720" i="6"/>
  <c r="P720" i="6"/>
  <c r="Q720" i="6"/>
  <c r="R720" i="6"/>
  <c r="S720" i="6"/>
  <c r="T720" i="6"/>
  <c r="U720" i="6"/>
  <c r="B721" i="6"/>
  <c r="C721" i="6"/>
  <c r="D721" i="6"/>
  <c r="E721" i="6"/>
  <c r="F721" i="6"/>
  <c r="G721" i="6"/>
  <c r="H721" i="6"/>
  <c r="I721" i="6"/>
  <c r="J721" i="6"/>
  <c r="K721" i="6"/>
  <c r="L721" i="6"/>
  <c r="M721" i="6"/>
  <c r="N721" i="6"/>
  <c r="O721" i="6"/>
  <c r="P721" i="6"/>
  <c r="Q721" i="6"/>
  <c r="R721" i="6"/>
  <c r="S721" i="6"/>
  <c r="T721" i="6"/>
  <c r="U721" i="6"/>
  <c r="B722" i="6"/>
  <c r="C722" i="6"/>
  <c r="D722" i="6"/>
  <c r="E722" i="6"/>
  <c r="F722" i="6"/>
  <c r="G722" i="6"/>
  <c r="H722" i="6"/>
  <c r="I722" i="6"/>
  <c r="J722" i="6"/>
  <c r="K722" i="6"/>
  <c r="L722" i="6"/>
  <c r="M722" i="6"/>
  <c r="N722" i="6"/>
  <c r="O722" i="6"/>
  <c r="P722" i="6"/>
  <c r="Q722" i="6"/>
  <c r="R722" i="6"/>
  <c r="S722" i="6"/>
  <c r="T722" i="6"/>
  <c r="U722" i="6"/>
  <c r="B723" i="6"/>
  <c r="C723" i="6"/>
  <c r="D723" i="6"/>
  <c r="E723" i="6"/>
  <c r="F723" i="6"/>
  <c r="G723" i="6"/>
  <c r="H723" i="6"/>
  <c r="I723" i="6"/>
  <c r="J723" i="6"/>
  <c r="K723" i="6"/>
  <c r="L723" i="6"/>
  <c r="M723" i="6"/>
  <c r="N723" i="6"/>
  <c r="O723" i="6"/>
  <c r="P723" i="6"/>
  <c r="Q723" i="6"/>
  <c r="R723" i="6"/>
  <c r="S723" i="6"/>
  <c r="T723" i="6"/>
  <c r="U723" i="6"/>
  <c r="B724" i="6"/>
  <c r="C724" i="6"/>
  <c r="D724" i="6"/>
  <c r="E724" i="6"/>
  <c r="F724" i="6"/>
  <c r="G724" i="6"/>
  <c r="H724" i="6"/>
  <c r="I724" i="6"/>
  <c r="J724" i="6"/>
  <c r="K724" i="6"/>
  <c r="L724" i="6"/>
  <c r="M724" i="6"/>
  <c r="N724" i="6"/>
  <c r="O724" i="6"/>
  <c r="P724" i="6"/>
  <c r="Q724" i="6"/>
  <c r="R724" i="6"/>
  <c r="S724" i="6"/>
  <c r="T724" i="6"/>
  <c r="U724" i="6"/>
  <c r="B725" i="6"/>
  <c r="C725" i="6"/>
  <c r="D725" i="6"/>
  <c r="E725" i="6"/>
  <c r="F725" i="6"/>
  <c r="G725" i="6"/>
  <c r="H725" i="6"/>
  <c r="I725" i="6"/>
  <c r="J725" i="6"/>
  <c r="K725" i="6"/>
  <c r="L725" i="6"/>
  <c r="M725" i="6"/>
  <c r="N725" i="6"/>
  <c r="O725" i="6"/>
  <c r="P725" i="6"/>
  <c r="Q725" i="6"/>
  <c r="R725" i="6"/>
  <c r="S725" i="6"/>
  <c r="T725" i="6"/>
  <c r="U725" i="6"/>
  <c r="B726" i="6"/>
  <c r="C726" i="6"/>
  <c r="D726" i="6"/>
  <c r="E726" i="6"/>
  <c r="F726" i="6"/>
  <c r="G726" i="6"/>
  <c r="H726" i="6"/>
  <c r="I726" i="6"/>
  <c r="J726" i="6"/>
  <c r="K726" i="6"/>
  <c r="L726" i="6"/>
  <c r="M726" i="6"/>
  <c r="N726" i="6"/>
  <c r="O726" i="6"/>
  <c r="P726" i="6"/>
  <c r="Q726" i="6"/>
  <c r="R726" i="6"/>
  <c r="S726" i="6"/>
  <c r="T726" i="6"/>
  <c r="U726" i="6"/>
  <c r="B727" i="6"/>
  <c r="C727" i="6"/>
  <c r="D727" i="6"/>
  <c r="E727" i="6"/>
  <c r="F727" i="6"/>
  <c r="G727" i="6"/>
  <c r="H727" i="6"/>
  <c r="I727" i="6"/>
  <c r="J727" i="6"/>
  <c r="K727" i="6"/>
  <c r="L727" i="6"/>
  <c r="M727" i="6"/>
  <c r="N727" i="6"/>
  <c r="O727" i="6"/>
  <c r="P727" i="6"/>
  <c r="Q727" i="6"/>
  <c r="R727" i="6"/>
  <c r="S727" i="6"/>
  <c r="T727" i="6"/>
  <c r="U727" i="6"/>
  <c r="B728" i="6"/>
  <c r="C728" i="6"/>
  <c r="D728" i="6"/>
  <c r="E728" i="6"/>
  <c r="F728" i="6"/>
  <c r="G728" i="6"/>
  <c r="H728" i="6"/>
  <c r="I728" i="6"/>
  <c r="J728" i="6"/>
  <c r="K728" i="6"/>
  <c r="L728" i="6"/>
  <c r="M728" i="6"/>
  <c r="N728" i="6"/>
  <c r="O728" i="6"/>
  <c r="P728" i="6"/>
  <c r="Q728" i="6"/>
  <c r="R728" i="6"/>
  <c r="S728" i="6"/>
  <c r="T728" i="6"/>
  <c r="U728" i="6"/>
  <c r="B729" i="6"/>
  <c r="C729" i="6"/>
  <c r="D729" i="6"/>
  <c r="E729" i="6"/>
  <c r="F729" i="6"/>
  <c r="G729" i="6"/>
  <c r="H729" i="6"/>
  <c r="I729" i="6"/>
  <c r="J729" i="6"/>
  <c r="K729" i="6"/>
  <c r="L729" i="6"/>
  <c r="M729" i="6"/>
  <c r="N729" i="6"/>
  <c r="O729" i="6"/>
  <c r="P729" i="6"/>
  <c r="Q729" i="6"/>
  <c r="R729" i="6"/>
  <c r="S729" i="6"/>
  <c r="T729" i="6"/>
  <c r="U729" i="6"/>
  <c r="B730" i="6"/>
  <c r="C730" i="6"/>
  <c r="D730" i="6"/>
  <c r="E730" i="6"/>
  <c r="F730" i="6"/>
  <c r="G730" i="6"/>
  <c r="H730" i="6"/>
  <c r="I730" i="6"/>
  <c r="J730" i="6"/>
  <c r="K730" i="6"/>
  <c r="L730" i="6"/>
  <c r="M730" i="6"/>
  <c r="N730" i="6"/>
  <c r="O730" i="6"/>
  <c r="P730" i="6"/>
  <c r="Q730" i="6"/>
  <c r="R730" i="6"/>
  <c r="S730" i="6"/>
  <c r="T730" i="6"/>
  <c r="U730" i="6"/>
  <c r="B731" i="6"/>
  <c r="C731" i="6"/>
  <c r="D731" i="6"/>
  <c r="E731" i="6"/>
  <c r="F731" i="6"/>
  <c r="G731" i="6"/>
  <c r="H731" i="6"/>
  <c r="I731" i="6"/>
  <c r="J731" i="6"/>
  <c r="K731" i="6"/>
  <c r="L731" i="6"/>
  <c r="M731" i="6"/>
  <c r="N731" i="6"/>
  <c r="O731" i="6"/>
  <c r="P731" i="6"/>
  <c r="Q731" i="6"/>
  <c r="R731" i="6"/>
  <c r="S731" i="6"/>
  <c r="T731" i="6"/>
  <c r="U731" i="6"/>
  <c r="B732" i="6"/>
  <c r="C732" i="6"/>
  <c r="D732" i="6"/>
  <c r="E732" i="6"/>
  <c r="F732" i="6"/>
  <c r="G732" i="6"/>
  <c r="H732" i="6"/>
  <c r="I732" i="6"/>
  <c r="J732" i="6"/>
  <c r="K732" i="6"/>
  <c r="L732" i="6"/>
  <c r="M732" i="6"/>
  <c r="N732" i="6"/>
  <c r="O732" i="6"/>
  <c r="P732" i="6"/>
  <c r="Q732" i="6"/>
  <c r="R732" i="6"/>
  <c r="S732" i="6"/>
  <c r="T732" i="6"/>
  <c r="U732" i="6"/>
  <c r="B733" i="6"/>
  <c r="C733" i="6"/>
  <c r="D733" i="6"/>
  <c r="E733" i="6"/>
  <c r="F733" i="6"/>
  <c r="G733" i="6"/>
  <c r="H733" i="6"/>
  <c r="I733" i="6"/>
  <c r="J733" i="6"/>
  <c r="K733" i="6"/>
  <c r="L733" i="6"/>
  <c r="M733" i="6"/>
  <c r="N733" i="6"/>
  <c r="O733" i="6"/>
  <c r="P733" i="6"/>
  <c r="Q733" i="6"/>
  <c r="R733" i="6"/>
  <c r="S733" i="6"/>
  <c r="T733" i="6"/>
  <c r="U733" i="6"/>
  <c r="B734" i="6"/>
  <c r="C734" i="6"/>
  <c r="D734" i="6"/>
  <c r="E734" i="6"/>
  <c r="F734" i="6"/>
  <c r="G734" i="6"/>
  <c r="H734" i="6"/>
  <c r="I734" i="6"/>
  <c r="J734" i="6"/>
  <c r="K734" i="6"/>
  <c r="L734" i="6"/>
  <c r="M734" i="6"/>
  <c r="N734" i="6"/>
  <c r="O734" i="6"/>
  <c r="P734" i="6"/>
  <c r="Q734" i="6"/>
  <c r="R734" i="6"/>
  <c r="S734" i="6"/>
  <c r="T734" i="6"/>
  <c r="U734" i="6"/>
  <c r="B735" i="6"/>
  <c r="C735" i="6"/>
  <c r="D735" i="6"/>
  <c r="E735" i="6"/>
  <c r="F735" i="6"/>
  <c r="G735" i="6"/>
  <c r="H735" i="6"/>
  <c r="I735" i="6"/>
  <c r="J735" i="6"/>
  <c r="K735" i="6"/>
  <c r="L735" i="6"/>
  <c r="M735" i="6"/>
  <c r="N735" i="6"/>
  <c r="O735" i="6"/>
  <c r="P735" i="6"/>
  <c r="Q735" i="6"/>
  <c r="R735" i="6"/>
  <c r="S735" i="6"/>
  <c r="T735" i="6"/>
  <c r="U735" i="6"/>
  <c r="B736" i="6"/>
  <c r="C736" i="6"/>
  <c r="D736" i="6"/>
  <c r="E736" i="6"/>
  <c r="F736" i="6"/>
  <c r="G736" i="6"/>
  <c r="H736" i="6"/>
  <c r="I736" i="6"/>
  <c r="J736" i="6"/>
  <c r="K736" i="6"/>
  <c r="L736" i="6"/>
  <c r="M736" i="6"/>
  <c r="N736" i="6"/>
  <c r="O736" i="6"/>
  <c r="P736" i="6"/>
  <c r="Q736" i="6"/>
  <c r="R736" i="6"/>
  <c r="S736" i="6"/>
  <c r="T736" i="6"/>
  <c r="U736" i="6"/>
  <c r="B737" i="6"/>
  <c r="C737" i="6"/>
  <c r="D737" i="6"/>
  <c r="E737" i="6"/>
  <c r="F737" i="6"/>
  <c r="G737" i="6"/>
  <c r="H737" i="6"/>
  <c r="I737" i="6"/>
  <c r="J737" i="6"/>
  <c r="K737" i="6"/>
  <c r="L737" i="6"/>
  <c r="M737" i="6"/>
  <c r="N737" i="6"/>
  <c r="O737" i="6"/>
  <c r="P737" i="6"/>
  <c r="Q737" i="6"/>
  <c r="R737" i="6"/>
  <c r="S737" i="6"/>
  <c r="T737" i="6"/>
  <c r="U737" i="6"/>
  <c r="B738" i="6"/>
  <c r="C738" i="6"/>
  <c r="D738" i="6"/>
  <c r="E738" i="6"/>
  <c r="F738" i="6"/>
  <c r="G738" i="6"/>
  <c r="H738" i="6"/>
  <c r="I738" i="6"/>
  <c r="J738" i="6"/>
  <c r="K738" i="6"/>
  <c r="L738" i="6"/>
  <c r="M738" i="6"/>
  <c r="N738" i="6"/>
  <c r="O738" i="6"/>
  <c r="P738" i="6"/>
  <c r="Q738" i="6"/>
  <c r="R738" i="6"/>
  <c r="S738" i="6"/>
  <c r="T738" i="6"/>
  <c r="U738" i="6"/>
  <c r="B739" i="6"/>
  <c r="C739" i="6"/>
  <c r="D739" i="6"/>
  <c r="E739" i="6"/>
  <c r="F739" i="6"/>
  <c r="G739" i="6"/>
  <c r="H739" i="6"/>
  <c r="I739" i="6"/>
  <c r="J739" i="6"/>
  <c r="K739" i="6"/>
  <c r="L739" i="6"/>
  <c r="M739" i="6"/>
  <c r="N739" i="6"/>
  <c r="O739" i="6"/>
  <c r="P739" i="6"/>
  <c r="Q739" i="6"/>
  <c r="R739" i="6"/>
  <c r="S739" i="6"/>
  <c r="T739" i="6"/>
  <c r="U739" i="6"/>
  <c r="B740" i="6"/>
  <c r="C740" i="6"/>
  <c r="D740" i="6"/>
  <c r="E740" i="6"/>
  <c r="F740" i="6"/>
  <c r="G740" i="6"/>
  <c r="H740" i="6"/>
  <c r="I740" i="6"/>
  <c r="J740" i="6"/>
  <c r="K740" i="6"/>
  <c r="L740" i="6"/>
  <c r="M740" i="6"/>
  <c r="N740" i="6"/>
  <c r="O740" i="6"/>
  <c r="P740" i="6"/>
  <c r="Q740" i="6"/>
  <c r="R740" i="6"/>
  <c r="S740" i="6"/>
  <c r="T740" i="6"/>
  <c r="U740" i="6"/>
  <c r="B741" i="6"/>
  <c r="C741" i="6"/>
  <c r="D741" i="6"/>
  <c r="E741" i="6"/>
  <c r="F741" i="6"/>
  <c r="G741" i="6"/>
  <c r="H741" i="6"/>
  <c r="I741" i="6"/>
  <c r="J741" i="6"/>
  <c r="K741" i="6"/>
  <c r="L741" i="6"/>
  <c r="M741" i="6"/>
  <c r="N741" i="6"/>
  <c r="O741" i="6"/>
  <c r="P741" i="6"/>
  <c r="Q741" i="6"/>
  <c r="R741" i="6"/>
  <c r="S741" i="6"/>
  <c r="T741" i="6"/>
  <c r="U741" i="6"/>
  <c r="B742" i="6"/>
  <c r="C742" i="6"/>
  <c r="D742" i="6"/>
  <c r="E742" i="6"/>
  <c r="F742" i="6"/>
  <c r="G742" i="6"/>
  <c r="H742" i="6"/>
  <c r="I742" i="6"/>
  <c r="J742" i="6"/>
  <c r="K742" i="6"/>
  <c r="L742" i="6"/>
  <c r="M742" i="6"/>
  <c r="N742" i="6"/>
  <c r="O742" i="6"/>
  <c r="P742" i="6"/>
  <c r="Q742" i="6"/>
  <c r="R742" i="6"/>
  <c r="S742" i="6"/>
  <c r="T742" i="6"/>
  <c r="U742" i="6"/>
  <c r="B743" i="6"/>
  <c r="C743" i="6"/>
  <c r="D743" i="6"/>
  <c r="E743" i="6"/>
  <c r="F743" i="6"/>
  <c r="G743" i="6"/>
  <c r="H743" i="6"/>
  <c r="I743" i="6"/>
  <c r="J743" i="6"/>
  <c r="K743" i="6"/>
  <c r="L743" i="6"/>
  <c r="M743" i="6"/>
  <c r="N743" i="6"/>
  <c r="O743" i="6"/>
  <c r="P743" i="6"/>
  <c r="Q743" i="6"/>
  <c r="R743" i="6"/>
  <c r="S743" i="6"/>
  <c r="T743" i="6"/>
  <c r="U743" i="6"/>
  <c r="B744" i="6"/>
  <c r="C744" i="6"/>
  <c r="D744" i="6"/>
  <c r="E744" i="6"/>
  <c r="F744" i="6"/>
  <c r="G744" i="6"/>
  <c r="H744" i="6"/>
  <c r="I744" i="6"/>
  <c r="J744" i="6"/>
  <c r="K744" i="6"/>
  <c r="L744" i="6"/>
  <c r="M744" i="6"/>
  <c r="N744" i="6"/>
  <c r="O744" i="6"/>
  <c r="P744" i="6"/>
  <c r="Q744" i="6"/>
  <c r="R744" i="6"/>
  <c r="S744" i="6"/>
  <c r="T744" i="6"/>
  <c r="U744" i="6"/>
  <c r="B745" i="6"/>
  <c r="C745" i="6"/>
  <c r="D745" i="6"/>
  <c r="E745" i="6"/>
  <c r="F745" i="6"/>
  <c r="G745" i="6"/>
  <c r="H745" i="6"/>
  <c r="I745" i="6"/>
  <c r="J745" i="6"/>
  <c r="K745" i="6"/>
  <c r="L745" i="6"/>
  <c r="M745" i="6"/>
  <c r="N745" i="6"/>
  <c r="O745" i="6"/>
  <c r="P745" i="6"/>
  <c r="Q745" i="6"/>
  <c r="R745" i="6"/>
  <c r="S745" i="6"/>
  <c r="T745" i="6"/>
  <c r="U745" i="6"/>
  <c r="B746" i="6"/>
  <c r="C746" i="6"/>
  <c r="D746" i="6"/>
  <c r="E746" i="6"/>
  <c r="F746" i="6"/>
  <c r="G746" i="6"/>
  <c r="H746" i="6"/>
  <c r="I746" i="6"/>
  <c r="J746" i="6"/>
  <c r="K746" i="6"/>
  <c r="L746" i="6"/>
  <c r="M746" i="6"/>
  <c r="N746" i="6"/>
  <c r="O746" i="6"/>
  <c r="P746" i="6"/>
  <c r="Q746" i="6"/>
  <c r="R746" i="6"/>
  <c r="S746" i="6"/>
  <c r="T746" i="6"/>
  <c r="U746" i="6"/>
  <c r="B747" i="6"/>
  <c r="C747" i="6"/>
  <c r="D747" i="6"/>
  <c r="E747" i="6"/>
  <c r="F747" i="6"/>
  <c r="G747" i="6"/>
  <c r="H747" i="6"/>
  <c r="I747" i="6"/>
  <c r="J747" i="6"/>
  <c r="K747" i="6"/>
  <c r="L747" i="6"/>
  <c r="M747" i="6"/>
  <c r="N747" i="6"/>
  <c r="O747" i="6"/>
  <c r="P747" i="6"/>
  <c r="Q747" i="6"/>
  <c r="R747" i="6"/>
  <c r="S747" i="6"/>
  <c r="T747" i="6"/>
  <c r="U747" i="6"/>
  <c r="B748" i="6"/>
  <c r="C748" i="6"/>
  <c r="D748" i="6"/>
  <c r="E748" i="6"/>
  <c r="F748" i="6"/>
  <c r="G748" i="6"/>
  <c r="H748" i="6"/>
  <c r="I748" i="6"/>
  <c r="J748" i="6"/>
  <c r="K748" i="6"/>
  <c r="L748" i="6"/>
  <c r="M748" i="6"/>
  <c r="N748" i="6"/>
  <c r="O748" i="6"/>
  <c r="P748" i="6"/>
  <c r="Q748" i="6"/>
  <c r="R748" i="6"/>
  <c r="S748" i="6"/>
  <c r="T748" i="6"/>
  <c r="U748" i="6"/>
  <c r="B749" i="6"/>
  <c r="C749" i="6"/>
  <c r="D749" i="6"/>
  <c r="E749" i="6"/>
  <c r="F749" i="6"/>
  <c r="G749" i="6"/>
  <c r="H749" i="6"/>
  <c r="I749" i="6"/>
  <c r="J749" i="6"/>
  <c r="K749" i="6"/>
  <c r="L749" i="6"/>
  <c r="M749" i="6"/>
  <c r="N749" i="6"/>
  <c r="O749" i="6"/>
  <c r="P749" i="6"/>
  <c r="Q749" i="6"/>
  <c r="R749" i="6"/>
  <c r="S749" i="6"/>
  <c r="T749" i="6"/>
  <c r="U749" i="6"/>
  <c r="B750" i="6"/>
  <c r="C750" i="6"/>
  <c r="D750" i="6"/>
  <c r="E750" i="6"/>
  <c r="F750" i="6"/>
  <c r="G750" i="6"/>
  <c r="H750" i="6"/>
  <c r="I750" i="6"/>
  <c r="J750" i="6"/>
  <c r="K750" i="6"/>
  <c r="L750" i="6"/>
  <c r="M750" i="6"/>
  <c r="N750" i="6"/>
  <c r="O750" i="6"/>
  <c r="P750" i="6"/>
  <c r="Q750" i="6"/>
  <c r="R750" i="6"/>
  <c r="S750" i="6"/>
  <c r="T750" i="6"/>
  <c r="U750" i="6"/>
  <c r="B751" i="6"/>
  <c r="C751" i="6"/>
  <c r="D751" i="6"/>
  <c r="E751" i="6"/>
  <c r="F751" i="6"/>
  <c r="G751" i="6"/>
  <c r="H751" i="6"/>
  <c r="I751" i="6"/>
  <c r="J751" i="6"/>
  <c r="K751" i="6"/>
  <c r="L751" i="6"/>
  <c r="M751" i="6"/>
  <c r="N751" i="6"/>
  <c r="O751" i="6"/>
  <c r="P751" i="6"/>
  <c r="Q751" i="6"/>
  <c r="R751" i="6"/>
  <c r="S751" i="6"/>
  <c r="T751" i="6"/>
  <c r="U751" i="6"/>
  <c r="B752" i="6"/>
  <c r="C752" i="6"/>
  <c r="D752" i="6"/>
  <c r="E752" i="6"/>
  <c r="F752" i="6"/>
  <c r="G752" i="6"/>
  <c r="H752" i="6"/>
  <c r="I752" i="6"/>
  <c r="J752" i="6"/>
  <c r="K752" i="6"/>
  <c r="L752" i="6"/>
  <c r="M752" i="6"/>
  <c r="N752" i="6"/>
  <c r="O752" i="6"/>
  <c r="P752" i="6"/>
  <c r="Q752" i="6"/>
  <c r="R752" i="6"/>
  <c r="S752" i="6"/>
  <c r="T752" i="6"/>
  <c r="U752" i="6"/>
  <c r="B753" i="6"/>
  <c r="C753" i="6"/>
  <c r="D753" i="6"/>
  <c r="E753" i="6"/>
  <c r="F753" i="6"/>
  <c r="G753" i="6"/>
  <c r="H753" i="6"/>
  <c r="I753" i="6"/>
  <c r="J753" i="6"/>
  <c r="K753" i="6"/>
  <c r="L753" i="6"/>
  <c r="M753" i="6"/>
  <c r="N753" i="6"/>
  <c r="O753" i="6"/>
  <c r="P753" i="6"/>
  <c r="Q753" i="6"/>
  <c r="R753" i="6"/>
  <c r="S753" i="6"/>
  <c r="T753" i="6"/>
  <c r="U753" i="6"/>
  <c r="B754" i="6"/>
  <c r="C754" i="6"/>
  <c r="D754" i="6"/>
  <c r="E754" i="6"/>
  <c r="F754" i="6"/>
  <c r="G754" i="6"/>
  <c r="H754" i="6"/>
  <c r="I754" i="6"/>
  <c r="J754" i="6"/>
  <c r="K754" i="6"/>
  <c r="L754" i="6"/>
  <c r="M754" i="6"/>
  <c r="N754" i="6"/>
  <c r="O754" i="6"/>
  <c r="P754" i="6"/>
  <c r="Q754" i="6"/>
  <c r="R754" i="6"/>
  <c r="S754" i="6"/>
  <c r="T754" i="6"/>
  <c r="U754" i="6"/>
  <c r="B755" i="6"/>
  <c r="C755" i="6"/>
  <c r="D755" i="6"/>
  <c r="E755" i="6"/>
  <c r="F755" i="6"/>
  <c r="G755" i="6"/>
  <c r="H755" i="6"/>
  <c r="I755" i="6"/>
  <c r="J755" i="6"/>
  <c r="K755" i="6"/>
  <c r="L755" i="6"/>
  <c r="M755" i="6"/>
  <c r="N755" i="6"/>
  <c r="O755" i="6"/>
  <c r="P755" i="6"/>
  <c r="Q755" i="6"/>
  <c r="R755" i="6"/>
  <c r="S755" i="6"/>
  <c r="T755" i="6"/>
  <c r="U755" i="6"/>
  <c r="B756" i="6"/>
  <c r="C756" i="6"/>
  <c r="D756" i="6"/>
  <c r="E756" i="6"/>
  <c r="F756" i="6"/>
  <c r="G756" i="6"/>
  <c r="H756" i="6"/>
  <c r="I756" i="6"/>
  <c r="J756" i="6"/>
  <c r="K756" i="6"/>
  <c r="L756" i="6"/>
  <c r="M756" i="6"/>
  <c r="N756" i="6"/>
  <c r="O756" i="6"/>
  <c r="P756" i="6"/>
  <c r="Q756" i="6"/>
  <c r="R756" i="6"/>
  <c r="S756" i="6"/>
  <c r="T756" i="6"/>
  <c r="U756" i="6"/>
  <c r="B757" i="6"/>
  <c r="C757" i="6"/>
  <c r="D757" i="6"/>
  <c r="E757" i="6"/>
  <c r="F757" i="6"/>
  <c r="G757" i="6"/>
  <c r="H757" i="6"/>
  <c r="I757" i="6"/>
  <c r="J757" i="6"/>
  <c r="K757" i="6"/>
  <c r="L757" i="6"/>
  <c r="M757" i="6"/>
  <c r="N757" i="6"/>
  <c r="O757" i="6"/>
  <c r="P757" i="6"/>
  <c r="Q757" i="6"/>
  <c r="R757" i="6"/>
  <c r="S757" i="6"/>
  <c r="T757" i="6"/>
  <c r="U757" i="6"/>
  <c r="B758" i="6"/>
  <c r="C758" i="6"/>
  <c r="D758" i="6"/>
  <c r="E758" i="6"/>
  <c r="F758" i="6"/>
  <c r="G758" i="6"/>
  <c r="H758" i="6"/>
  <c r="I758" i="6"/>
  <c r="J758" i="6"/>
  <c r="K758" i="6"/>
  <c r="L758" i="6"/>
  <c r="M758" i="6"/>
  <c r="N758" i="6"/>
  <c r="O758" i="6"/>
  <c r="P758" i="6"/>
  <c r="Q758" i="6"/>
  <c r="R758" i="6"/>
  <c r="S758" i="6"/>
  <c r="T758" i="6"/>
  <c r="U758" i="6"/>
  <c r="B759" i="6"/>
  <c r="C759" i="6"/>
  <c r="D759" i="6"/>
  <c r="E759" i="6"/>
  <c r="F759" i="6"/>
  <c r="G759" i="6"/>
  <c r="H759" i="6"/>
  <c r="I759" i="6"/>
  <c r="J759" i="6"/>
  <c r="K759" i="6"/>
  <c r="L759" i="6"/>
  <c r="M759" i="6"/>
  <c r="N759" i="6"/>
  <c r="O759" i="6"/>
  <c r="P759" i="6"/>
  <c r="Q759" i="6"/>
  <c r="R759" i="6"/>
  <c r="S759" i="6"/>
  <c r="T759" i="6"/>
  <c r="U759" i="6"/>
  <c r="B760" i="6"/>
  <c r="C760" i="6"/>
  <c r="D760" i="6"/>
  <c r="E760" i="6"/>
  <c r="F760" i="6"/>
  <c r="G760" i="6"/>
  <c r="H760" i="6"/>
  <c r="I760" i="6"/>
  <c r="J760" i="6"/>
  <c r="K760" i="6"/>
  <c r="L760" i="6"/>
  <c r="M760" i="6"/>
  <c r="N760" i="6"/>
  <c r="O760" i="6"/>
  <c r="P760" i="6"/>
  <c r="Q760" i="6"/>
  <c r="R760" i="6"/>
  <c r="S760" i="6"/>
  <c r="T760" i="6"/>
  <c r="U760" i="6"/>
  <c r="B761" i="6"/>
  <c r="C761" i="6"/>
  <c r="D761" i="6"/>
  <c r="E761" i="6"/>
  <c r="F761" i="6"/>
  <c r="G761" i="6"/>
  <c r="H761" i="6"/>
  <c r="I761" i="6"/>
  <c r="J761" i="6"/>
  <c r="K761" i="6"/>
  <c r="L761" i="6"/>
  <c r="M761" i="6"/>
  <c r="N761" i="6"/>
  <c r="O761" i="6"/>
  <c r="P761" i="6"/>
  <c r="Q761" i="6"/>
  <c r="R761" i="6"/>
  <c r="S761" i="6"/>
  <c r="T761" i="6"/>
  <c r="U761" i="6"/>
  <c r="B762" i="6"/>
  <c r="C762" i="6"/>
  <c r="D762" i="6"/>
  <c r="E762" i="6"/>
  <c r="F762" i="6"/>
  <c r="G762" i="6"/>
  <c r="H762" i="6"/>
  <c r="I762" i="6"/>
  <c r="J762" i="6"/>
  <c r="K762" i="6"/>
  <c r="L762" i="6"/>
  <c r="M762" i="6"/>
  <c r="N762" i="6"/>
  <c r="O762" i="6"/>
  <c r="P762" i="6"/>
  <c r="Q762" i="6"/>
  <c r="R762" i="6"/>
  <c r="S762" i="6"/>
  <c r="T762" i="6"/>
  <c r="U762" i="6"/>
  <c r="B763" i="6"/>
  <c r="C763" i="6"/>
  <c r="D763" i="6"/>
  <c r="E763" i="6"/>
  <c r="F763" i="6"/>
  <c r="G763" i="6"/>
  <c r="H763" i="6"/>
  <c r="I763" i="6"/>
  <c r="J763" i="6"/>
  <c r="K763" i="6"/>
  <c r="L763" i="6"/>
  <c r="M763" i="6"/>
  <c r="N763" i="6"/>
  <c r="O763" i="6"/>
  <c r="P763" i="6"/>
  <c r="Q763" i="6"/>
  <c r="R763" i="6"/>
  <c r="S763" i="6"/>
  <c r="T763" i="6"/>
  <c r="U763" i="6"/>
  <c r="B764" i="6"/>
  <c r="C764" i="6"/>
  <c r="D764" i="6"/>
  <c r="E764" i="6"/>
  <c r="F764" i="6"/>
  <c r="G764" i="6"/>
  <c r="H764" i="6"/>
  <c r="I764" i="6"/>
  <c r="J764" i="6"/>
  <c r="K764" i="6"/>
  <c r="L764" i="6"/>
  <c r="M764" i="6"/>
  <c r="N764" i="6"/>
  <c r="O764" i="6"/>
  <c r="P764" i="6"/>
  <c r="Q764" i="6"/>
  <c r="R764" i="6"/>
  <c r="S764" i="6"/>
  <c r="T764" i="6"/>
  <c r="U764" i="6"/>
  <c r="B765" i="6"/>
  <c r="C765" i="6"/>
  <c r="D765" i="6"/>
  <c r="E765" i="6"/>
  <c r="F765" i="6"/>
  <c r="G765" i="6"/>
  <c r="H765" i="6"/>
  <c r="I765" i="6"/>
  <c r="J765" i="6"/>
  <c r="K765" i="6"/>
  <c r="L765" i="6"/>
  <c r="M765" i="6"/>
  <c r="N765" i="6"/>
  <c r="O765" i="6"/>
  <c r="P765" i="6"/>
  <c r="Q765" i="6"/>
  <c r="R765" i="6"/>
  <c r="S765" i="6"/>
  <c r="T765" i="6"/>
  <c r="U765" i="6"/>
  <c r="B766" i="6"/>
  <c r="C766" i="6"/>
  <c r="D766" i="6"/>
  <c r="E766" i="6"/>
  <c r="F766" i="6"/>
  <c r="G766" i="6"/>
  <c r="H766" i="6"/>
  <c r="I766" i="6"/>
  <c r="J766" i="6"/>
  <c r="K766" i="6"/>
  <c r="L766" i="6"/>
  <c r="M766" i="6"/>
  <c r="N766" i="6"/>
  <c r="O766" i="6"/>
  <c r="P766" i="6"/>
  <c r="Q766" i="6"/>
  <c r="R766" i="6"/>
  <c r="S766" i="6"/>
  <c r="T766" i="6"/>
  <c r="U766" i="6"/>
  <c r="B767" i="6"/>
  <c r="C767" i="6"/>
  <c r="D767" i="6"/>
  <c r="E767" i="6"/>
  <c r="F767" i="6"/>
  <c r="G767" i="6"/>
  <c r="H767" i="6"/>
  <c r="I767" i="6"/>
  <c r="J767" i="6"/>
  <c r="K767" i="6"/>
  <c r="L767" i="6"/>
  <c r="M767" i="6"/>
  <c r="N767" i="6"/>
  <c r="O767" i="6"/>
  <c r="P767" i="6"/>
  <c r="Q767" i="6"/>
  <c r="R767" i="6"/>
  <c r="S767" i="6"/>
  <c r="T767" i="6"/>
  <c r="U767" i="6"/>
  <c r="B768" i="6"/>
  <c r="C768" i="6"/>
  <c r="D768" i="6"/>
  <c r="E768" i="6"/>
  <c r="F768" i="6"/>
  <c r="G768" i="6"/>
  <c r="H768" i="6"/>
  <c r="I768" i="6"/>
  <c r="J768" i="6"/>
  <c r="K768" i="6"/>
  <c r="L768" i="6"/>
  <c r="M768" i="6"/>
  <c r="N768" i="6"/>
  <c r="O768" i="6"/>
  <c r="P768" i="6"/>
  <c r="Q768" i="6"/>
  <c r="R768" i="6"/>
  <c r="S768" i="6"/>
  <c r="T768" i="6"/>
  <c r="U768" i="6"/>
  <c r="B769" i="6"/>
  <c r="C769" i="6"/>
  <c r="D769" i="6"/>
  <c r="E769" i="6"/>
  <c r="F769" i="6"/>
  <c r="G769" i="6"/>
  <c r="H769" i="6"/>
  <c r="I769" i="6"/>
  <c r="J769" i="6"/>
  <c r="K769" i="6"/>
  <c r="L769" i="6"/>
  <c r="M769" i="6"/>
  <c r="N769" i="6"/>
  <c r="O769" i="6"/>
  <c r="P769" i="6"/>
  <c r="Q769" i="6"/>
  <c r="R769" i="6"/>
  <c r="S769" i="6"/>
  <c r="T769" i="6"/>
  <c r="U769" i="6"/>
  <c r="B770" i="6"/>
  <c r="C770" i="6"/>
  <c r="D770" i="6"/>
  <c r="E770" i="6"/>
  <c r="F770" i="6"/>
  <c r="G770" i="6"/>
  <c r="H770" i="6"/>
  <c r="I770" i="6"/>
  <c r="J770" i="6"/>
  <c r="K770" i="6"/>
  <c r="L770" i="6"/>
  <c r="M770" i="6"/>
  <c r="N770" i="6"/>
  <c r="O770" i="6"/>
  <c r="P770" i="6"/>
  <c r="Q770" i="6"/>
  <c r="R770" i="6"/>
  <c r="S770" i="6"/>
  <c r="T770" i="6"/>
  <c r="U770" i="6"/>
  <c r="B771" i="6"/>
  <c r="C771" i="6"/>
  <c r="D771" i="6"/>
  <c r="E771" i="6"/>
  <c r="F771" i="6"/>
  <c r="G771" i="6"/>
  <c r="H771" i="6"/>
  <c r="I771" i="6"/>
  <c r="J771" i="6"/>
  <c r="K771" i="6"/>
  <c r="L771" i="6"/>
  <c r="M771" i="6"/>
  <c r="N771" i="6"/>
  <c r="O771" i="6"/>
  <c r="P771" i="6"/>
  <c r="Q771" i="6"/>
  <c r="R771" i="6"/>
  <c r="S771" i="6"/>
  <c r="T771" i="6"/>
  <c r="U771" i="6"/>
  <c r="B772" i="6"/>
  <c r="C772" i="6"/>
  <c r="D772" i="6"/>
  <c r="E772" i="6"/>
  <c r="F772" i="6"/>
  <c r="G772" i="6"/>
  <c r="H772" i="6"/>
  <c r="I772" i="6"/>
  <c r="J772" i="6"/>
  <c r="K772" i="6"/>
  <c r="L772" i="6"/>
  <c r="M772" i="6"/>
  <c r="N772" i="6"/>
  <c r="O772" i="6"/>
  <c r="P772" i="6"/>
  <c r="Q772" i="6"/>
  <c r="R772" i="6"/>
  <c r="S772" i="6"/>
  <c r="T772" i="6"/>
  <c r="U772" i="6"/>
  <c r="B773" i="6"/>
  <c r="C773" i="6"/>
  <c r="D773" i="6"/>
  <c r="E773" i="6"/>
  <c r="F773" i="6"/>
  <c r="G773" i="6"/>
  <c r="H773" i="6"/>
  <c r="I773" i="6"/>
  <c r="J773" i="6"/>
  <c r="K773" i="6"/>
  <c r="L773" i="6"/>
  <c r="M773" i="6"/>
  <c r="N773" i="6"/>
  <c r="O773" i="6"/>
  <c r="P773" i="6"/>
  <c r="Q773" i="6"/>
  <c r="R773" i="6"/>
  <c r="S773" i="6"/>
  <c r="T773" i="6"/>
  <c r="U773" i="6"/>
  <c r="B774" i="6"/>
  <c r="C774" i="6"/>
  <c r="D774" i="6"/>
  <c r="E774" i="6"/>
  <c r="F774" i="6"/>
  <c r="G774" i="6"/>
  <c r="H774" i="6"/>
  <c r="I774" i="6"/>
  <c r="J774" i="6"/>
  <c r="K774" i="6"/>
  <c r="L774" i="6"/>
  <c r="M774" i="6"/>
  <c r="N774" i="6"/>
  <c r="O774" i="6"/>
  <c r="P774" i="6"/>
  <c r="Q774" i="6"/>
  <c r="R774" i="6"/>
  <c r="S774" i="6"/>
  <c r="T774" i="6"/>
  <c r="U774" i="6"/>
  <c r="B775" i="6"/>
  <c r="C775" i="6"/>
  <c r="D775" i="6"/>
  <c r="E775" i="6"/>
  <c r="F775" i="6"/>
  <c r="G775" i="6"/>
  <c r="H775" i="6"/>
  <c r="I775" i="6"/>
  <c r="J775" i="6"/>
  <c r="K775" i="6"/>
  <c r="L775" i="6"/>
  <c r="M775" i="6"/>
  <c r="N775" i="6"/>
  <c r="O775" i="6"/>
  <c r="P775" i="6"/>
  <c r="Q775" i="6"/>
  <c r="R775" i="6"/>
  <c r="S775" i="6"/>
  <c r="T775" i="6"/>
  <c r="U775" i="6"/>
  <c r="B776" i="6"/>
  <c r="C776" i="6"/>
  <c r="D776" i="6"/>
  <c r="E776" i="6"/>
  <c r="F776" i="6"/>
  <c r="G776" i="6"/>
  <c r="H776" i="6"/>
  <c r="I776" i="6"/>
  <c r="J776" i="6"/>
  <c r="K776" i="6"/>
  <c r="L776" i="6"/>
  <c r="M776" i="6"/>
  <c r="N776" i="6"/>
  <c r="O776" i="6"/>
  <c r="P776" i="6"/>
  <c r="Q776" i="6"/>
  <c r="R776" i="6"/>
  <c r="S776" i="6"/>
  <c r="T776" i="6"/>
  <c r="U776" i="6"/>
  <c r="B777" i="6"/>
  <c r="C777" i="6"/>
  <c r="D777" i="6"/>
  <c r="E777" i="6"/>
  <c r="F777" i="6"/>
  <c r="G777" i="6"/>
  <c r="H777" i="6"/>
  <c r="I777" i="6"/>
  <c r="J777" i="6"/>
  <c r="K777" i="6"/>
  <c r="L777" i="6"/>
  <c r="M777" i="6"/>
  <c r="N777" i="6"/>
  <c r="O777" i="6"/>
  <c r="P777" i="6"/>
  <c r="Q777" i="6"/>
  <c r="R777" i="6"/>
  <c r="S777" i="6"/>
  <c r="T777" i="6"/>
  <c r="U777" i="6"/>
  <c r="B778" i="6"/>
  <c r="C778" i="6"/>
  <c r="D778" i="6"/>
  <c r="E778" i="6"/>
  <c r="F778" i="6"/>
  <c r="G778" i="6"/>
  <c r="H778" i="6"/>
  <c r="I778" i="6"/>
  <c r="J778" i="6"/>
  <c r="K778" i="6"/>
  <c r="L778" i="6"/>
  <c r="M778" i="6"/>
  <c r="N778" i="6"/>
  <c r="O778" i="6"/>
  <c r="P778" i="6"/>
  <c r="Q778" i="6"/>
  <c r="R778" i="6"/>
  <c r="S778" i="6"/>
  <c r="T778" i="6"/>
  <c r="U778" i="6"/>
  <c r="B779" i="6"/>
  <c r="C779" i="6"/>
  <c r="D779" i="6"/>
  <c r="E779" i="6"/>
  <c r="F779" i="6"/>
  <c r="G779" i="6"/>
  <c r="H779" i="6"/>
  <c r="I779" i="6"/>
  <c r="J779" i="6"/>
  <c r="K779" i="6"/>
  <c r="L779" i="6"/>
  <c r="M779" i="6"/>
  <c r="N779" i="6"/>
  <c r="O779" i="6"/>
  <c r="P779" i="6"/>
  <c r="Q779" i="6"/>
  <c r="R779" i="6"/>
  <c r="S779" i="6"/>
  <c r="T779" i="6"/>
  <c r="U779" i="6"/>
  <c r="B780" i="6"/>
  <c r="C780" i="6"/>
  <c r="D780" i="6"/>
  <c r="E780" i="6"/>
  <c r="F780" i="6"/>
  <c r="G780" i="6"/>
  <c r="H780" i="6"/>
  <c r="I780" i="6"/>
  <c r="J780" i="6"/>
  <c r="K780" i="6"/>
  <c r="L780" i="6"/>
  <c r="M780" i="6"/>
  <c r="N780" i="6"/>
  <c r="O780" i="6"/>
  <c r="P780" i="6"/>
  <c r="Q780" i="6"/>
  <c r="R780" i="6"/>
  <c r="S780" i="6"/>
  <c r="T780" i="6"/>
  <c r="U780" i="6"/>
  <c r="B781" i="6"/>
  <c r="C781" i="6"/>
  <c r="D781" i="6"/>
  <c r="E781" i="6"/>
  <c r="F781" i="6"/>
  <c r="G781" i="6"/>
  <c r="H781" i="6"/>
  <c r="I781" i="6"/>
  <c r="J781" i="6"/>
  <c r="K781" i="6"/>
  <c r="L781" i="6"/>
  <c r="M781" i="6"/>
  <c r="N781" i="6"/>
  <c r="O781" i="6"/>
  <c r="P781" i="6"/>
  <c r="Q781" i="6"/>
  <c r="R781" i="6"/>
  <c r="S781" i="6"/>
  <c r="T781" i="6"/>
  <c r="U781" i="6"/>
  <c r="B782" i="6"/>
  <c r="C782" i="6"/>
  <c r="D782" i="6"/>
  <c r="E782" i="6"/>
  <c r="F782" i="6"/>
  <c r="G782" i="6"/>
  <c r="H782" i="6"/>
  <c r="I782" i="6"/>
  <c r="J782" i="6"/>
  <c r="K782" i="6"/>
  <c r="L782" i="6"/>
  <c r="M782" i="6"/>
  <c r="N782" i="6"/>
  <c r="O782" i="6"/>
  <c r="P782" i="6"/>
  <c r="Q782" i="6"/>
  <c r="R782" i="6"/>
  <c r="S782" i="6"/>
  <c r="T782" i="6"/>
  <c r="U782" i="6"/>
  <c r="B783" i="6"/>
  <c r="C783" i="6"/>
  <c r="D783" i="6"/>
  <c r="E783" i="6"/>
  <c r="F783" i="6"/>
  <c r="G783" i="6"/>
  <c r="H783" i="6"/>
  <c r="I783" i="6"/>
  <c r="J783" i="6"/>
  <c r="K783" i="6"/>
  <c r="L783" i="6"/>
  <c r="M783" i="6"/>
  <c r="N783" i="6"/>
  <c r="O783" i="6"/>
  <c r="P783" i="6"/>
  <c r="Q783" i="6"/>
  <c r="R783" i="6"/>
  <c r="S783" i="6"/>
  <c r="T783" i="6"/>
  <c r="U783" i="6"/>
  <c r="B785" i="6"/>
  <c r="C785" i="6"/>
  <c r="D785" i="6"/>
  <c r="E785" i="6"/>
  <c r="F785" i="6"/>
  <c r="G785" i="6"/>
  <c r="H785" i="6"/>
  <c r="I785" i="6"/>
  <c r="J785" i="6"/>
  <c r="K785" i="6"/>
  <c r="L785" i="6"/>
  <c r="M785" i="6"/>
  <c r="N785" i="6"/>
  <c r="O785" i="6"/>
  <c r="P785" i="6"/>
  <c r="Q785" i="6"/>
  <c r="R785" i="6"/>
  <c r="S785" i="6"/>
  <c r="T785" i="6"/>
  <c r="U785" i="6"/>
  <c r="B787" i="6"/>
  <c r="C787" i="6"/>
  <c r="D787" i="6"/>
  <c r="E787" i="6"/>
  <c r="F787" i="6"/>
  <c r="G787" i="6"/>
  <c r="H787" i="6"/>
  <c r="I787" i="6"/>
  <c r="J787" i="6"/>
  <c r="K787" i="6"/>
  <c r="L787" i="6"/>
  <c r="M787" i="6"/>
  <c r="N787" i="6"/>
  <c r="O787" i="6"/>
  <c r="P787" i="6"/>
  <c r="Q787" i="6"/>
  <c r="R787" i="6"/>
  <c r="S787" i="6"/>
  <c r="T787" i="6"/>
  <c r="U787" i="6"/>
  <c r="B786" i="6"/>
  <c r="C786" i="6"/>
  <c r="D786" i="6"/>
  <c r="E786" i="6"/>
  <c r="F786" i="6"/>
  <c r="G786" i="6"/>
  <c r="H786" i="6"/>
  <c r="I786" i="6"/>
  <c r="J786" i="6"/>
  <c r="K786" i="6"/>
  <c r="L786" i="6"/>
  <c r="M786" i="6"/>
  <c r="N786" i="6"/>
  <c r="O786" i="6"/>
  <c r="P786" i="6"/>
  <c r="Q786" i="6"/>
  <c r="R786" i="6"/>
  <c r="S786" i="6"/>
  <c r="T786" i="6"/>
  <c r="U786" i="6"/>
  <c r="B789" i="6"/>
  <c r="C789" i="6"/>
  <c r="D789" i="6"/>
  <c r="E789" i="6"/>
  <c r="F789" i="6"/>
  <c r="G789" i="6"/>
  <c r="H789" i="6"/>
  <c r="I789" i="6"/>
  <c r="J789" i="6"/>
  <c r="K789" i="6"/>
  <c r="L789" i="6"/>
  <c r="M789" i="6"/>
  <c r="N789" i="6"/>
  <c r="O789" i="6"/>
  <c r="P789" i="6"/>
  <c r="Q789" i="6"/>
  <c r="R789" i="6"/>
  <c r="S789" i="6"/>
  <c r="T789" i="6"/>
  <c r="U789" i="6"/>
  <c r="B788" i="6"/>
  <c r="C788" i="6"/>
  <c r="D788" i="6"/>
  <c r="E788" i="6"/>
  <c r="F788" i="6"/>
  <c r="G788" i="6"/>
  <c r="H788" i="6"/>
  <c r="I788" i="6"/>
  <c r="J788" i="6"/>
  <c r="K788" i="6"/>
  <c r="L788" i="6"/>
  <c r="M788" i="6"/>
  <c r="N788" i="6"/>
  <c r="O788" i="6"/>
  <c r="P788" i="6"/>
  <c r="Q788" i="6"/>
  <c r="R788" i="6"/>
  <c r="S788" i="6"/>
  <c r="T788" i="6"/>
  <c r="U788" i="6"/>
  <c r="B791" i="6"/>
  <c r="C791" i="6"/>
  <c r="D791" i="6"/>
  <c r="E791" i="6"/>
  <c r="F791" i="6"/>
  <c r="G791" i="6"/>
  <c r="H791" i="6"/>
  <c r="I791" i="6"/>
  <c r="J791" i="6"/>
  <c r="K791" i="6"/>
  <c r="L791" i="6"/>
  <c r="M791" i="6"/>
  <c r="N791" i="6"/>
  <c r="O791" i="6"/>
  <c r="P791" i="6"/>
  <c r="Q791" i="6"/>
  <c r="R791" i="6"/>
  <c r="S791" i="6"/>
  <c r="T791" i="6"/>
  <c r="U791" i="6"/>
  <c r="B790" i="6"/>
  <c r="C790" i="6"/>
  <c r="D790" i="6"/>
  <c r="E790" i="6"/>
  <c r="F790" i="6"/>
  <c r="G790" i="6"/>
  <c r="H790" i="6"/>
  <c r="I790" i="6"/>
  <c r="J790" i="6"/>
  <c r="K790" i="6"/>
  <c r="L790" i="6"/>
  <c r="M790" i="6"/>
  <c r="N790" i="6"/>
  <c r="O790" i="6"/>
  <c r="P790" i="6"/>
  <c r="Q790" i="6"/>
  <c r="R790" i="6"/>
  <c r="S790" i="6"/>
  <c r="T790" i="6"/>
  <c r="U790" i="6"/>
  <c r="B793" i="6"/>
  <c r="C793" i="6"/>
  <c r="D793" i="6"/>
  <c r="E793" i="6"/>
  <c r="F793" i="6"/>
  <c r="G793" i="6"/>
  <c r="H793" i="6"/>
  <c r="I793" i="6"/>
  <c r="J793" i="6"/>
  <c r="K793" i="6"/>
  <c r="L793" i="6"/>
  <c r="M793" i="6"/>
  <c r="N793" i="6"/>
  <c r="O793" i="6"/>
  <c r="P793" i="6"/>
  <c r="Q793" i="6"/>
  <c r="R793" i="6"/>
  <c r="S793" i="6"/>
  <c r="T793" i="6"/>
  <c r="U793" i="6"/>
  <c r="B792" i="6"/>
  <c r="C792" i="6"/>
  <c r="D792" i="6"/>
  <c r="E792" i="6"/>
  <c r="F792" i="6"/>
  <c r="G792" i="6"/>
  <c r="H792" i="6"/>
  <c r="I792" i="6"/>
  <c r="J792" i="6"/>
  <c r="K792" i="6"/>
  <c r="L792" i="6"/>
  <c r="M792" i="6"/>
  <c r="N792" i="6"/>
  <c r="O792" i="6"/>
  <c r="P792" i="6"/>
  <c r="Q792" i="6"/>
  <c r="R792" i="6"/>
  <c r="S792" i="6"/>
  <c r="T792" i="6"/>
  <c r="U792" i="6"/>
  <c r="B795" i="6"/>
  <c r="C795" i="6"/>
  <c r="D795" i="6"/>
  <c r="E795" i="6"/>
  <c r="F795" i="6"/>
  <c r="G795" i="6"/>
  <c r="H795" i="6"/>
  <c r="I795" i="6"/>
  <c r="J795" i="6"/>
  <c r="K795" i="6"/>
  <c r="L795" i="6"/>
  <c r="M795" i="6"/>
  <c r="N795" i="6"/>
  <c r="O795" i="6"/>
  <c r="P795" i="6"/>
  <c r="Q795" i="6"/>
  <c r="R795" i="6"/>
  <c r="S795" i="6"/>
  <c r="T795" i="6"/>
  <c r="U795" i="6"/>
  <c r="B794" i="6"/>
  <c r="C794" i="6"/>
  <c r="D794" i="6"/>
  <c r="E794" i="6"/>
  <c r="F794" i="6"/>
  <c r="G794" i="6"/>
  <c r="H794" i="6"/>
  <c r="I794" i="6"/>
  <c r="J794" i="6"/>
  <c r="K794" i="6"/>
  <c r="L794" i="6"/>
  <c r="M794" i="6"/>
  <c r="N794" i="6"/>
  <c r="O794" i="6"/>
  <c r="P794" i="6"/>
  <c r="Q794" i="6"/>
  <c r="R794" i="6"/>
  <c r="S794" i="6"/>
  <c r="T794" i="6"/>
  <c r="U794" i="6"/>
  <c r="B797" i="6"/>
  <c r="C797" i="6"/>
  <c r="D797" i="6"/>
  <c r="E797" i="6"/>
  <c r="F797" i="6"/>
  <c r="G797" i="6"/>
  <c r="H797" i="6"/>
  <c r="I797" i="6"/>
  <c r="J797" i="6"/>
  <c r="K797" i="6"/>
  <c r="L797" i="6"/>
  <c r="M797" i="6"/>
  <c r="N797" i="6"/>
  <c r="O797" i="6"/>
  <c r="P797" i="6"/>
  <c r="Q797" i="6"/>
  <c r="R797" i="6"/>
  <c r="S797" i="6"/>
  <c r="T797" i="6"/>
  <c r="U797" i="6"/>
  <c r="B796" i="6"/>
  <c r="C796" i="6"/>
  <c r="D796" i="6"/>
  <c r="E796" i="6"/>
  <c r="F796" i="6"/>
  <c r="G796" i="6"/>
  <c r="H796" i="6"/>
  <c r="I796" i="6"/>
  <c r="J796" i="6"/>
  <c r="K796" i="6"/>
  <c r="L796" i="6"/>
  <c r="M796" i="6"/>
  <c r="N796" i="6"/>
  <c r="O796" i="6"/>
  <c r="P796" i="6"/>
  <c r="Q796" i="6"/>
  <c r="R796" i="6"/>
  <c r="S796" i="6"/>
  <c r="T796" i="6"/>
  <c r="U796" i="6"/>
  <c r="B799" i="6"/>
  <c r="C799" i="6"/>
  <c r="D799" i="6"/>
  <c r="E799" i="6"/>
  <c r="F799" i="6"/>
  <c r="G799" i="6"/>
  <c r="H799" i="6"/>
  <c r="I799" i="6"/>
  <c r="J799" i="6"/>
  <c r="K799" i="6"/>
  <c r="L799" i="6"/>
  <c r="M799" i="6"/>
  <c r="N799" i="6"/>
  <c r="O799" i="6"/>
  <c r="P799" i="6"/>
  <c r="Q799" i="6"/>
  <c r="R799" i="6"/>
  <c r="S799" i="6"/>
  <c r="T799" i="6"/>
  <c r="U799" i="6"/>
  <c r="B798" i="6"/>
  <c r="C798" i="6"/>
  <c r="D798" i="6"/>
  <c r="E798" i="6"/>
  <c r="F798" i="6"/>
  <c r="G798" i="6"/>
  <c r="H798" i="6"/>
  <c r="I798" i="6"/>
  <c r="J798" i="6"/>
  <c r="K798" i="6"/>
  <c r="L798" i="6"/>
  <c r="M798" i="6"/>
  <c r="N798" i="6"/>
  <c r="O798" i="6"/>
  <c r="P798" i="6"/>
  <c r="Q798" i="6"/>
  <c r="R798" i="6"/>
  <c r="S798" i="6"/>
  <c r="T798" i="6"/>
  <c r="U798" i="6"/>
  <c r="B801" i="6"/>
  <c r="C801" i="6"/>
  <c r="D801" i="6"/>
  <c r="E801" i="6"/>
  <c r="F801" i="6"/>
  <c r="G801" i="6"/>
  <c r="H801" i="6"/>
  <c r="I801" i="6"/>
  <c r="J801" i="6"/>
  <c r="K801" i="6"/>
  <c r="L801" i="6"/>
  <c r="M801" i="6"/>
  <c r="N801" i="6"/>
  <c r="O801" i="6"/>
  <c r="P801" i="6"/>
  <c r="Q801" i="6"/>
  <c r="R801" i="6"/>
  <c r="S801" i="6"/>
  <c r="T801" i="6"/>
  <c r="U801" i="6"/>
  <c r="B800" i="6"/>
  <c r="C800" i="6"/>
  <c r="D800" i="6"/>
  <c r="E800" i="6"/>
  <c r="F800" i="6"/>
  <c r="G800" i="6"/>
  <c r="H800" i="6"/>
  <c r="I800" i="6"/>
  <c r="J800" i="6"/>
  <c r="K800" i="6"/>
  <c r="L800" i="6"/>
  <c r="M800" i="6"/>
  <c r="N800" i="6"/>
  <c r="O800" i="6"/>
  <c r="P800" i="6"/>
  <c r="Q800" i="6"/>
  <c r="R800" i="6"/>
  <c r="S800" i="6"/>
  <c r="T800" i="6"/>
  <c r="U800" i="6"/>
  <c r="B803" i="6"/>
  <c r="C803" i="6"/>
  <c r="D803" i="6"/>
  <c r="E803" i="6"/>
  <c r="F803" i="6"/>
  <c r="G803" i="6"/>
  <c r="H803" i="6"/>
  <c r="I803" i="6"/>
  <c r="J803" i="6"/>
  <c r="K803" i="6"/>
  <c r="L803" i="6"/>
  <c r="M803" i="6"/>
  <c r="N803" i="6"/>
  <c r="O803" i="6"/>
  <c r="P803" i="6"/>
  <c r="Q803" i="6"/>
  <c r="R803" i="6"/>
  <c r="S803" i="6"/>
  <c r="T803" i="6"/>
  <c r="U803" i="6"/>
  <c r="B802" i="6"/>
  <c r="C802" i="6"/>
  <c r="D802" i="6"/>
  <c r="E802" i="6"/>
  <c r="F802" i="6"/>
  <c r="G802" i="6"/>
  <c r="H802" i="6"/>
  <c r="I802" i="6"/>
  <c r="J802" i="6"/>
  <c r="K802" i="6"/>
  <c r="L802" i="6"/>
  <c r="M802" i="6"/>
  <c r="N802" i="6"/>
  <c r="O802" i="6"/>
  <c r="P802" i="6"/>
  <c r="Q802" i="6"/>
  <c r="R802" i="6"/>
  <c r="S802" i="6"/>
  <c r="T802" i="6"/>
  <c r="U802" i="6"/>
  <c r="B805" i="6"/>
  <c r="C805" i="6"/>
  <c r="D805" i="6"/>
  <c r="E805" i="6"/>
  <c r="F805" i="6"/>
  <c r="G805" i="6"/>
  <c r="H805" i="6"/>
  <c r="I805" i="6"/>
  <c r="J805" i="6"/>
  <c r="K805" i="6"/>
  <c r="L805" i="6"/>
  <c r="M805" i="6"/>
  <c r="N805" i="6"/>
  <c r="O805" i="6"/>
  <c r="P805" i="6"/>
  <c r="Q805" i="6"/>
  <c r="R805" i="6"/>
  <c r="S805" i="6"/>
  <c r="T805" i="6"/>
  <c r="U805" i="6"/>
  <c r="B804" i="6"/>
  <c r="C804" i="6"/>
  <c r="D804" i="6"/>
  <c r="E804" i="6"/>
  <c r="F804" i="6"/>
  <c r="G804" i="6"/>
  <c r="H804" i="6"/>
  <c r="I804" i="6"/>
  <c r="J804" i="6"/>
  <c r="K804" i="6"/>
  <c r="L804" i="6"/>
  <c r="M804" i="6"/>
  <c r="N804" i="6"/>
  <c r="O804" i="6"/>
  <c r="P804" i="6"/>
  <c r="Q804" i="6"/>
  <c r="R804" i="6"/>
  <c r="S804" i="6"/>
  <c r="T804" i="6"/>
  <c r="U804" i="6"/>
  <c r="B807" i="6"/>
  <c r="C807" i="6"/>
  <c r="D807" i="6"/>
  <c r="E807" i="6"/>
  <c r="F807" i="6"/>
  <c r="G807" i="6"/>
  <c r="H807" i="6"/>
  <c r="I807" i="6"/>
  <c r="J807" i="6"/>
  <c r="K807" i="6"/>
  <c r="L807" i="6"/>
  <c r="M807" i="6"/>
  <c r="N807" i="6"/>
  <c r="O807" i="6"/>
  <c r="P807" i="6"/>
  <c r="Q807" i="6"/>
  <c r="R807" i="6"/>
  <c r="S807" i="6"/>
  <c r="T807" i="6"/>
  <c r="U807" i="6"/>
  <c r="B806" i="6"/>
  <c r="C806" i="6"/>
  <c r="D806" i="6"/>
  <c r="E806" i="6"/>
  <c r="F806" i="6"/>
  <c r="G806" i="6"/>
  <c r="H806" i="6"/>
  <c r="I806" i="6"/>
  <c r="J806" i="6"/>
  <c r="K806" i="6"/>
  <c r="L806" i="6"/>
  <c r="M806" i="6"/>
  <c r="N806" i="6"/>
  <c r="O806" i="6"/>
  <c r="P806" i="6"/>
  <c r="Q806" i="6"/>
  <c r="R806" i="6"/>
  <c r="S806" i="6"/>
  <c r="T806" i="6"/>
  <c r="U806" i="6"/>
  <c r="B809" i="6"/>
  <c r="C809" i="6"/>
  <c r="D809" i="6"/>
  <c r="E809" i="6"/>
  <c r="F809" i="6"/>
  <c r="G809" i="6"/>
  <c r="H809" i="6"/>
  <c r="I809" i="6"/>
  <c r="J809" i="6"/>
  <c r="K809" i="6"/>
  <c r="L809" i="6"/>
  <c r="M809" i="6"/>
  <c r="N809" i="6"/>
  <c r="O809" i="6"/>
  <c r="P809" i="6"/>
  <c r="Q809" i="6"/>
  <c r="R809" i="6"/>
  <c r="S809" i="6"/>
  <c r="T809" i="6"/>
  <c r="U809" i="6"/>
  <c r="B808" i="6"/>
  <c r="C808" i="6"/>
  <c r="D808" i="6"/>
  <c r="E808" i="6"/>
  <c r="F808" i="6"/>
  <c r="G808" i="6"/>
  <c r="H808" i="6"/>
  <c r="I808" i="6"/>
  <c r="J808" i="6"/>
  <c r="K808" i="6"/>
  <c r="L808" i="6"/>
  <c r="M808" i="6"/>
  <c r="N808" i="6"/>
  <c r="O808" i="6"/>
  <c r="P808" i="6"/>
  <c r="Q808" i="6"/>
  <c r="R808" i="6"/>
  <c r="S808" i="6"/>
  <c r="T808" i="6"/>
  <c r="U808" i="6"/>
  <c r="B811" i="6"/>
  <c r="C811" i="6"/>
  <c r="D811" i="6"/>
  <c r="E811" i="6"/>
  <c r="F811" i="6"/>
  <c r="G811" i="6"/>
  <c r="H811" i="6"/>
  <c r="I811" i="6"/>
  <c r="J811" i="6"/>
  <c r="K811" i="6"/>
  <c r="L811" i="6"/>
  <c r="M811" i="6"/>
  <c r="N811" i="6"/>
  <c r="O811" i="6"/>
  <c r="P811" i="6"/>
  <c r="Q811" i="6"/>
  <c r="R811" i="6"/>
  <c r="S811" i="6"/>
  <c r="T811" i="6"/>
  <c r="U811" i="6"/>
  <c r="B810" i="6"/>
  <c r="C810" i="6"/>
  <c r="D810" i="6"/>
  <c r="E810" i="6"/>
  <c r="F810" i="6"/>
  <c r="G810" i="6"/>
  <c r="H810" i="6"/>
  <c r="I810" i="6"/>
  <c r="J810" i="6"/>
  <c r="K810" i="6"/>
  <c r="L810" i="6"/>
  <c r="M810" i="6"/>
  <c r="N810" i="6"/>
  <c r="O810" i="6"/>
  <c r="P810" i="6"/>
  <c r="Q810" i="6"/>
  <c r="R810" i="6"/>
  <c r="S810" i="6"/>
  <c r="T810" i="6"/>
  <c r="U810" i="6"/>
  <c r="B813" i="6"/>
  <c r="C813" i="6"/>
  <c r="D813" i="6"/>
  <c r="E813" i="6"/>
  <c r="F813" i="6"/>
  <c r="G813" i="6"/>
  <c r="H813" i="6"/>
  <c r="I813" i="6"/>
  <c r="J813" i="6"/>
  <c r="K813" i="6"/>
  <c r="L813" i="6"/>
  <c r="M813" i="6"/>
  <c r="N813" i="6"/>
  <c r="O813" i="6"/>
  <c r="P813" i="6"/>
  <c r="Q813" i="6"/>
  <c r="R813" i="6"/>
  <c r="S813" i="6"/>
  <c r="T813" i="6"/>
  <c r="U813" i="6"/>
  <c r="B812" i="6"/>
  <c r="C812" i="6"/>
  <c r="D812" i="6"/>
  <c r="E812" i="6"/>
  <c r="F812" i="6"/>
  <c r="G812" i="6"/>
  <c r="H812" i="6"/>
  <c r="I812" i="6"/>
  <c r="J812" i="6"/>
  <c r="K812" i="6"/>
  <c r="L812" i="6"/>
  <c r="M812" i="6"/>
  <c r="N812" i="6"/>
  <c r="O812" i="6"/>
  <c r="P812" i="6"/>
  <c r="Q812" i="6"/>
  <c r="R812" i="6"/>
  <c r="S812" i="6"/>
  <c r="T812" i="6"/>
  <c r="U812" i="6"/>
  <c r="B815" i="6"/>
  <c r="C815" i="6"/>
  <c r="D815" i="6"/>
  <c r="E815" i="6"/>
  <c r="F815" i="6"/>
  <c r="G815" i="6"/>
  <c r="H815" i="6"/>
  <c r="I815" i="6"/>
  <c r="J815" i="6"/>
  <c r="K815" i="6"/>
  <c r="L815" i="6"/>
  <c r="M815" i="6"/>
  <c r="N815" i="6"/>
  <c r="O815" i="6"/>
  <c r="P815" i="6"/>
  <c r="Q815" i="6"/>
  <c r="R815" i="6"/>
  <c r="S815" i="6"/>
  <c r="T815" i="6"/>
  <c r="U815" i="6"/>
  <c r="B814" i="6"/>
  <c r="C814" i="6"/>
  <c r="D814" i="6"/>
  <c r="E814" i="6"/>
  <c r="F814" i="6"/>
  <c r="G814" i="6"/>
  <c r="H814" i="6"/>
  <c r="I814" i="6"/>
  <c r="J814" i="6"/>
  <c r="K814" i="6"/>
  <c r="L814" i="6"/>
  <c r="M814" i="6"/>
  <c r="N814" i="6"/>
  <c r="O814" i="6"/>
  <c r="P814" i="6"/>
  <c r="Q814" i="6"/>
  <c r="R814" i="6"/>
  <c r="S814" i="6"/>
  <c r="T814" i="6"/>
  <c r="U814" i="6"/>
  <c r="B817" i="6"/>
  <c r="C817" i="6"/>
  <c r="D817" i="6"/>
  <c r="E817" i="6"/>
  <c r="F817" i="6"/>
  <c r="G817" i="6"/>
  <c r="H817" i="6"/>
  <c r="I817" i="6"/>
  <c r="J817" i="6"/>
  <c r="K817" i="6"/>
  <c r="L817" i="6"/>
  <c r="M817" i="6"/>
  <c r="N817" i="6"/>
  <c r="O817" i="6"/>
  <c r="P817" i="6"/>
  <c r="Q817" i="6"/>
  <c r="R817" i="6"/>
  <c r="S817" i="6"/>
  <c r="T817" i="6"/>
  <c r="U817" i="6"/>
  <c r="B816" i="6"/>
  <c r="C816" i="6"/>
  <c r="D816" i="6"/>
  <c r="E816" i="6"/>
  <c r="F816" i="6"/>
  <c r="G816" i="6"/>
  <c r="H816" i="6"/>
  <c r="I816" i="6"/>
  <c r="J816" i="6"/>
  <c r="K816" i="6"/>
  <c r="L816" i="6"/>
  <c r="M816" i="6"/>
  <c r="N816" i="6"/>
  <c r="O816" i="6"/>
  <c r="P816" i="6"/>
  <c r="Q816" i="6"/>
  <c r="R816" i="6"/>
  <c r="S816" i="6"/>
  <c r="T816" i="6"/>
  <c r="U816" i="6"/>
  <c r="B819" i="6"/>
  <c r="C819" i="6"/>
  <c r="D819" i="6"/>
  <c r="E819" i="6"/>
  <c r="F819" i="6"/>
  <c r="G819" i="6"/>
  <c r="H819" i="6"/>
  <c r="I819" i="6"/>
  <c r="J819" i="6"/>
  <c r="K819" i="6"/>
  <c r="L819" i="6"/>
  <c r="M819" i="6"/>
  <c r="N819" i="6"/>
  <c r="O819" i="6"/>
  <c r="P819" i="6"/>
  <c r="Q819" i="6"/>
  <c r="R819" i="6"/>
  <c r="S819" i="6"/>
  <c r="T819" i="6"/>
  <c r="U819" i="6"/>
  <c r="B818" i="6"/>
  <c r="C818" i="6"/>
  <c r="D818" i="6"/>
  <c r="E818" i="6"/>
  <c r="F818" i="6"/>
  <c r="G818" i="6"/>
  <c r="H818" i="6"/>
  <c r="I818" i="6"/>
  <c r="J818" i="6"/>
  <c r="K818" i="6"/>
  <c r="L818" i="6"/>
  <c r="M818" i="6"/>
  <c r="N818" i="6"/>
  <c r="O818" i="6"/>
  <c r="P818" i="6"/>
  <c r="Q818" i="6"/>
  <c r="R818" i="6"/>
  <c r="S818" i="6"/>
  <c r="T818" i="6"/>
  <c r="U818" i="6"/>
  <c r="B821" i="6"/>
  <c r="C821" i="6"/>
  <c r="D821" i="6"/>
  <c r="E821" i="6"/>
  <c r="F821" i="6"/>
  <c r="G821" i="6"/>
  <c r="H821" i="6"/>
  <c r="I821" i="6"/>
  <c r="J821" i="6"/>
  <c r="K821" i="6"/>
  <c r="L821" i="6"/>
  <c r="M821" i="6"/>
  <c r="N821" i="6"/>
  <c r="O821" i="6"/>
  <c r="P821" i="6"/>
  <c r="Q821" i="6"/>
  <c r="R821" i="6"/>
  <c r="S821" i="6"/>
  <c r="T821" i="6"/>
  <c r="U821" i="6"/>
  <c r="B820" i="6"/>
  <c r="C820" i="6"/>
  <c r="D820" i="6"/>
  <c r="E820" i="6"/>
  <c r="F820" i="6"/>
  <c r="G820" i="6"/>
  <c r="H820" i="6"/>
  <c r="I820" i="6"/>
  <c r="J820" i="6"/>
  <c r="K820" i="6"/>
  <c r="L820" i="6"/>
  <c r="M820" i="6"/>
  <c r="N820" i="6"/>
  <c r="O820" i="6"/>
  <c r="P820" i="6"/>
  <c r="Q820" i="6"/>
  <c r="R820" i="6"/>
  <c r="S820" i="6"/>
  <c r="T820" i="6"/>
  <c r="U820" i="6"/>
  <c r="B823" i="6"/>
  <c r="C823" i="6"/>
  <c r="D823" i="6"/>
  <c r="E823" i="6"/>
  <c r="F823" i="6"/>
  <c r="G823" i="6"/>
  <c r="H823" i="6"/>
  <c r="I823" i="6"/>
  <c r="J823" i="6"/>
  <c r="K823" i="6"/>
  <c r="L823" i="6"/>
  <c r="M823" i="6"/>
  <c r="N823" i="6"/>
  <c r="O823" i="6"/>
  <c r="P823" i="6"/>
  <c r="Q823" i="6"/>
  <c r="R823" i="6"/>
  <c r="S823" i="6"/>
  <c r="T823" i="6"/>
  <c r="U823" i="6"/>
  <c r="B822" i="6"/>
  <c r="C822" i="6"/>
  <c r="D822" i="6"/>
  <c r="E822" i="6"/>
  <c r="F822" i="6"/>
  <c r="G822" i="6"/>
  <c r="H822" i="6"/>
  <c r="I822" i="6"/>
  <c r="J822" i="6"/>
  <c r="K822" i="6"/>
  <c r="L822" i="6"/>
  <c r="M822" i="6"/>
  <c r="N822" i="6"/>
  <c r="O822" i="6"/>
  <c r="P822" i="6"/>
  <c r="Q822" i="6"/>
  <c r="R822" i="6"/>
  <c r="S822" i="6"/>
  <c r="T822" i="6"/>
  <c r="U822" i="6"/>
  <c r="B825" i="6"/>
  <c r="C825" i="6"/>
  <c r="D825" i="6"/>
  <c r="E825" i="6"/>
  <c r="F825" i="6"/>
  <c r="G825" i="6"/>
  <c r="H825" i="6"/>
  <c r="I825" i="6"/>
  <c r="J825" i="6"/>
  <c r="K825" i="6"/>
  <c r="L825" i="6"/>
  <c r="M825" i="6"/>
  <c r="N825" i="6"/>
  <c r="O825" i="6"/>
  <c r="P825" i="6"/>
  <c r="Q825" i="6"/>
  <c r="R825" i="6"/>
  <c r="S825" i="6"/>
  <c r="T825" i="6"/>
  <c r="U825" i="6"/>
  <c r="B824" i="6"/>
  <c r="C824" i="6"/>
  <c r="D824" i="6"/>
  <c r="E824" i="6"/>
  <c r="F824" i="6"/>
  <c r="G824" i="6"/>
  <c r="H824" i="6"/>
  <c r="I824" i="6"/>
  <c r="J824" i="6"/>
  <c r="K824" i="6"/>
  <c r="L824" i="6"/>
  <c r="M824" i="6"/>
  <c r="N824" i="6"/>
  <c r="O824" i="6"/>
  <c r="P824" i="6"/>
  <c r="Q824" i="6"/>
  <c r="R824" i="6"/>
  <c r="S824" i="6"/>
  <c r="T824" i="6"/>
  <c r="U824" i="6"/>
  <c r="B827" i="6"/>
  <c r="C827" i="6"/>
  <c r="D827" i="6"/>
  <c r="E827" i="6"/>
  <c r="F827" i="6"/>
  <c r="G827" i="6"/>
  <c r="H827" i="6"/>
  <c r="I827" i="6"/>
  <c r="J827" i="6"/>
  <c r="K827" i="6"/>
  <c r="L827" i="6"/>
  <c r="M827" i="6"/>
  <c r="N827" i="6"/>
  <c r="O827" i="6"/>
  <c r="P827" i="6"/>
  <c r="Q827" i="6"/>
  <c r="R827" i="6"/>
  <c r="S827" i="6"/>
  <c r="T827" i="6"/>
  <c r="U827" i="6"/>
  <c r="B826" i="6"/>
  <c r="C826" i="6"/>
  <c r="D826" i="6"/>
  <c r="E826" i="6"/>
  <c r="F826" i="6"/>
  <c r="G826" i="6"/>
  <c r="H826" i="6"/>
  <c r="I826" i="6"/>
  <c r="J826" i="6"/>
  <c r="K826" i="6"/>
  <c r="L826" i="6"/>
  <c r="M826" i="6"/>
  <c r="N826" i="6"/>
  <c r="O826" i="6"/>
  <c r="P826" i="6"/>
  <c r="Q826" i="6"/>
  <c r="R826" i="6"/>
  <c r="S826" i="6"/>
  <c r="T826" i="6"/>
  <c r="U826" i="6"/>
  <c r="B829" i="6"/>
  <c r="C829" i="6"/>
  <c r="D829" i="6"/>
  <c r="E829" i="6"/>
  <c r="F829" i="6"/>
  <c r="G829" i="6"/>
  <c r="H829" i="6"/>
  <c r="I829" i="6"/>
  <c r="J829" i="6"/>
  <c r="K829" i="6"/>
  <c r="L829" i="6"/>
  <c r="M829" i="6"/>
  <c r="N829" i="6"/>
  <c r="O829" i="6"/>
  <c r="P829" i="6"/>
  <c r="Q829" i="6"/>
  <c r="R829" i="6"/>
  <c r="S829" i="6"/>
  <c r="T829" i="6"/>
  <c r="U829" i="6"/>
  <c r="B828" i="6"/>
  <c r="C828" i="6"/>
  <c r="D828" i="6"/>
  <c r="E828" i="6"/>
  <c r="F828" i="6"/>
  <c r="G828" i="6"/>
  <c r="H828" i="6"/>
  <c r="I828" i="6"/>
  <c r="J828" i="6"/>
  <c r="K828" i="6"/>
  <c r="L828" i="6"/>
  <c r="M828" i="6"/>
  <c r="N828" i="6"/>
  <c r="O828" i="6"/>
  <c r="P828" i="6"/>
  <c r="Q828" i="6"/>
  <c r="R828" i="6"/>
  <c r="S828" i="6"/>
  <c r="T828" i="6"/>
  <c r="U828" i="6"/>
  <c r="B831" i="6"/>
  <c r="C831" i="6"/>
  <c r="D831" i="6"/>
  <c r="E831" i="6"/>
  <c r="F831" i="6"/>
  <c r="G831" i="6"/>
  <c r="H831" i="6"/>
  <c r="I831" i="6"/>
  <c r="J831" i="6"/>
  <c r="K831" i="6"/>
  <c r="L831" i="6"/>
  <c r="M831" i="6"/>
  <c r="N831" i="6"/>
  <c r="O831" i="6"/>
  <c r="P831" i="6"/>
  <c r="Q831" i="6"/>
  <c r="R831" i="6"/>
  <c r="S831" i="6"/>
  <c r="T831" i="6"/>
  <c r="U831" i="6"/>
  <c r="B830" i="6"/>
  <c r="C830" i="6"/>
  <c r="D830" i="6"/>
  <c r="E830" i="6"/>
  <c r="F830" i="6"/>
  <c r="G830" i="6"/>
  <c r="H830" i="6"/>
  <c r="I830" i="6"/>
  <c r="J830" i="6"/>
  <c r="K830" i="6"/>
  <c r="L830" i="6"/>
  <c r="M830" i="6"/>
  <c r="N830" i="6"/>
  <c r="O830" i="6"/>
  <c r="P830" i="6"/>
  <c r="Q830" i="6"/>
  <c r="R830" i="6"/>
  <c r="S830" i="6"/>
  <c r="T830" i="6"/>
  <c r="U830" i="6"/>
  <c r="B833" i="6"/>
  <c r="C833" i="6"/>
  <c r="D833" i="6"/>
  <c r="E833" i="6"/>
  <c r="F833" i="6"/>
  <c r="G833" i="6"/>
  <c r="H833" i="6"/>
  <c r="I833" i="6"/>
  <c r="J833" i="6"/>
  <c r="K833" i="6"/>
  <c r="L833" i="6"/>
  <c r="M833" i="6"/>
  <c r="N833" i="6"/>
  <c r="O833" i="6"/>
  <c r="P833" i="6"/>
  <c r="Q833" i="6"/>
  <c r="R833" i="6"/>
  <c r="S833" i="6"/>
  <c r="T833" i="6"/>
  <c r="U833" i="6"/>
  <c r="B832" i="6"/>
  <c r="C832" i="6"/>
  <c r="D832" i="6"/>
  <c r="E832" i="6"/>
  <c r="F832" i="6"/>
  <c r="G832" i="6"/>
  <c r="H832" i="6"/>
  <c r="I832" i="6"/>
  <c r="J832" i="6"/>
  <c r="K832" i="6"/>
  <c r="L832" i="6"/>
  <c r="M832" i="6"/>
  <c r="N832" i="6"/>
  <c r="O832" i="6"/>
  <c r="P832" i="6"/>
  <c r="Q832" i="6"/>
  <c r="R832" i="6"/>
  <c r="S832" i="6"/>
  <c r="T832" i="6"/>
  <c r="U832" i="6"/>
  <c r="B834" i="6"/>
  <c r="C834" i="6"/>
  <c r="D834" i="6"/>
  <c r="E834" i="6"/>
  <c r="F834" i="6"/>
  <c r="G834" i="6"/>
  <c r="H834" i="6"/>
  <c r="I834" i="6"/>
  <c r="J834" i="6"/>
  <c r="K834" i="6"/>
  <c r="L834" i="6"/>
  <c r="M834" i="6"/>
  <c r="N834" i="6"/>
  <c r="O834" i="6"/>
  <c r="P834" i="6"/>
  <c r="Q834" i="6"/>
  <c r="R834" i="6"/>
  <c r="S834" i="6"/>
  <c r="T834" i="6"/>
  <c r="U834" i="6"/>
  <c r="B676" i="6"/>
  <c r="C676" i="6"/>
  <c r="D676" i="6"/>
  <c r="E676" i="6"/>
  <c r="F676" i="6"/>
  <c r="G676" i="6"/>
  <c r="H676" i="6"/>
  <c r="I676" i="6"/>
  <c r="J676" i="6"/>
  <c r="K676" i="6"/>
  <c r="L676" i="6"/>
  <c r="M676" i="6"/>
  <c r="N676" i="6"/>
  <c r="O676" i="6"/>
  <c r="P676" i="6"/>
  <c r="Q676" i="6"/>
  <c r="R676" i="6"/>
  <c r="S676" i="6"/>
  <c r="T676" i="6"/>
  <c r="U676" i="6"/>
  <c r="B836" i="6"/>
  <c r="C836" i="6"/>
  <c r="D836" i="6"/>
  <c r="E836" i="6"/>
  <c r="F836" i="6"/>
  <c r="G836" i="6"/>
  <c r="H836" i="6"/>
  <c r="I836" i="6"/>
  <c r="J836" i="6"/>
  <c r="K836" i="6"/>
  <c r="L836" i="6"/>
  <c r="M836" i="6"/>
  <c r="N836" i="6"/>
  <c r="O836" i="6"/>
  <c r="P836" i="6"/>
  <c r="Q836" i="6"/>
  <c r="R836" i="6"/>
  <c r="S836" i="6"/>
  <c r="T836" i="6"/>
  <c r="U836" i="6"/>
  <c r="B835" i="6"/>
  <c r="C835" i="6"/>
  <c r="D835" i="6"/>
  <c r="E835" i="6"/>
  <c r="F835" i="6"/>
  <c r="G835" i="6"/>
  <c r="H835" i="6"/>
  <c r="I835" i="6"/>
  <c r="J835" i="6"/>
  <c r="K835" i="6"/>
  <c r="L835" i="6"/>
  <c r="M835" i="6"/>
  <c r="N835" i="6"/>
  <c r="O835" i="6"/>
  <c r="P835" i="6"/>
  <c r="Q835" i="6"/>
  <c r="R835" i="6"/>
  <c r="S835" i="6"/>
  <c r="T835" i="6"/>
  <c r="U835" i="6"/>
  <c r="B838" i="6"/>
  <c r="C838" i="6"/>
  <c r="D838" i="6"/>
  <c r="E838" i="6"/>
  <c r="F838" i="6"/>
  <c r="G838" i="6"/>
  <c r="H838" i="6"/>
  <c r="I838" i="6"/>
  <c r="J838" i="6"/>
  <c r="K838" i="6"/>
  <c r="L838" i="6"/>
  <c r="M838" i="6"/>
  <c r="N838" i="6"/>
  <c r="O838" i="6"/>
  <c r="P838" i="6"/>
  <c r="Q838" i="6"/>
  <c r="R838" i="6"/>
  <c r="S838" i="6"/>
  <c r="T838" i="6"/>
  <c r="U838" i="6"/>
  <c r="B837" i="6"/>
  <c r="C837" i="6"/>
  <c r="D837" i="6"/>
  <c r="E837" i="6"/>
  <c r="F837" i="6"/>
  <c r="G837" i="6"/>
  <c r="H837" i="6"/>
  <c r="I837" i="6"/>
  <c r="J837" i="6"/>
  <c r="K837" i="6"/>
  <c r="L837" i="6"/>
  <c r="M837" i="6"/>
  <c r="N837" i="6"/>
  <c r="O837" i="6"/>
  <c r="P837" i="6"/>
  <c r="Q837" i="6"/>
  <c r="R837" i="6"/>
  <c r="S837" i="6"/>
  <c r="T837" i="6"/>
  <c r="U837" i="6"/>
  <c r="B840" i="6"/>
  <c r="C840" i="6"/>
  <c r="D840" i="6"/>
  <c r="E840" i="6"/>
  <c r="F840" i="6"/>
  <c r="G840" i="6"/>
  <c r="H840" i="6"/>
  <c r="I840" i="6"/>
  <c r="J840" i="6"/>
  <c r="K840" i="6"/>
  <c r="L840" i="6"/>
  <c r="M840" i="6"/>
  <c r="N840" i="6"/>
  <c r="O840" i="6"/>
  <c r="P840" i="6"/>
  <c r="Q840" i="6"/>
  <c r="R840" i="6"/>
  <c r="S840" i="6"/>
  <c r="T840" i="6"/>
  <c r="U840" i="6"/>
  <c r="B839" i="6"/>
  <c r="C839" i="6"/>
  <c r="D839" i="6"/>
  <c r="E839" i="6"/>
  <c r="F839" i="6"/>
  <c r="G839" i="6"/>
  <c r="H839" i="6"/>
  <c r="I839" i="6"/>
  <c r="J839" i="6"/>
  <c r="K839" i="6"/>
  <c r="L839" i="6"/>
  <c r="M839" i="6"/>
  <c r="N839" i="6"/>
  <c r="O839" i="6"/>
  <c r="P839" i="6"/>
  <c r="Q839" i="6"/>
  <c r="R839" i="6"/>
  <c r="S839" i="6"/>
  <c r="T839" i="6"/>
  <c r="U839" i="6"/>
  <c r="B842" i="6"/>
  <c r="C842" i="6"/>
  <c r="D842" i="6"/>
  <c r="E842" i="6"/>
  <c r="F842" i="6"/>
  <c r="G842" i="6"/>
  <c r="H842" i="6"/>
  <c r="I842" i="6"/>
  <c r="J842" i="6"/>
  <c r="K842" i="6"/>
  <c r="L842" i="6"/>
  <c r="M842" i="6"/>
  <c r="N842" i="6"/>
  <c r="O842" i="6"/>
  <c r="P842" i="6"/>
  <c r="Q842" i="6"/>
  <c r="R842" i="6"/>
  <c r="S842" i="6"/>
  <c r="T842" i="6"/>
  <c r="U842" i="6"/>
  <c r="B841" i="6"/>
  <c r="C841" i="6"/>
  <c r="D841" i="6"/>
  <c r="E841" i="6"/>
  <c r="F841" i="6"/>
  <c r="G841" i="6"/>
  <c r="H841" i="6"/>
  <c r="I841" i="6"/>
  <c r="J841" i="6"/>
  <c r="K841" i="6"/>
  <c r="L841" i="6"/>
  <c r="M841" i="6"/>
  <c r="N841" i="6"/>
  <c r="O841" i="6"/>
  <c r="P841" i="6"/>
  <c r="Q841" i="6"/>
  <c r="R841" i="6"/>
  <c r="S841" i="6"/>
  <c r="T841" i="6"/>
  <c r="U841" i="6"/>
  <c r="B844" i="6"/>
  <c r="C844" i="6"/>
  <c r="D844" i="6"/>
  <c r="E844" i="6"/>
  <c r="F844" i="6"/>
  <c r="G844" i="6"/>
  <c r="H844" i="6"/>
  <c r="I844" i="6"/>
  <c r="J844" i="6"/>
  <c r="K844" i="6"/>
  <c r="L844" i="6"/>
  <c r="M844" i="6"/>
  <c r="N844" i="6"/>
  <c r="O844" i="6"/>
  <c r="P844" i="6"/>
  <c r="Q844" i="6"/>
  <c r="R844" i="6"/>
  <c r="S844" i="6"/>
  <c r="T844" i="6"/>
  <c r="U844" i="6"/>
  <c r="B843" i="6"/>
  <c r="C843" i="6"/>
  <c r="D843" i="6"/>
  <c r="E843" i="6"/>
  <c r="F843" i="6"/>
  <c r="G843" i="6"/>
  <c r="H843" i="6"/>
  <c r="I843" i="6"/>
  <c r="J843" i="6"/>
  <c r="K843" i="6"/>
  <c r="L843" i="6"/>
  <c r="M843" i="6"/>
  <c r="N843" i="6"/>
  <c r="O843" i="6"/>
  <c r="P843" i="6"/>
  <c r="Q843" i="6"/>
  <c r="R843" i="6"/>
  <c r="S843" i="6"/>
  <c r="T843" i="6"/>
  <c r="U843" i="6"/>
  <c r="B846" i="6"/>
  <c r="C846" i="6"/>
  <c r="D846" i="6"/>
  <c r="E846" i="6"/>
  <c r="F846" i="6"/>
  <c r="G846" i="6"/>
  <c r="H846" i="6"/>
  <c r="I846" i="6"/>
  <c r="J846" i="6"/>
  <c r="K846" i="6"/>
  <c r="L846" i="6"/>
  <c r="M846" i="6"/>
  <c r="N846" i="6"/>
  <c r="O846" i="6"/>
  <c r="P846" i="6"/>
  <c r="Q846" i="6"/>
  <c r="R846" i="6"/>
  <c r="S846" i="6"/>
  <c r="T846" i="6"/>
  <c r="U846" i="6"/>
  <c r="B845" i="6"/>
  <c r="C845" i="6"/>
  <c r="D845" i="6"/>
  <c r="E845" i="6"/>
  <c r="F845" i="6"/>
  <c r="G845" i="6"/>
  <c r="H845" i="6"/>
  <c r="I845" i="6"/>
  <c r="J845" i="6"/>
  <c r="K845" i="6"/>
  <c r="L845" i="6"/>
  <c r="M845" i="6"/>
  <c r="N845" i="6"/>
  <c r="O845" i="6"/>
  <c r="P845" i="6"/>
  <c r="Q845" i="6"/>
  <c r="R845" i="6"/>
  <c r="S845" i="6"/>
  <c r="T845" i="6"/>
  <c r="U845" i="6"/>
  <c r="B848" i="6"/>
  <c r="C848" i="6"/>
  <c r="D848" i="6"/>
  <c r="E848" i="6"/>
  <c r="F848" i="6"/>
  <c r="G848" i="6"/>
  <c r="H848" i="6"/>
  <c r="I848" i="6"/>
  <c r="J848" i="6"/>
  <c r="K848" i="6"/>
  <c r="L848" i="6"/>
  <c r="M848" i="6"/>
  <c r="N848" i="6"/>
  <c r="O848" i="6"/>
  <c r="P848" i="6"/>
  <c r="Q848" i="6"/>
  <c r="R848" i="6"/>
  <c r="S848" i="6"/>
  <c r="T848" i="6"/>
  <c r="U848" i="6"/>
  <c r="B847" i="6"/>
  <c r="C847" i="6"/>
  <c r="D847" i="6"/>
  <c r="E847" i="6"/>
  <c r="F847" i="6"/>
  <c r="G847" i="6"/>
  <c r="H847" i="6"/>
  <c r="I847" i="6"/>
  <c r="J847" i="6"/>
  <c r="K847" i="6"/>
  <c r="L847" i="6"/>
  <c r="M847" i="6"/>
  <c r="N847" i="6"/>
  <c r="O847" i="6"/>
  <c r="P847" i="6"/>
  <c r="Q847" i="6"/>
  <c r="R847" i="6"/>
  <c r="S847" i="6"/>
  <c r="T847" i="6"/>
  <c r="U847" i="6"/>
  <c r="B850" i="6"/>
  <c r="C850" i="6"/>
  <c r="D850" i="6"/>
  <c r="E850" i="6"/>
  <c r="F850" i="6"/>
  <c r="G850" i="6"/>
  <c r="H850" i="6"/>
  <c r="I850" i="6"/>
  <c r="J850" i="6"/>
  <c r="K850" i="6"/>
  <c r="L850" i="6"/>
  <c r="M850" i="6"/>
  <c r="N850" i="6"/>
  <c r="O850" i="6"/>
  <c r="P850" i="6"/>
  <c r="Q850" i="6"/>
  <c r="R850" i="6"/>
  <c r="S850" i="6"/>
  <c r="T850" i="6"/>
  <c r="U850" i="6"/>
  <c r="B849" i="6"/>
  <c r="C849" i="6"/>
  <c r="D849" i="6"/>
  <c r="E849" i="6"/>
  <c r="F849" i="6"/>
  <c r="G849" i="6"/>
  <c r="H849" i="6"/>
  <c r="I849" i="6"/>
  <c r="J849" i="6"/>
  <c r="K849" i="6"/>
  <c r="L849" i="6"/>
  <c r="M849" i="6"/>
  <c r="N849" i="6"/>
  <c r="O849" i="6"/>
  <c r="P849" i="6"/>
  <c r="Q849" i="6"/>
  <c r="R849" i="6"/>
  <c r="S849" i="6"/>
  <c r="T849" i="6"/>
  <c r="U849" i="6"/>
  <c r="B852" i="6"/>
  <c r="C852" i="6"/>
  <c r="D852" i="6"/>
  <c r="E852" i="6"/>
  <c r="F852" i="6"/>
  <c r="G852" i="6"/>
  <c r="H852" i="6"/>
  <c r="I852" i="6"/>
  <c r="J852" i="6"/>
  <c r="K852" i="6"/>
  <c r="L852" i="6"/>
  <c r="M852" i="6"/>
  <c r="N852" i="6"/>
  <c r="O852" i="6"/>
  <c r="P852" i="6"/>
  <c r="Q852" i="6"/>
  <c r="R852" i="6"/>
  <c r="S852" i="6"/>
  <c r="T852" i="6"/>
  <c r="U852" i="6"/>
  <c r="B851" i="6"/>
  <c r="C851" i="6"/>
  <c r="D851" i="6"/>
  <c r="E851" i="6"/>
  <c r="F851" i="6"/>
  <c r="G851" i="6"/>
  <c r="H851" i="6"/>
  <c r="I851" i="6"/>
  <c r="J851" i="6"/>
  <c r="K851" i="6"/>
  <c r="L851" i="6"/>
  <c r="M851" i="6"/>
  <c r="N851" i="6"/>
  <c r="O851" i="6"/>
  <c r="P851" i="6"/>
  <c r="Q851" i="6"/>
  <c r="R851" i="6"/>
  <c r="S851" i="6"/>
  <c r="T851" i="6"/>
  <c r="U851" i="6"/>
  <c r="B854" i="6"/>
  <c r="C854" i="6"/>
  <c r="D854" i="6"/>
  <c r="E854" i="6"/>
  <c r="F854" i="6"/>
  <c r="G854" i="6"/>
  <c r="H854" i="6"/>
  <c r="I854" i="6"/>
  <c r="J854" i="6"/>
  <c r="K854" i="6"/>
  <c r="L854" i="6"/>
  <c r="M854" i="6"/>
  <c r="N854" i="6"/>
  <c r="O854" i="6"/>
  <c r="P854" i="6"/>
  <c r="Q854" i="6"/>
  <c r="R854" i="6"/>
  <c r="S854" i="6"/>
  <c r="T854" i="6"/>
  <c r="U854" i="6"/>
  <c r="B853" i="6"/>
  <c r="C853" i="6"/>
  <c r="D853" i="6"/>
  <c r="E853" i="6"/>
  <c r="F853" i="6"/>
  <c r="G853" i="6"/>
  <c r="H853" i="6"/>
  <c r="I853" i="6"/>
  <c r="J853" i="6"/>
  <c r="K853" i="6"/>
  <c r="L853" i="6"/>
  <c r="M853" i="6"/>
  <c r="N853" i="6"/>
  <c r="O853" i="6"/>
  <c r="P853" i="6"/>
  <c r="Q853" i="6"/>
  <c r="R853" i="6"/>
  <c r="S853" i="6"/>
  <c r="T853" i="6"/>
  <c r="U853" i="6"/>
  <c r="B856" i="6"/>
  <c r="C856" i="6"/>
  <c r="D856" i="6"/>
  <c r="E856" i="6"/>
  <c r="F856" i="6"/>
  <c r="G856" i="6"/>
  <c r="H856" i="6"/>
  <c r="I856" i="6"/>
  <c r="J856" i="6"/>
  <c r="K856" i="6"/>
  <c r="L856" i="6"/>
  <c r="M856" i="6"/>
  <c r="N856" i="6"/>
  <c r="O856" i="6"/>
  <c r="P856" i="6"/>
  <c r="Q856" i="6"/>
  <c r="R856" i="6"/>
  <c r="S856" i="6"/>
  <c r="T856" i="6"/>
  <c r="U856" i="6"/>
  <c r="B855" i="6"/>
  <c r="C855" i="6"/>
  <c r="D855" i="6"/>
  <c r="E855" i="6"/>
  <c r="F855" i="6"/>
  <c r="G855" i="6"/>
  <c r="H855" i="6"/>
  <c r="I855" i="6"/>
  <c r="J855" i="6"/>
  <c r="K855" i="6"/>
  <c r="L855" i="6"/>
  <c r="M855" i="6"/>
  <c r="N855" i="6"/>
  <c r="O855" i="6"/>
  <c r="P855" i="6"/>
  <c r="Q855" i="6"/>
  <c r="R855" i="6"/>
  <c r="S855" i="6"/>
  <c r="T855" i="6"/>
  <c r="U855" i="6"/>
  <c r="B858" i="6"/>
  <c r="C858" i="6"/>
  <c r="D858" i="6"/>
  <c r="E858" i="6"/>
  <c r="F858" i="6"/>
  <c r="G858" i="6"/>
  <c r="H858" i="6"/>
  <c r="I858" i="6"/>
  <c r="J858" i="6"/>
  <c r="K858" i="6"/>
  <c r="L858" i="6"/>
  <c r="M858" i="6"/>
  <c r="N858" i="6"/>
  <c r="O858" i="6"/>
  <c r="P858" i="6"/>
  <c r="Q858" i="6"/>
  <c r="R858" i="6"/>
  <c r="S858" i="6"/>
  <c r="T858" i="6"/>
  <c r="U858" i="6"/>
  <c r="B857" i="6"/>
  <c r="C857" i="6"/>
  <c r="D857" i="6"/>
  <c r="E857" i="6"/>
  <c r="F857" i="6"/>
  <c r="G857" i="6"/>
  <c r="H857" i="6"/>
  <c r="I857" i="6"/>
  <c r="J857" i="6"/>
  <c r="K857" i="6"/>
  <c r="L857" i="6"/>
  <c r="M857" i="6"/>
  <c r="N857" i="6"/>
  <c r="O857" i="6"/>
  <c r="P857" i="6"/>
  <c r="Q857" i="6"/>
  <c r="R857" i="6"/>
  <c r="S857" i="6"/>
  <c r="T857" i="6"/>
  <c r="U857" i="6"/>
  <c r="B860" i="6"/>
  <c r="C860" i="6"/>
  <c r="D860" i="6"/>
  <c r="E860" i="6"/>
  <c r="F860" i="6"/>
  <c r="G860" i="6"/>
  <c r="H860" i="6"/>
  <c r="I860" i="6"/>
  <c r="J860" i="6"/>
  <c r="K860" i="6"/>
  <c r="L860" i="6"/>
  <c r="M860" i="6"/>
  <c r="N860" i="6"/>
  <c r="O860" i="6"/>
  <c r="P860" i="6"/>
  <c r="Q860" i="6"/>
  <c r="R860" i="6"/>
  <c r="S860" i="6"/>
  <c r="T860" i="6"/>
  <c r="U860" i="6"/>
  <c r="B859" i="6"/>
  <c r="C859" i="6"/>
  <c r="D859" i="6"/>
  <c r="E859" i="6"/>
  <c r="F859" i="6"/>
  <c r="G859" i="6"/>
  <c r="H859" i="6"/>
  <c r="I859" i="6"/>
  <c r="J859" i="6"/>
  <c r="K859" i="6"/>
  <c r="L859" i="6"/>
  <c r="M859" i="6"/>
  <c r="N859" i="6"/>
  <c r="O859" i="6"/>
  <c r="P859" i="6"/>
  <c r="Q859" i="6"/>
  <c r="R859" i="6"/>
  <c r="S859" i="6"/>
  <c r="T859" i="6"/>
  <c r="U859" i="6"/>
  <c r="B862" i="6"/>
  <c r="C862" i="6"/>
  <c r="D862" i="6"/>
  <c r="E862" i="6"/>
  <c r="F862" i="6"/>
  <c r="G862" i="6"/>
  <c r="H862" i="6"/>
  <c r="I862" i="6"/>
  <c r="J862" i="6"/>
  <c r="K862" i="6"/>
  <c r="L862" i="6"/>
  <c r="M862" i="6"/>
  <c r="N862" i="6"/>
  <c r="O862" i="6"/>
  <c r="P862" i="6"/>
  <c r="Q862" i="6"/>
  <c r="R862" i="6"/>
  <c r="S862" i="6"/>
  <c r="T862" i="6"/>
  <c r="U862" i="6"/>
  <c r="B861" i="6"/>
  <c r="C861" i="6"/>
  <c r="D861" i="6"/>
  <c r="E861" i="6"/>
  <c r="F861" i="6"/>
  <c r="G861" i="6"/>
  <c r="H861" i="6"/>
  <c r="I861" i="6"/>
  <c r="J861" i="6"/>
  <c r="K861" i="6"/>
  <c r="L861" i="6"/>
  <c r="M861" i="6"/>
  <c r="N861" i="6"/>
  <c r="O861" i="6"/>
  <c r="P861" i="6"/>
  <c r="Q861" i="6"/>
  <c r="R861" i="6"/>
  <c r="S861" i="6"/>
  <c r="T861" i="6"/>
  <c r="U861" i="6"/>
  <c r="B864" i="6"/>
  <c r="C864" i="6"/>
  <c r="D864" i="6"/>
  <c r="E864" i="6"/>
  <c r="F864" i="6"/>
  <c r="G864" i="6"/>
  <c r="H864" i="6"/>
  <c r="I864" i="6"/>
  <c r="J864" i="6"/>
  <c r="K864" i="6"/>
  <c r="L864" i="6"/>
  <c r="M864" i="6"/>
  <c r="N864" i="6"/>
  <c r="O864" i="6"/>
  <c r="P864" i="6"/>
  <c r="Q864" i="6"/>
  <c r="R864" i="6"/>
  <c r="S864" i="6"/>
  <c r="T864" i="6"/>
  <c r="U864" i="6"/>
  <c r="B863" i="6"/>
  <c r="C863" i="6"/>
  <c r="D863" i="6"/>
  <c r="E863" i="6"/>
  <c r="F863" i="6"/>
  <c r="G863" i="6"/>
  <c r="H863" i="6"/>
  <c r="I863" i="6"/>
  <c r="J863" i="6"/>
  <c r="K863" i="6"/>
  <c r="L863" i="6"/>
  <c r="M863" i="6"/>
  <c r="N863" i="6"/>
  <c r="O863" i="6"/>
  <c r="P863" i="6"/>
  <c r="Q863" i="6"/>
  <c r="R863" i="6"/>
  <c r="S863" i="6"/>
  <c r="T863" i="6"/>
  <c r="U863" i="6"/>
  <c r="B866" i="6"/>
  <c r="C866" i="6"/>
  <c r="D866" i="6"/>
  <c r="E866" i="6"/>
  <c r="F866" i="6"/>
  <c r="G866" i="6"/>
  <c r="H866" i="6"/>
  <c r="I866" i="6"/>
  <c r="J866" i="6"/>
  <c r="K866" i="6"/>
  <c r="L866" i="6"/>
  <c r="M866" i="6"/>
  <c r="N866" i="6"/>
  <c r="O866" i="6"/>
  <c r="P866" i="6"/>
  <c r="Q866" i="6"/>
  <c r="R866" i="6"/>
  <c r="S866" i="6"/>
  <c r="T866" i="6"/>
  <c r="U866" i="6"/>
  <c r="B865" i="6"/>
  <c r="C865" i="6"/>
  <c r="D865" i="6"/>
  <c r="E865" i="6"/>
  <c r="F865" i="6"/>
  <c r="G865" i="6"/>
  <c r="H865" i="6"/>
  <c r="I865" i="6"/>
  <c r="J865" i="6"/>
  <c r="K865" i="6"/>
  <c r="L865" i="6"/>
  <c r="M865" i="6"/>
  <c r="N865" i="6"/>
  <c r="O865" i="6"/>
  <c r="P865" i="6"/>
  <c r="Q865" i="6"/>
  <c r="R865" i="6"/>
  <c r="S865" i="6"/>
  <c r="T865" i="6"/>
  <c r="U865" i="6"/>
  <c r="B868" i="6"/>
  <c r="C868" i="6"/>
  <c r="D868" i="6"/>
  <c r="E868" i="6"/>
  <c r="F868" i="6"/>
  <c r="G868" i="6"/>
  <c r="H868" i="6"/>
  <c r="I868" i="6"/>
  <c r="J868" i="6"/>
  <c r="K868" i="6"/>
  <c r="L868" i="6"/>
  <c r="M868" i="6"/>
  <c r="N868" i="6"/>
  <c r="O868" i="6"/>
  <c r="P868" i="6"/>
  <c r="Q868" i="6"/>
  <c r="R868" i="6"/>
  <c r="S868" i="6"/>
  <c r="T868" i="6"/>
  <c r="U868" i="6"/>
  <c r="B867" i="6"/>
  <c r="C867" i="6"/>
  <c r="D867" i="6"/>
  <c r="E867" i="6"/>
  <c r="F867" i="6"/>
  <c r="G867" i="6"/>
  <c r="H867" i="6"/>
  <c r="I867" i="6"/>
  <c r="J867" i="6"/>
  <c r="K867" i="6"/>
  <c r="L867" i="6"/>
  <c r="M867" i="6"/>
  <c r="N867" i="6"/>
  <c r="O867" i="6"/>
  <c r="P867" i="6"/>
  <c r="Q867" i="6"/>
  <c r="R867" i="6"/>
  <c r="S867" i="6"/>
  <c r="T867" i="6"/>
  <c r="U867" i="6"/>
  <c r="B4" i="27"/>
  <c r="C4" i="27"/>
  <c r="D4" i="27"/>
  <c r="E4" i="27"/>
  <c r="F4" i="27"/>
  <c r="G4" i="27"/>
  <c r="H4" i="27"/>
  <c r="I4" i="27"/>
  <c r="J4" i="27"/>
  <c r="K4" i="27"/>
  <c r="L4" i="27"/>
  <c r="M4" i="27"/>
  <c r="N4" i="27"/>
  <c r="O4" i="27"/>
  <c r="P4" i="27"/>
  <c r="Q4" i="27"/>
  <c r="R4" i="27"/>
  <c r="S4" i="27"/>
  <c r="B5" i="27"/>
  <c r="C5" i="27"/>
  <c r="D5" i="27"/>
  <c r="E5" i="27"/>
  <c r="F5" i="27"/>
  <c r="G5" i="27"/>
  <c r="H5" i="27"/>
  <c r="I5" i="27"/>
  <c r="J5" i="27"/>
  <c r="K5" i="27"/>
  <c r="L5" i="27"/>
  <c r="M5" i="27"/>
  <c r="N5" i="27"/>
  <c r="O5" i="27"/>
  <c r="P5" i="27"/>
  <c r="Q5" i="27"/>
  <c r="R5" i="27"/>
  <c r="S5" i="27"/>
  <c r="B6" i="27"/>
  <c r="C6" i="27"/>
  <c r="D6" i="27"/>
  <c r="E6" i="27"/>
  <c r="F6" i="27"/>
  <c r="G6" i="27"/>
  <c r="H6" i="27"/>
  <c r="I6" i="27"/>
  <c r="J6" i="27"/>
  <c r="K6" i="27"/>
  <c r="L6" i="27"/>
  <c r="M6" i="27"/>
  <c r="N6" i="27"/>
  <c r="O6" i="27"/>
  <c r="P6" i="27"/>
  <c r="Q6" i="27"/>
  <c r="R6" i="27"/>
  <c r="S6" i="27"/>
  <c r="B7" i="27"/>
  <c r="C7" i="27"/>
  <c r="D7" i="27"/>
  <c r="E7" i="27"/>
  <c r="F7" i="27"/>
  <c r="G7" i="27"/>
  <c r="H7" i="27"/>
  <c r="I7" i="27"/>
  <c r="J7" i="27"/>
  <c r="K7" i="27"/>
  <c r="L7" i="27"/>
  <c r="M7" i="27"/>
  <c r="N7" i="27"/>
  <c r="O7" i="27"/>
  <c r="P7" i="27"/>
  <c r="Q7" i="27"/>
  <c r="R7" i="27"/>
  <c r="S7" i="27"/>
  <c r="B8" i="27"/>
  <c r="C8" i="27"/>
  <c r="D8" i="27"/>
  <c r="E8" i="27"/>
  <c r="F8" i="27"/>
  <c r="G8" i="27"/>
  <c r="H8" i="27"/>
  <c r="I8" i="27"/>
  <c r="J8" i="27"/>
  <c r="K8" i="27"/>
  <c r="L8" i="27"/>
  <c r="M8" i="27"/>
  <c r="N8" i="27"/>
  <c r="O8" i="27"/>
  <c r="P8" i="27"/>
  <c r="Q8" i="27"/>
  <c r="R8" i="27"/>
  <c r="S8" i="27"/>
  <c r="B9" i="27"/>
  <c r="C9" i="27"/>
  <c r="D9" i="27"/>
  <c r="E9" i="27"/>
  <c r="F9" i="27"/>
  <c r="G9" i="27"/>
  <c r="H9" i="27"/>
  <c r="I9" i="27"/>
  <c r="J9" i="27"/>
  <c r="K9" i="27"/>
  <c r="L9" i="27"/>
  <c r="M9" i="27"/>
  <c r="N9" i="27"/>
  <c r="O9" i="27"/>
  <c r="P9" i="27"/>
  <c r="Q9" i="27"/>
  <c r="R9" i="27"/>
  <c r="S9" i="27"/>
  <c r="B10" i="27"/>
  <c r="C10" i="27"/>
  <c r="D10" i="27"/>
  <c r="E10" i="27"/>
  <c r="F10" i="27"/>
  <c r="G10" i="27"/>
  <c r="H10" i="27"/>
  <c r="I10" i="27"/>
  <c r="J10" i="27"/>
  <c r="K10" i="27"/>
  <c r="L10" i="27"/>
  <c r="M10" i="27"/>
  <c r="N10" i="27"/>
  <c r="O10" i="27"/>
  <c r="P10" i="27"/>
  <c r="Q10" i="27"/>
  <c r="R10" i="27"/>
  <c r="S10" i="27"/>
  <c r="B11" i="27"/>
  <c r="C11" i="27"/>
  <c r="D11" i="27"/>
  <c r="E11" i="27"/>
  <c r="F11" i="27"/>
  <c r="G11" i="27"/>
  <c r="H11" i="27"/>
  <c r="I11" i="27"/>
  <c r="J11" i="27"/>
  <c r="K11" i="27"/>
  <c r="L11" i="27"/>
  <c r="M11" i="27"/>
  <c r="N11" i="27"/>
  <c r="O11" i="27"/>
  <c r="P11" i="27"/>
  <c r="Q11" i="27"/>
  <c r="R11" i="27"/>
  <c r="S11" i="27"/>
  <c r="B12" i="27"/>
  <c r="C12" i="27"/>
  <c r="D12" i="27"/>
  <c r="E12" i="27"/>
  <c r="F12" i="27"/>
  <c r="G12" i="27"/>
  <c r="H12" i="27"/>
  <c r="I12" i="27"/>
  <c r="J12" i="27"/>
  <c r="K12" i="27"/>
  <c r="L12" i="27"/>
  <c r="M12" i="27"/>
  <c r="N12" i="27"/>
  <c r="O12" i="27"/>
  <c r="P12" i="27"/>
  <c r="Q12" i="27"/>
  <c r="R12" i="27"/>
  <c r="S12" i="27"/>
  <c r="B13" i="27"/>
  <c r="C13" i="27"/>
  <c r="D13" i="27"/>
  <c r="E13" i="27"/>
  <c r="F13" i="27"/>
  <c r="G13" i="27"/>
  <c r="H13" i="27"/>
  <c r="I13" i="27"/>
  <c r="J13" i="27"/>
  <c r="K13" i="27"/>
  <c r="L13" i="27"/>
  <c r="M13" i="27"/>
  <c r="N13" i="27"/>
  <c r="O13" i="27"/>
  <c r="P13" i="27"/>
  <c r="Q13" i="27"/>
  <c r="R13" i="27"/>
  <c r="S13" i="27"/>
  <c r="B14" i="27"/>
  <c r="C14" i="27"/>
  <c r="D14" i="27"/>
  <c r="E14" i="27"/>
  <c r="F14" i="27"/>
  <c r="G14" i="27"/>
  <c r="H14" i="27"/>
  <c r="I14" i="27"/>
  <c r="J14" i="27"/>
  <c r="K14" i="27"/>
  <c r="L14" i="27"/>
  <c r="M14" i="27"/>
  <c r="N14" i="27"/>
  <c r="O14" i="27"/>
  <c r="P14" i="27"/>
  <c r="Q14" i="27"/>
  <c r="R14" i="27"/>
  <c r="S14" i="27"/>
  <c r="B15" i="27"/>
  <c r="C15" i="27"/>
  <c r="D15" i="27"/>
  <c r="E15" i="27"/>
  <c r="F15" i="27"/>
  <c r="G15" i="27"/>
  <c r="H15" i="27"/>
  <c r="I15" i="27"/>
  <c r="J15" i="27"/>
  <c r="K15" i="27"/>
  <c r="L15" i="27"/>
  <c r="M15" i="27"/>
  <c r="N15" i="27"/>
  <c r="O15" i="27"/>
  <c r="P15" i="27"/>
  <c r="Q15" i="27"/>
  <c r="R15" i="27"/>
  <c r="S15" i="27"/>
  <c r="B16" i="27"/>
  <c r="C16" i="27"/>
  <c r="D16" i="27"/>
  <c r="E16" i="27"/>
  <c r="F16" i="27"/>
  <c r="G16" i="27"/>
  <c r="H16" i="27"/>
  <c r="I16" i="27"/>
  <c r="J16" i="27"/>
  <c r="K16" i="27"/>
  <c r="L16" i="27"/>
  <c r="M16" i="27"/>
  <c r="N16" i="27"/>
  <c r="O16" i="27"/>
  <c r="P16" i="27"/>
  <c r="Q16" i="27"/>
  <c r="R16" i="27"/>
  <c r="S16" i="27"/>
  <c r="B17" i="27"/>
  <c r="C17" i="27"/>
  <c r="D17" i="27"/>
  <c r="E17" i="27"/>
  <c r="F17" i="27"/>
  <c r="G17" i="27"/>
  <c r="H17" i="27"/>
  <c r="I17" i="27"/>
  <c r="J17" i="27"/>
  <c r="K17" i="27"/>
  <c r="L17" i="27"/>
  <c r="M17" i="27"/>
  <c r="N17" i="27"/>
  <c r="O17" i="27"/>
  <c r="P17" i="27"/>
  <c r="Q17" i="27"/>
  <c r="R17" i="27"/>
  <c r="S17" i="27"/>
  <c r="B18" i="27"/>
  <c r="C18" i="27"/>
  <c r="D18" i="27"/>
  <c r="E18" i="27"/>
  <c r="F18" i="27"/>
  <c r="G18" i="27"/>
  <c r="H18" i="27"/>
  <c r="I18" i="27"/>
  <c r="J18" i="27"/>
  <c r="K18" i="27"/>
  <c r="L18" i="27"/>
  <c r="M18" i="27"/>
  <c r="N18" i="27"/>
  <c r="O18" i="27"/>
  <c r="P18" i="27"/>
  <c r="Q18" i="27"/>
  <c r="R18" i="27"/>
  <c r="S18" i="27"/>
  <c r="B19" i="27"/>
  <c r="C19" i="27"/>
  <c r="D19" i="27"/>
  <c r="E19" i="27"/>
  <c r="F19" i="27"/>
  <c r="G19" i="27"/>
  <c r="H19" i="27"/>
  <c r="I19" i="27"/>
  <c r="J19" i="27"/>
  <c r="K19" i="27"/>
  <c r="L19" i="27"/>
  <c r="M19" i="27"/>
  <c r="N19" i="27"/>
  <c r="O19" i="27"/>
  <c r="P19" i="27"/>
  <c r="Q19" i="27"/>
  <c r="R19" i="27"/>
  <c r="S19" i="27"/>
  <c r="B20" i="27"/>
  <c r="C20" i="27"/>
  <c r="D20" i="27"/>
  <c r="E20" i="27"/>
  <c r="F20" i="27"/>
  <c r="G20" i="27"/>
  <c r="H20" i="27"/>
  <c r="I20" i="27"/>
  <c r="J20" i="27"/>
  <c r="K20" i="27"/>
  <c r="L20" i="27"/>
  <c r="M20" i="27"/>
  <c r="N20" i="27"/>
  <c r="O20" i="27"/>
  <c r="P20" i="27"/>
  <c r="Q20" i="27"/>
  <c r="R20" i="27"/>
  <c r="S20" i="27"/>
  <c r="B21" i="27"/>
  <c r="C21" i="27"/>
  <c r="D21" i="27"/>
  <c r="E21" i="27"/>
  <c r="F21" i="27"/>
  <c r="G21" i="27"/>
  <c r="H21" i="27"/>
  <c r="I21" i="27"/>
  <c r="J21" i="27"/>
  <c r="K21" i="27"/>
  <c r="L21" i="27"/>
  <c r="M21" i="27"/>
  <c r="N21" i="27"/>
  <c r="O21" i="27"/>
  <c r="P21" i="27"/>
  <c r="Q21" i="27"/>
  <c r="R21" i="27"/>
  <c r="S21" i="27"/>
  <c r="B22" i="27"/>
  <c r="C22" i="27"/>
  <c r="D22" i="27"/>
  <c r="E22" i="27"/>
  <c r="F22" i="27"/>
  <c r="G22" i="27"/>
  <c r="H22" i="27"/>
  <c r="I22" i="27"/>
  <c r="J22" i="27"/>
  <c r="K22" i="27"/>
  <c r="L22" i="27"/>
  <c r="M22" i="27"/>
  <c r="N22" i="27"/>
  <c r="O22" i="27"/>
  <c r="P22" i="27"/>
  <c r="Q22" i="27"/>
  <c r="R22" i="27"/>
  <c r="S22" i="27"/>
  <c r="B23" i="27"/>
  <c r="C23" i="27"/>
  <c r="D23" i="27"/>
  <c r="E23" i="27"/>
  <c r="F23" i="27"/>
  <c r="G23" i="27"/>
  <c r="H23" i="27"/>
  <c r="I23" i="27"/>
  <c r="J23" i="27"/>
  <c r="K23" i="27"/>
  <c r="L23" i="27"/>
  <c r="M23" i="27"/>
  <c r="N23" i="27"/>
  <c r="O23" i="27"/>
  <c r="P23" i="27"/>
  <c r="Q23" i="27"/>
  <c r="R23" i="27"/>
  <c r="S23" i="27"/>
  <c r="B24" i="27"/>
  <c r="C24" i="27"/>
  <c r="D24" i="27"/>
  <c r="E24" i="27"/>
  <c r="F24" i="27"/>
  <c r="G24" i="27"/>
  <c r="H24" i="27"/>
  <c r="I24" i="27"/>
  <c r="J24" i="27"/>
  <c r="K24" i="27"/>
  <c r="L24" i="27"/>
  <c r="M24" i="27"/>
  <c r="N24" i="27"/>
  <c r="O24" i="27"/>
  <c r="P24" i="27"/>
  <c r="Q24" i="27"/>
  <c r="R24" i="27"/>
  <c r="S24" i="27"/>
  <c r="B25" i="27"/>
  <c r="C25" i="27"/>
  <c r="D25" i="27"/>
  <c r="E25" i="27"/>
  <c r="F25" i="27"/>
  <c r="G25" i="27"/>
  <c r="H25" i="27"/>
  <c r="I25" i="27"/>
  <c r="J25" i="27"/>
  <c r="K25" i="27"/>
  <c r="L25" i="27"/>
  <c r="M25" i="27"/>
  <c r="N25" i="27"/>
  <c r="O25" i="27"/>
  <c r="P25" i="27"/>
  <c r="Q25" i="27"/>
  <c r="R25" i="27"/>
  <c r="S25" i="27"/>
  <c r="B26" i="27"/>
  <c r="C26" i="27"/>
  <c r="D26" i="27"/>
  <c r="E26" i="27"/>
  <c r="F26" i="27"/>
  <c r="G26" i="27"/>
  <c r="H26" i="27"/>
  <c r="I26" i="27"/>
  <c r="J26" i="27"/>
  <c r="K26" i="27"/>
  <c r="L26" i="27"/>
  <c r="M26" i="27"/>
  <c r="N26" i="27"/>
  <c r="O26" i="27"/>
  <c r="P26" i="27"/>
  <c r="Q26" i="27"/>
  <c r="R26" i="27"/>
  <c r="S26" i="27"/>
  <c r="B27" i="27"/>
  <c r="C27" i="27"/>
  <c r="D27" i="27"/>
  <c r="E27" i="27"/>
  <c r="F27" i="27"/>
  <c r="G27" i="27"/>
  <c r="H27" i="27"/>
  <c r="I27" i="27"/>
  <c r="J27" i="27"/>
  <c r="K27" i="27"/>
  <c r="L27" i="27"/>
  <c r="M27" i="27"/>
  <c r="N27" i="27"/>
  <c r="O27" i="27"/>
  <c r="P27" i="27"/>
  <c r="Q27" i="27"/>
  <c r="R27" i="27"/>
  <c r="S27" i="27"/>
  <c r="B28" i="27"/>
  <c r="C28" i="27"/>
  <c r="D28" i="27"/>
  <c r="E28" i="27"/>
  <c r="F28" i="27"/>
  <c r="G28" i="27"/>
  <c r="H28" i="27"/>
  <c r="I28" i="27"/>
  <c r="J28" i="27"/>
  <c r="K28" i="27"/>
  <c r="L28" i="27"/>
  <c r="M28" i="27"/>
  <c r="N28" i="27"/>
  <c r="O28" i="27"/>
  <c r="P28" i="27"/>
  <c r="Q28" i="27"/>
  <c r="R28" i="27"/>
  <c r="S28" i="27"/>
  <c r="B29" i="27"/>
  <c r="C29" i="27"/>
  <c r="D29" i="27"/>
  <c r="E29" i="27"/>
  <c r="F29" i="27"/>
  <c r="G29" i="27"/>
  <c r="H29" i="27"/>
  <c r="I29" i="27"/>
  <c r="J29" i="27"/>
  <c r="K29" i="27"/>
  <c r="L29" i="27"/>
  <c r="M29" i="27"/>
  <c r="N29" i="27"/>
  <c r="O29" i="27"/>
  <c r="P29" i="27"/>
  <c r="Q29" i="27"/>
  <c r="R29" i="27"/>
  <c r="S29" i="27"/>
  <c r="B30" i="27"/>
  <c r="C30" i="27"/>
  <c r="D30" i="27"/>
  <c r="E30" i="27"/>
  <c r="F30" i="27"/>
  <c r="G30" i="27"/>
  <c r="H30" i="27"/>
  <c r="I30" i="27"/>
  <c r="J30" i="27"/>
  <c r="K30" i="27"/>
  <c r="L30" i="27"/>
  <c r="M30" i="27"/>
  <c r="N30" i="27"/>
  <c r="O30" i="27"/>
  <c r="P30" i="27"/>
  <c r="Q30" i="27"/>
  <c r="R30" i="27"/>
  <c r="S30" i="27"/>
  <c r="B31" i="27"/>
  <c r="C31" i="27"/>
  <c r="D31" i="27"/>
  <c r="E31" i="27"/>
  <c r="F31" i="27"/>
  <c r="G31" i="27"/>
  <c r="H31" i="27"/>
  <c r="I31" i="27"/>
  <c r="J31" i="27"/>
  <c r="K31" i="27"/>
  <c r="L31" i="27"/>
  <c r="M31" i="27"/>
  <c r="N31" i="27"/>
  <c r="O31" i="27"/>
  <c r="P31" i="27"/>
  <c r="Q31" i="27"/>
  <c r="R31" i="27"/>
  <c r="S31" i="27"/>
  <c r="B32" i="27"/>
  <c r="C32" i="27"/>
  <c r="D32" i="27"/>
  <c r="E32" i="27"/>
  <c r="F32" i="27"/>
  <c r="G32" i="27"/>
  <c r="H32" i="27"/>
  <c r="I32" i="27"/>
  <c r="J32" i="27"/>
  <c r="K32" i="27"/>
  <c r="L32" i="27"/>
  <c r="M32" i="27"/>
  <c r="N32" i="27"/>
  <c r="O32" i="27"/>
  <c r="P32" i="27"/>
  <c r="Q32" i="27"/>
  <c r="R32" i="27"/>
  <c r="S32" i="27"/>
  <c r="B33" i="27"/>
  <c r="C33" i="27"/>
  <c r="D33" i="27"/>
  <c r="E33" i="27"/>
  <c r="F33" i="27"/>
  <c r="G33" i="27"/>
  <c r="H33" i="27"/>
  <c r="I33" i="27"/>
  <c r="J33" i="27"/>
  <c r="K33" i="27"/>
  <c r="L33" i="27"/>
  <c r="M33" i="27"/>
  <c r="N33" i="27"/>
  <c r="O33" i="27"/>
  <c r="P33" i="27"/>
  <c r="Q33" i="27"/>
  <c r="R33" i="27"/>
  <c r="S33" i="27"/>
  <c r="B34" i="27"/>
  <c r="C34" i="27"/>
  <c r="D34" i="27"/>
  <c r="E34" i="27"/>
  <c r="F34" i="27"/>
  <c r="G34" i="27"/>
  <c r="H34" i="27"/>
  <c r="I34" i="27"/>
  <c r="J34" i="27"/>
  <c r="K34" i="27"/>
  <c r="L34" i="27"/>
  <c r="M34" i="27"/>
  <c r="N34" i="27"/>
  <c r="O34" i="27"/>
  <c r="P34" i="27"/>
  <c r="Q34" i="27"/>
  <c r="R34" i="27"/>
  <c r="S34" i="27"/>
  <c r="B35" i="27"/>
  <c r="C35" i="27"/>
  <c r="D35" i="27"/>
  <c r="E35" i="27"/>
  <c r="F35" i="27"/>
  <c r="G35" i="27"/>
  <c r="H35" i="27"/>
  <c r="I35" i="27"/>
  <c r="J35" i="27"/>
  <c r="K35" i="27"/>
  <c r="L35" i="27"/>
  <c r="M35" i="27"/>
  <c r="N35" i="27"/>
  <c r="O35" i="27"/>
  <c r="P35" i="27"/>
  <c r="Q35" i="27"/>
  <c r="R35" i="27"/>
  <c r="S35" i="27"/>
  <c r="B36" i="27"/>
  <c r="C36" i="27"/>
  <c r="D36" i="27"/>
  <c r="E36" i="27"/>
  <c r="F36" i="27"/>
  <c r="G36" i="27"/>
  <c r="H36" i="27"/>
  <c r="I36" i="27"/>
  <c r="J36" i="27"/>
  <c r="K36" i="27"/>
  <c r="L36" i="27"/>
  <c r="M36" i="27"/>
  <c r="N36" i="27"/>
  <c r="O36" i="27"/>
  <c r="P36" i="27"/>
  <c r="Q36" i="27"/>
  <c r="R36" i="27"/>
  <c r="S36" i="27"/>
  <c r="B37" i="27"/>
  <c r="C37" i="27"/>
  <c r="D37" i="27"/>
  <c r="E37" i="27"/>
  <c r="F37" i="27"/>
  <c r="G37" i="27"/>
  <c r="H37" i="27"/>
  <c r="I37" i="27"/>
  <c r="J37" i="27"/>
  <c r="K37" i="27"/>
  <c r="L37" i="27"/>
  <c r="M37" i="27"/>
  <c r="N37" i="27"/>
  <c r="O37" i="27"/>
  <c r="P37" i="27"/>
  <c r="Q37" i="27"/>
  <c r="R37" i="27"/>
  <c r="S37" i="27"/>
  <c r="B38" i="27"/>
  <c r="C38" i="27"/>
  <c r="D38" i="27"/>
  <c r="E38" i="27"/>
  <c r="F38" i="27"/>
  <c r="G38" i="27"/>
  <c r="H38" i="27"/>
  <c r="I38" i="27"/>
  <c r="J38" i="27"/>
  <c r="K38" i="27"/>
  <c r="L38" i="27"/>
  <c r="M38" i="27"/>
  <c r="N38" i="27"/>
  <c r="O38" i="27"/>
  <c r="P38" i="27"/>
  <c r="Q38" i="27"/>
  <c r="R38" i="27"/>
  <c r="S38" i="27"/>
  <c r="B39" i="27"/>
  <c r="C39" i="27"/>
  <c r="D39" i="27"/>
  <c r="E39" i="27"/>
  <c r="F39" i="27"/>
  <c r="G39" i="27"/>
  <c r="H39" i="27"/>
  <c r="I39" i="27"/>
  <c r="J39" i="27"/>
  <c r="K39" i="27"/>
  <c r="L39" i="27"/>
  <c r="M39" i="27"/>
  <c r="N39" i="27"/>
  <c r="O39" i="27"/>
  <c r="P39" i="27"/>
  <c r="Q39" i="27"/>
  <c r="R39" i="27"/>
  <c r="S39" i="27"/>
  <c r="B40" i="27"/>
  <c r="C40" i="27"/>
  <c r="D40" i="27"/>
  <c r="E40" i="27"/>
  <c r="F40" i="27"/>
  <c r="G40" i="27"/>
  <c r="H40" i="27"/>
  <c r="I40" i="27"/>
  <c r="J40" i="27"/>
  <c r="K40" i="27"/>
  <c r="L40" i="27"/>
  <c r="M40" i="27"/>
  <c r="N40" i="27"/>
  <c r="O40" i="27"/>
  <c r="P40" i="27"/>
  <c r="Q40" i="27"/>
  <c r="R40" i="27"/>
  <c r="S40" i="27"/>
  <c r="B41" i="27"/>
  <c r="C41" i="27"/>
  <c r="D41" i="27"/>
  <c r="E41" i="27"/>
  <c r="F41" i="27"/>
  <c r="G41" i="27"/>
  <c r="H41" i="27"/>
  <c r="I41" i="27"/>
  <c r="J41" i="27"/>
  <c r="K41" i="27"/>
  <c r="L41" i="27"/>
  <c r="M41" i="27"/>
  <c r="N41" i="27"/>
  <c r="O41" i="27"/>
  <c r="P41" i="27"/>
  <c r="Q41" i="27"/>
  <c r="R41" i="27"/>
  <c r="S41" i="27"/>
  <c r="B42" i="27"/>
  <c r="C42" i="27"/>
  <c r="D42" i="27"/>
  <c r="E42" i="27"/>
  <c r="F42" i="27"/>
  <c r="G42" i="27"/>
  <c r="H42" i="27"/>
  <c r="I42" i="27"/>
  <c r="J42" i="27"/>
  <c r="K42" i="27"/>
  <c r="L42" i="27"/>
  <c r="M42" i="27"/>
  <c r="N42" i="27"/>
  <c r="O42" i="27"/>
  <c r="P42" i="27"/>
  <c r="Q42" i="27"/>
  <c r="R42" i="27"/>
  <c r="S42" i="27"/>
  <c r="B43" i="27"/>
  <c r="C43" i="27"/>
  <c r="D43" i="27"/>
  <c r="E43" i="27"/>
  <c r="F43" i="27"/>
  <c r="G43" i="27"/>
  <c r="H43" i="27"/>
  <c r="I43" i="27"/>
  <c r="J43" i="27"/>
  <c r="K43" i="27"/>
  <c r="L43" i="27"/>
  <c r="M43" i="27"/>
  <c r="N43" i="27"/>
  <c r="O43" i="27"/>
  <c r="P43" i="27"/>
  <c r="Q43" i="27"/>
  <c r="R43" i="27"/>
  <c r="S43" i="27"/>
  <c r="B44" i="27"/>
  <c r="C44" i="27"/>
  <c r="D44" i="27"/>
  <c r="E44" i="27"/>
  <c r="F44" i="27"/>
  <c r="G44" i="27"/>
  <c r="H44" i="27"/>
  <c r="I44" i="27"/>
  <c r="J44" i="27"/>
  <c r="K44" i="27"/>
  <c r="L44" i="27"/>
  <c r="M44" i="27"/>
  <c r="N44" i="27"/>
  <c r="O44" i="27"/>
  <c r="P44" i="27"/>
  <c r="Q44" i="27"/>
  <c r="R44" i="27"/>
  <c r="S44" i="27"/>
  <c r="B45" i="27"/>
  <c r="C45" i="27"/>
  <c r="D45" i="27"/>
  <c r="E45" i="27"/>
  <c r="F45" i="27"/>
  <c r="G45" i="27"/>
  <c r="H45" i="27"/>
  <c r="I45" i="27"/>
  <c r="J45" i="27"/>
  <c r="K45" i="27"/>
  <c r="L45" i="27"/>
  <c r="M45" i="27"/>
  <c r="N45" i="27"/>
  <c r="O45" i="27"/>
  <c r="P45" i="27"/>
  <c r="Q45" i="27"/>
  <c r="R45" i="27"/>
  <c r="S45" i="27"/>
  <c r="B46" i="27"/>
  <c r="C46" i="27"/>
  <c r="D46" i="27"/>
  <c r="E46" i="27"/>
  <c r="F46" i="27"/>
  <c r="G46" i="27"/>
  <c r="H46" i="27"/>
  <c r="I46" i="27"/>
  <c r="J46" i="27"/>
  <c r="K46" i="27"/>
  <c r="L46" i="27"/>
  <c r="M46" i="27"/>
  <c r="N46" i="27"/>
  <c r="O46" i="27"/>
  <c r="P46" i="27"/>
  <c r="Q46" i="27"/>
  <c r="R46" i="27"/>
  <c r="S46" i="27"/>
  <c r="B47" i="27"/>
  <c r="C47" i="27"/>
  <c r="D47" i="27"/>
  <c r="E47" i="27"/>
  <c r="F47" i="27"/>
  <c r="G47" i="27"/>
  <c r="H47" i="27"/>
  <c r="I47" i="27"/>
  <c r="J47" i="27"/>
  <c r="K47" i="27"/>
  <c r="L47" i="27"/>
  <c r="M47" i="27"/>
  <c r="N47" i="27"/>
  <c r="O47" i="27"/>
  <c r="P47" i="27"/>
  <c r="Q47" i="27"/>
  <c r="R47" i="27"/>
  <c r="S47" i="27"/>
  <c r="B48" i="27"/>
  <c r="C48" i="27"/>
  <c r="D48" i="27"/>
  <c r="E48" i="27"/>
  <c r="F48" i="27"/>
  <c r="G48" i="27"/>
  <c r="H48" i="27"/>
  <c r="I48" i="27"/>
  <c r="J48" i="27"/>
  <c r="K48" i="27"/>
  <c r="L48" i="27"/>
  <c r="M48" i="27"/>
  <c r="N48" i="27"/>
  <c r="O48" i="27"/>
  <c r="P48" i="27"/>
  <c r="Q48" i="27"/>
  <c r="R48" i="27"/>
  <c r="S48" i="27"/>
  <c r="B49" i="27"/>
  <c r="C49" i="27"/>
  <c r="D49" i="27"/>
  <c r="E49" i="27"/>
  <c r="F49" i="27"/>
  <c r="G49" i="27"/>
  <c r="H49" i="27"/>
  <c r="I49" i="27"/>
  <c r="J49" i="27"/>
  <c r="K49" i="27"/>
  <c r="L49" i="27"/>
  <c r="M49" i="27"/>
  <c r="N49" i="27"/>
  <c r="O49" i="27"/>
  <c r="P49" i="27"/>
  <c r="Q49" i="27"/>
  <c r="R49" i="27"/>
  <c r="S49" i="27"/>
  <c r="B50" i="27"/>
  <c r="C50" i="27"/>
  <c r="D50" i="27"/>
  <c r="E50" i="27"/>
  <c r="F50" i="27"/>
  <c r="G50" i="27"/>
  <c r="H50" i="27"/>
  <c r="I50" i="27"/>
  <c r="J50" i="27"/>
  <c r="K50" i="27"/>
  <c r="L50" i="27"/>
  <c r="M50" i="27"/>
  <c r="N50" i="27"/>
  <c r="O50" i="27"/>
  <c r="P50" i="27"/>
  <c r="Q50" i="27"/>
  <c r="R50" i="27"/>
  <c r="S50" i="27"/>
  <c r="B51" i="27"/>
  <c r="C51" i="27"/>
  <c r="D51" i="27"/>
  <c r="E51" i="27"/>
  <c r="F51" i="27"/>
  <c r="G51" i="27"/>
  <c r="H51" i="27"/>
  <c r="I51" i="27"/>
  <c r="J51" i="27"/>
  <c r="K51" i="27"/>
  <c r="L51" i="27"/>
  <c r="M51" i="27"/>
  <c r="N51" i="27"/>
  <c r="O51" i="27"/>
  <c r="P51" i="27"/>
  <c r="Q51" i="27"/>
  <c r="R51" i="27"/>
  <c r="S51" i="27"/>
  <c r="B52" i="27"/>
  <c r="C52" i="27"/>
  <c r="D52" i="27"/>
  <c r="E52" i="27"/>
  <c r="F52" i="27"/>
  <c r="G52" i="27"/>
  <c r="H52" i="27"/>
  <c r="I52" i="27"/>
  <c r="J52" i="27"/>
  <c r="K52" i="27"/>
  <c r="L52" i="27"/>
  <c r="M52" i="27"/>
  <c r="N52" i="27"/>
  <c r="O52" i="27"/>
  <c r="P52" i="27"/>
  <c r="Q52" i="27"/>
  <c r="R52" i="27"/>
  <c r="S52" i="27"/>
  <c r="B53" i="27"/>
  <c r="C53" i="27"/>
  <c r="D53" i="27"/>
  <c r="E53" i="27"/>
  <c r="F53" i="27"/>
  <c r="G53" i="27"/>
  <c r="H53" i="27"/>
  <c r="I53" i="27"/>
  <c r="J53" i="27"/>
  <c r="K53" i="27"/>
  <c r="L53" i="27"/>
  <c r="M53" i="27"/>
  <c r="N53" i="27"/>
  <c r="O53" i="27"/>
  <c r="P53" i="27"/>
  <c r="Q53" i="27"/>
  <c r="R53" i="27"/>
  <c r="S53" i="27"/>
  <c r="B54" i="27"/>
  <c r="C54" i="27"/>
  <c r="D54" i="27"/>
  <c r="E54" i="27"/>
  <c r="F54" i="27"/>
  <c r="G54" i="27"/>
  <c r="H54" i="27"/>
  <c r="I54" i="27"/>
  <c r="J54" i="27"/>
  <c r="K54" i="27"/>
  <c r="L54" i="27"/>
  <c r="M54" i="27"/>
  <c r="N54" i="27"/>
  <c r="O54" i="27"/>
  <c r="P54" i="27"/>
  <c r="Q54" i="27"/>
  <c r="R54" i="27"/>
  <c r="S54" i="27"/>
  <c r="B55" i="27"/>
  <c r="C55" i="27"/>
  <c r="D55" i="27"/>
  <c r="E55" i="27"/>
  <c r="F55" i="27"/>
  <c r="G55" i="27"/>
  <c r="H55" i="27"/>
  <c r="I55" i="27"/>
  <c r="J55" i="27"/>
  <c r="K55" i="27"/>
  <c r="L55" i="27"/>
  <c r="M55" i="27"/>
  <c r="N55" i="27"/>
  <c r="O55" i="27"/>
  <c r="P55" i="27"/>
  <c r="Q55" i="27"/>
  <c r="R55" i="27"/>
  <c r="S55" i="27"/>
  <c r="B56" i="27"/>
  <c r="C56" i="27"/>
  <c r="D56" i="27"/>
  <c r="E56" i="27"/>
  <c r="F56" i="27"/>
  <c r="G56" i="27"/>
  <c r="H56" i="27"/>
  <c r="I56" i="27"/>
  <c r="J56" i="27"/>
  <c r="K56" i="27"/>
  <c r="L56" i="27"/>
  <c r="M56" i="27"/>
  <c r="N56" i="27"/>
  <c r="O56" i="27"/>
  <c r="P56" i="27"/>
  <c r="Q56" i="27"/>
  <c r="R56" i="27"/>
  <c r="S56" i="27"/>
  <c r="B57" i="27"/>
  <c r="C57" i="27"/>
  <c r="D57" i="27"/>
  <c r="E57" i="27"/>
  <c r="F57" i="27"/>
  <c r="G57" i="27"/>
  <c r="H57" i="27"/>
  <c r="I57" i="27"/>
  <c r="J57" i="27"/>
  <c r="K57" i="27"/>
  <c r="L57" i="27"/>
  <c r="M57" i="27"/>
  <c r="N57" i="27"/>
  <c r="O57" i="27"/>
  <c r="P57" i="27"/>
  <c r="Q57" i="27"/>
  <c r="R57" i="27"/>
  <c r="S57" i="27"/>
  <c r="B58" i="27"/>
  <c r="C58" i="27"/>
  <c r="D58" i="27"/>
  <c r="E58" i="27"/>
  <c r="F58" i="27"/>
  <c r="G58" i="27"/>
  <c r="H58" i="27"/>
  <c r="I58" i="27"/>
  <c r="J58" i="27"/>
  <c r="K58" i="27"/>
  <c r="L58" i="27"/>
  <c r="M58" i="27"/>
  <c r="N58" i="27"/>
  <c r="O58" i="27"/>
  <c r="P58" i="27"/>
  <c r="Q58" i="27"/>
  <c r="R58" i="27"/>
  <c r="S58" i="27"/>
  <c r="B59" i="27"/>
  <c r="C59" i="27"/>
  <c r="D59" i="27"/>
  <c r="E59" i="27"/>
  <c r="F59" i="27"/>
  <c r="G59" i="27"/>
  <c r="H59" i="27"/>
  <c r="I59" i="27"/>
  <c r="J59" i="27"/>
  <c r="K59" i="27"/>
  <c r="L59" i="27"/>
  <c r="M59" i="27"/>
  <c r="N59" i="27"/>
  <c r="O59" i="27"/>
  <c r="P59" i="27"/>
  <c r="Q59" i="27"/>
  <c r="R59" i="27"/>
  <c r="S59" i="27"/>
  <c r="B60" i="27"/>
  <c r="C60" i="27"/>
  <c r="D60" i="27"/>
  <c r="E60" i="27"/>
  <c r="F60" i="27"/>
  <c r="G60" i="27"/>
  <c r="H60" i="27"/>
  <c r="I60" i="27"/>
  <c r="J60" i="27"/>
  <c r="K60" i="27"/>
  <c r="L60" i="27"/>
  <c r="M60" i="27"/>
  <c r="N60" i="27"/>
  <c r="O60" i="27"/>
  <c r="P60" i="27"/>
  <c r="Q60" i="27"/>
  <c r="R60" i="27"/>
  <c r="S60" i="27"/>
  <c r="B61" i="27"/>
  <c r="C61" i="27"/>
  <c r="D61" i="27"/>
  <c r="E61" i="27"/>
  <c r="F61" i="27"/>
  <c r="G61" i="27"/>
  <c r="H61" i="27"/>
  <c r="I61" i="27"/>
  <c r="J61" i="27"/>
  <c r="K61" i="27"/>
  <c r="L61" i="27"/>
  <c r="M61" i="27"/>
  <c r="N61" i="27"/>
  <c r="O61" i="27"/>
  <c r="P61" i="27"/>
  <c r="Q61" i="27"/>
  <c r="R61" i="27"/>
  <c r="S61" i="27"/>
  <c r="B62" i="27"/>
  <c r="C62" i="27"/>
  <c r="D62" i="27"/>
  <c r="E62" i="27"/>
  <c r="F62" i="27"/>
  <c r="G62" i="27"/>
  <c r="H62" i="27"/>
  <c r="I62" i="27"/>
  <c r="J62" i="27"/>
  <c r="K62" i="27"/>
  <c r="L62" i="27"/>
  <c r="M62" i="27"/>
  <c r="N62" i="27"/>
  <c r="O62" i="27"/>
  <c r="P62" i="27"/>
  <c r="Q62" i="27"/>
  <c r="R62" i="27"/>
  <c r="S62" i="27"/>
  <c r="B63" i="27"/>
  <c r="C63" i="27"/>
  <c r="D63" i="27"/>
  <c r="E63" i="27"/>
  <c r="F63" i="27"/>
  <c r="G63" i="27"/>
  <c r="H63" i="27"/>
  <c r="I63" i="27"/>
  <c r="J63" i="27"/>
  <c r="K63" i="27"/>
  <c r="L63" i="27"/>
  <c r="M63" i="27"/>
  <c r="N63" i="27"/>
  <c r="O63" i="27"/>
  <c r="P63" i="27"/>
  <c r="Q63" i="27"/>
  <c r="R63" i="27"/>
  <c r="S63" i="27"/>
  <c r="B4" i="26"/>
  <c r="C4" i="26"/>
  <c r="D4" i="26"/>
  <c r="E4" i="26"/>
  <c r="F4" i="26"/>
  <c r="G4" i="26"/>
  <c r="H4" i="26"/>
  <c r="I4" i="26"/>
  <c r="J4" i="26"/>
  <c r="K4" i="26"/>
  <c r="L4" i="26"/>
  <c r="M4" i="26"/>
  <c r="N4" i="26"/>
  <c r="O4" i="26"/>
  <c r="P4" i="26"/>
  <c r="Q4" i="26"/>
  <c r="R4" i="26"/>
  <c r="S4" i="26"/>
  <c r="B5" i="26"/>
  <c r="C5" i="26"/>
  <c r="D5" i="26"/>
  <c r="E5" i="26"/>
  <c r="F5" i="26"/>
  <c r="G5" i="26"/>
  <c r="H5" i="26"/>
  <c r="I5" i="26"/>
  <c r="J5" i="26"/>
  <c r="K5" i="26"/>
  <c r="L5" i="26"/>
  <c r="M5" i="26"/>
  <c r="N5" i="26"/>
  <c r="O5" i="26"/>
  <c r="P5" i="26"/>
  <c r="Q5" i="26"/>
  <c r="R5" i="26"/>
  <c r="S5" i="26"/>
  <c r="B6" i="26"/>
  <c r="C6" i="26"/>
  <c r="D6" i="26"/>
  <c r="E6" i="26"/>
  <c r="F6" i="26"/>
  <c r="G6" i="26"/>
  <c r="H6" i="26"/>
  <c r="I6" i="26"/>
  <c r="J6" i="26"/>
  <c r="K6" i="26"/>
  <c r="L6" i="26"/>
  <c r="M6" i="26"/>
  <c r="N6" i="26"/>
  <c r="O6" i="26"/>
  <c r="P6" i="26"/>
  <c r="Q6" i="26"/>
  <c r="R6" i="26"/>
  <c r="S6" i="26"/>
  <c r="B7" i="26"/>
  <c r="C7" i="26"/>
  <c r="D7" i="26"/>
  <c r="E7" i="26"/>
  <c r="F7" i="26"/>
  <c r="G7" i="26"/>
  <c r="H7" i="26"/>
  <c r="I7" i="26"/>
  <c r="J7" i="26"/>
  <c r="K7" i="26"/>
  <c r="L7" i="26"/>
  <c r="M7" i="26"/>
  <c r="N7" i="26"/>
  <c r="O7" i="26"/>
  <c r="P7" i="26"/>
  <c r="Q7" i="26"/>
  <c r="R7" i="26"/>
  <c r="S7" i="26"/>
  <c r="B8" i="26"/>
  <c r="C8" i="26"/>
  <c r="D8" i="26"/>
  <c r="E8" i="26"/>
  <c r="F8" i="26"/>
  <c r="G8" i="26"/>
  <c r="H8" i="26"/>
  <c r="I8" i="26"/>
  <c r="J8" i="26"/>
  <c r="K8" i="26"/>
  <c r="L8" i="26"/>
  <c r="M8" i="26"/>
  <c r="N8" i="26"/>
  <c r="O8" i="26"/>
  <c r="P8" i="26"/>
  <c r="Q8" i="26"/>
  <c r="R8" i="26"/>
  <c r="S8" i="26"/>
  <c r="B9" i="26"/>
  <c r="C9" i="26"/>
  <c r="D9" i="26"/>
  <c r="E9" i="26"/>
  <c r="F9" i="26"/>
  <c r="G9" i="26"/>
  <c r="H9" i="26"/>
  <c r="I9" i="26"/>
  <c r="J9" i="26"/>
  <c r="K9" i="26"/>
  <c r="L9" i="26"/>
  <c r="M9" i="26"/>
  <c r="N9" i="26"/>
  <c r="O9" i="26"/>
  <c r="P9" i="26"/>
  <c r="Q9" i="26"/>
  <c r="R9" i="26"/>
  <c r="S9" i="26"/>
  <c r="B10" i="26"/>
  <c r="C10" i="26"/>
  <c r="D10" i="26"/>
  <c r="E10" i="26"/>
  <c r="F10" i="26"/>
  <c r="G10" i="26"/>
  <c r="H10" i="26"/>
  <c r="I10" i="26"/>
  <c r="J10" i="26"/>
  <c r="K10" i="26"/>
  <c r="L10" i="26"/>
  <c r="M10" i="26"/>
  <c r="N10" i="26"/>
  <c r="O10" i="26"/>
  <c r="P10" i="26"/>
  <c r="Q10" i="26"/>
  <c r="R10" i="26"/>
  <c r="S10" i="26"/>
  <c r="B11" i="26"/>
  <c r="C11" i="26"/>
  <c r="D11" i="26"/>
  <c r="E11" i="26"/>
  <c r="F11" i="26"/>
  <c r="G11" i="26"/>
  <c r="H11" i="26"/>
  <c r="I11" i="26"/>
  <c r="J11" i="26"/>
  <c r="K11" i="26"/>
  <c r="L11" i="26"/>
  <c r="M11" i="26"/>
  <c r="N11" i="26"/>
  <c r="O11" i="26"/>
  <c r="P11" i="26"/>
  <c r="Q11" i="26"/>
  <c r="R11" i="26"/>
  <c r="S11" i="26"/>
  <c r="B12" i="26"/>
  <c r="C12" i="26"/>
  <c r="D12" i="26"/>
  <c r="E12" i="26"/>
  <c r="F12" i="26"/>
  <c r="G12" i="26"/>
  <c r="H12" i="26"/>
  <c r="I12" i="26"/>
  <c r="J12" i="26"/>
  <c r="K12" i="26"/>
  <c r="L12" i="26"/>
  <c r="M12" i="26"/>
  <c r="N12" i="26"/>
  <c r="O12" i="26"/>
  <c r="P12" i="26"/>
  <c r="Q12" i="26"/>
  <c r="R12" i="26"/>
  <c r="S12" i="26"/>
  <c r="B13" i="26"/>
  <c r="C13" i="26"/>
  <c r="D13" i="26"/>
  <c r="E13" i="26"/>
  <c r="F13" i="26"/>
  <c r="G13" i="26"/>
  <c r="H13" i="26"/>
  <c r="I13" i="26"/>
  <c r="J13" i="26"/>
  <c r="K13" i="26"/>
  <c r="L13" i="26"/>
  <c r="M13" i="26"/>
  <c r="N13" i="26"/>
  <c r="O13" i="26"/>
  <c r="P13" i="26"/>
  <c r="Q13" i="26"/>
  <c r="R13" i="26"/>
  <c r="S13" i="26"/>
  <c r="B14" i="26"/>
  <c r="C14" i="26"/>
  <c r="D14" i="26"/>
  <c r="E14" i="26"/>
  <c r="F14" i="26"/>
  <c r="G14" i="26"/>
  <c r="H14" i="26"/>
  <c r="I14" i="26"/>
  <c r="J14" i="26"/>
  <c r="K14" i="26"/>
  <c r="L14" i="26"/>
  <c r="M14" i="26"/>
  <c r="N14" i="26"/>
  <c r="O14" i="26"/>
  <c r="P14" i="26"/>
  <c r="Q14" i="26"/>
  <c r="R14" i="26"/>
  <c r="S14" i="26"/>
  <c r="B15" i="26"/>
  <c r="C15" i="26"/>
  <c r="D15" i="26"/>
  <c r="E15" i="26"/>
  <c r="F15" i="26"/>
  <c r="G15" i="26"/>
  <c r="H15" i="26"/>
  <c r="I15" i="26"/>
  <c r="J15" i="26"/>
  <c r="K15" i="26"/>
  <c r="L15" i="26"/>
  <c r="M15" i="26"/>
  <c r="N15" i="26"/>
  <c r="O15" i="26"/>
  <c r="P15" i="26"/>
  <c r="Q15" i="26"/>
  <c r="R15" i="26"/>
  <c r="S15" i="26"/>
  <c r="B16" i="26"/>
  <c r="C16" i="26"/>
  <c r="D16" i="26"/>
  <c r="E16" i="26"/>
  <c r="F16" i="26"/>
  <c r="G16" i="26"/>
  <c r="H16" i="26"/>
  <c r="I16" i="26"/>
  <c r="J16" i="26"/>
  <c r="K16" i="26"/>
  <c r="L16" i="26"/>
  <c r="M16" i="26"/>
  <c r="N16" i="26"/>
  <c r="O16" i="26"/>
  <c r="P16" i="26"/>
  <c r="Q16" i="26"/>
  <c r="R16" i="26"/>
  <c r="S16" i="26"/>
  <c r="B17" i="26"/>
  <c r="C17" i="26"/>
  <c r="D17" i="26"/>
  <c r="E17" i="26"/>
  <c r="F17" i="26"/>
  <c r="G17" i="26"/>
  <c r="H17" i="26"/>
  <c r="I17" i="26"/>
  <c r="J17" i="26"/>
  <c r="K17" i="26"/>
  <c r="L17" i="26"/>
  <c r="M17" i="26"/>
  <c r="N17" i="26"/>
  <c r="O17" i="26"/>
  <c r="P17" i="26"/>
  <c r="Q17" i="26"/>
  <c r="R17" i="26"/>
  <c r="S17" i="26"/>
  <c r="B18" i="26"/>
  <c r="C18" i="26"/>
  <c r="D18" i="26"/>
  <c r="E18" i="26"/>
  <c r="F18" i="26"/>
  <c r="G18" i="26"/>
  <c r="H18" i="26"/>
  <c r="I18" i="26"/>
  <c r="J18" i="26"/>
  <c r="K18" i="26"/>
  <c r="L18" i="26"/>
  <c r="M18" i="26"/>
  <c r="N18" i="26"/>
  <c r="O18" i="26"/>
  <c r="P18" i="26"/>
  <c r="Q18" i="26"/>
  <c r="R18" i="26"/>
  <c r="S18" i="26"/>
  <c r="B19" i="26"/>
  <c r="C19" i="26"/>
  <c r="D19" i="26"/>
  <c r="E19" i="26"/>
  <c r="F19" i="26"/>
  <c r="G19" i="26"/>
  <c r="H19" i="26"/>
  <c r="I19" i="26"/>
  <c r="J19" i="26"/>
  <c r="K19" i="26"/>
  <c r="L19" i="26"/>
  <c r="M19" i="26"/>
  <c r="N19" i="26"/>
  <c r="O19" i="26"/>
  <c r="P19" i="26"/>
  <c r="Q19" i="26"/>
  <c r="R19" i="26"/>
  <c r="S19" i="26"/>
  <c r="B20" i="26"/>
  <c r="C20" i="26"/>
  <c r="D20" i="26"/>
  <c r="E20" i="26"/>
  <c r="F20" i="26"/>
  <c r="G20" i="26"/>
  <c r="H20" i="26"/>
  <c r="I20" i="26"/>
  <c r="J20" i="26"/>
  <c r="K20" i="26"/>
  <c r="L20" i="26"/>
  <c r="M20" i="26"/>
  <c r="N20" i="26"/>
  <c r="O20" i="26"/>
  <c r="P20" i="26"/>
  <c r="Q20" i="26"/>
  <c r="R20" i="26"/>
  <c r="S20" i="26"/>
  <c r="B21" i="26"/>
  <c r="C21" i="26"/>
  <c r="D21" i="26"/>
  <c r="E21" i="26"/>
  <c r="F21" i="26"/>
  <c r="G21" i="26"/>
  <c r="H21" i="26"/>
  <c r="I21" i="26"/>
  <c r="J21" i="26"/>
  <c r="K21" i="26"/>
  <c r="L21" i="26"/>
  <c r="M21" i="26"/>
  <c r="N21" i="26"/>
  <c r="O21" i="26"/>
  <c r="P21" i="26"/>
  <c r="Q21" i="26"/>
  <c r="R21" i="26"/>
  <c r="S21" i="26"/>
  <c r="B22" i="26"/>
  <c r="C22" i="26"/>
  <c r="D22" i="26"/>
  <c r="E22" i="26"/>
  <c r="F22" i="26"/>
  <c r="G22" i="26"/>
  <c r="H22" i="26"/>
  <c r="I22" i="26"/>
  <c r="J22" i="26"/>
  <c r="K22" i="26"/>
  <c r="L22" i="26"/>
  <c r="M22" i="26"/>
  <c r="N22" i="26"/>
  <c r="O22" i="26"/>
  <c r="P22" i="26"/>
  <c r="Q22" i="26"/>
  <c r="R22" i="26"/>
  <c r="S22" i="26"/>
  <c r="B23" i="26"/>
  <c r="C23" i="26"/>
  <c r="D23" i="26"/>
  <c r="E23" i="26"/>
  <c r="F23" i="26"/>
  <c r="G23" i="26"/>
  <c r="H23" i="26"/>
  <c r="I23" i="26"/>
  <c r="J23" i="26"/>
  <c r="K23" i="26"/>
  <c r="L23" i="26"/>
  <c r="M23" i="26"/>
  <c r="N23" i="26"/>
  <c r="O23" i="26"/>
  <c r="P23" i="26"/>
  <c r="Q23" i="26"/>
  <c r="R23" i="26"/>
  <c r="S23" i="26"/>
  <c r="B24" i="26"/>
  <c r="C24" i="26"/>
  <c r="D24" i="26"/>
  <c r="E24" i="26"/>
  <c r="F24" i="26"/>
  <c r="G24" i="26"/>
  <c r="H24" i="26"/>
  <c r="I24" i="26"/>
  <c r="J24" i="26"/>
  <c r="K24" i="26"/>
  <c r="L24" i="26"/>
  <c r="M24" i="26"/>
  <c r="N24" i="26"/>
  <c r="O24" i="26"/>
  <c r="P24" i="26"/>
  <c r="Q24" i="26"/>
  <c r="R24" i="26"/>
  <c r="S24" i="26"/>
  <c r="B25" i="26"/>
  <c r="C25" i="26"/>
  <c r="D25" i="26"/>
  <c r="E25" i="26"/>
  <c r="F25" i="26"/>
  <c r="G25" i="26"/>
  <c r="H25" i="26"/>
  <c r="I25" i="26"/>
  <c r="J25" i="26"/>
  <c r="K25" i="26"/>
  <c r="L25" i="26"/>
  <c r="M25" i="26"/>
  <c r="N25" i="26"/>
  <c r="O25" i="26"/>
  <c r="P25" i="26"/>
  <c r="Q25" i="26"/>
  <c r="R25" i="26"/>
  <c r="S25" i="26"/>
  <c r="B26" i="26"/>
  <c r="C26" i="26"/>
  <c r="D26" i="26"/>
  <c r="E26" i="26"/>
  <c r="F26" i="26"/>
  <c r="G26" i="26"/>
  <c r="H26" i="26"/>
  <c r="I26" i="26"/>
  <c r="J26" i="26"/>
  <c r="K26" i="26"/>
  <c r="L26" i="26"/>
  <c r="M26" i="26"/>
  <c r="N26" i="26"/>
  <c r="O26" i="26"/>
  <c r="P26" i="26"/>
  <c r="Q26" i="26"/>
  <c r="R26" i="26"/>
  <c r="S26" i="26"/>
  <c r="B27" i="26"/>
  <c r="C27" i="26"/>
  <c r="D27" i="26"/>
  <c r="E27" i="26"/>
  <c r="F27" i="26"/>
  <c r="G27" i="26"/>
  <c r="H27" i="26"/>
  <c r="I27" i="26"/>
  <c r="J27" i="26"/>
  <c r="K27" i="26"/>
  <c r="L27" i="26"/>
  <c r="M27" i="26"/>
  <c r="N27" i="26"/>
  <c r="O27" i="26"/>
  <c r="P27" i="26"/>
  <c r="Q27" i="26"/>
  <c r="R27" i="26"/>
  <c r="S27" i="26"/>
  <c r="B28" i="26"/>
  <c r="C28" i="26"/>
  <c r="D28" i="26"/>
  <c r="E28" i="26"/>
  <c r="F28" i="26"/>
  <c r="G28" i="26"/>
  <c r="H28" i="26"/>
  <c r="I28" i="26"/>
  <c r="J28" i="26"/>
  <c r="K28" i="26"/>
  <c r="L28" i="26"/>
  <c r="M28" i="26"/>
  <c r="N28" i="26"/>
  <c r="O28" i="26"/>
  <c r="P28" i="26"/>
  <c r="Q28" i="26"/>
  <c r="R28" i="26"/>
  <c r="S28" i="26"/>
  <c r="B29" i="26"/>
  <c r="C29" i="26"/>
  <c r="D29" i="26"/>
  <c r="E29" i="26"/>
  <c r="F29" i="26"/>
  <c r="G29" i="26"/>
  <c r="H29" i="26"/>
  <c r="I29" i="26"/>
  <c r="J29" i="26"/>
  <c r="K29" i="26"/>
  <c r="L29" i="26"/>
  <c r="M29" i="26"/>
  <c r="N29" i="26"/>
  <c r="O29" i="26"/>
  <c r="P29" i="26"/>
  <c r="Q29" i="26"/>
  <c r="R29" i="26"/>
  <c r="S29" i="26"/>
  <c r="B30" i="26"/>
  <c r="C30" i="26"/>
  <c r="D30" i="26"/>
  <c r="E30" i="26"/>
  <c r="F30" i="26"/>
  <c r="G30" i="26"/>
  <c r="H30" i="26"/>
  <c r="I30" i="26"/>
  <c r="J30" i="26"/>
  <c r="K30" i="26"/>
  <c r="L30" i="26"/>
  <c r="M30" i="26"/>
  <c r="N30" i="26"/>
  <c r="O30" i="26"/>
  <c r="P30" i="26"/>
  <c r="Q30" i="26"/>
  <c r="R30" i="26"/>
  <c r="S30" i="26"/>
  <c r="B31" i="26"/>
  <c r="C31" i="26"/>
  <c r="D31" i="26"/>
  <c r="E31" i="26"/>
  <c r="F31" i="26"/>
  <c r="G31" i="26"/>
  <c r="H31" i="26"/>
  <c r="I31" i="26"/>
  <c r="J31" i="26"/>
  <c r="K31" i="26"/>
  <c r="L31" i="26"/>
  <c r="M31" i="26"/>
  <c r="N31" i="26"/>
  <c r="O31" i="26"/>
  <c r="P31" i="26"/>
  <c r="Q31" i="26"/>
  <c r="R31" i="26"/>
  <c r="S31" i="26"/>
  <c r="B32" i="26"/>
  <c r="C32" i="26"/>
  <c r="D32" i="26"/>
  <c r="E32" i="26"/>
  <c r="F32" i="26"/>
  <c r="G32" i="26"/>
  <c r="H32" i="26"/>
  <c r="I32" i="26"/>
  <c r="J32" i="26"/>
  <c r="K32" i="26"/>
  <c r="L32" i="26"/>
  <c r="M32" i="26"/>
  <c r="N32" i="26"/>
  <c r="O32" i="26"/>
  <c r="P32" i="26"/>
  <c r="Q32" i="26"/>
  <c r="R32" i="26"/>
  <c r="S32" i="26"/>
  <c r="B33" i="26"/>
  <c r="C33" i="26"/>
  <c r="D33" i="26"/>
  <c r="E33" i="26"/>
  <c r="F33" i="26"/>
  <c r="G33" i="26"/>
  <c r="H33" i="26"/>
  <c r="I33" i="26"/>
  <c r="J33" i="26"/>
  <c r="K33" i="26"/>
  <c r="L33" i="26"/>
  <c r="M33" i="26"/>
  <c r="N33" i="26"/>
  <c r="O33" i="26"/>
  <c r="P33" i="26"/>
  <c r="Q33" i="26"/>
  <c r="R33" i="26"/>
  <c r="S33" i="26"/>
  <c r="B34" i="26"/>
  <c r="C34" i="26"/>
  <c r="D34" i="26"/>
  <c r="E34" i="26"/>
  <c r="F34" i="26"/>
  <c r="G34" i="26"/>
  <c r="H34" i="26"/>
  <c r="I34" i="26"/>
  <c r="J34" i="26"/>
  <c r="K34" i="26"/>
  <c r="L34" i="26"/>
  <c r="M34" i="26"/>
  <c r="N34" i="26"/>
  <c r="O34" i="26"/>
  <c r="P34" i="26"/>
  <c r="Q34" i="26"/>
  <c r="R34" i="26"/>
  <c r="S34" i="26"/>
  <c r="B35" i="26"/>
  <c r="C35" i="26"/>
  <c r="D35" i="26"/>
  <c r="E35" i="26"/>
  <c r="F35" i="26"/>
  <c r="G35" i="26"/>
  <c r="H35" i="26"/>
  <c r="I35" i="26"/>
  <c r="J35" i="26"/>
  <c r="K35" i="26"/>
  <c r="L35" i="26"/>
  <c r="M35" i="26"/>
  <c r="N35" i="26"/>
  <c r="O35" i="26"/>
  <c r="P35" i="26"/>
  <c r="Q35" i="26"/>
  <c r="R35" i="26"/>
  <c r="S35" i="26"/>
  <c r="B36" i="26"/>
  <c r="C36" i="26"/>
  <c r="D36" i="26"/>
  <c r="E36" i="26"/>
  <c r="F36" i="26"/>
  <c r="G36" i="26"/>
  <c r="H36" i="26"/>
  <c r="I36" i="26"/>
  <c r="J36" i="26"/>
  <c r="K36" i="26"/>
  <c r="L36" i="26"/>
  <c r="M36" i="26"/>
  <c r="N36" i="26"/>
  <c r="O36" i="26"/>
  <c r="P36" i="26"/>
  <c r="Q36" i="26"/>
  <c r="R36" i="26"/>
  <c r="S36" i="26"/>
  <c r="B37" i="26"/>
  <c r="C37" i="26"/>
  <c r="D37" i="26"/>
  <c r="E37" i="26"/>
  <c r="F37" i="26"/>
  <c r="G37" i="26"/>
  <c r="H37" i="26"/>
  <c r="I37" i="26"/>
  <c r="J37" i="26"/>
  <c r="K37" i="26"/>
  <c r="L37" i="26"/>
  <c r="M37" i="26"/>
  <c r="N37" i="26"/>
  <c r="O37" i="26"/>
  <c r="P37" i="26"/>
  <c r="Q37" i="26"/>
  <c r="R37" i="26"/>
  <c r="S37" i="26"/>
  <c r="B38" i="26"/>
  <c r="C38" i="26"/>
  <c r="D38" i="26"/>
  <c r="E38" i="26"/>
  <c r="F38" i="26"/>
  <c r="G38" i="26"/>
  <c r="H38" i="26"/>
  <c r="I38" i="26"/>
  <c r="J38" i="26"/>
  <c r="K38" i="26"/>
  <c r="L38" i="26"/>
  <c r="M38" i="26"/>
  <c r="N38" i="26"/>
  <c r="O38" i="26"/>
  <c r="P38" i="26"/>
  <c r="Q38" i="26"/>
  <c r="R38" i="26"/>
  <c r="S38" i="26"/>
  <c r="B39" i="26"/>
  <c r="C39" i="26"/>
  <c r="D39" i="26"/>
  <c r="E39" i="26"/>
  <c r="F39" i="26"/>
  <c r="G39" i="26"/>
  <c r="H39" i="26"/>
  <c r="I39" i="26"/>
  <c r="J39" i="26"/>
  <c r="K39" i="26"/>
  <c r="L39" i="26"/>
  <c r="M39" i="26"/>
  <c r="N39" i="26"/>
  <c r="O39" i="26"/>
  <c r="P39" i="26"/>
  <c r="Q39" i="26"/>
  <c r="R39" i="26"/>
  <c r="S39" i="26"/>
  <c r="B40" i="26"/>
  <c r="C40" i="26"/>
  <c r="D40" i="26"/>
  <c r="E40" i="26"/>
  <c r="F40" i="26"/>
  <c r="G40" i="26"/>
  <c r="H40" i="26"/>
  <c r="I40" i="26"/>
  <c r="J40" i="26"/>
  <c r="K40" i="26"/>
  <c r="L40" i="26"/>
  <c r="M40" i="26"/>
  <c r="N40" i="26"/>
  <c r="O40" i="26"/>
  <c r="P40" i="26"/>
  <c r="Q40" i="26"/>
  <c r="R40" i="26"/>
  <c r="S40" i="26"/>
  <c r="B41" i="26"/>
  <c r="C41" i="26"/>
  <c r="D41" i="26"/>
  <c r="E41" i="26"/>
  <c r="F41" i="26"/>
  <c r="G41" i="26"/>
  <c r="H41" i="26"/>
  <c r="I41" i="26"/>
  <c r="J41" i="26"/>
  <c r="K41" i="26"/>
  <c r="L41" i="26"/>
  <c r="M41" i="26"/>
  <c r="N41" i="26"/>
  <c r="O41" i="26"/>
  <c r="P41" i="26"/>
  <c r="Q41" i="26"/>
  <c r="R41" i="26"/>
  <c r="S41" i="26"/>
  <c r="B42" i="26"/>
  <c r="C42" i="26"/>
  <c r="D42" i="26"/>
  <c r="E42" i="26"/>
  <c r="F42" i="26"/>
  <c r="G42" i="26"/>
  <c r="H42" i="26"/>
  <c r="I42" i="26"/>
  <c r="J42" i="26"/>
  <c r="K42" i="26"/>
  <c r="L42" i="26"/>
  <c r="M42" i="26"/>
  <c r="N42" i="26"/>
  <c r="O42" i="26"/>
  <c r="P42" i="26"/>
  <c r="Q42" i="26"/>
  <c r="R42" i="26"/>
  <c r="S42" i="26"/>
  <c r="B43" i="26"/>
  <c r="C43" i="26"/>
  <c r="D43" i="26"/>
  <c r="E43" i="26"/>
  <c r="F43" i="26"/>
  <c r="G43" i="26"/>
  <c r="H43" i="26"/>
  <c r="I43" i="26"/>
  <c r="J43" i="26"/>
  <c r="K43" i="26"/>
  <c r="L43" i="26"/>
  <c r="M43" i="26"/>
  <c r="N43" i="26"/>
  <c r="O43" i="26"/>
  <c r="P43" i="26"/>
  <c r="Q43" i="26"/>
  <c r="R43" i="26"/>
  <c r="S43" i="26"/>
  <c r="B44" i="26"/>
  <c r="C44" i="26"/>
  <c r="D44" i="26"/>
  <c r="E44" i="26"/>
  <c r="F44" i="26"/>
  <c r="G44" i="26"/>
  <c r="H44" i="26"/>
  <c r="I44" i="26"/>
  <c r="J44" i="26"/>
  <c r="K44" i="26"/>
  <c r="L44" i="26"/>
  <c r="M44" i="26"/>
  <c r="N44" i="26"/>
  <c r="O44" i="26"/>
  <c r="P44" i="26"/>
  <c r="Q44" i="26"/>
  <c r="R44" i="26"/>
  <c r="S44" i="26"/>
  <c r="B45" i="26"/>
  <c r="C45" i="26"/>
  <c r="D45" i="26"/>
  <c r="E45" i="26"/>
  <c r="F45" i="26"/>
  <c r="G45" i="26"/>
  <c r="H45" i="26"/>
  <c r="I45" i="26"/>
  <c r="J45" i="26"/>
  <c r="K45" i="26"/>
  <c r="L45" i="26"/>
  <c r="M45" i="26"/>
  <c r="N45" i="26"/>
  <c r="O45" i="26"/>
  <c r="P45" i="26"/>
  <c r="Q45" i="26"/>
  <c r="R45" i="26"/>
  <c r="S45" i="26"/>
  <c r="B46" i="26"/>
  <c r="C46" i="26"/>
  <c r="D46" i="26"/>
  <c r="E46" i="26"/>
  <c r="F46" i="26"/>
  <c r="G46" i="26"/>
  <c r="H46" i="26"/>
  <c r="I46" i="26"/>
  <c r="J46" i="26"/>
  <c r="K46" i="26"/>
  <c r="L46" i="26"/>
  <c r="M46" i="26"/>
  <c r="N46" i="26"/>
  <c r="O46" i="26"/>
  <c r="P46" i="26"/>
  <c r="Q46" i="26"/>
  <c r="R46" i="26"/>
  <c r="S46" i="26"/>
  <c r="B47" i="26"/>
  <c r="C47" i="26"/>
  <c r="D47" i="26"/>
  <c r="E47" i="26"/>
  <c r="F47" i="26"/>
  <c r="G47" i="26"/>
  <c r="H47" i="26"/>
  <c r="I47" i="26"/>
  <c r="J47" i="26"/>
  <c r="K47" i="26"/>
  <c r="L47" i="26"/>
  <c r="M47" i="26"/>
  <c r="N47" i="26"/>
  <c r="O47" i="26"/>
  <c r="P47" i="26"/>
  <c r="Q47" i="26"/>
  <c r="R47" i="26"/>
  <c r="S47" i="26"/>
  <c r="B48" i="26"/>
  <c r="C48" i="26"/>
  <c r="D48" i="26"/>
  <c r="E48" i="26"/>
  <c r="F48" i="26"/>
  <c r="G48" i="26"/>
  <c r="H48" i="26"/>
  <c r="I48" i="26"/>
  <c r="J48" i="26"/>
  <c r="K48" i="26"/>
  <c r="L48" i="26"/>
  <c r="M48" i="26"/>
  <c r="N48" i="26"/>
  <c r="O48" i="26"/>
  <c r="P48" i="26"/>
  <c r="Q48" i="26"/>
  <c r="R48" i="26"/>
  <c r="S48" i="26"/>
  <c r="B49" i="26"/>
  <c r="C49" i="26"/>
  <c r="D49" i="26"/>
  <c r="E49" i="26"/>
  <c r="F49" i="26"/>
  <c r="G49" i="26"/>
  <c r="H49" i="26"/>
  <c r="I49" i="26"/>
  <c r="J49" i="26"/>
  <c r="K49" i="26"/>
  <c r="L49" i="26"/>
  <c r="M49" i="26"/>
  <c r="N49" i="26"/>
  <c r="O49" i="26"/>
  <c r="P49" i="26"/>
  <c r="Q49" i="26"/>
  <c r="R49" i="26"/>
  <c r="S49" i="26"/>
  <c r="B50" i="26"/>
  <c r="C50" i="26"/>
  <c r="D50" i="26"/>
  <c r="E50" i="26"/>
  <c r="F50" i="26"/>
  <c r="G50" i="26"/>
  <c r="H50" i="26"/>
  <c r="I50" i="26"/>
  <c r="J50" i="26"/>
  <c r="K50" i="26"/>
  <c r="L50" i="26"/>
  <c r="M50" i="26"/>
  <c r="N50" i="26"/>
  <c r="O50" i="26"/>
  <c r="P50" i="26"/>
  <c r="Q50" i="26"/>
  <c r="R50" i="26"/>
  <c r="S50" i="26"/>
  <c r="B51" i="26"/>
  <c r="C51" i="26"/>
  <c r="D51" i="26"/>
  <c r="E51" i="26"/>
  <c r="F51" i="26"/>
  <c r="G51" i="26"/>
  <c r="H51" i="26"/>
  <c r="I51" i="26"/>
  <c r="J51" i="26"/>
  <c r="K51" i="26"/>
  <c r="L51" i="26"/>
  <c r="M51" i="26"/>
  <c r="N51" i="26"/>
  <c r="O51" i="26"/>
  <c r="P51" i="26"/>
  <c r="Q51" i="26"/>
  <c r="R51" i="26"/>
  <c r="S51" i="26"/>
  <c r="B52" i="26"/>
  <c r="C52" i="26"/>
  <c r="D52" i="26"/>
  <c r="E52" i="26"/>
  <c r="F52" i="26"/>
  <c r="G52" i="26"/>
  <c r="H52" i="26"/>
  <c r="I52" i="26"/>
  <c r="J52" i="26"/>
  <c r="K52" i="26"/>
  <c r="L52" i="26"/>
  <c r="M52" i="26"/>
  <c r="N52" i="26"/>
  <c r="O52" i="26"/>
  <c r="P52" i="26"/>
  <c r="Q52" i="26"/>
  <c r="R52" i="26"/>
  <c r="S52" i="26"/>
  <c r="B53" i="26"/>
  <c r="C53" i="26"/>
  <c r="D53" i="26"/>
  <c r="E53" i="26"/>
  <c r="F53" i="26"/>
  <c r="G53" i="26"/>
  <c r="H53" i="26"/>
  <c r="I53" i="26"/>
  <c r="J53" i="26"/>
  <c r="K53" i="26"/>
  <c r="L53" i="26"/>
  <c r="M53" i="26"/>
  <c r="N53" i="26"/>
  <c r="O53" i="26"/>
  <c r="P53" i="26"/>
  <c r="Q53" i="26"/>
  <c r="R53" i="26"/>
  <c r="S53" i="26"/>
  <c r="B54" i="26"/>
  <c r="C54" i="26"/>
  <c r="D54" i="26"/>
  <c r="E54" i="26"/>
  <c r="F54" i="26"/>
  <c r="G54" i="26"/>
  <c r="H54" i="26"/>
  <c r="I54" i="26"/>
  <c r="J54" i="26"/>
  <c r="K54" i="26"/>
  <c r="L54" i="26"/>
  <c r="M54" i="26"/>
  <c r="N54" i="26"/>
  <c r="O54" i="26"/>
  <c r="P54" i="26"/>
  <c r="Q54" i="26"/>
  <c r="R54" i="26"/>
  <c r="S54" i="26"/>
  <c r="B55" i="26"/>
  <c r="C55" i="26"/>
  <c r="D55" i="26"/>
  <c r="E55" i="26"/>
  <c r="F55" i="26"/>
  <c r="G55" i="26"/>
  <c r="H55" i="26"/>
  <c r="I55" i="26"/>
  <c r="J55" i="26"/>
  <c r="K55" i="26"/>
  <c r="L55" i="26"/>
  <c r="M55" i="26"/>
  <c r="N55" i="26"/>
  <c r="O55" i="26"/>
  <c r="P55" i="26"/>
  <c r="Q55" i="26"/>
  <c r="R55" i="26"/>
  <c r="S55" i="26"/>
  <c r="B56" i="26"/>
  <c r="C56" i="26"/>
  <c r="D56" i="26"/>
  <c r="E56" i="26"/>
  <c r="F56" i="26"/>
  <c r="G56" i="26"/>
  <c r="H56" i="26"/>
  <c r="I56" i="26"/>
  <c r="J56" i="26"/>
  <c r="K56" i="26"/>
  <c r="L56" i="26"/>
  <c r="M56" i="26"/>
  <c r="N56" i="26"/>
  <c r="O56" i="26"/>
  <c r="P56" i="26"/>
  <c r="Q56" i="26"/>
  <c r="R56" i="26"/>
  <c r="S56" i="26"/>
  <c r="B57" i="26"/>
  <c r="C57" i="26"/>
  <c r="D57" i="26"/>
  <c r="E57" i="26"/>
  <c r="F57" i="26"/>
  <c r="G57" i="26"/>
  <c r="H57" i="26"/>
  <c r="I57" i="26"/>
  <c r="J57" i="26"/>
  <c r="K57" i="26"/>
  <c r="L57" i="26"/>
  <c r="M57" i="26"/>
  <c r="N57" i="26"/>
  <c r="O57" i="26"/>
  <c r="P57" i="26"/>
  <c r="Q57" i="26"/>
  <c r="R57" i="26"/>
  <c r="S57" i="26"/>
  <c r="B58" i="26"/>
  <c r="C58" i="26"/>
  <c r="D58" i="26"/>
  <c r="E58" i="26"/>
  <c r="F58" i="26"/>
  <c r="G58" i="26"/>
  <c r="H58" i="26"/>
  <c r="I58" i="26"/>
  <c r="J58" i="26"/>
  <c r="K58" i="26"/>
  <c r="L58" i="26"/>
  <c r="M58" i="26"/>
  <c r="N58" i="26"/>
  <c r="O58" i="26"/>
  <c r="P58" i="26"/>
  <c r="Q58" i="26"/>
  <c r="R58" i="26"/>
  <c r="S58" i="26"/>
  <c r="B59" i="26"/>
  <c r="C59" i="26"/>
  <c r="D59" i="26"/>
  <c r="E59" i="26"/>
  <c r="F59" i="26"/>
  <c r="G59" i="26"/>
  <c r="H59" i="26"/>
  <c r="I59" i="26"/>
  <c r="J59" i="26"/>
  <c r="K59" i="26"/>
  <c r="L59" i="26"/>
  <c r="M59" i="26"/>
  <c r="N59" i="26"/>
  <c r="O59" i="26"/>
  <c r="P59" i="26"/>
  <c r="Q59" i="26"/>
  <c r="R59" i="26"/>
  <c r="S59" i="26"/>
  <c r="B60" i="26"/>
  <c r="C60" i="26"/>
  <c r="D60" i="26"/>
  <c r="E60" i="26"/>
  <c r="F60" i="26"/>
  <c r="G60" i="26"/>
  <c r="H60" i="26"/>
  <c r="I60" i="26"/>
  <c r="J60" i="26"/>
  <c r="K60" i="26"/>
  <c r="L60" i="26"/>
  <c r="M60" i="26"/>
  <c r="N60" i="26"/>
  <c r="O60" i="26"/>
  <c r="P60" i="26"/>
  <c r="Q60" i="26"/>
  <c r="R60" i="26"/>
  <c r="S60" i="26"/>
  <c r="B61" i="26"/>
  <c r="C61" i="26"/>
  <c r="D61" i="26"/>
  <c r="E61" i="26"/>
  <c r="F61" i="26"/>
  <c r="G61" i="26"/>
  <c r="H61" i="26"/>
  <c r="I61" i="26"/>
  <c r="J61" i="26"/>
  <c r="K61" i="26"/>
  <c r="L61" i="26"/>
  <c r="M61" i="26"/>
  <c r="N61" i="26"/>
  <c r="O61" i="26"/>
  <c r="P61" i="26"/>
  <c r="Q61" i="26"/>
  <c r="R61" i="26"/>
  <c r="S61" i="26"/>
  <c r="B62" i="26"/>
  <c r="C62" i="26"/>
  <c r="D62" i="26"/>
  <c r="E62" i="26"/>
  <c r="F62" i="26"/>
  <c r="G62" i="26"/>
  <c r="H62" i="26"/>
  <c r="I62" i="26"/>
  <c r="J62" i="26"/>
  <c r="K62" i="26"/>
  <c r="L62" i="26"/>
  <c r="M62" i="26"/>
  <c r="N62" i="26"/>
  <c r="O62" i="26"/>
  <c r="P62" i="26"/>
  <c r="Q62" i="26"/>
  <c r="R62" i="26"/>
  <c r="S62" i="26"/>
  <c r="B63" i="26"/>
  <c r="C63" i="26"/>
  <c r="D63" i="26"/>
  <c r="E63" i="26"/>
  <c r="F63" i="26"/>
  <c r="G63" i="26"/>
  <c r="H63" i="26"/>
  <c r="I63" i="26"/>
  <c r="J63" i="26"/>
  <c r="K63" i="26"/>
  <c r="L63" i="26"/>
  <c r="M63" i="26"/>
  <c r="N63" i="26"/>
  <c r="O63" i="26"/>
  <c r="P63" i="26"/>
  <c r="Q63" i="26"/>
  <c r="R63" i="26"/>
  <c r="S63" i="26"/>
  <c r="B64" i="26"/>
  <c r="C64" i="26"/>
  <c r="D64" i="26"/>
  <c r="E64" i="26"/>
  <c r="F64" i="26"/>
  <c r="G64" i="26"/>
  <c r="H64" i="26"/>
  <c r="I64" i="26"/>
  <c r="J64" i="26"/>
  <c r="K64" i="26"/>
  <c r="L64" i="26"/>
  <c r="M64" i="26"/>
  <c r="N64" i="26"/>
  <c r="O64" i="26"/>
  <c r="P64" i="26"/>
  <c r="Q64" i="26"/>
  <c r="R64" i="26"/>
  <c r="S64" i="26"/>
  <c r="B65" i="26"/>
  <c r="C65" i="26"/>
  <c r="D65" i="26"/>
  <c r="E65" i="26"/>
  <c r="F65" i="26"/>
  <c r="G65" i="26"/>
  <c r="H65" i="26"/>
  <c r="I65" i="26"/>
  <c r="J65" i="26"/>
  <c r="K65" i="26"/>
  <c r="L65" i="26"/>
  <c r="M65" i="26"/>
  <c r="N65" i="26"/>
  <c r="O65" i="26"/>
  <c r="P65" i="26"/>
  <c r="Q65" i="26"/>
  <c r="R65" i="26"/>
  <c r="S65" i="26"/>
  <c r="B66" i="26"/>
  <c r="C66" i="26"/>
  <c r="D66" i="26"/>
  <c r="E66" i="26"/>
  <c r="F66" i="26"/>
  <c r="G66" i="26"/>
  <c r="H66" i="26"/>
  <c r="I66" i="26"/>
  <c r="J66" i="26"/>
  <c r="K66" i="26"/>
  <c r="L66" i="26"/>
  <c r="M66" i="26"/>
  <c r="N66" i="26"/>
  <c r="O66" i="26"/>
  <c r="P66" i="26"/>
  <c r="Q66" i="26"/>
  <c r="R66" i="26"/>
  <c r="S66" i="26"/>
  <c r="B67" i="26"/>
  <c r="C67" i="26"/>
  <c r="D67" i="26"/>
  <c r="E67" i="26"/>
  <c r="F67" i="26"/>
  <c r="G67" i="26"/>
  <c r="H67" i="26"/>
  <c r="I67" i="26"/>
  <c r="J67" i="26"/>
  <c r="K67" i="26"/>
  <c r="L67" i="26"/>
  <c r="M67" i="26"/>
  <c r="N67" i="26"/>
  <c r="O67" i="26"/>
  <c r="P67" i="26"/>
  <c r="Q67" i="26"/>
  <c r="R67" i="26"/>
  <c r="S67" i="26"/>
  <c r="B68" i="26"/>
  <c r="C68" i="26"/>
  <c r="D68" i="26"/>
  <c r="E68" i="26"/>
  <c r="F68" i="26"/>
  <c r="G68" i="26"/>
  <c r="H68" i="26"/>
  <c r="I68" i="26"/>
  <c r="J68" i="26"/>
  <c r="K68" i="26"/>
  <c r="L68" i="26"/>
  <c r="M68" i="26"/>
  <c r="N68" i="26"/>
  <c r="O68" i="26"/>
  <c r="P68" i="26"/>
  <c r="Q68" i="26"/>
  <c r="R68" i="26"/>
  <c r="S68" i="26"/>
  <c r="B69" i="26"/>
  <c r="C69" i="26"/>
  <c r="D69" i="26"/>
  <c r="E69" i="26"/>
  <c r="F69" i="26"/>
  <c r="G69" i="26"/>
  <c r="H69" i="26"/>
  <c r="I69" i="26"/>
  <c r="J69" i="26"/>
  <c r="K69" i="26"/>
  <c r="L69" i="26"/>
  <c r="M69" i="26"/>
  <c r="N69" i="26"/>
  <c r="O69" i="26"/>
  <c r="P69" i="26"/>
  <c r="Q69" i="26"/>
  <c r="R69" i="26"/>
  <c r="S69" i="26"/>
  <c r="B70" i="26"/>
  <c r="C70" i="26"/>
  <c r="D70" i="26"/>
  <c r="E70" i="26"/>
  <c r="F70" i="26"/>
  <c r="G70" i="26"/>
  <c r="H70" i="26"/>
  <c r="I70" i="26"/>
  <c r="J70" i="26"/>
  <c r="K70" i="26"/>
  <c r="L70" i="26"/>
  <c r="M70" i="26"/>
  <c r="N70" i="26"/>
  <c r="O70" i="26"/>
  <c r="P70" i="26"/>
  <c r="Q70" i="26"/>
  <c r="R70" i="26"/>
  <c r="S70" i="26"/>
  <c r="B71" i="26"/>
  <c r="C71" i="26"/>
  <c r="D71" i="26"/>
  <c r="E71" i="26"/>
  <c r="F71" i="26"/>
  <c r="G71" i="26"/>
  <c r="H71" i="26"/>
  <c r="I71" i="26"/>
  <c r="J71" i="26"/>
  <c r="K71" i="26"/>
  <c r="L71" i="26"/>
  <c r="M71" i="26"/>
  <c r="N71" i="26"/>
  <c r="O71" i="26"/>
  <c r="P71" i="26"/>
  <c r="Q71" i="26"/>
  <c r="R71" i="26"/>
  <c r="S71" i="26"/>
  <c r="B72" i="26"/>
  <c r="C72" i="26"/>
  <c r="D72" i="26"/>
  <c r="E72" i="26"/>
  <c r="F72" i="26"/>
  <c r="G72" i="26"/>
  <c r="H72" i="26"/>
  <c r="I72" i="26"/>
  <c r="J72" i="26"/>
  <c r="K72" i="26"/>
  <c r="L72" i="26"/>
  <c r="M72" i="26"/>
  <c r="N72" i="26"/>
  <c r="O72" i="26"/>
  <c r="P72" i="26"/>
  <c r="Q72" i="26"/>
  <c r="R72" i="26"/>
  <c r="S72" i="26"/>
  <c r="B73" i="26"/>
  <c r="C73" i="26"/>
  <c r="D73" i="26"/>
  <c r="E73" i="26"/>
  <c r="F73" i="26"/>
  <c r="G73" i="26"/>
  <c r="H73" i="26"/>
  <c r="I73" i="26"/>
  <c r="J73" i="26"/>
  <c r="K73" i="26"/>
  <c r="L73" i="26"/>
  <c r="M73" i="26"/>
  <c r="N73" i="26"/>
  <c r="O73" i="26"/>
  <c r="P73" i="26"/>
  <c r="Q73" i="26"/>
  <c r="R73" i="26"/>
  <c r="S73" i="26"/>
  <c r="B74" i="26"/>
  <c r="C74" i="26"/>
  <c r="D74" i="26"/>
  <c r="E74" i="26"/>
  <c r="F74" i="26"/>
  <c r="G74" i="26"/>
  <c r="H74" i="26"/>
  <c r="I74" i="26"/>
  <c r="J74" i="26"/>
  <c r="K74" i="26"/>
  <c r="L74" i="26"/>
  <c r="M74" i="26"/>
  <c r="N74" i="26"/>
  <c r="O74" i="26"/>
  <c r="P74" i="26"/>
  <c r="Q74" i="26"/>
  <c r="R74" i="26"/>
  <c r="S74" i="26"/>
  <c r="B75" i="26"/>
  <c r="C75" i="26"/>
  <c r="D75" i="26"/>
  <c r="E75" i="26"/>
  <c r="F75" i="26"/>
  <c r="G75" i="26"/>
  <c r="H75" i="26"/>
  <c r="I75" i="26"/>
  <c r="J75" i="26"/>
  <c r="K75" i="26"/>
  <c r="L75" i="26"/>
  <c r="M75" i="26"/>
  <c r="N75" i="26"/>
  <c r="O75" i="26"/>
  <c r="P75" i="26"/>
  <c r="Q75" i="26"/>
  <c r="R75" i="26"/>
  <c r="S75" i="26"/>
  <c r="B76" i="26"/>
  <c r="C76" i="26"/>
  <c r="D76" i="26"/>
  <c r="E76" i="26"/>
  <c r="F76" i="26"/>
  <c r="G76" i="26"/>
  <c r="H76" i="26"/>
  <c r="I76" i="26"/>
  <c r="J76" i="26"/>
  <c r="K76" i="26"/>
  <c r="L76" i="26"/>
  <c r="M76" i="26"/>
  <c r="N76" i="26"/>
  <c r="O76" i="26"/>
  <c r="P76" i="26"/>
  <c r="Q76" i="26"/>
  <c r="R76" i="26"/>
  <c r="S76" i="26"/>
  <c r="B77" i="26"/>
  <c r="C77" i="26"/>
  <c r="D77" i="26"/>
  <c r="E77" i="26"/>
  <c r="F77" i="26"/>
  <c r="G77" i="26"/>
  <c r="H77" i="26"/>
  <c r="I77" i="26"/>
  <c r="J77" i="26"/>
  <c r="K77" i="26"/>
  <c r="L77" i="26"/>
  <c r="M77" i="26"/>
  <c r="N77" i="26"/>
  <c r="O77" i="26"/>
  <c r="P77" i="26"/>
  <c r="Q77" i="26"/>
  <c r="R77" i="26"/>
  <c r="S77" i="26"/>
  <c r="B78" i="26"/>
  <c r="C78" i="26"/>
  <c r="D78" i="26"/>
  <c r="E78" i="26"/>
  <c r="F78" i="26"/>
  <c r="G78" i="26"/>
  <c r="H78" i="26"/>
  <c r="I78" i="26"/>
  <c r="J78" i="26"/>
  <c r="K78" i="26"/>
  <c r="L78" i="26"/>
  <c r="M78" i="26"/>
  <c r="N78" i="26"/>
  <c r="O78" i="26"/>
  <c r="P78" i="26"/>
  <c r="Q78" i="26"/>
  <c r="R78" i="26"/>
  <c r="S78" i="26"/>
  <c r="B79" i="26"/>
  <c r="C79" i="26"/>
  <c r="D79" i="26"/>
  <c r="E79" i="26"/>
  <c r="F79" i="26"/>
  <c r="G79" i="26"/>
  <c r="H79" i="26"/>
  <c r="I79" i="26"/>
  <c r="J79" i="26"/>
  <c r="K79" i="26"/>
  <c r="L79" i="26"/>
  <c r="M79" i="26"/>
  <c r="N79" i="26"/>
  <c r="O79" i="26"/>
  <c r="P79" i="26"/>
  <c r="Q79" i="26"/>
  <c r="R79" i="26"/>
  <c r="S79" i="26"/>
  <c r="B80" i="26"/>
  <c r="C80" i="26"/>
  <c r="D80" i="26"/>
  <c r="E80" i="26"/>
  <c r="F80" i="26"/>
  <c r="G80" i="26"/>
  <c r="H80" i="26"/>
  <c r="I80" i="26"/>
  <c r="J80" i="26"/>
  <c r="K80" i="26"/>
  <c r="L80" i="26"/>
  <c r="M80" i="26"/>
  <c r="N80" i="26"/>
  <c r="O80" i="26"/>
  <c r="P80" i="26"/>
  <c r="Q80" i="26"/>
  <c r="R80" i="26"/>
  <c r="S80" i="26"/>
  <c r="B81" i="26"/>
  <c r="C81" i="26"/>
  <c r="D81" i="26"/>
  <c r="E81" i="26"/>
  <c r="F81" i="26"/>
  <c r="G81" i="26"/>
  <c r="H81" i="26"/>
  <c r="I81" i="26"/>
  <c r="J81" i="26"/>
  <c r="K81" i="26"/>
  <c r="L81" i="26"/>
  <c r="M81" i="26"/>
  <c r="N81" i="26"/>
  <c r="O81" i="26"/>
  <c r="P81" i="26"/>
  <c r="Q81" i="26"/>
  <c r="R81" i="26"/>
  <c r="S81" i="26"/>
  <c r="B82" i="26"/>
  <c r="C82" i="26"/>
  <c r="D82" i="26"/>
  <c r="E82" i="26"/>
  <c r="F82" i="26"/>
  <c r="G82" i="26"/>
  <c r="H82" i="26"/>
  <c r="I82" i="26"/>
  <c r="J82" i="26"/>
  <c r="K82" i="26"/>
  <c r="L82" i="26"/>
  <c r="M82" i="26"/>
  <c r="N82" i="26"/>
  <c r="O82" i="26"/>
  <c r="P82" i="26"/>
  <c r="Q82" i="26"/>
  <c r="R82" i="26"/>
  <c r="S82" i="26"/>
  <c r="B83" i="26"/>
  <c r="C83" i="26"/>
  <c r="D83" i="26"/>
  <c r="E83" i="26"/>
  <c r="F83" i="26"/>
  <c r="G83" i="26"/>
  <c r="H83" i="26"/>
  <c r="I83" i="26"/>
  <c r="J83" i="26"/>
  <c r="K83" i="26"/>
  <c r="L83" i="26"/>
  <c r="M83" i="26"/>
  <c r="N83" i="26"/>
  <c r="O83" i="26"/>
  <c r="P83" i="26"/>
  <c r="Q83" i="26"/>
  <c r="R83" i="26"/>
  <c r="S83" i="26"/>
  <c r="B84" i="26"/>
  <c r="C84" i="26"/>
  <c r="D84" i="26"/>
  <c r="E84" i="26"/>
  <c r="F84" i="26"/>
  <c r="G84" i="26"/>
  <c r="H84" i="26"/>
  <c r="I84" i="26"/>
  <c r="J84" i="26"/>
  <c r="K84" i="26"/>
  <c r="L84" i="26"/>
  <c r="M84" i="26"/>
  <c r="N84" i="26"/>
  <c r="O84" i="26"/>
  <c r="P84" i="26"/>
  <c r="Q84" i="26"/>
  <c r="R84" i="26"/>
  <c r="S84" i="26"/>
  <c r="B85" i="26"/>
  <c r="C85" i="26"/>
  <c r="D85" i="26"/>
  <c r="E85" i="26"/>
  <c r="F85" i="26"/>
  <c r="G85" i="26"/>
  <c r="H85" i="26"/>
  <c r="I85" i="26"/>
  <c r="J85" i="26"/>
  <c r="K85" i="26"/>
  <c r="L85" i="26"/>
  <c r="M85" i="26"/>
  <c r="N85" i="26"/>
  <c r="O85" i="26"/>
  <c r="P85" i="26"/>
  <c r="Q85" i="26"/>
  <c r="R85" i="26"/>
  <c r="S85" i="26"/>
  <c r="B86" i="26"/>
  <c r="C86" i="26"/>
  <c r="D86" i="26"/>
  <c r="E86" i="26"/>
  <c r="F86" i="26"/>
  <c r="G86" i="26"/>
  <c r="H86" i="26"/>
  <c r="I86" i="26"/>
  <c r="J86" i="26"/>
  <c r="K86" i="26"/>
  <c r="L86" i="26"/>
  <c r="M86" i="26"/>
  <c r="N86" i="26"/>
  <c r="O86" i="26"/>
  <c r="P86" i="26"/>
  <c r="Q86" i="26"/>
  <c r="R86" i="26"/>
  <c r="S86" i="26"/>
  <c r="B87" i="26"/>
  <c r="C87" i="26"/>
  <c r="D87" i="26"/>
  <c r="E87" i="26"/>
  <c r="F87" i="26"/>
  <c r="G87" i="26"/>
  <c r="H87" i="26"/>
  <c r="I87" i="26"/>
  <c r="J87" i="26"/>
  <c r="K87" i="26"/>
  <c r="L87" i="26"/>
  <c r="M87" i="26"/>
  <c r="N87" i="26"/>
  <c r="O87" i="26"/>
  <c r="P87" i="26"/>
  <c r="Q87" i="26"/>
  <c r="R87" i="26"/>
  <c r="S87" i="26"/>
  <c r="B88" i="26"/>
  <c r="C88" i="26"/>
  <c r="D88" i="26"/>
  <c r="E88" i="26"/>
  <c r="F88" i="26"/>
  <c r="G88" i="26"/>
  <c r="H88" i="26"/>
  <c r="I88" i="26"/>
  <c r="J88" i="26"/>
  <c r="K88" i="26"/>
  <c r="L88" i="26"/>
  <c r="M88" i="26"/>
  <c r="N88" i="26"/>
  <c r="O88" i="26"/>
  <c r="P88" i="26"/>
  <c r="Q88" i="26"/>
  <c r="R88" i="26"/>
  <c r="S88" i="26"/>
  <c r="B89" i="26"/>
  <c r="C89" i="26"/>
  <c r="D89" i="26"/>
  <c r="E89" i="26"/>
  <c r="F89" i="26"/>
  <c r="G89" i="26"/>
  <c r="H89" i="26"/>
  <c r="I89" i="26"/>
  <c r="J89" i="26"/>
  <c r="K89" i="26"/>
  <c r="L89" i="26"/>
  <c r="M89" i="26"/>
  <c r="N89" i="26"/>
  <c r="O89" i="26"/>
  <c r="P89" i="26"/>
  <c r="Q89" i="26"/>
  <c r="R89" i="26"/>
  <c r="S89" i="26"/>
  <c r="B90" i="26"/>
  <c r="C90" i="26"/>
  <c r="D90" i="26"/>
  <c r="E90" i="26"/>
  <c r="F90" i="26"/>
  <c r="G90" i="26"/>
  <c r="H90" i="26"/>
  <c r="I90" i="26"/>
  <c r="J90" i="26"/>
  <c r="K90" i="26"/>
  <c r="L90" i="26"/>
  <c r="M90" i="26"/>
  <c r="N90" i="26"/>
  <c r="O90" i="26"/>
  <c r="P90" i="26"/>
  <c r="Q90" i="26"/>
  <c r="R90" i="26"/>
  <c r="S90" i="26"/>
  <c r="B91" i="26"/>
  <c r="C91" i="26"/>
  <c r="D91" i="26"/>
  <c r="E91" i="26"/>
  <c r="F91" i="26"/>
  <c r="G91" i="26"/>
  <c r="H91" i="26"/>
  <c r="I91" i="26"/>
  <c r="J91" i="26"/>
  <c r="K91" i="26"/>
  <c r="L91" i="26"/>
  <c r="M91" i="26"/>
  <c r="N91" i="26"/>
  <c r="O91" i="26"/>
  <c r="P91" i="26"/>
  <c r="Q91" i="26"/>
  <c r="R91" i="26"/>
  <c r="S91" i="26"/>
  <c r="B4" i="25"/>
  <c r="D4" i="25"/>
  <c r="E4" i="25"/>
  <c r="F4" i="25"/>
  <c r="G4" i="25"/>
  <c r="H4" i="25"/>
  <c r="I4" i="25"/>
  <c r="J4" i="25"/>
  <c r="K4" i="25"/>
  <c r="L4" i="25"/>
  <c r="M4" i="25"/>
  <c r="N4" i="25"/>
  <c r="O4" i="25"/>
  <c r="P4" i="25"/>
  <c r="Q4" i="25"/>
  <c r="R4" i="25"/>
  <c r="S4" i="25"/>
  <c r="B5" i="25"/>
  <c r="D5" i="25"/>
  <c r="E5" i="25"/>
  <c r="F5" i="25"/>
  <c r="G5" i="25"/>
  <c r="H5" i="25"/>
  <c r="I5" i="25"/>
  <c r="J5" i="25"/>
  <c r="K5" i="25"/>
  <c r="L5" i="25"/>
  <c r="M5" i="25"/>
  <c r="N5" i="25"/>
  <c r="O5" i="25"/>
  <c r="P5" i="25"/>
  <c r="Q5" i="25"/>
  <c r="R5" i="25"/>
  <c r="S5" i="25"/>
  <c r="B6" i="25"/>
  <c r="D6" i="25"/>
  <c r="E6" i="25"/>
  <c r="F6" i="25"/>
  <c r="G6" i="25"/>
  <c r="H6" i="25"/>
  <c r="I6" i="25"/>
  <c r="J6" i="25"/>
  <c r="K6" i="25"/>
  <c r="L6" i="25"/>
  <c r="M6" i="25"/>
  <c r="N6" i="25"/>
  <c r="O6" i="25"/>
  <c r="P6" i="25"/>
  <c r="Q6" i="25"/>
  <c r="R6" i="25"/>
  <c r="S6" i="25"/>
  <c r="B7" i="25"/>
  <c r="D7" i="25"/>
  <c r="E7" i="25"/>
  <c r="F7" i="25"/>
  <c r="G7" i="25"/>
  <c r="H7" i="25"/>
  <c r="I7" i="25"/>
  <c r="J7" i="25"/>
  <c r="K7" i="25"/>
  <c r="L7" i="25"/>
  <c r="M7" i="25"/>
  <c r="N7" i="25"/>
  <c r="O7" i="25"/>
  <c r="P7" i="25"/>
  <c r="Q7" i="25"/>
  <c r="R7" i="25"/>
  <c r="S7" i="25"/>
  <c r="B8" i="25"/>
  <c r="D8" i="25"/>
  <c r="E8" i="25"/>
  <c r="F8" i="25"/>
  <c r="G8" i="25"/>
  <c r="H8" i="25"/>
  <c r="I8" i="25"/>
  <c r="J8" i="25"/>
  <c r="K8" i="25"/>
  <c r="L8" i="25"/>
  <c r="M8" i="25"/>
  <c r="N8" i="25"/>
  <c r="O8" i="25"/>
  <c r="P8" i="25"/>
  <c r="Q8" i="25"/>
  <c r="R8" i="25"/>
  <c r="S8" i="25"/>
  <c r="B9" i="25"/>
  <c r="D9" i="25"/>
  <c r="E9" i="25"/>
  <c r="F9" i="25"/>
  <c r="G9" i="25"/>
  <c r="H9" i="25"/>
  <c r="I9" i="25"/>
  <c r="J9" i="25"/>
  <c r="K9" i="25"/>
  <c r="L9" i="25"/>
  <c r="M9" i="25"/>
  <c r="N9" i="25"/>
  <c r="O9" i="25"/>
  <c r="P9" i="25"/>
  <c r="Q9" i="25"/>
  <c r="R9" i="25"/>
  <c r="S9" i="25"/>
  <c r="B10" i="25"/>
  <c r="D10" i="25"/>
  <c r="E10" i="25"/>
  <c r="F10" i="25"/>
  <c r="G10" i="25"/>
  <c r="H10" i="25"/>
  <c r="I10" i="25"/>
  <c r="J10" i="25"/>
  <c r="K10" i="25"/>
  <c r="L10" i="25"/>
  <c r="M10" i="25"/>
  <c r="N10" i="25"/>
  <c r="O10" i="25"/>
  <c r="P10" i="25"/>
  <c r="Q10" i="25"/>
  <c r="R10" i="25"/>
  <c r="S10" i="25"/>
  <c r="B11" i="25"/>
  <c r="D11" i="25"/>
  <c r="E11" i="25"/>
  <c r="F11" i="25"/>
  <c r="G11" i="25"/>
  <c r="H11" i="25"/>
  <c r="I11" i="25"/>
  <c r="J11" i="25"/>
  <c r="K11" i="25"/>
  <c r="L11" i="25"/>
  <c r="M11" i="25"/>
  <c r="N11" i="25"/>
  <c r="O11" i="25"/>
  <c r="P11" i="25"/>
  <c r="Q11" i="25"/>
  <c r="R11" i="25"/>
  <c r="S11" i="25"/>
  <c r="B12" i="25"/>
  <c r="D12" i="25"/>
  <c r="E12" i="25"/>
  <c r="F12" i="25"/>
  <c r="G12" i="25"/>
  <c r="H12" i="25"/>
  <c r="I12" i="25"/>
  <c r="J12" i="25"/>
  <c r="K12" i="25"/>
  <c r="L12" i="25"/>
  <c r="M12" i="25"/>
  <c r="N12" i="25"/>
  <c r="O12" i="25"/>
  <c r="P12" i="25"/>
  <c r="Q12" i="25"/>
  <c r="R12" i="25"/>
  <c r="S12" i="25"/>
  <c r="B13" i="25"/>
  <c r="D13" i="25"/>
  <c r="E13" i="25"/>
  <c r="F13" i="25"/>
  <c r="G13" i="25"/>
  <c r="H13" i="25"/>
  <c r="I13" i="25"/>
  <c r="J13" i="25"/>
  <c r="K13" i="25"/>
  <c r="L13" i="25"/>
  <c r="M13" i="25"/>
  <c r="N13" i="25"/>
  <c r="O13" i="25"/>
  <c r="P13" i="25"/>
  <c r="Q13" i="25"/>
  <c r="R13" i="25"/>
  <c r="S13" i="25"/>
  <c r="B14" i="25"/>
  <c r="D14" i="25"/>
  <c r="E14" i="25"/>
  <c r="F14" i="25"/>
  <c r="G14" i="25"/>
  <c r="H14" i="25"/>
  <c r="I14" i="25"/>
  <c r="J14" i="25"/>
  <c r="K14" i="25"/>
  <c r="L14" i="25"/>
  <c r="M14" i="25"/>
  <c r="N14" i="25"/>
  <c r="O14" i="25"/>
  <c r="P14" i="25"/>
  <c r="Q14" i="25"/>
  <c r="R14" i="25"/>
  <c r="S14" i="25"/>
  <c r="B15" i="25"/>
  <c r="D15" i="25"/>
  <c r="E15" i="25"/>
  <c r="F15" i="25"/>
  <c r="G15" i="25"/>
  <c r="H15" i="25"/>
  <c r="I15" i="25"/>
  <c r="J15" i="25"/>
  <c r="K15" i="25"/>
  <c r="L15" i="25"/>
  <c r="M15" i="25"/>
  <c r="N15" i="25"/>
  <c r="O15" i="25"/>
  <c r="P15" i="25"/>
  <c r="Q15" i="25"/>
  <c r="R15" i="25"/>
  <c r="S15" i="25"/>
  <c r="B16" i="25"/>
  <c r="D16" i="25"/>
  <c r="E16" i="25"/>
  <c r="F16" i="25"/>
  <c r="G16" i="25"/>
  <c r="H16" i="25"/>
  <c r="I16" i="25"/>
  <c r="J16" i="25"/>
  <c r="K16" i="25"/>
  <c r="L16" i="25"/>
  <c r="M16" i="25"/>
  <c r="N16" i="25"/>
  <c r="O16" i="25"/>
  <c r="P16" i="25"/>
  <c r="Q16" i="25"/>
  <c r="R16" i="25"/>
  <c r="S16" i="25"/>
  <c r="B17" i="25"/>
  <c r="D17" i="25"/>
  <c r="E17" i="25"/>
  <c r="F17" i="25"/>
  <c r="G17" i="25"/>
  <c r="H17" i="25"/>
  <c r="I17" i="25"/>
  <c r="J17" i="25"/>
  <c r="K17" i="25"/>
  <c r="L17" i="25"/>
  <c r="M17" i="25"/>
  <c r="N17" i="25"/>
  <c r="O17" i="25"/>
  <c r="P17" i="25"/>
  <c r="Q17" i="25"/>
  <c r="R17" i="25"/>
  <c r="S17" i="25"/>
  <c r="B18" i="25"/>
  <c r="D18" i="25"/>
  <c r="E18" i="25"/>
  <c r="F18" i="25"/>
  <c r="G18" i="25"/>
  <c r="H18" i="25"/>
  <c r="I18" i="25"/>
  <c r="J18" i="25"/>
  <c r="K18" i="25"/>
  <c r="L18" i="25"/>
  <c r="M18" i="25"/>
  <c r="N18" i="25"/>
  <c r="O18" i="25"/>
  <c r="P18" i="25"/>
  <c r="Q18" i="25"/>
  <c r="R18" i="25"/>
  <c r="S18" i="25"/>
  <c r="B19" i="25"/>
  <c r="D19" i="25"/>
  <c r="E19" i="25"/>
  <c r="F19" i="25"/>
  <c r="G19" i="25"/>
  <c r="H19" i="25"/>
  <c r="I19" i="25"/>
  <c r="J19" i="25"/>
  <c r="K19" i="25"/>
  <c r="L19" i="25"/>
  <c r="M19" i="25"/>
  <c r="N19" i="25"/>
  <c r="O19" i="25"/>
  <c r="P19" i="25"/>
  <c r="Q19" i="25"/>
  <c r="R19" i="25"/>
  <c r="S19" i="25"/>
  <c r="B20" i="25"/>
  <c r="D20" i="25"/>
  <c r="E20" i="25"/>
  <c r="F20" i="25"/>
  <c r="G20" i="25"/>
  <c r="H20" i="25"/>
  <c r="I20" i="25"/>
  <c r="J20" i="25"/>
  <c r="K20" i="25"/>
  <c r="L20" i="25"/>
  <c r="M20" i="25"/>
  <c r="N20" i="25"/>
  <c r="O20" i="25"/>
  <c r="P20" i="25"/>
  <c r="Q20" i="25"/>
  <c r="R20" i="25"/>
  <c r="S20" i="25"/>
  <c r="B21" i="25"/>
  <c r="D21" i="25"/>
  <c r="E21" i="25"/>
  <c r="F21" i="25"/>
  <c r="G21" i="25"/>
  <c r="H21" i="25"/>
  <c r="I21" i="25"/>
  <c r="J21" i="25"/>
  <c r="K21" i="25"/>
  <c r="L21" i="25"/>
  <c r="M21" i="25"/>
  <c r="N21" i="25"/>
  <c r="O21" i="25"/>
  <c r="P21" i="25"/>
  <c r="Q21" i="25"/>
  <c r="R21" i="25"/>
  <c r="S21" i="25"/>
  <c r="B22" i="25"/>
  <c r="D22" i="25"/>
  <c r="E22" i="25"/>
  <c r="F22" i="25"/>
  <c r="G22" i="25"/>
  <c r="H22" i="25"/>
  <c r="I22" i="25"/>
  <c r="J22" i="25"/>
  <c r="K22" i="25"/>
  <c r="L22" i="25"/>
  <c r="M22" i="25"/>
  <c r="N22" i="25"/>
  <c r="O22" i="25"/>
  <c r="P22" i="25"/>
  <c r="Q22" i="25"/>
  <c r="R22" i="25"/>
  <c r="S22" i="25"/>
  <c r="B23" i="25"/>
  <c r="D23" i="25"/>
  <c r="E23" i="25"/>
  <c r="F23" i="25"/>
  <c r="G23" i="25"/>
  <c r="H23" i="25"/>
  <c r="I23" i="25"/>
  <c r="J23" i="25"/>
  <c r="K23" i="25"/>
  <c r="L23" i="25"/>
  <c r="M23" i="25"/>
  <c r="N23" i="25"/>
  <c r="O23" i="25"/>
  <c r="P23" i="25"/>
  <c r="Q23" i="25"/>
  <c r="R23" i="25"/>
  <c r="S23" i="25"/>
  <c r="B24" i="25"/>
  <c r="D24" i="25"/>
  <c r="E24" i="25"/>
  <c r="F24" i="25"/>
  <c r="G24" i="25"/>
  <c r="H24" i="25"/>
  <c r="I24" i="25"/>
  <c r="J24" i="25"/>
  <c r="K24" i="25"/>
  <c r="L24" i="25"/>
  <c r="M24" i="25"/>
  <c r="N24" i="25"/>
  <c r="O24" i="25"/>
  <c r="P24" i="25"/>
  <c r="Q24" i="25"/>
  <c r="R24" i="25"/>
  <c r="S24" i="25"/>
  <c r="B25" i="25"/>
  <c r="D25" i="25"/>
  <c r="E25" i="25"/>
  <c r="F25" i="25"/>
  <c r="G25" i="25"/>
  <c r="H25" i="25"/>
  <c r="I25" i="25"/>
  <c r="J25" i="25"/>
  <c r="K25" i="25"/>
  <c r="L25" i="25"/>
  <c r="M25" i="25"/>
  <c r="N25" i="25"/>
  <c r="O25" i="25"/>
  <c r="P25" i="25"/>
  <c r="Q25" i="25"/>
  <c r="R25" i="25"/>
  <c r="S25" i="25"/>
  <c r="B26" i="25"/>
  <c r="D26" i="25"/>
  <c r="E26" i="25"/>
  <c r="F26" i="25"/>
  <c r="G26" i="25"/>
  <c r="H26" i="25"/>
  <c r="I26" i="25"/>
  <c r="J26" i="25"/>
  <c r="K26" i="25"/>
  <c r="L26" i="25"/>
  <c r="M26" i="25"/>
  <c r="N26" i="25"/>
  <c r="O26" i="25"/>
  <c r="P26" i="25"/>
  <c r="Q26" i="25"/>
  <c r="R26" i="25"/>
  <c r="S26" i="25"/>
  <c r="B27" i="25"/>
  <c r="D27" i="25"/>
  <c r="E27" i="25"/>
  <c r="F27" i="25"/>
  <c r="G27" i="25"/>
  <c r="H27" i="25"/>
  <c r="I27" i="25"/>
  <c r="J27" i="25"/>
  <c r="K27" i="25"/>
  <c r="L27" i="25"/>
  <c r="M27" i="25"/>
  <c r="N27" i="25"/>
  <c r="O27" i="25"/>
  <c r="P27" i="25"/>
  <c r="Q27" i="25"/>
  <c r="R27" i="25"/>
  <c r="S27" i="25"/>
  <c r="B28" i="25"/>
  <c r="D28" i="25"/>
  <c r="E28" i="25"/>
  <c r="F28" i="25"/>
  <c r="G28" i="25"/>
  <c r="H28" i="25"/>
  <c r="I28" i="25"/>
  <c r="J28" i="25"/>
  <c r="K28" i="25"/>
  <c r="L28" i="25"/>
  <c r="M28" i="25"/>
  <c r="N28" i="25"/>
  <c r="O28" i="25"/>
  <c r="P28" i="25"/>
  <c r="Q28" i="25"/>
  <c r="R28" i="25"/>
  <c r="S28" i="25"/>
  <c r="B29" i="25"/>
  <c r="D29" i="25"/>
  <c r="E29" i="25"/>
  <c r="F29" i="25"/>
  <c r="G29" i="25"/>
  <c r="H29" i="25"/>
  <c r="I29" i="25"/>
  <c r="J29" i="25"/>
  <c r="K29" i="25"/>
  <c r="L29" i="25"/>
  <c r="M29" i="25"/>
  <c r="N29" i="25"/>
  <c r="O29" i="25"/>
  <c r="P29" i="25"/>
  <c r="Q29" i="25"/>
  <c r="R29" i="25"/>
  <c r="S29" i="25"/>
  <c r="B30" i="25"/>
  <c r="D30" i="25"/>
  <c r="E30" i="25"/>
  <c r="F30" i="25"/>
  <c r="G30" i="25"/>
  <c r="H30" i="25"/>
  <c r="I30" i="25"/>
  <c r="J30" i="25"/>
  <c r="K30" i="25"/>
  <c r="L30" i="25"/>
  <c r="M30" i="25"/>
  <c r="N30" i="25"/>
  <c r="O30" i="25"/>
  <c r="P30" i="25"/>
  <c r="Q30" i="25"/>
  <c r="R30" i="25"/>
  <c r="S30" i="25"/>
  <c r="B31" i="25"/>
  <c r="D31" i="25"/>
  <c r="E31" i="25"/>
  <c r="F31" i="25"/>
  <c r="G31" i="25"/>
  <c r="H31" i="25"/>
  <c r="I31" i="25"/>
  <c r="J31" i="25"/>
  <c r="K31" i="25"/>
  <c r="L31" i="25"/>
  <c r="M31" i="25"/>
  <c r="N31" i="25"/>
  <c r="O31" i="25"/>
  <c r="P31" i="25"/>
  <c r="Q31" i="25"/>
  <c r="R31" i="25"/>
  <c r="S31" i="25"/>
  <c r="B32" i="25"/>
  <c r="D32" i="25"/>
  <c r="E32" i="25"/>
  <c r="F32" i="25"/>
  <c r="G32" i="25"/>
  <c r="H32" i="25"/>
  <c r="I32" i="25"/>
  <c r="J32" i="25"/>
  <c r="K32" i="25"/>
  <c r="L32" i="25"/>
  <c r="M32" i="25"/>
  <c r="N32" i="25"/>
  <c r="O32" i="25"/>
  <c r="P32" i="25"/>
  <c r="Q32" i="25"/>
  <c r="R32" i="25"/>
  <c r="S32" i="25"/>
  <c r="B33" i="25"/>
  <c r="D33" i="25"/>
  <c r="E33" i="25"/>
  <c r="F33" i="25"/>
  <c r="G33" i="25"/>
  <c r="H33" i="25"/>
  <c r="I33" i="25"/>
  <c r="J33" i="25"/>
  <c r="K33" i="25"/>
  <c r="L33" i="25"/>
  <c r="M33" i="25"/>
  <c r="N33" i="25"/>
  <c r="O33" i="25"/>
  <c r="P33" i="25"/>
  <c r="Q33" i="25"/>
  <c r="R33" i="25"/>
  <c r="S33" i="25"/>
  <c r="B34" i="25"/>
  <c r="D34" i="25"/>
  <c r="E34" i="25"/>
  <c r="F34" i="25"/>
  <c r="G34" i="25"/>
  <c r="H34" i="25"/>
  <c r="I34" i="25"/>
  <c r="J34" i="25"/>
  <c r="K34" i="25"/>
  <c r="L34" i="25"/>
  <c r="M34" i="25"/>
  <c r="N34" i="25"/>
  <c r="O34" i="25"/>
  <c r="P34" i="25"/>
  <c r="Q34" i="25"/>
  <c r="R34" i="25"/>
  <c r="S34" i="25"/>
  <c r="B35" i="25"/>
  <c r="D35" i="25"/>
  <c r="E35" i="25"/>
  <c r="F35" i="25"/>
  <c r="G35" i="25"/>
  <c r="H35" i="25"/>
  <c r="I35" i="25"/>
  <c r="J35" i="25"/>
  <c r="K35" i="25"/>
  <c r="L35" i="25"/>
  <c r="M35" i="25"/>
  <c r="N35" i="25"/>
  <c r="O35" i="25"/>
  <c r="P35" i="25"/>
  <c r="Q35" i="25"/>
  <c r="R35" i="25"/>
  <c r="S35" i="25"/>
  <c r="B36" i="25"/>
  <c r="D36" i="25"/>
  <c r="E36" i="25"/>
  <c r="F36" i="25"/>
  <c r="G36" i="25"/>
  <c r="H36" i="25"/>
  <c r="I36" i="25"/>
  <c r="J36" i="25"/>
  <c r="K36" i="25"/>
  <c r="L36" i="25"/>
  <c r="M36" i="25"/>
  <c r="N36" i="25"/>
  <c r="O36" i="25"/>
  <c r="P36" i="25"/>
  <c r="Q36" i="25"/>
  <c r="R36" i="25"/>
  <c r="S36" i="25"/>
  <c r="B37" i="25"/>
  <c r="D37" i="25"/>
  <c r="E37" i="25"/>
  <c r="F37" i="25"/>
  <c r="G37" i="25"/>
  <c r="H37" i="25"/>
  <c r="I37" i="25"/>
  <c r="J37" i="25"/>
  <c r="K37" i="25"/>
  <c r="L37" i="25"/>
  <c r="M37" i="25"/>
  <c r="N37" i="25"/>
  <c r="O37" i="25"/>
  <c r="P37" i="25"/>
  <c r="Q37" i="25"/>
  <c r="R37" i="25"/>
  <c r="S37" i="25"/>
  <c r="B38" i="25"/>
  <c r="D38" i="25"/>
  <c r="E38" i="25"/>
  <c r="F38" i="25"/>
  <c r="G38" i="25"/>
  <c r="H38" i="25"/>
  <c r="I38" i="25"/>
  <c r="J38" i="25"/>
  <c r="K38" i="25"/>
  <c r="L38" i="25"/>
  <c r="M38" i="25"/>
  <c r="N38" i="25"/>
  <c r="O38" i="25"/>
  <c r="P38" i="25"/>
  <c r="Q38" i="25"/>
  <c r="R38" i="25"/>
  <c r="S38" i="25"/>
  <c r="B39" i="25"/>
  <c r="D39" i="25"/>
  <c r="E39" i="25"/>
  <c r="F39" i="25"/>
  <c r="G39" i="25"/>
  <c r="H39" i="25"/>
  <c r="I39" i="25"/>
  <c r="J39" i="25"/>
  <c r="K39" i="25"/>
  <c r="L39" i="25"/>
  <c r="M39" i="25"/>
  <c r="N39" i="25"/>
  <c r="O39" i="25"/>
  <c r="P39" i="25"/>
  <c r="Q39" i="25"/>
  <c r="R39" i="25"/>
  <c r="S39" i="25"/>
  <c r="B40" i="25"/>
  <c r="D40" i="25"/>
  <c r="E40" i="25"/>
  <c r="F40" i="25"/>
  <c r="G40" i="25"/>
  <c r="H40" i="25"/>
  <c r="I40" i="25"/>
  <c r="J40" i="25"/>
  <c r="K40" i="25"/>
  <c r="L40" i="25"/>
  <c r="M40" i="25"/>
  <c r="N40" i="25"/>
  <c r="O40" i="25"/>
  <c r="P40" i="25"/>
  <c r="Q40" i="25"/>
  <c r="R40" i="25"/>
  <c r="S40" i="25"/>
  <c r="B41" i="25"/>
  <c r="D41" i="25"/>
  <c r="E41" i="25"/>
  <c r="F41" i="25"/>
  <c r="G41" i="25"/>
  <c r="H41" i="25"/>
  <c r="I41" i="25"/>
  <c r="J41" i="25"/>
  <c r="K41" i="25"/>
  <c r="L41" i="25"/>
  <c r="M41" i="25"/>
  <c r="N41" i="25"/>
  <c r="O41" i="25"/>
  <c r="P41" i="25"/>
  <c r="Q41" i="25"/>
  <c r="R41" i="25"/>
  <c r="S41" i="25"/>
  <c r="B42" i="25"/>
  <c r="D42" i="25"/>
  <c r="E42" i="25"/>
  <c r="F42" i="25"/>
  <c r="G42" i="25"/>
  <c r="H42" i="25"/>
  <c r="I42" i="25"/>
  <c r="J42" i="25"/>
  <c r="K42" i="25"/>
  <c r="L42" i="25"/>
  <c r="M42" i="25"/>
  <c r="N42" i="25"/>
  <c r="O42" i="25"/>
  <c r="P42" i="25"/>
  <c r="Q42" i="25"/>
  <c r="R42" i="25"/>
  <c r="S42" i="25"/>
  <c r="B43" i="25"/>
  <c r="D43" i="25"/>
  <c r="E43" i="25"/>
  <c r="F43" i="25"/>
  <c r="G43" i="25"/>
  <c r="H43" i="25"/>
  <c r="I43" i="25"/>
  <c r="J43" i="25"/>
  <c r="K43" i="25"/>
  <c r="L43" i="25"/>
  <c r="M43" i="25"/>
  <c r="N43" i="25"/>
  <c r="O43" i="25"/>
  <c r="P43" i="25"/>
  <c r="Q43" i="25"/>
  <c r="R43" i="25"/>
  <c r="S43" i="25"/>
  <c r="B44" i="25"/>
  <c r="D44" i="25"/>
  <c r="E44" i="25"/>
  <c r="F44" i="25"/>
  <c r="G44" i="25"/>
  <c r="H44" i="25"/>
  <c r="I44" i="25"/>
  <c r="J44" i="25"/>
  <c r="K44" i="25"/>
  <c r="L44" i="25"/>
  <c r="M44" i="25"/>
  <c r="N44" i="25"/>
  <c r="O44" i="25"/>
  <c r="P44" i="25"/>
  <c r="Q44" i="25"/>
  <c r="R44" i="25"/>
  <c r="S44" i="25"/>
  <c r="B45" i="25"/>
  <c r="D45" i="25"/>
  <c r="E45" i="25"/>
  <c r="F45" i="25"/>
  <c r="G45" i="25"/>
  <c r="H45" i="25"/>
  <c r="I45" i="25"/>
  <c r="J45" i="25"/>
  <c r="K45" i="25"/>
  <c r="L45" i="25"/>
  <c r="M45" i="25"/>
  <c r="N45" i="25"/>
  <c r="O45" i="25"/>
  <c r="P45" i="25"/>
  <c r="Q45" i="25"/>
  <c r="R45" i="25"/>
  <c r="S45" i="25"/>
  <c r="B46" i="25"/>
  <c r="D46" i="25"/>
  <c r="E46" i="25"/>
  <c r="F46" i="25"/>
  <c r="G46" i="25"/>
  <c r="H46" i="25"/>
  <c r="I46" i="25"/>
  <c r="J46" i="25"/>
  <c r="K46" i="25"/>
  <c r="L46" i="25"/>
  <c r="M46" i="25"/>
  <c r="N46" i="25"/>
  <c r="O46" i="25"/>
  <c r="P46" i="25"/>
  <c r="Q46" i="25"/>
  <c r="R46" i="25"/>
  <c r="S46" i="25"/>
  <c r="B47" i="25"/>
  <c r="D47" i="25"/>
  <c r="E47" i="25"/>
  <c r="F47" i="25"/>
  <c r="G47" i="25"/>
  <c r="H47" i="25"/>
  <c r="I47" i="25"/>
  <c r="J47" i="25"/>
  <c r="K47" i="25"/>
  <c r="L47" i="25"/>
  <c r="M47" i="25"/>
  <c r="N47" i="25"/>
  <c r="O47" i="25"/>
  <c r="P47" i="25"/>
  <c r="Q47" i="25"/>
  <c r="R47" i="25"/>
  <c r="S47" i="25"/>
  <c r="B48" i="25"/>
  <c r="D48" i="25"/>
  <c r="E48" i="25"/>
  <c r="F48" i="25"/>
  <c r="G48" i="25"/>
  <c r="H48" i="25"/>
  <c r="I48" i="25"/>
  <c r="J48" i="25"/>
  <c r="K48" i="25"/>
  <c r="L48" i="25"/>
  <c r="M48" i="25"/>
  <c r="N48" i="25"/>
  <c r="O48" i="25"/>
  <c r="P48" i="25"/>
  <c r="Q48" i="25"/>
  <c r="R48" i="25"/>
  <c r="S48" i="25"/>
  <c r="B49" i="25"/>
  <c r="D49" i="25"/>
  <c r="E49" i="25"/>
  <c r="F49" i="25"/>
  <c r="G49" i="25"/>
  <c r="H49" i="25"/>
  <c r="I49" i="25"/>
  <c r="J49" i="25"/>
  <c r="K49" i="25"/>
  <c r="L49" i="25"/>
  <c r="M49" i="25"/>
  <c r="N49" i="25"/>
  <c r="O49" i="25"/>
  <c r="P49" i="25"/>
  <c r="Q49" i="25"/>
  <c r="R49" i="25"/>
  <c r="S49" i="25"/>
  <c r="B14" i="24"/>
  <c r="C14" i="24"/>
  <c r="D14" i="24"/>
  <c r="E14" i="24"/>
  <c r="F14" i="24"/>
  <c r="G14" i="24"/>
  <c r="H14" i="24"/>
  <c r="I14" i="24"/>
  <c r="J14" i="24"/>
  <c r="K14" i="24"/>
  <c r="L14" i="24"/>
  <c r="M14" i="24"/>
  <c r="N14" i="24"/>
  <c r="O14" i="24"/>
  <c r="P14" i="24"/>
  <c r="Q14" i="24"/>
  <c r="R14" i="24"/>
  <c r="B17" i="24"/>
  <c r="C17" i="24"/>
  <c r="D17" i="24"/>
  <c r="E17" i="24"/>
  <c r="F17" i="24"/>
  <c r="G17" i="24"/>
  <c r="H17" i="24"/>
  <c r="I17" i="24"/>
  <c r="J17" i="24"/>
  <c r="K17" i="24"/>
  <c r="L17" i="24"/>
  <c r="M17" i="24"/>
  <c r="N17" i="24"/>
  <c r="O17" i="24"/>
  <c r="P17" i="24"/>
  <c r="Q17" i="24"/>
  <c r="R17" i="24"/>
  <c r="B18" i="24"/>
  <c r="C18" i="24"/>
  <c r="D18" i="24"/>
  <c r="E18" i="24"/>
  <c r="F18" i="24"/>
  <c r="G18" i="24"/>
  <c r="H18" i="24"/>
  <c r="I18" i="24"/>
  <c r="J18" i="24"/>
  <c r="K18" i="24"/>
  <c r="L18" i="24"/>
  <c r="M18" i="24"/>
  <c r="N18" i="24"/>
  <c r="O18" i="24"/>
  <c r="P18" i="24"/>
  <c r="Q18" i="24"/>
  <c r="R18" i="24"/>
  <c r="B15" i="24"/>
  <c r="C15" i="24"/>
  <c r="D15" i="24"/>
  <c r="E15" i="24"/>
  <c r="F15" i="24"/>
  <c r="G15" i="24"/>
  <c r="H15" i="24"/>
  <c r="I15" i="24"/>
  <c r="J15" i="24"/>
  <c r="K15" i="24"/>
  <c r="L15" i="24"/>
  <c r="M15" i="24"/>
  <c r="N15" i="24"/>
  <c r="O15" i="24"/>
  <c r="P15" i="24"/>
  <c r="Q15" i="24"/>
  <c r="R15" i="24"/>
  <c r="B19" i="24"/>
  <c r="C19" i="24"/>
  <c r="D19" i="24"/>
  <c r="E19" i="24"/>
  <c r="F19" i="24"/>
  <c r="G19" i="24"/>
  <c r="H19" i="24"/>
  <c r="I19" i="24"/>
  <c r="J19" i="24"/>
  <c r="K19" i="24"/>
  <c r="L19" i="24"/>
  <c r="M19" i="24"/>
  <c r="N19" i="24"/>
  <c r="O19" i="24"/>
  <c r="P19" i="24"/>
  <c r="Q19" i="24"/>
  <c r="R19" i="24"/>
  <c r="B16" i="24"/>
  <c r="C16" i="24"/>
  <c r="D16" i="24"/>
  <c r="E16" i="24"/>
  <c r="F16" i="24"/>
  <c r="G16" i="24"/>
  <c r="H16" i="24"/>
  <c r="I16" i="24"/>
  <c r="J16" i="24"/>
  <c r="K16" i="24"/>
  <c r="L16" i="24"/>
  <c r="M16" i="24"/>
  <c r="N16" i="24"/>
  <c r="O16" i="24"/>
  <c r="P16" i="24"/>
  <c r="Q16" i="24"/>
  <c r="R16" i="24"/>
  <c r="B22" i="24"/>
  <c r="C22" i="24"/>
  <c r="D22" i="24"/>
  <c r="E22" i="24"/>
  <c r="F22" i="24"/>
  <c r="G22" i="24"/>
  <c r="H22" i="24"/>
  <c r="I22" i="24"/>
  <c r="J22" i="24"/>
  <c r="K22" i="24"/>
  <c r="L22" i="24"/>
  <c r="M22" i="24"/>
  <c r="N22" i="24"/>
  <c r="O22" i="24"/>
  <c r="P22" i="24"/>
  <c r="Q22" i="24"/>
  <c r="R22" i="24"/>
  <c r="B23" i="24"/>
  <c r="C23" i="24"/>
  <c r="D23" i="24"/>
  <c r="E23" i="24"/>
  <c r="F23" i="24"/>
  <c r="G23" i="24"/>
  <c r="H23" i="24"/>
  <c r="I23" i="24"/>
  <c r="J23" i="24"/>
  <c r="K23" i="24"/>
  <c r="L23" i="24"/>
  <c r="M23" i="24"/>
  <c r="N23" i="24"/>
  <c r="O23" i="24"/>
  <c r="P23" i="24"/>
  <c r="Q23" i="24"/>
  <c r="R23" i="24"/>
  <c r="B24" i="24"/>
  <c r="C24" i="24"/>
  <c r="D24" i="24"/>
  <c r="E24" i="24"/>
  <c r="F24" i="24"/>
  <c r="G24" i="24"/>
  <c r="H24" i="24"/>
  <c r="I24" i="24"/>
  <c r="J24" i="24"/>
  <c r="K24" i="24"/>
  <c r="L24" i="24"/>
  <c r="M24" i="24"/>
  <c r="N24" i="24"/>
  <c r="O24" i="24"/>
  <c r="P24" i="24"/>
  <c r="Q24" i="24"/>
  <c r="R24" i="24"/>
  <c r="B25" i="24"/>
  <c r="C25" i="24"/>
  <c r="D25" i="24"/>
  <c r="E25" i="24"/>
  <c r="F25" i="24"/>
  <c r="G25" i="24"/>
  <c r="H25" i="24"/>
  <c r="I25" i="24"/>
  <c r="J25" i="24"/>
  <c r="K25" i="24"/>
  <c r="L25" i="24"/>
  <c r="M25" i="24"/>
  <c r="N25" i="24"/>
  <c r="O25" i="24"/>
  <c r="P25" i="24"/>
  <c r="Q25" i="24"/>
  <c r="R25" i="24"/>
  <c r="B26" i="24"/>
  <c r="C26" i="24"/>
  <c r="D26" i="24"/>
  <c r="E26" i="24"/>
  <c r="F26" i="24"/>
  <c r="G26" i="24"/>
  <c r="H26" i="24"/>
  <c r="I26" i="24"/>
  <c r="J26" i="24"/>
  <c r="K26" i="24"/>
  <c r="L26" i="24"/>
  <c r="M26" i="24"/>
  <c r="N26" i="24"/>
  <c r="O26" i="24"/>
  <c r="P26" i="24"/>
  <c r="Q26" i="24"/>
  <c r="R26" i="24"/>
  <c r="B27" i="24"/>
  <c r="C27" i="24"/>
  <c r="D27" i="24"/>
  <c r="E27" i="24"/>
  <c r="F27" i="24"/>
  <c r="G27" i="24"/>
  <c r="H27" i="24"/>
  <c r="I27" i="24"/>
  <c r="J27" i="24"/>
  <c r="K27" i="24"/>
  <c r="L27" i="24"/>
  <c r="M27" i="24"/>
  <c r="N27" i="24"/>
  <c r="O27" i="24"/>
  <c r="P27" i="24"/>
  <c r="Q27" i="24"/>
  <c r="R27" i="24"/>
  <c r="B28" i="24"/>
  <c r="C28" i="24"/>
  <c r="D28" i="24"/>
  <c r="E28" i="24"/>
  <c r="F28" i="24"/>
  <c r="G28" i="24"/>
  <c r="H28" i="24"/>
  <c r="I28" i="24"/>
  <c r="J28" i="24"/>
  <c r="K28" i="24"/>
  <c r="L28" i="24"/>
  <c r="M28" i="24"/>
  <c r="N28" i="24"/>
  <c r="O28" i="24"/>
  <c r="P28" i="24"/>
  <c r="Q28" i="24"/>
  <c r="R28" i="24"/>
  <c r="B29" i="24"/>
  <c r="C29" i="24"/>
  <c r="D29" i="24"/>
  <c r="E29" i="24"/>
  <c r="F29" i="24"/>
  <c r="G29" i="24"/>
  <c r="H29" i="24"/>
  <c r="I29" i="24"/>
  <c r="J29" i="24"/>
  <c r="K29" i="24"/>
  <c r="L29" i="24"/>
  <c r="M29" i="24"/>
  <c r="N29" i="24"/>
  <c r="O29" i="24"/>
  <c r="P29" i="24"/>
  <c r="Q29" i="24"/>
  <c r="R29" i="24"/>
  <c r="B30" i="24"/>
  <c r="C30" i="24"/>
  <c r="D30" i="24"/>
  <c r="E30" i="24"/>
  <c r="F30" i="24"/>
  <c r="G30" i="24"/>
  <c r="H30" i="24"/>
  <c r="I30" i="24"/>
  <c r="J30" i="24"/>
  <c r="K30" i="24"/>
  <c r="L30" i="24"/>
  <c r="M30" i="24"/>
  <c r="N30" i="24"/>
  <c r="O30" i="24"/>
  <c r="P30" i="24"/>
  <c r="Q30" i="24"/>
  <c r="R30" i="24"/>
  <c r="B31" i="24"/>
  <c r="C31" i="24"/>
  <c r="D31" i="24"/>
  <c r="E31" i="24"/>
  <c r="F31" i="24"/>
  <c r="G31" i="24"/>
  <c r="H31" i="24"/>
  <c r="I31" i="24"/>
  <c r="J31" i="24"/>
  <c r="K31" i="24"/>
  <c r="L31" i="24"/>
  <c r="M31" i="24"/>
  <c r="N31" i="24"/>
  <c r="O31" i="24"/>
  <c r="P31" i="24"/>
  <c r="Q31" i="24"/>
  <c r="R31" i="24"/>
  <c r="B32" i="24"/>
  <c r="C32" i="24"/>
  <c r="D32" i="24"/>
  <c r="E32" i="24"/>
  <c r="F32" i="24"/>
  <c r="G32" i="24"/>
  <c r="H32" i="24"/>
  <c r="I32" i="24"/>
  <c r="J32" i="24"/>
  <c r="K32" i="24"/>
  <c r="L32" i="24"/>
  <c r="M32" i="24"/>
  <c r="N32" i="24"/>
  <c r="O32" i="24"/>
  <c r="P32" i="24"/>
  <c r="Q32" i="24"/>
  <c r="R32" i="24"/>
  <c r="B33" i="24"/>
  <c r="C33" i="24"/>
  <c r="D33" i="24"/>
  <c r="E33" i="24"/>
  <c r="F33" i="24"/>
  <c r="G33" i="24"/>
  <c r="H33" i="24"/>
  <c r="I33" i="24"/>
  <c r="J33" i="24"/>
  <c r="K33" i="24"/>
  <c r="L33" i="24"/>
  <c r="M33" i="24"/>
  <c r="N33" i="24"/>
  <c r="O33" i="24"/>
  <c r="P33" i="24"/>
  <c r="Q33" i="24"/>
  <c r="R33" i="24"/>
  <c r="B34" i="24"/>
  <c r="C34" i="24"/>
  <c r="D34" i="24"/>
  <c r="E34" i="24"/>
  <c r="F34" i="24"/>
  <c r="G34" i="24"/>
  <c r="H34" i="24"/>
  <c r="I34" i="24"/>
  <c r="J34" i="24"/>
  <c r="K34" i="24"/>
  <c r="L34" i="24"/>
  <c r="M34" i="24"/>
  <c r="N34" i="24"/>
  <c r="O34" i="24"/>
  <c r="P34" i="24"/>
  <c r="Q34" i="24"/>
  <c r="R34" i="24"/>
  <c r="B35" i="24"/>
  <c r="C35" i="24"/>
  <c r="D35" i="24"/>
  <c r="E35" i="24"/>
  <c r="F35" i="24"/>
  <c r="G35" i="24"/>
  <c r="H35" i="24"/>
  <c r="I35" i="24"/>
  <c r="J35" i="24"/>
  <c r="K35" i="24"/>
  <c r="L35" i="24"/>
  <c r="M35" i="24"/>
  <c r="N35" i="24"/>
  <c r="O35" i="24"/>
  <c r="P35" i="24"/>
  <c r="Q35" i="24"/>
  <c r="R35" i="24"/>
  <c r="B36" i="24"/>
  <c r="C36" i="24"/>
  <c r="D36" i="24"/>
  <c r="E36" i="24"/>
  <c r="F36" i="24"/>
  <c r="G36" i="24"/>
  <c r="H36" i="24"/>
  <c r="I36" i="24"/>
  <c r="J36" i="24"/>
  <c r="K36" i="24"/>
  <c r="L36" i="24"/>
  <c r="M36" i="24"/>
  <c r="N36" i="24"/>
  <c r="O36" i="24"/>
  <c r="P36" i="24"/>
  <c r="Q36" i="24"/>
  <c r="R36" i="24"/>
  <c r="B37" i="24"/>
  <c r="C37" i="24"/>
  <c r="D37" i="24"/>
  <c r="E37" i="24"/>
  <c r="F37" i="24"/>
  <c r="G37" i="24"/>
  <c r="H37" i="24"/>
  <c r="I37" i="24"/>
  <c r="J37" i="24"/>
  <c r="K37" i="24"/>
  <c r="L37" i="24"/>
  <c r="M37" i="24"/>
  <c r="N37" i="24"/>
  <c r="O37" i="24"/>
  <c r="P37" i="24"/>
  <c r="Q37" i="24"/>
  <c r="R37" i="24"/>
  <c r="B38" i="24"/>
  <c r="C38" i="24"/>
  <c r="D38" i="24"/>
  <c r="E38" i="24"/>
  <c r="F38" i="24"/>
  <c r="G38" i="24"/>
  <c r="H38" i="24"/>
  <c r="I38" i="24"/>
  <c r="J38" i="24"/>
  <c r="K38" i="24"/>
  <c r="L38" i="24"/>
  <c r="M38" i="24"/>
  <c r="N38" i="24"/>
  <c r="O38" i="24"/>
  <c r="P38" i="24"/>
  <c r="Q38" i="24"/>
  <c r="R38" i="24"/>
  <c r="B39" i="24"/>
  <c r="C39" i="24"/>
  <c r="D39" i="24"/>
  <c r="E39" i="24"/>
  <c r="F39" i="24"/>
  <c r="G39" i="24"/>
  <c r="H39" i="24"/>
  <c r="I39" i="24"/>
  <c r="J39" i="24"/>
  <c r="K39" i="24"/>
  <c r="L39" i="24"/>
  <c r="M39" i="24"/>
  <c r="N39" i="24"/>
  <c r="O39" i="24"/>
  <c r="P39" i="24"/>
  <c r="Q39" i="24"/>
  <c r="R39" i="24"/>
  <c r="B40" i="24"/>
  <c r="C40" i="24"/>
  <c r="D40" i="24"/>
  <c r="E40" i="24"/>
  <c r="F40" i="24"/>
  <c r="G40" i="24"/>
  <c r="H40" i="24"/>
  <c r="I40" i="24"/>
  <c r="J40" i="24"/>
  <c r="K40" i="24"/>
  <c r="L40" i="24"/>
  <c r="M40" i="24"/>
  <c r="N40" i="24"/>
  <c r="O40" i="24"/>
  <c r="P40" i="24"/>
  <c r="Q40" i="24"/>
  <c r="R40" i="24"/>
  <c r="B41" i="24"/>
  <c r="C41" i="24"/>
  <c r="D41" i="24"/>
  <c r="E41" i="24"/>
  <c r="F41" i="24"/>
  <c r="G41" i="24"/>
  <c r="H41" i="24"/>
  <c r="I41" i="24"/>
  <c r="J41" i="24"/>
  <c r="K41" i="24"/>
  <c r="L41" i="24"/>
  <c r="M41" i="24"/>
  <c r="N41" i="24"/>
  <c r="O41" i="24"/>
  <c r="P41" i="24"/>
  <c r="Q41" i="24"/>
  <c r="R41" i="24"/>
  <c r="B42" i="24"/>
  <c r="C42" i="24"/>
  <c r="D42" i="24"/>
  <c r="E42" i="24"/>
  <c r="F42" i="24"/>
  <c r="G42" i="24"/>
  <c r="H42" i="24"/>
  <c r="I42" i="24"/>
  <c r="J42" i="24"/>
  <c r="K42" i="24"/>
  <c r="L42" i="24"/>
  <c r="M42" i="24"/>
  <c r="N42" i="24"/>
  <c r="O42" i="24"/>
  <c r="P42" i="24"/>
  <c r="Q42" i="24"/>
  <c r="R42" i="24"/>
  <c r="B44" i="24"/>
  <c r="C44" i="24"/>
  <c r="D44" i="24"/>
  <c r="E44" i="24"/>
  <c r="F44" i="24"/>
  <c r="G44" i="24"/>
  <c r="H44" i="24"/>
  <c r="I44" i="24"/>
  <c r="J44" i="24"/>
  <c r="K44" i="24"/>
  <c r="L44" i="24"/>
  <c r="M44" i="24"/>
  <c r="N44" i="24"/>
  <c r="O44" i="24"/>
  <c r="P44" i="24"/>
  <c r="Q44" i="24"/>
  <c r="R44" i="24"/>
  <c r="B45" i="24"/>
  <c r="C45" i="24"/>
  <c r="D45" i="24"/>
  <c r="E45" i="24"/>
  <c r="F45" i="24"/>
  <c r="G45" i="24"/>
  <c r="H45" i="24"/>
  <c r="I45" i="24"/>
  <c r="J45" i="24"/>
  <c r="K45" i="24"/>
  <c r="L45" i="24"/>
  <c r="M45" i="24"/>
  <c r="N45" i="24"/>
  <c r="O45" i="24"/>
  <c r="P45" i="24"/>
  <c r="Q45" i="24"/>
  <c r="R45" i="24"/>
  <c r="B46" i="24"/>
  <c r="C46" i="24"/>
  <c r="D46" i="24"/>
  <c r="E46" i="24"/>
  <c r="F46" i="24"/>
  <c r="G46" i="24"/>
  <c r="H46" i="24"/>
  <c r="I46" i="24"/>
  <c r="J46" i="24"/>
  <c r="K46" i="24"/>
  <c r="L46" i="24"/>
  <c r="M46" i="24"/>
  <c r="N46" i="24"/>
  <c r="O46" i="24"/>
  <c r="P46" i="24"/>
  <c r="Q46" i="24"/>
  <c r="R46" i="24"/>
  <c r="B48" i="24"/>
  <c r="C48" i="24"/>
  <c r="D48" i="24"/>
  <c r="E48" i="24"/>
  <c r="F48" i="24"/>
  <c r="G48" i="24"/>
  <c r="H48" i="24"/>
  <c r="I48" i="24"/>
  <c r="J48" i="24"/>
  <c r="K48" i="24"/>
  <c r="L48" i="24"/>
  <c r="M48" i="24"/>
  <c r="N48" i="24"/>
  <c r="O48" i="24"/>
  <c r="P48" i="24"/>
  <c r="Q48" i="24"/>
  <c r="R48" i="24"/>
  <c r="B49" i="24"/>
  <c r="C49" i="24"/>
  <c r="D49" i="24"/>
  <c r="E49" i="24"/>
  <c r="F49" i="24"/>
  <c r="G49" i="24"/>
  <c r="H49" i="24"/>
  <c r="I49" i="24"/>
  <c r="J49" i="24"/>
  <c r="K49" i="24"/>
  <c r="L49" i="24"/>
  <c r="M49" i="24"/>
  <c r="N49" i="24"/>
  <c r="O49" i="24"/>
  <c r="P49" i="24"/>
  <c r="Q49" i="24"/>
  <c r="R49" i="24"/>
  <c r="B50" i="24"/>
  <c r="C50" i="24"/>
  <c r="D50" i="24"/>
  <c r="E50" i="24"/>
  <c r="F50" i="24"/>
  <c r="G50" i="24"/>
  <c r="H50" i="24"/>
  <c r="I50" i="24"/>
  <c r="J50" i="24"/>
  <c r="K50" i="24"/>
  <c r="L50" i="24"/>
  <c r="M50" i="24"/>
  <c r="N50" i="24"/>
  <c r="O50" i="24"/>
  <c r="P50" i="24"/>
  <c r="Q50" i="24"/>
  <c r="R50" i="24"/>
  <c r="B51" i="24"/>
  <c r="C51" i="24"/>
  <c r="D51" i="24"/>
  <c r="E51" i="24"/>
  <c r="F51" i="24"/>
  <c r="G51" i="24"/>
  <c r="H51" i="24"/>
  <c r="I51" i="24"/>
  <c r="J51" i="24"/>
  <c r="K51" i="24"/>
  <c r="L51" i="24"/>
  <c r="M51" i="24"/>
  <c r="N51" i="24"/>
  <c r="O51" i="24"/>
  <c r="P51" i="24"/>
  <c r="Q51" i="24"/>
  <c r="R51" i="24"/>
  <c r="B52" i="24"/>
  <c r="C52" i="24"/>
  <c r="D52" i="24"/>
  <c r="E52" i="24"/>
  <c r="F52" i="24"/>
  <c r="G52" i="24"/>
  <c r="H52" i="24"/>
  <c r="I52" i="24"/>
  <c r="J52" i="24"/>
  <c r="K52" i="24"/>
  <c r="L52" i="24"/>
  <c r="M52" i="24"/>
  <c r="N52" i="24"/>
  <c r="O52" i="24"/>
  <c r="P52" i="24"/>
  <c r="Q52" i="24"/>
  <c r="R52" i="24"/>
  <c r="B53" i="24"/>
  <c r="C53" i="24"/>
  <c r="D53" i="24"/>
  <c r="E53" i="24"/>
  <c r="F53" i="24"/>
  <c r="G53" i="24"/>
  <c r="H53" i="24"/>
  <c r="I53" i="24"/>
  <c r="J53" i="24"/>
  <c r="K53" i="24"/>
  <c r="L53" i="24"/>
  <c r="M53" i="24"/>
  <c r="N53" i="24"/>
  <c r="O53" i="24"/>
  <c r="P53" i="24"/>
  <c r="Q53" i="24"/>
  <c r="R53" i="24"/>
  <c r="B54" i="24"/>
  <c r="C54" i="24"/>
  <c r="D54" i="24"/>
  <c r="E54" i="24"/>
  <c r="F54" i="24"/>
  <c r="G54" i="24"/>
  <c r="H54" i="24"/>
  <c r="I54" i="24"/>
  <c r="J54" i="24"/>
  <c r="K54" i="24"/>
  <c r="L54" i="24"/>
  <c r="M54" i="24"/>
  <c r="N54" i="24"/>
  <c r="O54" i="24"/>
  <c r="P54" i="24"/>
  <c r="Q54" i="24"/>
  <c r="R54" i="24"/>
  <c r="B55" i="24"/>
  <c r="C55" i="24"/>
  <c r="D55" i="24"/>
  <c r="E55" i="24"/>
  <c r="F55" i="24"/>
  <c r="G55" i="24"/>
  <c r="H55" i="24"/>
  <c r="I55" i="24"/>
  <c r="J55" i="24"/>
  <c r="K55" i="24"/>
  <c r="L55" i="24"/>
  <c r="M55" i="24"/>
  <c r="N55" i="24"/>
  <c r="O55" i="24"/>
  <c r="P55" i="24"/>
  <c r="Q55" i="24"/>
  <c r="R55" i="24"/>
  <c r="B56" i="24"/>
  <c r="C56" i="24"/>
  <c r="D56" i="24"/>
  <c r="E56" i="24"/>
  <c r="F56" i="24"/>
  <c r="G56" i="24"/>
  <c r="H56" i="24"/>
  <c r="I56" i="24"/>
  <c r="J56" i="24"/>
  <c r="K56" i="24"/>
  <c r="L56" i="24"/>
  <c r="M56" i="24"/>
  <c r="N56" i="24"/>
  <c r="O56" i="24"/>
  <c r="P56" i="24"/>
  <c r="Q56" i="24"/>
  <c r="R56" i="24"/>
  <c r="B57" i="24"/>
  <c r="C57" i="24"/>
  <c r="D57" i="24"/>
  <c r="E57" i="24"/>
  <c r="F57" i="24"/>
  <c r="G57" i="24"/>
  <c r="H57" i="24"/>
  <c r="I57" i="24"/>
  <c r="J57" i="24"/>
  <c r="K57" i="24"/>
  <c r="L57" i="24"/>
  <c r="M57" i="24"/>
  <c r="N57" i="24"/>
  <c r="O57" i="24"/>
  <c r="P57" i="24"/>
  <c r="Q57" i="24"/>
  <c r="R57" i="24"/>
  <c r="B58" i="24"/>
  <c r="C58" i="24"/>
  <c r="D58" i="24"/>
  <c r="E58" i="24"/>
  <c r="F58" i="24"/>
  <c r="G58" i="24"/>
  <c r="H58" i="24"/>
  <c r="I58" i="24"/>
  <c r="J58" i="24"/>
  <c r="K58" i="24"/>
  <c r="L58" i="24"/>
  <c r="M58" i="24"/>
  <c r="N58" i="24"/>
  <c r="O58" i="24"/>
  <c r="P58" i="24"/>
  <c r="Q58" i="24"/>
  <c r="R58" i="24"/>
  <c r="B59" i="24"/>
  <c r="C59" i="24"/>
  <c r="D59" i="24"/>
  <c r="E59" i="24"/>
  <c r="F59" i="24"/>
  <c r="G59" i="24"/>
  <c r="H59" i="24"/>
  <c r="I59" i="24"/>
  <c r="J59" i="24"/>
  <c r="K59" i="24"/>
  <c r="L59" i="24"/>
  <c r="M59" i="24"/>
  <c r="N59" i="24"/>
  <c r="O59" i="24"/>
  <c r="P59" i="24"/>
  <c r="Q59" i="24"/>
  <c r="R59" i="24"/>
  <c r="B60" i="24"/>
  <c r="C60" i="24"/>
  <c r="D60" i="24"/>
  <c r="E60" i="24"/>
  <c r="F60" i="24"/>
  <c r="G60" i="24"/>
  <c r="H60" i="24"/>
  <c r="I60" i="24"/>
  <c r="J60" i="24"/>
  <c r="K60" i="24"/>
  <c r="L60" i="24"/>
  <c r="M60" i="24"/>
  <c r="N60" i="24"/>
  <c r="O60" i="24"/>
  <c r="P60" i="24"/>
  <c r="Q60" i="24"/>
  <c r="R60" i="24"/>
  <c r="B61" i="24"/>
  <c r="C61" i="24"/>
  <c r="D61" i="24"/>
  <c r="E61" i="24"/>
  <c r="F61" i="24"/>
  <c r="G61" i="24"/>
  <c r="H61" i="24"/>
  <c r="I61" i="24"/>
  <c r="J61" i="24"/>
  <c r="K61" i="24"/>
  <c r="L61" i="24"/>
  <c r="M61" i="24"/>
  <c r="N61" i="24"/>
  <c r="O61" i="24"/>
  <c r="P61" i="24"/>
  <c r="Q61" i="24"/>
  <c r="R61" i="24"/>
  <c r="B62" i="24"/>
  <c r="C62" i="24"/>
  <c r="D62" i="24"/>
  <c r="E62" i="24"/>
  <c r="F62" i="24"/>
  <c r="G62" i="24"/>
  <c r="H62" i="24"/>
  <c r="I62" i="24"/>
  <c r="J62" i="24"/>
  <c r="K62" i="24"/>
  <c r="L62" i="24"/>
  <c r="M62" i="24"/>
  <c r="N62" i="24"/>
  <c r="O62" i="24"/>
  <c r="P62" i="24"/>
  <c r="Q62" i="24"/>
  <c r="R62" i="24"/>
  <c r="B63" i="24"/>
  <c r="C63" i="24"/>
  <c r="D63" i="24"/>
  <c r="E63" i="24"/>
  <c r="F63" i="24"/>
  <c r="G63" i="24"/>
  <c r="H63" i="24"/>
  <c r="I63" i="24"/>
  <c r="J63" i="24"/>
  <c r="K63" i="24"/>
  <c r="L63" i="24"/>
  <c r="M63" i="24"/>
  <c r="N63" i="24"/>
  <c r="O63" i="24"/>
  <c r="P63" i="24"/>
  <c r="Q63" i="24"/>
  <c r="R63" i="24"/>
  <c r="B64" i="24"/>
  <c r="C64" i="24"/>
  <c r="D64" i="24"/>
  <c r="E64" i="24"/>
  <c r="F64" i="24"/>
  <c r="G64" i="24"/>
  <c r="H64" i="24"/>
  <c r="I64" i="24"/>
  <c r="J64" i="24"/>
  <c r="K64" i="24"/>
  <c r="L64" i="24"/>
  <c r="M64" i="24"/>
  <c r="N64" i="24"/>
  <c r="O64" i="24"/>
  <c r="P64" i="24"/>
  <c r="Q64" i="24"/>
  <c r="R64" i="24"/>
  <c r="B65" i="24"/>
  <c r="C65" i="24"/>
  <c r="D65" i="24"/>
  <c r="E65" i="24"/>
  <c r="F65" i="24"/>
  <c r="G65" i="24"/>
  <c r="H65" i="24"/>
  <c r="I65" i="24"/>
  <c r="J65" i="24"/>
  <c r="K65" i="24"/>
  <c r="L65" i="24"/>
  <c r="M65" i="24"/>
  <c r="N65" i="24"/>
  <c r="O65" i="24"/>
  <c r="P65" i="24"/>
  <c r="Q65" i="24"/>
  <c r="R65" i="24"/>
  <c r="B66" i="24"/>
  <c r="C66" i="24"/>
  <c r="D66" i="24"/>
  <c r="E66" i="24"/>
  <c r="F66" i="24"/>
  <c r="G66" i="24"/>
  <c r="H66" i="24"/>
  <c r="I66" i="24"/>
  <c r="J66" i="24"/>
  <c r="K66" i="24"/>
  <c r="L66" i="24"/>
  <c r="M66" i="24"/>
  <c r="N66" i="24"/>
  <c r="O66" i="24"/>
  <c r="P66" i="24"/>
  <c r="Q66" i="24"/>
  <c r="R66" i="24"/>
  <c r="B67" i="24"/>
  <c r="C67" i="24"/>
  <c r="D67" i="24"/>
  <c r="E67" i="24"/>
  <c r="F67" i="24"/>
  <c r="G67" i="24"/>
  <c r="H67" i="24"/>
  <c r="I67" i="24"/>
  <c r="J67" i="24"/>
  <c r="K67" i="24"/>
  <c r="L67" i="24"/>
  <c r="M67" i="24"/>
  <c r="N67" i="24"/>
  <c r="O67" i="24"/>
  <c r="P67" i="24"/>
  <c r="Q67" i="24"/>
  <c r="R67" i="24"/>
  <c r="B68" i="24"/>
  <c r="C68" i="24"/>
  <c r="D68" i="24"/>
  <c r="E68" i="24"/>
  <c r="F68" i="24"/>
  <c r="G68" i="24"/>
  <c r="H68" i="24"/>
  <c r="I68" i="24"/>
  <c r="J68" i="24"/>
  <c r="K68" i="24"/>
  <c r="L68" i="24"/>
  <c r="M68" i="24"/>
  <c r="N68" i="24"/>
  <c r="O68" i="24"/>
  <c r="P68" i="24"/>
  <c r="Q68" i="24"/>
  <c r="R68" i="24"/>
  <c r="B69" i="24"/>
  <c r="C69" i="24"/>
  <c r="D69" i="24"/>
  <c r="E69" i="24"/>
  <c r="F69" i="24"/>
  <c r="G69" i="24"/>
  <c r="H69" i="24"/>
  <c r="I69" i="24"/>
  <c r="J69" i="24"/>
  <c r="K69" i="24"/>
  <c r="L69" i="24"/>
  <c r="M69" i="24"/>
  <c r="N69" i="24"/>
  <c r="O69" i="24"/>
  <c r="P69" i="24"/>
  <c r="Q69" i="24"/>
  <c r="R69" i="24"/>
  <c r="B70" i="24"/>
  <c r="C70" i="24"/>
  <c r="D70" i="24"/>
  <c r="E70" i="24"/>
  <c r="F70" i="24"/>
  <c r="G70" i="24"/>
  <c r="H70" i="24"/>
  <c r="I70" i="24"/>
  <c r="J70" i="24"/>
  <c r="K70" i="24"/>
  <c r="L70" i="24"/>
  <c r="M70" i="24"/>
  <c r="N70" i="24"/>
  <c r="O70" i="24"/>
  <c r="P70" i="24"/>
  <c r="Q70" i="24"/>
  <c r="R70" i="24"/>
  <c r="B71" i="24"/>
  <c r="C71" i="24"/>
  <c r="D71" i="24"/>
  <c r="E71" i="24"/>
  <c r="F71" i="24"/>
  <c r="G71" i="24"/>
  <c r="H71" i="24"/>
  <c r="I71" i="24"/>
  <c r="J71" i="24"/>
  <c r="K71" i="24"/>
  <c r="L71" i="24"/>
  <c r="M71" i="24"/>
  <c r="N71" i="24"/>
  <c r="O71" i="24"/>
  <c r="P71" i="24"/>
  <c r="Q71" i="24"/>
  <c r="R71" i="24"/>
  <c r="B72" i="24"/>
  <c r="C72" i="24"/>
  <c r="D72" i="24"/>
  <c r="E72" i="24"/>
  <c r="F72" i="24"/>
  <c r="G72" i="24"/>
  <c r="H72" i="24"/>
  <c r="I72" i="24"/>
  <c r="J72" i="24"/>
  <c r="K72" i="24"/>
  <c r="L72" i="24"/>
  <c r="M72" i="24"/>
  <c r="N72" i="24"/>
  <c r="O72" i="24"/>
  <c r="P72" i="24"/>
  <c r="Q72" i="24"/>
  <c r="R72" i="24"/>
  <c r="B73" i="24"/>
  <c r="C73" i="24"/>
  <c r="D73" i="24"/>
  <c r="E73" i="24"/>
  <c r="F73" i="24"/>
  <c r="G73" i="24"/>
  <c r="H73" i="24"/>
  <c r="I73" i="24"/>
  <c r="J73" i="24"/>
  <c r="K73" i="24"/>
  <c r="L73" i="24"/>
  <c r="M73" i="24"/>
  <c r="N73" i="24"/>
  <c r="O73" i="24"/>
  <c r="P73" i="24"/>
  <c r="Q73" i="24"/>
  <c r="R73" i="24"/>
  <c r="B74" i="24"/>
  <c r="C74" i="24"/>
  <c r="D74" i="24"/>
  <c r="E74" i="24"/>
  <c r="F74" i="24"/>
  <c r="G74" i="24"/>
  <c r="H74" i="24"/>
  <c r="I74" i="24"/>
  <c r="J74" i="24"/>
  <c r="K74" i="24"/>
  <c r="L74" i="24"/>
  <c r="M74" i="24"/>
  <c r="N74" i="24"/>
  <c r="O74" i="24"/>
  <c r="P74" i="24"/>
  <c r="Q74" i="24"/>
  <c r="R74" i="24"/>
  <c r="B75" i="24"/>
  <c r="C75" i="24"/>
  <c r="D75" i="24"/>
  <c r="E75" i="24"/>
  <c r="F75" i="24"/>
  <c r="G75" i="24"/>
  <c r="H75" i="24"/>
  <c r="I75" i="24"/>
  <c r="J75" i="24"/>
  <c r="K75" i="24"/>
  <c r="L75" i="24"/>
  <c r="M75" i="24"/>
  <c r="N75" i="24"/>
  <c r="O75" i="24"/>
  <c r="P75" i="24"/>
  <c r="Q75" i="24"/>
  <c r="R75" i="24"/>
  <c r="B76" i="24"/>
  <c r="C76" i="24"/>
  <c r="D76" i="24"/>
  <c r="E76" i="24"/>
  <c r="F76" i="24"/>
  <c r="G76" i="24"/>
  <c r="H76" i="24"/>
  <c r="I76" i="24"/>
  <c r="J76" i="24"/>
  <c r="K76" i="24"/>
  <c r="L76" i="24"/>
  <c r="M76" i="24"/>
  <c r="N76" i="24"/>
  <c r="O76" i="24"/>
  <c r="P76" i="24"/>
  <c r="Q76" i="24"/>
  <c r="R76" i="24"/>
  <c r="B77" i="24"/>
  <c r="C77" i="24"/>
  <c r="D77" i="24"/>
  <c r="E77" i="24"/>
  <c r="F77" i="24"/>
  <c r="G77" i="24"/>
  <c r="H77" i="24"/>
  <c r="I77" i="24"/>
  <c r="J77" i="24"/>
  <c r="K77" i="24"/>
  <c r="L77" i="24"/>
  <c r="M77" i="24"/>
  <c r="N77" i="24"/>
  <c r="O77" i="24"/>
  <c r="P77" i="24"/>
  <c r="Q77" i="24"/>
  <c r="R77" i="24"/>
  <c r="B78" i="24"/>
  <c r="C78" i="24"/>
  <c r="D78" i="24"/>
  <c r="E78" i="24"/>
  <c r="F78" i="24"/>
  <c r="G78" i="24"/>
  <c r="H78" i="24"/>
  <c r="I78" i="24"/>
  <c r="J78" i="24"/>
  <c r="K78" i="24"/>
  <c r="L78" i="24"/>
  <c r="M78" i="24"/>
  <c r="N78" i="24"/>
  <c r="O78" i="24"/>
  <c r="P78" i="24"/>
  <c r="Q78" i="24"/>
  <c r="R78" i="24"/>
  <c r="B79" i="24"/>
  <c r="C79" i="24"/>
  <c r="D79" i="24"/>
  <c r="E79" i="24"/>
  <c r="F79" i="24"/>
  <c r="G79" i="24"/>
  <c r="H79" i="24"/>
  <c r="I79" i="24"/>
  <c r="J79" i="24"/>
  <c r="K79" i="24"/>
  <c r="L79" i="24"/>
  <c r="M79" i="24"/>
  <c r="N79" i="24"/>
  <c r="O79" i="24"/>
  <c r="P79" i="24"/>
  <c r="Q79" i="24"/>
  <c r="R79" i="24"/>
  <c r="B80" i="24"/>
  <c r="C80" i="24"/>
  <c r="D80" i="24"/>
  <c r="E80" i="24"/>
  <c r="F80" i="24"/>
  <c r="G80" i="24"/>
  <c r="H80" i="24"/>
  <c r="I80" i="24"/>
  <c r="J80" i="24"/>
  <c r="K80" i="24"/>
  <c r="L80" i="24"/>
  <c r="M80" i="24"/>
  <c r="N80" i="24"/>
  <c r="O80" i="24"/>
  <c r="P80" i="24"/>
  <c r="Q80" i="24"/>
  <c r="R80" i="24"/>
  <c r="B81" i="24"/>
  <c r="C81" i="24"/>
  <c r="D81" i="24"/>
  <c r="E81" i="24"/>
  <c r="F81" i="24"/>
  <c r="G81" i="24"/>
  <c r="H81" i="24"/>
  <c r="I81" i="24"/>
  <c r="J81" i="24"/>
  <c r="K81" i="24"/>
  <c r="L81" i="24"/>
  <c r="M81" i="24"/>
  <c r="N81" i="24"/>
  <c r="O81" i="24"/>
  <c r="P81" i="24"/>
  <c r="Q81" i="24"/>
  <c r="R81" i="24"/>
  <c r="B82" i="24"/>
  <c r="C82" i="24"/>
  <c r="D82" i="24"/>
  <c r="E82" i="24"/>
  <c r="F82" i="24"/>
  <c r="G82" i="24"/>
  <c r="H82" i="24"/>
  <c r="I82" i="24"/>
  <c r="J82" i="24"/>
  <c r="K82" i="24"/>
  <c r="L82" i="24"/>
  <c r="M82" i="24"/>
  <c r="N82" i="24"/>
  <c r="O82" i="24"/>
  <c r="P82" i="24"/>
  <c r="Q82" i="24"/>
  <c r="R82" i="24"/>
  <c r="B83" i="24"/>
  <c r="C83" i="24"/>
  <c r="D83" i="24"/>
  <c r="E83" i="24"/>
  <c r="F83" i="24"/>
  <c r="G83" i="24"/>
  <c r="H83" i="24"/>
  <c r="I83" i="24"/>
  <c r="J83" i="24"/>
  <c r="K83" i="24"/>
  <c r="L83" i="24"/>
  <c r="M83" i="24"/>
  <c r="N83" i="24"/>
  <c r="O83" i="24"/>
  <c r="P83" i="24"/>
  <c r="Q83" i="24"/>
  <c r="R83" i="24"/>
  <c r="B84" i="24"/>
  <c r="C84" i="24"/>
  <c r="D84" i="24"/>
  <c r="E84" i="24"/>
  <c r="F84" i="24"/>
  <c r="G84" i="24"/>
  <c r="H84" i="24"/>
  <c r="I84" i="24"/>
  <c r="J84" i="24"/>
  <c r="K84" i="24"/>
  <c r="L84" i="24"/>
  <c r="M84" i="24"/>
  <c r="N84" i="24"/>
  <c r="O84" i="24"/>
  <c r="P84" i="24"/>
  <c r="Q84" i="24"/>
  <c r="R84" i="24"/>
  <c r="B85" i="24"/>
  <c r="C85" i="24"/>
  <c r="D85" i="24"/>
  <c r="E85" i="24"/>
  <c r="F85" i="24"/>
  <c r="G85" i="24"/>
  <c r="H85" i="24"/>
  <c r="I85" i="24"/>
  <c r="J85" i="24"/>
  <c r="K85" i="24"/>
  <c r="L85" i="24"/>
  <c r="M85" i="24"/>
  <c r="N85" i="24"/>
  <c r="O85" i="24"/>
  <c r="P85" i="24"/>
  <c r="Q85" i="24"/>
  <c r="R85" i="24"/>
  <c r="B86" i="24"/>
  <c r="C86" i="24"/>
  <c r="D86" i="24"/>
  <c r="E86" i="24"/>
  <c r="F86" i="24"/>
  <c r="G86" i="24"/>
  <c r="H86" i="24"/>
  <c r="I86" i="24"/>
  <c r="J86" i="24"/>
  <c r="K86" i="24"/>
  <c r="L86" i="24"/>
  <c r="M86" i="24"/>
  <c r="N86" i="24"/>
  <c r="O86" i="24"/>
  <c r="P86" i="24"/>
  <c r="Q86" i="24"/>
  <c r="R86" i="24"/>
  <c r="B87" i="24"/>
  <c r="C87" i="24"/>
  <c r="D87" i="24"/>
  <c r="E87" i="24"/>
  <c r="F87" i="24"/>
  <c r="G87" i="24"/>
  <c r="H87" i="24"/>
  <c r="I87" i="24"/>
  <c r="J87" i="24"/>
  <c r="K87" i="24"/>
  <c r="L87" i="24"/>
  <c r="M87" i="24"/>
  <c r="N87" i="24"/>
  <c r="O87" i="24"/>
  <c r="P87" i="24"/>
  <c r="Q87" i="24"/>
  <c r="R87" i="24"/>
  <c r="B88" i="24"/>
  <c r="C88" i="24"/>
  <c r="D88" i="24"/>
  <c r="E88" i="24"/>
  <c r="F88" i="24"/>
  <c r="G88" i="24"/>
  <c r="H88" i="24"/>
  <c r="I88" i="24"/>
  <c r="J88" i="24"/>
  <c r="K88" i="24"/>
  <c r="L88" i="24"/>
  <c r="M88" i="24"/>
  <c r="N88" i="24"/>
  <c r="O88" i="24"/>
  <c r="P88" i="24"/>
  <c r="Q88" i="24"/>
  <c r="R88" i="24"/>
  <c r="B89" i="24"/>
  <c r="C89" i="24"/>
  <c r="D89" i="24"/>
  <c r="E89" i="24"/>
  <c r="F89" i="24"/>
  <c r="G89" i="24"/>
  <c r="H89" i="24"/>
  <c r="I89" i="24"/>
  <c r="J89" i="24"/>
  <c r="K89" i="24"/>
  <c r="L89" i="24"/>
  <c r="M89" i="24"/>
  <c r="N89" i="24"/>
  <c r="O89" i="24"/>
  <c r="P89" i="24"/>
  <c r="Q89" i="24"/>
  <c r="R89" i="24"/>
  <c r="B90" i="24"/>
  <c r="C90" i="24"/>
  <c r="D90" i="24"/>
  <c r="E90" i="24"/>
  <c r="F90" i="24"/>
  <c r="G90" i="24"/>
  <c r="H90" i="24"/>
  <c r="I90" i="24"/>
  <c r="J90" i="24"/>
  <c r="K90" i="24"/>
  <c r="L90" i="24"/>
  <c r="M90" i="24"/>
  <c r="N90" i="24"/>
  <c r="O90" i="24"/>
  <c r="P90" i="24"/>
  <c r="Q90" i="24"/>
  <c r="R90" i="24"/>
  <c r="B91" i="24"/>
  <c r="C91" i="24"/>
  <c r="D91" i="24"/>
  <c r="E91" i="24"/>
  <c r="F91" i="24"/>
  <c r="G91" i="24"/>
  <c r="H91" i="24"/>
  <c r="I91" i="24"/>
  <c r="J91" i="24"/>
  <c r="K91" i="24"/>
  <c r="L91" i="24"/>
  <c r="M91" i="24"/>
  <c r="N91" i="24"/>
  <c r="O91" i="24"/>
  <c r="P91" i="24"/>
  <c r="Q91" i="24"/>
  <c r="R91" i="24"/>
  <c r="B92" i="24"/>
  <c r="C92" i="24"/>
  <c r="D92" i="24"/>
  <c r="E92" i="24"/>
  <c r="F92" i="24"/>
  <c r="G92" i="24"/>
  <c r="H92" i="24"/>
  <c r="I92" i="24"/>
  <c r="J92" i="24"/>
  <c r="K92" i="24"/>
  <c r="L92" i="24"/>
  <c r="M92" i="24"/>
  <c r="N92" i="24"/>
  <c r="O92" i="24"/>
  <c r="P92" i="24"/>
  <c r="Q92" i="24"/>
  <c r="R92" i="24"/>
  <c r="B93" i="24"/>
  <c r="C93" i="24"/>
  <c r="D93" i="24"/>
  <c r="E93" i="24"/>
  <c r="F93" i="24"/>
  <c r="G93" i="24"/>
  <c r="H93" i="24"/>
  <c r="I93" i="24"/>
  <c r="J93" i="24"/>
  <c r="K93" i="24"/>
  <c r="L93" i="24"/>
  <c r="M93" i="24"/>
  <c r="N93" i="24"/>
  <c r="O93" i="24"/>
  <c r="P93" i="24"/>
  <c r="Q93" i="24"/>
  <c r="R93" i="24"/>
  <c r="B94" i="24"/>
  <c r="C94" i="24"/>
  <c r="D94" i="24"/>
  <c r="E94" i="24"/>
  <c r="F94" i="24"/>
  <c r="G94" i="24"/>
  <c r="H94" i="24"/>
  <c r="I94" i="24"/>
  <c r="J94" i="24"/>
  <c r="K94" i="24"/>
  <c r="L94" i="24"/>
  <c r="M94" i="24"/>
  <c r="N94" i="24"/>
  <c r="O94" i="24"/>
  <c r="P94" i="24"/>
  <c r="Q94" i="24"/>
  <c r="R94" i="24"/>
  <c r="B95" i="24"/>
  <c r="C95" i="24"/>
  <c r="D95" i="24"/>
  <c r="E95" i="24"/>
  <c r="F95" i="24"/>
  <c r="G95" i="24"/>
  <c r="H95" i="24"/>
  <c r="I95" i="24"/>
  <c r="J95" i="24"/>
  <c r="K95" i="24"/>
  <c r="L95" i="24"/>
  <c r="M95" i="24"/>
  <c r="N95" i="24"/>
  <c r="O95" i="24"/>
  <c r="P95" i="24"/>
  <c r="Q95" i="24"/>
  <c r="R95" i="24"/>
  <c r="B96" i="24"/>
  <c r="C96" i="24"/>
  <c r="D96" i="24"/>
  <c r="E96" i="24"/>
  <c r="F96" i="24"/>
  <c r="G96" i="24"/>
  <c r="H96" i="24"/>
  <c r="I96" i="24"/>
  <c r="J96" i="24"/>
  <c r="K96" i="24"/>
  <c r="L96" i="24"/>
  <c r="M96" i="24"/>
  <c r="N96" i="24"/>
  <c r="O96" i="24"/>
  <c r="P96" i="24"/>
  <c r="Q96" i="24"/>
  <c r="R96" i="24"/>
  <c r="B97" i="24"/>
  <c r="C97" i="24"/>
  <c r="D97" i="24"/>
  <c r="E97" i="24"/>
  <c r="F97" i="24"/>
  <c r="G97" i="24"/>
  <c r="H97" i="24"/>
  <c r="I97" i="24"/>
  <c r="J97" i="24"/>
  <c r="K97" i="24"/>
  <c r="L97" i="24"/>
  <c r="M97" i="24"/>
  <c r="N97" i="24"/>
  <c r="O97" i="24"/>
  <c r="P97" i="24"/>
  <c r="Q97" i="24"/>
  <c r="R97" i="24"/>
  <c r="B98" i="24"/>
  <c r="C98" i="24"/>
  <c r="D98" i="24"/>
  <c r="E98" i="24"/>
  <c r="F98" i="24"/>
  <c r="G98" i="24"/>
  <c r="H98" i="24"/>
  <c r="I98" i="24"/>
  <c r="J98" i="24"/>
  <c r="K98" i="24"/>
  <c r="L98" i="24"/>
  <c r="M98" i="24"/>
  <c r="N98" i="24"/>
  <c r="O98" i="24"/>
  <c r="P98" i="24"/>
  <c r="Q98" i="24"/>
  <c r="R98" i="24"/>
  <c r="B99" i="24"/>
  <c r="C99" i="24"/>
  <c r="D99" i="24"/>
  <c r="E99" i="24"/>
  <c r="F99" i="24"/>
  <c r="G99" i="24"/>
  <c r="H99" i="24"/>
  <c r="I99" i="24"/>
  <c r="J99" i="24"/>
  <c r="K99" i="24"/>
  <c r="L99" i="24"/>
  <c r="M99" i="24"/>
  <c r="N99" i="24"/>
  <c r="O99" i="24"/>
  <c r="P99" i="24"/>
  <c r="Q99" i="24"/>
  <c r="R99" i="24"/>
  <c r="B100" i="24"/>
  <c r="C100" i="24"/>
  <c r="D100" i="24"/>
  <c r="E100" i="24"/>
  <c r="F100" i="24"/>
  <c r="G100" i="24"/>
  <c r="H100" i="24"/>
  <c r="I100" i="24"/>
  <c r="J100" i="24"/>
  <c r="K100" i="24"/>
  <c r="L100" i="24"/>
  <c r="M100" i="24"/>
  <c r="N100" i="24"/>
  <c r="O100" i="24"/>
  <c r="P100" i="24"/>
  <c r="Q100" i="24"/>
  <c r="R100" i="24"/>
  <c r="B101" i="24"/>
  <c r="C101" i="24"/>
  <c r="D101" i="24"/>
  <c r="E101" i="24"/>
  <c r="F101" i="24"/>
  <c r="G101" i="24"/>
  <c r="H101" i="24"/>
  <c r="I101" i="24"/>
  <c r="J101" i="24"/>
  <c r="K101" i="24"/>
  <c r="L101" i="24"/>
  <c r="M101" i="24"/>
  <c r="N101" i="24"/>
  <c r="O101" i="24"/>
  <c r="P101" i="24"/>
  <c r="Q101" i="24"/>
  <c r="R101" i="24"/>
  <c r="B102" i="24"/>
  <c r="C102" i="24"/>
  <c r="D102" i="24"/>
  <c r="E102" i="24"/>
  <c r="F102" i="24"/>
  <c r="G102" i="24"/>
  <c r="H102" i="24"/>
  <c r="I102" i="24"/>
  <c r="J102" i="24"/>
  <c r="K102" i="24"/>
  <c r="L102" i="24"/>
  <c r="M102" i="24"/>
  <c r="N102" i="24"/>
  <c r="O102" i="24"/>
  <c r="P102" i="24"/>
  <c r="Q102" i="24"/>
  <c r="R102" i="24"/>
  <c r="B103" i="24"/>
  <c r="C103" i="24"/>
  <c r="D103" i="24"/>
  <c r="E103" i="24"/>
  <c r="F103" i="24"/>
  <c r="G103" i="24"/>
  <c r="H103" i="24"/>
  <c r="I103" i="24"/>
  <c r="J103" i="24"/>
  <c r="K103" i="24"/>
  <c r="L103" i="24"/>
  <c r="M103" i="24"/>
  <c r="N103" i="24"/>
  <c r="O103" i="24"/>
  <c r="P103" i="24"/>
  <c r="Q103" i="24"/>
  <c r="R103" i="24"/>
  <c r="B104" i="24"/>
  <c r="C104" i="24"/>
  <c r="D104" i="24"/>
  <c r="E104" i="24"/>
  <c r="F104" i="24"/>
  <c r="G104" i="24"/>
  <c r="H104" i="24"/>
  <c r="I104" i="24"/>
  <c r="J104" i="24"/>
  <c r="K104" i="24"/>
  <c r="L104" i="24"/>
  <c r="M104" i="24"/>
  <c r="N104" i="24"/>
  <c r="O104" i="24"/>
  <c r="P104" i="24"/>
  <c r="Q104" i="24"/>
  <c r="R104" i="24"/>
  <c r="B105" i="24"/>
  <c r="C105" i="24"/>
  <c r="D105" i="24"/>
  <c r="E105" i="24"/>
  <c r="F105" i="24"/>
  <c r="G105" i="24"/>
  <c r="H105" i="24"/>
  <c r="I105" i="24"/>
  <c r="J105" i="24"/>
  <c r="K105" i="24"/>
  <c r="L105" i="24"/>
  <c r="M105" i="24"/>
  <c r="N105" i="24"/>
  <c r="O105" i="24"/>
  <c r="P105" i="24"/>
  <c r="Q105" i="24"/>
  <c r="R105" i="24"/>
  <c r="B106" i="24"/>
  <c r="C106" i="24"/>
  <c r="D106" i="24"/>
  <c r="E106" i="24"/>
  <c r="F106" i="24"/>
  <c r="G106" i="24"/>
  <c r="H106" i="24"/>
  <c r="I106" i="24"/>
  <c r="J106" i="24"/>
  <c r="K106" i="24"/>
  <c r="L106" i="24"/>
  <c r="M106" i="24"/>
  <c r="N106" i="24"/>
  <c r="O106" i="24"/>
  <c r="P106" i="24"/>
  <c r="Q106" i="24"/>
  <c r="R106" i="24"/>
  <c r="B107" i="24"/>
  <c r="C107" i="24"/>
  <c r="D107" i="24"/>
  <c r="E107" i="24"/>
  <c r="F107" i="24"/>
  <c r="G107" i="24"/>
  <c r="H107" i="24"/>
  <c r="I107" i="24"/>
  <c r="J107" i="24"/>
  <c r="K107" i="24"/>
  <c r="L107" i="24"/>
  <c r="M107" i="24"/>
  <c r="N107" i="24"/>
  <c r="O107" i="24"/>
  <c r="P107" i="24"/>
  <c r="Q107" i="24"/>
  <c r="R107" i="24"/>
  <c r="B108" i="24"/>
  <c r="C108" i="24"/>
  <c r="D108" i="24"/>
  <c r="E108" i="24"/>
  <c r="F108" i="24"/>
  <c r="G108" i="24"/>
  <c r="H108" i="24"/>
  <c r="I108" i="24"/>
  <c r="J108" i="24"/>
  <c r="K108" i="24"/>
  <c r="L108" i="24"/>
  <c r="M108" i="24"/>
  <c r="N108" i="24"/>
  <c r="O108" i="24"/>
  <c r="P108" i="24"/>
  <c r="Q108" i="24"/>
  <c r="R108" i="24"/>
  <c r="B109" i="24"/>
  <c r="C109" i="24"/>
  <c r="D109" i="24"/>
  <c r="E109" i="24"/>
  <c r="F109" i="24"/>
  <c r="G109" i="24"/>
  <c r="H109" i="24"/>
  <c r="I109" i="24"/>
  <c r="J109" i="24"/>
  <c r="K109" i="24"/>
  <c r="L109" i="24"/>
  <c r="M109" i="24"/>
  <c r="N109" i="24"/>
  <c r="O109" i="24"/>
  <c r="P109" i="24"/>
  <c r="Q109" i="24"/>
  <c r="R109" i="24"/>
  <c r="B110" i="24"/>
  <c r="C110" i="24"/>
  <c r="D110" i="24"/>
  <c r="E110" i="24"/>
  <c r="F110" i="24"/>
  <c r="G110" i="24"/>
  <c r="H110" i="24"/>
  <c r="I110" i="24"/>
  <c r="J110" i="24"/>
  <c r="K110" i="24"/>
  <c r="L110" i="24"/>
  <c r="M110" i="24"/>
  <c r="N110" i="24"/>
  <c r="O110" i="24"/>
  <c r="P110" i="24"/>
  <c r="Q110" i="24"/>
  <c r="R110" i="24"/>
  <c r="B111" i="24"/>
  <c r="C111" i="24"/>
  <c r="D111" i="24"/>
  <c r="E111" i="24"/>
  <c r="F111" i="24"/>
  <c r="G111" i="24"/>
  <c r="H111" i="24"/>
  <c r="I111" i="24"/>
  <c r="J111" i="24"/>
  <c r="K111" i="24"/>
  <c r="L111" i="24"/>
  <c r="M111" i="24"/>
  <c r="N111" i="24"/>
  <c r="O111" i="24"/>
  <c r="P111" i="24"/>
  <c r="Q111" i="24"/>
  <c r="R111" i="24"/>
  <c r="B112" i="24"/>
  <c r="C112" i="24"/>
  <c r="D112" i="24"/>
  <c r="E112" i="24"/>
  <c r="F112" i="24"/>
  <c r="G112" i="24"/>
  <c r="H112" i="24"/>
  <c r="I112" i="24"/>
  <c r="J112" i="24"/>
  <c r="K112" i="24"/>
  <c r="L112" i="24"/>
  <c r="M112" i="24"/>
  <c r="N112" i="24"/>
  <c r="O112" i="24"/>
  <c r="P112" i="24"/>
  <c r="Q112" i="24"/>
  <c r="R112" i="24"/>
  <c r="B113" i="24"/>
  <c r="C113" i="24"/>
  <c r="D113" i="24"/>
  <c r="E113" i="24"/>
  <c r="F113" i="24"/>
  <c r="G113" i="24"/>
  <c r="H113" i="24"/>
  <c r="I113" i="24"/>
  <c r="J113" i="24"/>
  <c r="K113" i="24"/>
  <c r="L113" i="24"/>
  <c r="M113" i="24"/>
  <c r="N113" i="24"/>
  <c r="O113" i="24"/>
  <c r="P113" i="24"/>
  <c r="Q113" i="24"/>
  <c r="R113" i="24"/>
  <c r="B114" i="24"/>
  <c r="C114" i="24"/>
  <c r="D114" i="24"/>
  <c r="E114" i="24"/>
  <c r="F114" i="24"/>
  <c r="G114" i="24"/>
  <c r="H114" i="24"/>
  <c r="I114" i="24"/>
  <c r="J114" i="24"/>
  <c r="K114" i="24"/>
  <c r="L114" i="24"/>
  <c r="M114" i="24"/>
  <c r="N114" i="24"/>
  <c r="O114" i="24"/>
  <c r="P114" i="24"/>
  <c r="Q114" i="24"/>
  <c r="R114" i="24"/>
  <c r="B115" i="24"/>
  <c r="C115" i="24"/>
  <c r="D115" i="24"/>
  <c r="E115" i="24"/>
  <c r="F115" i="24"/>
  <c r="G115" i="24"/>
  <c r="H115" i="24"/>
  <c r="I115" i="24"/>
  <c r="J115" i="24"/>
  <c r="K115" i="24"/>
  <c r="L115" i="24"/>
  <c r="M115" i="24"/>
  <c r="N115" i="24"/>
  <c r="O115" i="24"/>
  <c r="P115" i="24"/>
  <c r="Q115" i="24"/>
  <c r="R115" i="24"/>
  <c r="B116" i="24"/>
  <c r="C116" i="24"/>
  <c r="D116" i="24"/>
  <c r="E116" i="24"/>
  <c r="F116" i="24"/>
  <c r="G116" i="24"/>
  <c r="H116" i="24"/>
  <c r="I116" i="24"/>
  <c r="J116" i="24"/>
  <c r="K116" i="24"/>
  <c r="L116" i="24"/>
  <c r="M116" i="24"/>
  <c r="N116" i="24"/>
  <c r="O116" i="24"/>
  <c r="P116" i="24"/>
  <c r="Q116" i="24"/>
  <c r="R116" i="24"/>
  <c r="B119" i="24"/>
  <c r="C119" i="24"/>
  <c r="D119" i="24"/>
  <c r="E119" i="24"/>
  <c r="F119" i="24"/>
  <c r="G119" i="24"/>
  <c r="H119" i="24"/>
  <c r="I119" i="24"/>
  <c r="J119" i="24"/>
  <c r="K119" i="24"/>
  <c r="L119" i="24"/>
  <c r="M119" i="24"/>
  <c r="N119" i="24"/>
  <c r="O119" i="24"/>
  <c r="P119" i="24"/>
  <c r="Q119" i="24"/>
  <c r="R119" i="24"/>
  <c r="B120" i="24"/>
  <c r="C120" i="24"/>
  <c r="D120" i="24"/>
  <c r="E120" i="24"/>
  <c r="F120" i="24"/>
  <c r="G120" i="24"/>
  <c r="H120" i="24"/>
  <c r="I120" i="24"/>
  <c r="J120" i="24"/>
  <c r="K120" i="24"/>
  <c r="L120" i="24"/>
  <c r="M120" i="24"/>
  <c r="N120" i="24"/>
  <c r="O120" i="24"/>
  <c r="P120" i="24"/>
  <c r="Q120" i="24"/>
  <c r="R120" i="24"/>
  <c r="B121" i="24"/>
  <c r="C121" i="24"/>
  <c r="D121" i="24"/>
  <c r="E121" i="24"/>
  <c r="F121" i="24"/>
  <c r="G121" i="24"/>
  <c r="H121" i="24"/>
  <c r="I121" i="24"/>
  <c r="J121" i="24"/>
  <c r="K121" i="24"/>
  <c r="L121" i="24"/>
  <c r="M121" i="24"/>
  <c r="N121" i="24"/>
  <c r="O121" i="24"/>
  <c r="P121" i="24"/>
  <c r="Q121" i="24"/>
  <c r="R121" i="24"/>
  <c r="B122" i="24"/>
  <c r="C122" i="24"/>
  <c r="D122" i="24"/>
  <c r="E122" i="24"/>
  <c r="F122" i="24"/>
  <c r="G122" i="24"/>
  <c r="H122" i="24"/>
  <c r="I122" i="24"/>
  <c r="J122" i="24"/>
  <c r="K122" i="24"/>
  <c r="L122" i="24"/>
  <c r="M122" i="24"/>
  <c r="N122" i="24"/>
  <c r="O122" i="24"/>
  <c r="P122" i="24"/>
  <c r="Q122" i="24"/>
  <c r="R122" i="24"/>
  <c r="B123" i="24"/>
  <c r="C123" i="24"/>
  <c r="D123" i="24"/>
  <c r="E123" i="24"/>
  <c r="F123" i="24"/>
  <c r="G123" i="24"/>
  <c r="H123" i="24"/>
  <c r="I123" i="24"/>
  <c r="J123" i="24"/>
  <c r="K123" i="24"/>
  <c r="L123" i="24"/>
  <c r="M123" i="24"/>
  <c r="N123" i="24"/>
  <c r="O123" i="24"/>
  <c r="P123" i="24"/>
  <c r="Q123" i="24"/>
  <c r="R123" i="24"/>
  <c r="B124" i="24"/>
  <c r="C124" i="24"/>
  <c r="D124" i="24"/>
  <c r="E124" i="24"/>
  <c r="F124" i="24"/>
  <c r="G124" i="24"/>
  <c r="H124" i="24"/>
  <c r="I124" i="24"/>
  <c r="J124" i="24"/>
  <c r="K124" i="24"/>
  <c r="L124" i="24"/>
  <c r="M124" i="24"/>
  <c r="N124" i="24"/>
  <c r="O124" i="24"/>
  <c r="P124" i="24"/>
  <c r="Q124" i="24"/>
  <c r="R124" i="24"/>
  <c r="B125" i="24"/>
  <c r="C125" i="24"/>
  <c r="D125" i="24"/>
  <c r="E125" i="24"/>
  <c r="F125" i="24"/>
  <c r="G125" i="24"/>
  <c r="H125" i="24"/>
  <c r="I125" i="24"/>
  <c r="J125" i="24"/>
  <c r="K125" i="24"/>
  <c r="L125" i="24"/>
  <c r="M125" i="24"/>
  <c r="N125" i="24"/>
  <c r="O125" i="24"/>
  <c r="P125" i="24"/>
  <c r="Q125" i="24"/>
  <c r="R125" i="24"/>
  <c r="B126" i="24"/>
  <c r="C126" i="24"/>
  <c r="D126" i="24"/>
  <c r="E126" i="24"/>
  <c r="F126" i="24"/>
  <c r="G126" i="24"/>
  <c r="H126" i="24"/>
  <c r="I126" i="24"/>
  <c r="J126" i="24"/>
  <c r="K126" i="24"/>
  <c r="L126" i="24"/>
  <c r="M126" i="24"/>
  <c r="N126" i="24"/>
  <c r="O126" i="24"/>
  <c r="P126" i="24"/>
  <c r="Q126" i="24"/>
  <c r="R126" i="24"/>
  <c r="B127" i="24"/>
  <c r="C127" i="24"/>
  <c r="D127" i="24"/>
  <c r="E127" i="24"/>
  <c r="F127" i="24"/>
  <c r="G127" i="24"/>
  <c r="H127" i="24"/>
  <c r="I127" i="24"/>
  <c r="J127" i="24"/>
  <c r="K127" i="24"/>
  <c r="L127" i="24"/>
  <c r="M127" i="24"/>
  <c r="N127" i="24"/>
  <c r="O127" i="24"/>
  <c r="P127" i="24"/>
  <c r="Q127" i="24"/>
  <c r="R127" i="24"/>
  <c r="B128" i="24"/>
  <c r="C128" i="24"/>
  <c r="D128" i="24"/>
  <c r="E128" i="24"/>
  <c r="F128" i="24"/>
  <c r="G128" i="24"/>
  <c r="H128" i="24"/>
  <c r="I128" i="24"/>
  <c r="J128" i="24"/>
  <c r="K128" i="24"/>
  <c r="L128" i="24"/>
  <c r="M128" i="24"/>
  <c r="N128" i="24"/>
  <c r="O128" i="24"/>
  <c r="P128" i="24"/>
  <c r="Q128" i="24"/>
  <c r="R128" i="24"/>
  <c r="B129" i="24"/>
  <c r="C129" i="24"/>
  <c r="D129" i="24"/>
  <c r="E129" i="24"/>
  <c r="F129" i="24"/>
  <c r="G129" i="24"/>
  <c r="H129" i="24"/>
  <c r="I129" i="24"/>
  <c r="J129" i="24"/>
  <c r="K129" i="24"/>
  <c r="L129" i="24"/>
  <c r="M129" i="24"/>
  <c r="N129" i="24"/>
  <c r="O129" i="24"/>
  <c r="P129" i="24"/>
  <c r="Q129" i="24"/>
  <c r="R129" i="24"/>
  <c r="B130" i="24"/>
  <c r="C130" i="24"/>
  <c r="D130" i="24"/>
  <c r="E130" i="24"/>
  <c r="F130" i="24"/>
  <c r="G130" i="24"/>
  <c r="H130" i="24"/>
  <c r="I130" i="24"/>
  <c r="J130" i="24"/>
  <c r="K130" i="24"/>
  <c r="L130" i="24"/>
  <c r="M130" i="24"/>
  <c r="N130" i="24"/>
  <c r="O130" i="24"/>
  <c r="P130" i="24"/>
  <c r="Q130" i="24"/>
  <c r="R130" i="24"/>
  <c r="B131" i="24"/>
  <c r="C131" i="24"/>
  <c r="D131" i="24"/>
  <c r="E131" i="24"/>
  <c r="F131" i="24"/>
  <c r="G131" i="24"/>
  <c r="H131" i="24"/>
  <c r="I131" i="24"/>
  <c r="J131" i="24"/>
  <c r="K131" i="24"/>
  <c r="L131" i="24"/>
  <c r="M131" i="24"/>
  <c r="N131" i="24"/>
  <c r="O131" i="24"/>
  <c r="P131" i="24"/>
  <c r="Q131" i="24"/>
  <c r="R131" i="24"/>
  <c r="B132" i="24"/>
  <c r="C132" i="24"/>
  <c r="D132" i="24"/>
  <c r="E132" i="24"/>
  <c r="F132" i="24"/>
  <c r="G132" i="24"/>
  <c r="H132" i="24"/>
  <c r="I132" i="24"/>
  <c r="J132" i="24"/>
  <c r="K132" i="24"/>
  <c r="L132" i="24"/>
  <c r="M132" i="24"/>
  <c r="N132" i="24"/>
  <c r="O132" i="24"/>
  <c r="P132" i="24"/>
  <c r="Q132" i="24"/>
  <c r="R132" i="24"/>
  <c r="B133" i="24"/>
  <c r="C133" i="24"/>
  <c r="D133" i="24"/>
  <c r="E133" i="24"/>
  <c r="F133" i="24"/>
  <c r="G133" i="24"/>
  <c r="H133" i="24"/>
  <c r="I133" i="24"/>
  <c r="J133" i="24"/>
  <c r="K133" i="24"/>
  <c r="L133" i="24"/>
  <c r="M133" i="24"/>
  <c r="N133" i="24"/>
  <c r="O133" i="24"/>
  <c r="P133" i="24"/>
  <c r="Q133" i="24"/>
  <c r="R133" i="24"/>
  <c r="B134" i="24"/>
  <c r="C134" i="24"/>
  <c r="D134" i="24"/>
  <c r="E134" i="24"/>
  <c r="F134" i="24"/>
  <c r="G134" i="24"/>
  <c r="H134" i="24"/>
  <c r="I134" i="24"/>
  <c r="J134" i="24"/>
  <c r="K134" i="24"/>
  <c r="L134" i="24"/>
  <c r="M134" i="24"/>
  <c r="N134" i="24"/>
  <c r="O134" i="24"/>
  <c r="P134" i="24"/>
  <c r="Q134" i="24"/>
  <c r="R134" i="24"/>
  <c r="B135" i="24"/>
  <c r="C135" i="24"/>
  <c r="D135" i="24"/>
  <c r="E135" i="24"/>
  <c r="F135" i="24"/>
  <c r="G135" i="24"/>
  <c r="H135" i="24"/>
  <c r="I135" i="24"/>
  <c r="J135" i="24"/>
  <c r="K135" i="24"/>
  <c r="L135" i="24"/>
  <c r="M135" i="24"/>
  <c r="N135" i="24"/>
  <c r="O135" i="24"/>
  <c r="P135" i="24"/>
  <c r="Q135" i="24"/>
  <c r="R135" i="24"/>
  <c r="B136" i="24"/>
  <c r="C136" i="24"/>
  <c r="D136" i="24"/>
  <c r="E136" i="24"/>
  <c r="F136" i="24"/>
  <c r="G136" i="24"/>
  <c r="H136" i="24"/>
  <c r="I136" i="24"/>
  <c r="J136" i="24"/>
  <c r="K136" i="24"/>
  <c r="L136" i="24"/>
  <c r="M136" i="24"/>
  <c r="N136" i="24"/>
  <c r="O136" i="24"/>
  <c r="P136" i="24"/>
  <c r="Q136" i="24"/>
  <c r="R136" i="24"/>
  <c r="B137" i="24"/>
  <c r="C137" i="24"/>
  <c r="D137" i="24"/>
  <c r="E137" i="24"/>
  <c r="F137" i="24"/>
  <c r="G137" i="24"/>
  <c r="H137" i="24"/>
  <c r="I137" i="24"/>
  <c r="J137" i="24"/>
  <c r="K137" i="24"/>
  <c r="L137" i="24"/>
  <c r="M137" i="24"/>
  <c r="N137" i="24"/>
  <c r="O137" i="24"/>
  <c r="P137" i="24"/>
  <c r="Q137" i="24"/>
  <c r="R137" i="24"/>
  <c r="B138" i="24"/>
  <c r="C138" i="24"/>
  <c r="D138" i="24"/>
  <c r="E138" i="24"/>
  <c r="F138" i="24"/>
  <c r="G138" i="24"/>
  <c r="H138" i="24"/>
  <c r="I138" i="24"/>
  <c r="J138" i="24"/>
  <c r="K138" i="24"/>
  <c r="L138" i="24"/>
  <c r="M138" i="24"/>
  <c r="N138" i="24"/>
  <c r="O138" i="24"/>
  <c r="P138" i="24"/>
  <c r="Q138" i="24"/>
  <c r="R138" i="24"/>
  <c r="B139" i="24"/>
  <c r="C139" i="24"/>
  <c r="D139" i="24"/>
  <c r="E139" i="24"/>
  <c r="F139" i="24"/>
  <c r="G139" i="24"/>
  <c r="H139" i="24"/>
  <c r="I139" i="24"/>
  <c r="J139" i="24"/>
  <c r="K139" i="24"/>
  <c r="L139" i="24"/>
  <c r="M139" i="24"/>
  <c r="N139" i="24"/>
  <c r="O139" i="24"/>
  <c r="P139" i="24"/>
  <c r="Q139" i="24"/>
  <c r="R139" i="24"/>
  <c r="B140" i="24"/>
  <c r="C140" i="24"/>
  <c r="D140" i="24"/>
  <c r="E140" i="24"/>
  <c r="F140" i="24"/>
  <c r="G140" i="24"/>
  <c r="H140" i="24"/>
  <c r="I140" i="24"/>
  <c r="J140" i="24"/>
  <c r="K140" i="24"/>
  <c r="L140" i="24"/>
  <c r="M140" i="24"/>
  <c r="N140" i="24"/>
  <c r="O140" i="24"/>
  <c r="P140" i="24"/>
  <c r="Q140" i="24"/>
  <c r="R140" i="24"/>
  <c r="B141" i="24"/>
  <c r="C141" i="24"/>
  <c r="D141" i="24"/>
  <c r="E141" i="24"/>
  <c r="F141" i="24"/>
  <c r="G141" i="24"/>
  <c r="H141" i="24"/>
  <c r="I141" i="24"/>
  <c r="J141" i="24"/>
  <c r="K141" i="24"/>
  <c r="L141" i="24"/>
  <c r="M141" i="24"/>
  <c r="N141" i="24"/>
  <c r="O141" i="24"/>
  <c r="P141" i="24"/>
  <c r="Q141" i="24"/>
  <c r="R141" i="24"/>
  <c r="B142" i="24"/>
  <c r="C142" i="24"/>
  <c r="D142" i="24"/>
  <c r="E142" i="24"/>
  <c r="F142" i="24"/>
  <c r="G142" i="24"/>
  <c r="H142" i="24"/>
  <c r="I142" i="24"/>
  <c r="J142" i="24"/>
  <c r="K142" i="24"/>
  <c r="L142" i="24"/>
  <c r="M142" i="24"/>
  <c r="N142" i="24"/>
  <c r="O142" i="24"/>
  <c r="P142" i="24"/>
  <c r="Q142" i="24"/>
  <c r="R142" i="24"/>
  <c r="B143" i="24"/>
  <c r="C143" i="24"/>
  <c r="D143" i="24"/>
  <c r="E143" i="24"/>
  <c r="F143" i="24"/>
  <c r="G143" i="24"/>
  <c r="H143" i="24"/>
  <c r="I143" i="24"/>
  <c r="J143" i="24"/>
  <c r="K143" i="24"/>
  <c r="L143" i="24"/>
  <c r="M143" i="24"/>
  <c r="N143" i="24"/>
  <c r="O143" i="24"/>
  <c r="P143" i="24"/>
  <c r="Q143" i="24"/>
  <c r="R143" i="24"/>
  <c r="B144" i="24"/>
  <c r="C144" i="24"/>
  <c r="D144" i="24"/>
  <c r="E144" i="24"/>
  <c r="F144" i="24"/>
  <c r="G144" i="24"/>
  <c r="H144" i="24"/>
  <c r="I144" i="24"/>
  <c r="J144" i="24"/>
  <c r="K144" i="24"/>
  <c r="L144" i="24"/>
  <c r="M144" i="24"/>
  <c r="N144" i="24"/>
  <c r="O144" i="24"/>
  <c r="P144" i="24"/>
  <c r="Q144" i="24"/>
  <c r="R144" i="24"/>
  <c r="B145" i="24"/>
  <c r="C145" i="24"/>
  <c r="D145" i="24"/>
  <c r="E145" i="24"/>
  <c r="F145" i="24"/>
  <c r="G145" i="24"/>
  <c r="H145" i="24"/>
  <c r="I145" i="24"/>
  <c r="J145" i="24"/>
  <c r="K145" i="24"/>
  <c r="L145" i="24"/>
  <c r="M145" i="24"/>
  <c r="N145" i="24"/>
  <c r="O145" i="24"/>
  <c r="P145" i="24"/>
  <c r="Q145" i="24"/>
  <c r="R145" i="24"/>
  <c r="B146" i="24"/>
  <c r="C146" i="24"/>
  <c r="D146" i="24"/>
  <c r="E146" i="24"/>
  <c r="F146" i="24"/>
  <c r="G146" i="24"/>
  <c r="H146" i="24"/>
  <c r="I146" i="24"/>
  <c r="J146" i="24"/>
  <c r="K146" i="24"/>
  <c r="L146" i="24"/>
  <c r="M146" i="24"/>
  <c r="N146" i="24"/>
  <c r="O146" i="24"/>
  <c r="P146" i="24"/>
  <c r="Q146" i="24"/>
  <c r="R146" i="24"/>
  <c r="B147" i="24"/>
  <c r="C147" i="24"/>
  <c r="D147" i="24"/>
  <c r="E147" i="24"/>
  <c r="F147" i="24"/>
  <c r="G147" i="24"/>
  <c r="H147" i="24"/>
  <c r="I147" i="24"/>
  <c r="J147" i="24"/>
  <c r="K147" i="24"/>
  <c r="L147" i="24"/>
  <c r="M147" i="24"/>
  <c r="N147" i="24"/>
  <c r="O147" i="24"/>
  <c r="P147" i="24"/>
  <c r="Q147" i="24"/>
  <c r="R147" i="24"/>
  <c r="B148" i="24"/>
  <c r="C148" i="24"/>
  <c r="D148" i="24"/>
  <c r="E148" i="24"/>
  <c r="F148" i="24"/>
  <c r="G148" i="24"/>
  <c r="H148" i="24"/>
  <c r="I148" i="24"/>
  <c r="J148" i="24"/>
  <c r="K148" i="24"/>
  <c r="L148" i="24"/>
  <c r="M148" i="24"/>
  <c r="N148" i="24"/>
  <c r="O148" i="24"/>
  <c r="P148" i="24"/>
  <c r="Q148" i="24"/>
  <c r="R148" i="24"/>
  <c r="B149" i="24"/>
  <c r="C149" i="24"/>
  <c r="D149" i="24"/>
  <c r="E149" i="24"/>
  <c r="F149" i="24"/>
  <c r="G149" i="24"/>
  <c r="H149" i="24"/>
  <c r="I149" i="24"/>
  <c r="J149" i="24"/>
  <c r="K149" i="24"/>
  <c r="L149" i="24"/>
  <c r="M149" i="24"/>
  <c r="N149" i="24"/>
  <c r="O149" i="24"/>
  <c r="P149" i="24"/>
  <c r="Q149" i="24"/>
  <c r="R149" i="24"/>
  <c r="B150" i="24"/>
  <c r="C150" i="24"/>
  <c r="D150" i="24"/>
  <c r="E150" i="24"/>
  <c r="F150" i="24"/>
  <c r="G150" i="24"/>
  <c r="H150" i="24"/>
  <c r="I150" i="24"/>
  <c r="J150" i="24"/>
  <c r="K150" i="24"/>
  <c r="L150" i="24"/>
  <c r="M150" i="24"/>
  <c r="N150" i="24"/>
  <c r="O150" i="24"/>
  <c r="P150" i="24"/>
  <c r="Q150" i="24"/>
  <c r="R150" i="24"/>
  <c r="B151" i="24"/>
  <c r="C151" i="24"/>
  <c r="D151" i="24"/>
  <c r="E151" i="24"/>
  <c r="F151" i="24"/>
  <c r="G151" i="24"/>
  <c r="H151" i="24"/>
  <c r="I151" i="24"/>
  <c r="J151" i="24"/>
  <c r="K151" i="24"/>
  <c r="L151" i="24"/>
  <c r="M151" i="24"/>
  <c r="N151" i="24"/>
  <c r="O151" i="24"/>
  <c r="P151" i="24"/>
  <c r="Q151" i="24"/>
  <c r="R151" i="24"/>
  <c r="B152" i="24"/>
  <c r="C152" i="24"/>
  <c r="D152" i="24"/>
  <c r="E152" i="24"/>
  <c r="F152" i="24"/>
  <c r="G152" i="24"/>
  <c r="H152" i="24"/>
  <c r="I152" i="24"/>
  <c r="J152" i="24"/>
  <c r="K152" i="24"/>
  <c r="L152" i="24"/>
  <c r="M152" i="24"/>
  <c r="N152" i="24"/>
  <c r="O152" i="24"/>
  <c r="P152" i="24"/>
  <c r="Q152" i="24"/>
  <c r="R152" i="24"/>
  <c r="B153" i="24"/>
  <c r="C153" i="24"/>
  <c r="D153" i="24"/>
  <c r="E153" i="24"/>
  <c r="F153" i="24"/>
  <c r="G153" i="24"/>
  <c r="H153" i="24"/>
  <c r="I153" i="24"/>
  <c r="J153" i="24"/>
  <c r="K153" i="24"/>
  <c r="L153" i="24"/>
  <c r="M153" i="24"/>
  <c r="N153" i="24"/>
  <c r="O153" i="24"/>
  <c r="P153" i="24"/>
  <c r="Q153" i="24"/>
  <c r="R153" i="24"/>
  <c r="B154" i="24"/>
  <c r="C154" i="24"/>
  <c r="D154" i="24"/>
  <c r="E154" i="24"/>
  <c r="F154" i="24"/>
  <c r="G154" i="24"/>
  <c r="H154" i="24"/>
  <c r="I154" i="24"/>
  <c r="J154" i="24"/>
  <c r="K154" i="24"/>
  <c r="L154" i="24"/>
  <c r="M154" i="24"/>
  <c r="N154" i="24"/>
  <c r="O154" i="24"/>
  <c r="P154" i="24"/>
  <c r="Q154" i="24"/>
  <c r="R154" i="24"/>
  <c r="B155" i="24"/>
  <c r="C155" i="24"/>
  <c r="D155" i="24"/>
  <c r="E155" i="24"/>
  <c r="F155" i="24"/>
  <c r="G155" i="24"/>
  <c r="H155" i="24"/>
  <c r="I155" i="24"/>
  <c r="J155" i="24"/>
  <c r="K155" i="24"/>
  <c r="L155" i="24"/>
  <c r="M155" i="24"/>
  <c r="N155" i="24"/>
  <c r="O155" i="24"/>
  <c r="P155" i="24"/>
  <c r="Q155" i="24"/>
  <c r="R155" i="24"/>
  <c r="B156" i="24"/>
  <c r="C156" i="24"/>
  <c r="D156" i="24"/>
  <c r="E156" i="24"/>
  <c r="F156" i="24"/>
  <c r="G156" i="24"/>
  <c r="H156" i="24"/>
  <c r="I156" i="24"/>
  <c r="J156" i="24"/>
  <c r="K156" i="24"/>
  <c r="L156" i="24"/>
  <c r="M156" i="24"/>
  <c r="N156" i="24"/>
  <c r="O156" i="24"/>
  <c r="P156" i="24"/>
  <c r="Q156" i="24"/>
  <c r="R156" i="24"/>
  <c r="B157" i="24"/>
  <c r="C157" i="24"/>
  <c r="D157" i="24"/>
  <c r="E157" i="24"/>
  <c r="F157" i="24"/>
  <c r="G157" i="24"/>
  <c r="H157" i="24"/>
  <c r="I157" i="24"/>
  <c r="J157" i="24"/>
  <c r="K157" i="24"/>
  <c r="L157" i="24"/>
  <c r="M157" i="24"/>
  <c r="N157" i="24"/>
  <c r="O157" i="24"/>
  <c r="P157" i="24"/>
  <c r="Q157" i="24"/>
  <c r="R157" i="24"/>
  <c r="B158" i="24"/>
  <c r="C158" i="24"/>
  <c r="D158" i="24"/>
  <c r="E158" i="24"/>
  <c r="F158" i="24"/>
  <c r="G158" i="24"/>
  <c r="H158" i="24"/>
  <c r="I158" i="24"/>
  <c r="J158" i="24"/>
  <c r="K158" i="24"/>
  <c r="L158" i="24"/>
  <c r="M158" i="24"/>
  <c r="N158" i="24"/>
  <c r="O158" i="24"/>
  <c r="P158" i="24"/>
  <c r="Q158" i="24"/>
  <c r="R158" i="24"/>
  <c r="B159" i="24"/>
  <c r="C159" i="24"/>
  <c r="D159" i="24"/>
  <c r="E159" i="24"/>
  <c r="F159" i="24"/>
  <c r="G159" i="24"/>
  <c r="H159" i="24"/>
  <c r="I159" i="24"/>
  <c r="J159" i="24"/>
  <c r="K159" i="24"/>
  <c r="L159" i="24"/>
  <c r="M159" i="24"/>
  <c r="N159" i="24"/>
  <c r="O159" i="24"/>
  <c r="P159" i="24"/>
  <c r="Q159" i="24"/>
  <c r="R159" i="24"/>
  <c r="B160" i="24"/>
  <c r="C160" i="24"/>
  <c r="D160" i="24"/>
  <c r="E160" i="24"/>
  <c r="F160" i="24"/>
  <c r="G160" i="24"/>
  <c r="H160" i="24"/>
  <c r="I160" i="24"/>
  <c r="J160" i="24"/>
  <c r="K160" i="24"/>
  <c r="L160" i="24"/>
  <c r="M160" i="24"/>
  <c r="N160" i="24"/>
  <c r="O160" i="24"/>
  <c r="P160" i="24"/>
  <c r="Q160" i="24"/>
  <c r="R160" i="24"/>
  <c r="B161" i="24"/>
  <c r="C161" i="24"/>
  <c r="D161" i="24"/>
  <c r="E161" i="24"/>
  <c r="F161" i="24"/>
  <c r="G161" i="24"/>
  <c r="H161" i="24"/>
  <c r="I161" i="24"/>
  <c r="J161" i="24"/>
  <c r="K161" i="24"/>
  <c r="L161" i="24"/>
  <c r="M161" i="24"/>
  <c r="N161" i="24"/>
  <c r="O161" i="24"/>
  <c r="P161" i="24"/>
  <c r="Q161" i="24"/>
  <c r="R161" i="24"/>
  <c r="B162" i="24"/>
  <c r="C162" i="24"/>
  <c r="D162" i="24"/>
  <c r="E162" i="24"/>
  <c r="F162" i="24"/>
  <c r="G162" i="24"/>
  <c r="H162" i="24"/>
  <c r="I162" i="24"/>
  <c r="J162" i="24"/>
  <c r="K162" i="24"/>
  <c r="L162" i="24"/>
  <c r="M162" i="24"/>
  <c r="N162" i="24"/>
  <c r="O162" i="24"/>
  <c r="P162" i="24"/>
  <c r="Q162" i="24"/>
  <c r="R162" i="24"/>
  <c r="B163" i="24"/>
  <c r="C163" i="24"/>
  <c r="D163" i="24"/>
  <c r="E163" i="24"/>
  <c r="F163" i="24"/>
  <c r="G163" i="24"/>
  <c r="H163" i="24"/>
  <c r="I163" i="24"/>
  <c r="J163" i="24"/>
  <c r="K163" i="24"/>
  <c r="L163" i="24"/>
  <c r="M163" i="24"/>
  <c r="N163" i="24"/>
  <c r="O163" i="24"/>
  <c r="P163" i="24"/>
  <c r="Q163" i="24"/>
  <c r="R163" i="24"/>
  <c r="B164" i="24"/>
  <c r="C164" i="24"/>
  <c r="D164" i="24"/>
  <c r="E164" i="24"/>
  <c r="F164" i="24"/>
  <c r="G164" i="24"/>
  <c r="H164" i="24"/>
  <c r="I164" i="24"/>
  <c r="J164" i="24"/>
  <c r="K164" i="24"/>
  <c r="L164" i="24"/>
  <c r="M164" i="24"/>
  <c r="N164" i="24"/>
  <c r="O164" i="24"/>
  <c r="P164" i="24"/>
  <c r="Q164" i="24"/>
  <c r="R164" i="24"/>
  <c r="B165" i="24"/>
  <c r="C165" i="24"/>
  <c r="D165" i="24"/>
  <c r="E165" i="24"/>
  <c r="F165" i="24"/>
  <c r="G165" i="24"/>
  <c r="H165" i="24"/>
  <c r="I165" i="24"/>
  <c r="J165" i="24"/>
  <c r="K165" i="24"/>
  <c r="L165" i="24"/>
  <c r="M165" i="24"/>
  <c r="N165" i="24"/>
  <c r="O165" i="24"/>
  <c r="P165" i="24"/>
  <c r="Q165" i="24"/>
  <c r="R165" i="24"/>
  <c r="B166" i="24"/>
  <c r="C166" i="24"/>
  <c r="D166" i="24"/>
  <c r="E166" i="24"/>
  <c r="F166" i="24"/>
  <c r="G166" i="24"/>
  <c r="H166" i="24"/>
  <c r="I166" i="24"/>
  <c r="J166" i="24"/>
  <c r="K166" i="24"/>
  <c r="L166" i="24"/>
  <c r="M166" i="24"/>
  <c r="N166" i="24"/>
  <c r="O166" i="24"/>
  <c r="P166" i="24"/>
  <c r="Q166" i="24"/>
  <c r="R166" i="24"/>
  <c r="B167" i="24"/>
  <c r="C167" i="24"/>
  <c r="D167" i="24"/>
  <c r="E167" i="24"/>
  <c r="F167" i="24"/>
  <c r="G167" i="24"/>
  <c r="H167" i="24"/>
  <c r="I167" i="24"/>
  <c r="J167" i="24"/>
  <c r="K167" i="24"/>
  <c r="L167" i="24"/>
  <c r="M167" i="24"/>
  <c r="N167" i="24"/>
  <c r="O167" i="24"/>
  <c r="P167" i="24"/>
  <c r="Q167" i="24"/>
  <c r="R167" i="24"/>
  <c r="B168" i="24"/>
  <c r="C168" i="24"/>
  <c r="D168" i="24"/>
  <c r="E168" i="24"/>
  <c r="F168" i="24"/>
  <c r="G168" i="24"/>
  <c r="H168" i="24"/>
  <c r="I168" i="24"/>
  <c r="J168" i="24"/>
  <c r="K168" i="24"/>
  <c r="L168" i="24"/>
  <c r="M168" i="24"/>
  <c r="N168" i="24"/>
  <c r="O168" i="24"/>
  <c r="P168" i="24"/>
  <c r="Q168" i="24"/>
  <c r="R168" i="24"/>
  <c r="B169" i="24"/>
  <c r="C169" i="24"/>
  <c r="D169" i="24"/>
  <c r="E169" i="24"/>
  <c r="F169" i="24"/>
  <c r="G169" i="24"/>
  <c r="H169" i="24"/>
  <c r="I169" i="24"/>
  <c r="J169" i="24"/>
  <c r="K169" i="24"/>
  <c r="L169" i="24"/>
  <c r="M169" i="24"/>
  <c r="N169" i="24"/>
  <c r="O169" i="24"/>
  <c r="P169" i="24"/>
  <c r="Q169" i="24"/>
  <c r="R169" i="24"/>
  <c r="B170" i="24"/>
  <c r="C170" i="24"/>
  <c r="D170" i="24"/>
  <c r="E170" i="24"/>
  <c r="F170" i="24"/>
  <c r="G170" i="24"/>
  <c r="H170" i="24"/>
  <c r="I170" i="24"/>
  <c r="J170" i="24"/>
  <c r="K170" i="24"/>
  <c r="L170" i="24"/>
  <c r="M170" i="24"/>
  <c r="N170" i="24"/>
  <c r="O170" i="24"/>
  <c r="P170" i="24"/>
  <c r="Q170" i="24"/>
  <c r="R170" i="24"/>
  <c r="B171" i="24"/>
  <c r="C171" i="24"/>
  <c r="D171" i="24"/>
  <c r="E171" i="24"/>
  <c r="F171" i="24"/>
  <c r="G171" i="24"/>
  <c r="H171" i="24"/>
  <c r="I171" i="24"/>
  <c r="J171" i="24"/>
  <c r="K171" i="24"/>
  <c r="L171" i="24"/>
  <c r="M171" i="24"/>
  <c r="N171" i="24"/>
  <c r="O171" i="24"/>
  <c r="P171" i="24"/>
  <c r="Q171" i="24"/>
  <c r="R171" i="24"/>
  <c r="B172" i="24"/>
  <c r="C172" i="24"/>
  <c r="D172" i="24"/>
  <c r="E172" i="24"/>
  <c r="F172" i="24"/>
  <c r="G172" i="24"/>
  <c r="H172" i="24"/>
  <c r="I172" i="24"/>
  <c r="J172" i="24"/>
  <c r="K172" i="24"/>
  <c r="L172" i="24"/>
  <c r="M172" i="24"/>
  <c r="N172" i="24"/>
  <c r="O172" i="24"/>
  <c r="P172" i="24"/>
  <c r="Q172" i="24"/>
  <c r="R172" i="24"/>
  <c r="B173" i="24"/>
  <c r="C173" i="24"/>
  <c r="D173" i="24"/>
  <c r="E173" i="24"/>
  <c r="F173" i="24"/>
  <c r="G173" i="24"/>
  <c r="H173" i="24"/>
  <c r="I173" i="24"/>
  <c r="J173" i="24"/>
  <c r="K173" i="24"/>
  <c r="L173" i="24"/>
  <c r="M173" i="24"/>
  <c r="N173" i="24"/>
  <c r="O173" i="24"/>
  <c r="P173" i="24"/>
  <c r="Q173" i="24"/>
  <c r="R173" i="24"/>
  <c r="B174" i="24"/>
  <c r="C174" i="24"/>
  <c r="D174" i="24"/>
  <c r="E174" i="24"/>
  <c r="F174" i="24"/>
  <c r="G174" i="24"/>
  <c r="H174" i="24"/>
  <c r="I174" i="24"/>
  <c r="J174" i="24"/>
  <c r="K174" i="24"/>
  <c r="L174" i="24"/>
  <c r="M174" i="24"/>
  <c r="N174" i="24"/>
  <c r="O174" i="24"/>
  <c r="P174" i="24"/>
  <c r="Q174" i="24"/>
  <c r="R174" i="24"/>
  <c r="B175" i="24"/>
  <c r="C175" i="24"/>
  <c r="D175" i="24"/>
  <c r="E175" i="24"/>
  <c r="F175" i="24"/>
  <c r="G175" i="24"/>
  <c r="H175" i="24"/>
  <c r="I175" i="24"/>
  <c r="J175" i="24"/>
  <c r="K175" i="24"/>
  <c r="L175" i="24"/>
  <c r="M175" i="24"/>
  <c r="N175" i="24"/>
  <c r="O175" i="24"/>
  <c r="P175" i="24"/>
  <c r="Q175" i="24"/>
  <c r="R175" i="24"/>
  <c r="B176" i="24"/>
  <c r="C176" i="24"/>
  <c r="D176" i="24"/>
  <c r="E176" i="24"/>
  <c r="F176" i="24"/>
  <c r="G176" i="24"/>
  <c r="H176" i="24"/>
  <c r="I176" i="24"/>
  <c r="J176" i="24"/>
  <c r="K176" i="24"/>
  <c r="L176" i="24"/>
  <c r="M176" i="24"/>
  <c r="N176" i="24"/>
  <c r="O176" i="24"/>
  <c r="P176" i="24"/>
  <c r="Q176" i="24"/>
  <c r="R176" i="24"/>
  <c r="B177" i="24"/>
  <c r="C177" i="24"/>
  <c r="D177" i="24"/>
  <c r="E177" i="24"/>
  <c r="F177" i="24"/>
  <c r="G177" i="24"/>
  <c r="H177" i="24"/>
  <c r="I177" i="24"/>
  <c r="J177" i="24"/>
  <c r="K177" i="24"/>
  <c r="L177" i="24"/>
  <c r="M177" i="24"/>
  <c r="N177" i="24"/>
  <c r="O177" i="24"/>
  <c r="P177" i="24"/>
  <c r="Q177" i="24"/>
  <c r="R177" i="24"/>
  <c r="B178" i="24"/>
  <c r="C178" i="24"/>
  <c r="D178" i="24"/>
  <c r="E178" i="24"/>
  <c r="F178" i="24"/>
  <c r="G178" i="24"/>
  <c r="H178" i="24"/>
  <c r="I178" i="24"/>
  <c r="J178" i="24"/>
  <c r="K178" i="24"/>
  <c r="L178" i="24"/>
  <c r="M178" i="24"/>
  <c r="N178" i="24"/>
  <c r="O178" i="24"/>
  <c r="P178" i="24"/>
  <c r="Q178" i="24"/>
  <c r="R178" i="24"/>
  <c r="B179" i="24"/>
  <c r="C179" i="24"/>
  <c r="D179" i="24"/>
  <c r="E179" i="24"/>
  <c r="F179" i="24"/>
  <c r="G179" i="24"/>
  <c r="H179" i="24"/>
  <c r="I179" i="24"/>
  <c r="J179" i="24"/>
  <c r="K179" i="24"/>
  <c r="L179" i="24"/>
  <c r="M179" i="24"/>
  <c r="N179" i="24"/>
  <c r="O179" i="24"/>
  <c r="P179" i="24"/>
  <c r="Q179" i="24"/>
  <c r="R179" i="24"/>
  <c r="B180" i="24"/>
  <c r="C180" i="24"/>
  <c r="D180" i="24"/>
  <c r="E180" i="24"/>
  <c r="F180" i="24"/>
  <c r="G180" i="24"/>
  <c r="H180" i="24"/>
  <c r="I180" i="24"/>
  <c r="J180" i="24"/>
  <c r="K180" i="24"/>
  <c r="L180" i="24"/>
  <c r="M180" i="24"/>
  <c r="N180" i="24"/>
  <c r="O180" i="24"/>
  <c r="P180" i="24"/>
  <c r="Q180" i="24"/>
  <c r="R180" i="24"/>
  <c r="B181" i="24"/>
  <c r="C181" i="24"/>
  <c r="D181" i="24"/>
  <c r="E181" i="24"/>
  <c r="F181" i="24"/>
  <c r="G181" i="24"/>
  <c r="H181" i="24"/>
  <c r="I181" i="24"/>
  <c r="J181" i="24"/>
  <c r="K181" i="24"/>
  <c r="L181" i="24"/>
  <c r="M181" i="24"/>
  <c r="N181" i="24"/>
  <c r="O181" i="24"/>
  <c r="P181" i="24"/>
  <c r="Q181" i="24"/>
  <c r="R181" i="24"/>
  <c r="B182" i="24"/>
  <c r="C182" i="24"/>
  <c r="D182" i="24"/>
  <c r="E182" i="24"/>
  <c r="F182" i="24"/>
  <c r="G182" i="24"/>
  <c r="H182" i="24"/>
  <c r="I182" i="24"/>
  <c r="J182" i="24"/>
  <c r="K182" i="24"/>
  <c r="L182" i="24"/>
  <c r="M182" i="24"/>
  <c r="N182" i="24"/>
  <c r="O182" i="24"/>
  <c r="P182" i="24"/>
  <c r="Q182" i="24"/>
  <c r="R182" i="24"/>
  <c r="B183" i="24"/>
  <c r="C183" i="24"/>
  <c r="D183" i="24"/>
  <c r="E183" i="24"/>
  <c r="F183" i="24"/>
  <c r="G183" i="24"/>
  <c r="H183" i="24"/>
  <c r="I183" i="24"/>
  <c r="J183" i="24"/>
  <c r="K183" i="24"/>
  <c r="L183" i="24"/>
  <c r="M183" i="24"/>
  <c r="N183" i="24"/>
  <c r="O183" i="24"/>
  <c r="P183" i="24"/>
  <c r="Q183" i="24"/>
  <c r="R183" i="24"/>
  <c r="B184" i="24"/>
  <c r="C184" i="24"/>
  <c r="D184" i="24"/>
  <c r="E184" i="24"/>
  <c r="F184" i="24"/>
  <c r="G184" i="24"/>
  <c r="H184" i="24"/>
  <c r="I184" i="24"/>
  <c r="J184" i="24"/>
  <c r="K184" i="24"/>
  <c r="L184" i="24"/>
  <c r="M184" i="24"/>
  <c r="N184" i="24"/>
  <c r="O184" i="24"/>
  <c r="P184" i="24"/>
  <c r="Q184" i="24"/>
  <c r="R184" i="24"/>
  <c r="B185" i="24"/>
  <c r="C185" i="24"/>
  <c r="D185" i="24"/>
  <c r="E185" i="24"/>
  <c r="F185" i="24"/>
  <c r="G185" i="24"/>
  <c r="H185" i="24"/>
  <c r="I185" i="24"/>
  <c r="J185" i="24"/>
  <c r="K185" i="24"/>
  <c r="L185" i="24"/>
  <c r="M185" i="24"/>
  <c r="N185" i="24"/>
  <c r="O185" i="24"/>
  <c r="P185" i="24"/>
  <c r="Q185" i="24"/>
  <c r="R185" i="24"/>
  <c r="B186" i="24"/>
  <c r="C186" i="24"/>
  <c r="D186" i="24"/>
  <c r="E186" i="24"/>
  <c r="F186" i="24"/>
  <c r="G186" i="24"/>
  <c r="H186" i="24"/>
  <c r="I186" i="24"/>
  <c r="J186" i="24"/>
  <c r="K186" i="24"/>
  <c r="L186" i="24"/>
  <c r="M186" i="24"/>
  <c r="N186" i="24"/>
  <c r="O186" i="24"/>
  <c r="P186" i="24"/>
  <c r="Q186" i="24"/>
  <c r="R186" i="24"/>
  <c r="B187" i="24"/>
  <c r="C187" i="24"/>
  <c r="D187" i="24"/>
  <c r="E187" i="24"/>
  <c r="F187" i="24"/>
  <c r="G187" i="24"/>
  <c r="H187" i="24"/>
  <c r="I187" i="24"/>
  <c r="J187" i="24"/>
  <c r="K187" i="24"/>
  <c r="L187" i="24"/>
  <c r="M187" i="24"/>
  <c r="N187" i="24"/>
  <c r="O187" i="24"/>
  <c r="P187" i="24"/>
  <c r="Q187" i="24"/>
  <c r="R187" i="24"/>
  <c r="B188" i="24"/>
  <c r="C188" i="24"/>
  <c r="D188" i="24"/>
  <c r="E188" i="24"/>
  <c r="F188" i="24"/>
  <c r="G188" i="24"/>
  <c r="H188" i="24"/>
  <c r="I188" i="24"/>
  <c r="J188" i="24"/>
  <c r="K188" i="24"/>
  <c r="L188" i="24"/>
  <c r="M188" i="24"/>
  <c r="N188" i="24"/>
  <c r="O188" i="24"/>
  <c r="P188" i="24"/>
  <c r="Q188" i="24"/>
  <c r="R188" i="24"/>
  <c r="B189" i="24"/>
  <c r="C189" i="24"/>
  <c r="D189" i="24"/>
  <c r="E189" i="24"/>
  <c r="F189" i="24"/>
  <c r="G189" i="24"/>
  <c r="H189" i="24"/>
  <c r="I189" i="24"/>
  <c r="J189" i="24"/>
  <c r="K189" i="24"/>
  <c r="L189" i="24"/>
  <c r="M189" i="24"/>
  <c r="N189" i="24"/>
  <c r="O189" i="24"/>
  <c r="P189" i="24"/>
  <c r="Q189" i="24"/>
  <c r="R189" i="24"/>
  <c r="B190" i="24"/>
  <c r="C190" i="24"/>
  <c r="D190" i="24"/>
  <c r="E190" i="24"/>
  <c r="F190" i="24"/>
  <c r="G190" i="24"/>
  <c r="H190" i="24"/>
  <c r="I190" i="24"/>
  <c r="J190" i="24"/>
  <c r="K190" i="24"/>
  <c r="L190" i="24"/>
  <c r="M190" i="24"/>
  <c r="N190" i="24"/>
  <c r="O190" i="24"/>
  <c r="P190" i="24"/>
  <c r="Q190" i="24"/>
  <c r="R190" i="24"/>
  <c r="B191" i="24"/>
  <c r="C191" i="24"/>
  <c r="D191" i="24"/>
  <c r="E191" i="24"/>
  <c r="F191" i="24"/>
  <c r="G191" i="24"/>
  <c r="H191" i="24"/>
  <c r="I191" i="24"/>
  <c r="J191" i="24"/>
  <c r="K191" i="24"/>
  <c r="L191" i="24"/>
  <c r="M191" i="24"/>
  <c r="N191" i="24"/>
  <c r="O191" i="24"/>
  <c r="P191" i="24"/>
  <c r="Q191" i="24"/>
  <c r="R191" i="24"/>
  <c r="B192" i="24"/>
  <c r="C192" i="24"/>
  <c r="D192" i="24"/>
  <c r="E192" i="24"/>
  <c r="F192" i="24"/>
  <c r="G192" i="24"/>
  <c r="H192" i="24"/>
  <c r="I192" i="24"/>
  <c r="J192" i="24"/>
  <c r="K192" i="24"/>
  <c r="L192" i="24"/>
  <c r="M192" i="24"/>
  <c r="N192" i="24"/>
  <c r="O192" i="24"/>
  <c r="P192" i="24"/>
  <c r="Q192" i="24"/>
  <c r="R192" i="24"/>
  <c r="B193" i="24"/>
  <c r="C193" i="24"/>
  <c r="D193" i="24"/>
  <c r="E193" i="24"/>
  <c r="F193" i="24"/>
  <c r="G193" i="24"/>
  <c r="H193" i="24"/>
  <c r="I193" i="24"/>
  <c r="J193" i="24"/>
  <c r="K193" i="24"/>
  <c r="L193" i="24"/>
  <c r="M193" i="24"/>
  <c r="N193" i="24"/>
  <c r="O193" i="24"/>
  <c r="P193" i="24"/>
  <c r="Q193" i="24"/>
  <c r="R193" i="24"/>
  <c r="B194" i="24"/>
  <c r="C194" i="24"/>
  <c r="D194" i="24"/>
  <c r="E194" i="24"/>
  <c r="F194" i="24"/>
  <c r="G194" i="24"/>
  <c r="H194" i="24"/>
  <c r="I194" i="24"/>
  <c r="J194" i="24"/>
  <c r="K194" i="24"/>
  <c r="L194" i="24"/>
  <c r="M194" i="24"/>
  <c r="N194" i="24"/>
  <c r="O194" i="24"/>
  <c r="P194" i="24"/>
  <c r="Q194" i="24"/>
  <c r="R194" i="24"/>
  <c r="B195" i="24"/>
  <c r="C195" i="24"/>
  <c r="D195" i="24"/>
  <c r="E195" i="24"/>
  <c r="F195" i="24"/>
  <c r="G195" i="24"/>
  <c r="H195" i="24"/>
  <c r="I195" i="24"/>
  <c r="J195" i="24"/>
  <c r="K195" i="24"/>
  <c r="L195" i="24"/>
  <c r="M195" i="24"/>
  <c r="N195" i="24"/>
  <c r="O195" i="24"/>
  <c r="P195" i="24"/>
  <c r="Q195" i="24"/>
  <c r="R195" i="24"/>
  <c r="B196" i="24"/>
  <c r="C196" i="24"/>
  <c r="D196" i="24"/>
  <c r="E196" i="24"/>
  <c r="F196" i="24"/>
  <c r="G196" i="24"/>
  <c r="H196" i="24"/>
  <c r="I196" i="24"/>
  <c r="J196" i="24"/>
  <c r="K196" i="24"/>
  <c r="L196" i="24"/>
  <c r="M196" i="24"/>
  <c r="N196" i="24"/>
  <c r="O196" i="24"/>
  <c r="P196" i="24"/>
  <c r="Q196" i="24"/>
  <c r="R196" i="24"/>
  <c r="B197" i="24"/>
  <c r="C197" i="24"/>
  <c r="D197" i="24"/>
  <c r="E197" i="24"/>
  <c r="F197" i="24"/>
  <c r="G197" i="24"/>
  <c r="H197" i="24"/>
  <c r="I197" i="24"/>
  <c r="J197" i="24"/>
  <c r="K197" i="24"/>
  <c r="L197" i="24"/>
  <c r="M197" i="24"/>
  <c r="N197" i="24"/>
  <c r="O197" i="24"/>
  <c r="P197" i="24"/>
  <c r="Q197" i="24"/>
  <c r="R197" i="24"/>
  <c r="B198" i="24"/>
  <c r="C198" i="24"/>
  <c r="D198" i="24"/>
  <c r="E198" i="24"/>
  <c r="F198" i="24"/>
  <c r="G198" i="24"/>
  <c r="H198" i="24"/>
  <c r="I198" i="24"/>
  <c r="J198" i="24"/>
  <c r="K198" i="24"/>
  <c r="L198" i="24"/>
  <c r="M198" i="24"/>
  <c r="N198" i="24"/>
  <c r="O198" i="24"/>
  <c r="P198" i="24"/>
  <c r="Q198" i="24"/>
  <c r="R198" i="24"/>
  <c r="B199" i="24"/>
  <c r="C199" i="24"/>
  <c r="D199" i="24"/>
  <c r="E199" i="24"/>
  <c r="F199" i="24"/>
  <c r="G199" i="24"/>
  <c r="H199" i="24"/>
  <c r="I199" i="24"/>
  <c r="J199" i="24"/>
  <c r="K199" i="24"/>
  <c r="L199" i="24"/>
  <c r="M199" i="24"/>
  <c r="N199" i="24"/>
  <c r="O199" i="24"/>
  <c r="P199" i="24"/>
  <c r="Q199" i="24"/>
  <c r="R199" i="24"/>
  <c r="B200" i="24"/>
  <c r="C200" i="24"/>
  <c r="D200" i="24"/>
  <c r="E200" i="24"/>
  <c r="F200" i="24"/>
  <c r="G200" i="24"/>
  <c r="H200" i="24"/>
  <c r="I200" i="24"/>
  <c r="J200" i="24"/>
  <c r="K200" i="24"/>
  <c r="L200" i="24"/>
  <c r="M200" i="24"/>
  <c r="N200" i="24"/>
  <c r="O200" i="24"/>
  <c r="P200" i="24"/>
  <c r="Q200" i="24"/>
  <c r="R200" i="24"/>
  <c r="B201" i="24"/>
  <c r="C201" i="24"/>
  <c r="D201" i="24"/>
  <c r="E201" i="24"/>
  <c r="F201" i="24"/>
  <c r="G201" i="24"/>
  <c r="H201" i="24"/>
  <c r="I201" i="24"/>
  <c r="J201" i="24"/>
  <c r="K201" i="24"/>
  <c r="L201" i="24"/>
  <c r="M201" i="24"/>
  <c r="N201" i="24"/>
  <c r="O201" i="24"/>
  <c r="P201" i="24"/>
  <c r="Q201" i="24"/>
  <c r="R201" i="24"/>
  <c r="B202" i="24"/>
  <c r="C202" i="24"/>
  <c r="D202" i="24"/>
  <c r="E202" i="24"/>
  <c r="F202" i="24"/>
  <c r="G202" i="24"/>
  <c r="H202" i="24"/>
  <c r="I202" i="24"/>
  <c r="J202" i="24"/>
  <c r="K202" i="24"/>
  <c r="L202" i="24"/>
  <c r="M202" i="24"/>
  <c r="N202" i="24"/>
  <c r="O202" i="24"/>
  <c r="P202" i="24"/>
  <c r="Q202" i="24"/>
  <c r="R202" i="24"/>
  <c r="B203" i="24"/>
  <c r="C203" i="24"/>
  <c r="D203" i="24"/>
  <c r="E203" i="24"/>
  <c r="F203" i="24"/>
  <c r="G203" i="24"/>
  <c r="H203" i="24"/>
  <c r="I203" i="24"/>
  <c r="J203" i="24"/>
  <c r="K203" i="24"/>
  <c r="L203" i="24"/>
  <c r="M203" i="24"/>
  <c r="N203" i="24"/>
  <c r="O203" i="24"/>
  <c r="P203" i="24"/>
  <c r="Q203" i="24"/>
  <c r="R203" i="24"/>
  <c r="B204" i="24"/>
  <c r="C204" i="24"/>
  <c r="D204" i="24"/>
  <c r="E204" i="24"/>
  <c r="F204" i="24"/>
  <c r="G204" i="24"/>
  <c r="H204" i="24"/>
  <c r="I204" i="24"/>
  <c r="J204" i="24"/>
  <c r="K204" i="24"/>
  <c r="L204" i="24"/>
  <c r="M204" i="24"/>
  <c r="N204" i="24"/>
  <c r="O204" i="24"/>
  <c r="P204" i="24"/>
  <c r="Q204" i="24"/>
  <c r="R204" i="24"/>
  <c r="B205" i="24"/>
  <c r="C205" i="24"/>
  <c r="D205" i="24"/>
  <c r="E205" i="24"/>
  <c r="F205" i="24"/>
  <c r="G205" i="24"/>
  <c r="H205" i="24"/>
  <c r="I205" i="24"/>
  <c r="J205" i="24"/>
  <c r="K205" i="24"/>
  <c r="L205" i="24"/>
  <c r="M205" i="24"/>
  <c r="N205" i="24"/>
  <c r="O205" i="24"/>
  <c r="P205" i="24"/>
  <c r="Q205" i="24"/>
  <c r="R205" i="24"/>
  <c r="B206" i="24"/>
  <c r="C206" i="24"/>
  <c r="D206" i="24"/>
  <c r="E206" i="24"/>
  <c r="F206" i="24"/>
  <c r="G206" i="24"/>
  <c r="H206" i="24"/>
  <c r="I206" i="24"/>
  <c r="J206" i="24"/>
  <c r="K206" i="24"/>
  <c r="L206" i="24"/>
  <c r="M206" i="24"/>
  <c r="N206" i="24"/>
  <c r="O206" i="24"/>
  <c r="P206" i="24"/>
  <c r="Q206" i="24"/>
  <c r="R206" i="24"/>
  <c r="B207" i="24"/>
  <c r="C207" i="24"/>
  <c r="D207" i="24"/>
  <c r="E207" i="24"/>
  <c r="F207" i="24"/>
  <c r="G207" i="24"/>
  <c r="H207" i="24"/>
  <c r="I207" i="24"/>
  <c r="J207" i="24"/>
  <c r="K207" i="24"/>
  <c r="L207" i="24"/>
  <c r="M207" i="24"/>
  <c r="N207" i="24"/>
  <c r="O207" i="24"/>
  <c r="P207" i="24"/>
  <c r="Q207" i="24"/>
  <c r="R207" i="24"/>
  <c r="B208" i="24"/>
  <c r="C208" i="24"/>
  <c r="D208" i="24"/>
  <c r="E208" i="24"/>
  <c r="F208" i="24"/>
  <c r="G208" i="24"/>
  <c r="H208" i="24"/>
  <c r="I208" i="24"/>
  <c r="J208" i="24"/>
  <c r="K208" i="24"/>
  <c r="L208" i="24"/>
  <c r="M208" i="24"/>
  <c r="N208" i="24"/>
  <c r="O208" i="24"/>
  <c r="P208" i="24"/>
  <c r="Q208" i="24"/>
  <c r="R208" i="24"/>
  <c r="B209" i="24"/>
  <c r="C209" i="24"/>
  <c r="D209" i="24"/>
  <c r="E209" i="24"/>
  <c r="F209" i="24"/>
  <c r="G209" i="24"/>
  <c r="H209" i="24"/>
  <c r="I209" i="24"/>
  <c r="J209" i="24"/>
  <c r="K209" i="24"/>
  <c r="L209" i="24"/>
  <c r="M209" i="24"/>
  <c r="N209" i="24"/>
  <c r="O209" i="24"/>
  <c r="P209" i="24"/>
  <c r="Q209" i="24"/>
  <c r="R209" i="24"/>
  <c r="B210" i="24"/>
  <c r="C210" i="24"/>
  <c r="D210" i="24"/>
  <c r="E210" i="24"/>
  <c r="F210" i="24"/>
  <c r="G210" i="24"/>
  <c r="H210" i="24"/>
  <c r="I210" i="24"/>
  <c r="J210" i="24"/>
  <c r="K210" i="24"/>
  <c r="L210" i="24"/>
  <c r="M210" i="24"/>
  <c r="N210" i="24"/>
  <c r="O210" i="24"/>
  <c r="P210" i="24"/>
  <c r="Q210" i="24"/>
  <c r="R210" i="24"/>
  <c r="B211" i="24"/>
  <c r="C211" i="24"/>
  <c r="D211" i="24"/>
  <c r="E211" i="24"/>
  <c r="F211" i="24"/>
  <c r="G211" i="24"/>
  <c r="H211" i="24"/>
  <c r="I211" i="24"/>
  <c r="J211" i="24"/>
  <c r="K211" i="24"/>
  <c r="L211" i="24"/>
  <c r="M211" i="24"/>
  <c r="N211" i="24"/>
  <c r="O211" i="24"/>
  <c r="P211" i="24"/>
  <c r="Q211" i="24"/>
  <c r="R211" i="24"/>
  <c r="B212" i="24"/>
  <c r="C212" i="24"/>
  <c r="D212" i="24"/>
  <c r="E212" i="24"/>
  <c r="F212" i="24"/>
  <c r="G212" i="24"/>
  <c r="H212" i="24"/>
  <c r="I212" i="24"/>
  <c r="J212" i="24"/>
  <c r="K212" i="24"/>
  <c r="L212" i="24"/>
  <c r="M212" i="24"/>
  <c r="N212" i="24"/>
  <c r="O212" i="24"/>
  <c r="P212" i="24"/>
  <c r="Q212" i="24"/>
  <c r="R212" i="24"/>
  <c r="B213" i="24"/>
  <c r="C213" i="24"/>
  <c r="D213" i="24"/>
  <c r="E213" i="24"/>
  <c r="F213" i="24"/>
  <c r="G213" i="24"/>
  <c r="H213" i="24"/>
  <c r="I213" i="24"/>
  <c r="J213" i="24"/>
  <c r="K213" i="24"/>
  <c r="L213" i="24"/>
  <c r="M213" i="24"/>
  <c r="N213" i="24"/>
  <c r="O213" i="24"/>
  <c r="P213" i="24"/>
  <c r="Q213" i="24"/>
  <c r="R213" i="24"/>
  <c r="B214" i="24"/>
  <c r="C214" i="24"/>
  <c r="D214" i="24"/>
  <c r="E214" i="24"/>
  <c r="F214" i="24"/>
  <c r="G214" i="24"/>
  <c r="H214" i="24"/>
  <c r="I214" i="24"/>
  <c r="J214" i="24"/>
  <c r="K214" i="24"/>
  <c r="L214" i="24"/>
  <c r="M214" i="24"/>
  <c r="N214" i="24"/>
  <c r="O214" i="24"/>
  <c r="P214" i="24"/>
  <c r="Q214" i="24"/>
  <c r="R214" i="24"/>
  <c r="B215" i="24"/>
  <c r="C215" i="24"/>
  <c r="D215" i="24"/>
  <c r="E215" i="24"/>
  <c r="F215" i="24"/>
  <c r="G215" i="24"/>
  <c r="H215" i="24"/>
  <c r="I215" i="24"/>
  <c r="J215" i="24"/>
  <c r="K215" i="24"/>
  <c r="L215" i="24"/>
  <c r="M215" i="24"/>
  <c r="N215" i="24"/>
  <c r="O215" i="24"/>
  <c r="P215" i="24"/>
  <c r="Q215" i="24"/>
  <c r="R215" i="24"/>
  <c r="B216" i="24"/>
  <c r="C216" i="24"/>
  <c r="D216" i="24"/>
  <c r="E216" i="24"/>
  <c r="F216" i="24"/>
  <c r="G216" i="24"/>
  <c r="H216" i="24"/>
  <c r="I216" i="24"/>
  <c r="J216" i="24"/>
  <c r="K216" i="24"/>
  <c r="L216" i="24"/>
  <c r="M216" i="24"/>
  <c r="N216" i="24"/>
  <c r="O216" i="24"/>
  <c r="P216" i="24"/>
  <c r="Q216" i="24"/>
  <c r="R216" i="24"/>
  <c r="B217" i="24"/>
  <c r="C217" i="24"/>
  <c r="D217" i="24"/>
  <c r="E217" i="24"/>
  <c r="F217" i="24"/>
  <c r="G217" i="24"/>
  <c r="H217" i="24"/>
  <c r="I217" i="24"/>
  <c r="J217" i="24"/>
  <c r="K217" i="24"/>
  <c r="L217" i="24"/>
  <c r="M217" i="24"/>
  <c r="N217" i="24"/>
  <c r="O217" i="24"/>
  <c r="P217" i="24"/>
  <c r="Q217" i="24"/>
  <c r="R217" i="24"/>
  <c r="B218" i="24"/>
  <c r="C218" i="24"/>
  <c r="D218" i="24"/>
  <c r="E218" i="24"/>
  <c r="F218" i="24"/>
  <c r="G218" i="24"/>
  <c r="H218" i="24"/>
  <c r="I218" i="24"/>
  <c r="J218" i="24"/>
  <c r="K218" i="24"/>
  <c r="L218" i="24"/>
  <c r="M218" i="24"/>
  <c r="N218" i="24"/>
  <c r="O218" i="24"/>
  <c r="P218" i="24"/>
  <c r="Q218" i="24"/>
  <c r="R218" i="24"/>
  <c r="B219" i="24"/>
  <c r="C219" i="24"/>
  <c r="D219" i="24"/>
  <c r="E219" i="24"/>
  <c r="F219" i="24"/>
  <c r="G219" i="24"/>
  <c r="H219" i="24"/>
  <c r="I219" i="24"/>
  <c r="J219" i="24"/>
  <c r="K219" i="24"/>
  <c r="L219" i="24"/>
  <c r="M219" i="24"/>
  <c r="N219" i="24"/>
  <c r="O219" i="24"/>
  <c r="P219" i="24"/>
  <c r="Q219" i="24"/>
  <c r="R219" i="24"/>
  <c r="B220" i="24"/>
  <c r="C220" i="24"/>
  <c r="D220" i="24"/>
  <c r="E220" i="24"/>
  <c r="F220" i="24"/>
  <c r="G220" i="24"/>
  <c r="H220" i="24"/>
  <c r="I220" i="24"/>
  <c r="J220" i="24"/>
  <c r="K220" i="24"/>
  <c r="L220" i="24"/>
  <c r="M220" i="24"/>
  <c r="N220" i="24"/>
  <c r="O220" i="24"/>
  <c r="P220" i="24"/>
  <c r="Q220" i="24"/>
  <c r="R220" i="24"/>
  <c r="B221" i="24"/>
  <c r="C221" i="24"/>
  <c r="D221" i="24"/>
  <c r="E221" i="24"/>
  <c r="F221" i="24"/>
  <c r="G221" i="24"/>
  <c r="H221" i="24"/>
  <c r="I221" i="24"/>
  <c r="J221" i="24"/>
  <c r="K221" i="24"/>
  <c r="L221" i="24"/>
  <c r="M221" i="24"/>
  <c r="N221" i="24"/>
  <c r="O221" i="24"/>
  <c r="P221" i="24"/>
  <c r="Q221" i="24"/>
  <c r="R221" i="24"/>
  <c r="B222" i="24"/>
  <c r="C222" i="24"/>
  <c r="D222" i="24"/>
  <c r="E222" i="24"/>
  <c r="F222" i="24"/>
  <c r="G222" i="24"/>
  <c r="H222" i="24"/>
  <c r="I222" i="24"/>
  <c r="J222" i="24"/>
  <c r="K222" i="24"/>
  <c r="L222" i="24"/>
  <c r="M222" i="24"/>
  <c r="N222" i="24"/>
  <c r="O222" i="24"/>
  <c r="P222" i="24"/>
  <c r="Q222" i="24"/>
  <c r="R222" i="24"/>
  <c r="B223" i="24"/>
  <c r="C223" i="24"/>
  <c r="D223" i="24"/>
  <c r="E223" i="24"/>
  <c r="F223" i="24"/>
  <c r="G223" i="24"/>
  <c r="H223" i="24"/>
  <c r="I223" i="24"/>
  <c r="J223" i="24"/>
  <c r="K223" i="24"/>
  <c r="L223" i="24"/>
  <c r="M223" i="24"/>
  <c r="N223" i="24"/>
  <c r="O223" i="24"/>
  <c r="P223" i="24"/>
  <c r="Q223" i="24"/>
  <c r="R223" i="24"/>
  <c r="B224" i="24"/>
  <c r="C224" i="24"/>
  <c r="D224" i="24"/>
  <c r="E224" i="24"/>
  <c r="F224" i="24"/>
  <c r="G224" i="24"/>
  <c r="H224" i="24"/>
  <c r="I224" i="24"/>
  <c r="J224" i="24"/>
  <c r="K224" i="24"/>
  <c r="L224" i="24"/>
  <c r="M224" i="24"/>
  <c r="N224" i="24"/>
  <c r="O224" i="24"/>
  <c r="P224" i="24"/>
  <c r="Q224" i="24"/>
  <c r="R224" i="24"/>
  <c r="B225" i="24"/>
  <c r="C225" i="24"/>
  <c r="D225" i="24"/>
  <c r="E225" i="24"/>
  <c r="F225" i="24"/>
  <c r="G225" i="24"/>
  <c r="H225" i="24"/>
  <c r="I225" i="24"/>
  <c r="J225" i="24"/>
  <c r="K225" i="24"/>
  <c r="L225" i="24"/>
  <c r="M225" i="24"/>
  <c r="N225" i="24"/>
  <c r="O225" i="24"/>
  <c r="P225" i="24"/>
  <c r="Q225" i="24"/>
  <c r="R225" i="24"/>
  <c r="B226" i="24"/>
  <c r="C226" i="24"/>
  <c r="D226" i="24"/>
  <c r="E226" i="24"/>
  <c r="F226" i="24"/>
  <c r="G226" i="24"/>
  <c r="H226" i="24"/>
  <c r="I226" i="24"/>
  <c r="J226" i="24"/>
  <c r="K226" i="24"/>
  <c r="L226" i="24"/>
  <c r="M226" i="24"/>
  <c r="N226" i="24"/>
  <c r="O226" i="24"/>
  <c r="P226" i="24"/>
  <c r="Q226" i="24"/>
  <c r="R226" i="24"/>
  <c r="B227" i="24"/>
  <c r="C227" i="24"/>
  <c r="D227" i="24"/>
  <c r="E227" i="24"/>
  <c r="F227" i="24"/>
  <c r="G227" i="24"/>
  <c r="H227" i="24"/>
  <c r="I227" i="24"/>
  <c r="J227" i="24"/>
  <c r="K227" i="24"/>
  <c r="L227" i="24"/>
  <c r="M227" i="24"/>
  <c r="N227" i="24"/>
  <c r="O227" i="24"/>
  <c r="P227" i="24"/>
  <c r="Q227" i="24"/>
  <c r="R227" i="24"/>
  <c r="B228" i="24"/>
  <c r="C228" i="24"/>
  <c r="D228" i="24"/>
  <c r="E228" i="24"/>
  <c r="F228" i="24"/>
  <c r="G228" i="24"/>
  <c r="H228" i="24"/>
  <c r="I228" i="24"/>
  <c r="J228" i="24"/>
  <c r="K228" i="24"/>
  <c r="L228" i="24"/>
  <c r="M228" i="24"/>
  <c r="N228" i="24"/>
  <c r="O228" i="24"/>
  <c r="P228" i="24"/>
  <c r="Q228" i="24"/>
  <c r="R228" i="24"/>
  <c r="B229" i="24"/>
  <c r="C229" i="24"/>
  <c r="D229" i="24"/>
  <c r="E229" i="24"/>
  <c r="F229" i="24"/>
  <c r="G229" i="24"/>
  <c r="H229" i="24"/>
  <c r="I229" i="24"/>
  <c r="J229" i="24"/>
  <c r="K229" i="24"/>
  <c r="L229" i="24"/>
  <c r="M229" i="24"/>
  <c r="N229" i="24"/>
  <c r="O229" i="24"/>
  <c r="P229" i="24"/>
  <c r="Q229" i="24"/>
  <c r="R229" i="24"/>
  <c r="B230" i="24"/>
  <c r="C230" i="24"/>
  <c r="D230" i="24"/>
  <c r="E230" i="24"/>
  <c r="F230" i="24"/>
  <c r="G230" i="24"/>
  <c r="H230" i="24"/>
  <c r="I230" i="24"/>
  <c r="J230" i="24"/>
  <c r="K230" i="24"/>
  <c r="L230" i="24"/>
  <c r="M230" i="24"/>
  <c r="N230" i="24"/>
  <c r="O230" i="24"/>
  <c r="P230" i="24"/>
  <c r="Q230" i="24"/>
  <c r="R230" i="24"/>
  <c r="B231" i="24"/>
  <c r="C231" i="24"/>
  <c r="D231" i="24"/>
  <c r="E231" i="24"/>
  <c r="F231" i="24"/>
  <c r="G231" i="24"/>
  <c r="H231" i="24"/>
  <c r="I231" i="24"/>
  <c r="J231" i="24"/>
  <c r="K231" i="24"/>
  <c r="L231" i="24"/>
  <c r="M231" i="24"/>
  <c r="N231" i="24"/>
  <c r="O231" i="24"/>
  <c r="P231" i="24"/>
  <c r="Q231" i="24"/>
  <c r="R231" i="24"/>
  <c r="B232" i="24"/>
  <c r="C232" i="24"/>
  <c r="D232" i="24"/>
  <c r="E232" i="24"/>
  <c r="F232" i="24"/>
  <c r="G232" i="24"/>
  <c r="H232" i="24"/>
  <c r="I232" i="24"/>
  <c r="J232" i="24"/>
  <c r="K232" i="24"/>
  <c r="L232" i="24"/>
  <c r="M232" i="24"/>
  <c r="N232" i="24"/>
  <c r="O232" i="24"/>
  <c r="P232" i="24"/>
  <c r="Q232" i="24"/>
  <c r="R232" i="24"/>
  <c r="B233" i="24"/>
  <c r="C233" i="24"/>
  <c r="D233" i="24"/>
  <c r="E233" i="24"/>
  <c r="F233" i="24"/>
  <c r="G233" i="24"/>
  <c r="H233" i="24"/>
  <c r="I233" i="24"/>
  <c r="J233" i="24"/>
  <c r="K233" i="24"/>
  <c r="L233" i="24"/>
  <c r="M233" i="24"/>
  <c r="N233" i="24"/>
  <c r="O233" i="24"/>
  <c r="P233" i="24"/>
  <c r="Q233" i="24"/>
  <c r="R233" i="24"/>
  <c r="B234" i="24"/>
  <c r="C234" i="24"/>
  <c r="D234" i="24"/>
  <c r="E234" i="24"/>
  <c r="F234" i="24"/>
  <c r="G234" i="24"/>
  <c r="H234" i="24"/>
  <c r="I234" i="24"/>
  <c r="J234" i="24"/>
  <c r="K234" i="24"/>
  <c r="L234" i="24"/>
  <c r="M234" i="24"/>
  <c r="N234" i="24"/>
  <c r="O234" i="24"/>
  <c r="P234" i="24"/>
  <c r="Q234" i="24"/>
  <c r="R234" i="24"/>
  <c r="B235" i="24"/>
  <c r="C235" i="24"/>
  <c r="D235" i="24"/>
  <c r="E235" i="24"/>
  <c r="F235" i="24"/>
  <c r="G235" i="24"/>
  <c r="H235" i="24"/>
  <c r="I235" i="24"/>
  <c r="J235" i="24"/>
  <c r="K235" i="24"/>
  <c r="L235" i="24"/>
  <c r="M235" i="24"/>
  <c r="N235" i="24"/>
  <c r="O235" i="24"/>
  <c r="P235" i="24"/>
  <c r="Q235" i="24"/>
  <c r="R235" i="24"/>
  <c r="B236" i="24"/>
  <c r="C236" i="24"/>
  <c r="D236" i="24"/>
  <c r="E236" i="24"/>
  <c r="F236" i="24"/>
  <c r="G236" i="24"/>
  <c r="H236" i="24"/>
  <c r="I236" i="24"/>
  <c r="J236" i="24"/>
  <c r="K236" i="24"/>
  <c r="L236" i="24"/>
  <c r="M236" i="24"/>
  <c r="N236" i="24"/>
  <c r="O236" i="24"/>
  <c r="P236" i="24"/>
  <c r="Q236" i="24"/>
  <c r="R236" i="24"/>
  <c r="B237" i="24"/>
  <c r="C237" i="24"/>
  <c r="D237" i="24"/>
  <c r="E237" i="24"/>
  <c r="F237" i="24"/>
  <c r="G237" i="24"/>
  <c r="H237" i="24"/>
  <c r="I237" i="24"/>
  <c r="J237" i="24"/>
  <c r="K237" i="24"/>
  <c r="L237" i="24"/>
  <c r="M237" i="24"/>
  <c r="N237" i="24"/>
  <c r="O237" i="24"/>
  <c r="P237" i="24"/>
  <c r="Q237" i="24"/>
  <c r="R237" i="24"/>
  <c r="B238" i="24"/>
  <c r="C238" i="24"/>
  <c r="D238" i="24"/>
  <c r="E238" i="24"/>
  <c r="F238" i="24"/>
  <c r="G238" i="24"/>
  <c r="H238" i="24"/>
  <c r="I238" i="24"/>
  <c r="J238" i="24"/>
  <c r="K238" i="24"/>
  <c r="L238" i="24"/>
  <c r="M238" i="24"/>
  <c r="N238" i="24"/>
  <c r="O238" i="24"/>
  <c r="P238" i="24"/>
  <c r="Q238" i="24"/>
  <c r="R238" i="24"/>
  <c r="B239" i="24"/>
  <c r="C239" i="24"/>
  <c r="D239" i="24"/>
  <c r="E239" i="24"/>
  <c r="F239" i="24"/>
  <c r="G239" i="24"/>
  <c r="H239" i="24"/>
  <c r="I239" i="24"/>
  <c r="J239" i="24"/>
  <c r="K239" i="24"/>
  <c r="L239" i="24"/>
  <c r="M239" i="24"/>
  <c r="N239" i="24"/>
  <c r="O239" i="24"/>
  <c r="P239" i="24"/>
  <c r="Q239" i="24"/>
  <c r="R239" i="24"/>
  <c r="B240" i="24"/>
  <c r="C240" i="24"/>
  <c r="D240" i="24"/>
  <c r="E240" i="24"/>
  <c r="F240" i="24"/>
  <c r="G240" i="24"/>
  <c r="H240" i="24"/>
  <c r="I240" i="24"/>
  <c r="J240" i="24"/>
  <c r="K240" i="24"/>
  <c r="L240" i="24"/>
  <c r="M240" i="24"/>
  <c r="N240" i="24"/>
  <c r="O240" i="24"/>
  <c r="P240" i="24"/>
  <c r="Q240" i="24"/>
  <c r="R240" i="24"/>
  <c r="B241" i="24"/>
  <c r="C241" i="24"/>
  <c r="D241" i="24"/>
  <c r="E241" i="24"/>
  <c r="F241" i="24"/>
  <c r="G241" i="24"/>
  <c r="H241" i="24"/>
  <c r="I241" i="24"/>
  <c r="J241" i="24"/>
  <c r="K241" i="24"/>
  <c r="L241" i="24"/>
  <c r="M241" i="24"/>
  <c r="N241" i="24"/>
  <c r="O241" i="24"/>
  <c r="P241" i="24"/>
  <c r="Q241" i="24"/>
  <c r="R241" i="24"/>
  <c r="B242" i="24"/>
  <c r="C242" i="24"/>
  <c r="D242" i="24"/>
  <c r="E242" i="24"/>
  <c r="F242" i="24"/>
  <c r="G242" i="24"/>
  <c r="H242" i="24"/>
  <c r="I242" i="24"/>
  <c r="J242" i="24"/>
  <c r="K242" i="24"/>
  <c r="L242" i="24"/>
  <c r="M242" i="24"/>
  <c r="N242" i="24"/>
  <c r="O242" i="24"/>
  <c r="P242" i="24"/>
  <c r="Q242" i="24"/>
  <c r="R242" i="24"/>
  <c r="B243" i="24"/>
  <c r="C243" i="24"/>
  <c r="D243" i="24"/>
  <c r="E243" i="24"/>
  <c r="F243" i="24"/>
  <c r="G243" i="24"/>
  <c r="H243" i="24"/>
  <c r="I243" i="24"/>
  <c r="J243" i="24"/>
  <c r="K243" i="24"/>
  <c r="L243" i="24"/>
  <c r="M243" i="24"/>
  <c r="N243" i="24"/>
  <c r="O243" i="24"/>
  <c r="P243" i="24"/>
  <c r="Q243" i="24"/>
  <c r="R243" i="24"/>
  <c r="B244" i="24"/>
  <c r="C244" i="24"/>
  <c r="D244" i="24"/>
  <c r="E244" i="24"/>
  <c r="F244" i="24"/>
  <c r="G244" i="24"/>
  <c r="H244" i="24"/>
  <c r="I244" i="24"/>
  <c r="J244" i="24"/>
  <c r="K244" i="24"/>
  <c r="L244" i="24"/>
  <c r="M244" i="24"/>
  <c r="N244" i="24"/>
  <c r="O244" i="24"/>
  <c r="P244" i="24"/>
  <c r="Q244" i="24"/>
  <c r="R244" i="24"/>
  <c r="B245" i="24"/>
  <c r="C245" i="24"/>
  <c r="D245" i="24"/>
  <c r="E245" i="24"/>
  <c r="F245" i="24"/>
  <c r="G245" i="24"/>
  <c r="H245" i="24"/>
  <c r="I245" i="24"/>
  <c r="J245" i="24"/>
  <c r="K245" i="24"/>
  <c r="L245" i="24"/>
  <c r="M245" i="24"/>
  <c r="N245" i="24"/>
  <c r="O245" i="24"/>
  <c r="P245" i="24"/>
  <c r="Q245" i="24"/>
  <c r="R245" i="24"/>
  <c r="B246" i="24"/>
  <c r="C246" i="24"/>
  <c r="D246" i="24"/>
  <c r="E246" i="24"/>
  <c r="F246" i="24"/>
  <c r="G246" i="24"/>
  <c r="H246" i="24"/>
  <c r="I246" i="24"/>
  <c r="J246" i="24"/>
  <c r="K246" i="24"/>
  <c r="L246" i="24"/>
  <c r="M246" i="24"/>
  <c r="N246" i="24"/>
  <c r="O246" i="24"/>
  <c r="P246" i="24"/>
  <c r="Q246" i="24"/>
  <c r="R246" i="24"/>
  <c r="B247" i="24"/>
  <c r="C247" i="24"/>
  <c r="D247" i="24"/>
  <c r="E247" i="24"/>
  <c r="F247" i="24"/>
  <c r="G247" i="24"/>
  <c r="H247" i="24"/>
  <c r="I247" i="24"/>
  <c r="J247" i="24"/>
  <c r="K247" i="24"/>
  <c r="L247" i="24"/>
  <c r="M247" i="24"/>
  <c r="N247" i="24"/>
  <c r="O247" i="24"/>
  <c r="P247" i="24"/>
  <c r="Q247" i="24"/>
  <c r="R247" i="24"/>
  <c r="B248" i="24"/>
  <c r="C248" i="24"/>
  <c r="D248" i="24"/>
  <c r="E248" i="24"/>
  <c r="F248" i="24"/>
  <c r="G248" i="24"/>
  <c r="H248" i="24"/>
  <c r="I248" i="24"/>
  <c r="J248" i="24"/>
  <c r="K248" i="24"/>
  <c r="L248" i="24"/>
  <c r="M248" i="24"/>
  <c r="N248" i="24"/>
  <c r="O248" i="24"/>
  <c r="P248" i="24"/>
  <c r="Q248" i="24"/>
  <c r="R248" i="24"/>
  <c r="B249" i="24"/>
  <c r="C249" i="24"/>
  <c r="D249" i="24"/>
  <c r="E249" i="24"/>
  <c r="F249" i="24"/>
  <c r="G249" i="24"/>
  <c r="H249" i="24"/>
  <c r="I249" i="24"/>
  <c r="J249" i="24"/>
  <c r="K249" i="24"/>
  <c r="L249" i="24"/>
  <c r="M249" i="24"/>
  <c r="N249" i="24"/>
  <c r="O249" i="24"/>
  <c r="P249" i="24"/>
  <c r="Q249" i="24"/>
  <c r="R249" i="24"/>
  <c r="B250" i="24"/>
  <c r="C250" i="24"/>
  <c r="D250" i="24"/>
  <c r="E250" i="24"/>
  <c r="F250" i="24"/>
  <c r="G250" i="24"/>
  <c r="H250" i="24"/>
  <c r="I250" i="24"/>
  <c r="J250" i="24"/>
  <c r="K250" i="24"/>
  <c r="L250" i="24"/>
  <c r="M250" i="24"/>
  <c r="N250" i="24"/>
  <c r="O250" i="24"/>
  <c r="P250" i="24"/>
  <c r="Q250" i="24"/>
  <c r="R250" i="24"/>
  <c r="B251" i="24"/>
  <c r="C251" i="24"/>
  <c r="D251" i="24"/>
  <c r="E251" i="24"/>
  <c r="F251" i="24"/>
  <c r="G251" i="24"/>
  <c r="H251" i="24"/>
  <c r="I251" i="24"/>
  <c r="J251" i="24"/>
  <c r="K251" i="24"/>
  <c r="L251" i="24"/>
  <c r="M251" i="24"/>
  <c r="N251" i="24"/>
  <c r="O251" i="24"/>
  <c r="P251" i="24"/>
  <c r="Q251" i="24"/>
  <c r="R251" i="24"/>
  <c r="B252" i="24"/>
  <c r="C252" i="24"/>
  <c r="D252" i="24"/>
  <c r="E252" i="24"/>
  <c r="F252" i="24"/>
  <c r="G252" i="24"/>
  <c r="H252" i="24"/>
  <c r="I252" i="24"/>
  <c r="J252" i="24"/>
  <c r="K252" i="24"/>
  <c r="L252" i="24"/>
  <c r="M252" i="24"/>
  <c r="N252" i="24"/>
  <c r="O252" i="24"/>
  <c r="P252" i="24"/>
  <c r="Q252" i="24"/>
  <c r="R252" i="24"/>
  <c r="B255" i="24"/>
  <c r="C255" i="24"/>
  <c r="D255" i="24"/>
  <c r="E255" i="24"/>
  <c r="F255" i="24"/>
  <c r="G255" i="24"/>
  <c r="H255" i="24"/>
  <c r="I255" i="24"/>
  <c r="J255" i="24"/>
  <c r="K255" i="24"/>
  <c r="L255" i="24"/>
  <c r="M255" i="24"/>
  <c r="N255" i="24"/>
  <c r="O255" i="24"/>
  <c r="P255" i="24"/>
  <c r="Q255" i="24"/>
  <c r="R255" i="24"/>
  <c r="B256" i="24"/>
  <c r="C256" i="24"/>
  <c r="D256" i="24"/>
  <c r="E256" i="24"/>
  <c r="F256" i="24"/>
  <c r="G256" i="24"/>
  <c r="H256" i="24"/>
  <c r="I256" i="24"/>
  <c r="J256" i="24"/>
  <c r="K256" i="24"/>
  <c r="L256" i="24"/>
  <c r="M256" i="24"/>
  <c r="N256" i="24"/>
  <c r="O256" i="24"/>
  <c r="P256" i="24"/>
  <c r="Q256" i="24"/>
  <c r="R256" i="24"/>
  <c r="B257" i="24"/>
  <c r="C257" i="24"/>
  <c r="D257" i="24"/>
  <c r="E257" i="24"/>
  <c r="F257" i="24"/>
  <c r="G257" i="24"/>
  <c r="H257" i="24"/>
  <c r="I257" i="24"/>
  <c r="J257" i="24"/>
  <c r="K257" i="24"/>
  <c r="L257" i="24"/>
  <c r="M257" i="24"/>
  <c r="N257" i="24"/>
  <c r="O257" i="24"/>
  <c r="P257" i="24"/>
  <c r="Q257" i="24"/>
  <c r="R257" i="24"/>
  <c r="B258" i="24"/>
  <c r="C258" i="24"/>
  <c r="D258" i="24"/>
  <c r="E258" i="24"/>
  <c r="F258" i="24"/>
  <c r="G258" i="24"/>
  <c r="H258" i="24"/>
  <c r="I258" i="24"/>
  <c r="J258" i="24"/>
  <c r="K258" i="24"/>
  <c r="L258" i="24"/>
  <c r="M258" i="24"/>
  <c r="N258" i="24"/>
  <c r="O258" i="24"/>
  <c r="P258" i="24"/>
  <c r="Q258" i="24"/>
  <c r="R258" i="24"/>
  <c r="B259" i="24"/>
  <c r="C259" i="24"/>
  <c r="D259" i="24"/>
  <c r="E259" i="24"/>
  <c r="F259" i="24"/>
  <c r="G259" i="24"/>
  <c r="H259" i="24"/>
  <c r="I259" i="24"/>
  <c r="J259" i="24"/>
  <c r="K259" i="24"/>
  <c r="L259" i="24"/>
  <c r="M259" i="24"/>
  <c r="N259" i="24"/>
  <c r="O259" i="24"/>
  <c r="P259" i="24"/>
  <c r="Q259" i="24"/>
  <c r="R259" i="24"/>
  <c r="B260" i="24"/>
  <c r="C260" i="24"/>
  <c r="D260" i="24"/>
  <c r="E260" i="24"/>
  <c r="F260" i="24"/>
  <c r="G260" i="24"/>
  <c r="H260" i="24"/>
  <c r="I260" i="24"/>
  <c r="J260" i="24"/>
  <c r="K260" i="24"/>
  <c r="L260" i="24"/>
  <c r="M260" i="24"/>
  <c r="N260" i="24"/>
  <c r="O260" i="24"/>
  <c r="P260" i="24"/>
  <c r="Q260" i="24"/>
  <c r="R260" i="24"/>
  <c r="B261" i="24"/>
  <c r="C261" i="24"/>
  <c r="D261" i="24"/>
  <c r="E261" i="24"/>
  <c r="F261" i="24"/>
  <c r="G261" i="24"/>
  <c r="H261" i="24"/>
  <c r="I261" i="24"/>
  <c r="J261" i="24"/>
  <c r="K261" i="24"/>
  <c r="L261" i="24"/>
  <c r="M261" i="24"/>
  <c r="N261" i="24"/>
  <c r="O261" i="24"/>
  <c r="P261" i="24"/>
  <c r="Q261" i="24"/>
  <c r="R261" i="24"/>
  <c r="B262" i="24"/>
  <c r="C262" i="24"/>
  <c r="D262" i="24"/>
  <c r="E262" i="24"/>
  <c r="F262" i="24"/>
  <c r="G262" i="24"/>
  <c r="H262" i="24"/>
  <c r="I262" i="24"/>
  <c r="J262" i="24"/>
  <c r="K262" i="24"/>
  <c r="L262" i="24"/>
  <c r="M262" i="24"/>
  <c r="N262" i="24"/>
  <c r="O262" i="24"/>
  <c r="P262" i="24"/>
  <c r="Q262" i="24"/>
  <c r="R262" i="24"/>
  <c r="B263" i="24"/>
  <c r="C263" i="24"/>
  <c r="D263" i="24"/>
  <c r="E263" i="24"/>
  <c r="F263" i="24"/>
  <c r="G263" i="24"/>
  <c r="H263" i="24"/>
  <c r="I263" i="24"/>
  <c r="J263" i="24"/>
  <c r="K263" i="24"/>
  <c r="L263" i="24"/>
  <c r="M263" i="24"/>
  <c r="N263" i="24"/>
  <c r="O263" i="24"/>
  <c r="P263" i="24"/>
  <c r="Q263" i="24"/>
  <c r="R263" i="24"/>
  <c r="B264" i="24"/>
  <c r="C264" i="24"/>
  <c r="D264" i="24"/>
  <c r="E264" i="24"/>
  <c r="F264" i="24"/>
  <c r="G264" i="24"/>
  <c r="H264" i="24"/>
  <c r="I264" i="24"/>
  <c r="J264" i="24"/>
  <c r="K264" i="24"/>
  <c r="L264" i="24"/>
  <c r="M264" i="24"/>
  <c r="N264" i="24"/>
  <c r="O264" i="24"/>
  <c r="P264" i="24"/>
  <c r="Q264" i="24"/>
  <c r="R264" i="24"/>
  <c r="B265" i="24"/>
  <c r="C265" i="24"/>
  <c r="D265" i="24"/>
  <c r="E265" i="24"/>
  <c r="F265" i="24"/>
  <c r="G265" i="24"/>
  <c r="H265" i="24"/>
  <c r="I265" i="24"/>
  <c r="J265" i="24"/>
  <c r="K265" i="24"/>
  <c r="L265" i="24"/>
  <c r="M265" i="24"/>
  <c r="N265" i="24"/>
  <c r="O265" i="24"/>
  <c r="P265" i="24"/>
  <c r="Q265" i="24"/>
  <c r="R265" i="24"/>
  <c r="B266" i="24"/>
  <c r="C266" i="24"/>
  <c r="D266" i="24"/>
  <c r="E266" i="24"/>
  <c r="F266" i="24"/>
  <c r="G266" i="24"/>
  <c r="H266" i="24"/>
  <c r="I266" i="24"/>
  <c r="J266" i="24"/>
  <c r="K266" i="24"/>
  <c r="L266" i="24"/>
  <c r="M266" i="24"/>
  <c r="N266" i="24"/>
  <c r="O266" i="24"/>
  <c r="P266" i="24"/>
  <c r="Q266" i="24"/>
  <c r="R266" i="24"/>
  <c r="B267" i="24"/>
  <c r="C267" i="24"/>
  <c r="D267" i="24"/>
  <c r="E267" i="24"/>
  <c r="F267" i="24"/>
  <c r="G267" i="24"/>
  <c r="H267" i="24"/>
  <c r="I267" i="24"/>
  <c r="J267" i="24"/>
  <c r="K267" i="24"/>
  <c r="L267" i="24"/>
  <c r="M267" i="24"/>
  <c r="N267" i="24"/>
  <c r="O267" i="24"/>
  <c r="P267" i="24"/>
  <c r="Q267" i="24"/>
  <c r="R267" i="24"/>
  <c r="B268" i="24"/>
  <c r="C268" i="24"/>
  <c r="D268" i="24"/>
  <c r="E268" i="24"/>
  <c r="F268" i="24"/>
  <c r="G268" i="24"/>
  <c r="H268" i="24"/>
  <c r="I268" i="24"/>
  <c r="J268" i="24"/>
  <c r="K268" i="24"/>
  <c r="L268" i="24"/>
  <c r="M268" i="24"/>
  <c r="N268" i="24"/>
  <c r="O268" i="24"/>
  <c r="P268" i="24"/>
  <c r="Q268" i="24"/>
  <c r="R268" i="24"/>
  <c r="B269" i="24"/>
  <c r="C269" i="24"/>
  <c r="D269" i="24"/>
  <c r="E269" i="24"/>
  <c r="F269" i="24"/>
  <c r="G269" i="24"/>
  <c r="H269" i="24"/>
  <c r="I269" i="24"/>
  <c r="J269" i="24"/>
  <c r="K269" i="24"/>
  <c r="L269" i="24"/>
  <c r="M269" i="24"/>
  <c r="N269" i="24"/>
  <c r="O269" i="24"/>
  <c r="P269" i="24"/>
  <c r="Q269" i="24"/>
  <c r="R269" i="24"/>
  <c r="B270" i="24"/>
  <c r="C270" i="24"/>
  <c r="D270" i="24"/>
  <c r="E270" i="24"/>
  <c r="F270" i="24"/>
  <c r="G270" i="24"/>
  <c r="H270" i="24"/>
  <c r="I270" i="24"/>
  <c r="J270" i="24"/>
  <c r="K270" i="24"/>
  <c r="L270" i="24"/>
  <c r="M270" i="24"/>
  <c r="N270" i="24"/>
  <c r="O270" i="24"/>
  <c r="P270" i="24"/>
  <c r="Q270" i="24"/>
  <c r="R270" i="24"/>
  <c r="B271" i="24"/>
  <c r="C271" i="24"/>
  <c r="D271" i="24"/>
  <c r="E271" i="24"/>
  <c r="F271" i="24"/>
  <c r="G271" i="24"/>
  <c r="H271" i="24"/>
  <c r="I271" i="24"/>
  <c r="J271" i="24"/>
  <c r="K271" i="24"/>
  <c r="L271" i="24"/>
  <c r="M271" i="24"/>
  <c r="N271" i="24"/>
  <c r="O271" i="24"/>
  <c r="P271" i="24"/>
  <c r="Q271" i="24"/>
  <c r="R271" i="24"/>
  <c r="B272" i="24"/>
  <c r="C272" i="24"/>
  <c r="D272" i="24"/>
  <c r="E272" i="24"/>
  <c r="F272" i="24"/>
  <c r="G272" i="24"/>
  <c r="H272" i="24"/>
  <c r="I272" i="24"/>
  <c r="J272" i="24"/>
  <c r="K272" i="24"/>
  <c r="L272" i="24"/>
  <c r="M272" i="24"/>
  <c r="N272" i="24"/>
  <c r="O272" i="24"/>
  <c r="P272" i="24"/>
  <c r="Q272" i="24"/>
  <c r="R272" i="24"/>
  <c r="B273" i="24"/>
  <c r="C273" i="24"/>
  <c r="D273" i="24"/>
  <c r="E273" i="24"/>
  <c r="F273" i="24"/>
  <c r="G273" i="24"/>
  <c r="H273" i="24"/>
  <c r="I273" i="24"/>
  <c r="J273" i="24"/>
  <c r="K273" i="24"/>
  <c r="L273" i="24"/>
  <c r="M273" i="24"/>
  <c r="N273" i="24"/>
  <c r="O273" i="24"/>
  <c r="P273" i="24"/>
  <c r="Q273" i="24"/>
  <c r="R273" i="24"/>
  <c r="B274" i="24"/>
  <c r="C274" i="24"/>
  <c r="D274" i="24"/>
  <c r="E274" i="24"/>
  <c r="F274" i="24"/>
  <c r="G274" i="24"/>
  <c r="H274" i="24"/>
  <c r="I274" i="24"/>
  <c r="J274" i="24"/>
  <c r="K274" i="24"/>
  <c r="L274" i="24"/>
  <c r="M274" i="24"/>
  <c r="N274" i="24"/>
  <c r="O274" i="24"/>
  <c r="P274" i="24"/>
  <c r="Q274" i="24"/>
  <c r="R274" i="24"/>
  <c r="B275" i="24"/>
  <c r="C275" i="24"/>
  <c r="D275" i="24"/>
  <c r="E275" i="24"/>
  <c r="F275" i="24"/>
  <c r="G275" i="24"/>
  <c r="H275" i="24"/>
  <c r="I275" i="24"/>
  <c r="J275" i="24"/>
  <c r="K275" i="24"/>
  <c r="L275" i="24"/>
  <c r="M275" i="24"/>
  <c r="N275" i="24"/>
  <c r="O275" i="24"/>
  <c r="P275" i="24"/>
  <c r="Q275" i="24"/>
  <c r="R275" i="24"/>
  <c r="B276" i="24"/>
  <c r="C276" i="24"/>
  <c r="D276" i="24"/>
  <c r="E276" i="24"/>
  <c r="F276" i="24"/>
  <c r="G276" i="24"/>
  <c r="H276" i="24"/>
  <c r="I276" i="24"/>
  <c r="J276" i="24"/>
  <c r="K276" i="24"/>
  <c r="L276" i="24"/>
  <c r="M276" i="24"/>
  <c r="N276" i="24"/>
  <c r="O276" i="24"/>
  <c r="P276" i="24"/>
  <c r="Q276" i="24"/>
  <c r="R276" i="24"/>
  <c r="B277" i="24"/>
  <c r="C277" i="24"/>
  <c r="D277" i="24"/>
  <c r="E277" i="24"/>
  <c r="F277" i="24"/>
  <c r="G277" i="24"/>
  <c r="H277" i="24"/>
  <c r="I277" i="24"/>
  <c r="J277" i="24"/>
  <c r="K277" i="24"/>
  <c r="L277" i="24"/>
  <c r="M277" i="24"/>
  <c r="N277" i="24"/>
  <c r="O277" i="24"/>
  <c r="P277" i="24"/>
  <c r="Q277" i="24"/>
  <c r="R277" i="24"/>
  <c r="B278" i="24"/>
  <c r="C278" i="24"/>
  <c r="D278" i="24"/>
  <c r="E278" i="24"/>
  <c r="F278" i="24"/>
  <c r="G278" i="24"/>
  <c r="H278" i="24"/>
  <c r="I278" i="24"/>
  <c r="J278" i="24"/>
  <c r="K278" i="24"/>
  <c r="L278" i="24"/>
  <c r="M278" i="24"/>
  <c r="N278" i="24"/>
  <c r="O278" i="24"/>
  <c r="P278" i="24"/>
  <c r="Q278" i="24"/>
  <c r="R278" i="24"/>
  <c r="B279" i="24"/>
  <c r="C279" i="24"/>
  <c r="D279" i="24"/>
  <c r="E279" i="24"/>
  <c r="F279" i="24"/>
  <c r="G279" i="24"/>
  <c r="H279" i="24"/>
  <c r="I279" i="24"/>
  <c r="J279" i="24"/>
  <c r="K279" i="24"/>
  <c r="L279" i="24"/>
  <c r="M279" i="24"/>
  <c r="N279" i="24"/>
  <c r="O279" i="24"/>
  <c r="P279" i="24"/>
  <c r="Q279" i="24"/>
  <c r="R279" i="24"/>
  <c r="B280" i="24"/>
  <c r="C280" i="24"/>
  <c r="D280" i="24"/>
  <c r="E280" i="24"/>
  <c r="F280" i="24"/>
  <c r="G280" i="24"/>
  <c r="H280" i="24"/>
  <c r="I280" i="24"/>
  <c r="J280" i="24"/>
  <c r="K280" i="24"/>
  <c r="L280" i="24"/>
  <c r="M280" i="24"/>
  <c r="N280" i="24"/>
  <c r="O280" i="24"/>
  <c r="P280" i="24"/>
  <c r="Q280" i="24"/>
  <c r="R280" i="24"/>
  <c r="B281" i="24"/>
  <c r="C281" i="24"/>
  <c r="D281" i="24"/>
  <c r="E281" i="24"/>
  <c r="F281" i="24"/>
  <c r="G281" i="24"/>
  <c r="H281" i="24"/>
  <c r="I281" i="24"/>
  <c r="J281" i="24"/>
  <c r="K281" i="24"/>
  <c r="L281" i="24"/>
  <c r="M281" i="24"/>
  <c r="N281" i="24"/>
  <c r="O281" i="24"/>
  <c r="P281" i="24"/>
  <c r="Q281" i="24"/>
  <c r="R281" i="24"/>
  <c r="B283" i="24"/>
  <c r="C283" i="24"/>
  <c r="D283" i="24"/>
  <c r="E283" i="24"/>
  <c r="F283" i="24"/>
  <c r="G283" i="24"/>
  <c r="H283" i="24"/>
  <c r="I283" i="24"/>
  <c r="J283" i="24"/>
  <c r="K283" i="24"/>
  <c r="L283" i="24"/>
  <c r="M283" i="24"/>
  <c r="N283" i="24"/>
  <c r="O283" i="24"/>
  <c r="P283" i="24"/>
  <c r="Q283" i="24"/>
  <c r="R283" i="24"/>
  <c r="B285" i="24"/>
  <c r="C285" i="24"/>
  <c r="D285" i="24"/>
  <c r="E285" i="24"/>
  <c r="F285" i="24"/>
  <c r="G285" i="24"/>
  <c r="H285" i="24"/>
  <c r="I285" i="24"/>
  <c r="J285" i="24"/>
  <c r="K285" i="24"/>
  <c r="L285" i="24"/>
  <c r="M285" i="24"/>
  <c r="N285" i="24"/>
  <c r="O285" i="24"/>
  <c r="P285" i="24"/>
  <c r="Q285" i="24"/>
  <c r="R285" i="24"/>
  <c r="B286" i="24"/>
  <c r="C286" i="24"/>
  <c r="D286" i="24"/>
  <c r="E286" i="24"/>
  <c r="F286" i="24"/>
  <c r="G286" i="24"/>
  <c r="H286" i="24"/>
  <c r="I286" i="24"/>
  <c r="J286" i="24"/>
  <c r="K286" i="24"/>
  <c r="L286" i="24"/>
  <c r="M286" i="24"/>
  <c r="N286" i="24"/>
  <c r="O286" i="24"/>
  <c r="P286" i="24"/>
  <c r="Q286" i="24"/>
  <c r="R286" i="24"/>
  <c r="B289" i="24"/>
  <c r="C289" i="24"/>
  <c r="D289" i="24"/>
  <c r="E289" i="24"/>
  <c r="F289" i="24"/>
  <c r="G289" i="24"/>
  <c r="H289" i="24"/>
  <c r="I289" i="24"/>
  <c r="J289" i="24"/>
  <c r="K289" i="24"/>
  <c r="L289" i="24"/>
  <c r="M289" i="24"/>
  <c r="N289" i="24"/>
  <c r="O289" i="24"/>
  <c r="P289" i="24"/>
  <c r="Q289" i="24"/>
  <c r="R289" i="24"/>
  <c r="B290" i="24"/>
  <c r="C290" i="24"/>
  <c r="D290" i="24"/>
  <c r="E290" i="24"/>
  <c r="F290" i="24"/>
  <c r="G290" i="24"/>
  <c r="H290" i="24"/>
  <c r="I290" i="24"/>
  <c r="J290" i="24"/>
  <c r="K290" i="24"/>
  <c r="L290" i="24"/>
  <c r="M290" i="24"/>
  <c r="N290" i="24"/>
  <c r="O290" i="24"/>
  <c r="P290" i="24"/>
  <c r="Q290" i="24"/>
  <c r="R290" i="24"/>
  <c r="B291" i="24"/>
  <c r="C291" i="24"/>
  <c r="D291" i="24"/>
  <c r="E291" i="24"/>
  <c r="F291" i="24"/>
  <c r="G291" i="24"/>
  <c r="H291" i="24"/>
  <c r="I291" i="24"/>
  <c r="J291" i="24"/>
  <c r="K291" i="24"/>
  <c r="L291" i="24"/>
  <c r="M291" i="24"/>
  <c r="N291" i="24"/>
  <c r="O291" i="24"/>
  <c r="P291" i="24"/>
  <c r="Q291" i="24"/>
  <c r="R291" i="24"/>
  <c r="B292" i="24"/>
  <c r="C292" i="24"/>
  <c r="D292" i="24"/>
  <c r="E292" i="24"/>
  <c r="F292" i="24"/>
  <c r="G292" i="24"/>
  <c r="H292" i="24"/>
  <c r="I292" i="24"/>
  <c r="J292" i="24"/>
  <c r="K292" i="24"/>
  <c r="L292" i="24"/>
  <c r="M292" i="24"/>
  <c r="N292" i="24"/>
  <c r="O292" i="24"/>
  <c r="P292" i="24"/>
  <c r="Q292" i="24"/>
  <c r="R292" i="24"/>
  <c r="B293" i="24"/>
  <c r="C293" i="24"/>
  <c r="D293" i="24"/>
  <c r="E293" i="24"/>
  <c r="F293" i="24"/>
  <c r="G293" i="24"/>
  <c r="H293" i="24"/>
  <c r="I293" i="24"/>
  <c r="J293" i="24"/>
  <c r="K293" i="24"/>
  <c r="L293" i="24"/>
  <c r="M293" i="24"/>
  <c r="N293" i="24"/>
  <c r="O293" i="24"/>
  <c r="P293" i="24"/>
  <c r="Q293" i="24"/>
  <c r="R293" i="24"/>
  <c r="B294" i="24"/>
  <c r="C294" i="24"/>
  <c r="D294" i="24"/>
  <c r="E294" i="24"/>
  <c r="F294" i="24"/>
  <c r="G294" i="24"/>
  <c r="H294" i="24"/>
  <c r="I294" i="24"/>
  <c r="J294" i="24"/>
  <c r="K294" i="24"/>
  <c r="L294" i="24"/>
  <c r="M294" i="24"/>
  <c r="N294" i="24"/>
  <c r="O294" i="24"/>
  <c r="P294" i="24"/>
  <c r="Q294" i="24"/>
  <c r="R294" i="24"/>
  <c r="B295" i="24"/>
  <c r="C295" i="24"/>
  <c r="D295" i="24"/>
  <c r="E295" i="24"/>
  <c r="F295" i="24"/>
  <c r="G295" i="24"/>
  <c r="H295" i="24"/>
  <c r="I295" i="24"/>
  <c r="J295" i="24"/>
  <c r="K295" i="24"/>
  <c r="L295" i="24"/>
  <c r="M295" i="24"/>
  <c r="N295" i="24"/>
  <c r="O295" i="24"/>
  <c r="P295" i="24"/>
  <c r="Q295" i="24"/>
  <c r="R295" i="24"/>
  <c r="B296" i="24"/>
  <c r="C296" i="24"/>
  <c r="D296" i="24"/>
  <c r="E296" i="24"/>
  <c r="F296" i="24"/>
  <c r="G296" i="24"/>
  <c r="H296" i="24"/>
  <c r="I296" i="24"/>
  <c r="J296" i="24"/>
  <c r="K296" i="24"/>
  <c r="L296" i="24"/>
  <c r="M296" i="24"/>
  <c r="N296" i="24"/>
  <c r="O296" i="24"/>
  <c r="P296" i="24"/>
  <c r="Q296" i="24"/>
  <c r="R296" i="24"/>
  <c r="B297" i="24"/>
  <c r="C297" i="24"/>
  <c r="D297" i="24"/>
  <c r="E297" i="24"/>
  <c r="F297" i="24"/>
  <c r="G297" i="24"/>
  <c r="H297" i="24"/>
  <c r="I297" i="24"/>
  <c r="J297" i="24"/>
  <c r="K297" i="24"/>
  <c r="L297" i="24"/>
  <c r="M297" i="24"/>
  <c r="N297" i="24"/>
  <c r="O297" i="24"/>
  <c r="P297" i="24"/>
  <c r="Q297" i="24"/>
  <c r="R297" i="24"/>
  <c r="B4" i="23"/>
  <c r="D4" i="23"/>
  <c r="E4" i="23"/>
  <c r="F4" i="23"/>
  <c r="G4" i="23"/>
  <c r="H4" i="23"/>
  <c r="I4" i="23"/>
  <c r="J4" i="23"/>
  <c r="K4" i="23"/>
  <c r="L4" i="23"/>
  <c r="M4" i="23"/>
  <c r="N4" i="23"/>
  <c r="O4" i="23"/>
  <c r="P4" i="23"/>
  <c r="Q4" i="23"/>
  <c r="R4" i="23"/>
  <c r="S4" i="23"/>
  <c r="B5" i="23"/>
  <c r="D5" i="23"/>
  <c r="E5" i="23"/>
  <c r="F5" i="23"/>
  <c r="G5" i="23"/>
  <c r="H5" i="23"/>
  <c r="I5" i="23"/>
  <c r="J5" i="23"/>
  <c r="K5" i="23"/>
  <c r="L5" i="23"/>
  <c r="M5" i="23"/>
  <c r="N5" i="23"/>
  <c r="O5" i="23"/>
  <c r="P5" i="23"/>
  <c r="Q5" i="23"/>
  <c r="R5" i="23"/>
  <c r="S5" i="23"/>
  <c r="B6" i="23"/>
  <c r="D6" i="23"/>
  <c r="E6" i="23"/>
  <c r="F6" i="23"/>
  <c r="G6" i="23"/>
  <c r="H6" i="23"/>
  <c r="I6" i="23"/>
  <c r="J6" i="23"/>
  <c r="K6" i="23"/>
  <c r="L6" i="23"/>
  <c r="M6" i="23"/>
  <c r="N6" i="23"/>
  <c r="O6" i="23"/>
  <c r="P6" i="23"/>
  <c r="Q6" i="23"/>
  <c r="R6" i="23"/>
  <c r="S6" i="23"/>
  <c r="B7" i="23"/>
  <c r="D7" i="23"/>
  <c r="E7" i="23"/>
  <c r="F7" i="23"/>
  <c r="G7" i="23"/>
  <c r="H7" i="23"/>
  <c r="I7" i="23"/>
  <c r="J7" i="23"/>
  <c r="K7" i="23"/>
  <c r="L7" i="23"/>
  <c r="M7" i="23"/>
  <c r="N7" i="23"/>
  <c r="O7" i="23"/>
  <c r="P7" i="23"/>
  <c r="Q7" i="23"/>
  <c r="R7" i="23"/>
  <c r="S7" i="23"/>
  <c r="B8" i="23"/>
  <c r="D8" i="23"/>
  <c r="E8" i="23"/>
  <c r="F8" i="23"/>
  <c r="G8" i="23"/>
  <c r="H8" i="23"/>
  <c r="I8" i="23"/>
  <c r="J8" i="23"/>
  <c r="K8" i="23"/>
  <c r="L8" i="23"/>
  <c r="M8" i="23"/>
  <c r="N8" i="23"/>
  <c r="O8" i="23"/>
  <c r="P8" i="23"/>
  <c r="Q8" i="23"/>
  <c r="R8" i="23"/>
  <c r="S8" i="23"/>
  <c r="B9" i="23"/>
  <c r="D9" i="23"/>
  <c r="E9" i="23"/>
  <c r="F9" i="23"/>
  <c r="G9" i="23"/>
  <c r="H9" i="23"/>
  <c r="I9" i="23"/>
  <c r="J9" i="23"/>
  <c r="K9" i="23"/>
  <c r="L9" i="23"/>
  <c r="M9" i="23"/>
  <c r="N9" i="23"/>
  <c r="O9" i="23"/>
  <c r="P9" i="23"/>
  <c r="Q9" i="23"/>
  <c r="R9" i="23"/>
  <c r="S9" i="23"/>
  <c r="B10" i="23"/>
  <c r="D10" i="23"/>
  <c r="E10" i="23"/>
  <c r="F10" i="23"/>
  <c r="G10" i="23"/>
  <c r="H10" i="23"/>
  <c r="I10" i="23"/>
  <c r="J10" i="23"/>
  <c r="K10" i="23"/>
  <c r="L10" i="23"/>
  <c r="M10" i="23"/>
  <c r="N10" i="23"/>
  <c r="O10" i="23"/>
  <c r="P10" i="23"/>
  <c r="Q10" i="23"/>
  <c r="R10" i="23"/>
  <c r="S10" i="23"/>
  <c r="B11" i="23"/>
  <c r="D11" i="23"/>
  <c r="E11" i="23"/>
  <c r="F11" i="23"/>
  <c r="G11" i="23"/>
  <c r="H11" i="23"/>
  <c r="I11" i="23"/>
  <c r="J11" i="23"/>
  <c r="K11" i="23"/>
  <c r="L11" i="23"/>
  <c r="M11" i="23"/>
  <c r="N11" i="23"/>
  <c r="O11" i="23"/>
  <c r="P11" i="23"/>
  <c r="Q11" i="23"/>
  <c r="R11" i="23"/>
  <c r="S11" i="23"/>
  <c r="B12" i="23"/>
  <c r="D12" i="23"/>
  <c r="E12" i="23"/>
  <c r="F12" i="23"/>
  <c r="G12" i="23"/>
  <c r="H12" i="23"/>
  <c r="I12" i="23"/>
  <c r="J12" i="23"/>
  <c r="K12" i="23"/>
  <c r="L12" i="23"/>
  <c r="M12" i="23"/>
  <c r="N12" i="23"/>
  <c r="O12" i="23"/>
  <c r="P12" i="23"/>
  <c r="Q12" i="23"/>
  <c r="R12" i="23"/>
  <c r="S12" i="23"/>
  <c r="B13" i="23"/>
  <c r="D13" i="23"/>
  <c r="E13" i="23"/>
  <c r="F13" i="23"/>
  <c r="G13" i="23"/>
  <c r="H13" i="23"/>
  <c r="I13" i="23"/>
  <c r="J13" i="23"/>
  <c r="K13" i="23"/>
  <c r="L13" i="23"/>
  <c r="M13" i="23"/>
  <c r="N13" i="23"/>
  <c r="O13" i="23"/>
  <c r="P13" i="23"/>
  <c r="Q13" i="23"/>
  <c r="R13" i="23"/>
  <c r="S13" i="23"/>
  <c r="B14" i="23"/>
  <c r="D14" i="23"/>
  <c r="E14" i="23"/>
  <c r="F14" i="23"/>
  <c r="G14" i="23"/>
  <c r="H14" i="23"/>
  <c r="I14" i="23"/>
  <c r="J14" i="23"/>
  <c r="K14" i="23"/>
  <c r="L14" i="23"/>
  <c r="M14" i="23"/>
  <c r="N14" i="23"/>
  <c r="O14" i="23"/>
  <c r="P14" i="23"/>
  <c r="Q14" i="23"/>
  <c r="R14" i="23"/>
  <c r="S14" i="23"/>
  <c r="B15" i="23"/>
  <c r="D15" i="23"/>
  <c r="E15" i="23"/>
  <c r="F15" i="23"/>
  <c r="G15" i="23"/>
  <c r="H15" i="23"/>
  <c r="I15" i="23"/>
  <c r="J15" i="23"/>
  <c r="K15" i="23"/>
  <c r="L15" i="23"/>
  <c r="M15" i="23"/>
  <c r="N15" i="23"/>
  <c r="O15" i="23"/>
  <c r="P15" i="23"/>
  <c r="Q15" i="23"/>
  <c r="R15" i="23"/>
  <c r="S15" i="23"/>
  <c r="B16" i="23"/>
  <c r="D16" i="23"/>
  <c r="E16" i="23"/>
  <c r="F16" i="23"/>
  <c r="G16" i="23"/>
  <c r="H16" i="23"/>
  <c r="I16" i="23"/>
  <c r="J16" i="23"/>
  <c r="K16" i="23"/>
  <c r="L16" i="23"/>
  <c r="M16" i="23"/>
  <c r="N16" i="23"/>
  <c r="O16" i="23"/>
  <c r="P16" i="23"/>
  <c r="Q16" i="23"/>
  <c r="R16" i="23"/>
  <c r="S16" i="23"/>
  <c r="B17" i="23"/>
  <c r="D17" i="23"/>
  <c r="E17" i="23"/>
  <c r="F17" i="23"/>
  <c r="G17" i="23"/>
  <c r="H17" i="23"/>
  <c r="I17" i="23"/>
  <c r="J17" i="23"/>
  <c r="K17" i="23"/>
  <c r="L17" i="23"/>
  <c r="M17" i="23"/>
  <c r="N17" i="23"/>
  <c r="O17" i="23"/>
  <c r="P17" i="23"/>
  <c r="Q17" i="23"/>
  <c r="R17" i="23"/>
  <c r="S17" i="23"/>
  <c r="B18" i="23"/>
  <c r="D18" i="23"/>
  <c r="E18" i="23"/>
  <c r="F18" i="23"/>
  <c r="G18" i="23"/>
  <c r="H18" i="23"/>
  <c r="I18" i="23"/>
  <c r="J18" i="23"/>
  <c r="K18" i="23"/>
  <c r="L18" i="23"/>
  <c r="M18" i="23"/>
  <c r="N18" i="23"/>
  <c r="O18" i="23"/>
  <c r="P18" i="23"/>
  <c r="Q18" i="23"/>
  <c r="R18" i="23"/>
  <c r="S18" i="23"/>
  <c r="B19" i="23"/>
  <c r="D19" i="23"/>
  <c r="E19" i="23"/>
  <c r="F19" i="23"/>
  <c r="G19" i="23"/>
  <c r="H19" i="23"/>
  <c r="I19" i="23"/>
  <c r="J19" i="23"/>
  <c r="K19" i="23"/>
  <c r="L19" i="23"/>
  <c r="M19" i="23"/>
  <c r="N19" i="23"/>
  <c r="O19" i="23"/>
  <c r="P19" i="23"/>
  <c r="Q19" i="23"/>
  <c r="R19" i="23"/>
  <c r="S19" i="23"/>
  <c r="B20" i="23"/>
  <c r="D20" i="23"/>
  <c r="E20" i="23"/>
  <c r="F20" i="23"/>
  <c r="G20" i="23"/>
  <c r="H20" i="23"/>
  <c r="I20" i="23"/>
  <c r="J20" i="23"/>
  <c r="K20" i="23"/>
  <c r="L20" i="23"/>
  <c r="M20" i="23"/>
  <c r="N20" i="23"/>
  <c r="O20" i="23"/>
  <c r="P20" i="23"/>
  <c r="Q20" i="23"/>
  <c r="R20" i="23"/>
  <c r="S20" i="23"/>
  <c r="B21" i="23"/>
  <c r="D21" i="23"/>
  <c r="E21" i="23"/>
  <c r="F21" i="23"/>
  <c r="G21" i="23"/>
  <c r="H21" i="23"/>
  <c r="I21" i="23"/>
  <c r="J21" i="23"/>
  <c r="K21" i="23"/>
  <c r="L21" i="23"/>
  <c r="M21" i="23"/>
  <c r="N21" i="23"/>
  <c r="O21" i="23"/>
  <c r="P21" i="23"/>
  <c r="Q21" i="23"/>
  <c r="R21" i="23"/>
  <c r="S21" i="23"/>
  <c r="B22" i="23"/>
  <c r="D22" i="23"/>
  <c r="E22" i="23"/>
  <c r="F22" i="23"/>
  <c r="G22" i="23"/>
  <c r="H22" i="23"/>
  <c r="I22" i="23"/>
  <c r="J22" i="23"/>
  <c r="K22" i="23"/>
  <c r="L22" i="23"/>
  <c r="M22" i="23"/>
  <c r="N22" i="23"/>
  <c r="O22" i="23"/>
  <c r="P22" i="23"/>
  <c r="Q22" i="23"/>
  <c r="R22" i="23"/>
  <c r="S22" i="23"/>
  <c r="B23" i="23"/>
  <c r="D23" i="23"/>
  <c r="E23" i="23"/>
  <c r="F23" i="23"/>
  <c r="G23" i="23"/>
  <c r="H23" i="23"/>
  <c r="I23" i="23"/>
  <c r="J23" i="23"/>
  <c r="K23" i="23"/>
  <c r="L23" i="23"/>
  <c r="M23" i="23"/>
  <c r="N23" i="23"/>
  <c r="O23" i="23"/>
  <c r="P23" i="23"/>
  <c r="Q23" i="23"/>
  <c r="R23" i="23"/>
  <c r="S23" i="23"/>
  <c r="B24" i="23"/>
  <c r="D24" i="23"/>
  <c r="E24" i="23"/>
  <c r="F24" i="23"/>
  <c r="G24" i="23"/>
  <c r="H24" i="23"/>
  <c r="I24" i="23"/>
  <c r="J24" i="23"/>
  <c r="K24" i="23"/>
  <c r="L24" i="23"/>
  <c r="M24" i="23"/>
  <c r="N24" i="23"/>
  <c r="O24" i="23"/>
  <c r="P24" i="23"/>
  <c r="Q24" i="23"/>
  <c r="R24" i="23"/>
  <c r="S24" i="23"/>
  <c r="B25" i="23"/>
  <c r="D25" i="23"/>
  <c r="E25" i="23"/>
  <c r="F25" i="23"/>
  <c r="G25" i="23"/>
  <c r="H25" i="23"/>
  <c r="I25" i="23"/>
  <c r="J25" i="23"/>
  <c r="K25" i="23"/>
  <c r="L25" i="23"/>
  <c r="M25" i="23"/>
  <c r="N25" i="23"/>
  <c r="O25" i="23"/>
  <c r="P25" i="23"/>
  <c r="Q25" i="23"/>
  <c r="R25" i="23"/>
  <c r="S25" i="23"/>
  <c r="B26" i="23"/>
  <c r="D26" i="23"/>
  <c r="E26" i="23"/>
  <c r="F26" i="23"/>
  <c r="G26" i="23"/>
  <c r="H26" i="23"/>
  <c r="I26" i="23"/>
  <c r="J26" i="23"/>
  <c r="K26" i="23"/>
  <c r="L26" i="23"/>
  <c r="M26" i="23"/>
  <c r="N26" i="23"/>
  <c r="O26" i="23"/>
  <c r="P26" i="23"/>
  <c r="Q26" i="23"/>
  <c r="R26" i="23"/>
  <c r="S26" i="23"/>
  <c r="B27" i="23"/>
  <c r="D27" i="23"/>
  <c r="E27" i="23"/>
  <c r="F27" i="23"/>
  <c r="G27" i="23"/>
  <c r="H27" i="23"/>
  <c r="I27" i="23"/>
  <c r="J27" i="23"/>
  <c r="K27" i="23"/>
  <c r="L27" i="23"/>
  <c r="M27" i="23"/>
  <c r="N27" i="23"/>
  <c r="O27" i="23"/>
  <c r="P27" i="23"/>
  <c r="Q27" i="23"/>
  <c r="R27" i="23"/>
  <c r="S27" i="23"/>
  <c r="B28" i="23"/>
  <c r="D28" i="23"/>
  <c r="E28" i="23"/>
  <c r="F28" i="23"/>
  <c r="G28" i="23"/>
  <c r="H28" i="23"/>
  <c r="I28" i="23"/>
  <c r="J28" i="23"/>
  <c r="K28" i="23"/>
  <c r="L28" i="23"/>
  <c r="M28" i="23"/>
  <c r="N28" i="23"/>
  <c r="O28" i="23"/>
  <c r="P28" i="23"/>
  <c r="Q28" i="23"/>
  <c r="R28" i="23"/>
  <c r="S28" i="23"/>
  <c r="B29" i="23"/>
  <c r="D29" i="23"/>
  <c r="E29" i="23"/>
  <c r="F29" i="23"/>
  <c r="G29" i="23"/>
  <c r="H29" i="23"/>
  <c r="I29" i="23"/>
  <c r="J29" i="23"/>
  <c r="K29" i="23"/>
  <c r="L29" i="23"/>
  <c r="M29" i="23"/>
  <c r="N29" i="23"/>
  <c r="O29" i="23"/>
  <c r="P29" i="23"/>
  <c r="Q29" i="23"/>
  <c r="R29" i="23"/>
  <c r="S29" i="23"/>
  <c r="B30" i="23"/>
  <c r="D30" i="23"/>
  <c r="E30" i="23"/>
  <c r="F30" i="23"/>
  <c r="G30" i="23"/>
  <c r="H30" i="23"/>
  <c r="I30" i="23"/>
  <c r="J30" i="23"/>
  <c r="K30" i="23"/>
  <c r="L30" i="23"/>
  <c r="M30" i="23"/>
  <c r="N30" i="23"/>
  <c r="O30" i="23"/>
  <c r="P30" i="23"/>
  <c r="Q30" i="23"/>
  <c r="R30" i="23"/>
  <c r="S30" i="23"/>
  <c r="B31" i="23"/>
  <c r="D31" i="23"/>
  <c r="E31" i="23"/>
  <c r="F31" i="23"/>
  <c r="G31" i="23"/>
  <c r="H31" i="23"/>
  <c r="I31" i="23"/>
  <c r="J31" i="23"/>
  <c r="K31" i="23"/>
  <c r="L31" i="23"/>
  <c r="M31" i="23"/>
  <c r="N31" i="23"/>
  <c r="O31" i="23"/>
  <c r="P31" i="23"/>
  <c r="Q31" i="23"/>
  <c r="R31" i="23"/>
  <c r="S31" i="23"/>
  <c r="B32" i="23"/>
  <c r="D32" i="23"/>
  <c r="E32" i="23"/>
  <c r="F32" i="23"/>
  <c r="G32" i="23"/>
  <c r="H32" i="23"/>
  <c r="I32" i="23"/>
  <c r="J32" i="23"/>
  <c r="K32" i="23"/>
  <c r="L32" i="23"/>
  <c r="M32" i="23"/>
  <c r="N32" i="23"/>
  <c r="O32" i="23"/>
  <c r="P32" i="23"/>
  <c r="Q32" i="23"/>
  <c r="R32" i="23"/>
  <c r="S32" i="23"/>
  <c r="B33" i="23"/>
  <c r="D33" i="23"/>
  <c r="E33" i="23"/>
  <c r="F33" i="23"/>
  <c r="G33" i="23"/>
  <c r="H33" i="23"/>
  <c r="I33" i="23"/>
  <c r="J33" i="23"/>
  <c r="K33" i="23"/>
  <c r="L33" i="23"/>
  <c r="M33" i="23"/>
  <c r="N33" i="23"/>
  <c r="O33" i="23"/>
  <c r="P33" i="23"/>
  <c r="Q33" i="23"/>
  <c r="R33" i="23"/>
  <c r="S33" i="23"/>
  <c r="B34" i="23"/>
  <c r="D34" i="23"/>
  <c r="E34" i="23"/>
  <c r="F34" i="23"/>
  <c r="G34" i="23"/>
  <c r="H34" i="23"/>
  <c r="I34" i="23"/>
  <c r="J34" i="23"/>
  <c r="K34" i="23"/>
  <c r="L34" i="23"/>
  <c r="M34" i="23"/>
  <c r="N34" i="23"/>
  <c r="O34" i="23"/>
  <c r="P34" i="23"/>
  <c r="Q34" i="23"/>
  <c r="R34" i="23"/>
  <c r="S34" i="23"/>
  <c r="B35" i="23"/>
  <c r="D35" i="23"/>
  <c r="E35" i="23"/>
  <c r="F35" i="23"/>
  <c r="G35" i="23"/>
  <c r="H35" i="23"/>
  <c r="I35" i="23"/>
  <c r="J35" i="23"/>
  <c r="K35" i="23"/>
  <c r="L35" i="23"/>
  <c r="M35" i="23"/>
  <c r="N35" i="23"/>
  <c r="O35" i="23"/>
  <c r="P35" i="23"/>
  <c r="Q35" i="23"/>
  <c r="R35" i="23"/>
  <c r="S35" i="23"/>
  <c r="B36" i="23"/>
  <c r="D36" i="23"/>
  <c r="E36" i="23"/>
  <c r="F36" i="23"/>
  <c r="G36" i="23"/>
  <c r="H36" i="23"/>
  <c r="I36" i="23"/>
  <c r="J36" i="23"/>
  <c r="K36" i="23"/>
  <c r="L36" i="23"/>
  <c r="M36" i="23"/>
  <c r="N36" i="23"/>
  <c r="O36" i="23"/>
  <c r="P36" i="23"/>
  <c r="Q36" i="23"/>
  <c r="R36" i="23"/>
  <c r="S36" i="23"/>
  <c r="B37" i="23"/>
  <c r="D37" i="23"/>
  <c r="E37" i="23"/>
  <c r="F37" i="23"/>
  <c r="G37" i="23"/>
  <c r="H37" i="23"/>
  <c r="I37" i="23"/>
  <c r="J37" i="23"/>
  <c r="K37" i="23"/>
  <c r="L37" i="23"/>
  <c r="M37" i="23"/>
  <c r="N37" i="23"/>
  <c r="O37" i="23"/>
  <c r="P37" i="23"/>
  <c r="Q37" i="23"/>
  <c r="R37" i="23"/>
  <c r="S37" i="23"/>
  <c r="B38" i="23"/>
  <c r="D38" i="23"/>
  <c r="E38" i="23"/>
  <c r="F38" i="23"/>
  <c r="G38" i="23"/>
  <c r="H38" i="23"/>
  <c r="I38" i="23"/>
  <c r="J38" i="23"/>
  <c r="K38" i="23"/>
  <c r="L38" i="23"/>
  <c r="M38" i="23"/>
  <c r="N38" i="23"/>
  <c r="O38" i="23"/>
  <c r="P38" i="23"/>
  <c r="Q38" i="23"/>
  <c r="R38" i="23"/>
  <c r="S38" i="23"/>
  <c r="B39" i="23"/>
  <c r="D39" i="23"/>
  <c r="E39" i="23"/>
  <c r="F39" i="23"/>
  <c r="G39" i="23"/>
  <c r="H39" i="23"/>
  <c r="I39" i="23"/>
  <c r="J39" i="23"/>
  <c r="K39" i="23"/>
  <c r="L39" i="23"/>
  <c r="M39" i="23"/>
  <c r="N39" i="23"/>
  <c r="O39" i="23"/>
  <c r="P39" i="23"/>
  <c r="Q39" i="23"/>
  <c r="R39" i="23"/>
  <c r="S39" i="23"/>
  <c r="B40" i="23"/>
  <c r="D40" i="23"/>
  <c r="E40" i="23"/>
  <c r="F40" i="23"/>
  <c r="G40" i="23"/>
  <c r="H40" i="23"/>
  <c r="I40" i="23"/>
  <c r="J40" i="23"/>
  <c r="K40" i="23"/>
  <c r="L40" i="23"/>
  <c r="M40" i="23"/>
  <c r="N40" i="23"/>
  <c r="O40" i="23"/>
  <c r="P40" i="23"/>
  <c r="Q40" i="23"/>
  <c r="R40" i="23"/>
  <c r="S40" i="23"/>
  <c r="B41" i="23"/>
  <c r="D41" i="23"/>
  <c r="E41" i="23"/>
  <c r="F41" i="23"/>
  <c r="G41" i="23"/>
  <c r="H41" i="23"/>
  <c r="I41" i="23"/>
  <c r="J41" i="23"/>
  <c r="K41" i="23"/>
  <c r="L41" i="23"/>
  <c r="M41" i="23"/>
  <c r="N41" i="23"/>
  <c r="O41" i="23"/>
  <c r="P41" i="23"/>
  <c r="Q41" i="23"/>
  <c r="R41" i="23"/>
  <c r="S41" i="23"/>
  <c r="B42" i="23"/>
  <c r="D42" i="23"/>
  <c r="E42" i="23"/>
  <c r="F42" i="23"/>
  <c r="G42" i="23"/>
  <c r="H42" i="23"/>
  <c r="I42" i="23"/>
  <c r="J42" i="23"/>
  <c r="K42" i="23"/>
  <c r="L42" i="23"/>
  <c r="M42" i="23"/>
  <c r="N42" i="23"/>
  <c r="O42" i="23"/>
  <c r="P42" i="23"/>
  <c r="Q42" i="23"/>
  <c r="R42" i="23"/>
  <c r="S42" i="23"/>
  <c r="B43" i="23"/>
  <c r="D43" i="23"/>
  <c r="E43" i="23"/>
  <c r="F43" i="23"/>
  <c r="G43" i="23"/>
  <c r="H43" i="23"/>
  <c r="I43" i="23"/>
  <c r="J43" i="23"/>
  <c r="K43" i="23"/>
  <c r="L43" i="23"/>
  <c r="M43" i="23"/>
  <c r="N43" i="23"/>
  <c r="O43" i="23"/>
  <c r="P43" i="23"/>
  <c r="Q43" i="23"/>
  <c r="R43" i="23"/>
  <c r="S43" i="23"/>
  <c r="B44" i="23"/>
  <c r="D44" i="23"/>
  <c r="E44" i="23"/>
  <c r="F44" i="23"/>
  <c r="G44" i="23"/>
  <c r="H44" i="23"/>
  <c r="I44" i="23"/>
  <c r="J44" i="23"/>
  <c r="K44" i="23"/>
  <c r="L44" i="23"/>
  <c r="M44" i="23"/>
  <c r="N44" i="23"/>
  <c r="O44" i="23"/>
  <c r="P44" i="23"/>
  <c r="Q44" i="23"/>
  <c r="R44" i="23"/>
  <c r="S44" i="23"/>
  <c r="B45" i="23"/>
  <c r="D45" i="23"/>
  <c r="E45" i="23"/>
  <c r="F45" i="23"/>
  <c r="G45" i="23"/>
  <c r="H45" i="23"/>
  <c r="I45" i="23"/>
  <c r="J45" i="23"/>
  <c r="K45" i="23"/>
  <c r="L45" i="23"/>
  <c r="M45" i="23"/>
  <c r="N45" i="23"/>
  <c r="O45" i="23"/>
  <c r="P45" i="23"/>
  <c r="Q45" i="23"/>
  <c r="R45" i="23"/>
  <c r="S45" i="23"/>
  <c r="B46" i="23"/>
  <c r="D46" i="23"/>
  <c r="E46" i="23"/>
  <c r="F46" i="23"/>
  <c r="G46" i="23"/>
  <c r="H46" i="23"/>
  <c r="I46" i="23"/>
  <c r="J46" i="23"/>
  <c r="K46" i="23"/>
  <c r="L46" i="23"/>
  <c r="M46" i="23"/>
  <c r="N46" i="23"/>
  <c r="O46" i="23"/>
  <c r="P46" i="23"/>
  <c r="Q46" i="23"/>
  <c r="R46" i="23"/>
  <c r="S46" i="23"/>
  <c r="B47" i="23"/>
  <c r="D47" i="23"/>
  <c r="E47" i="23"/>
  <c r="F47" i="23"/>
  <c r="G47" i="23"/>
  <c r="H47" i="23"/>
  <c r="I47" i="23"/>
  <c r="J47" i="23"/>
  <c r="K47" i="23"/>
  <c r="L47" i="23"/>
  <c r="M47" i="23"/>
  <c r="N47" i="23"/>
  <c r="O47" i="23"/>
  <c r="P47" i="23"/>
  <c r="Q47" i="23"/>
  <c r="R47" i="23"/>
  <c r="S47" i="23"/>
  <c r="B48" i="23"/>
  <c r="D48" i="23"/>
  <c r="E48" i="23"/>
  <c r="F48" i="23"/>
  <c r="G48" i="23"/>
  <c r="H48" i="23"/>
  <c r="I48" i="23"/>
  <c r="J48" i="23"/>
  <c r="K48" i="23"/>
  <c r="L48" i="23"/>
  <c r="M48" i="23"/>
  <c r="N48" i="23"/>
  <c r="O48" i="23"/>
  <c r="P48" i="23"/>
  <c r="Q48" i="23"/>
  <c r="R48" i="23"/>
  <c r="S48" i="23"/>
  <c r="B49" i="23"/>
  <c r="D49" i="23"/>
  <c r="E49" i="23"/>
  <c r="F49" i="23"/>
  <c r="G49" i="23"/>
  <c r="H49" i="23"/>
  <c r="I49" i="23"/>
  <c r="J49" i="23"/>
  <c r="K49" i="23"/>
  <c r="L49" i="23"/>
  <c r="M49" i="23"/>
  <c r="N49" i="23"/>
  <c r="O49" i="23"/>
  <c r="P49" i="23"/>
  <c r="Q49" i="23"/>
  <c r="R49" i="23"/>
  <c r="S49" i="23"/>
  <c r="B50" i="23"/>
  <c r="D50" i="23"/>
  <c r="E50" i="23"/>
  <c r="F50" i="23"/>
  <c r="G50" i="23"/>
  <c r="H50" i="23"/>
  <c r="I50" i="23"/>
  <c r="J50" i="23"/>
  <c r="K50" i="23"/>
  <c r="L50" i="23"/>
  <c r="M50" i="23"/>
  <c r="N50" i="23"/>
  <c r="O50" i="23"/>
  <c r="P50" i="23"/>
  <c r="Q50" i="23"/>
  <c r="R50" i="23"/>
  <c r="S50" i="23"/>
  <c r="B51" i="23"/>
  <c r="D51" i="23"/>
  <c r="E51" i="23"/>
  <c r="F51" i="23"/>
  <c r="G51" i="23"/>
  <c r="H51" i="23"/>
  <c r="I51" i="23"/>
  <c r="J51" i="23"/>
  <c r="K51" i="23"/>
  <c r="L51" i="23"/>
  <c r="M51" i="23"/>
  <c r="N51" i="23"/>
  <c r="O51" i="23"/>
  <c r="P51" i="23"/>
  <c r="Q51" i="23"/>
  <c r="R51" i="23"/>
  <c r="S51" i="23"/>
  <c r="B52" i="23"/>
  <c r="D52" i="23"/>
  <c r="E52" i="23"/>
  <c r="F52" i="23"/>
  <c r="G52" i="23"/>
  <c r="H52" i="23"/>
  <c r="I52" i="23"/>
  <c r="J52" i="23"/>
  <c r="K52" i="23"/>
  <c r="L52" i="23"/>
  <c r="M52" i="23"/>
  <c r="N52" i="23"/>
  <c r="O52" i="23"/>
  <c r="P52" i="23"/>
  <c r="Q52" i="23"/>
  <c r="R52" i="23"/>
  <c r="S52" i="23"/>
  <c r="B53" i="23"/>
  <c r="D53" i="23"/>
  <c r="E53" i="23"/>
  <c r="F53" i="23"/>
  <c r="G53" i="23"/>
  <c r="H53" i="23"/>
  <c r="I53" i="23"/>
  <c r="J53" i="23"/>
  <c r="K53" i="23"/>
  <c r="L53" i="23"/>
  <c r="M53" i="23"/>
  <c r="N53" i="23"/>
  <c r="O53" i="23"/>
  <c r="P53" i="23"/>
  <c r="Q53" i="23"/>
  <c r="R53" i="23"/>
  <c r="S53" i="23"/>
  <c r="B54" i="23"/>
  <c r="D54" i="23"/>
  <c r="E54" i="23"/>
  <c r="F54" i="23"/>
  <c r="G54" i="23"/>
  <c r="H54" i="23"/>
  <c r="I54" i="23"/>
  <c r="J54" i="23"/>
  <c r="K54" i="23"/>
  <c r="L54" i="23"/>
  <c r="M54" i="23"/>
  <c r="N54" i="23"/>
  <c r="O54" i="23"/>
  <c r="P54" i="23"/>
  <c r="Q54" i="23"/>
  <c r="R54" i="23"/>
  <c r="S54" i="23"/>
  <c r="B55" i="23"/>
  <c r="D55" i="23"/>
  <c r="E55" i="23"/>
  <c r="F55" i="23"/>
  <c r="G55" i="23"/>
  <c r="H55" i="23"/>
  <c r="I55" i="23"/>
  <c r="J55" i="23"/>
  <c r="K55" i="23"/>
  <c r="L55" i="23"/>
  <c r="M55" i="23"/>
  <c r="N55" i="23"/>
  <c r="O55" i="23"/>
  <c r="P55" i="23"/>
  <c r="Q55" i="23"/>
  <c r="R55" i="23"/>
  <c r="S55" i="23"/>
  <c r="B56" i="23"/>
  <c r="D56" i="23"/>
  <c r="E56" i="23"/>
  <c r="F56" i="23"/>
  <c r="G56" i="23"/>
  <c r="H56" i="23"/>
  <c r="I56" i="23"/>
  <c r="J56" i="23"/>
  <c r="K56" i="23"/>
  <c r="L56" i="23"/>
  <c r="M56" i="23"/>
  <c r="N56" i="23"/>
  <c r="O56" i="23"/>
  <c r="P56" i="23"/>
  <c r="Q56" i="23"/>
  <c r="R56" i="23"/>
  <c r="S56" i="23"/>
  <c r="B57" i="23"/>
  <c r="D57" i="23"/>
  <c r="E57" i="23"/>
  <c r="F57" i="23"/>
  <c r="G57" i="23"/>
  <c r="H57" i="23"/>
  <c r="I57" i="23"/>
  <c r="J57" i="23"/>
  <c r="K57" i="23"/>
  <c r="L57" i="23"/>
  <c r="M57" i="23"/>
  <c r="N57" i="23"/>
  <c r="O57" i="23"/>
  <c r="P57" i="23"/>
  <c r="Q57" i="23"/>
  <c r="R57" i="23"/>
  <c r="S57" i="23"/>
  <c r="B58" i="23"/>
  <c r="D58" i="23"/>
  <c r="E58" i="23"/>
  <c r="F58" i="23"/>
  <c r="G58" i="23"/>
  <c r="H58" i="23"/>
  <c r="I58" i="23"/>
  <c r="J58" i="23"/>
  <c r="K58" i="23"/>
  <c r="L58" i="23"/>
  <c r="M58" i="23"/>
  <c r="N58" i="23"/>
  <c r="O58" i="23"/>
  <c r="P58" i="23"/>
  <c r="Q58" i="23"/>
  <c r="R58" i="23"/>
  <c r="S58" i="23"/>
  <c r="B59" i="23"/>
  <c r="D59" i="23"/>
  <c r="E59" i="23"/>
  <c r="F59" i="23"/>
  <c r="G59" i="23"/>
  <c r="H59" i="23"/>
  <c r="I59" i="23"/>
  <c r="J59" i="23"/>
  <c r="K59" i="23"/>
  <c r="L59" i="23"/>
  <c r="M59" i="23"/>
  <c r="N59" i="23"/>
  <c r="O59" i="23"/>
  <c r="P59" i="23"/>
  <c r="Q59" i="23"/>
  <c r="R59" i="23"/>
  <c r="S59" i="23"/>
  <c r="B60" i="23"/>
  <c r="D60" i="23"/>
  <c r="E60" i="23"/>
  <c r="F60" i="23"/>
  <c r="G60" i="23"/>
  <c r="H60" i="23"/>
  <c r="I60" i="23"/>
  <c r="J60" i="23"/>
  <c r="K60" i="23"/>
  <c r="L60" i="23"/>
  <c r="M60" i="23"/>
  <c r="N60" i="23"/>
  <c r="O60" i="23"/>
  <c r="P60" i="23"/>
  <c r="Q60" i="23"/>
  <c r="R60" i="23"/>
  <c r="S60" i="23"/>
  <c r="B61" i="23"/>
  <c r="D61" i="23"/>
  <c r="E61" i="23"/>
  <c r="F61" i="23"/>
  <c r="G61" i="23"/>
  <c r="H61" i="23"/>
  <c r="I61" i="23"/>
  <c r="J61" i="23"/>
  <c r="K61" i="23"/>
  <c r="L61" i="23"/>
  <c r="M61" i="23"/>
  <c r="N61" i="23"/>
  <c r="O61" i="23"/>
  <c r="P61" i="23"/>
  <c r="Q61" i="23"/>
  <c r="R61" i="23"/>
  <c r="S61" i="23"/>
  <c r="B62" i="23"/>
  <c r="D62" i="23"/>
  <c r="E62" i="23"/>
  <c r="F62" i="23"/>
  <c r="G62" i="23"/>
  <c r="H62" i="23"/>
  <c r="I62" i="23"/>
  <c r="J62" i="23"/>
  <c r="K62" i="23"/>
  <c r="L62" i="23"/>
  <c r="M62" i="23"/>
  <c r="N62" i="23"/>
  <c r="O62" i="23"/>
  <c r="P62" i="23"/>
  <c r="Q62" i="23"/>
  <c r="R62" i="23"/>
  <c r="S62" i="23"/>
  <c r="B63" i="23"/>
  <c r="D63" i="23"/>
  <c r="E63" i="23"/>
  <c r="F63" i="23"/>
  <c r="G63" i="23"/>
  <c r="H63" i="23"/>
  <c r="I63" i="23"/>
  <c r="J63" i="23"/>
  <c r="K63" i="23"/>
  <c r="L63" i="23"/>
  <c r="M63" i="23"/>
  <c r="N63" i="23"/>
  <c r="O63" i="23"/>
  <c r="P63" i="23"/>
  <c r="Q63" i="23"/>
  <c r="R63" i="23"/>
  <c r="S63" i="23"/>
  <c r="B64" i="23"/>
  <c r="D64" i="23"/>
  <c r="E64" i="23"/>
  <c r="F64" i="23"/>
  <c r="G64" i="23"/>
  <c r="H64" i="23"/>
  <c r="I64" i="23"/>
  <c r="J64" i="23"/>
  <c r="K64" i="23"/>
  <c r="L64" i="23"/>
  <c r="M64" i="23"/>
  <c r="N64" i="23"/>
  <c r="O64" i="23"/>
  <c r="P64" i="23"/>
  <c r="Q64" i="23"/>
  <c r="R64" i="23"/>
  <c r="S64" i="23"/>
  <c r="B65" i="23"/>
  <c r="D65" i="23"/>
  <c r="E65" i="23"/>
  <c r="F65" i="23"/>
  <c r="G65" i="23"/>
  <c r="H65" i="23"/>
  <c r="I65" i="23"/>
  <c r="J65" i="23"/>
  <c r="K65" i="23"/>
  <c r="L65" i="23"/>
  <c r="M65" i="23"/>
  <c r="N65" i="23"/>
  <c r="O65" i="23"/>
  <c r="P65" i="23"/>
  <c r="Q65" i="23"/>
  <c r="R65" i="23"/>
  <c r="S65" i="23"/>
  <c r="B66" i="23"/>
  <c r="D66" i="23"/>
  <c r="E66" i="23"/>
  <c r="F66" i="23"/>
  <c r="G66" i="23"/>
  <c r="H66" i="23"/>
  <c r="I66" i="23"/>
  <c r="J66" i="23"/>
  <c r="K66" i="23"/>
  <c r="L66" i="23"/>
  <c r="M66" i="23"/>
  <c r="N66" i="23"/>
  <c r="O66" i="23"/>
  <c r="P66" i="23"/>
  <c r="Q66" i="23"/>
  <c r="R66" i="23"/>
  <c r="S66" i="23"/>
  <c r="B67" i="23"/>
  <c r="D67" i="23"/>
  <c r="E67" i="23"/>
  <c r="F67" i="23"/>
  <c r="G67" i="23"/>
  <c r="H67" i="23"/>
  <c r="I67" i="23"/>
  <c r="J67" i="23"/>
  <c r="K67" i="23"/>
  <c r="L67" i="23"/>
  <c r="M67" i="23"/>
  <c r="N67" i="23"/>
  <c r="O67" i="23"/>
  <c r="P67" i="23"/>
  <c r="Q67" i="23"/>
  <c r="R67" i="23"/>
  <c r="S67" i="23"/>
  <c r="B68" i="23"/>
  <c r="D68" i="23"/>
  <c r="E68" i="23"/>
  <c r="F68" i="23"/>
  <c r="G68" i="23"/>
  <c r="H68" i="23"/>
  <c r="I68" i="23"/>
  <c r="J68" i="23"/>
  <c r="K68" i="23"/>
  <c r="L68" i="23"/>
  <c r="M68" i="23"/>
  <c r="N68" i="23"/>
  <c r="O68" i="23"/>
  <c r="P68" i="23"/>
  <c r="Q68" i="23"/>
  <c r="R68" i="23"/>
  <c r="S68" i="23"/>
  <c r="B69" i="23"/>
  <c r="D69" i="23"/>
  <c r="E69" i="23"/>
  <c r="F69" i="23"/>
  <c r="G69" i="23"/>
  <c r="H69" i="23"/>
  <c r="I69" i="23"/>
  <c r="J69" i="23"/>
  <c r="K69" i="23"/>
  <c r="L69" i="23"/>
  <c r="M69" i="23"/>
  <c r="N69" i="23"/>
  <c r="O69" i="23"/>
  <c r="P69" i="23"/>
  <c r="Q69" i="23"/>
  <c r="R69" i="23"/>
  <c r="S69" i="23"/>
  <c r="B70" i="23"/>
  <c r="D70" i="23"/>
  <c r="E70" i="23"/>
  <c r="F70" i="23"/>
  <c r="G70" i="23"/>
  <c r="H70" i="23"/>
  <c r="I70" i="23"/>
  <c r="J70" i="23"/>
  <c r="K70" i="23"/>
  <c r="L70" i="23"/>
  <c r="M70" i="23"/>
  <c r="N70" i="23"/>
  <c r="O70" i="23"/>
  <c r="P70" i="23"/>
  <c r="Q70" i="23"/>
  <c r="R70" i="23"/>
  <c r="S70" i="23"/>
  <c r="B71" i="23"/>
  <c r="D71" i="23"/>
  <c r="E71" i="23"/>
  <c r="F71" i="23"/>
  <c r="G71" i="23"/>
  <c r="H71" i="23"/>
  <c r="I71" i="23"/>
  <c r="J71" i="23"/>
  <c r="K71" i="23"/>
  <c r="L71" i="23"/>
  <c r="M71" i="23"/>
  <c r="N71" i="23"/>
  <c r="O71" i="23"/>
  <c r="P71" i="23"/>
  <c r="Q71" i="23"/>
  <c r="R71" i="23"/>
  <c r="S71" i="23"/>
  <c r="B72" i="23"/>
  <c r="D72" i="23"/>
  <c r="E72" i="23"/>
  <c r="F72" i="23"/>
  <c r="G72" i="23"/>
  <c r="H72" i="23"/>
  <c r="I72" i="23"/>
  <c r="J72" i="23"/>
  <c r="K72" i="23"/>
  <c r="L72" i="23"/>
  <c r="M72" i="23"/>
  <c r="N72" i="23"/>
  <c r="O72" i="23"/>
  <c r="P72" i="23"/>
  <c r="Q72" i="23"/>
  <c r="R72" i="23"/>
  <c r="S72" i="23"/>
  <c r="B73" i="23"/>
  <c r="D73" i="23"/>
  <c r="E73" i="23"/>
  <c r="F73" i="23"/>
  <c r="G73" i="23"/>
  <c r="H73" i="23"/>
  <c r="I73" i="23"/>
  <c r="J73" i="23"/>
  <c r="K73" i="23"/>
  <c r="L73" i="23"/>
  <c r="M73" i="23"/>
  <c r="N73" i="23"/>
  <c r="O73" i="23"/>
  <c r="P73" i="23"/>
  <c r="Q73" i="23"/>
  <c r="R73" i="23"/>
  <c r="S73" i="23"/>
  <c r="B74" i="23"/>
  <c r="D74" i="23"/>
  <c r="E74" i="23"/>
  <c r="F74" i="23"/>
  <c r="G74" i="23"/>
  <c r="H74" i="23"/>
  <c r="I74" i="23"/>
  <c r="J74" i="23"/>
  <c r="K74" i="23"/>
  <c r="L74" i="23"/>
  <c r="M74" i="23"/>
  <c r="N74" i="23"/>
  <c r="O74" i="23"/>
  <c r="P74" i="23"/>
  <c r="Q74" i="23"/>
  <c r="R74" i="23"/>
  <c r="S74" i="23"/>
  <c r="B75" i="23"/>
  <c r="D75" i="23"/>
  <c r="E75" i="23"/>
  <c r="F75" i="23"/>
  <c r="G75" i="23"/>
  <c r="H75" i="23"/>
  <c r="I75" i="23"/>
  <c r="J75" i="23"/>
  <c r="K75" i="23"/>
  <c r="L75" i="23"/>
  <c r="M75" i="23"/>
  <c r="N75" i="23"/>
  <c r="O75" i="23"/>
  <c r="P75" i="23"/>
  <c r="Q75" i="23"/>
  <c r="R75" i="23"/>
  <c r="S75" i="23"/>
  <c r="B76" i="23"/>
  <c r="D76" i="23"/>
  <c r="E76" i="23"/>
  <c r="F76" i="23"/>
  <c r="G76" i="23"/>
  <c r="H76" i="23"/>
  <c r="I76" i="23"/>
  <c r="J76" i="23"/>
  <c r="K76" i="23"/>
  <c r="L76" i="23"/>
  <c r="M76" i="23"/>
  <c r="N76" i="23"/>
  <c r="O76" i="23"/>
  <c r="P76" i="23"/>
  <c r="Q76" i="23"/>
  <c r="R76" i="23"/>
  <c r="S76" i="23"/>
  <c r="B77" i="23"/>
  <c r="D77" i="23"/>
  <c r="E77" i="23"/>
  <c r="F77" i="23"/>
  <c r="G77" i="23"/>
  <c r="H77" i="23"/>
  <c r="I77" i="23"/>
  <c r="J77" i="23"/>
  <c r="K77" i="23"/>
  <c r="L77" i="23"/>
  <c r="M77" i="23"/>
  <c r="N77" i="23"/>
  <c r="O77" i="23"/>
  <c r="P77" i="23"/>
  <c r="Q77" i="23"/>
  <c r="R77" i="23"/>
  <c r="S77" i="23"/>
  <c r="B78" i="23"/>
  <c r="D78" i="23"/>
  <c r="E78" i="23"/>
  <c r="F78" i="23"/>
  <c r="G78" i="23"/>
  <c r="H78" i="23"/>
  <c r="I78" i="23"/>
  <c r="J78" i="23"/>
  <c r="K78" i="23"/>
  <c r="L78" i="23"/>
  <c r="M78" i="23"/>
  <c r="N78" i="23"/>
  <c r="O78" i="23"/>
  <c r="P78" i="23"/>
  <c r="Q78" i="23"/>
  <c r="R78" i="23"/>
  <c r="S78" i="23"/>
  <c r="B79" i="23"/>
  <c r="D79" i="23"/>
  <c r="E79" i="23"/>
  <c r="F79" i="23"/>
  <c r="G79" i="23"/>
  <c r="H79" i="23"/>
  <c r="I79" i="23"/>
  <c r="J79" i="23"/>
  <c r="K79" i="23"/>
  <c r="L79" i="23"/>
  <c r="M79" i="23"/>
  <c r="N79" i="23"/>
  <c r="O79" i="23"/>
  <c r="P79" i="23"/>
  <c r="Q79" i="23"/>
  <c r="R79" i="23"/>
  <c r="S79" i="23"/>
  <c r="B80" i="23"/>
  <c r="D80" i="23"/>
  <c r="E80" i="23"/>
  <c r="F80" i="23"/>
  <c r="G80" i="23"/>
  <c r="H80" i="23"/>
  <c r="I80" i="23"/>
  <c r="J80" i="23"/>
  <c r="K80" i="23"/>
  <c r="L80" i="23"/>
  <c r="M80" i="23"/>
  <c r="N80" i="23"/>
  <c r="O80" i="23"/>
  <c r="P80" i="23"/>
  <c r="Q80" i="23"/>
  <c r="R80" i="23"/>
  <c r="S80" i="23"/>
  <c r="B81" i="23"/>
  <c r="D81" i="23"/>
  <c r="E81" i="23"/>
  <c r="F81" i="23"/>
  <c r="G81" i="23"/>
  <c r="H81" i="23"/>
  <c r="I81" i="23"/>
  <c r="J81" i="23"/>
  <c r="K81" i="23"/>
  <c r="L81" i="23"/>
  <c r="M81" i="23"/>
  <c r="N81" i="23"/>
  <c r="O81" i="23"/>
  <c r="P81" i="23"/>
  <c r="Q81" i="23"/>
  <c r="R81" i="23"/>
  <c r="S81" i="23"/>
  <c r="B82" i="23"/>
  <c r="D82" i="23"/>
  <c r="E82" i="23"/>
  <c r="F82" i="23"/>
  <c r="G82" i="23"/>
  <c r="H82" i="23"/>
  <c r="I82" i="23"/>
  <c r="J82" i="23"/>
  <c r="K82" i="23"/>
  <c r="L82" i="23"/>
  <c r="M82" i="23"/>
  <c r="N82" i="23"/>
  <c r="O82" i="23"/>
  <c r="P82" i="23"/>
  <c r="Q82" i="23"/>
  <c r="R82" i="23"/>
  <c r="S82" i="23"/>
  <c r="B83" i="23"/>
  <c r="D83" i="23"/>
  <c r="E83" i="23"/>
  <c r="F83" i="23"/>
  <c r="G83" i="23"/>
  <c r="H83" i="23"/>
  <c r="I83" i="23"/>
  <c r="J83" i="23"/>
  <c r="K83" i="23"/>
  <c r="L83" i="23"/>
  <c r="M83" i="23"/>
  <c r="N83" i="23"/>
  <c r="O83" i="23"/>
  <c r="P83" i="23"/>
  <c r="Q83" i="23"/>
  <c r="R83" i="23"/>
  <c r="S83" i="23"/>
  <c r="B84" i="23"/>
  <c r="D84" i="23"/>
  <c r="E84" i="23"/>
  <c r="F84" i="23"/>
  <c r="G84" i="23"/>
  <c r="H84" i="23"/>
  <c r="I84" i="23"/>
  <c r="J84" i="23"/>
  <c r="K84" i="23"/>
  <c r="L84" i="23"/>
  <c r="M84" i="23"/>
  <c r="N84" i="23"/>
  <c r="O84" i="23"/>
  <c r="P84" i="23"/>
  <c r="Q84" i="23"/>
  <c r="R84" i="23"/>
  <c r="S84" i="23"/>
  <c r="B85" i="23"/>
  <c r="D85" i="23"/>
  <c r="E85" i="23"/>
  <c r="F85" i="23"/>
  <c r="G85" i="23"/>
  <c r="H85" i="23"/>
  <c r="I85" i="23"/>
  <c r="J85" i="23"/>
  <c r="K85" i="23"/>
  <c r="L85" i="23"/>
  <c r="M85" i="23"/>
  <c r="N85" i="23"/>
  <c r="O85" i="23"/>
  <c r="P85" i="23"/>
  <c r="Q85" i="23"/>
  <c r="R85" i="23"/>
  <c r="S85" i="23"/>
  <c r="B86" i="23"/>
  <c r="D86" i="23"/>
  <c r="E86" i="23"/>
  <c r="F86" i="23"/>
  <c r="G86" i="23"/>
  <c r="H86" i="23"/>
  <c r="I86" i="23"/>
  <c r="J86" i="23"/>
  <c r="K86" i="23"/>
  <c r="L86" i="23"/>
  <c r="M86" i="23"/>
  <c r="N86" i="23"/>
  <c r="O86" i="23"/>
  <c r="P86" i="23"/>
  <c r="Q86" i="23"/>
  <c r="R86" i="23"/>
  <c r="S86" i="23"/>
  <c r="B87" i="23"/>
  <c r="D87" i="23"/>
  <c r="E87" i="23"/>
  <c r="F87" i="23"/>
  <c r="G87" i="23"/>
  <c r="H87" i="23"/>
  <c r="I87" i="23"/>
  <c r="J87" i="23"/>
  <c r="K87" i="23"/>
  <c r="L87" i="23"/>
  <c r="M87" i="23"/>
  <c r="N87" i="23"/>
  <c r="O87" i="23"/>
  <c r="P87" i="23"/>
  <c r="Q87" i="23"/>
  <c r="R87" i="23"/>
  <c r="S87" i="23"/>
  <c r="B88" i="23"/>
  <c r="D88" i="23"/>
  <c r="E88" i="23"/>
  <c r="F88" i="23"/>
  <c r="G88" i="23"/>
  <c r="H88" i="23"/>
  <c r="I88" i="23"/>
  <c r="J88" i="23"/>
  <c r="K88" i="23"/>
  <c r="L88" i="23"/>
  <c r="M88" i="23"/>
  <c r="N88" i="23"/>
  <c r="O88" i="23"/>
  <c r="P88" i="23"/>
  <c r="Q88" i="23"/>
  <c r="R88" i="23"/>
  <c r="S88" i="23"/>
  <c r="B89" i="23"/>
  <c r="D89" i="23"/>
  <c r="E89" i="23"/>
  <c r="F89" i="23"/>
  <c r="G89" i="23"/>
  <c r="H89" i="23"/>
  <c r="I89" i="23"/>
  <c r="J89" i="23"/>
  <c r="K89" i="23"/>
  <c r="L89" i="23"/>
  <c r="M89" i="23"/>
  <c r="N89" i="23"/>
  <c r="O89" i="23"/>
  <c r="P89" i="23"/>
  <c r="Q89" i="23"/>
  <c r="R89" i="23"/>
  <c r="S89" i="23"/>
  <c r="B90" i="23"/>
  <c r="D90" i="23"/>
  <c r="E90" i="23"/>
  <c r="F90" i="23"/>
  <c r="G90" i="23"/>
  <c r="H90" i="23"/>
  <c r="I90" i="23"/>
  <c r="J90" i="23"/>
  <c r="K90" i="23"/>
  <c r="L90" i="23"/>
  <c r="M90" i="23"/>
  <c r="N90" i="23"/>
  <c r="O90" i="23"/>
  <c r="P90" i="23"/>
  <c r="Q90" i="23"/>
  <c r="R90" i="23"/>
  <c r="S90" i="23"/>
  <c r="B91" i="23"/>
  <c r="D91" i="23"/>
  <c r="E91" i="23"/>
  <c r="F91" i="23"/>
  <c r="G91" i="23"/>
  <c r="H91" i="23"/>
  <c r="I91" i="23"/>
  <c r="J91" i="23"/>
  <c r="K91" i="23"/>
  <c r="L91" i="23"/>
  <c r="M91" i="23"/>
  <c r="N91" i="23"/>
  <c r="O91" i="23"/>
  <c r="P91" i="23"/>
  <c r="Q91" i="23"/>
  <c r="R91" i="23"/>
  <c r="S91" i="23"/>
  <c r="B92" i="23"/>
  <c r="D92" i="23"/>
  <c r="E92" i="23"/>
  <c r="F92" i="23"/>
  <c r="G92" i="23"/>
  <c r="H92" i="23"/>
  <c r="I92" i="23"/>
  <c r="J92" i="23"/>
  <c r="K92" i="23"/>
  <c r="L92" i="23"/>
  <c r="M92" i="23"/>
  <c r="N92" i="23"/>
  <c r="O92" i="23"/>
  <c r="P92" i="23"/>
  <c r="Q92" i="23"/>
  <c r="R92" i="23"/>
  <c r="S92" i="23"/>
  <c r="B93" i="23"/>
  <c r="D93" i="23"/>
  <c r="E93" i="23"/>
  <c r="F93" i="23"/>
  <c r="G93" i="23"/>
  <c r="H93" i="23"/>
  <c r="I93" i="23"/>
  <c r="J93" i="23"/>
  <c r="K93" i="23"/>
  <c r="L93" i="23"/>
  <c r="M93" i="23"/>
  <c r="N93" i="23"/>
  <c r="O93" i="23"/>
  <c r="P93" i="23"/>
  <c r="Q93" i="23"/>
  <c r="R93" i="23"/>
  <c r="S93" i="23"/>
  <c r="B94" i="23"/>
  <c r="D94" i="23"/>
  <c r="E94" i="23"/>
  <c r="F94" i="23"/>
  <c r="G94" i="23"/>
  <c r="H94" i="23"/>
  <c r="I94" i="23"/>
  <c r="J94" i="23"/>
  <c r="K94" i="23"/>
  <c r="L94" i="23"/>
  <c r="M94" i="23"/>
  <c r="N94" i="23"/>
  <c r="O94" i="23"/>
  <c r="P94" i="23"/>
  <c r="Q94" i="23"/>
  <c r="R94" i="23"/>
  <c r="S94" i="23"/>
  <c r="B95" i="23"/>
  <c r="D95" i="23"/>
  <c r="E95" i="23"/>
  <c r="F95" i="23"/>
  <c r="G95" i="23"/>
  <c r="H95" i="23"/>
  <c r="I95" i="23"/>
  <c r="J95" i="23"/>
  <c r="K95" i="23"/>
  <c r="L95" i="23"/>
  <c r="M95" i="23"/>
  <c r="N95" i="23"/>
  <c r="O95" i="23"/>
  <c r="P95" i="23"/>
  <c r="Q95" i="23"/>
  <c r="R95" i="23"/>
  <c r="S95" i="23"/>
  <c r="B96" i="23"/>
  <c r="D96" i="23"/>
  <c r="E96" i="23"/>
  <c r="F96" i="23"/>
  <c r="G96" i="23"/>
  <c r="H96" i="23"/>
  <c r="I96" i="23"/>
  <c r="J96" i="23"/>
  <c r="K96" i="23"/>
  <c r="L96" i="23"/>
  <c r="M96" i="23"/>
  <c r="N96" i="23"/>
  <c r="O96" i="23"/>
  <c r="P96" i="23"/>
  <c r="Q96" i="23"/>
  <c r="R96" i="23"/>
  <c r="S96" i="23"/>
  <c r="B97" i="23"/>
  <c r="D97" i="23"/>
  <c r="E97" i="23"/>
  <c r="F97" i="23"/>
  <c r="G97" i="23"/>
  <c r="H97" i="23"/>
  <c r="I97" i="23"/>
  <c r="J97" i="23"/>
  <c r="K97" i="23"/>
  <c r="L97" i="23"/>
  <c r="M97" i="23"/>
  <c r="N97" i="23"/>
  <c r="O97" i="23"/>
  <c r="P97" i="23"/>
  <c r="Q97" i="23"/>
  <c r="R97" i="23"/>
  <c r="S97" i="23"/>
  <c r="B98" i="23"/>
  <c r="D98" i="23"/>
  <c r="E98" i="23"/>
  <c r="F98" i="23"/>
  <c r="G98" i="23"/>
  <c r="H98" i="23"/>
  <c r="I98" i="23"/>
  <c r="J98" i="23"/>
  <c r="K98" i="23"/>
  <c r="L98" i="23"/>
  <c r="M98" i="23"/>
  <c r="N98" i="23"/>
  <c r="O98" i="23"/>
  <c r="P98" i="23"/>
  <c r="Q98" i="23"/>
  <c r="R98" i="23"/>
  <c r="S98" i="23"/>
  <c r="B99" i="23"/>
  <c r="D99" i="23"/>
  <c r="E99" i="23"/>
  <c r="F99" i="23"/>
  <c r="G99" i="23"/>
  <c r="H99" i="23"/>
  <c r="I99" i="23"/>
  <c r="J99" i="23"/>
  <c r="K99" i="23"/>
  <c r="L99" i="23"/>
  <c r="M99" i="23"/>
  <c r="N99" i="23"/>
  <c r="O99" i="23"/>
  <c r="P99" i="23"/>
  <c r="Q99" i="23"/>
  <c r="R99" i="23"/>
  <c r="S99" i="23"/>
  <c r="B100" i="23"/>
  <c r="D100" i="23"/>
  <c r="E100" i="23"/>
  <c r="F100" i="23"/>
  <c r="G100" i="23"/>
  <c r="H100" i="23"/>
  <c r="I100" i="23"/>
  <c r="J100" i="23"/>
  <c r="K100" i="23"/>
  <c r="L100" i="23"/>
  <c r="M100" i="23"/>
  <c r="N100" i="23"/>
  <c r="O100" i="23"/>
  <c r="P100" i="23"/>
  <c r="Q100" i="23"/>
  <c r="R100" i="23"/>
  <c r="S100" i="23"/>
  <c r="B101" i="23"/>
  <c r="D101" i="23"/>
  <c r="E101" i="23"/>
  <c r="F101" i="23"/>
  <c r="G101" i="23"/>
  <c r="H101" i="23"/>
  <c r="I101" i="23"/>
  <c r="J101" i="23"/>
  <c r="K101" i="23"/>
  <c r="L101" i="23"/>
  <c r="M101" i="23"/>
  <c r="N101" i="23"/>
  <c r="O101" i="23"/>
  <c r="P101" i="23"/>
  <c r="Q101" i="23"/>
  <c r="R101" i="23"/>
  <c r="S101" i="23"/>
  <c r="B102" i="23"/>
  <c r="D102" i="23"/>
  <c r="E102" i="23"/>
  <c r="F102" i="23"/>
  <c r="G102" i="23"/>
  <c r="H102" i="23"/>
  <c r="I102" i="23"/>
  <c r="J102" i="23"/>
  <c r="K102" i="23"/>
  <c r="L102" i="23"/>
  <c r="M102" i="23"/>
  <c r="N102" i="23"/>
  <c r="O102" i="23"/>
  <c r="P102" i="23"/>
  <c r="Q102" i="23"/>
  <c r="R102" i="23"/>
  <c r="S102" i="23"/>
  <c r="B103" i="23"/>
  <c r="D103" i="23"/>
  <c r="E103" i="23"/>
  <c r="F103" i="23"/>
  <c r="G103" i="23"/>
  <c r="H103" i="23"/>
  <c r="I103" i="23"/>
  <c r="J103" i="23"/>
  <c r="K103" i="23"/>
  <c r="L103" i="23"/>
  <c r="M103" i="23"/>
  <c r="N103" i="23"/>
  <c r="O103" i="23"/>
  <c r="P103" i="23"/>
  <c r="Q103" i="23"/>
  <c r="R103" i="23"/>
  <c r="S103" i="23"/>
  <c r="B104" i="23"/>
  <c r="D104" i="23"/>
  <c r="E104" i="23"/>
  <c r="F104" i="23"/>
  <c r="G104" i="23"/>
  <c r="H104" i="23"/>
  <c r="I104" i="23"/>
  <c r="J104" i="23"/>
  <c r="K104" i="23"/>
  <c r="L104" i="23"/>
  <c r="M104" i="23"/>
  <c r="N104" i="23"/>
  <c r="O104" i="23"/>
  <c r="P104" i="23"/>
  <c r="Q104" i="23"/>
  <c r="R104" i="23"/>
  <c r="S104" i="23"/>
  <c r="B105" i="23"/>
  <c r="D105" i="23"/>
  <c r="E105" i="23"/>
  <c r="F105" i="23"/>
  <c r="G105" i="23"/>
  <c r="H105" i="23"/>
  <c r="I105" i="23"/>
  <c r="J105" i="23"/>
  <c r="K105" i="23"/>
  <c r="L105" i="23"/>
  <c r="M105" i="23"/>
  <c r="N105" i="23"/>
  <c r="O105" i="23"/>
  <c r="P105" i="23"/>
  <c r="Q105" i="23"/>
  <c r="R105" i="23"/>
  <c r="S105" i="23"/>
  <c r="B106" i="23"/>
  <c r="D106" i="23"/>
  <c r="E106" i="23"/>
  <c r="F106" i="23"/>
  <c r="G106" i="23"/>
  <c r="H106" i="23"/>
  <c r="I106" i="23"/>
  <c r="J106" i="23"/>
  <c r="K106" i="23"/>
  <c r="L106" i="23"/>
  <c r="M106" i="23"/>
  <c r="N106" i="23"/>
  <c r="O106" i="23"/>
  <c r="P106" i="23"/>
  <c r="Q106" i="23"/>
  <c r="R106" i="23"/>
  <c r="S106" i="23"/>
  <c r="B107" i="23"/>
  <c r="D107" i="23"/>
  <c r="E107" i="23"/>
  <c r="F107" i="23"/>
  <c r="G107" i="23"/>
  <c r="H107" i="23"/>
  <c r="I107" i="23"/>
  <c r="J107" i="23"/>
  <c r="K107" i="23"/>
  <c r="L107" i="23"/>
  <c r="M107" i="23"/>
  <c r="N107" i="23"/>
  <c r="O107" i="23"/>
  <c r="P107" i="23"/>
  <c r="Q107" i="23"/>
  <c r="R107" i="23"/>
  <c r="S107" i="23"/>
  <c r="B108" i="23"/>
  <c r="D108" i="23"/>
  <c r="E108" i="23"/>
  <c r="F108" i="23"/>
  <c r="G108" i="23"/>
  <c r="H108" i="23"/>
  <c r="I108" i="23"/>
  <c r="J108" i="23"/>
  <c r="K108" i="23"/>
  <c r="L108" i="23"/>
  <c r="M108" i="23"/>
  <c r="N108" i="23"/>
  <c r="O108" i="23"/>
  <c r="P108" i="23"/>
  <c r="Q108" i="23"/>
  <c r="R108" i="23"/>
  <c r="S108" i="23"/>
  <c r="B109" i="23"/>
  <c r="D109" i="23"/>
  <c r="E109" i="23"/>
  <c r="F109" i="23"/>
  <c r="G109" i="23"/>
  <c r="H109" i="23"/>
  <c r="I109" i="23"/>
  <c r="J109" i="23"/>
  <c r="K109" i="23"/>
  <c r="L109" i="23"/>
  <c r="M109" i="23"/>
  <c r="N109" i="23"/>
  <c r="O109" i="23"/>
  <c r="P109" i="23"/>
  <c r="Q109" i="23"/>
  <c r="R109" i="23"/>
  <c r="S109" i="23"/>
  <c r="B110" i="23"/>
  <c r="D110" i="23"/>
  <c r="E110" i="23"/>
  <c r="F110" i="23"/>
  <c r="G110" i="23"/>
  <c r="H110" i="23"/>
  <c r="I110" i="23"/>
  <c r="J110" i="23"/>
  <c r="K110" i="23"/>
  <c r="L110" i="23"/>
  <c r="M110" i="23"/>
  <c r="N110" i="23"/>
  <c r="O110" i="23"/>
  <c r="P110" i="23"/>
  <c r="Q110" i="23"/>
  <c r="R110" i="23"/>
  <c r="S110" i="23"/>
  <c r="B111" i="23"/>
  <c r="D111" i="23"/>
  <c r="E111" i="23"/>
  <c r="F111" i="23"/>
  <c r="G111" i="23"/>
  <c r="H111" i="23"/>
  <c r="I111" i="23"/>
  <c r="J111" i="23"/>
  <c r="K111" i="23"/>
  <c r="L111" i="23"/>
  <c r="M111" i="23"/>
  <c r="N111" i="23"/>
  <c r="O111" i="23"/>
  <c r="P111" i="23"/>
  <c r="Q111" i="23"/>
  <c r="R111" i="23"/>
  <c r="S111" i="23"/>
  <c r="B112" i="23"/>
  <c r="D112" i="23"/>
  <c r="E112" i="23"/>
  <c r="F112" i="23"/>
  <c r="G112" i="23"/>
  <c r="H112" i="23"/>
  <c r="I112" i="23"/>
  <c r="J112" i="23"/>
  <c r="K112" i="23"/>
  <c r="L112" i="23"/>
  <c r="M112" i="23"/>
  <c r="N112" i="23"/>
  <c r="O112" i="23"/>
  <c r="P112" i="23"/>
  <c r="Q112" i="23"/>
  <c r="R112" i="23"/>
  <c r="S112" i="23"/>
  <c r="B113" i="23"/>
  <c r="D113" i="23"/>
  <c r="E113" i="23"/>
  <c r="F113" i="23"/>
  <c r="G113" i="23"/>
  <c r="H113" i="23"/>
  <c r="I113" i="23"/>
  <c r="J113" i="23"/>
  <c r="K113" i="23"/>
  <c r="L113" i="23"/>
  <c r="M113" i="23"/>
  <c r="N113" i="23"/>
  <c r="O113" i="23"/>
  <c r="P113" i="23"/>
  <c r="Q113" i="23"/>
  <c r="R113" i="23"/>
  <c r="S113" i="23"/>
  <c r="B114" i="23"/>
  <c r="D114" i="23"/>
  <c r="E114" i="23"/>
  <c r="F114" i="23"/>
  <c r="G114" i="23"/>
  <c r="H114" i="23"/>
  <c r="I114" i="23"/>
  <c r="J114" i="23"/>
  <c r="K114" i="23"/>
  <c r="L114" i="23"/>
  <c r="M114" i="23"/>
  <c r="N114" i="23"/>
  <c r="O114" i="23"/>
  <c r="P114" i="23"/>
  <c r="Q114" i="23"/>
  <c r="R114" i="23"/>
  <c r="S114" i="23"/>
  <c r="B115" i="23"/>
  <c r="D115" i="23"/>
  <c r="E115" i="23"/>
  <c r="F115" i="23"/>
  <c r="G115" i="23"/>
  <c r="H115" i="23"/>
  <c r="I115" i="23"/>
  <c r="J115" i="23"/>
  <c r="K115" i="23"/>
  <c r="L115" i="23"/>
  <c r="M115" i="23"/>
  <c r="N115" i="23"/>
  <c r="O115" i="23"/>
  <c r="P115" i="23"/>
  <c r="Q115" i="23"/>
  <c r="R115" i="23"/>
  <c r="S115" i="23"/>
  <c r="B116" i="23"/>
  <c r="D116" i="23"/>
  <c r="E116" i="23"/>
  <c r="F116" i="23"/>
  <c r="G116" i="23"/>
  <c r="H116" i="23"/>
  <c r="I116" i="23"/>
  <c r="J116" i="23"/>
  <c r="K116" i="23"/>
  <c r="L116" i="23"/>
  <c r="M116" i="23"/>
  <c r="N116" i="23"/>
  <c r="O116" i="23"/>
  <c r="P116" i="23"/>
  <c r="Q116" i="23"/>
  <c r="R116" i="23"/>
  <c r="S116" i="23"/>
  <c r="B117" i="23"/>
  <c r="D117" i="23"/>
  <c r="E117" i="23"/>
  <c r="F117" i="23"/>
  <c r="G117" i="23"/>
  <c r="H117" i="23"/>
  <c r="I117" i="23"/>
  <c r="J117" i="23"/>
  <c r="K117" i="23"/>
  <c r="L117" i="23"/>
  <c r="M117" i="23"/>
  <c r="N117" i="23"/>
  <c r="O117" i="23"/>
  <c r="P117" i="23"/>
  <c r="Q117" i="23"/>
  <c r="R117" i="23"/>
  <c r="S117" i="23"/>
  <c r="B118" i="23"/>
  <c r="D118" i="23"/>
  <c r="E118" i="23"/>
  <c r="F118" i="23"/>
  <c r="G118" i="23"/>
  <c r="H118" i="23"/>
  <c r="I118" i="23"/>
  <c r="J118" i="23"/>
  <c r="K118" i="23"/>
  <c r="L118" i="23"/>
  <c r="M118" i="23"/>
  <c r="N118" i="23"/>
  <c r="O118" i="23"/>
  <c r="P118" i="23"/>
  <c r="Q118" i="23"/>
  <c r="R118" i="23"/>
  <c r="S118" i="23"/>
  <c r="B119" i="23"/>
  <c r="D119" i="23"/>
  <c r="E119" i="23"/>
  <c r="F119" i="23"/>
  <c r="G119" i="23"/>
  <c r="H119" i="23"/>
  <c r="I119" i="23"/>
  <c r="J119" i="23"/>
  <c r="K119" i="23"/>
  <c r="L119" i="23"/>
  <c r="M119" i="23"/>
  <c r="N119" i="23"/>
  <c r="O119" i="23"/>
  <c r="P119" i="23"/>
  <c r="Q119" i="23"/>
  <c r="R119" i="23"/>
  <c r="S119" i="23"/>
  <c r="B120" i="23"/>
  <c r="D120" i="23"/>
  <c r="E120" i="23"/>
  <c r="F120" i="23"/>
  <c r="G120" i="23"/>
  <c r="H120" i="23"/>
  <c r="I120" i="23"/>
  <c r="J120" i="23"/>
  <c r="K120" i="23"/>
  <c r="L120" i="23"/>
  <c r="M120" i="23"/>
  <c r="N120" i="23"/>
  <c r="O120" i="23"/>
  <c r="P120" i="23"/>
  <c r="Q120" i="23"/>
  <c r="R120" i="23"/>
  <c r="S120" i="23"/>
  <c r="B121" i="23"/>
  <c r="D121" i="23"/>
  <c r="E121" i="23"/>
  <c r="F121" i="23"/>
  <c r="G121" i="23"/>
  <c r="H121" i="23"/>
  <c r="I121" i="23"/>
  <c r="J121" i="23"/>
  <c r="K121" i="23"/>
  <c r="L121" i="23"/>
  <c r="M121" i="23"/>
  <c r="N121" i="23"/>
  <c r="O121" i="23"/>
  <c r="P121" i="23"/>
  <c r="Q121" i="23"/>
  <c r="R121" i="23"/>
  <c r="S121" i="23"/>
  <c r="B122" i="23"/>
  <c r="D122" i="23"/>
  <c r="E122" i="23"/>
  <c r="F122" i="23"/>
  <c r="G122" i="23"/>
  <c r="H122" i="23"/>
  <c r="I122" i="23"/>
  <c r="J122" i="23"/>
  <c r="K122" i="23"/>
  <c r="L122" i="23"/>
  <c r="M122" i="23"/>
  <c r="N122" i="23"/>
  <c r="O122" i="23"/>
  <c r="P122" i="23"/>
  <c r="Q122" i="23"/>
  <c r="R122" i="23"/>
  <c r="S122" i="23"/>
  <c r="B123" i="23"/>
  <c r="D123" i="23"/>
  <c r="E123" i="23"/>
  <c r="F123" i="23"/>
  <c r="G123" i="23"/>
  <c r="H123" i="23"/>
  <c r="I123" i="23"/>
  <c r="J123" i="23"/>
  <c r="K123" i="23"/>
  <c r="L123" i="23"/>
  <c r="M123" i="23"/>
  <c r="N123" i="23"/>
  <c r="O123" i="23"/>
  <c r="P123" i="23"/>
  <c r="Q123" i="23"/>
  <c r="R123" i="23"/>
  <c r="S123" i="23"/>
  <c r="B124" i="23"/>
  <c r="D124" i="23"/>
  <c r="E124" i="23"/>
  <c r="F124" i="23"/>
  <c r="G124" i="23"/>
  <c r="H124" i="23"/>
  <c r="I124" i="23"/>
  <c r="J124" i="23"/>
  <c r="K124" i="23"/>
  <c r="L124" i="23"/>
  <c r="M124" i="23"/>
  <c r="N124" i="23"/>
  <c r="O124" i="23"/>
  <c r="P124" i="23"/>
  <c r="Q124" i="23"/>
  <c r="R124" i="23"/>
  <c r="S124" i="23"/>
  <c r="B125" i="23"/>
  <c r="D125" i="23"/>
  <c r="E125" i="23"/>
  <c r="F125" i="23"/>
  <c r="G125" i="23"/>
  <c r="H125" i="23"/>
  <c r="I125" i="23"/>
  <c r="J125" i="23"/>
  <c r="K125" i="23"/>
  <c r="L125" i="23"/>
  <c r="M125" i="23"/>
  <c r="N125" i="23"/>
  <c r="O125" i="23"/>
  <c r="P125" i="23"/>
  <c r="Q125" i="23"/>
  <c r="R125" i="23"/>
  <c r="S125" i="23"/>
  <c r="B126" i="23"/>
  <c r="D126" i="23"/>
  <c r="E126" i="23"/>
  <c r="F126" i="23"/>
  <c r="G126" i="23"/>
  <c r="H126" i="23"/>
  <c r="I126" i="23"/>
  <c r="J126" i="23"/>
  <c r="K126" i="23"/>
  <c r="L126" i="23"/>
  <c r="M126" i="23"/>
  <c r="N126" i="23"/>
  <c r="O126" i="23"/>
  <c r="P126" i="23"/>
  <c r="Q126" i="23"/>
  <c r="R126" i="23"/>
  <c r="S126" i="23"/>
  <c r="B127" i="23"/>
  <c r="D127" i="23"/>
  <c r="E127" i="23"/>
  <c r="F127" i="23"/>
  <c r="G127" i="23"/>
  <c r="H127" i="23"/>
  <c r="I127" i="23"/>
  <c r="J127" i="23"/>
  <c r="K127" i="23"/>
  <c r="L127" i="23"/>
  <c r="M127" i="23"/>
  <c r="N127" i="23"/>
  <c r="O127" i="23"/>
  <c r="P127" i="23"/>
  <c r="Q127" i="23"/>
  <c r="R127" i="23"/>
  <c r="S127" i="23"/>
  <c r="B128" i="23"/>
  <c r="D128" i="23"/>
  <c r="E128" i="23"/>
  <c r="F128" i="23"/>
  <c r="G128" i="23"/>
  <c r="H128" i="23"/>
  <c r="I128" i="23"/>
  <c r="J128" i="23"/>
  <c r="K128" i="23"/>
  <c r="L128" i="23"/>
  <c r="M128" i="23"/>
  <c r="N128" i="23"/>
  <c r="O128" i="23"/>
  <c r="P128" i="23"/>
  <c r="Q128" i="23"/>
  <c r="R128" i="23"/>
  <c r="S128" i="23"/>
  <c r="B129" i="23"/>
  <c r="D129" i="23"/>
  <c r="E129" i="23"/>
  <c r="F129" i="23"/>
  <c r="G129" i="23"/>
  <c r="H129" i="23"/>
  <c r="I129" i="23"/>
  <c r="J129" i="23"/>
  <c r="K129" i="23"/>
  <c r="L129" i="23"/>
  <c r="M129" i="23"/>
  <c r="N129" i="23"/>
  <c r="O129" i="23"/>
  <c r="P129" i="23"/>
  <c r="Q129" i="23"/>
  <c r="R129" i="23"/>
  <c r="S129" i="23"/>
  <c r="B130" i="23"/>
  <c r="D130" i="23"/>
  <c r="E130" i="23"/>
  <c r="F130" i="23"/>
  <c r="G130" i="23"/>
  <c r="H130" i="23"/>
  <c r="I130" i="23"/>
  <c r="J130" i="23"/>
  <c r="K130" i="23"/>
  <c r="L130" i="23"/>
  <c r="M130" i="23"/>
  <c r="N130" i="23"/>
  <c r="O130" i="23"/>
  <c r="P130" i="23"/>
  <c r="Q130" i="23"/>
  <c r="R130" i="23"/>
  <c r="S130" i="23"/>
  <c r="B131" i="23"/>
  <c r="D131" i="23"/>
  <c r="E131" i="23"/>
  <c r="F131" i="23"/>
  <c r="G131" i="23"/>
  <c r="H131" i="23"/>
  <c r="I131" i="23"/>
  <c r="J131" i="23"/>
  <c r="K131" i="23"/>
  <c r="L131" i="23"/>
  <c r="M131" i="23"/>
  <c r="N131" i="23"/>
  <c r="O131" i="23"/>
  <c r="P131" i="23"/>
  <c r="Q131" i="23"/>
  <c r="R131" i="23"/>
  <c r="S131" i="23"/>
  <c r="B132" i="23"/>
  <c r="D132" i="23"/>
  <c r="E132" i="23"/>
  <c r="F132" i="23"/>
  <c r="G132" i="23"/>
  <c r="H132" i="23"/>
  <c r="I132" i="23"/>
  <c r="J132" i="23"/>
  <c r="K132" i="23"/>
  <c r="L132" i="23"/>
  <c r="M132" i="23"/>
  <c r="N132" i="23"/>
  <c r="O132" i="23"/>
  <c r="P132" i="23"/>
  <c r="Q132" i="23"/>
  <c r="R132" i="23"/>
  <c r="S132" i="23"/>
  <c r="B133" i="23"/>
  <c r="D133" i="23"/>
  <c r="E133" i="23"/>
  <c r="F133" i="23"/>
  <c r="G133" i="23"/>
  <c r="H133" i="23"/>
  <c r="I133" i="23"/>
  <c r="J133" i="23"/>
  <c r="K133" i="23"/>
  <c r="L133" i="23"/>
  <c r="M133" i="23"/>
  <c r="N133" i="23"/>
  <c r="O133" i="23"/>
  <c r="P133" i="23"/>
  <c r="Q133" i="23"/>
  <c r="R133" i="23"/>
  <c r="S133" i="23"/>
  <c r="B134" i="23"/>
  <c r="D134" i="23"/>
  <c r="E134" i="23"/>
  <c r="F134" i="23"/>
  <c r="G134" i="23"/>
  <c r="H134" i="23"/>
  <c r="I134" i="23"/>
  <c r="J134" i="23"/>
  <c r="K134" i="23"/>
  <c r="L134" i="23"/>
  <c r="M134" i="23"/>
  <c r="N134" i="23"/>
  <c r="O134" i="23"/>
  <c r="P134" i="23"/>
  <c r="Q134" i="23"/>
  <c r="R134" i="23"/>
  <c r="S134" i="23"/>
  <c r="B135" i="23"/>
  <c r="D135" i="23"/>
  <c r="E135" i="23"/>
  <c r="F135" i="23"/>
  <c r="G135" i="23"/>
  <c r="H135" i="23"/>
  <c r="I135" i="23"/>
  <c r="J135" i="23"/>
  <c r="K135" i="23"/>
  <c r="L135" i="23"/>
  <c r="M135" i="23"/>
  <c r="N135" i="23"/>
  <c r="O135" i="23"/>
  <c r="P135" i="23"/>
  <c r="Q135" i="23"/>
  <c r="R135" i="23"/>
  <c r="S135" i="23"/>
  <c r="B136" i="23"/>
  <c r="D136" i="23"/>
  <c r="E136" i="23"/>
  <c r="F136" i="23"/>
  <c r="G136" i="23"/>
  <c r="H136" i="23"/>
  <c r="I136" i="23"/>
  <c r="J136" i="23"/>
  <c r="K136" i="23"/>
  <c r="L136" i="23"/>
  <c r="M136" i="23"/>
  <c r="N136" i="23"/>
  <c r="O136" i="23"/>
  <c r="P136" i="23"/>
  <c r="Q136" i="23"/>
  <c r="R136" i="23"/>
  <c r="S136" i="23"/>
  <c r="B137" i="23"/>
  <c r="D137" i="23"/>
  <c r="E137" i="23"/>
  <c r="F137" i="23"/>
  <c r="G137" i="23"/>
  <c r="H137" i="23"/>
  <c r="I137" i="23"/>
  <c r="J137" i="23"/>
  <c r="K137" i="23"/>
  <c r="L137" i="23"/>
  <c r="M137" i="23"/>
  <c r="N137" i="23"/>
  <c r="O137" i="23"/>
  <c r="P137" i="23"/>
  <c r="Q137" i="23"/>
  <c r="R137" i="23"/>
  <c r="S137" i="23"/>
  <c r="B138" i="23"/>
  <c r="D138" i="23"/>
  <c r="E138" i="23"/>
  <c r="F138" i="23"/>
  <c r="G138" i="23"/>
  <c r="H138" i="23"/>
  <c r="I138" i="23"/>
  <c r="J138" i="23"/>
  <c r="K138" i="23"/>
  <c r="L138" i="23"/>
  <c r="M138" i="23"/>
  <c r="N138" i="23"/>
  <c r="O138" i="23"/>
  <c r="P138" i="23"/>
  <c r="Q138" i="23"/>
  <c r="R138" i="23"/>
  <c r="S138" i="23"/>
  <c r="B139" i="23"/>
  <c r="D139" i="23"/>
  <c r="E139" i="23"/>
  <c r="F139" i="23"/>
  <c r="G139" i="23"/>
  <c r="H139" i="23"/>
  <c r="I139" i="23"/>
  <c r="J139" i="23"/>
  <c r="K139" i="23"/>
  <c r="L139" i="23"/>
  <c r="M139" i="23"/>
  <c r="N139" i="23"/>
  <c r="O139" i="23"/>
  <c r="P139" i="23"/>
  <c r="Q139" i="23"/>
  <c r="R139" i="23"/>
  <c r="S139" i="23"/>
  <c r="B140" i="23"/>
  <c r="D140" i="23"/>
  <c r="E140" i="23"/>
  <c r="F140" i="23"/>
  <c r="G140" i="23"/>
  <c r="H140" i="23"/>
  <c r="I140" i="23"/>
  <c r="J140" i="23"/>
  <c r="K140" i="23"/>
  <c r="L140" i="23"/>
  <c r="M140" i="23"/>
  <c r="N140" i="23"/>
  <c r="O140" i="23"/>
  <c r="P140" i="23"/>
  <c r="Q140" i="23"/>
  <c r="R140" i="23"/>
  <c r="S140" i="23"/>
  <c r="B141" i="23"/>
  <c r="D141" i="23"/>
  <c r="E141" i="23"/>
  <c r="F141" i="23"/>
  <c r="G141" i="23"/>
  <c r="H141" i="23"/>
  <c r="I141" i="23"/>
  <c r="J141" i="23"/>
  <c r="K141" i="23"/>
  <c r="L141" i="23"/>
  <c r="M141" i="23"/>
  <c r="N141" i="23"/>
  <c r="O141" i="23"/>
  <c r="P141" i="23"/>
  <c r="Q141" i="23"/>
  <c r="R141" i="23"/>
  <c r="S141" i="23"/>
  <c r="B142" i="23"/>
  <c r="D142" i="23"/>
  <c r="E142" i="23"/>
  <c r="F142" i="23"/>
  <c r="G142" i="23"/>
  <c r="H142" i="23"/>
  <c r="I142" i="23"/>
  <c r="J142" i="23"/>
  <c r="K142" i="23"/>
  <c r="L142" i="23"/>
  <c r="M142" i="23"/>
  <c r="N142" i="23"/>
  <c r="O142" i="23"/>
  <c r="P142" i="23"/>
  <c r="Q142" i="23"/>
  <c r="R142" i="23"/>
  <c r="S142" i="23"/>
  <c r="B143" i="23"/>
  <c r="D143" i="23"/>
  <c r="E143" i="23"/>
  <c r="F143" i="23"/>
  <c r="G143" i="23"/>
  <c r="H143" i="23"/>
  <c r="I143" i="23"/>
  <c r="J143" i="23"/>
  <c r="K143" i="23"/>
  <c r="L143" i="23"/>
  <c r="M143" i="23"/>
  <c r="N143" i="23"/>
  <c r="O143" i="23"/>
  <c r="P143" i="23"/>
  <c r="Q143" i="23"/>
  <c r="R143" i="23"/>
  <c r="S143" i="23"/>
  <c r="B144" i="23"/>
  <c r="D144" i="23"/>
  <c r="E144" i="23"/>
  <c r="F144" i="23"/>
  <c r="G144" i="23"/>
  <c r="H144" i="23"/>
  <c r="I144" i="23"/>
  <c r="J144" i="23"/>
  <c r="K144" i="23"/>
  <c r="L144" i="23"/>
  <c r="M144" i="23"/>
  <c r="N144" i="23"/>
  <c r="O144" i="23"/>
  <c r="P144" i="23"/>
  <c r="Q144" i="23"/>
  <c r="R144" i="23"/>
  <c r="S144" i="23"/>
  <c r="B145" i="23"/>
  <c r="D145" i="23"/>
  <c r="E145" i="23"/>
  <c r="F145" i="23"/>
  <c r="G145" i="23"/>
  <c r="H145" i="23"/>
  <c r="I145" i="23"/>
  <c r="J145" i="23"/>
  <c r="K145" i="23"/>
  <c r="L145" i="23"/>
  <c r="M145" i="23"/>
  <c r="N145" i="23"/>
  <c r="O145" i="23"/>
  <c r="P145" i="23"/>
  <c r="Q145" i="23"/>
  <c r="R145" i="23"/>
  <c r="S145" i="23"/>
  <c r="B146" i="23"/>
  <c r="D146" i="23"/>
  <c r="E146" i="23"/>
  <c r="F146" i="23"/>
  <c r="G146" i="23"/>
  <c r="H146" i="23"/>
  <c r="I146" i="23"/>
  <c r="J146" i="23"/>
  <c r="K146" i="23"/>
  <c r="L146" i="23"/>
  <c r="M146" i="23"/>
  <c r="N146" i="23"/>
  <c r="O146" i="23"/>
  <c r="P146" i="23"/>
  <c r="Q146" i="23"/>
  <c r="R146" i="23"/>
  <c r="S146" i="23"/>
  <c r="B147" i="23"/>
  <c r="D147" i="23"/>
  <c r="E147" i="23"/>
  <c r="F147" i="23"/>
  <c r="G147" i="23"/>
  <c r="H147" i="23"/>
  <c r="I147" i="23"/>
  <c r="J147" i="23"/>
  <c r="K147" i="23"/>
  <c r="L147" i="23"/>
  <c r="M147" i="23"/>
  <c r="N147" i="23"/>
  <c r="O147" i="23"/>
  <c r="P147" i="23"/>
  <c r="Q147" i="23"/>
  <c r="R147" i="23"/>
  <c r="S147" i="23"/>
  <c r="B148" i="23"/>
  <c r="D148" i="23"/>
  <c r="E148" i="23"/>
  <c r="F148" i="23"/>
  <c r="G148" i="23"/>
  <c r="H148" i="23"/>
  <c r="I148" i="23"/>
  <c r="J148" i="23"/>
  <c r="K148" i="23"/>
  <c r="L148" i="23"/>
  <c r="M148" i="23"/>
  <c r="N148" i="23"/>
  <c r="O148" i="23"/>
  <c r="P148" i="23"/>
  <c r="Q148" i="23"/>
  <c r="R148" i="23"/>
  <c r="S148" i="23"/>
  <c r="B149" i="23"/>
  <c r="D149" i="23"/>
  <c r="E149" i="23"/>
  <c r="F149" i="23"/>
  <c r="G149" i="23"/>
  <c r="H149" i="23"/>
  <c r="I149" i="23"/>
  <c r="J149" i="23"/>
  <c r="K149" i="23"/>
  <c r="L149" i="23"/>
  <c r="M149" i="23"/>
  <c r="N149" i="23"/>
  <c r="O149" i="23"/>
  <c r="P149" i="23"/>
  <c r="Q149" i="23"/>
  <c r="R149" i="23"/>
  <c r="S149" i="23"/>
  <c r="B150" i="23"/>
  <c r="D150" i="23"/>
  <c r="E150" i="23"/>
  <c r="F150" i="23"/>
  <c r="G150" i="23"/>
  <c r="H150" i="23"/>
  <c r="I150" i="23"/>
  <c r="J150" i="23"/>
  <c r="K150" i="23"/>
  <c r="L150" i="23"/>
  <c r="M150" i="23"/>
  <c r="N150" i="23"/>
  <c r="O150" i="23"/>
  <c r="P150" i="23"/>
  <c r="Q150" i="23"/>
  <c r="R150" i="23"/>
  <c r="S150" i="23"/>
  <c r="B151" i="23"/>
  <c r="D151" i="23"/>
  <c r="E151" i="23"/>
  <c r="F151" i="23"/>
  <c r="G151" i="23"/>
  <c r="H151" i="23"/>
  <c r="I151" i="23"/>
  <c r="J151" i="23"/>
  <c r="K151" i="23"/>
  <c r="L151" i="23"/>
  <c r="M151" i="23"/>
  <c r="N151" i="23"/>
  <c r="O151" i="23"/>
  <c r="P151" i="23"/>
  <c r="Q151" i="23"/>
  <c r="R151" i="23"/>
  <c r="S151" i="23"/>
  <c r="B152" i="23"/>
  <c r="D152" i="23"/>
  <c r="E152" i="23"/>
  <c r="F152" i="23"/>
  <c r="G152" i="23"/>
  <c r="H152" i="23"/>
  <c r="I152" i="23"/>
  <c r="J152" i="23"/>
  <c r="K152" i="23"/>
  <c r="L152" i="23"/>
  <c r="M152" i="23"/>
  <c r="N152" i="23"/>
  <c r="O152" i="23"/>
  <c r="P152" i="23"/>
  <c r="Q152" i="23"/>
  <c r="R152" i="23"/>
  <c r="S152" i="23"/>
  <c r="B153" i="23"/>
  <c r="D153" i="23"/>
  <c r="E153" i="23"/>
  <c r="F153" i="23"/>
  <c r="G153" i="23"/>
  <c r="H153" i="23"/>
  <c r="I153" i="23"/>
  <c r="J153" i="23"/>
  <c r="K153" i="23"/>
  <c r="L153" i="23"/>
  <c r="M153" i="23"/>
  <c r="N153" i="23"/>
  <c r="O153" i="23"/>
  <c r="P153" i="23"/>
  <c r="Q153" i="23"/>
  <c r="R153" i="23"/>
  <c r="S153" i="23"/>
  <c r="B154" i="23"/>
  <c r="D154" i="23"/>
  <c r="E154" i="23"/>
  <c r="F154" i="23"/>
  <c r="G154" i="23"/>
  <c r="H154" i="23"/>
  <c r="I154" i="23"/>
  <c r="J154" i="23"/>
  <c r="K154" i="23"/>
  <c r="L154" i="23"/>
  <c r="M154" i="23"/>
  <c r="N154" i="23"/>
  <c r="O154" i="23"/>
  <c r="P154" i="23"/>
  <c r="Q154" i="23"/>
  <c r="R154" i="23"/>
  <c r="S154" i="23"/>
  <c r="B155" i="23"/>
  <c r="D155" i="23"/>
  <c r="E155" i="23"/>
  <c r="F155" i="23"/>
  <c r="G155" i="23"/>
  <c r="H155" i="23"/>
  <c r="I155" i="23"/>
  <c r="J155" i="23"/>
  <c r="K155" i="23"/>
  <c r="L155" i="23"/>
  <c r="M155" i="23"/>
  <c r="N155" i="23"/>
  <c r="O155" i="23"/>
  <c r="P155" i="23"/>
  <c r="Q155" i="23"/>
  <c r="R155" i="23"/>
  <c r="S155" i="23"/>
  <c r="B156" i="23"/>
  <c r="D156" i="23"/>
  <c r="E156" i="23"/>
  <c r="F156" i="23"/>
  <c r="G156" i="23"/>
  <c r="H156" i="23"/>
  <c r="I156" i="23"/>
  <c r="J156" i="23"/>
  <c r="K156" i="23"/>
  <c r="L156" i="23"/>
  <c r="M156" i="23"/>
  <c r="N156" i="23"/>
  <c r="O156" i="23"/>
  <c r="P156" i="23"/>
  <c r="Q156" i="23"/>
  <c r="R156" i="23"/>
  <c r="S156" i="23"/>
  <c r="B157" i="23"/>
  <c r="D157" i="23"/>
  <c r="E157" i="23"/>
  <c r="F157" i="23"/>
  <c r="G157" i="23"/>
  <c r="H157" i="23"/>
  <c r="I157" i="23"/>
  <c r="J157" i="23"/>
  <c r="K157" i="23"/>
  <c r="L157" i="23"/>
  <c r="M157" i="23"/>
  <c r="N157" i="23"/>
  <c r="O157" i="23"/>
  <c r="P157" i="23"/>
  <c r="Q157" i="23"/>
  <c r="R157" i="23"/>
  <c r="S157" i="23"/>
  <c r="B158" i="23"/>
  <c r="D158" i="23"/>
  <c r="E158" i="23"/>
  <c r="F158" i="23"/>
  <c r="G158" i="23"/>
  <c r="H158" i="23"/>
  <c r="I158" i="23"/>
  <c r="J158" i="23"/>
  <c r="K158" i="23"/>
  <c r="L158" i="23"/>
  <c r="M158" i="23"/>
  <c r="N158" i="23"/>
  <c r="O158" i="23"/>
  <c r="P158" i="23"/>
  <c r="Q158" i="23"/>
  <c r="R158" i="23"/>
  <c r="S158" i="23"/>
  <c r="B159" i="23"/>
  <c r="D159" i="23"/>
  <c r="E159" i="23"/>
  <c r="F159" i="23"/>
  <c r="G159" i="23"/>
  <c r="H159" i="23"/>
  <c r="I159" i="23"/>
  <c r="J159" i="23"/>
  <c r="K159" i="23"/>
  <c r="L159" i="23"/>
  <c r="M159" i="23"/>
  <c r="N159" i="23"/>
  <c r="O159" i="23"/>
  <c r="P159" i="23"/>
  <c r="Q159" i="23"/>
  <c r="R159" i="23"/>
  <c r="S159" i="23"/>
  <c r="B160" i="23"/>
  <c r="D160" i="23"/>
  <c r="E160" i="23"/>
  <c r="F160" i="23"/>
  <c r="G160" i="23"/>
  <c r="H160" i="23"/>
  <c r="I160" i="23"/>
  <c r="J160" i="23"/>
  <c r="K160" i="23"/>
  <c r="L160" i="23"/>
  <c r="M160" i="23"/>
  <c r="N160" i="23"/>
  <c r="O160" i="23"/>
  <c r="P160" i="23"/>
  <c r="Q160" i="23"/>
  <c r="R160" i="23"/>
  <c r="S160" i="23"/>
  <c r="B161" i="23"/>
  <c r="D161" i="23"/>
  <c r="E161" i="23"/>
  <c r="F161" i="23"/>
  <c r="G161" i="23"/>
  <c r="H161" i="23"/>
  <c r="I161" i="23"/>
  <c r="J161" i="23"/>
  <c r="K161" i="23"/>
  <c r="L161" i="23"/>
  <c r="M161" i="23"/>
  <c r="N161" i="23"/>
  <c r="O161" i="23"/>
  <c r="P161" i="23"/>
  <c r="Q161" i="23"/>
  <c r="R161" i="23"/>
  <c r="S161" i="23"/>
  <c r="B162" i="23"/>
  <c r="D162" i="23"/>
  <c r="E162" i="23"/>
  <c r="F162" i="23"/>
  <c r="G162" i="23"/>
  <c r="H162" i="23"/>
  <c r="I162" i="23"/>
  <c r="J162" i="23"/>
  <c r="K162" i="23"/>
  <c r="L162" i="23"/>
  <c r="M162" i="23"/>
  <c r="N162" i="23"/>
  <c r="O162" i="23"/>
  <c r="P162" i="23"/>
  <c r="Q162" i="23"/>
  <c r="R162" i="23"/>
  <c r="S162" i="23"/>
  <c r="B163" i="23"/>
  <c r="D163" i="23"/>
  <c r="E163" i="23"/>
  <c r="F163" i="23"/>
  <c r="G163" i="23"/>
  <c r="H163" i="23"/>
  <c r="I163" i="23"/>
  <c r="J163" i="23"/>
  <c r="K163" i="23"/>
  <c r="L163" i="23"/>
  <c r="M163" i="23"/>
  <c r="N163" i="23"/>
  <c r="O163" i="23"/>
  <c r="P163" i="23"/>
  <c r="Q163" i="23"/>
  <c r="R163" i="23"/>
  <c r="S163" i="23"/>
  <c r="B164" i="23"/>
  <c r="D164" i="23"/>
  <c r="E164" i="23"/>
  <c r="F164" i="23"/>
  <c r="G164" i="23"/>
  <c r="H164" i="23"/>
  <c r="I164" i="23"/>
  <c r="J164" i="23"/>
  <c r="K164" i="23"/>
  <c r="L164" i="23"/>
  <c r="M164" i="23"/>
  <c r="N164" i="23"/>
  <c r="O164" i="23"/>
  <c r="P164" i="23"/>
  <c r="Q164" i="23"/>
  <c r="R164" i="23"/>
  <c r="S164" i="23"/>
  <c r="B165" i="23"/>
  <c r="D165" i="23"/>
  <c r="E165" i="23"/>
  <c r="F165" i="23"/>
  <c r="G165" i="23"/>
  <c r="H165" i="23"/>
  <c r="I165" i="23"/>
  <c r="J165" i="23"/>
  <c r="K165" i="23"/>
  <c r="L165" i="23"/>
  <c r="M165" i="23"/>
  <c r="N165" i="23"/>
  <c r="O165" i="23"/>
  <c r="P165" i="23"/>
  <c r="Q165" i="23"/>
  <c r="R165" i="23"/>
  <c r="S165" i="23"/>
  <c r="B166" i="23"/>
  <c r="D166" i="23"/>
  <c r="E166" i="23"/>
  <c r="F166" i="23"/>
  <c r="G166" i="23"/>
  <c r="H166" i="23"/>
  <c r="I166" i="23"/>
  <c r="J166" i="23"/>
  <c r="K166" i="23"/>
  <c r="L166" i="23"/>
  <c r="M166" i="23"/>
  <c r="N166" i="23"/>
  <c r="O166" i="23"/>
  <c r="P166" i="23"/>
  <c r="Q166" i="23"/>
  <c r="R166" i="23"/>
  <c r="S166" i="23"/>
  <c r="B167" i="23"/>
  <c r="D167" i="23"/>
  <c r="E167" i="23"/>
  <c r="F167" i="23"/>
  <c r="G167" i="23"/>
  <c r="H167" i="23"/>
  <c r="I167" i="23"/>
  <c r="J167" i="23"/>
  <c r="K167" i="23"/>
  <c r="L167" i="23"/>
  <c r="M167" i="23"/>
  <c r="N167" i="23"/>
  <c r="O167" i="23"/>
  <c r="P167" i="23"/>
  <c r="Q167" i="23"/>
  <c r="R167" i="23"/>
  <c r="S167" i="23"/>
  <c r="B168" i="23"/>
  <c r="D168" i="23"/>
  <c r="E168" i="23"/>
  <c r="F168" i="23"/>
  <c r="G168" i="23"/>
  <c r="H168" i="23"/>
  <c r="I168" i="23"/>
  <c r="J168" i="23"/>
  <c r="K168" i="23"/>
  <c r="L168" i="23"/>
  <c r="M168" i="23"/>
  <c r="N168" i="23"/>
  <c r="O168" i="23"/>
  <c r="P168" i="23"/>
  <c r="Q168" i="23"/>
  <c r="R168" i="23"/>
  <c r="S168" i="23"/>
  <c r="B169" i="23"/>
  <c r="D169" i="23"/>
  <c r="E169" i="23"/>
  <c r="F169" i="23"/>
  <c r="G169" i="23"/>
  <c r="H169" i="23"/>
  <c r="I169" i="23"/>
  <c r="J169" i="23"/>
  <c r="K169" i="23"/>
  <c r="L169" i="23"/>
  <c r="M169" i="23"/>
  <c r="N169" i="23"/>
  <c r="O169" i="23"/>
  <c r="P169" i="23"/>
  <c r="Q169" i="23"/>
  <c r="R169" i="23"/>
  <c r="S169" i="23"/>
  <c r="B170" i="23"/>
  <c r="D170" i="23"/>
  <c r="E170" i="23"/>
  <c r="F170" i="23"/>
  <c r="G170" i="23"/>
  <c r="H170" i="23"/>
  <c r="I170" i="23"/>
  <c r="J170" i="23"/>
  <c r="K170" i="23"/>
  <c r="L170" i="23"/>
  <c r="M170" i="23"/>
  <c r="N170" i="23"/>
  <c r="O170" i="23"/>
  <c r="P170" i="23"/>
  <c r="Q170" i="23"/>
  <c r="R170" i="23"/>
  <c r="S170" i="23"/>
  <c r="B171" i="23"/>
  <c r="D171" i="23"/>
  <c r="E171" i="23"/>
  <c r="F171" i="23"/>
  <c r="G171" i="23"/>
  <c r="H171" i="23"/>
  <c r="I171" i="23"/>
  <c r="J171" i="23"/>
  <c r="K171" i="23"/>
  <c r="L171" i="23"/>
  <c r="M171" i="23"/>
  <c r="N171" i="23"/>
  <c r="O171" i="23"/>
  <c r="P171" i="23"/>
  <c r="Q171" i="23"/>
  <c r="R171" i="23"/>
  <c r="S171" i="23"/>
  <c r="B172" i="23"/>
  <c r="D172" i="23"/>
  <c r="E172" i="23"/>
  <c r="F172" i="23"/>
  <c r="G172" i="23"/>
  <c r="H172" i="23"/>
  <c r="I172" i="23"/>
  <c r="J172" i="23"/>
  <c r="K172" i="23"/>
  <c r="L172" i="23"/>
  <c r="M172" i="23"/>
  <c r="N172" i="23"/>
  <c r="O172" i="23"/>
  <c r="P172" i="23"/>
  <c r="Q172" i="23"/>
  <c r="R172" i="23"/>
  <c r="S172" i="23"/>
  <c r="B173" i="23"/>
  <c r="D173" i="23"/>
  <c r="E173" i="23"/>
  <c r="F173" i="23"/>
  <c r="G173" i="23"/>
  <c r="H173" i="23"/>
  <c r="I173" i="23"/>
  <c r="J173" i="23"/>
  <c r="K173" i="23"/>
  <c r="L173" i="23"/>
  <c r="M173" i="23"/>
  <c r="N173" i="23"/>
  <c r="O173" i="23"/>
  <c r="P173" i="23"/>
  <c r="Q173" i="23"/>
  <c r="R173" i="23"/>
  <c r="S173" i="23"/>
  <c r="B174" i="23"/>
  <c r="D174" i="23"/>
  <c r="E174" i="23"/>
  <c r="F174" i="23"/>
  <c r="G174" i="23"/>
  <c r="H174" i="23"/>
  <c r="I174" i="23"/>
  <c r="J174" i="23"/>
  <c r="K174" i="23"/>
  <c r="L174" i="23"/>
  <c r="M174" i="23"/>
  <c r="N174" i="23"/>
  <c r="O174" i="23"/>
  <c r="P174" i="23"/>
  <c r="Q174" i="23"/>
  <c r="R174" i="23"/>
  <c r="S174" i="23"/>
  <c r="B175" i="23"/>
  <c r="D175" i="23"/>
  <c r="E175" i="23"/>
  <c r="F175" i="23"/>
  <c r="G175" i="23"/>
  <c r="H175" i="23"/>
  <c r="I175" i="23"/>
  <c r="J175" i="23"/>
  <c r="K175" i="23"/>
  <c r="L175" i="23"/>
  <c r="M175" i="23"/>
  <c r="N175" i="23"/>
  <c r="O175" i="23"/>
  <c r="P175" i="23"/>
  <c r="Q175" i="23"/>
  <c r="R175" i="23"/>
  <c r="S175" i="23"/>
  <c r="B176" i="23"/>
  <c r="D176" i="23"/>
  <c r="E176" i="23"/>
  <c r="F176" i="23"/>
  <c r="G176" i="23"/>
  <c r="H176" i="23"/>
  <c r="I176" i="23"/>
  <c r="J176" i="23"/>
  <c r="K176" i="23"/>
  <c r="L176" i="23"/>
  <c r="M176" i="23"/>
  <c r="N176" i="23"/>
  <c r="O176" i="23"/>
  <c r="P176" i="23"/>
  <c r="Q176" i="23"/>
  <c r="R176" i="23"/>
  <c r="S176" i="23"/>
  <c r="B177" i="23"/>
  <c r="D177" i="23"/>
  <c r="E177" i="23"/>
  <c r="F177" i="23"/>
  <c r="G177" i="23"/>
  <c r="H177" i="23"/>
  <c r="I177" i="23"/>
  <c r="J177" i="23"/>
  <c r="K177" i="23"/>
  <c r="L177" i="23"/>
  <c r="M177" i="23"/>
  <c r="N177" i="23"/>
  <c r="O177" i="23"/>
  <c r="P177" i="23"/>
  <c r="Q177" i="23"/>
  <c r="R177" i="23"/>
  <c r="S177" i="23"/>
  <c r="B178" i="23"/>
  <c r="D178" i="23"/>
  <c r="E178" i="23"/>
  <c r="F178" i="23"/>
  <c r="G178" i="23"/>
  <c r="H178" i="23"/>
  <c r="I178" i="23"/>
  <c r="J178" i="23"/>
  <c r="K178" i="23"/>
  <c r="L178" i="23"/>
  <c r="M178" i="23"/>
  <c r="N178" i="23"/>
  <c r="O178" i="23"/>
  <c r="P178" i="23"/>
  <c r="Q178" i="23"/>
  <c r="R178" i="23"/>
  <c r="S178" i="23"/>
  <c r="B179" i="23"/>
  <c r="D179" i="23"/>
  <c r="E179" i="23"/>
  <c r="F179" i="23"/>
  <c r="G179" i="23"/>
  <c r="H179" i="23"/>
  <c r="I179" i="23"/>
  <c r="J179" i="23"/>
  <c r="K179" i="23"/>
  <c r="L179" i="23"/>
  <c r="M179" i="23"/>
  <c r="N179" i="23"/>
  <c r="O179" i="23"/>
  <c r="P179" i="23"/>
  <c r="Q179" i="23"/>
  <c r="R179" i="23"/>
  <c r="S179" i="23"/>
  <c r="B180" i="23"/>
  <c r="D180" i="23"/>
  <c r="E180" i="23"/>
  <c r="F180" i="23"/>
  <c r="G180" i="23"/>
  <c r="H180" i="23"/>
  <c r="I180" i="23"/>
  <c r="J180" i="23"/>
  <c r="K180" i="23"/>
  <c r="L180" i="23"/>
  <c r="M180" i="23"/>
  <c r="N180" i="23"/>
  <c r="O180" i="23"/>
  <c r="P180" i="23"/>
  <c r="Q180" i="23"/>
  <c r="R180" i="23"/>
  <c r="S180" i="23"/>
  <c r="B181" i="23"/>
  <c r="D181" i="23"/>
  <c r="E181" i="23"/>
  <c r="F181" i="23"/>
  <c r="G181" i="23"/>
  <c r="H181" i="23"/>
  <c r="I181" i="23"/>
  <c r="J181" i="23"/>
  <c r="K181" i="23"/>
  <c r="L181" i="23"/>
  <c r="M181" i="23"/>
  <c r="N181" i="23"/>
  <c r="O181" i="23"/>
  <c r="P181" i="23"/>
  <c r="Q181" i="23"/>
  <c r="R181" i="23"/>
  <c r="S181" i="23"/>
  <c r="B182" i="23"/>
  <c r="D182" i="23"/>
  <c r="E182" i="23"/>
  <c r="F182" i="23"/>
  <c r="G182" i="23"/>
  <c r="H182" i="23"/>
  <c r="I182" i="23"/>
  <c r="J182" i="23"/>
  <c r="K182" i="23"/>
  <c r="L182" i="23"/>
  <c r="M182" i="23"/>
  <c r="N182" i="23"/>
  <c r="O182" i="23"/>
  <c r="P182" i="23"/>
  <c r="Q182" i="23"/>
  <c r="R182" i="23"/>
  <c r="S182" i="23"/>
  <c r="B183" i="23"/>
  <c r="D183" i="23"/>
  <c r="E183" i="23"/>
  <c r="F183" i="23"/>
  <c r="G183" i="23"/>
  <c r="H183" i="23"/>
  <c r="I183" i="23"/>
  <c r="J183" i="23"/>
  <c r="K183" i="23"/>
  <c r="L183" i="23"/>
  <c r="M183" i="23"/>
  <c r="N183" i="23"/>
  <c r="O183" i="23"/>
  <c r="P183" i="23"/>
  <c r="Q183" i="23"/>
  <c r="R183" i="23"/>
  <c r="S183" i="23"/>
  <c r="B184" i="23"/>
  <c r="D184" i="23"/>
  <c r="E184" i="23"/>
  <c r="F184" i="23"/>
  <c r="G184" i="23"/>
  <c r="H184" i="23"/>
  <c r="I184" i="23"/>
  <c r="J184" i="23"/>
  <c r="K184" i="23"/>
  <c r="L184" i="23"/>
  <c r="M184" i="23"/>
  <c r="N184" i="23"/>
  <c r="O184" i="23"/>
  <c r="P184" i="23"/>
  <c r="Q184" i="23"/>
  <c r="R184" i="23"/>
  <c r="S184" i="23"/>
  <c r="B185" i="23"/>
  <c r="D185" i="23"/>
  <c r="E185" i="23"/>
  <c r="F185" i="23"/>
  <c r="G185" i="23"/>
  <c r="H185" i="23"/>
  <c r="I185" i="23"/>
  <c r="J185" i="23"/>
  <c r="K185" i="23"/>
  <c r="L185" i="23"/>
  <c r="M185" i="23"/>
  <c r="N185" i="23"/>
  <c r="O185" i="23"/>
  <c r="P185" i="23"/>
  <c r="Q185" i="23"/>
  <c r="R185" i="23"/>
  <c r="S185" i="23"/>
  <c r="B186" i="23"/>
  <c r="D186" i="23"/>
  <c r="E186" i="23"/>
  <c r="F186" i="23"/>
  <c r="G186" i="23"/>
  <c r="H186" i="23"/>
  <c r="I186" i="23"/>
  <c r="J186" i="23"/>
  <c r="K186" i="23"/>
  <c r="L186" i="23"/>
  <c r="M186" i="23"/>
  <c r="N186" i="23"/>
  <c r="O186" i="23"/>
  <c r="P186" i="23"/>
  <c r="Q186" i="23"/>
  <c r="R186" i="23"/>
  <c r="S186" i="23"/>
  <c r="B187" i="23"/>
  <c r="D187" i="23"/>
  <c r="E187" i="23"/>
  <c r="F187" i="23"/>
  <c r="G187" i="23"/>
  <c r="H187" i="23"/>
  <c r="I187" i="23"/>
  <c r="J187" i="23"/>
  <c r="K187" i="23"/>
  <c r="L187" i="23"/>
  <c r="M187" i="23"/>
  <c r="N187" i="23"/>
  <c r="O187" i="23"/>
  <c r="P187" i="23"/>
  <c r="Q187" i="23"/>
  <c r="R187" i="23"/>
  <c r="S187" i="23"/>
  <c r="B188" i="23"/>
  <c r="D188" i="23"/>
  <c r="E188" i="23"/>
  <c r="F188" i="23"/>
  <c r="G188" i="23"/>
  <c r="H188" i="23"/>
  <c r="I188" i="23"/>
  <c r="J188" i="23"/>
  <c r="K188" i="23"/>
  <c r="L188" i="23"/>
  <c r="M188" i="23"/>
  <c r="N188" i="23"/>
  <c r="O188" i="23"/>
  <c r="P188" i="23"/>
  <c r="Q188" i="23"/>
  <c r="R188" i="23"/>
  <c r="S188" i="23"/>
  <c r="B189" i="23"/>
  <c r="D189" i="23"/>
  <c r="E189" i="23"/>
  <c r="F189" i="23"/>
  <c r="G189" i="23"/>
  <c r="H189" i="23"/>
  <c r="I189" i="23"/>
  <c r="J189" i="23"/>
  <c r="K189" i="23"/>
  <c r="L189" i="23"/>
  <c r="M189" i="23"/>
  <c r="N189" i="23"/>
  <c r="O189" i="23"/>
  <c r="P189" i="23"/>
  <c r="Q189" i="23"/>
  <c r="R189" i="23"/>
  <c r="S189" i="23"/>
  <c r="B190" i="23"/>
  <c r="D190" i="23"/>
  <c r="E190" i="23"/>
  <c r="F190" i="23"/>
  <c r="G190" i="23"/>
  <c r="H190" i="23"/>
  <c r="I190" i="23"/>
  <c r="J190" i="23"/>
  <c r="K190" i="23"/>
  <c r="L190" i="23"/>
  <c r="M190" i="23"/>
  <c r="N190" i="23"/>
  <c r="O190" i="23"/>
  <c r="P190" i="23"/>
  <c r="Q190" i="23"/>
  <c r="R190" i="23"/>
  <c r="S190" i="23"/>
  <c r="B191" i="23"/>
  <c r="D191" i="23"/>
  <c r="E191" i="23"/>
  <c r="F191" i="23"/>
  <c r="G191" i="23"/>
  <c r="H191" i="23"/>
  <c r="I191" i="23"/>
  <c r="J191" i="23"/>
  <c r="K191" i="23"/>
  <c r="L191" i="23"/>
  <c r="M191" i="23"/>
  <c r="N191" i="23"/>
  <c r="O191" i="23"/>
  <c r="P191" i="23"/>
  <c r="Q191" i="23"/>
  <c r="R191" i="23"/>
  <c r="S191" i="23"/>
  <c r="B192" i="23"/>
  <c r="D192" i="23"/>
  <c r="E192" i="23"/>
  <c r="F192" i="23"/>
  <c r="G192" i="23"/>
  <c r="H192" i="23"/>
  <c r="I192" i="23"/>
  <c r="J192" i="23"/>
  <c r="K192" i="23"/>
  <c r="L192" i="23"/>
  <c r="M192" i="23"/>
  <c r="N192" i="23"/>
  <c r="O192" i="23"/>
  <c r="P192" i="23"/>
  <c r="Q192" i="23"/>
  <c r="R192" i="23"/>
  <c r="S192" i="23"/>
  <c r="B193" i="23"/>
  <c r="D193" i="23"/>
  <c r="E193" i="23"/>
  <c r="F193" i="23"/>
  <c r="G193" i="23"/>
  <c r="H193" i="23"/>
  <c r="I193" i="23"/>
  <c r="J193" i="23"/>
  <c r="K193" i="23"/>
  <c r="L193" i="23"/>
  <c r="M193" i="23"/>
  <c r="N193" i="23"/>
  <c r="O193" i="23"/>
  <c r="P193" i="23"/>
  <c r="Q193" i="23"/>
  <c r="R193" i="23"/>
  <c r="S193" i="23"/>
  <c r="B194" i="23"/>
  <c r="D194" i="23"/>
  <c r="E194" i="23"/>
  <c r="F194" i="23"/>
  <c r="G194" i="23"/>
  <c r="H194" i="23"/>
  <c r="I194" i="23"/>
  <c r="J194" i="23"/>
  <c r="K194" i="23"/>
  <c r="L194" i="23"/>
  <c r="M194" i="23"/>
  <c r="N194" i="23"/>
  <c r="O194" i="23"/>
  <c r="P194" i="23"/>
  <c r="Q194" i="23"/>
  <c r="R194" i="23"/>
  <c r="S194" i="23"/>
  <c r="B195" i="23"/>
  <c r="D195" i="23"/>
  <c r="E195" i="23"/>
  <c r="F195" i="23"/>
  <c r="G195" i="23"/>
  <c r="H195" i="23"/>
  <c r="I195" i="23"/>
  <c r="J195" i="23"/>
  <c r="K195" i="23"/>
  <c r="L195" i="23"/>
  <c r="M195" i="23"/>
  <c r="N195" i="23"/>
  <c r="O195" i="23"/>
  <c r="P195" i="23"/>
  <c r="Q195" i="23"/>
  <c r="R195" i="23"/>
  <c r="S195" i="23"/>
  <c r="B196" i="23"/>
  <c r="D196" i="23"/>
  <c r="E196" i="23"/>
  <c r="F196" i="23"/>
  <c r="G196" i="23"/>
  <c r="H196" i="23"/>
  <c r="I196" i="23"/>
  <c r="J196" i="23"/>
  <c r="K196" i="23"/>
  <c r="L196" i="23"/>
  <c r="M196" i="23"/>
  <c r="N196" i="23"/>
  <c r="O196" i="23"/>
  <c r="P196" i="23"/>
  <c r="Q196" i="23"/>
  <c r="R196" i="23"/>
  <c r="S196" i="23"/>
  <c r="B197" i="23"/>
  <c r="D197" i="23"/>
  <c r="E197" i="23"/>
  <c r="F197" i="23"/>
  <c r="G197" i="23"/>
  <c r="H197" i="23"/>
  <c r="I197" i="23"/>
  <c r="J197" i="23"/>
  <c r="K197" i="23"/>
  <c r="L197" i="23"/>
  <c r="M197" i="23"/>
  <c r="N197" i="23"/>
  <c r="O197" i="23"/>
  <c r="P197" i="23"/>
  <c r="Q197" i="23"/>
  <c r="R197" i="23"/>
  <c r="S197" i="23"/>
  <c r="B198" i="23"/>
  <c r="D198" i="23"/>
  <c r="E198" i="23"/>
  <c r="F198" i="23"/>
  <c r="G198" i="23"/>
  <c r="H198" i="23"/>
  <c r="I198" i="23"/>
  <c r="J198" i="23"/>
  <c r="K198" i="23"/>
  <c r="L198" i="23"/>
  <c r="M198" i="23"/>
  <c r="N198" i="23"/>
  <c r="O198" i="23"/>
  <c r="P198" i="23"/>
  <c r="Q198" i="23"/>
  <c r="R198" i="23"/>
  <c r="S198" i="23"/>
  <c r="B199" i="23"/>
  <c r="D199" i="23"/>
  <c r="E199" i="23"/>
  <c r="F199" i="23"/>
  <c r="G199" i="23"/>
  <c r="H199" i="23"/>
  <c r="I199" i="23"/>
  <c r="J199" i="23"/>
  <c r="K199" i="23"/>
  <c r="L199" i="23"/>
  <c r="M199" i="23"/>
  <c r="N199" i="23"/>
  <c r="O199" i="23"/>
  <c r="P199" i="23"/>
  <c r="Q199" i="23"/>
  <c r="R199" i="23"/>
  <c r="S199" i="23"/>
  <c r="B200" i="23"/>
  <c r="D200" i="23"/>
  <c r="E200" i="23"/>
  <c r="F200" i="23"/>
  <c r="G200" i="23"/>
  <c r="H200" i="23"/>
  <c r="I200" i="23"/>
  <c r="J200" i="23"/>
  <c r="K200" i="23"/>
  <c r="L200" i="23"/>
  <c r="M200" i="23"/>
  <c r="N200" i="23"/>
  <c r="O200" i="23"/>
  <c r="P200" i="23"/>
  <c r="Q200" i="23"/>
  <c r="R200" i="23"/>
  <c r="S200" i="23"/>
  <c r="B201" i="23"/>
  <c r="D201" i="23"/>
  <c r="E201" i="23"/>
  <c r="F201" i="23"/>
  <c r="G201" i="23"/>
  <c r="H201" i="23"/>
  <c r="I201" i="23"/>
  <c r="J201" i="23"/>
  <c r="K201" i="23"/>
  <c r="L201" i="23"/>
  <c r="M201" i="23"/>
  <c r="N201" i="23"/>
  <c r="O201" i="23"/>
  <c r="P201" i="23"/>
  <c r="Q201" i="23"/>
  <c r="R201" i="23"/>
  <c r="S201" i="23"/>
  <c r="B202" i="23"/>
  <c r="D202" i="23"/>
  <c r="E202" i="23"/>
  <c r="F202" i="23"/>
  <c r="G202" i="23"/>
  <c r="H202" i="23"/>
  <c r="I202" i="23"/>
  <c r="J202" i="23"/>
  <c r="K202" i="23"/>
  <c r="L202" i="23"/>
  <c r="M202" i="23"/>
  <c r="N202" i="23"/>
  <c r="O202" i="23"/>
  <c r="P202" i="23"/>
  <c r="Q202" i="23"/>
  <c r="R202" i="23"/>
  <c r="S202" i="23"/>
  <c r="B203" i="23"/>
  <c r="D203" i="23"/>
  <c r="E203" i="23"/>
  <c r="F203" i="23"/>
  <c r="G203" i="23"/>
  <c r="H203" i="23"/>
  <c r="I203" i="23"/>
  <c r="J203" i="23"/>
  <c r="K203" i="23"/>
  <c r="L203" i="23"/>
  <c r="M203" i="23"/>
  <c r="N203" i="23"/>
  <c r="O203" i="23"/>
  <c r="P203" i="23"/>
  <c r="Q203" i="23"/>
  <c r="R203" i="23"/>
  <c r="S203" i="23"/>
  <c r="B204" i="23"/>
  <c r="D204" i="23"/>
  <c r="E204" i="23"/>
  <c r="F204" i="23"/>
  <c r="G204" i="23"/>
  <c r="H204" i="23"/>
  <c r="I204" i="23"/>
  <c r="J204" i="23"/>
  <c r="K204" i="23"/>
  <c r="L204" i="23"/>
  <c r="M204" i="23"/>
  <c r="N204" i="23"/>
  <c r="O204" i="23"/>
  <c r="P204" i="23"/>
  <c r="Q204" i="23"/>
  <c r="R204" i="23"/>
  <c r="S204" i="23"/>
  <c r="B205" i="23"/>
  <c r="D205" i="23"/>
  <c r="E205" i="23"/>
  <c r="F205" i="23"/>
  <c r="G205" i="23"/>
  <c r="H205" i="23"/>
  <c r="I205" i="23"/>
  <c r="J205" i="23"/>
  <c r="K205" i="23"/>
  <c r="L205" i="23"/>
  <c r="M205" i="23"/>
  <c r="N205" i="23"/>
  <c r="O205" i="23"/>
  <c r="P205" i="23"/>
  <c r="Q205" i="23"/>
  <c r="R205" i="23"/>
  <c r="S205" i="23"/>
  <c r="B206" i="23"/>
  <c r="D206" i="23"/>
  <c r="E206" i="23"/>
  <c r="F206" i="23"/>
  <c r="G206" i="23"/>
  <c r="H206" i="23"/>
  <c r="I206" i="23"/>
  <c r="J206" i="23"/>
  <c r="K206" i="23"/>
  <c r="L206" i="23"/>
  <c r="M206" i="23"/>
  <c r="N206" i="23"/>
  <c r="O206" i="23"/>
  <c r="P206" i="23"/>
  <c r="Q206" i="23"/>
  <c r="R206" i="23"/>
  <c r="S206" i="23"/>
  <c r="B207" i="23"/>
  <c r="D207" i="23"/>
  <c r="E207" i="23"/>
  <c r="F207" i="23"/>
  <c r="G207" i="23"/>
  <c r="H207" i="23"/>
  <c r="I207" i="23"/>
  <c r="J207" i="23"/>
  <c r="K207" i="23"/>
  <c r="L207" i="23"/>
  <c r="M207" i="23"/>
  <c r="N207" i="23"/>
  <c r="O207" i="23"/>
  <c r="P207" i="23"/>
  <c r="Q207" i="23"/>
  <c r="R207" i="23"/>
  <c r="S207" i="23"/>
  <c r="B208" i="23"/>
  <c r="D208" i="23"/>
  <c r="E208" i="23"/>
  <c r="F208" i="23"/>
  <c r="G208" i="23"/>
  <c r="H208" i="23"/>
  <c r="I208" i="23"/>
  <c r="J208" i="23"/>
  <c r="K208" i="23"/>
  <c r="L208" i="23"/>
  <c r="M208" i="23"/>
  <c r="N208" i="23"/>
  <c r="O208" i="23"/>
  <c r="P208" i="23"/>
  <c r="Q208" i="23"/>
  <c r="R208" i="23"/>
  <c r="S208" i="23"/>
  <c r="B209" i="23"/>
  <c r="D209" i="23"/>
  <c r="E209" i="23"/>
  <c r="F209" i="23"/>
  <c r="G209" i="23"/>
  <c r="H209" i="23"/>
  <c r="I209" i="23"/>
  <c r="J209" i="23"/>
  <c r="K209" i="23"/>
  <c r="L209" i="23"/>
  <c r="M209" i="23"/>
  <c r="N209" i="23"/>
  <c r="O209" i="23"/>
  <c r="P209" i="23"/>
  <c r="Q209" i="23"/>
  <c r="R209" i="23"/>
  <c r="S209" i="23"/>
  <c r="B210" i="23"/>
  <c r="D210" i="23"/>
  <c r="E210" i="23"/>
  <c r="F210" i="23"/>
  <c r="G210" i="23"/>
  <c r="H210" i="23"/>
  <c r="I210" i="23"/>
  <c r="J210" i="23"/>
  <c r="K210" i="23"/>
  <c r="L210" i="23"/>
  <c r="M210" i="23"/>
  <c r="N210" i="23"/>
  <c r="O210" i="23"/>
  <c r="P210" i="23"/>
  <c r="Q210" i="23"/>
  <c r="R210" i="23"/>
  <c r="S210" i="23"/>
  <c r="B211" i="23"/>
  <c r="D211" i="23"/>
  <c r="E211" i="23"/>
  <c r="F211" i="23"/>
  <c r="G211" i="23"/>
  <c r="H211" i="23"/>
  <c r="I211" i="23"/>
  <c r="J211" i="23"/>
  <c r="K211" i="23"/>
  <c r="L211" i="23"/>
  <c r="M211" i="23"/>
  <c r="N211" i="23"/>
  <c r="O211" i="23"/>
  <c r="P211" i="23"/>
  <c r="Q211" i="23"/>
  <c r="R211" i="23"/>
  <c r="S211" i="23"/>
  <c r="B212" i="23"/>
  <c r="D212" i="23"/>
  <c r="E212" i="23"/>
  <c r="F212" i="23"/>
  <c r="G212" i="23"/>
  <c r="H212" i="23"/>
  <c r="I212" i="23"/>
  <c r="J212" i="23"/>
  <c r="K212" i="23"/>
  <c r="L212" i="23"/>
  <c r="M212" i="23"/>
  <c r="N212" i="23"/>
  <c r="O212" i="23"/>
  <c r="P212" i="23"/>
  <c r="Q212" i="23"/>
  <c r="R212" i="23"/>
  <c r="S212" i="23"/>
  <c r="B213" i="23"/>
  <c r="D213" i="23"/>
  <c r="E213" i="23"/>
  <c r="F213" i="23"/>
  <c r="G213" i="23"/>
  <c r="H213" i="23"/>
  <c r="I213" i="23"/>
  <c r="J213" i="23"/>
  <c r="K213" i="23"/>
  <c r="L213" i="23"/>
  <c r="M213" i="23"/>
  <c r="N213" i="23"/>
  <c r="O213" i="23"/>
  <c r="P213" i="23"/>
  <c r="Q213" i="23"/>
  <c r="R213" i="23"/>
  <c r="S213" i="23"/>
  <c r="B214" i="23"/>
  <c r="D214" i="23"/>
  <c r="E214" i="23"/>
  <c r="F214" i="23"/>
  <c r="G214" i="23"/>
  <c r="H214" i="23"/>
  <c r="I214" i="23"/>
  <c r="J214" i="23"/>
  <c r="K214" i="23"/>
  <c r="L214" i="23"/>
  <c r="M214" i="23"/>
  <c r="N214" i="23"/>
  <c r="O214" i="23"/>
  <c r="P214" i="23"/>
  <c r="Q214" i="23"/>
  <c r="R214" i="23"/>
  <c r="S214" i="23"/>
  <c r="B215" i="23"/>
  <c r="D215" i="23"/>
  <c r="E215" i="23"/>
  <c r="F215" i="23"/>
  <c r="G215" i="23"/>
  <c r="H215" i="23"/>
  <c r="I215" i="23"/>
  <c r="J215" i="23"/>
  <c r="K215" i="23"/>
  <c r="L215" i="23"/>
  <c r="M215" i="23"/>
  <c r="N215" i="23"/>
  <c r="O215" i="23"/>
  <c r="P215" i="23"/>
  <c r="Q215" i="23"/>
  <c r="R215" i="23"/>
  <c r="S215" i="23"/>
  <c r="B216" i="23"/>
  <c r="D216" i="23"/>
  <c r="E216" i="23"/>
  <c r="F216" i="23"/>
  <c r="G216" i="23"/>
  <c r="H216" i="23"/>
  <c r="I216" i="23"/>
  <c r="J216" i="23"/>
  <c r="K216" i="23"/>
  <c r="L216" i="23"/>
  <c r="M216" i="23"/>
  <c r="N216" i="23"/>
  <c r="O216" i="23"/>
  <c r="P216" i="23"/>
  <c r="Q216" i="23"/>
  <c r="R216" i="23"/>
  <c r="S216" i="23"/>
  <c r="B217" i="23"/>
  <c r="D217" i="23"/>
  <c r="E217" i="23"/>
  <c r="F217" i="23"/>
  <c r="G217" i="23"/>
  <c r="H217" i="23"/>
  <c r="I217" i="23"/>
  <c r="J217" i="23"/>
  <c r="K217" i="23"/>
  <c r="L217" i="23"/>
  <c r="M217" i="23"/>
  <c r="N217" i="23"/>
  <c r="O217" i="23"/>
  <c r="P217" i="23"/>
  <c r="Q217" i="23"/>
  <c r="R217" i="23"/>
  <c r="S217" i="23"/>
  <c r="B218" i="23"/>
  <c r="D218" i="23"/>
  <c r="E218" i="23"/>
  <c r="F218" i="23"/>
  <c r="G218" i="23"/>
  <c r="H218" i="23"/>
  <c r="I218" i="23"/>
  <c r="J218" i="23"/>
  <c r="K218" i="23"/>
  <c r="L218" i="23"/>
  <c r="M218" i="23"/>
  <c r="N218" i="23"/>
  <c r="O218" i="23"/>
  <c r="P218" i="23"/>
  <c r="Q218" i="23"/>
  <c r="R218" i="23"/>
  <c r="S218" i="23"/>
  <c r="B219" i="23"/>
  <c r="D219" i="23"/>
  <c r="E219" i="23"/>
  <c r="F219" i="23"/>
  <c r="G219" i="23"/>
  <c r="H219" i="23"/>
  <c r="I219" i="23"/>
  <c r="J219" i="23"/>
  <c r="K219" i="23"/>
  <c r="L219" i="23"/>
  <c r="M219" i="23"/>
  <c r="N219" i="23"/>
  <c r="O219" i="23"/>
  <c r="P219" i="23"/>
  <c r="Q219" i="23"/>
  <c r="R219" i="23"/>
  <c r="S219" i="23"/>
  <c r="B220" i="23"/>
  <c r="D220" i="23"/>
  <c r="E220" i="23"/>
  <c r="F220" i="23"/>
  <c r="G220" i="23"/>
  <c r="H220" i="23"/>
  <c r="I220" i="23"/>
  <c r="J220" i="23"/>
  <c r="K220" i="23"/>
  <c r="L220" i="23"/>
  <c r="M220" i="23"/>
  <c r="N220" i="23"/>
  <c r="O220" i="23"/>
  <c r="P220" i="23"/>
  <c r="Q220" i="23"/>
  <c r="R220" i="23"/>
  <c r="S220" i="23"/>
  <c r="B221" i="23"/>
  <c r="D221" i="23"/>
  <c r="E221" i="23"/>
  <c r="F221" i="23"/>
  <c r="G221" i="23"/>
  <c r="H221" i="23"/>
  <c r="I221" i="23"/>
  <c r="J221" i="23"/>
  <c r="K221" i="23"/>
  <c r="L221" i="23"/>
  <c r="M221" i="23"/>
  <c r="N221" i="23"/>
  <c r="O221" i="23"/>
  <c r="P221" i="23"/>
  <c r="Q221" i="23"/>
  <c r="R221" i="23"/>
  <c r="S221" i="23"/>
  <c r="B222" i="23"/>
  <c r="D222" i="23"/>
  <c r="E222" i="23"/>
  <c r="F222" i="23"/>
  <c r="G222" i="23"/>
  <c r="H222" i="23"/>
  <c r="I222" i="23"/>
  <c r="J222" i="23"/>
  <c r="K222" i="23"/>
  <c r="L222" i="23"/>
  <c r="M222" i="23"/>
  <c r="N222" i="23"/>
  <c r="O222" i="23"/>
  <c r="P222" i="23"/>
  <c r="Q222" i="23"/>
  <c r="R222" i="23"/>
  <c r="S222" i="23"/>
  <c r="B223" i="23"/>
  <c r="D223" i="23"/>
  <c r="E223" i="23"/>
  <c r="F223" i="23"/>
  <c r="G223" i="23"/>
  <c r="H223" i="23"/>
  <c r="I223" i="23"/>
  <c r="J223" i="23"/>
  <c r="K223" i="23"/>
  <c r="L223" i="23"/>
  <c r="M223" i="23"/>
  <c r="N223" i="23"/>
  <c r="O223" i="23"/>
  <c r="P223" i="23"/>
  <c r="Q223" i="23"/>
  <c r="R223" i="23"/>
  <c r="S223" i="23"/>
  <c r="B224" i="23"/>
  <c r="D224" i="23"/>
  <c r="E224" i="23"/>
  <c r="F224" i="23"/>
  <c r="G224" i="23"/>
  <c r="H224" i="23"/>
  <c r="I224" i="23"/>
  <c r="J224" i="23"/>
  <c r="K224" i="23"/>
  <c r="L224" i="23"/>
  <c r="M224" i="23"/>
  <c r="N224" i="23"/>
  <c r="O224" i="23"/>
  <c r="P224" i="23"/>
  <c r="Q224" i="23"/>
  <c r="R224" i="23"/>
  <c r="S224" i="23"/>
  <c r="B225" i="23"/>
  <c r="D225" i="23"/>
  <c r="E225" i="23"/>
  <c r="F225" i="23"/>
  <c r="G225" i="23"/>
  <c r="H225" i="23"/>
  <c r="I225" i="23"/>
  <c r="J225" i="23"/>
  <c r="K225" i="23"/>
  <c r="L225" i="23"/>
  <c r="M225" i="23"/>
  <c r="N225" i="23"/>
  <c r="O225" i="23"/>
  <c r="P225" i="23"/>
  <c r="Q225" i="23"/>
  <c r="R225" i="23"/>
  <c r="S225" i="23"/>
  <c r="B226" i="23"/>
  <c r="D226" i="23"/>
  <c r="E226" i="23"/>
  <c r="F226" i="23"/>
  <c r="G226" i="23"/>
  <c r="H226" i="23"/>
  <c r="I226" i="23"/>
  <c r="J226" i="23"/>
  <c r="K226" i="23"/>
  <c r="L226" i="23"/>
  <c r="M226" i="23"/>
  <c r="N226" i="23"/>
  <c r="O226" i="23"/>
  <c r="P226" i="23"/>
  <c r="Q226" i="23"/>
  <c r="R226" i="23"/>
  <c r="S226" i="23"/>
  <c r="B227" i="23"/>
  <c r="D227" i="23"/>
  <c r="E227" i="23"/>
  <c r="F227" i="23"/>
  <c r="G227" i="23"/>
  <c r="H227" i="23"/>
  <c r="I227" i="23"/>
  <c r="J227" i="23"/>
  <c r="K227" i="23"/>
  <c r="L227" i="23"/>
  <c r="M227" i="23"/>
  <c r="N227" i="23"/>
  <c r="O227" i="23"/>
  <c r="P227" i="23"/>
  <c r="Q227" i="23"/>
  <c r="R227" i="23"/>
  <c r="S227" i="23"/>
  <c r="B228" i="23"/>
  <c r="D228" i="23"/>
  <c r="E228" i="23"/>
  <c r="F228" i="23"/>
  <c r="G228" i="23"/>
  <c r="H228" i="23"/>
  <c r="I228" i="23"/>
  <c r="J228" i="23"/>
  <c r="K228" i="23"/>
  <c r="L228" i="23"/>
  <c r="M228" i="23"/>
  <c r="N228" i="23"/>
  <c r="O228" i="23"/>
  <c r="P228" i="23"/>
  <c r="Q228" i="23"/>
  <c r="R228" i="23"/>
  <c r="S228" i="23"/>
  <c r="B229" i="23"/>
  <c r="D229" i="23"/>
  <c r="E229" i="23"/>
  <c r="F229" i="23"/>
  <c r="G229" i="23"/>
  <c r="H229" i="23"/>
  <c r="I229" i="23"/>
  <c r="J229" i="23"/>
  <c r="K229" i="23"/>
  <c r="L229" i="23"/>
  <c r="M229" i="23"/>
  <c r="N229" i="23"/>
  <c r="O229" i="23"/>
  <c r="P229" i="23"/>
  <c r="Q229" i="23"/>
  <c r="R229" i="23"/>
  <c r="S229" i="23"/>
  <c r="B230" i="23"/>
  <c r="D230" i="23"/>
  <c r="E230" i="23"/>
  <c r="F230" i="23"/>
  <c r="G230" i="23"/>
  <c r="H230" i="23"/>
  <c r="I230" i="23"/>
  <c r="J230" i="23"/>
  <c r="K230" i="23"/>
  <c r="L230" i="23"/>
  <c r="M230" i="23"/>
  <c r="N230" i="23"/>
  <c r="O230" i="23"/>
  <c r="P230" i="23"/>
  <c r="Q230" i="23"/>
  <c r="R230" i="23"/>
  <c r="S230" i="23"/>
  <c r="B231" i="23"/>
  <c r="D231" i="23"/>
  <c r="E231" i="23"/>
  <c r="F231" i="23"/>
  <c r="G231" i="23"/>
  <c r="H231" i="23"/>
  <c r="I231" i="23"/>
  <c r="J231" i="23"/>
  <c r="K231" i="23"/>
  <c r="L231" i="23"/>
  <c r="M231" i="23"/>
  <c r="N231" i="23"/>
  <c r="O231" i="23"/>
  <c r="P231" i="23"/>
  <c r="Q231" i="23"/>
  <c r="R231" i="23"/>
  <c r="S231" i="23"/>
  <c r="B232" i="23"/>
  <c r="D232" i="23"/>
  <c r="E232" i="23"/>
  <c r="F232" i="23"/>
  <c r="G232" i="23"/>
  <c r="H232" i="23"/>
  <c r="I232" i="23"/>
  <c r="J232" i="23"/>
  <c r="K232" i="23"/>
  <c r="L232" i="23"/>
  <c r="M232" i="23"/>
  <c r="N232" i="23"/>
  <c r="O232" i="23"/>
  <c r="P232" i="23"/>
  <c r="Q232" i="23"/>
  <c r="R232" i="23"/>
  <c r="S232" i="23"/>
  <c r="B233" i="23"/>
  <c r="D233" i="23"/>
  <c r="E233" i="23"/>
  <c r="F233" i="23"/>
  <c r="G233" i="23"/>
  <c r="H233" i="23"/>
  <c r="I233" i="23"/>
  <c r="J233" i="23"/>
  <c r="K233" i="23"/>
  <c r="L233" i="23"/>
  <c r="M233" i="23"/>
  <c r="N233" i="23"/>
  <c r="O233" i="23"/>
  <c r="P233" i="23"/>
  <c r="Q233" i="23"/>
  <c r="R233" i="23"/>
  <c r="S233" i="23"/>
  <c r="B234" i="23"/>
  <c r="D234" i="23"/>
  <c r="E234" i="23"/>
  <c r="F234" i="23"/>
  <c r="G234" i="23"/>
  <c r="H234" i="23"/>
  <c r="I234" i="23"/>
  <c r="J234" i="23"/>
  <c r="K234" i="23"/>
  <c r="L234" i="23"/>
  <c r="M234" i="23"/>
  <c r="N234" i="23"/>
  <c r="O234" i="23"/>
  <c r="P234" i="23"/>
  <c r="Q234" i="23"/>
  <c r="R234" i="23"/>
  <c r="S234" i="23"/>
  <c r="B235" i="23"/>
  <c r="D235" i="23"/>
  <c r="E235" i="23"/>
  <c r="F235" i="23"/>
  <c r="G235" i="23"/>
  <c r="H235" i="23"/>
  <c r="I235" i="23"/>
  <c r="J235" i="23"/>
  <c r="K235" i="23"/>
  <c r="L235" i="23"/>
  <c r="M235" i="23"/>
  <c r="N235" i="23"/>
  <c r="O235" i="23"/>
  <c r="P235" i="23"/>
  <c r="Q235" i="23"/>
  <c r="R235" i="23"/>
  <c r="S235" i="23"/>
  <c r="B236" i="23"/>
  <c r="D236" i="23"/>
  <c r="E236" i="23"/>
  <c r="F236" i="23"/>
  <c r="G236" i="23"/>
  <c r="H236" i="23"/>
  <c r="I236" i="23"/>
  <c r="J236" i="23"/>
  <c r="K236" i="23"/>
  <c r="L236" i="23"/>
  <c r="M236" i="23"/>
  <c r="N236" i="23"/>
  <c r="O236" i="23"/>
  <c r="P236" i="23"/>
  <c r="Q236" i="23"/>
  <c r="R236" i="23"/>
  <c r="S236" i="23"/>
  <c r="B237" i="23"/>
  <c r="D237" i="23"/>
  <c r="E237" i="23"/>
  <c r="F237" i="23"/>
  <c r="G237" i="23"/>
  <c r="H237" i="23"/>
  <c r="I237" i="23"/>
  <c r="J237" i="23"/>
  <c r="K237" i="23"/>
  <c r="L237" i="23"/>
  <c r="M237" i="23"/>
  <c r="N237" i="23"/>
  <c r="O237" i="23"/>
  <c r="P237" i="23"/>
  <c r="Q237" i="23"/>
  <c r="R237" i="23"/>
  <c r="S237" i="23"/>
  <c r="B238" i="23"/>
  <c r="D238" i="23"/>
  <c r="E238" i="23"/>
  <c r="F238" i="23"/>
  <c r="G238" i="23"/>
  <c r="H238" i="23"/>
  <c r="I238" i="23"/>
  <c r="J238" i="23"/>
  <c r="K238" i="23"/>
  <c r="L238" i="23"/>
  <c r="M238" i="23"/>
  <c r="N238" i="23"/>
  <c r="O238" i="23"/>
  <c r="P238" i="23"/>
  <c r="Q238" i="23"/>
  <c r="R238" i="23"/>
  <c r="S238" i="23"/>
  <c r="B239" i="23"/>
  <c r="D239" i="23"/>
  <c r="E239" i="23"/>
  <c r="F239" i="23"/>
  <c r="G239" i="23"/>
  <c r="H239" i="23"/>
  <c r="I239" i="23"/>
  <c r="J239" i="23"/>
  <c r="K239" i="23"/>
  <c r="L239" i="23"/>
  <c r="M239" i="23"/>
  <c r="N239" i="23"/>
  <c r="O239" i="23"/>
  <c r="P239" i="23"/>
  <c r="Q239" i="23"/>
  <c r="R239" i="23"/>
  <c r="S239" i="23"/>
  <c r="B240" i="23"/>
  <c r="D240" i="23"/>
  <c r="E240" i="23"/>
  <c r="F240" i="23"/>
  <c r="G240" i="23"/>
  <c r="H240" i="23"/>
  <c r="I240" i="23"/>
  <c r="J240" i="23"/>
  <c r="K240" i="23"/>
  <c r="L240" i="23"/>
  <c r="M240" i="23"/>
  <c r="N240" i="23"/>
  <c r="O240" i="23"/>
  <c r="P240" i="23"/>
  <c r="Q240" i="23"/>
  <c r="R240" i="23"/>
  <c r="S240" i="23"/>
  <c r="B241" i="23"/>
  <c r="D241" i="23"/>
  <c r="E241" i="23"/>
  <c r="F241" i="23"/>
  <c r="G241" i="23"/>
  <c r="H241" i="23"/>
  <c r="I241" i="23"/>
  <c r="J241" i="23"/>
  <c r="K241" i="23"/>
  <c r="L241" i="23"/>
  <c r="M241" i="23"/>
  <c r="N241" i="23"/>
  <c r="O241" i="23"/>
  <c r="P241" i="23"/>
  <c r="Q241" i="23"/>
  <c r="R241" i="23"/>
  <c r="S241" i="23"/>
  <c r="B242" i="23"/>
  <c r="D242" i="23"/>
  <c r="E242" i="23"/>
  <c r="F242" i="23"/>
  <c r="G242" i="23"/>
  <c r="H242" i="23"/>
  <c r="I242" i="23"/>
  <c r="J242" i="23"/>
  <c r="K242" i="23"/>
  <c r="L242" i="23"/>
  <c r="M242" i="23"/>
  <c r="N242" i="23"/>
  <c r="O242" i="23"/>
  <c r="P242" i="23"/>
  <c r="Q242" i="23"/>
  <c r="R242" i="23"/>
  <c r="S242" i="23"/>
  <c r="B243" i="23"/>
  <c r="D243" i="23"/>
  <c r="E243" i="23"/>
  <c r="F243" i="23"/>
  <c r="G243" i="23"/>
  <c r="H243" i="23"/>
  <c r="I243" i="23"/>
  <c r="J243" i="23"/>
  <c r="K243" i="23"/>
  <c r="L243" i="23"/>
  <c r="M243" i="23"/>
  <c r="N243" i="23"/>
  <c r="O243" i="23"/>
  <c r="P243" i="23"/>
  <c r="Q243" i="23"/>
  <c r="R243" i="23"/>
  <c r="S243" i="23"/>
  <c r="B244" i="23"/>
  <c r="D244" i="23"/>
  <c r="E244" i="23"/>
  <c r="F244" i="23"/>
  <c r="G244" i="23"/>
  <c r="H244" i="23"/>
  <c r="I244" i="23"/>
  <c r="J244" i="23"/>
  <c r="K244" i="23"/>
  <c r="L244" i="23"/>
  <c r="M244" i="23"/>
  <c r="N244" i="23"/>
  <c r="O244" i="23"/>
  <c r="P244" i="23"/>
  <c r="Q244" i="23"/>
  <c r="R244" i="23"/>
  <c r="S244" i="23"/>
  <c r="B245" i="23"/>
  <c r="D245" i="23"/>
  <c r="E245" i="23"/>
  <c r="F245" i="23"/>
  <c r="G245" i="23"/>
  <c r="H245" i="23"/>
  <c r="I245" i="23"/>
  <c r="J245" i="23"/>
  <c r="K245" i="23"/>
  <c r="L245" i="23"/>
  <c r="M245" i="23"/>
  <c r="N245" i="23"/>
  <c r="O245" i="23"/>
  <c r="P245" i="23"/>
  <c r="Q245" i="23"/>
  <c r="R245" i="23"/>
  <c r="S245" i="23"/>
  <c r="B246" i="23"/>
  <c r="D246" i="23"/>
  <c r="E246" i="23"/>
  <c r="F246" i="23"/>
  <c r="G246" i="23"/>
  <c r="H246" i="23"/>
  <c r="I246" i="23"/>
  <c r="J246" i="23"/>
  <c r="K246" i="23"/>
  <c r="L246" i="23"/>
  <c r="M246" i="23"/>
  <c r="N246" i="23"/>
  <c r="O246" i="23"/>
  <c r="P246" i="23"/>
  <c r="Q246" i="23"/>
  <c r="R246" i="23"/>
  <c r="S246" i="23"/>
  <c r="B247" i="23"/>
  <c r="D247" i="23"/>
  <c r="E247" i="23"/>
  <c r="F247" i="23"/>
  <c r="G247" i="23"/>
  <c r="H247" i="23"/>
  <c r="I247" i="23"/>
  <c r="J247" i="23"/>
  <c r="K247" i="23"/>
  <c r="L247" i="23"/>
  <c r="M247" i="23"/>
  <c r="N247" i="23"/>
  <c r="O247" i="23"/>
  <c r="P247" i="23"/>
  <c r="Q247" i="23"/>
  <c r="R247" i="23"/>
  <c r="S247" i="23"/>
  <c r="B248" i="23"/>
  <c r="D248" i="23"/>
  <c r="E248" i="23"/>
  <c r="F248" i="23"/>
  <c r="G248" i="23"/>
  <c r="H248" i="23"/>
  <c r="I248" i="23"/>
  <c r="J248" i="23"/>
  <c r="K248" i="23"/>
  <c r="L248" i="23"/>
  <c r="M248" i="23"/>
  <c r="N248" i="23"/>
  <c r="O248" i="23"/>
  <c r="P248" i="23"/>
  <c r="Q248" i="23"/>
  <c r="R248" i="23"/>
  <c r="S248" i="23"/>
  <c r="B249" i="23"/>
  <c r="D249" i="23"/>
  <c r="E249" i="23"/>
  <c r="F249" i="23"/>
  <c r="G249" i="23"/>
  <c r="H249" i="23"/>
  <c r="I249" i="23"/>
  <c r="J249" i="23"/>
  <c r="K249" i="23"/>
  <c r="L249" i="23"/>
  <c r="M249" i="23"/>
  <c r="N249" i="23"/>
  <c r="O249" i="23"/>
  <c r="P249" i="23"/>
  <c r="Q249" i="23"/>
  <c r="R249" i="23"/>
  <c r="S249" i="23"/>
  <c r="B250" i="23"/>
  <c r="D250" i="23"/>
  <c r="E250" i="23"/>
  <c r="F250" i="23"/>
  <c r="G250" i="23"/>
  <c r="H250" i="23"/>
  <c r="I250" i="23"/>
  <c r="J250" i="23"/>
  <c r="K250" i="23"/>
  <c r="L250" i="23"/>
  <c r="M250" i="23"/>
  <c r="N250" i="23"/>
  <c r="O250" i="23"/>
  <c r="P250" i="23"/>
  <c r="Q250" i="23"/>
  <c r="R250" i="23"/>
  <c r="S250" i="23"/>
  <c r="B251" i="23"/>
  <c r="D251" i="23"/>
  <c r="E251" i="23"/>
  <c r="F251" i="23"/>
  <c r="G251" i="23"/>
  <c r="H251" i="23"/>
  <c r="I251" i="23"/>
  <c r="J251" i="23"/>
  <c r="K251" i="23"/>
  <c r="L251" i="23"/>
  <c r="M251" i="23"/>
  <c r="N251" i="23"/>
  <c r="O251" i="23"/>
  <c r="P251" i="23"/>
  <c r="Q251" i="23"/>
  <c r="R251" i="23"/>
  <c r="S251" i="23"/>
  <c r="B252" i="23"/>
  <c r="D252" i="23"/>
  <c r="E252" i="23"/>
  <c r="F252" i="23"/>
  <c r="G252" i="23"/>
  <c r="H252" i="23"/>
  <c r="I252" i="23"/>
  <c r="J252" i="23"/>
  <c r="K252" i="23"/>
  <c r="L252" i="23"/>
  <c r="M252" i="23"/>
  <c r="N252" i="23"/>
  <c r="O252" i="23"/>
  <c r="P252" i="23"/>
  <c r="Q252" i="23"/>
  <c r="R252" i="23"/>
  <c r="S252" i="23"/>
  <c r="B253" i="23"/>
  <c r="D253" i="23"/>
  <c r="E253" i="23"/>
  <c r="F253" i="23"/>
  <c r="G253" i="23"/>
  <c r="H253" i="23"/>
  <c r="I253" i="23"/>
  <c r="J253" i="23"/>
  <c r="K253" i="23"/>
  <c r="L253" i="23"/>
  <c r="M253" i="23"/>
  <c r="N253" i="23"/>
  <c r="O253" i="23"/>
  <c r="P253" i="23"/>
  <c r="Q253" i="23"/>
  <c r="R253" i="23"/>
  <c r="S253" i="23"/>
  <c r="B254" i="23"/>
  <c r="D254" i="23"/>
  <c r="E254" i="23"/>
  <c r="F254" i="23"/>
  <c r="G254" i="23"/>
  <c r="H254" i="23"/>
  <c r="I254" i="23"/>
  <c r="J254" i="23"/>
  <c r="K254" i="23"/>
  <c r="L254" i="23"/>
  <c r="M254" i="23"/>
  <c r="N254" i="23"/>
  <c r="O254" i="23"/>
  <c r="P254" i="23"/>
  <c r="Q254" i="23"/>
  <c r="R254" i="23"/>
  <c r="S254" i="23"/>
  <c r="B255" i="23"/>
  <c r="D255" i="23"/>
  <c r="E255" i="23"/>
  <c r="F255" i="23"/>
  <c r="G255" i="23"/>
  <c r="H255" i="23"/>
  <c r="I255" i="23"/>
  <c r="J255" i="23"/>
  <c r="K255" i="23"/>
  <c r="L255" i="23"/>
  <c r="M255" i="23"/>
  <c r="N255" i="23"/>
  <c r="O255" i="23"/>
  <c r="P255" i="23"/>
  <c r="Q255" i="23"/>
  <c r="R255" i="23"/>
  <c r="S255" i="23"/>
  <c r="B256" i="23"/>
  <c r="D256" i="23"/>
  <c r="E256" i="23"/>
  <c r="F256" i="23"/>
  <c r="G256" i="23"/>
  <c r="H256" i="23"/>
  <c r="I256" i="23"/>
  <c r="J256" i="23"/>
  <c r="K256" i="23"/>
  <c r="L256" i="23"/>
  <c r="M256" i="23"/>
  <c r="N256" i="23"/>
  <c r="O256" i="23"/>
  <c r="P256" i="23"/>
  <c r="Q256" i="23"/>
  <c r="R256" i="23"/>
  <c r="S256" i="23"/>
  <c r="B257" i="23"/>
  <c r="D257" i="23"/>
  <c r="E257" i="23"/>
  <c r="F257" i="23"/>
  <c r="G257" i="23"/>
  <c r="H257" i="23"/>
  <c r="I257" i="23"/>
  <c r="J257" i="23"/>
  <c r="K257" i="23"/>
  <c r="L257" i="23"/>
  <c r="M257" i="23"/>
  <c r="N257" i="23"/>
  <c r="O257" i="23"/>
  <c r="P257" i="23"/>
  <c r="Q257" i="23"/>
  <c r="R257" i="23"/>
  <c r="S257" i="23"/>
  <c r="B258" i="23"/>
  <c r="D258" i="23"/>
  <c r="E258" i="23"/>
  <c r="F258" i="23"/>
  <c r="G258" i="23"/>
  <c r="H258" i="23"/>
  <c r="I258" i="23"/>
  <c r="J258" i="23"/>
  <c r="K258" i="23"/>
  <c r="L258" i="23"/>
  <c r="M258" i="23"/>
  <c r="N258" i="23"/>
  <c r="O258" i="23"/>
  <c r="P258" i="23"/>
  <c r="Q258" i="23"/>
  <c r="R258" i="23"/>
  <c r="S258" i="23"/>
  <c r="B259" i="23"/>
  <c r="D259" i="23"/>
  <c r="E259" i="23"/>
  <c r="F259" i="23"/>
  <c r="G259" i="23"/>
  <c r="H259" i="23"/>
  <c r="I259" i="23"/>
  <c r="J259" i="23"/>
  <c r="K259" i="23"/>
  <c r="L259" i="23"/>
  <c r="M259" i="23"/>
  <c r="N259" i="23"/>
  <c r="O259" i="23"/>
  <c r="P259" i="23"/>
  <c r="Q259" i="23"/>
  <c r="R259" i="23"/>
  <c r="S259" i="23"/>
  <c r="B260" i="23"/>
  <c r="D260" i="23"/>
  <c r="E260" i="23"/>
  <c r="F260" i="23"/>
  <c r="G260" i="23"/>
  <c r="H260" i="23"/>
  <c r="I260" i="23"/>
  <c r="J260" i="23"/>
  <c r="K260" i="23"/>
  <c r="L260" i="23"/>
  <c r="M260" i="23"/>
  <c r="N260" i="23"/>
  <c r="O260" i="23"/>
  <c r="P260" i="23"/>
  <c r="Q260" i="23"/>
  <c r="R260" i="23"/>
  <c r="S260" i="23"/>
  <c r="B261" i="23"/>
  <c r="D261" i="23"/>
  <c r="E261" i="23"/>
  <c r="F261" i="23"/>
  <c r="G261" i="23"/>
  <c r="H261" i="23"/>
  <c r="I261" i="23"/>
  <c r="J261" i="23"/>
  <c r="K261" i="23"/>
  <c r="L261" i="23"/>
  <c r="M261" i="23"/>
  <c r="N261" i="23"/>
  <c r="O261" i="23"/>
  <c r="P261" i="23"/>
  <c r="Q261" i="23"/>
  <c r="R261" i="23"/>
  <c r="S261" i="23"/>
  <c r="B262" i="23"/>
  <c r="D262" i="23"/>
  <c r="E262" i="23"/>
  <c r="F262" i="23"/>
  <c r="G262" i="23"/>
  <c r="H262" i="23"/>
  <c r="I262" i="23"/>
  <c r="J262" i="23"/>
  <c r="K262" i="23"/>
  <c r="L262" i="23"/>
  <c r="M262" i="23"/>
  <c r="N262" i="23"/>
  <c r="O262" i="23"/>
  <c r="P262" i="23"/>
  <c r="Q262" i="23"/>
  <c r="R262" i="23"/>
  <c r="S262" i="23"/>
  <c r="B263" i="23"/>
  <c r="D263" i="23"/>
  <c r="E263" i="23"/>
  <c r="F263" i="23"/>
  <c r="G263" i="23"/>
  <c r="H263" i="23"/>
  <c r="I263" i="23"/>
  <c r="J263" i="23"/>
  <c r="K263" i="23"/>
  <c r="L263" i="23"/>
  <c r="M263" i="23"/>
  <c r="N263" i="23"/>
  <c r="O263" i="23"/>
  <c r="P263" i="23"/>
  <c r="Q263" i="23"/>
  <c r="R263" i="23"/>
  <c r="S263" i="23"/>
  <c r="B264" i="23"/>
  <c r="D264" i="23"/>
  <c r="E264" i="23"/>
  <c r="F264" i="23"/>
  <c r="G264" i="23"/>
  <c r="H264" i="23"/>
  <c r="I264" i="23"/>
  <c r="J264" i="23"/>
  <c r="K264" i="23"/>
  <c r="L264" i="23"/>
  <c r="M264" i="23"/>
  <c r="N264" i="23"/>
  <c r="O264" i="23"/>
  <c r="P264" i="23"/>
  <c r="Q264" i="23"/>
  <c r="R264" i="23"/>
  <c r="S264" i="23"/>
  <c r="B265" i="23"/>
  <c r="D265" i="23"/>
  <c r="E265" i="23"/>
  <c r="F265" i="23"/>
  <c r="G265" i="23"/>
  <c r="H265" i="23"/>
  <c r="I265" i="23"/>
  <c r="J265" i="23"/>
  <c r="K265" i="23"/>
  <c r="L265" i="23"/>
  <c r="M265" i="23"/>
  <c r="N265" i="23"/>
  <c r="O265" i="23"/>
  <c r="P265" i="23"/>
  <c r="Q265" i="23"/>
  <c r="R265" i="23"/>
  <c r="S265" i="23"/>
  <c r="B266" i="23"/>
  <c r="D266" i="23"/>
  <c r="E266" i="23"/>
  <c r="F266" i="23"/>
  <c r="G266" i="23"/>
  <c r="H266" i="23"/>
  <c r="I266" i="23"/>
  <c r="J266" i="23"/>
  <c r="K266" i="23"/>
  <c r="L266" i="23"/>
  <c r="M266" i="23"/>
  <c r="N266" i="23"/>
  <c r="O266" i="23"/>
  <c r="P266" i="23"/>
  <c r="Q266" i="23"/>
  <c r="R266" i="23"/>
  <c r="S266" i="23"/>
  <c r="B267" i="23"/>
  <c r="D267" i="23"/>
  <c r="E267" i="23"/>
  <c r="F267" i="23"/>
  <c r="G267" i="23"/>
  <c r="H267" i="23"/>
  <c r="I267" i="23"/>
  <c r="J267" i="23"/>
  <c r="K267" i="23"/>
  <c r="L267" i="23"/>
  <c r="M267" i="23"/>
  <c r="N267" i="23"/>
  <c r="O267" i="23"/>
  <c r="P267" i="23"/>
  <c r="Q267" i="23"/>
  <c r="R267" i="23"/>
  <c r="S267" i="23"/>
  <c r="B268" i="23"/>
  <c r="D268" i="23"/>
  <c r="E268" i="23"/>
  <c r="F268" i="23"/>
  <c r="G268" i="23"/>
  <c r="H268" i="23"/>
  <c r="I268" i="23"/>
  <c r="J268" i="23"/>
  <c r="K268" i="23"/>
  <c r="L268" i="23"/>
  <c r="M268" i="23"/>
  <c r="N268" i="23"/>
  <c r="O268" i="23"/>
  <c r="P268" i="23"/>
  <c r="Q268" i="23"/>
  <c r="R268" i="23"/>
  <c r="S268" i="23"/>
  <c r="B269" i="23"/>
  <c r="D269" i="23"/>
  <c r="E269" i="23"/>
  <c r="F269" i="23"/>
  <c r="G269" i="23"/>
  <c r="H269" i="23"/>
  <c r="I269" i="23"/>
  <c r="J269" i="23"/>
  <c r="K269" i="23"/>
  <c r="L269" i="23"/>
  <c r="M269" i="23"/>
  <c r="N269" i="23"/>
  <c r="O269" i="23"/>
  <c r="P269" i="23"/>
  <c r="Q269" i="23"/>
  <c r="R269" i="23"/>
  <c r="S269" i="23"/>
  <c r="B270" i="23"/>
  <c r="D270" i="23"/>
  <c r="E270" i="23"/>
  <c r="F270" i="23"/>
  <c r="G270" i="23"/>
  <c r="H270" i="23"/>
  <c r="I270" i="23"/>
  <c r="J270" i="23"/>
  <c r="K270" i="23"/>
  <c r="L270" i="23"/>
  <c r="M270" i="23"/>
  <c r="N270" i="23"/>
  <c r="O270" i="23"/>
  <c r="P270" i="23"/>
  <c r="Q270" i="23"/>
  <c r="R270" i="23"/>
  <c r="S270" i="23"/>
  <c r="B271" i="23"/>
  <c r="D271" i="23"/>
  <c r="E271" i="23"/>
  <c r="F271" i="23"/>
  <c r="G271" i="23"/>
  <c r="H271" i="23"/>
  <c r="I271" i="23"/>
  <c r="J271" i="23"/>
  <c r="K271" i="23"/>
  <c r="L271" i="23"/>
  <c r="M271" i="23"/>
  <c r="N271" i="23"/>
  <c r="O271" i="23"/>
  <c r="P271" i="23"/>
  <c r="Q271" i="23"/>
  <c r="R271" i="23"/>
  <c r="S271" i="23"/>
  <c r="B272" i="23"/>
  <c r="D272" i="23"/>
  <c r="E272" i="23"/>
  <c r="F272" i="23"/>
  <c r="G272" i="23"/>
  <c r="H272" i="23"/>
  <c r="I272" i="23"/>
  <c r="J272" i="23"/>
  <c r="K272" i="23"/>
  <c r="L272" i="23"/>
  <c r="M272" i="23"/>
  <c r="N272" i="23"/>
  <c r="O272" i="23"/>
  <c r="P272" i="23"/>
  <c r="Q272" i="23"/>
  <c r="R272" i="23"/>
  <c r="S272" i="23"/>
  <c r="B273" i="23"/>
  <c r="D273" i="23"/>
  <c r="E273" i="23"/>
  <c r="F273" i="23"/>
  <c r="G273" i="23"/>
  <c r="H273" i="23"/>
  <c r="I273" i="23"/>
  <c r="J273" i="23"/>
  <c r="K273" i="23"/>
  <c r="L273" i="23"/>
  <c r="M273" i="23"/>
  <c r="N273" i="23"/>
  <c r="O273" i="23"/>
  <c r="P273" i="23"/>
  <c r="Q273" i="23"/>
  <c r="R273" i="23"/>
  <c r="S273" i="23"/>
  <c r="B274" i="23"/>
  <c r="D274" i="23"/>
  <c r="E274" i="23"/>
  <c r="F274" i="23"/>
  <c r="G274" i="23"/>
  <c r="H274" i="23"/>
  <c r="I274" i="23"/>
  <c r="J274" i="23"/>
  <c r="K274" i="23"/>
  <c r="L274" i="23"/>
  <c r="M274" i="23"/>
  <c r="N274" i="23"/>
  <c r="O274" i="23"/>
  <c r="P274" i="23"/>
  <c r="Q274" i="23"/>
  <c r="R274" i="23"/>
  <c r="S274" i="23"/>
  <c r="B275" i="23"/>
  <c r="D275" i="23"/>
  <c r="E275" i="23"/>
  <c r="F275" i="23"/>
  <c r="G275" i="23"/>
  <c r="H275" i="23"/>
  <c r="I275" i="23"/>
  <c r="J275" i="23"/>
  <c r="K275" i="23"/>
  <c r="L275" i="23"/>
  <c r="M275" i="23"/>
  <c r="N275" i="23"/>
  <c r="O275" i="23"/>
  <c r="P275" i="23"/>
  <c r="Q275" i="23"/>
  <c r="R275" i="23"/>
  <c r="S275" i="23"/>
  <c r="B276" i="23"/>
  <c r="D276" i="23"/>
  <c r="E276" i="23"/>
  <c r="F276" i="23"/>
  <c r="G276" i="23"/>
  <c r="H276" i="23"/>
  <c r="I276" i="23"/>
  <c r="J276" i="23"/>
  <c r="K276" i="23"/>
  <c r="L276" i="23"/>
  <c r="M276" i="23"/>
  <c r="N276" i="23"/>
  <c r="O276" i="23"/>
  <c r="P276" i="23"/>
  <c r="Q276" i="23"/>
  <c r="R276" i="23"/>
  <c r="S276" i="23"/>
  <c r="B277" i="23"/>
  <c r="D277" i="23"/>
  <c r="E277" i="23"/>
  <c r="F277" i="23"/>
  <c r="G277" i="23"/>
  <c r="H277" i="23"/>
  <c r="I277" i="23"/>
  <c r="J277" i="23"/>
  <c r="K277" i="23"/>
  <c r="L277" i="23"/>
  <c r="M277" i="23"/>
  <c r="N277" i="23"/>
  <c r="O277" i="23"/>
  <c r="P277" i="23"/>
  <c r="Q277" i="23"/>
  <c r="R277" i="23"/>
  <c r="S277" i="23"/>
  <c r="B278" i="23"/>
  <c r="D278" i="23"/>
  <c r="E278" i="23"/>
  <c r="F278" i="23"/>
  <c r="G278" i="23"/>
  <c r="H278" i="23"/>
  <c r="I278" i="23"/>
  <c r="J278" i="23"/>
  <c r="K278" i="23"/>
  <c r="L278" i="23"/>
  <c r="M278" i="23"/>
  <c r="N278" i="23"/>
  <c r="O278" i="23"/>
  <c r="P278" i="23"/>
  <c r="Q278" i="23"/>
  <c r="R278" i="23"/>
  <c r="S278" i="23"/>
  <c r="B279" i="23"/>
  <c r="D279" i="23"/>
  <c r="E279" i="23"/>
  <c r="F279" i="23"/>
  <c r="G279" i="23"/>
  <c r="H279" i="23"/>
  <c r="I279" i="23"/>
  <c r="J279" i="23"/>
  <c r="K279" i="23"/>
  <c r="L279" i="23"/>
  <c r="M279" i="23"/>
  <c r="N279" i="23"/>
  <c r="O279" i="23"/>
  <c r="P279" i="23"/>
  <c r="Q279" i="23"/>
  <c r="R279" i="23"/>
  <c r="S279" i="23"/>
  <c r="B280" i="23"/>
  <c r="D280" i="23"/>
  <c r="E280" i="23"/>
  <c r="F280" i="23"/>
  <c r="G280" i="23"/>
  <c r="H280" i="23"/>
  <c r="I280" i="23"/>
  <c r="J280" i="23"/>
  <c r="K280" i="23"/>
  <c r="L280" i="23"/>
  <c r="M280" i="23"/>
  <c r="N280" i="23"/>
  <c r="O280" i="23"/>
  <c r="P280" i="23"/>
  <c r="Q280" i="23"/>
  <c r="R280" i="23"/>
  <c r="S280" i="23"/>
  <c r="B281" i="23"/>
  <c r="D281" i="23"/>
  <c r="E281" i="23"/>
  <c r="F281" i="23"/>
  <c r="G281" i="23"/>
  <c r="H281" i="23"/>
  <c r="I281" i="23"/>
  <c r="J281" i="23"/>
  <c r="K281" i="23"/>
  <c r="L281" i="23"/>
  <c r="M281" i="23"/>
  <c r="N281" i="23"/>
  <c r="O281" i="23"/>
  <c r="P281" i="23"/>
  <c r="Q281" i="23"/>
  <c r="R281" i="23"/>
  <c r="S281" i="23"/>
  <c r="B282" i="23"/>
  <c r="D282" i="23"/>
  <c r="E282" i="23"/>
  <c r="F282" i="23"/>
  <c r="G282" i="23"/>
  <c r="H282" i="23"/>
  <c r="I282" i="23"/>
  <c r="J282" i="23"/>
  <c r="K282" i="23"/>
  <c r="L282" i="23"/>
  <c r="M282" i="23"/>
  <c r="N282" i="23"/>
  <c r="O282" i="23"/>
  <c r="P282" i="23"/>
  <c r="Q282" i="23"/>
  <c r="R282" i="23"/>
  <c r="S282" i="23"/>
  <c r="B283" i="23"/>
  <c r="D283" i="23"/>
  <c r="E283" i="23"/>
  <c r="F283" i="23"/>
  <c r="G283" i="23"/>
  <c r="H283" i="23"/>
  <c r="I283" i="23"/>
  <c r="J283" i="23"/>
  <c r="K283" i="23"/>
  <c r="L283" i="23"/>
  <c r="M283" i="23"/>
  <c r="N283" i="23"/>
  <c r="O283" i="23"/>
  <c r="P283" i="23"/>
  <c r="Q283" i="23"/>
  <c r="R283" i="23"/>
  <c r="S283" i="23"/>
  <c r="B284" i="23"/>
  <c r="D284" i="23"/>
  <c r="E284" i="23"/>
  <c r="F284" i="23"/>
  <c r="G284" i="23"/>
  <c r="H284" i="23"/>
  <c r="I284" i="23"/>
  <c r="J284" i="23"/>
  <c r="K284" i="23"/>
  <c r="L284" i="23"/>
  <c r="M284" i="23"/>
  <c r="N284" i="23"/>
  <c r="O284" i="23"/>
  <c r="P284" i="23"/>
  <c r="Q284" i="23"/>
  <c r="R284" i="23"/>
  <c r="S284" i="23"/>
  <c r="B285" i="23"/>
  <c r="D285" i="23"/>
  <c r="E285" i="23"/>
  <c r="F285" i="23"/>
  <c r="G285" i="23"/>
  <c r="H285" i="23"/>
  <c r="I285" i="23"/>
  <c r="J285" i="23"/>
  <c r="K285" i="23"/>
  <c r="L285" i="23"/>
  <c r="M285" i="23"/>
  <c r="N285" i="23"/>
  <c r="O285" i="23"/>
  <c r="P285" i="23"/>
  <c r="Q285" i="23"/>
  <c r="R285" i="23"/>
  <c r="S285" i="23"/>
  <c r="B286" i="23"/>
  <c r="D286" i="23"/>
  <c r="E286" i="23"/>
  <c r="F286" i="23"/>
  <c r="G286" i="23"/>
  <c r="H286" i="23"/>
  <c r="I286" i="23"/>
  <c r="J286" i="23"/>
  <c r="K286" i="23"/>
  <c r="L286" i="23"/>
  <c r="M286" i="23"/>
  <c r="N286" i="23"/>
  <c r="O286" i="23"/>
  <c r="P286" i="23"/>
  <c r="Q286" i="23"/>
  <c r="R286" i="23"/>
  <c r="S286" i="23"/>
  <c r="B287" i="23"/>
  <c r="D287" i="23"/>
  <c r="E287" i="23"/>
  <c r="F287" i="23"/>
  <c r="G287" i="23"/>
  <c r="H287" i="23"/>
  <c r="I287" i="23"/>
  <c r="J287" i="23"/>
  <c r="K287" i="23"/>
  <c r="L287" i="23"/>
  <c r="M287" i="23"/>
  <c r="N287" i="23"/>
  <c r="O287" i="23"/>
  <c r="P287" i="23"/>
  <c r="Q287" i="23"/>
  <c r="R287" i="23"/>
  <c r="S287" i="23"/>
  <c r="B288" i="23"/>
  <c r="D288" i="23"/>
  <c r="E288" i="23"/>
  <c r="F288" i="23"/>
  <c r="G288" i="23"/>
  <c r="H288" i="23"/>
  <c r="I288" i="23"/>
  <c r="J288" i="23"/>
  <c r="K288" i="23"/>
  <c r="L288" i="23"/>
  <c r="M288" i="23"/>
  <c r="N288" i="23"/>
  <c r="O288" i="23"/>
  <c r="P288" i="23"/>
  <c r="Q288" i="23"/>
  <c r="R288" i="23"/>
  <c r="S288" i="23"/>
  <c r="B289" i="23"/>
  <c r="D289" i="23"/>
  <c r="E289" i="23"/>
  <c r="F289" i="23"/>
  <c r="G289" i="23"/>
  <c r="H289" i="23"/>
  <c r="I289" i="23"/>
  <c r="J289" i="23"/>
  <c r="K289" i="23"/>
  <c r="L289" i="23"/>
  <c r="M289" i="23"/>
  <c r="N289" i="23"/>
  <c r="O289" i="23"/>
  <c r="P289" i="23"/>
  <c r="Q289" i="23"/>
  <c r="R289" i="23"/>
  <c r="S289" i="23"/>
  <c r="B290" i="23"/>
  <c r="D290" i="23"/>
  <c r="E290" i="23"/>
  <c r="F290" i="23"/>
  <c r="G290" i="23"/>
  <c r="H290" i="23"/>
  <c r="I290" i="23"/>
  <c r="J290" i="23"/>
  <c r="K290" i="23"/>
  <c r="L290" i="23"/>
  <c r="M290" i="23"/>
  <c r="N290" i="23"/>
  <c r="O290" i="23"/>
  <c r="P290" i="23"/>
  <c r="Q290" i="23"/>
  <c r="R290" i="23"/>
  <c r="S290" i="23"/>
  <c r="B291" i="23"/>
  <c r="D291" i="23"/>
  <c r="E291" i="23"/>
  <c r="F291" i="23"/>
  <c r="G291" i="23"/>
  <c r="H291" i="23"/>
  <c r="I291" i="23"/>
  <c r="J291" i="23"/>
  <c r="K291" i="23"/>
  <c r="L291" i="23"/>
  <c r="M291" i="23"/>
  <c r="N291" i="23"/>
  <c r="O291" i="23"/>
  <c r="P291" i="23"/>
  <c r="Q291" i="23"/>
  <c r="R291" i="23"/>
  <c r="S291" i="23"/>
  <c r="B292" i="23"/>
  <c r="D292" i="23"/>
  <c r="E292" i="23"/>
  <c r="F292" i="23"/>
  <c r="G292" i="23"/>
  <c r="H292" i="23"/>
  <c r="I292" i="23"/>
  <c r="J292" i="23"/>
  <c r="K292" i="23"/>
  <c r="L292" i="23"/>
  <c r="M292" i="23"/>
  <c r="N292" i="23"/>
  <c r="O292" i="23"/>
  <c r="P292" i="23"/>
  <c r="Q292" i="23"/>
  <c r="R292" i="23"/>
  <c r="S292" i="23"/>
  <c r="B293" i="23"/>
  <c r="D293" i="23"/>
  <c r="E293" i="23"/>
  <c r="F293" i="23"/>
  <c r="G293" i="23"/>
  <c r="H293" i="23"/>
  <c r="I293" i="23"/>
  <c r="J293" i="23"/>
  <c r="K293" i="23"/>
  <c r="L293" i="23"/>
  <c r="M293" i="23"/>
  <c r="N293" i="23"/>
  <c r="O293" i="23"/>
  <c r="P293" i="23"/>
  <c r="Q293" i="23"/>
  <c r="R293" i="23"/>
  <c r="S293" i="23"/>
  <c r="B294" i="23"/>
  <c r="D294" i="23"/>
  <c r="E294" i="23"/>
  <c r="F294" i="23"/>
  <c r="G294" i="23"/>
  <c r="H294" i="23"/>
  <c r="I294" i="23"/>
  <c r="J294" i="23"/>
  <c r="K294" i="23"/>
  <c r="L294" i="23"/>
  <c r="M294" i="23"/>
  <c r="N294" i="23"/>
  <c r="O294" i="23"/>
  <c r="P294" i="23"/>
  <c r="Q294" i="23"/>
  <c r="R294" i="23"/>
  <c r="S294" i="23"/>
  <c r="B295" i="23"/>
  <c r="D295" i="23"/>
  <c r="E295" i="23"/>
  <c r="F295" i="23"/>
  <c r="G295" i="23"/>
  <c r="H295" i="23"/>
  <c r="I295" i="23"/>
  <c r="J295" i="23"/>
  <c r="K295" i="23"/>
  <c r="L295" i="23"/>
  <c r="M295" i="23"/>
  <c r="N295" i="23"/>
  <c r="O295" i="23"/>
  <c r="P295" i="23"/>
  <c r="Q295" i="23"/>
  <c r="R295" i="23"/>
  <c r="S295" i="23"/>
  <c r="B296" i="23"/>
  <c r="D296" i="23"/>
  <c r="E296" i="23"/>
  <c r="F296" i="23"/>
  <c r="G296" i="23"/>
  <c r="H296" i="23"/>
  <c r="I296" i="23"/>
  <c r="J296" i="23"/>
  <c r="K296" i="23"/>
  <c r="L296" i="23"/>
  <c r="M296" i="23"/>
  <c r="N296" i="23"/>
  <c r="O296" i="23"/>
  <c r="P296" i="23"/>
  <c r="Q296" i="23"/>
  <c r="R296" i="23"/>
  <c r="S296" i="23"/>
  <c r="B297" i="23"/>
  <c r="D297" i="23"/>
  <c r="E297" i="23"/>
  <c r="F297" i="23"/>
  <c r="G297" i="23"/>
  <c r="H297" i="23"/>
  <c r="I297" i="23"/>
  <c r="J297" i="23"/>
  <c r="K297" i="23"/>
  <c r="L297" i="23"/>
  <c r="M297" i="23"/>
  <c r="N297" i="23"/>
  <c r="O297" i="23"/>
  <c r="P297" i="23"/>
  <c r="Q297" i="23"/>
  <c r="R297" i="23"/>
  <c r="S297" i="23"/>
  <c r="B298" i="23"/>
  <c r="D298" i="23"/>
  <c r="E298" i="23"/>
  <c r="F298" i="23"/>
  <c r="G298" i="23"/>
  <c r="H298" i="23"/>
  <c r="I298" i="23"/>
  <c r="J298" i="23"/>
  <c r="K298" i="23"/>
  <c r="L298" i="23"/>
  <c r="M298" i="23"/>
  <c r="N298" i="23"/>
  <c r="O298" i="23"/>
  <c r="P298" i="23"/>
  <c r="Q298" i="23"/>
  <c r="R298" i="23"/>
  <c r="S298" i="23"/>
  <c r="B299" i="23"/>
  <c r="D299" i="23"/>
  <c r="E299" i="23"/>
  <c r="F299" i="23"/>
  <c r="G299" i="23"/>
  <c r="H299" i="23"/>
  <c r="I299" i="23"/>
  <c r="J299" i="23"/>
  <c r="K299" i="23"/>
  <c r="L299" i="23"/>
  <c r="M299" i="23"/>
  <c r="N299" i="23"/>
  <c r="O299" i="23"/>
  <c r="P299" i="23"/>
  <c r="Q299" i="23"/>
  <c r="R299" i="23"/>
  <c r="S299" i="23"/>
  <c r="B300" i="23"/>
  <c r="D300" i="23"/>
  <c r="E300" i="23"/>
  <c r="F300" i="23"/>
  <c r="G300" i="23"/>
  <c r="H300" i="23"/>
  <c r="I300" i="23"/>
  <c r="J300" i="23"/>
  <c r="K300" i="23"/>
  <c r="L300" i="23"/>
  <c r="M300" i="23"/>
  <c r="N300" i="23"/>
  <c r="O300" i="23"/>
  <c r="P300" i="23"/>
  <c r="Q300" i="23"/>
  <c r="R300" i="23"/>
  <c r="S300" i="23"/>
  <c r="B301" i="23"/>
  <c r="D301" i="23"/>
  <c r="E301" i="23"/>
  <c r="F301" i="23"/>
  <c r="G301" i="23"/>
  <c r="H301" i="23"/>
  <c r="I301" i="23"/>
  <c r="J301" i="23"/>
  <c r="K301" i="23"/>
  <c r="L301" i="23"/>
  <c r="M301" i="23"/>
  <c r="N301" i="23"/>
  <c r="O301" i="23"/>
  <c r="P301" i="23"/>
  <c r="Q301" i="23"/>
  <c r="R301" i="23"/>
  <c r="S301" i="23"/>
  <c r="B302" i="23"/>
  <c r="D302" i="23"/>
  <c r="E302" i="23"/>
  <c r="F302" i="23"/>
  <c r="G302" i="23"/>
  <c r="H302" i="23"/>
  <c r="I302" i="23"/>
  <c r="J302" i="23"/>
  <c r="K302" i="23"/>
  <c r="L302" i="23"/>
  <c r="M302" i="23"/>
  <c r="N302" i="23"/>
  <c r="O302" i="23"/>
  <c r="P302" i="23"/>
  <c r="Q302" i="23"/>
  <c r="R302" i="23"/>
  <c r="S302" i="23"/>
  <c r="B303" i="23"/>
  <c r="D303" i="23"/>
  <c r="E303" i="23"/>
  <c r="F303" i="23"/>
  <c r="G303" i="23"/>
  <c r="H303" i="23"/>
  <c r="I303" i="23"/>
  <c r="J303" i="23"/>
  <c r="K303" i="23"/>
  <c r="L303" i="23"/>
  <c r="M303" i="23"/>
  <c r="N303" i="23"/>
  <c r="O303" i="23"/>
  <c r="P303" i="23"/>
  <c r="Q303" i="23"/>
  <c r="R303" i="23"/>
  <c r="S303" i="23"/>
  <c r="B304" i="23"/>
  <c r="D304" i="23"/>
  <c r="E304" i="23"/>
  <c r="F304" i="23"/>
  <c r="G304" i="23"/>
  <c r="H304" i="23"/>
  <c r="I304" i="23"/>
  <c r="J304" i="23"/>
  <c r="K304" i="23"/>
  <c r="L304" i="23"/>
  <c r="M304" i="23"/>
  <c r="N304" i="23"/>
  <c r="O304" i="23"/>
  <c r="P304" i="23"/>
  <c r="Q304" i="23"/>
  <c r="R304" i="23"/>
  <c r="S304" i="23"/>
  <c r="B305" i="23"/>
  <c r="D305" i="23"/>
  <c r="E305" i="23"/>
  <c r="F305" i="23"/>
  <c r="G305" i="23"/>
  <c r="H305" i="23"/>
  <c r="I305" i="23"/>
  <c r="J305" i="23"/>
  <c r="K305" i="23"/>
  <c r="L305" i="23"/>
  <c r="M305" i="23"/>
  <c r="N305" i="23"/>
  <c r="O305" i="23"/>
  <c r="P305" i="23"/>
  <c r="Q305" i="23"/>
  <c r="R305" i="23"/>
  <c r="S305" i="23"/>
  <c r="B306" i="23"/>
  <c r="D306" i="23"/>
  <c r="E306" i="23"/>
  <c r="F306" i="23"/>
  <c r="G306" i="23"/>
  <c r="H306" i="23"/>
  <c r="I306" i="23"/>
  <c r="J306" i="23"/>
  <c r="K306" i="23"/>
  <c r="L306" i="23"/>
  <c r="M306" i="23"/>
  <c r="N306" i="23"/>
  <c r="O306" i="23"/>
  <c r="P306" i="23"/>
  <c r="Q306" i="23"/>
  <c r="R306" i="23"/>
  <c r="S306" i="23"/>
  <c r="B307" i="23"/>
  <c r="D307" i="23"/>
  <c r="E307" i="23"/>
  <c r="F307" i="23"/>
  <c r="G307" i="23"/>
  <c r="H307" i="23"/>
  <c r="I307" i="23"/>
  <c r="J307" i="23"/>
  <c r="K307" i="23"/>
  <c r="L307" i="23"/>
  <c r="M307" i="23"/>
  <c r="N307" i="23"/>
  <c r="O307" i="23"/>
  <c r="P307" i="23"/>
  <c r="Q307" i="23"/>
  <c r="R307" i="23"/>
  <c r="S307" i="23"/>
  <c r="B308" i="23"/>
  <c r="D308" i="23"/>
  <c r="E308" i="23"/>
  <c r="F308" i="23"/>
  <c r="G308" i="23"/>
  <c r="H308" i="23"/>
  <c r="I308" i="23"/>
  <c r="J308" i="23"/>
  <c r="K308" i="23"/>
  <c r="L308" i="23"/>
  <c r="M308" i="23"/>
  <c r="N308" i="23"/>
  <c r="O308" i="23"/>
  <c r="P308" i="23"/>
  <c r="Q308" i="23"/>
  <c r="R308" i="23"/>
  <c r="S308" i="23"/>
  <c r="B309" i="23"/>
  <c r="D309" i="23"/>
  <c r="E309" i="23"/>
  <c r="F309" i="23"/>
  <c r="G309" i="23"/>
  <c r="H309" i="23"/>
  <c r="I309" i="23"/>
  <c r="J309" i="23"/>
  <c r="K309" i="23"/>
  <c r="L309" i="23"/>
  <c r="M309" i="23"/>
  <c r="N309" i="23"/>
  <c r="O309" i="23"/>
  <c r="P309" i="23"/>
  <c r="Q309" i="23"/>
  <c r="R309" i="23"/>
  <c r="S309" i="23"/>
  <c r="B310" i="23"/>
  <c r="D310" i="23"/>
  <c r="E310" i="23"/>
  <c r="F310" i="23"/>
  <c r="G310" i="23"/>
  <c r="H310" i="23"/>
  <c r="I310" i="23"/>
  <c r="J310" i="23"/>
  <c r="K310" i="23"/>
  <c r="L310" i="23"/>
  <c r="M310" i="23"/>
  <c r="N310" i="23"/>
  <c r="O310" i="23"/>
  <c r="P310" i="23"/>
  <c r="Q310" i="23"/>
  <c r="R310" i="23"/>
  <c r="S310" i="23"/>
  <c r="B311" i="23"/>
  <c r="D311" i="23"/>
  <c r="E311" i="23"/>
  <c r="F311" i="23"/>
  <c r="G311" i="23"/>
  <c r="H311" i="23"/>
  <c r="I311" i="23"/>
  <c r="J311" i="23"/>
  <c r="K311" i="23"/>
  <c r="L311" i="23"/>
  <c r="M311" i="23"/>
  <c r="N311" i="23"/>
  <c r="O311" i="23"/>
  <c r="P311" i="23"/>
  <c r="Q311" i="23"/>
  <c r="R311" i="23"/>
  <c r="S311" i="23"/>
  <c r="B312" i="23"/>
  <c r="D312" i="23"/>
  <c r="E312" i="23"/>
  <c r="F312" i="23"/>
  <c r="G312" i="23"/>
  <c r="H312" i="23"/>
  <c r="I312" i="23"/>
  <c r="J312" i="23"/>
  <c r="K312" i="23"/>
  <c r="L312" i="23"/>
  <c r="M312" i="23"/>
  <c r="N312" i="23"/>
  <c r="O312" i="23"/>
  <c r="P312" i="23"/>
  <c r="Q312" i="23"/>
  <c r="R312" i="23"/>
  <c r="S312" i="23"/>
  <c r="B313" i="23"/>
  <c r="D313" i="23"/>
  <c r="E313" i="23"/>
  <c r="F313" i="23"/>
  <c r="G313" i="23"/>
  <c r="H313" i="23"/>
  <c r="I313" i="23"/>
  <c r="J313" i="23"/>
  <c r="K313" i="23"/>
  <c r="L313" i="23"/>
  <c r="M313" i="23"/>
  <c r="N313" i="23"/>
  <c r="O313" i="23"/>
  <c r="P313" i="23"/>
  <c r="Q313" i="23"/>
  <c r="R313" i="23"/>
  <c r="S313" i="23"/>
  <c r="B314" i="23"/>
  <c r="D314" i="23"/>
  <c r="E314" i="23"/>
  <c r="F314" i="23"/>
  <c r="G314" i="23"/>
  <c r="H314" i="23"/>
  <c r="I314" i="23"/>
  <c r="J314" i="23"/>
  <c r="K314" i="23"/>
  <c r="L314" i="23"/>
  <c r="M314" i="23"/>
  <c r="N314" i="23"/>
  <c r="O314" i="23"/>
  <c r="P314" i="23"/>
  <c r="Q314" i="23"/>
  <c r="R314" i="23"/>
  <c r="S314" i="23"/>
  <c r="B315" i="23"/>
  <c r="D315" i="23"/>
  <c r="E315" i="23"/>
  <c r="F315" i="23"/>
  <c r="G315" i="23"/>
  <c r="H315" i="23"/>
  <c r="I315" i="23"/>
  <c r="J315" i="23"/>
  <c r="K315" i="23"/>
  <c r="L315" i="23"/>
  <c r="M315" i="23"/>
  <c r="N315" i="23"/>
  <c r="O315" i="23"/>
  <c r="P315" i="23"/>
  <c r="Q315" i="23"/>
  <c r="R315" i="23"/>
  <c r="S315" i="23"/>
  <c r="B316" i="23"/>
  <c r="D316" i="23"/>
  <c r="E316" i="23"/>
  <c r="F316" i="23"/>
  <c r="G316" i="23"/>
  <c r="H316" i="23"/>
  <c r="I316" i="23"/>
  <c r="J316" i="23"/>
  <c r="K316" i="23"/>
  <c r="L316" i="23"/>
  <c r="M316" i="23"/>
  <c r="N316" i="23"/>
  <c r="O316" i="23"/>
  <c r="P316" i="23"/>
  <c r="Q316" i="23"/>
  <c r="R316" i="23"/>
  <c r="S316" i="23"/>
  <c r="B317" i="23"/>
  <c r="D317" i="23"/>
  <c r="E317" i="23"/>
  <c r="F317" i="23"/>
  <c r="G317" i="23"/>
  <c r="H317" i="23"/>
  <c r="I317" i="23"/>
  <c r="J317" i="23"/>
  <c r="K317" i="23"/>
  <c r="L317" i="23"/>
  <c r="M317" i="23"/>
  <c r="N317" i="23"/>
  <c r="O317" i="23"/>
  <c r="P317" i="23"/>
  <c r="Q317" i="23"/>
  <c r="R317" i="23"/>
  <c r="S317" i="23"/>
  <c r="B318" i="23"/>
  <c r="D318" i="23"/>
  <c r="E318" i="23"/>
  <c r="F318" i="23"/>
  <c r="G318" i="23"/>
  <c r="H318" i="23"/>
  <c r="I318" i="23"/>
  <c r="J318" i="23"/>
  <c r="K318" i="23"/>
  <c r="L318" i="23"/>
  <c r="M318" i="23"/>
  <c r="N318" i="23"/>
  <c r="O318" i="23"/>
  <c r="P318" i="23"/>
  <c r="Q318" i="23"/>
  <c r="R318" i="23"/>
  <c r="S318" i="23"/>
  <c r="B319" i="23"/>
  <c r="D319" i="23"/>
  <c r="E319" i="23"/>
  <c r="F319" i="23"/>
  <c r="G319" i="23"/>
  <c r="H319" i="23"/>
  <c r="I319" i="23"/>
  <c r="J319" i="23"/>
  <c r="K319" i="23"/>
  <c r="L319" i="23"/>
  <c r="M319" i="23"/>
  <c r="N319" i="23"/>
  <c r="O319" i="23"/>
  <c r="P319" i="23"/>
  <c r="Q319" i="23"/>
  <c r="R319" i="23"/>
  <c r="S319" i="23"/>
  <c r="B320" i="23"/>
  <c r="D320" i="23"/>
  <c r="E320" i="23"/>
  <c r="F320" i="23"/>
  <c r="G320" i="23"/>
  <c r="H320" i="23"/>
  <c r="I320" i="23"/>
  <c r="J320" i="23"/>
  <c r="K320" i="23"/>
  <c r="L320" i="23"/>
  <c r="M320" i="23"/>
  <c r="N320" i="23"/>
  <c r="O320" i="23"/>
  <c r="P320" i="23"/>
  <c r="Q320" i="23"/>
  <c r="R320" i="23"/>
  <c r="S320" i="23"/>
  <c r="B321" i="23"/>
  <c r="D321" i="23"/>
  <c r="E321" i="23"/>
  <c r="F321" i="23"/>
  <c r="G321" i="23"/>
  <c r="H321" i="23"/>
  <c r="I321" i="23"/>
  <c r="J321" i="23"/>
  <c r="K321" i="23"/>
  <c r="L321" i="23"/>
  <c r="M321" i="23"/>
  <c r="N321" i="23"/>
  <c r="O321" i="23"/>
  <c r="P321" i="23"/>
  <c r="Q321" i="23"/>
  <c r="R321" i="23"/>
  <c r="S321" i="23"/>
  <c r="B322" i="23"/>
  <c r="D322" i="23"/>
  <c r="E322" i="23"/>
  <c r="F322" i="23"/>
  <c r="G322" i="23"/>
  <c r="H322" i="23"/>
  <c r="I322" i="23"/>
  <c r="J322" i="23"/>
  <c r="K322" i="23"/>
  <c r="L322" i="23"/>
  <c r="M322" i="23"/>
  <c r="N322" i="23"/>
  <c r="O322" i="23"/>
  <c r="P322" i="23"/>
  <c r="Q322" i="23"/>
  <c r="R322" i="23"/>
  <c r="S322" i="23"/>
  <c r="B323" i="23"/>
  <c r="D323" i="23"/>
  <c r="E323" i="23"/>
  <c r="F323" i="23"/>
  <c r="G323" i="23"/>
  <c r="H323" i="23"/>
  <c r="I323" i="23"/>
  <c r="J323" i="23"/>
  <c r="K323" i="23"/>
  <c r="L323" i="23"/>
  <c r="M323" i="23"/>
  <c r="N323" i="23"/>
  <c r="O323" i="23"/>
  <c r="P323" i="23"/>
  <c r="Q323" i="23"/>
  <c r="R323" i="23"/>
  <c r="S323" i="23"/>
  <c r="B324" i="23"/>
  <c r="D324" i="23"/>
  <c r="E324" i="23"/>
  <c r="F324" i="23"/>
  <c r="G324" i="23"/>
  <c r="H324" i="23"/>
  <c r="I324" i="23"/>
  <c r="J324" i="23"/>
  <c r="K324" i="23"/>
  <c r="L324" i="23"/>
  <c r="M324" i="23"/>
  <c r="N324" i="23"/>
  <c r="O324" i="23"/>
  <c r="P324" i="23"/>
  <c r="Q324" i="23"/>
  <c r="R324" i="23"/>
  <c r="S324" i="23"/>
  <c r="B325" i="23"/>
  <c r="D325" i="23"/>
  <c r="E325" i="23"/>
  <c r="F325" i="23"/>
  <c r="G325" i="23"/>
  <c r="H325" i="23"/>
  <c r="I325" i="23"/>
  <c r="J325" i="23"/>
  <c r="K325" i="23"/>
  <c r="L325" i="23"/>
  <c r="M325" i="23"/>
  <c r="N325" i="23"/>
  <c r="O325" i="23"/>
  <c r="P325" i="23"/>
  <c r="Q325" i="23"/>
  <c r="R325" i="23"/>
  <c r="S325" i="23"/>
  <c r="B326" i="23"/>
  <c r="D326" i="23"/>
  <c r="E326" i="23"/>
  <c r="F326" i="23"/>
  <c r="G326" i="23"/>
  <c r="H326" i="23"/>
  <c r="I326" i="23"/>
  <c r="J326" i="23"/>
  <c r="K326" i="23"/>
  <c r="L326" i="23"/>
  <c r="M326" i="23"/>
  <c r="N326" i="23"/>
  <c r="O326" i="23"/>
  <c r="P326" i="23"/>
  <c r="Q326" i="23"/>
  <c r="R326" i="23"/>
  <c r="S326" i="23"/>
  <c r="B327" i="23"/>
  <c r="D327" i="23"/>
  <c r="E327" i="23"/>
  <c r="F327" i="23"/>
  <c r="G327" i="23"/>
  <c r="H327" i="23"/>
  <c r="I327" i="23"/>
  <c r="J327" i="23"/>
  <c r="K327" i="23"/>
  <c r="L327" i="23"/>
  <c r="M327" i="23"/>
  <c r="N327" i="23"/>
  <c r="O327" i="23"/>
  <c r="P327" i="23"/>
  <c r="Q327" i="23"/>
  <c r="R327" i="23"/>
  <c r="S327" i="23"/>
  <c r="B328" i="23"/>
  <c r="D328" i="23"/>
  <c r="E328" i="23"/>
  <c r="F328" i="23"/>
  <c r="G328" i="23"/>
  <c r="H328" i="23"/>
  <c r="I328" i="23"/>
  <c r="J328" i="23"/>
  <c r="K328" i="23"/>
  <c r="L328" i="23"/>
  <c r="M328" i="23"/>
  <c r="N328" i="23"/>
  <c r="O328" i="23"/>
  <c r="P328" i="23"/>
  <c r="Q328" i="23"/>
  <c r="R328" i="23"/>
  <c r="S328" i="23"/>
  <c r="B329" i="23"/>
  <c r="D329" i="23"/>
  <c r="E329" i="23"/>
  <c r="F329" i="23"/>
  <c r="G329" i="23"/>
  <c r="H329" i="23"/>
  <c r="I329" i="23"/>
  <c r="J329" i="23"/>
  <c r="K329" i="23"/>
  <c r="L329" i="23"/>
  <c r="M329" i="23"/>
  <c r="N329" i="23"/>
  <c r="O329" i="23"/>
  <c r="P329" i="23"/>
  <c r="Q329" i="23"/>
  <c r="R329" i="23"/>
  <c r="S329" i="23"/>
  <c r="B330" i="23"/>
  <c r="D330" i="23"/>
  <c r="E330" i="23"/>
  <c r="F330" i="23"/>
  <c r="G330" i="23"/>
  <c r="H330" i="23"/>
  <c r="I330" i="23"/>
  <c r="J330" i="23"/>
  <c r="K330" i="23"/>
  <c r="L330" i="23"/>
  <c r="M330" i="23"/>
  <c r="N330" i="23"/>
  <c r="O330" i="23"/>
  <c r="P330" i="23"/>
  <c r="Q330" i="23"/>
  <c r="R330" i="23"/>
  <c r="S330" i="23"/>
  <c r="B331" i="23"/>
  <c r="D331" i="23"/>
  <c r="E331" i="23"/>
  <c r="F331" i="23"/>
  <c r="G331" i="23"/>
  <c r="H331" i="23"/>
  <c r="I331" i="23"/>
  <c r="J331" i="23"/>
  <c r="K331" i="23"/>
  <c r="L331" i="23"/>
  <c r="M331" i="23"/>
  <c r="N331" i="23"/>
  <c r="O331" i="23"/>
  <c r="P331" i="23"/>
  <c r="Q331" i="23"/>
  <c r="R331" i="23"/>
  <c r="S331" i="23"/>
  <c r="B332" i="23"/>
  <c r="D332" i="23"/>
  <c r="E332" i="23"/>
  <c r="F332" i="23"/>
  <c r="G332" i="23"/>
  <c r="H332" i="23"/>
  <c r="I332" i="23"/>
  <c r="J332" i="23"/>
  <c r="K332" i="23"/>
  <c r="L332" i="23"/>
  <c r="M332" i="23"/>
  <c r="N332" i="23"/>
  <c r="O332" i="23"/>
  <c r="P332" i="23"/>
  <c r="Q332" i="23"/>
  <c r="R332" i="23"/>
  <c r="S332" i="23"/>
  <c r="B333" i="23"/>
  <c r="D333" i="23"/>
  <c r="E333" i="23"/>
  <c r="F333" i="23"/>
  <c r="G333" i="23"/>
  <c r="H333" i="23"/>
  <c r="I333" i="23"/>
  <c r="J333" i="23"/>
  <c r="K333" i="23"/>
  <c r="L333" i="23"/>
  <c r="M333" i="23"/>
  <c r="N333" i="23"/>
  <c r="O333" i="23"/>
  <c r="P333" i="23"/>
  <c r="Q333" i="23"/>
  <c r="R333" i="23"/>
  <c r="S333" i="23"/>
  <c r="B334" i="23"/>
  <c r="D334" i="23"/>
  <c r="E334" i="23"/>
  <c r="F334" i="23"/>
  <c r="G334" i="23"/>
  <c r="H334" i="23"/>
  <c r="I334" i="23"/>
  <c r="J334" i="23"/>
  <c r="K334" i="23"/>
  <c r="L334" i="23"/>
  <c r="M334" i="23"/>
  <c r="N334" i="23"/>
  <c r="O334" i="23"/>
  <c r="P334" i="23"/>
  <c r="Q334" i="23"/>
  <c r="R334" i="23"/>
  <c r="S334" i="23"/>
  <c r="B335" i="23"/>
  <c r="D335" i="23"/>
  <c r="E335" i="23"/>
  <c r="F335" i="23"/>
  <c r="G335" i="23"/>
  <c r="H335" i="23"/>
  <c r="I335" i="23"/>
  <c r="J335" i="23"/>
  <c r="K335" i="23"/>
  <c r="L335" i="23"/>
  <c r="M335" i="23"/>
  <c r="N335" i="23"/>
  <c r="O335" i="23"/>
  <c r="P335" i="23"/>
  <c r="Q335" i="23"/>
  <c r="R335" i="23"/>
  <c r="S335" i="23"/>
  <c r="B336" i="23"/>
  <c r="D336" i="23"/>
  <c r="E336" i="23"/>
  <c r="F336" i="23"/>
  <c r="G336" i="23"/>
  <c r="H336" i="23"/>
  <c r="I336" i="23"/>
  <c r="J336" i="23"/>
  <c r="K336" i="23"/>
  <c r="L336" i="23"/>
  <c r="M336" i="23"/>
  <c r="N336" i="23"/>
  <c r="O336" i="23"/>
  <c r="P336" i="23"/>
  <c r="Q336" i="23"/>
  <c r="R336" i="23"/>
  <c r="S336" i="23"/>
  <c r="B337" i="23"/>
  <c r="D337" i="23"/>
  <c r="E337" i="23"/>
  <c r="F337" i="23"/>
  <c r="G337" i="23"/>
  <c r="H337" i="23"/>
  <c r="I337" i="23"/>
  <c r="J337" i="23"/>
  <c r="K337" i="23"/>
  <c r="L337" i="23"/>
  <c r="M337" i="23"/>
  <c r="N337" i="23"/>
  <c r="O337" i="23"/>
  <c r="P337" i="23"/>
  <c r="Q337" i="23"/>
  <c r="R337" i="23"/>
  <c r="S337" i="23"/>
  <c r="B338" i="23"/>
  <c r="D338" i="23"/>
  <c r="E338" i="23"/>
  <c r="F338" i="23"/>
  <c r="G338" i="23"/>
  <c r="H338" i="23"/>
  <c r="I338" i="23"/>
  <c r="J338" i="23"/>
  <c r="K338" i="23"/>
  <c r="L338" i="23"/>
  <c r="M338" i="23"/>
  <c r="N338" i="23"/>
  <c r="O338" i="23"/>
  <c r="P338" i="23"/>
  <c r="Q338" i="23"/>
  <c r="R338" i="23"/>
  <c r="S338" i="23"/>
  <c r="B339" i="23"/>
  <c r="D339" i="23"/>
  <c r="E339" i="23"/>
  <c r="F339" i="23"/>
  <c r="G339" i="23"/>
  <c r="H339" i="23"/>
  <c r="I339" i="23"/>
  <c r="J339" i="23"/>
  <c r="K339" i="23"/>
  <c r="L339" i="23"/>
  <c r="M339" i="23"/>
  <c r="N339" i="23"/>
  <c r="O339" i="23"/>
  <c r="P339" i="23"/>
  <c r="Q339" i="23"/>
  <c r="R339" i="23"/>
  <c r="S339" i="23"/>
  <c r="B340" i="23"/>
  <c r="D340" i="23"/>
  <c r="E340" i="23"/>
  <c r="F340" i="23"/>
  <c r="G340" i="23"/>
  <c r="H340" i="23"/>
  <c r="I340" i="23"/>
  <c r="J340" i="23"/>
  <c r="K340" i="23"/>
  <c r="L340" i="23"/>
  <c r="M340" i="23"/>
  <c r="N340" i="23"/>
  <c r="O340" i="23"/>
  <c r="P340" i="23"/>
  <c r="Q340" i="23"/>
  <c r="R340" i="23"/>
  <c r="S340" i="23"/>
  <c r="B341" i="23"/>
  <c r="D341" i="23"/>
  <c r="E341" i="23"/>
  <c r="F341" i="23"/>
  <c r="G341" i="23"/>
  <c r="H341" i="23"/>
  <c r="I341" i="23"/>
  <c r="J341" i="23"/>
  <c r="K341" i="23"/>
  <c r="L341" i="23"/>
  <c r="M341" i="23"/>
  <c r="N341" i="23"/>
  <c r="O341" i="23"/>
  <c r="P341" i="23"/>
  <c r="Q341" i="23"/>
  <c r="R341" i="23"/>
  <c r="S341" i="23"/>
  <c r="B342" i="23"/>
  <c r="D342" i="23"/>
  <c r="E342" i="23"/>
  <c r="F342" i="23"/>
  <c r="G342" i="23"/>
  <c r="H342" i="23"/>
  <c r="I342" i="23"/>
  <c r="J342" i="23"/>
  <c r="K342" i="23"/>
  <c r="L342" i="23"/>
  <c r="M342" i="23"/>
  <c r="N342" i="23"/>
  <c r="O342" i="23"/>
  <c r="P342" i="23"/>
  <c r="Q342" i="23"/>
  <c r="R342" i="23"/>
  <c r="S342" i="23"/>
  <c r="B343" i="23"/>
  <c r="D343" i="23"/>
  <c r="E343" i="23"/>
  <c r="F343" i="23"/>
  <c r="G343" i="23"/>
  <c r="H343" i="23"/>
  <c r="I343" i="23"/>
  <c r="J343" i="23"/>
  <c r="K343" i="23"/>
  <c r="L343" i="23"/>
  <c r="M343" i="23"/>
  <c r="N343" i="23"/>
  <c r="O343" i="23"/>
  <c r="P343" i="23"/>
  <c r="Q343" i="23"/>
  <c r="R343" i="23"/>
  <c r="S343" i="23"/>
  <c r="B344" i="23"/>
  <c r="D344" i="23"/>
  <c r="E344" i="23"/>
  <c r="F344" i="23"/>
  <c r="G344" i="23"/>
  <c r="H344" i="23"/>
  <c r="I344" i="23"/>
  <c r="J344" i="23"/>
  <c r="K344" i="23"/>
  <c r="L344" i="23"/>
  <c r="M344" i="23"/>
  <c r="N344" i="23"/>
  <c r="O344" i="23"/>
  <c r="P344" i="23"/>
  <c r="Q344" i="23"/>
  <c r="R344" i="23"/>
  <c r="S344" i="23"/>
  <c r="B345" i="23"/>
  <c r="D345" i="23"/>
  <c r="E345" i="23"/>
  <c r="F345" i="23"/>
  <c r="G345" i="23"/>
  <c r="H345" i="23"/>
  <c r="I345" i="23"/>
  <c r="J345" i="23"/>
  <c r="K345" i="23"/>
  <c r="L345" i="23"/>
  <c r="M345" i="23"/>
  <c r="N345" i="23"/>
  <c r="O345" i="23"/>
  <c r="P345" i="23"/>
  <c r="Q345" i="23"/>
  <c r="R345" i="23"/>
  <c r="S345" i="23"/>
  <c r="B346" i="23"/>
  <c r="D346" i="23"/>
  <c r="E346" i="23"/>
  <c r="F346" i="23"/>
  <c r="G346" i="23"/>
  <c r="H346" i="23"/>
  <c r="I346" i="23"/>
  <c r="J346" i="23"/>
  <c r="K346" i="23"/>
  <c r="L346" i="23"/>
  <c r="M346" i="23"/>
  <c r="N346" i="23"/>
  <c r="O346" i="23"/>
  <c r="P346" i="23"/>
  <c r="Q346" i="23"/>
  <c r="R346" i="23"/>
  <c r="S346" i="23"/>
  <c r="B347" i="23"/>
  <c r="D347" i="23"/>
  <c r="E347" i="23"/>
  <c r="F347" i="23"/>
  <c r="G347" i="23"/>
  <c r="H347" i="23"/>
  <c r="I347" i="23"/>
  <c r="J347" i="23"/>
  <c r="K347" i="23"/>
  <c r="L347" i="23"/>
  <c r="M347" i="23"/>
  <c r="N347" i="23"/>
  <c r="O347" i="23"/>
  <c r="P347" i="23"/>
  <c r="Q347" i="23"/>
  <c r="R347" i="23"/>
  <c r="S347" i="23"/>
  <c r="B348" i="23"/>
  <c r="D348" i="23"/>
  <c r="E348" i="23"/>
  <c r="F348" i="23"/>
  <c r="G348" i="23"/>
  <c r="H348" i="23"/>
  <c r="I348" i="23"/>
  <c r="J348" i="23"/>
  <c r="K348" i="23"/>
  <c r="L348" i="23"/>
  <c r="M348" i="23"/>
  <c r="N348" i="23"/>
  <c r="O348" i="23"/>
  <c r="P348" i="23"/>
  <c r="Q348" i="23"/>
  <c r="R348" i="23"/>
  <c r="S348" i="23"/>
  <c r="B349" i="23"/>
  <c r="D349" i="23"/>
  <c r="E349" i="23"/>
  <c r="F349" i="23"/>
  <c r="G349" i="23"/>
  <c r="H349" i="23"/>
  <c r="I349" i="23"/>
  <c r="J349" i="23"/>
  <c r="K349" i="23"/>
  <c r="L349" i="23"/>
  <c r="M349" i="23"/>
  <c r="N349" i="23"/>
  <c r="O349" i="23"/>
  <c r="P349" i="23"/>
  <c r="Q349" i="23"/>
  <c r="R349" i="23"/>
  <c r="S349" i="23"/>
  <c r="B350" i="23"/>
  <c r="D350" i="23"/>
  <c r="E350" i="23"/>
  <c r="F350" i="23"/>
  <c r="G350" i="23"/>
  <c r="H350" i="23"/>
  <c r="I350" i="23"/>
  <c r="J350" i="23"/>
  <c r="K350" i="23"/>
  <c r="L350" i="23"/>
  <c r="M350" i="23"/>
  <c r="N350" i="23"/>
  <c r="O350" i="23"/>
  <c r="P350" i="23"/>
  <c r="Q350" i="23"/>
  <c r="R350" i="23"/>
  <c r="S350" i="23"/>
  <c r="B351" i="23"/>
  <c r="D351" i="23"/>
  <c r="E351" i="23"/>
  <c r="F351" i="23"/>
  <c r="G351" i="23"/>
  <c r="H351" i="23"/>
  <c r="I351" i="23"/>
  <c r="J351" i="23"/>
  <c r="K351" i="23"/>
  <c r="L351" i="23"/>
  <c r="M351" i="23"/>
  <c r="N351" i="23"/>
  <c r="O351" i="23"/>
  <c r="P351" i="23"/>
  <c r="Q351" i="23"/>
  <c r="R351" i="23"/>
  <c r="S351" i="23"/>
  <c r="B352" i="23"/>
  <c r="D352" i="23"/>
  <c r="E352" i="23"/>
  <c r="F352" i="23"/>
  <c r="G352" i="23"/>
  <c r="H352" i="23"/>
  <c r="I352" i="23"/>
  <c r="J352" i="23"/>
  <c r="K352" i="23"/>
  <c r="L352" i="23"/>
  <c r="M352" i="23"/>
  <c r="N352" i="23"/>
  <c r="O352" i="23"/>
  <c r="P352" i="23"/>
  <c r="Q352" i="23"/>
  <c r="R352" i="23"/>
  <c r="S352" i="23"/>
  <c r="B353" i="23"/>
  <c r="D353" i="23"/>
  <c r="E353" i="23"/>
  <c r="F353" i="23"/>
  <c r="G353" i="23"/>
  <c r="H353" i="23"/>
  <c r="I353" i="23"/>
  <c r="J353" i="23"/>
  <c r="K353" i="23"/>
  <c r="L353" i="23"/>
  <c r="M353" i="23"/>
  <c r="N353" i="23"/>
  <c r="O353" i="23"/>
  <c r="P353" i="23"/>
  <c r="Q353" i="23"/>
  <c r="R353" i="23"/>
  <c r="S353" i="23"/>
  <c r="B354" i="23"/>
  <c r="D354" i="23"/>
  <c r="E354" i="23"/>
  <c r="F354" i="23"/>
  <c r="G354" i="23"/>
  <c r="H354" i="23"/>
  <c r="I354" i="23"/>
  <c r="J354" i="23"/>
  <c r="K354" i="23"/>
  <c r="L354" i="23"/>
  <c r="M354" i="23"/>
  <c r="N354" i="23"/>
  <c r="O354" i="23"/>
  <c r="P354" i="23"/>
  <c r="Q354" i="23"/>
  <c r="R354" i="23"/>
  <c r="S354" i="23"/>
  <c r="B355" i="23"/>
  <c r="D355" i="23"/>
  <c r="E355" i="23"/>
  <c r="F355" i="23"/>
  <c r="G355" i="23"/>
  <c r="H355" i="23"/>
  <c r="I355" i="23"/>
  <c r="J355" i="23"/>
  <c r="K355" i="23"/>
  <c r="L355" i="23"/>
  <c r="M355" i="23"/>
  <c r="N355" i="23"/>
  <c r="O355" i="23"/>
  <c r="P355" i="23"/>
  <c r="Q355" i="23"/>
  <c r="R355" i="23"/>
  <c r="S355" i="23"/>
  <c r="B356" i="23"/>
  <c r="D356" i="23"/>
  <c r="E356" i="23"/>
  <c r="F356" i="23"/>
  <c r="G356" i="23"/>
  <c r="H356" i="23"/>
  <c r="I356" i="23"/>
  <c r="J356" i="23"/>
  <c r="K356" i="23"/>
  <c r="L356" i="23"/>
  <c r="M356" i="23"/>
  <c r="N356" i="23"/>
  <c r="O356" i="23"/>
  <c r="P356" i="23"/>
  <c r="Q356" i="23"/>
  <c r="R356" i="23"/>
  <c r="S356" i="23"/>
  <c r="B357" i="23"/>
  <c r="D357" i="23"/>
  <c r="E357" i="23"/>
  <c r="F357" i="23"/>
  <c r="G357" i="23"/>
  <c r="H357" i="23"/>
  <c r="I357" i="23"/>
  <c r="J357" i="23"/>
  <c r="K357" i="23"/>
  <c r="L357" i="23"/>
  <c r="M357" i="23"/>
  <c r="N357" i="23"/>
  <c r="O357" i="23"/>
  <c r="P357" i="23"/>
  <c r="Q357" i="23"/>
  <c r="R357" i="23"/>
  <c r="S357" i="23"/>
  <c r="B358" i="23"/>
  <c r="D358" i="23"/>
  <c r="E358" i="23"/>
  <c r="F358" i="23"/>
  <c r="G358" i="23"/>
  <c r="H358" i="23"/>
  <c r="I358" i="23"/>
  <c r="J358" i="23"/>
  <c r="K358" i="23"/>
  <c r="L358" i="23"/>
  <c r="M358" i="23"/>
  <c r="N358" i="23"/>
  <c r="O358" i="23"/>
  <c r="P358" i="23"/>
  <c r="Q358" i="23"/>
  <c r="R358" i="23"/>
  <c r="S358" i="23"/>
  <c r="B359" i="23"/>
  <c r="D359" i="23"/>
  <c r="E359" i="23"/>
  <c r="F359" i="23"/>
  <c r="G359" i="23"/>
  <c r="H359" i="23"/>
  <c r="I359" i="23"/>
  <c r="J359" i="23"/>
  <c r="K359" i="23"/>
  <c r="L359" i="23"/>
  <c r="M359" i="23"/>
  <c r="N359" i="23"/>
  <c r="O359" i="23"/>
  <c r="P359" i="23"/>
  <c r="Q359" i="23"/>
  <c r="R359" i="23"/>
  <c r="S359" i="23"/>
  <c r="B360" i="23"/>
  <c r="D360" i="23"/>
  <c r="E360" i="23"/>
  <c r="F360" i="23"/>
  <c r="G360" i="23"/>
  <c r="H360" i="23"/>
  <c r="I360" i="23"/>
  <c r="J360" i="23"/>
  <c r="K360" i="23"/>
  <c r="L360" i="23"/>
  <c r="M360" i="23"/>
  <c r="N360" i="23"/>
  <c r="O360" i="23"/>
  <c r="P360" i="23"/>
  <c r="Q360" i="23"/>
  <c r="R360" i="23"/>
  <c r="S360" i="23"/>
  <c r="B361" i="23"/>
  <c r="D361" i="23"/>
  <c r="E361" i="23"/>
  <c r="F361" i="23"/>
  <c r="G361" i="23"/>
  <c r="H361" i="23"/>
  <c r="I361" i="23"/>
  <c r="J361" i="23"/>
  <c r="K361" i="23"/>
  <c r="L361" i="23"/>
  <c r="M361" i="23"/>
  <c r="N361" i="23"/>
  <c r="O361" i="23"/>
  <c r="P361" i="23"/>
  <c r="Q361" i="23"/>
  <c r="R361" i="23"/>
  <c r="S361" i="23"/>
  <c r="B362" i="23"/>
  <c r="D362" i="23"/>
  <c r="E362" i="23"/>
  <c r="F362" i="23"/>
  <c r="G362" i="23"/>
  <c r="H362" i="23"/>
  <c r="I362" i="23"/>
  <c r="J362" i="23"/>
  <c r="K362" i="23"/>
  <c r="L362" i="23"/>
  <c r="M362" i="23"/>
  <c r="N362" i="23"/>
  <c r="O362" i="23"/>
  <c r="P362" i="23"/>
  <c r="Q362" i="23"/>
  <c r="R362" i="23"/>
  <c r="S362" i="23"/>
  <c r="T26" i="7" l="1"/>
  <c r="T25" i="7"/>
  <c r="T24" i="7"/>
  <c r="T23" i="7"/>
  <c r="T22" i="7"/>
  <c r="T21" i="7"/>
  <c r="T20" i="7"/>
  <c r="T19" i="7"/>
  <c r="T18" i="7"/>
  <c r="T17" i="7"/>
  <c r="T16" i="7"/>
  <c r="T15" i="7"/>
  <c r="T14" i="7"/>
  <c r="T13" i="7"/>
  <c r="T12" i="7"/>
  <c r="T11" i="7"/>
  <c r="T10" i="7"/>
  <c r="T9" i="7"/>
  <c r="T8" i="7"/>
  <c r="T7" i="7"/>
  <c r="T6" i="7"/>
  <c r="T5" i="7"/>
  <c r="T4" i="7"/>
  <c r="T3" i="7"/>
  <c r="S26" i="7"/>
  <c r="S25" i="7"/>
  <c r="S24" i="7"/>
  <c r="S23" i="7"/>
  <c r="S22" i="7"/>
  <c r="S21" i="7"/>
  <c r="S20" i="7"/>
  <c r="S19" i="7"/>
  <c r="S18" i="7"/>
  <c r="S17" i="7"/>
  <c r="S16" i="7"/>
  <c r="S15" i="7"/>
  <c r="S14" i="7"/>
  <c r="S13" i="7"/>
  <c r="S12" i="7"/>
  <c r="S11" i="7"/>
  <c r="S10" i="7"/>
  <c r="S9" i="7"/>
  <c r="S8" i="7"/>
  <c r="S7" i="7"/>
  <c r="S6" i="7"/>
  <c r="S5" i="7"/>
  <c r="S4" i="7"/>
  <c r="S3" i="7"/>
  <c r="R26" i="7"/>
  <c r="R25" i="7"/>
  <c r="R24" i="7"/>
  <c r="R23" i="7"/>
  <c r="R22" i="7"/>
  <c r="R21" i="7"/>
  <c r="R20" i="7"/>
  <c r="R19" i="7"/>
  <c r="R18" i="7"/>
  <c r="R17" i="7"/>
  <c r="R16" i="7"/>
  <c r="R15" i="7"/>
  <c r="R14" i="7"/>
  <c r="R13" i="7"/>
  <c r="R12" i="7"/>
  <c r="R11" i="7"/>
  <c r="R10" i="7"/>
  <c r="R9" i="7"/>
  <c r="R8" i="7"/>
  <c r="R7" i="7"/>
  <c r="R6" i="7"/>
  <c r="R5" i="7"/>
  <c r="R4" i="7"/>
  <c r="R3" i="7"/>
  <c r="Q26" i="7"/>
  <c r="Q25" i="7"/>
  <c r="Q24" i="7"/>
  <c r="Q23" i="7"/>
  <c r="Q22" i="7"/>
  <c r="Q21" i="7"/>
  <c r="Q20" i="7"/>
  <c r="Q19" i="7"/>
  <c r="Q18" i="7"/>
  <c r="Q17" i="7"/>
  <c r="Q16" i="7"/>
  <c r="Q15" i="7"/>
  <c r="Q14" i="7"/>
  <c r="Q13" i="7"/>
  <c r="Q12" i="7"/>
  <c r="Q11" i="7"/>
  <c r="Q10" i="7"/>
  <c r="Q9" i="7"/>
  <c r="Q8" i="7"/>
  <c r="Q7" i="7"/>
  <c r="Q6" i="7"/>
  <c r="Q5" i="7"/>
  <c r="Q4" i="7"/>
  <c r="Q3" i="7"/>
  <c r="P26" i="7"/>
  <c r="P25" i="7"/>
  <c r="P24" i="7"/>
  <c r="P23" i="7"/>
  <c r="P22" i="7"/>
  <c r="P21" i="7"/>
  <c r="P20" i="7"/>
  <c r="P19" i="7"/>
  <c r="P18" i="7"/>
  <c r="P17" i="7"/>
  <c r="P16" i="7"/>
  <c r="P15" i="7"/>
  <c r="P14" i="7"/>
  <c r="P13" i="7"/>
  <c r="P12" i="7"/>
  <c r="P11" i="7"/>
  <c r="P10" i="7"/>
  <c r="P9" i="7"/>
  <c r="P8" i="7"/>
  <c r="P7" i="7"/>
  <c r="P6" i="7"/>
  <c r="P5" i="7"/>
  <c r="P4" i="7"/>
  <c r="P3" i="7"/>
  <c r="O26" i="7"/>
  <c r="O25" i="7"/>
  <c r="O24" i="7"/>
  <c r="O23" i="7"/>
  <c r="O22" i="7"/>
  <c r="O21" i="7"/>
  <c r="O20" i="7"/>
  <c r="O19" i="7"/>
  <c r="O18" i="7"/>
  <c r="O17" i="7"/>
  <c r="O16" i="7"/>
  <c r="O15" i="7"/>
  <c r="O14" i="7"/>
  <c r="O13" i="7"/>
  <c r="O12" i="7"/>
  <c r="O11" i="7"/>
  <c r="O10" i="7"/>
  <c r="O9" i="7"/>
  <c r="O8" i="7"/>
  <c r="O7" i="7"/>
  <c r="O6" i="7"/>
  <c r="O5" i="7"/>
  <c r="O4" i="7"/>
  <c r="O3" i="7"/>
  <c r="N26" i="7"/>
  <c r="N25" i="7"/>
  <c r="N24" i="7"/>
  <c r="N23" i="7"/>
  <c r="N22" i="7"/>
  <c r="N21" i="7"/>
  <c r="N20" i="7"/>
  <c r="N19" i="7"/>
  <c r="N18" i="7"/>
  <c r="N17" i="7"/>
  <c r="N16" i="7"/>
  <c r="N15" i="7"/>
  <c r="N14" i="7"/>
  <c r="N13" i="7"/>
  <c r="N12" i="7"/>
  <c r="N11" i="7"/>
  <c r="N10" i="7"/>
  <c r="N9" i="7"/>
  <c r="N8" i="7"/>
  <c r="N7" i="7"/>
  <c r="N6" i="7"/>
  <c r="N5" i="7"/>
  <c r="N4" i="7"/>
  <c r="N3" i="7"/>
  <c r="M26" i="7"/>
  <c r="M25" i="7"/>
  <c r="M24" i="7"/>
  <c r="M23" i="7"/>
  <c r="M22" i="7"/>
  <c r="M21" i="7"/>
  <c r="M20" i="7"/>
  <c r="M19" i="7"/>
  <c r="M18" i="7"/>
  <c r="M17" i="7"/>
  <c r="M16" i="7"/>
  <c r="M15" i="7"/>
  <c r="M14" i="7"/>
  <c r="M13" i="7"/>
  <c r="M12" i="7"/>
  <c r="M11" i="7"/>
  <c r="M10" i="7"/>
  <c r="M9" i="7"/>
  <c r="M8" i="7"/>
  <c r="M7" i="7"/>
  <c r="M6" i="7"/>
  <c r="M5" i="7"/>
  <c r="M4" i="7"/>
  <c r="M3" i="7"/>
  <c r="L26" i="7"/>
  <c r="L25" i="7"/>
  <c r="L24" i="7"/>
  <c r="L23" i="7"/>
  <c r="L22" i="7"/>
  <c r="L21" i="7"/>
  <c r="L20" i="7"/>
  <c r="L19" i="7"/>
  <c r="L18" i="7"/>
  <c r="L17" i="7"/>
  <c r="L16" i="7"/>
  <c r="L15" i="7"/>
  <c r="L14" i="7"/>
  <c r="L13" i="7"/>
  <c r="L12" i="7"/>
  <c r="L11" i="7"/>
  <c r="L10" i="7"/>
  <c r="L9" i="7"/>
  <c r="L8" i="7"/>
  <c r="L7" i="7"/>
  <c r="L6" i="7"/>
  <c r="L5" i="7"/>
  <c r="L4" i="7"/>
  <c r="L3" i="7"/>
  <c r="K26" i="7"/>
  <c r="K25" i="7"/>
  <c r="K24" i="7"/>
  <c r="K23" i="7"/>
  <c r="K22" i="7"/>
  <c r="K21" i="7"/>
  <c r="K20" i="7"/>
  <c r="K19" i="7"/>
  <c r="K18" i="7"/>
  <c r="K17" i="7"/>
  <c r="K16" i="7"/>
  <c r="K15" i="7"/>
  <c r="K14" i="7"/>
  <c r="K13" i="7"/>
  <c r="K12" i="7"/>
  <c r="K11" i="7"/>
  <c r="K10" i="7"/>
  <c r="K9" i="7"/>
  <c r="K8" i="7"/>
  <c r="K7" i="7"/>
  <c r="K6" i="7"/>
  <c r="K5" i="7"/>
  <c r="K4" i="7"/>
  <c r="K3" i="7"/>
  <c r="J26" i="7"/>
  <c r="J25" i="7"/>
  <c r="J24" i="7"/>
  <c r="J23" i="7"/>
  <c r="J22" i="7"/>
  <c r="J21" i="7"/>
  <c r="J20" i="7"/>
  <c r="J19" i="7"/>
  <c r="J18" i="7"/>
  <c r="J17" i="7"/>
  <c r="J16" i="7"/>
  <c r="J15" i="7"/>
  <c r="J14" i="7"/>
  <c r="J13" i="7"/>
  <c r="J12" i="7"/>
  <c r="J11" i="7"/>
  <c r="J10" i="7"/>
  <c r="J9" i="7"/>
  <c r="J8" i="7"/>
  <c r="J7" i="7"/>
  <c r="J6" i="7"/>
  <c r="J5" i="7"/>
  <c r="J4" i="7"/>
  <c r="J3" i="7"/>
  <c r="I26" i="7"/>
  <c r="I25" i="7"/>
  <c r="I24" i="7"/>
  <c r="I23" i="7"/>
  <c r="I22" i="7"/>
  <c r="I21" i="7"/>
  <c r="I20" i="7"/>
  <c r="I19" i="7"/>
  <c r="I18" i="7"/>
  <c r="I17" i="7"/>
  <c r="I16" i="7"/>
  <c r="I15" i="7"/>
  <c r="I14" i="7"/>
  <c r="I13" i="7"/>
  <c r="I12" i="7"/>
  <c r="I11" i="7"/>
  <c r="I10" i="7"/>
  <c r="I9" i="7"/>
  <c r="I8" i="7"/>
  <c r="I7" i="7"/>
  <c r="I6" i="7"/>
  <c r="I5" i="7"/>
  <c r="I4" i="7"/>
  <c r="I3" i="7"/>
  <c r="H26" i="7"/>
  <c r="H25" i="7"/>
  <c r="H24" i="7"/>
  <c r="H23" i="7"/>
  <c r="H22" i="7"/>
  <c r="H21" i="7"/>
  <c r="H20" i="7"/>
  <c r="H19" i="7"/>
  <c r="H18" i="7"/>
  <c r="H17" i="7"/>
  <c r="H16" i="7"/>
  <c r="H15" i="7"/>
  <c r="H14" i="7"/>
  <c r="H13" i="7"/>
  <c r="H12" i="7"/>
  <c r="H11" i="7"/>
  <c r="H10" i="7"/>
  <c r="H9" i="7"/>
  <c r="H8" i="7"/>
  <c r="H7" i="7"/>
  <c r="H6" i="7"/>
  <c r="H5" i="7"/>
  <c r="H4" i="7"/>
  <c r="H3" i="7"/>
  <c r="G26" i="7"/>
  <c r="G25" i="7"/>
  <c r="G24" i="7"/>
  <c r="G23" i="7"/>
  <c r="G22" i="7"/>
  <c r="G21" i="7"/>
  <c r="G20" i="7"/>
  <c r="G19" i="7"/>
  <c r="G18" i="7"/>
  <c r="G17" i="7"/>
  <c r="G16" i="7"/>
  <c r="G15" i="7"/>
  <c r="G14" i="7"/>
  <c r="G13" i="7"/>
  <c r="G12" i="7"/>
  <c r="G11" i="7"/>
  <c r="G10" i="7"/>
  <c r="G9" i="7"/>
  <c r="G8" i="7"/>
  <c r="G7" i="7"/>
  <c r="G6" i="7"/>
  <c r="G5" i="7"/>
  <c r="G4" i="7"/>
  <c r="G3" i="7"/>
  <c r="F26" i="7"/>
  <c r="F25" i="7"/>
  <c r="F24" i="7"/>
  <c r="F23" i="7"/>
  <c r="F22" i="7"/>
  <c r="F21" i="7"/>
  <c r="F20" i="7"/>
  <c r="F19" i="7"/>
  <c r="F18" i="7"/>
  <c r="F17" i="7"/>
  <c r="F16" i="7"/>
  <c r="F15" i="7"/>
  <c r="F14" i="7"/>
  <c r="F13" i="7"/>
  <c r="F12" i="7"/>
  <c r="F11" i="7"/>
  <c r="F10" i="7"/>
  <c r="F9" i="7"/>
  <c r="F8" i="7"/>
  <c r="F7" i="7"/>
  <c r="F6" i="7"/>
  <c r="F5" i="7"/>
  <c r="F4" i="7"/>
  <c r="F3" i="7"/>
  <c r="E26" i="7"/>
  <c r="E25" i="7"/>
  <c r="E24" i="7"/>
  <c r="E23" i="7"/>
  <c r="E22" i="7"/>
  <c r="E21" i="7"/>
  <c r="E20" i="7"/>
  <c r="E19" i="7"/>
  <c r="E18" i="7"/>
  <c r="E17" i="7"/>
  <c r="E16" i="7"/>
  <c r="E15" i="7"/>
  <c r="E14" i="7"/>
  <c r="E13" i="7"/>
  <c r="E12" i="7"/>
  <c r="E11" i="7"/>
  <c r="E10" i="7"/>
  <c r="E9" i="7"/>
  <c r="E8" i="7"/>
  <c r="E7" i="7"/>
  <c r="E6" i="7"/>
  <c r="E5" i="7"/>
  <c r="E4" i="7"/>
  <c r="E3" i="7"/>
  <c r="D26" i="7"/>
  <c r="D25" i="7"/>
  <c r="D24" i="7"/>
  <c r="D23" i="7"/>
  <c r="D22" i="7"/>
  <c r="D21" i="7"/>
  <c r="D20" i="7"/>
  <c r="D19" i="7"/>
  <c r="D18" i="7"/>
  <c r="D17" i="7"/>
  <c r="D16" i="7"/>
  <c r="D15" i="7"/>
  <c r="D14" i="7"/>
  <c r="D13" i="7"/>
  <c r="D12" i="7"/>
  <c r="D11" i="7"/>
  <c r="D10" i="7"/>
  <c r="D9" i="7"/>
  <c r="D8" i="7"/>
  <c r="D7" i="7"/>
  <c r="D6" i="7"/>
  <c r="D5" i="7"/>
  <c r="D4" i="7"/>
  <c r="D3" i="7"/>
  <c r="C26" i="7"/>
  <c r="C25" i="7"/>
  <c r="C24" i="7"/>
  <c r="C23" i="7"/>
  <c r="C22" i="7"/>
  <c r="C21" i="7"/>
  <c r="C20" i="7"/>
  <c r="C19" i="7"/>
  <c r="C18" i="7"/>
  <c r="C17" i="7"/>
  <c r="C16" i="7"/>
  <c r="C15" i="7"/>
  <c r="C14" i="7"/>
  <c r="C13" i="7"/>
  <c r="C12" i="7"/>
  <c r="C11" i="7"/>
  <c r="C10" i="7"/>
  <c r="C9" i="7"/>
  <c r="C8" i="7"/>
  <c r="C7" i="7"/>
  <c r="C6" i="7"/>
  <c r="C5" i="7"/>
  <c r="C4" i="7"/>
  <c r="C3" i="7"/>
  <c r="B26" i="7"/>
  <c r="B25" i="7"/>
  <c r="B24" i="7"/>
  <c r="B23" i="7"/>
  <c r="B22" i="7"/>
  <c r="B21" i="7"/>
  <c r="B20" i="7"/>
  <c r="B19" i="7"/>
  <c r="B18" i="7"/>
  <c r="B17" i="7"/>
  <c r="B16" i="7"/>
  <c r="B15" i="7"/>
  <c r="B14" i="7"/>
  <c r="B13" i="7"/>
  <c r="B12" i="7"/>
  <c r="B11" i="7"/>
  <c r="B10" i="7"/>
  <c r="B9" i="7"/>
  <c r="B8" i="7"/>
  <c r="B7" i="7"/>
  <c r="B6" i="7"/>
  <c r="B5" i="7"/>
  <c r="B4" i="7"/>
  <c r="B3" i="7"/>
  <c r="V4" i="31" l="1"/>
  <c r="V5" i="31" s="1"/>
  <c r="V6" i="31" s="1"/>
  <c r="V7" i="31" s="1"/>
  <c r="V8" i="31" s="1"/>
  <c r="V9" i="31" s="1"/>
  <c r="V10" i="31" s="1"/>
  <c r="V11" i="31" s="1"/>
  <c r="V12" i="31" s="1"/>
  <c r="V13" i="31" s="1"/>
  <c r="V14" i="31" s="1"/>
  <c r="V15" i="31" s="1"/>
  <c r="V16" i="31" s="1"/>
  <c r="V17" i="31" s="1"/>
  <c r="V18" i="31" s="1"/>
  <c r="V19" i="31" s="1"/>
  <c r="V20" i="31" s="1"/>
  <c r="V3" i="31"/>
  <c r="B1" i="28" l="1"/>
  <c r="C1" i="28" s="1"/>
  <c r="D1" i="28" s="1"/>
  <c r="E1" i="28" l="1"/>
  <c r="F1" i="28" s="1"/>
  <c r="G1" i="28" s="1"/>
  <c r="H1" i="28" s="1"/>
  <c r="I1" i="28" s="1"/>
  <c r="J1" i="28" s="1"/>
  <c r="K1" i="28" s="1"/>
  <c r="L1" i="28" s="1"/>
  <c r="M1" i="28" s="1"/>
  <c r="N1" i="28" s="1"/>
  <c r="O1" i="28" s="1"/>
  <c r="P1" i="28" s="1"/>
  <c r="B3" i="23"/>
  <c r="D3" i="23"/>
  <c r="E3" i="23"/>
  <c r="F3" i="23"/>
  <c r="G3" i="23"/>
  <c r="H3" i="23"/>
  <c r="I3" i="23"/>
  <c r="J3" i="23"/>
  <c r="K3" i="23"/>
  <c r="L3" i="23"/>
  <c r="M3" i="23"/>
  <c r="N3" i="23"/>
  <c r="O3" i="23"/>
  <c r="P3" i="23"/>
  <c r="Q3" i="23"/>
  <c r="R3" i="23"/>
  <c r="S3" i="23"/>
  <c r="S3" i="19"/>
  <c r="R3" i="19"/>
  <c r="Q3" i="19"/>
  <c r="P3" i="19"/>
  <c r="O3" i="19"/>
  <c r="N3" i="19"/>
  <c r="M3" i="19"/>
  <c r="L3" i="19"/>
  <c r="K3" i="19"/>
  <c r="J3" i="19"/>
  <c r="I3" i="19"/>
  <c r="H3" i="19"/>
  <c r="G3" i="19"/>
  <c r="F3" i="19"/>
  <c r="E3" i="19"/>
  <c r="D3" i="19"/>
  <c r="C3" i="19"/>
  <c r="B3" i="19"/>
  <c r="S14" i="9"/>
  <c r="R14" i="9"/>
  <c r="Q14" i="9"/>
  <c r="P14" i="9"/>
  <c r="O14" i="9"/>
  <c r="N14" i="9"/>
  <c r="M14" i="9"/>
  <c r="L14" i="9"/>
  <c r="K14" i="9"/>
  <c r="J14" i="9"/>
  <c r="I14" i="9"/>
  <c r="H14" i="9"/>
  <c r="G14" i="9"/>
  <c r="F14" i="9"/>
  <c r="E14" i="9"/>
  <c r="D14" i="9"/>
  <c r="C14" i="9"/>
  <c r="B14" i="9"/>
  <c r="S13" i="9"/>
  <c r="R13" i="9"/>
  <c r="Q13" i="9"/>
  <c r="P13" i="9"/>
  <c r="O13" i="9"/>
  <c r="N13" i="9"/>
  <c r="M13" i="9"/>
  <c r="L13" i="9"/>
  <c r="K13" i="9"/>
  <c r="J13" i="9"/>
  <c r="I13" i="9"/>
  <c r="H13" i="9"/>
  <c r="G13" i="9"/>
  <c r="F13" i="9"/>
  <c r="E13" i="9"/>
  <c r="D13" i="9"/>
  <c r="C13" i="9"/>
  <c r="B13" i="9"/>
  <c r="S12" i="9"/>
  <c r="R12" i="9"/>
  <c r="Q12" i="9"/>
  <c r="P12" i="9"/>
  <c r="O12" i="9"/>
  <c r="N12" i="9"/>
  <c r="M12" i="9"/>
  <c r="L12" i="9"/>
  <c r="K12" i="9"/>
  <c r="J12" i="9"/>
  <c r="I12" i="9"/>
  <c r="H12" i="9"/>
  <c r="G12" i="9"/>
  <c r="F12" i="9"/>
  <c r="E12" i="9"/>
  <c r="D12" i="9"/>
  <c r="C12" i="9"/>
  <c r="B12" i="9"/>
  <c r="S11" i="9"/>
  <c r="R11" i="9"/>
  <c r="Q11" i="9"/>
  <c r="P11" i="9"/>
  <c r="O11" i="9"/>
  <c r="N11" i="9"/>
  <c r="M11" i="9"/>
  <c r="L11" i="9"/>
  <c r="K11" i="9"/>
  <c r="J11" i="9"/>
  <c r="I11" i="9"/>
  <c r="H11" i="9"/>
  <c r="G11" i="9"/>
  <c r="F11" i="9"/>
  <c r="E11" i="9"/>
  <c r="D11" i="9"/>
  <c r="C11" i="9"/>
  <c r="B11" i="9"/>
  <c r="S10" i="9"/>
  <c r="R10" i="9"/>
  <c r="Q10" i="9"/>
  <c r="P10" i="9"/>
  <c r="O10" i="9"/>
  <c r="N10" i="9"/>
  <c r="M10" i="9"/>
  <c r="L10" i="9"/>
  <c r="K10" i="9"/>
  <c r="J10" i="9"/>
  <c r="I10" i="9"/>
  <c r="H10" i="9"/>
  <c r="G10" i="9"/>
  <c r="F10" i="9"/>
  <c r="E10" i="9"/>
  <c r="D10" i="9"/>
  <c r="C10" i="9"/>
  <c r="B10" i="9"/>
  <c r="S9" i="9"/>
  <c r="R9" i="9"/>
  <c r="Q9" i="9"/>
  <c r="P9" i="9"/>
  <c r="O9" i="9"/>
  <c r="N9" i="9"/>
  <c r="M9" i="9"/>
  <c r="L9" i="9"/>
  <c r="K9" i="9"/>
  <c r="J9" i="9"/>
  <c r="I9" i="9"/>
  <c r="H9" i="9"/>
  <c r="G9" i="9"/>
  <c r="F9" i="9"/>
  <c r="E9" i="9"/>
  <c r="D9" i="9"/>
  <c r="C9" i="9"/>
  <c r="B9" i="9"/>
  <c r="S8" i="9"/>
  <c r="R8" i="9"/>
  <c r="Q8" i="9"/>
  <c r="P8" i="9"/>
  <c r="O8" i="9"/>
  <c r="N8" i="9"/>
  <c r="M8" i="9"/>
  <c r="L8" i="9"/>
  <c r="K8" i="9"/>
  <c r="J8" i="9"/>
  <c r="I8" i="9"/>
  <c r="H8" i="9"/>
  <c r="G8" i="9"/>
  <c r="F8" i="9"/>
  <c r="E8" i="9"/>
  <c r="D8" i="9"/>
  <c r="C8" i="9"/>
  <c r="B8" i="9"/>
  <c r="S7" i="9"/>
  <c r="R7" i="9"/>
  <c r="Q7" i="9"/>
  <c r="P7" i="9"/>
  <c r="O7" i="9"/>
  <c r="N7" i="9"/>
  <c r="M7" i="9"/>
  <c r="L7" i="9"/>
  <c r="K7" i="9"/>
  <c r="J7" i="9"/>
  <c r="I7" i="9"/>
  <c r="H7" i="9"/>
  <c r="G7" i="9"/>
  <c r="F7" i="9"/>
  <c r="E7" i="9"/>
  <c r="D7" i="9"/>
  <c r="C7" i="9"/>
  <c r="B7" i="9"/>
  <c r="S6" i="9"/>
  <c r="R6" i="9"/>
  <c r="Q6" i="9"/>
  <c r="P6" i="9"/>
  <c r="O6" i="9"/>
  <c r="N6" i="9"/>
  <c r="M6" i="9"/>
  <c r="L6" i="9"/>
  <c r="K6" i="9"/>
  <c r="J6" i="9"/>
  <c r="I6" i="9"/>
  <c r="H6" i="9"/>
  <c r="G6" i="9"/>
  <c r="F6" i="9"/>
  <c r="E6" i="9"/>
  <c r="D6" i="9"/>
  <c r="C6" i="9"/>
  <c r="B6" i="9"/>
  <c r="S5" i="9"/>
  <c r="R5" i="9"/>
  <c r="Q5" i="9"/>
  <c r="P5" i="9"/>
  <c r="O5" i="9"/>
  <c r="N5" i="9"/>
  <c r="M5" i="9"/>
  <c r="L5" i="9"/>
  <c r="K5" i="9"/>
  <c r="J5" i="9"/>
  <c r="I5" i="9"/>
  <c r="H5" i="9"/>
  <c r="G5" i="9"/>
  <c r="F5" i="9"/>
  <c r="E5" i="9"/>
  <c r="D5" i="9"/>
  <c r="C5" i="9"/>
  <c r="B5" i="9"/>
  <c r="S4" i="9"/>
  <c r="R4" i="9"/>
  <c r="Q4" i="9"/>
  <c r="P4" i="9"/>
  <c r="O4" i="9"/>
  <c r="N4" i="9"/>
  <c r="M4" i="9"/>
  <c r="L4" i="9"/>
  <c r="K4" i="9"/>
  <c r="J4" i="9"/>
  <c r="I4" i="9"/>
  <c r="H4" i="9"/>
  <c r="G4" i="9"/>
  <c r="F4" i="9"/>
  <c r="E4" i="9"/>
  <c r="D4" i="9"/>
  <c r="C4" i="9"/>
  <c r="B4" i="9"/>
  <c r="S3" i="9"/>
  <c r="R3" i="9"/>
  <c r="Q3" i="9"/>
  <c r="P3" i="9"/>
  <c r="O3" i="9"/>
  <c r="N3" i="9"/>
  <c r="M3" i="9"/>
  <c r="L3" i="9"/>
  <c r="K3" i="9"/>
  <c r="J3" i="9"/>
  <c r="I3" i="9"/>
  <c r="H3" i="9"/>
  <c r="G3" i="9"/>
  <c r="F3" i="9"/>
  <c r="E3" i="9"/>
  <c r="D3" i="9"/>
  <c r="C3" i="9"/>
  <c r="B3" i="9"/>
  <c r="S3" i="8"/>
  <c r="R3" i="8"/>
  <c r="Q3" i="8"/>
  <c r="P3" i="8"/>
  <c r="O3" i="8"/>
  <c r="N3" i="8"/>
  <c r="M3" i="8"/>
  <c r="L3" i="8"/>
  <c r="K3" i="8"/>
  <c r="J3" i="8"/>
  <c r="I3" i="8"/>
  <c r="H3" i="8"/>
  <c r="G3" i="8"/>
  <c r="F3" i="8"/>
  <c r="E3" i="8"/>
  <c r="D3" i="8"/>
  <c r="C3" i="8"/>
  <c r="B3" i="8"/>
  <c r="S3" i="6"/>
  <c r="T3" i="6"/>
  <c r="U3" i="6"/>
  <c r="R3" i="6"/>
  <c r="Q3" i="6"/>
  <c r="P3" i="6"/>
  <c r="O3" i="6"/>
  <c r="N3" i="6"/>
  <c r="M3" i="6"/>
  <c r="L3" i="6"/>
  <c r="K3" i="6"/>
  <c r="J3" i="6"/>
  <c r="I3" i="6"/>
  <c r="H3" i="6"/>
  <c r="G3" i="6"/>
  <c r="F3" i="6"/>
  <c r="E3" i="6"/>
  <c r="D3" i="6"/>
  <c r="C3" i="6"/>
  <c r="B3" i="6"/>
  <c r="S3" i="27"/>
  <c r="R3" i="27"/>
  <c r="Q3" i="27"/>
  <c r="P3" i="27"/>
  <c r="O3" i="27"/>
  <c r="N3" i="27"/>
  <c r="M3" i="27"/>
  <c r="L3" i="27"/>
  <c r="K3" i="27"/>
  <c r="J3" i="27"/>
  <c r="I3" i="27"/>
  <c r="H3" i="27"/>
  <c r="G3" i="27"/>
  <c r="F3" i="27"/>
  <c r="E3" i="27"/>
  <c r="D3" i="27"/>
  <c r="C3" i="27"/>
  <c r="B3" i="27"/>
  <c r="S3" i="26"/>
  <c r="R3" i="26"/>
  <c r="Q3" i="26"/>
  <c r="P3" i="26"/>
  <c r="O3" i="26"/>
  <c r="N3" i="26"/>
  <c r="M3" i="26"/>
  <c r="L3" i="26"/>
  <c r="K3" i="26"/>
  <c r="J3" i="26"/>
  <c r="I3" i="26"/>
  <c r="H3" i="26"/>
  <c r="G3" i="26"/>
  <c r="F3" i="26"/>
  <c r="E3" i="26"/>
  <c r="D3" i="26"/>
  <c r="C3" i="26"/>
  <c r="B3" i="26"/>
  <c r="S3" i="25"/>
  <c r="R3" i="25"/>
  <c r="Q3" i="25"/>
  <c r="P3" i="25"/>
  <c r="O3" i="25"/>
  <c r="N3" i="25"/>
  <c r="M3" i="25"/>
  <c r="L3" i="25"/>
  <c r="K3" i="25"/>
  <c r="J3" i="25"/>
  <c r="I3" i="25"/>
  <c r="H3" i="25"/>
  <c r="G3" i="25"/>
  <c r="F3" i="25"/>
  <c r="E3" i="25"/>
  <c r="D3" i="25"/>
  <c r="B3" i="25"/>
  <c r="R13" i="24"/>
  <c r="Q13" i="24"/>
  <c r="P13" i="24"/>
  <c r="O13" i="24"/>
  <c r="N13" i="24"/>
  <c r="M13" i="24"/>
  <c r="L13" i="24"/>
  <c r="K13" i="24"/>
  <c r="J13" i="24"/>
  <c r="I13" i="24"/>
  <c r="H13" i="24"/>
  <c r="G13" i="24"/>
  <c r="F13" i="24"/>
  <c r="E13" i="24"/>
  <c r="D13" i="24"/>
  <c r="C13" i="24"/>
  <c r="B13" i="24"/>
  <c r="Q1" i="28" l="1"/>
  <c r="T341" i="23"/>
  <c r="T339" i="23"/>
  <c r="T329" i="23"/>
  <c r="T316" i="23"/>
  <c r="T326" i="23"/>
  <c r="T360" i="23"/>
  <c r="T334" i="23"/>
  <c r="T309" i="23"/>
  <c r="T337" i="23"/>
  <c r="T348" i="23"/>
  <c r="T312" i="23"/>
  <c r="T305" i="23"/>
  <c r="T325" i="23"/>
  <c r="T328" i="23"/>
  <c r="T303" i="23"/>
  <c r="T335" i="23"/>
  <c r="T308" i="23"/>
  <c r="T322" i="23"/>
  <c r="T343" i="23"/>
  <c r="T342" i="23"/>
  <c r="T315" i="23"/>
  <c r="T350" i="23"/>
  <c r="T320" i="23"/>
  <c r="T331" i="23"/>
  <c r="T349" i="23"/>
  <c r="T319" i="23"/>
  <c r="T361" i="23"/>
  <c r="T355" i="23"/>
  <c r="T362" i="23"/>
  <c r="T344" i="23"/>
  <c r="T310" i="23"/>
  <c r="T318" i="23"/>
  <c r="T354" i="23"/>
  <c r="T330" i="23"/>
  <c r="T347" i="23"/>
  <c r="T323" i="23"/>
  <c r="T352" i="23"/>
  <c r="T307" i="23"/>
  <c r="T340" i="23"/>
  <c r="T351" i="23"/>
  <c r="T317" i="23"/>
  <c r="T313" i="23"/>
  <c r="T304" i="23"/>
  <c r="T356" i="23"/>
  <c r="T353" i="23"/>
  <c r="T311" i="23"/>
  <c r="T332" i="23"/>
  <c r="T346" i="23"/>
  <c r="T359" i="23"/>
  <c r="T345" i="23"/>
  <c r="T358" i="23"/>
  <c r="T338" i="23"/>
  <c r="T333" i="23"/>
  <c r="T321" i="23"/>
  <c r="T306" i="23"/>
  <c r="T327" i="23"/>
  <c r="T324" i="23"/>
  <c r="T314" i="23"/>
  <c r="T336" i="23"/>
  <c r="T357" i="23"/>
  <c r="V1" i="28" l="1"/>
  <c r="W1" i="28" s="1"/>
  <c r="X1" i="28" s="1"/>
  <c r="Y1" i="28" s="1"/>
  <c r="Z1" i="28" s="1"/>
  <c r="AA1" i="28" s="1"/>
  <c r="AB1" i="28" s="1"/>
  <c r="AC1" i="28" s="1"/>
  <c r="Y1779" i="28" l="1"/>
  <c r="Y1780" i="28" s="1"/>
  <c r="Y1781" i="28" s="1"/>
  <c r="Y1782" i="28" s="1"/>
  <c r="Y1783" i="28" s="1"/>
  <c r="Y1784" i="28" s="1"/>
  <c r="Y1785" i="28" s="1"/>
  <c r="Y1786" i="28" s="1"/>
  <c r="Y1787" i="28" s="1"/>
  <c r="Y1788" i="28" s="1"/>
  <c r="Y1789" i="28" s="1"/>
  <c r="Y1790" i="28" s="1"/>
  <c r="Y1791" i="28" s="1"/>
  <c r="Y1792" i="28" s="1"/>
  <c r="Y1793" i="28" s="1"/>
  <c r="Y1794" i="28" s="1"/>
  <c r="Y1795" i="28" s="1"/>
  <c r="Y1796" i="28" s="1"/>
  <c r="Y1797" i="28" s="1"/>
  <c r="Y1798" i="28" s="1"/>
  <c r="Y1799" i="28" s="1"/>
  <c r="Y1800" i="28" s="1"/>
  <c r="Y1801" i="28" s="1"/>
  <c r="Y1802" i="28" s="1"/>
  <c r="Y1803" i="28" s="1"/>
  <c r="Y1804" i="28" s="1"/>
  <c r="Y1805" i="28" s="1"/>
  <c r="Y1806" i="28" s="1"/>
  <c r="Y1807" i="28" s="1"/>
  <c r="Y1808" i="28" s="1"/>
  <c r="Y1809" i="28" s="1"/>
  <c r="Y1810" i="28" s="1"/>
  <c r="Y1811" i="28" s="1"/>
  <c r="Y1812" i="28" s="1"/>
  <c r="Y1813" i="28" s="1"/>
  <c r="Y1814" i="28" s="1"/>
  <c r="Y1815" i="28" s="1"/>
  <c r="Y1816" i="28" s="1"/>
  <c r="Y1817" i="28" s="1"/>
  <c r="Y1818" i="28" s="1"/>
  <c r="Y1819" i="28" s="1"/>
  <c r="Y1820" i="28" s="1"/>
  <c r="Y1821" i="28" s="1"/>
  <c r="Y1822" i="28" s="1"/>
  <c r="Y1823" i="28" s="1"/>
  <c r="Y1824" i="28" s="1"/>
  <c r="Y1825" i="28" s="1"/>
  <c r="Y1826" i="28" s="1"/>
  <c r="Y1827" i="28" s="1"/>
  <c r="Y1828" i="28" s="1"/>
  <c r="Y1829" i="28" s="1"/>
  <c r="Y1830" i="28" s="1"/>
  <c r="Y1831" i="28" s="1"/>
  <c r="Y1832" i="28" s="1"/>
  <c r="Y1833" i="28" s="1"/>
  <c r="Y1834" i="28" s="1"/>
  <c r="Y1835" i="28" s="1"/>
  <c r="Y1836" i="28" s="1"/>
  <c r="Y1837" i="28" s="1"/>
  <c r="Y1838" i="28" s="1"/>
  <c r="Y1839" i="28" s="1"/>
  <c r="Y1840" i="28" s="1"/>
  <c r="Y1841" i="28" s="1"/>
  <c r="Y1842" i="28" s="1"/>
  <c r="Y1843" i="28" s="1"/>
  <c r="Y1844" i="28" s="1"/>
  <c r="Y1845" i="28" s="1"/>
  <c r="Y1846" i="28" s="1"/>
  <c r="Y1847" i="28" s="1"/>
  <c r="Y1848" i="28" s="1"/>
  <c r="Y1849" i="28" s="1"/>
  <c r="Y1850" i="28" s="1"/>
  <c r="Y1851" i="28" s="1"/>
  <c r="Y1852" i="28" s="1"/>
  <c r="Y1853" i="28" s="1"/>
  <c r="Y1854" i="28" s="1"/>
  <c r="Y1855" i="28" s="1"/>
  <c r="Y1856" i="28" s="1"/>
  <c r="Y1857" i="28" s="1"/>
  <c r="Y1858" i="28" s="1"/>
  <c r="Y1859" i="28" s="1"/>
  <c r="Y1860" i="28" s="1"/>
  <c r="Y1861" i="28" s="1"/>
  <c r="Y1862" i="28" s="1"/>
  <c r="Y1863" i="28" s="1"/>
  <c r="Y1864" i="28" s="1"/>
  <c r="Y1865" i="28" s="1"/>
  <c r="Y1866" i="28" s="1"/>
  <c r="Y1867" i="28" s="1"/>
  <c r="Y1868" i="28" s="1"/>
  <c r="Y1869" i="28" s="1"/>
  <c r="Y1870" i="28" s="1"/>
  <c r="Y1871" i="28" s="1"/>
  <c r="Y1872" i="28" s="1"/>
  <c r="Y1873" i="28" s="1"/>
  <c r="Y1874" i="28" s="1"/>
  <c r="Y1875" i="28" s="1"/>
  <c r="Y1876" i="28" s="1"/>
  <c r="Y1877" i="28" s="1"/>
  <c r="Y1878" i="28" s="1"/>
  <c r="Y1879" i="28" s="1"/>
  <c r="Y1880" i="28" s="1"/>
  <c r="Y1881" i="28" s="1"/>
  <c r="Y1882" i="28" s="1"/>
  <c r="Y1883" i="28" s="1"/>
  <c r="Y1884" i="28" s="1"/>
  <c r="Y1885" i="28" s="1"/>
  <c r="Y1886" i="28" s="1"/>
  <c r="Y1887" i="28" s="1"/>
  <c r="Y1888" i="28" s="1"/>
  <c r="Y1889" i="28" s="1"/>
  <c r="Y1890" i="28" s="1"/>
  <c r="Y1891" i="28" s="1"/>
  <c r="Y1892" i="28" s="1"/>
  <c r="Y1893" i="28" s="1"/>
  <c r="Y1894" i="28" s="1"/>
  <c r="Y1895" i="28" s="1"/>
  <c r="Y1896" i="28" s="1"/>
  <c r="Y1897" i="28" s="1"/>
  <c r="Y1898" i="28" s="1"/>
  <c r="Y1899" i="28" s="1"/>
  <c r="Y1900" i="28" s="1"/>
  <c r="Y1901" i="28" s="1"/>
  <c r="Y1902" i="28" s="1"/>
  <c r="Y1903" i="28" s="1"/>
  <c r="Y1904" i="28" s="1"/>
  <c r="Y1905" i="28" s="1"/>
  <c r="Y1906" i="28" s="1"/>
  <c r="Y1907" i="28" s="1"/>
  <c r="Y1908" i="28" s="1"/>
  <c r="Y1909" i="28" s="1"/>
  <c r="Y1910" i="28" s="1"/>
  <c r="Y1911" i="28" s="1"/>
  <c r="Y1912" i="28" s="1"/>
  <c r="Y1913" i="28" s="1"/>
  <c r="Y1914" i="28" s="1"/>
  <c r="Y1915" i="28" s="1"/>
  <c r="Y1916" i="28" s="1"/>
  <c r="Y1917" i="28" s="1"/>
  <c r="Y1918" i="28" s="1"/>
  <c r="Y1919" i="28" s="1"/>
  <c r="Y1920" i="28" s="1"/>
  <c r="Y1921" i="28" s="1"/>
  <c r="Y1922" i="28" s="1"/>
  <c r="Y1923" i="28" s="1"/>
  <c r="Y1924" i="28" s="1"/>
  <c r="Y1925" i="28" s="1"/>
  <c r="Y1926" i="28" s="1"/>
  <c r="Y1927" i="28" s="1"/>
  <c r="Y1928" i="28" s="1"/>
  <c r="Y1929" i="28" s="1"/>
  <c r="Y1930" i="28" s="1"/>
  <c r="Y1931" i="28" s="1"/>
  <c r="Y1932" i="28" s="1"/>
  <c r="Y1933" i="28" s="1"/>
  <c r="Y1934" i="28" s="1"/>
  <c r="Y1935" i="28" s="1"/>
  <c r="Y1936" i="28" s="1"/>
  <c r="Y1937" i="28" s="1"/>
  <c r="Y1938" i="28" s="1"/>
  <c r="Y1939" i="28" s="1"/>
  <c r="Y1940" i="28" s="1"/>
  <c r="Y1941" i="28" s="1"/>
  <c r="Y1942" i="28" s="1"/>
  <c r="Y1943" i="28" s="1"/>
  <c r="Y1944" i="28" s="1"/>
  <c r="Y1945" i="28" s="1"/>
  <c r="Y1946" i="28" s="1"/>
  <c r="Y1947" i="28" s="1"/>
  <c r="Y1948" i="28" s="1"/>
  <c r="Y1949" i="28" s="1"/>
  <c r="Y1950" i="28" s="1"/>
  <c r="Y1951" i="28" s="1"/>
  <c r="Y1952" i="28" s="1"/>
  <c r="Y1953" i="28" s="1"/>
  <c r="Y1954" i="28" s="1"/>
  <c r="Y1955" i="28" s="1"/>
  <c r="Y1956" i="28" s="1"/>
  <c r="Y1957" i="28" s="1"/>
  <c r="Y1958" i="28" s="1"/>
  <c r="Y1959" i="28" s="1"/>
  <c r="Y1960" i="28" s="1"/>
  <c r="Y1961" i="28" s="1"/>
  <c r="Y1962" i="28" s="1"/>
  <c r="Y1963" i="28" s="1"/>
  <c r="Y1964" i="28" s="1"/>
  <c r="Y1965" i="28" s="1"/>
  <c r="Y1966" i="28" s="1"/>
  <c r="Y1967" i="28" s="1"/>
  <c r="Y1968" i="28" s="1"/>
  <c r="Y1969" i="28" s="1"/>
  <c r="Y1970" i="28" s="1"/>
  <c r="Y1971" i="28" s="1"/>
  <c r="Y1972" i="28" s="1"/>
  <c r="Y1973" i="28" s="1"/>
  <c r="Y1974" i="28" s="1"/>
  <c r="Y1975" i="28" s="1"/>
  <c r="Y1976" i="28" s="1"/>
  <c r="Y1977" i="28" s="1"/>
  <c r="Y1978" i="28" s="1"/>
  <c r="Y1979" i="28" s="1"/>
  <c r="Y1980" i="28" s="1"/>
  <c r="Y1981" i="28" s="1"/>
  <c r="Y1982" i="28" s="1"/>
  <c r="Y1983" i="28" s="1"/>
  <c r="Y1984" i="28" s="1"/>
  <c r="Y1985" i="28" s="1"/>
  <c r="Y1986" i="28" s="1"/>
  <c r="Y1987" i="28" s="1"/>
  <c r="Y1988" i="28" s="1"/>
  <c r="Y1989" i="28" s="1"/>
  <c r="Y1990" i="28" s="1"/>
  <c r="Y1991" i="28" s="1"/>
  <c r="Y1992" i="28" s="1"/>
  <c r="Y1993" i="28" s="1"/>
  <c r="Y1994" i="28" s="1"/>
  <c r="Y1995" i="28" s="1"/>
  <c r="Y1996" i="28" s="1"/>
  <c r="Y1997" i="28" s="1"/>
  <c r="Y1998" i="28" s="1"/>
  <c r="Y1999" i="28" s="1"/>
  <c r="Y2000" i="28" s="1"/>
  <c r="Y2001" i="28" s="1"/>
  <c r="Y2002" i="28" s="1"/>
  <c r="Y2003" i="28" s="1"/>
  <c r="Y2004" i="28" s="1"/>
  <c r="Y2005" i="28" s="1"/>
  <c r="Y2006" i="28" s="1"/>
  <c r="Y2007" i="28" s="1"/>
  <c r="Y2008" i="28" s="1"/>
  <c r="Y2009" i="28" s="1"/>
  <c r="Y2010" i="28" s="1"/>
  <c r="Y2011" i="28" s="1"/>
  <c r="Y2012" i="28" s="1"/>
  <c r="Y2013" i="28" s="1"/>
  <c r="Y2014" i="28" s="1"/>
  <c r="Y2015" i="28" s="1"/>
  <c r="Y2016" i="28" s="1"/>
  <c r="Y2017" i="28" s="1"/>
  <c r="Y2018" i="28" s="1"/>
  <c r="Y2019" i="28" s="1"/>
  <c r="Y2020" i="28" s="1"/>
  <c r="Y2021" i="28" s="1"/>
  <c r="Y2022" i="28" s="1"/>
  <c r="Y2023" i="28" s="1"/>
  <c r="Y2024" i="28" s="1"/>
  <c r="Y2025" i="28" s="1"/>
  <c r="Y2026" i="28" s="1"/>
  <c r="Y2027" i="28" s="1"/>
  <c r="Y2028" i="28" s="1"/>
  <c r="Y2029" i="28" s="1"/>
  <c r="Y2030" i="28" s="1"/>
  <c r="Y2031" i="28" s="1"/>
  <c r="Y2032" i="28" s="1"/>
  <c r="Y2033" i="28" s="1"/>
  <c r="Y2034" i="28" s="1"/>
  <c r="Y2035" i="28" s="1"/>
  <c r="Y2036" i="28" s="1"/>
  <c r="Y2037" i="28" s="1"/>
  <c r="Y2038" i="28" s="1"/>
  <c r="Y2039" i="28" s="1"/>
  <c r="Y2040" i="28" s="1"/>
  <c r="Y2041" i="28" s="1"/>
  <c r="Y2042" i="28" s="1"/>
  <c r="Y2043" i="28" s="1"/>
  <c r="Y2044" i="28" s="1"/>
  <c r="Y2045" i="28" s="1"/>
  <c r="Y2046" i="28" s="1"/>
  <c r="Y2047" i="28" s="1"/>
  <c r="Y2048" i="28" s="1"/>
  <c r="Y2049" i="28" s="1"/>
  <c r="Y2050" i="28" s="1"/>
  <c r="Y2051" i="28" s="1"/>
  <c r="Y2052" i="28" s="1"/>
  <c r="Y2053" i="28" s="1"/>
  <c r="Y2054" i="28" s="1"/>
  <c r="Y2055" i="28" s="1"/>
  <c r="Y2056" i="28" s="1"/>
  <c r="Y2057" i="28" s="1"/>
  <c r="Y2058" i="28" s="1"/>
  <c r="Y2059" i="28" s="1"/>
  <c r="Y2060" i="28" s="1"/>
  <c r="Y2061" i="28" s="1"/>
  <c r="Y2062" i="28" s="1"/>
  <c r="Y2063" i="28" s="1"/>
  <c r="Y2064" i="28" s="1"/>
  <c r="Y2065" i="28" s="1"/>
  <c r="Y2066" i="28" s="1"/>
  <c r="Y2067" i="28" s="1"/>
  <c r="Y2068" i="28" s="1"/>
  <c r="Y2069" i="28" s="1"/>
  <c r="Y2070" i="28" s="1"/>
  <c r="Y2071" i="28" s="1"/>
  <c r="Y2072" i="28" s="1"/>
  <c r="Y2073" i="28" s="1"/>
  <c r="Y2074" i="28" s="1"/>
  <c r="Y2075" i="28" s="1"/>
  <c r="Y2076" i="28" s="1"/>
  <c r="Y2077" i="28" s="1"/>
  <c r="Y2078" i="28" s="1"/>
  <c r="Y2079" i="28" s="1"/>
  <c r="Y2080" i="28" s="1"/>
  <c r="Y2081" i="28" s="1"/>
  <c r="Y2082" i="28" s="1"/>
  <c r="Y2083" i="28" s="1"/>
  <c r="Y2084" i="28" s="1"/>
  <c r="Y2085" i="28" s="1"/>
  <c r="Y2086" i="28" s="1"/>
  <c r="Y2087" i="28" s="1"/>
  <c r="Y2088" i="28" s="1"/>
  <c r="Y2089" i="28" s="1"/>
  <c r="Y2090" i="28" s="1"/>
  <c r="Y2091" i="28" s="1"/>
  <c r="Y2092" i="28" s="1"/>
  <c r="Y2093" i="28" s="1"/>
  <c r="Y2094" i="28" s="1"/>
  <c r="Y2095" i="28" s="1"/>
  <c r="Y2096" i="28" s="1"/>
  <c r="Y2097" i="28" s="1"/>
  <c r="Y2098" i="28" s="1"/>
  <c r="Y2099" i="28" s="1"/>
  <c r="Y2100" i="28" s="1"/>
  <c r="Y2101" i="28" s="1"/>
  <c r="Y2102" i="28" s="1"/>
  <c r="Y2103" i="28" s="1"/>
  <c r="Y2104" i="28" s="1"/>
  <c r="Y2105" i="28" s="1"/>
  <c r="Y2106" i="28" s="1"/>
  <c r="Y2107" i="28" s="1"/>
  <c r="Y2108" i="28" s="1"/>
  <c r="Y2109" i="28" s="1"/>
  <c r="Y2110" i="28" s="1"/>
  <c r="Y2111" i="28" s="1"/>
  <c r="Y2112" i="28" s="1"/>
  <c r="Y2113" i="28" s="1"/>
  <c r="Y2114" i="28" s="1"/>
  <c r="Y2115" i="28" s="1"/>
  <c r="Y2116" i="28" s="1"/>
  <c r="Y2117" i="28" s="1"/>
  <c r="Y2118" i="28" s="1"/>
  <c r="Y2119" i="28" s="1"/>
  <c r="Y2120" i="28" s="1"/>
  <c r="Y2121" i="28" s="1"/>
  <c r="Y2122" i="28" s="1"/>
  <c r="Y2123" i="28" s="1"/>
  <c r="Y2124" i="28" s="1"/>
  <c r="Y2125" i="28" s="1"/>
  <c r="Y2126" i="28" s="1"/>
  <c r="Y2127" i="28" s="1"/>
  <c r="Y2128" i="28" s="1"/>
  <c r="Y2129" i="28" s="1"/>
  <c r="Y2130" i="28" s="1"/>
  <c r="Y2131" i="28" s="1"/>
  <c r="Y2132" i="28" s="1"/>
  <c r="Y2133" i="28" s="1"/>
  <c r="Y2134" i="28" s="1"/>
  <c r="Y2135" i="28" s="1"/>
  <c r="Y2136" i="28" s="1"/>
  <c r="Y2137" i="28" s="1"/>
  <c r="Y2138" i="28" s="1"/>
  <c r="Y2139" i="28" s="1"/>
  <c r="Y2140" i="28" s="1"/>
  <c r="Y2141" i="28" s="1"/>
  <c r="Y2142" i="28" s="1"/>
  <c r="Y2143" i="28" s="1"/>
  <c r="Y2144" i="28" s="1"/>
  <c r="Y2145" i="28" s="1"/>
  <c r="Y2146" i="28" s="1"/>
  <c r="Y2147" i="28" s="1"/>
  <c r="Y2148" i="28" s="1"/>
  <c r="Y2149" i="28" s="1"/>
  <c r="Y2150" i="28" s="1"/>
  <c r="Y2151" i="28" s="1"/>
  <c r="Y2152" i="28" s="1"/>
  <c r="Y2153" i="28" s="1"/>
  <c r="Y2154" i="28" s="1"/>
  <c r="Y2155" i="28" s="1"/>
  <c r="Y2156" i="28" s="1"/>
  <c r="Y2157" i="28" s="1"/>
  <c r="Y2158" i="28" s="1"/>
  <c r="Y2159" i="28" s="1"/>
  <c r="Y2160" i="28" s="1"/>
  <c r="Y2161" i="28" s="1"/>
  <c r="Y2162" i="28" s="1"/>
  <c r="Y2163" i="28" s="1"/>
  <c r="Y2164" i="28" s="1"/>
  <c r="Y2165" i="28" s="1"/>
  <c r="Y2166" i="28" s="1"/>
  <c r="Y2167" i="28" s="1"/>
  <c r="Y2168" i="28" s="1"/>
  <c r="Y2169" i="28" s="1"/>
  <c r="Y2170" i="28" s="1"/>
  <c r="Y2171" i="28" s="1"/>
  <c r="Y2172" i="28" s="1"/>
  <c r="Y2173" i="28" s="1"/>
  <c r="Y2174" i="28" s="1"/>
  <c r="Y2175" i="28" s="1"/>
  <c r="Y2176" i="28" s="1"/>
  <c r="Y2177" i="28" s="1"/>
  <c r="Y2178" i="28" s="1"/>
  <c r="Y2179" i="28" s="1"/>
  <c r="Y2180" i="28" s="1"/>
  <c r="Y2181" i="28" s="1"/>
  <c r="Y2182" i="28" s="1"/>
  <c r="Y2183" i="28" s="1"/>
  <c r="Y2184" i="28" s="1"/>
  <c r="Y2185" i="28" s="1"/>
  <c r="Y2186" i="28" s="1"/>
  <c r="Y2187" i="28" s="1"/>
  <c r="Y2188" i="28" s="1"/>
  <c r="Y2189" i="28" s="1"/>
  <c r="Y2190" i="28" s="1"/>
  <c r="Y2191" i="28" s="1"/>
  <c r="Y2192" i="28" s="1"/>
  <c r="Y2193" i="28" s="1"/>
  <c r="Y2194" i="28" s="1"/>
  <c r="Y2195" i="28" s="1"/>
  <c r="Y2196" i="28" s="1"/>
  <c r="Y2197" i="28" s="1"/>
  <c r="Y2198" i="28" s="1"/>
  <c r="Y2199" i="28" s="1"/>
  <c r="Y2200" i="28" s="1"/>
  <c r="Y2201" i="28" s="1"/>
  <c r="Y2202" i="28" s="1"/>
  <c r="Y2203" i="28" s="1"/>
  <c r="Y2204" i="28" s="1"/>
  <c r="Y2205" i="28" s="1"/>
  <c r="Y2206" i="28" s="1"/>
  <c r="Y2207" i="28" s="1"/>
  <c r="Y2208" i="28" s="1"/>
  <c r="Y2209" i="28" s="1"/>
  <c r="Y2210" i="28" s="1"/>
  <c r="Y2211" i="28" s="1"/>
  <c r="Y2212" i="28" s="1"/>
  <c r="Y2213" i="28" s="1"/>
  <c r="Y2214" i="28" s="1"/>
  <c r="Y2215" i="28" s="1"/>
  <c r="Y2216" i="28" s="1"/>
  <c r="Y2217" i="28" s="1"/>
  <c r="Y2218" i="28" s="1"/>
  <c r="Y2219" i="28" s="1"/>
  <c r="Y2220" i="28" s="1"/>
  <c r="Y2221" i="28" s="1"/>
  <c r="Y2222" i="28" s="1"/>
  <c r="Y2223" i="28" s="1"/>
  <c r="Y2224" i="28" s="1"/>
  <c r="Y2225" i="28" s="1"/>
  <c r="Y2226" i="28" s="1"/>
  <c r="Y2227" i="28" s="1"/>
  <c r="Y2228" i="28" s="1"/>
  <c r="Y2229" i="28" s="1"/>
  <c r="Y2230" i="28" s="1"/>
  <c r="Y2231" i="28" s="1"/>
  <c r="Y2232" i="28" s="1"/>
  <c r="Y2233" i="28" s="1"/>
  <c r="Y2234" i="28" s="1"/>
  <c r="Y2235" i="28" s="1"/>
  <c r="Y2236" i="28" s="1"/>
  <c r="Y2237" i="28" s="1"/>
  <c r="Y2238" i="28" s="1"/>
  <c r="Y2239" i="28" s="1"/>
  <c r="Y2240" i="28" s="1"/>
  <c r="Y2241" i="28" s="1"/>
  <c r="Y2242" i="28" s="1"/>
  <c r="Y2243" i="28" s="1"/>
  <c r="Y2244" i="28" s="1"/>
  <c r="Y2245" i="28" s="1"/>
  <c r="Y2246" i="28" s="1"/>
  <c r="Y2247" i="28" s="1"/>
  <c r="Y2248" i="28" s="1"/>
  <c r="Y2249" i="28" s="1"/>
  <c r="Y2250" i="28" s="1"/>
  <c r="Y2251" i="28" s="1"/>
  <c r="Y2252" i="28" s="1"/>
  <c r="Y2253" i="28" s="1"/>
  <c r="Y2254" i="28" s="1"/>
  <c r="Y2255" i="28" s="1"/>
  <c r="Y2256" i="28" s="1"/>
  <c r="Y2257" i="28" s="1"/>
  <c r="Y2258" i="28" s="1"/>
  <c r="Y2259" i="28" s="1"/>
  <c r="Y2260" i="28" s="1"/>
  <c r="Y2261" i="28" s="1"/>
  <c r="Y2262" i="28" s="1"/>
  <c r="Y2263" i="28" s="1"/>
  <c r="Y2264" i="28" s="1"/>
  <c r="Y2265" i="28" s="1"/>
  <c r="Y2266" i="28" s="1"/>
  <c r="Y2267" i="28" s="1"/>
  <c r="Y2268" i="28" s="1"/>
  <c r="Y2269" i="28" s="1"/>
  <c r="Y2270" i="28" s="1"/>
  <c r="Y2271" i="28" s="1"/>
  <c r="Y2272" i="28" s="1"/>
  <c r="Y2273" i="28" s="1"/>
  <c r="Y2274" i="28" s="1"/>
  <c r="Y2275" i="28" s="1"/>
  <c r="Y2276" i="28" s="1"/>
  <c r="Y2277" i="28" s="1"/>
  <c r="Y2278" i="28" s="1"/>
  <c r="Y2279" i="28" s="1"/>
  <c r="Y2280" i="28" s="1"/>
  <c r="Y2281" i="28" s="1"/>
  <c r="Y2282" i="28" s="1"/>
  <c r="Y2283" i="28" s="1"/>
  <c r="Y2284" i="28" s="1"/>
  <c r="Y2285" i="28" s="1"/>
  <c r="Y2286" i="28" s="1"/>
  <c r="Y2287" i="28" s="1"/>
  <c r="Y2288" i="28" s="1"/>
  <c r="Y2289" i="28" s="1"/>
  <c r="Y2290" i="28" s="1"/>
  <c r="Y2291" i="28" s="1"/>
  <c r="Y2292" i="28" s="1"/>
  <c r="Y2293" i="28" s="1"/>
  <c r="Y2294" i="28" s="1"/>
  <c r="Y2295" i="28" s="1"/>
  <c r="Y2296" i="28" s="1"/>
  <c r="Y2297" i="28" s="1"/>
  <c r="Y2298" i="28" s="1"/>
  <c r="Y2299" i="28" s="1"/>
  <c r="Y2300" i="28" s="1"/>
  <c r="Y2301" i="28" s="1"/>
  <c r="Y2302" i="28" s="1"/>
  <c r="Y2303" i="28" s="1"/>
  <c r="Y2304" i="28" s="1"/>
  <c r="Y2305" i="28" s="1"/>
  <c r="Y2306" i="28" s="1"/>
  <c r="Y2307" i="28" s="1"/>
  <c r="Y2308" i="28" s="1"/>
  <c r="Y2309" i="28" s="1"/>
  <c r="Y2310" i="28" s="1"/>
  <c r="Y2311" i="28" s="1"/>
  <c r="Y2312" i="28" s="1"/>
  <c r="Y2313" i="28" s="1"/>
  <c r="Y2314" i="28" s="1"/>
  <c r="Y2315" i="28" s="1"/>
  <c r="Y2316" i="28" s="1"/>
  <c r="Y2317" i="28" s="1"/>
  <c r="Y2318" i="28" s="1"/>
  <c r="Y2319" i="28" s="1"/>
  <c r="Y2320" i="28" s="1"/>
  <c r="Y2321" i="28" s="1"/>
  <c r="Y2322" i="28" s="1"/>
  <c r="Y2323" i="28" s="1"/>
  <c r="Y2324" i="28" s="1"/>
  <c r="Y2325" i="28" s="1"/>
  <c r="Y2326" i="28" s="1"/>
  <c r="Y2327" i="28" s="1"/>
  <c r="Y2328" i="28" s="1"/>
  <c r="Y2329" i="28" s="1"/>
  <c r="Y2330" i="28" s="1"/>
  <c r="Y2331" i="28" s="1"/>
  <c r="Y2332" i="28" s="1"/>
  <c r="Y2333" i="28" s="1"/>
  <c r="Y2334" i="28" s="1"/>
  <c r="Y2335" i="28" s="1"/>
  <c r="Y2336" i="28" s="1"/>
  <c r="Y2337" i="28" s="1"/>
  <c r="Y2338" i="28" s="1"/>
  <c r="Y2339" i="28" s="1"/>
  <c r="Y2340" i="28" s="1"/>
  <c r="Y2341" i="28" s="1"/>
  <c r="Y2342" i="28" s="1"/>
  <c r="Y2343" i="28" s="1"/>
  <c r="Y2344" i="28" s="1"/>
  <c r="Y2345" i="28" s="1"/>
  <c r="Y2346" i="28" s="1"/>
  <c r="Y2347" i="28" s="1"/>
  <c r="Y2348" i="28" s="1"/>
  <c r="Y2349" i="28" s="1"/>
  <c r="Y2350" i="28" s="1"/>
  <c r="Y2351" i="28" s="1"/>
  <c r="Y2352" i="28" s="1"/>
  <c r="Y2353" i="28" s="1"/>
  <c r="Y2354" i="28" s="1"/>
  <c r="Y2355" i="28" s="1"/>
  <c r="Y2356" i="28" s="1"/>
  <c r="Y2357" i="28" s="1"/>
  <c r="Y2358" i="28" s="1"/>
  <c r="Y2359" i="28" s="1"/>
  <c r="Y2360" i="28" s="1"/>
  <c r="Y2361" i="28" s="1"/>
  <c r="Y2362" i="28" s="1"/>
  <c r="Y2363" i="28" s="1"/>
  <c r="Y2364" i="28" s="1"/>
  <c r="Y2365" i="28" s="1"/>
  <c r="Y2366" i="28" s="1"/>
  <c r="Y2367" i="28" s="1"/>
  <c r="Y2368" i="28" s="1"/>
  <c r="Y2369" i="28" s="1"/>
  <c r="Y2370" i="28" s="1"/>
  <c r="Y2371" i="28" s="1"/>
  <c r="Y2372" i="28" s="1"/>
  <c r="Y2373" i="28" s="1"/>
  <c r="Y2374" i="28" s="1"/>
  <c r="Y2375" i="28" s="1"/>
  <c r="Y2376" i="28" s="1"/>
  <c r="Y2377" i="28" s="1"/>
  <c r="Y2378" i="28" s="1"/>
  <c r="Y2379" i="28" s="1"/>
  <c r="Y2380" i="28" s="1"/>
  <c r="Y2381" i="28" s="1"/>
  <c r="Y2382" i="28" s="1"/>
  <c r="Y2383" i="28" s="1"/>
  <c r="Y2384" i="28" s="1"/>
  <c r="Y2385" i="28" s="1"/>
  <c r="Y2386" i="28" s="1"/>
  <c r="Y2387" i="28" s="1"/>
  <c r="Y2388" i="28" s="1"/>
  <c r="Y2389" i="28" s="1"/>
  <c r="Y2390" i="28" s="1"/>
  <c r="Y2391" i="28" s="1"/>
  <c r="Y2392" i="28" s="1"/>
  <c r="Y2393" i="28" s="1"/>
  <c r="Y2394" i="28" s="1"/>
  <c r="Y2395" i="28" s="1"/>
  <c r="Y2396" i="28" s="1"/>
  <c r="Y2397" i="28" s="1"/>
  <c r="Y2398" i="28" s="1"/>
  <c r="Y2399" i="28" s="1"/>
  <c r="Y2400" i="28" s="1"/>
  <c r="Y2401" i="28" s="1"/>
  <c r="Y2402" i="28" s="1"/>
  <c r="Y2403" i="28" s="1"/>
  <c r="Y2404" i="28" s="1"/>
  <c r="Y2405" i="28" s="1"/>
  <c r="Y2406" i="28" s="1"/>
  <c r="Y2407" i="28" s="1"/>
  <c r="Y2408" i="28" s="1"/>
  <c r="Y2409" i="28" s="1"/>
  <c r="Y2410" i="28" s="1"/>
  <c r="Y2411" i="28" s="1"/>
  <c r="Y2412" i="28" s="1"/>
  <c r="Y2413" i="28" s="1"/>
  <c r="Y2414" i="28" s="1"/>
  <c r="Y2415" i="28" s="1"/>
  <c r="Y2416" i="28" s="1"/>
  <c r="Y2417" i="28" s="1"/>
  <c r="Y2418" i="28" s="1"/>
  <c r="Y2419" i="28" s="1"/>
  <c r="Y2420" i="28" s="1"/>
  <c r="Y2421" i="28" s="1"/>
  <c r="Y2422" i="28" s="1"/>
  <c r="Y2423" i="28" s="1"/>
  <c r="Y2424" i="28" s="1"/>
  <c r="Y2425" i="28" s="1"/>
  <c r="Y2426" i="28" s="1"/>
  <c r="Y2427" i="28" s="1"/>
  <c r="Y2428" i="28" s="1"/>
  <c r="Y2429" i="28" s="1"/>
  <c r="Y2430" i="28" s="1"/>
  <c r="Y2431" i="28" s="1"/>
  <c r="Y2432" i="28" s="1"/>
  <c r="Y2433" i="28" s="1"/>
  <c r="Y2434" i="28" s="1"/>
  <c r="Y2435" i="28" s="1"/>
  <c r="Y2436" i="28" s="1"/>
  <c r="Y2437" i="28" s="1"/>
  <c r="Y2438" i="28" s="1"/>
  <c r="Y2439" i="28" s="1"/>
  <c r="Y2440" i="28" s="1"/>
  <c r="Y2441" i="28" s="1"/>
  <c r="Y2442" i="28" s="1"/>
  <c r="Y2443" i="28" s="1"/>
  <c r="Y2444" i="28" s="1"/>
  <c r="Y2445" i="28" s="1"/>
  <c r="Y2446" i="28" s="1"/>
  <c r="Y2447" i="28" s="1"/>
  <c r="Y2448" i="28" s="1"/>
  <c r="Y2449" i="28" s="1"/>
  <c r="Y2450" i="28" s="1"/>
  <c r="Y2451" i="28" s="1"/>
  <c r="Y2452" i="28" s="1"/>
  <c r="Y2453" i="28" s="1"/>
  <c r="Y2454" i="28" s="1"/>
  <c r="Y2455" i="28" s="1"/>
  <c r="Y2456" i="28" s="1"/>
  <c r="Y2457" i="28" s="1"/>
  <c r="Y2458" i="28" s="1"/>
  <c r="Y2459" i="28" s="1"/>
  <c r="Y2460" i="28" s="1"/>
  <c r="Y2461" i="28" s="1"/>
  <c r="Y2462" i="28" s="1"/>
  <c r="Y2463" i="28" s="1"/>
  <c r="Y2464" i="28" s="1"/>
  <c r="Y2465" i="28" s="1"/>
  <c r="Y2466" i="28" s="1"/>
  <c r="Y2467" i="28" s="1"/>
  <c r="Y2468" i="28" s="1"/>
  <c r="Y2469" i="28" s="1"/>
  <c r="Y2470" i="28" s="1"/>
  <c r="Y2471" i="28" s="1"/>
  <c r="Y2472" i="28" s="1"/>
  <c r="Y2473" i="28" s="1"/>
  <c r="Y2474" i="28" s="1"/>
  <c r="Y2475" i="28" s="1"/>
  <c r="Y2476" i="28" s="1"/>
  <c r="Y2477" i="28" s="1"/>
  <c r="Y2478" i="28" s="1"/>
  <c r="Y2479" i="28" s="1"/>
  <c r="Y2480" i="28" s="1"/>
  <c r="Y2481" i="28" s="1"/>
  <c r="Y2482" i="28" s="1"/>
  <c r="Y2483" i="28" s="1"/>
  <c r="Y2484" i="28" s="1"/>
  <c r="Y2485" i="28" s="1"/>
  <c r="Y2486" i="28" s="1"/>
  <c r="Y2487" i="28" s="1"/>
  <c r="Y2488" i="28" s="1"/>
  <c r="Y2489" i="28" s="1"/>
  <c r="Y2490" i="28" s="1"/>
  <c r="Y2491" i="28" s="1"/>
  <c r="Y2492" i="28" s="1"/>
  <c r="Y2493" i="28" s="1"/>
  <c r="Y2494" i="28" s="1"/>
  <c r="Y2495" i="28" s="1"/>
  <c r="Y2496" i="28" s="1"/>
  <c r="Y2497" i="28" s="1"/>
  <c r="Y2498" i="28" s="1"/>
  <c r="Y2499" i="28" s="1"/>
  <c r="Y2500" i="28" s="1"/>
  <c r="Y2501" i="28" s="1"/>
  <c r="Y2502" i="28" s="1"/>
  <c r="Y2503" i="28" s="1"/>
  <c r="Y2504" i="28" s="1"/>
  <c r="Y2505" i="28" s="1"/>
  <c r="Y2506" i="28" s="1"/>
  <c r="Y2507" i="28" s="1"/>
  <c r="Y2508" i="28" s="1"/>
  <c r="Y2509" i="28" s="1"/>
  <c r="Y2510" i="28" s="1"/>
  <c r="Y2511" i="28" s="1"/>
  <c r="Y2512" i="28" s="1"/>
  <c r="Y2513" i="28" s="1"/>
  <c r="Y2514" i="28" s="1"/>
  <c r="Y2515" i="28" s="1"/>
  <c r="Y2516" i="28" s="1"/>
  <c r="Y2517" i="28" s="1"/>
  <c r="Y2518" i="28" s="1"/>
  <c r="Y2519" i="28" s="1"/>
  <c r="Y2520" i="28" s="1"/>
  <c r="Y2521" i="28" s="1"/>
  <c r="Y2522" i="28" s="1"/>
  <c r="Y2523" i="28" s="1"/>
  <c r="Y2524" i="28" s="1"/>
  <c r="Y2525" i="28" s="1"/>
  <c r="Y2526" i="28" s="1"/>
  <c r="Y2527" i="28" s="1"/>
  <c r="Y2528" i="28" s="1"/>
  <c r="Y2529" i="28" s="1"/>
  <c r="Y2530" i="28" s="1"/>
  <c r="Y2531" i="28" s="1"/>
  <c r="Y2532" i="28" s="1"/>
  <c r="Y2533" i="28" s="1"/>
  <c r="Y2534" i="28" s="1"/>
  <c r="Y2535" i="28" s="1"/>
  <c r="Y2536" i="28" s="1"/>
  <c r="Y2537" i="28" s="1"/>
  <c r="Y2538" i="28" s="1"/>
  <c r="Y2539" i="28" s="1"/>
  <c r="Y2540" i="28" s="1"/>
  <c r="Y2541" i="28" s="1"/>
  <c r="Y2542" i="28" s="1"/>
  <c r="Y2543" i="28" s="1"/>
  <c r="Y2544" i="28" s="1"/>
  <c r="Y2545" i="28" s="1"/>
  <c r="Y2546" i="28" s="1"/>
  <c r="Y2547" i="28" s="1"/>
  <c r="Y2548" i="28" s="1"/>
  <c r="Y2549" i="28" s="1"/>
  <c r="Y2550" i="28" s="1"/>
  <c r="Y2551" i="28" s="1"/>
  <c r="Y2552" i="28" s="1"/>
  <c r="Y2553" i="28" s="1"/>
  <c r="Y2554" i="28" s="1"/>
  <c r="Y2555" i="28" s="1"/>
  <c r="Y2556" i="28" s="1"/>
  <c r="Y2557" i="28" s="1"/>
  <c r="Y2558" i="28" s="1"/>
  <c r="Y2559" i="28" s="1"/>
  <c r="Y2560" i="28" s="1"/>
  <c r="Y2561" i="28" s="1"/>
  <c r="Y2562" i="28" s="1"/>
  <c r="Y2563" i="28" s="1"/>
  <c r="Y2564" i="28" s="1"/>
  <c r="Y2565" i="28" s="1"/>
  <c r="Y2566" i="28" s="1"/>
  <c r="Y2567" i="28" s="1"/>
  <c r="Y2568" i="28" s="1"/>
  <c r="Y2569" i="28" s="1"/>
  <c r="Y2570" i="28" s="1"/>
  <c r="Y2571" i="28" s="1"/>
  <c r="Y2572" i="28" s="1"/>
  <c r="Y2573" i="28" s="1"/>
  <c r="Y2574" i="28" s="1"/>
  <c r="Y2575" i="28" s="1"/>
  <c r="Y2576" i="28" s="1"/>
  <c r="Y2577" i="28" s="1"/>
  <c r="Y2578" i="28" s="1"/>
  <c r="Y2579" i="28" s="1"/>
  <c r="Y2580" i="28" s="1"/>
  <c r="Y2581" i="28" s="1"/>
  <c r="Y2582" i="28" s="1"/>
  <c r="Y2583" i="28" s="1"/>
  <c r="Y2584" i="28" s="1"/>
  <c r="Y2585" i="28" s="1"/>
  <c r="Y2586" i="28" s="1"/>
  <c r="Y2587" i="28" s="1"/>
  <c r="Y2588" i="28" s="1"/>
  <c r="Y2589" i="28" s="1"/>
  <c r="Y2590" i="28" s="1"/>
  <c r="Y2591" i="28" s="1"/>
  <c r="Y2592" i="28" s="1"/>
  <c r="Y2593" i="28" s="1"/>
  <c r="Y2594" i="28" s="1"/>
  <c r="Y2595" i="28" s="1"/>
  <c r="Y2596" i="28" s="1"/>
  <c r="Y2597" i="28" s="1"/>
  <c r="Y2598" i="28" s="1"/>
  <c r="Y2599" i="28" s="1"/>
  <c r="Y2600" i="28" s="1"/>
  <c r="Y2601" i="28" s="1"/>
  <c r="Y2602" i="28" s="1"/>
  <c r="Y2603" i="28" s="1"/>
  <c r="Y2604" i="28" s="1"/>
  <c r="Y2605" i="28" s="1"/>
  <c r="Y2606" i="28" s="1"/>
  <c r="Y2607" i="28" s="1"/>
  <c r="Y2608" i="28" s="1"/>
  <c r="Y2609" i="28" s="1"/>
  <c r="Y2610" i="28" s="1"/>
  <c r="Y2611" i="28" s="1"/>
  <c r="Y2612" i="28" s="1"/>
  <c r="Y2613" i="28" s="1"/>
  <c r="Y2614" i="28" s="1"/>
  <c r="Y2615" i="28" s="1"/>
  <c r="Y2616" i="28" s="1"/>
  <c r="Y2617" i="28" s="1"/>
  <c r="Y2618" i="28" s="1"/>
  <c r="Y2619" i="28" s="1"/>
  <c r="Y2620" i="28" s="1"/>
  <c r="Y2621" i="28" s="1"/>
  <c r="Y2622" i="28" s="1"/>
  <c r="Y2623" i="28" s="1"/>
  <c r="Y2624" i="28" s="1"/>
  <c r="Y2625" i="28" s="1"/>
  <c r="Y2626" i="28" s="1"/>
  <c r="Y2627" i="28" s="1"/>
  <c r="Y2628" i="28" s="1"/>
  <c r="Y2629" i="28" s="1"/>
  <c r="Y2630" i="28" s="1"/>
  <c r="Y2631" i="28" s="1"/>
  <c r="Y2632" i="28" s="1"/>
  <c r="Y2633" i="28" s="1"/>
  <c r="Y2634" i="28" s="1"/>
  <c r="Y2635" i="28" s="1"/>
  <c r="Y2636" i="28" s="1"/>
  <c r="Y2637" i="28" s="1"/>
  <c r="Y2638" i="28" s="1"/>
  <c r="Y2639" i="28" s="1"/>
  <c r="Y2640" i="28" s="1"/>
  <c r="Y2641" i="28" s="1"/>
  <c r="Y2642" i="28" s="1"/>
  <c r="Y2643" i="28" s="1"/>
  <c r="Y2644" i="28" s="1"/>
  <c r="Y2645" i="28" s="1"/>
  <c r="Y2646" i="28" s="1"/>
  <c r="Y2647" i="28" s="1"/>
  <c r="Y2648" i="28" s="1"/>
  <c r="Y2649" i="28" s="1"/>
  <c r="Y2650" i="28" s="1"/>
  <c r="Y2651" i="28" s="1"/>
  <c r="Y2652" i="28" s="1"/>
  <c r="Y2653" i="28" s="1"/>
  <c r="Y2654" i="28" s="1"/>
  <c r="Y2655" i="28" s="1"/>
  <c r="Y2656" i="28" s="1"/>
  <c r="Y2657" i="28" s="1"/>
  <c r="Y2658" i="28" s="1"/>
  <c r="Y2659" i="28" s="1"/>
  <c r="Y2660" i="28" s="1"/>
  <c r="Y2661" i="28" s="1"/>
  <c r="Y2662" i="28" s="1"/>
  <c r="Y2663" i="28" s="1"/>
  <c r="Y2664" i="28" s="1"/>
  <c r="Y2665" i="28" s="1"/>
  <c r="Y2666" i="28" s="1"/>
  <c r="Y2667" i="28" s="1"/>
  <c r="Y2668" i="28" s="1"/>
  <c r="Y2669" i="28" s="1"/>
  <c r="Y2670" i="28" s="1"/>
  <c r="Y2671" i="28" s="1"/>
  <c r="Y2672" i="28" s="1"/>
  <c r="Y2673" i="28" s="1"/>
  <c r="Y2674" i="28" s="1"/>
  <c r="Y2675" i="28" s="1"/>
  <c r="Y2676" i="28" s="1"/>
  <c r="Y2677" i="28" s="1"/>
  <c r="Y2678" i="28" s="1"/>
  <c r="Y2679" i="28" s="1"/>
  <c r="Y2680" i="28" s="1"/>
  <c r="Y2681" i="28" s="1"/>
  <c r="Y2682" i="28" s="1"/>
  <c r="Y2683" i="28" s="1"/>
  <c r="Y2684" i="28" s="1"/>
  <c r="Y2685" i="28" s="1"/>
  <c r="Y2686" i="28" s="1"/>
  <c r="Y2687" i="28" s="1"/>
  <c r="Y2688" i="28" s="1"/>
  <c r="Y2689" i="28" s="1"/>
  <c r="Y2690" i="28" s="1"/>
  <c r="Y2691" i="28" s="1"/>
  <c r="Y2692" i="28" s="1"/>
  <c r="Y2693" i="28" s="1"/>
  <c r="Y2694" i="28" s="1"/>
  <c r="Y2695" i="28" s="1"/>
  <c r="Y2696" i="28" s="1"/>
  <c r="Y2697" i="28" s="1"/>
  <c r="Y2698" i="28" s="1"/>
  <c r="Y2699" i="28" s="1"/>
  <c r="Y2700" i="28" s="1"/>
  <c r="Y2701" i="28" s="1"/>
  <c r="Y2702" i="28" s="1"/>
  <c r="Y2703" i="28" s="1"/>
  <c r="Y2704" i="28" s="1"/>
  <c r="Y2705" i="28" s="1"/>
  <c r="Y2706" i="28" s="1"/>
  <c r="Y2707" i="28" s="1"/>
  <c r="Y2708" i="28" s="1"/>
</calcChain>
</file>

<file path=xl/sharedStrings.xml><?xml version="1.0" encoding="utf-8"?>
<sst xmlns="http://schemas.openxmlformats.org/spreadsheetml/2006/main" count="32124" uniqueCount="8434">
  <si>
    <t>Table of Contents</t>
  </si>
  <si>
    <t>AKG</t>
  </si>
  <si>
    <t>Wireless</t>
  </si>
  <si>
    <t>Headphones</t>
  </si>
  <si>
    <t>Headphone Amplifiers</t>
  </si>
  <si>
    <t>DMS800</t>
  </si>
  <si>
    <t>Studio Headphones</t>
  </si>
  <si>
    <t>WMS40 MINI</t>
  </si>
  <si>
    <t>Headsets</t>
  </si>
  <si>
    <t>Conference Systems</t>
  </si>
  <si>
    <t>WMS40 MINI 2</t>
  </si>
  <si>
    <t>Microphones</t>
  </si>
  <si>
    <t>Tabletops</t>
  </si>
  <si>
    <t>WMS45</t>
  </si>
  <si>
    <t>Handheld Condenser Microphones</t>
  </si>
  <si>
    <t>Microlite Microphones</t>
  </si>
  <si>
    <t>WMS420</t>
  </si>
  <si>
    <t>Handheld Dynamic Microphones</t>
  </si>
  <si>
    <t>Microlite Accessories</t>
  </si>
  <si>
    <t>WMS470</t>
  </si>
  <si>
    <t>Studio Condenser Microphones</t>
  </si>
  <si>
    <t>Lavalier Microphones</t>
  </si>
  <si>
    <t>WMS4500</t>
  </si>
  <si>
    <t>Instrument Microphones</t>
  </si>
  <si>
    <t>Gooseneck Microphones</t>
  </si>
  <si>
    <t>Wireless Accessories</t>
  </si>
  <si>
    <t>Drum Sets</t>
  </si>
  <si>
    <t>DMM (Digital Microphone Mixer)</t>
  </si>
  <si>
    <t>Headworn Vocal Microphones</t>
  </si>
  <si>
    <t>Conference Headphones</t>
  </si>
  <si>
    <t>Crown Microphones</t>
  </si>
  <si>
    <t>Boundary Layer Microphones</t>
  </si>
  <si>
    <t>AMX</t>
  </si>
  <si>
    <t>Switchers</t>
  </si>
  <si>
    <t>Control System Accessories</t>
  </si>
  <si>
    <t xml:space="preserve">Scheduling Panels </t>
  </si>
  <si>
    <t>All-in-One Presentation Switchers</t>
  </si>
  <si>
    <t>Digital Matrix Switchers</t>
  </si>
  <si>
    <t>Touch Panels</t>
  </si>
  <si>
    <t>Analog Signal Distribution</t>
  </si>
  <si>
    <t>Digital Media Switchers</t>
  </si>
  <si>
    <t>User Interface Accessories</t>
  </si>
  <si>
    <t>Architectural Connectivity</t>
  </si>
  <si>
    <t>Digital Switchers</t>
  </si>
  <si>
    <t>Workspace Collaboration</t>
  </si>
  <si>
    <t>Camera &amp; Camera Control</t>
  </si>
  <si>
    <t>Integration Software</t>
  </si>
  <si>
    <t>Power Supply</t>
  </si>
  <si>
    <t>Central Controllers</t>
  </si>
  <si>
    <t>Keypads</t>
  </si>
  <si>
    <t>Control Pads</t>
  </si>
  <si>
    <t>Networked AV</t>
  </si>
  <si>
    <t>BSS</t>
  </si>
  <si>
    <t>Direct Box</t>
  </si>
  <si>
    <t>Soundweb Controllers</t>
  </si>
  <si>
    <t>Soundweb London</t>
  </si>
  <si>
    <t>Graphic Equallizer</t>
  </si>
  <si>
    <t>Crown</t>
  </si>
  <si>
    <t>XLi</t>
  </si>
  <si>
    <t>I-Tech HD Series</t>
  </si>
  <si>
    <t>DriveCore Install Analog Series</t>
  </si>
  <si>
    <t>XLS DriveCore 2</t>
  </si>
  <si>
    <t>VRACK</t>
  </si>
  <si>
    <t>DriveCore Install Network Series (w/ BLU-Link)</t>
  </si>
  <si>
    <t>XTi 2</t>
  </si>
  <si>
    <t>CDi DriveCore Series</t>
  </si>
  <si>
    <t>DriveCore Install Network Display Series (w/ AVB)</t>
  </si>
  <si>
    <t>HARMAN Professional Solutions</t>
  </si>
  <si>
    <t>Amp Accessories</t>
  </si>
  <si>
    <t>DriveCore Install DA Series (w/ Dante) NEW</t>
  </si>
  <si>
    <t>dbx</t>
  </si>
  <si>
    <t>US Price List</t>
  </si>
  <si>
    <t xml:space="preserve"> Production Series </t>
  </si>
  <si>
    <t xml:space="preserve"> DriveRack </t>
  </si>
  <si>
    <t xml:space="preserve"> Zone Controller</t>
  </si>
  <si>
    <t xml:space="preserve"> 500 Series </t>
  </si>
  <si>
    <t xml:space="preserve"> Personal Monitor Solutions </t>
  </si>
  <si>
    <t xml:space="preserve"> Accessories </t>
  </si>
  <si>
    <t xml:space="preserve"> Graphic EQs </t>
  </si>
  <si>
    <t xml:space="preserve"> ZonePro / Digital Zone Processor </t>
  </si>
  <si>
    <t>JBL</t>
  </si>
  <si>
    <t xml:space="preserve">Disclaimer: Harman may, from time to time, expressly identify the particular products or line or brand of products that a customer is authorized to purchase and sell, regardless of the inclusion/exclusion of such product in this price list. Without incurring any liability to customer, Harman may, in its sole discretion and from time to time, add or remove any particular products or line or brand of products eligible to be purchased by customer. In the event of any question or dispute regarding what products customer is authorized to purchase and sell, Harman’s determination thereof shall be conclusive and binding upon customer.            
</t>
  </si>
  <si>
    <t>JBL Commercial Electronics</t>
  </si>
  <si>
    <t>CSS Commercial Solutions Ceiling Speakers</t>
  </si>
  <si>
    <t>Control 60 Series</t>
  </si>
  <si>
    <t>PD Precision Directivity Series</t>
  </si>
  <si>
    <t>8100 Series Ceiling Speakers</t>
  </si>
  <si>
    <t>Control 100 In-Wall Speakers</t>
  </si>
  <si>
    <t>VLA Line Array Modules</t>
  </si>
  <si>
    <t>10 Series Blind-Mount Ceiling Speakers</t>
  </si>
  <si>
    <t>Control 80 Series Landscape Speakers</t>
  </si>
  <si>
    <t>VTX Series Large Format Line Arrays</t>
  </si>
  <si>
    <t>20 Series Blind-Mount Ceiling Speakers</t>
  </si>
  <si>
    <t>CBT Series Pattern-Controlled Columns</t>
  </si>
  <si>
    <t>VRX Fixed Curvature Line Array</t>
  </si>
  <si>
    <t>40 Series Premium Ceiling Speakers</t>
  </si>
  <si>
    <t>Intellivox Powered Column Speakers</t>
  </si>
  <si>
    <t xml:space="preserve">EON Series </t>
  </si>
  <si>
    <t>200 Series Medium-Format Ceiling Speakers</t>
  </si>
  <si>
    <t>AWC All-Weather Compact</t>
  </si>
  <si>
    <t>JRX Portable Speakers</t>
  </si>
  <si>
    <t>300 Series Large-Format Ceiling Speakers</t>
  </si>
  <si>
    <t>AW All-Weather (full size)</t>
  </si>
  <si>
    <t>PRX Portable Speakers</t>
  </si>
  <si>
    <t>CSS Commercial Solutions Surface Speakers</t>
  </si>
  <si>
    <t>AE Compact Series</t>
  </si>
  <si>
    <t>SRX Portable Speakers</t>
  </si>
  <si>
    <t>Control 20/30 Series Surface Speakers</t>
  </si>
  <si>
    <t>AE Series</t>
  </si>
  <si>
    <t>Portable PA Stands</t>
  </si>
  <si>
    <t>Lexicon</t>
  </si>
  <si>
    <t>PCM Series</t>
  </si>
  <si>
    <t>PCM Plug-ins</t>
  </si>
  <si>
    <t>CINEMA PROCESSOR</t>
  </si>
  <si>
    <t>I·O Series</t>
  </si>
  <si>
    <t>LXP Plug-ins</t>
  </si>
  <si>
    <t>Martin</t>
  </si>
  <si>
    <t>AUTOMATED LIGHTS</t>
  </si>
  <si>
    <t>ARCHITAINMENT</t>
  </si>
  <si>
    <t>ACCESSORIES</t>
  </si>
  <si>
    <t>STATIC LIGHTS</t>
  </si>
  <si>
    <t>LED VIDEO</t>
  </si>
  <si>
    <t>EFFECT LIGHTS</t>
  </si>
  <si>
    <t>ATMOSPHERIC EFFECTS</t>
  </si>
  <si>
    <t>Soundcraft</t>
  </si>
  <si>
    <t xml:space="preserve"> </t>
  </si>
  <si>
    <t>EPM Series</t>
  </si>
  <si>
    <t>GB Series</t>
  </si>
  <si>
    <t>Ui Series</t>
  </si>
  <si>
    <t>EFX Series</t>
  </si>
  <si>
    <t>Si Series</t>
  </si>
  <si>
    <t>Vi Series</t>
  </si>
  <si>
    <t>FX Series</t>
  </si>
  <si>
    <t>Signature Series</t>
  </si>
  <si>
    <t>CSB Series (COMPACT STAGEBOX)</t>
  </si>
  <si>
    <t>LX7ii Series</t>
  </si>
  <si>
    <t>Signature MTK Series</t>
  </si>
  <si>
    <t>MSB Series (MINISTAGEBOX)</t>
  </si>
  <si>
    <t>SKU</t>
  </si>
  <si>
    <t>Category</t>
  </si>
  <si>
    <t>Model Number</t>
  </si>
  <si>
    <t>Material Group</t>
  </si>
  <si>
    <t>Restricted from Internet</t>
  </si>
  <si>
    <t>Status</t>
  </si>
  <si>
    <t>Product Description Short</t>
  </si>
  <si>
    <t>Product Description Long</t>
  </si>
  <si>
    <t>MSRP</t>
  </si>
  <si>
    <t xml:space="preserve"> MAP</t>
  </si>
  <si>
    <t>Dealer</t>
  </si>
  <si>
    <t>Master Pack Qty</t>
  </si>
  <si>
    <t>UPC</t>
  </si>
  <si>
    <t>EAN</t>
  </si>
  <si>
    <t>WEIGHT (lb.)</t>
  </si>
  <si>
    <t>DIM L (in.)</t>
  </si>
  <si>
    <t>DIM W (in.)</t>
  </si>
  <si>
    <t>DIM H (in.)</t>
  </si>
  <si>
    <t>COUNTRY OF ORIGIN</t>
  </si>
  <si>
    <t>TAA Compliant</t>
  </si>
  <si>
    <t>LINK</t>
  </si>
  <si>
    <t>Row Sort Order</t>
  </si>
  <si>
    <t>Wired Microphones-Recording</t>
  </si>
  <si>
    <t>USB</t>
  </si>
  <si>
    <t>C44-USB</t>
  </si>
  <si>
    <t>AKG-C22-USB</t>
  </si>
  <si>
    <t>5122010-00</t>
  </si>
  <si>
    <t>Perception Range</t>
  </si>
  <si>
    <t>3101H00400</t>
  </si>
  <si>
    <t>3101H00410</t>
  </si>
  <si>
    <t>3101H00420</t>
  </si>
  <si>
    <t>3101H00430</t>
  </si>
  <si>
    <t>3101H00440</t>
  </si>
  <si>
    <t>The C Suite</t>
  </si>
  <si>
    <t>3354X00010</t>
  </si>
  <si>
    <t>2785X00230</t>
  </si>
  <si>
    <t>3185X00010</t>
  </si>
  <si>
    <t>3386X00010</t>
  </si>
  <si>
    <t>3059X00050</t>
  </si>
  <si>
    <t>3059X00060</t>
  </si>
  <si>
    <t>2895H00010</t>
  </si>
  <si>
    <t>2221X00040</t>
  </si>
  <si>
    <t>3185X00110</t>
  </si>
  <si>
    <t>3386X00110</t>
  </si>
  <si>
    <t>3059X00230</t>
  </si>
  <si>
    <t>3059X00240</t>
  </si>
  <si>
    <t>2895H00210</t>
  </si>
  <si>
    <t>Wired Microphones-Live</t>
  </si>
  <si>
    <t>Handheld</t>
  </si>
  <si>
    <t>3100H00140</t>
  </si>
  <si>
    <t>3100H00120</t>
  </si>
  <si>
    <t>3138X00100</t>
  </si>
  <si>
    <t>3438X00010</t>
  </si>
  <si>
    <t>3439X00020</t>
  </si>
  <si>
    <t>3138X00070</t>
  </si>
  <si>
    <t>3138X00090</t>
  </si>
  <si>
    <t>3138X00340</t>
  </si>
  <si>
    <t>3138X00350</t>
  </si>
  <si>
    <t>3139X00010</t>
  </si>
  <si>
    <t>3139X00020</t>
  </si>
  <si>
    <t>Instrument</t>
  </si>
  <si>
    <t>3100H00150</t>
  </si>
  <si>
    <t>3100H00130</t>
  </si>
  <si>
    <t>2571H00040</t>
  </si>
  <si>
    <t>2571H00030</t>
  </si>
  <si>
    <t>2795X00040</t>
  </si>
  <si>
    <t>3063X00020</t>
  </si>
  <si>
    <t>3064X00010</t>
  </si>
  <si>
    <t>3064X00020</t>
  </si>
  <si>
    <t>3065X00010</t>
  </si>
  <si>
    <t>3065X00020</t>
  </si>
  <si>
    <t>2226H00110</t>
  </si>
  <si>
    <t>2815X00050</t>
  </si>
  <si>
    <t>2220X00040</t>
  </si>
  <si>
    <t>3220H00010</t>
  </si>
  <si>
    <t>2581H00150</t>
  </si>
  <si>
    <t>2581H00160</t>
  </si>
  <si>
    <t>2581X00140</t>
  </si>
  <si>
    <t>Headworn</t>
  </si>
  <si>
    <t>6000H50930</t>
  </si>
  <si>
    <t>6000H50940</t>
  </si>
  <si>
    <t>6000H50950</t>
  </si>
  <si>
    <t>3066X00010</t>
  </si>
  <si>
    <t>3066X00020</t>
  </si>
  <si>
    <t>2793H00060</t>
  </si>
  <si>
    <t>3066H00100</t>
  </si>
  <si>
    <t>Lavalier/Lapel</t>
  </si>
  <si>
    <t>2577X00080</t>
  </si>
  <si>
    <t>2577X00120</t>
  </si>
  <si>
    <t>6000H51040</t>
  </si>
  <si>
    <t>2803H00080</t>
  </si>
  <si>
    <t>2793H00100</t>
  </si>
  <si>
    <t>2577X00210</t>
  </si>
  <si>
    <t>2577X00200</t>
  </si>
  <si>
    <t>3241H00040</t>
  </si>
  <si>
    <t>3241H00020</t>
  </si>
  <si>
    <t>3241H00010</t>
  </si>
  <si>
    <t>3242H00030</t>
  </si>
  <si>
    <t>3242H00040</t>
  </si>
  <si>
    <t>Wired Microphones-Install/Contracting</t>
  </si>
  <si>
    <t>Goosenecks and Tabletop</t>
  </si>
  <si>
    <t>6000H51010</t>
  </si>
  <si>
    <t>6000H51020</t>
  </si>
  <si>
    <t>6000H51030</t>
  </si>
  <si>
    <t>2765H00010</t>
  </si>
  <si>
    <t>2765H00450</t>
  </si>
  <si>
    <t>2765H00020</t>
  </si>
  <si>
    <t>3165H00080</t>
  </si>
  <si>
    <t>2765H00400</t>
  </si>
  <si>
    <t>2765H00270</t>
  </si>
  <si>
    <t>3165H00090</t>
  </si>
  <si>
    <t>2765H00460</t>
  </si>
  <si>
    <t>2765H00030</t>
  </si>
  <si>
    <t>2765H00040</t>
  </si>
  <si>
    <t>2765H00080</t>
  </si>
  <si>
    <t>2765H00090</t>
  </si>
  <si>
    <t>2765H00280</t>
  </si>
  <si>
    <t>2765H00410</t>
  </si>
  <si>
    <t>2765H00470</t>
  </si>
  <si>
    <t>3165H00100</t>
  </si>
  <si>
    <t>2965H00110</t>
  </si>
  <si>
    <t>2965H00130</t>
  </si>
  <si>
    <t>2965X00120</t>
  </si>
  <si>
    <t>2965X00140</t>
  </si>
  <si>
    <t>2765H00180</t>
  </si>
  <si>
    <t>2765H00500</t>
  </si>
  <si>
    <t>3165H00500</t>
  </si>
  <si>
    <t>2966H00010</t>
  </si>
  <si>
    <t>2966H00020</t>
  </si>
  <si>
    <t>2966H00030</t>
  </si>
  <si>
    <t>2967H00020</t>
  </si>
  <si>
    <t>2966H00040</t>
  </si>
  <si>
    <t>2765H00200</t>
  </si>
  <si>
    <t>2765X00220</t>
  </si>
  <si>
    <t>2765Z00240</t>
  </si>
  <si>
    <t>3165H00010</t>
  </si>
  <si>
    <t>3165H00030</t>
  </si>
  <si>
    <t>2765H00300</t>
  </si>
  <si>
    <t>6500H00420</t>
  </si>
  <si>
    <t>3165H00290</t>
  </si>
  <si>
    <t>3165H00220</t>
  </si>
  <si>
    <t>2426X00030</t>
  </si>
  <si>
    <t>3165H00150</t>
  </si>
  <si>
    <t>3165H00160</t>
  </si>
  <si>
    <t>3165H00170</t>
  </si>
  <si>
    <t>3361H00080</t>
  </si>
  <si>
    <t>2425H00010</t>
  </si>
  <si>
    <t>2765H00100</t>
  </si>
  <si>
    <t>3165H00250</t>
  </si>
  <si>
    <t>Boundary Mics/PZM</t>
  </si>
  <si>
    <t>2262X00030</t>
  </si>
  <si>
    <t>3177H00010</t>
  </si>
  <si>
    <t>3177H00020</t>
  </si>
  <si>
    <t>5095183-00</t>
  </si>
  <si>
    <t>5095184-00</t>
  </si>
  <si>
    <t>3322H00010</t>
  </si>
  <si>
    <t>3328H00010</t>
  </si>
  <si>
    <t>3327H00010</t>
  </si>
  <si>
    <t>3326H00010</t>
  </si>
  <si>
    <t>3340H00010</t>
  </si>
  <si>
    <t>3325H00010</t>
  </si>
  <si>
    <t>3323H00010</t>
  </si>
  <si>
    <t>3334H00010</t>
  </si>
  <si>
    <t>3333H00010</t>
  </si>
  <si>
    <t>3332H00010</t>
  </si>
  <si>
    <t>3331H00010</t>
  </si>
  <si>
    <t>3329H00010</t>
  </si>
  <si>
    <t>3330H00010</t>
  </si>
  <si>
    <t>Conferencing Systems and Accessories</t>
  </si>
  <si>
    <t>2965H00150</t>
  </si>
  <si>
    <t>2965H00160</t>
  </si>
  <si>
    <t>6500H00030</t>
  </si>
  <si>
    <t>6500H00150</t>
  </si>
  <si>
    <t>6500H00160</t>
  </si>
  <si>
    <t>6500H00170</t>
  </si>
  <si>
    <t>6500H00200</t>
  </si>
  <si>
    <t>6500H00210</t>
  </si>
  <si>
    <t>3361H00090</t>
  </si>
  <si>
    <t>3361H00160</t>
  </si>
  <si>
    <t>3361H00110</t>
  </si>
  <si>
    <t>3361H00120</t>
  </si>
  <si>
    <t>3361H00130</t>
  </si>
  <si>
    <t>3361H00140</t>
  </si>
  <si>
    <t>3361H00150</t>
  </si>
  <si>
    <t>3361H00170</t>
  </si>
  <si>
    <t>6500H00310</t>
  </si>
  <si>
    <t>3361H00210</t>
  </si>
  <si>
    <t>3361H00220</t>
  </si>
  <si>
    <t>3361H00230</t>
  </si>
  <si>
    <t>3361H00240</t>
  </si>
  <si>
    <t>3361H00250</t>
  </si>
  <si>
    <t>3361H00340</t>
  </si>
  <si>
    <t>6500H00220</t>
  </si>
  <si>
    <t>Microlite</t>
  </si>
  <si>
    <t>3241H00050</t>
  </si>
  <si>
    <t>6500H00290</t>
  </si>
  <si>
    <t>6500H00320</t>
  </si>
  <si>
    <t>6500H00330</t>
  </si>
  <si>
    <t>6500H00340</t>
  </si>
  <si>
    <t>6500H00350</t>
  </si>
  <si>
    <t>6500H00410</t>
  </si>
  <si>
    <t>6500H00360</t>
  </si>
  <si>
    <t>6500H00370</t>
  </si>
  <si>
    <t>6500H00380</t>
  </si>
  <si>
    <t>6500H00390</t>
  </si>
  <si>
    <t>6500H00400</t>
  </si>
  <si>
    <t>6500H00580</t>
  </si>
  <si>
    <t>6500H00590</t>
  </si>
  <si>
    <t>7615H06050</t>
  </si>
  <si>
    <t>2955H00480</t>
  </si>
  <si>
    <t>6000H60010</t>
  </si>
  <si>
    <t>6000H63010</t>
  </si>
  <si>
    <t>6000H05710</t>
  </si>
  <si>
    <t>6000H10080</t>
  </si>
  <si>
    <t>6500H00430</t>
  </si>
  <si>
    <t>6500H00450</t>
  </si>
  <si>
    <t>6500H00460</t>
  </si>
  <si>
    <t>6500H00540</t>
  </si>
  <si>
    <t>6500H00550</t>
  </si>
  <si>
    <t>6500H00560</t>
  </si>
  <si>
    <t>6500H00570</t>
  </si>
  <si>
    <t>6500H00470</t>
  </si>
  <si>
    <t>6500H00480</t>
  </si>
  <si>
    <t>3244Z00010</t>
  </si>
  <si>
    <t>Perception</t>
  </si>
  <si>
    <t>3245H00010</t>
  </si>
  <si>
    <t>3246H00010</t>
  </si>
  <si>
    <t>3247H00010</t>
  </si>
  <si>
    <t>3248X00010</t>
  </si>
  <si>
    <t>3249H00010</t>
  </si>
  <si>
    <t>3250H00010</t>
  </si>
  <si>
    <t>3251H00010</t>
  </si>
  <si>
    <t>WMS 40</t>
  </si>
  <si>
    <t>3347X00110</t>
  </si>
  <si>
    <t>3347X00120</t>
  </si>
  <si>
    <t>3347X00130</t>
  </si>
  <si>
    <t>3347X00140</t>
  </si>
  <si>
    <t>3348H00110</t>
  </si>
  <si>
    <t>3348H00120</t>
  </si>
  <si>
    <t>3348H00130</t>
  </si>
  <si>
    <t>3348H00140</t>
  </si>
  <si>
    <t>3350X00050</t>
  </si>
  <si>
    <t>3350X00060</t>
  </si>
  <si>
    <t>3351H00050</t>
  </si>
  <si>
    <t>3351H00060</t>
  </si>
  <si>
    <t>3352X00050</t>
  </si>
  <si>
    <t>3352X00060</t>
  </si>
  <si>
    <t>WMS 420</t>
  </si>
  <si>
    <t>3411X00010</t>
  </si>
  <si>
    <t>3412H00010</t>
  </si>
  <si>
    <t>3413H00010</t>
  </si>
  <si>
    <t>3414H00010</t>
  </si>
  <si>
    <t>3415H00010</t>
  </si>
  <si>
    <t>3416H00010</t>
  </si>
  <si>
    <t>WMS 470</t>
  </si>
  <si>
    <t>3300H00150</t>
  </si>
  <si>
    <t>3300H00160</t>
  </si>
  <si>
    <t>3301X00170</t>
  </si>
  <si>
    <t>3301X00180</t>
  </si>
  <si>
    <t>3301X00370</t>
  </si>
  <si>
    <t>3301X00380</t>
  </si>
  <si>
    <t>3302H00170</t>
  </si>
  <si>
    <t>3302H00180</t>
  </si>
  <si>
    <t>3305X00370</t>
  </si>
  <si>
    <t>3305X00380</t>
  </si>
  <si>
    <t>3306X00370</t>
  </si>
  <si>
    <t>3306X00380</t>
  </si>
  <si>
    <t>3307H00370</t>
  </si>
  <si>
    <t>3307H00380</t>
  </si>
  <si>
    <t>3308H00370</t>
  </si>
  <si>
    <t>3308H00380</t>
  </si>
  <si>
    <t>3309H00370</t>
  </si>
  <si>
    <t>3309H00380</t>
  </si>
  <si>
    <t>WMS 4500</t>
  </si>
  <si>
    <t>3201H00280</t>
  </si>
  <si>
    <t>3201H00300</t>
  </si>
  <si>
    <t>3202H00300</t>
  </si>
  <si>
    <t>3203H00300</t>
  </si>
  <si>
    <t>3205Z00280</t>
  </si>
  <si>
    <t>DMS 100/300</t>
  </si>
  <si>
    <t>5100247-00</t>
  </si>
  <si>
    <t>5100248-00</t>
  </si>
  <si>
    <t>5100252-00</t>
  </si>
  <si>
    <t>5100253-00</t>
  </si>
  <si>
    <t>DMS 800</t>
  </si>
  <si>
    <t>3382H00100</t>
  </si>
  <si>
    <t>3381H00100</t>
  </si>
  <si>
    <t>3380H00100</t>
  </si>
  <si>
    <t>3383H00010</t>
  </si>
  <si>
    <t>3383H00110</t>
  </si>
  <si>
    <t>6500H00500</t>
  </si>
  <si>
    <t>3383H00310</t>
  </si>
  <si>
    <t>Tetrad</t>
  </si>
  <si>
    <t>3456H00030</t>
  </si>
  <si>
    <t>3457H00050</t>
  </si>
  <si>
    <t>6500H00510</t>
  </si>
  <si>
    <t>IVM 45000 IEM</t>
  </si>
  <si>
    <t>3082X00010</t>
  </si>
  <si>
    <t>3082X00020</t>
  </si>
  <si>
    <t>3438X00030</t>
  </si>
  <si>
    <t>3082X00030</t>
  </si>
  <si>
    <t>3439X00030</t>
  </si>
  <si>
    <t>3009H00140</t>
  </si>
  <si>
    <t>3296H00010</t>
  </si>
  <si>
    <t>3296H00050</t>
  </si>
  <si>
    <t>2634H00330</t>
  </si>
  <si>
    <t>2634H00340</t>
  </si>
  <si>
    <t>3009H00170</t>
  </si>
  <si>
    <t>3009H00180</t>
  </si>
  <si>
    <t>3009H00210</t>
  </si>
  <si>
    <t>2997Z00040</t>
  </si>
  <si>
    <t>2999H00150</t>
  </si>
  <si>
    <t>3004H00030</t>
  </si>
  <si>
    <t>3009H00130</t>
  </si>
  <si>
    <t>2887X00060</t>
  </si>
  <si>
    <t>2934H00010</t>
  </si>
  <si>
    <t>6500H00520</t>
  </si>
  <si>
    <t>6500H00530</t>
  </si>
  <si>
    <t>3158H00050</t>
  </si>
  <si>
    <t>3158H00150</t>
  </si>
  <si>
    <t>7801H00110</t>
  </si>
  <si>
    <t>7615H06110</t>
  </si>
  <si>
    <t>7615H06130</t>
  </si>
  <si>
    <t>2455H00620</t>
  </si>
  <si>
    <t>6000H02050</t>
  </si>
  <si>
    <t>6000H02060</t>
  </si>
  <si>
    <t>6000H01900</t>
  </si>
  <si>
    <t>3169H00030</t>
  </si>
  <si>
    <t>3103H00030</t>
  </si>
  <si>
    <t>2058X00130</t>
  </si>
  <si>
    <t>2058X00190</t>
  </si>
  <si>
    <t>2470X00190</t>
  </si>
  <si>
    <t>K361</t>
  </si>
  <si>
    <t>K361BT</t>
  </si>
  <si>
    <t>K371</t>
  </si>
  <si>
    <t>K371BT</t>
  </si>
  <si>
    <t>3280H00130</t>
  </si>
  <si>
    <t>2458X00100</t>
  </si>
  <si>
    <t>2458X00180</t>
  </si>
  <si>
    <t>2458X00190</t>
  </si>
  <si>
    <t>2458X00140</t>
  </si>
  <si>
    <t>3458X00010</t>
  </si>
  <si>
    <t>3458X00050</t>
  </si>
  <si>
    <t>3446H00010</t>
  </si>
  <si>
    <t>3446H00020</t>
  </si>
  <si>
    <t>2955X00260</t>
  </si>
  <si>
    <t>2955X00270</t>
  </si>
  <si>
    <t>2955X00280</t>
  </si>
  <si>
    <t>2955X00290</t>
  </si>
  <si>
    <t>2955X00310</t>
  </si>
  <si>
    <t>2955X00320</t>
  </si>
  <si>
    <t>2955X00330</t>
  </si>
  <si>
    <t>2955H00460</t>
  </si>
  <si>
    <t>2955H00470</t>
  </si>
  <si>
    <t>3169H00020</t>
  </si>
  <si>
    <t>2955H00490</t>
  </si>
  <si>
    <t>2955H00500</t>
  </si>
  <si>
    <t>3450H00010</t>
  </si>
  <si>
    <t>3450H00030</t>
  </si>
  <si>
    <t>3450H00050</t>
  </si>
  <si>
    <t>Digital Microphone Mixers</t>
  </si>
  <si>
    <t>6500H00230</t>
  </si>
  <si>
    <t>6500H00240</t>
  </si>
  <si>
    <t>6500H00250</t>
  </si>
  <si>
    <t>6500H00260</t>
  </si>
  <si>
    <t>6500H00270</t>
  </si>
  <si>
    <t>6500H00280</t>
  </si>
  <si>
    <t>6000H19040</t>
  </si>
  <si>
    <t>Misc Accessories</t>
  </si>
  <si>
    <t>6001H06320</t>
  </si>
  <si>
    <t>2455H00500</t>
  </si>
  <si>
    <t>6000H03080</t>
  </si>
  <si>
    <t>6000H06240</t>
  </si>
  <si>
    <t>6000H10100</t>
  </si>
  <si>
    <t>7801H00120</t>
  </si>
  <si>
    <t>3457X00060</t>
  </si>
  <si>
    <t>2231H00220</t>
  </si>
  <si>
    <t>2568Z40010</t>
  </si>
  <si>
    <t>2366Z06010</t>
  </si>
  <si>
    <t>2416Z01020</t>
  </si>
  <si>
    <t>3009Z00120</t>
  </si>
  <si>
    <t>3170H00020</t>
  </si>
  <si>
    <t>.</t>
  </si>
  <si>
    <t>AMX-FG1906-0202</t>
  </si>
  <si>
    <t>AMX-FG1906-0402</t>
  </si>
  <si>
    <t>AMX-N26E001</t>
  </si>
  <si>
    <t>AMX-N26E001C</t>
  </si>
  <si>
    <t>AMX-N26D001</t>
  </si>
  <si>
    <t>AMX-N26E011</t>
  </si>
  <si>
    <t>AMX-N26D012</t>
  </si>
  <si>
    <t>AMX-PR-0402</t>
  </si>
  <si>
    <t>AMX-PR-0404</t>
  </si>
  <si>
    <t>AMX-PR-0602</t>
  </si>
  <si>
    <t>AMX-PR-0808</t>
  </si>
  <si>
    <t>AMX-PR-WP-412</t>
  </si>
  <si>
    <t>AMX-UMT0801</t>
  </si>
  <si>
    <t>AMX-UMT1001</t>
  </si>
  <si>
    <t>AMX-UMT1511</t>
  </si>
  <si>
    <t>AMX-UMT8111</t>
  </si>
  <si>
    <t>AMX-UTP0501</t>
  </si>
  <si>
    <t>AMX-UTP0801</t>
  </si>
  <si>
    <t>AMX-UTP0811</t>
  </si>
  <si>
    <t>AMX-UTP1011</t>
  </si>
  <si>
    <t>AMX-UTP1011N</t>
  </si>
  <si>
    <t>AMX-UTP1511</t>
  </si>
  <si>
    <t>AMX-UTP1511N</t>
  </si>
  <si>
    <t>AMX-UVC1-4K</t>
  </si>
  <si>
    <t>AMX-VTK0001</t>
  </si>
  <si>
    <t>AMX-VTK0001EK</t>
  </si>
  <si>
    <t>FG039-18</t>
  </si>
  <si>
    <t>FG10-000-11</t>
  </si>
  <si>
    <t>FG1010-311</t>
  </si>
  <si>
    <t>FG1010-312-01</t>
  </si>
  <si>
    <t>FG1010-312-02</t>
  </si>
  <si>
    <t>FG1010-330-BLFX</t>
  </si>
  <si>
    <t>FG1010-330-WHFX</t>
  </si>
  <si>
    <t>FG1010-354</t>
  </si>
  <si>
    <t>FG1010-355</t>
  </si>
  <si>
    <t>FG1010-357</t>
  </si>
  <si>
    <t>FG1010-360FX</t>
  </si>
  <si>
    <t>FG1010-361FX</t>
  </si>
  <si>
    <t>FG1010-362FX</t>
  </si>
  <si>
    <t>FG1010-363FX</t>
  </si>
  <si>
    <t>FG1010-365-01</t>
  </si>
  <si>
    <t>FG1010-365-02</t>
  </si>
  <si>
    <t>FG1010-505</t>
  </si>
  <si>
    <t>FG1010-512-01</t>
  </si>
  <si>
    <t>FG1010-512-02</t>
  </si>
  <si>
    <t>FG1010-560FX</t>
  </si>
  <si>
    <t>FG1010-562FX</t>
  </si>
  <si>
    <t>FG1010-563FX</t>
  </si>
  <si>
    <t>FG1010-565-01</t>
  </si>
  <si>
    <t>FG1010-565-02</t>
  </si>
  <si>
    <t>FG1010-710</t>
  </si>
  <si>
    <t>FG1010-720-01</t>
  </si>
  <si>
    <t>FG1010-721-01</t>
  </si>
  <si>
    <t>FG1010-722-01</t>
  </si>
  <si>
    <t>FG1010-723-01</t>
  </si>
  <si>
    <t>FG1010-910</t>
  </si>
  <si>
    <t>FG1015-100</t>
  </si>
  <si>
    <t>FG1015-200</t>
  </si>
  <si>
    <t>FG1020-050</t>
  </si>
  <si>
    <t>FG1020-800</t>
  </si>
  <si>
    <t>FG10-2192-16</t>
  </si>
  <si>
    <t>FG10-2193-16</t>
  </si>
  <si>
    <t>FG10-2194-16</t>
  </si>
  <si>
    <t>FG10-2197-16</t>
  </si>
  <si>
    <t>FG10-2220-16</t>
  </si>
  <si>
    <t>FG1055-288</t>
  </si>
  <si>
    <t>FG1055-520</t>
  </si>
  <si>
    <t>FG1055-521</t>
  </si>
  <si>
    <t>FG1058-130K-FX</t>
  </si>
  <si>
    <t>FG1058-540-FX</t>
  </si>
  <si>
    <t>FG1058-570-FX</t>
  </si>
  <si>
    <t>FG1058-580-FX</t>
  </si>
  <si>
    <t>FG1058-600-FX</t>
  </si>
  <si>
    <t>FG1058-610-FX</t>
  </si>
  <si>
    <t>FG1058-630-FX</t>
  </si>
  <si>
    <t>FG1058-632-FX</t>
  </si>
  <si>
    <t>FG1058-705-FX</t>
  </si>
  <si>
    <t>FG1059-110K-FX</t>
  </si>
  <si>
    <t>FG1061-08-FX</t>
  </si>
  <si>
    <t>FG1061-132K-FX</t>
  </si>
  <si>
    <t>FG1061-164K-FX</t>
  </si>
  <si>
    <t>FG1061-16-FX</t>
  </si>
  <si>
    <t>FG1061-32-FX</t>
  </si>
  <si>
    <t>FG1061-540-FX</t>
  </si>
  <si>
    <t>FG1061-542</t>
  </si>
  <si>
    <t>FG1061-552</t>
  </si>
  <si>
    <t>FG1061-570-FX</t>
  </si>
  <si>
    <t>FG1061-572</t>
  </si>
  <si>
    <t>FG1061-582</t>
  </si>
  <si>
    <t>FG1061-624</t>
  </si>
  <si>
    <t>FG1061-634</t>
  </si>
  <si>
    <t>FG1061-64-FX</t>
  </si>
  <si>
    <t>FG1061-716-FX</t>
  </si>
  <si>
    <t>FG1061-732-FX</t>
  </si>
  <si>
    <t>FG1061-764-FX</t>
  </si>
  <si>
    <t>FG1061-832-FX</t>
  </si>
  <si>
    <t>FG1061-864FX</t>
  </si>
  <si>
    <t>FG10-673-01</t>
  </si>
  <si>
    <t>FG10-673-02</t>
  </si>
  <si>
    <t>FG1090-160FX</t>
  </si>
  <si>
    <t>FG1906-0201</t>
  </si>
  <si>
    <t>FG1906-0401</t>
  </si>
  <si>
    <t>FG1906-12</t>
  </si>
  <si>
    <t>FG1906-14</t>
  </si>
  <si>
    <t>FG2100-20</t>
  </si>
  <si>
    <t>FG2100-21</t>
  </si>
  <si>
    <t>FG2100-22</t>
  </si>
  <si>
    <t>FG2100-23</t>
  </si>
  <si>
    <t>FG2100-26</t>
  </si>
  <si>
    <t>FG2102-06L-BL</t>
  </si>
  <si>
    <t>FG2102-06L-W</t>
  </si>
  <si>
    <t>FG2102-06P-BL</t>
  </si>
  <si>
    <t>FG2102-06P-W</t>
  </si>
  <si>
    <t>FG2102-08-BL</t>
  </si>
  <si>
    <t>FG2102-08-W</t>
  </si>
  <si>
    <t>FG2106-01</t>
  </si>
  <si>
    <t>FG2106-02</t>
  </si>
  <si>
    <t>FG2106-03</t>
  </si>
  <si>
    <t>FG2106-04</t>
  </si>
  <si>
    <t>FG2263-05-00</t>
  </si>
  <si>
    <t>FG2263-06-00</t>
  </si>
  <si>
    <t>FG2263-07-00</t>
  </si>
  <si>
    <t>FG2263-08-00</t>
  </si>
  <si>
    <t>FG2263-14-00</t>
  </si>
  <si>
    <t>FG2263-16-00</t>
  </si>
  <si>
    <t>FG2263-21-00</t>
  </si>
  <si>
    <t>FG2265-06</t>
  </si>
  <si>
    <t>FG2265-08-00</t>
  </si>
  <si>
    <t>FG2265-14</t>
  </si>
  <si>
    <t>FG2265-15</t>
  </si>
  <si>
    <t>FG2265-16-00</t>
  </si>
  <si>
    <t>FG2265-17-00</t>
  </si>
  <si>
    <t>FG2265-21-00</t>
  </si>
  <si>
    <t>FG2265-22-00</t>
  </si>
  <si>
    <t>FG2265-31</t>
  </si>
  <si>
    <t>FG2265-35-00</t>
  </si>
  <si>
    <t>FG2265-36-00</t>
  </si>
  <si>
    <t>FG3004-02</t>
  </si>
  <si>
    <t>FG3004-1000K</t>
  </si>
  <si>
    <t>FG3004-31</t>
  </si>
  <si>
    <t>FG3004-32</t>
  </si>
  <si>
    <t>FG3004-K</t>
  </si>
  <si>
    <t>FG3004-KE</t>
  </si>
  <si>
    <t>FG3201-60-00</t>
  </si>
  <si>
    <t>FG4121-00BL</t>
  </si>
  <si>
    <t>FG4121-00GR</t>
  </si>
  <si>
    <t>FG4121-00GR-UA</t>
  </si>
  <si>
    <t>FG4151-00GR</t>
  </si>
  <si>
    <t>FG4221-10</t>
  </si>
  <si>
    <t>FG423-30</t>
  </si>
  <si>
    <t>FG423-48</t>
  </si>
  <si>
    <t>FG423-49</t>
  </si>
  <si>
    <t>FG423-83</t>
  </si>
  <si>
    <t>FG423-84</t>
  </si>
  <si>
    <t>FG515</t>
  </si>
  <si>
    <t>FG552-22</t>
  </si>
  <si>
    <t>FG552-24</t>
  </si>
  <si>
    <t>FG552-25</t>
  </si>
  <si>
    <t>FG552-32</t>
  </si>
  <si>
    <t>FG552-34</t>
  </si>
  <si>
    <t>FG552-35</t>
  </si>
  <si>
    <t>FG552-37</t>
  </si>
  <si>
    <t>FG552-38</t>
  </si>
  <si>
    <t>FG552-39</t>
  </si>
  <si>
    <t>FG553-01</t>
  </si>
  <si>
    <t>FG553-02</t>
  </si>
  <si>
    <t>FG553-11</t>
  </si>
  <si>
    <t>FG553-12</t>
  </si>
  <si>
    <t>FG553-13</t>
  </si>
  <si>
    <t>FG554-01</t>
  </si>
  <si>
    <t>FG554-02</t>
  </si>
  <si>
    <t>FG558-01</t>
  </si>
  <si>
    <t>FG558-02</t>
  </si>
  <si>
    <t>FG559-92</t>
  </si>
  <si>
    <t>FG559-94</t>
  </si>
  <si>
    <t>FG560-01-BL</t>
  </si>
  <si>
    <t>FG560-01-SL</t>
  </si>
  <si>
    <t>FG560-02-BL</t>
  </si>
  <si>
    <t>FG560-02-SL</t>
  </si>
  <si>
    <t>FG560-03-BL</t>
  </si>
  <si>
    <t>FG560-03-SL</t>
  </si>
  <si>
    <t>FG561-01</t>
  </si>
  <si>
    <t>FG561-11</t>
  </si>
  <si>
    <t>FG561-21</t>
  </si>
  <si>
    <t>FG561-31</t>
  </si>
  <si>
    <t>FG561-41</t>
  </si>
  <si>
    <t>FG561-61</t>
  </si>
  <si>
    <t>FG562-41</t>
  </si>
  <si>
    <t>FG562-42</t>
  </si>
  <si>
    <t>FG563-03</t>
  </si>
  <si>
    <t>FG563-04</t>
  </si>
  <si>
    <t>FG565-11-BL-00</t>
  </si>
  <si>
    <t>FG565-12-BL-00</t>
  </si>
  <si>
    <t>FG565-13-BL-00</t>
  </si>
  <si>
    <t>FG570-01-10K-00</t>
  </si>
  <si>
    <t>FG570-02B-GB</t>
  </si>
  <si>
    <t>FG570-02B-GS</t>
  </si>
  <si>
    <t>FG570-02B-MB</t>
  </si>
  <si>
    <t>FG570-02S-FG</t>
  </si>
  <si>
    <t>FG570-02S-GS</t>
  </si>
  <si>
    <t>FG570-02-SL</t>
  </si>
  <si>
    <t>FG570-02S-MB</t>
  </si>
  <si>
    <t>FG571-07</t>
  </si>
  <si>
    <t>FG571-08</t>
  </si>
  <si>
    <t>FG571-09</t>
  </si>
  <si>
    <t>FG571-10</t>
  </si>
  <si>
    <t>FG5793-01-BL</t>
  </si>
  <si>
    <t>FG5793-01-WH</t>
  </si>
  <si>
    <t>FG5793-02-BL</t>
  </si>
  <si>
    <t>FG5793-02-WH</t>
  </si>
  <si>
    <t>FG5793-03-BL</t>
  </si>
  <si>
    <t>FG5793-03-WH</t>
  </si>
  <si>
    <t>FG5793-06L-BL</t>
  </si>
  <si>
    <t>FG5793-06L-W</t>
  </si>
  <si>
    <t>FG5793-06P-BL</t>
  </si>
  <si>
    <t>FG5793-06P-W</t>
  </si>
  <si>
    <t>FG5793-08L-BL</t>
  </si>
  <si>
    <t>FG5793-08L-W</t>
  </si>
  <si>
    <t>FG5968-10</t>
  </si>
  <si>
    <t>FG5968-16</t>
  </si>
  <si>
    <t>FG5968-30-00</t>
  </si>
  <si>
    <t>FG5968-48</t>
  </si>
  <si>
    <t>FG5968-54</t>
  </si>
  <si>
    <t>FG5968-56</t>
  </si>
  <si>
    <t>FG5968-57</t>
  </si>
  <si>
    <t>FG5968-66-00</t>
  </si>
  <si>
    <t>FG5968-67-00</t>
  </si>
  <si>
    <t>FG5968-70-00</t>
  </si>
  <si>
    <t>FG5968-71-00</t>
  </si>
  <si>
    <t>FG5968-83</t>
  </si>
  <si>
    <t>FG5969-47</t>
  </si>
  <si>
    <t>FG5969-49BL</t>
  </si>
  <si>
    <t>FG5969-53</t>
  </si>
  <si>
    <t>FG5969-55BL</t>
  </si>
  <si>
    <t>FG5969-63</t>
  </si>
  <si>
    <t>FG670</t>
  </si>
  <si>
    <t>FG960</t>
  </si>
  <si>
    <t>FGN1115-WP-BL</t>
  </si>
  <si>
    <t>FGN1115-WP-WH</t>
  </si>
  <si>
    <t>FGN1122A-CD</t>
  </si>
  <si>
    <t>FGN1122A-SA</t>
  </si>
  <si>
    <t>FGN1133A-CD</t>
  </si>
  <si>
    <t>FGN1133A-SA</t>
  </si>
  <si>
    <t>FGN1134A-SA</t>
  </si>
  <si>
    <t>FGN1222A-CD</t>
  </si>
  <si>
    <t>FGN1222A-SA</t>
  </si>
  <si>
    <t>FGN1233A-CD</t>
  </si>
  <si>
    <t>FGN1512</t>
  </si>
  <si>
    <t>FGN2122A-CD</t>
  </si>
  <si>
    <t>FGN2122A-SA</t>
  </si>
  <si>
    <t>FGN2135A-CD</t>
  </si>
  <si>
    <t>FGN2135A-SA</t>
  </si>
  <si>
    <t>FGN2212A-SA</t>
  </si>
  <si>
    <t>FGN2222A-SA</t>
  </si>
  <si>
    <t>FGN2312-CD</t>
  </si>
  <si>
    <t>FGN2312-SA</t>
  </si>
  <si>
    <t>FGN2315-WP-BL</t>
  </si>
  <si>
    <t>FGN2315-WP-WH</t>
  </si>
  <si>
    <t>FGN2322-SA</t>
  </si>
  <si>
    <t>FGN2410</t>
  </si>
  <si>
    <t>FGN2412A-CD</t>
  </si>
  <si>
    <t>FGN2412A-SA</t>
  </si>
  <si>
    <t>FGN2422A-SA</t>
  </si>
  <si>
    <t>FGN2424A-SA</t>
  </si>
  <si>
    <t>FGN2510</t>
  </si>
  <si>
    <t>FGN3132-CD</t>
  </si>
  <si>
    <t>FGN3132-SA</t>
  </si>
  <si>
    <t>FGN3232-CD</t>
  </si>
  <si>
    <t>FGN3232-SA</t>
  </si>
  <si>
    <t>FGN3510</t>
  </si>
  <si>
    <t>FGN4321-CD</t>
  </si>
  <si>
    <t>FGN4321-SA</t>
  </si>
  <si>
    <t>FGN6123</t>
  </si>
  <si>
    <t>FGN7142-23</t>
  </si>
  <si>
    <t>FGN8002</t>
  </si>
  <si>
    <t>FGN8012</t>
  </si>
  <si>
    <t>FGN9101</t>
  </si>
  <si>
    <t>FGN9102</t>
  </si>
  <si>
    <t>FGN9206</t>
  </si>
  <si>
    <t>FGN9210</t>
  </si>
  <si>
    <t>FGN9312</t>
  </si>
  <si>
    <t>FGN9313</t>
  </si>
  <si>
    <t>FGN9430</t>
  </si>
  <si>
    <t>FGVSFP-LR</t>
  </si>
  <si>
    <t>FGVSFP-RJ-1G</t>
  </si>
  <si>
    <t>FGVSFP-SR</t>
  </si>
  <si>
    <t>FGVSFP-SR-1G</t>
  </si>
  <si>
    <t>MAP</t>
  </si>
  <si>
    <t>TAA Compliance</t>
  </si>
  <si>
    <t>32-0290</t>
  </si>
  <si>
    <t>BSS3RSU-1REMOTEFX</t>
  </si>
  <si>
    <t>BSSAC5S-BLK-V</t>
  </si>
  <si>
    <t>BSSAC5S-WHT-V</t>
  </si>
  <si>
    <t>BSSACV-BLK-V</t>
  </si>
  <si>
    <t>BSSACV-WHT-V</t>
  </si>
  <si>
    <t>BSSAR133</t>
  </si>
  <si>
    <t>BSSBLU100M</t>
  </si>
  <si>
    <t>BSSBLU101M</t>
  </si>
  <si>
    <t>BSSBLU102M</t>
  </si>
  <si>
    <t>BSSBLU103-M</t>
  </si>
  <si>
    <t>BSSBLU10BK-M</t>
  </si>
  <si>
    <t>BSSBLU120M-US</t>
  </si>
  <si>
    <t>BSSBLU160M-US</t>
  </si>
  <si>
    <t>BSSBLU320M-US</t>
  </si>
  <si>
    <t>BSSBLU326M-US</t>
  </si>
  <si>
    <t>BSSBLU50-M</t>
  </si>
  <si>
    <t>BSSBLU6UK</t>
  </si>
  <si>
    <t>BSSBLU800M-US</t>
  </si>
  <si>
    <t>BSSBLU806M-US</t>
  </si>
  <si>
    <t>BSSBLU8V2-BLK-M</t>
  </si>
  <si>
    <t>BSSBLU8V2-WHT-M</t>
  </si>
  <si>
    <t>BSSBLUAECIN-M</t>
  </si>
  <si>
    <t>BSSBLU-BIB-M</t>
  </si>
  <si>
    <t>BSSBLU-BOB1-M</t>
  </si>
  <si>
    <t>BSSBLU-BOB2-M</t>
  </si>
  <si>
    <t>BSSBLUCARDIN-M</t>
  </si>
  <si>
    <t>BSSBLUCARDOUT-M</t>
  </si>
  <si>
    <t>BSSBLU-DANFX</t>
  </si>
  <si>
    <t>BSSBLUDIGITALIN-M</t>
  </si>
  <si>
    <t>BSSBLUDIGITALOUT-M</t>
  </si>
  <si>
    <t>BSSBLUGPXFX</t>
  </si>
  <si>
    <t>BSSBLUHIF-M</t>
  </si>
  <si>
    <t>BSSBLUHYBRIDIN-M</t>
  </si>
  <si>
    <t>BSSBLU-SIFX</t>
  </si>
  <si>
    <t>BSSBLU-USB-M-US</t>
  </si>
  <si>
    <t>BSSEC4B-BLK-M</t>
  </si>
  <si>
    <t>BSSEC4BV-BLK-M</t>
  </si>
  <si>
    <t>BSSEC4BV-WHT-M</t>
  </si>
  <si>
    <t>BSSEC4B-WHT-M</t>
  </si>
  <si>
    <t>BSSEC8BV-BLK-M</t>
  </si>
  <si>
    <t>BSSEC8BV-WHT-M</t>
  </si>
  <si>
    <t>BSSECV-BLK-M</t>
  </si>
  <si>
    <t>BSSECV-WHT-M</t>
  </si>
  <si>
    <t>BSSECV-WHT-M-EU</t>
  </si>
  <si>
    <t>BSSFM704FX</t>
  </si>
  <si>
    <t>BSSRACKSHELF1UFX</t>
  </si>
  <si>
    <t>BSSSW9015UK</t>
  </si>
  <si>
    <t>BSSTIX2KIT</t>
  </si>
  <si>
    <t>BSSTOX2KIT</t>
  </si>
  <si>
    <t>GRM1</t>
  </si>
  <si>
    <t>GRM2</t>
  </si>
  <si>
    <t>NXFMR4CH</t>
  </si>
  <si>
    <t>NXFMR8CH</t>
  </si>
  <si>
    <t>G135MA</t>
  </si>
  <si>
    <t>G160MA</t>
  </si>
  <si>
    <t>NCDI2X12-U-US</t>
  </si>
  <si>
    <t>CRN-CDI2X12VMUS</t>
  </si>
  <si>
    <t>NCDI2X300-U-US</t>
  </si>
  <si>
    <t>CRN-CDI2X300VMUS</t>
  </si>
  <si>
    <t>CRN-CDI4X12VMUS</t>
  </si>
  <si>
    <t>NCDI4X12-U-US</t>
  </si>
  <si>
    <t>NCDI4X300-U-US</t>
  </si>
  <si>
    <t>CRN-CDI4X300VMUS</t>
  </si>
  <si>
    <t>NCDI4X600BL-U-US</t>
  </si>
  <si>
    <t>CRN-CDI4X6BLVMUS</t>
  </si>
  <si>
    <t>NCDI1000</t>
  </si>
  <si>
    <t>NCDI1000VM</t>
  </si>
  <si>
    <t>NCDI2000</t>
  </si>
  <si>
    <t>NCDI2000VM</t>
  </si>
  <si>
    <t>NCDI2X12BL-U-US</t>
  </si>
  <si>
    <t>NCDI2X300BL-U-US</t>
  </si>
  <si>
    <t>CRN-CDI2X3BLVMUS</t>
  </si>
  <si>
    <t>NCDI2x600BL-U-US</t>
  </si>
  <si>
    <t>CRN-CDI2X600VMUS</t>
  </si>
  <si>
    <t>NCDI2x600-U-US</t>
  </si>
  <si>
    <t>NCDI4000</t>
  </si>
  <si>
    <t>NCDI4000VM</t>
  </si>
  <si>
    <t>CRN-CDI4X12BLVUS</t>
  </si>
  <si>
    <t>NCDI4X12BL-U-US</t>
  </si>
  <si>
    <t>CRN-CDI4X3BLVMUS</t>
  </si>
  <si>
    <t>NCDI4x300BL-U-US</t>
  </si>
  <si>
    <t>NCDI4X600-U-US</t>
  </si>
  <si>
    <t>CRN-CDI4X600VMUS</t>
  </si>
  <si>
    <t>NCDI6000</t>
  </si>
  <si>
    <t>NCT4150A-U-US</t>
  </si>
  <si>
    <t>NCT475A-U-US</t>
  </si>
  <si>
    <t>NCT8150A-U-US</t>
  </si>
  <si>
    <t>NCT875A-U-US</t>
  </si>
  <si>
    <t>DCI2X1250N-U-USFX</t>
  </si>
  <si>
    <t>DCI2X1250-U-USFX</t>
  </si>
  <si>
    <t>DCI2X2400N-U-USFX</t>
  </si>
  <si>
    <t>DCI2X300N-U-USFX</t>
  </si>
  <si>
    <t>DCI2X300-U-USFX</t>
  </si>
  <si>
    <t>DCI2X600N-U-USFX</t>
  </si>
  <si>
    <t>DCI2X600-U-USFX</t>
  </si>
  <si>
    <t>DCI4X1250DA-U-USFX</t>
  </si>
  <si>
    <t>DCI4X1250ND-U-USFX</t>
  </si>
  <si>
    <t>DCI4X1250N-U-USFX</t>
  </si>
  <si>
    <t>DCI4X1250-U-USFX</t>
  </si>
  <si>
    <t>DCI4X2400N-U-USFX</t>
  </si>
  <si>
    <t>DCI4X300DA-U-USFX</t>
  </si>
  <si>
    <t>DCI4X300N-U-USFX</t>
  </si>
  <si>
    <t>DCI4x300-U-USFX</t>
  </si>
  <si>
    <t>DCI4X600DA-U-USFX</t>
  </si>
  <si>
    <t>DCI4X600N-U-USFX</t>
  </si>
  <si>
    <t>DCI4X600-U-USFX</t>
  </si>
  <si>
    <t>DCI8X300DA-U-USFX</t>
  </si>
  <si>
    <t>DCI8X300N-U-USFX</t>
  </si>
  <si>
    <t>DCI8X300-U-USFX</t>
  </si>
  <si>
    <t>DCI8X600DA-U-USFX</t>
  </si>
  <si>
    <t>DCI8X600ND-U-USFX</t>
  </si>
  <si>
    <t>DCI8X600N-U-USFX</t>
  </si>
  <si>
    <t>DCI8X600-U-USFX</t>
  </si>
  <si>
    <t>4X3500HDB-U-USFX</t>
  </si>
  <si>
    <t>4X3500HDS-U-USFX</t>
  </si>
  <si>
    <t>IT12000HD-U-USFX</t>
  </si>
  <si>
    <t>IT5000HD-U-USFX</t>
  </si>
  <si>
    <t>IT9000HD-U-USFX</t>
  </si>
  <si>
    <t>VRACK12KFX</t>
  </si>
  <si>
    <t>VRACK12KPFX</t>
  </si>
  <si>
    <t>VRACKHD4FX</t>
  </si>
  <si>
    <t>VRACKHD4PFX</t>
  </si>
  <si>
    <t>NXLI1500-0-US</t>
  </si>
  <si>
    <t>NXLI2500-0-US</t>
  </si>
  <si>
    <t>NXLI3500-0-US</t>
  </si>
  <si>
    <t>NXLI800-0-US</t>
  </si>
  <si>
    <t>NXLS1002-0-US</t>
  </si>
  <si>
    <t>NXLS1502-0-US</t>
  </si>
  <si>
    <t>NXLS2002-0-US</t>
  </si>
  <si>
    <t>NXLS2502-0-US</t>
  </si>
  <si>
    <t>NXTI1002VM-U-US</t>
  </si>
  <si>
    <t>NXTI1002-U-US</t>
  </si>
  <si>
    <t>NXTI2002-U-US</t>
  </si>
  <si>
    <t>NXTI2002VM-U-US</t>
  </si>
  <si>
    <t>NXTI4002VM-U-US</t>
  </si>
  <si>
    <t>NXTI4002-U-US</t>
  </si>
  <si>
    <t>NXTI6002-U-US</t>
  </si>
  <si>
    <t>GEOLBox</t>
  </si>
  <si>
    <t>DBX1215V</t>
  </si>
  <si>
    <t>DBX1231V</t>
  </si>
  <si>
    <t>DBX-1260MVVM</t>
  </si>
  <si>
    <t>DBX-1260VVM</t>
  </si>
  <si>
    <t>DBX-1261MVVM</t>
  </si>
  <si>
    <t>DBX1261V</t>
  </si>
  <si>
    <t>DBX131SV</t>
  </si>
  <si>
    <t>DBX-215SVVM</t>
  </si>
  <si>
    <t>DBX215SV</t>
  </si>
  <si>
    <t>DBX223XSV</t>
  </si>
  <si>
    <t>DBX-231SVVM</t>
  </si>
  <si>
    <t>DBX231SV</t>
  </si>
  <si>
    <t>DBX234SV</t>
  </si>
  <si>
    <t>DBX234XSV</t>
  </si>
  <si>
    <t>DBX260V</t>
  </si>
  <si>
    <t>DBX266XSV</t>
  </si>
  <si>
    <t>DBX-286SVVM</t>
  </si>
  <si>
    <t>DBX286SV</t>
  </si>
  <si>
    <t>DBX510</t>
  </si>
  <si>
    <t>DBX520</t>
  </si>
  <si>
    <t>DBX530</t>
  </si>
  <si>
    <t>DBX560A</t>
  </si>
  <si>
    <t>DBX580</t>
  </si>
  <si>
    <t>DBX-640MVVM</t>
  </si>
  <si>
    <t>DBX640MV</t>
  </si>
  <si>
    <t>DBX640V</t>
  </si>
  <si>
    <t>DBX-640VVM</t>
  </si>
  <si>
    <t>DBX641MV</t>
  </si>
  <si>
    <t>DBX-641MVVM</t>
  </si>
  <si>
    <t>DBX-641VVM</t>
  </si>
  <si>
    <t>DBX641V</t>
  </si>
  <si>
    <t>DBX676FX</t>
  </si>
  <si>
    <t>DBXAFS2-V</t>
  </si>
  <si>
    <t>DBX-AFS2-VVM</t>
  </si>
  <si>
    <t>DBXBOB-V</t>
  </si>
  <si>
    <t>DBXCT2</t>
  </si>
  <si>
    <t>DBXCT3</t>
  </si>
  <si>
    <t>DBXDB10V</t>
  </si>
  <si>
    <t>DBXDB12V</t>
  </si>
  <si>
    <t>DBXDI1</t>
  </si>
  <si>
    <t>DBXDI4</t>
  </si>
  <si>
    <t>DBXDJDI</t>
  </si>
  <si>
    <t>DBXIEQ31-M</t>
  </si>
  <si>
    <t>DBXPA2-V</t>
  </si>
  <si>
    <t>DBXPA2-V-TW</t>
  </si>
  <si>
    <t>DBXPB48V</t>
  </si>
  <si>
    <t>DBXPMCM-04</t>
  </si>
  <si>
    <t>DBXPS6</t>
  </si>
  <si>
    <t>DBXRTA-M</t>
  </si>
  <si>
    <t>DBXVENU360-V</t>
  </si>
  <si>
    <t>DBXVENU360-V-TW</t>
  </si>
  <si>
    <t>DBXZC1V</t>
  </si>
  <si>
    <t>DBXZC2V</t>
  </si>
  <si>
    <t>DBXZC3V</t>
  </si>
  <si>
    <t>DBXZC4V</t>
  </si>
  <si>
    <t>DBXZC6V</t>
  </si>
  <si>
    <t>DBXZC7V</t>
  </si>
  <si>
    <t>DBXZC8V</t>
  </si>
  <si>
    <t>DBXZC9V</t>
  </si>
  <si>
    <t>DBXZCV-FIRE</t>
  </si>
  <si>
    <t>,9,</t>
  </si>
  <si>
    <t xml:space="preserve">"US Dealer
100-249pcs*" </t>
  </si>
  <si>
    <t>US Dealer
250+ pcs*</t>
  </si>
  <si>
    <t>Powered Pro Soundbars</t>
  </si>
  <si>
    <t>PSB-1</t>
  </si>
  <si>
    <t>PSB-1/230</t>
  </si>
  <si>
    <t>MIXERS</t>
  </si>
  <si>
    <t>NCSM14-U-US</t>
  </si>
  <si>
    <t>NCSM28-U-US</t>
  </si>
  <si>
    <t>MIXER-AMPLIFIERS</t>
  </si>
  <si>
    <t>NVMA1120-0-US</t>
  </si>
  <si>
    <t>NVMA1240-0-US</t>
  </si>
  <si>
    <t>NVMA160-0-US</t>
  </si>
  <si>
    <t>NVMA260-0-US</t>
  </si>
  <si>
    <t>NVMA2120-0-US</t>
  </si>
  <si>
    <t>NCSMA1120-U-US</t>
  </si>
  <si>
    <t>NCSMA180-U-US</t>
  </si>
  <si>
    <t>NCSMA2120-U-US</t>
  </si>
  <si>
    <t>NCSMA240-U-US</t>
  </si>
  <si>
    <t>NCSMA280-U-US</t>
  </si>
  <si>
    <t>AMPLIFIERS</t>
  </si>
  <si>
    <t>NCSA1120Z-U-US</t>
  </si>
  <si>
    <t>NCSA1300Z-0-US</t>
  </si>
  <si>
    <t>NCSA140Z-U-US</t>
  </si>
  <si>
    <t>NCSA180Z-U-US</t>
  </si>
  <si>
    <t>NCSA2120R-U-US</t>
  </si>
  <si>
    <t>NCST2120-X</t>
  </si>
  <si>
    <t>NCSA2120Z-U-US</t>
  </si>
  <si>
    <t>NCSA2300Z-0-US</t>
  </si>
  <si>
    <t>NCSA240Z-U-US</t>
  </si>
  <si>
    <t>NCSA280Z-U-US</t>
  </si>
  <si>
    <t>PAGING MICS</t>
  </si>
  <si>
    <t>CONTROLLERS - WALLPLATES</t>
  </si>
  <si>
    <t>JBLCSR2SVBLKV</t>
  </si>
  <si>
    <t>JBLCSR2SVWHTV</t>
  </si>
  <si>
    <t>JBLCSR3SVBLKV</t>
  </si>
  <si>
    <t>JBLCSR3SVWHTV</t>
  </si>
  <si>
    <t>JBLCSRVBLKV</t>
  </si>
  <si>
    <t>JBLCSRVWHTV</t>
  </si>
  <si>
    <t>CSS COMMERCIAL CEILING:
CSS Commercial Solutions Ceiling Speakers</t>
  </si>
  <si>
    <t>CSS8004</t>
  </si>
  <si>
    <t>CSS8008</t>
  </si>
  <si>
    <t>CSS8018</t>
  </si>
  <si>
    <t>CSS-BB4X6</t>
  </si>
  <si>
    <t>CSS-BB8X6</t>
  </si>
  <si>
    <t>CSS-TR4/8x12</t>
  </si>
  <si>
    <t>COMMERCIAL CEILING:
LCT Lay-In Ceiling Series</t>
  </si>
  <si>
    <t>LCT 81C/T</t>
  </si>
  <si>
    <t>JBL-LCT 81C/TM</t>
  </si>
  <si>
    <t>COMMERCIAL CEILING:
8100 Series Ceiling Speakers</t>
  </si>
  <si>
    <t>HPD8138</t>
  </si>
  <si>
    <t>MTC-8124C</t>
  </si>
  <si>
    <t>MTC-8128C</t>
  </si>
  <si>
    <t>MTC-81BB8</t>
  </si>
  <si>
    <t>MTC-81TB8</t>
  </si>
  <si>
    <t>MTC-ThinC-EAR</t>
  </si>
  <si>
    <t>MTC-RAIL</t>
  </si>
  <si>
    <t>COMMERCIAL CEILING:
10 Series Blind-Mount Ceiling Speakers</t>
  </si>
  <si>
    <t>CONTROL 12C/T</t>
  </si>
  <si>
    <t>CONTROL 12C/T-BK</t>
  </si>
  <si>
    <t>CONTROL 14C/T</t>
  </si>
  <si>
    <t>CONTROL 14C/T-BK</t>
  </si>
  <si>
    <t>CONTROL 16C/T</t>
  </si>
  <si>
    <t>CONTROL 16C/T-BK</t>
  </si>
  <si>
    <t>CONTROL 18C/T</t>
  </si>
  <si>
    <t>CONTROL 18C/T-BK</t>
  </si>
  <si>
    <t>MTC-14WG</t>
  </si>
  <si>
    <t>MTC-14WG-BK</t>
  </si>
  <si>
    <t>MTC-16WG</t>
  </si>
  <si>
    <t>MTC-16WG-BK</t>
  </si>
  <si>
    <t>JBL-MTC-CSTETH1</t>
  </si>
  <si>
    <t>COMMERCIAL CEILING:
20 Series Blind-Mount Ceiling Speakers</t>
  </si>
  <si>
    <t>C24CT MICROPLUS</t>
  </si>
  <si>
    <t>C24CT-BK</t>
  </si>
  <si>
    <t>CONTROL 24C</t>
  </si>
  <si>
    <t>CONTROL 24C MICRO</t>
  </si>
  <si>
    <t>CONTROL 24CT</t>
  </si>
  <si>
    <t>CONTROL 24CT MICRO</t>
  </si>
  <si>
    <t>CONTROL 26C</t>
  </si>
  <si>
    <t>CONTROL 26CT</t>
  </si>
  <si>
    <t>CONTROL 26-DT</t>
  </si>
  <si>
    <t>C26CT-LS</t>
  </si>
  <si>
    <t>CONTROL 19CS</t>
  </si>
  <si>
    <t>CONTROL 19CST</t>
  </si>
  <si>
    <t>MTC-19MR</t>
  </si>
  <si>
    <t>MTC-19NC</t>
  </si>
  <si>
    <t>MTC-24MR</t>
  </si>
  <si>
    <t>MTC-24NC</t>
  </si>
  <si>
    <t>MTC-24TR</t>
  </si>
  <si>
    <t>MTC-26MR</t>
  </si>
  <si>
    <t>MTC-26NC</t>
  </si>
  <si>
    <t>MTC-26TR</t>
  </si>
  <si>
    <t>MTC-48TRx12</t>
  </si>
  <si>
    <t>MTC-PC2</t>
  </si>
  <si>
    <t>MTC-PC3</t>
  </si>
  <si>
    <t>MTC-TCD</t>
  </si>
  <si>
    <t>COMMERCIAL CEILING:
40 Series Premium Ceiling Speakers</t>
  </si>
  <si>
    <t>CONTROL 40CS/T</t>
  </si>
  <si>
    <t>CONTROL 42C</t>
  </si>
  <si>
    <t>CONTROL 45C/T</t>
  </si>
  <si>
    <t>CONTROL 47C/T</t>
  </si>
  <si>
    <t>CONTROL 47HC</t>
  </si>
  <si>
    <t>CONTROL 47LP</t>
  </si>
  <si>
    <t>MTC-42MR</t>
  </si>
  <si>
    <t>MTC-42NC</t>
  </si>
  <si>
    <t>MTC-47MR</t>
  </si>
  <si>
    <t>MTC-47NC</t>
  </si>
  <si>
    <t>COMMERCIAL CEILING:
200 Series Medium-Format Ceiling Speakers</t>
  </si>
  <si>
    <t>CONTROL 226C/T</t>
  </si>
  <si>
    <t>CONTROL 227C</t>
  </si>
  <si>
    <t>CONTROL 227CT</t>
  </si>
  <si>
    <t>MTC-200BB6</t>
  </si>
  <si>
    <t>MTC-RG6/8</t>
  </si>
  <si>
    <t>MTC-SG6/8</t>
  </si>
  <si>
    <t>MTC-TB6/8</t>
  </si>
  <si>
    <t>COMMERCIAL CEILING:
300 Series Large-Format Ceiling Speakers</t>
  </si>
  <si>
    <t>CONTROL 312CS</t>
  </si>
  <si>
    <t>CONTROL 321C</t>
  </si>
  <si>
    <t>CONTROL 321CT</t>
  </si>
  <si>
    <t>CONTROL 322C</t>
  </si>
  <si>
    <t>CONTROL 322CT</t>
  </si>
  <si>
    <t>CONTROL 328C</t>
  </si>
  <si>
    <t>CONTROL 328CT</t>
  </si>
  <si>
    <t>MTC-300BB12</t>
  </si>
  <si>
    <t>MTC-300BB8</t>
  </si>
  <si>
    <t>MTC-300SG12</t>
  </si>
  <si>
    <t>MTC-300T150</t>
  </si>
  <si>
    <t>CSS COMMERCIAL SURFACE:
CSS Commercial Solutions Surface Speakers</t>
  </si>
  <si>
    <t>CSS-1S/T</t>
  </si>
  <si>
    <t>PAGING HORNS</t>
  </si>
  <si>
    <t>CSS-H15</t>
  </si>
  <si>
    <t>CSS-H30</t>
  </si>
  <si>
    <t>COMMERCIAL SURFACE:
Control 20/30 Series Surface Speakers</t>
  </si>
  <si>
    <t>Control 23-1</t>
  </si>
  <si>
    <t>CONTROL 23-1L</t>
  </si>
  <si>
    <t>CONTROL 23-1L-WH</t>
  </si>
  <si>
    <t>CONTROL 23-1-WH</t>
  </si>
  <si>
    <t>Control 25-1</t>
  </si>
  <si>
    <t>CONTROL 25-1L</t>
  </si>
  <si>
    <t>CONTROL 25-1L-WH</t>
  </si>
  <si>
    <t>CONTROL 25-1-WH</t>
  </si>
  <si>
    <t>CONTROL 25AV</t>
  </si>
  <si>
    <t>CONTROL 25AV-WH</t>
  </si>
  <si>
    <t>C25AV-LS</t>
  </si>
  <si>
    <t>C25AV-LS-WH</t>
  </si>
  <si>
    <t>CONTROL 28-1</t>
  </si>
  <si>
    <t>CONTROL 28-1L</t>
  </si>
  <si>
    <t>CONTROL 28-1L-WH</t>
  </si>
  <si>
    <t>CONTROL 28-1-WH</t>
  </si>
  <si>
    <t>C29AV-1</t>
  </si>
  <si>
    <t>C29AV-WH-1</t>
  </si>
  <si>
    <t>CONTROL 30</t>
  </si>
  <si>
    <t>CONTROL 30-WH</t>
  </si>
  <si>
    <t>CONTROL 31</t>
  </si>
  <si>
    <t>CONTROL 31-WH</t>
  </si>
  <si>
    <t>CONTROL HST</t>
  </si>
  <si>
    <t>CONTROL HST-WH</t>
  </si>
  <si>
    <t>CONTROLCRV</t>
  </si>
  <si>
    <t>CONTROLCRV-WH</t>
  </si>
  <si>
    <t>CONTROL SB2210</t>
  </si>
  <si>
    <t>CONTROL SB2210-WH</t>
  </si>
  <si>
    <t>MTC-210UB</t>
  </si>
  <si>
    <t>MTC-210UB-WH</t>
  </si>
  <si>
    <t>MTC-23CM</t>
  </si>
  <si>
    <t>MTC-23CM-WH</t>
  </si>
  <si>
    <t>MTC-23UB-1</t>
  </si>
  <si>
    <t>MTC-23UB-1-WH</t>
  </si>
  <si>
    <t>MTC-23WMG-1</t>
  </si>
  <si>
    <t>MTC-23WMG-1-WH</t>
  </si>
  <si>
    <t>MTC-25UB-1</t>
  </si>
  <si>
    <t>MTC-25UB-1-WH</t>
  </si>
  <si>
    <t>MTC-25WMG-1</t>
  </si>
  <si>
    <t>MTC-25WMG-1-WH</t>
  </si>
  <si>
    <t>MTC-28/25CM</t>
  </si>
  <si>
    <t>MTC-28/25CM-WH</t>
  </si>
  <si>
    <t>MTC-28UB-1</t>
  </si>
  <si>
    <t>MTC-28UB-1-WH</t>
  </si>
  <si>
    <t>MTC-28WMG-1</t>
  </si>
  <si>
    <t>MTC-28WMG-1-WH</t>
  </si>
  <si>
    <t>MTC-29MK</t>
  </si>
  <si>
    <t>MTC-29MK-WH</t>
  </si>
  <si>
    <t>MTC-29CM</t>
  </si>
  <si>
    <t>MTC-29CM-WH</t>
  </si>
  <si>
    <t>MTC-29UB</t>
  </si>
  <si>
    <t>MTC-29UB-WH</t>
  </si>
  <si>
    <t>MTC-30CM</t>
  </si>
  <si>
    <t>MTC-30CM-WH</t>
  </si>
  <si>
    <t>MTC-30MK</t>
  </si>
  <si>
    <t>MTC-30MK-WH</t>
  </si>
  <si>
    <t>MTC-30UB</t>
  </si>
  <si>
    <t>MTC-30UB-WH</t>
  </si>
  <si>
    <t>MTC-SBT300</t>
  </si>
  <si>
    <t>COMMERCIAL SURFACE: SLP Series Sleek Low-Profile Surface Speakers</t>
  </si>
  <si>
    <t>JBL-SLP12/T-BK</t>
  </si>
  <si>
    <t>JBL-SLP12/T-WH</t>
  </si>
  <si>
    <t>JBL-SLP14/T-BK</t>
  </si>
  <si>
    <t>JBL-SLP14/T-WH</t>
  </si>
  <si>
    <t>COMMERCIAL SURFACE:
Control 50 Series Sub/Sat peakers</t>
  </si>
  <si>
    <t>CONTROL 50S/T</t>
  </si>
  <si>
    <t>CONTROL 50S/T-WH</t>
  </si>
  <si>
    <t>CONTROL 52</t>
  </si>
  <si>
    <t>CONTROL 52-WH</t>
  </si>
  <si>
    <t>C50PACK</t>
  </si>
  <si>
    <t>C50PACK-WH</t>
  </si>
  <si>
    <t>COMMERCIAL PENDANT:
Control 60 Series</t>
  </si>
  <si>
    <t>C60PS/T</t>
  </si>
  <si>
    <t>C60PS/T-WH</t>
  </si>
  <si>
    <t>C62P</t>
  </si>
  <si>
    <t>C62P-WH</t>
  </si>
  <si>
    <t>C64P/T</t>
  </si>
  <si>
    <t>C64P/T-WH</t>
  </si>
  <si>
    <t>C65P/T</t>
  </si>
  <si>
    <t>C65P/T-WH</t>
  </si>
  <si>
    <t>C67HC/T</t>
  </si>
  <si>
    <t>C67HC/T-WH</t>
  </si>
  <si>
    <t>C67P/T</t>
  </si>
  <si>
    <t>C67P/T-WH</t>
  </si>
  <si>
    <t>JBL-C68HP</t>
  </si>
  <si>
    <t>JBL-C68HP-WH</t>
  </si>
  <si>
    <t>MTC-PC60</t>
  </si>
  <si>
    <t>MTC-PC62</t>
  </si>
  <si>
    <t>IN-WALLS:
Control 100 In-Wall Speakers</t>
  </si>
  <si>
    <t>CONTROL 126W</t>
  </si>
  <si>
    <t>CONTROL 126WT</t>
  </si>
  <si>
    <t>CONTROL 128W</t>
  </si>
  <si>
    <t>CONTROL 128WT</t>
  </si>
  <si>
    <t>WB6</t>
  </si>
  <si>
    <t>WB8</t>
  </si>
  <si>
    <t>LANDSCAPE:
Control 80 Series Landscape Speakers</t>
  </si>
  <si>
    <t>CONTROL 85M</t>
  </si>
  <si>
    <t>CONTROL 88M</t>
  </si>
  <si>
    <t>JBL-Control 89MS</t>
  </si>
  <si>
    <t>LANDSCAPE: GSF and GSB Landscape Speakers</t>
  </si>
  <si>
    <t>JBL-GSF3-GN</t>
  </si>
  <si>
    <t>JBL-GSF3-TN</t>
  </si>
  <si>
    <t>JBL-GSF6-GN</t>
  </si>
  <si>
    <t>JBL-GSF6-TN</t>
  </si>
  <si>
    <t>JBL-GSB8-GN</t>
  </si>
  <si>
    <t>JBL-GSB8-TN</t>
  </si>
  <si>
    <t>JBL-GSB12-GN</t>
  </si>
  <si>
    <t>JBL-GSB12-TN</t>
  </si>
  <si>
    <t>COLUMNS: COL Slim and CBT Pattern-Controlled Columns</t>
  </si>
  <si>
    <t>JBL-COL600-BK</t>
  </si>
  <si>
    <t>JBL-COL600-WH</t>
  </si>
  <si>
    <t>JBL-COL800-BK</t>
  </si>
  <si>
    <t>JBL-COL800-WH</t>
  </si>
  <si>
    <t>CBT 50LA-1</t>
  </si>
  <si>
    <t>CBT 100LA-1</t>
  </si>
  <si>
    <t>CBT 50LA-1-WH</t>
  </si>
  <si>
    <t>CBT 100LA-1-WH</t>
  </si>
  <si>
    <t>CBT 50LA-LS</t>
  </si>
  <si>
    <t>CBT 100LA-LS</t>
  </si>
  <si>
    <t>CBT 50LA-LS-WH</t>
  </si>
  <si>
    <t>CBT 100LA-LS-WH</t>
  </si>
  <si>
    <t>CBT 200LA-1</t>
  </si>
  <si>
    <t>CBT 200LA-1-WH</t>
  </si>
  <si>
    <t>CBT 70J-1</t>
  </si>
  <si>
    <t>CBT 70J-1-WH</t>
  </si>
  <si>
    <t>CBT 70JE-1</t>
  </si>
  <si>
    <t>CBT 70JE-1-WH</t>
  </si>
  <si>
    <t>CBT 1000</t>
  </si>
  <si>
    <t>CBT 1000E</t>
  </si>
  <si>
    <t>CBT 1000E-WH</t>
  </si>
  <si>
    <t>CBT 1000-WH</t>
  </si>
  <si>
    <t>CBT1K-ACC1</t>
  </si>
  <si>
    <t>CBT1K-ACC1-WH</t>
  </si>
  <si>
    <t>MTC-CBT-70T</t>
  </si>
  <si>
    <t>MTC-CBT-70T-WH</t>
  </si>
  <si>
    <t>MTC-CBT-FM1</t>
  </si>
  <si>
    <t>MTC-CBT-FM1-WH</t>
  </si>
  <si>
    <t>MTC-CBT-FM2</t>
  </si>
  <si>
    <t>MTC-CBT-FM2-WH</t>
  </si>
  <si>
    <t>MTC-CBT-SMB1</t>
  </si>
  <si>
    <t>MTC-CBT-SUS3</t>
  </si>
  <si>
    <t>MTC-CBT-SUS3-WH</t>
  </si>
  <si>
    <t>COLUMNS:
Intellivox Powered Column Speakers</t>
  </si>
  <si>
    <t>ADC NON_POWERED</t>
  </si>
  <si>
    <t>IVX-17959145</t>
  </si>
  <si>
    <t>IVX-20010</t>
  </si>
  <si>
    <t>IVX-20012</t>
  </si>
  <si>
    <t>POWERED (&amp; Config. Options)</t>
  </si>
  <si>
    <t>IVX-20021</t>
  </si>
  <si>
    <t>IVX-20022</t>
  </si>
  <si>
    <t>IVX-20023</t>
  </si>
  <si>
    <t>IVX-20030</t>
  </si>
  <si>
    <t>IVX-20043</t>
  </si>
  <si>
    <t>IVX-20063</t>
  </si>
  <si>
    <t>IVX-576126</t>
  </si>
  <si>
    <t>IVX-577125</t>
  </si>
  <si>
    <t>IVX-577126</t>
  </si>
  <si>
    <t>IVX-577135</t>
  </si>
  <si>
    <t>IVX-577136</t>
  </si>
  <si>
    <t>IVX-587000</t>
  </si>
  <si>
    <t>IVX-587001</t>
  </si>
  <si>
    <t>IVX-587020</t>
  </si>
  <si>
    <t>IVX-587021</t>
  </si>
  <si>
    <t>IVX-587040</t>
  </si>
  <si>
    <t>IVX-587060</t>
  </si>
  <si>
    <t>IVX-587061</t>
  </si>
  <si>
    <t>IVX-587041</t>
  </si>
  <si>
    <t>IVX-587120</t>
  </si>
  <si>
    <t>IVX-587121</t>
  </si>
  <si>
    <t>IVX-587140</t>
  </si>
  <si>
    <t>IVX-587141</t>
  </si>
  <si>
    <t>IVX-587160</t>
  </si>
  <si>
    <t>IVX-587161</t>
  </si>
  <si>
    <t>IVX-587180</t>
  </si>
  <si>
    <t>IVX-587181</t>
  </si>
  <si>
    <t>IVX-587300</t>
  </si>
  <si>
    <t>IVX-587301</t>
  </si>
  <si>
    <t>IVX-587350</t>
  </si>
  <si>
    <t>IVX-587351</t>
  </si>
  <si>
    <t>HP HIGH-POWER</t>
  </si>
  <si>
    <t>IVX-587480</t>
  </si>
  <si>
    <t>IVX-587481</t>
  </si>
  <si>
    <t>IVX-587870</t>
  </si>
  <si>
    <t>IVX-587890</t>
  </si>
  <si>
    <t>IVX-802000</t>
  </si>
  <si>
    <t>IVX-802105</t>
  </si>
  <si>
    <t>IVX-802110</t>
  </si>
  <si>
    <t>IVX-802120</t>
  </si>
  <si>
    <t>IVX-802225</t>
  </si>
  <si>
    <t>IVX-802226</t>
  </si>
  <si>
    <t>IVX-802227</t>
  </si>
  <si>
    <t>IVX-802235</t>
  </si>
  <si>
    <t>IVX-802261</t>
  </si>
  <si>
    <t>IVX-806602</t>
  </si>
  <si>
    <t>IVX-806608</t>
  </si>
  <si>
    <t>IVX-806618</t>
  </si>
  <si>
    <t>IVX-806668</t>
  </si>
  <si>
    <t>DUR386612</t>
  </si>
  <si>
    <t>POINT SOURCE:
AWC All-Weather Compact</t>
  </si>
  <si>
    <t>AWC62</t>
  </si>
  <si>
    <t>AWC62-BK</t>
  </si>
  <si>
    <t>AWC82</t>
  </si>
  <si>
    <t>AWC82-BK</t>
  </si>
  <si>
    <t>AWC129</t>
  </si>
  <si>
    <t>AWC129-BK</t>
  </si>
  <si>
    <t>AWC159</t>
  </si>
  <si>
    <t>AWC159-BK</t>
  </si>
  <si>
    <t>AWC15LF</t>
  </si>
  <si>
    <t>AWC15LF-BK</t>
  </si>
  <si>
    <t>POINT SOURCE:
AW All-Weather (full size)</t>
  </si>
  <si>
    <t>AW266</t>
  </si>
  <si>
    <t>AW266-BK</t>
  </si>
  <si>
    <t>AW266-LS</t>
  </si>
  <si>
    <t>AW266-LS-BK</t>
  </si>
  <si>
    <t>AW295</t>
  </si>
  <si>
    <t>AW295-BK</t>
  </si>
  <si>
    <t>AW295-LS</t>
  </si>
  <si>
    <t>AW526</t>
  </si>
  <si>
    <t>AW526-BK</t>
  </si>
  <si>
    <t>AW526-LS</t>
  </si>
  <si>
    <t>AW526-LS-BK</t>
  </si>
  <si>
    <t>AW566</t>
  </si>
  <si>
    <t>AW566-BK</t>
  </si>
  <si>
    <t>AW566-LS</t>
  </si>
  <si>
    <t>AW566-LS-BK</t>
  </si>
  <si>
    <t>AW595</t>
  </si>
  <si>
    <t>AW595-BK</t>
  </si>
  <si>
    <t>AW595-LS</t>
  </si>
  <si>
    <t>AW595-LS-BK</t>
  </si>
  <si>
    <t>POINT-SOURCE:
AE Compact Series</t>
  </si>
  <si>
    <t>AC15</t>
  </si>
  <si>
    <t>AC15-WH</t>
  </si>
  <si>
    <t>AC16</t>
  </si>
  <si>
    <t>AC16-WH</t>
  </si>
  <si>
    <t>AC16-WRC</t>
  </si>
  <si>
    <t>AC16-WRX</t>
  </si>
  <si>
    <t>AC18/26</t>
  </si>
  <si>
    <t>AC18/26-WH</t>
  </si>
  <si>
    <t>AC18/26-WRC</t>
  </si>
  <si>
    <t>AC18/95</t>
  </si>
  <si>
    <t>AC18/95-WH</t>
  </si>
  <si>
    <t>AC18/95-WRX</t>
  </si>
  <si>
    <t>AC18/95-WRC</t>
  </si>
  <si>
    <t>AC25</t>
  </si>
  <si>
    <t>AC25-WH</t>
  </si>
  <si>
    <t>AC25-WRX</t>
  </si>
  <si>
    <t>AC26</t>
  </si>
  <si>
    <t>AC26-WH</t>
  </si>
  <si>
    <t>AC26-WRC</t>
  </si>
  <si>
    <t>AC28/26</t>
  </si>
  <si>
    <t>AC28/26-WH</t>
  </si>
  <si>
    <t>AC28/26-WRC</t>
  </si>
  <si>
    <t>AC28/26-WRX</t>
  </si>
  <si>
    <t>AC28/95</t>
  </si>
  <si>
    <t>AC28/95-WH</t>
  </si>
  <si>
    <t>AC28/95-WRC</t>
  </si>
  <si>
    <t>AC28/95-WRX</t>
  </si>
  <si>
    <t>AC115S</t>
  </si>
  <si>
    <t>AC115S-WH</t>
  </si>
  <si>
    <t>AC118S</t>
  </si>
  <si>
    <t>AC118S-WH</t>
  </si>
  <si>
    <t>AC195</t>
  </si>
  <si>
    <t>AC195-WH</t>
  </si>
  <si>
    <t>AC266</t>
  </si>
  <si>
    <t>AC266-WH</t>
  </si>
  <si>
    <t>AC299</t>
  </si>
  <si>
    <t>AC299-WH</t>
  </si>
  <si>
    <t>AC566</t>
  </si>
  <si>
    <t>AC566-WH</t>
  </si>
  <si>
    <t>AC599</t>
  </si>
  <si>
    <t>AC599-WH</t>
  </si>
  <si>
    <t>AC895</t>
  </si>
  <si>
    <t>AC895-WH</t>
  </si>
  <si>
    <t>MTU-15</t>
  </si>
  <si>
    <t>MTU-15-WH</t>
  </si>
  <si>
    <t>MTU-16</t>
  </si>
  <si>
    <t>MTU-16-WH</t>
  </si>
  <si>
    <t>MTU-18</t>
  </si>
  <si>
    <t>MTU-18-WH</t>
  </si>
  <si>
    <t>MTU-25</t>
  </si>
  <si>
    <t>MTU-25-WH</t>
  </si>
  <si>
    <t>MTU-26</t>
  </si>
  <si>
    <t>MTU-26-WH</t>
  </si>
  <si>
    <t>MTU-28</t>
  </si>
  <si>
    <t>MTU-28-WH</t>
  </si>
  <si>
    <t>MTU-195</t>
  </si>
  <si>
    <t>MTU-195-WH</t>
  </si>
  <si>
    <t>MTU-266-99</t>
  </si>
  <si>
    <t>MTU-266-99-WH</t>
  </si>
  <si>
    <t>MTU-566-99</t>
  </si>
  <si>
    <t>MTU-566-99-WH</t>
  </si>
  <si>
    <t>MTU-895</t>
  </si>
  <si>
    <t>MTU-895-WH</t>
  </si>
  <si>
    <t>OSB-1</t>
  </si>
  <si>
    <t>OSB-1-WH</t>
  </si>
  <si>
    <t>WMB-100</t>
  </si>
  <si>
    <t>WMB-100-WH</t>
  </si>
  <si>
    <t>POINT-SOURCE:
AE Series</t>
  </si>
  <si>
    <t>AC2212/00</t>
  </si>
  <si>
    <t>AC2212/00-WH</t>
  </si>
  <si>
    <t>AC2212/95</t>
  </si>
  <si>
    <t>AC2212/95-WH</t>
  </si>
  <si>
    <t>AC2215/00-WH</t>
  </si>
  <si>
    <t>AC2215/64</t>
  </si>
  <si>
    <t>AC2215/64-WH</t>
  </si>
  <si>
    <t>AC2215/95-WH</t>
  </si>
  <si>
    <t>AC2215/95-WRC</t>
  </si>
  <si>
    <t>ASB4128</t>
  </si>
  <si>
    <t>ASB4128-WH</t>
  </si>
  <si>
    <t>ASB4128-WRX</t>
  </si>
  <si>
    <t>AM5212/00</t>
  </si>
  <si>
    <t>AM5212/00-WH</t>
  </si>
  <si>
    <t>AM5212/00-WRC</t>
  </si>
  <si>
    <t>AM5212/00-WRX</t>
  </si>
  <si>
    <t>AM5212/26</t>
  </si>
  <si>
    <t>AM5212/26-WH</t>
  </si>
  <si>
    <t>AM5212/26-WRC</t>
  </si>
  <si>
    <t>AM5212/26-WRX</t>
  </si>
  <si>
    <t>AM5212/64</t>
  </si>
  <si>
    <t>AM5212/64-WH</t>
  </si>
  <si>
    <t>AM5212/64-WRX</t>
  </si>
  <si>
    <t>AM5212/64-WRC</t>
  </si>
  <si>
    <t>AM5212/66</t>
  </si>
  <si>
    <t>AM5212/66-WH</t>
  </si>
  <si>
    <t>AM5212/66-WRC</t>
  </si>
  <si>
    <t>AM5212/66-WRX</t>
  </si>
  <si>
    <t>AM5212/95</t>
  </si>
  <si>
    <t>AM5212/95-WH</t>
  </si>
  <si>
    <t>AM5212/95-WRC</t>
  </si>
  <si>
    <t>AM5215/26</t>
  </si>
  <si>
    <t>AM5215/26-WH</t>
  </si>
  <si>
    <t>AM5215/26-WRX</t>
  </si>
  <si>
    <t>AM5215/64</t>
  </si>
  <si>
    <t>AM5215/64-WH</t>
  </si>
  <si>
    <t>AM5215/64-WRX</t>
  </si>
  <si>
    <t>AM5215/66</t>
  </si>
  <si>
    <t>AM5215/66-WH</t>
  </si>
  <si>
    <t>AM5215/66-WRC</t>
  </si>
  <si>
    <t>AM5215/66-WRX</t>
  </si>
  <si>
    <t>AM5215/95</t>
  </si>
  <si>
    <t>AM5215/95-WH</t>
  </si>
  <si>
    <t>AM5215/95-WRC</t>
  </si>
  <si>
    <t>AM5215/95-WRX</t>
  </si>
  <si>
    <t>ASB6112</t>
  </si>
  <si>
    <t>ASB6112-WRC</t>
  </si>
  <si>
    <t>ASB6112-WRX</t>
  </si>
  <si>
    <t>ASB6112-WH</t>
  </si>
  <si>
    <t>ASB6115</t>
  </si>
  <si>
    <t>ASB6115-WH</t>
  </si>
  <si>
    <t>ASB6115-WRC</t>
  </si>
  <si>
    <t>ASB6115-WRX</t>
  </si>
  <si>
    <t>ASB6118</t>
  </si>
  <si>
    <t>ASB6118-WH</t>
  </si>
  <si>
    <t>ASB6118-WRX</t>
  </si>
  <si>
    <t>ASB6125</t>
  </si>
  <si>
    <t>ASB6125-WH</t>
  </si>
  <si>
    <t>ASB6125-WRC</t>
  </si>
  <si>
    <t>ASB6125-WRX</t>
  </si>
  <si>
    <t>ASB6128</t>
  </si>
  <si>
    <t>ASB6128-WH</t>
  </si>
  <si>
    <t>ASB6128-WRC</t>
  </si>
  <si>
    <t>ASH6118</t>
  </si>
  <si>
    <t>AM7200/64</t>
  </si>
  <si>
    <t>AM7200/95</t>
  </si>
  <si>
    <t>AM7212/00</t>
  </si>
  <si>
    <t>AM7212/00-WH</t>
  </si>
  <si>
    <t>AM7212/00-WRC</t>
  </si>
  <si>
    <t>AM7212/00-WRX</t>
  </si>
  <si>
    <t>AM7212/26</t>
  </si>
  <si>
    <t>AM7212/26-WH</t>
  </si>
  <si>
    <t>AM7212/26-WRC</t>
  </si>
  <si>
    <t>AM7212/26-WRX</t>
  </si>
  <si>
    <t>AM7212/64</t>
  </si>
  <si>
    <t>AM7212/64-WH</t>
  </si>
  <si>
    <t>AM7212/64-WRC</t>
  </si>
  <si>
    <t>AM7212/66</t>
  </si>
  <si>
    <t>AM7212/66-WH</t>
  </si>
  <si>
    <t>AM7212/66-WRC</t>
  </si>
  <si>
    <t>AM7212/66-WRX</t>
  </si>
  <si>
    <t>AM7212/95</t>
  </si>
  <si>
    <t>AM7212/95-WH</t>
  </si>
  <si>
    <t>AM7215/26</t>
  </si>
  <si>
    <t>AM7215/26-WH</t>
  </si>
  <si>
    <t>AM7215/26-WRC</t>
  </si>
  <si>
    <t>AM7215/26-WRX</t>
  </si>
  <si>
    <t>AM7215/64</t>
  </si>
  <si>
    <t>AM7215/64-WH</t>
  </si>
  <si>
    <t>AM7215/64-WRC</t>
  </si>
  <si>
    <t>AM7215/64-WRX</t>
  </si>
  <si>
    <t>AM7215/66</t>
  </si>
  <si>
    <t>AM7215/66-WH</t>
  </si>
  <si>
    <t>AM7215/66-WRC</t>
  </si>
  <si>
    <t>AM7215/66-WRX</t>
  </si>
  <si>
    <t>AM7215/95</t>
  </si>
  <si>
    <t>AM7215/95-WH</t>
  </si>
  <si>
    <t>AM7215/95-WRX</t>
  </si>
  <si>
    <t>AM7315/64</t>
  </si>
  <si>
    <t>AM7315/64-WH</t>
  </si>
  <si>
    <t>AM7315/64-WRC</t>
  </si>
  <si>
    <t>AM7315/95</t>
  </si>
  <si>
    <t>AM7315/95-WH</t>
  </si>
  <si>
    <t>AM7315/95-WRC</t>
  </si>
  <si>
    <t>AM7315/95-WRX</t>
  </si>
  <si>
    <t>AL7115</t>
  </si>
  <si>
    <t>AL7115-WH</t>
  </si>
  <si>
    <t>AL7115-WRC</t>
  </si>
  <si>
    <t>AL7115-WRX</t>
  </si>
  <si>
    <t>ASB7118</t>
  </si>
  <si>
    <t>ASB7118-WH</t>
  </si>
  <si>
    <t>ASB7118-WRC</t>
  </si>
  <si>
    <t>ASB7118WRX</t>
  </si>
  <si>
    <t>ASB7128</t>
  </si>
  <si>
    <t>ASB7128-WH</t>
  </si>
  <si>
    <t>ASB7128-WRC</t>
  </si>
  <si>
    <t>ASB7128-WRX</t>
  </si>
  <si>
    <t>CWT128</t>
  </si>
  <si>
    <t>CWT128-WH</t>
  </si>
  <si>
    <t>CWT128-WRC</t>
  </si>
  <si>
    <t>CWT128-WRX</t>
  </si>
  <si>
    <t>AE SERIES ACCESSORIES:</t>
  </si>
  <si>
    <t>MTU-1</t>
  </si>
  <si>
    <t>MTU-1-WH</t>
  </si>
  <si>
    <t>MTU-2</t>
  </si>
  <si>
    <t>MTU-2-WH</t>
  </si>
  <si>
    <t>MTU-3</t>
  </si>
  <si>
    <t>MTU-3-WH</t>
  </si>
  <si>
    <t>MTU-4</t>
  </si>
  <si>
    <t>MTU-4-WH</t>
  </si>
  <si>
    <t>229-00009-01</t>
  </si>
  <si>
    <t>POINT-SOURCE:
PD Precision Directivity Series</t>
  </si>
  <si>
    <t>PD525S</t>
  </si>
  <si>
    <t>PD525S - WH</t>
  </si>
  <si>
    <t>PD525S-WRC</t>
  </si>
  <si>
    <t>PD525S-WRX</t>
  </si>
  <si>
    <t>PD544</t>
  </si>
  <si>
    <t>PD544 - WH</t>
  </si>
  <si>
    <t>PD544-WRC</t>
  </si>
  <si>
    <t>PD544-WRX</t>
  </si>
  <si>
    <t>PD564</t>
  </si>
  <si>
    <t>PD564 - WH</t>
  </si>
  <si>
    <t>PD564-WRC</t>
  </si>
  <si>
    <t>PD564-WRX</t>
  </si>
  <si>
    <t>PD566 - WH</t>
  </si>
  <si>
    <t>PD566-WRC</t>
  </si>
  <si>
    <t>PD566-WRX</t>
  </si>
  <si>
    <t>PD595</t>
  </si>
  <si>
    <t>PD595 -WH</t>
  </si>
  <si>
    <t>PD595-WRC</t>
  </si>
  <si>
    <t>PD595-WRX</t>
  </si>
  <si>
    <t>PD743-WH</t>
  </si>
  <si>
    <t>PD743i-WRC</t>
  </si>
  <si>
    <t>PD743i-WRX</t>
  </si>
  <si>
    <t>PD743i-215-WRX</t>
  </si>
  <si>
    <t>PD743i-215-WRC</t>
  </si>
  <si>
    <t>PD764-WH</t>
  </si>
  <si>
    <t>PD764i-WRC</t>
  </si>
  <si>
    <t>PD764i-WRX</t>
  </si>
  <si>
    <t>PD764i-215-WRC</t>
  </si>
  <si>
    <t>PD764i-215-WRX</t>
  </si>
  <si>
    <t>PD5122</t>
  </si>
  <si>
    <t>PD5122-WH</t>
  </si>
  <si>
    <t>PD5122-WRC</t>
  </si>
  <si>
    <t>PD5122-WRX</t>
  </si>
  <si>
    <t>PD6200/43-WH</t>
  </si>
  <si>
    <t>PD6200/43-WRC</t>
  </si>
  <si>
    <t>PD6200/43-WRX</t>
  </si>
  <si>
    <t>PD6200/64</t>
  </si>
  <si>
    <t>PD6200/64-WH</t>
  </si>
  <si>
    <t>PD6200/64-WRC</t>
  </si>
  <si>
    <t>PD6200/64-WRX</t>
  </si>
  <si>
    <t>PD6200/66</t>
  </si>
  <si>
    <t>PD6200/66-WH</t>
  </si>
  <si>
    <t>PD6200/66-WRC</t>
  </si>
  <si>
    <t>PD6200/66-WRX</t>
  </si>
  <si>
    <t>PD6200/95</t>
  </si>
  <si>
    <t>PD6200/95-WH</t>
  </si>
  <si>
    <t>PD6200/95-WRC</t>
  </si>
  <si>
    <t>PD6200/95-WRX</t>
  </si>
  <si>
    <t>PD6212/43</t>
  </si>
  <si>
    <t>PD6212/43-WH</t>
  </si>
  <si>
    <t>PD6212/43-WRC</t>
  </si>
  <si>
    <t>PD6212/43-WRX</t>
  </si>
  <si>
    <t>PD6212/64</t>
  </si>
  <si>
    <t>PD6212/64-WRC</t>
  </si>
  <si>
    <t>PD6212/66</t>
  </si>
  <si>
    <t>PD6212/66-WH</t>
  </si>
  <si>
    <t>PD6212/66-WRC</t>
  </si>
  <si>
    <t>PD6212/95</t>
  </si>
  <si>
    <t>PD6212/95-WH</t>
  </si>
  <si>
    <t>PD6212/95-WRC</t>
  </si>
  <si>
    <t>PD6322/43</t>
  </si>
  <si>
    <t>PD6322/43-WH</t>
  </si>
  <si>
    <t>PD6322/43-WRC</t>
  </si>
  <si>
    <t>PD6322/43-WRX</t>
  </si>
  <si>
    <t>PD6322/64-H</t>
  </si>
  <si>
    <t>PD6322/64-WH</t>
  </si>
  <si>
    <t>PD6322/64-WRC</t>
  </si>
  <si>
    <t>PD6322/64-WRX</t>
  </si>
  <si>
    <t>PD6322/66</t>
  </si>
  <si>
    <t>PD6322/66-WH</t>
  </si>
  <si>
    <t>PD6322/66-WRC</t>
  </si>
  <si>
    <t>PD6322/95</t>
  </si>
  <si>
    <t>PD6322/95-WH</t>
  </si>
  <si>
    <t>PD6322/95-WRC</t>
  </si>
  <si>
    <t>PD6322/95-WRX</t>
  </si>
  <si>
    <t>LINE ARRAY:
VLA Line Array Modules</t>
  </si>
  <si>
    <t>JBL-P3267MX</t>
  </si>
  <si>
    <t>JBL-P3268MX</t>
  </si>
  <si>
    <t>JBL-P3270MX</t>
  </si>
  <si>
    <t>JBL-P3271MX</t>
  </si>
  <si>
    <t>JBL-P3187MX</t>
  </si>
  <si>
    <t>JBL-P3269MX</t>
  </si>
  <si>
    <t>VLA601I</t>
  </si>
  <si>
    <t>VLA601I-WRC</t>
  </si>
  <si>
    <t>VLA601I-WRX</t>
  </si>
  <si>
    <t>VLA601HI</t>
  </si>
  <si>
    <t>VLA601HI-WRC</t>
  </si>
  <si>
    <t>VLA601HI-WRX</t>
  </si>
  <si>
    <t>JBL-P3183MX</t>
  </si>
  <si>
    <t>VLA901I-WRC</t>
  </si>
  <si>
    <t>VLA901I-WRX</t>
  </si>
  <si>
    <t>JBL-P3266MX</t>
  </si>
  <si>
    <t>VLA901HI-WRC</t>
  </si>
  <si>
    <t>VLA901HI-WRX</t>
  </si>
  <si>
    <t>VLA-C2100-GR</t>
  </si>
  <si>
    <t>VLA-C2100-BK</t>
  </si>
  <si>
    <t>VLA-C265-GR</t>
  </si>
  <si>
    <t>VLA-C265-BK</t>
  </si>
  <si>
    <t>VLA-C125S-GR</t>
  </si>
  <si>
    <t>VLA-C125S-BK</t>
  </si>
  <si>
    <t>VLA-C125S-ACC</t>
  </si>
  <si>
    <t>JBL-VLACSB2BK</t>
  </si>
  <si>
    <t>LINE ARRAYS:
Vertec Series Large Format Line Arrays</t>
  </si>
  <si>
    <t>VT4883</t>
  </si>
  <si>
    <t>VT4886</t>
  </si>
  <si>
    <t>VT4886-AF</t>
  </si>
  <si>
    <t>VT4886-SF</t>
  </si>
  <si>
    <t>LINE ARRAYS:
VTX Series Large Format Line Arrays</t>
  </si>
  <si>
    <t>JBL-P3250MX</t>
  </si>
  <si>
    <t>JBL-P3251MX</t>
  </si>
  <si>
    <t>JBL-P3252MX</t>
  </si>
  <si>
    <t>JBL-P3253MX</t>
  </si>
  <si>
    <t>JBL-P3254MX</t>
  </si>
  <si>
    <t>JBL-P3312MX</t>
  </si>
  <si>
    <t>JBL-P3255MX</t>
  </si>
  <si>
    <t>JBL-P3256MX</t>
  </si>
  <si>
    <t>JBL-P3257MX</t>
  </si>
  <si>
    <t>JBL-P3258MX</t>
  </si>
  <si>
    <t>JBL-P3287MX</t>
  </si>
  <si>
    <t>JBL-P3319MX</t>
  </si>
  <si>
    <t>VTX A8</t>
  </si>
  <si>
    <t>VTX B18</t>
  </si>
  <si>
    <t>VTX A8 AF</t>
  </si>
  <si>
    <t>VTX A8 AF EB</t>
  </si>
  <si>
    <t>VTX A8 SB</t>
  </si>
  <si>
    <t>VTX A8 MF</t>
  </si>
  <si>
    <t>VTX-RC500</t>
  </si>
  <si>
    <t>VTX A8 VT</t>
  </si>
  <si>
    <t>VTX A8 VT CVR</t>
  </si>
  <si>
    <t>VTX A8 BP</t>
  </si>
  <si>
    <t>VTX B18 ACC</t>
  </si>
  <si>
    <t>VTX B18 VT</t>
  </si>
  <si>
    <t>VTX B18 VT CVR</t>
  </si>
  <si>
    <t>VTX A12</t>
  </si>
  <si>
    <t>VTX A12W</t>
  </si>
  <si>
    <t>VTX A12 VT CVR</t>
  </si>
  <si>
    <t>VTX A12 VT</t>
  </si>
  <si>
    <t>VTX A12 AF</t>
  </si>
  <si>
    <t>VTX A12 AF EB</t>
  </si>
  <si>
    <t>VTX A12 SB</t>
  </si>
  <si>
    <t>VTX DELTA</t>
  </si>
  <si>
    <t>VTX B28</t>
  </si>
  <si>
    <t>VTX B28 SB</t>
  </si>
  <si>
    <t>VTX B28 ACC</t>
  </si>
  <si>
    <t>VTX B28 VT</t>
  </si>
  <si>
    <t>VTX B28 VT CVR</t>
  </si>
  <si>
    <t>JBL-VTX B28 GND</t>
  </si>
  <si>
    <t>VTX A12 BP</t>
  </si>
  <si>
    <t>VTX A12 VT GND</t>
  </si>
  <si>
    <t>VTX V20 BP</t>
  </si>
  <si>
    <t>VTX-V20</t>
  </si>
  <si>
    <t>VTX-V25-II</t>
  </si>
  <si>
    <t>VTX-V25-II-CS</t>
  </si>
  <si>
    <t>VTX-S25</t>
  </si>
  <si>
    <t>VTX-S28</t>
  </si>
  <si>
    <t>JBL-P3396</t>
  </si>
  <si>
    <t>POINT SOURCE</t>
  </si>
  <si>
    <t>VTX-F12</t>
  </si>
  <si>
    <t>VTX-F15</t>
  </si>
  <si>
    <t>VTX-F18S</t>
  </si>
  <si>
    <t>VTX-F35/95</t>
  </si>
  <si>
    <t>VTX-F35/64</t>
  </si>
  <si>
    <t>M SERIES</t>
  </si>
  <si>
    <t>VTX-M20</t>
  </si>
  <si>
    <t>VTX-M22</t>
  </si>
  <si>
    <t>VTX-S25-VT</t>
  </si>
  <si>
    <t>VTX-S25-VT-CVR</t>
  </si>
  <si>
    <t>VTX-S28-ACC</t>
  </si>
  <si>
    <t>VTX-S28-VTC</t>
  </si>
  <si>
    <t>VTX-S28-VT-CVR</t>
  </si>
  <si>
    <t>VTX-V20-AF</t>
  </si>
  <si>
    <t>VTX-V20-AF-EB</t>
  </si>
  <si>
    <t>VTX-V20-LH</t>
  </si>
  <si>
    <t>VTX-V20-PB</t>
  </si>
  <si>
    <t>VTX-V20-VT</t>
  </si>
  <si>
    <t>VTX-V20-VT-CVR</t>
  </si>
  <si>
    <t>VTX-V20-VT-CVRW</t>
  </si>
  <si>
    <t>VTX-V25-ACC</t>
  </si>
  <si>
    <t>VTX-V25-AF</t>
  </si>
  <si>
    <t>VTX-V25-AF-EB</t>
  </si>
  <si>
    <t>VTX-V25-CS-K</t>
  </si>
  <si>
    <t>VTX-V25-CS-K-LJ</t>
  </si>
  <si>
    <t>VTX-V25-LH</t>
  </si>
  <si>
    <t>VTX-V25-PB</t>
  </si>
  <si>
    <t>VTX-V25-VTC</t>
  </si>
  <si>
    <t>VTX-V25-VT-CVR</t>
  </si>
  <si>
    <t>VTX-V25-VT-CVRW</t>
  </si>
  <si>
    <t>VTX-V25-WG-UK</t>
  </si>
  <si>
    <t>LINE ARRAY &amp; PORTABLE:
VRX Fixed Curvature Line Array</t>
  </si>
  <si>
    <t>VRX928LA</t>
  </si>
  <si>
    <t>VRX928LA-WH</t>
  </si>
  <si>
    <t>VRX932LA-1</t>
  </si>
  <si>
    <t>VRX932LA-1WH</t>
  </si>
  <si>
    <t>VRX932LAP</t>
  </si>
  <si>
    <t>VRX915M</t>
  </si>
  <si>
    <t>VRX915S</t>
  </si>
  <si>
    <t>VRX915S-WH</t>
  </si>
  <si>
    <t>VRX918S</t>
  </si>
  <si>
    <t>VRX918SP</t>
  </si>
  <si>
    <t>VRX918S-WH</t>
  </si>
  <si>
    <t>VRX-AF-II</t>
  </si>
  <si>
    <t>VRX-SMAF</t>
  </si>
  <si>
    <t>PORTABLE:
EON Series</t>
  </si>
  <si>
    <t>JBL-EONONEMK2-NA</t>
  </si>
  <si>
    <t>JBL-EONONECHGR-NA</t>
  </si>
  <si>
    <t>JBL-EONONE-BATT</t>
  </si>
  <si>
    <t>EON One Compact-NA</t>
  </si>
  <si>
    <t>EONONECOMPACT-BATT</t>
  </si>
  <si>
    <t>EONONECOMP-CHGR-NA</t>
  </si>
  <si>
    <t>EONONECOMPACT-5V9V</t>
  </si>
  <si>
    <t>EONONECOMPACT-512V</t>
  </si>
  <si>
    <t>EON208P</t>
  </si>
  <si>
    <t>JBL-EON700 YOKE</t>
  </si>
  <si>
    <t>JBL-EON710-NA</t>
  </si>
  <si>
    <t>JBL-EON712-NA</t>
  </si>
  <si>
    <t>JBL-EON715-NA</t>
  </si>
  <si>
    <t>JBL-EON718s-NA</t>
  </si>
  <si>
    <t>PORTABLE:
IRX Portable Speakers</t>
  </si>
  <si>
    <t>IRX108BT-NA</t>
  </si>
  <si>
    <t>IRX112BT-NA</t>
  </si>
  <si>
    <t>JBL-IRX115S-NA</t>
  </si>
  <si>
    <t>PORTABLE:
JRX Portable Speakers</t>
  </si>
  <si>
    <t>JRX212</t>
  </si>
  <si>
    <t>JRX215</t>
  </si>
  <si>
    <t>JRX218S</t>
  </si>
  <si>
    <t>JRX225</t>
  </si>
  <si>
    <t>PORTABLE:
PRX Portable Speakers</t>
  </si>
  <si>
    <t>NON-POWERED</t>
  </si>
  <si>
    <t>PRX412M</t>
  </si>
  <si>
    <t>PRX412M-WH</t>
  </si>
  <si>
    <t>PRX415M</t>
  </si>
  <si>
    <t>PRX415M-WH</t>
  </si>
  <si>
    <t>PRX418S</t>
  </si>
  <si>
    <t>PRX425</t>
  </si>
  <si>
    <t>POWERED</t>
  </si>
  <si>
    <t>PRX One</t>
  </si>
  <si>
    <t>JBL-PRXONEINSKIT</t>
  </si>
  <si>
    <t>JBL-PRX ONE-NA</t>
  </si>
  <si>
    <t>PRX825W</t>
  </si>
  <si>
    <t>PRX835W</t>
  </si>
  <si>
    <t>JBL-PRX908-NA</t>
  </si>
  <si>
    <t>JBL-PRX912-NA</t>
  </si>
  <si>
    <t>JBL-PRX915-NA</t>
  </si>
  <si>
    <t>JBL-PRX915XLF-NA</t>
  </si>
  <si>
    <t>JBL-PRX918XLF-NA</t>
  </si>
  <si>
    <t>PORTABLE:
SRX Portable Speakers</t>
  </si>
  <si>
    <t>SRX812</t>
  </si>
  <si>
    <t>SRX815</t>
  </si>
  <si>
    <t>SRX835</t>
  </si>
  <si>
    <t>SRX818S</t>
  </si>
  <si>
    <t>SRX828S</t>
  </si>
  <si>
    <t>SRX812P</t>
  </si>
  <si>
    <t>SRX815P</t>
  </si>
  <si>
    <t>SRX835P</t>
  </si>
  <si>
    <t>SRX818SP</t>
  </si>
  <si>
    <t>SRX828SP</t>
  </si>
  <si>
    <t>JBL-P3230MX</t>
  </si>
  <si>
    <t>JBL-P3231MX</t>
  </si>
  <si>
    <t>JBL-P3311MX</t>
  </si>
  <si>
    <t>JBL-P3233MX</t>
  </si>
  <si>
    <t>JBL-P3234MX</t>
  </si>
  <si>
    <t>JBL-P3235MX</t>
  </si>
  <si>
    <t>JBL-P3236MX</t>
  </si>
  <si>
    <t>JBL-P3237MX</t>
  </si>
  <si>
    <t>JBL-P3238MX</t>
  </si>
  <si>
    <t>JBL-P3239MX</t>
  </si>
  <si>
    <t>JBL-P3240MX</t>
  </si>
  <si>
    <t>JBL-P3241MX</t>
  </si>
  <si>
    <t>JBL-P3242MX</t>
  </si>
  <si>
    <t>JBL-P3243MX</t>
  </si>
  <si>
    <t>JBL-P3244MX</t>
  </si>
  <si>
    <t>JBL-p3312MX</t>
  </si>
  <si>
    <t>JBL-P3291MX</t>
  </si>
  <si>
    <t>PORTABLE:
Portable PA Stands</t>
  </si>
  <si>
    <t>JBLPOLE-GA</t>
  </si>
  <si>
    <t>JBLPOLE-MA</t>
  </si>
  <si>
    <t>JBLTRIPOD-GA</t>
  </si>
  <si>
    <t>JBLTRIPOD-MA</t>
  </si>
  <si>
    <t>Recording &amp; Broadcast</t>
  </si>
  <si>
    <t>104SET-BTW-US</t>
  </si>
  <si>
    <t>104SET-BT-US</t>
  </si>
  <si>
    <t>305PMKII</t>
  </si>
  <si>
    <t>306PMKII</t>
  </si>
  <si>
    <t>308PMKII</t>
  </si>
  <si>
    <t>LSR310S</t>
  </si>
  <si>
    <t>LSR705i</t>
  </si>
  <si>
    <t>705P</t>
  </si>
  <si>
    <t>LSR708i</t>
  </si>
  <si>
    <t>708P</t>
  </si>
  <si>
    <t>INTONATO24FX</t>
  </si>
  <si>
    <t>INTONATO-DC-M</t>
  </si>
  <si>
    <t>M2</t>
  </si>
  <si>
    <t>SUB18</t>
  </si>
  <si>
    <t>CONTROL</t>
  </si>
  <si>
    <t>C1PRO</t>
  </si>
  <si>
    <t>C1PRO-WH</t>
  </si>
  <si>
    <t>C2PM</t>
  </si>
  <si>
    <t>C2PS</t>
  </si>
  <si>
    <t>MTC-2P</t>
  </si>
  <si>
    <t>CONTROL 5</t>
  </si>
  <si>
    <t>NPATCH BLK</t>
  </si>
  <si>
    <t>351145-001</t>
  </si>
  <si>
    <t>CONTROL SB-210</t>
  </si>
  <si>
    <t>WK-4S</t>
  </si>
  <si>
    <t>IVX-97665012</t>
  </si>
  <si>
    <t>IVX-97745012</t>
  </si>
  <si>
    <t>(</t>
  </si>
  <si>
    <t>Restricted From Internet</t>
  </si>
  <si>
    <t>3722-HF</t>
  </si>
  <si>
    <t>3722N-HF</t>
  </si>
  <si>
    <t>3730-M/HF</t>
  </si>
  <si>
    <t>3732-M/HF</t>
  </si>
  <si>
    <t>3732-M/HF-T</t>
  </si>
  <si>
    <t>3733-M/HF</t>
  </si>
  <si>
    <t>3733-MK</t>
  </si>
  <si>
    <t>4642A</t>
  </si>
  <si>
    <t>4645C</t>
  </si>
  <si>
    <t>4722-HF</t>
  </si>
  <si>
    <t>4722N</t>
  </si>
  <si>
    <t>4722N-HF</t>
  </si>
  <si>
    <t>4732-M/HF</t>
  </si>
  <si>
    <t>4732-M/HF-T</t>
  </si>
  <si>
    <t>5732-M/HF</t>
  </si>
  <si>
    <t>5742-M/HF</t>
  </si>
  <si>
    <t>C211</t>
  </si>
  <si>
    <t>C221</t>
  </si>
  <si>
    <t>C222-BOT</t>
  </si>
  <si>
    <t>C222HP-BOT</t>
  </si>
  <si>
    <t>C222HP-TOP</t>
  </si>
  <si>
    <t>C222-TOP</t>
  </si>
  <si>
    <t>CRF2</t>
  </si>
  <si>
    <t>HPD2520</t>
  </si>
  <si>
    <t>HPD3635</t>
  </si>
  <si>
    <t>HPD3730</t>
  </si>
  <si>
    <t>HPD3739</t>
  </si>
  <si>
    <t>HPD4641</t>
  </si>
  <si>
    <t>HPD4739</t>
  </si>
  <si>
    <t>HPD5628</t>
  </si>
  <si>
    <t>HPD5641</t>
  </si>
  <si>
    <t>HPD5739</t>
  </si>
  <si>
    <t>HPD5749</t>
  </si>
  <si>
    <t>HPD8320</t>
  </si>
  <si>
    <t>HPD9300</t>
  </si>
  <si>
    <t>HPD9310</t>
  </si>
  <si>
    <t>HPD9320</t>
  </si>
  <si>
    <t>HPD9350</t>
  </si>
  <si>
    <t>MTU-9320</t>
  </si>
  <si>
    <t>SCS12</t>
  </si>
  <si>
    <t>SCS8</t>
  </si>
  <si>
    <t>LA4-D-US</t>
  </si>
  <si>
    <t>LA4-US</t>
  </si>
  <si>
    <t>MA4-D-US</t>
  </si>
  <si>
    <t>MA4-US</t>
  </si>
  <si>
    <t>SA4-D-US</t>
  </si>
  <si>
    <t>SA4-US</t>
  </si>
  <si>
    <t>LA4-D-NP</t>
  </si>
  <si>
    <t>MA4-D-NP</t>
  </si>
  <si>
    <t>MA4-NP</t>
  </si>
  <si>
    <t>CPI2000</t>
  </si>
  <si>
    <t>NDSI8MN</t>
  </si>
  <si>
    <t>3181F</t>
  </si>
  <si>
    <t>4281F</t>
  </si>
  <si>
    <t>NXLC21300-0-us</t>
  </si>
  <si>
    <t>NXLC2500-0-US</t>
  </si>
  <si>
    <t>NXLC2800-0-US</t>
  </si>
  <si>
    <t>LEXBOB-32</t>
  </si>
  <si>
    <t>LEXLXPPLUGRB-D</t>
  </si>
  <si>
    <t>LEXPCM92FX</t>
  </si>
  <si>
    <t>LEXPCM96FX</t>
  </si>
  <si>
    <t>LEXPCM96SUR-AFX</t>
  </si>
  <si>
    <t>LEXPCM96SUR-DFX</t>
  </si>
  <si>
    <t>LEXPLMPXR-D</t>
  </si>
  <si>
    <t>LEXPLPCMFX-D</t>
  </si>
  <si>
    <t>LEXPCMPLUGRB-D</t>
  </si>
  <si>
    <t>LEXPLPCMTOT-D</t>
  </si>
  <si>
    <t>LEXQLI32</t>
  </si>
  <si>
    <t>LHD240R</t>
  </si>
  <si>
    <t>Accessories</t>
  </si>
  <si>
    <t>Service Tools</t>
  </si>
  <si>
    <t>Firmware Uploaders</t>
  </si>
  <si>
    <t>Test Tools</t>
  </si>
  <si>
    <t>Rigging</t>
  </si>
  <si>
    <t>Omega Brackets</t>
  </si>
  <si>
    <t>MAR-91602019</t>
  </si>
  <si>
    <t>Clamps</t>
  </si>
  <si>
    <t>Safety Cables</t>
  </si>
  <si>
    <t>Cables</t>
  </si>
  <si>
    <t>Data EtherCON Cat6a (VDO Face 5 &amp; P3 PowerPort 1000 IP Rental)</t>
  </si>
  <si>
    <t>91611787HU</t>
  </si>
  <si>
    <t>Power PowerCON TRUE1</t>
  </si>
  <si>
    <t>91611788HU</t>
  </si>
  <si>
    <t>91611789HU</t>
  </si>
  <si>
    <t>Power PowerCON</t>
  </si>
  <si>
    <t>91611795HU</t>
  </si>
  <si>
    <t>91611794HU</t>
  </si>
  <si>
    <t>Power-DMX-Ethernet (PDE) (VDO Atomic Bold &amp; VDO Atomic Dot)</t>
  </si>
  <si>
    <t>MAR-91700002</t>
  </si>
  <si>
    <t>MAR-91700000</t>
  </si>
  <si>
    <t>MAR-91700001</t>
  </si>
  <si>
    <t>MAR-91700003</t>
  </si>
  <si>
    <t>Power+Data PCB (VC-Grid &amp; VC-Strip)</t>
  </si>
  <si>
    <t>Power+Data XLR4</t>
  </si>
  <si>
    <t>Power+Data BBD Rental (VDO Sceptron, VDO Fatron, VDO Dotron &amp; VC-Feeder)</t>
  </si>
  <si>
    <t>Power+Data BBD Install (Exterior PixLine, Exterior Dot-HP &amp; VC-Feeder)</t>
  </si>
  <si>
    <t>Power+Data LSZH Install (Low Smoke Zero Halogen)</t>
  </si>
  <si>
    <t>Power+Data Adapters</t>
  </si>
  <si>
    <t>Power+Data Connectors BBD</t>
  </si>
  <si>
    <t>Effect Fluids</t>
  </si>
  <si>
    <t>JEM Pro-Fog Fluid, Extra Quick Dissipating</t>
  </si>
  <si>
    <t>JEM Pro-Fog Fluid, Quick Dissipating</t>
  </si>
  <si>
    <t>JEM Pro-Fog Fluid</t>
  </si>
  <si>
    <t>JEM Pro-Fog Fluid, High Density</t>
  </si>
  <si>
    <t>JEM Low-Fog Fluid, Quick Dissipating</t>
  </si>
  <si>
    <t>JEM Low-Fog Fluid</t>
  </si>
  <si>
    <t>JEM Low-Fog Fluid, High Density</t>
  </si>
  <si>
    <t>RUSH &amp; THRILL Fog Fluid</t>
  </si>
  <si>
    <t>RUSH &amp; THRILL Haze Fluid</t>
  </si>
  <si>
    <t>RUSH Club Smoke Dual Fluid</t>
  </si>
  <si>
    <t>JEM K1 Haze Fluid</t>
  </si>
  <si>
    <t>JEM C-Plus Haze Fluid</t>
  </si>
  <si>
    <t>JEM R365 Haze Fluid</t>
  </si>
  <si>
    <t>Martin Pro-Clean and Storage Fluid</t>
  </si>
  <si>
    <t>Pro Smoke High Density</t>
  </si>
  <si>
    <t>Heavy Fog Fluid (C3 mix)</t>
  </si>
  <si>
    <t>Atomic Range</t>
  </si>
  <si>
    <t>Atomic 3000 Family</t>
  </si>
  <si>
    <t>Atomic 3000 LED</t>
  </si>
  <si>
    <t>90425000HU</t>
  </si>
  <si>
    <t>Atomic Colors</t>
  </si>
  <si>
    <t>ELP Range</t>
  </si>
  <si>
    <t>ELP PAR Family</t>
  </si>
  <si>
    <t>ELP PAR</t>
  </si>
  <si>
    <t>MAR-90800000</t>
  </si>
  <si>
    <t>MAR-90800005</t>
  </si>
  <si>
    <t>ELP PAR IP</t>
  </si>
  <si>
    <t>MAR-90800010</t>
  </si>
  <si>
    <t>MAR-90800015</t>
  </si>
  <si>
    <t>ELP Profile Family</t>
  </si>
  <si>
    <t>ELP CLD</t>
  </si>
  <si>
    <t>ELP CLD IP</t>
  </si>
  <si>
    <t>ELP WRM</t>
  </si>
  <si>
    <t>ELP WRM IP</t>
  </si>
  <si>
    <t>ELP Lenses</t>
  </si>
  <si>
    <t>ERA Range</t>
  </si>
  <si>
    <t>ERA 150 Family</t>
  </si>
  <si>
    <t>ERA 150 Wash</t>
  </si>
  <si>
    <t>MAR-90290000</t>
  </si>
  <si>
    <t>MAR-90290005</t>
  </si>
  <si>
    <t>ERA 300 Family</t>
  </si>
  <si>
    <t>ERA 300 Profile</t>
  </si>
  <si>
    <t>ERA 400 Family</t>
  </si>
  <si>
    <t>ERA 400 Performance CLD</t>
  </si>
  <si>
    <t>ERA 400 Performance WRM</t>
  </si>
  <si>
    <t>ERA 400 Accessories</t>
  </si>
  <si>
    <t>ERA 600 Family</t>
  </si>
  <si>
    <t>ERA 600 Performance</t>
  </si>
  <si>
    <t>ERA 600 Profile</t>
  </si>
  <si>
    <t>ERA 600 Accessories</t>
  </si>
  <si>
    <t>MAR-91614058</t>
  </si>
  <si>
    <t>ERA 800 Family</t>
  </si>
  <si>
    <t>ERA 800 Performance</t>
  </si>
  <si>
    <t>ERA 800 Profile</t>
  </si>
  <si>
    <t>ERA 800 Accessories</t>
  </si>
  <si>
    <t>MAR-91614059</t>
  </si>
  <si>
    <t>Exterior Range</t>
  </si>
  <si>
    <t>Exterior Dots Family</t>
  </si>
  <si>
    <t>Exterior Dot-HP</t>
  </si>
  <si>
    <t>90357683HU</t>
  </si>
  <si>
    <t>90357685HU</t>
  </si>
  <si>
    <t>90357686HU</t>
  </si>
  <si>
    <t>90357688HU</t>
  </si>
  <si>
    <t>90357687HU</t>
  </si>
  <si>
    <t>90357689HU</t>
  </si>
  <si>
    <t>Exterior Dot-HP Accessories</t>
  </si>
  <si>
    <t>Exterior Linear Pro Family</t>
  </si>
  <si>
    <t>MAR-90570000</t>
  </si>
  <si>
    <t>MAR-90570003</t>
  </si>
  <si>
    <t>Exterior Linear Pro Cove QUAD</t>
  </si>
  <si>
    <t>MAR-90570001</t>
  </si>
  <si>
    <t>MAR-90570004</t>
  </si>
  <si>
    <t>Exterior Linear Pro DV QUAD</t>
  </si>
  <si>
    <t>MAR-90570002</t>
  </si>
  <si>
    <t>MAR-90570005</t>
  </si>
  <si>
    <t>Exterior Linear Pro Graze CTC</t>
  </si>
  <si>
    <t>MAR-90570006</t>
  </si>
  <si>
    <t>MAR-90570008</t>
  </si>
  <si>
    <t>Exterior Linear Pro Cove CTC</t>
  </si>
  <si>
    <t>MAR-90570007</t>
  </si>
  <si>
    <t>MAR-90570009</t>
  </si>
  <si>
    <t>Exterior Linear Pro Brackets</t>
  </si>
  <si>
    <t>MAR-90570025</t>
  </si>
  <si>
    <t>MAR-90570026</t>
  </si>
  <si>
    <t>MAR-90570027</t>
  </si>
  <si>
    <t>Exterior Linear Pro Diffuser Films</t>
  </si>
  <si>
    <t>MAR-90570020</t>
  </si>
  <si>
    <t>MAR-90570021</t>
  </si>
  <si>
    <t>Exterior Linear Pro Glare Shields</t>
  </si>
  <si>
    <t>MAR-90570022</t>
  </si>
  <si>
    <t>MAR-90570023</t>
  </si>
  <si>
    <t>Exterior Linear Pro Louvres</t>
  </si>
  <si>
    <t>MAR-90570028</t>
  </si>
  <si>
    <t>MAR-90570024</t>
  </si>
  <si>
    <t>Exterior Linear Pro Junction Box</t>
  </si>
  <si>
    <t>MAR-91700019</t>
  </si>
  <si>
    <t>MAR-91700010</t>
  </si>
  <si>
    <t>MAR-91700011</t>
  </si>
  <si>
    <t>MAR-91700012</t>
  </si>
  <si>
    <t>MAR-91700013</t>
  </si>
  <si>
    <t>MAR-91700014</t>
  </si>
  <si>
    <t>MAR-91700016</t>
  </si>
  <si>
    <t>MAR-91700015</t>
  </si>
  <si>
    <t>MAR-91700017</t>
  </si>
  <si>
    <t>MAR-91700018</t>
  </si>
  <si>
    <t>Exterior Linear Family</t>
  </si>
  <si>
    <t>Exterior Linear RGBW Cove</t>
  </si>
  <si>
    <t>Exterior Linear RGBW Graze</t>
  </si>
  <si>
    <t>Exterior Linear QUAD Cove</t>
  </si>
  <si>
    <t>MAR-90356997</t>
  </si>
  <si>
    <t>MAR-90356996</t>
  </si>
  <si>
    <t>Exterior Linear QUAD Graze</t>
  </si>
  <si>
    <t>MAR-90356990</t>
  </si>
  <si>
    <t>MAR-90356991</t>
  </si>
  <si>
    <t>MAR-90356992</t>
  </si>
  <si>
    <t>MAR-90356993</t>
  </si>
  <si>
    <t>MAR-90356994</t>
  </si>
  <si>
    <t>MAR-90356995</t>
  </si>
  <si>
    <t>Exterior Linear CTC Cove</t>
  </si>
  <si>
    <t>Exterior Linear CTC Graze</t>
  </si>
  <si>
    <t>Exterior Linear Glare Shields</t>
  </si>
  <si>
    <t>Exterior Linear Louvres</t>
  </si>
  <si>
    <t>Exterior Linear Cables</t>
  </si>
  <si>
    <t>Exterior PixLine Family</t>
  </si>
  <si>
    <t>Exterior PixLine 10</t>
  </si>
  <si>
    <t>90356895HU</t>
  </si>
  <si>
    <t>90356890HU</t>
  </si>
  <si>
    <t>90356885HU</t>
  </si>
  <si>
    <t>90356880HU</t>
  </si>
  <si>
    <t>90356875HU</t>
  </si>
  <si>
    <t>90356870HU</t>
  </si>
  <si>
    <t>90356865HU</t>
  </si>
  <si>
    <t>90356860HU</t>
  </si>
  <si>
    <t>90356855HU</t>
  </si>
  <si>
    <t>90356850HU</t>
  </si>
  <si>
    <t>90356845HU</t>
  </si>
  <si>
    <t>90356840HU</t>
  </si>
  <si>
    <t>Exterior PixLine 20</t>
  </si>
  <si>
    <t>90356835HU</t>
  </si>
  <si>
    <t>90356830HU</t>
  </si>
  <si>
    <t>90356825HU</t>
  </si>
  <si>
    <t>90356820HU</t>
  </si>
  <si>
    <t>90356815HU</t>
  </si>
  <si>
    <t>90356810HU</t>
  </si>
  <si>
    <t>90356805HU</t>
  </si>
  <si>
    <t>90356800HU</t>
  </si>
  <si>
    <t>90356795HU</t>
  </si>
  <si>
    <t>90356790HU</t>
  </si>
  <si>
    <t>90356785HU</t>
  </si>
  <si>
    <t>90356780HU</t>
  </si>
  <si>
    <t>Exterior PixLine 40</t>
  </si>
  <si>
    <t>90356775HU</t>
  </si>
  <si>
    <t>90356770HU</t>
  </si>
  <si>
    <t>90356765HU</t>
  </si>
  <si>
    <t>90356760HU</t>
  </si>
  <si>
    <t>90356755HU</t>
  </si>
  <si>
    <t>90356750HU</t>
  </si>
  <si>
    <t>90356745HU</t>
  </si>
  <si>
    <t>90356740HU</t>
  </si>
  <si>
    <t>90356735HU</t>
  </si>
  <si>
    <t>90356730HU</t>
  </si>
  <si>
    <t>90356725HU</t>
  </si>
  <si>
    <t>90356720HU</t>
  </si>
  <si>
    <t>Exterior PixLine Mounting Profiles</t>
  </si>
  <si>
    <t>Exterior Projection Family</t>
  </si>
  <si>
    <t>Exterior Projection 500</t>
  </si>
  <si>
    <t>Exterior Projection 500 Accessories</t>
  </si>
  <si>
    <t>MAR-91611851</t>
  </si>
  <si>
    <t>Exterior Projection 1000</t>
  </si>
  <si>
    <t>Exterior Projection 1000 Accessories</t>
  </si>
  <si>
    <t>Exterior Wash Family</t>
  </si>
  <si>
    <t>Exterior Wash 100</t>
  </si>
  <si>
    <t>Exterior Wash 110</t>
  </si>
  <si>
    <t>Exterior Wash 120</t>
  </si>
  <si>
    <t>Exterior Wash 1xx Accessories</t>
  </si>
  <si>
    <t>Exterior Wash 200</t>
  </si>
  <si>
    <t>Exterior Wash 210</t>
  </si>
  <si>
    <t>Exterior Wash 220</t>
  </si>
  <si>
    <t>Exterior Wash 2xx Accessories</t>
  </si>
  <si>
    <t>Exterior Wash 300</t>
  </si>
  <si>
    <t>Exterior Wash 310</t>
  </si>
  <si>
    <t>Exterior Wash 320</t>
  </si>
  <si>
    <t>Exterior Wash 3xx Accessories</t>
  </si>
  <si>
    <t>JEM Range</t>
  </si>
  <si>
    <t>JEM ZR Family</t>
  </si>
  <si>
    <t>JEM ZR25</t>
  </si>
  <si>
    <t>JEM ZR35</t>
  </si>
  <si>
    <t>JEM ZR45</t>
  </si>
  <si>
    <t>JEM Hazer Family</t>
  </si>
  <si>
    <t>JEM Compact Hazer Pro</t>
  </si>
  <si>
    <t>JEM Hazer Pro</t>
  </si>
  <si>
    <t>JEM Fan Family</t>
  </si>
  <si>
    <t>JEM AF-1 MkII</t>
  </si>
  <si>
    <t>JEM AF-2</t>
  </si>
  <si>
    <t>JEM Low Fog Family</t>
  </si>
  <si>
    <t>JEM Glaciator Dynamic</t>
  </si>
  <si>
    <t>MAC Range</t>
  </si>
  <si>
    <t>MAC Aura Family</t>
  </si>
  <si>
    <t>MAC Aura XB</t>
  </si>
  <si>
    <t>90232100HU</t>
  </si>
  <si>
    <t>90232105HU</t>
  </si>
  <si>
    <t>90232110HU</t>
  </si>
  <si>
    <t>MAC Aura XB Accessories</t>
  </si>
  <si>
    <t>91611730HU</t>
  </si>
  <si>
    <t>91606018HU</t>
  </si>
  <si>
    <t>MAC Aura XIP</t>
  </si>
  <si>
    <t>MAR-90250100HU</t>
  </si>
  <si>
    <t>MAR-90250105HU</t>
  </si>
  <si>
    <t>MAR-90250110HU</t>
  </si>
  <si>
    <t>MAC Aura XIP Accessories</t>
  </si>
  <si>
    <t>MAR-91515057</t>
  </si>
  <si>
    <t>MAR-91611861HU</t>
  </si>
  <si>
    <t>MAC Aura PXL</t>
  </si>
  <si>
    <t>90250035HU</t>
  </si>
  <si>
    <t>90250040HU</t>
  </si>
  <si>
    <t>90250030HU</t>
  </si>
  <si>
    <t>MAC Aura PXL Accessories</t>
  </si>
  <si>
    <t>MAR-91614062HU</t>
  </si>
  <si>
    <t>91611860HU</t>
  </si>
  <si>
    <t>MAC Axiom Family</t>
  </si>
  <si>
    <t>MAC Axiom Hybrid</t>
  </si>
  <si>
    <t>MAC Axiom Accessories</t>
  </si>
  <si>
    <t>MAC Encore Family</t>
  </si>
  <si>
    <t>MAC Encore Performance WRM</t>
  </si>
  <si>
    <t>90234015HU</t>
  </si>
  <si>
    <t>90234016HU</t>
  </si>
  <si>
    <t>90234020HU</t>
  </si>
  <si>
    <t>MAC Encore Performance CLD</t>
  </si>
  <si>
    <t>90234000HU</t>
  </si>
  <si>
    <t>90234005HU</t>
  </si>
  <si>
    <t>90234010HU</t>
  </si>
  <si>
    <t>MAC Encore Wash WRM</t>
  </si>
  <si>
    <t>90234025HU</t>
  </si>
  <si>
    <t>90234030HU</t>
  </si>
  <si>
    <t>90234035HU</t>
  </si>
  <si>
    <t>MAC Encore Wash CLD</t>
  </si>
  <si>
    <t>90234040HU</t>
  </si>
  <si>
    <t>90234045HU</t>
  </si>
  <si>
    <t>90234050HU</t>
  </si>
  <si>
    <t>MAC Encore Accessories</t>
  </si>
  <si>
    <t>91001002HU</t>
  </si>
  <si>
    <t>91001001HU</t>
  </si>
  <si>
    <t>91616115HU</t>
  </si>
  <si>
    <t>91616110HU</t>
  </si>
  <si>
    <t>MAC Quantum Family</t>
  </si>
  <si>
    <t>MAC Quantum Profile</t>
  </si>
  <si>
    <t>90240000HU</t>
  </si>
  <si>
    <t>90240010HU</t>
  </si>
  <si>
    <t>MAC Quantum Accessories</t>
  </si>
  <si>
    <t>91611600HU</t>
  </si>
  <si>
    <t>MAC Ultra Family</t>
  </si>
  <si>
    <t>MAC Ultra Performance</t>
  </si>
  <si>
    <t>90250055HU</t>
  </si>
  <si>
    <t>90250060HU</t>
  </si>
  <si>
    <t>MAC Ultra Wash</t>
  </si>
  <si>
    <t>90250085HU</t>
  </si>
  <si>
    <t>90250090HU</t>
  </si>
  <si>
    <t>MAC Ultra Accessories</t>
  </si>
  <si>
    <t>MAR-91515055</t>
  </si>
  <si>
    <t>MAR-91614060HU</t>
  </si>
  <si>
    <t>MAR-91614063HU</t>
  </si>
  <si>
    <t>MAC Viper Family</t>
  </si>
  <si>
    <t>MAC Viper Profile</t>
  </si>
  <si>
    <t>90233000HU</t>
  </si>
  <si>
    <t>90233010HU</t>
  </si>
  <si>
    <t>MAC Viper Performance</t>
  </si>
  <si>
    <t>90233100HU</t>
  </si>
  <si>
    <t>90233110HU</t>
  </si>
  <si>
    <t>MAC Viper Wash</t>
  </si>
  <si>
    <t>90233050HU</t>
  </si>
  <si>
    <t>MAC Viper Wash DX</t>
  </si>
  <si>
    <t>90233070HU</t>
  </si>
  <si>
    <t>90233080HU</t>
  </si>
  <si>
    <t>MAC Viper AirFX</t>
  </si>
  <si>
    <t>90233040HU</t>
  </si>
  <si>
    <t>MAC Viper Accessory</t>
  </si>
  <si>
    <t>P3 Range</t>
  </si>
  <si>
    <t>P3 System Controller Family</t>
  </si>
  <si>
    <t>P3-050 System Controller</t>
  </si>
  <si>
    <t>P3-150 System Controller</t>
  </si>
  <si>
    <t>P3-300 System Controller</t>
  </si>
  <si>
    <t>P3 PowerPort Family</t>
  </si>
  <si>
    <t>P3 PowerPort 1500</t>
  </si>
  <si>
    <t>P3 PowerPort 1000 IP Rental</t>
  </si>
  <si>
    <t>P3 PowerPort 1000 IP Install</t>
  </si>
  <si>
    <t>DMX PowerPort 375</t>
  </si>
  <si>
    <t>Martin IP66 PSU 240W</t>
  </si>
  <si>
    <t>90760330HU</t>
  </si>
  <si>
    <t>RUSH Range</t>
  </si>
  <si>
    <t>RUSH MH Family</t>
  </si>
  <si>
    <t>RUSH MH 5 Profile</t>
  </si>
  <si>
    <t>RUSH MH 7 Hybrid</t>
  </si>
  <si>
    <t>RUSH MH 10 Beam FX</t>
  </si>
  <si>
    <t>RUSH MH 11 Beam</t>
  </si>
  <si>
    <t>RUSH PAR Family</t>
  </si>
  <si>
    <t>RUSH PAR 4 UV</t>
  </si>
  <si>
    <t>RUSH Blinder Family</t>
  </si>
  <si>
    <t>RUSH Blinder 1 WRM</t>
  </si>
  <si>
    <t>RUSH CS Family</t>
  </si>
  <si>
    <t>RUSH CS300</t>
  </si>
  <si>
    <t>RUSH CS600</t>
  </si>
  <si>
    <t>RUSH CS900</t>
  </si>
  <si>
    <t>RUSH CS1200</t>
  </si>
  <si>
    <t>RUSH CS PowerSupply</t>
  </si>
  <si>
    <t>RUSH CS Cables</t>
  </si>
  <si>
    <t>THRILL Range</t>
  </si>
  <si>
    <t>THRILL Multi-FX LED</t>
  </si>
  <si>
    <t>VC Range</t>
  </si>
  <si>
    <t>VC-Grid Family</t>
  </si>
  <si>
    <t>VC-Grid 60</t>
  </si>
  <si>
    <t>90357560HU</t>
  </si>
  <si>
    <t>90357570HU</t>
  </si>
  <si>
    <t>VC-Grid 30</t>
  </si>
  <si>
    <t>90357550HU</t>
  </si>
  <si>
    <t>VC-Grid 25</t>
  </si>
  <si>
    <t>90357010HU</t>
  </si>
  <si>
    <t>VC-Grid 15</t>
  </si>
  <si>
    <t>90357540HU</t>
  </si>
  <si>
    <t>VC-Grid Accessories</t>
  </si>
  <si>
    <t>91611560HU</t>
  </si>
  <si>
    <t>91611370HU</t>
  </si>
  <si>
    <t>91611540HU</t>
  </si>
  <si>
    <t>VC-Strip Family</t>
  </si>
  <si>
    <t>VC-Strip 60</t>
  </si>
  <si>
    <t>90357480HU</t>
  </si>
  <si>
    <t>90357490HU</t>
  </si>
  <si>
    <t>VC-Strip 30</t>
  </si>
  <si>
    <t>90357460HU</t>
  </si>
  <si>
    <t>90357470HU</t>
  </si>
  <si>
    <t>VC-Strip 25</t>
  </si>
  <si>
    <t>90357290HU</t>
  </si>
  <si>
    <t>90357320HU</t>
  </si>
  <si>
    <t>VC-Strip 15</t>
  </si>
  <si>
    <t>90357440HU</t>
  </si>
  <si>
    <t>90357450HU</t>
  </si>
  <si>
    <t>VC-Dot Family</t>
  </si>
  <si>
    <t>VC-Dot 1</t>
  </si>
  <si>
    <t>90357060HU</t>
  </si>
  <si>
    <t>VC-Dot 4</t>
  </si>
  <si>
    <t>90357100HU</t>
  </si>
  <si>
    <t>VC-Dot 9</t>
  </si>
  <si>
    <t>90357140HU</t>
  </si>
  <si>
    <t>VC-Feeder</t>
  </si>
  <si>
    <t>VC-Dot 1 Accessories</t>
  </si>
  <si>
    <t>91611371HU</t>
  </si>
  <si>
    <t>VC-Dot 4 Accessories</t>
  </si>
  <si>
    <t>91611372HU</t>
  </si>
  <si>
    <t>VC-Dot 9 Accessories</t>
  </si>
  <si>
    <t>91611373HU</t>
  </si>
  <si>
    <t>VC-Dot Accessories</t>
  </si>
  <si>
    <t>91611400HU</t>
  </si>
  <si>
    <t>90357240HU</t>
  </si>
  <si>
    <t>VDO Range</t>
  </si>
  <si>
    <t>VDO Atomic Family</t>
  </si>
  <si>
    <t>VDO Atomic Bold</t>
  </si>
  <si>
    <t>MAR-90357703</t>
  </si>
  <si>
    <t>VDO Atomic Dot</t>
  </si>
  <si>
    <t>VDO Atomic Accessories</t>
  </si>
  <si>
    <t>MAR-91616119</t>
  </si>
  <si>
    <t>MAR-91616120</t>
  </si>
  <si>
    <t>MAR-91616118</t>
  </si>
  <si>
    <t>MAR-91616122</t>
  </si>
  <si>
    <t>MAR-91616121</t>
  </si>
  <si>
    <t>VDO Atomic Bold Flightcase</t>
  </si>
  <si>
    <t>MAR-91515056</t>
  </si>
  <si>
    <t>VDO Atomic Dot Flightcases</t>
  </si>
  <si>
    <t>VDO Sceptron Family</t>
  </si>
  <si>
    <t>VDO Sceptron 10</t>
  </si>
  <si>
    <t>90357650HU</t>
  </si>
  <si>
    <t>90357655HU</t>
  </si>
  <si>
    <t>VDO Sceptron 20</t>
  </si>
  <si>
    <t>90357660HU</t>
  </si>
  <si>
    <t>90357665HU</t>
  </si>
  <si>
    <t>VDO Sceptron 40</t>
  </si>
  <si>
    <t>90357670HU</t>
  </si>
  <si>
    <t>90357675HU</t>
  </si>
  <si>
    <t>VDO Sceptron Diffusers &amp; Lenses</t>
  </si>
  <si>
    <t>VDO Sceptron Flightcases</t>
  </si>
  <si>
    <t>VDO Fatron Family</t>
  </si>
  <si>
    <t>VDO Fatron 20</t>
  </si>
  <si>
    <t>90357692HU</t>
  </si>
  <si>
    <t>90357691HU</t>
  </si>
  <si>
    <t>VDO Fatron Diffusers &amp; Lenses</t>
  </si>
  <si>
    <t>VDO Fatron Flightcases</t>
  </si>
  <si>
    <t>VDO Dotron Family</t>
  </si>
  <si>
    <t>VDO Dotron</t>
  </si>
  <si>
    <t>90357690HU</t>
  </si>
  <si>
    <t>VDO Dotron Diffusers &amp; Lenses</t>
  </si>
  <si>
    <t>VDO Dotron Flightcases</t>
  </si>
  <si>
    <t>VDO Sceptron/Fatron/Dotron Rigging Accessories</t>
  </si>
  <si>
    <t>DemoKits</t>
  </si>
  <si>
    <t>VDO Range DemoKits</t>
  </si>
  <si>
    <t>VDO Atomic Dot Family DemoKit</t>
  </si>
  <si>
    <t>VDO Fatron Family DemoKit</t>
  </si>
  <si>
    <t>VDO Dotron Family DemoKit</t>
  </si>
  <si>
    <t>VC Range DemoKits</t>
  </si>
  <si>
    <t>VC-Grid/Strip Family DemoKit</t>
  </si>
  <si>
    <t>VC-Dot Family DemoKit</t>
  </si>
  <si>
    <t>Exterior Range DemoKits</t>
  </si>
  <si>
    <t>Exterior PixLine Family DemoKit</t>
  </si>
  <si>
    <t>Exterior Dot-HP Family DemoKit</t>
  </si>
  <si>
    <t>Exterior Linear Family DemoKits</t>
  </si>
  <si>
    <t>Exterior Wash Family DemoKits</t>
  </si>
  <si>
    <t>Exterior Projection Family DemoKits</t>
  </si>
  <si>
    <t>MAR-91311247</t>
  </si>
  <si>
    <t>COO</t>
  </si>
  <si>
    <t>SCR-5085980US-01</t>
  </si>
  <si>
    <t>SCR-5085984US-01</t>
  </si>
  <si>
    <t>SCR-5085985US-01</t>
  </si>
  <si>
    <t>RW5734US</t>
  </si>
  <si>
    <t>RW5735US</t>
  </si>
  <si>
    <t>RW5736US</t>
  </si>
  <si>
    <t>RW5744</t>
  </si>
  <si>
    <t>RW5745</t>
  </si>
  <si>
    <t>RW5746</t>
  </si>
  <si>
    <t>E535.000000US</t>
  </si>
  <si>
    <t>SCR-E535000000US</t>
  </si>
  <si>
    <t>E535.100000US</t>
  </si>
  <si>
    <t>RW5757US</t>
  </si>
  <si>
    <t>RW5674</t>
  </si>
  <si>
    <t>RW5675</t>
  </si>
  <si>
    <t>RW5676</t>
  </si>
  <si>
    <t>TZ2419</t>
  </si>
  <si>
    <t>TZ2420</t>
  </si>
  <si>
    <t>TZ2434</t>
  </si>
  <si>
    <t>RW5755SM</t>
  </si>
  <si>
    <t>RW5754SM</t>
  </si>
  <si>
    <t>RW5747SM</t>
  </si>
  <si>
    <t>RW5748SM</t>
  </si>
  <si>
    <t>RW5749SM</t>
  </si>
  <si>
    <t>RW5690SM</t>
  </si>
  <si>
    <t>RW5691SM</t>
  </si>
  <si>
    <t>RW5692SM</t>
  </si>
  <si>
    <t>RW5693SM</t>
  </si>
  <si>
    <t>RW5695SM</t>
  </si>
  <si>
    <t>RW5696SM</t>
  </si>
  <si>
    <t>RW5697SM</t>
  </si>
  <si>
    <t>RW5709SM</t>
  </si>
  <si>
    <t>TZ2478</t>
  </si>
  <si>
    <t>TZ2479</t>
  </si>
  <si>
    <t>TZ2480</t>
  </si>
  <si>
    <t>TZ2453</t>
  </si>
  <si>
    <t>TZ2454</t>
  </si>
  <si>
    <t>TZ2455</t>
  </si>
  <si>
    <t>TZ2456</t>
  </si>
  <si>
    <t>TZ2463</t>
  </si>
  <si>
    <t>TZ2465</t>
  </si>
  <si>
    <t>TZ2466</t>
  </si>
  <si>
    <t>RW8000US</t>
  </si>
  <si>
    <t>RW8021US</t>
  </si>
  <si>
    <t>RW8031</t>
  </si>
  <si>
    <t>RW8032</t>
  </si>
  <si>
    <t>RW8033</t>
  </si>
  <si>
    <t>RV2068CH</t>
  </si>
  <si>
    <t>RV3200CH</t>
  </si>
  <si>
    <t>RV3637</t>
  </si>
  <si>
    <t>RL0095-01</t>
  </si>
  <si>
    <t>RV3705</t>
  </si>
  <si>
    <t>JB0158</t>
  </si>
  <si>
    <t>JB0159</t>
  </si>
  <si>
    <t>SCR-5056217-01</t>
  </si>
  <si>
    <t>SCR-5056219-01</t>
  </si>
  <si>
    <t>SCR-5076585-01</t>
  </si>
  <si>
    <t>5056170VM</t>
  </si>
  <si>
    <t>5035677-VM</t>
  </si>
  <si>
    <t>BF10.522001</t>
  </si>
  <si>
    <t>BF10.522002</t>
  </si>
  <si>
    <t>BF10.522003</t>
  </si>
  <si>
    <t>5019983.v</t>
  </si>
  <si>
    <t>5031819.v</t>
  </si>
  <si>
    <t>5046678.V</t>
  </si>
  <si>
    <t>A520.001000SP</t>
  </si>
  <si>
    <t>A520.002000SP</t>
  </si>
  <si>
    <t>A520.003000SP</t>
  </si>
  <si>
    <t>A520.004000SP</t>
  </si>
  <si>
    <t>A520.005000SP</t>
  </si>
  <si>
    <t>A520.006000SP</t>
  </si>
  <si>
    <t>E947.300000</t>
  </si>
  <si>
    <t>A947.042500</t>
  </si>
  <si>
    <t>BH10.947406</t>
  </si>
  <si>
    <t>BF10.947008</t>
  </si>
  <si>
    <t>5095581-00</t>
  </si>
  <si>
    <t>5059729HU</t>
  </si>
  <si>
    <t>5059730HU</t>
  </si>
  <si>
    <t>5059731HU</t>
  </si>
  <si>
    <t>5059732HU</t>
  </si>
  <si>
    <t>5059733HU</t>
  </si>
  <si>
    <t>RS2546SP</t>
  </si>
  <si>
    <t>RS2565SP</t>
  </si>
  <si>
    <t>5064929.V</t>
  </si>
  <si>
    <t>5064930.V</t>
  </si>
  <si>
    <t>5064931.V</t>
  </si>
  <si>
    <t>E947.350000</t>
  </si>
  <si>
    <t>E947.351000</t>
  </si>
  <si>
    <t>RW5786HU</t>
  </si>
  <si>
    <t>RW5786OHU</t>
  </si>
  <si>
    <t>RW5801C</t>
  </si>
  <si>
    <t>A949.049032-01.V</t>
  </si>
  <si>
    <t>A949.055632-01.V</t>
  </si>
  <si>
    <t>A949.049232-01.V</t>
  </si>
  <si>
    <t>A949.049132-01.V</t>
  </si>
  <si>
    <t>RZ2715</t>
  </si>
  <si>
    <t>RZ2747</t>
  </si>
  <si>
    <t>A949.045124-01.V</t>
  </si>
  <si>
    <t>RZ2746</t>
  </si>
  <si>
    <t>RZ2682</t>
  </si>
  <si>
    <t>RZ2701</t>
  </si>
  <si>
    <t>RZ2702</t>
  </si>
  <si>
    <t>RZ2709</t>
  </si>
  <si>
    <t>RZ2714</t>
  </si>
  <si>
    <t>5019847.V</t>
  </si>
  <si>
    <t>A947.043000SP</t>
  </si>
  <si>
    <t>5045892.V</t>
  </si>
  <si>
    <t>5042297-01.V</t>
  </si>
  <si>
    <t>A947.043500SP</t>
  </si>
  <si>
    <t>A947.043600SP</t>
  </si>
  <si>
    <t>A947.043700SP</t>
  </si>
  <si>
    <t>5033340-01.V</t>
  </si>
  <si>
    <t>5076583.V</t>
  </si>
  <si>
    <t>5033340.V</t>
  </si>
  <si>
    <t>5060027-01.V</t>
  </si>
  <si>
    <t>RS2409SP</t>
  </si>
  <si>
    <t>RS2422SP</t>
  </si>
  <si>
    <t>RS2423SP</t>
  </si>
  <si>
    <t>RS2424SP</t>
  </si>
  <si>
    <t>RS2425SP</t>
  </si>
  <si>
    <t>RS2426SP</t>
  </si>
  <si>
    <t>RS2429SP</t>
  </si>
  <si>
    <t>RS2442SP</t>
  </si>
  <si>
    <t>RS2485SP</t>
  </si>
  <si>
    <t>RS2497SP</t>
  </si>
  <si>
    <t>RS2563SP</t>
  </si>
  <si>
    <t>RS2564SP</t>
  </si>
  <si>
    <t>RS2360SP</t>
  </si>
  <si>
    <t>RS2401SP</t>
  </si>
  <si>
    <t>5045044.V</t>
  </si>
  <si>
    <t>A949.045220-02.V</t>
  </si>
  <si>
    <t>C049.020534</t>
  </si>
  <si>
    <t>5100265-00</t>
  </si>
  <si>
    <t>RS2399SP</t>
  </si>
  <si>
    <t>RS2400SP</t>
  </si>
  <si>
    <t>RS2448SP</t>
  </si>
  <si>
    <t>RS2562SP</t>
  </si>
  <si>
    <t>5031241.V</t>
  </si>
  <si>
    <t>RS2446SP</t>
  </si>
  <si>
    <t>RS2447SP</t>
  </si>
  <si>
    <t>RS2449SP</t>
  </si>
  <si>
    <t>RS2487SP</t>
  </si>
  <si>
    <t>RS2489SP</t>
  </si>
  <si>
    <t>RS2496SP</t>
  </si>
  <si>
    <t>RS2498SP</t>
  </si>
  <si>
    <t>5037513-01.V</t>
  </si>
  <si>
    <t>5036922-03.V</t>
  </si>
  <si>
    <t>RS2413SP</t>
  </si>
  <si>
    <t>BH10.947402</t>
  </si>
  <si>
    <t>RL0267-01</t>
  </si>
  <si>
    <t>RT2071</t>
  </si>
  <si>
    <t>US CUSTOMER CARE</t>
  </si>
  <si>
    <t>Harman Professional Solutions Directory</t>
  </si>
  <si>
    <t xml:space="preserve">Harman Customer Care Representatives are available to provide Sales support related to product availability, quotation, order processing, product shipment, account status, and after sale follow-up. </t>
  </si>
  <si>
    <t xml:space="preserve">Customer Care Sales Support </t>
  </si>
  <si>
    <t>Customer Care Team</t>
  </si>
  <si>
    <t>1-800-222-0193</t>
  </si>
  <si>
    <t>For all HEF Orders</t>
  </si>
  <si>
    <t xml:space="preserve">HFADMIN@harman.com </t>
  </si>
  <si>
    <t>For Credit Returns</t>
  </si>
  <si>
    <t>HProReturns@harman.com</t>
  </si>
  <si>
    <t>For Cinema Orders</t>
  </si>
  <si>
    <t>HProCinema@harman.com</t>
  </si>
  <si>
    <t>For Special Orders</t>
  </si>
  <si>
    <t>HProSpecialOrdersUSA@harman.com</t>
  </si>
  <si>
    <t>Area Owners</t>
  </si>
  <si>
    <t>Miranda Hull</t>
  </si>
  <si>
    <t>Customer Care Manager</t>
  </si>
  <si>
    <t>469.624.7253</t>
  </si>
  <si>
    <t xml:space="preserve">Miranda.Hull@harman.com </t>
  </si>
  <si>
    <t>John Lewis</t>
  </si>
  <si>
    <t>Customer Care Associate/Lead</t>
  </si>
  <si>
    <t xml:space="preserve"> 469.624.6504</t>
  </si>
  <si>
    <t>John.Lewis@harman.com</t>
  </si>
  <si>
    <t>US TECHNICAL SUPPORT AND POST-SALES SERVICE</t>
  </si>
  <si>
    <t>All-Brand Support</t>
  </si>
  <si>
    <t>Options</t>
  </si>
  <si>
    <t>Direct VOIP</t>
  </si>
  <si>
    <t>Email</t>
  </si>
  <si>
    <t>1-844-776-4899</t>
  </si>
  <si>
    <t>Option 1: Parts Inquiries/Sales</t>
  </si>
  <si>
    <t>HProPartsUSA@harman.com</t>
  </si>
  <si>
    <t>Option 2: Repair Services</t>
  </si>
  <si>
    <t>HProServiceUSA@harman.com</t>
  </si>
  <si>
    <t>Option 3:Technical Support</t>
  </si>
  <si>
    <t>HProTechSupportUSA@Harman.com</t>
  </si>
  <si>
    <t>Warranty Claims</t>
  </si>
  <si>
    <t>HProWarrantyClaims@harman.com</t>
  </si>
  <si>
    <t>Parts &amp; Repair:</t>
  </si>
  <si>
    <t>Cristina Rodriguez</t>
  </si>
  <si>
    <t>Cristina.Rodriguez@harman.com</t>
  </si>
  <si>
    <t>Service Centers:</t>
  </si>
  <si>
    <t>Tech Support - Audio &amp; Lighting</t>
  </si>
  <si>
    <t>Dave Fata</t>
  </si>
  <si>
    <t>Dave.Fata@harman.com</t>
  </si>
  <si>
    <t>Tech Support - Video &amp; Control</t>
  </si>
  <si>
    <t>Sam Hood</t>
  </si>
  <si>
    <t>Sam.Hood@harman.com</t>
  </si>
  <si>
    <t>MAP #</t>
  </si>
  <si>
    <t>REP NAME AND #</t>
  </si>
  <si>
    <t>ADDRESS</t>
  </si>
  <si>
    <t>PHONE</t>
  </si>
  <si>
    <t>TERRITORY COVERED</t>
  </si>
  <si>
    <t>US Sales Region</t>
  </si>
  <si>
    <r>
      <rPr>
        <b/>
        <sz val="11"/>
        <color theme="1"/>
        <rFont val="Calibri"/>
        <family val="2"/>
        <scheme val="minor"/>
      </rPr>
      <t>Plus Four Marketing - PACNW</t>
    </r>
    <r>
      <rPr>
        <sz val="11"/>
        <color theme="1"/>
        <rFont val="Calibri"/>
        <family val="2"/>
        <scheme val="minor"/>
      </rPr>
      <t xml:space="preserve">
Rep # 400032</t>
    </r>
  </si>
  <si>
    <t>5036 Commercial Circle, Suite A
Concord, CA 94520</t>
  </si>
  <si>
    <t>P: +1 925-671-5400
F: +1 925-671-4095</t>
  </si>
  <si>
    <t>AK / OR / WA / MT / N. ID</t>
  </si>
  <si>
    <t>West</t>
  </si>
  <si>
    <r>
      <rPr>
        <b/>
        <sz val="11"/>
        <color theme="1"/>
        <rFont val="Calibri"/>
        <family val="2"/>
        <scheme val="minor"/>
      </rPr>
      <t>Plus Four Marketing</t>
    </r>
    <r>
      <rPr>
        <sz val="11"/>
        <color theme="1"/>
        <rFont val="Calibri"/>
        <family val="2"/>
        <scheme val="minor"/>
      </rPr>
      <t xml:space="preserve">
Rep # 400008</t>
    </r>
  </si>
  <si>
    <t>P: +1 925-671-5400
F: +1 925-671-4096</t>
  </si>
  <si>
    <t>N. CA / N. NV</t>
  </si>
  <si>
    <r>
      <rPr>
        <b/>
        <sz val="11"/>
        <color theme="1"/>
        <rFont val="Calibri"/>
        <family val="2"/>
        <scheme val="minor"/>
      </rPr>
      <t>Vision2 Marketing West</t>
    </r>
    <r>
      <rPr>
        <sz val="11"/>
        <color theme="1"/>
        <rFont val="Calibri"/>
        <family val="2"/>
        <scheme val="minor"/>
      </rPr>
      <t xml:space="preserve">
Rep # 400852</t>
    </r>
  </si>
  <si>
    <t>9033 Vista Grande St. Unit PH
West Hollywood, CA 90069</t>
  </si>
  <si>
    <t xml:space="preserve">P: +1 323-818-5002
</t>
  </si>
  <si>
    <t>S. CA.</t>
  </si>
  <si>
    <r>
      <rPr>
        <b/>
        <sz val="11"/>
        <color theme="1"/>
        <rFont val="Calibri"/>
        <family val="2"/>
        <scheme val="minor"/>
      </rPr>
      <t>Vision2 Marketing Hawaii</t>
    </r>
    <r>
      <rPr>
        <sz val="11"/>
        <color theme="1"/>
        <rFont val="Calibri"/>
        <family val="2"/>
        <scheme val="minor"/>
      </rPr>
      <t xml:space="preserve">
Rep # 400921</t>
    </r>
  </si>
  <si>
    <t xml:space="preserve">HI </t>
  </si>
  <si>
    <r>
      <rPr>
        <b/>
        <sz val="11"/>
        <color theme="1"/>
        <rFont val="Calibri"/>
        <family val="2"/>
        <scheme val="minor"/>
      </rPr>
      <t>HP Marketing &amp; Technical Sales</t>
    </r>
    <r>
      <rPr>
        <sz val="11"/>
        <color theme="1"/>
        <rFont val="Calibri"/>
        <family val="2"/>
        <scheme val="minor"/>
      </rPr>
      <t xml:space="preserve">
Rep # 400931</t>
    </r>
  </si>
  <si>
    <t xml:space="preserve">11837 N 22 Pl. 
Phoenix AZ 85028 </t>
  </si>
  <si>
    <t>P: +1 602-923-1096
F: +1 602-923-1096</t>
  </si>
  <si>
    <t>WY / AZ / CO / UT / S. ID / NM / El Paso, TX</t>
  </si>
  <si>
    <r>
      <rPr>
        <b/>
        <sz val="11"/>
        <color theme="1"/>
        <rFont val="Calibri"/>
        <family val="2"/>
        <scheme val="minor"/>
      </rPr>
      <t>NetWork Sales &amp; Marketing</t>
    </r>
    <r>
      <rPr>
        <sz val="11"/>
        <color theme="1"/>
        <rFont val="Calibri"/>
        <family val="2"/>
        <scheme val="minor"/>
      </rPr>
      <t xml:space="preserve">
Rep # 400009</t>
    </r>
  </si>
  <si>
    <t>12911 Pioneer Trail
Eden Prairie, MN 55347</t>
  </si>
  <si>
    <t>P: +1 952-941-9800
F: +1 952-941-8038</t>
  </si>
  <si>
    <t>MN / ND / SD / W. WI</t>
  </si>
  <si>
    <r>
      <rPr>
        <b/>
        <sz val="11"/>
        <color theme="1"/>
        <rFont val="Calibri"/>
        <family val="2"/>
        <scheme val="minor"/>
      </rPr>
      <t>NetWork Sales &amp; Marketing So</t>
    </r>
    <r>
      <rPr>
        <sz val="11"/>
        <color theme="1"/>
        <rFont val="Calibri"/>
        <family val="2"/>
        <scheme val="minor"/>
      </rPr>
      <t xml:space="preserve">      Rep # 400017</t>
    </r>
  </si>
  <si>
    <t>MO / NE / KS / IA / S. IL</t>
  </si>
  <si>
    <r>
      <rPr>
        <b/>
        <sz val="11"/>
        <color theme="1"/>
        <rFont val="Calibri"/>
        <family val="2"/>
        <scheme val="minor"/>
      </rPr>
      <t>ProVideo &amp; Sound</t>
    </r>
    <r>
      <rPr>
        <sz val="11"/>
        <color theme="1"/>
        <rFont val="Calibri"/>
        <family val="2"/>
        <scheme val="minor"/>
      </rPr>
      <t xml:space="preserve">
Rep # 400553</t>
    </r>
  </si>
  <si>
    <t>3410 Midcourt Road #111
Carrollton, TX 75006</t>
  </si>
  <si>
    <t>P: +1 888-468-0803
F: +1 888-825-1112</t>
  </si>
  <si>
    <t>AR / OK / LA / TX (except El Paso)</t>
  </si>
  <si>
    <t>South</t>
  </si>
  <si>
    <r>
      <rPr>
        <b/>
        <sz val="11"/>
        <color theme="1"/>
        <rFont val="Calibri"/>
        <family val="2"/>
        <scheme val="minor"/>
      </rPr>
      <t>Sound Marketing Central</t>
    </r>
    <r>
      <rPr>
        <sz val="11"/>
        <color theme="1"/>
        <rFont val="Calibri"/>
        <family val="2"/>
        <scheme val="minor"/>
      </rPr>
      <t xml:space="preserve">
Rep # 400004</t>
    </r>
  </si>
  <si>
    <t>691 Executive Drive
Willowbrook, IL 60527</t>
  </si>
  <si>
    <t>P: +1 708-598-6888
F: +1 708-598-7320</t>
  </si>
  <si>
    <t>E. WI / N. IL</t>
  </si>
  <si>
    <t>North East</t>
  </si>
  <si>
    <r>
      <rPr>
        <b/>
        <sz val="11"/>
        <color theme="1"/>
        <rFont val="Calibri"/>
        <family val="2"/>
        <scheme val="minor"/>
      </rPr>
      <t>IAV Sales</t>
    </r>
    <r>
      <rPr>
        <sz val="11"/>
        <color theme="1"/>
        <rFont val="Calibri"/>
        <family val="2"/>
        <scheme val="minor"/>
      </rPr>
      <t xml:space="preserve">                                                    Rep # 400013</t>
    </r>
  </si>
  <si>
    <r>
      <t>5275 Dixie Highway, Suite</t>
    </r>
    <r>
      <rPr>
        <sz val="11"/>
        <rFont val="Calibri"/>
        <family val="2"/>
        <scheme val="minor"/>
      </rPr>
      <t xml:space="preserve"> B6</t>
    </r>
    <r>
      <rPr>
        <sz val="11"/>
        <color theme="1"/>
        <rFont val="Calibri"/>
        <family val="2"/>
        <scheme val="minor"/>
      </rPr>
      <t xml:space="preserve">
Waterford, MI 48329</t>
    </r>
  </si>
  <si>
    <t>P: +1 248-623-6114
F: +1 248-623-6124</t>
  </si>
  <si>
    <t>MI</t>
  </si>
  <si>
    <r>
      <rPr>
        <b/>
        <sz val="11"/>
        <color theme="1"/>
        <rFont val="Calibri"/>
        <family val="2"/>
        <scheme val="minor"/>
      </rPr>
      <t>Sound Marketing East</t>
    </r>
    <r>
      <rPr>
        <sz val="11"/>
        <color theme="1"/>
        <rFont val="Calibri"/>
        <family val="2"/>
        <scheme val="minor"/>
      </rPr>
      <t xml:space="preserve">
Rep # 400201</t>
    </r>
  </si>
  <si>
    <t>624 E Broadway Street
Mishawaka, IN 46545</t>
  </si>
  <si>
    <t xml:space="preserve">P: +1 574-255-2400
</t>
  </si>
  <si>
    <t>IN / S. KY</t>
  </si>
  <si>
    <r>
      <rPr>
        <b/>
        <sz val="11"/>
        <color theme="1"/>
        <rFont val="Calibri"/>
        <family val="2"/>
        <scheme val="minor"/>
      </rPr>
      <t>Vision2 Marketing</t>
    </r>
    <r>
      <rPr>
        <sz val="11"/>
        <color theme="1"/>
        <rFont val="Calibri"/>
        <family val="2"/>
        <scheme val="minor"/>
      </rPr>
      <t xml:space="preserve">
Rep # 400018</t>
    </r>
  </si>
  <si>
    <t>642 West Iris Drive
Nashville, TN 37204</t>
  </si>
  <si>
    <t>P: +1 615-255-7606
F: +1 615-255-7607</t>
  </si>
  <si>
    <t>AL / GA / MS / TN / NC / SC</t>
  </si>
  <si>
    <r>
      <rPr>
        <b/>
        <sz val="11"/>
        <color theme="1"/>
        <rFont val="Calibri"/>
        <family val="2"/>
        <scheme val="minor"/>
      </rPr>
      <t>Kor Media and Lighting LLC</t>
    </r>
    <r>
      <rPr>
        <sz val="11"/>
        <color theme="1"/>
        <rFont val="Calibri"/>
        <family val="2"/>
        <scheme val="minor"/>
      </rPr>
      <t xml:space="preserve">
Rep # 400487</t>
    </r>
  </si>
  <si>
    <t>355 NW 54th Street                                 Miami, FL 33127</t>
  </si>
  <si>
    <t>P: +1 305-482-3005
F: +1 305-433-5114</t>
  </si>
  <si>
    <t>FL</t>
  </si>
  <si>
    <r>
      <rPr>
        <b/>
        <sz val="11"/>
        <color theme="1"/>
        <rFont val="Calibri"/>
        <family val="2"/>
        <scheme val="minor"/>
      </rPr>
      <t>Ohio Valley Territory - HPRO</t>
    </r>
    <r>
      <rPr>
        <sz val="11"/>
        <color theme="1"/>
        <rFont val="Calibri"/>
        <family val="2"/>
        <scheme val="minor"/>
      </rPr>
      <t xml:space="preserve">
Rep # 400922</t>
    </r>
  </si>
  <si>
    <t>Pittsburgh, PA</t>
  </si>
  <si>
    <t xml:space="preserve">P: +1 574-315-5410
</t>
  </si>
  <si>
    <t>OH / WV / W. PA / N. KY</t>
  </si>
  <si>
    <r>
      <rPr>
        <b/>
        <sz val="11"/>
        <color theme="1"/>
        <rFont val="Calibri"/>
        <family val="2"/>
        <scheme val="minor"/>
      </rPr>
      <t>Sigmet Corp (South)</t>
    </r>
    <r>
      <rPr>
        <sz val="11"/>
        <color theme="1"/>
        <rFont val="Calibri"/>
        <family val="2"/>
        <scheme val="minor"/>
      </rPr>
      <t xml:space="preserve">
Rep # 400010</t>
    </r>
  </si>
  <si>
    <t>41 Vanguard Drive
Reading, PA 19606</t>
  </si>
  <si>
    <t>P: +1 610-404-3580
F: +1 610-404-0086</t>
  </si>
  <si>
    <t>S. NJ / DE / E. PA / MD / DC / VA 
(MD /DC/ VA covered by Mark Templeton (RVP)</t>
  </si>
  <si>
    <r>
      <rPr>
        <b/>
        <sz val="11"/>
        <color theme="1"/>
        <rFont val="Calibri"/>
        <family val="2"/>
        <scheme val="minor"/>
      </rPr>
      <t>Sigmet Corp - Upstate</t>
    </r>
    <r>
      <rPr>
        <sz val="11"/>
        <color theme="1"/>
        <rFont val="Calibri"/>
        <family val="2"/>
        <scheme val="minor"/>
      </rPr>
      <t xml:space="preserve">
Rep # 400011</t>
    </r>
  </si>
  <si>
    <t>289 Highway 33 East, Bldg B
Manalapan, NJ 07726</t>
  </si>
  <si>
    <t>P: +1 732-792-1221
F: +1 732-792-1305</t>
  </si>
  <si>
    <t>NY Upstate</t>
  </si>
  <si>
    <r>
      <rPr>
        <b/>
        <sz val="11"/>
        <color theme="1"/>
        <rFont val="Calibri"/>
        <family val="2"/>
        <scheme val="minor"/>
      </rPr>
      <t>Sigmet Corp - NY (Metro)</t>
    </r>
    <r>
      <rPr>
        <sz val="11"/>
        <color theme="1"/>
        <rFont val="Calibri"/>
        <family val="2"/>
        <scheme val="minor"/>
      </rPr>
      <t xml:space="preserve">
Rep # 400012</t>
    </r>
  </si>
  <si>
    <t>289 Highway 33 / East, Bldg B
Manalapan, NJ 07726</t>
  </si>
  <si>
    <t>NY (except Upstate) / N. NJ</t>
  </si>
  <si>
    <r>
      <rPr>
        <b/>
        <sz val="11"/>
        <color theme="1"/>
        <rFont val="Calibri"/>
        <family val="2"/>
        <scheme val="minor"/>
      </rPr>
      <t>Hanoud &amp; Lima Associates</t>
    </r>
    <r>
      <rPr>
        <sz val="11"/>
        <color theme="1"/>
        <rFont val="Calibri"/>
        <family val="2"/>
        <scheme val="minor"/>
      </rPr>
      <t xml:space="preserve">
Rep # 400006</t>
    </r>
  </si>
  <si>
    <t>260 Hornbine Rd.
Rehoboth, MA 02769</t>
  </si>
  <si>
    <t>P: +1 508-677-0701
F: +1 508-672-5426</t>
  </si>
  <si>
    <t>CT / ME / MA / NH / RI / VT</t>
  </si>
  <si>
    <r>
      <rPr>
        <b/>
        <sz val="11"/>
        <color theme="1"/>
        <rFont val="Calibri"/>
        <family val="2"/>
        <scheme val="minor"/>
      </rPr>
      <t>Vision2 Marketing Las Vegas</t>
    </r>
    <r>
      <rPr>
        <sz val="11"/>
        <color theme="1"/>
        <rFont val="Calibri"/>
        <family val="2"/>
        <scheme val="minor"/>
      </rPr>
      <t xml:space="preserve">
Rep # 400897</t>
    </r>
  </si>
  <si>
    <t>South Nevada</t>
  </si>
  <si>
    <t>Lighting Regional Sales Managers</t>
  </si>
  <si>
    <t>Ethan Aberg West Install Focus</t>
  </si>
  <si>
    <t>Ethan.Aberg@harman.com</t>
  </si>
  <si>
    <t>1-818-554-1500 Mobile</t>
  </si>
  <si>
    <t>Brandon Robbins West Production Focus</t>
  </si>
  <si>
    <t>Brandon.Robbins@harman.com</t>
  </si>
  <si>
    <t>1-818-470-6775 Mobile</t>
  </si>
  <si>
    <t>Ken Romaine North Install Focus</t>
  </si>
  <si>
    <t xml:space="preserve">Ken Romaine@Harman.com </t>
  </si>
  <si>
    <t>1-201-892-4845 Mobile</t>
  </si>
  <si>
    <t xml:space="preserve">Aaron Vengrow North Production Focus </t>
  </si>
  <si>
    <t xml:space="preserve">Aaron.Vengrow@Harman.com </t>
  </si>
  <si>
    <t xml:space="preserve">1-330-518-1419 Mobile </t>
  </si>
  <si>
    <t xml:space="preserve">Scott Anderson South Production Focus </t>
  </si>
  <si>
    <t>Scott.Anderson@Harman.com</t>
  </si>
  <si>
    <t>1-951-850-2387 Mobile</t>
  </si>
  <si>
    <t xml:space="preserve">Jim Fuller South Install Focus </t>
  </si>
  <si>
    <t>Jim.Fuller@Harman.com</t>
  </si>
  <si>
    <t>1-954-817-1182 Mobile</t>
  </si>
  <si>
    <t>Brand</t>
  </si>
  <si>
    <t>Modification</t>
  </si>
  <si>
    <t>Model</t>
  </si>
  <si>
    <t>Date of change</t>
  </si>
  <si>
    <t>MRT</t>
  </si>
  <si>
    <t>added</t>
  </si>
  <si>
    <t>Martin ERA 800 Profile WHITE</t>
  </si>
  <si>
    <t>CY2022</t>
  </si>
  <si>
    <t>EXTERIOR LINEAR 310 COVE, QUAD</t>
  </si>
  <si>
    <t>EXTERIOR LINEAR 310 GRAZE, NAR, QUAD</t>
  </si>
  <si>
    <t>EXTERIOR LINEAR 310 GRAZE, WIDE, QUAD</t>
  </si>
  <si>
    <t>EXTERIOR LINEAR 310 GRAZE, ASSYM, QUAD</t>
  </si>
  <si>
    <t>EXTERIOR LINEAR 1210 GRAZE, NAR, QUAD</t>
  </si>
  <si>
    <t>EXTERIOR LINEAR 1210 GRAZE, WIDE, QUAD</t>
  </si>
  <si>
    <t>EXTERIOR LINEAR 1210 GRAZE, ASSYM, QUAD</t>
  </si>
  <si>
    <t xml:space="preserve">Glareshield EL300, SET OF 4 </t>
  </si>
  <si>
    <t xml:space="preserve">Glareshield EL1200, SET OF 4 </t>
  </si>
  <si>
    <t>Ext PixLine 20 RGB 1270mm Clr Front Alu</t>
  </si>
  <si>
    <t>EP-500 Manual Framing Module</t>
  </si>
  <si>
    <t>EXTERIOR WASH 210, CL, EU, WHITE</t>
  </si>
  <si>
    <t>EXTERIOR WASH 310, CL, EU, WHITE</t>
  </si>
  <si>
    <t>91606017HU</t>
  </si>
  <si>
    <t>MAC Aura/MAC 101 Installation bracket (5 pcs)</t>
  </si>
  <si>
    <t>MAC Aura PXL SoftLens</t>
  </si>
  <si>
    <t>SIP Packaging MAC Allure/MAC Aura PXL</t>
  </si>
  <si>
    <t>MAC AXIOM HYBRID White</t>
  </si>
  <si>
    <t xml:space="preserve">RUSH MH 5 Profile </t>
  </si>
  <si>
    <t>THRILL MULTI- FX LED</t>
  </si>
  <si>
    <t>Set of 10 VC-Dot 1 Smoked Diffuser Domes</t>
  </si>
  <si>
    <t>Mounting Bracket, VC-Dot 1</t>
  </si>
  <si>
    <t>Mounting Bracket, VC-Dot 4</t>
  </si>
  <si>
    <t>VC-Dot 4 Aluminium Mounting Profile Black 2m</t>
  </si>
  <si>
    <t>VC-Dot 4 Aluminium Profile Cover Black 2m</t>
  </si>
  <si>
    <t>Set of 10 VC-Dot 9 Smoked Diffuser Domes</t>
  </si>
  <si>
    <t>Mounting Bracket, VC-Dot 9</t>
  </si>
  <si>
    <t>EXTERIOR PROJECTION 1000 DEMO KIT, US</t>
  </si>
  <si>
    <t>removed</t>
  </si>
  <si>
    <t xml:space="preserve">MAC Viper Profile in cardboard </t>
  </si>
  <si>
    <t>90233030HU</t>
  </si>
  <si>
    <t xml:space="preserve">MAC Viper AirFX in cardboard </t>
  </si>
  <si>
    <t xml:space="preserve">Flightcase for 2 x MAC Viper </t>
  </si>
  <si>
    <t xml:space="preserve">RUSH MH 6 Wash </t>
  </si>
  <si>
    <t xml:space="preserve">RUSH MH 6 Wash CT </t>
  </si>
  <si>
    <t>VC-Dot 1 Plastic Mounting Profile White 1.2m</t>
  </si>
  <si>
    <t>VC-Dot 1 Plastic Profile Cover White 1.2m</t>
  </si>
  <si>
    <t>VC-Dot 4 Plastic Mounting Profile White 1.2m</t>
  </si>
  <si>
    <t>VC-Dot 4 Plastic Profile Cover White 1.2m</t>
  </si>
  <si>
    <t>VC-Dot 9 Plastic Mounting Profile White 1.2m</t>
  </si>
  <si>
    <t>BreakInOut Cable Power-DMX to PDE</t>
  </si>
  <si>
    <t>90356830hu</t>
  </si>
  <si>
    <t>change</t>
  </si>
  <si>
    <t>3405H00030</t>
  </si>
  <si>
    <t>3405H00020</t>
  </si>
  <si>
    <t>3405H00010</t>
  </si>
  <si>
    <t>3095H00290</t>
  </si>
  <si>
    <t>SST4500 Set BD7-100mW</t>
  </si>
  <si>
    <t>3095H00300</t>
  </si>
  <si>
    <t>SST4500 Set BD8-50mW</t>
  </si>
  <si>
    <t>3095H00310</t>
  </si>
  <si>
    <t>SST4500 Set BD8-100mW</t>
  </si>
  <si>
    <t>3096H00280</t>
  </si>
  <si>
    <t>SPR4500 Set BD7</t>
  </si>
  <si>
    <t>3096H00300</t>
  </si>
  <si>
    <t>SPR4500 Set BD8</t>
  </si>
  <si>
    <t>3097H00280</t>
  </si>
  <si>
    <t>IVM4500 Set BD7-50mW</t>
  </si>
  <si>
    <t>3097H00290</t>
  </si>
  <si>
    <t>IVM4500 Set BD7-100mW</t>
  </si>
  <si>
    <t>3097H00300</t>
  </si>
  <si>
    <t>IVM4500 Set BD8-50mW</t>
  </si>
  <si>
    <t>3097H00310</t>
  </si>
  <si>
    <t>IVM4500 Set BD8-100mW</t>
  </si>
  <si>
    <t>price change</t>
  </si>
  <si>
    <t>NMX-ENC-N3132-C</t>
  </si>
  <si>
    <t>NMX-ENC-N3132</t>
  </si>
  <si>
    <t>NMX-DEC-N3232-C</t>
  </si>
  <si>
    <t>NMX-DEC-N3232</t>
  </si>
  <si>
    <t>BSSBLU10-M</t>
  </si>
  <si>
    <t>BSSBLU10WT-M</t>
  </si>
  <si>
    <t>CRN</t>
  </si>
  <si>
    <t>DCI2X300-U-CNFX</t>
  </si>
  <si>
    <t>90507100HU</t>
  </si>
  <si>
    <t>90507150HU</t>
  </si>
  <si>
    <t>90507110HU</t>
  </si>
  <si>
    <t>FG1010-325-BLfx</t>
  </si>
  <si>
    <t>DX-TX-DWP-BL</t>
  </si>
  <si>
    <t>FG1010-325-WHFX</t>
  </si>
  <si>
    <t>DX-TX-DWP-WH</t>
  </si>
  <si>
    <t>FG1058-620-FX</t>
  </si>
  <si>
    <t>DGX-I-DXF-SMD</t>
  </si>
  <si>
    <t>FG1058-621-FX</t>
  </si>
  <si>
    <t>DGX-I-DXF-SMS</t>
  </si>
  <si>
    <t>FG1058-622-FX</t>
  </si>
  <si>
    <t>DGX-I-DXF-MMD</t>
  </si>
  <si>
    <t>FG1058-631-FX</t>
  </si>
  <si>
    <t>DGX-O-DXF-SMS</t>
  </si>
  <si>
    <t>FG1901-16-EK</t>
  </si>
  <si>
    <t>NCITE-813AC</t>
  </si>
  <si>
    <t>FG1061-580-FX</t>
  </si>
  <si>
    <t>DGX-O-DXL-4K</t>
  </si>
  <si>
    <t>FG1906-11-EK</t>
  </si>
  <si>
    <t>DVX-2250HD-SP</t>
  </si>
  <si>
    <t>FG1906-15-EK</t>
  </si>
  <si>
    <t>DVX-3250HD-SP</t>
  </si>
  <si>
    <t>FG1010-310-EKFX</t>
  </si>
  <si>
    <t>DX-TX</t>
  </si>
  <si>
    <t>FG1010-314-EK</t>
  </si>
  <si>
    <t>SDX-414-DX</t>
  </si>
  <si>
    <t>FG1010-360-EKFX</t>
  </si>
  <si>
    <t>DXF-TX-SMD</t>
  </si>
  <si>
    <t>FG1010-361-EKFX</t>
  </si>
  <si>
    <t>DXF-TX-SMS</t>
  </si>
  <si>
    <t>FG1010-362-EKFX</t>
  </si>
  <si>
    <t>DXF-TX-MMD</t>
  </si>
  <si>
    <t>FG1010-363-EKFX</t>
  </si>
  <si>
    <t>DXF-TX-MMS</t>
  </si>
  <si>
    <t>FG1010-500-EKFX</t>
  </si>
  <si>
    <t>DX-RX</t>
  </si>
  <si>
    <t>FG1010-505-EK</t>
  </si>
  <si>
    <t>DXL-RX-4K60</t>
  </si>
  <si>
    <t>FG1010-510-01EKFX</t>
  </si>
  <si>
    <t>DX-RX-4K</t>
  </si>
  <si>
    <t>FG1010-560-EKFX</t>
  </si>
  <si>
    <t>DXF-RX-SMD</t>
  </si>
  <si>
    <t>FG1010-561-EKFX</t>
  </si>
  <si>
    <t>DXF-RX-SMS</t>
  </si>
  <si>
    <t>FG1010-562-EKFX</t>
  </si>
  <si>
    <t>DXF-RX-MMD</t>
  </si>
  <si>
    <t>FG1010-563-EKFX</t>
  </si>
  <si>
    <t>DXF-RX-MMS</t>
  </si>
  <si>
    <t>FG10-2170-13</t>
  </si>
  <si>
    <t>CC-DVIM-VGAF</t>
  </si>
  <si>
    <t>ENOVADGX-PS</t>
  </si>
  <si>
    <t>FG1060-120K-FX</t>
  </si>
  <si>
    <t>BATTERY REPLACEMENT KIT</t>
  </si>
  <si>
    <t>FG1061-08-EK-FX</t>
  </si>
  <si>
    <t>DGX800-ENC</t>
  </si>
  <si>
    <t>FG1061-16-EK-FX</t>
  </si>
  <si>
    <t>DGX1600-ENC</t>
  </si>
  <si>
    <t>FG1061-32-EK-FX</t>
  </si>
  <si>
    <t>DGX3200-ENC</t>
  </si>
  <si>
    <t>DGX-I-DXL-4K60</t>
  </si>
  <si>
    <t>DGX-O-DXL-4K60</t>
  </si>
  <si>
    <t>FG1061-64-EK-FX</t>
  </si>
  <si>
    <t>DGX6400-ENC</t>
  </si>
  <si>
    <t>DGX6400-ASB</t>
  </si>
  <si>
    <t>FG1901-10-EK</t>
  </si>
  <si>
    <t>NCITE-813</t>
  </si>
  <si>
    <t>FG1901-12-EK</t>
  </si>
  <si>
    <t>NCITE-813A</t>
  </si>
  <si>
    <t>DVX-2265-4K</t>
  </si>
  <si>
    <t>FG1906-07-EK</t>
  </si>
  <si>
    <t>DVX-2210HD-SP</t>
  </si>
  <si>
    <t>FG1906-12-EK</t>
  </si>
  <si>
    <t>DVX-2255HD-SP</t>
  </si>
  <si>
    <t>FG1906-17-EK</t>
  </si>
  <si>
    <t>DVX-3250HD-T</t>
  </si>
  <si>
    <t>FG1906-18-EK</t>
  </si>
  <si>
    <t>DVX-3255HD-T</t>
  </si>
  <si>
    <t>FG1906-24-EK</t>
  </si>
  <si>
    <t>DVX-3256HD-T</t>
  </si>
  <si>
    <t>TPC-IPAD</t>
  </si>
  <si>
    <t>TPC-ANDROID TAB</t>
  </si>
  <si>
    <t>FG4121-00BL-EK</t>
  </si>
  <si>
    <t>ACV-2100BL</t>
  </si>
  <si>
    <t>FG4121-00GR-EK</t>
  </si>
  <si>
    <t>ACV-2100GR</t>
  </si>
  <si>
    <t>FG4151-00GR-EK</t>
  </si>
  <si>
    <t>ACV-5100GR</t>
  </si>
  <si>
    <t>FG4151-00GR-UA</t>
  </si>
  <si>
    <t>FG561-81</t>
  </si>
  <si>
    <t>HPX-P200-PC-ITY</t>
  </si>
  <si>
    <t>NMX-ENC-N1122A-C</t>
  </si>
  <si>
    <t>NMX-ENC-N2122A-C</t>
  </si>
  <si>
    <t>NMX-ENC-N2122A</t>
  </si>
  <si>
    <t>NMX-DEC-N2222A</t>
  </si>
  <si>
    <t>NMX-ENC-N2412A</t>
  </si>
  <si>
    <t>CB-MXSA-07</t>
  </si>
  <si>
    <t>VPX-1401</t>
  </si>
  <si>
    <t>DVX-3266-4K</t>
  </si>
  <si>
    <t>RMS-ENT</t>
  </si>
  <si>
    <t>FG423-30-EK</t>
  </si>
  <si>
    <t>PS3.0</t>
  </si>
  <si>
    <t>FG423-49-EK</t>
  </si>
  <si>
    <t>PSR7-V</t>
  </si>
  <si>
    <t>FG423-83-EK</t>
  </si>
  <si>
    <t>PS-POE-AF-TC</t>
  </si>
  <si>
    <t>FG423-84-EK</t>
  </si>
  <si>
    <t>PS-POE-AT-TC</t>
  </si>
  <si>
    <t>AC-RK</t>
  </si>
  <si>
    <t>ABS</t>
  </si>
  <si>
    <t>NMX-SFP-SM,</t>
  </si>
  <si>
    <t>NMX-SFP-MM</t>
  </si>
  <si>
    <t>NMX-SFP-1GMM</t>
  </si>
  <si>
    <t>NPI</t>
  </si>
  <si>
    <t>MSRP Change</t>
  </si>
  <si>
    <t>Price change</t>
  </si>
  <si>
    <t>Removed</t>
  </si>
  <si>
    <t>FG1010-310-FX</t>
  </si>
  <si>
    <t>FG1010-325-BLFX</t>
  </si>
  <si>
    <t>FG1010-500FX</t>
  </si>
  <si>
    <t>FG1058-550-FX</t>
  </si>
  <si>
    <t>FG1901-16</t>
  </si>
  <si>
    <t>FG1906-17</t>
  </si>
  <si>
    <t>FG1010-561FX</t>
  </si>
  <si>
    <t>Change</t>
  </si>
  <si>
    <t>FGN1122-SA</t>
  </si>
  <si>
    <t>Price Change</t>
  </si>
  <si>
    <t>90232100HU             </t>
  </si>
  <si>
    <t>90232110HU                   </t>
  </si>
  <si>
    <t xml:space="preserve">FLIGHTCASE FOR 2X MAC AXIOM HYBRID </t>
  </si>
  <si>
    <t>Martin ERA 800 Profile</t>
  </si>
  <si>
    <t>MAR-90356997            </t>
  </si>
  <si>
    <t>INGROUND SLEEVE INSTALLATION LID FLUSH</t>
  </si>
  <si>
    <t>INGROUND SLEEVE INSTALLATION LID BEVELLE</t>
  </si>
  <si>
    <t>VDO Sceptron Family Demo Suitcase</t>
  </si>
  <si>
    <t>VC-Dot 9 Plastic Profile Cover White 1.2m</t>
  </si>
  <si>
    <t>INSTALLATION SLEEVE, INGROUND 400 </t>
  </si>
  <si>
    <t>MAC Aura XIP in EPS</t>
  </si>
  <si>
    <t>MAC Aura XIP in dual SiP</t>
  </si>
  <si>
    <t>MAC Aura XIP white in EPS</t>
  </si>
  <si>
    <t>MAR-91515057              </t>
  </si>
  <si>
    <t xml:space="preserve">Flightcase for 6 x MAC Aura XIP                </t>
  </si>
  <si>
    <t>SDC</t>
  </si>
  <si>
    <t>Added</t>
  </si>
  <si>
    <t>EFX8</t>
  </si>
  <si>
    <t>Map Removal</t>
  </si>
  <si>
    <t>3242H00020</t>
  </si>
  <si>
    <t>3243H00010</t>
  </si>
  <si>
    <t>6500H00300</t>
  </si>
  <si>
    <t>JBL-P3396 | VTX Commissioning - North America  - North America</t>
  </si>
  <si>
    <t>MARTIN ERA 150 WASH - WHITE</t>
  </si>
  <si>
    <t>MARTIN ELP PAR - WHITE</t>
  </si>
  <si>
    <t>MARTIN ELP PAR IP</t>
  </si>
  <si>
    <t>MARTIN ELP PAR IP - WHITE</t>
  </si>
  <si>
    <t>PRX812W</t>
  </si>
  <si>
    <t>PRX815W</t>
  </si>
  <si>
    <t>PRX815XLFW</t>
  </si>
  <si>
    <t>PRX818XLFW</t>
  </si>
  <si>
    <t>P120</t>
  </si>
  <si>
    <t>P170</t>
  </si>
  <si>
    <t>P220</t>
  </si>
  <si>
    <t>P420</t>
  </si>
  <si>
    <t>EXTERIOR LINEAR PRO DEMOKIT</t>
  </si>
  <si>
    <t>VTX A6 CASE</t>
  </si>
  <si>
    <t>MAP Change</t>
  </si>
  <si>
    <t xml:space="preserve">EXTERIOR WASH 100,7deg,US,ALU </t>
  </si>
  <si>
    <t>Martin Companion Cable</t>
  </si>
  <si>
    <t>Added back</t>
  </si>
  <si>
    <t>3325V00010</t>
  </si>
  <si>
    <t>PZM11 LL WR PP</t>
  </si>
  <si>
    <t>NMX-ENC-N2612S</t>
  </si>
  <si>
    <t>NMX-ENC-N2612S-C</t>
  </si>
  <si>
    <t>NMX-DEC-N2622S</t>
  </si>
  <si>
    <t>FG558-03</t>
  </si>
  <si>
    <t>HPX-B200</t>
  </si>
  <si>
    <t>FG559-93</t>
  </si>
  <si>
    <t>HPX-AC-TMPLT-900</t>
  </si>
  <si>
    <t>FG5968-26</t>
  </si>
  <si>
    <t>MXD-1000-L-NC</t>
  </si>
  <si>
    <t>FG5968-29</t>
  </si>
  <si>
    <t>MXD-700-L-NC</t>
  </si>
  <si>
    <t>FG5968-84</t>
  </si>
  <si>
    <t>CB-MXP10-F</t>
  </si>
  <si>
    <t>NMX-ENC-N1122</t>
  </si>
  <si>
    <t>FGN1233A-SA</t>
  </si>
  <si>
    <t>NMX-DEC-N1233A</t>
  </si>
  <si>
    <t>FGN2235A-CD</t>
  </si>
  <si>
    <t>NMX-DEC-N2235A-C</t>
  </si>
  <si>
    <t>FGN2235A-SA</t>
  </si>
  <si>
    <t>NMX-DEC-N2235A</t>
  </si>
  <si>
    <t>CDi4x1200</t>
  </si>
  <si>
    <t>BSSBLU120MXV3</t>
  </si>
  <si>
    <t>BLU-120</t>
  </si>
  <si>
    <t>BSSBLU160MXV10</t>
  </si>
  <si>
    <t>BSSBLU160MXV11</t>
  </si>
  <si>
    <t>BSSBLU160MXV18</t>
  </si>
  <si>
    <t>BSSBLU160MXV6</t>
  </si>
  <si>
    <t>BSSBLU326MXV9</t>
  </si>
  <si>
    <t>BSSBLU800MXV1</t>
  </si>
  <si>
    <t>BSSBLU800MXV3</t>
  </si>
  <si>
    <t>COO updated</t>
  </si>
  <si>
    <t>SRX906LA</t>
  </si>
  <si>
    <t>SRX906LA CASE</t>
  </si>
  <si>
    <t>SRX910LA</t>
  </si>
  <si>
    <t>SRX910LA VT</t>
  </si>
  <si>
    <t>SRX918S</t>
  </si>
  <si>
    <t>SRX918S CVR</t>
  </si>
  <si>
    <t>SRX928S</t>
  </si>
  <si>
    <t>ACK1</t>
  </si>
  <si>
    <t>Changed to Partner Purchase only</t>
  </si>
  <si>
    <t>TPC-ITOUCH-PHONE</t>
  </si>
  <si>
    <t>TPC-ANDROID</t>
  </si>
  <si>
    <t>TPC-WIN8-TAB</t>
  </si>
  <si>
    <t>TPC-TPI-PRO</t>
  </si>
  <si>
    <t>TPC-BYOD</t>
  </si>
  <si>
    <t>Removed from pricelist</t>
  </si>
  <si>
    <t>K175 HEADPHONES</t>
  </si>
  <si>
    <t>K245 HEADPHONES</t>
  </si>
  <si>
    <t>K275 HEADPHONES</t>
  </si>
  <si>
    <t>TZ2464</t>
  </si>
  <si>
    <t>GB Series Accessories</t>
  </si>
  <si>
    <t>CUSTOM CONFIG</t>
  </si>
  <si>
    <t>Vi3000 : 64 Cat 5</t>
  </si>
  <si>
    <t>Vi3000 : 64 MO</t>
  </si>
  <si>
    <t>Vi3000 : 72 Cat 5</t>
  </si>
  <si>
    <t>Vi3000 : 72 MO</t>
  </si>
  <si>
    <t>RS2545SP</t>
  </si>
  <si>
    <t>RS2547SP</t>
  </si>
  <si>
    <t>ViSB 32:32 C5 - Vi Stage-box 32:32 Cat5 - ideal for 96kHz</t>
  </si>
  <si>
    <t>ViSB 32:32 MO Vi Stage-box 32:32 Optical Multimode - ideal for 96kHz</t>
  </si>
  <si>
    <t>ViSB 48:16 MO - Vi Stage-box 48:16 Optical Multimode</t>
  </si>
  <si>
    <t>VTX-V20-DF</t>
  </si>
  <si>
    <t>MTC-CBT-FM3</t>
  </si>
  <si>
    <t>MTC-CBT-FM3-WH</t>
  </si>
  <si>
    <t>JEM C-Plus Haze Fluid, 220 l</t>
  </si>
  <si>
    <t xml:space="preserve">EXTERIOR WASH 120,7deg,US,ALU </t>
  </si>
  <si>
    <t>2544Z00030</t>
  </si>
  <si>
    <t>2544Z00020</t>
  </si>
  <si>
    <t>2344Z01010</t>
  </si>
  <si>
    <t>2496Z00010</t>
  </si>
  <si>
    <t>3324H00010</t>
  </si>
  <si>
    <t>3216Z00280</t>
  </si>
  <si>
    <t>3383H00210 </t>
  </si>
  <si>
    <t>3100H00300</t>
  </si>
  <si>
    <t>2558X00020</t>
  </si>
  <si>
    <t>2967H00010</t>
  </si>
  <si>
    <t>6500H00440</t>
  </si>
  <si>
    <t>3100H00310</t>
  </si>
  <si>
    <t>FG10-003-20</t>
  </si>
  <si>
    <t>FG1010-314</t>
  </si>
  <si>
    <t>FG1090-170</t>
  </si>
  <si>
    <t>FG1901-10</t>
  </si>
  <si>
    <t>FG1901-12</t>
  </si>
  <si>
    <t>FGN7142</t>
  </si>
  <si>
    <t>FGN8307-SD</t>
  </si>
  <si>
    <t>FGN8307-ST</t>
  </si>
  <si>
    <t>BSSBLU325M-US</t>
  </si>
  <si>
    <t>BSSBLU805M-US</t>
  </si>
  <si>
    <t>BSSBLU-PCIE1</t>
  </si>
  <si>
    <t>MTC-25WMG</t>
  </si>
  <si>
    <t>IVX-17959146</t>
  </si>
  <si>
    <t>VTX-G28</t>
  </si>
  <si>
    <t>VTX-G28-ACC</t>
  </si>
  <si>
    <t>US Dealer
100-249pcs*</t>
  </si>
  <si>
    <t>Product Type</t>
  </si>
  <si>
    <t>Wired Mics</t>
  </si>
  <si>
    <t>Lyra USB Microphone</t>
  </si>
  <si>
    <t>CN</t>
  </si>
  <si>
    <t>Non Compliant</t>
  </si>
  <si>
    <t>A</t>
  </si>
  <si>
    <t>ARA USB Microphone</t>
  </si>
  <si>
    <t>Bundle</t>
  </si>
  <si>
    <t>PODCASTER ESSENTIALS</t>
  </si>
  <si>
    <t>AKG160</t>
  </si>
  <si>
    <t>Lyra USB Microphone, K371 Professional Headphone With Stereo Headphone Adaptor, Ableton Live 10 Lite (Mac/PC) production software,and Berklee online course</t>
  </si>
  <si>
    <t>AUDIO PRODUCTION TOOLKIT: AKG LYRA USB MICROPHONE AND AKG K371 HEADPHONES   Must be ordered in pairs</t>
  </si>
  <si>
    <t>B</t>
  </si>
  <si>
    <t>AT210010</t>
  </si>
  <si>
    <t>Studio Condenser Microphone</t>
  </si>
  <si>
    <t xml:space="preserve">Professional studio microphone for general purpose. </t>
  </si>
  <si>
    <t>https://www.akg.com/Microphones/Condenser%20Microphones/P120-.html</t>
  </si>
  <si>
    <t>Professional instrumental microphone with small diaphragm-true condenser transducer, package includes a stand adapter.</t>
  </si>
  <si>
    <t>https://www.akg.com/Microphones/Condenser%20Microphones/P170.html</t>
  </si>
  <si>
    <t>as Perception 120 with one inch true condenser large diaphragm capsule.</t>
  </si>
  <si>
    <t>https://www.akg.com/Microphones/Condenser%20Microphones/P220.html</t>
  </si>
  <si>
    <t>Professional large-dual-diaphragm true-condenser microphone with switchable polar patterns.</t>
  </si>
  <si>
    <t>https://www.akg.com/Microphones/Condenser%20Microphones/P420.html</t>
  </si>
  <si>
    <t>P820 TUBE</t>
  </si>
  <si>
    <t>Professional multi-pattern tube microphone with remote control unit.</t>
  </si>
  <si>
    <t>https://www.akg.com/Microphones/Tube%20Microphones/P820tube.html</t>
  </si>
  <si>
    <t>C1000S</t>
  </si>
  <si>
    <t>AT410010</t>
  </si>
  <si>
    <t>Multipurpose condenser microphone</t>
  </si>
  <si>
    <t>https://www.akg.com/Microphones/Condenser%20Microphones/C1000_S.html</t>
  </si>
  <si>
    <t>C3000</t>
  </si>
  <si>
    <t>Large diaphragm microphone for vocal &amp; instrument applications</t>
  </si>
  <si>
    <t>https://www.akg.com/Microphones/Condenser%20Microphones/C3000.html</t>
  </si>
  <si>
    <t>C214</t>
  </si>
  <si>
    <t>Large diaphragm studio microphone based on C414 capsule. Cardioid only.</t>
  </si>
  <si>
    <t>AT</t>
  </si>
  <si>
    <t>Compliant</t>
  </si>
  <si>
    <t>https://www.akg.com/Microphones/Condenser%20Microphones/C214.html</t>
  </si>
  <si>
    <t>C314</t>
  </si>
  <si>
    <t>Professional multi-pattern condenser microphone</t>
  </si>
  <si>
    <t>https://www.akg.com/Microphones/Condenser%20Microphones/C314.html</t>
  </si>
  <si>
    <t>C414 XLS</t>
  </si>
  <si>
    <t>Large diaphragm studio microphone for universal applications</t>
  </si>
  <si>
    <t>https://www.akg.com/Microphones/Condenser%20Microphones/C414XLS.html</t>
  </si>
  <si>
    <t>C414 XLII</t>
  </si>
  <si>
    <t>Large diaphragm studio microphone for solo vocals &amp; solo instruments</t>
  </si>
  <si>
    <t>https://www.akg.com/Microphones/Condenser%20Microphones/C414+XLII.html</t>
  </si>
  <si>
    <t>C451 B</t>
  </si>
  <si>
    <t>Microphone for drums, percussion, acoustic guitars &amp; overhead</t>
  </si>
  <si>
    <t>https://www.akg.com/Microphones/Condenser%20Microphones/C451B.html</t>
  </si>
  <si>
    <t>C12 VR</t>
  </si>
  <si>
    <t xml:space="preserve">Tube "Vintage Revival" microphone     </t>
  </si>
  <si>
    <t>https://www.akg.com/Microphones/Tube%20Microphones/C12VR.html</t>
  </si>
  <si>
    <t>C214 MATCHED PAIR</t>
  </si>
  <si>
    <t xml:space="preserve">Computer-matched stereo pair </t>
  </si>
  <si>
    <t>https://www.akg.com/Microphones/Drum%20Microphone%20Bundles/C214MatPair.html</t>
  </si>
  <si>
    <t>Microphone</t>
  </si>
  <si>
    <t>C314 MATCHED PAIR</t>
  </si>
  <si>
    <t>Computer-matched stereo pair</t>
  </si>
  <si>
    <t>https://www.akg.com/Microphones/Drum%20Microphone%20Bundles/C314MatPair.html</t>
  </si>
  <si>
    <t>C414 XLS MATCHED PAIR</t>
  </si>
  <si>
    <t>https://www.akg.com/Microphones/Drum%20Microphone%20Bundles/C414XLSMatPair.html</t>
  </si>
  <si>
    <t>C414 XLII MATCHED PAIR</t>
  </si>
  <si>
    <t>https://www.akg.com/Microphones/Drum%20Microphone%20Bundles/C414XLIIMatPair.html</t>
  </si>
  <si>
    <t>C451 B MATCHED PAIR</t>
  </si>
  <si>
    <t>https://www.akg.com/Microphones/Drum%20Microphone%20Bundles/C451BMatPair.html</t>
  </si>
  <si>
    <t>P3 S</t>
  </si>
  <si>
    <t>AT410020</t>
  </si>
  <si>
    <t>Handheld Vocal Microphone</t>
  </si>
  <si>
    <t>Rugged performance microphone designed for backing vocals and instruments, with on/off switch</t>
  </si>
  <si>
    <t>https://www.akg.com/Microphones/Dynamic%20Microphones/P3.html</t>
  </si>
  <si>
    <t>P5 S</t>
  </si>
  <si>
    <t xml:space="preserve">Rugged performance microphone designed  for lead vocals with on/off switch
</t>
  </si>
  <si>
    <t>https://www.akg.com/professionalemployeesale/3100H00120.html</t>
  </si>
  <si>
    <t>C5</t>
  </si>
  <si>
    <t>Professional condenser mic for lead &amp; backing vocals on stage.</t>
  </si>
  <si>
    <t>n/a</t>
  </si>
  <si>
    <t>https://www.akg.com/Microphones/Condenser%20Microphones/C5.html</t>
  </si>
  <si>
    <t>C7</t>
  </si>
  <si>
    <t>Handheld condenser microphone with 24-karat gold-plated capsule, mechano-pneumatic shock absorber, rugged zinc alloy housing and spring steel grill.</t>
  </si>
  <si>
    <t>https://www.akg.com/Microphones/Condenser%20Microphones/C7.html</t>
  </si>
  <si>
    <t>C636 BLK</t>
  </si>
  <si>
    <t>Black colored  C636</t>
  </si>
  <si>
    <t>https://www.akg.com/Microphones/Condenser%20Microphones/3439X00020.html</t>
  </si>
  <si>
    <t>D5</t>
  </si>
  <si>
    <t>Professional dynamic mic for lead &amp; backing vocals on stage</t>
  </si>
  <si>
    <t>https://www.akg.com/Wireless/Wireless%20Accessories/D5WL1.html</t>
  </si>
  <si>
    <t>D5S</t>
  </si>
  <si>
    <t>D5 with on/off switch</t>
  </si>
  <si>
    <t>https://www.akg.com/Microphones/Dynamic%20Microphones/D5S.html</t>
  </si>
  <si>
    <t>D5C</t>
  </si>
  <si>
    <t>Professional dynamic vocal microphone</t>
  </si>
  <si>
    <t>https://www.akg.com/Microphones/Dynamic%20Microphones/3138X00340.html</t>
  </si>
  <si>
    <t xml:space="preserve">D5CS </t>
  </si>
  <si>
    <t>D5C with on/off switch</t>
  </si>
  <si>
    <t>D7</t>
  </si>
  <si>
    <t>Reference dynamic vocal microphone, highest audio performance for stage and studio.</t>
  </si>
  <si>
    <t>https://www.akg.com/Wireless/Wireless%20Accessories/D7WL1.html</t>
  </si>
  <si>
    <t>D7S</t>
  </si>
  <si>
    <t>D7 with on/off switch</t>
  </si>
  <si>
    <t>https://www.akg.com/Microphones/Dynamic%20Microphones/3139X00020.html</t>
  </si>
  <si>
    <t>P2</t>
  </si>
  <si>
    <t>Instrument Microphone</t>
  </si>
  <si>
    <t>Dynamic microphone designed for low-pitched instruments</t>
  </si>
  <si>
    <t>https://www.akg.com/Microphones/Dynamic%20Microphones/P2.html</t>
  </si>
  <si>
    <t>P4</t>
  </si>
  <si>
    <t>Dynamic microphone designed for drums and percussions, wind instruments and guitar amps</t>
  </si>
  <si>
    <t>https://www.akg.com/Microphones/Dynamic%20Microphones/P4.html</t>
  </si>
  <si>
    <t>C411 PP</t>
  </si>
  <si>
    <t>For hardwire applications, with standard XLR connector for phantom powering.</t>
  </si>
  <si>
    <t>https://www.akg.com/Microphones/Condenser%20Microphones/C411PP.html</t>
  </si>
  <si>
    <t>C411 L</t>
  </si>
  <si>
    <t>Ultra-light vibration pickup with mini XLR connector for use with B29 L battery operated power supply or AKG WMS bodypack transmitters.</t>
  </si>
  <si>
    <t>https://www.akg.com/Microphones/Condenser%20Microphones/C411L.html</t>
  </si>
  <si>
    <t>C430</t>
  </si>
  <si>
    <t xml:space="preserve">Overhead mic for hardwire applications, with standard XLR connector for phantom powering.
</t>
  </si>
  <si>
    <t>https://www.akg.com/Microphones/Condenser%20Microphones/C430.html</t>
  </si>
  <si>
    <t>C516 ML</t>
  </si>
  <si>
    <t>Ultra-light hypercardioid instrumental miniature mic for accordeon and speakers with mini XLR connector for use with B29 L battery operated power supply, MPA V L external phantom power adapter, or AKG WMS bodypack transmitters.</t>
  </si>
  <si>
    <t>https://www.akg.com/Microphones/Condenser%20Microphones/C516ML.html</t>
  </si>
  <si>
    <t xml:space="preserve">C518 M </t>
  </si>
  <si>
    <t xml:space="preserve">Miniature clip-on mic for drums &amp; percussion for hardwire applications, with standard XLR connector for phantom powering.
</t>
  </si>
  <si>
    <t>https://www.akg.com/Microphones/Condenser%20Microphones/3064X00010.html</t>
  </si>
  <si>
    <t>C518 ML</t>
  </si>
  <si>
    <t>Miniature clip-on mic for drums &amp; percussion with mini XLR connector for use with B29 L battery operated power supply, MPA V L external phantom power adapter, or AKG WMS bodypack transmitters.</t>
  </si>
  <si>
    <t>https://www.akg.com/Microphones/Condenser%20Microphones/3064X00020.html</t>
  </si>
  <si>
    <t xml:space="preserve">C519 M </t>
  </si>
  <si>
    <t xml:space="preserve">Clip-on mic with miniature gooseneck for wind instruments for hardwire applications, with standard XLR connector for phantom powering.
</t>
  </si>
  <si>
    <t>https://www.akg.com/Microphones/Condenser%20Microphones/3065X00010.html</t>
  </si>
  <si>
    <t>C519 ML</t>
  </si>
  <si>
    <t>Clip-on mic with miniature gooseneck for wind instruments with mini XLR connector for use with B29 L battery operated power supply, MPA V L external phantom power adapter, or AKG WMS bodypack transmitters.</t>
  </si>
  <si>
    <t>https://www.akg.com/Microphones/Condenser%20Microphones/3065X00020.html</t>
  </si>
  <si>
    <t>C747 V11</t>
  </si>
  <si>
    <t>Slim, high quality directional shotgun mic. Lots of accessories included. Including the new RFI shield technology. 3m cable, XLR connector, H47, MSH70, SA47, SA80, SHZ80 and windscreen included.</t>
  </si>
  <si>
    <t>D40</t>
  </si>
  <si>
    <t>Dynamic instrument microphone designed for drums and percussions, for wind instruments and guitar amps.</t>
  </si>
  <si>
    <t>https://www.akg.com/Microphones/Dynamic%20Microphones/D40.html</t>
  </si>
  <si>
    <t>D112 MKII</t>
  </si>
  <si>
    <t>THE FABULOUS EGG for bass drum and bass guitar on stage and in the studio</t>
  </si>
  <si>
    <t>https://www.akg.com/Microphones/Dynamic%20Microphones/D112MkII.html</t>
  </si>
  <si>
    <t>D12 VR</t>
  </si>
  <si>
    <t>Dynamic kick drum microphone with four different sound shapes.</t>
  </si>
  <si>
    <t>https://www.akg.com/Microphones/Dynamic%20Microphones/D12VR.html</t>
  </si>
  <si>
    <t>DRUMSET SESSION 1</t>
  </si>
  <si>
    <t>High-Performance Drum Microphone Set, contains: 1x P2, 2x P17, 4x P4 (the P17 is technically identical to the P170 and is not available as a single unit)</t>
  </si>
  <si>
    <t>https://www.akg.com/Microphones/Drum%20Microphone%20Bundles/DrumsetSessionI.html</t>
  </si>
  <si>
    <t xml:space="preserve">DRUMSET CONCERT 1 </t>
  </si>
  <si>
    <t>High-Performance Drum Microphone Set, contains: 1x D112 MKII, 2x C430, 4x D40, plus all neccessary stand adapters and clamps</t>
  </si>
  <si>
    <t>https://www.akg.com/Microphones/Drum%20Microphone%20Bundles/2581H00160.html</t>
  </si>
  <si>
    <t>DRUMSET PREMIUM</t>
  </si>
  <si>
    <t>incl. 1x D12VR, 2x C214, 1x C451, 4x D40</t>
  </si>
  <si>
    <t>https://www.akg.com/Microphones/Drum%20Microphone%20Bundles/DrumsetPremium.html</t>
  </si>
  <si>
    <t>CM311 XLR - NON ROHS, not for EUROPE</t>
  </si>
  <si>
    <t>Head-Worn Vocal Microphone</t>
  </si>
  <si>
    <t>Light, rugged head-worn mic for presenters with XLR connector</t>
  </si>
  <si>
    <t>https://www.akg.com/Microphones/Headset%20Microphones/6000H50930.html</t>
  </si>
  <si>
    <t>CM311 MINI XLR - NON ROHS, not for EUROPE</t>
  </si>
  <si>
    <t>Light, rugged head-worn mic for presenters, with Mini XLR Connector for AKG PT´s</t>
  </si>
  <si>
    <t>https://www.akg.com/Microphones/Headset%20Microphones/6000H50940.html</t>
  </si>
  <si>
    <t>CM311 W/TA4F - NON ROHS, not for EUROPE</t>
  </si>
  <si>
    <t>Light, rugged head-worn mic for presenters with connector for use Shure bodypack transmitters.</t>
  </si>
  <si>
    <t>https://www.akg.com/Microphones/Headset%20Microphones/6000H50950.html</t>
  </si>
  <si>
    <t>C520</t>
  </si>
  <si>
    <t>Headworn mic for vocals with XLR connector for phantom powering</t>
  </si>
  <si>
    <t>https://www.akg.com/Microphones/Headset%20Microphones/3066X00010.html</t>
  </si>
  <si>
    <t>C520 L</t>
  </si>
  <si>
    <t>Headworn mic for vocals with mini XLR connector for use with B29 L battery operated power supply, MPA V L external phantom power adapter, or AKG WMS bodypack transmitters.</t>
  </si>
  <si>
    <t>https://www.akg.com/Microphones/Headset%20Microphones/3066X00020.html</t>
  </si>
  <si>
    <t>Installed</t>
  </si>
  <si>
    <t>C544 L</t>
  </si>
  <si>
    <t>AT510000</t>
  </si>
  <si>
    <t>Headset</t>
  </si>
  <si>
    <t>Rugged headworn mic for sports use with mini XLR connector for use with B29 L battery operated power supply, MPA V L external phantom power adapter, or AKG WMS bodypack transmitters.</t>
  </si>
  <si>
    <t>https://www.akg.com/Microphones/Headset%20Microphones/2793H00060.html</t>
  </si>
  <si>
    <t>C555 L</t>
  </si>
  <si>
    <t>Light, rugged head-worn mic for presenters with mini XLR connector for use with B29 L battery operated power supply, MPA V L external phantom power adapter, or AKG WMS bodypack transmitters.</t>
  </si>
  <si>
    <t>https://www.akg.com/Microphones/Headset%20Microphones/3066H00100.html</t>
  </si>
  <si>
    <t>C417 L</t>
  </si>
  <si>
    <t>Lavalier Microphone</t>
  </si>
  <si>
    <t>Extremely light, inconspicuous mic, mini XLR-version</t>
  </si>
  <si>
    <t>https://www.akg.com/Microphones/Speech%20%2F%20Spoken%20Word%20Microphones/2577X00080.html</t>
  </si>
  <si>
    <t>C417 PP</t>
  </si>
  <si>
    <t>Extremely light, inconspicuous mic with XLR connector for phantom powering</t>
  </si>
  <si>
    <t>https://www.akg.com/Microphones/Speech%20%2F%20Spoken%20Word%20Microphones/2577X00120.html</t>
  </si>
  <si>
    <t>CK99 L</t>
  </si>
  <si>
    <t>Inconspicuous cardioid clip-on microphone with mini XLR connector. Rugged metal housing.</t>
  </si>
  <si>
    <t>https://www.akg.com/Microphones/Speech%20%2F%20Spoken%20Word%20Microphones/6000H51040.html</t>
  </si>
  <si>
    <t>H85</t>
  </si>
  <si>
    <t>Spider suspension</t>
  </si>
  <si>
    <t>https://www.akg.com/Microphones/Microphone%20Accessories/2803H00080.html</t>
  </si>
  <si>
    <t>Wireless Mics</t>
  </si>
  <si>
    <t>HC644 MD</t>
  </si>
  <si>
    <t>Lapel Microphone</t>
  </si>
  <si>
    <t>HU</t>
  </si>
  <si>
    <t>https://www.akg.com/Microphones/Headset%20Microphones/2793H00100.html</t>
  </si>
  <si>
    <t>LC617 MD BEIGE LAVALIER MICROPHONE</t>
  </si>
  <si>
    <t>LC617 BLK</t>
  </si>
  <si>
    <t>https://www.akg.com/Microphones/Speech%20%2F%20Spoken%20Word%20Microphones/2577X00210.html</t>
  </si>
  <si>
    <t>LC617 MD</t>
  </si>
  <si>
    <t>https://www.akg.com/Microphones/Speech%20%2F%20Spoken%20Word%20Microphones/2577X00200.html</t>
  </si>
  <si>
    <t>LC81MD white</t>
  </si>
  <si>
    <t>https://www.akg.com/Microphones/Speech%20%2F%20Spoken%20Word%20Microphones/LC81MDgroup.html?dwvar_LC81MDgroup_color=Black-GLOBAL-Current#q=lc81md&amp;simplesearch=Go&amp;start=1</t>
  </si>
  <si>
    <t>D</t>
  </si>
  <si>
    <t>LC81MD black</t>
  </si>
  <si>
    <t>LC81MD beige</t>
  </si>
  <si>
    <t>EC82MD beige</t>
  </si>
  <si>
    <t>https://www.akg.com/Microphones/Headset%20Microphones/3242H00030.html</t>
  </si>
  <si>
    <t>EC82MD cocoa</t>
  </si>
  <si>
    <t>https://www.akg.com/Microphones/Headset%20Microphones/3242H00040.html</t>
  </si>
  <si>
    <t>DGN99</t>
  </si>
  <si>
    <t>Gooseneck Microphone</t>
  </si>
  <si>
    <t>PA/Paging gooseneck mic with rugged, all-metal body. No phantom power needed. 3m cable</t>
  </si>
  <si>
    <t>https://www.akg.com/speech-spoken-word-microphones/6000H51010.html</t>
  </si>
  <si>
    <t>DGN99 E</t>
  </si>
  <si>
    <t>PA/Paging gooseneck mic with rugged, all-metal body, XLR connector. No phantom power needed.</t>
  </si>
  <si>
    <t>https://www.akg.com/speech-spoken-word-microphones/6000H51020.html</t>
  </si>
  <si>
    <t>DST99 S</t>
  </si>
  <si>
    <t>Dynamic Microphone</t>
  </si>
  <si>
    <t>Table stand mic with on/off switch, coiled  cable with 3-pin XLR connector. No phantom power needed.</t>
  </si>
  <si>
    <t>https://www.akg.com/speech-spoken-word-microphones/6000H51030.html</t>
  </si>
  <si>
    <t>GN15 incl. DPA, screw set</t>
  </si>
  <si>
    <t>Rugged 15 cm gooseneck for permanent screw-on installation, phantom powering module with XLR connector included</t>
  </si>
  <si>
    <t>TW</t>
  </si>
  <si>
    <t>https://www.akg.com/modular-microphones-components/2765H00010.html</t>
  </si>
  <si>
    <t>GN15 ESP incl. windscreen</t>
  </si>
  <si>
    <t>Rugged 15 cm gooseneck module with programmable mute switch (on/off, push-to-talk, push-to-mute), high RFI immunity, LED ring, XLR connector</t>
  </si>
  <si>
    <t>https://www.akg.com/modular-microphones-components/2765H00450.html</t>
  </si>
  <si>
    <t>GN15 E incl. DPA</t>
  </si>
  <si>
    <t>Rugged 15 cm gooseneck with integrated XLR connector</t>
  </si>
  <si>
    <t>https://www.akg.com/modular-microphones-components/2765H00020.html</t>
  </si>
  <si>
    <t>GN15 M</t>
  </si>
  <si>
    <t>15cm gooseneck module; does not include capsule or powering module.</t>
  </si>
  <si>
    <t>https://www.akg.com/modular-microphones-components/3165H00080.html</t>
  </si>
  <si>
    <t xml:space="preserve">GN30 E 5-pin     </t>
  </si>
  <si>
    <t>Rugged 30 cm gooseneck with integrated 5-pin XLR connector &amp; phantom power adapter, provides 2 additional pins for LED control</t>
  </si>
  <si>
    <t>https://www.akg.com/modular-microphones-components/2765H00400.html</t>
  </si>
  <si>
    <t>GN30 CS</t>
  </si>
  <si>
    <t>Gooseneck module - 30 cm; for use with CS5 conferencing systems</t>
  </si>
  <si>
    <t>https://www.akg.com/modular-microphones-components/GN30.html?dwvar_GN30_color=Grey-GLOBAL-Current</t>
  </si>
  <si>
    <t>B1</t>
  </si>
  <si>
    <t>GN30 M</t>
  </si>
  <si>
    <t>30cm gooseneck module; does not include capsule or powering module.</t>
  </si>
  <si>
    <t>https://www.akg.com/modular-microphones-components/3165H00090.html</t>
  </si>
  <si>
    <t>GN30 ESP incl. windscreen</t>
  </si>
  <si>
    <t>Rugged 30 cm gooseneck module, programmable mute switch (on/off, push-to-talk, push-to-mute), high RFI immunity, LED ring, XLR connector</t>
  </si>
  <si>
    <t>https://www.akg.com/modular-microphones-components/2765H00460.html</t>
  </si>
  <si>
    <t>GN30 incl. DPA,  screw set</t>
  </si>
  <si>
    <t>Rugged 30 cm gooseneck for permanent screw-on installation, phantom powering module with XLR connector included</t>
  </si>
  <si>
    <t>https://www.akg.com/modular-microphones-components/2765H00030.html</t>
  </si>
  <si>
    <t>GN30 E incl. DPA</t>
  </si>
  <si>
    <t>Rugged 30 cm gooseneck with integrated XLR  connector</t>
  </si>
  <si>
    <t>https://www.akg.com/modular-microphones-components/2765H00040.html</t>
  </si>
  <si>
    <t>GN50 incl. DPA, screw set</t>
  </si>
  <si>
    <t>Rugged 50 cm gooseneck for permanent screw-on installation, phantom powering module with XLR connector included</t>
  </si>
  <si>
    <t>https://www.akg.com/modular-microphones-components/2765H00080.html</t>
  </si>
  <si>
    <t>GN50 E incl. DPA</t>
  </si>
  <si>
    <t>Rugged 50 cm gooseneck with integrated XLR connector</t>
  </si>
  <si>
    <t>https://www.akg.com/modular-microphones-components/2765H00090.html</t>
  </si>
  <si>
    <t>GN50 CS</t>
  </si>
  <si>
    <t>Gooseneck module - 50 cm; for use with CS5 conferencing systems</t>
  </si>
  <si>
    <t>https://www.akg.com/modular-microphones-components/GN50.html?dwvar_GN50_color=Grey-GLOBAL-Current</t>
  </si>
  <si>
    <t xml:space="preserve">GN50 E 5-pin     </t>
  </si>
  <si>
    <t>Rugged 50 cm gooseneck with integrated 5-pin XLR connector &amp; phantom power adapter, provides 2 additional pins for LED control</t>
  </si>
  <si>
    <t>https://www.akg.com/modular-microphones-components/2765H00410.html</t>
  </si>
  <si>
    <t>GN50 ESP incl. windscreen</t>
  </si>
  <si>
    <t>Rugged 50 cm gooseneck module, programmable mute switch (on/off, push-to-talk, push-to-mute),high RFI immunity, LED ring, XLR connector</t>
  </si>
  <si>
    <t>https://www.akg.com/modular-microphones-components/2765H00470.html</t>
  </si>
  <si>
    <t>GN50 M</t>
  </si>
  <si>
    <t>50cm gooseneck module; does not include capsule or powering module.</t>
  </si>
  <si>
    <t>https://www.akg.com/modular-microphones-components/3165H00100.html</t>
  </si>
  <si>
    <t>CGN99 C/S</t>
  </si>
  <si>
    <t>Cardioid condenser microphone on 30cm Gooseneck, phantom powering module with XLR connector included</t>
  </si>
  <si>
    <t>https://www.akg.com/Microphones/modular-microphones-components/2965H00110.html</t>
  </si>
  <si>
    <t>CGN99 C/L</t>
  </si>
  <si>
    <t>Cardioid condensermicrophone on 50cm Gooseneck, phantom powering module with XLR connector included</t>
  </si>
  <si>
    <t>https://www.akg.com/Microphones/modular-microphones-components/2965H00130.html</t>
  </si>
  <si>
    <t>CGN99 H/S</t>
  </si>
  <si>
    <t>Hypercardioid condenser microphone on 30cm gooseneck, phantom powering module with XLR connector included</t>
  </si>
  <si>
    <t>https://www.akg.com/Microphones/modular-microphones-components/2965X00120.html</t>
  </si>
  <si>
    <t>CGN99 H/L</t>
  </si>
  <si>
    <t>Hypercardioid condenser microphone on 50cm gooseneck, phantom powering module with XLR connector included</t>
  </si>
  <si>
    <t>https://www.akg.com/Microphones/modular-microphones-components/2965X00140.html</t>
  </si>
  <si>
    <t>GN155 Set</t>
  </si>
  <si>
    <t>Elegant floor stand, rugged all-metal gooseneck module, XLR connector on a 10m cable</t>
  </si>
  <si>
    <t>https://www.akg.com/Microphones/modular-microphones-components/2765H00180.html</t>
  </si>
  <si>
    <t>CGN331E</t>
  </si>
  <si>
    <t>DAM Set, consisting of CK31, W30, GN30E</t>
  </si>
  <si>
    <t>https://www.akg.com/Microphones/Speech%20%2F%20Spoken%20Word%20Microphones/2765H00500.html</t>
  </si>
  <si>
    <t>CGN341E DAM+ SET</t>
  </si>
  <si>
    <t>DAM+ Set, consisting of CK41, W40M, GN30M, PAEM</t>
  </si>
  <si>
    <t>https://www.akg.com/Microphones/Speech%20%2F%20Spoken%20Word%20Microphones/3165H00500.html</t>
  </si>
  <si>
    <t>CGN321STS</t>
  </si>
  <si>
    <t>Tabletop</t>
  </si>
  <si>
    <t>Professional tabletop microphone set</t>
  </si>
  <si>
    <t>PH</t>
  </si>
  <si>
    <t>https://www.akg.com/Microphones/Speech%20%2F%20Spoken%20Word%20Microphones/2966H00010.html</t>
  </si>
  <si>
    <t>CGN521STS</t>
  </si>
  <si>
    <t>https://www.akg.com/Microphones/Speech%20%2F%20Spoken%20Word%20Microphones/2966H00020.html</t>
  </si>
  <si>
    <t>STS DAM+</t>
  </si>
  <si>
    <t>Professional Tabletop Stand for use with DAM+ modules and derivates; for use with GN15/30/50 M goosenecks only.</t>
  </si>
  <si>
    <t>https://www.akg.com/Microphones/Microphone%20Accessories/2966H00030.html</t>
  </si>
  <si>
    <t xml:space="preserve">OS OEM FG MIC </t>
  </si>
  <si>
    <t>STS DAM+ WL</t>
  </si>
  <si>
    <t>https://www.akg.com/Microphones/Microphone%20Accessories/2967H00020.html</t>
  </si>
  <si>
    <t>X</t>
  </si>
  <si>
    <t>ST6</t>
  </si>
  <si>
    <t>Professional Tabletop Stand for use with all 3 pin XLR microphones</t>
  </si>
  <si>
    <t>https://www.akg.com/Microphones/Microphone%20Accessories/2966H00040.html</t>
  </si>
  <si>
    <t>CK31</t>
  </si>
  <si>
    <t>Capsule</t>
  </si>
  <si>
    <t>Screw-on cardioid microphone capsule module, only for GN / HM modules, W30 windscreen included</t>
  </si>
  <si>
    <t>https://www.akg.com/Microphones/Microphone%20Accessories/2765H00200.html</t>
  </si>
  <si>
    <t>CK33</t>
  </si>
  <si>
    <t>Screw-on hypercardioid microphone capsule module, only for GN / HM modules, W30 windscreen included</t>
  </si>
  <si>
    <t>https://www.akg.com/Microphones/Microphone%20Accessories/2765X00220.html</t>
  </si>
  <si>
    <t>CK80</t>
  </si>
  <si>
    <t>Screw-on hypercardioid shotgun microphone capsule module, speech optimized, only for GN / HM modules, W80 windscreen included</t>
  </si>
  <si>
    <t>SK</t>
  </si>
  <si>
    <t>https://www.akg.com/Microphones/Microphone%20Accessories/2765Z00240.html</t>
  </si>
  <si>
    <t>CK41</t>
  </si>
  <si>
    <t>Cardioid Capsule with foam windscreen W40</t>
  </si>
  <si>
    <t>https://www.akg.com/Microphones/Microphone%20Accessories/3165H00010.html</t>
  </si>
  <si>
    <t xml:space="preserve">CK49 </t>
  </si>
  <si>
    <t>CK49 HYPERCARDIOID CAPSULE</t>
  </si>
  <si>
    <t>https://www.akg.com/Microphones/Microphone%20Accessories/3165H00030.html</t>
  </si>
  <si>
    <t>W30</t>
  </si>
  <si>
    <t>Foam windscreen for CK31, CK32, CK33</t>
  </si>
  <si>
    <t>JP</t>
  </si>
  <si>
    <t>https://www.akg.com/Microphones/Microphone%20Accessories/2765H00300.html</t>
  </si>
  <si>
    <t xml:space="preserve">W82 black foam 10pack </t>
  </si>
  <si>
    <t>foam windscreen 10 pack</t>
  </si>
  <si>
    <t>https://www.akg.com/support-product-detail.html#prod=W82group</t>
  </si>
  <si>
    <t>W40 M</t>
  </si>
  <si>
    <t>Installed Accessories</t>
  </si>
  <si>
    <t>Dual layer wiremesh windscreen for CK41 and CK43</t>
  </si>
  <si>
    <t>https://www.akg.com/Microphones/Microphone%20Accessories/3165H00290.html</t>
  </si>
  <si>
    <t>MF M</t>
  </si>
  <si>
    <t>Flush Mount Module with cover; for DAM+ PAE powering module</t>
  </si>
  <si>
    <t>http://www.akg.com/pro/p/mfmcatalog</t>
  </si>
  <si>
    <t>H600</t>
  </si>
  <si>
    <t>Elastic shock mount unit for all Discreet Acoustics GN modules</t>
  </si>
  <si>
    <t>https://www.akg.com/Microphones/Microphone%20Accessories/2426X00030.html</t>
  </si>
  <si>
    <t>PAE M</t>
  </si>
  <si>
    <t>Phantompower adapter - 3pinXLR</t>
  </si>
  <si>
    <t>https://www.akg.com/Microphones/Microphone%20Accessories/3165H00150.html</t>
  </si>
  <si>
    <t>PAE5 M</t>
  </si>
  <si>
    <t>Phantompower adapter - 5pinXLR</t>
  </si>
  <si>
    <t>https://www.akg.com/Microphones/Microphone%20Accessories/3165H00160.html</t>
  </si>
  <si>
    <t>PAESP M</t>
  </si>
  <si>
    <t>Phantompower adapter - programmable switch 3pinXLR</t>
  </si>
  <si>
    <t>https://www.akg.com/Microphones/Microphone%20Accessories/3165H00170.html</t>
  </si>
  <si>
    <t>CS3EC002</t>
  </si>
  <si>
    <t>AT510060</t>
  </si>
  <si>
    <t>Limited Quantity</t>
  </si>
  <si>
    <t>Conference System Equipment</t>
  </si>
  <si>
    <t>CS3 2 meter cable</t>
  </si>
  <si>
    <t>https://www.akg.com/cs3-system.html?dwvar_CS3System_color=Black-GLOBAL-Current#q=cs3&amp;simplesearch=Go&amp;start=1</t>
  </si>
  <si>
    <t>PS 3 F-LOCK</t>
  </si>
  <si>
    <t>Spare parts</t>
  </si>
  <si>
    <t>Lockable panel-mount XLR connector for goosenecks with integrated 3-pin XLR connector</t>
  </si>
  <si>
    <t>HM1000</t>
  </si>
  <si>
    <t>Hanging module with 10 m non twisting cable and inline phantom power adapter, hanging clamp included</t>
  </si>
  <si>
    <t>https://www.akg.com/Microphones/modular-microphones-components/2765H00100.html</t>
  </si>
  <si>
    <t>HM1000 M</t>
  </si>
  <si>
    <t>Hanging module with 10m system cable; does not include capsule or powering module.</t>
  </si>
  <si>
    <t>https://www.akg.com/Microphones/modular-microphones-components/3165H00250.html</t>
  </si>
  <si>
    <t>C562 CM</t>
  </si>
  <si>
    <t>Boundary Layer Microphone</t>
  </si>
  <si>
    <t>Small, low-profile mic, for surveillance or recording, XLR connector</t>
  </si>
  <si>
    <t>https://www.akg.com/Microphones/Boundary%20Layer%20Microphones/2262X00030.html</t>
  </si>
  <si>
    <t>CBL410 PCC black</t>
  </si>
  <si>
    <t>Plug and play desktop microphone for use with PC or laptop. For conferences via VOIP. Cascadable. Colour: black</t>
  </si>
  <si>
    <t>https://www.akg.com/Microphones/Boundary%20Layer%20Microphones/3177H00010.html</t>
  </si>
  <si>
    <t>CBL410 PCC white</t>
  </si>
  <si>
    <t>Plug and play desktop microphone for use with PC or laptop. For conferences via VOIP. Cascadable. Colour: white</t>
  </si>
  <si>
    <t>https://www.akg.com/Microphones/Boundary%20Layer%20Microphones/3177H00020.html</t>
  </si>
  <si>
    <t xml:space="preserve">CBL301B </t>
  </si>
  <si>
    <t>Triple element boundary layer microphone for conferencing applications</t>
  </si>
  <si>
    <t>https://www.akg.com/Microphones/Boundary%20Layer%20Microphones/5095183-00-LS.html</t>
  </si>
  <si>
    <t xml:space="preserve">CBL201B </t>
  </si>
  <si>
    <t>Dual element boundary layer microphone for conferencing applications</t>
  </si>
  <si>
    <t>https://www.akg.com/Microphones/Boundary%20Layer%20Microphones/CBL201.html?dwvar_CBL201_color=Black-GLOBAL-Current#q=5095184-00&amp;start=1</t>
  </si>
  <si>
    <t>PZM6 D</t>
  </si>
  <si>
    <t>AT510041</t>
  </si>
  <si>
    <t>Crown Microphone</t>
  </si>
  <si>
    <t>First-class boundary layer microphone, smaller version of PZM30D, ideal for speen &amp; music recording, XLR version</t>
  </si>
  <si>
    <t>https://www.akg.com/Microphones/Boundary%20Layer%20Microphones/3322H00010.html</t>
  </si>
  <si>
    <t>PZM10</t>
  </si>
  <si>
    <t>Low profile boundary layer microphone</t>
  </si>
  <si>
    <t>https://www.akg.com/Microphones/Boundary%20Layer%20Microphones/3328H00010.html</t>
  </si>
  <si>
    <t>PZM10 LL</t>
  </si>
  <si>
    <t>Low profile boundary layer microphone, Line level version</t>
  </si>
  <si>
    <t>https://www.akg.com/Microphones/Boundary%20Layer%20Microphones/3327H00010.html</t>
  </si>
  <si>
    <t>PZM11</t>
  </si>
  <si>
    <t>Cost-effective boundary layer microphone</t>
  </si>
  <si>
    <t>https://www.akg.com/Microphones/Boundary%20Layer%20Microphones/3326H00010.html</t>
  </si>
  <si>
    <t>PZM11 LL</t>
  </si>
  <si>
    <t>Cost-effective boundary layer microphon, line level version</t>
  </si>
  <si>
    <t>https://www.akg.com/Microphones/Boundary%20Layer%20Microphones/3340H00010.html</t>
  </si>
  <si>
    <t>PZM11 LL WR</t>
  </si>
  <si>
    <t>Cost-effective boundary layer microphon, line level versio, water-resistant version</t>
  </si>
  <si>
    <t>https://www.akg.com/Microphones/Boundary%20Layer%20Microphones/3325H00010.html</t>
  </si>
  <si>
    <t>PZM30 D</t>
  </si>
  <si>
    <t>First-class boundary layer microphone, ideal for speen &amp; music recording, XLR version</t>
  </si>
  <si>
    <t>https://www.akg.com/Microphones/Boundary%20Layer%20Microphones/3323H00010.html</t>
  </si>
  <si>
    <t>PCC130</t>
  </si>
  <si>
    <t>Low profile boundary layer mic, XLR version</t>
  </si>
  <si>
    <t>https://www.akg.com/Microphones/Boundary%20Layer%20Microphones/3334H00010.html</t>
  </si>
  <si>
    <t>PCC130 SW</t>
  </si>
  <si>
    <t>Low profile boundary layer mic, XLR version, with switch</t>
  </si>
  <si>
    <t>https://www.akg.com/Microphones/Boundary%20Layer%20Microphones/3333H00010.html</t>
  </si>
  <si>
    <t>PCC160</t>
  </si>
  <si>
    <t>The industry-standard stage-floor microphone.</t>
  </si>
  <si>
    <t>https://www.akg.com/Microphones/Boundary%20Layer%20Microphones/3332H00010.html</t>
  </si>
  <si>
    <t>PCC170</t>
  </si>
  <si>
    <t>Surface-mount supercardioid boundary layer mic, XLR version</t>
  </si>
  <si>
    <t>https://www.akg.com/Microphones/Boundary%20Layer%20Microphones/3331H00010.html</t>
  </si>
  <si>
    <t>PCC170 SW O</t>
  </si>
  <si>
    <t>Surface-mount supercardioid boundary layer mic, XLR versio, with remote sensing switch</t>
  </si>
  <si>
    <t>https://www.akg.com/Microphones/Boundary%20Layer%20Microphones/3329H00010.html</t>
  </si>
  <si>
    <t>PCC170 SW</t>
  </si>
  <si>
    <t>Surface-mount supercardioid boundary layer mic, XLR version, with switch</t>
  </si>
  <si>
    <t>https://www.akg.com/Microphones/Boundary%20Layer%20Microphones/3330H00010.html</t>
  </si>
  <si>
    <t>CHM99 black</t>
  </si>
  <si>
    <t>Conference Microphone</t>
  </si>
  <si>
    <t>Hanging module with 10m non twisting cable and inline phantom power adapter</t>
  </si>
  <si>
    <t>https://www.akg.com/Microphones/Speech%20%2F%20Spoken%20Word%20Microphones/2965H00150.html</t>
  </si>
  <si>
    <t>CHM99 white</t>
  </si>
  <si>
    <t>Hanging module with 10 m non twisting cable and inline phantom power adapter</t>
  </si>
  <si>
    <t>https://www.akg.com/Microphones/Speech%20%2F%20Spoken%20Word%20Microphones/2965H00160.html</t>
  </si>
  <si>
    <t>C111 LP</t>
  </si>
  <si>
    <t>Lightweight Ear Hook Microphone</t>
  </si>
  <si>
    <t>https://www.akg.com/Microphones/Headset%20Microphones/6500H00030.html</t>
  </si>
  <si>
    <t>CSX IRR10</t>
  </si>
  <si>
    <t>IR receiver 10 channel</t>
  </si>
  <si>
    <t>https://www.akg.com/Integrated_Systems/conference-system-components/6500H00150.html</t>
  </si>
  <si>
    <t>CSX BIR10</t>
  </si>
  <si>
    <t>Breakout box and IR base unit</t>
  </si>
  <si>
    <t>https://www.akg.com/Integrated_Systems/conference-system-components/6500H00160.html</t>
  </si>
  <si>
    <t>CSX CU50</t>
  </si>
  <si>
    <t>Charging Station for 50x IRR10</t>
  </si>
  <si>
    <t>https://www.akg.com/Integrated_Systems/conference-system-components/6500H00170.html</t>
  </si>
  <si>
    <t>CS3 TROLLEY</t>
  </si>
  <si>
    <t>including CS3 BU, CS3 DU 30, CS3 CU 30, Trolley</t>
  </si>
  <si>
    <t>see single components</t>
  </si>
  <si>
    <t>CSX IRT3</t>
  </si>
  <si>
    <t>IR radiator spot</t>
  </si>
  <si>
    <t>https://www.akg.com/Integrated_Systems/conference-system-components/6500H00210.html</t>
  </si>
  <si>
    <t>CS3EC005</t>
  </si>
  <si>
    <t>CS3 5 meter cable</t>
  </si>
  <si>
    <t>CS3TC</t>
  </si>
  <si>
    <t>CS3 T connector</t>
  </si>
  <si>
    <t>https://www.akg.com/Integrated_Systems/conference-system-components/CS3TC.html?dwvar_CS3TC_color=Black-GLOBAL-Current</t>
  </si>
  <si>
    <t>CS3EC020</t>
  </si>
  <si>
    <t>CS3 20 meter cable</t>
  </si>
  <si>
    <t>CS3EC050</t>
  </si>
  <si>
    <t>CS3 50 meter cable</t>
  </si>
  <si>
    <t>CS3EC100</t>
  </si>
  <si>
    <t>CS3 100 meter cable</t>
  </si>
  <si>
    <t>CS3ECT002</t>
  </si>
  <si>
    <t>CS3 2 meter cable with T connector</t>
  </si>
  <si>
    <t>CS3ECT005</t>
  </si>
  <si>
    <t>CS3 5 meter cable with T connector</t>
  </si>
  <si>
    <t>CS3LC</t>
  </si>
  <si>
    <t>CS3 connector</t>
  </si>
  <si>
    <t xml:space="preserve">MDA3 SEN2 </t>
  </si>
  <si>
    <t>adapter connector Sennheiser Jack</t>
  </si>
  <si>
    <t>https://www.akg.com/Microphones/Microphone%20Accessories/6500H00310.html</t>
  </si>
  <si>
    <t>CS3 DU 30</t>
  </si>
  <si>
    <t>Delegate Unit with 30cm/12in gooseneck</t>
  </si>
  <si>
    <t>https://www.akg.com/Integrated_Systems/conference-system-components/3361H00210.html</t>
  </si>
  <si>
    <t>CS3 CU 30</t>
  </si>
  <si>
    <t>Chairman Unit with 30cm/12in gooseneck</t>
  </si>
  <si>
    <t>https://www.akg.com/Integrated_Systems/conference-system-components/3361H00220.html</t>
  </si>
  <si>
    <t>CS3 DU 50</t>
  </si>
  <si>
    <t>Delegate Unit with 50cm/20in gooseneck</t>
  </si>
  <si>
    <t>https://www.akg.com/Integrated_Systems/conference-system-components/3361H00230.html</t>
  </si>
  <si>
    <t>CS3 CU 50</t>
  </si>
  <si>
    <t>Chairman Unit with 50cm/20in gooseneck</t>
  </si>
  <si>
    <t>https://www.akg.com/Integrated_Systems/conference-system-components/3361H00240.html</t>
  </si>
  <si>
    <t>CS3 BU</t>
  </si>
  <si>
    <t>Base Unit</t>
  </si>
  <si>
    <t>https://www.akg.com/Integrated_Systems/conference-system-components/3361H00250.html</t>
  </si>
  <si>
    <t>CS321</t>
  </si>
  <si>
    <t>High-performance condenser gooseneck microphone</t>
  </si>
  <si>
    <t>https://www.akg.com/Integrated_Systems/conference-system-components/3361H00340.html</t>
  </si>
  <si>
    <t>CSX IRT4</t>
  </si>
  <si>
    <t>IR radiator flood</t>
  </si>
  <si>
    <t>https://www.akg.com/Integrated_Systems/conference-system-components/6500H00220.html</t>
  </si>
  <si>
    <t>IS products</t>
  </si>
  <si>
    <t>LC82MD beige</t>
  </si>
  <si>
    <t>Lavalier Omni</t>
  </si>
  <si>
    <t>https://www.akg.com/Microphones/Speech%20%2F%20Spoken%20Word%20Microphones/3241H00050.html</t>
  </si>
  <si>
    <t xml:space="preserve">MDA1 AKG </t>
  </si>
  <si>
    <t>adapter connector AKG</t>
  </si>
  <si>
    <t>https://www.akg.com/Microphones/Microphone%20Accessories/6500H00290.html</t>
  </si>
  <si>
    <t xml:space="preserve">MDA4 SHU </t>
  </si>
  <si>
    <t>adapter connector SHURE</t>
  </si>
  <si>
    <t>https://www.akg.com/Microphones/Microphone%20Accessories/6500H00320.html</t>
  </si>
  <si>
    <t xml:space="preserve">MDA5 AT </t>
  </si>
  <si>
    <t>adapter connector AudioTechnica</t>
  </si>
  <si>
    <t>https://www.akg.com/Microphones/Microphone%20Accessories/6500H00330.html</t>
  </si>
  <si>
    <t xml:space="preserve">MDA6 BD </t>
  </si>
  <si>
    <t>adapter connector Beyerdynamic</t>
  </si>
  <si>
    <t>https://www.akg.com/Microphones/Microphone%20Accessories/6500H00340.html</t>
  </si>
  <si>
    <t xml:space="preserve">MDA7 LEC </t>
  </si>
  <si>
    <t>adapter connector Lectrosonic</t>
  </si>
  <si>
    <t>https://www.akg.com/Microphones/Microphone%20Accessories/6500H00350.html</t>
  </si>
  <si>
    <t xml:space="preserve">H3 croco cable clip black 5 pack </t>
  </si>
  <si>
    <t>cable clip, black-5 pcs</t>
  </si>
  <si>
    <t xml:space="preserve">MDPA Phantom Power adapter </t>
  </si>
  <si>
    <t>phantom power adapter XLR</t>
  </si>
  <si>
    <t>https://www.akg.com/Microphones/Microphone%20Accessories/6500H00360.html</t>
  </si>
  <si>
    <t xml:space="preserve">H1 magnet clip black 5 pack </t>
  </si>
  <si>
    <t>magnet clip black -5 pcs</t>
  </si>
  <si>
    <t>https://www.akg.com/Microphones/Microphone%20Accessories/6500H00370.html</t>
  </si>
  <si>
    <t xml:space="preserve">H1 magnet clip white 5 pack </t>
  </si>
  <si>
    <t>magnet clip, white-5 pcs</t>
  </si>
  <si>
    <t>https://www.akg.com/Microphones/Microphone%20Accessories/6500H00380.html</t>
  </si>
  <si>
    <t xml:space="preserve">H2 croco clip black 5 pack </t>
  </si>
  <si>
    <t>mic clip, black-5 pcs</t>
  </si>
  <si>
    <t>https://www.akg.com/Microphones/Microphone%20Accessories/6500H00390.html</t>
  </si>
  <si>
    <t xml:space="preserve">H2 croco clip white 5 pack </t>
  </si>
  <si>
    <t>mic clip, white-5 pcs</t>
  </si>
  <si>
    <t>https://www.akg.com/Microphones/Microphone%20Accessories/6500H00400.html</t>
  </si>
  <si>
    <t>MUP82 10 pack</t>
  </si>
  <si>
    <t>make up protector 10 pack</t>
  </si>
  <si>
    <t>https://www.akg.com/Microphones/Microphone%20Accessories/6500H00580.html</t>
  </si>
  <si>
    <t xml:space="preserve">MUP81 10 pack </t>
  </si>
  <si>
    <t>https://www.akg.com/Microphones/Microphone%20Accessories/6500H00590.html</t>
  </si>
  <si>
    <t>RMU40 PRO UPGRADE ***</t>
  </si>
  <si>
    <t>AT610000</t>
  </si>
  <si>
    <t>Rack mount kit for Perception Wireless 45, 450, 470, DMS70 Dual (DSR70 Q receiver has its own rack-brackets included)</t>
  </si>
  <si>
    <t>https://www.akg.com/Wireless/Wireless%20Accessories/RMU40pro.html?dwvar_RMU40pro_color=Black-GLOBAL-Current#q=7615H06050&amp;start=1</t>
  </si>
  <si>
    <t>MK HS MiniJack</t>
  </si>
  <si>
    <t>AT210030</t>
  </si>
  <si>
    <t>Cable</t>
  </si>
  <si>
    <t>Headset cable for PC, Conferencing (1/8"mini jack, 1/8"mini jack)</t>
  </si>
  <si>
    <t>https://www.akg.com/Headphones/Headphone-Accessories/2955H00480.html</t>
  </si>
  <si>
    <t>SA60</t>
  </si>
  <si>
    <t>AT410090</t>
  </si>
  <si>
    <t>Stand adapter for straight shaft mics &amp; GN*E*</t>
  </si>
  <si>
    <t>https://www.akg.com/Microphones/Microphone%20Accessories/6000H60010.html</t>
  </si>
  <si>
    <t>SA63</t>
  </si>
  <si>
    <t>Stand adapter for C 1000 S incl. LED and/or WMS handheld transmitters</t>
  </si>
  <si>
    <t>https://www.akg.com/Microphones/Microphone%20Accessories/6000H63010.html</t>
  </si>
  <si>
    <t>H50</t>
  </si>
  <si>
    <t>AT210090</t>
  </si>
  <si>
    <t>Stereo bar</t>
  </si>
  <si>
    <t>DE</t>
  </si>
  <si>
    <t>https://www.akg.com/Microphones/Microphone%20Accessories/6000H05710.html</t>
  </si>
  <si>
    <t>EK300</t>
  </si>
  <si>
    <t>AT110090</t>
  </si>
  <si>
    <t>Standard 3 m (10 ft.) cable mini XLR/mini jack (1/8")</t>
  </si>
  <si>
    <t>https://www.akg.com/Headphones/Headphone-Accessories/6000H10080.html</t>
  </si>
  <si>
    <t>W81 white foam 10 pack</t>
  </si>
  <si>
    <t>https://www.akg.com/support-product-detail.html#prod=W81group</t>
  </si>
  <si>
    <t xml:space="preserve">W82 cocoa foam 10 pack </t>
  </si>
  <si>
    <t>https://www.akg.com/Microphones/Microphone%20Accessories/6500H00450.html</t>
  </si>
  <si>
    <t xml:space="preserve">W81 black foam 10 pack </t>
  </si>
  <si>
    <t>https://www.akg.com/Microphones/Microphone%20Accessories/6500H00460.html</t>
  </si>
  <si>
    <t xml:space="preserve">WM81 black wiremesh 5 pack </t>
  </si>
  <si>
    <t>wiremesh cap 5 pack</t>
  </si>
  <si>
    <t>https://www.akg.com/support-product-detail.html#prod=WM81group</t>
  </si>
  <si>
    <t xml:space="preserve">WM81 white wiremesh 5 pack </t>
  </si>
  <si>
    <t>https://www.akg.com/Microphones/Microphone%20Accessories/6500H00550.html</t>
  </si>
  <si>
    <t xml:space="preserve">WM81 beige wiremesh 5 pack </t>
  </si>
  <si>
    <t>https://www.akg.com/Microphones/Microphone%20Accessories/6500H00560.html</t>
  </si>
  <si>
    <t xml:space="preserve">WM81 cocoa wiremesh 5 pack </t>
  </si>
  <si>
    <t>https://www.akg.com/Microphones/Microphone%20Accessories/6500H00570.html</t>
  </si>
  <si>
    <t xml:space="preserve">W81 beige foam 10 pack </t>
  </si>
  <si>
    <t>https://www.akg.com/Microphones/Microphone%20Accessories/6500H00470.html</t>
  </si>
  <si>
    <t xml:space="preserve">W82 white foam 10 pack </t>
  </si>
  <si>
    <t>https://www.akg.com/Microphones/Microphone%20Accessories/6500H00480.html</t>
  </si>
  <si>
    <t>Microlite Demo Kit</t>
  </si>
  <si>
    <t>AT900000</t>
  </si>
  <si>
    <t>https://www.akg.com/microlite-series.html</t>
  </si>
  <si>
    <t>SR45 BD A</t>
  </si>
  <si>
    <t>Wireless Microphone System 45</t>
  </si>
  <si>
    <t>Receiver, Perception Wireless 45 single component</t>
  </si>
  <si>
    <t>https://www.akg.com/Wireless/wireless-components/3245H00010.html</t>
  </si>
  <si>
    <t>HT45 BD A</t>
  </si>
  <si>
    <t>Handheld transmitter - Perception Wireless 45 single component, SA45 included</t>
  </si>
  <si>
    <t>https://www.akg.com/Wireless/wireless-components/3246H00010.html</t>
  </si>
  <si>
    <t>PT45 BD A</t>
  </si>
  <si>
    <t>Pocket transmitter, Perception Wireless 45 single component</t>
  </si>
  <si>
    <t>https://www.akg.com/Wireless/wireless-components/3247H00010.html</t>
  </si>
  <si>
    <t>Perception Wireless 45 Sports Set BD A</t>
  </si>
  <si>
    <t xml:space="preserve">Frequency agile wireless microphone system including SR45 Stationary Receiver, PT45 Pocket Transmitter, SMPS Switched Mode Power Supply (EU/US/UK), C544L Headworn Microphone, 1 AA Battery </t>
  </si>
  <si>
    <t>https://www.akg.com/Wireless/wireless-components/3248X00010.html</t>
  </si>
  <si>
    <t>Perception Wireless 45 Pres Set BD A</t>
  </si>
  <si>
    <t xml:space="preserve">Frequency agile wireless microphone system including SR45 Stationary Receiver, PT45 Pocket Transmitter, SMPS Switched Mode Power Supply (EU/US/UK), CK99 Lavalier Microphone, 1 AA Battery </t>
  </si>
  <si>
    <t>https://www.akg.com/Wireless/wireless-components/3249H00010.html</t>
  </si>
  <si>
    <t>Perception Wireless 45 Instr Set BD A</t>
  </si>
  <si>
    <t>Frequency agile wireless microphone system including SR45 Stationary Receiver, PT45 Pocket Transmitter, SMPS Switched Mode Power Supply (EU/US/UK), Instrument Cable, 1 AA Battery</t>
  </si>
  <si>
    <t>https://www.akg.com/Microphones/perception-series-microphones/3250H00010.html</t>
  </si>
  <si>
    <t>Perception Wireless 45 Vocal Set BD A</t>
  </si>
  <si>
    <t xml:space="preserve">Frequency agile wireless microphone system including SR45 Stationary Receiver, HT45 Handheld Transmitter, SMPS Switched Mode Power Supply (EU/US/UK), Stand Adapter, 1 AA Battery </t>
  </si>
  <si>
    <t>https://www.akg.com/Wireless/wireless-components/3251H00010.html</t>
  </si>
  <si>
    <t>Wireless mics</t>
  </si>
  <si>
    <t xml:space="preserve">WMS40MINI Vocal Set BD US25A </t>
  </si>
  <si>
    <t>Wireless Microphone System 40 Mini</t>
  </si>
  <si>
    <t>Plug &amp; play wireless microphone system, including SR40 mini single channel receiver, 1x HT40 mini handheld transmitter, SMPS switched mode power supply (EU/US/UK/AU), 1x AA battery</t>
  </si>
  <si>
    <t>9002761038972</t>
  </si>
  <si>
    <t>https://www.akg.com/wireless/microfones-wireless/3347X00110.html</t>
  </si>
  <si>
    <t xml:space="preserve">WMS40MINI Vocal Set BD US25B </t>
  </si>
  <si>
    <t>9002761038989</t>
  </si>
  <si>
    <t>https://www.akg.com/wireless/microfones-wireless/3347X00120.html</t>
  </si>
  <si>
    <t xml:space="preserve">WMS40MINI Vocal Set BD US25C </t>
  </si>
  <si>
    <t>9002761038996</t>
  </si>
  <si>
    <t>https://www.akg.com/wireless/microfones-wireless/3347X00130.html</t>
  </si>
  <si>
    <t xml:space="preserve">WMS40MINI Vocal Set BD US25D </t>
  </si>
  <si>
    <t>9002761039009</t>
  </si>
  <si>
    <t>https://www.akg.com/Wireless/wireless-components/3347X00140.html</t>
  </si>
  <si>
    <t xml:space="preserve">WMS40MINI Instrumental Set BD US25A </t>
  </si>
  <si>
    <t>Plug &amp; play wireless microphone system, including SR40 mini single channel receiver, 1x PT40 mini pocket transmitter, 1x instrument cable, SMPS switched mode power supply (EU/US/UK/AU), 1x AA batteries</t>
  </si>
  <si>
    <t>9002761038934</t>
  </si>
  <si>
    <t>https://www.akg.com/wireless/microfones-wireless/3348H00110.html</t>
  </si>
  <si>
    <t xml:space="preserve">WMS40MINI Instrumetnal Set BD US25B </t>
  </si>
  <si>
    <t>9002761038941</t>
  </si>
  <si>
    <t>https://www.akg.com/Wireless/wireless-components/3348H00120.html</t>
  </si>
  <si>
    <t xml:space="preserve">WMS40MINI Instrumental Set BD US25C </t>
  </si>
  <si>
    <t>9002761038958</t>
  </si>
  <si>
    <t>https://www.akg.com/Wireless/wireless-components/3348H00130.html</t>
  </si>
  <si>
    <t xml:space="preserve">WMS40MINI Instrumental Set BD US25D </t>
  </si>
  <si>
    <t>9002761038965</t>
  </si>
  <si>
    <t>https://www.akg.com/Wireless/wireless-components/3348H00140.html</t>
  </si>
  <si>
    <t xml:space="preserve">MINI2VOC-US25A/C </t>
  </si>
  <si>
    <t>Wireless Microphone System 40 Mini2</t>
  </si>
  <si>
    <t>Plug &amp; play wireless microphone system, including SR40 mini2 dual channel receiver, 2x HT40 mini handheld transmitters, SMPS switched mode power supply (EU/US/UK/AU), 2x AA batteries</t>
  </si>
  <si>
    <t>9002761038910</t>
  </si>
  <si>
    <t>https://www.akg.com/Wireless/wireless-components/3350X00050.html</t>
  </si>
  <si>
    <t>WMS40MINI2 VOC-SET US25B/D</t>
  </si>
  <si>
    <t>9002761038927</t>
  </si>
  <si>
    <t>https://www.akg.com/Wireless/wireless-components/3350X00060.html</t>
  </si>
  <si>
    <t>MINI2INSTR-US25AB</t>
  </si>
  <si>
    <t>Plug &amp; play wireless microphone system, including SR40 mini2 dual channel receiver, 2x PT40 mini pocket transmitters, 2x instrument cables, SMPS switched mode power supply (EU/US/UK/AU), 2x AA batteries</t>
  </si>
  <si>
    <t>9002761038873</t>
  </si>
  <si>
    <t>https://www.akg.com/Wireless/wireless-components/3351H00050.html</t>
  </si>
  <si>
    <t xml:space="preserve">MINI2INSTR-US25CD </t>
  </si>
  <si>
    <t>9002761038880</t>
  </si>
  <si>
    <t>https://www.akg.com/Wireless/wireless-components/3351H00060.html</t>
  </si>
  <si>
    <t xml:space="preserve">MINI2MIX-US25AC </t>
  </si>
  <si>
    <t>Plug &amp; play wireless microphone system, including SR40 mini2 dual channel receiver, 1x HT40 mini  handheld transmitter, 1x PT40 mini pocket transmitter, 1x instrument cable, SMPS switched mode power supply (EU/US/UK/AU), 2x AA batteries</t>
  </si>
  <si>
    <t>9002761038897</t>
  </si>
  <si>
    <t>https://www.akg.com/Wireless/wireless-components/3352X00050.html</t>
  </si>
  <si>
    <t>MINI2MIX-US25BD</t>
  </si>
  <si>
    <t>9002761038903</t>
  </si>
  <si>
    <t>https://www.akg.com/Wireless/wireless-components/3352X00060.html</t>
  </si>
  <si>
    <t>HT420 Band A</t>
  </si>
  <si>
    <t>AT620000</t>
  </si>
  <si>
    <t>Wireless Microphone System 420</t>
  </si>
  <si>
    <t>Handheld transmitter</t>
  </si>
  <si>
    <t>https://www.akg.com/Wireless/wireless-components/3411X00010.html</t>
  </si>
  <si>
    <t>PT420 Band A</t>
  </si>
  <si>
    <t>Pocket transmitter</t>
  </si>
  <si>
    <t>https://www.akg.com/Wireless/wireless-components/3412H00010.html</t>
  </si>
  <si>
    <t>WMS420 HEADWORN SET Band A</t>
  </si>
  <si>
    <t>Wireless Microphone System</t>
  </si>
  <si>
    <t>http://www.akg.com/pro/p/wms420headwornset</t>
  </si>
  <si>
    <t>WMS420 PRESENTER SET Band A</t>
  </si>
  <si>
    <t>https://www.akg.com/Wireless/wireless-components/3414H00010.html</t>
  </si>
  <si>
    <t>WMS420 INSTRUMENTAL SET Band A</t>
  </si>
  <si>
    <t>https://www.akg.com/Wireless/wireless-components/3415H00010.html</t>
  </si>
  <si>
    <t>WMS420 VOCAL SET Band A</t>
  </si>
  <si>
    <t>https://www.akg.com/Wireless/wireless-components/3416H00010.html</t>
  </si>
  <si>
    <t>SR470 BD7</t>
  </si>
  <si>
    <t>Wireless Microphone System 470</t>
  </si>
  <si>
    <t>Wireless stationary receiver, rack mount unit included, pilot tone - NO AC adapter, please order 7801H00120 additionally.</t>
  </si>
  <si>
    <t>https://www.akg.com/Wireless/wireless-components/3300H00150.html</t>
  </si>
  <si>
    <t>SR470 BD8</t>
  </si>
  <si>
    <t>https://www.akg.com/Wireless/wireless-components/3300H00160.html</t>
  </si>
  <si>
    <t>HT470 D5 BD7 50mW</t>
  </si>
  <si>
    <t>Wireless handheld transmitter, D5 microphone element, stand adapter, 1x AA LR6 battery included, pilot tone</t>
  </si>
  <si>
    <t>https://www.akg.com/Wireless/wireless-components/3301X00170.html</t>
  </si>
  <si>
    <t>HT470 D5 BD8 50mW</t>
  </si>
  <si>
    <t>https://www.akg.com/Wireless/wireless-components/3301X00180.html</t>
  </si>
  <si>
    <t>HT470 C5 BD7 50mW</t>
  </si>
  <si>
    <t>Wireless handheld transmitter, C5 microphone element, stand adapter, 1x AA LR6 battery included, pilot tone</t>
  </si>
  <si>
    <t>https://www.akg.com/Wireless/wireless-components/3301X00370.html</t>
  </si>
  <si>
    <t>HT470 C5 BD8 50mW</t>
  </si>
  <si>
    <t>https://www.akg.com/Wireless/wireless-components/3301X00380.html</t>
  </si>
  <si>
    <t>PT470 BD7 50mW</t>
  </si>
  <si>
    <t>Wireless bodypack transmitter, belt clip, 1x AA LR6 battery, secure on/off/mute pin included, pilot tone</t>
  </si>
  <si>
    <t>https://www.akg.com/Wireless/wireless-components/3302H00170.html</t>
  </si>
  <si>
    <t>PT470 BD8 50mW</t>
  </si>
  <si>
    <t>https://www.akg.com/Wireless/wireless-components/3302H00180.html</t>
  </si>
  <si>
    <t>WMS470 D5 SET BD7 50mW - EU/US/UK</t>
  </si>
  <si>
    <t>Wireless handheld microphone system, SR470 stationary receiver, HT470/D5 handheld transmitter, D5 microphone element, pilot tone, microphone stand, LR6 AA battery, power supply and rack mount unit included.</t>
  </si>
  <si>
    <t>https://www.akg.com/Wireless/wireless-components/3305X00370.html</t>
  </si>
  <si>
    <t>WMS470 D5 SET BD8 50mW - EU/US/UK</t>
  </si>
  <si>
    <t>https://www.akg.com/Wireless/wireless-components/3305X00380.html</t>
  </si>
  <si>
    <t>WMS470 C5 SET BD7 50mW - EU/US/UK</t>
  </si>
  <si>
    <t>Wireless handheld microphone system, SR470 stationary receiver, HT470/C5 handheld transmitter, C5 microphone element, pilot tone, microphone stand, LR6 AA battery, power supply and rack mount unit included.</t>
  </si>
  <si>
    <t>https://www.akg.com/Wireless/wireless-components/3306X00370.html</t>
  </si>
  <si>
    <t>WMS470 C5 SET BD8 50mW - EU/US/UK</t>
  </si>
  <si>
    <t>https://www.akg.com/Wireless/wireless-components/3306X00380.html</t>
  </si>
  <si>
    <t>WMS470 INSTR SET BD7 50mW - EU/US/UK</t>
  </si>
  <si>
    <t>Wireless bodypack microphone system, SR470 stationary receiver, PT470 bodypack transmitter, instrument cable with 6.5mm plug, pilot tone, belt clip, LR6 AA battery, power supply and rack mount unit included.</t>
  </si>
  <si>
    <t>https://www.akg.com/Wireless/wireless-components/3307H00370.html</t>
  </si>
  <si>
    <t>WMS470 INSTR SET BD8 50mW - EU/US/UK</t>
  </si>
  <si>
    <t>https://www.akg.com/Wireless/wireless-components/3307H00380.html</t>
  </si>
  <si>
    <t>WMS470 SPORTS SET BD7 50mW - EU/US/UK</t>
  </si>
  <si>
    <t>Wireless bodypack microphone system, SR470 stationary receiver, PT470 bodypack transmitter, C544L headworn microphone, belt clip, LR6 AA battery, power supply and rack mount unit included.</t>
  </si>
  <si>
    <t>https://www.akg.com/Wireless/wireless-components/3308H00370.html</t>
  </si>
  <si>
    <t>WMS470 SPORTS SET BD8 50mW - EU/US/UK</t>
  </si>
  <si>
    <t>https://www.akg.com/Wireless/wireless-components/3308H00380.html</t>
  </si>
  <si>
    <t>WMS470 PRES SET BD7 50mW - EU/US/UK</t>
  </si>
  <si>
    <t>Wireless bodypack microphone system, SR470 stationary receiver, PT470 bodypack transmitter, C555L headworn microphone, CK99L lavalier microphone, tie clip, belt clip, LR6 AA battery, power supply and rack mount unit included.</t>
  </si>
  <si>
    <t>https://www.akg.com/Wireless/wireless-components/3309H00370.html</t>
  </si>
  <si>
    <t>WMS470 PRES SET BD8 50mW - EU/US/UK</t>
  </si>
  <si>
    <t>https://www.akg.com/Wireless/wireless-components/3309H00380.html</t>
  </si>
  <si>
    <t>HT4500 BD7</t>
  </si>
  <si>
    <t>AT630000</t>
  </si>
  <si>
    <t>Wireless Microphone System 4500</t>
  </si>
  <si>
    <t>Professional handheld transmitter, SA 63 stand adapter and 2x AA LR6 battery included, rugged body, NO microphone head</t>
  </si>
  <si>
    <t>https://www.akg.com/Wireless/wireless-components/3201H00280.html</t>
  </si>
  <si>
    <t>HT4500 BD8</t>
  </si>
  <si>
    <t>https://www.akg.com/Wireless/wireless-components/3201H00300.html</t>
  </si>
  <si>
    <t>PT4500 BD8 50mW</t>
  </si>
  <si>
    <t>Professional wireless bodypack transmitter, rugged metal housing, belt clip, 2x AA LR6 battery, secure mute pin included, pilot tone</t>
  </si>
  <si>
    <t>https://www.akg.com/Wireless/wireless-components/3202H00300.html</t>
  </si>
  <si>
    <t>PR4500 BD8 (old SKU: 3203H00150)</t>
  </si>
  <si>
    <t>PR4500 ENG Diversity bodypack receiver with rugged metal housing, new reference radio electronic design ensures reliable transmission. Belt clip, camera shoe, XLR cable, 3.5mm jack cable and 2x AA size LR6 batteries included.</t>
  </si>
  <si>
    <t>https://www.akg.com/Wireless/wireless-components/3203H00300.html</t>
  </si>
  <si>
    <t>WMS4500 D7 Set BD7 EU/US/UK/AU</t>
  </si>
  <si>
    <t>Professional wireless system including SR4500, HT4500, D7 WL1, SA63, EU/US/UK/AU power supply adapter.</t>
  </si>
  <si>
    <t>https://www.akg.com/Wireless/wireless-components/3205Z00280.html</t>
  </si>
  <si>
    <t>DMS100</t>
  </si>
  <si>
    <t>DMS300/10</t>
  </si>
  <si>
    <t>DMS100 Vocal Set</t>
  </si>
  <si>
    <t>DMS100 Wireless Microphone System</t>
  </si>
  <si>
    <t>https://www.akg.com/Wireless/wireless-components/5100247-00.html</t>
  </si>
  <si>
    <t>DMS100 Instrument Set</t>
  </si>
  <si>
    <t>DMS100 Wireless Instrument System</t>
  </si>
  <si>
    <t>https://www.akg.com/Wireless/wireless-components/5100248-00.html</t>
  </si>
  <si>
    <t>DMS300</t>
  </si>
  <si>
    <t>DMS300 Vocal Set</t>
  </si>
  <si>
    <t>DMS300 Wireless Microphone System</t>
  </si>
  <si>
    <t>https://www.akg.com/Wireless/wireless-components/5100252-00.html</t>
  </si>
  <si>
    <t>DMS300 Instrument Set</t>
  </si>
  <si>
    <t>DMS300 Wireless Instrument System</t>
  </si>
  <si>
    <t>https://www.akg.com/Wireless/wireless-components/5100253-00.html</t>
  </si>
  <si>
    <t>DMS800 DPT800 BD1</t>
  </si>
  <si>
    <t>Body pack transmitter</t>
  </si>
  <si>
    <t>https://www.akg.com/Wireless/wireless-components/3382H00100.html</t>
  </si>
  <si>
    <t>DHT800 BD1</t>
  </si>
  <si>
    <t>https://www.akg.com/Wireless/wireless-components/3381H00100.html</t>
  </si>
  <si>
    <t>DMS800 DSR800 BD1</t>
  </si>
  <si>
    <t>Wireless receiver</t>
  </si>
  <si>
    <t>https://www.akg.com/Wireless/wireless-components/3380H00100.html</t>
  </si>
  <si>
    <t>DMS800 D5 Vocal Set BD1</t>
  </si>
  <si>
    <t>D5 Vocal Set includes: 1x DSR800, 2x DHT800, 2x D5 WL1, 2x SA63, 4x AA size batteries</t>
  </si>
  <si>
    <t>https://www.akg.com/Wireless/wireless-components/3383H00010.html</t>
  </si>
  <si>
    <t>DMS800 D7 Vocal Set BD1</t>
  </si>
  <si>
    <t>D7 Vocal Set includes: 1x DSR800, 2x DHT800, 2x D7 WL1, 2x SA63, 4x AA size batteries</t>
  </si>
  <si>
    <t>https://www.akg.com/Wireless/wireless-components/3383H00110.html</t>
  </si>
  <si>
    <t>WM82 black wiremesh 5 pack</t>
  </si>
  <si>
    <t>https://www.akg.com/support-product-detail.html#prod=WM82group</t>
  </si>
  <si>
    <t>DMS800 Performer Set BD1</t>
  </si>
  <si>
    <t>Performer Set includes: 1x DSR800, 2x DPT800, 2x C11 LP, 2x MKGL, 4x AA size batteries</t>
  </si>
  <si>
    <t>https://www.akg.com/Wireless/wireless-components/3383H00310.html</t>
  </si>
  <si>
    <t>DPT TETRAD NON-EU</t>
  </si>
  <si>
    <t>AT650000</t>
  </si>
  <si>
    <t>Digital Microphone System Tetrad</t>
  </si>
  <si>
    <t>https://www.akg.com/dmstetrad-system.html</t>
  </si>
  <si>
    <t>DHT TETRAD P5 NON-EU</t>
  </si>
  <si>
    <t xml:space="preserve">WM82  white wiremesh 5 pack </t>
  </si>
  <si>
    <t>https://www.akg.com/Microphones/Microphone%20Accessories/6500H00510.html</t>
  </si>
  <si>
    <t>D5 WL1</t>
  </si>
  <si>
    <t>AT690091</t>
  </si>
  <si>
    <t>Microphone Head</t>
  </si>
  <si>
    <t>Microphone head with D5 acoustic</t>
  </si>
  <si>
    <t>https://www.akg.com/Wireless/Wireless%20Accessories/3082X00010.html</t>
  </si>
  <si>
    <t>C5 WL1</t>
  </si>
  <si>
    <t>Microphone head with C5 acoustic</t>
  </si>
  <si>
    <t>https://www.akg.com/Wireless/Wireless%20Accessories/3082X00020.html</t>
  </si>
  <si>
    <t>C7 WL1</t>
  </si>
  <si>
    <t>AT690092</t>
  </si>
  <si>
    <t>Microphone head with C7 acoustic for wireless systems DMS800 and WMS4500</t>
  </si>
  <si>
    <t>https://www.akg.com/Wireless/Wireless%20Accessories/3438X00030.html</t>
  </si>
  <si>
    <t>D7 WL1</t>
  </si>
  <si>
    <t>Microphone head with D7 acoustic</t>
  </si>
  <si>
    <t>https://www.akg.com/Wireless/Wireless%20Accessories/3082X00030.html</t>
  </si>
  <si>
    <t xml:space="preserve">Handheld Vocal Microphone </t>
  </si>
  <si>
    <t>C636 WL1</t>
  </si>
  <si>
    <t>Microphone head</t>
  </si>
  <si>
    <t>Microphone head with C636 acoustic for wireless systems DMS800 and WMS4500</t>
  </si>
  <si>
    <t>https://www.akg.com/Wireless/Wireless%20Accessories/3439X00030.html</t>
  </si>
  <si>
    <t>DMS800 WLMA-US</t>
  </si>
  <si>
    <t>Digital Microphone System</t>
  </si>
  <si>
    <t>Wireless microphone adapter for SHURE wireless microphone heads</t>
  </si>
  <si>
    <t>https://www.akg.com/Wireless/Wireless%20Accessories/3009H00140.html</t>
  </si>
  <si>
    <t>APS4/NONE ANTENNA POWER SPLITTER</t>
  </si>
  <si>
    <t>https://www.akg.com/Wireless/Wireless%20Accessories/3296H00010.html</t>
  </si>
  <si>
    <t xml:space="preserve">APS4 EU/US/UK/AU ANTENNA POWER SPLITTER </t>
  </si>
  <si>
    <t>https://www.akg.com/Wireless/Wireless%20Accessories/APS4+EU-US-UK-AU.html</t>
  </si>
  <si>
    <t>RA4000/EW ANTENNA</t>
  </si>
  <si>
    <t>Remote Antenna, Omni directional, Dipole Passive Diversity System Receiver</t>
  </si>
  <si>
    <t>https://www.akg.com/Wireless/Antennas%20%2F%20Antenna%20Components/2634H00330-LS.html</t>
  </si>
  <si>
    <t>RA4000B/EW ANTENNA</t>
  </si>
  <si>
    <t>Antenna</t>
  </si>
  <si>
    <t>https://www.akg.com/Wireless/Antennas%20%2F%20Antenna%20Components/2634H00340.html</t>
  </si>
  <si>
    <t>SRA2 EW ANTENNA</t>
  </si>
  <si>
    <t>https://www.akg.com/Wireless/Antennas%20%2F%20Antenna%20Components/3009H00170.html</t>
  </si>
  <si>
    <t>SRA2B/EW ANTENNA</t>
  </si>
  <si>
    <t>https://www.akg.com/Wireless/Antennas%20%2F%20Antenna%20Components/SRA2EW.html?dwvar_SRA2EW_color=Black-GLOBAL-Current#q=SRA2&amp;simplesearch=Go&amp;start=1</t>
  </si>
  <si>
    <t>Helical Antenna</t>
  </si>
  <si>
    <t>Helical remote antenna, directional, passive (9dB antenna gain), collapsable 12inch to 3inch - diversity system requires two antennas!</t>
  </si>
  <si>
    <t>US</t>
  </si>
  <si>
    <t>https://www.akg.com/Wireless/Antennas%20%2F%20Antenna%20Components/3009H00210.html</t>
  </si>
  <si>
    <t>PSU4000 NONE</t>
  </si>
  <si>
    <t>Central power supply unit for powering up to 3x HUB4000 Q, 3x CU4000, 3x PS4000 W (up to 12 receiver) or SPC4500 (up to 12 transmitter).</t>
  </si>
  <si>
    <t>http://www.akg.com/pro/p/psu4000</t>
  </si>
  <si>
    <t>HUB4000 Q none</t>
  </si>
  <si>
    <t>Network concentrator for integrating DMS700, WMS4500 and IVM4500 wireless systems into a HiQnet network, NO power supply included, please order 7801H00120 additionally.</t>
  </si>
  <si>
    <t>https://www.akg.com/Wireless/Wireless%20Accessories/2999H00150.html</t>
  </si>
  <si>
    <t>BP4000</t>
  </si>
  <si>
    <t>Rechargeable battery pack for 
WMS4500/IVM4500</t>
  </si>
  <si>
    <t>https://www.akg.com/Wireless/Wireless%20Accessories/3004H00030.html</t>
  </si>
  <si>
    <t>AKG AB4000EW </t>
  </si>
  <si>
    <t>High-performance antenna booster to compensate signal loss on long antenna cables. </t>
  </si>
  <si>
    <t>https://www.akg.com/Wireless/Antennas%20%2F%20Antenna%20Components/3009H00130.html</t>
  </si>
  <si>
    <t>CU4000 EU/US/UK/AU</t>
  </si>
  <si>
    <t>CU4000 CHARGING UNIT</t>
  </si>
  <si>
    <t>Charging unit</t>
  </si>
  <si>
    <t>https://www.akg.com/Wireless/Wireless%20Accessories/2887X00060.html</t>
  </si>
  <si>
    <t>CU400 EU/US/UK</t>
  </si>
  <si>
    <t>Charging unit, two slots, 5V/1500mA power supply included, EU/US/UK connector, two NiMH rechargeable batteries included, for HT40 PRO, PT40 PRO, HT40 FLEXX, PT40 FLEXX, HT450, PT450, HT470, PT470</t>
  </si>
  <si>
    <t>https://www.akg.com/Wireless/Wireless%20Accessories/CU400.html</t>
  </si>
  <si>
    <t xml:space="preserve">WM82 beige wiremesh 5 pack </t>
  </si>
  <si>
    <t>https://www.akg.com/Microphones/Microphone%20Accessories/6500H00520.html</t>
  </si>
  <si>
    <t xml:space="preserve">WM82 cocoa wiremesh 5 pack </t>
  </si>
  <si>
    <t>https://www.akg.com/Microphones/Microphone%20Accessories/6500H00530.html</t>
  </si>
  <si>
    <t>DMS800 CU800</t>
  </si>
  <si>
    <t>Charging unit, technically identical to CU700, but includes 2 plastic caps for DHT800</t>
  </si>
  <si>
    <t>https://www.akg.com/Wireless/Wireless%20Accessories/3158H00050.html</t>
  </si>
  <si>
    <t>RMU700</t>
  </si>
  <si>
    <t>AT640000</t>
  </si>
  <si>
    <t>Rack mount unit for 1 or 2 CU700, 2U high</t>
  </si>
  <si>
    <t>https://www.akg.com/Wireless/Wireless%20Accessories/3158H00150.html</t>
  </si>
  <si>
    <t>AC12 PSU12V 2000mA Lock EU/US/UK/AU</t>
  </si>
  <si>
    <t>12V/2000mA power supply for wireless systems like PS4000, EU/US/UK/AU connector included</t>
  </si>
  <si>
    <t>https://www.akg.com/7801H00110.html</t>
  </si>
  <si>
    <t>RMU40 mini PRO</t>
  </si>
  <si>
    <t>Rack mount kit for WMS40 mini, WMS40 mini2</t>
  </si>
  <si>
    <t>https://www.akg.com/7615H06110.html</t>
  </si>
  <si>
    <t>RMU4X PRO</t>
  </si>
  <si>
    <t>Rack mount unit</t>
  </si>
  <si>
    <t>https://www.akg.com/7615H06130.html</t>
  </si>
  <si>
    <t>MKA 5</t>
  </si>
  <si>
    <t>5m BNC antenna cable</t>
  </si>
  <si>
    <t>https://www.akg.com/2455H00620.html</t>
  </si>
  <si>
    <t>MKA 20</t>
  </si>
  <si>
    <t xml:space="preserve">20m BNC antenna cable </t>
  </si>
  <si>
    <t>https://www.akg.com/6000H02050.html</t>
  </si>
  <si>
    <t>MK PS</t>
  </si>
  <si>
    <t>0.6m BNC antenna  cable</t>
  </si>
  <si>
    <t>https://www.akg.com/6000H02060.html</t>
  </si>
  <si>
    <t>H500</t>
  </si>
  <si>
    <t>Elastic shockmount for GN15 E, GN30 E, GN50 E and 5-pin versions</t>
  </si>
  <si>
    <t>https://www.akg.com/6000H01900.html</t>
  </si>
  <si>
    <t>K92</t>
  </si>
  <si>
    <t>AT110020</t>
  </si>
  <si>
    <t>Closed-Back Studio Headphones</t>
  </si>
  <si>
    <t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t>
  </si>
  <si>
    <t>https://www.akg.com/3169H00030.html</t>
  </si>
  <si>
    <t>K182 HEADPHONES</t>
  </si>
  <si>
    <t>Studio Headphone</t>
  </si>
  <si>
    <t>Professional closed-back monitor headphones</t>
  </si>
  <si>
    <t>https://www.akg.com/3103H00030.html</t>
  </si>
  <si>
    <t xml:space="preserve">K240 STUDIO </t>
  </si>
  <si>
    <t>Semi open, circumaural studio headphone with artificial leather ear pads, classic gold/black trim, detachable cable</t>
  </si>
  <si>
    <t>https://www.akg.com/2058X00130.html</t>
  </si>
  <si>
    <t>K240 MKII</t>
  </si>
  <si>
    <t>Semi open, circumaural, detachable cable additional velvet ear pad, additional 5m coiled cable; stage blue</t>
  </si>
  <si>
    <t>https://www.akg.com/2058X00190.html</t>
  </si>
  <si>
    <t>K271 MKII</t>
  </si>
  <si>
    <t>Closed back, circumaural, detachable cable additional velvet ear pads, additional 5m coiled cable; stage blue</t>
  </si>
  <si>
    <t>https://www.akg.com/2470X00190.html</t>
  </si>
  <si>
    <t>PROFESSIONAL AUDIO HEADPHONE K361</t>
  </si>
  <si>
    <t>https://www.akg.com/K361.html</t>
  </si>
  <si>
    <t>K361-BT</t>
  </si>
  <si>
    <t>Professional Audio Bluetooth Headphone</t>
  </si>
  <si>
    <t>K361BT Professional Audio Bluetooth Headphone</t>
  </si>
  <si>
    <t>https://www.akg.com/K361BT.html</t>
  </si>
  <si>
    <t>PROFESSIONAL AUDIO HEADPHONE K371</t>
  </si>
  <si>
    <t>https://www.akg.com/K371.html</t>
  </si>
  <si>
    <t>Professional Audio Bluetooth Headphone (US Pricing)</t>
  </si>
  <si>
    <t>K371BT Professional Audio Bluetooth Headphone</t>
  </si>
  <si>
    <t>https://www.akg.com/K371BT.html</t>
  </si>
  <si>
    <t>K553 MKII</t>
  </si>
  <si>
    <t>Closed back studio headphones</t>
  </si>
  <si>
    <t>https://www.akg.com/3280H00130.html</t>
  </si>
  <si>
    <t>K612 PRO</t>
  </si>
  <si>
    <t>Professional Headphone</t>
  </si>
  <si>
    <t>High Performance Headphones, patented Varimotion technology</t>
  </si>
  <si>
    <t>https://www.akg.com/2458X00100.html</t>
  </si>
  <si>
    <t>K701</t>
  </si>
  <si>
    <t>Re-Launch</t>
  </si>
  <si>
    <t>https://www.akg.com/2458X00180.html</t>
  </si>
  <si>
    <t>K702</t>
  </si>
  <si>
    <t>Patented VarimotionTM-two-layer diaphragm, flat wire voice coil, "3-D form ear pads for perfect fit, individually tested and numbered</t>
  </si>
  <si>
    <t>https://www.akg.com/2458X00190.html</t>
  </si>
  <si>
    <t>K712 PRO</t>
  </si>
  <si>
    <t>Reference Studio headphones</t>
  </si>
  <si>
    <t>https://www.akg.com/2458X00140.html</t>
  </si>
  <si>
    <t>K812 PRO</t>
  </si>
  <si>
    <t>Superior Reference headphones</t>
  </si>
  <si>
    <t>https://www.akg.com/3458X00010.html</t>
  </si>
  <si>
    <t>K872</t>
  </si>
  <si>
    <t>Master Reference Closed-Back Studio Headphones</t>
  </si>
  <si>
    <t>Master reference closed-back studio headphones, with custom 53mm drivers, 1.5 Tesla magnet systems, 3D-shaped slow-retention foam ear-cups, open-mesh headband.</t>
  </si>
  <si>
    <t>https://www.akg.com/3458X00050.html</t>
  </si>
  <si>
    <t>K15</t>
  </si>
  <si>
    <t>Conference Headphone</t>
  </si>
  <si>
    <t>High-Performance conference headphones</t>
  </si>
  <si>
    <t>https://www.akg.com/3446H00010.html</t>
  </si>
  <si>
    <t>HSC15</t>
  </si>
  <si>
    <t>High-Performance conference headset</t>
  </si>
  <si>
    <t>https://www.akg.com/3446H00020.html</t>
  </si>
  <si>
    <t>HSD171</t>
  </si>
  <si>
    <t>Prof. closed-back headsets derived from K 171 headphones with dynamic mic for broadcast and recording use. Without muting function. MK HS cable not included.</t>
  </si>
  <si>
    <t>https://www.akg.com/2955X00260.html</t>
  </si>
  <si>
    <t>HSD271</t>
  </si>
  <si>
    <t>Prof. closed-back headsets derived from K 271 headphones with dynamic mic for broadcast and recording use. Without muting function. MK HS cable not included.</t>
  </si>
  <si>
    <t>https://www.akg.com/2955X00270.html</t>
  </si>
  <si>
    <t>HSC171</t>
  </si>
  <si>
    <t>Prof. closed-back headsets derived from K 171 headphones with condenser mic for broadcast and recording use. Automatic mic and headphone muting function via mute switch. MK HS cable not included.</t>
  </si>
  <si>
    <t>https://www.akg.com/2955X00280.html</t>
  </si>
  <si>
    <t>HSC271</t>
  </si>
  <si>
    <t>Prof. closed-back headsets derived from K 271 headphones with condenser mic for broadcast and recording use. Without muting function. MK HS cable not included.</t>
  </si>
  <si>
    <t>https://www.akg.com/2955X00290.html</t>
  </si>
  <si>
    <t>HSC171 Studio Set</t>
  </si>
  <si>
    <t>https://www.akg.com/2955X00310.html</t>
  </si>
  <si>
    <t>HSD271 Studio Set</t>
  </si>
  <si>
    <t>https://www.akg.com/2955X00320.html</t>
  </si>
  <si>
    <t>HSC271 Studio Set</t>
  </si>
  <si>
    <t>https://www.akg.com/2955X00330.html</t>
  </si>
  <si>
    <t>MK HS XLR 5D</t>
  </si>
  <si>
    <t>Headset cable for cameras, Intercom, (5pin XLR male)</t>
  </si>
  <si>
    <t>https://www.akg.com/2955H00460.html</t>
  </si>
  <si>
    <t>MK HS XLR 4D</t>
  </si>
  <si>
    <t>Headset cable for Intercom, Broadcasting (4pin XLR female)</t>
  </si>
  <si>
    <t>https://www.akg.com/2955H00470.html</t>
  </si>
  <si>
    <t>K72</t>
  </si>
  <si>
    <t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t>
  </si>
  <si>
    <t>https://www.akg.com/3169H00020.html</t>
  </si>
  <si>
    <t>MK HS Studio C</t>
  </si>
  <si>
    <t>Headset cable for Studio, Moderators, Commentators (3pin XLR male, 1/4" jack)</t>
  </si>
  <si>
    <t>https://www.akg.com/2955H00490.html</t>
  </si>
  <si>
    <t>MK HS Studio D</t>
  </si>
  <si>
    <t>https://www.akg.com/2955H00500.html</t>
  </si>
  <si>
    <t>Headphone amps</t>
  </si>
  <si>
    <t xml:space="preserve">HP4E </t>
  </si>
  <si>
    <t>Headphone Amplifier</t>
  </si>
  <si>
    <t>4-Channel Headphone Amplifier</t>
  </si>
  <si>
    <t>https://www.akg.com/3450H00010.html</t>
  </si>
  <si>
    <t xml:space="preserve">HP6E US </t>
  </si>
  <si>
    <t>6-Channel Matrix Headphone Amplifier</t>
  </si>
  <si>
    <t>https://www.akg.com/3450H00030.html</t>
  </si>
  <si>
    <t xml:space="preserve">HP12U US </t>
  </si>
  <si>
    <t>12-Channel Headphone Amplifier with USB</t>
  </si>
  <si>
    <t>https://www.akg.com/3450H00050.html</t>
  </si>
  <si>
    <t>AT510080</t>
  </si>
  <si>
    <t>Digital Microphone Mixer</t>
  </si>
  <si>
    <t>Digital automatic microphone mixer</t>
  </si>
  <si>
    <t xml:space="preserve">DMM8 UL </t>
  </si>
  <si>
    <t>https://www.akg.com/6500H00240.html</t>
  </si>
  <si>
    <t>ICAAS10 Cascading Cable</t>
  </si>
  <si>
    <t>Cascading Cable for DMM Mixers</t>
  </si>
  <si>
    <t>ZZ</t>
  </si>
  <si>
    <t>https://www.akg.com/6000H19040.html</t>
  </si>
  <si>
    <t>SA44</t>
  </si>
  <si>
    <t>AT999999</t>
  </si>
  <si>
    <t>For use with vocal microphones</t>
  </si>
  <si>
    <t>https://www.akg.com/6001H06320.html</t>
  </si>
  <si>
    <t>MK/GL Guitar Cable</t>
  </si>
  <si>
    <t>https://www.akg.com/2455H00500.html</t>
  </si>
  <si>
    <t>ST45</t>
  </si>
  <si>
    <t>"Low profile" table stand</t>
  </si>
  <si>
    <t>https://www.akg.com/6000H03080.html</t>
  </si>
  <si>
    <t>W32</t>
  </si>
  <si>
    <t>Foam windscreen 18-20 mm dia (for CK's)</t>
  </si>
  <si>
    <t>https://www.akg.com/6000H06240.html</t>
  </si>
  <si>
    <t>EK500 S</t>
  </si>
  <si>
    <t>Coiled 5 m (10 ft.) cable mini XLR/mini jack (1/8")</t>
  </si>
  <si>
    <t>https://www.akg.com/6000H10100.html</t>
  </si>
  <si>
    <t>AC12 PSU12V 500mA Lock EU/US/UK/AU</t>
  </si>
  <si>
    <t>12V/500mA power supply for wireless systems like WMS400/450/470/4500, EU/US/UK/AU connector included</t>
  </si>
  <si>
    <t>https://www.akg.com/7801H00120.html</t>
  </si>
  <si>
    <t>DHT TETRAD D5 NON-EU</t>
  </si>
  <si>
    <t>https://www.akg.com/3457X00060.html</t>
  </si>
  <si>
    <t>CK62 ULS</t>
  </si>
  <si>
    <t>High quality omni directional capsule, only for C480 B-ULS</t>
  </si>
  <si>
    <t>https://www.akg.com/2231H00220.html</t>
  </si>
  <si>
    <t>W48</t>
  </si>
  <si>
    <t>For use with CK69-ULS</t>
  </si>
  <si>
    <t>https://www.akg.com/2568Z40010.html</t>
  </si>
  <si>
    <t>W407</t>
  </si>
  <si>
    <t>For C417</t>
  </si>
  <si>
    <t>https://www.akg.com/2366Z06010.html</t>
  </si>
  <si>
    <t>SHZ80</t>
  </si>
  <si>
    <t>Slotted screw link for use with 
C747</t>
  </si>
  <si>
    <t>https://www.akg.com/2416Z01020.html</t>
  </si>
  <si>
    <t>RMS4000</t>
  </si>
  <si>
    <t>Remote mute switch, 1 meter cable, 2.5mm plug - External switch to mute and un-mute the PT450/470/4500 and DPT700</t>
  </si>
  <si>
    <t>https://www.akg.com/3009Z00120.html</t>
  </si>
  <si>
    <t>MPA V L</t>
  </si>
  <si>
    <t>XLR phantom adapter for MicroMic "ML" &amp; "L" versions</t>
  </si>
  <si>
    <t>https://www.akg.com/3170H00020.html</t>
  </si>
  <si>
    <t>All-in-One Pres Switchers</t>
  </si>
  <si>
    <t>DVX-2265-4K-TAA</t>
  </si>
  <si>
    <t>AMX-ENV</t>
  </si>
  <si>
    <t>6x2+1 4K60 4:4:4 All-In-One Presentation Switcher, TAA</t>
  </si>
  <si>
    <t>6x2+1 4K60 4:4:4 Digital Video Presentation Switcher with HDR, HDCP 2.2, Video Scaling, Distance Transport, DSP, Advanced Feedback Suppression, 120W DriveCore Amplification, Integrated NX Controller</t>
  </si>
  <si>
    <t>https://www.amx.com/en-US/products/dvx-2265-4k</t>
  </si>
  <si>
    <t>AN</t>
  </si>
  <si>
    <t>DVX-3266-4K-TAA</t>
  </si>
  <si>
    <t>8x4+2 4K60 4:4:4 All-In-One Presentation Switcher, TAA</t>
  </si>
  <si>
    <t>8x4+2 4K60 4:4:4 Digital Video Presentation Switcher with HDR, HDCP 2.2, Video Scaling, Distance Transport, DSP, Advanced Feedback Suppression, 120W DriveCore Amplification, Integrated NX Controller</t>
  </si>
  <si>
    <t>https://www.amx.com/en-US/products/dvx-3266-4k</t>
  </si>
  <si>
    <t>AMX-NM</t>
  </si>
  <si>
    <t>NEW</t>
  </si>
  <si>
    <t>AMX N2600 Encoder, Dual Stream Codec</t>
  </si>
  <si>
    <t>AMX N2600 Encoder, Dual Stream Codec, 4K60 4:4:4</t>
  </si>
  <si>
    <t>https://www.amx.com/en-US/products/nmx-enc-n2612s-encoder</t>
  </si>
  <si>
    <t>AMX N2600 Encoder Card, Dual Stream Codec</t>
  </si>
  <si>
    <t>AMX N2600 Encoder Card, Dual Stream Codec, 4K60 4:4:4</t>
  </si>
  <si>
    <t>https://www.amx.com/en-US/products/nmx-enc-n2612s-c-encoder-card</t>
  </si>
  <si>
    <t>AMX N2600 Decoder, Dual Stream Codec</t>
  </si>
  <si>
    <t>AMX N2600 Decoder, Dual Stream Codec, 4K60 4:4:4</t>
  </si>
  <si>
    <t>https://www.amx.com/en-US/products/nmx-dec-n2622s-decoder</t>
  </si>
  <si>
    <t>NMX-ENC-N2615-WP-NA</t>
  </si>
  <si>
    <t>AMX N2600 Encoder Wall Plate, Decora Style</t>
  </si>
  <si>
    <t>AMX N2600 Encoder Wall Plate, Decora Style, 4K60 4:4:4</t>
  </si>
  <si>
    <t>https://www.amx.com/en-US/products/nmx-enc-n2615-wp-encoder-wallplate</t>
  </si>
  <si>
    <t>NMX-DEC-N2625-WP-NA</t>
  </si>
  <si>
    <t>AMX N2600 Decoder Wall Plate, Decora Style</t>
  </si>
  <si>
    <t>AMX N2600 Decoder Wall Plate, Decora Style, 4K60 4:4:4</t>
  </si>
  <si>
    <t>https://www.amx.com/en-US/products/nmx-dec-n2625-wp-decoder-wallplate</t>
  </si>
  <si>
    <t>PR-0402</t>
  </si>
  <si>
    <t>AMX-SIG</t>
  </si>
  <si>
    <t>Precis 4x2 4K60 HDMI Switcher</t>
  </si>
  <si>
    <t>https://www.amx.com/en-US/products/pr-0402</t>
  </si>
  <si>
    <t>PR-0404</t>
  </si>
  <si>
    <t>Precis 4x4 4K60 HDMI Switcher</t>
  </si>
  <si>
    <t>https://www.amx.com/en-US/products/pr-0404</t>
  </si>
  <si>
    <t>PR-0602</t>
  </si>
  <si>
    <t>Precis 6x2 4K60 HDMI Switcher</t>
  </si>
  <si>
    <t>https://www.amx.com/en-US/products/pr-0602</t>
  </si>
  <si>
    <t>PR-0808</t>
  </si>
  <si>
    <t>Precis 8x8 4K60 HDMI Switcher</t>
  </si>
  <si>
    <t>https://www.amx.com/en-US/products/pr-0808</t>
  </si>
  <si>
    <t>PR-WP-412</t>
  </si>
  <si>
    <t>Precis 4x1:2 4K60 Windowing Processor</t>
  </si>
  <si>
    <t>https://www.amx.com/en-US/products/pr-wp-412</t>
  </si>
  <si>
    <t>VARIA-ACS-80F</t>
  </si>
  <si>
    <t>AMX-UI</t>
  </si>
  <si>
    <t>AMX Varia, Fixed Tabletop Stand for VARIA-80</t>
  </si>
  <si>
    <t>https://www.amx.com/en-US/products/varia-acs-80f</t>
  </si>
  <si>
    <t>VARIA-ACS-100F</t>
  </si>
  <si>
    <t>AMX Varia, Fixed Tabletop Stand for VARIA-100 &amp; VARIA-100N</t>
  </si>
  <si>
    <t>https://www.amx.com/en-US/products/varia-acs-100f</t>
  </si>
  <si>
    <t>VARIA-ACS-150A</t>
  </si>
  <si>
    <t>AMX Varia, Angle-Select Tabletop Stand for VARIA-150 &amp; VARIA-150N</t>
  </si>
  <si>
    <t>https://www.amx.com/en-US/products/varia-acs-150a</t>
  </si>
  <si>
    <t>VARIA-ACS-810A</t>
  </si>
  <si>
    <t>AMX Varia, Angle-Select Tabletop Stand for VARIA-80, VARIA-100, &amp; VARIA-100N</t>
  </si>
  <si>
    <t>https://www.amx.com/en-US/products/varia-acs-810a</t>
  </si>
  <si>
    <t>VARIA-SL50</t>
  </si>
  <si>
    <t>AMX Varia SL, 5.5” Portrait Ultra-Slim Wall Mount Touch Panel</t>
  </si>
  <si>
    <t>AMX Varia SL, 5.5” Portrait Ultra-Slim Wall-Mount, Professional-Grade Persona-Defined Touch Panel</t>
  </si>
  <si>
    <t>https://www.amx.com/en-US/products/varia-sl50</t>
  </si>
  <si>
    <t>VARIA-SL80</t>
  </si>
  <si>
    <t>AMX Varia SL, 8” Ultra-Slim Wall Mount Touch Panel</t>
  </si>
  <si>
    <t>AMX Varia SL, 8” Ultra-Slim Wall-Mount, Professional-Grade Persona-Defined Touch Panel</t>
  </si>
  <si>
    <t>https://www.amx.com/en-US/products/varia-sl80</t>
  </si>
  <si>
    <t>VARIA-80</t>
  </si>
  <si>
    <t>AMX Varia, 8” Touch Panel</t>
  </si>
  <si>
    <t>AMX Varia, 8” Professional-Grade Persona-Defined Touch Panel</t>
  </si>
  <si>
    <t>https://www.amx.com/en-US/products/varia-80</t>
  </si>
  <si>
    <t>VARIA-100</t>
  </si>
  <si>
    <t>AMX Varia, 10.1” Touch Panel</t>
  </si>
  <si>
    <t>AMX Varia, 10.1” Professional-Grade Persona-Defined Touch Panel</t>
  </si>
  <si>
    <t>https://www.amx.com/en-US/products/varia-100</t>
  </si>
  <si>
    <t>VARIA-100N</t>
  </si>
  <si>
    <t>AMX Varia, 10.1” Touch Panel (No-Comm)</t>
  </si>
  <si>
    <t>AMX Varia, 10.1” Professional-Grade Persona-Defined Touch Panel (No-Comm)</t>
  </si>
  <si>
    <t>https://www.amx.com/en-US/products/varia-100n</t>
  </si>
  <si>
    <t>VARIA-150</t>
  </si>
  <si>
    <t>AMX Varia, 15.6” Touch Panel</t>
  </si>
  <si>
    <t>AMX Varia, 15.6” Professional-Grade Persona-Defined Touch Panel</t>
  </si>
  <si>
    <t>https://www.amx.com/en-US/products/varia-150</t>
  </si>
  <si>
    <t>VARIA-150N</t>
  </si>
  <si>
    <t>AMX Varia, 15.6” Touch Panel (No-Comm)</t>
  </si>
  <si>
    <t>AMX Varia, 15.6” Professional-Grade Persona-Defined Touch Panel (No-Comm)</t>
  </si>
  <si>
    <t>https://www.amx.com/en-US/products/varia-150n</t>
  </si>
  <si>
    <t>UVC1-4K</t>
  </si>
  <si>
    <t>4K HDMI to USB Capture</t>
  </si>
  <si>
    <t>https://www.amx.com/en-US/products/uvc1-4k</t>
  </si>
  <si>
    <t>Digital Switcher</t>
  </si>
  <si>
    <t>JPK-1300-UA</t>
  </si>
  <si>
    <t>AMX Jetpack 3x1 Switching, Transport, and Control Solution (US &amp; AU)</t>
  </si>
  <si>
    <t>AMX Jetpack 3x1 Switching, Transport, and Control Solution (US &amp; AU) for K12 classrooms and small-to-medium meeting spaces that provides simple AV operation</t>
  </si>
  <si>
    <t>NonCompliant</t>
  </si>
  <si>
    <t>https://www.amx.com/en-US/products/jpk-1300</t>
  </si>
  <si>
    <t>JPK-1300-EK</t>
  </si>
  <si>
    <t>AMX Jetpack 3x1 Switching, Transport, and Control Solution (EU &amp; UK)</t>
  </si>
  <si>
    <t>AMX Jetpack 3x1 Switching, Transport, and Control Solution (EU &amp; UK) for K12 classrooms and small-to-medium meeting spaces that provides simple AV operation</t>
  </si>
  <si>
    <t>Rough-in Box for 7" Touch Panels</t>
  </si>
  <si>
    <t>Rough-In Box &amp; Cover Plate for the 7" Wall-Mount Modero G5 &amp; Modero S Touch Panels.  Also fits 7” Acendo Book &amp; RoomBook.</t>
  </si>
  <si>
    <t>https://www.amx.com/en-US/products/cb-mxsa-07</t>
  </si>
  <si>
    <t>CC-NIRC</t>
  </si>
  <si>
    <t>AMX-DC</t>
  </si>
  <si>
    <t>IR LED cable with 3.5mm Phoenix</t>
  </si>
  <si>
    <t>IR LED cable with 3.5mm Phoenix for use with NetLinx control systems</t>
  </si>
  <si>
    <t>https://www.amx.com/en/products/cc-nirc</t>
  </si>
  <si>
    <t>DXL-TX-4K60</t>
  </si>
  <si>
    <t>DXLite 4K60 4:4:4 HDBaseT Transmitter</t>
  </si>
  <si>
    <t>https://www.amx.com/en-US/products/dxl-tx-4k60</t>
  </si>
  <si>
    <t>DX-TX-4K60</t>
  </si>
  <si>
    <t>DXLink Twisted Pair 4K60 Transmitter</t>
  </si>
  <si>
    <t>https://www.amx.com/en-US/products/dx-tx-4k60</t>
  </si>
  <si>
    <t>DX-TX-4K60-TAA</t>
  </si>
  <si>
    <t>DXLink Twisted Pair 4K60 Transmitter, TAA</t>
  </si>
  <si>
    <t>DX-TX-DWP-4K-BL</t>
  </si>
  <si>
    <t>DXLink 4K HDMI Decor Style Wallplate Transmitte, Black</t>
  </si>
  <si>
    <t>DXLink 4K HDMI Decor Style Wallplate Transmitter (US), 4K and UHD support, HDCP compliant, black</t>
  </si>
  <si>
    <t>https://www.amx.com/en-US/products/dx-tx-dwp-4k</t>
  </si>
  <si>
    <t>DX-TX-DWP-4K-WH</t>
  </si>
  <si>
    <t>DXLink 4K HDMI Decor Style Wallplate Transmitte, White</t>
  </si>
  <si>
    <t>DXLink 4K HDMI Decor Style Wallplate Transmitter (US), 4K and UHD support, HDCP compliant, white</t>
  </si>
  <si>
    <t>4x1+1 4K60 Presentation Switcher</t>
  </si>
  <si>
    <t>MX</t>
  </si>
  <si>
    <t>https://www.amx.com/en-US/products/vpx-1401</t>
  </si>
  <si>
    <t>SDX-514M-DX</t>
  </si>
  <si>
    <t>Solecis 5x1 4K Muti-Format Digital Switcher with DXLink Output</t>
  </si>
  <si>
    <t>https://www.amx.com/en-US/products/sdx-514m-dx</t>
  </si>
  <si>
    <t>VPX-1701</t>
  </si>
  <si>
    <t>7x1+1 4K60 Presentation Switcher</t>
  </si>
  <si>
    <t>https://www.amx.com/en-US/products/vpx-1701</t>
  </si>
  <si>
    <t>Limited Quantity - REDUCED</t>
  </si>
  <si>
    <t>DXLink Multi-Format Single Mode Fiber Transmitter, Duplex</t>
  </si>
  <si>
    <t>DXLink Fiber Multi-Format Transmitter Module (single mode/duplex), HDCP compliant, compatible with Enova DGX DXLink Single Mode Fiber Input Boards</t>
  </si>
  <si>
    <t>https://www.amx.com/en-US/products/dxf-tx-smd</t>
  </si>
  <si>
    <t>DXLink Multi-Format Single Mode Fiber Transmitter, Simplex</t>
  </si>
  <si>
    <t>DXLink Fiber Multi-Format Transmitter Module (single mode/simplex), HDCP compliant, compatible with Enova DGX DXLink Single Mode Fiber Input Boards</t>
  </si>
  <si>
    <t>https://www.amx.com/en-US/products/dxf-tx-sms</t>
  </si>
  <si>
    <t>DXLink Multi-Format Multimode Fiber Transmitter, Duplex</t>
  </si>
  <si>
    <t>DXLink Fiber Multi-Format Transmitter Module (multimode/duplex), HDCP compliant, compatible with Enova DGX DXLink Multimode Fiber Input Boards</t>
  </si>
  <si>
    <t>https://www.amx.com/en-US/products/dxf-tx-mmd</t>
  </si>
  <si>
    <t>DXLink Multi-Format Multimode Fiber Transmitter, Simplex</t>
  </si>
  <si>
    <t>DXLink Fiber Multi-Format Transmitter Module (multimode/simplex), HDCP compliant, compatible with Enova DGX DXLink Multimode Fiber Input Boards</t>
  </si>
  <si>
    <t>https://www.amx.com/en-US/products/dxf-tx-mms</t>
  </si>
  <si>
    <t>DXFP-TX-4K60</t>
  </si>
  <si>
    <t>DXLink Fiber 4K60 Transmitter</t>
  </si>
  <si>
    <t>https://www.amx.com/en-US/products/dxfp-tx-4k60</t>
  </si>
  <si>
    <t>DXFP-TX-4K60-TAA</t>
  </si>
  <si>
    <t>DXLink Fiber 4K60 Transmitter, TAA</t>
  </si>
  <si>
    <t>DXLite 4K60 4:4:4 HDBaseT Receiver</t>
  </si>
  <si>
    <t>https://www.amx.com/en-US/products/dxl-rx-4k60</t>
  </si>
  <si>
    <t>DX-RX-4K60</t>
  </si>
  <si>
    <t>DXLink 4K60 HDMI Twisted Pair Receiver</t>
  </si>
  <si>
    <t>https://www.amx.com/en-US/products/dx-rx-4k60</t>
  </si>
  <si>
    <t>DX-RX-4K60-TAA</t>
  </si>
  <si>
    <t>DXLink 4K60 HDMI Twisted Pair Receiver，TAA</t>
  </si>
  <si>
    <t>DXLink HDMI Single Mode Fiber Receiver, Duplex</t>
  </si>
  <si>
    <t>DXLink Fiber HDMI Receiver Module (single mode/duplex), with SmartScale, HDCP compliant, compatible with Enova DGX DXLink Single Mode Fiber Output Boards</t>
  </si>
  <si>
    <t>https://www.amx.com/en-US/products/dxf-rx-smd</t>
  </si>
  <si>
    <t>DXLink HDMI Multimode Fiber Receiver, Duplex</t>
  </si>
  <si>
    <t>DXLink Fiber HDMI Receiver Module (multimode/duplex), with SmartScale, HDCP compliant, compatible with Enova DGX DXLink Multimode Fiber Output Boards</t>
  </si>
  <si>
    <t>https://www.amx.com/en-US/products/dxf-rx-mmd</t>
  </si>
  <si>
    <t>DXLink HDMI Multimode Fiber Receiver, Simplex</t>
  </si>
  <si>
    <t>DXLink Fiber HDMI Receiver Module (multimode/simplex), with SmartScale, HDCP compliant, compatible with Enova DGX DXLink Multimode Fiber Output Boards</t>
  </si>
  <si>
    <t>https://www.amx.com/en-US/products/dxf-rx-mms</t>
  </si>
  <si>
    <t>DXFP-RX-4K60</t>
  </si>
  <si>
    <t>DXLink 4K60 HDMI Fiber Receiver</t>
  </si>
  <si>
    <t>https://www.amx.com/en-US/products/dxfp-rx-4k60</t>
  </si>
  <si>
    <t>DXFP-RX-4K60-TAA</t>
  </si>
  <si>
    <t>DXLink 4K60 HDMI Fiber Receiver, TAA</t>
  </si>
  <si>
    <t>CTP-1301</t>
  </si>
  <si>
    <t>REDUCED</t>
  </si>
  <si>
    <t>Presentation Connectivity and Transport Kit</t>
  </si>
  <si>
    <t>Presentation Connectivity and Transport Kit, 4K switching and distribution solution that combines switching, scaling and distance transport into a single kit that includes both transmitter and receiver.</t>
  </si>
  <si>
    <t>2.14/2.07</t>
  </si>
  <si>
    <t>7.67/8.78</t>
  </si>
  <si>
    <t>3.7/6.03</t>
  </si>
  <si>
    <t>0.98/0.98</t>
  </si>
  <si>
    <t>https://www.amx.com/en-US/products/ctp-1301</t>
  </si>
  <si>
    <t>AVB-VSTYLE-RMK-1U</t>
  </si>
  <si>
    <t>V Style Module Rack Mounting Tray</t>
  </si>
  <si>
    <t>V Style Module Rack Mounting Tray, use with Solecis Digital Switchers, DXLink Transmitter / Receiver, Converter, DAD Modules and more</t>
  </si>
  <si>
    <t>https://www.amx.com/en-US/products/avb-vstyle-rmk</t>
  </si>
  <si>
    <t>AVB-VSTYLE-RMK-FILL-1U</t>
  </si>
  <si>
    <t>V Style Module Tray with Fill Plates Kit</t>
  </si>
  <si>
    <t>V Style Module Rack Mounting Tray with fill plates, use with Solecis Digital Switchers, DXLink Transmitter / Receiver, Converter, DAD Modules and more</t>
  </si>
  <si>
    <t>AVB-VSTYLE-SURFACE-MNT</t>
  </si>
  <si>
    <t>V Style Single Module Surface Mount Kit</t>
  </si>
  <si>
    <t>V Style Single Module Surface Mount Brackets, use with Solecis Digital Switchers, DXLink Transmitter / Receiver, Converter, DAD Modules and more</t>
  </si>
  <si>
    <t>https://www.amx.com/en-US/products/avb-vstyle-surface-mnt</t>
  </si>
  <si>
    <t>AVB-VSTYLE-POLE-MNT</t>
  </si>
  <si>
    <t>V Style Single Module Pole Mounting Kit</t>
  </si>
  <si>
    <t>V Style Single Module Pole Mounting Kit, use with Solecis Digital Switchers, DXLink Transmitter / Receiver, Converter, DAD Modules and more</t>
  </si>
  <si>
    <t>https://www.amx.com/en-US/products/avb-vstyle-pole-mnt</t>
  </si>
  <si>
    <t>CTC-1402</t>
  </si>
  <si>
    <t>Conferencing Connectivity and Transport Kit</t>
  </si>
  <si>
    <t>Conferencing Connectivity and Transport Kit,  4K60 4:4:4 switching and distribution solution that combines switching, scaling and distance transport into a single kit that includes both a transmitter and receiver.</t>
  </si>
  <si>
    <t>0.97/0.94</t>
  </si>
  <si>
    <t>https://www.amx.com/en-US/products/ctc-1402</t>
  </si>
  <si>
    <t>SCL-1</t>
  </si>
  <si>
    <t>4K60 4:4:4 Video Scaler</t>
  </si>
  <si>
    <t>4K60 4:4:4 Video Scaler, HDCP 2.2 compliant</t>
  </si>
  <si>
    <t>https://www.amx.com/en-US/products/scl-1-video-scaler</t>
  </si>
  <si>
    <t>DCE-1</t>
  </si>
  <si>
    <t>In-Line Controller</t>
  </si>
  <si>
    <t>In-Line controller combines CEC control, EDID emulation and audio extraction. EDID emulation for resolutions up to 4K60 4:4:4, and includes HDCP 2.2 support</t>
  </si>
  <si>
    <t>https://www.amx.com/en-US/products/dce-1-in-line-controller</t>
  </si>
  <si>
    <t>PR01-RX</t>
  </si>
  <si>
    <t>Precis HDBaseT Receiver w/ Scaler</t>
  </si>
  <si>
    <t>https://www.amx.com/en-US/products/pr01-rx</t>
  </si>
  <si>
    <t>PR01-0808</t>
  </si>
  <si>
    <t>Precis 8x8+4 4K60 HDMI Matrix Switcher</t>
  </si>
  <si>
    <t>https://www.amx.com/en-US/products/pr01-0808</t>
  </si>
  <si>
    <t>CBL-HDMI-FL2-16</t>
  </si>
  <si>
    <t>16-foot 4K60 HDMI Flat Cable</t>
  </si>
  <si>
    <t>CBL-HDMI-FL2-16, 4K60 HDMI MyTurn ready 16 foot flat cable</t>
  </si>
  <si>
    <t>https://www.amx.com/en-US/products/cbl-hdmi-fl2</t>
  </si>
  <si>
    <t>CBL-DP-FL2-16</t>
  </si>
  <si>
    <t>16-foot 4K60 DisplayPort Flat Cable</t>
  </si>
  <si>
    <t>CBL-DP-FL2-16, 4K60 DisplayPort MyTurn ready 16 foot flat cable</t>
  </si>
  <si>
    <t>https://www.amx.com/en-US/products/cbl-dp-fl2</t>
  </si>
  <si>
    <t>CBL-ETH-FL2-16</t>
  </si>
  <si>
    <t>16-foot CAT6 Ethernet Flat Cable</t>
  </si>
  <si>
    <t>CBL-ETH-FL2-16, Cat6 Ethernet MyTurn ready 16 foot flat cable</t>
  </si>
  <si>
    <t>https://www.amx.com/en-US/products/cbl-eth-fl2</t>
  </si>
  <si>
    <t>CBL-USB-FL2-16</t>
  </si>
  <si>
    <t>16-foot USB 3.0 Flat Cable</t>
  </si>
  <si>
    <t>CBL-USB-FL2-16, USB MyTurn ready 16 foot flat cable</t>
  </si>
  <si>
    <t>https://www.amx.com/en-US/products/cbl-usb-fl2</t>
  </si>
  <si>
    <t>CBL-USB2-FL-16</t>
  </si>
  <si>
    <t>16-foot USB 2.0 Flat Cable</t>
  </si>
  <si>
    <t>16-foot USB Extension Cable.  Can be used with Acendo Core Meeting Space Collaboration System, Acendo Vibe Conferencing Sound Bar, Sereno Video Conferencing Camera, and similar USB peripherals.</t>
  </si>
  <si>
    <t>https://www.amx.com/en-US/products/cbl-usb2-fl</t>
  </si>
  <si>
    <t>EPICADGX288-ENC</t>
  </si>
  <si>
    <t>Epica DGX 288 Enclosure</t>
  </si>
  <si>
    <t>Epica DGX 288 Matrix Switcher Enclosure, 17RU compatible with Epica DGX 288 Single Mode Fiber and Multimode Fiber Boards for a maximum configuration of 288x288</t>
  </si>
  <si>
    <t>https://www.amx.com/en-US/products/epica-dgx-288-enclosure</t>
  </si>
  <si>
    <t>EPICADGX288-VIO-SMF-S</t>
  </si>
  <si>
    <t>Epica DGX 288 Single Mode Fiber Input/Output Board, Simplex</t>
  </si>
  <si>
    <t>16 Connection Single Mode Fiber Input/Output Board; provides 16 inputs and 16 outputs</t>
  </si>
  <si>
    <t>https://www.amx.com/en-US/products/epicadgx288-vio-smf-s</t>
  </si>
  <si>
    <t>EPICADGX288-VIO-MMF-S</t>
  </si>
  <si>
    <t>Epica DGX 288 MultiMode Fiber Input/Output Board, Simplex</t>
  </si>
  <si>
    <t>16 Connection Multi Mode Fiber Input/Output Board; provides 16 inputs and 16 outputs</t>
  </si>
  <si>
    <t>https://www.amx.com/en-US/products/epicadgx288-vio-mmf-s</t>
  </si>
  <si>
    <t>ENOVADGX-PS,DGX 8/16/32/800/1600 PS KIT</t>
  </si>
  <si>
    <t>DGX-I-HDMI</t>
  </si>
  <si>
    <t>Enova DGX HDMI Input Board</t>
  </si>
  <si>
    <t>4 connection HDMI Enova DGX Input Board includes HDCP compliance, compatible with Enova DGX 8, 16, 32 and 64 Enclosures</t>
  </si>
  <si>
    <t>https://www.amx.com/en-US/products/dgx-i-hdmi</t>
  </si>
  <si>
    <t>DGX-I-DXL</t>
  </si>
  <si>
    <t>Enova DGX DXLink Twisted Pair Input Board</t>
  </si>
  <si>
    <t>4 connection DXLink twisted pair Enova DGX Input Board, includes HDCP compliance, compatible with Enova DGX 8, 16, 32 and 64 Enclosures</t>
  </si>
  <si>
    <t>https://www.amx.com/en-US/products/dgx-i-dxl</t>
  </si>
  <si>
    <t>DGX-O-DXL</t>
  </si>
  <si>
    <t>Enova DGX DXLink Twisted Pair Output Board</t>
  </si>
  <si>
    <t>4 connection DXLink twisted pair Enova DGX Output Board includes HDCP compliance, compatible with Enova DGX 8, 16, 32 and 64 Enclosures</t>
  </si>
  <si>
    <t>https://www.amx.com/en-US/products/dgx-o-dxl</t>
  </si>
  <si>
    <t>DGX-I-DVI</t>
  </si>
  <si>
    <t>Enova DGX DVI Input Board</t>
  </si>
  <si>
    <t>4 connection DVI Enova DGX Input Board includes HDCP compliance, compatible with Enova DGX 8, 16, 32, and 64 Enclosures</t>
  </si>
  <si>
    <t>https://www.amx.com/en-US/products/dgx-i-dvi</t>
  </si>
  <si>
    <t>DGX-O-DVI</t>
  </si>
  <si>
    <t>Enova DGX DVI Output Board</t>
  </si>
  <si>
    <t>4 connection DVI Enova DGX Output Board includes HDCP compliance, SmartScale, compatible with Enova DGX 8, 16, 32 and 64 Enclosures</t>
  </si>
  <si>
    <t>https://www.amx.com/en-US/products/dgx-o-dvi</t>
  </si>
  <si>
    <t>DGX-O-DXF-SMD</t>
  </si>
  <si>
    <t>Enova DGX DXLink Single Mode Fiber Output Board, Duplex</t>
  </si>
  <si>
    <t>4 connection DXLink Fiber Enova DGX Output Board (single mode/duplex) includes HDCP compliance, compatible with Enova DGX 8, 16, 32 and 64 Enclosures</t>
  </si>
  <si>
    <t>https://www.amx.com/en-US/products/dgx-o-dxf-smd</t>
  </si>
  <si>
    <t>DGX-O-DXF-MMD</t>
  </si>
  <si>
    <t>Enova DGX DXLink Multimode Fiber Output Board, Duplex</t>
  </si>
  <si>
    <t>4 connection DXLink Fiber Enova DGX Output Board (multimode/duplex) includes HDCP compliance, compatible with Enova DGX 8, 16, 32 and 64 Enclosures</t>
  </si>
  <si>
    <t>https://www.amx.com/en-US/products/dgx-o-dxf-mmd</t>
  </si>
  <si>
    <t>DGX-AIE</t>
  </si>
  <si>
    <t>Enova DGX Audio Insert / Extract Board</t>
  </si>
  <si>
    <t>Enova DGX Audio Insert / Extract Expansion Board allows audio insertion or extraction on 16 video connections, compatible with Enova DGX 8, 16, 32 and 64 Enclosures</t>
  </si>
  <si>
    <t>https://www.amx.com/en-US/products/dgx-aie</t>
  </si>
  <si>
    <t>ENOVADGX-P2-PS</t>
  </si>
  <si>
    <t>Enova 1200 W Power supply replacement/spare</t>
  </si>
  <si>
    <t>1200 W Power supply replacement/spare for AVS-ENOVADGX32-ENC-A (FG1059-33) and DGX32-ENC-A (FG1060-32).  Please contact technical support before ordering</t>
  </si>
  <si>
    <t>Enova DGX 800 Enclosure</t>
  </si>
  <si>
    <t>Enova DGX 800 Digital Media Enclosure with Integrated NX Series Controller, 4 RU, 4K and Ultra High Definition (UHD) content ready, compatible with Enova DGX Boards for a maximum configuration of 8x8 (non standard discount)</t>
  </si>
  <si>
    <t>https://www.amx.com/en-US/products/dgx800-enc</t>
  </si>
  <si>
    <t>DGX8/16/3200-CPU</t>
  </si>
  <si>
    <t>Enova DGX 800 / 1600 / 3200 Enclosures CPU Replacement Kit</t>
  </si>
  <si>
    <t>https://www.amx.com/en-US/products/dgx800-1600-3200-cpu</t>
  </si>
  <si>
    <t>DGX6400-CPU</t>
  </si>
  <si>
    <t>Enova DGX 6400 Enclosure CPU Replacement Kit</t>
  </si>
  <si>
    <t>B2</t>
  </si>
  <si>
    <t>Enova DGX 1600 Enclosure</t>
  </si>
  <si>
    <t>Enova DGX 1600 Digital Media Enclosure with Integrated NX Series Controller, 4 RU, 4K and Ultra High Definition (UHD) content ready, compatible with Enova DGX Boards for a maximum configuration of 16x16</t>
  </si>
  <si>
    <t>https://www.amx.com/en-US/products/dgx1600-enc</t>
  </si>
  <si>
    <t>Enova DGX 3200 Enclosure</t>
  </si>
  <si>
    <t>Enova DGX 3200 Digital Media Enclosure with Integrated NX Series Controller, 6RU, 4K and Ultra High Definition (UHD) content ready, compatible with Enova DGX Boards for a maximum configuration of 32x32</t>
  </si>
  <si>
    <t>https://www.amx.com/en-US/products/dgx3200-enc</t>
  </si>
  <si>
    <t>DGX-I-HDMI-4K</t>
  </si>
  <si>
    <t>Enova DGX 4K HDMI Input Board</t>
  </si>
  <si>
    <t>4 connection 4K HDMI Enova DGX Input Board includes HDCP compliance, compatible with Enova DGX 800, 1600, 3200 and 6400 Enclosures</t>
  </si>
  <si>
    <t>https://www.amx.com/en-US/products/dgx-i-hdmi-4k</t>
  </si>
  <si>
    <t>DGX-I-HDMI-4K60</t>
  </si>
  <si>
    <t>Enova DGX 4K60 4:4:4 HDMI Input Board</t>
  </si>
  <si>
    <t>4 connection 4K60 4:4:4 HDMI Enova DGX Input Board includes HDCP 2.2 compliance and HDR support, compatible with Enova DGX 800, 1600, 3200 and 6400 Enclosures</t>
  </si>
  <si>
    <t>https://www.amx.com/en-US/products/dgx-i-hdmi-4k60</t>
  </si>
  <si>
    <t>DGX-O-HDMI-4K60</t>
  </si>
  <si>
    <t>Enova DGX 4K60 4:4:4 HDMI Output Board</t>
  </si>
  <si>
    <t>4 connection 4K60 4:4:4 HDMI Enova DGX Output Board includes HDCP 2.2 compliance and HDR support, compatible with Enova DGX 800, 1600, 3200 and 6400 Enclosures</t>
  </si>
  <si>
    <t>https://www.amx.com/en-US/products/dgx-o-hdmi-4k60</t>
  </si>
  <si>
    <t>DGX-I-DXL-4K</t>
  </si>
  <si>
    <t>Enova DGX DXLink Twisted Pair 4K Input Board</t>
  </si>
  <si>
    <t>4 connection 4K DXLink twisted pair Enova DGX Input Board, includes HDCP compliance, compatible with Enova DGX 800, 1600, 3200 and 6400 Enclosures</t>
  </si>
  <si>
    <t>https://www.amx.com/en-US/products/dgx-i-dxl-4k</t>
  </si>
  <si>
    <t>Enova DGX DXLink 4K60 Twisted Pair Input Board</t>
  </si>
  <si>
    <t>4 connection 4K60 DXLink twisted pair Enova DGX Input Board includes HDCP 2.2 compliance and HDR support, compatible with Enova DGX 800, 1600, 3200 and 6400 Enclosures</t>
  </si>
  <si>
    <t>https://www.amx.com/en-US/products/dgx-i-dxl-4k60</t>
  </si>
  <si>
    <t>Enova DGX DXLink 4K60 Twisted Pair Output Board</t>
  </si>
  <si>
    <t>4 connection 4K60 DXLink twisted pair Enova DGX Output Board includes HDCP 2.2 compliance and HDR support, compatible with Enova DGX 800, 1600, 3200 and 6400 Enclosures</t>
  </si>
  <si>
    <t>https://www.amx.com/en-US/products/dgx-o-dxl-4k60</t>
  </si>
  <si>
    <t>DGX-I-DXFP-4K60</t>
  </si>
  <si>
    <t>Enova DGX DXLink 4K60 Fiber Input Board</t>
  </si>
  <si>
    <t>4 connection 4K60 DXLink Fiber Enova DGX Input Board includes HDCP 2.2 compliance and HDR support, compatible with Enova DGX 800, 1600, 3200 and 6400 Enclosures</t>
  </si>
  <si>
    <t>https://www.amx.com/en-US/products/dgx-i-dxfp-4k60</t>
  </si>
  <si>
    <t>DGX-O-DXFP-4K60</t>
  </si>
  <si>
    <t>Enova DGX DXLink 4K60 Fiber Output Board</t>
  </si>
  <si>
    <t>4 connection 4K60 DXLink Fiber Enova DGX Output Board includes HDCP 2.2 compliance and HDR support, compatible with Enova DGX 800, 1600, 3200 and 6400 Enclosures</t>
  </si>
  <si>
    <t>https://www.amx.com/en-US/products/dgx-o-dxfp-4k60</t>
  </si>
  <si>
    <t>Enova DGX 6400 Enclosure</t>
  </si>
  <si>
    <t>Enova DGX 6400 Digital Media Enclosure with Integrated NX Controller, 4K Ready, 13RU, compatible with Enova DGX Boards, DXLink Twisted Pair and Fiber Boards for a maximum configuration of 64x64</t>
  </si>
  <si>
    <t>https://www.amx.com/en-US/products/dgx6400-enc</t>
  </si>
  <si>
    <t>DGX800/1600-ASB</t>
  </si>
  <si>
    <t>Audio Switching Board Kit For Enova DGX 800/1600</t>
  </si>
  <si>
    <t>The DGX800/1600-AS is a pair of audio switching boards that include both an Input and an Output board for the Enova DGX 800 and 1600, includes audio breakaway, downmixing, DSP and 10 band parametric EQ on every output</t>
  </si>
  <si>
    <t>https://www.amx.com/en-US/products/dgx800-1600-asb</t>
  </si>
  <si>
    <t>DGX3200-ASB</t>
  </si>
  <si>
    <t>Audio Switching Board Kit For Enova DGX 3200</t>
  </si>
  <si>
    <t>The DGX3200-ASB is a pair of audio switching boards that include both an Input and an Output board for the Enova DGX 3200, includes audio breakaway, downmixing, DSP and 10 band parametric EQ on every output</t>
  </si>
  <si>
    <t>https://www.amx.com/en-US/products/dgx3200-asb</t>
  </si>
  <si>
    <t>Audio Switching Board Kit For Enova DGX 6400</t>
  </si>
  <si>
    <t>The DGX6400-ASB is two pairs of audio switching boards that include two Input and two Output boards for the Enova DGX 6400, includes audio breakaway, downmixing, DSP and 10 band parametric EQ on every output</t>
  </si>
  <si>
    <t>https://www.amx.com/en-US/products/dgx6400-asb</t>
  </si>
  <si>
    <t>DGX3200-ASB-DAN</t>
  </si>
  <si>
    <t>Enova DGX Dante Audio Switching Board Kit for 800/1600/3200</t>
  </si>
  <si>
    <t>https://www.amx.com/en-US/products/dgx3200-asb-dan</t>
  </si>
  <si>
    <t>DGX6400-ASB-DAN</t>
  </si>
  <si>
    <t>Enova DGX Dante Audio Switching Board Kit for 6400</t>
  </si>
  <si>
    <t>https://www.amx.com/en-US/products/dgx6400-asb-dan</t>
  </si>
  <si>
    <t>CC-C13-C14</t>
  </si>
  <si>
    <t>PDU Power Cable - C13 to C14</t>
  </si>
  <si>
    <t>Power Cable with C14 and C13 plug types for connecting power to NXA-PDU-1508-8</t>
  </si>
  <si>
    <t>https://www.amx.com/en-US/products/cc-c13-c14</t>
  </si>
  <si>
    <t>CC-C14-NEMA</t>
  </si>
  <si>
    <t>PDU Power Cable - C14 to NEMA</t>
  </si>
  <si>
    <t>Power Cable with C14 and NEMA plug types for connecting power to NXA-PDU-1508-8</t>
  </si>
  <si>
    <t>https://www.amx.com/en-US/products/cc-c14-nema</t>
  </si>
  <si>
    <t>AVX-PS-12VDC-2.5A</t>
  </si>
  <si>
    <t>AVS-PS-12VDC-2.5A,12V 2.5A DESKTOP SPLY W/PCORD</t>
  </si>
  <si>
    <t>6x2+1 4K60 4:4:4 All-In-One Presentation Switcher</t>
  </si>
  <si>
    <t>8x4+2 4K60 4:4:4 All-In-One Presentation Switcher</t>
  </si>
  <si>
    <t>6x3 All-In-One Presentation Switcher with 8 Ohms amplifier</t>
  </si>
  <si>
    <t>6x3 All-In-One Presentation Switchers with NX Control (Multi-Format, HDMI and DXLink Inputs) - 2x25W 8-Ohm amplifier, includes integrated NX Controller and Multi-Format Matrix Switcher DXLink Output with InstaGate Pro, SmartScale, DSP Audio Processing</t>
  </si>
  <si>
    <t>https://www.amx.com/en-US/products/dvx-2255hd</t>
  </si>
  <si>
    <t>DVX-2255HD-T</t>
  </si>
  <si>
    <t>6x3 All-In-One Presentation Switcher with  70/100V amplifier</t>
  </si>
  <si>
    <t>6x3 All-In-One Presentation Switchers with NX Control (Multi-Format, HDMI and DXLink Inputs) - 75W, 70/100V amplifier, includes integrated NX Controller and Multi-Format Matrix Switcher with DXLink Output InstaGate Pro, SmartScale, DSP Audio Processing</t>
  </si>
  <si>
    <t>EXB-REL8</t>
  </si>
  <si>
    <t>8 SPST NC 2A Relay expansion over Ethernet</t>
  </si>
  <si>
    <t>ICSLan Relay Interface, 8 Channels</t>
  </si>
  <si>
    <t>https://www.amx.com/en-US/products/exb-rel8</t>
  </si>
  <si>
    <t>EXB-I/O8</t>
  </si>
  <si>
    <t>8 Digital Input/Output Expansion over Ethernet</t>
  </si>
  <si>
    <t>ICSLan Input/Output Interface, 8 Channels</t>
  </si>
  <si>
    <t>https://www.amx.com/en-US/products/exb-io8</t>
  </si>
  <si>
    <t>EXB-COM2</t>
  </si>
  <si>
    <t>2 RS-232 COM Port Expansion over Ethernet</t>
  </si>
  <si>
    <t>ICSLan Serial Interface, 2 Ports</t>
  </si>
  <si>
    <t>https://www.amx.com/en-US/products/exb-com2</t>
  </si>
  <si>
    <t>EXB-IRS4</t>
  </si>
  <si>
    <t>4 Infrared control port expansion over Ethernet</t>
  </si>
  <si>
    <t>ICSLan IR/S Interface, 4 IR/S and 4 Inputs</t>
  </si>
  <si>
    <t>https://www.amx.com/en-US/products/exb-irs4</t>
  </si>
  <si>
    <t>EXB-MP1</t>
  </si>
  <si>
    <t>Multi-Port expansion over Ethernet</t>
  </si>
  <si>
    <t>ICSLan Multi-Port, 1 COM, 1 IR/S, 2 I/O, 1 IR RX</t>
  </si>
  <si>
    <t>https://www.amx.com/en-US/products/exb-mp1</t>
  </si>
  <si>
    <t>MCP-106L-BL</t>
  </si>
  <si>
    <t>Massio™ 6-Button ControlPad - Black - Landscape</t>
  </si>
  <si>
    <t>Massio 6-Button Ethernet ControlPad, Landscape Black - Fits into standard 1 gang US, UK or EU back box</t>
  </si>
  <si>
    <t>https://www.amx.com/en-US/products/mcp-106</t>
  </si>
  <si>
    <t>MCP-106L-WH</t>
  </si>
  <si>
    <t>Massio™ 6-Button ControlPad - White - Landscape</t>
  </si>
  <si>
    <t>MCP-106P-BL</t>
  </si>
  <si>
    <t>Massio™ 6-Button ControlPad - Black - Portrait</t>
  </si>
  <si>
    <t>Massio 6-Button Ethernet ControlPad, Portrait, Black - Fits into standard 1 gang US, UK or EU back box</t>
  </si>
  <si>
    <t>MCP-106P-WH</t>
  </si>
  <si>
    <t>Massio™ 6-Button ControlPad - White - Portrait</t>
  </si>
  <si>
    <t>Massio 6-Button Ethernet ControlPad, Portrait, White - Fits into standard 1 gang US, UK or EU back box</t>
  </si>
  <si>
    <t>MCP-108-BL</t>
  </si>
  <si>
    <t>Massio™ 8-Button ControlPad - Black</t>
  </si>
  <si>
    <t>Massio 8-Button Ethernet ControlPad with Knob, Black - Fits into standard 2 gang US, UK or EU back box</t>
  </si>
  <si>
    <t>https://www.amx.com/en-US/products/mcp-108</t>
  </si>
  <si>
    <t>MCP-108-WH</t>
  </si>
  <si>
    <t>Massio™ 8-Button ControlPad - White</t>
  </si>
  <si>
    <t>Massio 8-Button  Ethernet ControlPad with Knob, White - Fits into standard 2 gang US, UK or EU back box</t>
  </si>
  <si>
    <t>NX-1200</t>
  </si>
  <si>
    <t>NetLinx Integrated Controller - Compact form factor</t>
  </si>
  <si>
    <t>NX-1200 NetLinx NX Integrated Controller with 512 MB RAM, 1600 MIPS Processor, 4 UK of FLASH, 2 Serial Ports, 2 IR Ports, 4 I/O Ports, and IPv6</t>
  </si>
  <si>
    <t>https://www.amx.com/en-US/products/nx-1200</t>
  </si>
  <si>
    <t>NX-2200</t>
  </si>
  <si>
    <t>NetLinx Integrated Controller - 1 RU</t>
  </si>
  <si>
    <t>NX-2200 NetLinx NX Integrated Controller with 512 MB RAM, 1600 MIPS Processor, 8 UK of FLASH, 4 Serial Ports, 4 IR Ports, 4 I/O Ports, 4 Relays, IPv6, and Dual NIC</t>
  </si>
  <si>
    <t>https://www.amx.com/en-US/products/nx-2200</t>
  </si>
  <si>
    <t>NX-3200</t>
  </si>
  <si>
    <t>NetLinx Integrated Controller - 1RU - Dual LAN</t>
  </si>
  <si>
    <t>NX-3200 NetLinx NX Integrated Controller with 512 MB RAM, 1600 MIPS Processor, 8 UK of FLASH, 8 Serial Ports, 8 IR Ports, 8 I/O Ports, 8 Relays,  IPv6,  and Dual NIC</t>
  </si>
  <si>
    <t>https://www.amx.com/en-US/products/nx-3200</t>
  </si>
  <si>
    <t>NX-4200</t>
  </si>
  <si>
    <t>NetLinx Integrated Controller - 1RU - LCD Display</t>
  </si>
  <si>
    <t>NX-4200 NetLinx NX Integrated Controller with 1 UK RAM, 1600 MIPS Processor, 8 UK of FLASH, 8 Serial Ports, 8 IR Ports, 8 I/O Ports, 8 Relays, IPv6,  and Dual NIC with 4 port PoE Switch</t>
  </si>
  <si>
    <t>https://www.amx.com/en-US/products/nx-4200</t>
  </si>
  <si>
    <t>MST-701</t>
  </si>
  <si>
    <t>7" Modero S Tabletop Touch Panel</t>
  </si>
  <si>
    <t>7" Modero S Tabletop Touch Panel, features include: brilliant 24-bit color depth, PoE, VoIP, Bluetooth, USB and streaming video, 1080x600 touch panel resolution</t>
  </si>
  <si>
    <t>https://www.amx.com/en-US/products/mst-701</t>
  </si>
  <si>
    <t>CB-MSA-10</t>
  </si>
  <si>
    <t>Rough-in Box for 10" Touch Panels</t>
  </si>
  <si>
    <t>Rough-In Box &amp; Cover Plate for the 10.1" Wall-Mount Modero G5 &amp; Modero S Touch Panels.  Also fits 10.1” Acendo Book &amp; RoomBook.</t>
  </si>
  <si>
    <t>MSA-RMK-10</t>
  </si>
  <si>
    <t>Rack Mount Kit for 10" Touch Panels</t>
  </si>
  <si>
    <t>Rack Mount Kit for the 10.1” Wall-Mount Modero G5 &amp; Modero S Series Touch Panels.  Mounts panel directly to an equipment rack.</t>
  </si>
  <si>
    <t>https://www.amx.com/en-US/products/msa-rmk-10</t>
  </si>
  <si>
    <t>MSA-RMK-07</t>
  </si>
  <si>
    <t>Rack Mount Kit for 7" Touch Panels</t>
  </si>
  <si>
    <t>Rack Mount Kit for the 7” Wall-Mount Modero G5 &amp; Modero S Series Touch Panels.  Mounts panel directly to an equipment rack.</t>
  </si>
  <si>
    <t>https://www.amx.com/en-US/products/msa-rmk-07</t>
  </si>
  <si>
    <t>MSA-STMK-10</t>
  </si>
  <si>
    <t>Secure Table Mount Kit for 10" Touch Panels</t>
  </si>
  <si>
    <t>Secure Table Mount Kit for the 10.1” Tabletop Modero G5 &amp; Modero S Series Touch Panels.  Securely mounts panel to a table top via a mounting plate and/or Kensington lock attachment.</t>
  </si>
  <si>
    <t>https://www.amx.com/en-US/products/msa-stmk-10</t>
  </si>
  <si>
    <t>MSA-STMK-07</t>
  </si>
  <si>
    <t>Secure Table Mount Kit for 7" Touch Panels</t>
  </si>
  <si>
    <t>Secure Table Mount Kit for the 7” Tabletop Modero G5 &amp; Modero S Series Touch Panels.  Securely mounts panel to a table top via a mounting plate and/or Kensington lock attachment.</t>
  </si>
  <si>
    <t>https://www.amx.com/en-US/products/msa-stmk-07</t>
  </si>
  <si>
    <t>MSA-MMK2-10</t>
  </si>
  <si>
    <t>Multi-Mount Kit for 10" Touch Panels</t>
  </si>
  <si>
    <t>Multi Mount Kit for 10.1" Wall-Mount Modero G5 &amp; Modero S Series Touch Panels.  Mounts to any smooth surface including glass without drilling or cutting.</t>
  </si>
  <si>
    <t>https://www.amx.com/en-US/products/msa-mmk2-10</t>
  </si>
  <si>
    <t>MSA-MMK2-07</t>
  </si>
  <si>
    <t>Multi-Mount Kit for 7" Touch Panels</t>
  </si>
  <si>
    <t>Multi Mount Kit for 7" Wall-Mount Modero G5 &amp; Modero S Series Touch Panels.  Mounts to any smooth surface including glass without drilling or cutting.</t>
  </si>
  <si>
    <t>https://www.amx.com/en-US/products/msa-mmk2-07</t>
  </si>
  <si>
    <t>MSD-1001-L2</t>
  </si>
  <si>
    <t>10" Modero S Wall-Mount Touch Panel</t>
  </si>
  <si>
    <t>10.1" Modero S Wall Landscape Mount Touch Panel, features include: room availability bar, brilliant 24-bit color depth, PoE, VoIP, Bluetooth, USB and streaming video, 1280x800 touch panel resolution</t>
  </si>
  <si>
    <t>https://www.amx.com/en-US/products/msd-1001</t>
  </si>
  <si>
    <t>MSA-AMK2-07</t>
  </si>
  <si>
    <t>Any-Mount Kit for 7" Touch Panels</t>
  </si>
  <si>
    <t>Any Mount Kit for 7" Wall-Mount Modero G5 &amp; Modero S Touch Panels.  Mounts to standard sized single &amp; double gang boxes in the US, EU, UK and Australia.</t>
  </si>
  <si>
    <t>https://www.amx.com/en-US/products/msa-amk2-07</t>
  </si>
  <si>
    <t>MSA-AMK2-10</t>
  </si>
  <si>
    <t>Any-Mount Kit for 10" Touch Panels</t>
  </si>
  <si>
    <t>The MSA-AMK-10 Any Mount Kit is designed to mount the 10.1" Modero S Wall Mount Touch Panel to standard sized single and double gang boxes in the US, EU, UK and Australia, compatible with MSD-1001-L2 (FG2265-31) and ACB-2110 (FG4221-10)</t>
  </si>
  <si>
    <t>https://www.amx.com/en-US/products/msa-amk2-10</t>
  </si>
  <si>
    <t>RMS-ENT-SCH</t>
  </si>
  <si>
    <t>AMX-SFT</t>
  </si>
  <si>
    <t>RMS Enterprise Scheduling License</t>
  </si>
  <si>
    <t>RMS Enterprise Scheduler assists attendees in locating meeting rooms by displaying the scheduled appointments on a touch screen in the meeting room and adjacent room entrances, and it eliminates delays in meeting start times by allowing room technologies</t>
  </si>
  <si>
    <t>https://www.amx.com/en-US/products/rms-ent</t>
  </si>
  <si>
    <t>RMS Enterprise 1000 Asset License</t>
  </si>
  <si>
    <t>RMS Enterprise 1000 Location Licenses, Server License not included (non-standard discount)</t>
  </si>
  <si>
    <t>RMS-SCH-EWS</t>
  </si>
  <si>
    <t>Exchange/O365 Scheduling Plugin for RMS</t>
  </si>
  <si>
    <t>RMS Enterprise Interface for Microsoft Exchange Web Services (EWS), utilizes Microsoft’s Exchange Web Services API to communicate with Exchange 2010 servers, available for download in the AMX Tech Center on AMX.com</t>
  </si>
  <si>
    <t>IN</t>
  </si>
  <si>
    <t>RMS-SCH-LN</t>
  </si>
  <si>
    <t>Lotus Notes Scheduling Plugin for RMS</t>
  </si>
  <si>
    <t>RMS Enterprise Interface for Lotus Notes Domino, available for download in the AMX Tech Center on AMX.com</t>
  </si>
  <si>
    <t>RMS Enterprise Asset Monitoring Server</t>
  </si>
  <si>
    <t>RMS Enterprise Server, 1000 Location Licenses and 3 Year Maintenance (non-standard discount)</t>
  </si>
  <si>
    <t>RMS-ENT-SMA</t>
  </si>
  <si>
    <t>RMS Enterprise Software Maintenance Agreement</t>
  </si>
  <si>
    <t>RMS Software Maintenance Agreement Renewal</t>
  </si>
  <si>
    <t>NMX-VRK</t>
  </si>
  <si>
    <t>V Style Rack Mounting Shelf, 12" Depth</t>
  </si>
  <si>
    <t>NMX-VRK Rack Mount Shelf is designed for use with NMX-ENC H.264 Encoders with Record</t>
  </si>
  <si>
    <t>https://www.amx.com/en-US/products/nmx-vrk</t>
  </si>
  <si>
    <t>Acendo Vibe Soundbar BLACK</t>
  </si>
  <si>
    <t>Acendo Vibe Conferencing Sound Bar (Black), featuring sound by JBL, integrated JBL speakers, far-field microphones, and DSP algorithms ensure everyone in the room hears and is heard clearly</t>
  </si>
  <si>
    <t>https://www.amx.com/en-US/products/acv-2100</t>
  </si>
  <si>
    <t>Acendo Vibe Soundbar GRAY</t>
  </si>
  <si>
    <t>Acendo Vibe Conferencing Sound Bar (Grey), featuring sound by JBL, integrated JBL speakers, far-field microphones, and DSP algorithms ensure everyone in the room hears and is heard clearly</t>
  </si>
  <si>
    <t>Acendo Vibe Conferencing Soundbar GRAY</t>
  </si>
  <si>
    <t xml:space="preserve">Acendo Vibe Conferencing Sound Bar with Camera (Gray),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t>
  </si>
  <si>
    <t>https://www.amx.com/en-US/products/acv-5100</t>
  </si>
  <si>
    <t>ACB-2110</t>
  </si>
  <si>
    <t>10" Acendo Book scheduling touch panel</t>
  </si>
  <si>
    <t>The ACB-2110 AMX Acendo Book 10.1” Touch Panel is a standalone scheduling panel that integrates directly with room scheduling software like Microsoft Exchange, Office 365, Google Calendar and IBM/Lotus Notes</t>
  </si>
  <si>
    <t>https://www.amx.com/en-US/products/acb-2110</t>
  </si>
  <si>
    <t>Power Supply - 12VDC 3.0A 1.3mm Barrel Connector</t>
  </si>
  <si>
    <t>The PS3.0 power supply provides 3.0 A of DC power for the MVP-5200i Modero Touch Panel and other NetLinx devices. This is  a Class 1 power supply which is CE approved and UL listed. The PS3.0 comes with an 0.43-inch (11mm) 1.3 mm barrel-plug.</t>
  </si>
  <si>
    <t>https://www.amx.com/en-US/products/ps3-0</t>
  </si>
  <si>
    <t>PSR5.4</t>
  </si>
  <si>
    <t>Power Supply - 12VDC 5.4A 1x 3.5mm Phoenix Connector, Retention Screws</t>
  </si>
  <si>
    <t>PSR5.4, Power Supply, 12 VDC, 5.4 A Power Supply with 3.5 mm Phoenix Connector with Retention Screws</t>
  </si>
  <si>
    <t>https://www.amx.com/en-US/products/psr5-4</t>
  </si>
  <si>
    <t>Power Supply - 12VDC 5.5A 3x 3.5mm Phoenix Connectors, Retention Screws</t>
  </si>
  <si>
    <t>PSR7-V 12 VDC, 5.5 A Power Supply</t>
  </si>
  <si>
    <t>https://www.amx.com/en-US/products/psr7-v</t>
  </si>
  <si>
    <t>PoE Injector - 802.3af</t>
  </si>
  <si>
    <t>PoE Injector transmits both power and data through a single cable to a remotely located Power-over-Ethernet enabled device</t>
  </si>
  <si>
    <t>https://www.amx.com/en-US/products/ps-poe-af-tc</t>
  </si>
  <si>
    <t>PoE Injector - 802.3at</t>
  </si>
  <si>
    <t>High Power PoE Injector for DXLink Twisted Pair TX/RX and MVP-9000i, 802.3AT Compliant</t>
  </si>
  <si>
    <t>https://www.amx.com/en-US/products/ps-poe-at-tc</t>
  </si>
  <si>
    <t>Rack mount for AXB and NMS devices</t>
  </si>
  <si>
    <t>Accessory Rack Kit holds up to three NetLinx modules and measures only one rack unit in height</t>
  </si>
  <si>
    <t>https://www.amx.com/en-US/products/ac-rk</t>
  </si>
  <si>
    <t>HPX-AV102-DVI+A</t>
  </si>
  <si>
    <t>DVI module for Hydraport</t>
  </si>
  <si>
    <t>The HPX-AV102-DVI+A, DVI with Stereo Module with Integrated Cables, provides DVI video plus stereo audio connectivity to the Hydraport HPX-600,900,1200 and 1600 Connection Ports</t>
  </si>
  <si>
    <t>https://www.amx.com/en-US/products/hpx-av101-dvi-plusa</t>
  </si>
  <si>
    <t>HPX-AV101-HDMI</t>
  </si>
  <si>
    <t>HDMI module for Hydraport</t>
  </si>
  <si>
    <t>HPX-AV101-HDMI, Single HDMI Module with Integrated Cable, provides an HDMI pass-through connection to Hydraport HPX-600,900,1200 and 1600 Connection Ports</t>
  </si>
  <si>
    <t>https://www.amx.com/en-US/products/hpx-av101-hdmi</t>
  </si>
  <si>
    <t>HPX-AV102-RGB+A</t>
  </si>
  <si>
    <t>VGA module for Hydraport</t>
  </si>
  <si>
    <t>HPX-AV102-RGB+A,VGA with Stereo Module with Integrated Cables, provides RUKHV Video with stereo audio pass-through connection to Hydraport HPX-600,900,1200 and 1600 Connection Ports</t>
  </si>
  <si>
    <t>https://www.amx.com/en-US/products/hpx-av102-rgb-plusa</t>
  </si>
  <si>
    <t>HPX-AV102-HDMI-R</t>
  </si>
  <si>
    <t>HDMI retractable cable module for Hydraport</t>
  </si>
  <si>
    <t>The HPX-AV102-HDMI-R 4K60 HDMI Module with Retractable MyTurn ready Cable delivers digital video in resolutions up to 4K @60hz with 5 feet available pullout from Hydraport HPX-600, 900 and 1200 Connection Ports or Touch Connection Ports</t>
  </si>
  <si>
    <t>https://www.amx.com/en-US/products/hpx-av102-hdmi-r</t>
  </si>
  <si>
    <t>HPX-N102-ETH-R</t>
  </si>
  <si>
    <t>Ethernet retractable cable module for Hydraport</t>
  </si>
  <si>
    <t>The HPX-N102-ETH-R Cat6 Ethernet Module with Retractable MyTurn ready Cable provides a compact solution with 4 feet available pullout from Hydraport HPX-600, 900 and 1200 Connection Ports or Touch Connection Ports</t>
  </si>
  <si>
    <t>https://www.amx.com/en-US/products/hpx-n102-eth-r</t>
  </si>
  <si>
    <t>HPX-AV103-RGB+A-R</t>
  </si>
  <si>
    <t>VGA retractable cable module for Hydraport</t>
  </si>
  <si>
    <t>The HPX-AV103-RGB+A-R, VGA with Stereo Module with Retractable MyTurn ready Cable provides a compact solution with 5 feet available pullout from Hydraport HPX-600, 900 and 1200 Connection Ports or Touch Connection Ports</t>
  </si>
  <si>
    <t>https://www.amx.com/en-US/products/hpx-av103-rgb-plusa-r</t>
  </si>
  <si>
    <t>HPX-AV102-USB-R</t>
  </si>
  <si>
    <t>USB 3.0 retractable cable module for Hydraport</t>
  </si>
  <si>
    <t>The HPX-AV102-USB-R USB 3.0 Module with Retractable MyTurn ready Cable provides a compact solution with 4 feet available pullout from Hydraport HPX-600, 900 and 1200 Connection Ports or Touch Connection Ports</t>
  </si>
  <si>
    <t>https://www.amx.com/en-US/products/hpx-av102-usb-r</t>
  </si>
  <si>
    <t>HPX-AV102A-DP-R</t>
  </si>
  <si>
    <t>DisplayPort retractable cable module for Hydraport</t>
  </si>
  <si>
    <t>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t>
  </si>
  <si>
    <t>https://www.amx.com/en-US/products/hpx-av102a-dp-r</t>
  </si>
  <si>
    <t>HPX-AV102A-MDP-R</t>
  </si>
  <si>
    <t>Mini-DisplayPort retractable cable module for Hydraport</t>
  </si>
  <si>
    <t>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t>
  </si>
  <si>
    <t>https://www.amx.com/en-US/products/hpx-av102a-mdp-r</t>
  </si>
  <si>
    <t>HPX-N100-RJ45</t>
  </si>
  <si>
    <t>Single RJ-45 module for Hydraport</t>
  </si>
  <si>
    <t>The HPX-N100-RJ45, Single Ethernet Module, provides a single RJ-45 connection to the Hydraport HPX-600,900,1200 and 1600 Connection Ports</t>
  </si>
  <si>
    <t>https://www.amx.com/en-US/products/hpx-n100-rj45</t>
  </si>
  <si>
    <t>HPX-N102-RJ45</t>
  </si>
  <si>
    <t>Dual RJ-45 module for Hydraport</t>
  </si>
  <si>
    <t>The HPX-N102-RJ45, Dual Ethernet Module, provides two RJ-45 connections to the Hydraport HPX-600,900,1200 and 1600 Connection Ports</t>
  </si>
  <si>
    <t>https://www.amx.com/en-US/products/hpx-n102-rj45</t>
  </si>
  <si>
    <t>HPX-N100-USB</t>
  </si>
  <si>
    <t>Single USB Device  module for Hydraport</t>
  </si>
  <si>
    <t>The HPX-N100-USB, Single USB Module, provides a single USB connection to the Hydraport HPX-600,900,1200 and 1600 Connection Ports</t>
  </si>
  <si>
    <t>https://www.amx.com/en-US/products/hpx-n100-usb</t>
  </si>
  <si>
    <t>HPX-N102-USB</t>
  </si>
  <si>
    <t>Dual USB Device module for Hydraport</t>
  </si>
  <si>
    <t>The HPX-N102-USB, Dual USB Module with Printed USB Symbol provides a dual USB connection to the Hydraport HPX-600,900,1200 and 1600 Connection Ports</t>
  </si>
  <si>
    <t>https://www.amx.com/en-US/products/hpx-n102-usb</t>
  </si>
  <si>
    <t>HPX-N102-USB-PC</t>
  </si>
  <si>
    <t>Dual USB Charging module for Hydraport</t>
  </si>
  <si>
    <t>The HPX-N102-USB-PC, Dual USB Module with Printed Charging Symbol provides a dual USB connection to the Hydraport® chassis, it also allows the user to identify USB ports to be used for power charging, power source is included</t>
  </si>
  <si>
    <t>https://www.amx.com/en-US/products/hpx-n102-usb-pc</t>
  </si>
  <si>
    <t>HPX-U100-BTN</t>
  </si>
  <si>
    <t>Single Button module for Hydraport</t>
  </si>
  <si>
    <t>Hydraport Single Button Module</t>
  </si>
  <si>
    <t>https://www.amx.com/en-US/products/hpx-u100-btn</t>
  </si>
  <si>
    <t>HPX-U100-2BTN</t>
  </si>
  <si>
    <t>Dual button module for Hydraport</t>
  </si>
  <si>
    <t>The HPX-U100-2BTN, 2-Button Keypad Module with LEDs is a Hydraport module with two buttons that enable users to switch to a specific device when pressed</t>
  </si>
  <si>
    <t>https://www.amx.com/en-US/products/hpx-u100-2btn</t>
  </si>
  <si>
    <t>HPX-B050</t>
  </si>
  <si>
    <t>1/2M Half Blank module for Hydraport</t>
  </si>
  <si>
    <t>1/2M high blank panel for filling unused slots in the Hydraport HPX-600,900,1200 and 1600 Connection Ports</t>
  </si>
  <si>
    <t>https://www.amx.com/en-US/products/hpx-b050</t>
  </si>
  <si>
    <t>HPX-B100</t>
  </si>
  <si>
    <t>1M Single Blank module for Hydraport</t>
  </si>
  <si>
    <t>1M high blank panel for filling unused slots in the Hydraport HPX-600,900,1200 and 1600 Connection Ports</t>
  </si>
  <si>
    <t>https://www.amx.com/en-US/products/hpx-b100</t>
  </si>
  <si>
    <t>HPX-AC-TMPLT-600</t>
  </si>
  <si>
    <t>Hydraport Cutout Template for HPX-600</t>
  </si>
  <si>
    <t>The Hydraport Installation Router Guide HPX-AC-TMPLT-600 is a sturdy, re-usable cutting template to simplify the installation of a 6-Module Hydraport chassis, HPX-600. Use this template for cutting the table or lectern, ensuring a correct fit every time</t>
  </si>
  <si>
    <t>https://www.amx.com/en-US/site_elements/quick-start-guide-hpx-ac-tmplt-hpx-600-900-1200-installation-router-guides</t>
  </si>
  <si>
    <t>HPX-AC-TMPLT-1200</t>
  </si>
  <si>
    <t>Hydraport Cutout Template for HPX-1200</t>
  </si>
  <si>
    <t>The Hydraport Installation Router Guide HPX-AC-TMPLT-1200 is a sturdy, re-usable cutting template to simplify the installation of a 12-Module Hydraport chassis, HPX-1200. Use this template for cutting the table or lectern, ensuring a correct fit every time</t>
  </si>
  <si>
    <t>HPX-600BL</t>
  </si>
  <si>
    <t>6-space Hydraport BLACK</t>
  </si>
  <si>
    <t>Hydraport 6 Module Connection Port - Black Model - Modular connectivity system accommodates the diverse needs of conference and meeting room visitors. Elegant flush-mount design conveniently opens in both directions</t>
  </si>
  <si>
    <t>https://www.amx.com/en-US/products/hpx-600</t>
  </si>
  <si>
    <t>HPX-600SL</t>
  </si>
  <si>
    <t>6-space Hydraport SILVER</t>
  </si>
  <si>
    <t>Hydraport 6 Module Connection Port - Silver Model - Modular connectivity system accommodates the diverse needs of conference and meeting room visitors. Elegant flush-mount design conveniently opens in both directions</t>
  </si>
  <si>
    <t>HPX-900BL</t>
  </si>
  <si>
    <t>9-space Hydraport BLACK</t>
  </si>
  <si>
    <t>Hydraport 9 Module Connection Port - Black Model - Modular connectivity system accommodates the diverse needs of conference and meeting room visitors. Elegant flush-mount design conveniently opens in both directions</t>
  </si>
  <si>
    <t>https://www.amx.com/en-US/products/hpx-900</t>
  </si>
  <si>
    <t>HPX-900SL</t>
  </si>
  <si>
    <t>9-space Hydraport SILVER</t>
  </si>
  <si>
    <t>Hydraport 9 Module Connection Port - Silver Model - Modular connectivity system accommodates the diverse needs of conference and meeting room visitors. Elegant flush-mount design conveniently opens in both directions</t>
  </si>
  <si>
    <t>HPX-1200BL</t>
  </si>
  <si>
    <t>12-space Hydraport BLACK</t>
  </si>
  <si>
    <t>Hydraport 12 Module Connection Port - Black Model - Modular connectivity system accommodates the diverse needs of conference and meeting room visitors. Elegant flush-mount design conveniently opens in both directions</t>
  </si>
  <si>
    <t>https://www.amx.com/en-US/products/hpx-1200</t>
  </si>
  <si>
    <t>HPX-1200SL</t>
  </si>
  <si>
    <t>12-space Hydraport SILVER</t>
  </si>
  <si>
    <t>Hydraport 12 Module Connection Port - Silver Model - Modular connectivity system accommodates the diverse needs of conference and meeting room visitors. Elegant flush-mount design conveniently opens in both directions</t>
  </si>
  <si>
    <t>HPX-P200-PC-US</t>
  </si>
  <si>
    <t>US Power Outlet (Type A/B) with cord for Hydraport</t>
  </si>
  <si>
    <t>The HPX-P200-PC-US, Power Outlet (US) Module with Cord, is a Hydraport Power Outlet Module for HPX-600/900/1200 - US</t>
  </si>
  <si>
    <t>https://www.amx.com/en-US/products/hpx-p200-pc-us</t>
  </si>
  <si>
    <t>HPX-P250-PC-UK</t>
  </si>
  <si>
    <t>UK Power Outlet (Type G) for Hydraport</t>
  </si>
  <si>
    <t>The HPX-P250-PC-UK, Power Outlet (UK) Module, is a Hydraport Power Outlet Module for HPX-600/900/1200 - UK</t>
  </si>
  <si>
    <t>https://www.amx.com/en-US/products/hpx-p250-pc-uk</t>
  </si>
  <si>
    <t>HPX-P200-PC-EU</t>
  </si>
  <si>
    <t>EU Power Outlet (Type F) for Hydraport</t>
  </si>
  <si>
    <t>The HPX-P200-PC-EU, Power Outlet (EU) Module, is a Hydraport Power Outlet Module for HPX-600/900/1200 - EU</t>
  </si>
  <si>
    <t>https://www.amx.com/en-US/products/hpx-p200-pc-eu</t>
  </si>
  <si>
    <t>HPX-P200-PC-AU</t>
  </si>
  <si>
    <t>Australian Outlet (Type I) for Hydraport</t>
  </si>
  <si>
    <t>HPX-P200-PC-AU, Power Outlet (AU) Module, is a Hydraport Power Outlet Module for HPX-600/900/1200 - AU</t>
  </si>
  <si>
    <t>https://www.amx.com/en-US/products/hpx-p200-pc-au</t>
  </si>
  <si>
    <t>HPX-P250-PC-IN</t>
  </si>
  <si>
    <t>India Power Outlet (Type D/M) for Hydraport</t>
  </si>
  <si>
    <t>The HPX-P250-PC-IN, Power Outlet (IN) Module, is a Hydraport Power Outlet Module for HPX-600/900/1200 - IN</t>
  </si>
  <si>
    <t>https://www.amx.com/en-US/products/hpx-p250-pc-in</t>
  </si>
  <si>
    <t>HPX-P200-PC-EU2</t>
  </si>
  <si>
    <t>EU Power Outlet (Type E) for Hydraport</t>
  </si>
  <si>
    <t>The HPX-P200-PC-EU2, Power Outlet (EU) Module provides power connectivity for Eastern European (Type E with Ground Pin) plug types</t>
  </si>
  <si>
    <t>https://www.amx.com/en-US/products/hpx-p200-pc-eu2</t>
  </si>
  <si>
    <t>HPX-CPT200-W</t>
  </si>
  <si>
    <t>Cable Passthru module for Hydraport</t>
  </si>
  <si>
    <t>The HPX-CPT200-W, Cable Pass-Thru Well Module, provides a convenient way to keep cables out of site in an HPX-600, 900 or 1200 chassis</t>
  </si>
  <si>
    <t>https://www.amx.com/en-US/products/hpx-cpt200-w</t>
  </si>
  <si>
    <t>HPX-CPTS100-W</t>
  </si>
  <si>
    <t>Cable Passthru Spacer module for Hydraport</t>
  </si>
  <si>
    <t>The HPX-CPTS100-W when used in conjunction with the HPX-CPT200-W increases the number of cables that can be passed through from 2 to 4</t>
  </si>
  <si>
    <t>https://www.amx.com/en-US/products/hpx-cpts100-w</t>
  </si>
  <si>
    <t>HPX-N100-SRJ45</t>
  </si>
  <si>
    <t>Single Shielded RJ-45 module for Hydraport</t>
  </si>
  <si>
    <t>The HPX-N100-SRJ45 module provides one Shielded RJ-45 connection to a Hydraport 600, 900 or 1200. Due to the extended depth of this module it is not recommended for use with the HPX-1600</t>
  </si>
  <si>
    <t>https://www.amx.com/en-US/products/hpx-n100-srj45</t>
  </si>
  <si>
    <t>HPX-N102-SRJ45</t>
  </si>
  <si>
    <t>Dual Shielded RJ-45 module for Hydraport</t>
  </si>
  <si>
    <t>The HPX-N102-SRJ45 module provides two Shielded RJ-45 connections to the Hydraport 600, 900 or 1200. Due to the extended depth of this module it is not recommended for use with the HPX-1600</t>
  </si>
  <si>
    <t>https://www.amx.com/en-US/products/hpx-n102-srj45</t>
  </si>
  <si>
    <t>HPX-U400-R-MET-6NE</t>
  </si>
  <si>
    <t>Metreau Keypad module for Hydraport</t>
  </si>
  <si>
    <t>The HPX-U400-R-MET-6NE, Metreau 6-Button Ethernet Keypad Ramp Mount Kit, is a Metreau 6-Button Ethernet Keypad in a carrier that allows it to be installed into the Hydraport HPX-600,900 and 1200 Connection Ports</t>
  </si>
  <si>
    <t>https://www.amx.com/en-US/products/hpx-u400-r-met-6ne</t>
  </si>
  <si>
    <t>HPX-U400-R-MET-13E</t>
  </si>
  <si>
    <t>The HPX-U400-R-MET-13E, Metreau 13-Button Ethernet Keypad Ramp Mount Kit, is a Metreau 13-Button Ethernet Keypad in a carrier that allows it to be installed into the Hydraport HPX-600,900 and 1200 Connection Ports</t>
  </si>
  <si>
    <t>https://www.amx.com/en-US/products/hpx-u400-r-met-13e</t>
  </si>
  <si>
    <t>HPX-U400-R-MET-7E</t>
  </si>
  <si>
    <t>The HPX-U400-R-MET-7E, Metreau 7-Button Ethernet Keypad Ramp Mount Kit, is a Metreau 7-Button Ethernet Keypad in a carrier that allows it to be installed into the Hydraport HPX-600,900 and 1200 Connection Ports</t>
  </si>
  <si>
    <t>https://www.amx.com/en-US/products/hpx-u400-r-met-7e</t>
  </si>
  <si>
    <t>HPG-10-10K</t>
  </si>
  <si>
    <t>Hydraport Mini Grommet 10-pack</t>
  </si>
  <si>
    <t>Hydraport 3/4" Mini-Grommet, 10-Pack</t>
  </si>
  <si>
    <t>https://www.amx.com/en-US/products/hpg-10</t>
  </si>
  <si>
    <t>HPG-20B-GB</t>
  </si>
  <si>
    <t>Hydraport Grommet 2-inch</t>
  </si>
  <si>
    <t>Hydraport 2" Grommet, Gloss Black in Black Anodized Aluminum</t>
  </si>
  <si>
    <t>https://www.amx.com/en-US/products/hpg-20</t>
  </si>
  <si>
    <t>HPG-20B-GS</t>
  </si>
  <si>
    <t>Hydraport 2" Grommet, Gloss Silver in Black Anodized Aluminum</t>
  </si>
  <si>
    <t>HPG-20B-MB</t>
  </si>
  <si>
    <t>Hydraport 2" Grommet, Matte Black in Black Anodized Aluminum</t>
  </si>
  <si>
    <t>HPG-20S-FG</t>
  </si>
  <si>
    <t>Hydraport 2" Grommet, Frosted in Silver Anodized Aluminum</t>
  </si>
  <si>
    <t>HPG-20S-GS</t>
  </si>
  <si>
    <t>Hydraport 2" Grommet, Gloss Silver in Silver Anodized Aluminum</t>
  </si>
  <si>
    <t>HPG-20-SL</t>
  </si>
  <si>
    <t>Hydraport 2" Grommet, Silver Plastic</t>
  </si>
  <si>
    <t>HPG-20S-MB</t>
  </si>
  <si>
    <t>Hydraport 2" Grommet, Matte Black in Silver Anodized Aluminum</t>
  </si>
  <si>
    <t>HPX-MSP-7-BL</t>
  </si>
  <si>
    <t>Hydraport with 7" touch panel BLACK</t>
  </si>
  <si>
    <t>Hydraport Touch Connection Port with 7" Panel, Black; 8 module connection port with Modero S Series Touch Panel built into the cover</t>
  </si>
  <si>
    <t>https://www.amx.com/en-US/products/hpx-msp-7</t>
  </si>
  <si>
    <t>HPX-MSP-7-SL</t>
  </si>
  <si>
    <t>Hydraport with 7" touch panel SILVER</t>
  </si>
  <si>
    <t>Hydraport Touch Connection Port with 7" Panel, Silver; 8 module connection port with Modero S Series Touch Panel built into the cover</t>
  </si>
  <si>
    <t>HPX-MSP-10-SL</t>
  </si>
  <si>
    <t>Hydraport with 10" touch panel SILVER</t>
  </si>
  <si>
    <t>Hydraport Touch Connection Port with 10" Panel, Silver; 10 module connection port with Modero S Series Touch Panel built into the cover</t>
  </si>
  <si>
    <t>https://www.amx.com/en-US/products/hpx-msp-10</t>
  </si>
  <si>
    <t>HPX-MSP-10-BL</t>
  </si>
  <si>
    <t>Hydraport with 10" touch panel BLACK</t>
  </si>
  <si>
    <t>Hydraport Touch Connection Port with 10" Panel, Black; 10 module connection port with Modero S Series Touch Panel built into the cover</t>
  </si>
  <si>
    <t>MET-6NE-BL</t>
  </si>
  <si>
    <t>Metreau Keypad 6-button nav wheel BLACK</t>
  </si>
  <si>
    <t>Metreau 6-Button Ethernet Keypad with Navigation, Install in Decora-style wallplates, Black</t>
  </si>
  <si>
    <t>https://www.amx.com/en-US/products/met-6ne</t>
  </si>
  <si>
    <t>MET-6NE-WH</t>
  </si>
  <si>
    <t>Metreau Keypad 6-button nav wheel WHITE</t>
  </si>
  <si>
    <t>Metreau 6-Button Ethernet Keypad with Navigation, Install in Decora-style wallplates, White</t>
  </si>
  <si>
    <t>MET-13E-BL</t>
  </si>
  <si>
    <t>Metreau Keypad 13-button BLACK</t>
  </si>
  <si>
    <t>Metreau 13-Button Ethernet Keypad, Install in Decora-style wallplates, Black</t>
  </si>
  <si>
    <t>https://www.amx.com/en-US/products/met-13e</t>
  </si>
  <si>
    <t>MET-13E-WH</t>
  </si>
  <si>
    <t>Metreau Keypad 13-button WHITE</t>
  </si>
  <si>
    <t>Metreau 13-Button Ethernet Keypad, Install in Decora-style wallplates, White</t>
  </si>
  <si>
    <t>MET-7E-BL</t>
  </si>
  <si>
    <t>Metreau Keypad 7-button BLACK</t>
  </si>
  <si>
    <t>Metreau 7-Button Ethernet Keypad, Install in Decora-style wallplates, Black</t>
  </si>
  <si>
    <t>https://www.amx.com/en-US/products/met-7e</t>
  </si>
  <si>
    <t>MET-7E-WH</t>
  </si>
  <si>
    <t>Metreau Keypad 7-button WHITE</t>
  </si>
  <si>
    <t>Metreau 7-Button Ethernet Keypad, Install in Decora-style wallplates, White</t>
  </si>
  <si>
    <t>MKP-106L-BL</t>
  </si>
  <si>
    <t>Massio Keypad 6-button landscape BLACK</t>
  </si>
  <si>
    <t>Massio 6-Button Ethernet Keypad, Landscape, Black - Fits into standard 1 gang US, UK, or EU back box. Use in conjunction with NetLinx control or as a secondary UI with Massio ControlPads</t>
  </si>
  <si>
    <t>https://www.amx.com/en-US/products/mkp-106</t>
  </si>
  <si>
    <t>MKP-106L-WH</t>
  </si>
  <si>
    <t>Massio Keypad 6-button landscape WHITE</t>
  </si>
  <si>
    <t>Massio 6-Button Ethernet Keypad, Landscape, White - Fits into standard 1 gang US, UK, or EU back box. Use in conjunction with NetLinx control or as a secondary UI with Massio ControlPads</t>
  </si>
  <si>
    <t>MKP-106P-BL</t>
  </si>
  <si>
    <t>Massio Keypad 6-button portrait BLACK</t>
  </si>
  <si>
    <t>Massio 6-Button Ethernet Keypad, Portrait, Black - Fits into standard 1 gang US, UK, or EU back box. Use in conjunction with NetLinx control or as a secondary UI with Massio ControlPads</t>
  </si>
  <si>
    <t>MKP-106P-WH</t>
  </si>
  <si>
    <t>Massio Keypad 6-button portrait WHITE</t>
  </si>
  <si>
    <t>Massio 6-Button Ethernet Keypad, Portrait, White - Fits into standard 1 gang US, UK, or EU back box. Use in conjunction with NetLinx control or as a secondary UI with Massio ControlPads</t>
  </si>
  <si>
    <t>MKP-108L-BL</t>
  </si>
  <si>
    <t>Massio Keypad 8-button BLACK</t>
  </si>
  <si>
    <t>Massio 8-Button Ethernet Keypad, Landscape, Black - Fits into standard 2 gang US, UK, or EU back box. Use in conjunction with NetLinx control or as a secondary UI with Massio ControlPads</t>
  </si>
  <si>
    <t>https://www.amx.com/en-US/products/mkp-108</t>
  </si>
  <si>
    <t>MKP-108L-WH</t>
  </si>
  <si>
    <t>Massio Keypad 8-button WHITE</t>
  </si>
  <si>
    <t>Massio 8-Button Ethernet Keypad, Landscape, White - Fits into standard 2 gang US, UK, or EU back box. Use in conjunction with NetLinx control or as a secondary UI with Massio ControlPads</t>
  </si>
  <si>
    <t>MXA-MPL</t>
  </si>
  <si>
    <t>Multi Preview Live Video Accessory for Touch Panels</t>
  </si>
  <si>
    <t>Modero Series Multi Preview Live.  Displays HD digital video streams on Modero Series Touch Panels when used in conjunction with an Enova DVX or Enova DGX.  It can also be used to display up to 10 preview images.</t>
  </si>
  <si>
    <t>https://www.amx.com/en-US/products/mxa-mpl</t>
  </si>
  <si>
    <t>MXA-CLK</t>
  </si>
  <si>
    <t>Touch Panel Screen Cleaning Kit</t>
  </si>
  <si>
    <t>Screen Cleaning Kit, Modero X/S Series</t>
  </si>
  <si>
    <t>https://www.amx.com/en-US/products/mxa-clk</t>
  </si>
  <si>
    <t>MPA-VRK</t>
  </si>
  <si>
    <t>Rack Mount Shelf</t>
  </si>
  <si>
    <t>Rack Mounting Tray for MXA-MPL and MXA-MP</t>
  </si>
  <si>
    <t>https://www.amx.com/en-US/products/mpa-vrk</t>
  </si>
  <si>
    <t>MXD-1001-P</t>
  </si>
  <si>
    <t>10" Modero X G5 Wall-mount TP, portrait</t>
  </si>
  <si>
    <t>10.1" Modero X Series G5 Widescreen Portrait Wall Mount Touch Panel, features: G5 graphics engine, quad core processor, capacitive multi-touch screen, mic, intercom, speakers, NFC support, LED backlight &amp; 800x1280 resolution</t>
  </si>
  <si>
    <t>https://www.amx.com/en-US/products/mxd-1001</t>
  </si>
  <si>
    <t>MXD-701-P</t>
  </si>
  <si>
    <t>7" Modero X G5 Wall-mount TP, portrait</t>
  </si>
  <si>
    <t>7" Modero X Series G5 Widescreen Portrait Wall Touch Panel, features: G5 graphics engine, quad core processor, capacitive multi-touch screen, mic, intercom, speakers, NFC support, LED backlight &amp; 600x1024 resolution</t>
  </si>
  <si>
    <t>https://www.amx.com/en-US/products/mxd-701</t>
  </si>
  <si>
    <t>MXR-1001-BL</t>
  </si>
  <si>
    <t>10" Modero X G5 Retractable TP, black</t>
  </si>
  <si>
    <t>10.1" Modero X Series G5 Retractable Touch Panel, Black; the motorized mount raises and retracts the panel with the press of a button or via NetLinx control</t>
  </si>
  <si>
    <t>https://www.amx.com/en-US/products/mxr-1001</t>
  </si>
  <si>
    <t>MXR-1001-SL</t>
  </si>
  <si>
    <t>10" Modero X G5 Retractable TP, silver</t>
  </si>
  <si>
    <t>10.1" Modero X Series G5 Retractable Touch Panel, Silver; the motorized mount raises and retracts the panel with the press of a button or via NetLinx control</t>
  </si>
  <si>
    <t>MXA-STMK-10</t>
  </si>
  <si>
    <t>Secure Table Mount for 10" Modero X</t>
  </si>
  <si>
    <t>Secure Table Mount Kit for the 10.1” Modero X Series Tabletop Touch Panel securely mounts panel to a table top via a mounting plate and/or Kensington lock attachment: Compatible with MXT-1001 (FG5968-47), MXT-1000 (FG5968-03) and MXT-1000-NC (FG5968-24)</t>
  </si>
  <si>
    <t>https://www.amx.com/en-US/products/mxa-stmk-10</t>
  </si>
  <si>
    <t>MXA-STMK-07</t>
  </si>
  <si>
    <t>Secure Table Mount for 7" Modero X</t>
  </si>
  <si>
    <t>Secure Table Mount Kit for the 7” Modero X Series Tabletop Touch Panel securely mounts panel to a table top via a mounting plate and/or Kensington lock attachment: Compatible with MXT-701 (FG5968-53), MXT-700 (FG5968-04) and MXT-700-NC (FG5968-27)</t>
  </si>
  <si>
    <t>https://www.amx.com/en-US/products/mxa-stmk-07</t>
  </si>
  <si>
    <t>MXA-FMK-10</t>
  </si>
  <si>
    <t>Flush Mount for 10" Modero X</t>
  </si>
  <si>
    <t>Flush Mount Kit for 10.1" Modero X Series Wall Mount Touch Panels provides totally flush installation, compatible with MXD-1001-P (FG5968-48), MXD-1001-L (FG5968-49), MXD-1000-P (FG5968-07), MXD-1000-L (FG5968-13), MXD-1000-P-NC (FG5968-25), and MXD-1000-</t>
  </si>
  <si>
    <t>https://www.amx.com/en-US/products/mxa-fmk-10</t>
  </si>
  <si>
    <t>MXA-FMK-07</t>
  </si>
  <si>
    <t>Flush Mount for 7" Modero X</t>
  </si>
  <si>
    <t>Flush Mount Kit for 7" X Series Wall Mount Touch Panels provides totally flush installation, compatible with MXD-701-P (FG5968-54), MXD-701-L (FG5968-55), MXD-700-P (FG5968-08), MXD-700-L (FG5968-14), MXD-700-P-NC (FG5968-28) and MXD-700-L-NC (FG5968-29)</t>
  </si>
  <si>
    <t>https://www.amx.com/en-US/products/mxa-fmk-07</t>
  </si>
  <si>
    <t>CB-MXP-07-F</t>
  </si>
  <si>
    <t>Rough-in Box for 7" Modero X</t>
  </si>
  <si>
    <t>Flush Mount Rough-In Box and Cover Plate, for use with MXA-FMK-07 Flush Mount Kit for 7" Modero X Series Wall Mount Touch Panels</t>
  </si>
  <si>
    <t>https://www.amx.com/en-US/products/cb-mxp-07-f</t>
  </si>
  <si>
    <t>MT-1002</t>
  </si>
  <si>
    <t>10" Modero G5 Tabletop Touch Panel</t>
  </si>
  <si>
    <t>MT-1002, 10.1" Modero G5 Tabletop Touch Panel</t>
  </si>
  <si>
    <t>https://www.amx.com/en-US/products/mt-1002</t>
  </si>
  <si>
    <t>MD-1002</t>
  </si>
  <si>
    <t>10" Modero G5 Wall-mount Touch Panel</t>
  </si>
  <si>
    <t>MD-1002-BL, 10.1" Modero G5 Wall-Mount Touch Panel, Black</t>
  </si>
  <si>
    <t>https://www.amx.com/en-US/products/md-1002</t>
  </si>
  <si>
    <t>MT-702</t>
  </si>
  <si>
    <t>7" Modero G5 Tabletop Touch Panel</t>
  </si>
  <si>
    <t>MT-702, 7" Modero G5 Tabletop Touch Panel</t>
  </si>
  <si>
    <t>https://www.amx.com/en-US/products/mt-702</t>
  </si>
  <si>
    <t>MD-702</t>
  </si>
  <si>
    <t>7" Modero G5 Wall-mount Touch Panel</t>
  </si>
  <si>
    <t>MD-702-BL, 7" Modero G5 Wall-Mount Touch Panel, Black</t>
  </si>
  <si>
    <t>https://www.amx.com/en-US/products/md-702</t>
  </si>
  <si>
    <t>MXA-RMK-07</t>
  </si>
  <si>
    <t>Rack Mount Kit for 7" Modero X</t>
  </si>
  <si>
    <t>Rack Mount Kit for the 7” Modero X Series Widescreen Landscape Wall Mount Touch Panel mounts panel directly to an equipment rack, compatible with MXD-701-L (FG5968-55), MXD-700-L (FG5968-14) and MXD-700-L-NC (FG5968-29)</t>
  </si>
  <si>
    <t>https://www.amx.com/en-US/products/mxa-rmk-07</t>
  </si>
  <si>
    <t>PC1</t>
  </si>
  <si>
    <t>1 Switched Outlet, contact closure input</t>
  </si>
  <si>
    <t>Power Controller, 10 A (110 VAC only)</t>
  </si>
  <si>
    <t>https://www.amx.com/en-US/products/pc1</t>
  </si>
  <si>
    <t>AxLink Bus Strip</t>
  </si>
  <si>
    <t>AxLink Power and data distribution with power indicator</t>
  </si>
  <si>
    <t>NMX-ENC-N1115-WP-BL</t>
  </si>
  <si>
    <t>N1000 Series AV Over IP Decor Style Wallplate Encoder with KVM in Black</t>
  </si>
  <si>
    <t>SVSI Decor Style Wallplate Minimal Compression Video over IP Encoder with Ethernet port, KVM-over-IP keyboard and mouse operation, serial, audio, VGA, and HDMI video connections, black</t>
  </si>
  <si>
    <t>https://www.amx.com/en-US/products/nmx-enc-n1115-wp-wallplate-encoder</t>
  </si>
  <si>
    <t>NMX-ENC-N1115-WP-WH</t>
  </si>
  <si>
    <t>N1000 Series AV Over IP Decor Style Wallplate Encoder with KVM in White</t>
  </si>
  <si>
    <t>SVSI Decor Style Wallplate Minimal Compression Video over IP Encoder with Ethernet port, KVM-over-IP keyboard and mouse operation, serial, audio, VGA, and HDMI video connections, white</t>
  </si>
  <si>
    <t>N1000 Series AV Over IP Decoder with AES67 Support, Card</t>
  </si>
  <si>
    <t>SVSI Minimal Compression Video over IP Encoder Card with two RJ45 network ports (one POE), IR, serial, balanced audio, VGA, and HDMI video connections - must be used in conjunction with NMX-ACC-N9206 Rack Mount Cage</t>
  </si>
  <si>
    <t>https://www.amx.com/en-US/products/nmx-enc-n1122a-c-encoder-card</t>
  </si>
  <si>
    <t>NMX-ENC-N1122A</t>
  </si>
  <si>
    <t>N1000 Series AV Over IP Encoder with PoE, AES67 Support, Stand-alone</t>
  </si>
  <si>
    <t>SVSI Stand-alone Minimal Compression Video over IP Encoder with two RJ45 network ports (one POE), IR, serial, balanced audio, VGA, and HDMI video connections</t>
  </si>
  <si>
    <t>https://www.amx.com/en-US/products/nmx-enc-n1122a-encoder</t>
  </si>
  <si>
    <t>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t>
  </si>
  <si>
    <t>NMX-ENC-N1134A</t>
  </si>
  <si>
    <t>N1000 Series HD-SDI AV over IP Encoder, Stand-alone</t>
  </si>
  <si>
    <t>SVSi Stand-alone Minimal Compression Video over IP featuring SDI input</t>
  </si>
  <si>
    <t>https://www.amx.com/en-US/products/nmx-enc-n1134a-encoder</t>
  </si>
  <si>
    <t>NMX-DEC-N1222A-C</t>
  </si>
  <si>
    <t>SVSI Minimal Compression Video over IP Decoder Card with two RJ45 network ports (one POE), IR, serial, balanced audio, and HDMI video out - must be used in conjunction with NMX-ACC-N9206 Rack Mount Cage</t>
  </si>
  <si>
    <t>https://www.amx.com/en-US/products/nmx-dec-n1222a-c-decoder-card</t>
  </si>
  <si>
    <t>NMX-DEC-N1222A</t>
  </si>
  <si>
    <t>N1000 Series AV Over IP Decoder with PoE, AES67 Support, Stand-alone</t>
  </si>
  <si>
    <t>SVSI Stand-alone Minimal Compression Video over IP Decoder with two RJ45 network ports (one POE), IR, serial, balanced audio, and HDMI video out, AES67 compatible</t>
  </si>
  <si>
    <t>https://www.amx.com/en-US/products/nmx-dec-n1222a-decoder</t>
  </si>
  <si>
    <t>NMX-DEC-N1233A-C</t>
  </si>
  <si>
    <t>N1000 Series AV Over IP Decoder with KVM AES67 Support, Card</t>
  </si>
  <si>
    <t>https://www.amx.com/en-US/products/nmx-dec-n1233a-c-decoder-card</t>
  </si>
  <si>
    <t>NMX-WP-N1512</t>
  </si>
  <si>
    <t>N1000 Series HD Windowing Processor, 4x1</t>
  </si>
  <si>
    <t>N1000 Windowing Processor, 4x1 + Stacking; functions with the N1000 Encoders and Decoders and is capable of handling multiple real-time HD streams</t>
  </si>
  <si>
    <t>https://www.amx.com/en-US/products/nmx-wp-n1512-windowing-processor</t>
  </si>
  <si>
    <t>JPEG 2000 Digital Cinema Grade AV over IP Encoder, PoE, HDMI, AES67 Support, Card</t>
  </si>
  <si>
    <t>SVSI JPEG2000 Encoder Card with ultra-low latency for 1080p/60hz, RJ45 (with PoE), IR, serial, balanced audio, VGA, and HDMI connectors, AES67 compatible - must be used in conjunction with NMX-ACC-N9206 Rack Mount Cage</t>
  </si>
  <si>
    <t>https://www.amx.com/en-US/products/nmx-enc-n2122a-c-encoder-card</t>
  </si>
  <si>
    <t>NMX-ENC-N2135A-C</t>
  </si>
  <si>
    <t>JPEG 2000 1080p Low Latency AV over IP Encoder with KVM, PoE, SFP, HDMI, AES67 Support, Card</t>
  </si>
  <si>
    <t>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t>
  </si>
  <si>
    <t>https://www.amx.com/en-US/products/nmx-enc-n2135a-c-encoder-card</t>
  </si>
  <si>
    <t>NMX-ENC-N2135A</t>
  </si>
  <si>
    <t>JPEG 2000 1080p Low Latency AV over IP Encoder with KVM, PoE, SFP, HDMI, AES67 Support, Stand-alone</t>
  </si>
  <si>
    <t>https://www.amx.com/en-US/products/nmx-enc-n2135a-encoder</t>
  </si>
  <si>
    <t>NMX-DEC-N2212A</t>
  </si>
  <si>
    <t>JPEG 2000 Digital Cinema Grade AV over IP Decoder, HDMI, AES67 Support, Stand-alone</t>
  </si>
  <si>
    <t>SVSI Stand-alone JPEG2000 Decoder with ultra-low latency for 1080p/60hz, RJ45, serial, balanced audio, VGA, and HDMI connectors, AES67 compatible (power supply included)</t>
  </si>
  <si>
    <t>https://www.amx.com/en-US/products/nmx-dec-n2212a-decoder</t>
  </si>
  <si>
    <t>NMX-ENC-N2312-C</t>
  </si>
  <si>
    <t>N2300 Series 4K UHD Video over IP Card Encoder with KVM, PoE, Card</t>
  </si>
  <si>
    <t>SVSI N2300 Series  4K Encoder card with one SFP fiber/RJ45 copper network port cage, and one RJ45 (with PoE), IR, serial, KVM-over IP keyboard and mouse operation, balanced audio, HDMI connection, (SFP module included) - must be used in conjunction with NMX-ACC-N9206 Rack Mount Cage</t>
  </si>
  <si>
    <t>https://www.amx.com/en-US/products/nmx-enc-n2312-c-encoder-card</t>
  </si>
  <si>
    <t>NMX-ENC-N2312</t>
  </si>
  <si>
    <t>N2300 Series 4K UHD Video over IP Stand Alone Encoder with KVM, PoE, Stand-alone</t>
  </si>
  <si>
    <t xml:space="preserve">SVSI N2300 Series stand-alone 4K Encoder with one SFP fiber/RJ45 copper network port cage, and one RJ45 (with PoE), IR, serial, KVM-over IP keyboard and mouse operation, balanced audio, HDMI connection, (SFP module included, power supply not included) </t>
  </si>
  <si>
    <t>https://www.amx.com/en-US/products/nmx-enc-n2312-encoder</t>
  </si>
  <si>
    <t>NMX-ENC-N2315-WP-BL</t>
  </si>
  <si>
    <t>N2300 Series 4K UHD Video Over IP Decor Style Wallplate Encoder with KVM, PoE, Black</t>
  </si>
  <si>
    <t>SVSI N2300 Series Decor Style Wallplate 4K Video over IP Encoder with Ethernet port, KVM-over-IP keyboard and mouse operation, serial, audio, VGA, and HDMI video connections, black</t>
  </si>
  <si>
    <t>https://www.amx.com/en-US/products/nmx-enc-n2315-wp-wallplate-encoder</t>
  </si>
  <si>
    <t>NMX-ENC-N2315-WP-WH</t>
  </si>
  <si>
    <t>N2300 Series 4K UHD Video Over IP Decor Style Wallplate Encoder with KVM, PoE, White</t>
  </si>
  <si>
    <t>SVSI N2300 Series Decor Style Wallplate 4K Video over IP Encoder with Ethernet port, KVM-over-IP keyboard and mouse operation, serial, audio, VGA, and HDMI video connections, white</t>
  </si>
  <si>
    <t>NMX-DEC-N2322</t>
  </si>
  <si>
    <t>N2300 Series 4K UHD Video over IP Stand Alone Decoder with KVM, PoE, Stand-alone</t>
  </si>
  <si>
    <t xml:space="preserve">SVSI N2300 Series stand-alone 4K Decoder with one SFP fiber/RJ45 copper network port cage, and one RJ45 (with PoE), IR, serial, KVM-over IP keyboard and mouse operation, balanced audio, HDMI connection, (SFP module included, power supply not included) </t>
  </si>
  <si>
    <t>https://www.amx.com/en-US/products/nmx-dec-n2322-decoder</t>
  </si>
  <si>
    <t>NMX-WP-N2410</t>
  </si>
  <si>
    <t>N2400 Series 4K60 4:4:4 Windowing Processor, 4x1</t>
  </si>
  <si>
    <t>NMX-WP-N2410, WINDOW PROC,N2400,4X1</t>
  </si>
  <si>
    <t>https://www.amx.com/en-US/products/nmx-wp-n2410-windowing-processor</t>
  </si>
  <si>
    <t>NMX-ENC-N2412A-C</t>
  </si>
  <si>
    <t>JPEG 2000 4K60 4:4:4 &amp; HDR Video Over IP Encoder Card with POE+, KVM, &amp; AES67, Card</t>
  </si>
  <si>
    <t>N2400 Series JPEG2000 4K Encoder card, 4K 60 4:4:4 with one SFP fiber/RJ45 copper network port cage, one RJ45 (with PoE), serial, KVM-over IP keyboard and mouse operation, balanced audio, AES67 interoperability, HDMI connection - must be used in conjunction with NMX-ACC-N9206 Rack Mount Cage</t>
  </si>
  <si>
    <t>https://www.amx.com/en-US/products/nmx-enc-n2412a-c-encoder-card</t>
  </si>
  <si>
    <t>JPEG 2000 4K60 4:4:4 &amp; HDR Video Over IP Encoder, Stand Alone with POE+, KVM, &amp; AES67, Stand-alone</t>
  </si>
  <si>
    <t>N2400 Series JPEG2000 stand-alone 4K Encoder, 4K 60 4:4:4 with one SFP fiber/RJ45 copper network port cage, one RJ45 (with PoE), serial, KVM-over IP keyboard and mouse operation, balanced audio, AES67 interoperability, HDMI connection (SFP module not included)</t>
  </si>
  <si>
    <t>https://www.amx.com/en-US/products/nmx-enc-n2412a-encoder</t>
  </si>
  <si>
    <t>NMX-DEC-N2422A</t>
  </si>
  <si>
    <t>JPEG 2000 4K60 4:4:4 &amp; HDR Video Over IP Decoder, Stand Alone with POE+, KVM, &amp; AES67, Stand-alone</t>
  </si>
  <si>
    <t>N2400 Series JPEG2000 stand-alone 4K Decoder 4K 60 4:4:4 with one SFP fiber/RJ45 copper network port cage, one RJ45 (with PoE), serial, KVM-over IP keyboard and mouse operation, balanced audio, AES67 interoperability, HDMI connection</t>
  </si>
  <si>
    <t>https://www.amx.com/en-US/products/nmx-dec-n2422a-decoder</t>
  </si>
  <si>
    <t>NMX-DEC-N2424A</t>
  </si>
  <si>
    <t>N2400 Series JPEG2000 stand-alone 4K Decoder 4K 60 4:4:4 with two two RJ45 (one with PoE), serial, KVM-over IP keyboard and mouse operation, balanced audio, AES67 interoperability, HDMI connection</t>
  </si>
  <si>
    <t>https://www.amx.com/en-US/products/nmx-dec-n2424a-decoder</t>
  </si>
  <si>
    <t>NMX-WP-2510</t>
  </si>
  <si>
    <t>N2000 Series HD Windowing Processor, 4x1</t>
  </si>
  <si>
    <t>The SVSI NMX-WP-N2510 Windowing Processor functions with the N2000 JPGEG2000 family of Video over IP Encoders and Decoders and are capable of handling multiple real-time HD streams with no video input or output connectors – only a single network port</t>
  </si>
  <si>
    <t>https://www.amx.com/en-US/products/nmx-wp-n2510-windowing-processor</t>
  </si>
  <si>
    <t>H.264 Compressed Video over IP Encoder, PoE, SFP, HDMI, USB for Record, Card</t>
  </si>
  <si>
    <t>SVSI H.264 Encoder Card with USB for record, one SFP fiber/RJ45 copper network port cage, and one RJ45 (with PoE), IR, serial, VGA and HDMI connection (SFP module not included) - must be used in conjunction with NMX-ACC-N9206 Rack Mount Cage</t>
  </si>
  <si>
    <t>https://www.amx.com/en-US/products/nmx-enc-n3132-c-encoder-card</t>
  </si>
  <si>
    <t>H.264 Compressed Video over IP Encoder, PoE, SFP, HDMI, USB for Record, Stand-alone</t>
  </si>
  <si>
    <t>SVSI Stand-alone H.264 Encoder with USB for record, one  SFP fiber/RJ45 copper network port cage, and one RJ45 (with PoE), IR, serial, VGA and HDMI connection (SFP module not included, power supply is not included)</t>
  </si>
  <si>
    <t>https://www.amx.com/en-US/products/nmx-enc-n3132-encoder</t>
  </si>
  <si>
    <t>H.264 Compressed Video over IP Decoder, PoE, SFP, HDMI, USB for Recordv, Card</t>
  </si>
  <si>
    <t>SVSI H.264 Decoder Card with USB for record, one  SFP fiber/RJ45 copper network port cage, and one RJ45 (with PoE), IR, serial, VGA and HDMI connection (SFP module not included) - must be used in conjunction with NMX-ACC-N9206 Rack Mount Cage</t>
  </si>
  <si>
    <t>https://www.amx.com/en-US/products/nmx-dec-n3232-c-decoder-card</t>
  </si>
  <si>
    <t>H.264 Compressed Video over IP Decoder, PoE, SFP, HDMI, USB for Record, Stand-alone</t>
  </si>
  <si>
    <t>SVSI Stand-alone H.264 Decoder with USB for record, one SFP fiber/RJ45 copper network port cage, and one RJ45 (with PoE), IR, serial, VGA and HDMI connection (SFP module not included, power supply is not included)</t>
  </si>
  <si>
    <t>https://www.amx.com/en-US/products/nmx-dec-n3232-decoder</t>
  </si>
  <si>
    <t>NMX-WP-N3510</t>
  </si>
  <si>
    <t>N3000 Series Windowing Processor, 9x1</t>
  </si>
  <si>
    <t>The SVSI NMX-WP-N3510 H.264 Multi-Channel Windowing Processor functions with the N3000 3121/3221 Series family of Video over IP Encoders and Decoders and are capable of handling multiple real-time H.264 streams</t>
  </si>
  <si>
    <t>https://www.amx.com/en-US/products/nmx-wp-n3510-windowing-processor</t>
  </si>
  <si>
    <t>NMX-ATC-N4321-C</t>
  </si>
  <si>
    <t>Audio over IP Transceiver Card</t>
  </si>
  <si>
    <t>The SVSI NMX-ATC-N4321-C Audio Transceiver Card is an audio-over-IP solution that both sends and receives two-channel balanced or unbalanced audio over IP - must be used in conjunction with NMX-ACC-N9206 Rack Mount Cage</t>
  </si>
  <si>
    <t>https://www.amx.com/en-US/products/nmx-atc-n4321-c-audio-transceiver-card</t>
  </si>
  <si>
    <t>NMX-ATC-N4321</t>
  </si>
  <si>
    <t>Audio over IP Transceiver, Stand-alone</t>
  </si>
  <si>
    <t>SVSI NMX-ATC-N4321 Audio Transceiver is an audio-over-IP solution that both sends and receives two-channel balanced or unbalanced audio over IP</t>
  </si>
  <si>
    <t>https://www.amx.com/en-US/products/nmx-atc-n4321-audio-transceiver</t>
  </si>
  <si>
    <t>NMX-PRS-N7142-23</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</si>
  <si>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t>
  </si>
  <si>
    <t>https://www.amx.com/en-US/products/nmx-prs-n7142</t>
  </si>
  <si>
    <t>SC-N8002</t>
  </si>
  <si>
    <t>N-Series Controller for Unlimited Users/Devices</t>
  </si>
  <si>
    <t>The SVSI SC-N8002 N-Command Control Appliance provides intuitive and powerful management of equipment configuration, content management, NVR recording and playback, bandwidth utilization, and AV switching for unlimited users and devices</t>
  </si>
  <si>
    <t>https://www.amx.com/en-US/products/sc-n8002</t>
  </si>
  <si>
    <t>SC-N8012</t>
  </si>
  <si>
    <t>N-Series Controller for Enterprise</t>
  </si>
  <si>
    <t>The SVSI SC-N8012 N-Command Control Appliance provides intuitive and powerful management of equipment configuration, content management, NVR recording and playback, bandwidth utilization, and AV switching for unlimited users and devices</t>
  </si>
  <si>
    <t>https://www.amx.com/en-US/products/sc-n8012</t>
  </si>
  <si>
    <t>NMX-ACC-N9101</t>
  </si>
  <si>
    <t>Mounting Wings for SVSI N-Series Encoders, Decoders and Audio Transceiver</t>
  </si>
  <si>
    <t>Mounting wings for N-Series SVSI Encoders, Decoders and Audio Transceiver, designed for mounting to surface or wall</t>
  </si>
  <si>
    <t>https://www.amx.com/en-US/products/nmx-acc-n9101</t>
  </si>
  <si>
    <t>NMX-ACC-N9102</t>
  </si>
  <si>
    <t>1RU Rack Shelf for Two Side-by-Side SVSI N-Series Encoders, Decoders and Audio Transceiver</t>
  </si>
  <si>
    <t>1RU rack shelf for rack mounting two side-by-side SVSI N-Series Encoders, Decoders, and Audio Transceiver</t>
  </si>
  <si>
    <t>https://www.amx.com/en-US/products/nmx-acc-n9102</t>
  </si>
  <si>
    <t>NMX-ACC-N9206</t>
  </si>
  <si>
    <t>2RU Rack Mount Cage with Power for Six SVSI N-Series Card Units</t>
  </si>
  <si>
    <t>2RU rack mount cage for rack mounting up to six SVSI N-Series Encoder, Decoder, and Audio Transceiver Cards, includes power supply</t>
  </si>
  <si>
    <t>https://www.amx.com/en-US/products/nmx-acc-n9206</t>
  </si>
  <si>
    <t>NMX-ACC-N9210</t>
  </si>
  <si>
    <t>Blank cover for card slot on N9206</t>
  </si>
  <si>
    <t>Plate for the N9206 to cover unpopulated slots in the frame.</t>
  </si>
  <si>
    <t>NMX-ACC-N9312</t>
  </si>
  <si>
    <t>Power Supply 12V 2A External</t>
  </si>
  <si>
    <t>12V 2A external wall-wart supply with 2-pin Phoenix connector for SVSI N-Series Encoders, Decoders, and Audio Transceiver</t>
  </si>
  <si>
    <t>https://www.amx.com/en-US/products/nmx-acc-n9312</t>
  </si>
  <si>
    <t>NMX-ACC-N9313</t>
  </si>
  <si>
    <t>Power Supply 12V 3A External</t>
  </si>
  <si>
    <t>12V 3A external wall-wart supply with 2-pin Phoenix connector for SVSI N-Series Encoders, Decoders, and Audio Transceiver</t>
  </si>
  <si>
    <t>NMX-ACC-N9430</t>
  </si>
  <si>
    <t>IR Receiver Cable</t>
  </si>
  <si>
    <t xml:space="preserve"> 3-Pin IR Rx cable</t>
  </si>
  <si>
    <t>Single-mode 10-UKps SFP fiber transceiver module for Cisco switches, dual LC connectors, up to 10-km</t>
  </si>
  <si>
    <t>NMX-SFP-1GRJ</t>
  </si>
  <si>
    <t>SFP 1GB, RJ45 Module</t>
  </si>
  <si>
    <t>RJ45 module for the SVSi N-Series of product</t>
  </si>
  <si>
    <t>AMX-CEB001</t>
  </si>
  <si>
    <t>Control Extender</t>
  </si>
  <si>
    <t>CE-IRS4</t>
  </si>
  <si>
    <t>AMX-CEB002</t>
  </si>
  <si>
    <t>CE-REL8</t>
  </si>
  <si>
    <t>AMX-CEB003</t>
  </si>
  <si>
    <t>CE-COM2</t>
  </si>
  <si>
    <t>AMX-CEB004</t>
  </si>
  <si>
    <t>CE-IO4</t>
  </si>
  <si>
    <t>AMX-CAC0001</t>
  </si>
  <si>
    <t>Control Accessory</t>
  </si>
  <si>
    <t>AVB-VSTYLE-DIN-MNT</t>
  </si>
  <si>
    <t>AMX-CAC0002</t>
  </si>
  <si>
    <t>IRIS2</t>
  </si>
  <si>
    <t>Soundweb London Chassis</t>
  </si>
  <si>
    <t>Connector</t>
  </si>
  <si>
    <t xml:space="preserve">Individual additional 6-way Phoenix/Combicon connector (Soundweb devices are shipped with a complete set) </t>
  </si>
  <si>
    <t xml:space="preserve">3RSU9010-1 </t>
  </si>
  <si>
    <t>BSSACC</t>
  </si>
  <si>
    <t>YES</t>
  </si>
  <si>
    <t>Rack Panel</t>
  </si>
  <si>
    <t>Rack panel for mounting 1 BLU-10 / BLU-8 wall controllers (3U)</t>
  </si>
  <si>
    <t>Soundweb London Input/Output Cards</t>
  </si>
  <si>
    <t>AC-5S-BLK-US</t>
  </si>
  <si>
    <t>BSSLONDON</t>
  </si>
  <si>
    <t>Analog Controller</t>
  </si>
  <si>
    <t xml:space="preserve">Analog Controller with 5 Sources (Black - US) </t>
  </si>
  <si>
    <t>https://bssaudio.com/en/products/ac-5s</t>
  </si>
  <si>
    <t>Soundweb London Break-In / Break-Out Boxes</t>
  </si>
  <si>
    <t>AC-5S-WHT-US</t>
  </si>
  <si>
    <t xml:space="preserve">Analog Controller with 5 Sources (White - US) </t>
  </si>
  <si>
    <t>AC-V-BLK-US</t>
  </si>
  <si>
    <t xml:space="preserve">Analog Controller with Volume (Black - US) </t>
  </si>
  <si>
    <t>https://bssaudio.com/en/products/ac-v</t>
  </si>
  <si>
    <t>BLU806+AE67 : BLU808 +SVSi</t>
  </si>
  <si>
    <t>AC-V-WHT-US</t>
  </si>
  <si>
    <t xml:space="preserve">Analog Controller with Volume (White - US) </t>
  </si>
  <si>
    <t>AR-133</t>
  </si>
  <si>
    <t>DI box</t>
  </si>
  <si>
    <t>Active Direct Injection (DI) box  (1 - 5 pcs.)</t>
  </si>
  <si>
    <t>http://bssaudio.com/en-US/products/ar-133</t>
  </si>
  <si>
    <t>BLU-100</t>
  </si>
  <si>
    <t>I/O device</t>
  </si>
  <si>
    <t>12 analog mic/line input, 8 analog output, networked signal processor w/ BLU link</t>
  </si>
  <si>
    <t>MY</t>
  </si>
  <si>
    <t>https://bssaudio.com/en/products/blu-100</t>
  </si>
  <si>
    <t>Soundweb London Accessories</t>
  </si>
  <si>
    <t>BLU-101</t>
  </si>
  <si>
    <t>12 analog mic/line input, 8 analog output, networked signal processor w/ 12 independent AEC algorithms &amp; BLU link</t>
  </si>
  <si>
    <t>https://bssaudio.com/en/products/blu-101</t>
  </si>
  <si>
    <t>BLU-102</t>
  </si>
  <si>
    <t>10 analog mic/line input, 8 analog output, networked signal processor w/ 8 independent AEC algorithms, telephone hybrid &amp; BLU link</t>
  </si>
  <si>
    <t>https://bssaudio.com/en/products/blu-102</t>
  </si>
  <si>
    <t>BLU-103</t>
  </si>
  <si>
    <t>8 analog mic/line input, 8 analog output, networked signal processor w/ 8 independent AEC algorithms, VoIP &amp; BLU link</t>
  </si>
  <si>
    <t>https://bssaudio.com/en/products/blu-103</t>
  </si>
  <si>
    <t>BLU-10-BLK</t>
  </si>
  <si>
    <t>Touchscreen controller, wall</t>
  </si>
  <si>
    <t>Touch screen programmable remote wall controller (Black)</t>
  </si>
  <si>
    <t>https://bssaudio.com/en/products/blu-10blk</t>
  </si>
  <si>
    <t>Processor</t>
  </si>
  <si>
    <t>Networked I/O expander</t>
  </si>
  <si>
    <t>Networked I/O expander w/ BLU link chassis (no CobraNet™)**</t>
  </si>
  <si>
    <t>https://bssaudio.com/en/products/blu-120</t>
  </si>
  <si>
    <t>Soundweb Contrio Controllers</t>
  </si>
  <si>
    <t>BLU-160</t>
  </si>
  <si>
    <t>Networked processor</t>
  </si>
  <si>
    <t>Networked signal processor &amp; BLU link chassis (no CobraNet™)</t>
  </si>
  <si>
    <t>https://bssaudio.com/en/products/blu-160</t>
  </si>
  <si>
    <t>BLU-326</t>
  </si>
  <si>
    <t>BSS,BLU326,SIGNAL PROCESSOR W/DANTE</t>
  </si>
  <si>
    <t>https://bssaudio.com/en/products/blu-326da-blu-326</t>
  </si>
  <si>
    <t>Wall controller</t>
  </si>
  <si>
    <t>BLU-50</t>
  </si>
  <si>
    <t>4 analog mic/line input, 4 analog output, networked signal processor w/ BLU link</t>
  </si>
  <si>
    <t>https://bssaudio.com/en/products/blu-50</t>
  </si>
  <si>
    <t xml:space="preserve">BLU-6 </t>
  </si>
  <si>
    <t xml:space="preserve">8 position source/preset selector, up/down pair (UK) wall controller </t>
  </si>
  <si>
    <t>https://bssaudio.com/en/products/blu-6</t>
  </si>
  <si>
    <t>BLU-806</t>
  </si>
  <si>
    <t>Networked signal processor w/ Dante™ &amp; BLU link chassis</t>
  </si>
  <si>
    <t>https://bssaudio.com/en/products/blu-806da-blu-806</t>
  </si>
  <si>
    <t xml:space="preserve">BLU-8-V2-BLK </t>
  </si>
  <si>
    <t>Zone controller</t>
  </si>
  <si>
    <t xml:space="preserve">Programmable zone controller (Black)  </t>
  </si>
  <si>
    <t>https://bssaudio.com/en/products/blu-8v2blk</t>
  </si>
  <si>
    <t xml:space="preserve">BLU-8-V2-WHT </t>
  </si>
  <si>
    <t xml:space="preserve">Programmable zone controller (White)  </t>
  </si>
  <si>
    <t>https://bssaudio.com/en/products/blu-8v2wht</t>
  </si>
  <si>
    <t>BLUAEC-IN</t>
  </si>
  <si>
    <t>I/O card</t>
  </si>
  <si>
    <t>4 analog input mic/line card for Soundweb London Chassis with independent AEC processing per channel (for BLU-800, BLU-320, BLU-160 and BLU-120 ONLY)</t>
  </si>
  <si>
    <t>FCS Series Graphic Equalizers</t>
  </si>
  <si>
    <t>BLU-BIB</t>
  </si>
  <si>
    <t>Break-in/out box</t>
  </si>
  <si>
    <t>8-channel analog break-in box w/ BLU link &amp; switchable Phantom Power per channel (half rack width)</t>
  </si>
  <si>
    <t>https://bssaudio.com/en/products/blu-bib</t>
  </si>
  <si>
    <t>BLU-BOB1</t>
  </si>
  <si>
    <t>8-channel analog break-out box w/ BLU link (half rack)</t>
  </si>
  <si>
    <t>https://bssaudio.com/en/products/blu-bob1</t>
  </si>
  <si>
    <t>BLU-BOB2</t>
  </si>
  <si>
    <t>8-channel analog break-out box w/ BLU link (rack mount)</t>
  </si>
  <si>
    <t>https://bssaudio.com/en/products/blu-bob2</t>
  </si>
  <si>
    <t xml:space="preserve">BLUCARD-IN </t>
  </si>
  <si>
    <t>4 analog input mic/line card for Soundweb London Chassis</t>
  </si>
  <si>
    <t>Soundweb London Controllers</t>
  </si>
  <si>
    <t>BLUCARD-OUT</t>
  </si>
  <si>
    <t>4 analogl output card for Soundweb London Chassis</t>
  </si>
  <si>
    <t>https://bssaudio.com/en/products/analog-output-card</t>
  </si>
  <si>
    <t>BLU-DAN</t>
  </si>
  <si>
    <t>BLU link accessories</t>
  </si>
  <si>
    <t>BLU link to Dante Bridge</t>
  </si>
  <si>
    <t>https://bssaudio.com/en/products/blu-da-blu-dan</t>
  </si>
  <si>
    <t xml:space="preserve">BLUDIGITAL-IN </t>
  </si>
  <si>
    <t>4 digital input card for Soundweb London Chassis</t>
  </si>
  <si>
    <t>Accessory Products</t>
  </si>
  <si>
    <t xml:space="preserve">BLUDIGITAL-OUT </t>
  </si>
  <si>
    <t>4 digital output card for Soundweb London Chassis</t>
  </si>
  <si>
    <t>BLU-GPX</t>
  </si>
  <si>
    <t>GPIO  expander</t>
  </si>
  <si>
    <t>Networked General Purpose I/O expander w/ BLU link chassis</t>
  </si>
  <si>
    <t>https://bssaudio.com/en/products/blu-gpx</t>
  </si>
  <si>
    <t>BLU-HIF</t>
  </si>
  <si>
    <t>Headset interface</t>
  </si>
  <si>
    <t>Soundweb London Telephone Headset Interface</t>
  </si>
  <si>
    <t>https://bssaudio.com/en/products/blu-hif</t>
  </si>
  <si>
    <t>BLU-SI</t>
  </si>
  <si>
    <t>Blu-SI Link card</t>
  </si>
  <si>
    <t>32x32 inerface between Soundcraft SI and Blu Link digital audio bus.</t>
  </si>
  <si>
    <t/>
  </si>
  <si>
    <t>BLU-USB</t>
  </si>
  <si>
    <t>USB audio / BLU link interface **NEW**</t>
  </si>
  <si>
    <t>https://bssaudio.com/en/products/blu-usb</t>
  </si>
  <si>
    <t>EC-4B-BLK-US</t>
  </si>
  <si>
    <t>Ethernet Controller</t>
  </si>
  <si>
    <t>Ethernet Controller with 4 Buttons (Black - US)</t>
  </si>
  <si>
    <t>https://bssaudio.com/en/products/ec-4b</t>
  </si>
  <si>
    <t>EC-4BV-BLK-US</t>
  </si>
  <si>
    <t>Ethernet Controller with 4 Buttons and Volume (Black - US)</t>
  </si>
  <si>
    <t>https://bssaudio.com/en/products/ec-4bv</t>
  </si>
  <si>
    <t>EC-4BV-WHT-US</t>
  </si>
  <si>
    <t>Ethernet Controller with 4 Buttons and Volume (White - US)</t>
  </si>
  <si>
    <t>EC-4B-WHT-US</t>
  </si>
  <si>
    <t xml:space="preserve">Ethernet Controller with 4 Buttons (White - US) </t>
  </si>
  <si>
    <t>EC-8BV-BLK-US</t>
  </si>
  <si>
    <t>Ethernet Controller with 8 Buttons and Volume (Black - US)</t>
  </si>
  <si>
    <t>EC-8BV-WHT-US</t>
  </si>
  <si>
    <t>Ethernet Controller with 8 Buttons and Volume (White - US)</t>
  </si>
  <si>
    <t>https://bssaudio.com/en/products/ec-8bv</t>
  </si>
  <si>
    <t>EC-V-BLK-US</t>
  </si>
  <si>
    <t xml:space="preserve">Ethernet Controller with Volume (Black - US) </t>
  </si>
  <si>
    <t>https://bssaudio.com/en/products/ec-v</t>
  </si>
  <si>
    <t>EC-V-WHT-US</t>
  </si>
  <si>
    <t xml:space="preserve">Ethernet Controller with Volume (White - US) </t>
  </si>
  <si>
    <t>EC-V-WHT-EU</t>
  </si>
  <si>
    <t xml:space="preserve">Ethernet Controller with Volume (White - EU) </t>
  </si>
  <si>
    <t>RACK MOUNT KIT</t>
  </si>
  <si>
    <t>Rack Mount Kit</t>
  </si>
  <si>
    <t>Rack Mount Kit for up to two BLU-BIB / BLU-BOB devices (1U)</t>
  </si>
  <si>
    <t>https://bssaudio.com/en/products/1u-rack-mount-kit</t>
  </si>
  <si>
    <t>SW9015UK</t>
  </si>
  <si>
    <t>BSSKITS</t>
  </si>
  <si>
    <t xml:space="preserve">8 position source/preset selector, up/down pair (UK) wall controller  </t>
  </si>
  <si>
    <t>https://bssaudio.com/en/products/sw9015</t>
  </si>
  <si>
    <t>TIX 2 KIT</t>
  </si>
  <si>
    <t>Transformer kit</t>
  </si>
  <si>
    <t>Input transformer kit for FCS-960 (2 channels)</t>
  </si>
  <si>
    <t>TOX 2 KIT</t>
  </si>
  <si>
    <t>Output transformer kit for FCS-960 (2 channels)</t>
  </si>
  <si>
    <t>Cinema</t>
  </si>
  <si>
    <t>MTG BKT-8330A/40A-(2EA/M.PK)</t>
  </si>
  <si>
    <t>Quick-Mount® Fixed Angle Bracket for 8330A and 8340A.  Packed 2 Pieces Per  Master Pack.</t>
  </si>
  <si>
    <t>JBL030</t>
  </si>
  <si>
    <t>S/M, 3722-HF</t>
  </si>
  <si>
    <t>High Frequency Section for 3722 System.  Bi-Am Components 2374 ScreenArray Horn, 2418H-1 Driver Pre-Assembled.</t>
  </si>
  <si>
    <t>S/M, 3722N-HF</t>
  </si>
  <si>
    <t>High Frequency Section for 3722N System – Passive. Components: 2374 ScreenArray Horn, 2418H-1 Driver, Network and Bracket Pre-Assembled</t>
  </si>
  <si>
    <t>S/M, 3730-M/HF</t>
  </si>
  <si>
    <t>Mid/High Frequency Section for 3730 System. Components: One 195H mid frequency and one 2414H high frequency. Pre-Assembled, Pre-Aimed.</t>
  </si>
  <si>
    <t>S/M, 3732-M/HF</t>
  </si>
  <si>
    <t>Mid/High Frequency Section for 3732 System - Components: Two 165H Mid Frequency and One 2432H High Freq. Pre-Assembled and Pre-Aimed</t>
  </si>
  <si>
    <t>S/M, 3732-M/HF-T</t>
  </si>
  <si>
    <t>Mid/High Frequency Section for 3732T System.  Components: Two 165H Mid Frequency and One 2432H High Freq. Pre-Assembled and Pre-Aimed</t>
  </si>
  <si>
    <t>2X18 SUBWOOFER SYSTEM</t>
  </si>
  <si>
    <t>4 ohm, Dual 18" Bass Reflex Subwoofer System.  Components:  Two 2241H Installed in Dual 18" Enclosure, 1200 watts. Approved by Lucasfilm, Ltd., for THX® System Installations.</t>
  </si>
  <si>
    <t>S/M 4645C SINGLE PORT SUB</t>
  </si>
  <si>
    <t>8 ohm, Single 18" Bass Reflex Subwoofer System.  Components:  2242H Installed in 4518A Enclosure, Single Port,  800 watts. Approved by Lucasfilm, Ltd., for THX® System Installations.</t>
  </si>
  <si>
    <t>S/M, 4722-HF</t>
  </si>
  <si>
    <t>High Frequency Section for 4722 System – Bi-Amp.  Components: 2384 ScreenArray Horn, 2432H Driver, and Bracket.  Pre-Assembled</t>
  </si>
  <si>
    <t>2WAY SCREEN ARRAY W/NTWRK-PASSIVE APPL</t>
  </si>
  <si>
    <t>Two-Way ScreenArray for Small to Medium Cinemas For Passive Applications, 4722 Model with Network. 750 Hz</t>
  </si>
  <si>
    <t>S/M, 4722N-HF</t>
  </si>
  <si>
    <t>High Frequency Section for 4722N System – Passive.  Components: 2384 ScreenArray Horn, 2432H Driver, Network and Bracket. Pre-Assembled</t>
  </si>
  <si>
    <t>S/M, 4732-M/HF</t>
  </si>
  <si>
    <t>Mid/High Frequency Section for 4732 System.  Components: Four 165H Mid Frequency and One 2432H High Freq. Pre-Assembled and Pre-Aimed</t>
  </si>
  <si>
    <t>S/M, 4732-M/HF-T</t>
  </si>
  <si>
    <t>Mid/High Frequency Section for 4732T System Components: Four 165H 6.5” Mid Range and One 2432H High Freq. Pre-Assembled and Pre-Aimed</t>
  </si>
  <si>
    <t>MID HIGH SECTION 3-WAY SCREEN ARRAY</t>
  </si>
  <si>
    <t>Mid-High Frequency Section for 5732 System. Components: Two 2169J 200mm (8 inch) Differential Drive® Mid Frequency and one 2452H-SL 4” Titanium Diaphragm High Frequency Compression Driver.  Pre-Assembled and Pre-Aimed.</t>
  </si>
  <si>
    <t>HIGH POWER 4-WAY SCREEN ARRAY M/HF</t>
  </si>
  <si>
    <t>Mid-High Frequency Section for 5742 System. Components: Four 2169J 200mm (8 inch) Differential Drive® Mid Frequency and one 2452H-SL 4” Titanium Diaphragm High Frequency Compression Driver.  Pre-Assembled and Pre-Aimed.</t>
  </si>
  <si>
    <t>Two-Way ScreenArray® Cinema Loudspeaker</t>
  </si>
  <si>
    <t>S/M, C221</t>
  </si>
  <si>
    <t>BRKT 9300/9310/9350</t>
  </si>
  <si>
    <t>Heavy Duty Steel Adjustable-Position Mounting Bracket for 9300/9310/9350</t>
  </si>
  <si>
    <t>Non compliant</t>
  </si>
  <si>
    <t>LC-SUB,18" PRO SYSTEM</t>
  </si>
  <si>
    <t>8 ohm, Single 18" Bass Reflex Subwoofer System, Shallow Profile.  Components:  Single 2042H, 300 watts.</t>
  </si>
  <si>
    <t>SCREEN ARRAY THREE-WAY CINEMA SYSTEM</t>
  </si>
  <si>
    <t>Three Way ScreenArray for small to medium cinemas for Passive/Bi Amp Applications. Flat Front design for easy baffle wall application. Mid High Section  Completely Assembled and Pre-Aimed. Components: 3739 Low Frequency Section, 3730-M/HF Mid-High Frequency Section.</t>
  </si>
  <si>
    <t>LF FOR 3732  SCREEN ARRAY</t>
  </si>
  <si>
    <t>4 ohm Low Frequency Section for 3732 and 3722N System Components: Two M115-8A Installed in 3639 Enclosure</t>
  </si>
  <si>
    <t>18" SUBWOOFER</t>
  </si>
  <si>
    <t>8 ohm, Single 18" Bass Reflex Subwoofer System. Components:  2241H Installed in a Single 18" Enclosure, 600 watts.  Approved by Lucasfilm, Ltd., for THX® System Installations.</t>
  </si>
  <si>
    <t>S/M, 4739</t>
  </si>
  <si>
    <t>4 ohm Low Frequency Section for 3732T, 4732 and 4732T Components: Two 265H Installed in 4739 Enclosure</t>
  </si>
  <si>
    <t>Very High Power dual 18'' Cinema Subwoofer</t>
  </si>
  <si>
    <t>4,000 Watt, dual 2269H 18" drivers, Very High Power Cinema Subwoofer</t>
  </si>
  <si>
    <t>15"  Single LOADED CABINET THEATER SYSTEM</t>
  </si>
  <si>
    <t>4 ohm  Low frequency Section for 3731 ScreenArray  1 x 2226 driver</t>
  </si>
  <si>
    <t>LOW FREQUENCY for 5732  SCREEN ARRAY</t>
  </si>
  <si>
    <t>4 ohm Low Frequency Section for 5732 System. Components: Two 2226HPL VGC™ Vented Gap Cooled 380mm (15”) Woofers installed in a 4739 Enclosure.</t>
  </si>
  <si>
    <t>LOW FREQUENCY  for 5742 SCREEN ARRAY</t>
  </si>
  <si>
    <t>4 ohm Low Frequency Section for the 5742 System. Components: Two 2242HPL SVG™ Super Vented Gap Cooled 460mm (18”) Woofers installed in a 5749 Enclosure.</t>
  </si>
  <si>
    <t>150W COMPACT SURROUND SPEAKER</t>
  </si>
  <si>
    <t>Two-Way Surround System, 8" Low Frequency Driver, 1” Dome Tweeter, HF Protection Circuit, 8 ohms.  Packed 2 Pieces Per Master Pack.</t>
  </si>
  <si>
    <t>250W 10" 2way Cinema Surround (must be ordered in pairs)</t>
  </si>
  <si>
    <t>350W High Powered 10" 2way Cinema Surround (must be ordered in pairs)</t>
  </si>
  <si>
    <t>HBD9320</t>
  </si>
  <si>
    <t>S/M, 9320</t>
  </si>
  <si>
    <t>12", two way Cinema Surround. Ideal for multi-channel surround applications. 380mm (12") low frequency driver; 2408H-1 high frequency driver. Rotatable wave guide for vertical or horizontal orientation. Net weight 38.5 lbs.</t>
  </si>
  <si>
    <t>High Powered Surround 15" 2-Way</t>
  </si>
  <si>
    <t>15" High Powered Surround  with configurable pattern</t>
  </si>
  <si>
    <t>S/M, MTU-9320</t>
  </si>
  <si>
    <t>SPATIALLY CUED SURROUND 12"</t>
  </si>
  <si>
    <t>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t>
  </si>
  <si>
    <t>SPATIALLY CUED SURROUND 8"</t>
  </si>
  <si>
    <t>Two-way Full Range Cinema Surround Speaker ideal for Multi Channel Surround Formats for Medium Sized auditoriums.  The SCS8 is comprised of a high-power coaxial 203 mm (8 in) Low Frequency Driver and a 25 mm (1 in) High Frequency compression driver</t>
  </si>
  <si>
    <t>Amplifier</t>
  </si>
  <si>
    <t>LA4-D</t>
  </si>
  <si>
    <t>DSI</t>
  </si>
  <si>
    <t>DSi LA4-D, 4 CH AMP, DANTE, US VER</t>
  </si>
  <si>
    <t>LA4</t>
  </si>
  <si>
    <t>DSi LA4, 4 CH AMP, US VER</t>
  </si>
  <si>
    <t>MA4-D</t>
  </si>
  <si>
    <t>DSi MA4-D, 4 CH AMP, DANTE, US VER</t>
  </si>
  <si>
    <t>MA4</t>
  </si>
  <si>
    <t>DSi MA4, 4 CH AMP, US VER</t>
  </si>
  <si>
    <t>SA4-D</t>
  </si>
  <si>
    <t>DSi SA4-D, 4 CH AMP, DANTE, US VER</t>
  </si>
  <si>
    <t>SA4</t>
  </si>
  <si>
    <t>DSi SA4, 4 CH AMP, US VER</t>
  </si>
  <si>
    <t>DSi LA4-D, 4 CH AMP, DANTE, NP VER</t>
  </si>
  <si>
    <t>DSi MA4-D, 4 CH AMP, DANTE, NP VER</t>
  </si>
  <si>
    <t>DSi MA4, 4 CH AMP, NP VER</t>
  </si>
  <si>
    <t>Dsi Series</t>
  </si>
  <si>
    <t>Cinema System Monitor</t>
  </si>
  <si>
    <t>Cinema System Monitor with Network</t>
  </si>
  <si>
    <t>Singe 18" 4 Ω Subwoofer - Fly able</t>
  </si>
  <si>
    <t>Dual 18" 4 Ω Subwoofer - Fly able</t>
  </si>
  <si>
    <t>NXLC21300-0-US</t>
  </si>
  <si>
    <t>XLC</t>
  </si>
  <si>
    <t>2 x 1300W @ 4Ω Amplifier</t>
  </si>
  <si>
    <t>2 x 1300W @ 4Ω Amplifier Made to Order</t>
  </si>
  <si>
    <t xml:space="preserve">XLC2500 </t>
  </si>
  <si>
    <t>2x500W Cinema Amplifier w/o DSP</t>
  </si>
  <si>
    <t xml:space="preserve">XLC2800 </t>
  </si>
  <si>
    <t>2x775W Cinema Amplifier w/o DSP</t>
  </si>
  <si>
    <t>AMPACC</t>
  </si>
  <si>
    <t>Amplifier Accessories</t>
  </si>
  <si>
    <t xml:space="preserve">XFMR4 </t>
  </si>
  <si>
    <t>Transformer</t>
  </si>
  <si>
    <t>Four-Channel Transformer</t>
  </si>
  <si>
    <t>XFMR8</t>
  </si>
  <si>
    <t>Eight-Channel Transformer</t>
  </si>
  <si>
    <t>Commercial Series</t>
  </si>
  <si>
    <t>135MA</t>
  </si>
  <si>
    <t>CA</t>
  </si>
  <si>
    <t>3x 35W mixer-amplifier</t>
  </si>
  <si>
    <t>Three channel, 35W @ 8Ω power amplifier</t>
  </si>
  <si>
    <t>160MA</t>
  </si>
  <si>
    <t>4x 60W mixer-amplifier</t>
  </si>
  <si>
    <t>Four channel, 60W @ 8Ω power amplifier</t>
  </si>
  <si>
    <t>CDi2x1200</t>
  </si>
  <si>
    <t>CDI</t>
  </si>
  <si>
    <t>2x1200 Power Amplifier</t>
  </si>
  <si>
    <t xml:space="preserve">1200 watts per channel 2 channel amplifier, 70/100V, 4/8 ohm, digital signal processing, networked, front panel interface.  </t>
  </si>
  <si>
    <t>CDi2x300</t>
  </si>
  <si>
    <t>2x300W Power Amplifier</t>
  </si>
  <si>
    <t>Two-channel, 300W @ 4Ω Analog Power Amplifier, 70V/100V</t>
  </si>
  <si>
    <t>4x1200 Power Amplifier</t>
  </si>
  <si>
    <t xml:space="preserve">1200 watts per channel  4 channel amplifier, 70/100V, 4/8 ohm, digital signal processing, networked, front panel interface.  </t>
  </si>
  <si>
    <t>CDi4x300</t>
  </si>
  <si>
    <t>4x300W Power Amplifier</t>
  </si>
  <si>
    <t>Analog input, 4 channel, 300W per output channel, Amplifier</t>
  </si>
  <si>
    <t>CDi4x600BL</t>
  </si>
  <si>
    <t>4x600 Power Amplifier with BLU link</t>
  </si>
  <si>
    <t xml:space="preserve">600 watts per channel  4 channel amplifier, 70/100V, 4/8 ohm, digital signal processing, networked, front panel interface, with BLU link . </t>
  </si>
  <si>
    <t>CDi Series</t>
  </si>
  <si>
    <t>CDi1000</t>
  </si>
  <si>
    <t>2X500W Power Amplifier</t>
  </si>
  <si>
    <t>Two-channel, 500W @ 4Ω, 70V/100V/140V Power Amplifier</t>
  </si>
  <si>
    <t>CDi2000</t>
  </si>
  <si>
    <t>2X800W Power Amplifier</t>
  </si>
  <si>
    <t>Two-channel, 800W @ 4Ω, 70V/100V/140V Power Amplifier</t>
  </si>
  <si>
    <t>CDi2x1200BL</t>
  </si>
  <si>
    <t>2x1200W Power Amplifier with BLU link</t>
  </si>
  <si>
    <t xml:space="preserve">1200 watts per channel 2 channel amplifier, 70/100V, 4/8 ohm, digital signal processing, networked, front panel interface with BLU link </t>
  </si>
  <si>
    <t>CDi2x300BL</t>
  </si>
  <si>
    <t>2x300W Power Amplifier with BLU link</t>
  </si>
  <si>
    <t>Analog + BLU link input, 2 channel, 300W per output channel</t>
  </si>
  <si>
    <t>CDi2x600BL</t>
  </si>
  <si>
    <t>2x600W Power Amplifier with BLU link</t>
  </si>
  <si>
    <t>Analog + BLU link input, 2 channel, 600W per output channel, Amplifier</t>
  </si>
  <si>
    <t>CDi2x600</t>
  </si>
  <si>
    <t>2x600W Power Amplifier</t>
  </si>
  <si>
    <t>Analog input, 2 channel, 600W per output channel, Amplifier</t>
  </si>
  <si>
    <t>CDi4000</t>
  </si>
  <si>
    <t>2X1200W Power Amplifier</t>
  </si>
  <si>
    <t>Two-channel, 1200W @ 4Ω, 70V/100V/140V Power Amplifier</t>
  </si>
  <si>
    <t>CDi4x1200BL</t>
  </si>
  <si>
    <t>4x1200 Power Amplifier with BLU link</t>
  </si>
  <si>
    <t xml:space="preserve">1200 watts per channel  4 channel amplifier, 70/100V, 4/8 ohm, digital signal processing, networked, front panel interface, with BLU link . </t>
  </si>
  <si>
    <t>CDi4x300BL</t>
  </si>
  <si>
    <t>4x300W Power Amplifier with BLU link</t>
  </si>
  <si>
    <t>Analog + BLU link input, 4 channel, 300W per output channel, Amplifier</t>
  </si>
  <si>
    <t>CDi4x600</t>
  </si>
  <si>
    <t>4x600 Power Amplifier</t>
  </si>
  <si>
    <t xml:space="preserve">600 watts per channel  4 channel amplifier, 70/100V, 4/8 ohm, digital signal processing, networked, front panel interface.  </t>
  </si>
  <si>
    <t>CDi6000</t>
  </si>
  <si>
    <t>2X2100W Power Amplifier</t>
  </si>
  <si>
    <t>Two-channel, 2100W @ 4Ω, 70V/100V/140V Power Amplifier</t>
  </si>
  <si>
    <t>CT Series</t>
  </si>
  <si>
    <t>CT4150</t>
  </si>
  <si>
    <t>CT</t>
  </si>
  <si>
    <t>Four channel, 125W @ 4/8Ω Power Amp</t>
  </si>
  <si>
    <t>Crown ComTech DriveCore CT4150, Four channel, 125W @ 4/8Ω Power Amp</t>
  </si>
  <si>
    <t>http://www.crownaudio.com/en/products/ct-4150</t>
  </si>
  <si>
    <t>CT475</t>
  </si>
  <si>
    <t>Four channel, 75W @ 4/8Ω Power Amp</t>
  </si>
  <si>
    <t>Crown ComTech DriveCore CT475, Four channel, 75W @ 4/8Ω Power Amp</t>
  </si>
  <si>
    <t>http://www.crownaudio.com/en/products/ct-475</t>
  </si>
  <si>
    <t>CT8150</t>
  </si>
  <si>
    <t>Eight channel, 125W @ 4/8Ω Power Amp</t>
  </si>
  <si>
    <t>Crown ComTech DriveCore CT8150, Eight channel, 125W @ 4/8Ω Power Amp</t>
  </si>
  <si>
    <t>http://www.crownaudio.com/en/products/ct-8150</t>
  </si>
  <si>
    <t>CT875</t>
  </si>
  <si>
    <t>Eight channel, 75W @ 4/8Ω Power Amp</t>
  </si>
  <si>
    <t>Crown ComTech DriveCore CT875, Eight channel, 75W @ 4/8Ω Power Amp</t>
  </si>
  <si>
    <t>http://www.crownaudio.com/en/products/ct-875</t>
  </si>
  <si>
    <t>DriveCore Install Network Series</t>
  </si>
  <si>
    <t xml:space="preserve">DCi2x1250N </t>
  </si>
  <si>
    <t>DCI</t>
  </si>
  <si>
    <t>2x1250W Power Amplifier</t>
  </si>
  <si>
    <t>Two-channel, 1250W @ 4Ω Power Amplifier with BLU link, 70V/100V</t>
  </si>
  <si>
    <t xml:space="preserve">DCi2x1250 </t>
  </si>
  <si>
    <t>Two-channel, 1250W @ 4Ω Analog Power Amplifier, 70V/100V</t>
  </si>
  <si>
    <t>DCi2x2400N</t>
  </si>
  <si>
    <t>2x2400W Power Amplifier</t>
  </si>
  <si>
    <t>Two-channel, 2400W @ 4Ω Power Amplifier with BLU link, 70V/100V</t>
  </si>
  <si>
    <t>DCi2x300N</t>
  </si>
  <si>
    <t>Two-channel, 300W @ 4Ω Power Amplifier with BLU link, 70V/100V</t>
  </si>
  <si>
    <t>dci2x300</t>
  </si>
  <si>
    <t>DCI2x600N</t>
  </si>
  <si>
    <t>Two-channel, 600W @ 4Ω Power Amplifier with BLU link, 70V/100V</t>
  </si>
  <si>
    <t>DCi2x600</t>
  </si>
  <si>
    <t>Two-channel, 600W @ 4Ω Analog Power Amplifier, 70V/100V</t>
  </si>
  <si>
    <t>DriveCore Install DA Series</t>
  </si>
  <si>
    <t>DCI4x1250D</t>
  </si>
  <si>
    <t>4x1250W Power Amplifier</t>
  </si>
  <si>
    <t>Dante-enabled amplifier with DSP, network control/monitoring, GPIO, 2/4/8Ω and 70/100V operation.  4 channels, 1250W/ch.</t>
  </si>
  <si>
    <t>DriveCore Install Network Display Series</t>
  </si>
  <si>
    <t>DCi4x1250ND</t>
  </si>
  <si>
    <t>Four-channel, 1250W @ 4Ω Power Amplifier with AVB, 70V/100V</t>
  </si>
  <si>
    <t xml:space="preserve">DCI4x1250N </t>
  </si>
  <si>
    <t>Four-channel, 1250W @ 4Ω Power Amplifier with BLU link, 70V/100V</t>
  </si>
  <si>
    <t xml:space="preserve">DCi4x1250 </t>
  </si>
  <si>
    <t>Four-channel, 1250W @ 4Ω Analog Power Amplifier, 70V/100V</t>
  </si>
  <si>
    <t>DCI4x2400N</t>
  </si>
  <si>
    <t>4x2400W Power Amplifier</t>
  </si>
  <si>
    <t>Four-channel, 2400W @ 4Ω Power Amplifier with BLU link, 70V/100V</t>
  </si>
  <si>
    <t>DCi4x300D</t>
  </si>
  <si>
    <t>DCI4x300DA</t>
  </si>
  <si>
    <t>DCI4300 DANTE</t>
  </si>
  <si>
    <t>DCI4x300N</t>
  </si>
  <si>
    <t>Four-channel, 300W @ 4Ω Power Amplifier with BLU link, 70V/100V</t>
  </si>
  <si>
    <t>DCI4x300</t>
  </si>
  <si>
    <t>Four-channel, 300W @ 4Ω Analog Power Amplifier, 70V/100V</t>
  </si>
  <si>
    <t>DCI4x600D</t>
  </si>
  <si>
    <t>DCI4x600DA</t>
  </si>
  <si>
    <t>DCI4600 DANTE</t>
  </si>
  <si>
    <t xml:space="preserve">DCI4x600N </t>
  </si>
  <si>
    <t>4x600W Power Amplifier</t>
  </si>
  <si>
    <t>Four-channel, 600W @ 4Ω Power Amplifier with BLU link, 70V/100V</t>
  </si>
  <si>
    <t xml:space="preserve">DCi4x600 </t>
  </si>
  <si>
    <t>Four-channel, 600W @ 4Ω Analog Power Amplifier, 70V/100V</t>
  </si>
  <si>
    <t>DCI8x300D</t>
  </si>
  <si>
    <t>GDCI8x300DA</t>
  </si>
  <si>
    <t>DCI8300 DANTE</t>
  </si>
  <si>
    <t>DCi8x300N</t>
  </si>
  <si>
    <t>8x300W Power Amplifier</t>
  </si>
  <si>
    <t>Eight-channel, 300W @ 4Ω Power Amplifier with BLU link, 70V/100V</t>
  </si>
  <si>
    <t>DCi8x300</t>
  </si>
  <si>
    <t>Eight-channel, 300W @ 4Ω Analog Power Amplifier, 70V/100V</t>
  </si>
  <si>
    <t xml:space="preserve">DCI8x600D </t>
  </si>
  <si>
    <t>8x600W Power Amplifier</t>
  </si>
  <si>
    <t>Dante-enabled amplifier with DSP, network control/monitoring, GPIO, 2/4/8Ω and 70/100V operation.  8 channels, 600W/ch.</t>
  </si>
  <si>
    <t xml:space="preserve">DCi8x600ND </t>
  </si>
  <si>
    <t>Eight-channel, 600W @ 4Ω Power Amplifier with AVB, 70V/100V</t>
  </si>
  <si>
    <t xml:space="preserve">DCI8x600N </t>
  </si>
  <si>
    <t>Eight-channel, 600W @ 4Ω Power Amplifier with BLU link, 70V/100V</t>
  </si>
  <si>
    <t xml:space="preserve">DCi8x600 </t>
  </si>
  <si>
    <t>Eight-channel, 600W @ 4Ω Analog Power Amplifier, 70V/100V</t>
  </si>
  <si>
    <t>IT4X3500HDB</t>
  </si>
  <si>
    <t>IT</t>
  </si>
  <si>
    <t>IT4X3500HDB Binding Post Version</t>
  </si>
  <si>
    <t>Four-channel, 4000W @ 4Ω Power Amplifier, Binding Post Version</t>
  </si>
  <si>
    <t>IT4X3500HDS</t>
  </si>
  <si>
    <t>IT4X3500HDS SpeakOn Version</t>
  </si>
  <si>
    <t>Four-channel, 4000W @ 4Ω Power Amplifier, SpeakOn output</t>
  </si>
  <si>
    <t>IT12000HD</t>
  </si>
  <si>
    <t>Two-channel, 4500W @ 4Ω Power Amplifier</t>
  </si>
  <si>
    <t>IT5000HD</t>
  </si>
  <si>
    <t>Two-channel, 2500W @ 4Ω Power Amplifier</t>
  </si>
  <si>
    <t>IT9000HD</t>
  </si>
  <si>
    <t>Two-channel, 3500W @ 4Ω Power Amplifier</t>
  </si>
  <si>
    <t>COMPLETE 12K VRACK</t>
  </si>
  <si>
    <t>12K VRACK MINUS AMPS</t>
  </si>
  <si>
    <t>COMPLETE HD4 VRACK</t>
  </si>
  <si>
    <t>3 4x3500HD Amplifiers, RACK, PD, +I/O</t>
  </si>
  <si>
    <t>VRACK4x3500HD Minus Amps</t>
  </si>
  <si>
    <t>XLi1500</t>
  </si>
  <si>
    <t>XLI</t>
  </si>
  <si>
    <t>2x450W Power Amplifier</t>
  </si>
  <si>
    <t>Two-channel, 450W @ 4Ω Power Amplifier</t>
  </si>
  <si>
    <t>http://www.crownaudio.com/en-US/products/xli1500</t>
  </si>
  <si>
    <t>XLi2500</t>
  </si>
  <si>
    <t>2x750W Power Amplifier</t>
  </si>
  <si>
    <t>Two-channel, 750W @ 4Ω Power Amplifier</t>
  </si>
  <si>
    <t>http://www.crownaudio.com/en-US/products/xli2500</t>
  </si>
  <si>
    <t>XLi3500</t>
  </si>
  <si>
    <t>2x1350W Power Amplifier</t>
  </si>
  <si>
    <t>Two-channel, 1350W @ 4Ω Power Amplifier</t>
  </si>
  <si>
    <t>http://www.crownaudio.com/en-US/products/xli3500</t>
  </si>
  <si>
    <t>XLI800</t>
  </si>
  <si>
    <t>Two-channel, 300W @ 4Ω Power Amplifier</t>
  </si>
  <si>
    <t>http://www.crownaudio.com/en-US/products/xli800</t>
  </si>
  <si>
    <t xml:space="preserve">XLS1002 </t>
  </si>
  <si>
    <t>XLS4</t>
  </si>
  <si>
    <t>2x350W Power Amplifier</t>
  </si>
  <si>
    <t>Two-channel, 350W @ 4Ω Power Amplifier</t>
  </si>
  <si>
    <t>http://www.crownaudio.com/en-US/products/xls-1002</t>
  </si>
  <si>
    <t xml:space="preserve">XLS1502 </t>
  </si>
  <si>
    <t>2x525W Power Amplifier</t>
  </si>
  <si>
    <t>Two-channel, 525W @ 4Ω Power Amplifier</t>
  </si>
  <si>
    <t>http://www.crownaudio.com/en-US/products/xls-1502</t>
  </si>
  <si>
    <t xml:space="preserve">XLS2002 </t>
  </si>
  <si>
    <t>2x650W Power Amplifier</t>
  </si>
  <si>
    <t>Two-channel, 650W @ 4Ω Power Amplifier</t>
  </si>
  <si>
    <t>http://www.crownaudio.com/en-US/products/xls-2002</t>
  </si>
  <si>
    <t xml:space="preserve">XLS2502 </t>
  </si>
  <si>
    <t>2x775W Power Amplifier</t>
  </si>
  <si>
    <t>Two-channel, 775W @ 4Ω Power Amplifier</t>
  </si>
  <si>
    <t>http://www.crownaudio.com/en-US/products/xls-2502</t>
  </si>
  <si>
    <t>XTI1002</t>
  </si>
  <si>
    <t>XTI2</t>
  </si>
  <si>
    <t>2x500W Power Amplifier</t>
  </si>
  <si>
    <t>Two-channel, 500W @ 4Ω Power Amplifier</t>
  </si>
  <si>
    <t>http://www.crownaudio.com/en-US/products/xti-1002</t>
  </si>
  <si>
    <t>XTI2002</t>
  </si>
  <si>
    <t>2x800W Power Amplifier</t>
  </si>
  <si>
    <t>Two-channel, 800W @ 4Ω Power Amplifier</t>
  </si>
  <si>
    <t>http://www.crownaudio.com/en-US/products/xti-2002</t>
  </si>
  <si>
    <t>XTI4002</t>
  </si>
  <si>
    <t>2x1200W Power Amplifier</t>
  </si>
  <si>
    <t>Two-channel, 1200W @ 4Ω Power Amplifier</t>
  </si>
  <si>
    <t>http://www.crownaudio.com/en-US/products/xti-4002</t>
  </si>
  <si>
    <t>XTI6002</t>
  </si>
  <si>
    <t>2x2100W Power Amplifier</t>
  </si>
  <si>
    <t>Two-channel, 2100W @ 4Ω Power Amplifier</t>
  </si>
  <si>
    <t>http://www.crownaudio.com/en-US/products/xti-6002</t>
  </si>
  <si>
    <t>GEOLBOX</t>
  </si>
  <si>
    <t>20KHZ EOL BOX</t>
  </si>
  <si>
    <t>DBX</t>
  </si>
  <si>
    <t>Graphic EQs</t>
  </si>
  <si>
    <t>DBX_EQ</t>
  </si>
  <si>
    <t>12 Series - Dual 15 Band Graphic Equalizer</t>
  </si>
  <si>
    <t>http://dbxpro.com/en-US/products/1215</t>
  </si>
  <si>
    <t>12 Series - Dual 31 Band Graphic Equalizer</t>
  </si>
  <si>
    <t>http://dbxpro.com/en-US/products/1231</t>
  </si>
  <si>
    <t>Digital Zone Processor</t>
  </si>
  <si>
    <t>1260m</t>
  </si>
  <si>
    <t>DBX_ZONEP</t>
  </si>
  <si>
    <t>12x6 Digital Zone Processor</t>
  </si>
  <si>
    <t>http://dbxpro.com/en-US/products/1260m</t>
  </si>
  <si>
    <t>1260V</t>
  </si>
  <si>
    <t>http://dbxpro.com/en-US/products/1260</t>
  </si>
  <si>
    <t>1261m</t>
  </si>
  <si>
    <t>http://dbxpro.com/en-US/products/1261m</t>
  </si>
  <si>
    <t>ZonePro 1261</t>
  </si>
  <si>
    <t>http://dbxpro.com/en-US/products/1261</t>
  </si>
  <si>
    <t>131s</t>
  </si>
  <si>
    <t>2 Series - Single 31 Band Graphic Equalizer</t>
  </si>
  <si>
    <t>http://dbxpro.com/en-US/products/131s</t>
  </si>
  <si>
    <t>215s</t>
  </si>
  <si>
    <t>2 Series - Dual 15 Band Graphic Equalizer</t>
  </si>
  <si>
    <t>http://dbxpro.com/en-US/products/215s</t>
  </si>
  <si>
    <t>Production Series</t>
  </si>
  <si>
    <t>223xs</t>
  </si>
  <si>
    <t>DBX_CROSS</t>
  </si>
  <si>
    <t>223s with XLR Connectors</t>
  </si>
  <si>
    <t>http://dbxpro.com/en-US/products/223xs</t>
  </si>
  <si>
    <t>231s</t>
  </si>
  <si>
    <t>2 Series - Dual 31 Band Graphic Equalizer</t>
  </si>
  <si>
    <t>http://dbxpro.com/en-US/products/231s</t>
  </si>
  <si>
    <t>234s</t>
  </si>
  <si>
    <t>Stereo 2/3 Way, Mono 4-Way Crossover</t>
  </si>
  <si>
    <t>http://dbxpro.com/en-US/products/234s</t>
  </si>
  <si>
    <t>234xs</t>
  </si>
  <si>
    <t>234s with XLR Connectors</t>
  </si>
  <si>
    <t>http://dbxpro.com/en-US/products/234xs</t>
  </si>
  <si>
    <t>DriveRack</t>
  </si>
  <si>
    <t>260V</t>
  </si>
  <si>
    <t>DBX_PSR</t>
  </si>
  <si>
    <t>2x6 Loudspeaker Management System</t>
  </si>
  <si>
    <t>http://dbxpro.com/en-US/products/driverack-260</t>
  </si>
  <si>
    <t>266xs</t>
  </si>
  <si>
    <t xml:space="preserve">Dual Compressor Gate </t>
  </si>
  <si>
    <t>http://dbxpro.com/en-US/products/266xs</t>
  </si>
  <si>
    <t>286s</t>
  </si>
  <si>
    <t>DBX_STUDI</t>
  </si>
  <si>
    <t>Mic Preamp / Channel Strip</t>
  </si>
  <si>
    <t>http://dbxpro.com/en-US/products/286s</t>
  </si>
  <si>
    <t>500 Series</t>
  </si>
  <si>
    <t>SubHarmonic Synthesizer</t>
  </si>
  <si>
    <t>http://dbxpro.com/en-US/products/510</t>
  </si>
  <si>
    <t xml:space="preserve">De-Esser </t>
  </si>
  <si>
    <t>http://dbxpro.com/en-US/products/520</t>
  </si>
  <si>
    <t xml:space="preserve">3-Band Parametric EQ </t>
  </si>
  <si>
    <t>http://dbxpro.com/en-US/products/530</t>
  </si>
  <si>
    <t>560A</t>
  </si>
  <si>
    <t xml:space="preserve">Compressor/Limiter </t>
  </si>
  <si>
    <t>http://dbxpro.com/en-US/products/560a</t>
  </si>
  <si>
    <t xml:space="preserve">Mic Preamp  </t>
  </si>
  <si>
    <t>http://dbxpro.com/en-US/products/580</t>
  </si>
  <si>
    <t>ZonePro 640m</t>
  </si>
  <si>
    <t>6x4 Digital Zone Processor</t>
  </si>
  <si>
    <t>http://dbxpro.com/en-US/products/640m</t>
  </si>
  <si>
    <t>http://dbxpro.com/en-US/products/640</t>
  </si>
  <si>
    <t>ZonePro 641m</t>
  </si>
  <si>
    <t>http://dbxpro.com/en-US/products/641m</t>
  </si>
  <si>
    <t>http://dbxpro.com/en-US/products/641</t>
  </si>
  <si>
    <t>Tube Mic Pre Channel Strip</t>
  </si>
  <si>
    <t>http://dbxpro.com/en-US/products/676</t>
  </si>
  <si>
    <t>AFS2</t>
  </si>
  <si>
    <t>DBX_RSR</t>
  </si>
  <si>
    <t>Dual Channel Advanced Feedback Suppression w/ LCD display</t>
  </si>
  <si>
    <t>http://dbxpro.com/en-US/products/afs2</t>
  </si>
  <si>
    <t>Zone Controller</t>
  </si>
  <si>
    <t>ZC-BOB</t>
  </si>
  <si>
    <t>ZC BOB Break out Box for Home Run Cabling</t>
  </si>
  <si>
    <t>http://dbxpro.com/en-US/products/zc-bob</t>
  </si>
  <si>
    <t xml:space="preserve">CT2 </t>
  </si>
  <si>
    <t>DBX-ACC</t>
  </si>
  <si>
    <t>Cable tester with many common connectors such as Speaker Twist, XLR, Phono, BNC, DIN, TRS, TS, DMX, &amp; Banana</t>
  </si>
  <si>
    <t> 12</t>
  </si>
  <si>
    <t>http://dbxpro.com/en-US/products/ct-2</t>
  </si>
  <si>
    <t xml:space="preserve">CT3 </t>
  </si>
  <si>
    <t>Advanced cable testing unit with split design, allowing users to test the cable at the plug-in source</t>
  </si>
  <si>
    <t> 6</t>
  </si>
  <si>
    <t>http://dbxpro.com/en-US/products/ct-3</t>
  </si>
  <si>
    <t>dB10</t>
  </si>
  <si>
    <t xml:space="preserve">Passive Direct Box </t>
  </si>
  <si>
    <t>USA</t>
  </si>
  <si>
    <t>http://dbxpro.com/en-US/products/db10</t>
  </si>
  <si>
    <t>dB12</t>
  </si>
  <si>
    <t>Active Direct Box</t>
  </si>
  <si>
    <t>http://dbxpro.com/en-US/products/db12</t>
  </si>
  <si>
    <t xml:space="preserve">DI1 </t>
  </si>
  <si>
    <t>Active direct box ensures audio signals reach their destination in both a balanced format and free from unwanted noise</t>
  </si>
  <si>
    <t>http://dbxpro.com/en-US/products/di1</t>
  </si>
  <si>
    <t xml:space="preserve">DI4 </t>
  </si>
  <si>
    <t xml:space="preserve"> 4-channel direct box that converts unbalanced signals into balanced output for use with mixers, PAs, recording consoles and more</t>
  </si>
  <si>
    <t>http://dbxpro.com/en-US/products/di4</t>
  </si>
  <si>
    <t xml:space="preserve">DJDI </t>
  </si>
  <si>
    <t>2-channel passive direct box that converts unbalanced signals into balanced output for use with mixers, PAs, recording consoles and more</t>
  </si>
  <si>
    <t>http://dbxpro.com/en-US/products/djdi</t>
  </si>
  <si>
    <t>IEq31-M</t>
  </si>
  <si>
    <t>DBX,IEQ31,DUAL 31-BAND GRAPHIC EQ,US,MLY</t>
  </si>
  <si>
    <t>PA2</t>
  </si>
  <si>
    <t>2x6 PA Management System</t>
  </si>
  <si>
    <t>http://dbxpro.com/en-US/products/driverack-pa2</t>
  </si>
  <si>
    <t>PB-48</t>
  </si>
  <si>
    <t>Patch Bay</t>
  </si>
  <si>
    <t>http://dbxpro.com/en-US/products/pb48</t>
  </si>
  <si>
    <t>Personal Monitor Solutions</t>
  </si>
  <si>
    <t>PMC16</t>
  </si>
  <si>
    <t>DBX_PMC</t>
  </si>
  <si>
    <t>16-Channel Personal Monitor Controller</t>
  </si>
  <si>
    <t>http://dbxpro.com/en-US/products/pmc16</t>
  </si>
  <si>
    <t>DBX,PS6 6 OUT 12V PWR SUPPLY FOR DBX PMC</t>
  </si>
  <si>
    <t>https://dbxpro.com/en/products/ps6</t>
  </si>
  <si>
    <t>RTA-M</t>
  </si>
  <si>
    <t>DriveRack RTA Mic w/clip</t>
  </si>
  <si>
    <t>http://dbxpro.com/en-US/products/rta-m</t>
  </si>
  <si>
    <t>VENU360</t>
  </si>
  <si>
    <t>3X6 Loudspeaker Management System</t>
  </si>
  <si>
    <t>http://dbxpro.com/en-US/products/driverack-venu360</t>
  </si>
  <si>
    <t>ZC-1</t>
  </si>
  <si>
    <t>ZC 1 Wall Mounted, Programmable Zone Controller</t>
  </si>
  <si>
    <t>http://dbxpro.com/en-US/products/zc1</t>
  </si>
  <si>
    <t>ZC-2</t>
  </si>
  <si>
    <t>ZC 2 Wall Mounted, Programmable Zone Controller</t>
  </si>
  <si>
    <t>http://dbxpro.com/en-US/products/zc2</t>
  </si>
  <si>
    <t>ZC-3</t>
  </si>
  <si>
    <t>ZC 3 Wall Mounted, Program Selecter Zone Controller</t>
  </si>
  <si>
    <t>http://dbxpro.com/en-US/products/zc3</t>
  </si>
  <si>
    <t>ZC-4</t>
  </si>
  <si>
    <t>ZC 4 Wall Mounted Contact Closure Input Zone Controller</t>
  </si>
  <si>
    <t>http://dbxpro.com/en-US/products/zc4</t>
  </si>
  <si>
    <t>ZC-6</t>
  </si>
  <si>
    <t>ZC 6 Wall Mounted Push Button Up/Down Controller</t>
  </si>
  <si>
    <t>http://dbxpro.com/en-US/products/zc6</t>
  </si>
  <si>
    <t>ZC-7</t>
  </si>
  <si>
    <t>ZC 7 Wall Mounted Mic Page Assignment Controller</t>
  </si>
  <si>
    <t>http://dbxpro.com/en-US/products/zc7</t>
  </si>
  <si>
    <t>ZC-8</t>
  </si>
  <si>
    <t>ZC 8 Wall Mounted Up/Down Volume Controller</t>
  </si>
  <si>
    <t>http://dbxpro.com/en-US/products/zc8</t>
  </si>
  <si>
    <t>ZC-9</t>
  </si>
  <si>
    <t>ZC 9 Wall Mounted 8 Position Zone Controller</t>
  </si>
  <si>
    <t>http://dbxpro.com/en-US/products/zc9</t>
  </si>
  <si>
    <t>ZC-FIRE</t>
  </si>
  <si>
    <t>ZC FIRE Fire System Interface</t>
  </si>
  <si>
    <t>http://dbxpro.com/en-US/products/zc-fire</t>
  </si>
  <si>
    <t>JBL100</t>
  </si>
  <si>
    <t>2.0 active soundbar for hotels and cruise ships.</t>
  </si>
  <si>
    <t>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t>
  </si>
  <si>
    <t>6 9199100796 5</t>
  </si>
  <si>
    <t>Same as PSB-1, with 230 Volt power cord.</t>
  </si>
  <si>
    <t>6 9199100921 1</t>
  </si>
  <si>
    <t>COMMERCIAL MIXER</t>
  </si>
  <si>
    <t>CSMA</t>
  </si>
  <si>
    <t>CSM14</t>
  </si>
  <si>
    <t>4 Input - 1 Output Mixer, Fanless, 1U Half-Rack, Mounting kit included</t>
  </si>
  <si>
    <t>http://jblcommercialproducts.com/en-US/products/csm-14</t>
  </si>
  <si>
    <t>CSM28</t>
  </si>
  <si>
    <t>8 Input - 2 Output Mixer, Fanless, 1U Full-Rack, Mounting kit included</t>
  </si>
  <si>
    <t>http://jblcommercialproducts.com/en-US/products/csm-28</t>
  </si>
  <si>
    <t>Commercial Mixer-Amplifier</t>
  </si>
  <si>
    <t>VSERIES</t>
  </si>
  <si>
    <t>VMA1120</t>
  </si>
  <si>
    <t>VMA 1120: (5) input channel x (1) 120W output channel Mixer/Amplifier</t>
  </si>
  <si>
    <t>VMA1240</t>
  </si>
  <si>
    <t>VMA 1240: (5) input channel x (1) 240W output channel Mixer/Amplifier</t>
  </si>
  <si>
    <t xml:space="preserve">VMA160 </t>
  </si>
  <si>
    <t>VMA 160: (5) input channel x (1) 60W output channel Mixer/Amplifier</t>
  </si>
  <si>
    <t xml:space="preserve">VMA260 </t>
  </si>
  <si>
    <t>VMA 260: (5) input channel x (2) 60W output channel Mixer/Amplifier</t>
  </si>
  <si>
    <t>VMA2120</t>
  </si>
  <si>
    <t>VMA 2120: (8) input channel x (2) 120W output channel Mixer/Amplifier</t>
  </si>
  <si>
    <t>COMMERCIAL MIXER-AMP</t>
  </si>
  <si>
    <t>CSMA1120</t>
  </si>
  <si>
    <t>4 input - 1 x 120W DriveCore Mixer-Amp, Fanless, 4ohm/8ohm/70V/100V, 1U Half-Rack, Mounting kit</t>
  </si>
  <si>
    <t>http://jblcommercialproducts.com/en-US/products/csma-1801120</t>
  </si>
  <si>
    <t>CSMA180</t>
  </si>
  <si>
    <t>4 input - 1 x 80W DriveCore Mixer-Amp, Fanless, 4ohm/8ohm/70V/100V, 1U Half-Rack, Mounting kit</t>
  </si>
  <si>
    <t>CSMA2120</t>
  </si>
  <si>
    <t>8 input - 2 x 120W DriveCore Mixer-Amp, Fanless, 4ohm/8ohm/70V/100V, 1U Full-Rack, Mounting kit</t>
  </si>
  <si>
    <t>http://jblcommercialproducts.com/en-US/products/csma-2402802120</t>
  </si>
  <si>
    <t>CSMA240</t>
  </si>
  <si>
    <t>8 input - 2 x 40W DriveCore Mixer-Amp, Fanless, 4ohm/8ohm/70V/100V, 1U Full-Rack, Mounting kit</t>
  </si>
  <si>
    <t>CSMA280</t>
  </si>
  <si>
    <t xml:space="preserve">8 input - 2 x 80W DriveCore Mixer-Amp, Fanless, 4ohm/8ohm/70V/100V, 1U Full-Rack, Mounting kit </t>
  </si>
  <si>
    <t>COMMERCIAL AMPLIFIER</t>
  </si>
  <si>
    <t>CSA1120Z</t>
  </si>
  <si>
    <t>1 x 120W DriveCore Amplifier, Fanless, 4ohm/8ohm/70V/100V, 1U Half-Rack, Mounting kit</t>
  </si>
  <si>
    <t>http://jblcommercialproducts.com/en-US/products/csa-140z180z1120z</t>
  </si>
  <si>
    <t>Commercial Amplifier</t>
  </si>
  <si>
    <t>CSA1300Z</t>
  </si>
  <si>
    <t>CSA140Z</t>
  </si>
  <si>
    <t>1 x 40W DriveCore Amplifier, Fanless, 4ohm/8ohm/70V/100V, 1U Half-Rack, Mounting kit</t>
  </si>
  <si>
    <t>CSA180Z</t>
  </si>
  <si>
    <t>1 x 80W DriveCore Amplifier, Fanless, 4ohm/8ohm/70V/100V, 1U Half-Rack, Mounting kit</t>
  </si>
  <si>
    <t>CSA2120R</t>
  </si>
  <si>
    <t>2 x 120 Watt Amplifier at 4/8 Ohms</t>
  </si>
  <si>
    <t>http://jblcommercialproducts.com/en-US/products/csa-2120</t>
  </si>
  <si>
    <t>CST2120</t>
  </si>
  <si>
    <t>2-Channel Transformer Kit for CSA2120</t>
  </si>
  <si>
    <t>http://jblcommercialproducts.com/en-US/products/cst-2120</t>
  </si>
  <si>
    <t>CSA2120Z</t>
  </si>
  <si>
    <t>2 x 120W DriveCore Amplifier, Fanless, 4ohm/8ohm/70V/100V, 1U Half-Rack, Mounting kit</t>
  </si>
  <si>
    <t>http://jblcommercialproducts.com/en-US/products/csa-240z280z2120z</t>
  </si>
  <si>
    <t>CSA2300Z</t>
  </si>
  <si>
    <t>2 x 300W DriveCore Amplifier, Fanless, 8ohm/70V/100V, supports CSR-V volume control, sleep mode (w/ disable), 2U Full-Rack, Mounting kit</t>
  </si>
  <si>
    <t>CSA240Z</t>
  </si>
  <si>
    <t>2 x 40W DriveCore Amplifier, Fanless, 4ohm/8ohm/70V/100V, 1U Half-Rack, Mounting kit</t>
  </si>
  <si>
    <t>CSA280Z</t>
  </si>
  <si>
    <t>2 x 80W DriveCore Amplifier, Fanless, 4ohm/8ohm/70V/100V, 1U Half-Rack, Mounting kit</t>
  </si>
  <si>
    <t>COMMERCIAL WALL CONTROLLERS</t>
  </si>
  <si>
    <t>JBL017</t>
  </si>
  <si>
    <t>CSR-2SV-BLK</t>
  </si>
  <si>
    <t>Wall Controller with 2-Position Source Selector and Volume Control; US Version (Black) For use with CSM-21, CSM-32</t>
  </si>
  <si>
    <t>CSR-2SV-WHT</t>
  </si>
  <si>
    <t>Wall Controller with 2-Position Source Selector and Volume Control; US Version (White) For use with CSM-21, CSM-32</t>
  </si>
  <si>
    <t>CSR-3SV-BLK</t>
  </si>
  <si>
    <t>Controller with 3-Position Source Selector and Volume Control; US Version (Black) For use with CSM-32</t>
  </si>
  <si>
    <t>CSR-3SV-WHT</t>
  </si>
  <si>
    <t>Wall Controller with 3-Position Source Selector and Volume Control; US Version (White)  For use with CSM-32</t>
  </si>
  <si>
    <t>CSR-V-BLK</t>
  </si>
  <si>
    <t>Wall Controller with Volume Control; US Version (Black)  For use with CSM-21, CSM-32, All CSMA</t>
  </si>
  <si>
    <t>CSR-V-WHT</t>
  </si>
  <si>
    <t>Wall Controller with Volume Control; US Version (White)  For use with CSM-21, CSM-32, All CSMA</t>
  </si>
  <si>
    <t>Ceiling Speaker</t>
  </si>
  <si>
    <t>S/M, CSS8004 - 4", 5W</t>
  </si>
  <si>
    <t>4" Commercial Series Ceiling Speaker.  90 dB sens, 5W multi-tap for 100V/70V 25V, pre-assembled with driver/grille/transformer, 175 deg coverage; punched metal grille, compatible with CSS-BB4 backcan and CSS-TB4/8 tile rails (priced as each; sold individually; master packs are 6 pcs).</t>
  </si>
  <si>
    <t xml:space="preserve">http://www.jblpro.com/www/products/installed-sound/commercial-series/css8004 </t>
  </si>
  <si>
    <t>S/M, CSS8008 8", 5w</t>
  </si>
  <si>
    <t>8" Commercial Series Ceiling Speaker.  96 dB sens, 5W multi-tap for 100V/70V 25V, pre-assembled with driver/grille/transformer, 120 deg coverage; punched metal grille, compatible with CSS-BB8 backcan and CSS-TB4/8 tile rails (priced as each; sold individually; master packs are 6 pcs).</t>
  </si>
  <si>
    <t xml:space="preserve">http://www.jblpro.com/www/products/installed-sound/commercial-series/css8008 </t>
  </si>
  <si>
    <t>S/M, CSS8018 8", 10W</t>
  </si>
  <si>
    <t>8" Commercial Series Ceiling Speaker.  Very high 97 dB sens, 10W multi-tap for 100V/70V 25V, pre-assembled with driver/grille/transformer, 110 deg coverage; punched metal grille, compatible with CSS-BB8 backcan and CSS-TB4/8 tile rails (priced as each; sold individually; master packs are 6 pcs).</t>
  </si>
  <si>
    <t xml:space="preserve">http://www.jblpro.com/www/products/installed-sound/commercial-series/css8018 </t>
  </si>
  <si>
    <t>Accessory</t>
  </si>
  <si>
    <t>S/M, CSS-BB4X6-- 4" BACKCAN (1=6 PCS)</t>
  </si>
  <si>
    <t>Pack of 6 pcs of 4" backcans for CSS8004.  Steel, zinc-plated, powder-coated, 4.8" (121mm) deep, 5 knockouts (priced an sold as a pack of 6 pcs).</t>
  </si>
  <si>
    <t xml:space="preserve">http://www.jblpro.com/www/products/installed-sound/commercial-series/css-bb4x6 </t>
  </si>
  <si>
    <t>CSS-BB8X6 8" BACKCAN (1 = 6 PCS)</t>
  </si>
  <si>
    <t>Pack of 6 pcs of 8" backcans for CSS8008 or CSS8018.  Steel, zinc-plated, powder-coated, 4.8" (121 mm) deep, 5 knockouts (priced an sold as a pack of 6 pcs).</t>
  </si>
  <si>
    <t xml:space="preserve">http://www.jblpro.com/www/products/installed-sound/commercial-series/css-bb8x6 </t>
  </si>
  <si>
    <t>COMMERCIAL ACCESSORIES</t>
  </si>
  <si>
    <t>Pack of 12 pcs Tile Rails for CSS-BB4 and CSS-BB8 Backcans  (Priced as package)</t>
  </si>
  <si>
    <t>Low-Profile Lay-In 2' x 2' Ceiling Tile Speaker w 8" driver</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</si>
  <si>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t>
  </si>
  <si>
    <t xml:space="preserve">JBL-LCT 81C/TM </t>
  </si>
  <si>
    <t>JBL018</t>
  </si>
  <si>
    <t>Lay-In 600mm Ceiling Tile Spkr 8" Driver</t>
  </si>
  <si>
    <t>Lay-in Ceiling Tile Speaker, 8" driver, for 600mm x 60mm suspended grid ceilings (NOT for US 2' x 2'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t>
  </si>
  <si>
    <t>4"CEILING SPKR W/ X-FORMER (4PCS P/Ctn)</t>
  </si>
  <si>
    <t>4" Open-Back Ceiling Speaker.  70V/100V taps at 6W, 3W, 1.5W (plus 0.75W at 70V), high 93 dB sens, 60 Hz to 18 kHz, for non-plenum applications, 1.2 kg (2.5 lb).   (Priced as each, sold in packages of 4 pcs)</t>
  </si>
  <si>
    <t>http://www.jblpro.com/www/products/installed-sound/8100-series/8124</t>
  </si>
  <si>
    <t>8" CEILING SPKR W/ X-FORMER (4PCS P/Ctn)</t>
  </si>
  <si>
    <t>8" Open-Back Ceiling Speaker.  70V/100V taps at 6W, 3W, 1.5W (plus 0.75W at 70V), very high 97 dB sens, 50 Hz to 16 kHz, for non-plenum applications, 1.4 kg (3.0 lb).    (Priced as each, sold in packages of 4 pcs)</t>
  </si>
  <si>
    <t>http://www.jblpro.com/www/products/installed-sound/8100-series/8128</t>
  </si>
  <si>
    <t>FULL RANGE LOUDSPEAKERS (4PCS PER CTN)</t>
  </si>
  <si>
    <t>8” Ceiling Speaker for Pre-Install Backcan, stylish look, for use with MTC-81BB8 backcan and MTC-81TB8 tile bridge, or standard backcans.  Very high 97 dB sens, 95 Hz – 18 kHz, 6W multiple tap transformer, 90° coverage. (priced as each, sold in packs of 4 pcs)</t>
  </si>
  <si>
    <t>http://www.jblpro.com/www/products/installed-sound/8100-series/8138</t>
  </si>
  <si>
    <t>C - RING for 8124</t>
  </si>
  <si>
    <t>C-ring for 8124, for installations requiring C-ring to spread ceiling loading.  Integral clips for optional MTC-Rail tile rails.   (Priced as each, sold in packages of 4 pcs [for 4 speakers])</t>
  </si>
  <si>
    <t>C-RING for 8128</t>
  </si>
  <si>
    <t>C-ring for 8128  (Priced as each, sold in packages of 4 pcs (for 4 speakers)</t>
  </si>
  <si>
    <t>DEEP BACK CAN FOR 8138 (4 PCS PER CTN)</t>
  </si>
  <si>
    <t>Pre-Install backcan for 8138, 7.4 liter, 7"H x 11-3/4" dia, 11-1/4" mounting circle, 16 gauge steel, e-coated (priced as each sold in packs of 4 pcs)</t>
  </si>
  <si>
    <t xml:space="preserve">http://www.jblpro.com/www/products/installed-sound/8100-series/mtc-81bb8 </t>
  </si>
  <si>
    <t>TILE BRIDGE  8138 &amp; 81BB8 (4PC PR CTN)</t>
  </si>
  <si>
    <t>Tile Bridge for MTC-81BB8 backcan, 19 gauge steel with e-coating (priced as each, sold in packs of 4 pcs)</t>
  </si>
  <si>
    <t xml:space="preserve">http://www.jblpro.com/www/products/installed-sound/8100-series/mtc-81tb8 </t>
  </si>
  <si>
    <t xml:space="preserve">THIN-CEILING DOG-EARS </t>
  </si>
  <si>
    <t>Thin-ceiling dog-ears for when ceilings (or walls) are thin. Fits C24C/CT Micro &amp; MircroPlus, C24C/CT, C26C/CT, C19CS/CST. 1 pack contains 24 pcs of dog-ears, priced per pack.</t>
  </si>
  <si>
    <t>TBD</t>
  </si>
  <si>
    <t>TILE RAIL FOR 8124 &amp; 8128</t>
  </si>
  <si>
    <t>Tile rails for 8124, 8128 (requires MTC-8124C or MTC-8128C c-rings) or for C42C speaker (with included c-ring), (priced as each. Sold in packs of 4 pcs, for 2 spkrs).</t>
  </si>
  <si>
    <t>3" FULL-RANGE CEILING SPKR (2 PER CTN)</t>
  </si>
  <si>
    <t xml:space="preserve">Priced as each, packed and sold in pairs)” </t>
  </si>
  <si>
    <t xml:space="preserve">http://www.jblpro.com/www/products/installed-sound/control-10-series/control-12c-t </t>
  </si>
  <si>
    <t>3" FULL-RANGE CEILING SPKR (2 PER CTN), BLK</t>
  </si>
  <si>
    <t>Compact Ceiling Loudspeaker with 76 mm (3 in) Full-Range Driver.  68 Hz – 17 kHz bandwidth, wide 130° coverage, 84 dB sensitivity Blind-mount backcan for quick and easy installation, dual conduit/cable clamp for in and thru cables. Combined 15 W multi-tap Priced as each, packed and sold in pairs)”  transformer at 70V/100V and 8Ω direct setting (20 W).  Low profile backcan for shallow ceilings.  Black.  Priced as each, sold in pairs.  International master pack is 2 speakers.</t>
  </si>
  <si>
    <t>4" CO-AX CEILING SPKR (2 PER CTN)</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</si>
  <si>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t>
  </si>
  <si>
    <t xml:space="preserve">http://www.jblpro.com/www/products/installed-sound/control-10-series/control-14c-t </t>
  </si>
  <si>
    <t>4" CO-AX CEILING SPKR (2 PER CTN), BLK</t>
  </si>
  <si>
    <t>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t>
  </si>
  <si>
    <t>6-1/2" CO-AX CEILING SPKR (2 PER CTN)</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</si>
  <si>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t>
  </si>
  <si>
    <t xml:space="preserve">http://www.jblpro.com/www/products/installed-sound/control-10-series/control-16c-t </t>
  </si>
  <si>
    <t>6-1/2" CO-AX CEILING SPKR (2 PER CTN), BLK</t>
  </si>
  <si>
    <t>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t>
  </si>
  <si>
    <t>8" 2-WAY CEILING SPKR, WHT (2 PER CTN)</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</si>
  <si>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t>
  </si>
  <si>
    <t>http://www.jblpro.com/www/products/installed-sound/control-10-series/control-18c-t</t>
  </si>
  <si>
    <t>8" 2-WAY CEILING SPKR, BLK (2 PER CTN)</t>
  </si>
  <si>
    <t>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t>
  </si>
  <si>
    <t>WEATHER GRILLE C12,C14 WH  (2ea per ctn)</t>
  </si>
  <si>
    <t>Weather Grille Accessory for Control 12C/T (White) and 14C/T (White). Aluminum, powder-coated, passed B117 salt-spray 200 hours, UV 100 hours, priced as each, packed in pairs. Masterpack 24 pieces.</t>
  </si>
  <si>
    <t xml:space="preserve">http://www.jblpro.com/ProductAttachments/JBL_MTC-14WG16WG%20v4.pdf </t>
  </si>
  <si>
    <t>WEATHER GRILLE C12, C14,  Black (2ea per ctn)</t>
  </si>
  <si>
    <t>Weather Grille Accessory for Control 12C/T (Black) and 14C/T (Black). Aluminum, powder-coated, passed B117 salt-spray 200 hours, UV 100 hours, priced as each, packed in pairs. Masterpack 24 pieces.</t>
  </si>
  <si>
    <t>WEATHER GRILLE C16 WH (2ea per ctn)</t>
  </si>
  <si>
    <t>Weather Grille Accessory for Control 16C/T (White) and Control 26C &amp; 26CT.  Aluminum, powder-coated, passed B117 salt-spray 200 hours, UV 100 hours, priced as each, packed in pairs. Masterpack 24 pieces.</t>
  </si>
  <si>
    <t>WEATHER GRILLE C16, Black (2ea per ctn)</t>
  </si>
  <si>
    <t>Weather Grille Accessory for Control 16C/T (Black). Aluminum, powder-coated, passed B117 salt-spray 200 hours, UV 100 hours, priced as each, packed in pairs. Masterpack 24 pieces.</t>
  </si>
  <si>
    <t>Safety Tether, CS Grilles (1=pack of 10)</t>
  </si>
  <si>
    <t>Kit of 10 safety tethers for JBL press-in ceiling speaker grilles.  For Control 10 Series, Control Micros, Control 20 Series, and Control 40 Series models.  (1=pack of 10 tethers)   Shippable in single packs, or master pack of 40 kits.</t>
  </si>
  <si>
    <t>CONTROL MICRO W/25 WATT TRANSFORMER</t>
  </si>
  <si>
    <t>Medium Output Ceiling Speaker Assembly.  Complete Assembly Includes Backcan, Grille and Tile Rails.  Very Wide 150° Coverage.  Shallow 100 mm (4 in) Depth.  70V/100V Input Transformers with Taps at 25W and 12W (Plus 6W at 70V Only).  Priced as Each, Packed as Pairs.  Master Pack Quantity:  8 Pieces.</t>
  </si>
  <si>
    <t xml:space="preserve">http://www.jblpro.com/www/products/installed-sound/control-contractor-series/control-24ct-micro-plus </t>
  </si>
  <si>
    <t>CONTROL 24CT WITH TRANSFORMER BLACK</t>
  </si>
  <si>
    <t>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t>
  </si>
  <si>
    <t xml:space="preserve">http://www.jblpro.com/www/products/installed-sound/control-contractor-series/control-24ct-bk </t>
  </si>
  <si>
    <t>4" COAX CEILING SPKR ASSY (2 PER CTN)</t>
  </si>
  <si>
    <t>4" Two-Way Vented Ceiling Speaker, 80Hz – 20kHz, 86dB Sensitivity, 80W Program and 40W Pink Noise Power Capacity, SonicGuard™ Overload Protection, 16 ohms, 130° Coverage, Packaged with Backcan, Grille, Support Plate and Tile Rails.  Priced as Each, Packed as Pairs.  Master Pack Quantity:  8 Pieces.</t>
  </si>
  <si>
    <t xml:space="preserve">http://www.jblpro.com/www/products/installed-sound/control-contractor-series/control-24c </t>
  </si>
  <si>
    <t>4" COMPACT CEILING SPKR 8mstrpk</t>
  </si>
  <si>
    <t>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t>
  </si>
  <si>
    <t xml:space="preserve">http://www.jblpro.com/www/products/installed-sound/control-contractor-series/control-24c-micro </t>
  </si>
  <si>
    <t>4" CEILING SPKR W/X-FORMER (2 PER CTN)</t>
  </si>
  <si>
    <t>Control 24C with Transformer.  For use on a 70.7V or 100V Distributed Line, Switchable Taps at 30W, 15W and 7.5W (Plus 3.7W at 70.7V only), No SonicGuard. Priced as Each, Packed as Pairs.  Master Pack Quantity:  8 Pieces.</t>
  </si>
  <si>
    <t xml:space="preserve">http://www.jblpro.com/www/products/installed-sound/control-contractor-series/control-24ct </t>
  </si>
  <si>
    <t>4" COMPACT CEILING SPKR W/TRANS 8mstrpk</t>
  </si>
  <si>
    <t>Control 24C Micro with Transformer.  For use on a 70.7V or 100V Distributed Line.  Taps are 8W, 4W and 2W, 1W (and 1/2W at  70.7V only).   Priced as Each, Packed as Pairs.  Master Pack Quantity:  8 Pieces.</t>
  </si>
  <si>
    <t xml:space="preserve">http://www.jblpro.com/www/products/installed-sound/control-contractor-series/control-24ct-micro </t>
  </si>
  <si>
    <t>6.5" COAX CEILING SPEAKER (2 PER CARTON)</t>
  </si>
  <si>
    <t>6.5" Two-Way Vented Ceiling Speaker, 75Hz – 20kHz, 89dB Sensitivity, 150W Program and 75W Pink Noise Power Capacity, SonicGuard Overload Protection, 16 Ohms, 100° Coverage, Packaged With Backcan, Grille, Support Plate and Tile Rails.  Priced as Each, Packed as Pairs.  Master Pack Quantity:  4 Pieces.</t>
  </si>
  <si>
    <t xml:space="preserve">http://www.jblpro.com/www/products/installed-sound/control-contractor-series/control-26c </t>
  </si>
  <si>
    <t>6.5"CEILING SPKR W/X-FRMER(2PR Per CTN)</t>
  </si>
  <si>
    <t>Control 26C with Transformer.   For use on a 70.7V or 100V Distributed Line, Switchable Taps at 60W, 30W and 15W (Plus 7.5W at 70.7V only), No SonicGuard.  Priced as Each, Packed as Pairs.  Master Pack Quantity:  4 Pieces.</t>
  </si>
  <si>
    <t xml:space="preserve">http://www.jblpro.com/www/products/installed-sound/control-contractor-series/control-26ct </t>
  </si>
  <si>
    <t>CEILING SPKR-Xfrmr no Backcan 2ea Carton</t>
  </si>
  <si>
    <t>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t>
  </si>
  <si>
    <t xml:space="preserve">http://www.jblpro.com/www/products/installed-sound/control-contractor-series/control-26-dt </t>
  </si>
  <si>
    <t>Professional Ceiling Speaker for Life-Safety Applications.
UL1480 UUMW Listed for use in Fire Alarm and/or Emergency
Communication Systems. 6.5” coax, 80 Hz – 20 kHz, all-in-one, backcan
attached. (priced as each; sold in pairs)</t>
  </si>
  <si>
    <t xml:space="preserve">http://www.jblpro.com/www/products/installed-sound/control-contractor-series/control-26ct-ls </t>
  </si>
  <si>
    <t>8" CEILING SUBWOOFER (2 PER CARTON)</t>
  </si>
  <si>
    <t>8" In-Ceiling Subwoofer, Nested Chamber™ Design, Linear Aperture™ Port, 42Hz – 200Hz, 200W Program and 100W Pink Noise Power Capacity, SonicGuard Overload Protection, 8 ohms, Packaged with Backcan, Support Plate and Tile Rails.  Priced as Each, Packed  as Pairs.  Master Pack Quantity:  2 Pieces.</t>
  </si>
  <si>
    <t xml:space="preserve">http://www.jblpro.com/www/products/installed-sound/control-contractor-series/control-19cs </t>
  </si>
  <si>
    <t>8" CEILING SUB W/X-FORMER (2 PER CARTON)</t>
  </si>
  <si>
    <t>Control 19CS with Subwoofer Based Transformer.  For use on a 70.7V or 100V Distributed Line, Switchable Taps at 60W, 30W and 15W (Plus 7.5W at 70.7V only), No SonicGuard.  Priced as Each, Packed as Pairs.  Master Pack  Quantity:  2 Pieces.</t>
  </si>
  <si>
    <t xml:space="preserve">http://www.jblpro.com/www/products/installed-sound/control-contractor-series/control-19cst </t>
  </si>
  <si>
    <t>MUD RING BRACKET, C19C/19CT (EA=6)</t>
  </si>
  <si>
    <t>Optional Mud (Plaster) Ring Construction Bracket for Control 19CS, Control 19CST, and Control 226C/T. Installs before Sheetrock, Integral Ring Extension for Drywall Mudding.   Each Pack Contains 6 Pieces. Priced as one pack; one pack contains 6 Pieces)”</t>
  </si>
  <si>
    <t xml:space="preserve">http://www.jblpro.com/ProductAttachments/mtc-mr.pdf </t>
  </si>
  <si>
    <t>NEW CONSTRUCTION BRKT,C19C/19CT (EA=6)</t>
  </si>
  <si>
    <t xml:space="preserve">Optional New Construction Bracket for Control 19CS, Control 19CST, Control 226C/T, MTC-300BB8 and MTC-200BB6. Installs before Sheetrock as Cutout Template.  Each Pack Contains 6 Pieces. Priced as one pack; one pack contains 6 Pieces)” </t>
  </si>
  <si>
    <t xml:space="preserve">http://www.jblpro.com/ProductAttachments/mtc-nc.pdf </t>
  </si>
  <si>
    <t>MUDRING BRKT, C24C/24CT (EA=6)</t>
  </si>
  <si>
    <t>Optional Mud (Plaster) Ring Construction Bracket for Control 24C, 24CT, 24C Micro, 24CT Micro, and 24CT Micro Plus. Installs before Sheetrock, Integral Ring Extension for Drywall Mudding.  Each Pack Contains 6 Pieces. Priced as one pack; one pack contains 6 Pieces)”</t>
  </si>
  <si>
    <t>NEWCNSTRCTN BRKT,C24C/CT(EA=6)</t>
  </si>
  <si>
    <t>Optional New Construction Bracket for Control 24C, 24CT, 24C Micro, 24CT Micro, and 24CT Micro Plus. Installs before Sheetrock as Cutout Template.  Each Pack Contains 6 Pieces. Priced as one pack; one pack contains 6 Pieces)”</t>
  </si>
  <si>
    <t>TRIMRING/RETROFIT C24 (1=10PCS)</t>
  </si>
  <si>
    <t xml:space="preserve">Trim Ring for Retrofit Installations of Control 24 into Cutouts Up to 250mm (10") Diameter, White.  Each Pack Contains 10 Pieces. Priced as one pack; one pack contains 10 Pieces)” </t>
  </si>
  <si>
    <t xml:space="preserve">http://www.jblpro.com/ProductAttachments/mtc-tr.pdf </t>
  </si>
  <si>
    <t>MUDRING BRKT, C26C/26CT (EA=6)</t>
  </si>
  <si>
    <t>Optional Mud (Plaster) Ring Construction Bracket for Control 26C and Control 26CT, Installs before Sheetrock, Integral Ring Extension for Drywall Mudding.  Each Pack Contains 6 Pieces. “(Priced as one pack; one pack contains 6 Pieces)”</t>
  </si>
  <si>
    <t>NEW CONSTRUCTION BRKT,C26C/26CT (EA=6)</t>
  </si>
  <si>
    <t>Optional New Construction Bracket for Control 26C and Control 26CT, Installs Before Sheetrock as Cutout Template. Each Pack Contains 6 Pieces. “(Priced as one pack; one pack contains 6 Pieces)”</t>
  </si>
  <si>
    <t>TRIMRING/RETROFIT C26 (1=10PCS)</t>
  </si>
  <si>
    <t>Trim Ring for Retrofit Installations of Control 26 into Cutouts Up to 250mm (10") Diameter, White.  Each Pack Contains 10 Pieces. Priced as one pack; one pack contains 10 Pieces)”</t>
  </si>
  <si>
    <t>48" LONG TILE RAIL</t>
  </si>
  <si>
    <t>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 (Priced as one pack; one pack contains 6 Pieces</t>
  </si>
  <si>
    <t xml:space="preserve">http://www.jblpro.com/www/products/installed-sound/control-contractor-series/mtc-48trx12 </t>
  </si>
  <si>
    <t>SEALED PANEL COVER (1=2 pcs)</t>
  </si>
  <si>
    <t>Sealed Panel Cover for Input Terminal Compartment.  Also functions as Strain Relief.  Fits all Surface-Mount Models.  Gland Nut Extends Toward Back. Priced is for a package of two covers.</t>
  </si>
  <si>
    <t xml:space="preserve">http://www.jblpro.com/ProductAttachments/mtc-pc2%20instructions.pdf </t>
  </si>
  <si>
    <t>Sealed Panel Cover for Input Terminal Compartment.  Also functions as Strain Relief.  Fits all Surface-Mount Models.  Side-Mounted Gland Nut for low-profile installations. Priced is for a package of two covers.</t>
  </si>
  <si>
    <t>THICK-CEILING DOGEARS (1=24 pcs)</t>
  </si>
  <si>
    <t>Thick-ceiling dogears for ceilings up to 60 mm (2.5 in) thick.  Fits C24C/CT Micro &amp; MicroPlus, C24C/CT, C26C/CT, C19CS/CST.  1 kit (an order of "1") contains 24 pcs of dogears, priced per kit.</t>
  </si>
  <si>
    <t xml:space="preserve">http://www.jblpro.com/ProductAttachments/MTC-TCD%20Instructions%20Rev%20C.pdf </t>
  </si>
  <si>
    <t>PREMIUM IN-CEILING SUBWOOFER</t>
  </si>
  <si>
    <t>Direct-Radiating In-Ceiling Subwoofer with 8" driver, built-in crossover network with outputs for 2 or 4 pcs of Control 42C satellite speakers, 30 Hz - 300 Hz, 200W program, 100W pink noise, 70V/100V taps at 80W, 40W, 20W (and 10W @ 70V), plus 8 ohm direct,  (priced as each, sold in pairs)</t>
  </si>
  <si>
    <t xml:space="preserve">http://www.jblpro.com/www/products/installed-sound/control-40-series/control-40cs-t </t>
  </si>
  <si>
    <t>PREMIUM IN-CEILING SATELLITE</t>
  </si>
  <si>
    <t>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t>
  </si>
  <si>
    <t xml:space="preserve">http://www.jblpro.com/www/products/installed-sound/control-40-series/control-42c </t>
  </si>
  <si>
    <t>Two-Way 5.25" Coaxial Ceiling Loudspeaker</t>
  </si>
  <si>
    <t xml:space="preserve">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 Priced as each, packed and sold in pairs)”  Priced as each, packed and sold in pairs)” </t>
  </si>
  <si>
    <t xml:space="preserve">http://www.jblpro.com/www/products/installed-sound/control-40-series/control-45c-t </t>
  </si>
  <si>
    <t>PREMIUM IN-CEILING COAX w/6.5"</t>
  </si>
  <si>
    <t>Wide-coverage, extended bass ceiling spkr feature RBI. 6.5" two-way, 120 deg consistent coverage, 55 Hz - 20 kHz, 91 dB sens, taps at 60W, 30W, 15W (and 7.5W @ 70V) plus 8 ohm direct. (priced as each, sold in pairs.)</t>
  </si>
  <si>
    <t xml:space="preserve">http://www.jblpro.com/www/products/installed-sound/control-40-series/control-47c-t </t>
  </si>
  <si>
    <t>PREMIUM HIGH-CEILING COAX w/ 6.5"</t>
  </si>
  <si>
    <t xml:space="preserve">http://www.jblpro.com/www/products/installed-sound/control-40-series/control-47hc </t>
  </si>
  <si>
    <t>PREMIUM LOW-FROFILE CEILING</t>
  </si>
  <si>
    <t>Low-=Profile version of C47D/T featuring RBI technology. Specs same as C47C/T except only 142 mm (5.6 in) deep, 68 Hz to 20 kHz.  (priced as each; sold in pairs)</t>
  </si>
  <si>
    <t xml:space="preserve">http://www.jblpro.com/www/products/installed-sound/control-40-series/control-47lp </t>
  </si>
  <si>
    <t>MUD RING BRACKET FOR CONTROL 42C (1=6 pcs)</t>
  </si>
  <si>
    <t>Mud-Ring Construction Brackets for C42C (each pack contains 6 pcs) (Priced as one pack; one pack contains 6 Pieces</t>
  </si>
  <si>
    <t>NEW CONSTRUCTION RING FOR C42 (1=6 pcs)</t>
  </si>
  <si>
    <t>New Construction Ring Brackets for Control 42C (each pack contains 6 pcs) (Priced as one pack; one pack contains 6 Pieces</t>
  </si>
  <si>
    <t>MUD RING BRACKET FOR C47C/T &amp; C47LP (1=6 pcs)</t>
  </si>
  <si>
    <t>Mud-Ring construction Brackets for C47C/T &amp; C47LP (each pack contains 6 pcs) (Priced as one pack; one pack contains 6 Pieces</t>
  </si>
  <si>
    <t>NEW CONSTRUCTION RING  C47C/T &amp; 47LP (1=6pcs)</t>
  </si>
  <si>
    <t>New construction Brackets for C47C/T &amp; C47LP (each pack contains 6 pcs) (Priced as one pack; one pack contains 6 Pieces</t>
  </si>
  <si>
    <t>6" CEILING SPKR W BACK CAN 2PER CTN</t>
  </si>
  <si>
    <t>6.5” Coax Ceiling Loudspeaker. True-Broadband 120º Coverage.  150 Watts, 47 Hz to 19kHz Frequency Response, 90 dB Sensitivity. 1” Exit Compression Driver. 8 ohms Plus 70V/100V Taps at 60W, 30W, 15W (And 7.5W @ 70V).   13” Round Ported Baffle x 9.7” Deep.  (Priced as Each, Sold in Pairs).</t>
  </si>
  <si>
    <t xml:space="preserve">http://www.jblpro.com/www/products/installed-sound/control-200-series/control-226c-t </t>
  </si>
  <si>
    <t>6" CEILING SPEAKER ON A BAFFLE</t>
  </si>
  <si>
    <t>6.5” Coax Ceiling Loudspeaker with Compression Driver. Broadband 120º Coverage.  150 Watts, 43 Hz to 19kHz Frequency Response, 90 dB Sensitivity. 1” Exit Compression Driver.  8 ohms. 12” Round Ported Baffle x 5.8” Deep. (Priced and Sold as Each).  UL LISTED</t>
  </si>
  <si>
    <t xml:space="preserve">http://www.jblpro.com/www/products/installed-sound/control-200-series/control-227c </t>
  </si>
  <si>
    <t>Control 227C with Pre-Attached 60 Watt 70V/100V Multi-Tap Transformer.  Taps at 68 W, 34W and 17W (plus 8.5W at 70V only).  12” Round Baffle x 5.8” Deep. (Priced and Sold as Each).   UL LISTED</t>
  </si>
  <si>
    <t xml:space="preserve">http://www.jblpro.com/www/products/installed-sound/control-200-series/control-227ct </t>
  </si>
  <si>
    <t>BACKBOX FOR 6" C200</t>
  </si>
  <si>
    <t>Backcan for Control 227C &amp; CT.  Round with extra-thick 16-gauge steel and heavy-duty 1/2" MDP reinforcement on top panel.  Knockouts on sides and top panel.  0.5 cu ft, 13.3" dia x 8.1" deep, UL LISTED, (priced and shipped in eaches).</t>
  </si>
  <si>
    <t xml:space="preserve">http://www.jblpro.com/www/products/installed-sound/control-200-series/mtc-200bb6 </t>
  </si>
  <si>
    <t>GRILLE FOR C328, C227</t>
  </si>
  <si>
    <t>*Previously MTC-300RG8*.  Contemporary Round Grille for Control 227C/CT 6.5” and 328C/CT 8” Models”.  Fashionable Upscale Look, White, Metal, 13.6” Dia x 0.64” Deep.   UL LISTED.  Sold and Shipped as Eaches).</t>
  </si>
  <si>
    <t xml:space="preserve">http://www.jblpro.com/www/products/installed-sound/control-200-series/mtc-rg6-8 </t>
  </si>
  <si>
    <t>SQUARE GRILLE FOR C328, C227</t>
  </si>
  <si>
    <t>Contemporary Square Grille for Control 200 &amp; 300 Series 6.5” Medium-Format and 8” Large-format Coaxial Ceiling Loudspeakers.     Fashionable, upscale look, white finish over zinc-plated metal.  Fits Control 227C, 227CT, 328C and 328CT.</t>
  </si>
  <si>
    <t xml:space="preserve">http://www.jblpro.com/www/products/installed-sound/control-200-series/mtc-sg6-8 </t>
  </si>
  <si>
    <t>TILE-BRIDGE FOR MTC-200BB6 &amp; MTC-300BB8</t>
  </si>
  <si>
    <t>Tile Bridge for Medium (C227C &amp; C227CT) and Large (C328 &amp; C328CT) Format Ceiling Speakers.  18-Gauge steel.  25.4” x 16.3” x 1” Deep.  (Price as Each, Sold 6 pcs Per Box)</t>
  </si>
  <si>
    <t xml:space="preserve">http://www.jblpro.com/www/products/installed-sound/control-200-series/mtc-tb6-8 </t>
  </si>
  <si>
    <t>12" CEILING SUBWOOFER</t>
  </si>
  <si>
    <t>12” In-Ceiling Subwoofer.  400 Watts, 30 Hz – 4.5 kHz Frequency Response, 93 dB Sensitivity. 14.4” Square Ported Baffle x 6.3” Deep. EZ-Rail for Ease of Installation.   Sold and packed as Eaches</t>
  </si>
  <si>
    <t xml:space="preserve">http://www.jblpro.com/www/products/installed-sound/control-300-series/control-312cs </t>
  </si>
  <si>
    <t>12" CEILING COAX</t>
  </si>
  <si>
    <t>Premium 12” Coax Ceiling Loudspeaker. True-Broadband 90º Coverage.  250 Watts, 34 Hz to 18 kHz Frequency Response, 94 dB Sensitivity. 2412H Compression Driver.  14.4” Square Ported Baffle x 8.8” Deep.  EZ-Rail™ For Ease of Installation.   UL LISTED.Priced and sold as Each</t>
  </si>
  <si>
    <t xml:space="preserve">http://www.jblpro.com/www/products/installed-sound/control-300-series/control-321c </t>
  </si>
  <si>
    <t>C321C W/60W   X-FORMER</t>
  </si>
  <si>
    <t>Control 321C with pre-attached 60 Watt 70V/100V Multi-Tap Transformer.  Taps at 68W, 34W and 17W (Plus 8.5W at 70V Only).  14.4” Square Ported Baffle x 9.5 Deep. EZ-Rail for Ease of Installation.    UL LISTED Priced and sold as Each</t>
  </si>
  <si>
    <t xml:space="preserve">http://www.jblpro.com/www/products/installed-sound/control-300-series/control-321ct </t>
  </si>
  <si>
    <t>HIGH OUTPUT 12' CEILING COAX</t>
  </si>
  <si>
    <t>High-Power 12” Coax Ceiling Loudpeaker with Medium Format Compression Driver.   True Broadband 90º Coverage.  400 Watts, 32 Hz to 20 kHz Frequency Response, 95 dB Sensitivity. 2407H Compression Driver.  14.4” Square Ported Baffle x 8.8” Deep. EZ-Rail for Ease of Installation.   UL LISTED Priced and sold as Each</t>
  </si>
  <si>
    <t xml:space="preserve">http://www.jblpro.com/www/products/installed-sound/control-300-series/control-322c </t>
  </si>
  <si>
    <t>C 322C W/100W  X-FORMER</t>
  </si>
  <si>
    <t>Control 322C with pre-attached 100 Watt 70V/100V Multi-Tap Transformer.  Taps at 100W, 50W &amp; 25W (Plus 12.5W at 70V Only).  14.4” Square Ported Baffle x 9.5” Deep. EZ-Rail for Ease of Installation.  UL LISTED Priced and sold as Each</t>
  </si>
  <si>
    <t xml:space="preserve">http://www.jblpro.com/www/products/installed-sound/control-300-series/control-322ct </t>
  </si>
  <si>
    <t>8" CEILING COAX</t>
  </si>
  <si>
    <t>8” Coax Ceiling Speaker with 12” Waveguide.  Broadband 120º Coverage.  250 Watts, 45 Hz to 18 kHz Frequency Response, 93 dB Sensitivity. 2412H Compression driver.  12” Round Ported Baffle/Waveguide x 6.3” Deep.   UL LISTED Priced and sold as Each</t>
  </si>
  <si>
    <t xml:space="preserve">http://www.jblpro.com/www/products/installed-sound/control-300-series/control-328c </t>
  </si>
  <si>
    <t>8" CEILING COAX   W/60W X-FORMER</t>
  </si>
  <si>
    <t>Control 328C with pre-attached 60 Watt 70V/100V Multi-Tap Transformer.  Taps at 68W, 34W &amp; 17W (Plus 8.5W at 70V Only). 12” Round Ported Baffle with Waveguide, Depth 8.6”.  UL LISTED Priced and sold as Each</t>
  </si>
  <si>
    <t xml:space="preserve">http://www.jblpro.com/www/products/installed-sound/control-300-series/control-328ct </t>
  </si>
  <si>
    <t>BACKBOX FOR 12" C300</t>
  </si>
  <si>
    <t>Best-in-Class Three Cubic Foot Back Box for 12” Models.  Rectangular with Extra-Thick 16 Gauge Metal and Heavy Duty ½” MDF Reinforcement on Top and Side Panels. Fits Control 321C, 321CT, 322C, 322CT &amp; 321CS.   23.1” x 18.2” (20” Incl. Side Tabs) x 12.8” Deep.      NOW UL LISTED Sold and packed as Eaches</t>
  </si>
  <si>
    <t xml:space="preserve">http://www.jblpro.com/www/products/installed-sound/control-300-series/mtc-300bb12 </t>
  </si>
  <si>
    <t>BACKBOX FOR 8" C300</t>
  </si>
  <si>
    <t>One Cubic Foot Back Box for 8” Models.  Round with Extra-Thick 16 Gauge Metal and Heavy Duty ½” MDF Reinforcement on Top Panel.  Knockouts on Sides and Top Panel.  Fits Control 328C &amp; 328CT.  15” Dia x 10.6” Deep.   NOW UL LISTED Sold and packed as Eaches</t>
  </si>
  <si>
    <t xml:space="preserve">http://www.jblpro.com/www/products/installed-sound/control-300-series/mtc-300bb8 </t>
  </si>
  <si>
    <t>SQUARE GRILLE FOR 12" C300</t>
  </si>
  <si>
    <t>Contemporary Square Grille for 12” Models.  Fashionable Upscale Look, White, Metal,  16.3” x 16.3” x 0.4” Deep.   NOW UL LISTED Sold and packed as Eaches</t>
  </si>
  <si>
    <t xml:space="preserve">http://www.jblpro.com/www/products/installed-sound/control-300-series/mtc-300sg12 </t>
  </si>
  <si>
    <t>150W TRANSFORMER C300</t>
  </si>
  <si>
    <t>150 Watt Transformer for Higher Output from a 70V or 100V System.  Use with Non-T Version Loudspeakers.   Mounts to Tabs Inside MTC-300BB12 Back Box (Does not Mount on Driver Assembly). 3.1” H x 3.4” W x 3.4” Deep. NOW UL LISTED Sold and packed as Eaches</t>
  </si>
  <si>
    <t xml:space="preserve">http://www.jblpro.com/www/products/installed-sound/control-300-series/mtc-300t150 </t>
  </si>
  <si>
    <t>Surface-Mount Speaker</t>
  </si>
  <si>
    <t>2-way Surface-Mount Speaker with 8-ohm..</t>
  </si>
  <si>
    <t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t>
  </si>
  <si>
    <t xml:space="preserve">http://www.jblpro.com/www/products/installed-sound/commercial-series/css-1s-t </t>
  </si>
  <si>
    <t>Paging Horn Speaker</t>
  </si>
  <si>
    <t>15 Watt Paging Horn (6 in masterpack)</t>
  </si>
  <si>
    <t>15 Watt Paging Horn. (Priced as each, 6 in masterpack)</t>
  </si>
  <si>
    <t xml:space="preserve">http://www.jblpro.com/www/products/installed-sound/commercial-series/css-h15 </t>
  </si>
  <si>
    <t>30 Watt Paging Horn (4 in masterpack)</t>
  </si>
  <si>
    <t>30 Watt Paging Horn (Priced as each, 4 in masterpack)</t>
  </si>
  <si>
    <t xml:space="preserve">http://www.jblpro.com/www/products/installed-sound/commercial-series/css-h30 </t>
  </si>
  <si>
    <t>3" 2-WAY SURFACE-MT SPKR, BLK</t>
  </si>
  <si>
    <t>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packaged and sold in pairs. Master Pack Quantity: 6 Pieces.</t>
  </si>
  <si>
    <t xml:space="preserve">http://www.jblpro.com/www/products/installed-sound/control-contractor-series/control-23-1 </t>
  </si>
  <si>
    <t>3" 2-WAY SURFACE-MT SPKR, 8 OHM, BLK</t>
  </si>
  <si>
    <t>Low-Impedance-Only Version of Control 23-1 (&amp;-WH), without 70V/100V transformer,  8 ohms only.priced as each; packaged and sold in pairs</t>
  </si>
  <si>
    <t xml:space="preserve">http://www.jblpro.com/www/products/installed-sound/control-contractor-series/control-23-1l </t>
  </si>
  <si>
    <t>3" 2-WAY SURFACE-MT SPKR, 8 OHM,. WHT</t>
  </si>
  <si>
    <t>Control 23-1L in white priced as each; packaged and sold in pairs</t>
  </si>
  <si>
    <t>3" 2-WAY SURFACE-MT SPKR, WHT</t>
  </si>
  <si>
    <t>Control 23-1 in white.</t>
  </si>
  <si>
    <t>5¼" 2-WAY SURFACE-MT SPKR, BLK</t>
  </si>
  <si>
    <t>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t>
  </si>
  <si>
    <t xml:space="preserve">http://www.jblpro.com/www/products/installed-sound/control-contractor-series/control-25-1 </t>
  </si>
  <si>
    <t>5¼" 2-WAY SURFACE-MT SPKR, 8 OHM, BLK</t>
  </si>
  <si>
    <t>Low-Impedance-Only Version of Control 25-1 (&amp;-WH), without 70V/100V transformer,  8 ohms only. priced as each; packaged and sold in pairs</t>
  </si>
  <si>
    <t xml:space="preserve">http://www.jblpro.com/www/products/installed-sound/control-contractor-series/control-25-1l </t>
  </si>
  <si>
    <t>5¼" 2-WAY SURFACE-MT SPKR, 8 OHM,. WHT</t>
  </si>
  <si>
    <t>Control 25-1L in white priced as each; packaged and sold in pairs</t>
  </si>
  <si>
    <t>5¼" 2-WAY SURFACE-MT SPKR, WHT</t>
  </si>
  <si>
    <t>Control 25-1 in white.</t>
  </si>
  <si>
    <t>5.25" 2-WAY W/HORN/AV VERSION</t>
  </si>
  <si>
    <t>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t>
  </si>
  <si>
    <t xml:space="preserve">http://www.jblpro.com/www/products/installed-sound/control-contractor-series/control-25av </t>
  </si>
  <si>
    <t>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t>
  </si>
  <si>
    <t>UL Life Safety Version of C25AV</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</si>
  <si>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t>
  </si>
  <si>
    <t>http://www.jblpro.com/www/products/installed-sound/control-contractor-series/control-25av-ls</t>
  </si>
  <si>
    <t>UL Life Safety Version of C25AV, in White</t>
  </si>
  <si>
    <t>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t>
  </si>
  <si>
    <t>8" 2-WAY SURFACE-MT SPKR, BLK</t>
  </si>
  <si>
    <t>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t>
  </si>
  <si>
    <t xml:space="preserve">http://www.jblpro.com/www/products/installed-sound/control-contractor-series/control-28-1 </t>
  </si>
  <si>
    <t>8" 2-WAY SURFACE-MT SPKR, 8 OHM, BLK</t>
  </si>
  <si>
    <t>Low-Impedance-Only Version of Control 28-1 (&amp;-WH), without 70V/100V transformer,  8 ohms only. priced as each; packaged and sold in pairs</t>
  </si>
  <si>
    <t xml:space="preserve">http://www.jblpro.com/www/products/installed-sound/control-contractor-series/control-28-1l </t>
  </si>
  <si>
    <t>8" 2-WAY SURFACE-MT SPKR, 8 OHM,. WHT</t>
  </si>
  <si>
    <t>Control 28-1L in white priced as each; packaged and sold in pairs</t>
  </si>
  <si>
    <t>8" 2-WAY SURFACE-MT SPKR, WHT</t>
  </si>
  <si>
    <t>Control 28-1 in white.</t>
  </si>
  <si>
    <t>8" 2-WAY MONITOR SPEAKER</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</si>
  <si>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t>
  </si>
  <si>
    <t xml:space="preserve">http://www.jblpro.com/www/products/installed-sound/control-contractor-series/control-29av-1 </t>
  </si>
  <si>
    <t>8" 2-WAY MONITOR SPEAKER-WHITE</t>
  </si>
  <si>
    <t>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t>
  </si>
  <si>
    <t>10" 3/WAY COMPACT WR W/TRANSFORMER</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</si>
  <si>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Sold and packed as Eaches</t>
  </si>
  <si>
    <t xml:space="preserve">http://www.jblpro.com/www/products/installed-sound/control-contractor-series/control-30 </t>
  </si>
  <si>
    <t>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 Sold and packed as Eaches</t>
  </si>
  <si>
    <t>2-WAY CONTROL CONTRACTOR ON-WALL SPEAKER W/ 250MM HIGH POWER</t>
  </si>
  <si>
    <t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t>
  </si>
  <si>
    <t xml:space="preserve">http://www.jblpro.com/www/products/installed-sound/control-contractor-series/control-31 </t>
  </si>
  <si>
    <t>2-WAY CONTROL CONTRACTOR ON-WALL SPEAKER W/ 250MM HIGH POWER, IN WHITE</t>
  </si>
  <si>
    <t>Control HST - Wide-Coverage On-Wall Speaker</t>
  </si>
  <si>
    <t>Control HST - Wide-Coverage On-Wall Speaker Priced as one pack; Sold and packed as Eaches</t>
  </si>
  <si>
    <t xml:space="preserve">http://www.jblpro.com/www/products/installed-sound/control-hst#.V4Vw7fkrLs0 </t>
  </si>
  <si>
    <t>Control HST - Wide-Coverage On-Wall Speaker Priced as one pack;Sold and packed as Eaches</t>
  </si>
  <si>
    <t>CONTROL CRV</t>
  </si>
  <si>
    <t>Curved-Design Dual 4" Speaker, selectable 70V/100V or 4 ohm, indoor/outdoor, combinable, 80 Hz - 20 kHz, 75W cont pink (300W peak), wall-mount bracket included (prices as each and sold individually), black. Master Pack Quantity:  4 Pieces Priced as the Kit Sold and Packed as Eaches; Master Pack Qty 4 Pieces</t>
  </si>
  <si>
    <t xml:space="preserve">http://www.jblpro.com/www/products/installed-sound/control-crv#.V4VxM_krLs0 </t>
  </si>
  <si>
    <t>CONTROL CRV WHITE</t>
  </si>
  <si>
    <t>Curved-Design Dual 4" Speaker, selectable 70V/100V or 4 ohm, indoor/outdoor, combinable, 80 Hz - 20 kHz, 75W cont pink (300W peak), wall-mount bracket included (prices as each and sold individually), white. Master Pack Quantity:  4 Pieces Priced as the Kit Sold and Packed as Eaches; Master Pack Qty 4 Pieces</t>
  </si>
  <si>
    <t>COMPACT DUAL 10" SUBWOOFER, BLK</t>
  </si>
  <si>
    <t>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 Sold and packed as Eaches</t>
  </si>
  <si>
    <t xml:space="preserve">http://www.jblpro.com/www/products/installed-sound/control-contractor-series/control-sb2210 </t>
  </si>
  <si>
    <t>COMPACT DUAL 10" SUBWOOFER, WHT</t>
  </si>
  <si>
    <t>Compact, Low Profile, High-Power Subwoofer with 2 x 250mm (10 Inch) Woven-Fiberglass Cone Drivers. 500 Watts Cont. Pink Noise Power Handling (2000W peak), 13 M6 Suspension Points, feet, Optional U-bracket. 38 Hz-500 Hz Frequency Range, 355 x 590 x 570 mm, (14 x 23.3 x 22.5 In). White. Priced and sold individually. Sold and packed as Eaches</t>
  </si>
  <si>
    <t>MOUNTING BRACKET, FOR CONTROL SB-210</t>
  </si>
  <si>
    <t>U-Bracket for Control SB-2210 Subwoofer, Black. Priced as one pack; Sold and packed as Eaches</t>
  </si>
  <si>
    <t>U-Bracket for Control SB-2210 Subwoofer, White Priced as one pack; Sold and packed as Eaches</t>
  </si>
  <si>
    <t>CEILING MT. ADPT C/23-1PR PER BOX</t>
  </si>
  <si>
    <t>Ceiling-Mount Adapter for Control 23,  Black.  Each Pack Contains 2 Pieces. Priced as one pack; one pack contains 2 Pieces)”</t>
  </si>
  <si>
    <t>CEILING MT. ADPT C/23-1PR PER BOX-WHITE</t>
  </si>
  <si>
    <t>Ceiling-Mount Adapter for Control 23,  White.  Each Pack Contains 2 Pieces. Priced as one pack; one pack contains 2 Pieces)”</t>
  </si>
  <si>
    <t>U-BRACKET FOR CONTROL 23-1/1L, BLK</t>
  </si>
  <si>
    <t>U-Bracket for Control 23-1 &amp; 23-1L. Black. Priced and packaged individually.  Master Pack = 6 pcs. Sold and packed as Eaches</t>
  </si>
  <si>
    <t>U-BRACKET FOR CONTROL 23-1/1L, WHT</t>
  </si>
  <si>
    <t>MTC-23UB-1 in white. Sold and packed as Eaches</t>
  </si>
  <si>
    <t xml:space="preserve">http://www.jblpro.com/ProductAttachments/brktmanl.pdf </t>
  </si>
  <si>
    <t>WEATHERMAX™ GRILLE FOR C23-1/1L, BLK</t>
  </si>
  <si>
    <t>WeatherMax™ Replacement Grille for Control 23-1 for harsh environments. Thick aluminum with 3-layer foam backing and powdercoat finish, black. Provides IP-55 Grille Rating. Priced and packaged individually. Priced as one pack; Sold and packed as Eaches</t>
  </si>
  <si>
    <t>WEATHERMAX™ GRILLE FOR C23-1/1L, WHT</t>
  </si>
  <si>
    <t>MTC-23WMG-1 in white. Priced as one pack; Sold and packed as Eaches</t>
  </si>
  <si>
    <t>U-BRACKET FOR CONTROL 25-1/1L, BLK</t>
  </si>
  <si>
    <t>U-Bracket for Control 25-1 &amp; 25-1L. Black. Priced and packaged individually.  Master Pack = 6 pcs. Priced as one pack; Sold and packed as Eaches</t>
  </si>
  <si>
    <t>U-BRACKET FOR CONTROL 25-1/1L, WHT</t>
  </si>
  <si>
    <t>MTC-25UB-1 in white.</t>
  </si>
  <si>
    <t>WEATHERMAX™ GRILLE FOR C25-1/1L, BLK</t>
  </si>
  <si>
    <t>WeatherMax™ Replacement Grille for Control 25-1 &amp; 25-1L for harsh environments. Thick aluminum with 3-layer foam backing and powdercoat finish, black. Provides IP-55 Grille Rating. Priced and packaged individually. Sold and packed as Eaches</t>
  </si>
  <si>
    <t>WEATHERMAX™ GRILLE FOR C25-1/1L, WHT</t>
  </si>
  <si>
    <t>MTC-25WMG-1 in white. Sold and packed as Eaches</t>
  </si>
  <si>
    <t>CEILING MT. ADPT C/28/C25-1PR PER BOX</t>
  </si>
  <si>
    <t>Ceiling-Mount Adapter for Control 28 and Control 25, Black. Each Pack Contains 2 Pieces. Priced as one pack; one pack contains 2 Pieces)”</t>
  </si>
  <si>
    <t>CEILING MT. ADPT C28/C25-1PR PER BOX-WHT</t>
  </si>
  <si>
    <t>Ceiling-Mount Adapter for Control 28 and Control 25, White.  Each Pack Contains 2 Pieces. Priced as one pack; one pack contains 2 Pieces)</t>
  </si>
  <si>
    <t>U-BRACKET FOR CONTROL 28-1/1L, BLK</t>
  </si>
  <si>
    <t>U-Bracket for Control 28-1 &amp; 28-1L. Black. Priced and packaged individually.  Master Pack = 6 pcs.</t>
  </si>
  <si>
    <t>U-BRACKET FOR CONTROL 28-1/1L, WHT</t>
  </si>
  <si>
    <t>MTC-25UB-1 in white. Sold and packed as Eaches</t>
  </si>
  <si>
    <t>WEATHERMAX™ GRILLE FOR C28-1/1L, BLK</t>
  </si>
  <si>
    <t>WeatherMax™ Replacement Grille for Control 28-1 &amp; 28-1L for harsh environments. Thick aluminum with 3-layer foam backing and powdercoat finish, black. Provides IP-55 Grille Rating. Priced and packaged individually.</t>
  </si>
  <si>
    <t>WEATHERMAX™ GRILLE FOR C28-1-WH/1L-WH, WHT</t>
  </si>
  <si>
    <t>MTC-28WMG-1 in white. Sold and packed as Eaches</t>
  </si>
  <si>
    <t>GRILLE KIT TO PREVENT RUSTING - BLACK.</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</si>
  <si>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 Sold and packed as Eaches</t>
  </si>
  <si>
    <t>GRILLE KIT TO PREVENT RUSTING - WHITE</t>
  </si>
  <si>
    <t>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t>
  </si>
  <si>
    <t>CEILING MOUNT ADAPTER, FOR C29AV</t>
  </si>
  <si>
    <t>Ceiling-Mount Adapter for Control 29AV, Black.  Each Pack Contains 1 Piece.</t>
  </si>
  <si>
    <t>CEILING MT ADAPTER/C29AV-WH</t>
  </si>
  <si>
    <t>Ceiling-Mount Adapter for Control 29AV, White.  Each Pack Contains 1 Piece.</t>
  </si>
  <si>
    <t xml:space="preserve">http://www.jblpro.com/ProductAttachments/C29AV-1mtc-29ub%20instr.pdf </t>
  </si>
  <si>
    <t>MOUNTING BRACKET, FOR CONTROL 29AV</t>
  </si>
  <si>
    <t>U-Bracket for Control 29AV.</t>
  </si>
  <si>
    <t>U-Bracket for Control 29AV, in White. Sold and packed as Eaches</t>
  </si>
  <si>
    <t>CEILING MOUNT ADAPTER, FOR CONTROL 30</t>
  </si>
  <si>
    <t>Ceiling-Mount Adapter for Control 30, Black.  Contains 1 Piece. Sold and packed as Eaches</t>
  </si>
  <si>
    <t>CEILING MOUNT ADAPTER, FOR C30-WH</t>
  </si>
  <si>
    <t>Ceiling-Mount Adapter for Control 30, White.  Contains 1 Piece. Sold and packed as Eaches</t>
  </si>
  <si>
    <t xml:space="preserve">http://www.jblpro.com/ProductAttachments/MTC_30MK_Installation_Instructions.pdf </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</si>
  <si>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 Sold and packed as Eaches</t>
  </si>
  <si>
    <t>GRILLE KIT TO PREVENT RUSTING - WHITE.</t>
  </si>
  <si>
    <t>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 Sold and packed as Eaches</t>
  </si>
  <si>
    <t>MOUNTING BRACKET, FOR CONTROL 30</t>
  </si>
  <si>
    <t>U-Bracket for Control 30, black. Sold and packed as Eaches</t>
  </si>
  <si>
    <t>MOUNTING BRACKET, FOR CONTROL 30-WH</t>
  </si>
  <si>
    <t>U-Bracket for Control 30, white. Sold and packed as Eaches</t>
  </si>
  <si>
    <t xml:space="preserve">http://www.jblpro.com/ProductAttachments/mtc-sb2c.pdf </t>
  </si>
  <si>
    <t>300W 70V/100V X-former for SB2210</t>
  </si>
  <si>
    <t>300 Watt Multi-Tap 70V/100V Transformer for SB2210. Kit includes transformer (for mounting on existing studs inside input plate) with modular connectors for fast hook-up. Connect proper wire for tap setting. 300W, 150W, 75W at 70V/100V (plus 37W at 70V). Priced and packaged individually.</t>
  </si>
  <si>
    <t xml:space="preserve">http://www.jblpro.com/ProductAttachments/OM_CRV_0509.pdf </t>
  </si>
  <si>
    <t xml:space="preserve">NEW </t>
  </si>
  <si>
    <t>Sleek Low-Profile On-Wall Spkr, 3", Blk, 1 pc</t>
  </si>
  <si>
    <t>Sleek Low-Profile On-Wall Speaker, 3" (75mm)  Full-Range driver, 74Hz - 20KHz Frequency Range, shallow depth, 40W (160W peak) cont Pink Noise power handling (2hr), 15W multitap transformer with 8Ω Direct, 15° down-tilted coverage, IP44 rated, Black (RAL9004) (Priced as each; Sold in pairs)</t>
  </si>
  <si>
    <t>https://jblpro.com/en/products/slp12-t</t>
  </si>
  <si>
    <t>Sleek Low-Profile On-Wall Spkr, 3", Wht, 1 pc</t>
  </si>
  <si>
    <t>Sleek Low-Profile On-Wall Speaker, 3" (75mm)  Full-Range driver, 74Hz - 20KHz Frequency Range, shallow depth, 40W (160W peak) cont Pink Noise power handling (2hr), 15W multitap transformer with 8Ω Direct, 15° down-tilted coverage, IP44 rated, White (RAL9016) (Priced as each; Sold in pairs)</t>
  </si>
  <si>
    <t>Sleek Low-Profile On-Wall Spkr, 4.5", Blk, 1 pc</t>
  </si>
  <si>
    <t>Sleek Low-Profile On-Wall 2-way Speaker, 4.5" (120mm) Woofer &amp; 0.79" (20mm) Tweeter, 70Hz - 20KHz Frequency Range, shallow depth, 50W (200W peak) cont. Pink Noise power handling (2hr), 25W multitap transformer with 8Ω Direct, 15° down-tilted coverage, IP44 rated, Black (RAL9004) (Priced as each; Sold in pairs)</t>
  </si>
  <si>
    <t>https://jblpro.com/en/products/slp14-t</t>
  </si>
  <si>
    <t>Sleek Low-Profile On-Wall Spkr, 4.5", Wht, 1 pc</t>
  </si>
  <si>
    <t>Sleek Low-Profile On-Wall 2-way Speaker, 4.5" (120mm) Woofer &amp; 0.79" (20mm) Tweeter, 70Hz - 20KHz Frequency Range, shallow depth, 50W (200W peak) cont. Pink Noise power handling (2hr), 25W multitap transformer with 8Ω Direct, 15° down-tilted coverage, IP44 rated, White (RAL9016) (Priced as each; Sold in pairs)</t>
  </si>
  <si>
    <t>CONTROL 50CS/T SUBWOOFER (1pc per ctn)</t>
  </si>
  <si>
    <t>Compact surfact-mount subwoofer with built-in crossover. 200 mm (8 in) long-throw woofer, 100W cont pink noise (400W peak), selectable 70V/100V or low-impedance, drives 2 or 4 satellite speakers (C42C, C52 or C62P), wall-mount bracket included, black (priced as each;.</t>
  </si>
  <si>
    <t xml:space="preserve">http://www.jblpro.com/www/products/installed-sound/control-50-series/control-50s-t </t>
  </si>
  <si>
    <t>CONTROL 50CS/T SUBWOOFER WHITE</t>
  </si>
  <si>
    <t>CONTROL 52C SATELLITE</t>
  </si>
  <si>
    <t>Satellite Speaker, 60 mm (2.5 in) low-distortion driver, for use with C50S/T or C50CS/T subwoofer or requires external high-pass, 16 ohms, wall-mount bracket included (priced as each, sold in pairs), black.</t>
  </si>
  <si>
    <t xml:space="preserve">http://www.jblpro.com/www/products/installed-sound/control-50-series/control-52 </t>
  </si>
  <si>
    <t>Satellite Speaker, 60 mm (2.5 in) low-distortion driver, for use with C50S/T or C50CS/T subwoofer or requires external high-pass, 16 ohms, wall-mount bracket included (priced as each, sold in pairs), white.</t>
  </si>
  <si>
    <t>CONTROL 50 PK (1subwoofer + 4 Satellite)</t>
  </si>
  <si>
    <t>Subwoofer-Satellite System with 4 Satellite Speakers.  Includes 1 pc Control 50S/T and 4 pcs Control 52, 30 – 20 kHz response, 100W, selectable 70V/100V or 4 ohms, wall-mount brackets included, black. (each pack contains 1 subwoofer + 4 satellites)</t>
  </si>
  <si>
    <t xml:space="preserve">http://www.jblpro.com/www/products/installed-sound/control-50-series/c50pack </t>
  </si>
  <si>
    <t>Subwoofer-Satellite System with 4 Satellite Speakers.  Includes 1 pc Control 50S/T and 4 pcs Control 52, 30 – 20 kHz response, 100W, selectable 70V/100V or 4 ohms, wall-mount brackets included, black or white. (each pack contains 1 subwoofer + 4 satellites), in white</t>
  </si>
  <si>
    <t>Pendant Speaker</t>
  </si>
  <si>
    <t>C60 PENDANT SUBWOOFER</t>
  </si>
  <si>
    <t>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t>
  </si>
  <si>
    <t xml:space="preserve">http://www.jblpro.com/www/products/installed-sound/control-60-series/control-60ps-t </t>
  </si>
  <si>
    <t>C60 PENDANT SUBWOOFER - White</t>
  </si>
  <si>
    <t>Ultra-Compact Mid/High Pendant w 2"</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</si>
  <si>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t>
  </si>
  <si>
    <t xml:space="preserve">http://www.jblpro.com/www/products/installed-sound/control-60-series/control-62p </t>
  </si>
  <si>
    <t>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t>
  </si>
  <si>
    <t>4" FULL-RANGE PENDANT SPKR, BLK</t>
  </si>
  <si>
    <t>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t>
  </si>
  <si>
    <t xml:space="preserve">http://www.jblpro.com/www/products/installed-sound/control-60-series/control-64p-t </t>
  </si>
  <si>
    <t>4" FULL-RANGE PENDANT SPKR, WHT</t>
  </si>
  <si>
    <t>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t>
  </si>
  <si>
    <t>Compact Full-Range Pendant Spkr w 5-1/4"</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</si>
  <si>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t>
  </si>
  <si>
    <t xml:space="preserve">http://www.jblpro.com/www/products/installed-sound/control-60-series/control-65p-t </t>
  </si>
  <si>
    <t>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t>
  </si>
  <si>
    <t>Narrow-Coverage Pendant Spkr w 6-1/2"</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</si>
  <si>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t>
  </si>
  <si>
    <t xml:space="preserve">http://www.jblpro.com/www/products/installed-sound/control-60-series/control-67hc-t </t>
  </si>
  <si>
    <t>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t>
  </si>
  <si>
    <t>Extended-Bass Pendant Spkr w 6-1/2"</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</si>
  <si>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t>
  </si>
  <si>
    <t>http://www.jblpro.com/www/products/installed-sound/control-60-series/control-67p-t</t>
  </si>
  <si>
    <t>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t>
  </si>
  <si>
    <t>High-Power Pendant Spkr, 8" Coax, Blk, 1pc</t>
  </si>
  <si>
    <t>High-Power Full-Range 2-way Pendant Speaker with RBI, 8" (209mm) LF &amp; 1" (25mm) compression driver, Radiation Boundary Integrator® technology with 110° conical coverage, 52Hz - 17KHz Frequency Range, 250W (1000W peak) cont. Pink Noise Power Handling (2hr), 68W 70V/100V multi-tap transformer with 8Ω Direct, IP44 rated, UL1480A, Redundant suspension cable system included, Black (RAL9004) (Priced as each; Sold in pairs)</t>
  </si>
  <si>
    <t>https://jblpro.com/en/products/control-68hp</t>
  </si>
  <si>
    <t>High-Power Pendant Spkr, 8" Coax, Wht, 1pc</t>
  </si>
  <si>
    <t>High-Power Full-Range 2-way Pendant Speaker with RBI. 8" (209mm) LF &amp; 1" (25mm) compression driver, Radiation Boundary Integrator® technology with 110° conical coverage, 52Hz - 17KHz Frequency Range, 250W (1000W peak) cont. Pink Noise Power Handling (2hr), 68W 70V/100V multi-tap transformer with 8Ω Direct, IP44 rated, UL1480A, Redundant suspension cable system included, White (RAL9016) (Priced as each; Sold in pairs)</t>
  </si>
  <si>
    <t>TERMINAL COVER for C65, C67 P/T &amp; C67HCT</t>
  </si>
  <si>
    <t>Terminal Cover for C64P/T, C65P/T, C67 P/T &amp; C67HCT.  Comes in black only, but is intended for use on white speakers also.  Sold and packed as Eaches</t>
  </si>
  <si>
    <t xml:space="preserve">http://www.jblpro.com/ProductAttachments/C60_Panel_Covers140514.pdf </t>
  </si>
  <si>
    <t>TERMINAL COVER for C62P</t>
  </si>
  <si>
    <t>Terminal Cover for C62P, blk only vSold and packed as Eaches</t>
  </si>
  <si>
    <t xml:space="preserve">http://www.jblpro.com/www/products/installed-sound/control-contractor-series/control-126w  </t>
  </si>
  <si>
    <t>In-Wall Sprk</t>
  </si>
  <si>
    <t>6.5"2-way inwall SPKR 2per ctn</t>
  </si>
  <si>
    <t>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t>
  </si>
  <si>
    <t xml:space="preserve">http://www.jblpro.com/www/products/installed-sound/control-contractor-series/control-126wt </t>
  </si>
  <si>
    <t>Control 126W With Transformer for Use on a 70.7V or 100V Distributed Line. Selectable Taps at 30W, 15W, and 7.5W (Plus 3.7W at 70V Only).  (Priced as Each, Sold in Pairs).</t>
  </si>
  <si>
    <t xml:space="preserve">http://www.jblpro.com/www/products/installed-sound/control-contractor-series/control-128w </t>
  </si>
  <si>
    <t>8"2-way inwall spkr 2per ctn.</t>
  </si>
  <si>
    <t>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 priced as each; packaged and sold in pairs</t>
  </si>
  <si>
    <t xml:space="preserve">http://www.jblpro.com/www/products/installed-sound/control-contractor-series/control-128wt </t>
  </si>
  <si>
    <t>Control 128W With Transformer for Use on a 70.7V or 100V Distributed Line. Selectable Taps at 50W, 25W, and 12W (Plus 6W at 70V Only).  (Priced as Each, Sold in Pairs).</t>
  </si>
  <si>
    <t>Install Bracket</t>
  </si>
  <si>
    <t>PRE-INSTALL BRCKT C126W to studs in New Construction sold as Each priced as each</t>
  </si>
  <si>
    <t>Rough in Kit for C128W/WT - per set. ,6per  Mstr CTN</t>
  </si>
  <si>
    <t>Rough-In Frame for Installing Control 128W to Studs in New Construction.  Sold as Each, Priced as Each.</t>
  </si>
  <si>
    <t xml:space="preserve">http://www.jblpro.com/www/products/installed-sound/control-80-series-landscape-speakers/control-85m </t>
  </si>
  <si>
    <t>Landscape Speaker</t>
  </si>
  <si>
    <t>5¼" 2-Way Landscape Speaker</t>
  </si>
  <si>
    <t>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t>
  </si>
  <si>
    <t xml:space="preserve">http://www.jblpro.com/www/products/installed-sound/control-80-series-landscape-speakers/control-88m </t>
  </si>
  <si>
    <t>8" 2-Way Landscape Speaker</t>
  </si>
  <si>
    <t>High-Power 8" Mushroom-Style Landscape Speaker. 8" (200 mm) polypropylene cone woofer with rubber surround &amp; 1" (25 mm) tweeter, 47 Hz - 16 kHz, 120 Watts Cont. Pink Noise Power Handling (480W peak) at 8 ohms, plus 60W multi-tap transformer. IP-56 rated.  Hunter green. Priced and packed individually.</t>
  </si>
  <si>
    <t>8" Landscape Mushroom Subwoofer</t>
  </si>
  <si>
    <t xml:space="preserve">8" Mushroom-Style Landscape Subwoofer, .  8" (200mm) polypropylenee cone woofer with TPV surround, 40 Hz - 150 Hz, 150 Watts Cont. Pink Noise Power Handling (600W peak) at 8 ohms, plus special subwoofer-band 80W multi-tap transformer.  IP-56 rated. Hunter green. Priced and packed individually. </t>
  </si>
  <si>
    <t>Ground-Stake Spkr, 3" Coax, Grn, 1 pc</t>
  </si>
  <si>
    <t>Compact aimable coax Landscape Speaker, 3" (83mm) polypropylene cone woofer &amp; 0.8" (20mm) tweeter, 74Hz - 20kHz Frequency Range, 30W (120W peak) Cont. Pink Noise Power Handling (2hr) at 8Ω, 15W multi-tap transformer, IP-66 rated, Hunter Green (RAL6028) (Priced as each; Sold in pairs)</t>
  </si>
  <si>
    <t>https://jblpro.com/en/products/gsf3</t>
  </si>
  <si>
    <t>Ground-Stake Spkr, 3" Coax, Tan, 1 pc</t>
  </si>
  <si>
    <t>Compact aimable coax Landscape Speaker, 3" (83mm) polypropylene cone woofer &amp; 0.8" (20mm) tweeter, 74Hz - 20kHz Frequency Range, 30W (120W peak) Cont. Pink Noise Power Handling (2hr) at 8Ω, 15W multi-tap transformer, IP-66 rated, Tan (RAL7006) (Priced as each; Sold in pairs)</t>
  </si>
  <si>
    <t xml:space="preserve">https://jblpro.com/en/products/gsf3 </t>
  </si>
  <si>
    <t>Ground-Stake Spkr, 6.5" Coax, Grn, 1 pc</t>
  </si>
  <si>
    <t>Compact aimable coax Landscape Speaker, 6.5" (165mm) polypropylene cone woofer &amp; 1" (25mm) tweeter, 65Hz - 20kHz Frequency Range, 50W (200W peak) Cont. Pink Noise Power Handling (2hr) at 8Ω, 30W multi-tap transformer, IP-66 rated,  Hunter Green (RAL6028) (Priced as each; Sold in pairs)</t>
  </si>
  <si>
    <t>https://jblpro.com/en/products/gsf6</t>
  </si>
  <si>
    <t>Ground-Stake Spkr, 6.5" Coax, Tan, 1 pc</t>
  </si>
  <si>
    <t>Compact aimable coax Landscape Speaker, 6.5"(165mm) polypropylene cone woofer &amp; 1" (25mm) tweeter, 65Hz - 20kHz Frequency Range, 50W (200W peak) Cont. Pink Noise Power Handling (2hr) at 8Ω, 30W multi-tap transformer, IP-66 rated, Tan (RAL7006) (Priced as each; Sold in pairs)</t>
  </si>
  <si>
    <t xml:space="preserve">https://jblpro.com/en/products/gsf6 </t>
  </si>
  <si>
    <t>Landscape Subwoofer</t>
  </si>
  <si>
    <t>8" In-Ground Subwoofer, Grn, 1 pc</t>
  </si>
  <si>
    <t>In-ground Landscape subwoofer, 8" (209mm) polypropylene cone woofer, 35Hz - 130Hz Frequency Range, 250W (1000W peak) Cont. Pink Noise Power Handling (2hr), 100W multi-tap transformer with 6Ω direct, IP-66 rated, Hunter Green (RAL6028) (Priced and sold as each)</t>
  </si>
  <si>
    <t>https://jblpro.com/en/products/gsb8</t>
  </si>
  <si>
    <t>8" In-Ground Subwoofer, Tan, 1 pc</t>
  </si>
  <si>
    <t>In-ground Landscape subwoofer, 8" (209mm) polypropylene cone woofer, 35Hz - 130Hz Frequency Range, 250W (1000W peak) Cont. Pink Noise Power Handling (2hr), 100W multi-tap  transformer with 6Ω direct, IP-66 rated, Tan (RAL7006) (Priced and sold as each)</t>
  </si>
  <si>
    <t>12" In-Ground Subwoofer, Grn, 1 pc</t>
  </si>
  <si>
    <t>In-ground Landscape subwoofer, 12" (305mm) polypropylene cone woofer, 30Hz - 120Hz Frequency Range, 450W (1800W peak) Cont. Pink Noise Power Handling (2hr), 200W multi-tap  transformer with 6Ω direct, IP-66 rated, Hunter Green (RAL6028) (Priced and sold as each)</t>
  </si>
  <si>
    <t>https://jblpro.com/en/products/gsb12</t>
  </si>
  <si>
    <t>12" In-Ground Subwoofer, Tan, 1 pc</t>
  </si>
  <si>
    <t>In-ground Landscape subwoofer, 12" (305mm) polypropylene cone woofer, 30Hz - 120Hz Frequency Range, 450W (1800W peak) Cont. Pink Noise Power Handling (2hr), 200W multi-tap  transformer with 6Ω direct,  IP-66 rated, Tan (RAL7006) (Priced and sold as each)</t>
  </si>
  <si>
    <t>Column Speaker</t>
  </si>
  <si>
    <t>COL600-BK</t>
  </si>
  <si>
    <t>24" Slim Column Speaker, Blk, 1 pc</t>
  </si>
  <si>
    <t>24" Slim Column Speaker, two 5" x 2¼" LF &amp; one 1" HF, 10° downward tilt aim, 160° x 110° coverage, 80W (320W peak) cont. Pink Noise power handling (2hr), 70Hz - 20kHz Frequency Range, 20W transformer with 8Ω direct, 111dB peak SPL, (2) L-brackets + swivel/tilt wall bracket included, Black (RAL9004). (Priced and sold as each)</t>
  </si>
  <si>
    <t>https://jblpro.com/products/col600</t>
  </si>
  <si>
    <t>COL600-WH</t>
  </si>
  <si>
    <t>24" Slim Column Speaker, Wht, 1 pc</t>
  </si>
  <si>
    <t>24" Slim Column Speaker, two 5" x 2¼" LF &amp; one 1" HF, 10° downward tilt aim, 160° x 110° coverage, 80W (320W peak) cont. Pink Noise power handling (2hr), 70Hz - 20kHz Frequency Range, 20W transformer with 8Ω direct, 111dB peak SPL, (2) L-brackets + swivel/tilt wall bracket included, White (RAL9016). (Priced and sold as each)</t>
  </si>
  <si>
    <t>COL800-BK</t>
  </si>
  <si>
    <t>32" Slim Column Speaker, Blk, 1 pc</t>
  </si>
  <si>
    <t>32" Slim Column Speaker, four 5" x 2¼" LF &amp; two 0.8" HF, 10° downward tilt aim, 160° x 60° coverage, 150W (600W peak) cont. Pink Noise power handling (2hr), 85Hz - 20kHz Frequency Range, 60W transformer with 8Ω direct, 116dB peak SPL, (2) L-brackets + swivel/tilt wall bracket included. Black (RAL9004). (Priced and sold as each)</t>
  </si>
  <si>
    <t>Https://jblpro.com/products/col800</t>
  </si>
  <si>
    <t>32" Slim Column Speaker, Wht, 1pc</t>
  </si>
  <si>
    <t>32" Slim Column Speaker, four 5" x 2¼" LF &amp; two 0.8" HF, 10° downward tilt aim, 160° x 60° coverage, 150W (600W peak) cont. Pink Noise power handling (2hr), 85Hz - 20kHz Frequency Range, 60W transformer with 8Ω direct, 116dB peak SPL, (2) L-brackets + swivel/tilt wall bracket included. White (RAL9016). (Priced and sold as each)</t>
  </si>
  <si>
    <t>Compact line array column, 100 cm tall, 16 2"</t>
  </si>
  <si>
    <t>50 cm Straight Line Array Column with 8 x 2” Drivers and Constant Beamwidth Technology, 20° vertical coverage, music (flat)/speech switch,  60W multi-tap transformer or 8 ohms, 80 Hz – 20 kHz, 150W cont pink (600W peak), wall bracket included.  (priced and sold individually)</t>
  </si>
  <si>
    <t xml:space="preserve">http://www.jblpro.com/www/products/installed-sound/cbt-series/cbt50la-1 </t>
  </si>
  <si>
    <t>Line array column, 100 cm tall, 16 2"</t>
  </si>
  <si>
    <t>Straight Line Array Column with 16 x 2” Drivers and Constant Beamwidth Technology. Switchable 40° or 15° vertical coverage, music (flat)/speech switch, 100W multi-tap transformer or 8 ohms, 80 Hz – 20 kHz, 325W continuous pink noise, 100 cm tall (priced and sold individually) .</t>
  </si>
  <si>
    <t xml:space="preserve">http://www.jblpro.com/www/products/installed-sound/cbt-series/cbt100la-1 </t>
  </si>
  <si>
    <t>Straight Line Array Column with 16 x 2” Drivers and Constant Beamwidth Technology. Switchable 40° or 15° vertical coverage, music (flat)/speech switch, 100W multi-tap transformer or 8 ohms, 80 Hz – 20 kHz, 325W continuous pink noise, 100 cm tall (priced and sold individually).</t>
  </si>
  <si>
    <t>50CM Tall Column Spkr, EN54 1 per carton, 1 per Masterpack</t>
  </si>
  <si>
    <t xml:space="preserve">http://www.jblpro.com/www/products/installed-sound/cbt-series/cbt50la-ls </t>
  </si>
  <si>
    <t>(EN54 Life/Safety) Line array column, 100 cm tall, 16 2"</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</si>
  <si>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t>
  </si>
  <si>
    <t xml:space="preserve">http://www.jblpro.com/www/products/installed-sound/cbt-series/cbt100la-ls </t>
  </si>
  <si>
    <t>50CM Tall Column Spkr, WH,EN54 1 per carton, 1 per Masterpack</t>
  </si>
  <si>
    <t>(EN54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t>
  </si>
  <si>
    <t>2 METER TALL, 32 ELEMENT LINE ARRAY</t>
  </si>
  <si>
    <t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t>
  </si>
  <si>
    <t xml:space="preserve">http://www.jblpro.com/www/products/installed-sound/cbt-series/cbt200la-1 </t>
  </si>
  <si>
    <t>High-Power J-shaped line array column</t>
  </si>
  <si>
    <t>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t>
  </si>
  <si>
    <t xml:space="preserve">http://www.jblpro.com/www/products/installed-sound/cbt-series/cbt70j-1 </t>
  </si>
  <si>
    <t>S/M, CBT 70JE</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</si>
  <si>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</si>
  <si>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 xml:space="preserve">http://www.jblpro.com/www/products/installed-sound/cbt-series/cbt70j-1-plus-70je-1-system </t>
  </si>
  <si>
    <t>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t>
  </si>
  <si>
    <t>High-Output Two-Way Line Array Column with Highly  Adjustable Vertical Coverage</t>
  </si>
  <si>
    <t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t>
  </si>
  <si>
    <t>http://www.jblpro.com/www/products/installed-sound/cbt-series/cbt-1000</t>
  </si>
  <si>
    <t>High-Output Column Extension Speaker</t>
  </si>
  <si>
    <t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t>
  </si>
  <si>
    <t>http://www.jblpro.com/www/products/installed-sound/cbt-series/cbt-1000-cbt-1000e-system</t>
  </si>
  <si>
    <t xml:space="preserve">Extension for CBT 1000 Line Array.  Same as CBT1000E, in white.   (priced and sold individually).  </t>
  </si>
  <si>
    <t xml:space="preserve">High-Output Two-Way Line Array Column with Highly  Adjustable Vertical Coverage and Tapered Horizontal Waveguide.  Same as CBT1000, in white.  (Priced and sold individually).  </t>
  </si>
  <si>
    <t>Column Speaker Accessory</t>
  </si>
  <si>
    <t>Accessory Kit for CBT1000 Spkr or System</t>
  </si>
  <si>
    <t>Accessory Kit, Includes 2 sets MTC-CBT-FM3 Flush-Mount Wall Bracket and 1 pc MTC-CBT-OS3 Off-Set Bracket (for installing extender on the top).  (Priced as the kit.)</t>
  </si>
  <si>
    <t>CBT1K-ACC1 Accessory Kit in white. Priced as the Kit</t>
  </si>
  <si>
    <t xml:space="preserve">http://www.jblpro.com/ProductAttachments/JBL_MTC-CBT-70T.v6.pdf </t>
  </si>
  <si>
    <t>BOLT ON TRANSFORMER MODULE</t>
  </si>
  <si>
    <t xml:space="preserve">Bolt on Transformer Module to allow CBT70J-1  or CBT70JE-1 Speaker to be used on 70V/100V Distributed Line Speaker.  120W Multi-Tap, Gland Nuts Provide Water Tight Cable Entrance and Exit.  Sold and priced as each. </t>
  </si>
  <si>
    <t>BOLT ON TRANSFORMER MODULE - WHITE</t>
  </si>
  <si>
    <t xml:space="preserve">Bolt on Transformer Module to allow CBT70J-1  or CBT70JE-1 Speaker to be used on 70V/100V Distributed Line Speaker.  120W Multi-Tap, Gland Nuts Provide Water Tight Cable Entrance and Exit.  White.  Sold and priced as each. </t>
  </si>
  <si>
    <t xml:space="preserve">http://www.jblpro.com/ProductAttachments/MTC-CBT-FlushMount_bracket_guide.pdf </t>
  </si>
  <si>
    <t>CBT FLUSH-MOUNT WALL BRACKETS</t>
  </si>
  <si>
    <t>"Flush-Mount" Wall Bracket for CBT50LA-1 and 100LA-1 Priced and sold as one complete bracket, including speaker side and wall side of bracket assembly)” Priced and sold as one complete bracket, including speaker side and wall side of bracket assembly)”</t>
  </si>
  <si>
    <t>"Flush-Mount" Wall Bracket for CBT50LA-1 and 100LA-1, White. Priced and sold as one complete bracket, including speaker side and wall side of bracket assembly)”</t>
  </si>
  <si>
    <t>"Flush-Mount" Wall Bracket for CBT70J-1 and 70J-1/JE-1Priced and sold as one complete bracket, including speaker side and wall side of bracket assembly)”</t>
  </si>
  <si>
    <t>"Flush-Mount" Wall Bracket for CBT70J-1 and 70J-1/JE-1, White. Priced and sold as one complete bracket, including speaker side and wall side of bracket assembly)”</t>
  </si>
  <si>
    <t>STAND MOUNT BRACKET FOR CBT</t>
  </si>
  <si>
    <t>Suspension Bracket, fits all CBT Models</t>
  </si>
  <si>
    <t>Suspension Bracket for CBT Speakers</t>
  </si>
  <si>
    <t>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t>
  </si>
  <si>
    <t>Suspension Adapter Plates.  MTC-CBT-SUS3 in white.  Priced as a carton containing 2 bent-metal adapter plates</t>
  </si>
  <si>
    <t>Intellivox and IntelliDisc Accessories</t>
  </si>
  <si>
    <t xml:space="preserve">IVX-17959145 </t>
  </si>
  <si>
    <t>JBL083</t>
  </si>
  <si>
    <t>WAGO 231 5pin female cable connector w/ strain-relief housing</t>
  </si>
  <si>
    <t>Intellivox 115 &amp; 180 Series</t>
  </si>
  <si>
    <t>JBL053</t>
  </si>
  <si>
    <t>Weather-proofing kit,  Intellivox 115/180 series. Only for amp at top units.</t>
  </si>
  <si>
    <t>Weather-proofing kit,  Intellivox 115/180 series. Only for amp at top units..  Made to Order Call for availability</t>
  </si>
  <si>
    <t>Intellivox 280 &amp; 380 Series</t>
  </si>
  <si>
    <t>Weather-proofing kit,  Intellivox 280/380 series. Only for amp at top units.</t>
  </si>
  <si>
    <t>Weather-proofing kit,  Intellivox 280/380 series. Only for amp at top units..  Made to Order Call for availability</t>
  </si>
  <si>
    <t>.  Made to Order Call for availability</t>
  </si>
  <si>
    <t>Intellivox 115 Series</t>
  </si>
  <si>
    <t xml:space="preserve">Intellivox 115 series Custom Color Surcharge </t>
  </si>
  <si>
    <t>Intellivox 115 series Custom Color Surcharge .  Made to Order Call for availability</t>
  </si>
  <si>
    <t>Intellivox 180 Series</t>
  </si>
  <si>
    <t>Intellivox 180 series Custom Color</t>
  </si>
  <si>
    <t>Intellivox 280 &amp; 280H Series Accessories</t>
  </si>
  <si>
    <t xml:space="preserve">Intellivox 280 series Custom Color Surcharge </t>
  </si>
  <si>
    <t>Intellivox 280 series Custom Color Surcharge .  Made to Order Call for availability</t>
  </si>
  <si>
    <t>Intellivox High Power</t>
  </si>
  <si>
    <t>Intellivox-HP-DS170 Surcharge Custom Color</t>
  </si>
  <si>
    <t>Intellivox-HP-DS170 Surcharge Custom Color.  Made to Order Call for availability</t>
  </si>
  <si>
    <t>Intellivox 430 Series</t>
  </si>
  <si>
    <t xml:space="preserve">Intellivox 430 series Custom Color Surcharge </t>
  </si>
  <si>
    <t>Intellivox 430 series Custom Color Surcharge .  Made to Order Call for availability</t>
  </si>
  <si>
    <t>Intellivox 500 Series</t>
  </si>
  <si>
    <t xml:space="preserve">Intellivox 500 series Custom Color Surcharge </t>
  </si>
  <si>
    <t>Intellivox 500 series Custom Color Surcharge .  Made to Order Call for availability</t>
  </si>
  <si>
    <t>Intellivox ADC 70V/100V arrays</t>
  </si>
  <si>
    <t>Intellivox H-90 MKII Symmetric Dir Cntl, Ral 9007 - EN54:24</t>
  </si>
  <si>
    <t>Intellivox H-90 MKII Symmetric Dir Cntl, Ral 9007 - EN54:24.  Made to Order Call for availability</t>
  </si>
  <si>
    <t>Intellivox V-90 MKII, Ral 9010 - EN54:24</t>
  </si>
  <si>
    <t>Intellivox V-90 MKII, Ral 9010 - EN54:24.  Made to Order Call for availability</t>
  </si>
  <si>
    <t>Intellivox H-90 MKII Symmetric Directivity Control, Ral 9010 - EN54:24</t>
  </si>
  <si>
    <t>Intellivox H-90 MKII Symmetric Directivity Control, Ral 9010 - EN54:24.  Made to Order Call for availability</t>
  </si>
  <si>
    <t>Intellivox V-90 MKII, Special Color] - EN54:24</t>
  </si>
  <si>
    <t>Intellivox V-90 MKII, Special Color] - EN54:24.  Made to Order Call for availability</t>
  </si>
  <si>
    <t>Intellivox H-90 MKII, Special Color] - EN54:24</t>
  </si>
  <si>
    <t>Intellivox H-90 MKII, Special Color] - EN54:24.  Made to Order Call for availability</t>
  </si>
  <si>
    <t>Intellivox-DS115, Amp@Bottom</t>
  </si>
  <si>
    <t>Intellivox-DS115, Amp@Bottom.  Made to Order Call for availability</t>
  </si>
  <si>
    <t>Intellivox-DS115, Amp@Top</t>
  </si>
  <si>
    <t>Intellivox-DS115, Amp@Top.  Made to Order Call for availability</t>
  </si>
  <si>
    <t>Intellivox-DS180, Amp@Bottom</t>
  </si>
  <si>
    <t>Intellivox-DS180, Amp@Bottom.  Made to Order Call for availability</t>
  </si>
  <si>
    <t>Intellivox-DS180, Amp@Top</t>
  </si>
  <si>
    <t>Intellivox-DS180, Amp@Top.  Made to Order Call for availability</t>
  </si>
  <si>
    <t>Intellivox-DSX180, Amp@Bottom</t>
  </si>
  <si>
    <t>Intellivox-DSX180, Amp@Bottom.  Made to Order Call for availability</t>
  </si>
  <si>
    <t>Intellivox 280 Series Loudspeakers</t>
  </si>
  <si>
    <t>Intellivox-DS280, Amp@Bottom</t>
  </si>
  <si>
    <t>Intellivox-DS280, Amp@Bottom.  Made to Order Call for availability</t>
  </si>
  <si>
    <t>Intellivox-DS280, Amp@Top</t>
  </si>
  <si>
    <t>Intellivox-DS280, Amp@Top.  Made to Order Call for availability</t>
  </si>
  <si>
    <t>Intellivox-DSX180, Amp@Top</t>
  </si>
  <si>
    <t>Intellivox-DSX180, Amp@Top.  Made to Order Call for availability</t>
  </si>
  <si>
    <t>Intellivox-DS430, Amp@Bottom</t>
  </si>
  <si>
    <t>Intellivox-DS430, Amp@Bottom.  Made to Order Call for availability</t>
  </si>
  <si>
    <t>Intellivox-DS430, Amp@Top</t>
  </si>
  <si>
    <t>Intellivox-DS430, Amp@Top.  Made to Order Call for availability</t>
  </si>
  <si>
    <t>Intellivox-DSX430, Amp@Bottom</t>
  </si>
  <si>
    <t>Intellivox-DSX430, Amp@Bottom.  Made to Order Call for availability</t>
  </si>
  <si>
    <t>Intellivox-DSX430, Amp@Top</t>
  </si>
  <si>
    <t>Intellivox-DSX430, Amp@Top.  Made to Order Call for availability</t>
  </si>
  <si>
    <t>Intellivox-DS500, Amp@Bottom</t>
  </si>
  <si>
    <t>Intellivox-DS500, Amp@Bottom.  Made to Order Call for availability</t>
  </si>
  <si>
    <t>Intellivox-DS500, Amp@Top</t>
  </si>
  <si>
    <t>Intellivox-DS500, Amp@Top.  Made to Order Call for availability</t>
  </si>
  <si>
    <t>Intellivox-DSX500, Amp@Bottom</t>
  </si>
  <si>
    <t>Intellivox-DSX500, Amp@Bottom.  Made to Order Call for availability</t>
  </si>
  <si>
    <t>Intellivox-DSX500, Amp@Top</t>
  </si>
  <si>
    <t>Intellivox-DSX500, Amp@Top.  Made to Order Call for availability</t>
  </si>
  <si>
    <t>Intellivox 380 Series</t>
  </si>
  <si>
    <t>Intellivox-DS380, Amp@Bottom</t>
  </si>
  <si>
    <t>Intellivox-DS380, Amp@Bottom.  Made to Order Call for availability</t>
  </si>
  <si>
    <t>Intellivox-DS380, Amp@Top</t>
  </si>
  <si>
    <t>Intellivox-DS380, Amp@Top.  Made to Order Call for availability</t>
  </si>
  <si>
    <t>Intellivox-DSX380, Amp@Bottom</t>
  </si>
  <si>
    <t>Intellivox-DSX380, Amp@Bottom.  Made to Order Call for availability</t>
  </si>
  <si>
    <t>Intellivox-DSX380, Amp@Top</t>
  </si>
  <si>
    <t>Intellivox-DSX380, Amp@Top.  Made to Order Call for availability</t>
  </si>
  <si>
    <t>Intellivox 280HD Series Loudspeakers</t>
  </si>
  <si>
    <t>Intellivox-DSX280HD, Amp@Bottom</t>
  </si>
  <si>
    <t>Intellivox-DSX280HD, Amp@Bottom.  Made to Order Call for availability</t>
  </si>
  <si>
    <t>Intellivox-DSX280HD, Amp@Top</t>
  </si>
  <si>
    <t>Intellivox-DSX280HD, Amp@Top.  Made to Order Call for availability</t>
  </si>
  <si>
    <t>Intellivox-HP-DS170, High Power</t>
  </si>
  <si>
    <t>Intellivox-HP-DS170, High Power.  Made to Order Call for availability</t>
  </si>
  <si>
    <t>Intellivox-HP-DS370, High Power</t>
  </si>
  <si>
    <t>Intellivox-HP-DS370, High Power.  Made to Order Call for availability</t>
  </si>
  <si>
    <t>Intellivox Hinge Bracket 90°, RAL9010</t>
  </si>
  <si>
    <t>Intellivox Hinge Bracket 90°, RAL9010.  Made to Order Call for availability</t>
  </si>
  <si>
    <t>Intellivox Accessories</t>
  </si>
  <si>
    <t>Intellivox Cable entry cover box 2x M16, Inc. fasteners, RAL9010</t>
  </si>
  <si>
    <t>Intellivox Cable entry cover box 2x M16, Inc. fasteners, RAL9010.  Made to Order Call for availability</t>
  </si>
  <si>
    <t>Intellivox Cable entry cover plate 2x PG13.5, Inc. fasteners, RAL9010</t>
  </si>
  <si>
    <t>Intellivox Cable entry cover plate 2x PG13.5, Inc. fasteners, RAL9010.  Made to Order Call for availability</t>
  </si>
  <si>
    <t>Intellivox Cable entry cover box 6x XLR, pre-assembled, RAL9010</t>
  </si>
  <si>
    <t>Intellivox Cable entry cover box 6x XLR, pre-assembled, RAL9010.  Made to Order Call for availability</t>
  </si>
  <si>
    <t>Intellivox Wall Bracket 25mm, Set (2 pcs) Inc. fasteners, RAL9010</t>
  </si>
  <si>
    <t>Intellivox Wall Bracket 25mm, Set (2 pcs) Inc. fasteners, RAL9010.  Made to Order Call for availability</t>
  </si>
  <si>
    <t>Intellivox Wall Bracket 25mm, Set (3 pcs) Inc. fasteners, RAL9010</t>
  </si>
  <si>
    <t>Intellivox Wall Bracket 25mm, Set (3 pcs) Inc. fasteners, RAL9010.  Made to Order Call for availability</t>
  </si>
  <si>
    <t>Intellivox Wall Bracket 25mm, Set (2 pcs) Inc. fasteners, RAL9007</t>
  </si>
  <si>
    <t>Intellivox Wall Bracket 25mm, Set (2 pcs) Inc. fasteners, RAL9007.  Made to Order Call for availability</t>
  </si>
  <si>
    <t>Intellivox Wall Bracket 35mm, Set (2 pcs) Inc. fasteners, RAL9010</t>
  </si>
  <si>
    <t>Intellivox Wall Bracket 35mm, Set (2 pcs) Inc. fasteners, RAL9010.  Made to Order Call for availability</t>
  </si>
  <si>
    <t>Intellivox Wall Bracket 60mm, Set (3 pcs) Inc. fasteners, RAL9010</t>
  </si>
  <si>
    <t>Intellivox Wall Bracket 60mm, Set (3 pcs) Inc. fasteners, RAL9010.  Made to Order Call for availability</t>
  </si>
  <si>
    <t>Set of Hinges (yellow passivated) for Ivx DC/DS115/180/280</t>
  </si>
  <si>
    <t>Set of Hinges (yellow passivated) for Ivx DC/DS115/180/280.  Made to Order Call for availability</t>
  </si>
  <si>
    <t>Intellivox Swivel Wall Bracket 90°, RAL9010</t>
  </si>
  <si>
    <t>Intellivox Swivel Wall Bracket 90°, RAL9010.  Made to Order Call for availability</t>
  </si>
  <si>
    <t>Intellivox Swivel Wall Bracket  45°, RAL9010</t>
  </si>
  <si>
    <t>Intellivox Swivel Wall Bracket  45°, RAL9010.  Made to Order Call for availability</t>
  </si>
  <si>
    <t>Intellivox Swivel Wall Bracket 90°, RAL9007</t>
  </si>
  <si>
    <t>Intellivox Swivel Wall Bracket 90°, RAL9007.  Made to Order Call for availability</t>
  </si>
  <si>
    <t>Universal Programming Set for AXYS and Intellivox</t>
  </si>
  <si>
    <t>PROGRAM SET UNIVERSAL USB.</t>
  </si>
  <si>
    <t>Compact All-Weather 2-Way Co-axial Loudspeaker with 6.5" LF, light gray</t>
  </si>
  <si>
    <t>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t>
  </si>
  <si>
    <t>6 9199100602 9</t>
  </si>
  <si>
    <t>http://www.jblpro.com/www/products/installed-sound/aw-awc-all-weather/awc62</t>
  </si>
  <si>
    <t>Compact All-Weather 2-Way Co-axial Loudspeaker with 6.5" LF, black</t>
  </si>
  <si>
    <t>Same as AWC62, in black.   Sold and packed as each.</t>
  </si>
  <si>
    <t>6 9199100601 2</t>
  </si>
  <si>
    <t>All-Weather Co-ax, 8” 2-way, Light Gray</t>
  </si>
  <si>
    <t>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t>
  </si>
  <si>
    <t xml:space="preserve">http://www.jblpro.com/www/products/installed-sound/aw-awc-all-weather/awc82 </t>
  </si>
  <si>
    <t>All-Weather Co-ax, 8” 2-way, Black</t>
  </si>
  <si>
    <t>All-Weather Co-ax, 12” 2-way, Light Gray</t>
  </si>
  <si>
    <t>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t>
  </si>
  <si>
    <t>http://www.jblpro.com/www/products/installed-sound/aw-awc-all-weather/awc129</t>
  </si>
  <si>
    <t>All-Weather Co-ax, 12” 2-way, Black</t>
  </si>
  <si>
    <t>15" All Weather Compact Coax (Light Gray)</t>
  </si>
  <si>
    <t>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t>
  </si>
  <si>
    <t xml:space="preserve">http://www.jblpro.com/www/products/installed-sound/aw-awc-all-weather/awc159 </t>
  </si>
  <si>
    <t>15" All Weather Compact Coax (Black)</t>
  </si>
  <si>
    <t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t>
  </si>
  <si>
    <t>All Weather Compact Subwoofer (Black)</t>
  </si>
  <si>
    <t>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t>
  </si>
  <si>
    <t xml:space="preserve">http://www.jblpro.com/www/products/installed-sound/aw-awc-all-weather/awc15lf </t>
  </si>
  <si>
    <t>JBL052</t>
  </si>
  <si>
    <t>High Output 12" 2-way Full-Range Loudspeaker-GRAY</t>
  </si>
  <si>
    <t xml:space="preserve">High Output 12" 2-way Full-Range 60 x 60 Loudspeaker-GRAY.  Priced as each. </t>
  </si>
  <si>
    <t>High Output 12" 2-way Full-Range Loudspeaker-BLACK</t>
  </si>
  <si>
    <t xml:space="preserve">High Output 12" 2-way Full-Range 60 x 60 Loudspeaker-BLACK.  Priced as each. </t>
  </si>
  <si>
    <t>12" 2-Way All Weather Loudspeaker with EN54-24 Certification.</t>
  </si>
  <si>
    <t xml:space="preserve">12" 2-Way All Weather Loudspeaker with EN54-24 Certification. Priced as each. </t>
  </si>
  <si>
    <t>12" 2-Way All Weather Loudspeaker with EN54-24 Certification, black.</t>
  </si>
  <si>
    <t xml:space="preserve">12" 2-Way All Weather Loudspeaker with EN54-24 Certification, black. Priced as each. </t>
  </si>
  <si>
    <t>High Output 12" 2-way Full-Range Loudspeaker-GRAY All Weather</t>
  </si>
  <si>
    <t xml:space="preserve">High Output 12" 2-way Full-Range 90 x 50 Loudspeaker-GRAY.  Priced as each. </t>
  </si>
  <si>
    <t>High Output 12" 2-way Full-Range Loudspeaker-BLACK All Weather</t>
  </si>
  <si>
    <t xml:space="preserve">High Output 12" 2-way Full-Range 90 x 50 Loudspeaker-BLACK.  Priced as each. </t>
  </si>
  <si>
    <t xml:space="preserve">12" 2-Way All Weather Loudspeaker with EN54-24 Certification.  Priced as each. </t>
  </si>
  <si>
    <t>High Output 15" 2-way Full-Range Loudspeaker-GRAY</t>
  </si>
  <si>
    <t xml:space="preserve">High Output 15" 2-way Full-Range 120 x 60 Loudspeaker-GRAY.  Priced as each. </t>
  </si>
  <si>
    <t>High Output 15" 2-way Full-Range Loudspeaker-BLACK</t>
  </si>
  <si>
    <t xml:space="preserve">High Output 15" 2-way Full-Range 120 x 60 Loudspeaker-BLACK.  Priced as each. </t>
  </si>
  <si>
    <t>15" 2-Way All Weather Loudspeaker with EN54-24 Certification.</t>
  </si>
  <si>
    <t xml:space="preserve">15" 2-Way All Weather Loudspeaker with EN54-24 Certification. Priced as each. </t>
  </si>
  <si>
    <t>15" 2-Way All Weather Loudspeaker with EN54-24 Certification, black.</t>
  </si>
  <si>
    <t xml:space="preserve">15" 2-Way All Weather Loudspeaker with EN54-24 Certification, black. Priced as each. </t>
  </si>
  <si>
    <t xml:space="preserve">High Output 15" 2-way Full-Range 60 x 60 Loudspeaker-GRAY.  Priced as each. </t>
  </si>
  <si>
    <t xml:space="preserve">High Output 15" 2-way Full-Range 60 x 60 Loudspeaker-BLACK.  Priced as each. </t>
  </si>
  <si>
    <t xml:space="preserve">High Output 15" 2-way Full-Range 90 x 50 Loudspeaker-GRAY.  Priced as each. </t>
  </si>
  <si>
    <t xml:space="preserve">High Output 15" 2-way Full-Range 90 x 50 Loudspeaker-BLACK.  Priced as each. </t>
  </si>
  <si>
    <t>SM, AC15    5.25" 2way</t>
  </si>
  <si>
    <t>Ultra-Compact 2-Way Loudspeaker with 1 x 5.25" LF.  90° x 90° Coverage, Passive.  Suspension Eyebolts Not Included.  Optional U-Bracket Model MTU-15.  Sold as 2 per carton.</t>
  </si>
  <si>
    <t>AC15-WH (white)</t>
  </si>
  <si>
    <t>AC15 in white.</t>
  </si>
  <si>
    <t>AC16 - Single 6.5" 2-way</t>
  </si>
  <si>
    <t>Ultra-Compact 2-Way Loudspeaker with 1 x 6.5" LF.  90° x 90° Coverage, Passive.  Compact  PT™ Progressive Transition™ Waveguide.  Suspension Eyebolts Not Included.  Optional U-Bracket Model MTU-16.</t>
  </si>
  <si>
    <t>AC16 - Single 6.5" 2-way (white)</t>
  </si>
  <si>
    <t>AC16 in white.</t>
  </si>
  <si>
    <t>Custom Shop</t>
  </si>
  <si>
    <t>Please email CustomAudio@harman.com for quote</t>
  </si>
  <si>
    <t>JBL050</t>
  </si>
  <si>
    <t>AC18/26 - SINGLE 8"2-WAY</t>
  </si>
  <si>
    <t>Compact 2-Way Loudspeaker with 1 x 8" LF.  120° x 60° Coverage, Passive.  Compact  PT™ Progressive Transition™ Waveguide, Rotatable.  Suspension Eyebolts Not Included.  Optional U-Bracket Model MTU-18.</t>
  </si>
  <si>
    <t>AC18/26 - SINGLE 8"2-WAY (white)</t>
  </si>
  <si>
    <t>AC18/26 in white.</t>
  </si>
  <si>
    <t>AC18/95 - SINGLE 8"2-WAY</t>
  </si>
  <si>
    <t>Compact 2-Way Loudspeaker with 1 x 8" LF.  90° x 50° Coverage, Passive.  Compact  PT™ Progressive Transition™ Waveguide, Rotatable.  Suspension Eyebolts Not Included.  Optional U-Bracket Model MTU-18.</t>
  </si>
  <si>
    <t>AC18/95 - SINGLE 8"2-WAY (white)</t>
  </si>
  <si>
    <t>AC18/95 in white.</t>
  </si>
  <si>
    <t>Custom Shop Item</t>
  </si>
  <si>
    <t>AC18/95 - SINGLE 8"2-WAY (Extreme Weather Protection Treatment)</t>
  </si>
  <si>
    <t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</si>
  <si>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AC25 - Dual   5.25" 2way</t>
  </si>
  <si>
    <t>Ultra-Compact 2-Way Loudspeaker with 2 x 5.25" LF.  90° x 90° Coverage, Passive.  Suspension Eyebolts Not Included.  Optional U-Bracket Model MTU-25.</t>
  </si>
  <si>
    <t>AC25 - Dual   5.25" 2way (white)</t>
  </si>
  <si>
    <t>AC25 in white.</t>
  </si>
  <si>
    <t>AC26 - Dual   6.5" 2way</t>
  </si>
  <si>
    <t>Compact 2-Way Loudspeaker with 2 x 6.5" LF.  90° x 90° Coverage, Passive.  Compact  PT™ Progressive Transition™ Waveguide.  Suspension Eyebolts Not Included.  Optional U-Bracket Model MTU-26.</t>
  </si>
  <si>
    <t>AC26 - Dual   6.5" 2way (white)</t>
  </si>
  <si>
    <t>AC26 in white.</t>
  </si>
  <si>
    <t>AC28/26 - Dual   8" 2way</t>
  </si>
  <si>
    <t>Compact 2-Way Loudspeaker with 2 x 8" LF.  120° x 60° Coverage, Passive.  Compact  PT™ Progressive Transition™ Waveguide, Rotatable.  Suspension Eyebolts Not Included.  Optional U-Bracket Model MTU-28.</t>
  </si>
  <si>
    <t>AC28/26 - Dual   8" 2way (white)</t>
  </si>
  <si>
    <t>AC28/26 in white.</t>
  </si>
  <si>
    <t>AC28/95 - Dual   8" 2way</t>
  </si>
  <si>
    <t>Compact 2-Way Loudspeaker with 2 x 8" LF.  90° x 50° Coverage, Passive.  Compact  PT™ Progressive Transition™ Waveguide, Rotatable.  Suspension Eyebolts Not Included.  Optional U-Bracket Model MTU-28.</t>
  </si>
  <si>
    <t>AC28/95 - Dual   8" 2way (white)</t>
  </si>
  <si>
    <t>AC28/95 in white.</t>
  </si>
  <si>
    <t>AC28/95 - Dual   8" 2way (Extreme Weather Protection Treatment)</t>
  </si>
  <si>
    <t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t>
  </si>
  <si>
    <t xml:space="preserve">15" Subwoofer </t>
  </si>
  <si>
    <t>15" Subwoofer with 75mm (3 in) voice coil.</t>
  </si>
  <si>
    <t>15" Subwoofer, white</t>
  </si>
  <si>
    <t>AC115S in White</t>
  </si>
  <si>
    <t xml:space="preserve">18" Subwoofer </t>
  </si>
  <si>
    <t>18" Subwoofer with 75mm (3 in) voice coil.</t>
  </si>
  <si>
    <t>18" Subwoofer, white</t>
  </si>
  <si>
    <t>AC118S in White</t>
  </si>
  <si>
    <t>10" 2-way full-range system</t>
  </si>
  <si>
    <t>10" 2-way full-range system, rotatable 90⁰ x 50⁰ waveguide coverage pattern with 2408H-2 25mm (1 in) exit, 38mm (1.5 in) voice coil.</t>
  </si>
  <si>
    <t>10" 2-way full-range system, white</t>
  </si>
  <si>
    <t>AC195 in White</t>
  </si>
  <si>
    <t>AC266         </t>
  </si>
  <si>
    <t>12" 2-way full-range system</t>
  </si>
  <si>
    <t>12" 2-way system, 60⁰ x 60⁰ waveguide coverage pattern with 2408H-2 25mm (1 in) exit, 38mm (1.5 in) voice coil.</t>
  </si>
  <si>
    <t>AC266-WH       </t>
  </si>
  <si>
    <t>12" 2-way full-range system, white</t>
  </si>
  <si>
    <t>AC266 in White</t>
  </si>
  <si>
    <t>12" 2-way system, 90⁰ x 90⁰ waveguide coverage pattern with 2408H-2 25mm (1 in) exit, 38mm (1.5 in) voice coil.</t>
  </si>
  <si>
    <t>AC299 in White</t>
  </si>
  <si>
    <t>15" 2-way full-range system</t>
  </si>
  <si>
    <t>15" 2-way system, 60⁰ x 60⁰ waveguide coverage pattern with 2408H-2 25mm (1 in) exit, 38mm (1.5 in) voice coil.</t>
  </si>
  <si>
    <t>15" 2-way full-range system, white</t>
  </si>
  <si>
    <t>AC566 in White</t>
  </si>
  <si>
    <t xml:space="preserve">AC599        </t>
  </si>
  <si>
    <t>15" 2-way system, 90⁰ x 90⁰ waveguide coverage pattern with 2408H-2 25mm (1 in) exit, 38mm (1.5 in) voice coil.</t>
  </si>
  <si>
    <t xml:space="preserve">AC599-WH   </t>
  </si>
  <si>
    <t>8" 2-way full-range system</t>
  </si>
  <si>
    <t>8" 2-way full-range system, rotatable 90⁰ x 50⁰ waveguide coverage pattern with 2414H-C 25mm (1 in) exit, 25mm (1 in) voice coil.</t>
  </si>
  <si>
    <t>8" 2-way full-range system, white</t>
  </si>
  <si>
    <t>AC895 in White</t>
  </si>
  <si>
    <t>U BRACKET FOR AC15</t>
  </si>
  <si>
    <t>U‐Bracket For Model AC15, Blk</t>
  </si>
  <si>
    <t>U‐Bracket For Model AC15, White</t>
  </si>
  <si>
    <t>U BRACKET FOR AC16</t>
  </si>
  <si>
    <t>U‐Bracket For Model AC16, Blk</t>
  </si>
  <si>
    <t>U‐Bracket For Model AC16, White</t>
  </si>
  <si>
    <t>U BRACKET FOR AC18</t>
  </si>
  <si>
    <t>U‐Bracket For Models AC18/xx, Blk</t>
  </si>
  <si>
    <t>U‐Bracket For Models AC18/xx, White</t>
  </si>
  <si>
    <t>U BRACKET FOR AC25</t>
  </si>
  <si>
    <t>U‐Bracket For Model AC25, Blk</t>
  </si>
  <si>
    <t>U‐Bracket For Model AC25, White</t>
  </si>
  <si>
    <t>U BRACKET FOR AC26</t>
  </si>
  <si>
    <t>U‐Bracket For Model AC26, Blk</t>
  </si>
  <si>
    <t>U‐Bracket For Model AC26, White</t>
  </si>
  <si>
    <t>U BRACKET FOR AC28</t>
  </si>
  <si>
    <t>U‐Bracket For Models AC28/xx, Blk</t>
  </si>
  <si>
    <t>U‐Bracket For Models AC28/xx, White</t>
  </si>
  <si>
    <t>U BRACKET FOR AC195</t>
  </si>
  <si>
    <t>U Bracket for AC195, Blk</t>
  </si>
  <si>
    <t>U Bracket for AC195, White</t>
  </si>
  <si>
    <t>U BRACKET FOR AC266 and AC299</t>
  </si>
  <si>
    <t>U bracket for AC266 and AC299, Blk</t>
  </si>
  <si>
    <t>U bracket for AC266 and AC299, White</t>
  </si>
  <si>
    <t>U BRACKET FOR AC566 and AC599</t>
  </si>
  <si>
    <t>U Bracket for AC566 and AC599, Blk</t>
  </si>
  <si>
    <t>U Bracket for AC566 and AC599, White</t>
  </si>
  <si>
    <t>U BRACKET FOR AC895</t>
  </si>
  <si>
    <t>U Bracket for AC895, Blk</t>
  </si>
  <si>
    <t>U Bracket for AC895, White</t>
  </si>
  <si>
    <t>OVERHEAD SUSPENSION BRACKET</t>
  </si>
  <si>
    <t>Overhead suspension bracket for AC895, AC195,AC266,AC299,AC566, and AC599, Blk</t>
  </si>
  <si>
    <t>Overhead suspension bracket for AC895, AC195,AC266,AC299,AC566, and AC599, White</t>
  </si>
  <si>
    <t>WALL MOUNT BRACKET FOR AC895, AC195, AC266, AC299, AC566, AC599</t>
  </si>
  <si>
    <t>Wall mount bracket for AC895, AC195, AC266, AC299, AC566, and AC599, Blk</t>
  </si>
  <si>
    <t>Wall mount bracket for AC895, AC195, AC266, AC299, AC566, and AC599, White</t>
  </si>
  <si>
    <t>12" 2-WAY 100X100 DEG SPEAKER</t>
  </si>
  <si>
    <t>Compact 2-Way Loudspeaker with 1 x 12" LF. 100° x  100° Coverage, Bi-Amp/Passive Switchable.  Compact  PT™ Progressive Transition™ Waveguide.  Suspension Eyebolts Not Included.  Optional U-Bracket Model MTU-4.  Optional Planar Array Frame Kit PAF-2K 3 Wide Array With ASB6118 Subwoofer Center.</t>
  </si>
  <si>
    <t>12" 2-WAY 100X100 DEG SPEAKER (white)</t>
  </si>
  <si>
    <t xml:space="preserve">Compact 2-Way Loudspeaker with 1 x 12" LF. 100° x  100° Coverage, Bi-Amp/Passive Switchable.  Compact  PT™ Progressive Transition™ Waveguide.  Suspension Eyebolts Not Included.  Optional U-Bracket Model MTU-4.  </t>
  </si>
  <si>
    <t>12" 2-WAY 90X50 DEG SPEAKER</t>
  </si>
  <si>
    <t xml:space="preserve">Compact 2-Way Loudspeaker with 1 x 12" LF.  90° x 50° Coverage, Bi-Amp/Passive Switchable.  Compact  PT™ Progressive Transition™ Waveguide.  Suspension Eyebolts Not Included.  Optional U-Bracket Model MTU-4.  </t>
  </si>
  <si>
    <t>12" 2-WAY 90X50 DEG SPEAKER (white)</t>
  </si>
  <si>
    <t xml:space="preserve">Compact 2-Way Loudspeaker with 1 x 12" LF.  90° x 50° Coverage, Bi-Amp/Passive Switchable.  Compact  PT™ Progressive Transition™ Waveguide.  Suspension Eyebolts Not Included.  Optional U-Bracket Model MTU-4. </t>
  </si>
  <si>
    <t>15" 2-WAY 100X100 DEG SPEAKER (white)</t>
  </si>
  <si>
    <t>Compact 2-Way Loudspeaker with 1 x 15" LF.  100° x 100° Coverage, Bi-Amp/Passive Switchable.  Compact  PT™ Progressive Transition™ Waveguide.  Suspension Eyebolts Not Included.  Optional U-Bracket Model MTU-2.  White finish.</t>
  </si>
  <si>
    <t>5" 2-WAY 60X40 DEG SPEAKER</t>
  </si>
  <si>
    <t>Compact 2-Way Loudspeaker with 1 x 15" LF.  60° x 40° Coverage, Bi-Amp/Passive Switchable.  Compact  PT™ Progressive Transition™ Waveguide.  Suspension Eyebolts Not Included.  Optional U-Bracket Model MTU-2.</t>
  </si>
  <si>
    <t>5" 2-WAY 60X40 DEG SPEAKER (white)</t>
  </si>
  <si>
    <t>Compact 2-Way Loudspeaker with 1 x 15" LF.  60° x 40° Coverage, Bi-Amp/Passive Switchable.  Compact  PT™ Progressive Transition™ Waveguide.  Suspension Eyebolts Not Included.  Optional U-Bracket Model MTU-2.  White finish.</t>
  </si>
  <si>
    <t>15" 2-WAY 90X50 DEG SPEAKER (white)</t>
  </si>
  <si>
    <t>Compact 2-Way Loudspeaker with 1 x 15" LF.  90° x 50° Coverage, Bi-Amp/Passive Switchable.  Compact  PT™ Progressive Transition™ Waveguide.  Suspension Eyebolts Not Included.  Optional U-Bracket Model MTU-2.  White finish.</t>
  </si>
  <si>
    <t>DUAL 18" SUBWOOFER</t>
  </si>
  <si>
    <t>Medium Power Dual 18" Subwoofer, 2 x 18" 2042H Drivers, Parallel/Discrete Switchable.  Priced as each. Suspension Eyebolts Not Included.</t>
  </si>
  <si>
    <t>DUAL 18" SUBWOOFER (white)</t>
  </si>
  <si>
    <t>Medium Power Dual 18" Subwoofer, 2 x 18" 2042H Drivers, Parallel/Discrete Switchable.  Priced as each. Suspension Eyebolts Not Included.  White finish.</t>
  </si>
  <si>
    <t>DUAL 18" SUBWOOFER (Weather Protection Treatment)</t>
  </si>
  <si>
    <t>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</si>
  <si>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Two-way full range loudspeaker</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</si>
  <si>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t>
  </si>
  <si>
    <t>Two-way full range loudspeaker (white)</t>
  </si>
  <si>
    <t>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t>
  </si>
  <si>
    <t>Two-way full range loudspeaker (Weather Protection Treatment)</t>
  </si>
  <si>
    <t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</si>
  <si>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</si>
  <si>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</si>
  <si>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Treatment.8-10 weeks ship time for orders of 1-10, larger needs to be reviewed</t>
  </si>
  <si>
    <t>Two-way full range loudspeaker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</si>
  <si>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</si>
  <si>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</si>
  <si>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</si>
  <si>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</si>
  <si>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</si>
  <si>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t>
  </si>
  <si>
    <t>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</si>
  <si>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</si>
  <si>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t>
  </si>
  <si>
    <t>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</si>
  <si>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</si>
  <si>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</si>
  <si>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</si>
  <si>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t>
  </si>
  <si>
    <t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</si>
  <si>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</si>
  <si>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</si>
  <si>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</si>
  <si>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</si>
  <si>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</si>
  <si>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t>
  </si>
  <si>
    <t>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</si>
  <si>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SINGLE 12 SUBWOOFER</t>
  </si>
  <si>
    <t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t>
  </si>
  <si>
    <t>SINGLE 12 SUBWOOFER (Weather Protection Treatment)</t>
  </si>
  <si>
    <t>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(-WH).8-10 weeks ship time for orders of 1-10, larger needs to be reviewed</t>
  </si>
  <si>
    <t>SINGLE 12 SUBWOOFER (Extreme Weather Protection Treatment)</t>
  </si>
  <si>
    <t>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</si>
  <si>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12 SUBWOOFER (white)</t>
  </si>
  <si>
    <t xml:space="preserve">Ultra Compact High-Power 12” Subwoofer System.  2263H Differential Drive® woofer, 3” dual voice coil – dual gap, neodymium magnet.  Multiply hardwood enclosure with DuraFlex™ finish and 14-gauge steel grille.  Sixteen M10 suspension points.  White finish. Priced as each. </t>
  </si>
  <si>
    <t>5INGLE 15 SUBWOOFER</t>
  </si>
  <si>
    <t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t>
  </si>
  <si>
    <t>5INGLE 15 SUBWOOFER (white)</t>
  </si>
  <si>
    <t xml:space="preserve">Compact High-Power 15” Subwoofer System.  2265H-1 Differential Drive® woofer, 3” dual voice coil – dual gap, neodymium magnet.  Multiply hardwood enclosure with DuraFlex™ finish and 14-gauge steel grille.  Sixteen M10 suspension points. White finish. Priced as each. </t>
  </si>
  <si>
    <t>5INGLE 15 SUBWOOFER (Weather Protection Treatment)</t>
  </si>
  <si>
    <t>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</si>
  <si>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5INGLE 15 SUBWOOFER (Extreme Weather Protection Treatment)</t>
  </si>
  <si>
    <t>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</si>
  <si>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SINGLE 18" SUBWOOFER</t>
  </si>
  <si>
    <t xml:space="preserve">High Power Single 18" Subwoofer.  1 x 18" 2242H VGC™  Driver.  Suspension Eyebolts Not Included.  Arrays with AM6200 and AM4200 Mid-High Loudspeakers Using Optional PAF-2K Planar Array Frame Kit. Priced as each. </t>
  </si>
  <si>
    <t>SINGLE 18" SUBWOOFER (white)</t>
  </si>
  <si>
    <t xml:space="preserve">High Power Single 18" Subwoofer.  1 x 18" 2242H VGC™  Driver.  Suspension Eyebolts Not Included.  Arrays with AM6200 and AM4200 Mid-High Loudspeakers Using Optional PAF-2K Planar Array Frame Kit.  White finish. Priced as each. </t>
  </si>
  <si>
    <t>SINGLE 18" SUBWOOFER (Extreme Weather Protection Treatment)</t>
  </si>
  <si>
    <t>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</si>
  <si>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DUAL 15" SUBWOOFER</t>
  </si>
  <si>
    <t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t>
  </si>
  <si>
    <t>DUAL 15" SUBWOOFER (white)</t>
  </si>
  <si>
    <t xml:space="preserve">Dual 15” High-Power Subwoofer System.  2 x 2265H-1 Differential Drive® woofer, 3” dual voice coil – dual gap, neodymium magnet.  Multiply hardwood enclosure with DuraFlex™ finish and 14-gauge steel grille.  Sixteen M10 suspension points.  White finish. Priced as each. </t>
  </si>
  <si>
    <t>DUAL 15" SUBWOOFER (Extreme Weather Protection Finish)</t>
  </si>
  <si>
    <t>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t>
  </si>
  <si>
    <t xml:space="preserve">High Power Dual 18" Subwoofer.  2 x 18" 2242H VGC™  Driver, Parallel/Discrete Switchable.  Suspension Eyebolts Not Included.  Arrays with AM6340 and AM4340 Loudspeakers Using PAF-2K Planar Array Frame Kit. Priced as each. </t>
  </si>
  <si>
    <t xml:space="preserve">High Power Dual 18" Subwoofer.  2 x 18" 2242H VGC™  Driver, Parallel/Discrete Switchable.  Suspension Eyebolts Not Included.  Arrays with AM6340 and AM4340 Loudspeakers Using PAF-2K Planar Array Frame Kit.  White finish. Priced as each. </t>
  </si>
  <si>
    <t>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</si>
  <si>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SINGLE 18' HORNLOADED SUBWOOFER</t>
  </si>
  <si>
    <t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t>
  </si>
  <si>
    <t>2-WAY MID-HIGH LOUDSPEAKER SYSTEM</t>
  </si>
  <si>
    <t>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t>
  </si>
  <si>
    <t>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t>
  </si>
  <si>
    <t>S/M, AM7212/00</t>
  </si>
  <si>
    <t>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t>
  </si>
  <si>
    <t>S/M, AM7212/00 WH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</si>
  <si>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</si>
  <si>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</si>
  <si>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</si>
  <si>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</si>
  <si>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</si>
  <si>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</si>
  <si>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</si>
  <si>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</si>
  <si>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t>
  </si>
  <si>
    <t>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</si>
  <si>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</si>
  <si>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t>
  </si>
  <si>
    <t>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</si>
  <si>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</si>
  <si>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t>
  </si>
  <si>
    <t xml:space="preserve">Two-way full range loudspeaker </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</si>
  <si>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</si>
  <si>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</si>
  <si>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</si>
  <si>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t>
  </si>
  <si>
    <t>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</si>
  <si>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</si>
  <si>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t>
  </si>
  <si>
    <t>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t>
  </si>
  <si>
    <t>3-WAY FULL-RANGE LOUDSPEAKER SYS</t>
  </si>
  <si>
    <t>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</si>
  <si>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t>
  </si>
  <si>
    <t>3-WAY FULL-RANGE LOAUDSPEAKER SYSTEM</t>
  </si>
  <si>
    <t>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t>
  </si>
  <si>
    <t>15" LOW FREQUENCY SPEAKER</t>
  </si>
  <si>
    <t>High Power 1 x 15" Low Frequency Loudspeaker.  1 x 15" 2265H Differential Drive® woofer.  Available in Black or White (-WH).  Priced as each. Suspension Eyebolts Not Included.  Arrays With AM7200 and Mid-High Loudspeakers using PAF-3K Planar Array Frame Kit.</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</si>
  <si>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t>
  </si>
  <si>
    <t>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t>
  </si>
  <si>
    <t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t>
  </si>
  <si>
    <t xml:space="preserve">Ultra High-Power 18” Subwoofer System.  .  2269H 
Differential Drive® Vented Gap™ woofer, 4” dual voice coil – dual gap, neodymium magnet.  Multiply hardwood enclosure with DuraFlex™ finish and 14-gauge steel grille.  Sixteen M10 suspension points.  White finish. Priced as each. 
</t>
  </si>
  <si>
    <t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t>
  </si>
  <si>
    <t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t>
  </si>
  <si>
    <t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t>
  </si>
  <si>
    <t xml:space="preserve">DUAL 18" SUBWOOFER </t>
  </si>
  <si>
    <t>2-WAY FULL-RANGE CROSSFIRE WAVEGUIDE</t>
  </si>
  <si>
    <t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t>
  </si>
  <si>
    <t>2-WAY FULL-RANGE CROSSFIRE WAVEGUIDE - WHITE</t>
  </si>
  <si>
    <t>With Weather Protection treatment</t>
  </si>
  <si>
    <t>With Weather Protection Treatment. Refer to WEATHER RESISTANT Configurations for AE, PD &amp; VLA Series document for details regarding WRC/WRX models. Standard color is GRAY. Available in Black (-BK) &amp; White (-WH).8-10 weeks ship time for orders of 1-10, larger needs to be reviewed</t>
  </si>
  <si>
    <t xml:space="preserve">U BRACKET FOR AM7215/xx and AM5215/xx </t>
  </si>
  <si>
    <t>U-Bracket For Models AM7215/xx and AM5215/xx.</t>
  </si>
  <si>
    <t>U BRACKET FOR AM7215/xx and AM5215/xx (white)</t>
  </si>
  <si>
    <t>U-Bracket For Models AM7215/xx and AM5215/xx. White finish.</t>
  </si>
  <si>
    <t>U?BRACKET FOR MODEL AC2215/xx</t>
  </si>
  <si>
    <t>U-Bracket For Model AC2215/xx</t>
  </si>
  <si>
    <t>U-Bracket For Model AC2215/xx. White finish.</t>
  </si>
  <si>
    <t>AE SERIES 28-1/2" U-BRACKET</t>
  </si>
  <si>
    <t>U-Bracket For Models AM7212/xx and AM5212/xx.</t>
  </si>
  <si>
    <t>AE SERIES 28-1/2" U-BRACKET (white)</t>
  </si>
  <si>
    <t>U-Bracket For Models AM7212/xx and AM5212/xx. White finish.</t>
  </si>
  <si>
    <t>AE SERIES 22-1/4" U-BRACKET</t>
  </si>
  <si>
    <t>U-Bracket For Model AC2212/xx.</t>
  </si>
  <si>
    <t>AE SERIES 22-1/4" U-BRACKET(white)</t>
  </si>
  <si>
    <t>U-Bracket For Model AC2212/xx. White finish.</t>
  </si>
  <si>
    <t>HARDWARE KIT, SP/VS</t>
  </si>
  <si>
    <t>Set of Three M10 x 35mm Forged Shoulder Steel Eyebolts (priced and ships as a PACK of 3 bolts)</t>
  </si>
  <si>
    <t>PD Series</t>
  </si>
  <si>
    <t>JBL051</t>
  </si>
  <si>
    <t>Dual 15" LF</t>
  </si>
  <si>
    <t>Dual 15" subwoofer system, 2275H driver, 75mm (3 in) voice coil, 4-ohm nominal impedance.</t>
  </si>
  <si>
    <t>Dual 15" Subwoofer</t>
  </si>
  <si>
    <t>Dual 15" 2275H Differential Driver® with dual 75mm (3 in) voice coils and dual magnetic gap subwoofer system. With Weather Protection Treatment.8-10 weeks ship time for orders of 1-10, larger needs to be reviewed</t>
  </si>
  <si>
    <t>Dual 15" 2275H Differential Driver® with dual 75mm (3 in) voice coils and dual magnetic gap subwoofer system. With Extreme Weather Protection Treatment.</t>
  </si>
  <si>
    <t>15" 2-way full-range, 40 X 40</t>
  </si>
  <si>
    <t xml:space="preserve">15" Horn-Loaded 2-way full-range system, 40? x 40? coverage pattern with 2432H 38mm (1.5 in) exit, 
75mm (3 in) voice coil and 2031H 15" low-frequency driver with 75mm (3 in) voice coil, 8 ohm nominal system impedance.
</t>
  </si>
  <si>
    <t xml:space="preserve">15" Horn-Loaded 2-way full-range system, 40? x 40? coverage pattern with 2432H 38mm (1.5 in) exit, 
75mm (3 in) voice coil and 2031H 15" low-frequency driver with 75mm (3 in) voice coil, 8 ohm nominal system impedance. *NEW*
</t>
  </si>
  <si>
    <t>15" Horn-loaded 2-way full-range loudspeaker</t>
  </si>
  <si>
    <t>15" Horn-loaded 2-way full-range loudspeaker system, 40? x 40? coverage pattern with 2432H 38mm (1.5 in) exit, 75mm (3 in) voice coil HF driver and 2031H 75mm (3 in) voice coil LF driver. With Weather Protection Treatment.8-10 weeks ship time for orders of 1-10, larger needs to be reviewed</t>
  </si>
  <si>
    <t>15" Horn-loaded 2-way full-range loudspeaker system, 40? x 40? coverage pattern with 2432H 38mm (1.5 in) exit, 75mm (3 in) voice coil HF driver and 2031H 75mm (3 in) voice coil LF driver. With Extreme Weather Protection Treatment.</t>
  </si>
  <si>
    <t>15" 2-way full-range, 60 X 40</t>
  </si>
  <si>
    <t xml:space="preserve">15" Horn-Loaded 2-way full-range system, rotatable 
60? x 40? coverage pattern with 2432H 38mm (1.5 in) exit, 75mm (3 in) voice coil and 2031H 15" low-frequency driver with 75mm (3 in) voice coil, 8 ohm nominal system impedance.
</t>
  </si>
  <si>
    <t xml:space="preserve">15" Horn-Loaded 2-way full-range system, rotatable 
60? x 40? coverage pattern with 2432H 38mm (1.5 in) exit, 75mm (3 in) voice coil and 2031H 15" low-frequency driver with 75mm (3 in) voice coil, 8 ohm nominal system impedance. *NEW*
</t>
  </si>
  <si>
    <t>15" Horn-loaded 2-way full-range loudspeaker 2-way system, 60? x 40? coverage pattern with 2432H 38mm (1.5 in) exit, 75mm (3 in) voice coil HF driver and 2031H 75mm (3 in) voice coil LF driver. With Weather Protection Treatment.8-10 weeks ship time for orders of 1-10, larger needs to be reviewed</t>
  </si>
  <si>
    <t>15" Horn-loaded 2-way full-range loudspeaker 2-way system, 60? x 40? coverage pattern with 2432H 38mm (1.5 in) exit, 75mm (3 in) voice coil HF driver and 2031H 75mm (3 in) voice coil LF driver. With Extreme Weather Protection Treatment.</t>
  </si>
  <si>
    <t>15" 2-way full-range, 60 X 60</t>
  </si>
  <si>
    <t xml:space="preserve">15" Horn-Loaded 2-way full-range system, 60? x 60? coverage pattern with 2432H 38mm (1.5 in) exit, 
75mm (3 in) voice coil and 2031H 15" low-frequency driver with 75mm (3 in) voice coil, 8 ohm nominal system impedance. *NEW*
</t>
  </si>
  <si>
    <t>15" Horn-loaded 2-way full-range loudspeaker2-way system, 60? x 60? coverage pattern with 2432H 38mm (1.5 in) exit, 75mm (3 in) voice coil HF driver and 2031H 75mm (3 in) voice coil LF driver. With Extreme Weather Protection Treatment.</t>
  </si>
  <si>
    <t>15" 2-way full-range, 90 X 50</t>
  </si>
  <si>
    <t xml:space="preserve">15" Horn-Loaded 2-way full-range system, rotatable 
90? x 50? coverage pattern with 2432H 38mm (1.5 in) exit, 75mm (3 in) voice coil and 2031H 15" low-frequency driver with 75mm (3 in) voice coil, 8 ohm nominal system impedance.
</t>
  </si>
  <si>
    <t>15" Horn-loaded 2-way full-range loudspeaker 2-way system, 90? x 50? coverage pattern with 2432H 38mm (1.5 in) exit, 75mm (3 in) voice coil HF driver and 2031H 75mm (3 in) voice coil LF driver. With Weather Protection Treatment.8-10 weeks ship time for orders of 1-10, larger needs to be reviewed</t>
  </si>
  <si>
    <t>15" Horn-loaded 2-way full-range loudspeaker 2-way system, 90? x 50? coverage pattern with 2432H 38mm (1.5 in) exit, 75mm (3 in) voice coil HF driver and 2031H 75mm (3 in) voice coil LF driver. With Extreme Weather Protection Treatment.</t>
  </si>
  <si>
    <t>HIGH OUTPUT COAX 40 X 30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</si>
  <si>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</si>
  <si>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COAX 40 X 30 (Extreme Weather Protection Treatment)</t>
  </si>
  <si>
    <t>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t>
  </si>
  <si>
    <t>HIGH OUTPUT COAX 60 X 40 (Weather Protection Treatment)</t>
  </si>
  <si>
    <t>Dual 12" low-frequency loudspeaker</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</si>
  <si>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t>
  </si>
  <si>
    <t>Dual 12" low-frequency loudspeaker (white)</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</si>
  <si>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t>
  </si>
  <si>
    <t>Dual 12" low-frequency loudspeaker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</si>
  <si>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*NEW*8-10 weeks ship time for orders of 1-10, larger needs to be reviewed</t>
  </si>
  <si>
    <t>Dual 12" low-frequency loudspeaker (Extreme Weather Protection Treatment)</t>
  </si>
  <si>
    <t>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t>
  </si>
  <si>
    <t>Two-way mid-high horn-loaded loudspeaker (white)</t>
  </si>
  <si>
    <t>High Output Two-Way MID/HIGH Frequency Loudspeaker with  8" MF and 40° x  30° Coverage Pattern.  200 mm (8 in.) CMCD™  Cone Midrange Compression Driver and Large Format 2431H Neodymium HF Driver.  200 Hz to 17 kHz Frequency Range.  991 x  673 x 706 mm.  (39 x 26.5 x 27.8 in),   58.8 kg (130 lbs).  White finish.</t>
  </si>
  <si>
    <t>Two-way mid-high horn-loaded loudspeaker (Extreme Weather Protection Treatment)</t>
  </si>
  <si>
    <t>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</si>
  <si>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Two-way mid-high horn-loaded loudspeaker</t>
  </si>
  <si>
    <t>High Output Two-Way MID/HIGH Frequency Loudspeaker with  8" MF and 60° x  40° Coverage Pattern.  200 mm (8 in.) CMCD-82H™ Cone Midrange Compression Driver and Large Format 2431H Neodymium HF Driver.  200 Hz to 17 kHz Frequency Range.  991 x  673 x 706 mm.  (39 x 26.5 x 27.8 in),   58.8 kg (130 lbs).</t>
  </si>
  <si>
    <t>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t>
  </si>
  <si>
    <t>Two-way mid-high horn-loaded loudspeaker (Weather Protection Treatment)</t>
  </si>
  <si>
    <t>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</si>
  <si>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Output Two-Way MID/HIGH Frequency Loudspeaker with  8" MF and 60° x  60° Coverage Pattern.  200 mm (8 in.) CMCD-82H™ Cone Midrange Compression Driver and Large Format 2431H Neodymium HF Driver.  200 Hz to 17 kHz Frequency Range.  991 x  673 x 706 mm.  (39 x 26.5 x 27.8 in),   58.8 kg (130 lbs).</t>
  </si>
  <si>
    <t>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t>
  </si>
  <si>
    <t>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</si>
  <si>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High Output Two-Way MID/HIGH Frequency Loudspeaker with  8" MF and 90° x 50° Coverage Pattern.  200 mm (8 in.) CMCD-82H™ Cone Midrange Compression Driver and Large Format 2431H Neodymium HF Driver.  200 Hz to 17 kHz Frequency Range.  991 x  673 x 706 mm.  (39 x 26.5 x 27.8 in), 58.8 kg (130 lbs).</t>
  </si>
  <si>
    <t>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t>
  </si>
  <si>
    <t>Two-way mid-high horn-loaded loudspeaker ( Extreme Weather Protection Treatment)</t>
  </si>
  <si>
    <t>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t>
  </si>
  <si>
    <t>12" two-way horn-loaded loudspeaker</t>
  </si>
  <si>
    <t>High Sensitivity Two-Way FULL-RANGE Loudspeaker with Horn Loaded 12" LF and 40° x  30° Coverage Pattern.  300 mm (12 in.) M222- 8A Horn-loaded LF and Large Format 2451H-1 Neodymium HF Driver. 80 Hz to 18 kHz Frequency Range.      991 x  673 x 897 mm.  (39 x 26.5 x 35.3 in),  79.5 kg (175 lbs).</t>
  </si>
  <si>
    <t>12" two-way horn-loaded loudspeaker (white)</t>
  </si>
  <si>
    <t>High Sensitivity Two-Way FULL-RANGE Loudspeaker with Horn Loaded 12" LF and 40° x  30° Coverage Pattern.  300 mm (12 in.) M222- 8A Horn-loaded LF and Large Format 2451H-1 Neodymium HF Driver. 80 Hz to 18 kHz Frequency Range.      991 x  673 x 897 mm.  (39 x 26.5 x 35.3 in),  79.5 kg (175 lbs).  White finish.</t>
  </si>
  <si>
    <t>12" two-way horn-loaded loudspeaker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</si>
  <si>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</si>
  <si>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12" two-way horn-loaded loudspeaker (Extreme Weather Protection Treatment)</t>
  </si>
  <si>
    <t>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t>
  </si>
  <si>
    <t>High Sensitivity Two-Way FULL-RANGE Loudspeaker with Horn Loaded 12" LF and 60° x  40° Coverage Pattern.  300 mm (12 in.) M222- 8A Horn-loaded LF and Large Format 2451H-1 Neodymium HF Driver. 80 Hz to 18 kHz Frequency Range.      991 x  673 x 706 mm.  (39 x 26.5 x 27.8 in),  69 kg (152 lbs).</t>
  </si>
  <si>
    <t>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t>
  </si>
  <si>
    <t>High Sensitivity Two-Way FULL-RANGE Loudspeaker with Horn Loaded 12" LF and 60° x  60° Coverage Pattern.  300 mm (12 in.) M222- 8A Horn-loaded LF and Large Format 2451H-1 Neodymium HF Driver. 80 Hz to 18 kHz Frequency Range.      991 x  673 x 706 mm.  (39 x 26.5 x 27.8 in),  69 kg (152 lbs).</t>
  </si>
  <si>
    <t>High Sensitivity Two-Way FULL-RANGE Loudspeaker with Horn Loaded 12" LF and 60° x  60° Coverage Pattern.  300 mm (12 in.) M222- 8A Horn-loaded LF and Large Format 2451H-1 Neodymium HF Driver. 80 Hz to 18 kHz Frequency Range.      991 x  673 x 706 mm.  (39 x 26.5 x 27.8 in),  69 kg (152 lbs). White finish.</t>
  </si>
  <si>
    <t>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</si>
  <si>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Sensitivity Two-Way FULL-RANGE Loudspeaker with Horn Loaded 12" LF and 90° x  50° Coverage Pattern.  300 mm (12 in.) M222- 8A Horn-loaded LF and Large Format 2451H-1 Neodymium HF Driver. 80 Hz to 18 kHz Frequency Range.      991 x  673 x 706 mm.  (39 x 26.5 x 27.8 in),  69 kg (152 lbs).</t>
  </si>
  <si>
    <t>High Sensitivity Two-Way FULL-RANGE Loudspeaker with Horn Loaded 12" LF and 90° x  50° Coverage Pattern.  300 mm (12 in.) M222- 8A Horn-loaded LF and Large Format 2451H-1 Neodymium HF Driver. 80 Hz to 18 kHz Frequency Range.      991 x  673 x 706 mm.  (39 x 26.5 x 27.8 in),  69 kg (152 lbs). White finish</t>
  </si>
  <si>
    <t>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</si>
  <si>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Dual 12" three-way full-range loudspeaker</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</si>
  <si>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t>
  </si>
  <si>
    <t>Dual 12" three-way full-range loudspeaker (white)</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</si>
  <si>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t>
  </si>
  <si>
    <t>Dual 12" three-way full-range loudspeaker (Weather Protection Treatment)</t>
  </si>
  <si>
    <t>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</si>
  <si>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</si>
  <si>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</si>
  <si>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 xml:space="preserve">Dual 12" three-way full-range loudspeaker </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</si>
  <si>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</si>
  <si>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</si>
  <si>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</si>
  <si>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</si>
  <si>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t>
  </si>
  <si>
    <t>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</si>
  <si>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VLA301I</t>
  </si>
  <si>
    <t>Three-way horn-loaded line array system</t>
  </si>
  <si>
    <t>High Output Three-Way Full-Range Horn-Loaded Line Array Loudspeaker System. 30° Horizontal Horn Coverage Pattern.  2x15” LF, 2x8” MF, 3x1.5” Exit HF</t>
  </si>
  <si>
    <t>VLA301I-WRC</t>
  </si>
  <si>
    <t>Three-way horn-loaded line array system (Weather Protection Treatment)</t>
  </si>
  <si>
    <t>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</si>
  <si>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VLA301HI-WRC</t>
  </si>
  <si>
    <t>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</si>
  <si>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VLA301HI-WRX</t>
  </si>
  <si>
    <t>Three-way horn-loaded line array system (Extreme Weather Protection Treatment)</t>
  </si>
  <si>
    <t>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t>
  </si>
  <si>
    <t>VLA301I-WRX</t>
  </si>
  <si>
    <t>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t>
  </si>
  <si>
    <t>VLA301HI</t>
  </si>
  <si>
    <t>High Output Three-Way Full-Range Horn-Loaded Line Array Loudspeaker System. 30° Horizontal Horn Coverage Pattern.  2x15” LF, 4x8” MF, 6x1.5” Exit HF</t>
  </si>
  <si>
    <t>High Output Three-Way Full-Range Horn-Loaded Line Array Loudspeaker System. 60° Horizontal Horn Coverage Pattern.  2x15” LF, 2x8” MF, 3x1.5” Exit HF</t>
  </si>
  <si>
    <t>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</si>
  <si>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691991014970</t>
  </si>
  <si>
    <t>High Output Three-Way Full-Range Horn-Loaded Line Array Loudspeaker System. 60° Horizontal Horn Coverage Pattern.  2x15” LF, 4x8” MF, 6x1.5” Exit HF</t>
  </si>
  <si>
    <t>VLA901I</t>
  </si>
  <si>
    <t>High Output Three-Way Full-Range Horn-Loaded Line Array Loudspeaker System. 90° Horizontal Horn Coverage Pattern.  2x15” LF, 2x8” MF, 3x1.5” Exit HF</t>
  </si>
  <si>
    <t>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</si>
  <si>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VLA901HI</t>
  </si>
  <si>
    <t>High Output Three-Way Full-Range Horn-Loaded Line Array Loudspeaker System. 90° Horizontal Horn Coverage Pattern.  2x15” LF, 4x8” MF, 6x1.5” Exit HF</t>
  </si>
  <si>
    <t>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t>
  </si>
  <si>
    <t>VLA Compact</t>
  </si>
  <si>
    <t xml:space="preserve">VLA-C2100-GR   </t>
  </si>
  <si>
    <t>Two-way horn-loaded line array system.  100° horizontal coverage. Gray.</t>
  </si>
  <si>
    <t>Same as VLA-C2100-BK, but in Gray.</t>
  </si>
  <si>
    <t>Two-way horn-loaded line array system.  100° horizontal coverage. Black.</t>
  </si>
  <si>
    <t>Two-way horn-loaded line array loudspeaker system.  100° horizontal horn coverage pattern.  2x10"LF, 3x0.8" Exit HF.  Comes standard with IP55 weather protection, with fiberglass enclosure and stainless steel components.  Bi-amp or passive (field switchable).  Black.</t>
  </si>
  <si>
    <t>Two-way horn-loaded line array system.  65° horizontal coverage. Gray.</t>
  </si>
  <si>
    <t>Same as VLA-C265-BK, but in Gray.</t>
  </si>
  <si>
    <t>Two-way horn-loaded line array system.  65° horizontal coverage. Black</t>
  </si>
  <si>
    <t>Two-way horn-loaded line array loudspeaker system.  65° horizontal horn coverage pattern.  2x10"LF, 3x0.8" Exit HF.  Comes standard with IP55 weather protection, with fiberglass enclosure and stainless steel components.  Bi-amp or passive (field switchable).  Black.</t>
  </si>
  <si>
    <t xml:space="preserve">VLA-C125S-GR   </t>
  </si>
  <si>
    <t>Subwoofer for VLA Compact line array system.  Gray.</t>
  </si>
  <si>
    <t>Same as VLA-C125S-BK, but in Gray.</t>
  </si>
  <si>
    <t>Subwoofer for VLA Compact line array system.  Black.</t>
  </si>
  <si>
    <t>Subwoofer for VLA Compact line array system.  Dual 15" Differential Drive® transducers.  Comes standard with IP55 weather protection, with fiberglass enclosure and stainless steel components.  Black.</t>
  </si>
  <si>
    <t>Accessory cardioid kit for VLA-C125S subwoofer.</t>
  </si>
  <si>
    <t>Kit for wiring of 3 VLA-C-125S subwoofers in cardioid configuration (2 front-facing and 1 rear-facing).  Allows for neat, unexposed inter-cabinet wiring via the tops and bottoms of cabinets.</t>
  </si>
  <si>
    <t>VLA-C-SB2</t>
  </si>
  <si>
    <t>Suspension Kit for VLA-C Arrays</t>
  </si>
  <si>
    <t xml:space="preserve"> Suspension Kit for VLA-C Arrays with 2 pcs VLA-C-SB2 Suspension Bars (for top and bottom of array) and 3 pcs Forged-Shoulder Eye Bolts.   See user’s guide for instructions and limitations.  Black only.</t>
  </si>
  <si>
    <t>VTX SERIES</t>
  </si>
  <si>
    <t>VTX A6</t>
  </si>
  <si>
    <t>JBL046</t>
  </si>
  <si>
    <t>Sub-compact Line Array Speaker</t>
  </si>
  <si>
    <t>Sub-compact dual 6.5-inch line array speaker, 2-Way, 110-degree</t>
  </si>
  <si>
    <t>“Price On Application (POA) Contact your Representative"</t>
  </si>
  <si>
    <t>VTX B15</t>
  </si>
  <si>
    <t>Compact Subwoofer</t>
  </si>
  <si>
    <t>Sub-compact Arrayable 15-inch Subwoofer</t>
  </si>
  <si>
    <t>VTX B15G</t>
  </si>
  <si>
    <t>Sub-compact 15-inch Subwoofer</t>
  </si>
  <si>
    <t>VTX A6 MF</t>
  </si>
  <si>
    <t>Mini Frame</t>
  </si>
  <si>
    <t>Mini Frame for A6 and B15</t>
  </si>
  <si>
    <t>VTX A6 SB</t>
  </si>
  <si>
    <t>Suspension Bar</t>
  </si>
  <si>
    <t>Suspension Bar for A6 and B15</t>
  </si>
  <si>
    <t>VTX PM</t>
  </si>
  <si>
    <t>JBL020</t>
  </si>
  <si>
    <t>SRX SERIES</t>
  </si>
  <si>
    <t>Universal 35mm Ple Mount Adapter, T-Bar Style</t>
  </si>
  <si>
    <t>VTX A6 BP</t>
  </si>
  <si>
    <t>Base Plate</t>
  </si>
  <si>
    <t>Base Plate for A6</t>
  </si>
  <si>
    <t>Road Case</t>
  </si>
  <si>
    <t xml:space="preserve">Road case for (4) VTX A6 and accessories </t>
  </si>
  <si>
    <t>VTX B15 ACC</t>
  </si>
  <si>
    <t>Transportation Accessory</t>
  </si>
  <si>
    <t>Accessory Cover &amp; Caster board for B15 and B15G</t>
  </si>
  <si>
    <t>VTX B1 GND</t>
  </si>
  <si>
    <t>Ground Stack Accessory</t>
  </si>
  <si>
    <t>Universal Ground Stack Accessory, compatible with B15 and B18</t>
  </si>
  <si>
    <t>VTX A6 CM</t>
  </si>
  <si>
    <t>Ceiling Mount</t>
  </si>
  <si>
    <t>Ceiling Mount accessory for A6 and B15</t>
  </si>
  <si>
    <t>VTX A6 CASE COMPLETE</t>
  </si>
  <si>
    <t>VTX A6 CASE complete, includes (4) VTX A6 speakers</t>
  </si>
  <si>
    <t xml:space="preserve"> Compact Dual 8" Line Array</t>
  </si>
  <si>
    <t xml:space="preserve"> Single 18" High Performance Subwoofer</t>
  </si>
  <si>
    <t xml:space="preserve"> VTX A8/B18 Array Frame</t>
  </si>
  <si>
    <t xml:space="preserve"> VTX A8/B18 Array Frame Extension Bar</t>
  </si>
  <si>
    <t xml:space="preserve"> VTX A8/B18 Suspension Bar</t>
  </si>
  <si>
    <t xml:space="preserve"> VTX A8/B18 Mini Frame</t>
  </si>
  <si>
    <t xml:space="preserve">VTX RC500 </t>
  </si>
  <si>
    <t>Rotating Truss/Pipe Clamp, MAX Capacity: 500kg (1100lbs)</t>
  </si>
  <si>
    <t xml:space="preserve"> VTX A8 Vertical Transportation Cart (works with 4 x A8)</t>
  </si>
  <si>
    <t xml:space="preserve"> VTX A8 VT Soft Cover (works with 4 x A8)</t>
  </si>
  <si>
    <t>Universal Base Plate for VTX A8</t>
  </si>
  <si>
    <t xml:space="preserve"> VTX B18 Accessory Cover and Casterboard</t>
  </si>
  <si>
    <t xml:space="preserve"> VTX B18 Vertical Transportation Cart (up to 4 x B18)</t>
  </si>
  <si>
    <t xml:space="preserve"> VTX B18 VT Soft Cover</t>
  </si>
  <si>
    <t>Compact Dual 12' Line Array Element</t>
  </si>
  <si>
    <t xml:space="preserve">http://www.jblpro.com/www/products/tour-sound/vtx-a12#Overview </t>
  </si>
  <si>
    <t>Vertical transport Cover for VTX A12 VT</t>
  </si>
  <si>
    <t xml:space="preserve">http://www.jblpro.com/www/products/tour-sound/vtx-a12#Accessories </t>
  </si>
  <si>
    <t>Vertical Transport Cart for the 4 VTX A12 enclosures</t>
  </si>
  <si>
    <t>VTX A12 Array Frame</t>
  </si>
  <si>
    <t>Extension Bar to be used with the VTX A12 AF</t>
  </si>
  <si>
    <t>Suspension Bar accessory for VTX A12, Used for pull-back applications, Support for suspending VTX A12, Support for up to 18 x VTX A12 enclosures</t>
  </si>
  <si>
    <t>High-quality universal delta plate accessory</t>
  </si>
  <si>
    <t xml:space="preserve">VTX B28 </t>
  </si>
  <si>
    <t>VTX B28 Dual 18” Subwoofer</t>
  </si>
  <si>
    <t xml:space="preserve">VTX B28 SB </t>
  </si>
  <si>
    <t xml:space="preserve">VTX B28 SB Suspension Bar for VTX B28 </t>
  </si>
  <si>
    <t xml:space="preserve">VTX B28 ACC </t>
  </si>
  <si>
    <t>VTX B28 ACC Accessory Cover &amp; Casterboard for a single VTX B28 (includes both)</t>
  </si>
  <si>
    <t xml:space="preserve">VTX B28 VT </t>
  </si>
  <si>
    <t xml:space="preserve">VTX B28 VT Vertical Transportation cart for up to 4x VTX B28 </t>
  </si>
  <si>
    <t xml:space="preserve">VTX B28 VT CVR Soft cover for 3 or 4 VTX B28 subwoofers </t>
  </si>
  <si>
    <t>VTX B28 GND</t>
  </si>
  <si>
    <t xml:space="preserve">VTX A12 BP </t>
  </si>
  <si>
    <t>Base Plate for ground stacking VTX A12 on top of VTX B28</t>
  </si>
  <si>
    <t>Outrigger system for ground stacking VTX A12. Also compatible with B28 VT.</t>
  </si>
  <si>
    <t>VTX-V20 BP</t>
  </si>
  <si>
    <t>Universal Base Plate for VTX V20</t>
  </si>
  <si>
    <t>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t>
  </si>
  <si>
    <t>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t>
  </si>
  <si>
    <t>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t>
  </si>
  <si>
    <t>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t>
  </si>
  <si>
    <t>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t>
  </si>
  <si>
    <t>VTX Series</t>
  </si>
  <si>
    <t xml:space="preserve">JBL-P3396 </t>
  </si>
  <si>
    <t>VTX Commissioning - North America  - North America</t>
  </si>
  <si>
    <t>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Optional VTX F12-UB universal bracket available. Weight 18.6 kg (41 lb). Black.</t>
  </si>
  <si>
    <t>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Optional VTX F15-UB universal bracket available. Weight 22.9 kg (50.5 lb). Black.</t>
  </si>
  <si>
    <t>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t>
  </si>
  <si>
    <t>CSX-F35 Three-way High Output Speaker</t>
  </si>
  <si>
    <t>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t>
  </si>
  <si>
    <t>VTX -M Series</t>
  </si>
  <si>
    <t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t>
  </si>
  <si>
    <t>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t>
  </si>
  <si>
    <t>VTX S25 Vertical Transporter Cover for use with VTX-S25-VT. Modular, reconfigurable design allows for protection of two or three VTX S25 enclosures in either front-firing or cardioid mode.</t>
  </si>
  <si>
    <t>VTX S28 Accessory Cover Caster-Board for transportation and protection of one S28 enclosure. Includes: padded, reinforced protective cover with handle cutouts and rear panel access flap; dolly wheel-board with rugged, tour grade casters and rotating cam mechanism for secure attachment.</t>
  </si>
  <si>
    <t>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t>
  </si>
  <si>
    <t>VTX S28 Vertical Transporter Cover for use with VTX-S28-VT. Modular, reconfigurable design allows for protection of three VTX S28 enclosures in either front-firing or cardioid mode.</t>
  </si>
  <si>
    <t xml:space="preserve">VTX V20 ARRAY FRAME for suspending or ground stacking VTX V20 or VTX S25 enclosures.  Includes leveling screw jacks; optional extension bar available. Weight 46.3 kg (102 lb). Steel, black. </t>
  </si>
  <si>
    <t xml:space="preserve">VTX V20 ARRAY FRAME EXTENSION BAR for use with VTX-V20-AF, front- or rear-mounted. Single (central) or dual (side-mounted) extension bars can be used for added stability and tilt adjustment to facilitate ground stacked systems. Weight 22.7 kg (50 lb). Steel, black. </t>
  </si>
  <si>
    <t>Columbus McKinnon (CM) Series 653 ¾ ton manual lever hoist</t>
  </si>
  <si>
    <t xml:space="preserve">VTX V20 PULL BACK ADAPTER for attachment to bottom V20 enclosure to facilitate rear pull back (compression-style) suspension. Weight TBD kg (TBD lb). Steel, black. </t>
  </si>
  <si>
    <t>VTX V20 Vertical Transporter for transportation of up to four VTX V20 enclosures in a vertical column. Includes: dolley board with four tour grade casters (2 locking casters per dolley board). Reinforced protective cover (VTX-V20-VT-CVR) supplied separately.</t>
  </si>
  <si>
    <t>VTX V20 Vertical Transporter Cover for use with VTX-V20-VT. Modular, reconfigurable design allows for protection of three to four VTX V20 enclosures.</t>
  </si>
  <si>
    <t xml:space="preserve">VTX V20 Vertical Transporter Wrap Cover for use with VTX-V20-VT. Allows for protection of three to four VTX V20 enclosures without the need to remove the VTX-V20-AF from the top of a stack of VTX V20 enclosures. </t>
  </si>
  <si>
    <t>VTX V25 Accessory Cover Caster-Board for transportation and protection of one V25 enclosure. Includes: padded, reinforced protective cover with handle cutouts and rear panel access flap; dolly wheel-board with rugged, tour grade casters and rotating cam mechanism for secure attachment.</t>
  </si>
  <si>
    <t xml:space="preserve">VTX V25 ARRAY FRAME - TOURING for suspending or ground stacking VTX V25 or VTX S28 enclosures. Includes leveling screw jacks; optional extension bar available. Weight 80.3 kg (176.9 lb). Steel, black. </t>
  </si>
  <si>
    <t xml:space="preserve">VTX V25 ARRAY FRAME EXTENSION BAR for use with VTX-V25-AF, front- or rear-mounted. Single (central) or dual (side-mounted) extension bars can be used for added stability and tilt adjustment to facilitate ground stacked systems. Weight 32.3 kg (71.1 lb). Steel, black. </t>
  </si>
  <si>
    <t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t>
  </si>
  <si>
    <t>VTX V25 COMPRESSION SUSPENSION KIT LABEL JIG INSTALLATION FIXTURE (1X LABEL JIG PER CS-K ORDER)</t>
  </si>
  <si>
    <t xml:space="preserve">VTX V25 LEVER HOIST for attachment to VTX-V25-PB pull back adapter to facilitate rear pull back (compression-style) suspension. Weight TBD kg (TBD lb). Steel, black. </t>
  </si>
  <si>
    <t xml:space="preserve">VTX V25 PULL BACK ADAPTER for attachment to bottom V25 enclosure to facilitate rear pull back (compression-style) suspension. Weight TBD kg (TBD lb). Steel, black. </t>
  </si>
  <si>
    <t>VTX V25 Vertical Transporter for transportation of up to four VTX V25 enclosures in a vertical column. Includes: dolley board with four tour grade casters (2 locking casters per dolley board). Reinforced protective cover (VTX-V25-VT-CVR) supplied separately.</t>
  </si>
  <si>
    <t>VTX V25 Vertical Transporter Cover for use with VTX-V25-VT. Modular, reconfigurable design allows for protection of three to four VTX V25 enclosures.</t>
  </si>
  <si>
    <t>VTX V25 Vertical Transporter Wrap Cover for use with VTX-V25-VTC. Allows for protection of three to four VTX V25 enclosures without the need to remove the VTX-V25-AF from the top of a stack of VTX V25 enclosures.</t>
  </si>
  <si>
    <t>WAVEGUIDE UPGRADE KIT</t>
  </si>
  <si>
    <t>VRX SERIES</t>
  </si>
  <si>
    <t>JBL009</t>
  </si>
  <si>
    <t>S/M, VRX928LA</t>
  </si>
  <si>
    <t>8" two-way line-array system with 1 x 2168H-1 Differential Drive® 400 W LF; 2 x 2414H 1 inch compression driver HF on Constant Curvature waveguide; dual angle pole socket and integral rigging hardware; passive or bi-amplified operation. Black DuraFlex™ finish.</t>
  </si>
  <si>
    <t>http://www.jblpro.com/www/products/tour-sound/vrx900-series/vrx928la#.Vkxty4RqBJo</t>
  </si>
  <si>
    <t>S/M, VRX928LA-WH</t>
  </si>
  <si>
    <t>8" Two-Way Line-Array System with 1 x 2168H-1 Differential Drive® 400W LF; 2 x 2414H 1 inch Compression Driver HF on Constant Curvature Waveguide; Dual Angle Pole Socket and Integral Rigging Hardware; Passive or Bi-Amplified Operation. White DuraFlex™ Finish.</t>
  </si>
  <si>
    <t>SALES MODEL, VRX932LA-1</t>
  </si>
  <si>
    <t>12" two-way line-array system with 1 x 2262H Differential Drive® LF; 3 x 2408J Annular Ring Diaphragm HF on Constant Curvature waveguide; dual angle pole socket and integral rigging hardware; passive or bi-amplified operation. Black DuraFlex™ finish.</t>
  </si>
  <si>
    <t>http://www.jblpro.com/www/products/tour-sound/vrx900-series/vrx932la-1#.Vkxt3YRqBJo</t>
  </si>
  <si>
    <t>S/M, VRX932LA-1WH</t>
  </si>
  <si>
    <t>12" two-way line-array system with 1 x 2262H Differential Drive® LF; 3 x 2408J Annular Ring Diaphragm HF on Constant Curvature waveguide; dual angle pole socket and integral rigging hardware; passive or bi-amplified operation. White DuraFlex™ finish.</t>
  </si>
  <si>
    <t>SALES MODEL, VRX932LAP</t>
  </si>
  <si>
    <t>Powered 12" two-way line-array system with 1 x 2262H Differential Drive® LF, 3 x 2408J HF on Constant Curvature waveguide; Crown DPC-2 amplifier module with system DSP; dual angle pole socket and integral rigging hardware; black DuraFlex™ finish.</t>
  </si>
  <si>
    <t>http://www.jblpro.com/www/products/tour-sound/vrx900-series/vrx932lap#.Vkxt7oRqBJo</t>
  </si>
  <si>
    <t>S/M, VRX915M</t>
  </si>
  <si>
    <t>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t>
  </si>
  <si>
    <t>http://www.jblpro.com/www/products/tour-sound/vrx900-series/vrx915m#.Vkxs-4RqBJo</t>
  </si>
  <si>
    <t>S/M, VRX915S</t>
  </si>
  <si>
    <t>15” Bass Reflex Subwoofer</t>
  </si>
  <si>
    <t>http://www.jblpro.com/www/products/tour-sound/vrx900-series/vrx915s#.VkxtMIRqBJo</t>
  </si>
  <si>
    <t>S/M, VRX915S-WH</t>
  </si>
  <si>
    <t>15” Bass Reflex Subwoofer - white</t>
  </si>
  <si>
    <t>S/M, VRX918S</t>
  </si>
  <si>
    <t>18" compact, flying subwoofer; 2268H Differential Drive® LF; integral flying hardware compatible with VRX932LA-1 and accessories; handles and pole mount deleted.  Black DuraFlex™ finish.</t>
  </si>
  <si>
    <t>http://www.jblpro.com/www/products/tour-sound/vrx900-series/vrx918s#.Vkxtq4RqBJo</t>
  </si>
  <si>
    <t>S/M, VRX918SP</t>
  </si>
  <si>
    <t>Powered 18" flying subwoofer; 2268H Differential Drive® LF, Crown DPC-2 Amplifier Module with system DSP; Integral Rigging Hardware Compatible with VRX932LAP; Top Mounted M20 Threaded Pole Socket; Black DuraFlex™ finish.</t>
  </si>
  <si>
    <t>http://www.jblpro.com/www/products/tour-sound/vrx900-series/vrx918sp#.VkxtnYRqBJo</t>
  </si>
  <si>
    <t>S/M, VRX918S-WH</t>
  </si>
  <si>
    <t>18” Compact, Flying Subwoofer; 2268H Differential Drive® LF; Integral Flying Hardware Compatible with VRX932LA and Accessories; Designed for Fixed Installations with JBL’s White Duraflex™; No Pole Mount or Handles Included.</t>
  </si>
  <si>
    <t>VRX-AF</t>
  </si>
  <si>
    <t>S/M, VRX-AF</t>
  </si>
  <si>
    <t>Array Frame for suspending VRX932LA-1/P, VRX918S/P enclosures. Includes 4 x Quick Release Pins, 2 x Shackles, 2 x Drop Levers</t>
  </si>
  <si>
    <t>S/M, VRX-SMAF</t>
  </si>
  <si>
    <t>Small Array Frame for suspending VRX928LA and VRX915S arrays. Includes 2 x quick release pins, 2 x shackles, 2 x drop levers..</t>
  </si>
  <si>
    <t>EON</t>
  </si>
  <si>
    <t>JBL01002</t>
  </si>
  <si>
    <t>JBL EON ONE MK2 BATTERY POWERED COLUMN SPEAKER</t>
  </si>
  <si>
    <t>JBL010</t>
  </si>
  <si>
    <t>JBL EON ONE MK2 DUAL BATTERY CHARGER</t>
  </si>
  <si>
    <t>JBL EON ONE MK2 SPARE BATTERY</t>
  </si>
  <si>
    <t>EON One Compact</t>
  </si>
  <si>
    <t>JBL01001</t>
  </si>
  <si>
    <t>All-in-one Rechargeable Personal PA with Bluetooth</t>
  </si>
  <si>
    <t>JBL EON ONE Compact is all-in-one rechargeable personal PA with an 8-inch woofer, a 4-channel digital mixer, Bluetooth audio and control, EQ, delay, reverb, chorus, and phantom power.</t>
  </si>
  <si>
    <t>EONONECOMP-BATT</t>
  </si>
  <si>
    <t>EONONECOMP-BATT priced and sold as singles</t>
  </si>
  <si>
    <t>EON ONE Compact - AKG DMS100/300 USB Power Cable</t>
  </si>
  <si>
    <t>JBL EON ONE Compact 5v to 12v USB Power Supply</t>
  </si>
  <si>
    <t>Portable 8” 2-Way PA with 8-Channel Powered Mixer and Bluetooth</t>
  </si>
  <si>
    <t>JBL Packaged PA System with integrated 300 Watt powered mixer; 8-channel mixer  with user selectable Reverb on Ch1-4, 2 x 8" JBL two-way speakers, durable plastic enclosure. Weight 38.8lbs.</t>
  </si>
  <si>
    <t>EON700 Yoke</t>
  </si>
  <si>
    <t>JBL EON700 UNIVERSAL YOKE MOUNT</t>
  </si>
  <si>
    <t>EON710</t>
  </si>
  <si>
    <t>JBL01003</t>
  </si>
  <si>
    <t>JBL EON710 10" POWERED LOUDSPEAKER</t>
  </si>
  <si>
    <t>EON712</t>
  </si>
  <si>
    <t>JBL EON712 12" POWERED LOUDSPEAKER</t>
  </si>
  <si>
    <t>EON715</t>
  </si>
  <si>
    <t>JBL EON715 15" POWERED LOUDSPEAKER</t>
  </si>
  <si>
    <t>EON718S</t>
  </si>
  <si>
    <t>JBL EON718S 18" POWERED SUBWOOFER</t>
  </si>
  <si>
    <t>IRX Series</t>
  </si>
  <si>
    <t>IRX108BT</t>
  </si>
  <si>
    <t>JBL056</t>
  </si>
  <si>
    <t>Powered 8" Portable Speaker with Bluetooth</t>
  </si>
  <si>
    <t>IRX112BT</t>
  </si>
  <si>
    <t>Powered 12" Portable Speaker with Bluetooth</t>
  </si>
  <si>
    <t>IRX115BT</t>
  </si>
  <si>
    <t>JBL IRX115S 15" Powered Subwoofer</t>
  </si>
  <si>
    <t>JRX SERIES</t>
  </si>
  <si>
    <t>JBL012</t>
  </si>
  <si>
    <t>12" Two-Way Stage Monitor Speaker</t>
  </si>
  <si>
    <t>12" two-way stage monitor or front of house passive speaker system; 1000 Watt peak power handling, 129dB Maximum SPL, 8 ohms. 19mm MDF enclosure, 18-gauge hexagon perforated steel grille. Net Weight 19.5kg (43 lbs).</t>
  </si>
  <si>
    <t>http://www.jblpro.com/www/products/portable-market/jrx200-series/jrx212#.VkxRk4RqBJo</t>
  </si>
  <si>
    <t xml:space="preserve">15" Two-Way Front of House Passive Speaker </t>
  </si>
  <si>
    <t>15" two-way front of house passive speaker system; 1000 Watt peak power handling, 128dB Maximum SPL, 8 ohms. 19mm MDF enclosure, 18-gauge hexagon perforated steel grille. Net Weight 27.4kg (60.5 lbs).</t>
  </si>
  <si>
    <t>http://www.jblpro.com/www/products/portable-market/jrx200-series/jrx215#.VkxRs4RqBJo</t>
  </si>
  <si>
    <t xml:space="preserve">18" Passive Compact Subwoofer </t>
  </si>
  <si>
    <t>18" passive compact subwoofer; 1400 Watt peak power handling, 127dB Maximum SPL, 4 ohms. 19mm MDF enclosure, 18-gauge hexagon perforated steel grille. Net Weight 40.4kg (89 lbs).</t>
  </si>
  <si>
    <t>http://www.jblpro.com/www/products/portable-market/jrx200-series/jrx218s#.VkxR0YRqBJo</t>
  </si>
  <si>
    <t xml:space="preserve">Dual 15" Two-Way Front of House Passive Speaker </t>
  </si>
  <si>
    <t>Dual 15" two-way front of house passive speaker system; 2000 Watt peak power handling, 133dB Maximum SPL, 4 ohms. 19mm MDF enclosure, 18-gauge hexagon perforated steel grille. Net Weight 42.6kg (94 lbs).</t>
  </si>
  <si>
    <t>http://www.jblpro.com/www/products/portable-market/jrx200-series/jrx225#.VkxR3oRqBJo</t>
  </si>
  <si>
    <t>PRX PASSIVE</t>
  </si>
  <si>
    <t>JBL023</t>
  </si>
  <si>
    <t>12" Two-Way Stage Monitor</t>
  </si>
  <si>
    <t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t>
  </si>
  <si>
    <t>http://www.jblpro.com/www/products/portable-market/prx400-series/prx412m#.VkxUOIRqBJo</t>
  </si>
  <si>
    <t>12" 2-WAY WHITE UTILITY SPEAKER</t>
  </si>
  <si>
    <t>12" two-way stage monitor or front of house passive speaker system; 1200 Watt peak power handling , 126dB Maximum SPL , 8 ohms. White DuraFlex™-covered 18mm plywood enclosure, 16 gauge cloth-backed steel grille. 12 M10 suspension points. Net Weight 17.5kg (38 lbs.)</t>
  </si>
  <si>
    <t>http://www.jblpro.com/www/products/portable-market/prx400-series/prx412m-wh#.VkxUVoRqBJo</t>
  </si>
  <si>
    <t>Two-Way 15" Stage Monitor</t>
  </si>
  <si>
    <t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t>
  </si>
  <si>
    <t>http://www.jblpro.com/www/products/portable-market/prx400-series/prx415m#.VkxUZ4RqBJo</t>
  </si>
  <si>
    <t>15" 2-WAY WHITE UTILITY SPEAKER</t>
  </si>
  <si>
    <t>15" two-way stage monitor or front- of- house passive speaker system; 1200 Watt peak power handling , 129dB Maximum SPL , 8 ohms. White DuraFlex™-covered 18mm plywood enclosure, 16 gauge cloth-backed steel grille. 12 M10 suspension points. Net Weight 21kg (46 lbs.)</t>
  </si>
  <si>
    <t>http://www.jblpro.com/www/products/portable-market/prx400-series/prx415m-wh#.VkxUd4RqBJo</t>
  </si>
  <si>
    <t>18" Subwoofer</t>
  </si>
  <si>
    <t>Compact 18" portable subwoofer system; 35Hz Frequency Range, 2400 watt peak power handling, 130dB Max SPL, cloth-backed steel grille M20 pole socket, non-skid rubber feet, Net Weight 33.5kg (74 lbs.)</t>
  </si>
  <si>
    <t>http://www.jblpro.com/www/products/portable-market/prx400-series/prx418s#.VkxUjIRqBJo</t>
  </si>
  <si>
    <t>Dual 15" Two-Way Loudspeaker System</t>
  </si>
  <si>
    <t xml:space="preserve">Dual 15" two-way passive speaker system; 2400 Watt peak power handling , 134dB Maximum SPL , 4 ohms.  DuraFlex™-covered 18mm plywood enclosure, 16 gauge cloth-backed steel grille, dual 36 mm pole sockets, non-skid rubber feet. 12 M10 suspension points. Net Weight 33.5kg (74 lbs.) </t>
  </si>
  <si>
    <t>http://www.jblpro.com/www/products/portable-market/prx400-series/prx425#.VkxUnIRqBJo</t>
  </si>
  <si>
    <t>PRX SERIES</t>
  </si>
  <si>
    <t>JBL PRX ONE INSTALL ADAPTER BRACKET KIT</t>
  </si>
  <si>
    <t>JBL006</t>
  </si>
  <si>
    <t>JBL PRX ONE Install Bracket and Adapter Kit</t>
  </si>
  <si>
    <t>10.5 LB</t>
  </si>
  <si>
    <t>647 MM</t>
  </si>
  <si>
    <t>482MM</t>
  </si>
  <si>
    <t>JBL00601</t>
  </si>
  <si>
    <t>JBL PRX ONE Powered Column PA Speaker</t>
  </si>
  <si>
    <t>31.75KG</t>
  </si>
  <si>
    <t>Powered dual 15" two-way system, wood cabinet, M10 suspension points</t>
  </si>
  <si>
    <t>Powered, 1500W, dual 15" two-way, bass-reflex system with WiFi capabilility in a wood cabinet, dual pole mount, M10 suspension points. 138db SPL peak with a 90° x 50° nominal coverage pattern, user-selectable DSP that includes EQ.</t>
  </si>
  <si>
    <t>http://www.jblpro.com/www/products/portable-market/prx800-series/prx825w</t>
  </si>
  <si>
    <t>Powered 15" three-way system, wood cabinet, pole mount, M10 suspension points</t>
  </si>
  <si>
    <t>Powered, 1500W, 15" three-way, full-range system with WiFi capabilility in a wood cabinet, dual pole mount, M10 suspension points. 138db SPL peak with a 90° x 50° nominal coverage pattern, user-selectable DSP that includes EQ.</t>
  </si>
  <si>
    <t>http://www.jblpro.com/www/products/portable-market/prx800-series/prx835w</t>
  </si>
  <si>
    <t>PRX908</t>
  </si>
  <si>
    <t>PRX912</t>
  </si>
  <si>
    <t>PRX915</t>
  </si>
  <si>
    <t xml:space="preserve">	691991037146</t>
  </si>
  <si>
    <t>PRX915XLF</t>
  </si>
  <si>
    <t xml:space="preserve">	691991037139</t>
  </si>
  <si>
    <t>PRX918XLF</t>
  </si>
  <si>
    <t>Portable</t>
  </si>
  <si>
    <t>JBL022</t>
  </si>
  <si>
    <t>SRX812 is a two-way full range speaker with a 12” woofer</t>
  </si>
  <si>
    <t>SRX812 is a two-way full range speaker with a 12” woofer made for use as a light duty main PA, monitor, or rear or side fill. Premium utility hardware makes SRX812 an ideal solution for sound reinforcement. Tunings for Crown amps and dbx processors are available at jblpro.com</t>
  </si>
  <si>
    <t>http://www.jblpro.com/www/products/portable-market/srx800-passive-series/srx812#.Vkxlz4RqBJo</t>
  </si>
  <si>
    <t>SRX815 is a two-way full range speaker with a 15”</t>
  </si>
  <si>
    <t>SRX815 is a two-way full range speaker with a 15” woofer made for use as a light to medium duty main PA, monitor, or rear or side fill. Premium utility hardware makes SRX815 an ideal solution for sound reinforcement. Tunings for Crown amps and dbx processors are available at jblpro.com</t>
  </si>
  <si>
    <t>http://www.jblpro.com/www/products/portable-market/srx800-passive-series/srx815#.Vkxlp4RqBJo</t>
  </si>
  <si>
    <t>SRX835 is a three-way full range speaker with a 15” woofer</t>
  </si>
  <si>
    <t>SRX835 is a three-way full range speaker with a 15” woofer made for use as a medium duty main PA, or rear or side fill. Premium utility hardware makes SRX835 an ideal solution for sound reinforcement. Tunings for Crown amps and dbx processors are available at jblpro.com</t>
  </si>
  <si>
    <t>http://www.jblpro.com/www/products/portable-market/srx800-passive-series/#</t>
  </si>
  <si>
    <t>SRX818S is a single 18” subwoofer for concert, touring, or installed use.</t>
  </si>
  <si>
    <t>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t>
  </si>
  <si>
    <t>http://www.jblpro.com/www/products/portable-market/srx800-passive-series/srx818s#.Vkxl5oRqBJo</t>
  </si>
  <si>
    <t>SRX828S is a dual 18” subwoofer for concert, touring, or installed use.</t>
  </si>
  <si>
    <t>SRX828S is a dual 18” subwoofer for concert, touring, or installed use, featuring a wide stance for splaying top boxes, indexing feet for stacking in both the standard and cardioid position, and a 141dB max SPL. Tunings for Crown amps and dbx  processors are available at jblpro.com</t>
  </si>
  <si>
    <t>http://www.jblpro.com/www/products/portable-market/srx800-passive-series/srx828s</t>
  </si>
  <si>
    <t>2000 Watt Powered 2-way system featuring Crown Amplification</t>
  </si>
  <si>
    <t>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t>
  </si>
  <si>
    <t>http://www.jblpro.com/www/products/portable-market/srx800-series/srx812p#.VkxaiIRqBJo</t>
  </si>
  <si>
    <t>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t>
  </si>
  <si>
    <t>http://www.jblpro.com/www/products/portable-market/srx800-series/srx815p#.VkxlaIRqBJo</t>
  </si>
  <si>
    <t>2000 Watt Powered 3-way system featuring Crown Amplification</t>
  </si>
  <si>
    <t>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t>
  </si>
  <si>
    <t>http://www.jblpro.com/www/products/portable-market/srx800-series/srx835p</t>
  </si>
  <si>
    <t>1000 Watt Powered 18" subwoofer featuring Crown Amplification</t>
  </si>
  <si>
    <t>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t>
  </si>
  <si>
    <t>http://www.jblpro.com/www/products/portable-market/srx800-series/srx818sp#.Vkxl_YRqBJo</t>
  </si>
  <si>
    <t>2000 Watt Powered dual 18" subwoofer featuring Crown Amplification</t>
  </si>
  <si>
    <t>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t>
  </si>
  <si>
    <t>http://www.jblpro.com/www/products/portable-market/srx800-series/srx828sp#.VkxmGoRqBJo</t>
  </si>
  <si>
    <t>Powered Line Array Speaker</t>
  </si>
  <si>
    <t>Dual 6.5-inch powered line array speaker, 2-way, 120-degree</t>
  </si>
  <si>
    <t>SRX906LA AF</t>
  </si>
  <si>
    <t>Array Frame</t>
  </si>
  <si>
    <t>Array Frame for SRX906LA, support for up to (16) cabinets</t>
  </si>
  <si>
    <t>Flight Case</t>
  </si>
  <si>
    <t>Flight case for (4) SRX906LA</t>
  </si>
  <si>
    <t>SRX906LA BP</t>
  </si>
  <si>
    <t>Base Plate for SRX906LA</t>
  </si>
  <si>
    <t>Dual 10-inch powered line array speaker, 2-way, 105-degree</t>
  </si>
  <si>
    <t>SRX910LA AF</t>
  </si>
  <si>
    <t>Array Frame for SRX910LA, support for up to (16) cabinets</t>
  </si>
  <si>
    <t>Vertical Transporter</t>
  </si>
  <si>
    <t>Vertical Transporter for (4) SRX910LA</t>
  </si>
  <si>
    <t>SRX910LA VT CVR</t>
  </si>
  <si>
    <t>Vertical Transporter Cover</t>
  </si>
  <si>
    <t>Vertical Transporter Cover for (4) SRX910LA</t>
  </si>
  <si>
    <t>SRX910LA BP</t>
  </si>
  <si>
    <t> Base Plate</t>
  </si>
  <si>
    <t>Base Plate for SRX910LA</t>
  </si>
  <si>
    <t>SRX900 RC1</t>
  </si>
  <si>
    <t>Rain Cover</t>
  </si>
  <si>
    <t>SRX900 Rain Cover, compatible with all models</t>
  </si>
  <si>
    <t>SRX900LA PB</t>
  </si>
  <si>
    <t>Pull Back accessory</t>
  </si>
  <si>
    <t>SRX900 Pull Back accessory, compatible with all LA models</t>
  </si>
  <si>
    <t>Powered Subwoofer</t>
  </si>
  <si>
    <t>Single 18-inch powered subwoofer</t>
  </si>
  <si>
    <t>Cover</t>
  </si>
  <si>
    <t>Soft cover for a single SRX918S</t>
  </si>
  <si>
    <t>Dual 18-inch powered subwoofer</t>
  </si>
  <si>
    <t>SRX928S CVR</t>
  </si>
  <si>
    <t>Soft cover for a single SRX928S</t>
  </si>
  <si>
    <t>Accessory Caster Kit</t>
  </si>
  <si>
    <t>Universal Accessory Caster Kit</t>
  </si>
  <si>
    <t>PA</t>
  </si>
  <si>
    <t>PPAACCESSORIES</t>
  </si>
  <si>
    <t>JBL021</t>
  </si>
  <si>
    <t>JBL gas assist speaker pole.</t>
  </si>
  <si>
    <t>JBL speaker pole featuring gass assist adjustment from  36" to 53".</t>
  </si>
  <si>
    <t>http://www.jblpro.com/ProductAttachments/one-sheeter-jblpole-GA.pdf</t>
  </si>
  <si>
    <t>JBL manual adjust speaker pole.</t>
  </si>
  <si>
    <t>JBL speaker pole with manual adjustment from 36" to 55".</t>
  </si>
  <si>
    <t>http://www.jblpro.com/ProductAttachments/one-sheeter-jblpole-MA.pdf</t>
  </si>
  <si>
    <t>JBL lift assist speaker tripod.</t>
  </si>
  <si>
    <t>JBL speaker tripod featuring gass assist adjustment from  3' 8" to 6' 7"</t>
  </si>
  <si>
    <t>JBL manual adjust speaker tripod.</t>
  </si>
  <si>
    <t>JBL speaker tripod with manual adjustment from  4' 2" to 6' 5".</t>
  </si>
  <si>
    <t>http://www.jblpro.com/ProductAttachments/One-sheeter-JBLTRIPOD-GA.pdf</t>
  </si>
  <si>
    <t>&amp;</t>
  </si>
  <si>
    <t>http://www.jblpro.com/www/products/recording-broadcast/3-series/lsr305#.VkxqHoRqBJo</t>
  </si>
  <si>
    <t>STUDIO MONITORS</t>
  </si>
  <si>
    <t>104SET-BT-US-WHT</t>
  </si>
  <si>
    <t>JBL025</t>
  </si>
  <si>
    <t>JBL 104 Studio Monitors white</t>
  </si>
  <si>
    <t>JBL 104 Studio Monitors Bluetooth</t>
  </si>
  <si>
    <t>JBL 104 Studio Monitors</t>
  </si>
  <si>
    <t>S/M, 305PMKII</t>
  </si>
  <si>
    <t>S/M, 306PMKII</t>
  </si>
  <si>
    <t>S/M, 308PMKII</t>
  </si>
  <si>
    <t>10-inch powered subwoofer.</t>
  </si>
  <si>
    <t>http://www.jblpro.com/www/products/recording-broadcast/lsr6300-series/lsr6312sp#.VkxrYIRqBJo</t>
  </si>
  <si>
    <t>5-Inch 2-Way Master Reference Monitor (Requires outboard processor and amplifier)</t>
  </si>
  <si>
    <t xml:space="preserve">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</si>
  <si>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 xml:space="preserve">5-Inch 2-Way Master Reference Monitor </t>
  </si>
  <si>
    <t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t>
  </si>
  <si>
    <t>www.jblpro.com/7series</t>
  </si>
  <si>
    <t>8-Inch 2-Way Master Reference Monitor (Requres external processor and amplifier)</t>
  </si>
  <si>
    <t xml:space="preserve">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t>
  </si>
  <si>
    <t>JBL 7 Series 8-inch Bi-amplified Master Reference Studio Monitor</t>
  </si>
  <si>
    <t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t>
  </si>
  <si>
    <t xml:space="preserve">Studio Monitor Controller </t>
  </si>
  <si>
    <t>JBL024</t>
  </si>
  <si>
    <t>Intonato 24 Monitor Management Tuning System</t>
  </si>
  <si>
    <t>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t>
  </si>
  <si>
    <t>http://www.jblpro.com/www/products/recording-broadcast/monitor-controllers/intonato-24#.WWDlOVUrLDc</t>
  </si>
  <si>
    <t>Intonato Desktop Controller</t>
  </si>
  <si>
    <t xml:space="preserve">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t>
  </si>
  <si>
    <t>2-Way Floor Standing or Soffit Mountable Master Reference Monitor</t>
  </si>
  <si>
    <t>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t>
  </si>
  <si>
    <t>http://www.jblpro.com/www/products/recording-broadcast/m2/m2-master-reference-monitor#.XC5oHttKhEY</t>
  </si>
  <si>
    <t>Studio Subwoofer</t>
  </si>
  <si>
    <t>SUB18 Studio Subwoofer</t>
  </si>
  <si>
    <t>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t>
  </si>
  <si>
    <t>www.jblpro.com/sub18</t>
  </si>
  <si>
    <t>http://www.jblpro.com/www/products/recording-broadcast/control-1-pro#.VkxQUYRqBJo</t>
  </si>
  <si>
    <t>CONTROL SERIES</t>
  </si>
  <si>
    <t>JBL029</t>
  </si>
  <si>
    <t>CONTROL 1PRO</t>
  </si>
  <si>
    <t>Compact Size Two-Way, 5.25" Low Frequency, .75" Polycarbonate Dome Tweeter, Molded Enclosure, Shielded Magnet,  Black. Priced as Each.  Packaged and sold in pairs.</t>
  </si>
  <si>
    <t>CONTROL 1PRO WHITE</t>
  </si>
  <si>
    <t>Compact Size Two-Way, 5.25" Low Frequency, .75" Polycarbonate Dome Tweeter, Molded Enclosure, Shielded Magnet,  White.  Priced as Each.  Packaged and sold in pairs.</t>
  </si>
  <si>
    <t>http://www.jblpro.com/www/products/recording-broadcast/control-2p/control-2p---master-only#.VkxQs4RqBJo</t>
  </si>
  <si>
    <t>CONTROL 2P MASTER POWERED SPEAKER</t>
  </si>
  <si>
    <t>One Control 2P Powered Master speaker, (without passive extension speaker) and power supply.</t>
  </si>
  <si>
    <t>http://www.jblpro.com/www/products/recording-broadcast/control-2p/control-2p---stereo-pair#.VkxQxIRqBJo</t>
  </si>
  <si>
    <t>CONTROL 2P  2-SPEAKER SYSTEM</t>
  </si>
  <si>
    <t>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t>
  </si>
  <si>
    <t>http://www.jblpro.com/www/products/recording-broadcast/control-2p/mtc-2p-mounting-kit#.VkxQ_IRqBJo</t>
  </si>
  <si>
    <t>MOUNTING KIT FOR C2PS</t>
  </si>
  <si>
    <t>Wall-Mount Bracket Kit for Control 2P.  Includes Two Wall Mounts, Not Recommended For Mobile Applications.</t>
  </si>
  <si>
    <t>http://www.jblpro.com/www/products/recording-broadcast/control-5/control-5#.VkxQ5IRqBJo</t>
  </si>
  <si>
    <t>PERS CONTROL MONITOR-BL (2/BX)</t>
  </si>
  <si>
    <t>Compact Size Two-Way, 6.5" Low Frequency, 1" Pure Titanium Dome Tweeter, Molded Enclosure, Shielded Magnet,  Black, Priced as Each.  Master Pack Quantity:  2 Pieces.</t>
  </si>
  <si>
    <t>STUDIO ACCESSORIES</t>
  </si>
  <si>
    <t>JBL031</t>
  </si>
  <si>
    <t>Compact Passive Volume Controller</t>
  </si>
  <si>
    <t>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t>
  </si>
  <si>
    <t>http://www.jblpro.com/www/products/recording-broadcast/monitor-controllers/m-patch-2</t>
  </si>
  <si>
    <t>RMC KIT, LSR63XX</t>
  </si>
  <si>
    <t>RMC KIT, LSR6328P and LSR6312SP</t>
  </si>
  <si>
    <t>Control sb-210</t>
  </si>
  <si>
    <t>CASTER SET OF 4 SWIVEL CASTERS</t>
  </si>
  <si>
    <t>Dummy Enclosure. Intellivox 280 series</t>
  </si>
  <si>
    <t>Dummy Enclosure. Intellivox 280 series.  Made to Order Call for availability</t>
  </si>
  <si>
    <t>Dummy Enclosure. Intellivox 430 series</t>
  </si>
  <si>
    <t>Dummy Enclosure. Intellivox 430 series.  Made to Order Call for availability</t>
  </si>
  <si>
    <t>JBL Commercial</t>
  </si>
  <si>
    <t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Sold as each; packed in pairs.
</t>
  </si>
  <si>
    <t>32 Channel Digital to Analog Converter</t>
  </si>
  <si>
    <t>BOB-32</t>
  </si>
  <si>
    <t>32 Channel Digital to Analog Converter over DB25 connectors</t>
  </si>
  <si>
    <t>LXPPLUGRB</t>
  </si>
  <si>
    <t>LEXPLUGIN</t>
  </si>
  <si>
    <t>Lexicon LXP Native Reverb Plug-in Bundle</t>
  </si>
  <si>
    <t>http://lexiconpro.com/en-US/products/lxp-native-reverb-plug-in-bundle</t>
  </si>
  <si>
    <t>PCM92</t>
  </si>
  <si>
    <t>LEXPROREC</t>
  </si>
  <si>
    <t>Stereo Reverb/Effects Processor</t>
  </si>
  <si>
    <t>http://lexiconpro.com/en-US/products/pcm92</t>
  </si>
  <si>
    <t>PCM96</t>
  </si>
  <si>
    <t>http://lexiconpro.com/en-US/products/pcm96</t>
  </si>
  <si>
    <t>PCM96SUR-A</t>
  </si>
  <si>
    <t>Multi-channel Reverb/Effects Processor - Analog &amp; Digital I/O</t>
  </si>
  <si>
    <t>http://lexiconpro.com/en-US/products/pcm96-surround</t>
  </si>
  <si>
    <t>PCM96SUR-D</t>
  </si>
  <si>
    <t>Multi-channel Reverb/Effects Processor - Digital I/O</t>
  </si>
  <si>
    <t>http://lexiconpro.com/en-US/products/pcm96-surround-digital</t>
  </si>
  <si>
    <t>LEX,MPXR,NATIVE REVERB PLUGIN D</t>
  </si>
  <si>
    <t>PLMPXR-D</t>
  </si>
  <si>
    <t>VST / AU / RTAS Reverb Plug-in</t>
  </si>
  <si>
    <t>PLPCMFX</t>
  </si>
  <si>
    <t>PCM Native Effects Plug-in Bundle</t>
  </si>
  <si>
    <t>http://lexiconpro.com/en-US/products/pcm-native-effects-plug-in-bundle</t>
  </si>
  <si>
    <t>PLPCMRB</t>
  </si>
  <si>
    <t>PCM Native Reverb Plug-in Bundle</t>
  </si>
  <si>
    <t>http://lexiconpro.com/en-US/products/pcm-native-reverb-plug-in-bundle</t>
  </si>
  <si>
    <t>PLPCMTOT</t>
  </si>
  <si>
    <t>PCM Total Bundle (Reverb &amp; Effects Plug-ins)</t>
  </si>
  <si>
    <t>http://lexiconpro.com/en-US/products/pcm-total-bundle</t>
  </si>
  <si>
    <t xml:space="preserve">32-Channel Immersive Cinema Processors </t>
  </si>
  <si>
    <t>QLI-32</t>
  </si>
  <si>
    <t>CINEPROCR</t>
  </si>
  <si>
    <t>32-Channel Immersive Cinema Processors with BLU link Input/Output</t>
  </si>
  <si>
    <t>LEXICON HOLODECK 240 REMOTE</t>
  </si>
  <si>
    <t>LEXLARES</t>
  </si>
  <si>
    <t>MAR-ACC</t>
  </si>
  <si>
    <t>Temporary price increase due to component shortage issues</t>
  </si>
  <si>
    <t>Contact Martin Factory</t>
  </si>
  <si>
    <t>Epsilon 5 AVR Programmer</t>
  </si>
  <si>
    <t>Linear</t>
  </si>
  <si>
    <t>Set of 10 Magnetic Test Tools</t>
  </si>
  <si>
    <t>http://www.martin.com/en-us/product-details/exterior-linear-cove-series</t>
  </si>
  <si>
    <t>Temp calibration box, smoke</t>
  </si>
  <si>
    <t>MSM-JEM</t>
  </si>
  <si>
    <t>GB</t>
  </si>
  <si>
    <t>Vacuum test equipment</t>
  </si>
  <si>
    <t xml:space="preserve">Omega bracket with 1/4 turn fasteners </t>
  </si>
  <si>
    <t xml:space="preserve">T-shape Omega bracket w 1/4 turn </t>
  </si>
  <si>
    <t xml:space="preserve">Omega Bracket, M250-300. ¼-turm </t>
  </si>
  <si>
    <t>Omega Bracket B with 1/4 turn fastners</t>
  </si>
  <si>
    <t>Only for ERA 300/ERA 400</t>
  </si>
  <si>
    <t xml:space="preserve">G-Clamp </t>
  </si>
  <si>
    <t xml:space="preserve">Half-coupler clamp for Ø50 </t>
  </si>
  <si>
    <t xml:space="preserve">Quick-trigger clamp Ø38.1-51mm </t>
  </si>
  <si>
    <t>LED Video</t>
  </si>
  <si>
    <t>Super Lightweight Half Coupler Black</t>
  </si>
  <si>
    <t>http://www.martin.com/en-us/product-details/vdo-sceptron-10</t>
  </si>
  <si>
    <t>Safety Cable, SWL 60 kg, BGV C1 / DGUV 17, black</t>
  </si>
  <si>
    <t>Safety Cable, SWL 60 kg, BGV C1 / DGUV 17, silver</t>
  </si>
  <si>
    <t>Data Cable Cat6 EtherCON-EtherCON 0,45m</t>
  </si>
  <si>
    <t>EOL stage – limited availability may apply</t>
  </si>
  <si>
    <t>PL</t>
  </si>
  <si>
    <t>Data Cable Cat6 EtherCON-EtherCON 1,20m</t>
  </si>
  <si>
    <t>Data Cable Cat6 EtherCON-EtherCON 5,00m</t>
  </si>
  <si>
    <t>Data Connector Cat6 EtherCON</t>
  </si>
  <si>
    <t>Power Cable H07RN-F TRUE1-TRUE1 0,45m</t>
  </si>
  <si>
    <t>Power Cable SJOOW TRUE1-TRUE1 0,45m</t>
  </si>
  <si>
    <t>Power Cable H07RN-F TRUE1-TRUE1 1,20m</t>
  </si>
  <si>
    <t>Power Cable SJOOW TRUE1-TRUE1 1,20m</t>
  </si>
  <si>
    <t>BY</t>
  </si>
  <si>
    <t>Power Cable H07RN-F TRUE1-TRUE1 2,50m</t>
  </si>
  <si>
    <t>Power Cable SJOOW TRUE1-TRUE1 2,50m</t>
  </si>
  <si>
    <t>Power Cable H07RN-F OPEN-TRUE1 1,50m</t>
  </si>
  <si>
    <t>Power Cable SJOOW OPEN-TRUE1 1,50m</t>
  </si>
  <si>
    <t>Power Cable H07RN-F OPEN-TRUE1 5,00m</t>
  </si>
  <si>
    <t>Power Cable SJOOW OPEN-TRUE1 5,00m</t>
  </si>
  <si>
    <t>Power Connector PowerCON TRUE1 Male</t>
  </si>
  <si>
    <t>Power Connector PowerCON TRUE1 Female</t>
  </si>
  <si>
    <t>Power Cable H07RN-F POWCON-POWCON 1,20m</t>
  </si>
  <si>
    <t>Power Cable SJOOW POWCON-POWCON 1,20m</t>
  </si>
  <si>
    <t>Power Cable H07RN-F POWCON-POWCON 2,50m</t>
  </si>
  <si>
    <t>Power Cable SJOOW POWCON-POWCON 2,50m</t>
  </si>
  <si>
    <t>Power Cable H07RN-F OPEN-POWCON 1,50m</t>
  </si>
  <si>
    <t>Power Cable SJOOW OPEN-POWCON 1,50m</t>
  </si>
  <si>
    <t>Power Cable H07RN-F OPEN-POWCON 5,00m</t>
  </si>
  <si>
    <t>Power Cable SJOOW OPEN-POWCON 5,00m</t>
  </si>
  <si>
    <t>Power Connector PowerCON Male</t>
  </si>
  <si>
    <t>Power Connector PowerCON Female</t>
  </si>
  <si>
    <t>Active Junction Box Power-DMX-Ethernet to PDE</t>
  </si>
  <si>
    <t>Passive Junction Box Power-DMX-Ethernet to PDE</t>
  </si>
  <si>
    <t>BreakIn Cable Power-DMX-Ethernet to PDE</t>
  </si>
  <si>
    <t>BreakOut Cable PDE to Power-DMX-Ethernet</t>
  </si>
  <si>
    <t>Power+Data Cable Rental PDE-PDE 1m</t>
  </si>
  <si>
    <t>Power+Data Cable Rental PDE-PDE 2,5m</t>
  </si>
  <si>
    <t>Power+Data Cable Rental PDE-PDE 5m</t>
  </si>
  <si>
    <t>Power+Data Cable Rental PDE-PDE 10m</t>
  </si>
  <si>
    <t>Power+Data Cable Rental PDE-PDE 25m</t>
  </si>
  <si>
    <t>Power+Data Cable PowerDMXEth Rental 100m</t>
  </si>
  <si>
    <t>Power+Data Connector PDE Male</t>
  </si>
  <si>
    <t>Power+Data Connector PDE Female</t>
  </si>
  <si>
    <t>Power+Data Cable PCB-PCB 200mm</t>
  </si>
  <si>
    <t>EOL pre-notice - Will be submitted for EOL soon - But will remain available to support final VC-Grid/Strip sales</t>
  </si>
  <si>
    <t>Power+Data Cable PCB-PCB 400mm</t>
  </si>
  <si>
    <t>Power+Data Cable PCB-PCB 600mm</t>
  </si>
  <si>
    <t>Power+Data Cable PCB-PCB 800mm</t>
  </si>
  <si>
    <t>Power+Data Cable PCB-PCB 1000mm</t>
  </si>
  <si>
    <t>Power+Data Cable XLR4-XLR4 1m</t>
  </si>
  <si>
    <t>Power+Data Cable XLR4-XLR4 2,5m</t>
  </si>
  <si>
    <t>Power+Data Cable XLR4-XLR4 5m</t>
  </si>
  <si>
    <t>Power+Data Cable XLR4-XLR4 10m</t>
  </si>
  <si>
    <t>Power+Data Cable XLR4-XLR4 25m</t>
  </si>
  <si>
    <t>Power+Data Cable Rental BBD-BBD 1m</t>
  </si>
  <si>
    <t>Power+Data Cable Rental BBD-BBD 2,5m</t>
  </si>
  <si>
    <t>Power+Data Cable Rental BBD-BBD 5m</t>
  </si>
  <si>
    <t>Power+Data Cable Rental BBD-BBD 10m</t>
  </si>
  <si>
    <t>Power+Data Cable Rental BBD-BBD 25m</t>
  </si>
  <si>
    <t>Power+Data Cable Rental 100m</t>
  </si>
  <si>
    <t>Power+Data Cable Instal CMX BBD-BBD 1m</t>
  </si>
  <si>
    <t>Power+Data Cable Instal CMX BBD-BBD 2,5m</t>
  </si>
  <si>
    <t>Power+Data Cable Instal CMX BBD-BBD 5m</t>
  </si>
  <si>
    <t>Power+Data Cable Instal CMX BBD-BBD 10m</t>
  </si>
  <si>
    <t>Power+Data Cable Instal CMX BBD-BBD 25m</t>
  </si>
  <si>
    <t>Power+Data Cable Instal CMX 100m</t>
  </si>
  <si>
    <t>Power+Data Cable Instl LSZH BBD-BBD 1m</t>
  </si>
  <si>
    <t>Power+Data Cable Instl LSZH BBD-BBD 2,5m</t>
  </si>
  <si>
    <t>Power+Data Cable Instl LSZH BBD-BBD 5m</t>
  </si>
  <si>
    <t>Power+Data Cable Instl LSZH BBD-BBD 10m</t>
  </si>
  <si>
    <t>Power+Data Cable Instl LSZH BBD-BBD 25m</t>
  </si>
  <si>
    <t>Power+Data Cable Instl LSZH 100m</t>
  </si>
  <si>
    <t>Power+Data Adapter XLR4-PCB 0,25m</t>
  </si>
  <si>
    <t>Power+Data Adapter PCB-XLR4 0,25m</t>
  </si>
  <si>
    <t>Power+Data Adapter XLR4-BBD 0,25m</t>
  </si>
  <si>
    <t>Power+Data Adapter BBD-XLR4 0,25m</t>
  </si>
  <si>
    <t xml:space="preserve">POWER+DATA ADAPTER M16-BBD 0,25M </t>
  </si>
  <si>
    <t xml:space="preserve">POWER+DATA ADAPTER BBD-M16 0,25M </t>
  </si>
  <si>
    <t>http://www.martin.com/en-us/product-details/vc-feeder</t>
  </si>
  <si>
    <t>Power+Data Adapter XLR5+Power-XLR4 0,25m</t>
  </si>
  <si>
    <t>Power+Data Adapter XLR5+XLR4-XLR4 0,25m</t>
  </si>
  <si>
    <t>Power+Data Adapter XLR5+Tripi-XLR4 0,25m</t>
  </si>
  <si>
    <t>Power+Data Adapter XLR4-XLR5 0,25m</t>
  </si>
  <si>
    <t>Power+Data Adapter XLR5+Power-BBD 0,25m</t>
  </si>
  <si>
    <t>Power+Data Adapter XLR5+XLR4-BBD 0,25m</t>
  </si>
  <si>
    <t>Power+Data Adapter XLR5+Tripi-BBD 0,25m</t>
  </si>
  <si>
    <t>Power+Data Adapter BBD-XLR5 0,25m</t>
  </si>
  <si>
    <t>Power+Data Connector BBD Male</t>
  </si>
  <si>
    <t>Power+Data Connector BBD Female</t>
  </si>
  <si>
    <t>Set of 10 caps for Connector BBD Female</t>
  </si>
  <si>
    <t>Atmospheric Effects</t>
  </si>
  <si>
    <t>JEM Pro-Fog Fluid, Extra Quick Dissipating, 4x 5 l</t>
  </si>
  <si>
    <t>MAR-FLUID</t>
  </si>
  <si>
    <t>http://www.martin.com/en-us/product-details/jem-pro-fog-fluid--extra-quick-dissipating</t>
  </si>
  <si>
    <t>JEM Pro-Fog Fluid, Extra Quick Dissipating, 25 l</t>
  </si>
  <si>
    <t>JEM Pro-Fog Fluid, Extra Quick Dissipating, 220 l</t>
  </si>
  <si>
    <t>JEM Pro-Fog Fluid, Quick Dissipating, 9.5 l</t>
  </si>
  <si>
    <t>EOL soon – very limited availability</t>
  </si>
  <si>
    <t>JEM Pro-Fog Fluid, Quick Dissipating, 4x 5 l</t>
  </si>
  <si>
    <t>http://www.martin.com/en-us/product-details/jem-pro-fog-fluid--quick-dissipating</t>
  </si>
  <si>
    <t>JEM Pro-Fog Fluid, 4x 5 l</t>
  </si>
  <si>
    <t>http://www.martin.com/en-us/product-details/jem-pro-fog-fluid</t>
  </si>
  <si>
    <t>JEM Pro-Fog Fluid, 25 l</t>
  </si>
  <si>
    <t>JEM Pro-Fog Fluid, 220 l</t>
  </si>
  <si>
    <t>http://www.martin.com/en-us/product-details/jem-pro-fog-fluid--high-density</t>
  </si>
  <si>
    <t xml:space="preserve">JEM Pro-Fog Fluid, High Density, 4x 5 l </t>
  </si>
  <si>
    <t xml:space="preserve">JEM Pro-Fog Fluid, High Density, 220 l </t>
  </si>
  <si>
    <t>JEM Low-Fog Fluid, Quick Dissipating, 4x 5 l</t>
  </si>
  <si>
    <t>JEM Low-Fog Fluid, 4x 5 l</t>
  </si>
  <si>
    <t>JEM Low-Fog Fluid, 220 l</t>
  </si>
  <si>
    <t>http://www.martin.com/en-us/product-details/jem-low-fog-fluid</t>
  </si>
  <si>
    <t>JEM Low-Fog Fluid, High Density, 4x 5 l</t>
  </si>
  <si>
    <t>JEM Low-Fog Fluid, High Density, 220 l</t>
  </si>
  <si>
    <t>http://www.martin.com/en-us/product-details/jem-low-fog-fluid--high-density</t>
  </si>
  <si>
    <t>RUSH &amp; THRILL Fog  Fluid, 4x 2.5 l</t>
  </si>
  <si>
    <t>RUSH &amp; THRILL Fog  Fluid, 4x 5 l</t>
  </si>
  <si>
    <t>http://www.martin.com/en-us/product-details/rush-thrill-fog-fluid</t>
  </si>
  <si>
    <t>RUSH &amp; THRILL Haze Fluid, 4x 2.5 l</t>
  </si>
  <si>
    <t>RUSH &amp; THRILL Haze Fluid,  4x 5 l</t>
  </si>
  <si>
    <t>http://www.martin.com/en-us/product-details/rush-thrill-haze-fluid</t>
  </si>
  <si>
    <t xml:space="preserve">RUSH Club Smoke Dual Fluid, 4x 5  l </t>
  </si>
  <si>
    <t>RUSH Club Smoke Dual Fluid, 25 l</t>
  </si>
  <si>
    <t>http://www.martin.com/en-us/product-details/rush-club-smoke-dual-fluid-1</t>
  </si>
  <si>
    <t>RUSH Club Smoke Dual Fluid, 220 l</t>
  </si>
  <si>
    <t>JEM K1 Haze Fluid,  4x 2.5 l</t>
  </si>
  <si>
    <t>JEM K1 Haze Fluid,  220  l</t>
  </si>
  <si>
    <t>http://www.martin.com/en-us/product-details/jem-k1-haze-fluid</t>
  </si>
  <si>
    <t>JEM C-Plus Haze Fluid, 4x 2.5 l</t>
  </si>
  <si>
    <t xml:space="preserve">JEM C-Plus Haze Fluid, 4x 5 l </t>
  </si>
  <si>
    <t>http://www.martin.com/en-us/product-details/jem-c-plus-haze-fluid</t>
  </si>
  <si>
    <t>JEM C-Plus Haze Fluid, 25 l</t>
  </si>
  <si>
    <t>Martin Pro-Clean and Storage Fluid, 4 x 2.5 l</t>
  </si>
  <si>
    <t>Pro Smoke High-Dens (SP) 4x5L</t>
  </si>
  <si>
    <t>Effect Lights</t>
  </si>
  <si>
    <t>MEF-ATOMI</t>
  </si>
  <si>
    <t>Static Lights</t>
  </si>
  <si>
    <t>MARTIN ELP PAR</t>
  </si>
  <si>
    <t>MAR-ELP</t>
  </si>
  <si>
    <t xml:space="preserve">NEW SKU </t>
  </si>
  <si>
    <t>NEW SKU - Limited stock expected from late February.</t>
  </si>
  <si>
    <t>https://www.martin.com/en/products/elp-par-ip</t>
  </si>
  <si>
    <t>MARTIN ELP CL Body</t>
  </si>
  <si>
    <t>https://www.martin.com/en/product_families/elp</t>
  </si>
  <si>
    <t>MARTIN ELP CL Body WHITE</t>
  </si>
  <si>
    <t>MARTIN ELP CL IP Body</t>
  </si>
  <si>
    <t>MARTIN ELP CL IP Body WHITE</t>
  </si>
  <si>
    <t>MARTIN ELP WW</t>
  </si>
  <si>
    <t>MARTIN ELP WW Body WHITE</t>
  </si>
  <si>
    <t>MARTIN ELP WW IP Body</t>
  </si>
  <si>
    <t>MARTIN ELP WW IP Body WHITE</t>
  </si>
  <si>
    <t>MARTIN ELP 19° LENS TUBE</t>
  </si>
  <si>
    <t>MARTIN ELP 26° LENS TUBE</t>
  </si>
  <si>
    <t>MARTIN ELP 36° LENS TUBE</t>
  </si>
  <si>
    <t>MARTIN ELP 50° LENS TUBE</t>
  </si>
  <si>
    <t>MARTIN ELP 19° LENS TUBE WHITE</t>
  </si>
  <si>
    <t>MARTIN ELP 26° LENS TUBE WHITE</t>
  </si>
  <si>
    <t>MARTIN ELP 36° LENS TUBE WHITE</t>
  </si>
  <si>
    <t>MARTIN ELP 50° LENS TUBE WHITE</t>
  </si>
  <si>
    <t>MARTIN ELP 15° - 30° ZOOM LENS</t>
  </si>
  <si>
    <t>MARTIN ELP 25° - 50° ZOOM LENS</t>
  </si>
  <si>
    <t>MARTIN ELP 15° - 30° ZOOM LENS WHITE</t>
  </si>
  <si>
    <t>MARTIN ELP 25° - 50° ZOOM LENS WHITE</t>
  </si>
  <si>
    <t>MARTIN ERA 150 WASH</t>
  </si>
  <si>
    <t>MAR-ERA</t>
  </si>
  <si>
    <t>NEW SKU</t>
  </si>
  <si>
    <t>ERA</t>
  </si>
  <si>
    <t>MARTIN ERA 300 PROFILE</t>
  </si>
  <si>
    <t>https://www.martin.com/en/products/era-300-profile</t>
  </si>
  <si>
    <t>MARTIN ERA 300 PROFILE WHITE</t>
  </si>
  <si>
    <t>Martin ERA 400 Performance CLD</t>
  </si>
  <si>
    <t>https://www.martin.com/en/products/era-400-performance-cld</t>
  </si>
  <si>
    <t>Flightcase for 2 x ERA 400</t>
  </si>
  <si>
    <t>Martin ERA 600 Performance</t>
  </si>
  <si>
    <t>https://www.martin.com/en/products/era-600-performance</t>
  </si>
  <si>
    <t>Martin ERA 600 Performance WHITE</t>
  </si>
  <si>
    <t>https://www.martin.com/en/products/era-800-performance</t>
  </si>
  <si>
    <t>Martin ERA 600 Profile</t>
  </si>
  <si>
    <t>https://www.martin.com/en/products/era-600-profile</t>
  </si>
  <si>
    <t>Martin ERA 600 Profile WHITE</t>
  </si>
  <si>
    <t>Flightcase for 2 x ERA 600</t>
  </si>
  <si>
    <t>https://www.martin.com/en/site_elements/martin-era-600-flightcase</t>
  </si>
  <si>
    <t>ERA 600 CRI Boost Filter</t>
  </si>
  <si>
    <t>Martin ERA 800 Performance</t>
  </si>
  <si>
    <t>Martin ERA 800 Performance WHITE</t>
  </si>
  <si>
    <t>https://www.martin.com/en/products/era-800-profile</t>
  </si>
  <si>
    <t>Flightcase for 2 x ERA 800</t>
  </si>
  <si>
    <t>ERA 800 CRI Boost Filter</t>
  </si>
  <si>
    <t>EXT DOT-HP, CL FRONT, RGB, ALU</t>
  </si>
  <si>
    <t>EXT-CREAT</t>
  </si>
  <si>
    <t>https://www.martin.com/en/products/exterior-dot-hp</t>
  </si>
  <si>
    <t>EXTERIOR DOT-HP,DIFFUSED DOME,RGB,ALU</t>
  </si>
  <si>
    <t>http://www.martin.com/en-us/product-details/exterior-dot-hp</t>
  </si>
  <si>
    <t>Exterior Dot-HP, Directional, RGB, alu</t>
  </si>
  <si>
    <t>EXT DOT-HP, CL FRONT, CW, ALU</t>
  </si>
  <si>
    <t>EXT DOT-HP, DOME, CW, ALU</t>
  </si>
  <si>
    <t>EXT DOT-HP, DIR, CW, ALU</t>
  </si>
  <si>
    <t>Bracket with Flanges dot-hp</t>
  </si>
  <si>
    <t>https://www.martin.com/en/products/vc-dot-1</t>
  </si>
  <si>
    <t>BRACKET FOR MOUNTING PROFILE, EXT DOT-HP</t>
  </si>
  <si>
    <t>Exterior Linear Pro-Graze, QUAD, 1ft</t>
  </si>
  <si>
    <t>EXT-LIN</t>
  </si>
  <si>
    <t>Exterior Linear Pro-Graze, QUAD, 4ft</t>
  </si>
  <si>
    <t>Exterior Linear Pro-Cove, QUAD, 1ft</t>
  </si>
  <si>
    <t>B2N</t>
  </si>
  <si>
    <t>Exterior Linear Pro-Cove, QUAD, 4ft</t>
  </si>
  <si>
    <t>Exterior Linear Pro-DV, QUAD, 1ft</t>
  </si>
  <si>
    <t>Exterior Linear Pro-DV, QUAD, 4ft</t>
  </si>
  <si>
    <t>Exterior Linear Pro-Graze, CTC, 1ft</t>
  </si>
  <si>
    <t>Exterior Linear Pro-Graze, CTC, 4ft</t>
  </si>
  <si>
    <t>Exterior Linear Pro-Cove, CTC, 1ft</t>
  </si>
  <si>
    <t>Exterior Linear Pro-Cove, CTC, 4ft</t>
  </si>
  <si>
    <t>Adjustable bracket , EL Pro, 10 pcs</t>
  </si>
  <si>
    <t>Flange bracket, EL Pro, 10 pcs</t>
  </si>
  <si>
    <t>Quick mount bracket, EL Pro, 10 pcs</t>
  </si>
  <si>
    <t xml:space="preserve">Asymm diffuser Wide, EL Pro, 4ft </t>
  </si>
  <si>
    <t xml:space="preserve">Asymm diffuser Narrow, EL Pro, 4ft </t>
  </si>
  <si>
    <t>Glare shield, EL Pro, 1ft, set of 4</t>
  </si>
  <si>
    <t>Glare shield, EL Pro, 4ft, set of 4</t>
  </si>
  <si>
    <t>Louvre, EL Pro, CTC, 1ft, set of 4</t>
  </si>
  <si>
    <t>Louvre, EL Pro, QUAD, 1ft set of 4</t>
  </si>
  <si>
    <t>Junction Box Power DMX to PD</t>
  </si>
  <si>
    <t>Power DMX Cable PD PD 0.2M US</t>
  </si>
  <si>
    <t>Power DMX Cable PD PD 1M US</t>
  </si>
  <si>
    <t>Power DMX Cable PD PD 2.5M US</t>
  </si>
  <si>
    <t>Power DMX Cable PD PD 5M US</t>
  </si>
  <si>
    <t>Power DMX Cable PD PD 10M US</t>
  </si>
  <si>
    <t>Power DMX Cable 100M ROLL US</t>
  </si>
  <si>
    <t>B1N</t>
  </si>
  <si>
    <t>End Termination Cap PD</t>
  </si>
  <si>
    <t>Field installable connector PD female</t>
  </si>
  <si>
    <t>Field installable connector PD male</t>
  </si>
  <si>
    <t>EOL pre-notice - not recommend to specify for 2025 projects - please specify Exterior Linear Pro</t>
  </si>
  <si>
    <t>https://www.martin.com/en/products/exterior-linear-rgbw-graze</t>
  </si>
  <si>
    <t>Exterior Linear 310/1210 QUAD Graze Louvre, set of 4</t>
  </si>
  <si>
    <t xml:space="preserve">Leader cable, 2m, EU </t>
  </si>
  <si>
    <t xml:space="preserve">Leader cable, 2m, US </t>
  </si>
  <si>
    <t xml:space="preserve">Leader cable, 10m, EU </t>
  </si>
  <si>
    <t xml:space="preserve">Leader cable, 10m, US </t>
  </si>
  <si>
    <t xml:space="preserve">CONNECTOR CABLE, 0,2M, EU </t>
  </si>
  <si>
    <t>CONNECTOR CABLE, 0,2M, US</t>
  </si>
  <si>
    <t xml:space="preserve">CONNECTOR CABLE, 1M, EU </t>
  </si>
  <si>
    <t xml:space="preserve">CONNECTOR CABLE, 1M, US </t>
  </si>
  <si>
    <t xml:space="preserve">CONNECTOR CABLE, 5M, EU </t>
  </si>
  <si>
    <t xml:space="preserve">CONNECTOR CABLE, 5M, US </t>
  </si>
  <si>
    <t xml:space="preserve">CONNECTOR CABLE, 10M, EU </t>
  </si>
  <si>
    <t xml:space="preserve">CONNECTOR CABLE, 10M, US </t>
  </si>
  <si>
    <t xml:space="preserve">END TERMINATION CAP </t>
  </si>
  <si>
    <t>Ext PixLine 10 RGB 320mm Clr Front Alu</t>
  </si>
  <si>
    <t>Production stop - Earliest delivery August 2023</t>
  </si>
  <si>
    <t>Ext PixLine 10 RGB 1280mm Clr Front Alu</t>
  </si>
  <si>
    <t>http://www.martin.com/en-us/product-details/exterior-pixline-10</t>
  </si>
  <si>
    <t>Ext PixLine 10 RGB 320mm Diff Front Alu</t>
  </si>
  <si>
    <t>Ext PixLine 10 RGB 1280mm Diff Front Alu</t>
  </si>
  <si>
    <t>Ext PixLine 10 RGB 320mm Rnd Dif Fr Alu</t>
  </si>
  <si>
    <t>Ext PixLine 10 RGB 1280mm Rnd Dif Fr Alu</t>
  </si>
  <si>
    <t>Ext PixLine 10 RGB 320mm Squ Dif Fr Alu</t>
  </si>
  <si>
    <t>Ext PixLine 10 RGB 1280mm Squ Dif Fr Alu</t>
  </si>
  <si>
    <t>Ext PixLine 10 RGB 320mm As Len Lft Alu</t>
  </si>
  <si>
    <t>Ext PixLine 10 RGB 1280mm As Len Lft Alu</t>
  </si>
  <si>
    <t>Ext PixLine 10 RGB 320mm As Len Rgt Alu</t>
  </si>
  <si>
    <t>Ext PixLine 10 RGB 1280mm As Len Rgt Alu</t>
  </si>
  <si>
    <t>Ext PixLine 20 RGB 310mm Clr Front Alu</t>
  </si>
  <si>
    <t>Ext PixLine 20 RGB 310mm Diff Front Alu</t>
  </si>
  <si>
    <t>http://www.martin.com/en-us/product-details/exterior-pixline-20</t>
  </si>
  <si>
    <t>Ext PixLine 20 RGB 1270mm Diff Front Alu</t>
  </si>
  <si>
    <t>Ext PixLine 20 RGB 310mm Rnd Dif Fr Alu</t>
  </si>
  <si>
    <t>Ext PixLine 20 RGB 1270mm Rnd Dif Fr Alu</t>
  </si>
  <si>
    <t>Ext PixLine 20 RGB 310mm Squ Dif Fr Alu</t>
  </si>
  <si>
    <t>Ext PixLine 20 RGB 1270mm Squ Dif Fr Alu</t>
  </si>
  <si>
    <t>Ext PixLine 20 RGB 310mm As Len Lft Alu</t>
  </si>
  <si>
    <t>Ext PixLine 20 RGB 1270mm As Len Lft Alu</t>
  </si>
  <si>
    <t>Ext PixLine 20 RGB 310mm As Len Rgt Alu</t>
  </si>
  <si>
    <t>Ext PixLine 20 RGB 1270mm As Len Rgt Alu</t>
  </si>
  <si>
    <t>Ext PixLine 40 RGB 310mm Clr Front Alu</t>
  </si>
  <si>
    <t>Ext PixLine 40 RGB 1270mm Clr Front Alu</t>
  </si>
  <si>
    <t>http://www.martin.com/en-us/product-details/exterior-pixline-40</t>
  </si>
  <si>
    <t>Ext PixLine 40 RGB 310mm Diff Front Alu</t>
  </si>
  <si>
    <t>Ext PixLine 40 RGB 1270mm Diff Front Alu</t>
  </si>
  <si>
    <t>Ext PixLine 40 RGB 310mm Rnd Dif Fr Alu</t>
  </si>
  <si>
    <t>Ext PixLine 40 RGB 1270mm Rnd Dif Fr Alu</t>
  </si>
  <si>
    <t>Ext PixLine 40 RGB 310mm Squ Dif Fr Alu</t>
  </si>
  <si>
    <t>Ext PixLine 40 RGB 1270mm Squ Dif Fr Alu</t>
  </si>
  <si>
    <t>Ext PixLine 40 RGB 310mm As Len Lft Alu</t>
  </si>
  <si>
    <t>Ext PixLine 40 RGB 1270mm As Len Lft Alu</t>
  </si>
  <si>
    <t>https://www.martin.com/en/products/exterior-pixline-40</t>
  </si>
  <si>
    <t>Ext PixLine 40 RGB 310mm As Len Rgt Alu</t>
  </si>
  <si>
    <t>Ext PixLine 40 RGB 1270mm As Len Rgt Alu</t>
  </si>
  <si>
    <t>Ext PixLine Mounting Profile 310mm Alu</t>
  </si>
  <si>
    <t>Ext PixLine Mounting Profile 320mm Alu</t>
  </si>
  <si>
    <t>Ext PixLine Mounting Profile 1270mm Alu</t>
  </si>
  <si>
    <t>Ext PixLine Mounting Profile 1280mm Alu</t>
  </si>
  <si>
    <t>Set of 10 Ext PixLine Mnt Prof Fixations</t>
  </si>
  <si>
    <t>Image Projection</t>
  </si>
  <si>
    <t>Exterior Projection 500, Narrow, EU, Aluminum</t>
  </si>
  <si>
    <t>EXT-PROJ</t>
  </si>
  <si>
    <t xml:space="preserve">EOL pre-notice - not recommend to specify for 2025 projects </t>
  </si>
  <si>
    <t>Exterior Projection 500, Medium, EU, Aluminum</t>
  </si>
  <si>
    <t>http://www.martin.com/en-us/product-details/exterior-projection-500-mg</t>
  </si>
  <si>
    <t>Exterior Projection 500, Wide, EU, Aluminum</t>
  </si>
  <si>
    <t>EXTERIOR PROJECTION 500 MG, Very Wide EU</t>
  </si>
  <si>
    <t>Exterior Projection 500, Narrow, EU, White</t>
  </si>
  <si>
    <t>Exterior Projection 500, Medium, EU, White</t>
  </si>
  <si>
    <t>Exterior Projection 500, Wide, EU, White</t>
  </si>
  <si>
    <t>Exterior Projection 500, Very Wide, EU, White</t>
  </si>
  <si>
    <t xml:space="preserve">EXTERIOR PROJECTION 500 MG, Narrow, US </t>
  </si>
  <si>
    <t xml:space="preserve">EXTERIOR PROJECTION 500 MG, Medium, US </t>
  </si>
  <si>
    <t xml:space="preserve">EXTERIOR PROJECTION 500 MG, Wide, US </t>
  </si>
  <si>
    <t xml:space="preserve">EXTERIOR PROJECTION 500 MG, Very Wide, U  </t>
  </si>
  <si>
    <t xml:space="preserve">EXTERIOR PROJECTION 500 GLARESHIELD </t>
  </si>
  <si>
    <t xml:space="preserve">LINE UP GOBO, EXTERIOR PROJECTION 500 </t>
  </si>
  <si>
    <t>Ring for gobo – OD 30 (set of 10)</t>
  </si>
  <si>
    <t>Exterior Projection 1000, std finish</t>
  </si>
  <si>
    <t>Exterior Projection 1000, US white finish</t>
  </si>
  <si>
    <t>https://www.martin.com/en/products/exterior-projection-1000</t>
  </si>
  <si>
    <t>Exterior Projection 1000, EU std finish</t>
  </si>
  <si>
    <t>Exterior Projection 1000 EU white finish</t>
  </si>
  <si>
    <t>GLARESHIELD, EP-1000, Alu</t>
  </si>
  <si>
    <t>Line Up Gobo Exterior Projection 1000</t>
  </si>
  <si>
    <t>Architainment</t>
  </si>
  <si>
    <t xml:space="preserve">EXTERIOR WASH 100,7deg,EU,ALU </t>
  </si>
  <si>
    <t>EXT-WASH</t>
  </si>
  <si>
    <t xml:space="preserve">EXTERIOR WASH 110,10deg,EU,ALU </t>
  </si>
  <si>
    <t xml:space="preserve">EXTERIOR WASH 110,10deg,US,ALU </t>
  </si>
  <si>
    <t>EXTERIOR WASH 110, 10deg, EU, WHITE</t>
  </si>
  <si>
    <t xml:space="preserve">EXTERIOR WASH 120,7deg,EU,ALU </t>
  </si>
  <si>
    <t xml:space="preserve">EW 100 NARROW DIF K/BEZEL </t>
  </si>
  <si>
    <t xml:space="preserve">EW 100 MEDIUM DIF KIT/BEZEL </t>
  </si>
  <si>
    <t xml:space="preserve">EW 100 WIDE DIF KIT/BEZEL </t>
  </si>
  <si>
    <t xml:space="preserve">EW 100 VERY WID DIF KIT/BEZEL </t>
  </si>
  <si>
    <t xml:space="preserve">EW 100 ASSYMETRICAL DIF KIT/BEZEL </t>
  </si>
  <si>
    <t>EXTERIOR WASH 100 BEZEL, WHITE</t>
  </si>
  <si>
    <t xml:space="preserve">EXTERIOR WASH 100 SNOOT </t>
  </si>
  <si>
    <t>EXTERIOR WASH 100 SNOOT, WHITE</t>
  </si>
  <si>
    <t>EXTERIOR WASH 110 HONEYCOMB LOUVRE</t>
  </si>
  <si>
    <t>EXTERIOR WASH 100 HONEYCOMB LOUVRE</t>
  </si>
  <si>
    <t xml:space="preserve">EXTERIOR WASH 200,7deg,EU,ALU </t>
  </si>
  <si>
    <t xml:space="preserve">EXTERIOR WASH 200, 7deg, US, ALU </t>
  </si>
  <si>
    <t xml:space="preserve">EXTERIOR WASH 210,10deg,EU,ALU </t>
  </si>
  <si>
    <t xml:space="preserve">EXTERIOR WASH 210, 10deg, US, ALU </t>
  </si>
  <si>
    <t>EXTERIOR WASH 210, 10deg, EU, WHITE</t>
  </si>
  <si>
    <t xml:space="preserve">EXTERIOR WASH 220,7deg,EU,ALU </t>
  </si>
  <si>
    <t xml:space="preserve">EXTERIOR WASH 220, 7deg,US,ALU </t>
  </si>
  <si>
    <t xml:space="preserve">EW 200 NARROW DIF KIT/BEZEL </t>
  </si>
  <si>
    <t xml:space="preserve">EW 200 MEDIUM DIF KIT/BEZEL </t>
  </si>
  <si>
    <t xml:space="preserve">EW 200 WIDE DIF KIT/BEZEL </t>
  </si>
  <si>
    <t xml:space="preserve">EW 200 VERY WIDE DIF KIT/BEZEL </t>
  </si>
  <si>
    <t xml:space="preserve">EW 200 ASSYMETRICAL DIF KIT/BEZEL </t>
  </si>
  <si>
    <t>EXTERIOR WASH 200 BEZEL, WHITE</t>
  </si>
  <si>
    <t xml:space="preserve">EXTERIOR WASH 200 SNOOT </t>
  </si>
  <si>
    <t>EXTERIOR WASH 200 SNOOT, WHITE</t>
  </si>
  <si>
    <t>EXTERIOR WASH 200 HONEYCOMB LOUVRE</t>
  </si>
  <si>
    <t>EXTERIOR WASH 210 HONEYCOMB LOUVRE</t>
  </si>
  <si>
    <t xml:space="preserve">EXTERIOR WASH 300,7deg,EU,ALU </t>
  </si>
  <si>
    <t xml:space="preserve">EXTERIOR WASH 300, 7deg, US, ALU </t>
  </si>
  <si>
    <t xml:space="preserve">EXTERIOR WASH 310,10deg,EU,ALU </t>
  </si>
  <si>
    <t xml:space="preserve">EXTERIOR WASH 310, 10deg, US, ALU </t>
  </si>
  <si>
    <t>EXTERIOR WASH 310, 10deg, EU, WHITE</t>
  </si>
  <si>
    <t xml:space="preserve">EXTERIOR WASH 320,7deg,EU,ALU </t>
  </si>
  <si>
    <t xml:space="preserve">EXTERIOR WASH 320, 7deg, US, ALU </t>
  </si>
  <si>
    <t xml:space="preserve">EW 300 NARROW DIF KIT/BEZEL </t>
  </si>
  <si>
    <t xml:space="preserve">EW 300 MEDIUM DIF KIT/BEZEL </t>
  </si>
  <si>
    <t xml:space="preserve">EW 300 WIDE DIF KIT/BEZEL </t>
  </si>
  <si>
    <t xml:space="preserve">EW 300 VERY WIDE DIF KIT/BEZEL </t>
  </si>
  <si>
    <t xml:space="preserve">EW 300 ASSYMETRIC DIF KIT/BENZEL </t>
  </si>
  <si>
    <t>EXTERIOR WASH 300 BEZEL, WHITE</t>
  </si>
  <si>
    <t xml:space="preserve">Exterior Wash 300 snoot </t>
  </si>
  <si>
    <t>EXTERIOR WASH 300 SNOOT, WHITE</t>
  </si>
  <si>
    <t>EXTERIOR WASH 300 HONEYCOMB LOUVRE</t>
  </si>
  <si>
    <t>EXTERIOR WASH 310 HONEYCOMB LOUVRE</t>
  </si>
  <si>
    <t>JEM ZR25 230V/50-60Hz, EU</t>
  </si>
  <si>
    <t>JEM ZR25 120V/50-60Hz, US</t>
  </si>
  <si>
    <t>http://www.martin.com/en-us/product-details/jem-zr25</t>
  </si>
  <si>
    <t xml:space="preserve">Ducting system, JEM ZR25 </t>
  </si>
  <si>
    <t>JEM ZR35 230V/50-60Hz, EU</t>
  </si>
  <si>
    <t>JEM ZR35 120V/50-60Hz, US</t>
  </si>
  <si>
    <t>http://www.martin.com/en-us/product-details/jem-zr35</t>
  </si>
  <si>
    <t xml:space="preserve">Ducting system, JEM ZR35 </t>
  </si>
  <si>
    <t>JEM ZR45 230V/50-60Hz, EU</t>
  </si>
  <si>
    <t>JEM ZR45 120V/50-60Hz, US</t>
  </si>
  <si>
    <t>http://www.martin.com/en-us/product-details/jem-zr45</t>
  </si>
  <si>
    <t>Ducting System, JEM ZR45</t>
  </si>
  <si>
    <t>JEM Compact Hazer, 230V,50/60Hz, EU</t>
  </si>
  <si>
    <t>JEM Compact Hazer, 120V,50/60Hz, US</t>
  </si>
  <si>
    <t>http://www.martin.com/en-us/product-details/jem-compact-hazer-pro</t>
  </si>
  <si>
    <t xml:space="preserve">Flying Kit, JEM Compact Hazer Pro </t>
  </si>
  <si>
    <t xml:space="preserve">Air Director, JEM Compact Hazer Pro </t>
  </si>
  <si>
    <t>JEM Hazer Pro, 230V, 50/60Hz, EU</t>
  </si>
  <si>
    <t>JEM Hazer Pro, 120V, 50/60Hz, US</t>
  </si>
  <si>
    <t>http://www.martin.com/en-us/product-details/jem-hazer-pro</t>
  </si>
  <si>
    <t xml:space="preserve">Flying kit, JEM K1/Hazer Pro </t>
  </si>
  <si>
    <t>JEM AF-1 MkII dmx fan; 230V 50/60Hz, EU</t>
  </si>
  <si>
    <t>JEM AF-1 MkII dmx fan; 115V 50/60Hz, US</t>
  </si>
  <si>
    <t>http://www.martin.com/en-us/product-details/jem-glaciator-dymic</t>
  </si>
  <si>
    <t>Remote Control, AF-1 MkII</t>
  </si>
  <si>
    <t>JEM AF-2 dmx fan; 230V 50/60Hz, EU</t>
  </si>
  <si>
    <t>JEM AF-2 dmx fan; 115V 50/60Hz, US</t>
  </si>
  <si>
    <t>http://www.martin.com/en-us/product-details/jem-af-2</t>
  </si>
  <si>
    <t xml:space="preserve">Touring Frame, AF-2 </t>
  </si>
  <si>
    <t>JEM External Fluid Reservoir Kit, 25 l</t>
  </si>
  <si>
    <t>JEM Glaciator Dynamic, Ducting Kit</t>
  </si>
  <si>
    <t xml:space="preserve">JEM Glaciator Dynamic, Fog Blade </t>
  </si>
  <si>
    <t xml:space="preserve">JEM Glaciator Dynamic, Softcover        </t>
  </si>
  <si>
    <t>LED</t>
  </si>
  <si>
    <t xml:space="preserve">MAC Aura XB in cardboard </t>
  </si>
  <si>
    <t>MSL-AURA</t>
  </si>
  <si>
    <t xml:space="preserve">MAC Aura XB White in cardboard </t>
  </si>
  <si>
    <t>http://www.martin.com/en-us/product-details/mac-aura-xb</t>
  </si>
  <si>
    <t xml:space="preserve">MAC Aura XB in 6-unit flightcase </t>
  </si>
  <si>
    <t>MAC Aura/XB Softlens</t>
  </si>
  <si>
    <t xml:space="preserve">MAC Aura XB Installation bracket (5 pcs) </t>
  </si>
  <si>
    <t>Flightcase for 6 x MAC Aura / MAC Aura XB</t>
  </si>
  <si>
    <t>MAR-MAC</t>
  </si>
  <si>
    <t>https://www.martin.com/products/mac-aura-xip</t>
  </si>
  <si>
    <t>Flightcase for 6 x MAC Aura XIP</t>
  </si>
  <si>
    <t>Additional dual SiP Foam Flightcase Insert for MAC Aura XIP</t>
  </si>
  <si>
    <t>MAC Aura PXL EPS</t>
  </si>
  <si>
    <t>MAC Aura PXL SIP</t>
  </si>
  <si>
    <t>MAC Aura PXL, white finish, EPS</t>
  </si>
  <si>
    <t>Three-unit flight case for MAC Allure/MAC Aura PXL</t>
  </si>
  <si>
    <t>Automated Lights</t>
  </si>
  <si>
    <t>MAC AXIOM HYBRID SIP</t>
  </si>
  <si>
    <t>MSL-AXIOM</t>
  </si>
  <si>
    <t xml:space="preserve">AIR FLIGHTCASE FOR 2X MAC AXIOM HYBRID </t>
  </si>
  <si>
    <t>http://www.martin.com/en-us/product-details/mac-axiom-hybrid</t>
  </si>
  <si>
    <t>MAC ENCORE PERFORMANCE,WRM,EPS</t>
  </si>
  <si>
    <t>MSL-ENCORE</t>
  </si>
  <si>
    <t>https://www.martin.com/en-US/products/mac-encore-performance-cld</t>
  </si>
  <si>
    <t>MAC ENCORE PERFORMANCE,WRM,SIP</t>
  </si>
  <si>
    <t>MAC ENCORE PERFORMANCE,WRM,EPS,WHITE</t>
  </si>
  <si>
    <t>https://www.martin.com/en-US/products/mac-encore-performance-wrm</t>
  </si>
  <si>
    <t>MAC ENCORE PERFORMANCE,CLD,EPS</t>
  </si>
  <si>
    <t>MAC ENCORE PERFORMANCE,CLD,SIP</t>
  </si>
  <si>
    <t>MAC ENCORE PERFORMANCE,CLD,EPS,WHITE</t>
  </si>
  <si>
    <t>MAC ENCORE WASH,WRM,EPS</t>
  </si>
  <si>
    <t>https://www.martin.com/en-US/products/mac-encore-wash-wrm</t>
  </si>
  <si>
    <t>MAC ENCORE WASH,WRM,SiP</t>
  </si>
  <si>
    <t>https://www.martin.com/en-US/products/mac-encore-wash-cld</t>
  </si>
  <si>
    <t>MAC ENCORE WASH,WRM,EPS,WHITE</t>
  </si>
  <si>
    <t>MAC ENCORE WASH,CLD,EPS</t>
  </si>
  <si>
    <t>MAC ENCORE WASH,CLD,SiP</t>
  </si>
  <si>
    <t>MAC ENCORE WASH,CLD,EPS,WHITE</t>
  </si>
  <si>
    <t>FLIGHTCASE 2X MAC ENCORE</t>
  </si>
  <si>
    <t>HEAVY FROST ASSY MAC ENCORE PERFORMANCE</t>
  </si>
  <si>
    <t>Set of Followspot Handles MAC Encore</t>
  </si>
  <si>
    <t>https://www.martin.com/en/product_families/mac-encore</t>
  </si>
  <si>
    <t>SIP Packaging MAC Encore Family</t>
  </si>
  <si>
    <t>Static Gobo Wheel MAC Encore Performance</t>
  </si>
  <si>
    <t>Top Hat MAC Encore Performance</t>
  </si>
  <si>
    <t>PC Lens Assy MAC Encore Wash</t>
  </si>
  <si>
    <t xml:space="preserve">MAC Quantum Profile in cardboard </t>
  </si>
  <si>
    <t>MSL-QUANT</t>
  </si>
  <si>
    <t>Final batch being manufactured - Check for availability</t>
  </si>
  <si>
    <t xml:space="preserve">MAC Quantum Profile in 2-unit flightcase </t>
  </si>
  <si>
    <t>http://www.martin.com/en-us/product-details/mac-quantum-profile</t>
  </si>
  <si>
    <t xml:space="preserve">Soft lens for MAC Quantum Wash </t>
  </si>
  <si>
    <t>http://www.martin.com/en-us/product-details/mac-quantum-wash</t>
  </si>
  <si>
    <t xml:space="preserve">Flightcase for 2 x MAC Quantum </t>
  </si>
  <si>
    <t>EOL pre-notice - Will be submitted for EOL soon</t>
  </si>
  <si>
    <t>MAC</t>
  </si>
  <si>
    <t>MAC Ultra Performance, SIP</t>
  </si>
  <si>
    <t>https://www.martin.com/en-US/products/mac-ultra-performance</t>
  </si>
  <si>
    <t>MAC Ultra Performance, white finish, SIP</t>
  </si>
  <si>
    <t>MAC Ultra Wash, SIP</t>
  </si>
  <si>
    <t>https://www.martin.com/en-US/products/mac-ultra-wash</t>
  </si>
  <si>
    <t>MAC Ultra Wash, white finish, SIP</t>
  </si>
  <si>
    <t>Flightcase for 2 x MAC Ultra Performance/Wash without SIP inserts</t>
  </si>
  <si>
    <t>https://www.martin.com/en-US/site_elements/mac-ultra-family-flightcase-spec-sheet</t>
  </si>
  <si>
    <t>Heavy-frost/wash filter (prism replacement)</t>
  </si>
  <si>
    <t>Heavy-frost/wash filter (frost replacement)</t>
  </si>
  <si>
    <t>Mac Viper Profile</t>
  </si>
  <si>
    <t>MSL-VIPER</t>
  </si>
  <si>
    <t xml:space="preserve">MAC Viper Profile in 2-unit flightcase </t>
  </si>
  <si>
    <t>http://www.martin.com/en-us/product-details/mac-viper-profile</t>
  </si>
  <si>
    <t>Mac Viper Performance</t>
  </si>
  <si>
    <t xml:space="preserve">MAC Viper Performance in cardboard </t>
  </si>
  <si>
    <t xml:space="preserve">MAC Viper Performance in 2-unit flightcase </t>
  </si>
  <si>
    <t>http://www.martin.com/en-us/product-details/mac-viper-performance</t>
  </si>
  <si>
    <t>Mac Viper Wash</t>
  </si>
  <si>
    <t xml:space="preserve">MAC Viper Wash in cardboard </t>
  </si>
  <si>
    <t xml:space="preserve">MAC Viper Wash DX in cardboard </t>
  </si>
  <si>
    <t>MAC Viper Wash DX in 2-unit flightcase</t>
  </si>
  <si>
    <t>http://www.martin.com/en-us/product-details/mac-viper-wash-dx</t>
  </si>
  <si>
    <t>Mac Viper Airfx</t>
  </si>
  <si>
    <t xml:space="preserve">MAC Viper AirFX in 2-unit flightcase </t>
  </si>
  <si>
    <t>http://www.martin.com/en-us/product-details/mac-viper-airfx</t>
  </si>
  <si>
    <t>Mac Viper Accessory</t>
  </si>
  <si>
    <t>MARTIN--MAC</t>
  </si>
  <si>
    <t>Power &amp; Processing</t>
  </si>
  <si>
    <t xml:space="preserve">P3-050 System Controller </t>
  </si>
  <si>
    <t>MAR-P3</t>
  </si>
  <si>
    <t>Limited availability - P3-150 now available for same price on E&amp;O</t>
  </si>
  <si>
    <t xml:space="preserve">P3-150 System Controller </t>
  </si>
  <si>
    <t>TH</t>
  </si>
  <si>
    <t>http://www.martin.com/en-us/product-details/p3-powerport-1500</t>
  </si>
  <si>
    <t>https://www.martin.com/en/product_families/p3</t>
  </si>
  <si>
    <t xml:space="preserve">Martin IP66 PSU, 48VDC, 240W,100-240VAC </t>
  </si>
  <si>
    <t>MRU-MH</t>
  </si>
  <si>
    <t>Flightcase for 2 x RUSH MH 7 Hybrid</t>
  </si>
  <si>
    <t>http://www.martin.com/en-us/product-details/rush-mh-7-hybrid</t>
  </si>
  <si>
    <t>RUSH MH 10 Beam FX in cardboard box</t>
  </si>
  <si>
    <t>MRU-SL</t>
  </si>
  <si>
    <t>Power + Data Extension Cable with 6-pin custom connectors, 1 m (3.3 ft.)</t>
  </si>
  <si>
    <t>Power + Data Extension Cable with 6-pin custom connectors, 5 m (16.4 ft.)</t>
  </si>
  <si>
    <t>Power + Data Extension Cable with 6-pin custom connectors, 10 m (32.8 ft.)</t>
  </si>
  <si>
    <t>MAR-THRIL</t>
  </si>
  <si>
    <t>Creative Pixels</t>
  </si>
  <si>
    <t>VC-Grid 8x8 60 RGB</t>
  </si>
  <si>
    <t>MAR-VC</t>
  </si>
  <si>
    <t>EOL stage - Significant quantity on stock to sell</t>
  </si>
  <si>
    <t>VC-Grid 4x4 60 RGB</t>
  </si>
  <si>
    <t>http://www.martin.com/en-us/product-details/vc-grid-60</t>
  </si>
  <si>
    <t>VC-Grid 8x8 30 RGB</t>
  </si>
  <si>
    <t>VC-Grid 8x8 25 RGB</t>
  </si>
  <si>
    <t>EOL stage - Limited availability may apply</t>
  </si>
  <si>
    <t>VC-Grid 16x16 15 RGB</t>
  </si>
  <si>
    <t>Set of 10 VC-Grid 15/30/60 Mounting Frames</t>
  </si>
  <si>
    <t>Set of 10 VC-Grid/Strip 25 Mounting Frames</t>
  </si>
  <si>
    <t>http://www.martin.com/en-us/product-details/vc-grid</t>
  </si>
  <si>
    <t>Set of 8 VC-Grid/Strip 25 Lens Arrays Narrow</t>
  </si>
  <si>
    <t>VC-Strip 8x1 60 RGB</t>
  </si>
  <si>
    <t>VC-Strip 4x1 60 RGB</t>
  </si>
  <si>
    <t>http://www.martin.com/en-us/product-details/vc-strip-60</t>
  </si>
  <si>
    <t>VC-Strip 16x1 30 RGB</t>
  </si>
  <si>
    <t>VC-Strip 8x1 30 RGB</t>
  </si>
  <si>
    <t>http://www.martin.com/en-us/product-details/vc-strip-30</t>
  </si>
  <si>
    <t>VC-Strip 16x1 25 RGB</t>
  </si>
  <si>
    <t>VC-Strip 8x1 25 RGB</t>
  </si>
  <si>
    <t>http://www.martin.com/en-us/product-details/vc-strip</t>
  </si>
  <si>
    <t>VC-Strip 32x1 15 RGB</t>
  </si>
  <si>
    <t xml:space="preserve">VC-Strip 16x1 15 RGB </t>
  </si>
  <si>
    <t>http://www.martin.com/en-us/product-details/vc-strip-15</t>
  </si>
  <si>
    <t>VC-Dot 1 RGB 100mm pitch 100pcs 2m lead-in</t>
  </si>
  <si>
    <t>VC-Dot 4 RGB 200mm pitch 64pcs 2m lead-in </t>
  </si>
  <si>
    <t>http://www.martin.com/en-us/product-details/vc-dot-1</t>
  </si>
  <si>
    <t>VC-Dot 9 RGB 400mm pitch 36pcs 2m lead-in</t>
  </si>
  <si>
    <t>VC-Feeder with M16 Connector</t>
  </si>
  <si>
    <t>Not for new designs - Use 90357041 instead</t>
  </si>
  <si>
    <t>VC-Feeder with BBD Connector</t>
  </si>
  <si>
    <t>Set of 10 VC-Dot 1 Diffuser Domes</t>
  </si>
  <si>
    <t>Set of 10 VC-Dot 1 Mounting Clips</t>
  </si>
  <si>
    <t>Set of 10 VC-Dot 1 TrussClips</t>
  </si>
  <si>
    <t>VC-Dot 1 Aluminium Mounting Profile Black 2m</t>
  </si>
  <si>
    <t>VC-Dot 1 Aluminium Profile Cover Black 2m</t>
  </si>
  <si>
    <t>Set of 10 VC-Dot 1 Alu Profile Endcaps Black</t>
  </si>
  <si>
    <t>Set of 10 VC-Dot 1 Alu Profile CableEntry Endcaps Black</t>
  </si>
  <si>
    <t>VC-Dot 1 Aluminium Mounting Profile Grey 2m</t>
  </si>
  <si>
    <t>VC-Dot 1 Aluminium Profile Cover Grey 2m</t>
  </si>
  <si>
    <t>Set of 10 VC-Dot 1 Alu Profile Endcaps Grey</t>
  </si>
  <si>
    <t>Set of 10 VC-Dot 1 Alu Profile CableEntry Endcaps Grey</t>
  </si>
  <si>
    <t>VC-Dot 1 Plastic Mounting Profile Black 1.2m</t>
  </si>
  <si>
    <t>VC-Dot 1 Plastic Profile Cover Black 1.2m</t>
  </si>
  <si>
    <t>Set of 10 VC-Dot 4 Diffuser Domes</t>
  </si>
  <si>
    <t>http://www.martin.com/en-us/product-details/vc-dot-4</t>
  </si>
  <si>
    <t>Set of 10 VC-Dot 4 Smoked Diffuser Domes</t>
  </si>
  <si>
    <t>Set of 10 VC-Dot 4 Mounting Clips</t>
  </si>
  <si>
    <t>Set of 10 VC-Dot 4 TrussClips</t>
  </si>
  <si>
    <t>Set of 10 VC-Dot 4 Alu Profile Endcaps Black</t>
  </si>
  <si>
    <t>Set of 10 VC-Dot 4 Alu Profile CableEntry Endcaps Black</t>
  </si>
  <si>
    <t>VC-Dot 4 Aluminium Mounting Profile Grey 2m</t>
  </si>
  <si>
    <t>VC-Dot 4 Aluminium Profile Cover Grey 2m</t>
  </si>
  <si>
    <t>Set of 10 VC-Dot 4 Alu Profile Endcaps Grey</t>
  </si>
  <si>
    <t>Set of 10 VC-Dot 4 Alu Profile CableEntry Endcaps Grey</t>
  </si>
  <si>
    <t>VC-Dot 4 Plastic Mounting Profile Black 1.2m</t>
  </si>
  <si>
    <t>VC-Dot 4 Plastic Profile Cover Black 1.2m</t>
  </si>
  <si>
    <t>Set of 10 VC-Dot 9 Diffuser Domes</t>
  </si>
  <si>
    <t>http://www.martin.com/en-us/product-details/vc-dot-9</t>
  </si>
  <si>
    <t>Set of 10 VC-Dot 9 Mounting Clips</t>
  </si>
  <si>
    <t>Set of 10 VC-Dot 9 TrussClips</t>
  </si>
  <si>
    <t>VC-Dot 9 Aluminium Mounting Profile Black 2m</t>
  </si>
  <si>
    <t>VC-Dot 9 Aluminium Profile Cover Black 2m</t>
  </si>
  <si>
    <t>Set of 10 VC-Dot 9 Alu Profile Endcaps Black</t>
  </si>
  <si>
    <t>Set of 10 VC-Dot 9 Alu Profile CableEntry Endcaps Black</t>
  </si>
  <si>
    <t>VC-Dot 9 Aluminium Mounting Profile Grey 2m</t>
  </si>
  <si>
    <t>VC-Dot 9 Aluminium Profile Cover Grey 2m</t>
  </si>
  <si>
    <t>Set of 10 VC-Dot 9 Alu Profile Endcaps Grey</t>
  </si>
  <si>
    <t>Set of 10 VC-Dot 9 Alu Profile CableEntry Endcaps Grey</t>
  </si>
  <si>
    <t>VC-Dot 9 Plastic Mounting Profile Black 1.2m</t>
  </si>
  <si>
    <t>VC-Dot 9 Plastic Profile Cover Black 1.2m</t>
  </si>
  <si>
    <t>Set of 10 VC-Dot String Termination Caps</t>
  </si>
  <si>
    <t>10m of VC-Dot Ribbon Cable</t>
  </si>
  <si>
    <t>Set of 15 VC-Dot Splice Connectors</t>
  </si>
  <si>
    <t>VDO Atomic Bold in cardboard</t>
  </si>
  <si>
    <t>MAR-VDO</t>
  </si>
  <si>
    <t>VDO Atomic Dot CLD in cardboard</t>
  </si>
  <si>
    <t>VDO Atomic Dot WRM in cardboard</t>
  </si>
  <si>
    <t>VDO Atomic Bold Diffuser 60 Degrees</t>
  </si>
  <si>
    <t>VDO Atomic Bold Diffuser 30 Degrees</t>
  </si>
  <si>
    <t>VDO Atomic Dot Diffuser 60 Degrees</t>
  </si>
  <si>
    <t>VDO Atomic Dot Diffuser 30 Degrees</t>
  </si>
  <si>
    <t>Set of 10 VDO Atomic Couplers</t>
  </si>
  <si>
    <t>VDO Atomic Half Coupler</t>
  </si>
  <si>
    <t>VDO Atomic Interlock Adapter</t>
  </si>
  <si>
    <t>VDO Atomic Pivot Coupler</t>
  </si>
  <si>
    <t>VDO Atomic Spigot Adapter 28mm</t>
  </si>
  <si>
    <t>NE</t>
  </si>
  <si>
    <t>VDO Atomic Bold Interlock Doubler</t>
  </si>
  <si>
    <t>VDO Atomic Bold Double Width Bracket</t>
  </si>
  <si>
    <t>VDO Atomic Dot Double Width Bracket</t>
  </si>
  <si>
    <t>Flightcase for 6 x VDO Atomic Bold</t>
  </si>
  <si>
    <t>Flightcase for 15 x VDO Atomic Dot</t>
  </si>
  <si>
    <t>Flightcase Extender for 15 x VDO Atomic Dot</t>
  </si>
  <si>
    <t>VDO Sceptron 10 320mm in cardboard</t>
  </si>
  <si>
    <t>VDO Sceptron 10 1000mm in cardboard</t>
  </si>
  <si>
    <t>VDO Sceptron 20 320mm in cardboard</t>
  </si>
  <si>
    <t>VDO Sceptron 20 1000mm in cardboard</t>
  </si>
  <si>
    <t>http://www.martin.com/en-us/product-details/vdo-sceptron-20</t>
  </si>
  <si>
    <t>VDO Sceptron 40 320mm in cardboard</t>
  </si>
  <si>
    <t>VDO Sceptron 40 1000mm in cardboard</t>
  </si>
  <si>
    <t>http://www.martin.com/en-us/product-details/vdo-sceptron-40</t>
  </si>
  <si>
    <t>VDO Sceptron Flat Diffuser 320mm</t>
  </si>
  <si>
    <t>VDO Sceptron Flat Diffuser 1000mm</t>
  </si>
  <si>
    <t>VDO Sceptron Flat Smoked Diffuser 320mm</t>
  </si>
  <si>
    <t>VDO Sceptron Flat Smoked Diffuser 1000mm</t>
  </si>
  <si>
    <t>VDO Sceptron Rnd Diffuser 320mm</t>
  </si>
  <si>
    <t>VDO Sceptron Rnd Diffuser 1000mm</t>
  </si>
  <si>
    <t>VDO Sceptron Rnd Smoked Diffuser 320mm</t>
  </si>
  <si>
    <t>VDO Sceptron Rnd Smoked Diffuser 1000mm</t>
  </si>
  <si>
    <t>VDO Sceptron Squa Diffuser 320mm</t>
  </si>
  <si>
    <t>VDO Sceptron Squa Diffuser 1000mm</t>
  </si>
  <si>
    <t>VDO Sceptron Squa Smoked Diffuser 320mm</t>
  </si>
  <si>
    <t>VDO Sceptron Squa Smoked Diffuser 1000mm</t>
  </si>
  <si>
    <t>VDO Sceptron Tube Diffuser 320mm</t>
  </si>
  <si>
    <t>VDO Sceptron Tube Diffuser 1000mm</t>
  </si>
  <si>
    <t>VDO Sceptron Tube Smoked Diffuser 320mm</t>
  </si>
  <si>
    <t>VDO Sceptron Tube Smoked Diffuser 1000mm</t>
  </si>
  <si>
    <t>VDO Sceptron 10 NoBlend Diffuser 320mm</t>
  </si>
  <si>
    <t>VDO Sceptron 10 NoBlend Diffuser 1000mm</t>
  </si>
  <si>
    <t>VDO Sceptron 10 NoBlend Smok Dif. 320mm</t>
  </si>
  <si>
    <t>VDO Sceptron 10 NoBlend Smok Dif. 1000mm</t>
  </si>
  <si>
    <t>VDO Sceptron 20 NoBlend Diffuser 320mm</t>
  </si>
  <si>
    <t>VDO Sceptron 20 NoBlend Diffuser 1000mm</t>
  </si>
  <si>
    <t>VDO Sceptron 20 NoBlend Smok Dif. 320mm</t>
  </si>
  <si>
    <t>VDO Sceptron 20 NoBlend Smok Dif. 1000mm</t>
  </si>
  <si>
    <t>VDO Sceptron 40 NoBlend Diffuser 320mm</t>
  </si>
  <si>
    <t>VDO Sceptron 40 NoBlend Diffuser 1000mm</t>
  </si>
  <si>
    <t>VDO Sceptron 40 NoBlend Smok Dif. 320mm</t>
  </si>
  <si>
    <t>VDO Sceptron 40 NoBlend Smok Dif. 1000mm</t>
  </si>
  <si>
    <t>VDO Sceptron Asymmetric Lens 320mm</t>
  </si>
  <si>
    <t>VDO Sceptron Asymmetric Lens 1000mm</t>
  </si>
  <si>
    <t>VDO Sceptron 20 Lens Array Narrow 320mm</t>
  </si>
  <si>
    <t>VDO Sceptron 20 Lens Array Narrow 1000mm</t>
  </si>
  <si>
    <t>VDO Sceptron 40 Lens Array Narrow 320mm</t>
  </si>
  <si>
    <t>VDO Sceptron 40 Lens Array Narrow 1000mm</t>
  </si>
  <si>
    <t>Flightcase for 10 x VDO Sceptron 1000mm</t>
  </si>
  <si>
    <t>Flightcase Extender for 10 x VDO Sceptron 1000mm</t>
  </si>
  <si>
    <t>VDO Fatron 20 1000mm in cardboard</t>
  </si>
  <si>
    <t>VDO Fatron 20 320mm in cardboard</t>
  </si>
  <si>
    <t>VDO Fatron Flat Diffuser 320mm</t>
  </si>
  <si>
    <t>VDO Fatron Flat Diffuser 1000mm</t>
  </si>
  <si>
    <t>VDO Fatron Flat Smoked Diffuser 320mm</t>
  </si>
  <si>
    <t>VDO Fatron Flat Smoked Diffuser 1000mm</t>
  </si>
  <si>
    <t>VDO Fatron Squa Smoked Diffuser 1000mm</t>
  </si>
  <si>
    <t>VDO Fatron Squa Smoked Diffuser 320mm</t>
  </si>
  <si>
    <t>VDO Fatron Squa Diffuser 1000mm</t>
  </si>
  <si>
    <t>VDO Fatron Squa Diffuser 320mm</t>
  </si>
  <si>
    <t>VDO Fatron Rnd Smoked Diffuser 1000mm</t>
  </si>
  <si>
    <t>VDO Fatron Rnd Smoked Diffuser 320mm</t>
  </si>
  <si>
    <t>VDO Fatron Rnd Diffuser 1000mm</t>
  </si>
  <si>
    <t>VDO Fatron Rnd Diffuser 320mm</t>
  </si>
  <si>
    <t>VDO Fatron 20 NoBlend Diffuser 320mm</t>
  </si>
  <si>
    <t>VDO Fatron 20 NoBlend Diffuser 1000mm</t>
  </si>
  <si>
    <t>VDO Fatron 20 NoBlend Smok Dif. 320mm</t>
  </si>
  <si>
    <t>VDO Fatron 20 NoBlend Smok Dif. 1000mm</t>
  </si>
  <si>
    <t>VDO Fatron 20 Lens Array Narrow 320mm</t>
  </si>
  <si>
    <t>VDO Fatron 20 Lens Array Narrow 1000mm</t>
  </si>
  <si>
    <t>Flightcase for 5 x VDO Fatron 1000mm</t>
  </si>
  <si>
    <t>Flightcase Extender for 5 x VDO Fatron 1000mm</t>
  </si>
  <si>
    <t>VDO Dotron in cardboard</t>
  </si>
  <si>
    <t>VDO Dotron Lens Array Narrow</t>
  </si>
  <si>
    <t>VDO Dotron Dome Smoked Diffuser</t>
  </si>
  <si>
    <t>VDO Dotron Dome Diffuser</t>
  </si>
  <si>
    <t>VDO Dotron Flat Smoked Diffuser</t>
  </si>
  <si>
    <t>VDO Dotron Flat Diffuser</t>
  </si>
  <si>
    <t>Flightcase for 24x VDO Dotron</t>
  </si>
  <si>
    <t>Flightcase Extender for 24x Dotron</t>
  </si>
  <si>
    <t>Set of 10 VDO Sceptron/Fatron Sliding Brackets</t>
  </si>
  <si>
    <t>Low Profile VDO Sceptron/Fatron Half Coupler</t>
  </si>
  <si>
    <t>VDO Sceptron/Fatron Spigot Adapter 28mm</t>
  </si>
  <si>
    <t>Set of 2 VDO Sceptron/Fatron Floorstands</t>
  </si>
  <si>
    <t>VDO Sceptron Pivot Coupler</t>
  </si>
  <si>
    <t>Set of 10 VDO Sceptron Linear Aligners</t>
  </si>
  <si>
    <t>Set of 10 VDO Sceptron Spacers 30/40/50mm</t>
  </si>
  <si>
    <t>Set of 10 VDO Sceptron Spacers 60/70/80mm</t>
  </si>
  <si>
    <t>VDO Sceptron DiffuserLens Removal Insert</t>
  </si>
  <si>
    <t>VDO Sceptron/Fatron Linear Coupler</t>
  </si>
  <si>
    <t>VDO Fatron Curving Coupler</t>
  </si>
  <si>
    <t>VDO Dotron Flange Bracket</t>
  </si>
  <si>
    <t>VDO Dotron Half Coupler</t>
  </si>
  <si>
    <t>VDO Dotron to VDO Sceptron/Fatron Coupler</t>
  </si>
  <si>
    <t>VDO Dotron to VDO Sceptron/Fatron Pivot Coupler</t>
  </si>
  <si>
    <t>VDO Dotron MultiRig Bar 1000mm</t>
  </si>
  <si>
    <t>VDO Atomic Dot Family Demo Suitcase</t>
  </si>
  <si>
    <t>VDO Fatron Family Demo Suitcase</t>
  </si>
  <si>
    <t>VDO Dotron Family Demo Suitcase</t>
  </si>
  <si>
    <t>VC-Grid/Strip Family Demo Suitcase</t>
  </si>
  <si>
    <t>VC-Dot Family Demo Suitcase</t>
  </si>
  <si>
    <t>Exterior PixLine Family Demo Suitcase</t>
  </si>
  <si>
    <t>Exterior Dot-HP Family Demo Suitcase</t>
  </si>
  <si>
    <t>EXTERIOR LINEAR DEMO CASE, EU</t>
  </si>
  <si>
    <t>EXTERIOR LINEAR DEMO CASE, US</t>
  </si>
  <si>
    <t>EXTERIOR LINEAR QUAD DEMO, EU</t>
  </si>
  <si>
    <t>EXTERIOR LINEAR QUAD DEMO, US</t>
  </si>
  <si>
    <t>EXTERIOR WASH 100/200 DEMO CASE, EU vers</t>
  </si>
  <si>
    <t>EXTERIOR WASH 100/200 DEMO CASE, US vers</t>
  </si>
  <si>
    <t>EXTERIOR WASH 300 DEMO CASE, EU version</t>
  </si>
  <si>
    <t>EXTERIOR WASH 300 DEMO CASE, US version</t>
  </si>
  <si>
    <t>EXTERIOR WASH 110/210 DEMO CASE, EU vers</t>
  </si>
  <si>
    <t>EXTERIOR WASH 110/210 DEMO CASE, US vers</t>
  </si>
  <si>
    <t>EXTERIOR WASH 310 DEMO CASE, EU version</t>
  </si>
  <si>
    <t>EXTERIOR WASH 310 DEMO CASE, US version</t>
  </si>
  <si>
    <t>EXTERIOR WASH 120/220 DEMO CASE, EU vers</t>
  </si>
  <si>
    <t>EXTERIOR WASH 120/220 DEMO CASE, US vers</t>
  </si>
  <si>
    <t>EXTERIOR WASH 320 DEMO CASE, EU version</t>
  </si>
  <si>
    <t>EXTERIOR WASH 320 DEMO CASE, US version</t>
  </si>
  <si>
    <t>EXTERIOR PROJECTION 500 DEMO KIT, EU</t>
  </si>
  <si>
    <t>EXTERIOR PROJECTION 500 DEMO KIT, US</t>
  </si>
  <si>
    <t>EXTERIOR PROJECTION 1000 DEMO KIT, EU</t>
  </si>
  <si>
    <t>Exterior Linear Pro Demokit</t>
  </si>
  <si>
    <t>Notepad Series</t>
  </si>
  <si>
    <t>5085980US</t>
  </si>
  <si>
    <t>SC-SML CO</t>
  </si>
  <si>
    <t>Notepad-5</t>
  </si>
  <si>
    <t>5085984US</t>
  </si>
  <si>
    <t>Notepad-8FX</t>
  </si>
  <si>
    <t>5085985US</t>
  </si>
  <si>
    <t>Notepad-12FX</t>
  </si>
  <si>
    <t>EPM6CH CONSOLE US (363569-001)</t>
  </si>
  <si>
    <t xml:space="preserve">EPM6                  </t>
  </si>
  <si>
    <t>http://www.soundcraft.com/products/epm</t>
  </si>
  <si>
    <t xml:space="preserve">EPM8                 </t>
  </si>
  <si>
    <t xml:space="preserve">EPM12              </t>
  </si>
  <si>
    <t>EPM Series Accessories</t>
  </si>
  <si>
    <t>SC-OTHER</t>
  </si>
  <si>
    <t>EPM</t>
  </si>
  <si>
    <t>Rackmount Kit E 6</t>
  </si>
  <si>
    <t>for EPM6</t>
  </si>
  <si>
    <t>Rackmount Kit E 8</t>
  </si>
  <si>
    <t>for EPM/EFX8</t>
  </si>
  <si>
    <t>Rackmount Kit E 12</t>
  </si>
  <si>
    <t>for EPM/EFX12</t>
  </si>
  <si>
    <t>http://www.soundcraft.com/products/efx</t>
  </si>
  <si>
    <t>EFX12</t>
  </si>
  <si>
    <t>SCR-E535100000US</t>
  </si>
  <si>
    <t>FX16ii Console</t>
  </si>
  <si>
    <t>FX16ii</t>
  </si>
  <si>
    <t>http://www.soundcraft.com/products/FX16ii?locale=en</t>
  </si>
  <si>
    <t>Signature 10 US Mixing System</t>
  </si>
  <si>
    <t>Signature 10 (US)</t>
  </si>
  <si>
    <t>http://www.soundcraft.com/products/signature-10</t>
  </si>
  <si>
    <t>Signature Series Accessories</t>
  </si>
  <si>
    <t>Signature 10 Rackmount Kit</t>
  </si>
  <si>
    <t>Signature 12 US Mixing System</t>
  </si>
  <si>
    <t>Signature 12 (US)</t>
  </si>
  <si>
    <t>http://www.soundcraft.com/products/signature-12</t>
  </si>
  <si>
    <t>Signature 12 Rackmount Kit</t>
  </si>
  <si>
    <t>Signature MTK Series Accessories</t>
  </si>
  <si>
    <t>Signature 12 MTK Rackmount Kit</t>
  </si>
  <si>
    <t>Signature 16 US Mixing System</t>
  </si>
  <si>
    <t>Signature 16 (US)</t>
  </si>
  <si>
    <t>http://www.soundcraft.com/products/signature-16</t>
  </si>
  <si>
    <t>Signature 22 (US)</t>
  </si>
  <si>
    <t>http://www.soundcraft.com/products/signature-22</t>
  </si>
  <si>
    <t>Signature 12MTK (US)</t>
  </si>
  <si>
    <t>http://www.soundcraft.com/products/signature-12-mtk</t>
  </si>
  <si>
    <t>Signature 22MTK (US)</t>
  </si>
  <si>
    <t>http://www.soundcraft.com/products/signature-22-mtk</t>
  </si>
  <si>
    <t>Si Series Stageboxes</t>
  </si>
  <si>
    <t>LX7ii Consoles</t>
  </si>
  <si>
    <t>SC-MED CO</t>
  </si>
  <si>
    <t>LX7ii 16ch  16+4/4/3</t>
  </si>
  <si>
    <t>http://www.soundcraft.com/products/lx7ii</t>
  </si>
  <si>
    <t>LX7ii 24ch  24+4/4/3</t>
  </si>
  <si>
    <t>LX7ii 32ch  32+4/4/3</t>
  </si>
  <si>
    <t>LX7ii Console Accessories</t>
  </si>
  <si>
    <t>Dust Cover LX7ii 16</t>
  </si>
  <si>
    <t>Dust Cover LX7ii 24</t>
  </si>
  <si>
    <t>Dust Cover LX7ii 32</t>
  </si>
  <si>
    <t>GB2R 12ch 12+2/2/2</t>
  </si>
  <si>
    <t>http://www.soundcraft.com/products/gb2r</t>
  </si>
  <si>
    <t>GB2R 16ch 16/2</t>
  </si>
  <si>
    <t>GB2 16ch  16+2/4/2</t>
  </si>
  <si>
    <t>http://www.soundcraft.com/products/gb2</t>
  </si>
  <si>
    <t>GB2 24ch  24+2/4/2</t>
  </si>
  <si>
    <t>GB2 32ch  32+2/4/2</t>
  </si>
  <si>
    <t>GB4 16ch  16+4/4/2</t>
  </si>
  <si>
    <t>http://www.soundcraft.com/products/gb4</t>
  </si>
  <si>
    <t>GB4 24ch  24+4/4/2</t>
  </si>
  <si>
    <t>GB4 32ch  32+4/4/2</t>
  </si>
  <si>
    <t>GB4 40ch  40+4/4/2</t>
  </si>
  <si>
    <t>GB8 24ch  24+4/8/2</t>
  </si>
  <si>
    <t>http://www.soundcraft.com/products/gb8</t>
  </si>
  <si>
    <t>GB8 32ch  32+4/8/2</t>
  </si>
  <si>
    <t>GB8 40ch  40+4/8/2</t>
  </si>
  <si>
    <t>GB8 48ch  48+4/8/2</t>
  </si>
  <si>
    <t>Dust Covers GB216</t>
  </si>
  <si>
    <t>Dust Covers GB224</t>
  </si>
  <si>
    <t>Dust Covers GB232</t>
  </si>
  <si>
    <t>Dust Covers GB416</t>
  </si>
  <si>
    <t>Dust Covers GB424</t>
  </si>
  <si>
    <t>Dust Covers GB432</t>
  </si>
  <si>
    <t>Dust Covers GB440</t>
  </si>
  <si>
    <t>Dust Covers GB824</t>
  </si>
  <si>
    <t>Dust Covers GB840</t>
  </si>
  <si>
    <t>Dust Covers GB848</t>
  </si>
  <si>
    <t>Power Supplies</t>
  </si>
  <si>
    <t>CPS150 POWER SUPPLY /!\</t>
  </si>
  <si>
    <t>CPS150 POWER SUPPLY</t>
  </si>
  <si>
    <t>http://soundcraft.com.s3.amazonaws.com/downloads/user-guides/cps150-user-guide.pdf</t>
  </si>
  <si>
    <t>CPS2000 link option</t>
  </si>
  <si>
    <t>DPS3 POWER SUPPLY  /!\</t>
  </si>
  <si>
    <t>DPS3 POWER SUPPLY</t>
  </si>
  <si>
    <t>DPS3 POWER SUPPLY + 7M LEAD  /!\</t>
  </si>
  <si>
    <t>DPS3 POWER SUPPLY + 7M LEAD</t>
  </si>
  <si>
    <t>DPS-4 POWER SUPPLY  /!\</t>
  </si>
  <si>
    <t>DPS-4 POWER SUPPLY</t>
  </si>
  <si>
    <t>SC-SPARES</t>
  </si>
  <si>
    <t>CPS450/900/950 10WY PSU LEAD</t>
  </si>
  <si>
    <t>DC cable 10 way</t>
  </si>
  <si>
    <t>DC link cable 10 way</t>
  </si>
  <si>
    <t>DC cable 19 way</t>
  </si>
  <si>
    <t>DC cable  10-5 way</t>
  </si>
  <si>
    <t>DC link cable 19 way</t>
  </si>
  <si>
    <t>Gooseneck Lamp 18" Right Angle</t>
  </si>
  <si>
    <t>Gooseneck Lamp 18"</t>
  </si>
  <si>
    <t>SC-UI</t>
  </si>
  <si>
    <t>Ui-12 Digital Mixer US</t>
  </si>
  <si>
    <t>Ui-12 (US)</t>
  </si>
  <si>
    <t>http://www.soundcraft.com/products/ui12</t>
  </si>
  <si>
    <t>UI-16 Digital Mixer US</t>
  </si>
  <si>
    <t>Ui-16 (US)</t>
  </si>
  <si>
    <t>http://www.soundcraft.com/products/ui16</t>
  </si>
  <si>
    <t>Ui-24R Digital Mixer US</t>
  </si>
  <si>
    <t>Ui-24R(US)</t>
  </si>
  <si>
    <t>http://www.soundcraft.com/en/products/ui24r</t>
  </si>
  <si>
    <t>Si Impact</t>
  </si>
  <si>
    <t>SC-SI</t>
  </si>
  <si>
    <t>Si IMPACT CONSOLE</t>
  </si>
  <si>
    <t>http://www.soundcraft.com/products/si-impact</t>
  </si>
  <si>
    <t>Si Impact Accessories</t>
  </si>
  <si>
    <t>Si Impact Accessory Kit</t>
  </si>
  <si>
    <t>Si Expression</t>
  </si>
  <si>
    <t>SI EXPRESSION 1 CONSOLE</t>
  </si>
  <si>
    <t>http://www.soundcraft.com/products/si-expression-1</t>
  </si>
  <si>
    <t xml:space="preserve">SI EXPRESSION 2 CONSOLE </t>
  </si>
  <si>
    <t>http://www.soundcraft.com/products/si-expression-2</t>
  </si>
  <si>
    <t xml:space="preserve">SI EXPRESSION 3 CONSOLE </t>
  </si>
  <si>
    <t>http://www.soundcraft.com/products/si-expression-3</t>
  </si>
  <si>
    <t>Si Performer</t>
  </si>
  <si>
    <t>SiPerformer3</t>
  </si>
  <si>
    <t>http://www.soundcraft.com/products/si-performer-3</t>
  </si>
  <si>
    <t xml:space="preserve">SiPerformer2 </t>
  </si>
  <si>
    <t>http://www.soundcraft.com/products/si-performer-2</t>
  </si>
  <si>
    <t>SiPerformer1</t>
  </si>
  <si>
    <t>http://www.soundcraft.com/products/si-performer-1</t>
  </si>
  <si>
    <t>Si Series Accessories</t>
  </si>
  <si>
    <t>Expression 1 Dust Cover and gooseneck</t>
  </si>
  <si>
    <t>Expression 2 + Performer 2 Dust Cover, Gooseneck, Scribble pad and Pen</t>
  </si>
  <si>
    <t>Expression 3 + Performer 3 Dust Cover, 2 x  Gooseneck, Scribble pad and Pen</t>
  </si>
  <si>
    <t>Flightcase for Expression 2 or Performer 2</t>
  </si>
  <si>
    <t>Flightcase for Expression 3 or Performer 3</t>
  </si>
  <si>
    <t>Si Series Option Cards</t>
  </si>
  <si>
    <t>SI SINGLE MODE MADI CARD,TSPR</t>
  </si>
  <si>
    <t xml:space="preserve">Single mode Optical MADI Card </t>
  </si>
  <si>
    <t>http://www.soundcraft.com/products/si-option-cards</t>
  </si>
  <si>
    <t>SCR,Si Dante Option Card Module Spare</t>
  </si>
  <si>
    <t>Dual port Cat 5 Dante  card</t>
  </si>
  <si>
    <t>SCR,SI MADI-USB COMBO CARD MODULE TSPR</t>
  </si>
  <si>
    <t>32CH MADI + 32CH USB Si Option card for simaltaneous Stagebox and Record</t>
  </si>
  <si>
    <t>BLU-Link Card, 32x32, for Soundcraft® Si Consoles</t>
  </si>
  <si>
    <t>SI OPTICAL MADI CARD SPARE Module</t>
  </si>
  <si>
    <t>Multi mode Optical MADI Card (note ships with MSB as standard, order for CSB)</t>
  </si>
  <si>
    <t>AES/EBU 4+4 XLR card</t>
  </si>
  <si>
    <t>AES/EBU 8+8 D type card with Word Clock</t>
  </si>
  <si>
    <t>Si AVIOM Option Card Spare Module</t>
  </si>
  <si>
    <t>A-Net Aviom Card</t>
  </si>
  <si>
    <t>Si CAT5 MADI Option Card Spare Module</t>
  </si>
  <si>
    <t>Cat 5 Dual port MADI (order with CSB)</t>
  </si>
  <si>
    <t>Si CobraNet Option Card Spare Module</t>
  </si>
  <si>
    <t>32 ch Cobranet Card</t>
  </si>
  <si>
    <t>Vi1</t>
  </si>
  <si>
    <t>SC-VI</t>
  </si>
  <si>
    <t>Vi1 Console 48 Mic</t>
  </si>
  <si>
    <t>Vi1-48</t>
  </si>
  <si>
    <t>Vi1 Digital Mixing System</t>
  </si>
  <si>
    <t>Vi1-32</t>
  </si>
  <si>
    <t>PSU MODULE</t>
  </si>
  <si>
    <t xml:space="preserve">Vi1 spare psu (internal) </t>
  </si>
  <si>
    <t>VI1 FLIGHT CASE</t>
  </si>
  <si>
    <t>Vi1 custom flight-case</t>
  </si>
  <si>
    <t>VI1 DUSTCOVER</t>
  </si>
  <si>
    <t>Vi1 Dust Cover</t>
  </si>
  <si>
    <t>Vi1000</t>
  </si>
  <si>
    <t>Vi1000 Digital Mixing System</t>
  </si>
  <si>
    <t>Vi1000 Flightcase Amptown</t>
  </si>
  <si>
    <t xml:space="preserve">Vi1000 Flightcase                                                       </t>
  </si>
  <si>
    <t>Vi2000</t>
  </si>
  <si>
    <t>Vi2000 Digital Mixing System</t>
  </si>
  <si>
    <t xml:space="preserve">Vi2000 Digital Mixing System </t>
  </si>
  <si>
    <t>Vi3000</t>
  </si>
  <si>
    <t>Vi3000 Digital Mixing System</t>
  </si>
  <si>
    <t>Vi3000 : 48</t>
  </si>
  <si>
    <t>FLIGHTCASE,Vi3000 STANDARD</t>
  </si>
  <si>
    <t>Vi3000 Standard flightcase</t>
  </si>
  <si>
    <t>FLIGHTCASE,Vi3000 DELUXE</t>
  </si>
  <si>
    <t>Vi3000 Delux flightcase inc monitor stand, keyboard tray and rack fixings</t>
  </si>
  <si>
    <t>Vi5000/7000</t>
  </si>
  <si>
    <t>VI7000 CONTROL SURFACE</t>
  </si>
  <si>
    <t>Vi7000 Surface</t>
  </si>
  <si>
    <t>VI5000 CONTROL SURFACE</t>
  </si>
  <si>
    <t>Vi5000 Surface</t>
  </si>
  <si>
    <t>VI5000/7000 LOCAL RACK 96kHz Full Opt</t>
  </si>
  <si>
    <t>ViLR-96FO 96kHz Fully Multimode Optical local rack for use with Vi5000/7000</t>
  </si>
  <si>
    <t>VI5000/7000 LOCAL RACK 96kHz Cat 5</t>
  </si>
  <si>
    <t>ViLR-96C5  96kHz Cat5 local rack for use with Vi5000/7000</t>
  </si>
  <si>
    <t>VI5000/7000 LOCAL RACK 48kHz Cat 5</t>
  </si>
  <si>
    <t>ViLR-48C5  48kHz Cat5 local rack for use with Vi5000/7000</t>
  </si>
  <si>
    <t>VI5000/7000 LOCAL RACK 48kHz Optical</t>
  </si>
  <si>
    <t>ViLR-48MO 48kHz Multimode Optical local rack for use with Vi5000/7000</t>
  </si>
  <si>
    <t>VI5000/7000 LOCAL RACK 96kHz Optical</t>
  </si>
  <si>
    <t>ViLR-96MO 96kHz Multimode Optical local rack for use with Vi5000/7000</t>
  </si>
  <si>
    <t>VI5000/7000 LOCAL RACK BASE FRAME</t>
  </si>
  <si>
    <t>Base local Rack, 2 x link card, 2 x PSU</t>
  </si>
  <si>
    <t>Vi5000/7000 Accessories</t>
  </si>
  <si>
    <t>FLIGHTCASE,VI5000 SURFACE,DELUXE</t>
  </si>
  <si>
    <t>Vi5000 flightcase inc 2 x monitor mount + 4 U of rack space</t>
  </si>
  <si>
    <t>FLIGHTCASE,VI7000 SURFACE,DELUXE</t>
  </si>
  <si>
    <t>Vi7000 flightcase inc 2 x monitor mount + 4 U of rack space</t>
  </si>
  <si>
    <t>VI 1U XLR BREAKOUT BOX 16M</t>
  </si>
  <si>
    <t>1U 16M XLR Brk Box</t>
  </si>
  <si>
    <t>VI 1U XLR BREAKOUT BOX 8F/8M SPR ASSY</t>
  </si>
  <si>
    <t>1U8F/8M XLR</t>
  </si>
  <si>
    <t>VIX000 Breakout Panel Local Rack CAT5 2SB</t>
  </si>
  <si>
    <t>Cat5 2U Panel for 2 x SB</t>
  </si>
  <si>
    <t>SCR,VI ACTIVE BREAKOUT BOX</t>
  </si>
  <si>
    <t>Vi Blu Link Active Breakout box - local IO</t>
  </si>
  <si>
    <t>VIX000 Breakout Panel  OPT 1SB/2C</t>
  </si>
  <si>
    <t xml:space="preserve">Optical 2U Panel for 1 x SB </t>
  </si>
  <si>
    <t>Vi Series Upgrade Kits</t>
  </si>
  <si>
    <t>VI200 SYSTEM CONTROL MODULE,TSPR</t>
  </si>
  <si>
    <t>Vi200 Control Module Upgrade</t>
  </si>
  <si>
    <t>VI400 SYSTEM CONTROL MODULE,TSPR</t>
  </si>
  <si>
    <t>Vi400 Control Module Upgrade</t>
  </si>
  <si>
    <t>VI600 SYSTEM CONTROL MODULE,TSPR</t>
  </si>
  <si>
    <t>Vi600 Control Module Upgrade</t>
  </si>
  <si>
    <t>Mini Stagebox-16R</t>
  </si>
  <si>
    <t>MSB-16R</t>
  </si>
  <si>
    <t>Mini Stagebox 16i US</t>
  </si>
  <si>
    <t>Mini Stagebox 32i US</t>
  </si>
  <si>
    <t xml:space="preserve">Mini Stagebox 32R </t>
  </si>
  <si>
    <t>MSB-32R</t>
  </si>
  <si>
    <t>Vi Series Stageboxes</t>
  </si>
  <si>
    <t>Compact Stage Box - 32/8+8: Cat5 Neutrik</t>
  </si>
  <si>
    <t>Compact Stage Box - 32/8+8: Optical SC</t>
  </si>
  <si>
    <t>Compact Stagebox 32/16 Cat 5</t>
  </si>
  <si>
    <t>Compact Stage Box - 32/16: Cat5 Neutrik</t>
  </si>
  <si>
    <t>ViSB 64:32 C5 - Vi Stage-box 64:32 Cat5</t>
  </si>
  <si>
    <t>Vi Stagebox Optical 64:32</t>
  </si>
  <si>
    <t>ViSB 64:32 MO - Vi Stage-box 64:32 Optical Multimode</t>
  </si>
  <si>
    <t>Vi Stagebox Cat5 48:24</t>
  </si>
  <si>
    <t>ViSB 48:16 C5 - Vi Stage-box 48:16 Cat5</t>
  </si>
  <si>
    <t>Option Cards (CSB MADI HD Console)</t>
  </si>
  <si>
    <t>MADI HD CARD CSB OPTICAL MULTIMODE 3HU T</t>
  </si>
  <si>
    <t>CSB Optical MADI HD card Multi mode</t>
  </si>
  <si>
    <t>ViSB Cat5 MADI HD card</t>
  </si>
  <si>
    <t>CSB Cat 5 MADI HD card</t>
  </si>
  <si>
    <t>A949.049132.v</t>
  </si>
  <si>
    <t>CSB Optical MADI HD card Single mode</t>
  </si>
  <si>
    <t>Vi Series Stagebox Accessories</t>
  </si>
  <si>
    <t>RZ2715SP</t>
  </si>
  <si>
    <t>5M Cat5e cable Amphenol</t>
  </si>
  <si>
    <t>5m Cat5e cable terminated with Amphenol connectors - for local Stagebox use</t>
  </si>
  <si>
    <t>5M ETHERCON CAT5 CABLE</t>
  </si>
  <si>
    <t xml:space="preserve">5m Cat5  terminated with Ethercon </t>
  </si>
  <si>
    <t>Vi 3G SDI Embed/DeEmbed</t>
  </si>
  <si>
    <t>ViO/D21 3G/HD/SD SDi Embedder/DeEmbedder</t>
  </si>
  <si>
    <t>VI4/6 100M AMP CAT5 CABLE ON REEL</t>
  </si>
  <si>
    <t>100m Cat5 cable (terminated with Amphenol connectors for Vi4/6) supplied on reel</t>
  </si>
  <si>
    <t>VI 100M CAT5 CABLE ETHERCON</t>
  </si>
  <si>
    <t>100m Cat5 cable (terminated with Neutrik connectors) supplied on reel</t>
  </si>
  <si>
    <t>OPTICAL CABLE 200M FIBRECAST</t>
  </si>
  <si>
    <t>200m 50/125 multimode optical fibre with "Fibrecast" connectors, supplied on reel</t>
  </si>
  <si>
    <t>OPTICAL CABLE 150M FIBRECAST</t>
  </si>
  <si>
    <t>150m 50/125 multimode optical fibre with "Fibrecast" connectors, supplied on reel</t>
  </si>
  <si>
    <t>OPTICAL CABLE 5M FIBRECAST</t>
  </si>
  <si>
    <t>5m 50/125 multimode optical fibre with "Fibrecast" connectors - for local Stagebox use</t>
  </si>
  <si>
    <t>OPTICAL CABLE 50M FIBRECAST</t>
  </si>
  <si>
    <t>50m 50/125 multimode optical fibre with "Fibrecast" connectors, supplied on reel</t>
  </si>
  <si>
    <t>Vi Series Option Cards</t>
  </si>
  <si>
    <t>AES/EBU IN-OUT Board 1-16 CH</t>
  </si>
  <si>
    <t>ViS 16 in 16 out XLR AES Card</t>
  </si>
  <si>
    <t>https://www.soundcraft.com/en/products/si-option-cards</t>
  </si>
  <si>
    <t>Vi1/CSB Mic/line In 1-16 module (spares)</t>
  </si>
  <si>
    <t>ViS 16 xlr in for Vi1 1-16</t>
  </si>
  <si>
    <t>HQ MIC CARD,HP,10K,17-32CH</t>
  </si>
  <si>
    <t>ViS-HQML17  HQ mic card 18-32</t>
  </si>
  <si>
    <t>ViS-HQML HQ mic card 33-48</t>
  </si>
  <si>
    <t>Vi1/CSB Mic/Line IN 33-48 module</t>
  </si>
  <si>
    <t>ViS 16 xlr in for Vi1  33-48</t>
  </si>
  <si>
    <t>Vi1/CSB Line Output module 1-16 (spares)</t>
  </si>
  <si>
    <t>ViS 16 xlr out 1-16</t>
  </si>
  <si>
    <t>Vi1/CSB Line Output module 17-32 (spares)</t>
  </si>
  <si>
    <t>ViS 16 xlr out 17-32</t>
  </si>
  <si>
    <t>Vi1/CSB Line+AES Output module (spares)</t>
  </si>
  <si>
    <t>ViS 8+4 AES xlr out</t>
  </si>
  <si>
    <t>Option Cards (Local Rack / D21 CSB Expansion / Vix000)</t>
  </si>
  <si>
    <t>VI BLU-LINK CARD Local Rack</t>
  </si>
  <si>
    <t>ViO/D21 Blu Link</t>
  </si>
  <si>
    <t>ViO/D21 Dante card AES67/96k</t>
  </si>
  <si>
    <t>Vi1 Only (48k) Dante card</t>
  </si>
  <si>
    <t>Vi1 Only (48k) Blu Link</t>
  </si>
  <si>
    <t>VI HD Card</t>
  </si>
  <si>
    <t xml:space="preserve">HD Link Card for 192 I/O - packed tested spare   </t>
  </si>
  <si>
    <t>Vi CAT5 MADI link Card Local Rack</t>
  </si>
  <si>
    <t>ViO/D21 Cat5 MADI</t>
  </si>
  <si>
    <t>Vi AES/EBU CARD Local Rack</t>
  </si>
  <si>
    <t>ViO/D21 AES In/out</t>
  </si>
  <si>
    <t>Vi Microphone CARD Local Rack</t>
  </si>
  <si>
    <t>ViO/D21 Mic In</t>
  </si>
  <si>
    <t>Vi Line Input Card Local Rack</t>
  </si>
  <si>
    <t>ViO/D21 Line Out</t>
  </si>
  <si>
    <t>RS2425Sp</t>
  </si>
  <si>
    <t>Vi Line Input card Local Rack</t>
  </si>
  <si>
    <t>ViO/D21 Line In</t>
  </si>
  <si>
    <t>VI Optical MADI CARD Local Rack</t>
  </si>
  <si>
    <t>ViO/D21 Optical MADI (multimode)</t>
  </si>
  <si>
    <t>VI GPI0 Relay Card Local Rack</t>
  </si>
  <si>
    <t>GPIO card</t>
  </si>
  <si>
    <t>VI S CORE PRO LEXICON FX Card Local Rack</t>
  </si>
  <si>
    <t>Lexicon/BSS FX/GEQs</t>
  </si>
  <si>
    <t>VI COBRANET CARD Local Rack</t>
  </si>
  <si>
    <t>ViO/D21 Cobranet</t>
  </si>
  <si>
    <t>VI AVIOM CARD Local Rack</t>
  </si>
  <si>
    <t>ViO/D21 Aviom A-Net</t>
  </si>
  <si>
    <t>VI (SINGLEMODE) MADI CARD Local Rack</t>
  </si>
  <si>
    <t>ViO/D21 Optical MADI (singlemode)</t>
  </si>
  <si>
    <t>VI  TDIF CARD Local Rack</t>
  </si>
  <si>
    <t>ViO/D21 TDIF</t>
  </si>
  <si>
    <t>VI ADAT CARD Local Rack</t>
  </si>
  <si>
    <t>ViO/D21 ADAT</t>
  </si>
  <si>
    <t xml:space="preserve">VI SCORE DSP MODULE </t>
  </si>
  <si>
    <t>S-CORE DSP</t>
  </si>
  <si>
    <t>Vi Dante card AES67/96k</t>
  </si>
  <si>
    <t>Vi 3G SDI DeEmbedder</t>
  </si>
  <si>
    <t>ViO/D21 3G/HD/SD SDi De-embedder 8/16ch</t>
  </si>
  <si>
    <t>Vi Blank Panle Local Rack</t>
  </si>
  <si>
    <t>Blank module for upper section</t>
  </si>
  <si>
    <t xml:space="preserve">5100265-00 </t>
  </si>
  <si>
    <t>Vi4/6 to 5000/7000 Local Rack Upgrade Kit</t>
  </si>
  <si>
    <t>Option Cards (Vi Stagebox)</t>
  </si>
  <si>
    <t>VI6 MIC LINE MODULE</t>
  </si>
  <si>
    <t>ViSB 8 x MIC/LINE IN</t>
  </si>
  <si>
    <t>VI6 LINE OUTPUT MODULE</t>
  </si>
  <si>
    <t>ViSB 8 x LINE OUTPUT</t>
  </si>
  <si>
    <t>ViSB Optical MADI HD (multimode)</t>
  </si>
  <si>
    <t>ViSB Optical MADI HD card (multimode)</t>
  </si>
  <si>
    <t>VI4/6 MADI HD CARD 6HE SNGLE MDE SPARES</t>
  </si>
  <si>
    <t>ViSB Optical MADI HD (singlemode)</t>
  </si>
  <si>
    <t>VI6 AES 8CH I/P STAGEBOXSPARES KIT</t>
  </si>
  <si>
    <t>ViSB 8 x AES/EBU In</t>
  </si>
  <si>
    <t>VI6 AES 8CH O/P STAGEBOXSPARES KIT</t>
  </si>
  <si>
    <t>ViSB 8 x AES/EBU Out</t>
  </si>
  <si>
    <t>VI6 OPTICAL STAGEBOX 2U PANEL SPRS</t>
  </si>
  <si>
    <t>Optical 2U Panel for SB only</t>
  </si>
  <si>
    <t>VISB PANEL SPR ASSY</t>
  </si>
  <si>
    <t>ViSB Blank module</t>
  </si>
  <si>
    <t>VI6 AMPHENOL STAGEBOX 2USPARES KIT</t>
  </si>
  <si>
    <t>Cat5 2U Panel for SB only</t>
  </si>
  <si>
    <t>VI COBRANET CARD STAGEBOX SPARES KIT</t>
  </si>
  <si>
    <t>VISB Cobranet</t>
  </si>
  <si>
    <t>VI AVIOM CARD STAGEBOX SPARES KIT</t>
  </si>
  <si>
    <t>ViSB Aviom</t>
  </si>
  <si>
    <t>VI BLU-LINK CARD STAGEBOX SPARES KIT</t>
  </si>
  <si>
    <t>ViSB Blu Link</t>
  </si>
  <si>
    <t>Vi Dante Option Card Stagebox TSPR</t>
  </si>
  <si>
    <t>Vi Series Accessories</t>
  </si>
  <si>
    <t>Vi Stagebox Spare PSU</t>
  </si>
  <si>
    <t>12U RACK FLIGHT PACK</t>
  </si>
  <si>
    <t>12U 19" custom flight-case for Local Rack / Stagebox</t>
  </si>
  <si>
    <t>MECHASY,VIX000 BRKOUT PNL LCL OPT2SB/4CH</t>
  </si>
  <si>
    <t>Optical 2U Panel for 2 x SB - 1 x 4 core fibre co, 1 x 2 core fibre core</t>
  </si>
  <si>
    <t>5m Cable Vi Ctrl Surf to Local Rack</t>
  </si>
  <si>
    <t>5m Cable Vi Control Surf to Local Rack</t>
  </si>
  <si>
    <t xml:space="preserve">EZ-tilt </t>
  </si>
  <si>
    <t>Real Time Rack</t>
  </si>
  <si>
    <t>Realtime Rack Core Plus</t>
  </si>
  <si>
    <t>AMX-N43T001</t>
  </si>
  <si>
    <t>AMX-N43T001C</t>
  </si>
  <si>
    <t>NMX-ATC-N4321D</t>
  </si>
  <si>
    <t>NMX-ATC-N4321D-C</t>
  </si>
  <si>
    <t>AMX N4321D Audio Transceiver, Dante audio over IP Transceiver</t>
  </si>
  <si>
    <t>AMX N4321D Audio Transceiver Card, Dante audio over IP Transceiver</t>
  </si>
  <si>
    <t>Helper Column 1</t>
  </si>
  <si>
    <t>Helper Column 2</t>
  </si>
  <si>
    <t>Helper Column 3</t>
  </si>
  <si>
    <t>CH</t>
  </si>
  <si>
    <t>Column1</t>
  </si>
  <si>
    <t>AMX-CCC000</t>
  </si>
  <si>
    <t>AMX-CCC013</t>
  </si>
  <si>
    <t>AMX-CCC023</t>
  </si>
  <si>
    <t>AMX-CCC033</t>
  </si>
  <si>
    <t>MU-1000</t>
  </si>
  <si>
    <t>MU-1300</t>
  </si>
  <si>
    <t>MU-2300</t>
  </si>
  <si>
    <t>MU-3300</t>
  </si>
  <si>
    <t>AMX MUSE Controller with PoE and ICSLan port</t>
  </si>
  <si>
    <t>AMX MUSE Controller with 2 Serial, 2 IR, 4 IO</t>
  </si>
  <si>
    <t>AMX MUSE Controller with 4 Serial, 4 IR, 4 IO, 4 Relay and ICSLan port</t>
  </si>
  <si>
    <t>AMX MUSE Controller with 8 Serial, 8 IR, 8 IO, 8 Relay and ICSLan port</t>
  </si>
  <si>
    <t>https://www.amx.com/en-US/products/mu-1000</t>
  </si>
  <si>
    <t>https://www.amx.com/en-US/products/mu-1300</t>
  </si>
  <si>
    <t>https://www.amx.com/en-US/products/mu-2300</t>
  </si>
  <si>
    <t>https://www.amx.com/en-US/products/mu-3300</t>
  </si>
  <si>
    <t>No</t>
  </si>
  <si>
    <t>Control Extender - 4 IR</t>
  </si>
  <si>
    <t>Control Extender - 4 IR/Serial Ports</t>
  </si>
  <si>
    <t>https://www.amx.com/en-US/products/ce-irs4</t>
  </si>
  <si>
    <t>Control Extender - 8 Relay</t>
  </si>
  <si>
    <t>Control Extender - 8 Relay Ports</t>
  </si>
  <si>
    <t>https://www.amx.com/en-US/products/ce-rel8</t>
  </si>
  <si>
    <t>Control Extender - 2 RS232 Ports</t>
  </si>
  <si>
    <t>Control Extender - 2 RS232 Serial Ports</t>
  </si>
  <si>
    <t>https://www.amx.com/en-US/products/ce-com2</t>
  </si>
  <si>
    <t>Control Extender - 4 IO Ports</t>
  </si>
  <si>
    <t>Control Extender, 4 Analog Input / Digital Input / Digital Output Ports</t>
  </si>
  <si>
    <t>https://www.amx.com/en-US/products/ce-io4</t>
  </si>
  <si>
    <t>DIN Rail Clip</t>
  </si>
  <si>
    <t>https://www.amx.com/en-US/products/avb-vstyle-din-mnt</t>
  </si>
  <si>
    <t>USB IR Capture Device</t>
  </si>
  <si>
    <t>https://www.amx.com/en-US/products/iris2</t>
  </si>
  <si>
    <t>JBL-IRXONE-US</t>
  </si>
  <si>
    <t>IRX100 Series</t>
  </si>
  <si>
    <t>IRX ONE</t>
  </si>
  <si>
    <t>JBL IRX ONE</t>
  </si>
  <si>
    <t>JBL IRX ONE Powered Column Speaker with BT US SKU Variant</t>
  </si>
  <si>
    <t>www.jblpro.com/irx-one</t>
  </si>
  <si>
    <t>https://jblpro.com/en/products/jbl-lct-81c-tm</t>
  </si>
  <si>
    <t>https://jblpro.com/en/products/control-89ms</t>
  </si>
  <si>
    <t>CC-3.5ST5-RCA2F</t>
  </si>
  <si>
    <t>5-pin 3.5mm Phoenix to 2 RCA Female Cable</t>
  </si>
  <si>
    <t>The CC-3.5ST5-RCA2F is a 6 inch cable used to connect 2 RCA Female to a 5-pin mini-Phoenix connector.</t>
  </si>
  <si>
    <t>https://www.amx.com/en-US/products/cc-3-5st5-rca2f</t>
  </si>
  <si>
    <t>Solecis 4x1 4K HDMI Digital Switcher with DXLink Output</t>
  </si>
  <si>
    <t>https://www.amx.com/en-US/products/sdx-414-dx</t>
  </si>
  <si>
    <t>8x1:3 4K60 4:4:4 Digital Video Presentation Switcher </t>
  </si>
  <si>
    <t>8x1:3 4K60 4:4:4 Digital Video Presentation Switcher with HDCP 2.2, Video Scaling, Distance Transport, Advanced Windowing, DSP, Advanced Feedback Suppression</t>
  </si>
  <si>
    <t>https://www.amx.com/en-US/products/ncite-813</t>
  </si>
  <si>
    <t>8x1:3 4K60 4:4:4 Digital Video Presentation Switcher with Amp</t>
  </si>
  <si>
    <t>8x1:3 4K60 4:4:4 Digital Video Presentation Switcher with HDCP 2.2, Video Scaling, Distance Transport, Advanced Windowing, DSP, Advanced Feedback Suppression, DriveCore Amplification</t>
  </si>
  <si>
    <t>https://www.amx.com/en-US/products/ncite-813a</t>
  </si>
  <si>
    <t>NMX-ENC-N1133A-C</t>
  </si>
  <si>
    <t>N1000 Series AV Over IP Encoder with KVM, AES67 Support, Card</t>
  </si>
  <si>
    <t>https://www.amx.com/en-US/products/nmx-enc-n1133a-c-encoder-card</t>
  </si>
  <si>
    <t>NMX-ENC-N1133A</t>
  </si>
  <si>
    <t>N1000 Series AV Over IP Encoder with KVM, AES67 Support, Stand-alone</t>
  </si>
  <si>
    <t>SVSI Stand-alone Minimal Compression Video over IP Encoder with one SFP fiber/RJ45 copper network port cage and one RJ45 (with PoE) port, IR, KVM-over-IP keyboard and mouse operation, serial, balanced audio, VGA, and HDMI video connections, AES67 compatible (SFP module not included)</t>
  </si>
  <si>
    <t>https://www.amx.com/en-US/products/nmx-enc-n1133a-encoder</t>
  </si>
  <si>
    <t>NMX-PRS-N7142</t>
  </si>
  <si>
    <t>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t>
  </si>
  <si>
    <t>NT-SD-701</t>
  </si>
  <si>
    <t>7" N-Touch Wall Mount Touch Panel</t>
  </si>
  <si>
    <t>7" N-Touch Wall Mount Touch Panel, high-quality user interface and controller in a single unit enables control of SVSI devices. Compatible with Modero S wall mount options</t>
  </si>
  <si>
    <t>https://www.amx.com/en-US/products/nt-sd-701</t>
  </si>
  <si>
    <t>NT-ST-701</t>
  </si>
  <si>
    <t>7" N-Touch Tabletop Touch Panel</t>
  </si>
  <si>
    <t>7" N-Touch Tabletop Touch Panel, high-quality user interface and controller in a single unit enables control of SVSI devices</t>
  </si>
  <si>
    <t>https://www.amx.com/en-US/products/nt-st-701</t>
  </si>
  <si>
    <t>Multi-mode 10-UKps SFP fiber transceiver module for Cisco switches, dual LC connectors, up to 300m</t>
  </si>
  <si>
    <t>MULTIMODE MODULE FOR N1X33/ N2X35 SFP CAGE</t>
  </si>
  <si>
    <t>https://www.amx.com/en-US/products/nmx-atc-n4321d</t>
  </si>
  <si>
    <t>https://www.amx.com/en-US/products/nmx-atc-n4321d-c</t>
  </si>
  <si>
    <t>Effective October 1st, 2023</t>
  </si>
  <si>
    <t>SCR-RW5734US</t>
  </si>
  <si>
    <t>SCR-RW5735US</t>
  </si>
  <si>
    <t>SCR-RW5736US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</si>
</sst>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409]#,##0.00"/>
    <numFmt numFmtId="167" formatCode="_-&quot;£&quot;* #,##0.00_-;\-&quot;£&quot;* #,##0.00_-;_-&quot;£&quot;* &quot;-&quot;??_-;_-@_-"/>
    <numFmt numFmtId="168" formatCode="[$-409]General"/>
    <numFmt numFmtId="169" formatCode="[$-409]d\-mmm\-yy;@"/>
    <numFmt numFmtId="170" formatCode="0_);[Red]\(0\)"/>
  </numFmts>
  <fonts count="88">
    <font>
      <sz val="11"/>
      <color theme="1"/>
      <name val="Calibri"/>
      <family val="2"/>
      <scheme val="minor"/>
    </font>
    <font>
      <sz val="11"/>
      <color theme="1"/>
      <name val="Calibri"/>
      <family val="2"/>
      <scheme val="minor"/>
    </font>
    <font>
      <sz val="10"/>
      <color theme="1"/>
      <name val="Calibri"/>
      <family val="2"/>
      <scheme val="minor"/>
    </font>
    <font>
      <u/>
      <sz val="10"/>
      <color indexed="12"/>
      <name val="Verdana"/>
      <family val="2"/>
    </font>
    <font>
      <sz val="11"/>
      <color theme="3"/>
      <name val="Calibri"/>
      <family val="2"/>
      <scheme val="minor"/>
    </font>
    <font>
      <b/>
      <sz val="11"/>
      <color rgb="FF000000"/>
      <name val="Calibri"/>
      <family val="2"/>
      <scheme val="minor"/>
    </font>
    <font>
      <sz val="11"/>
      <color rgb="FF000000"/>
      <name val="Calibri"/>
      <family val="2"/>
      <scheme val="minor"/>
    </font>
    <font>
      <sz val="1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name val="Calibri"/>
      <family val="2"/>
      <scheme val="minor"/>
    </font>
    <font>
      <sz val="10"/>
      <name val="Arial"/>
      <family val="2"/>
    </font>
    <font>
      <b/>
      <sz val="12"/>
      <color theme="1"/>
      <name val="Calibri"/>
      <family val="2"/>
      <scheme val="minor"/>
    </font>
    <font>
      <sz val="12"/>
      <color theme="1"/>
      <name val="Calibri"/>
      <family val="2"/>
      <scheme val="minor"/>
    </font>
    <font>
      <sz val="9"/>
      <color theme="1"/>
      <name val="Calibri"/>
      <family val="2"/>
      <scheme val="minor"/>
    </font>
    <font>
      <sz val="11"/>
      <color rgb="FF000000"/>
      <name val="Arial"/>
      <family val="2"/>
    </font>
    <font>
      <sz val="11"/>
      <color rgb="FF000000"/>
      <name val="Calibri"/>
      <family val="2"/>
    </font>
    <font>
      <sz val="10"/>
      <color theme="1"/>
      <name val="Arial"/>
      <family val="2"/>
    </font>
    <font>
      <u/>
      <sz val="11"/>
      <color theme="10"/>
      <name val="Calibri"/>
      <family val="2"/>
      <scheme val="minor"/>
    </font>
    <font>
      <u/>
      <sz val="7.7"/>
      <color theme="10"/>
      <name val="Calibri"/>
      <family val="2"/>
    </font>
    <font>
      <u/>
      <sz val="11"/>
      <color theme="10"/>
      <name val="Calibri"/>
      <family val="2"/>
    </font>
    <font>
      <sz val="20"/>
      <color rgb="FF00A4E3"/>
      <name val="Arial"/>
      <family val="2"/>
    </font>
    <font>
      <b/>
      <sz val="18"/>
      <color theme="3"/>
      <name val="Calibri Light"/>
      <family val="2"/>
      <scheme val="major"/>
    </font>
    <font>
      <sz val="11"/>
      <color indexed="8"/>
      <name val="Calibri"/>
      <family val="2"/>
    </font>
    <font>
      <sz val="10"/>
      <name val="Times New Roman"/>
      <family val="1"/>
    </font>
    <font>
      <b/>
      <sz val="10"/>
      <name val="Souvenir"/>
    </font>
    <font>
      <sz val="10"/>
      <color theme="1"/>
      <name val="verdana"/>
      <family val="2"/>
    </font>
    <font>
      <u/>
      <sz val="10"/>
      <color indexed="12"/>
      <name val="Arial"/>
      <family val="2"/>
    </font>
    <font>
      <b/>
      <sz val="10"/>
      <name val="Arial"/>
      <family val="2"/>
    </font>
    <font>
      <u/>
      <sz val="7.5"/>
      <color indexed="12"/>
      <name val="Verdana"/>
      <family val="2"/>
    </font>
    <font>
      <sz val="10"/>
      <name val="MS Sans Serif"/>
      <family val="2"/>
    </font>
    <font>
      <sz val="10"/>
      <name val="Courier"/>
      <family val="3"/>
    </font>
    <font>
      <sz val="10"/>
      <color indexed="8"/>
      <name val="Arial"/>
      <family val="2"/>
    </font>
    <font>
      <sz val="10"/>
      <color rgb="FF000000"/>
      <name val="Arial"/>
      <family val="2"/>
    </font>
    <font>
      <sz val="10"/>
      <color rgb="FF000000"/>
      <name val="Times New Roman"/>
      <family val="1"/>
    </font>
    <font>
      <b/>
      <i/>
      <sz val="11"/>
      <color theme="1"/>
      <name val="Calibri"/>
      <family val="2"/>
      <scheme val="minor"/>
    </font>
    <font>
      <sz val="11"/>
      <name val="Calibri"/>
      <family val="2"/>
    </font>
    <font>
      <b/>
      <sz val="11"/>
      <color theme="0"/>
      <name val="Calibri"/>
      <family val="2"/>
    </font>
    <font>
      <sz val="10"/>
      <color theme="0" tint="-0.499984740745262"/>
      <name val="Arial Black"/>
      <family val="2"/>
    </font>
    <font>
      <u/>
      <sz val="11"/>
      <color theme="0" tint="-0.499984740745262"/>
      <name val="Calibri"/>
      <family val="2"/>
      <scheme val="minor"/>
    </font>
    <font>
      <u/>
      <sz val="10"/>
      <name val="Calibri"/>
      <family val="2"/>
      <scheme val="minor"/>
    </font>
    <font>
      <b/>
      <sz val="11"/>
      <color rgb="FF000000"/>
      <name val="Calibri"/>
      <family val="2"/>
    </font>
    <font>
      <sz val="11"/>
      <color theme="0" tint="-0.499984740745262"/>
      <name val="Arial Black"/>
      <family val="2"/>
    </font>
    <font>
      <sz val="9"/>
      <color theme="1"/>
      <name val="Arial"/>
      <family val="2"/>
    </font>
    <font>
      <i/>
      <sz val="9"/>
      <name val="Arial"/>
      <family val="2"/>
    </font>
    <font>
      <u/>
      <sz val="11"/>
      <color indexed="12"/>
      <name val="Calibri"/>
      <family val="2"/>
    </font>
    <font>
      <u/>
      <sz val="10"/>
      <color rgb="FF00B0F0"/>
      <name val="Verdana"/>
      <family val="2"/>
    </font>
    <font>
      <u/>
      <sz val="11"/>
      <color rgb="FF00B0F0"/>
      <name val="Calibri"/>
      <family val="2"/>
      <scheme val="minor"/>
    </font>
    <font>
      <sz val="11"/>
      <color rgb="FF00B0F0"/>
      <name val="Calibri"/>
      <family val="2"/>
      <scheme val="minor"/>
    </font>
    <font>
      <sz val="11"/>
      <color theme="1"/>
      <name val="Calibri"/>
      <family val="2"/>
    </font>
    <font>
      <b/>
      <sz val="11"/>
      <name val="Calibri"/>
      <family val="2"/>
    </font>
    <font>
      <b/>
      <sz val="11"/>
      <color theme="1"/>
      <name val="Calibri"/>
      <family val="2"/>
    </font>
    <font>
      <b/>
      <u/>
      <sz val="11"/>
      <color theme="1"/>
      <name val="Calibri"/>
      <family val="2"/>
      <scheme val="minor"/>
    </font>
    <font>
      <u/>
      <sz val="11"/>
      <color indexed="12"/>
      <name val="Calibri"/>
      <family val="2"/>
      <scheme val="minor"/>
    </font>
    <font>
      <u/>
      <sz val="11"/>
      <color indexed="12"/>
      <name val="Verdana"/>
      <family val="2"/>
    </font>
    <font>
      <i/>
      <sz val="11"/>
      <name val="Calibri"/>
      <family val="2"/>
    </font>
    <font>
      <sz val="8"/>
      <name val="Calibri"/>
      <family val="2"/>
      <scheme val="minor"/>
    </font>
    <font>
      <sz val="18"/>
      <color theme="3"/>
      <name val="Calibri Light"/>
      <family val="2"/>
      <scheme val="major"/>
    </font>
    <font>
      <sz val="11"/>
      <color rgb="FF9C5700"/>
      <name val="Calibri"/>
      <family val="2"/>
      <scheme val="minor"/>
    </font>
    <font>
      <b/>
      <u/>
      <sz val="11"/>
      <name val="Calibri"/>
      <family val="2"/>
      <scheme val="minor"/>
    </font>
    <font>
      <sz val="12"/>
      <color theme="0"/>
      <name val="Calibri"/>
      <family val="2"/>
      <scheme val="minor"/>
    </font>
    <font>
      <b/>
      <u/>
      <sz val="12"/>
      <color theme="0"/>
      <name val="Calibri"/>
      <family val="2"/>
      <scheme val="minor"/>
    </font>
    <font>
      <sz val="12"/>
      <color rgb="FFFFFF00"/>
      <name val="Calibri"/>
      <family val="2"/>
      <scheme val="minor"/>
    </font>
    <font>
      <b/>
      <sz val="12"/>
      <color rgb="FFFFFF00"/>
      <name val="Calibri"/>
      <family val="2"/>
      <scheme val="minor"/>
    </font>
    <font>
      <u/>
      <sz val="12"/>
      <color rgb="FFFFFF00"/>
      <name val="Verdana"/>
      <family val="2"/>
    </font>
    <font>
      <b/>
      <sz val="12"/>
      <color theme="4"/>
      <name val="Calibri"/>
      <family val="2"/>
      <scheme val="minor"/>
    </font>
    <font>
      <sz val="12"/>
      <color theme="4"/>
      <name val="Calibri"/>
      <family val="2"/>
      <scheme val="minor"/>
    </font>
    <font>
      <sz val="12"/>
      <color theme="9" tint="-0.249977111117893"/>
      <name val="Calibri"/>
      <family val="2"/>
      <scheme val="minor"/>
    </font>
    <font>
      <b/>
      <sz val="12"/>
      <color theme="9" tint="-0.249977111117893"/>
      <name val="Calibri"/>
      <family val="2"/>
      <scheme val="minor"/>
    </font>
    <font>
      <u/>
      <sz val="12"/>
      <color theme="9" tint="-0.249977111117893"/>
      <name val="Verdana"/>
      <family val="2"/>
    </font>
    <font>
      <sz val="12"/>
      <color rgb="FFFFC000"/>
      <name val="Calibri"/>
      <family val="2"/>
      <scheme val="minor"/>
    </font>
    <font>
      <b/>
      <u/>
      <sz val="11"/>
      <color indexed="12"/>
      <name val="Calibri"/>
      <family val="2"/>
      <scheme val="minor"/>
    </font>
    <font>
      <u/>
      <sz val="11"/>
      <color rgb="FF0000D4"/>
      <name val="Calibri"/>
      <family val="2"/>
      <scheme val="minor"/>
    </font>
    <font>
      <sz val="16"/>
      <color theme="3"/>
      <name val="Calibri"/>
      <family val="2"/>
      <scheme val="minor"/>
    </font>
    <font>
      <sz val="16"/>
      <color theme="1"/>
      <name val="Calibri"/>
      <family val="2"/>
      <scheme val="minor"/>
    </font>
  </fonts>
  <fills count="42">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1"/>
        <bgColor indexed="64"/>
      </patternFill>
    </fill>
    <fill>
      <patternFill patternType="solid">
        <fgColor theme="1"/>
        <bgColor theme="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FFFF0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B050"/>
        <bgColor indexed="64"/>
      </patternFill>
    </fill>
  </fills>
  <borders count="16">
    <border>
      <left/>
      <right/>
      <top/>
      <bottom/>
      <diagonal/>
    </border>
    <border>
      <left/>
      <right/>
      <top/>
      <bottom style="thin">
        <color auto="1"/>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double">
        <color rgb="FF3F3F3F"/>
      </left>
      <right style="double">
        <color rgb="FF3F3F3F"/>
      </right>
      <top/>
      <bottom style="double">
        <color rgb="FF3F3F3F"/>
      </bottom>
      <diagonal/>
    </border>
    <border>
      <left/>
      <right style="thin">
        <color theme="0"/>
      </right>
      <top style="thin">
        <color theme="0"/>
      </top>
      <bottom/>
      <diagonal/>
    </border>
  </borders>
  <cellStyleXfs count="497">
    <xf numFmtId="0" fontId="0" fillId="0" borderId="0"/>
    <xf numFmtId="4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0" fontId="14" fillId="9" borderId="6" applyNumberFormat="0" applyAlignment="0" applyProtection="0"/>
    <xf numFmtId="0" fontId="15" fillId="10" borderId="7" applyNumberFormat="0" applyAlignment="0" applyProtection="0"/>
    <xf numFmtId="0" fontId="16" fillId="10" borderId="6" applyNumberFormat="0" applyAlignment="0" applyProtection="0"/>
    <xf numFmtId="0" fontId="17" fillId="0" borderId="8" applyNumberFormat="0" applyFill="0" applyAlignment="0" applyProtection="0"/>
    <xf numFmtId="0" fontId="18" fillId="11" borderId="9" applyNumberFormat="0" applyAlignment="0" applyProtection="0"/>
    <xf numFmtId="0" fontId="19" fillId="0" borderId="0" applyNumberFormat="0" applyFill="0" applyBorder="0" applyAlignment="0" applyProtection="0"/>
    <xf numFmtId="0" fontId="1" fillId="12" borderId="10" applyNumberFormat="0" applyFont="0" applyAlignment="0" applyProtection="0"/>
    <xf numFmtId="0" fontId="20" fillId="0" borderId="0" applyNumberFormat="0" applyFill="0" applyBorder="0" applyAlignment="0" applyProtection="0"/>
    <xf numFmtId="0" fontId="21" fillId="0" borderId="11" applyNumberFormat="0" applyFill="0" applyAlignment="0" applyProtection="0"/>
    <xf numFmtId="0" fontId="2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2" fillId="36" borderId="0" applyNumberFormat="0" applyBorder="0" applyAlignment="0" applyProtection="0"/>
    <xf numFmtId="0" fontId="24" fillId="0" borderId="0"/>
    <xf numFmtId="166" fontId="1" fillId="0" borderId="0"/>
    <xf numFmtId="166" fontId="1" fillId="0" borderId="0"/>
    <xf numFmtId="0" fontId="24" fillId="0" borderId="0"/>
    <xf numFmtId="0" fontId="28" fillId="0" borderId="0"/>
    <xf numFmtId="0" fontId="26" fillId="0" borderId="0"/>
    <xf numFmtId="0" fontId="31" fillId="0" borderId="0" applyNumberFormat="0" applyFill="0" applyBorder="0" applyAlignment="0" applyProtection="0"/>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5" fillId="0" borderId="0" applyNumberFormat="0" applyFill="0" applyBorder="0" applyAlignment="0" applyProtection="0"/>
    <xf numFmtId="166" fontId="24"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14" borderId="0" applyNumberFormat="0" applyBorder="0" applyAlignment="0" applyProtection="0"/>
    <xf numFmtId="0" fontId="1" fillId="14" borderId="0" applyNumberFormat="0" applyBorder="0" applyAlignment="0" applyProtection="0"/>
    <xf numFmtId="166" fontId="1" fillId="14" borderId="0" applyNumberFormat="0" applyBorder="0" applyAlignment="0" applyProtection="0"/>
    <xf numFmtId="166" fontId="1" fillId="18" borderId="0" applyNumberFormat="0" applyBorder="0" applyAlignment="0" applyProtection="0"/>
    <xf numFmtId="0" fontId="1" fillId="18" borderId="0" applyNumberFormat="0" applyBorder="0" applyAlignment="0" applyProtection="0"/>
    <xf numFmtId="166" fontId="1" fillId="18" borderId="0" applyNumberFormat="0" applyBorder="0" applyAlignment="0" applyProtection="0"/>
    <xf numFmtId="166" fontId="1" fillId="22" borderId="0" applyNumberFormat="0" applyBorder="0" applyAlignment="0" applyProtection="0"/>
    <xf numFmtId="0" fontId="1" fillId="22" borderId="0" applyNumberFormat="0" applyBorder="0" applyAlignment="0" applyProtection="0"/>
    <xf numFmtId="166" fontId="1" fillId="22" borderId="0" applyNumberFormat="0" applyBorder="0" applyAlignment="0" applyProtection="0"/>
    <xf numFmtId="166" fontId="1" fillId="26" borderId="0" applyNumberFormat="0" applyBorder="0" applyAlignment="0" applyProtection="0"/>
    <xf numFmtId="0" fontId="1" fillId="26" borderId="0" applyNumberFormat="0" applyBorder="0" applyAlignment="0" applyProtection="0"/>
    <xf numFmtId="166" fontId="1" fillId="26" borderId="0" applyNumberFormat="0" applyBorder="0" applyAlignment="0" applyProtection="0"/>
    <xf numFmtId="166" fontId="1" fillId="30" borderId="0" applyNumberFormat="0" applyBorder="0" applyAlignment="0" applyProtection="0"/>
    <xf numFmtId="0" fontId="1" fillId="30" borderId="0" applyNumberFormat="0" applyBorder="0" applyAlignment="0" applyProtection="0"/>
    <xf numFmtId="166" fontId="1" fillId="30" borderId="0" applyNumberFormat="0" applyBorder="0" applyAlignment="0" applyProtection="0"/>
    <xf numFmtId="166" fontId="1" fillId="34" borderId="0" applyNumberFormat="0" applyBorder="0" applyAlignment="0" applyProtection="0"/>
    <xf numFmtId="0" fontId="1" fillId="34" borderId="0" applyNumberFormat="0" applyBorder="0" applyAlignment="0" applyProtection="0"/>
    <xf numFmtId="166" fontId="1" fillId="34" borderId="0" applyNumberFormat="0" applyBorder="0" applyAlignment="0" applyProtection="0"/>
    <xf numFmtId="166" fontId="1" fillId="15" borderId="0" applyNumberFormat="0" applyBorder="0" applyAlignment="0" applyProtection="0"/>
    <xf numFmtId="0" fontId="1" fillId="15" borderId="0" applyNumberFormat="0" applyBorder="0" applyAlignment="0" applyProtection="0"/>
    <xf numFmtId="166" fontId="1" fillId="15" borderId="0" applyNumberFormat="0" applyBorder="0" applyAlignment="0" applyProtection="0"/>
    <xf numFmtId="166" fontId="1" fillId="19" borderId="0" applyNumberFormat="0" applyBorder="0" applyAlignment="0" applyProtection="0"/>
    <xf numFmtId="0" fontId="1" fillId="19" borderId="0" applyNumberFormat="0" applyBorder="0" applyAlignment="0" applyProtection="0"/>
    <xf numFmtId="166" fontId="1" fillId="19" borderId="0" applyNumberFormat="0" applyBorder="0" applyAlignment="0" applyProtection="0"/>
    <xf numFmtId="166" fontId="1" fillId="23" borderId="0" applyNumberFormat="0" applyBorder="0" applyAlignment="0" applyProtection="0"/>
    <xf numFmtId="0" fontId="1" fillId="23" borderId="0" applyNumberFormat="0" applyBorder="0" applyAlignment="0" applyProtection="0"/>
    <xf numFmtId="166" fontId="1" fillId="23" borderId="0" applyNumberFormat="0" applyBorder="0" applyAlignment="0" applyProtection="0"/>
    <xf numFmtId="166" fontId="1" fillId="27" borderId="0" applyNumberFormat="0" applyBorder="0" applyAlignment="0" applyProtection="0"/>
    <xf numFmtId="0" fontId="1" fillId="27" borderId="0" applyNumberFormat="0" applyBorder="0" applyAlignment="0" applyProtection="0"/>
    <xf numFmtId="166" fontId="1" fillId="27" borderId="0" applyNumberFormat="0" applyBorder="0" applyAlignment="0" applyProtection="0"/>
    <xf numFmtId="166" fontId="1" fillId="31" borderId="0" applyNumberFormat="0" applyBorder="0" applyAlignment="0" applyProtection="0"/>
    <xf numFmtId="0" fontId="1" fillId="31" borderId="0" applyNumberFormat="0" applyBorder="0" applyAlignment="0" applyProtection="0"/>
    <xf numFmtId="166" fontId="1" fillId="31" borderId="0" applyNumberFormat="0" applyBorder="0" applyAlignment="0" applyProtection="0"/>
    <xf numFmtId="166" fontId="1" fillId="35" borderId="0" applyNumberFormat="0" applyBorder="0" applyAlignment="0" applyProtection="0"/>
    <xf numFmtId="0" fontId="1" fillId="35" borderId="0" applyNumberFormat="0" applyBorder="0" applyAlignment="0" applyProtection="0"/>
    <xf numFmtId="166" fontId="1" fillId="35" borderId="0" applyNumberFormat="0" applyBorder="0" applyAlignment="0" applyProtection="0"/>
    <xf numFmtId="166" fontId="22" fillId="16" borderId="0" applyNumberFormat="0" applyBorder="0" applyAlignment="0" applyProtection="0"/>
    <xf numFmtId="0" fontId="22" fillId="16" borderId="0" applyNumberFormat="0" applyBorder="0" applyAlignment="0" applyProtection="0"/>
    <xf numFmtId="166" fontId="22" fillId="16" borderId="0" applyNumberFormat="0" applyBorder="0" applyAlignment="0" applyProtection="0"/>
    <xf numFmtId="166" fontId="22" fillId="20" borderId="0" applyNumberFormat="0" applyBorder="0" applyAlignment="0" applyProtection="0"/>
    <xf numFmtId="0" fontId="22" fillId="20" borderId="0" applyNumberFormat="0" applyBorder="0" applyAlignment="0" applyProtection="0"/>
    <xf numFmtId="166" fontId="22" fillId="20" borderId="0" applyNumberFormat="0" applyBorder="0" applyAlignment="0" applyProtection="0"/>
    <xf numFmtId="166" fontId="22" fillId="24" borderId="0" applyNumberFormat="0" applyBorder="0" applyAlignment="0" applyProtection="0"/>
    <xf numFmtId="0" fontId="22" fillId="24" borderId="0" applyNumberFormat="0" applyBorder="0" applyAlignment="0" applyProtection="0"/>
    <xf numFmtId="166" fontId="22" fillId="24" borderId="0" applyNumberFormat="0" applyBorder="0" applyAlignment="0" applyProtection="0"/>
    <xf numFmtId="166" fontId="22" fillId="28" borderId="0" applyNumberFormat="0" applyBorder="0" applyAlignment="0" applyProtection="0"/>
    <xf numFmtId="0" fontId="22" fillId="28" borderId="0" applyNumberFormat="0" applyBorder="0" applyAlignment="0" applyProtection="0"/>
    <xf numFmtId="166" fontId="22" fillId="28" borderId="0" applyNumberFormat="0" applyBorder="0" applyAlignment="0" applyProtection="0"/>
    <xf numFmtId="166" fontId="22" fillId="32" borderId="0" applyNumberFormat="0" applyBorder="0" applyAlignment="0" applyProtection="0"/>
    <xf numFmtId="0" fontId="22" fillId="32" borderId="0" applyNumberFormat="0" applyBorder="0" applyAlignment="0" applyProtection="0"/>
    <xf numFmtId="166" fontId="22" fillId="32" borderId="0" applyNumberFormat="0" applyBorder="0" applyAlignment="0" applyProtection="0"/>
    <xf numFmtId="166" fontId="22" fillId="36" borderId="0" applyNumberFormat="0" applyBorder="0" applyAlignment="0" applyProtection="0"/>
    <xf numFmtId="0" fontId="22" fillId="36" borderId="0" applyNumberFormat="0" applyBorder="0" applyAlignment="0" applyProtection="0"/>
    <xf numFmtId="166" fontId="22" fillId="36" borderId="0" applyNumberFormat="0" applyBorder="0" applyAlignment="0" applyProtection="0"/>
    <xf numFmtId="166" fontId="22" fillId="13" borderId="0" applyNumberFormat="0" applyBorder="0" applyAlignment="0" applyProtection="0"/>
    <xf numFmtId="0" fontId="22" fillId="13" borderId="0" applyNumberFormat="0" applyBorder="0" applyAlignment="0" applyProtection="0"/>
    <xf numFmtId="166" fontId="22" fillId="13" borderId="0" applyNumberFormat="0" applyBorder="0" applyAlignment="0" applyProtection="0"/>
    <xf numFmtId="166" fontId="22" fillId="17" borderId="0" applyNumberFormat="0" applyBorder="0" applyAlignment="0" applyProtection="0"/>
    <xf numFmtId="0" fontId="22" fillId="17" borderId="0" applyNumberFormat="0" applyBorder="0" applyAlignment="0" applyProtection="0"/>
    <xf numFmtId="166" fontId="22" fillId="17" borderId="0" applyNumberFormat="0" applyBorder="0" applyAlignment="0" applyProtection="0"/>
    <xf numFmtId="166" fontId="22" fillId="21" borderId="0" applyNumberFormat="0" applyBorder="0" applyAlignment="0" applyProtection="0"/>
    <xf numFmtId="0" fontId="22" fillId="21" borderId="0" applyNumberFormat="0" applyBorder="0" applyAlignment="0" applyProtection="0"/>
    <xf numFmtId="166" fontId="22" fillId="21" borderId="0" applyNumberFormat="0" applyBorder="0" applyAlignment="0" applyProtection="0"/>
    <xf numFmtId="166" fontId="22" fillId="25" borderId="0" applyNumberFormat="0" applyBorder="0" applyAlignment="0" applyProtection="0"/>
    <xf numFmtId="0" fontId="22" fillId="25" borderId="0" applyNumberFormat="0" applyBorder="0" applyAlignment="0" applyProtection="0"/>
    <xf numFmtId="166" fontId="22" fillId="25" borderId="0" applyNumberFormat="0" applyBorder="0" applyAlignment="0" applyProtection="0"/>
    <xf numFmtId="166" fontId="22" fillId="29" borderId="0" applyNumberFormat="0" applyBorder="0" applyAlignment="0" applyProtection="0"/>
    <xf numFmtId="0" fontId="22" fillId="29" borderId="0" applyNumberFormat="0" applyBorder="0" applyAlignment="0" applyProtection="0"/>
    <xf numFmtId="166" fontId="22" fillId="29" borderId="0" applyNumberFormat="0" applyBorder="0" applyAlignment="0" applyProtection="0"/>
    <xf numFmtId="166" fontId="22" fillId="33" borderId="0" applyNumberFormat="0" applyBorder="0" applyAlignment="0" applyProtection="0"/>
    <xf numFmtId="0" fontId="22" fillId="33" borderId="0" applyNumberFormat="0" applyBorder="0" applyAlignment="0" applyProtection="0"/>
    <xf numFmtId="166" fontId="22" fillId="33" borderId="0" applyNumberFormat="0" applyBorder="0" applyAlignment="0" applyProtection="0"/>
    <xf numFmtId="166" fontId="12" fillId="7" borderId="0" applyNumberFormat="0" applyBorder="0" applyAlignment="0" applyProtection="0"/>
    <xf numFmtId="0" fontId="12" fillId="7" borderId="0" applyNumberFormat="0" applyBorder="0" applyAlignment="0" applyProtection="0"/>
    <xf numFmtId="166" fontId="12" fillId="7" borderId="0" applyNumberFormat="0" applyBorder="0" applyAlignment="0" applyProtection="0"/>
    <xf numFmtId="166" fontId="16" fillId="10" borderId="6" applyNumberFormat="0" applyAlignment="0" applyProtection="0"/>
    <xf numFmtId="0" fontId="16" fillId="10" borderId="6" applyNumberFormat="0" applyAlignment="0" applyProtection="0"/>
    <xf numFmtId="166" fontId="16" fillId="10" borderId="6" applyNumberFormat="0" applyAlignment="0" applyProtection="0"/>
    <xf numFmtId="166" fontId="18" fillId="11" borderId="9" applyNumberFormat="0" applyAlignment="0" applyProtection="0"/>
    <xf numFmtId="0" fontId="18" fillId="11" borderId="9" applyNumberFormat="0" applyAlignment="0" applyProtection="0"/>
    <xf numFmtId="166" fontId="18" fillId="11" borderId="9" applyNumberFormat="0" applyAlignment="0" applyProtection="0"/>
    <xf numFmtId="43" fontId="24" fillId="0" borderId="0" applyFont="0" applyFill="0" applyBorder="0" applyAlignment="0" applyProtection="0"/>
    <xf numFmtId="44" fontId="1" fillId="0" borderId="0" applyFont="0" applyFill="0" applyBorder="0" applyAlignment="0" applyProtection="0"/>
    <xf numFmtId="44" fontId="24" fillId="0" borderId="0" applyFont="0" applyFill="0" applyBorder="0" applyAlignment="0" applyProtection="0"/>
    <xf numFmtId="166" fontId="24" fillId="0" borderId="0"/>
    <xf numFmtId="0" fontId="24" fillId="0" borderId="0"/>
    <xf numFmtId="166" fontId="20" fillId="0" borderId="0" applyNumberFormat="0" applyFill="0" applyBorder="0" applyAlignment="0" applyProtection="0"/>
    <xf numFmtId="0" fontId="20" fillId="0" borderId="0" applyNumberFormat="0" applyFill="0" applyBorder="0" applyAlignment="0" applyProtection="0"/>
    <xf numFmtId="166" fontId="20" fillId="0" borderId="0" applyNumberFormat="0" applyFill="0" applyBorder="0" applyAlignment="0" applyProtection="0"/>
    <xf numFmtId="166" fontId="11" fillId="6" borderId="0" applyNumberFormat="0" applyBorder="0" applyAlignment="0" applyProtection="0"/>
    <xf numFmtId="0" fontId="11" fillId="6" borderId="0" applyNumberFormat="0" applyBorder="0" applyAlignment="0" applyProtection="0"/>
    <xf numFmtId="166" fontId="11" fillId="6" borderId="0" applyNumberFormat="0" applyBorder="0" applyAlignment="0" applyProtection="0"/>
    <xf numFmtId="166" fontId="8" fillId="0" borderId="3" applyNumberFormat="0" applyFill="0" applyAlignment="0" applyProtection="0"/>
    <xf numFmtId="0" fontId="8" fillId="0" borderId="3" applyNumberFormat="0" applyFill="0" applyAlignment="0" applyProtection="0"/>
    <xf numFmtId="166" fontId="8" fillId="0" borderId="3" applyNumberFormat="0" applyFill="0" applyAlignment="0" applyProtection="0"/>
    <xf numFmtId="166" fontId="9" fillId="0" borderId="4" applyNumberFormat="0" applyFill="0" applyAlignment="0" applyProtection="0"/>
    <xf numFmtId="0" fontId="9" fillId="0" borderId="4" applyNumberFormat="0" applyFill="0" applyAlignment="0" applyProtection="0"/>
    <xf numFmtId="166" fontId="9" fillId="0" borderId="4" applyNumberFormat="0" applyFill="0" applyAlignment="0" applyProtection="0"/>
    <xf numFmtId="166" fontId="10" fillId="0" borderId="5" applyNumberFormat="0" applyFill="0" applyAlignment="0" applyProtection="0"/>
    <xf numFmtId="0" fontId="10" fillId="0" borderId="5" applyNumberFormat="0" applyFill="0" applyAlignment="0" applyProtection="0"/>
    <xf numFmtId="166" fontId="10" fillId="0" borderId="5" applyNumberFormat="0" applyFill="0" applyAlignment="0" applyProtection="0"/>
    <xf numFmtId="166" fontId="10" fillId="0" borderId="0" applyNumberFormat="0" applyFill="0" applyBorder="0" applyAlignment="0" applyProtection="0"/>
    <xf numFmtId="0" fontId="10" fillId="0" borderId="0" applyNumberFormat="0" applyFill="0" applyBorder="0" applyAlignment="0" applyProtection="0"/>
    <xf numFmtId="166" fontId="10" fillId="0" borderId="0" applyNumberFormat="0" applyFill="0" applyBorder="0" applyAlignment="0" applyProtection="0"/>
    <xf numFmtId="166" fontId="14" fillId="9" borderId="6" applyNumberFormat="0" applyAlignment="0" applyProtection="0"/>
    <xf numFmtId="0" fontId="14" fillId="9" borderId="6" applyNumberFormat="0" applyAlignment="0" applyProtection="0"/>
    <xf numFmtId="166" fontId="14" fillId="9" borderId="6" applyNumberFormat="0" applyAlignment="0" applyProtection="0"/>
    <xf numFmtId="166" fontId="17" fillId="0" borderId="8" applyNumberFormat="0" applyFill="0" applyAlignment="0" applyProtection="0"/>
    <xf numFmtId="0" fontId="17" fillId="0" borderId="8" applyNumberFormat="0" applyFill="0" applyAlignment="0" applyProtection="0"/>
    <xf numFmtId="166" fontId="17" fillId="0" borderId="8" applyNumberFormat="0" applyFill="0" applyAlignment="0" applyProtection="0"/>
    <xf numFmtId="166" fontId="13" fillId="8" borderId="0" applyNumberFormat="0" applyBorder="0" applyAlignment="0" applyProtection="0"/>
    <xf numFmtId="0" fontId="13" fillId="8" borderId="0" applyNumberFormat="0" applyBorder="0" applyAlignment="0" applyProtection="0"/>
    <xf numFmtId="166" fontId="13" fillId="8" borderId="0" applyNumberFormat="0" applyBorder="0" applyAlignment="0" applyProtection="0"/>
    <xf numFmtId="0" fontId="1" fillId="0" borderId="0"/>
    <xf numFmtId="166" fontId="1" fillId="0" borderId="0"/>
    <xf numFmtId="166" fontId="1" fillId="0" borderId="0"/>
    <xf numFmtId="166" fontId="1" fillId="0" borderId="0"/>
    <xf numFmtId="166" fontId="1" fillId="0" borderId="0"/>
    <xf numFmtId="166" fontId="1" fillId="0" borderId="0"/>
    <xf numFmtId="166" fontId="24" fillId="0" borderId="0"/>
    <xf numFmtId="0" fontId="24" fillId="0" borderId="0"/>
    <xf numFmtId="166" fontId="24"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4" fillId="0" borderId="0"/>
    <xf numFmtId="0" fontId="24" fillId="0" borderId="0"/>
    <xf numFmtId="0" fontId="24" fillId="0" borderId="0"/>
    <xf numFmtId="166" fontId="1" fillId="0" borderId="0"/>
    <xf numFmtId="0" fontId="24" fillId="0" borderId="0"/>
    <xf numFmtId="0" fontId="1" fillId="0" borderId="0"/>
    <xf numFmtId="0" fontId="1" fillId="0" borderId="0"/>
    <xf numFmtId="166" fontId="1" fillId="0" borderId="0"/>
    <xf numFmtId="166" fontId="1" fillId="0" borderId="0"/>
    <xf numFmtId="166" fontId="1" fillId="0" borderId="0"/>
    <xf numFmtId="0" fontId="36" fillId="12" borderId="10" applyNumberFormat="0" applyFont="0" applyAlignment="0" applyProtection="0"/>
    <xf numFmtId="166" fontId="36" fillId="12" borderId="10" applyNumberFormat="0" applyFont="0" applyAlignment="0" applyProtection="0"/>
    <xf numFmtId="0" fontId="36" fillId="12" borderId="10" applyNumberFormat="0" applyFont="0" applyAlignment="0" applyProtection="0"/>
    <xf numFmtId="166" fontId="36" fillId="12" borderId="10" applyNumberFormat="0" applyFont="0" applyAlignment="0" applyProtection="0"/>
    <xf numFmtId="166" fontId="15" fillId="10" borderId="7" applyNumberFormat="0" applyAlignment="0" applyProtection="0"/>
    <xf numFmtId="0" fontId="15" fillId="10" borderId="7" applyNumberFormat="0" applyAlignment="0" applyProtection="0"/>
    <xf numFmtId="166" fontId="15" fillId="10" borderId="7" applyNumberFormat="0" applyAlignment="0" applyProtection="0"/>
    <xf numFmtId="9" fontId="1" fillId="0" borderId="0" applyFont="0" applyFill="0" applyBorder="0" applyAlignment="0" applyProtection="0"/>
    <xf numFmtId="9" fontId="24" fillId="0" borderId="0" applyFont="0" applyFill="0" applyBorder="0" applyAlignment="0" applyProtection="0"/>
    <xf numFmtId="166" fontId="35" fillId="0" borderId="0" applyNumberFormat="0" applyFill="0" applyBorder="0" applyAlignment="0" applyProtection="0"/>
    <xf numFmtId="0" fontId="35" fillId="0" borderId="0" applyNumberFormat="0" applyFill="0" applyBorder="0" applyAlignment="0" applyProtection="0"/>
    <xf numFmtId="166" fontId="35" fillId="0" borderId="0" applyNumberFormat="0" applyFill="0" applyBorder="0" applyAlignment="0" applyProtection="0"/>
    <xf numFmtId="166" fontId="21" fillId="0" borderId="11" applyNumberFormat="0" applyFill="0" applyAlignment="0" applyProtection="0"/>
    <xf numFmtId="0" fontId="21" fillId="0" borderId="11" applyNumberFormat="0" applyFill="0" applyAlignment="0" applyProtection="0"/>
    <xf numFmtId="166" fontId="21" fillId="0" borderId="11" applyNumberFormat="0" applyFill="0" applyAlignment="0" applyProtection="0"/>
    <xf numFmtId="166" fontId="19" fillId="0" borderId="0" applyNumberFormat="0" applyFill="0" applyBorder="0" applyAlignment="0" applyProtection="0"/>
    <xf numFmtId="0" fontId="19" fillId="0" borderId="0" applyNumberFormat="0" applyFill="0" applyBorder="0" applyAlignment="0" applyProtection="0"/>
    <xf numFmtId="166" fontId="19" fillId="0" borderId="0" applyNumberFormat="0" applyFill="0" applyBorder="0" applyAlignment="0" applyProtection="0"/>
    <xf numFmtId="0" fontId="24" fillId="0" borderId="0"/>
    <xf numFmtId="0" fontId="24" fillId="0" borderId="0"/>
    <xf numFmtId="44" fontId="24" fillId="0" borderId="0" applyFont="0" applyFill="0" applyBorder="0" applyAlignment="0" applyProtection="0"/>
    <xf numFmtId="0" fontId="26" fillId="0" borderId="0"/>
    <xf numFmtId="165" fontId="26" fillId="0" borderId="0" applyFont="0" applyFill="0" applyBorder="0" applyAlignment="0" applyProtection="0"/>
    <xf numFmtId="167" fontId="26" fillId="0" borderId="0" applyFont="0" applyFill="0" applyBorder="0" applyAlignment="0" applyProtection="0"/>
    <xf numFmtId="0" fontId="24" fillId="0" borderId="0"/>
    <xf numFmtId="0" fontId="39" fillId="0" borderId="0"/>
    <xf numFmtId="164" fontId="1" fillId="0" borderId="0" applyFont="0" applyFill="0" applyBorder="0" applyAlignment="0" applyProtection="0"/>
    <xf numFmtId="0" fontId="1" fillId="0" borderId="0"/>
    <xf numFmtId="0" fontId="1" fillId="0" borderId="0"/>
    <xf numFmtId="9" fontId="24" fillId="0" borderId="0" applyFont="0" applyFill="0" applyBorder="0" applyAlignment="0" applyProtection="0"/>
    <xf numFmtId="0" fontId="37" fillId="0" borderId="0" applyNumberFormat="0">
      <alignment horizontal="left" vertical="top" wrapText="1"/>
    </xf>
    <xf numFmtId="0" fontId="38" fillId="0" borderId="0"/>
    <xf numFmtId="0" fontId="28" fillId="0" borderId="0"/>
    <xf numFmtId="164" fontId="24"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xf numFmtId="166" fontId="35" fillId="0" borderId="0" applyNumberFormat="0" applyFill="0" applyBorder="0" applyAlignment="0" applyProtection="0"/>
    <xf numFmtId="166" fontId="8" fillId="0" borderId="3" applyNumberFormat="0" applyFill="0" applyAlignment="0" applyProtection="0"/>
    <xf numFmtId="166" fontId="9" fillId="0" borderId="4" applyNumberFormat="0" applyFill="0" applyAlignment="0" applyProtection="0"/>
    <xf numFmtId="166" fontId="10" fillId="0" borderId="5" applyNumberFormat="0" applyFill="0" applyAlignment="0" applyProtection="0"/>
    <xf numFmtId="166" fontId="10" fillId="0" borderId="0" applyNumberFormat="0" applyFill="0" applyBorder="0" applyAlignment="0" applyProtection="0"/>
    <xf numFmtId="166" fontId="11" fillId="6" borderId="0" applyNumberFormat="0" applyBorder="0" applyAlignment="0" applyProtection="0"/>
    <xf numFmtId="166" fontId="12" fillId="7" borderId="0" applyNumberFormat="0" applyBorder="0" applyAlignment="0" applyProtection="0"/>
    <xf numFmtId="166" fontId="13" fillId="8" borderId="0" applyNumberFormat="0" applyBorder="0" applyAlignment="0" applyProtection="0"/>
    <xf numFmtId="166" fontId="14" fillId="9" borderId="6" applyNumberFormat="0" applyAlignment="0" applyProtection="0"/>
    <xf numFmtId="166" fontId="15" fillId="10" borderId="7" applyNumberFormat="0" applyAlignment="0" applyProtection="0"/>
    <xf numFmtId="166" fontId="16" fillId="10" borderId="6" applyNumberFormat="0" applyAlignment="0" applyProtection="0"/>
    <xf numFmtId="166" fontId="17" fillId="0" borderId="8" applyNumberFormat="0" applyFill="0" applyAlignment="0" applyProtection="0"/>
    <xf numFmtId="166" fontId="18" fillId="11" borderId="9" applyNumberFormat="0" applyAlignment="0" applyProtection="0"/>
    <xf numFmtId="166" fontId="19" fillId="0" borderId="0" applyNumberFormat="0" applyFill="0" applyBorder="0" applyAlignment="0" applyProtection="0"/>
    <xf numFmtId="166" fontId="20" fillId="0" borderId="0" applyNumberFormat="0" applyFill="0" applyBorder="0" applyAlignment="0" applyProtection="0"/>
    <xf numFmtId="166" fontId="21" fillId="0" borderId="11" applyNumberFormat="0" applyFill="0" applyAlignment="0" applyProtection="0"/>
    <xf numFmtId="166" fontId="22" fillId="13" borderId="0" applyNumberFormat="0" applyBorder="0" applyAlignment="0" applyProtection="0"/>
    <xf numFmtId="166" fontId="1" fillId="14" borderId="0" applyNumberFormat="0" applyBorder="0" applyAlignment="0" applyProtection="0"/>
    <xf numFmtId="166" fontId="1" fillId="15" borderId="0" applyNumberFormat="0" applyBorder="0" applyAlignment="0" applyProtection="0"/>
    <xf numFmtId="166" fontId="22" fillId="16" borderId="0" applyNumberFormat="0" applyBorder="0" applyAlignment="0" applyProtection="0"/>
    <xf numFmtId="166" fontId="22" fillId="17" borderId="0" applyNumberFormat="0" applyBorder="0" applyAlignment="0" applyProtection="0"/>
    <xf numFmtId="166" fontId="1" fillId="18" borderId="0" applyNumberFormat="0" applyBorder="0" applyAlignment="0" applyProtection="0"/>
    <xf numFmtId="166" fontId="1" fillId="19" borderId="0" applyNumberFormat="0" applyBorder="0" applyAlignment="0" applyProtection="0"/>
    <xf numFmtId="166" fontId="22" fillId="20" borderId="0" applyNumberFormat="0" applyBorder="0" applyAlignment="0" applyProtection="0"/>
    <xf numFmtId="166" fontId="22" fillId="21" borderId="0" applyNumberFormat="0" applyBorder="0" applyAlignment="0" applyProtection="0"/>
    <xf numFmtId="166" fontId="1" fillId="22" borderId="0" applyNumberFormat="0" applyBorder="0" applyAlignment="0" applyProtection="0"/>
    <xf numFmtId="166" fontId="1" fillId="23" borderId="0" applyNumberFormat="0" applyBorder="0" applyAlignment="0" applyProtection="0"/>
    <xf numFmtId="166" fontId="22" fillId="24" borderId="0" applyNumberFormat="0" applyBorder="0" applyAlignment="0" applyProtection="0"/>
    <xf numFmtId="166" fontId="22" fillId="25" borderId="0" applyNumberFormat="0" applyBorder="0" applyAlignment="0" applyProtection="0"/>
    <xf numFmtId="166" fontId="1" fillId="26" borderId="0" applyNumberFormat="0" applyBorder="0" applyAlignment="0" applyProtection="0"/>
    <xf numFmtId="166" fontId="1" fillId="27" borderId="0" applyNumberFormat="0" applyBorder="0" applyAlignment="0" applyProtection="0"/>
    <xf numFmtId="166" fontId="22" fillId="28" borderId="0" applyNumberFormat="0" applyBorder="0" applyAlignment="0" applyProtection="0"/>
    <xf numFmtId="166" fontId="22" fillId="29" borderId="0" applyNumberFormat="0" applyBorder="0" applyAlignment="0" applyProtection="0"/>
    <xf numFmtId="166" fontId="1" fillId="30" borderId="0" applyNumberFormat="0" applyBorder="0" applyAlignment="0" applyProtection="0"/>
    <xf numFmtId="166" fontId="1" fillId="31" borderId="0" applyNumberFormat="0" applyBorder="0" applyAlignment="0" applyProtection="0"/>
    <xf numFmtId="166" fontId="22" fillId="32" borderId="0" applyNumberFormat="0" applyBorder="0" applyAlignment="0" applyProtection="0"/>
    <xf numFmtId="166" fontId="22" fillId="33" borderId="0" applyNumberFormat="0" applyBorder="0" applyAlignment="0" applyProtection="0"/>
    <xf numFmtId="166" fontId="1" fillId="34" borderId="0" applyNumberFormat="0" applyBorder="0" applyAlignment="0" applyProtection="0"/>
    <xf numFmtId="166" fontId="1" fillId="35" borderId="0" applyNumberFormat="0" applyBorder="0" applyAlignment="0" applyProtection="0"/>
    <xf numFmtId="166" fontId="22" fillId="36" borderId="0" applyNumberFormat="0" applyBorder="0" applyAlignment="0" applyProtection="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24" fillId="0" borderId="0"/>
    <xf numFmtId="0" fontId="28" fillId="0" borderId="0"/>
    <xf numFmtId="0" fontId="40" fillId="0" borderId="0" applyNumberFormat="0" applyFill="0" applyBorder="0" applyAlignment="0" applyProtection="0">
      <alignment vertical="top"/>
      <protection locked="0"/>
    </xf>
    <xf numFmtId="0" fontId="1" fillId="0" borderId="0"/>
    <xf numFmtId="44" fontId="1" fillId="0" borderId="0" applyFont="0" applyFill="0" applyBorder="0" applyAlignment="0" applyProtection="0"/>
    <xf numFmtId="0" fontId="1" fillId="12" borderId="10" applyNumberFormat="0" applyFont="0" applyAlignment="0" applyProtection="0"/>
    <xf numFmtId="44" fontId="1"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0" fontId="1" fillId="0" borderId="0"/>
    <xf numFmtId="44" fontId="1" fillId="0" borderId="0" applyFont="0" applyFill="0" applyBorder="0" applyAlignment="0" applyProtection="0"/>
    <xf numFmtId="0" fontId="1" fillId="12" borderId="10" applyNumberFormat="0" applyFont="0" applyAlignment="0" applyProtection="0"/>
    <xf numFmtId="166" fontId="1" fillId="0" borderId="0"/>
    <xf numFmtId="166" fontId="1" fillId="0" borderId="0"/>
    <xf numFmtId="0" fontId="1" fillId="0" borderId="0"/>
    <xf numFmtId="44" fontId="1" fillId="0" borderId="0" applyFont="0" applyFill="0" applyBorder="0" applyAlignment="0" applyProtection="0"/>
    <xf numFmtId="0" fontId="35" fillId="0" borderId="0" applyNumberForma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7" borderId="0" applyNumberFormat="0" applyBorder="0" applyAlignment="0" applyProtection="0"/>
    <xf numFmtId="0" fontId="13" fillId="8" borderId="0" applyNumberFormat="0" applyBorder="0" applyAlignment="0" applyProtection="0"/>
    <xf numFmtId="0" fontId="19" fillId="0" borderId="0" applyNumberFormat="0" applyFill="0" applyBorder="0" applyAlignment="0" applyProtection="0"/>
    <xf numFmtId="0" fontId="1" fillId="12" borderId="10" applyNumberFormat="0" applyFont="0" applyAlignment="0" applyProtection="0"/>
    <xf numFmtId="0" fontId="20" fillId="0" borderId="0" applyNumberFormat="0" applyFill="0" applyBorder="0" applyAlignment="0" applyProtection="0"/>
    <xf numFmtId="0" fontId="22"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2" fillId="36" borderId="0" applyNumberFormat="0" applyBorder="0" applyAlignment="0" applyProtection="0"/>
    <xf numFmtId="0" fontId="1" fillId="0" borderId="0"/>
    <xf numFmtId="44" fontId="1" fillId="0" borderId="0" applyFont="0" applyFill="0" applyBorder="0" applyAlignment="0" applyProtection="0"/>
    <xf numFmtId="0" fontId="1" fillId="12" borderId="10" applyNumberFormat="0" applyFont="0" applyAlignment="0" applyProtection="0"/>
    <xf numFmtId="166" fontId="1" fillId="0" borderId="0"/>
    <xf numFmtId="49" fontId="24" fillId="0" borderId="0" applyNumberFormat="0" applyFont="0" applyAlignment="0" applyProtection="0">
      <alignment horizontal="center" vertical="top" wrapText="1"/>
      <protection locked="0"/>
    </xf>
    <xf numFmtId="1" fontId="41" fillId="0" borderId="0" applyNumberFormat="0" applyAlignment="0">
      <alignment horizontal="center" vertical="top" wrapText="1"/>
      <protection locked="0"/>
    </xf>
    <xf numFmtId="49" fontId="24" fillId="0" borderId="0" applyNumberFormat="0" applyFill="0" applyAlignment="0">
      <alignment horizontal="center" vertical="top" wrapText="1"/>
      <protection locked="0"/>
    </xf>
    <xf numFmtId="0" fontId="24" fillId="0" borderId="0"/>
    <xf numFmtId="0" fontId="1" fillId="0" borderId="0"/>
    <xf numFmtId="0" fontId="24" fillId="0" borderId="0"/>
    <xf numFmtId="43" fontId="24"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67" fontId="1" fillId="0" borderId="0" applyFont="0" applyFill="0" applyBorder="0" applyAlignment="0" applyProtection="0"/>
    <xf numFmtId="44" fontId="24" fillId="0" borderId="0" applyFont="0" applyFill="0" applyBorder="0" applyAlignment="0" applyProtection="0"/>
    <xf numFmtId="44" fontId="36" fillId="0" borderId="0" applyFont="0" applyFill="0" applyBorder="0" applyAlignment="0" applyProtection="0"/>
    <xf numFmtId="168" fontId="29" fillId="0" borderId="0"/>
    <xf numFmtId="0" fontId="42" fillId="0" borderId="0" applyNumberFormat="0" applyFill="0" applyBorder="0" applyAlignment="0" applyProtection="0">
      <alignment vertical="top"/>
      <protection locked="0"/>
    </xf>
    <xf numFmtId="0" fontId="1" fillId="0" borderId="0"/>
    <xf numFmtId="0" fontId="43" fillId="0" borderId="0"/>
    <xf numFmtId="0" fontId="43" fillId="0" borderId="0"/>
    <xf numFmtId="0" fontId="1" fillId="0" borderId="0"/>
    <xf numFmtId="0" fontId="24" fillId="0" borderId="0"/>
    <xf numFmtId="0" fontId="43" fillId="0" borderId="0"/>
    <xf numFmtId="0" fontId="1" fillId="0" borderId="0"/>
    <xf numFmtId="0" fontId="1" fillId="0" borderId="0"/>
    <xf numFmtId="0" fontId="30" fillId="0" borderId="0"/>
    <xf numFmtId="0" fontId="43" fillId="0" borderId="0"/>
    <xf numFmtId="0" fontId="44" fillId="0" borderId="0"/>
    <xf numFmtId="0" fontId="43" fillId="0" borderId="0"/>
    <xf numFmtId="0" fontId="1"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43"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166" fontId="1" fillId="0" borderId="0"/>
    <xf numFmtId="0" fontId="43" fillId="0" borderId="0"/>
    <xf numFmtId="0" fontId="43" fillId="0" borderId="0"/>
    <xf numFmtId="166" fontId="1" fillId="0" borderId="0"/>
    <xf numFmtId="166" fontId="1" fillId="0" borderId="0"/>
    <xf numFmtId="166" fontId="1" fillId="0" borderId="0"/>
    <xf numFmtId="166" fontId="1" fillId="0" borderId="0"/>
    <xf numFmtId="166" fontId="1" fillId="0" borderId="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30" fillId="0" borderId="0" applyFont="0" applyFill="0" applyBorder="0" applyAlignment="0" applyProtection="0"/>
    <xf numFmtId="9" fontId="45" fillId="0" borderId="0" applyFont="0" applyFill="0" applyBorder="0" applyAlignment="0" applyProtection="0"/>
    <xf numFmtId="0" fontId="24" fillId="0" borderId="0"/>
    <xf numFmtId="165" fontId="26" fillId="0" borderId="0" applyFont="0" applyFill="0" applyBorder="0" applyAlignment="0" applyProtection="0"/>
    <xf numFmtId="167" fontId="26" fillId="0" borderId="0" applyFont="0" applyFill="0" applyBorder="0" applyAlignment="0" applyProtection="0"/>
    <xf numFmtId="0" fontId="28" fillId="0" borderId="0"/>
    <xf numFmtId="0" fontId="24" fillId="0" borderId="0"/>
    <xf numFmtId="0" fontId="24" fillId="0" borderId="0"/>
    <xf numFmtId="0" fontId="24" fillId="0" borderId="0"/>
    <xf numFmtId="0" fontId="24" fillId="0" borderId="0"/>
    <xf numFmtId="0" fontId="46" fillId="0" borderId="0"/>
    <xf numFmtId="44" fontId="46"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9" fontId="1" fillId="0" borderId="0" applyFont="0" applyFill="0" applyBorder="0" applyAlignment="0" applyProtection="0"/>
    <xf numFmtId="43" fontId="24"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0" fontId="24" fillId="0" borderId="0"/>
    <xf numFmtId="0" fontId="24" fillId="0" borderId="0"/>
    <xf numFmtId="166" fontId="1" fillId="0" borderId="0"/>
    <xf numFmtId="166" fontId="1" fillId="0" borderId="0"/>
    <xf numFmtId="166" fontId="1" fillId="0" borderId="0"/>
    <xf numFmtId="9" fontId="24" fillId="0" borderId="0" applyFont="0" applyFill="0" applyBorder="0" applyAlignment="0" applyProtection="0"/>
    <xf numFmtId="9" fontId="1" fillId="0" borderId="0" applyFont="0" applyFill="0" applyBorder="0" applyAlignment="0" applyProtection="0"/>
    <xf numFmtId="44" fontId="24"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164" fontId="1" fillId="0" borderId="0" applyFont="0" applyFill="0" applyBorder="0" applyAlignment="0" applyProtection="0"/>
    <xf numFmtId="164" fontId="24" fillId="0" borderId="0" applyFont="0" applyFill="0" applyBorder="0" applyAlignment="0" applyProtection="0"/>
    <xf numFmtId="0" fontId="1" fillId="0" borderId="0"/>
    <xf numFmtId="44" fontId="1" fillId="0" borderId="0" applyFont="0" applyFill="0" applyBorder="0" applyAlignment="0" applyProtection="0"/>
    <xf numFmtId="0" fontId="30" fillId="0" borderId="0"/>
    <xf numFmtId="0" fontId="43" fillId="0" borderId="0"/>
    <xf numFmtId="0" fontId="44" fillId="0" borderId="0"/>
    <xf numFmtId="0" fontId="1" fillId="0" borderId="0"/>
    <xf numFmtId="9" fontId="36"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166" fontId="1" fillId="0" borderId="0"/>
    <xf numFmtId="0" fontId="24" fillId="0" borderId="0"/>
    <xf numFmtId="0" fontId="47" fillId="0" borderId="0"/>
    <xf numFmtId="0" fontId="35" fillId="0" borderId="0" applyNumberFormat="0" applyFill="0" applyBorder="0" applyAlignment="0" applyProtection="0"/>
    <xf numFmtId="0" fontId="70" fillId="0" borderId="0" applyNumberFormat="0" applyFill="0" applyBorder="0" applyAlignment="0" applyProtection="0"/>
    <xf numFmtId="0" fontId="1" fillId="0" borderId="0"/>
    <xf numFmtId="0" fontId="71" fillId="8"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3" fillId="8"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1" fillId="0" borderId="0" applyFont="0" applyFill="0" applyBorder="0" applyAlignment="0" applyProtection="0"/>
  </cellStyleXfs>
  <cellXfs count="320">
    <xf numFmtId="0" fontId="0" fillId="0" borderId="0" xfId="0"/>
    <xf numFmtId="0" fontId="0" fillId="2" borderId="0" xfId="0" applyFill="1"/>
    <xf numFmtId="0" fontId="5" fillId="3" borderId="0" xfId="0" applyFont="1" applyFill="1"/>
    <xf numFmtId="0" fontId="6" fillId="3" borderId="0" xfId="0" applyFont="1" applyFill="1"/>
    <xf numFmtId="0" fontId="6" fillId="3" borderId="1" xfId="0" applyFont="1" applyFill="1" applyBorder="1"/>
    <xf numFmtId="0" fontId="5" fillId="3" borderId="2" xfId="0" applyFont="1" applyFill="1" applyBorder="1"/>
    <xf numFmtId="44" fontId="7" fillId="3" borderId="0" xfId="0" applyNumberFormat="1" applyFont="1" applyFill="1" applyAlignment="1">
      <alignment horizontal="left"/>
    </xf>
    <xf numFmtId="0" fontId="0" fillId="0" borderId="0" xfId="0" applyAlignment="1">
      <alignment wrapText="1"/>
    </xf>
    <xf numFmtId="0" fontId="0" fillId="0" borderId="0" xfId="0" applyAlignment="1">
      <alignment horizontal="left" vertical="top" wrapText="1"/>
    </xf>
    <xf numFmtId="44" fontId="0" fillId="0" borderId="0" xfId="1" applyFont="1"/>
    <xf numFmtId="0" fontId="2" fillId="4" borderId="0" xfId="0" applyFont="1" applyFill="1"/>
    <xf numFmtId="0" fontId="0" fillId="0" borderId="0" xfId="0" applyAlignment="1">
      <alignment vertical="top"/>
    </xf>
    <xf numFmtId="0" fontId="0" fillId="0" borderId="0" xfId="0" applyAlignment="1">
      <alignment horizontal="left"/>
    </xf>
    <xf numFmtId="0" fontId="21" fillId="0" borderId="0" xfId="0" applyFont="1"/>
    <xf numFmtId="1" fontId="0" fillId="0" borderId="0" xfId="0" applyNumberFormat="1" applyAlignment="1">
      <alignment horizontal="left"/>
    </xf>
    <xf numFmtId="0" fontId="0" fillId="37" borderId="0" xfId="0" applyFill="1"/>
    <xf numFmtId="0" fontId="4" fillId="4" borderId="0" xfId="0" applyFont="1" applyFill="1"/>
    <xf numFmtId="0" fontId="0" fillId="4" borderId="0" xfId="0" applyFill="1"/>
    <xf numFmtId="0" fontId="23" fillId="0" borderId="0" xfId="0" applyFont="1"/>
    <xf numFmtId="0" fontId="7" fillId="0" borderId="0" xfId="0" applyFont="1" applyAlignment="1">
      <alignment horizontal="left" vertical="top"/>
    </xf>
    <xf numFmtId="0" fontId="7" fillId="0" borderId="0" xfId="0" applyFont="1"/>
    <xf numFmtId="0" fontId="7" fillId="0" borderId="0" xfId="0" applyFont="1" applyAlignment="1">
      <alignment horizontal="left"/>
    </xf>
    <xf numFmtId="0" fontId="7" fillId="0" borderId="0" xfId="0" applyFont="1" applyAlignment="1">
      <alignment horizontal="left" vertical="top" wrapText="1"/>
    </xf>
    <xf numFmtId="0" fontId="26" fillId="0" borderId="0" xfId="0" applyFont="1"/>
    <xf numFmtId="0" fontId="18" fillId="39" borderId="0" xfId="0" applyFont="1" applyFill="1" applyAlignment="1">
      <alignment horizontal="center" vertical="top"/>
    </xf>
    <xf numFmtId="0" fontId="18" fillId="39" borderId="0" xfId="0" applyFont="1" applyFill="1" applyAlignment="1">
      <alignment horizontal="center" vertical="top" wrapText="1"/>
    </xf>
    <xf numFmtId="0" fontId="27" fillId="0" borderId="0" xfId="0" applyFont="1"/>
    <xf numFmtId="0" fontId="51" fillId="0" borderId="0" xfId="0" applyFont="1" applyAlignment="1">
      <alignment horizontal="left"/>
    </xf>
    <xf numFmtId="0" fontId="34" fillId="0" borderId="0" xfId="0" applyFont="1" applyAlignment="1">
      <alignment horizontal="left"/>
    </xf>
    <xf numFmtId="0" fontId="34" fillId="0" borderId="0" xfId="0" applyFont="1"/>
    <xf numFmtId="0" fontId="0" fillId="0" borderId="0" xfId="0" applyAlignment="1">
      <alignment vertical="top" wrapText="1"/>
    </xf>
    <xf numFmtId="0" fontId="56" fillId="2" borderId="0" xfId="0" applyFont="1" applyFill="1"/>
    <xf numFmtId="0" fontId="55" fillId="2" borderId="0" xfId="0" applyFont="1" applyFill="1" applyAlignment="1">
      <alignment horizontal="left"/>
    </xf>
    <xf numFmtId="0" fontId="52" fillId="0" borderId="0" xfId="0" applyFont="1" applyAlignment="1">
      <alignment horizontal="left"/>
    </xf>
    <xf numFmtId="0" fontId="21" fillId="0" borderId="0" xfId="0" applyFont="1" applyAlignment="1">
      <alignment horizontal="center" vertical="center"/>
    </xf>
    <xf numFmtId="0" fontId="7" fillId="0" borderId="0" xfId="0" applyFont="1" applyAlignment="1">
      <alignment vertical="top" wrapText="1"/>
    </xf>
    <xf numFmtId="49" fontId="0" fillId="0" borderId="0" xfId="0" applyNumberFormat="1" applyAlignment="1">
      <alignment vertical="top" wrapText="1"/>
    </xf>
    <xf numFmtId="49" fontId="0" fillId="0" borderId="0" xfId="0" applyNumberFormat="1" applyAlignment="1">
      <alignment vertical="top"/>
    </xf>
    <xf numFmtId="49" fontId="0" fillId="0" borderId="0" xfId="0" applyNumberFormat="1" applyAlignment="1">
      <alignment horizontal="center" vertical="top"/>
    </xf>
    <xf numFmtId="0" fontId="52" fillId="0" borderId="0" xfId="0" applyFont="1"/>
    <xf numFmtId="0" fontId="53" fillId="37" borderId="0" xfId="0" applyFont="1" applyFill="1"/>
    <xf numFmtId="0" fontId="52" fillId="37" borderId="0" xfId="0" applyFont="1" applyFill="1"/>
    <xf numFmtId="0" fontId="59" fillId="0" borderId="0" xfId="53" applyFont="1" applyAlignment="1" applyProtection="1"/>
    <xf numFmtId="0" fontId="60" fillId="0" borderId="0" xfId="50" applyFont="1" applyAlignment="1" applyProtection="1"/>
    <xf numFmtId="0" fontId="61" fillId="0" borderId="0" xfId="0" applyFont="1"/>
    <xf numFmtId="0" fontId="0" fillId="0" borderId="0" xfId="0" applyAlignment="1">
      <alignment horizontal="left" vertical="center"/>
    </xf>
    <xf numFmtId="0" fontId="29" fillId="0" borderId="13" xfId="0" applyFont="1" applyBorder="1" applyAlignment="1">
      <alignment horizontal="left" vertical="center"/>
    </xf>
    <xf numFmtId="1" fontId="0" fillId="0" borderId="0" xfId="0" applyNumberFormat="1" applyAlignment="1">
      <alignment horizontal="center" vertical="center"/>
    </xf>
    <xf numFmtId="0" fontId="21" fillId="0" borderId="0" xfId="0" applyFont="1" applyAlignment="1">
      <alignment vertical="center"/>
    </xf>
    <xf numFmtId="0" fontId="29" fillId="38" borderId="13" xfId="0" applyFont="1" applyFill="1" applyBorder="1" applyAlignment="1">
      <alignment horizontal="left" vertical="center"/>
    </xf>
    <xf numFmtId="0" fontId="21" fillId="0" borderId="0" xfId="0" applyFont="1" applyAlignment="1">
      <alignment horizontal="left" vertical="center"/>
    </xf>
    <xf numFmtId="14" fontId="21"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left" vertical="center" wrapText="1"/>
    </xf>
    <xf numFmtId="0" fontId="65" fillId="0" borderId="0" xfId="0" applyFont="1" applyAlignment="1">
      <alignment horizontal="left" vertical="center"/>
    </xf>
    <xf numFmtId="14" fontId="0" fillId="0" borderId="0" xfId="0" applyNumberFormat="1" applyAlignment="1">
      <alignment horizontal="center" vertical="center"/>
    </xf>
    <xf numFmtId="0" fontId="54" fillId="37" borderId="0" xfId="0" applyFont="1" applyFill="1" applyAlignment="1">
      <alignment vertical="center"/>
    </xf>
    <xf numFmtId="0" fontId="29" fillId="37" borderId="0" xfId="0" applyFont="1" applyFill="1" applyAlignment="1">
      <alignment vertical="center"/>
    </xf>
    <xf numFmtId="44" fontId="0" fillId="0" borderId="0" xfId="1" applyFont="1" applyAlignment="1">
      <alignment horizontal="center" vertical="center" wrapText="1"/>
    </xf>
    <xf numFmtId="0" fontId="0" fillId="38" borderId="0" xfId="0" applyFill="1" applyAlignment="1">
      <alignment horizontal="left" vertical="center"/>
    </xf>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2" fontId="0" fillId="0" borderId="0" xfId="0" applyNumberFormat="1" applyAlignment="1">
      <alignment horizontal="center" vertical="center"/>
    </xf>
    <xf numFmtId="40" fontId="0" fillId="0" borderId="0" xfId="0" applyNumberFormat="1" applyAlignment="1">
      <alignment horizontal="center" vertical="center"/>
    </xf>
    <xf numFmtId="0" fontId="0" fillId="4" borderId="0" xfId="0" applyFill="1" applyAlignment="1">
      <alignment horizontal="center" vertical="center"/>
    </xf>
    <xf numFmtId="0" fontId="0" fillId="4" borderId="0" xfId="0" applyFill="1" applyAlignment="1">
      <alignment horizontal="left" vertical="center"/>
    </xf>
    <xf numFmtId="0" fontId="0" fillId="4" borderId="0" xfId="0" applyFill="1" applyAlignment="1">
      <alignment vertical="center"/>
    </xf>
    <xf numFmtId="0" fontId="0" fillId="4" borderId="0" xfId="0" applyFill="1" applyAlignment="1">
      <alignment horizontal="center" vertical="center" wrapText="1"/>
    </xf>
    <xf numFmtId="0" fontId="21" fillId="4" borderId="0" xfId="0" applyFont="1" applyFill="1" applyAlignment="1">
      <alignment horizontal="left"/>
    </xf>
    <xf numFmtId="0" fontId="0" fillId="4" borderId="0" xfId="0" applyFill="1" applyAlignment="1">
      <alignment horizontal="left"/>
    </xf>
    <xf numFmtId="165" fontId="7" fillId="4" borderId="0" xfId="2" applyNumberFormat="1" applyFont="1" applyFill="1" applyAlignment="1">
      <alignment vertical="center" wrapText="1"/>
    </xf>
    <xf numFmtId="44" fontId="7" fillId="4" borderId="0" xfId="2" applyNumberFormat="1" applyFont="1" applyFill="1" applyAlignment="1">
      <alignment horizontal="left" vertical="top" wrapText="1"/>
    </xf>
    <xf numFmtId="165" fontId="7" fillId="4" borderId="0" xfId="2" applyNumberFormat="1" applyFont="1" applyFill="1" applyAlignment="1">
      <alignment vertical="center"/>
    </xf>
    <xf numFmtId="1" fontId="0" fillId="4" borderId="0" xfId="0" applyNumberFormat="1" applyFill="1" applyAlignment="1">
      <alignment horizontal="left" vertical="center"/>
    </xf>
    <xf numFmtId="0" fontId="50" fillId="5" borderId="0" xfId="0" applyFont="1" applyFill="1" applyAlignment="1">
      <alignment horizontal="center" vertical="center" wrapText="1"/>
    </xf>
    <xf numFmtId="0" fontId="58" fillId="0" borderId="0" xfId="3" applyFont="1" applyBorder="1" applyAlignment="1" applyProtection="1"/>
    <xf numFmtId="44" fontId="0" fillId="4" borderId="0" xfId="1" applyFont="1" applyFill="1" applyAlignment="1">
      <alignment horizontal="center" vertical="center"/>
    </xf>
    <xf numFmtId="0" fontId="0" fillId="4" borderId="0" xfId="0" applyFill="1" applyAlignment="1">
      <alignment horizontal="center"/>
    </xf>
    <xf numFmtId="0" fontId="23" fillId="4" borderId="0" xfId="0" applyFont="1" applyFill="1" applyAlignment="1">
      <alignment horizontal="left"/>
    </xf>
    <xf numFmtId="0" fontId="7" fillId="4" borderId="0" xfId="0" applyFont="1" applyFill="1" applyAlignment="1">
      <alignment horizontal="left"/>
    </xf>
    <xf numFmtId="0" fontId="7" fillId="4" borderId="0" xfId="0" applyFont="1" applyFill="1" applyAlignment="1">
      <alignment horizontal="left" vertical="top"/>
    </xf>
    <xf numFmtId="1" fontId="7" fillId="4" borderId="0" xfId="0" applyNumberFormat="1" applyFont="1" applyFill="1" applyAlignment="1">
      <alignment horizontal="right" vertical="center"/>
    </xf>
    <xf numFmtId="0" fontId="7" fillId="4" borderId="0" xfId="0" applyFont="1" applyFill="1" applyAlignment="1">
      <alignment horizontal="center" vertical="center"/>
    </xf>
    <xf numFmtId="0" fontId="18" fillId="4" borderId="0" xfId="0" applyFont="1" applyFill="1" applyAlignment="1">
      <alignment horizontal="center" vertical="center"/>
    </xf>
    <xf numFmtId="165" fontId="7" fillId="4" borderId="0" xfId="2" applyNumberFormat="1" applyFont="1" applyFill="1" applyBorder="1" applyAlignment="1">
      <alignment vertical="center" wrapText="1"/>
    </xf>
    <xf numFmtId="1" fontId="0" fillId="4" borderId="0" xfId="0" applyNumberFormat="1" applyFill="1" applyAlignment="1">
      <alignment horizontal="center" vertical="center"/>
    </xf>
    <xf numFmtId="44" fontId="50" fillId="5" borderId="0" xfId="1" applyFont="1" applyFill="1" applyBorder="1" applyAlignment="1">
      <alignment horizontal="center" vertical="center" wrapText="1"/>
    </xf>
    <xf numFmtId="1" fontId="50" fillId="5" borderId="0" xfId="0" applyNumberFormat="1" applyFont="1" applyFill="1" applyAlignment="1">
      <alignment horizontal="center" vertical="center" wrapText="1"/>
    </xf>
    <xf numFmtId="44" fontId="0" fillId="0" borderId="0" xfId="1" applyFont="1" applyBorder="1" applyAlignment="1">
      <alignment horizontal="center" vertical="center" wrapText="1"/>
    </xf>
    <xf numFmtId="0" fontId="62" fillId="0" borderId="0" xfId="0" applyFont="1" applyAlignment="1">
      <alignment horizontal="left" vertical="center"/>
    </xf>
    <xf numFmtId="0" fontId="48" fillId="0" borderId="0" xfId="0" applyFont="1"/>
    <xf numFmtId="0" fontId="21" fillId="4" borderId="0" xfId="0" applyFont="1" applyFill="1" applyAlignment="1">
      <alignment horizontal="left" vertical="center"/>
    </xf>
    <xf numFmtId="0" fontId="18" fillId="4" borderId="0" xfId="0" applyFont="1" applyFill="1" applyAlignment="1">
      <alignment horizontal="center" vertical="center" wrapText="1"/>
    </xf>
    <xf numFmtId="44" fontId="0" fillId="0" borderId="0" xfId="1" applyFont="1" applyFill="1" applyBorder="1" applyAlignment="1">
      <alignment horizontal="center" vertical="center"/>
    </xf>
    <xf numFmtId="165" fontId="7" fillId="4" borderId="0" xfId="2" applyNumberFormat="1" applyFont="1" applyFill="1" applyBorder="1" applyAlignment="1">
      <alignment vertical="center"/>
    </xf>
    <xf numFmtId="44" fontId="7" fillId="4" borderId="0" xfId="2" applyNumberFormat="1" applyFont="1" applyFill="1" applyBorder="1" applyAlignment="1">
      <alignment horizontal="left" vertical="center"/>
    </xf>
    <xf numFmtId="0" fontId="22" fillId="4" borderId="0" xfId="0" applyFont="1" applyFill="1" applyAlignment="1">
      <alignment horizontal="center" vertical="center"/>
    </xf>
    <xf numFmtId="0" fontId="54" fillId="0" borderId="0" xfId="0" applyFont="1" applyAlignment="1">
      <alignment vertical="center"/>
    </xf>
    <xf numFmtId="0" fontId="21" fillId="0" borderId="12" xfId="0" applyFont="1" applyBorder="1"/>
    <xf numFmtId="0" fontId="50" fillId="0" borderId="0" xfId="0" applyFont="1" applyAlignment="1">
      <alignment horizontal="center" vertical="center" wrapText="1"/>
    </xf>
    <xf numFmtId="44" fontId="7" fillId="0" borderId="0" xfId="1" applyFont="1" applyFill="1" applyBorder="1" applyAlignment="1">
      <alignment horizontal="center" vertical="center" wrapText="1"/>
    </xf>
    <xf numFmtId="44" fontId="0" fillId="0" borderId="0" xfId="1" applyFont="1" applyFill="1" applyBorder="1"/>
    <xf numFmtId="0" fontId="21" fillId="0" borderId="0" xfId="0" applyFont="1" applyAlignment="1">
      <alignment horizontal="left"/>
    </xf>
    <xf numFmtId="0" fontId="21" fillId="0" borderId="0" xfId="0" applyFont="1" applyAlignment="1">
      <alignment wrapText="1"/>
    </xf>
    <xf numFmtId="0" fontId="64" fillId="0" borderId="0" xfId="0" applyFont="1"/>
    <xf numFmtId="44" fontId="7" fillId="4" borderId="0" xfId="2" applyNumberFormat="1" applyFont="1" applyFill="1" applyBorder="1" applyAlignment="1">
      <alignment horizontal="left" vertical="center" wrapText="1"/>
    </xf>
    <xf numFmtId="44" fontId="0" fillId="4" borderId="0" xfId="1" applyFont="1" applyFill="1" applyBorder="1" applyAlignment="1">
      <alignment horizontal="center" vertical="center"/>
    </xf>
    <xf numFmtId="44" fontId="0" fillId="0" borderId="0" xfId="1" applyFont="1" applyBorder="1" applyAlignment="1">
      <alignment vertical="center"/>
    </xf>
    <xf numFmtId="0" fontId="48" fillId="0" borderId="0" xfId="0" applyFont="1" applyAlignment="1">
      <alignment vertical="center"/>
    </xf>
    <xf numFmtId="44" fontId="0" fillId="0" borderId="0" xfId="0" applyNumberFormat="1" applyAlignment="1">
      <alignment vertical="center"/>
    </xf>
    <xf numFmtId="0" fontId="68" fillId="0" borderId="0" xfId="48" applyFont="1" applyAlignment="1">
      <alignment horizontal="left" vertical="center"/>
    </xf>
    <xf numFmtId="0" fontId="29" fillId="0" borderId="0" xfId="48" applyFont="1" applyAlignment="1">
      <alignment horizontal="left" vertical="center"/>
    </xf>
    <xf numFmtId="0" fontId="29" fillId="0" borderId="0" xfId="0" applyFont="1" applyAlignment="1">
      <alignment horizontal="left" vertical="center"/>
    </xf>
    <xf numFmtId="0" fontId="49" fillId="0" borderId="0" xfId="48" applyFont="1" applyAlignment="1">
      <alignment horizontal="left" vertical="center"/>
    </xf>
    <xf numFmtId="0" fontId="54" fillId="0" borderId="0" xfId="48" applyFont="1" applyAlignment="1">
      <alignment horizontal="left" vertical="center"/>
    </xf>
    <xf numFmtId="0" fontId="62" fillId="0" borderId="0" xfId="48" applyFont="1" applyAlignment="1">
      <alignment horizontal="left" vertical="center" wrapText="1"/>
    </xf>
    <xf numFmtId="0" fontId="64" fillId="0" borderId="0" xfId="48" applyFont="1" applyAlignment="1">
      <alignment horizontal="left" vertical="center" wrapText="1"/>
    </xf>
    <xf numFmtId="0" fontId="29" fillId="0" borderId="0" xfId="48" applyFont="1" applyAlignment="1">
      <alignment horizontal="left" vertical="center" wrapText="1"/>
    </xf>
    <xf numFmtId="0" fontId="49" fillId="0" borderId="0" xfId="0" applyFont="1" applyAlignment="1">
      <alignment horizontal="left" vertical="center" wrapText="1"/>
    </xf>
    <xf numFmtId="0" fontId="63" fillId="0" borderId="0" xfId="48" applyFont="1" applyAlignment="1">
      <alignment horizontal="left" vertical="center"/>
    </xf>
    <xf numFmtId="38" fontId="22" fillId="4" borderId="0" xfId="2" applyNumberFormat="1" applyFont="1" applyFill="1" applyBorder="1" applyAlignment="1">
      <alignment horizontal="center" vertical="center" wrapText="1"/>
    </xf>
    <xf numFmtId="170" fontId="0" fillId="4" borderId="0" xfId="0" applyNumberFormat="1" applyFill="1" applyAlignment="1">
      <alignment horizontal="center" vertical="center"/>
    </xf>
    <xf numFmtId="170" fontId="0" fillId="4" borderId="0" xfId="0" applyNumberFormat="1" applyFill="1" applyAlignment="1">
      <alignment vertical="center"/>
    </xf>
    <xf numFmtId="170" fontId="0" fillId="0" borderId="0" xfId="0" applyNumberFormat="1" applyAlignment="1">
      <alignment horizontal="center" vertical="center"/>
    </xf>
    <xf numFmtId="38" fontId="0" fillId="0" borderId="0" xfId="0" applyNumberFormat="1" applyAlignment="1">
      <alignment horizontal="center" vertical="center"/>
    </xf>
    <xf numFmtId="0" fontId="48" fillId="0" borderId="0" xfId="0" applyFont="1" applyAlignment="1">
      <alignment horizontal="left" vertical="center"/>
    </xf>
    <xf numFmtId="44" fontId="48" fillId="0" borderId="0" xfId="0" applyNumberFormat="1" applyFont="1" applyAlignment="1">
      <alignment vertical="center"/>
    </xf>
    <xf numFmtId="170" fontId="0" fillId="0" borderId="0" xfId="0" applyNumberFormat="1" applyAlignment="1">
      <alignment vertical="center"/>
    </xf>
    <xf numFmtId="2" fontId="0" fillId="4" borderId="0" xfId="0" applyNumberFormat="1" applyFill="1" applyAlignment="1">
      <alignment horizontal="center" vertical="center"/>
    </xf>
    <xf numFmtId="0" fontId="0" fillId="0" borderId="0" xfId="0" applyAlignment="1">
      <alignment vertical="center" wrapText="1"/>
    </xf>
    <xf numFmtId="40" fontId="0" fillId="4" borderId="0" xfId="0" applyNumberFormat="1" applyFill="1" applyAlignment="1">
      <alignment horizontal="center" vertical="center"/>
    </xf>
    <xf numFmtId="39" fontId="0" fillId="4" borderId="0" xfId="0" applyNumberFormat="1" applyFill="1" applyAlignment="1">
      <alignment horizontal="center" vertical="center"/>
    </xf>
    <xf numFmtId="39" fontId="0" fillId="0" borderId="0" xfId="0" applyNumberFormat="1" applyAlignment="1">
      <alignment horizontal="center" vertical="center"/>
    </xf>
    <xf numFmtId="0" fontId="23" fillId="0" borderId="0" xfId="47" applyFont="1" applyAlignment="1">
      <alignment vertical="center"/>
    </xf>
    <xf numFmtId="0" fontId="0" fillId="0" borderId="0" xfId="0" applyAlignment="1">
      <alignment horizontal="center" vertical="top"/>
    </xf>
    <xf numFmtId="40" fontId="0" fillId="0" borderId="0" xfId="0" applyNumberFormat="1" applyAlignment="1">
      <alignment horizontal="center"/>
    </xf>
    <xf numFmtId="1" fontId="0" fillId="0" borderId="0" xfId="0" applyNumberFormat="1" applyAlignment="1">
      <alignment horizontal="center"/>
    </xf>
    <xf numFmtId="38" fontId="0" fillId="4" borderId="0" xfId="0" applyNumberFormat="1" applyFill="1" applyAlignment="1">
      <alignment horizontal="center" vertical="top"/>
    </xf>
    <xf numFmtId="38" fontId="0" fillId="0" borderId="0" xfId="0" applyNumberFormat="1" applyAlignment="1">
      <alignment horizontal="center" vertical="top"/>
    </xf>
    <xf numFmtId="44" fontId="22" fillId="4" borderId="0" xfId="1" applyFont="1" applyFill="1" applyBorder="1" applyAlignment="1">
      <alignment horizontal="center" vertical="center" wrapText="1"/>
    </xf>
    <xf numFmtId="44" fontId="0" fillId="0" borderId="0" xfId="1" applyFont="1" applyAlignment="1">
      <alignment horizontal="center" vertical="center"/>
    </xf>
    <xf numFmtId="3" fontId="0" fillId="4" borderId="0" xfId="0" applyNumberFormat="1" applyFill="1" applyAlignment="1">
      <alignment horizontal="center" vertical="top"/>
    </xf>
    <xf numFmtId="3" fontId="0" fillId="0" borderId="0" xfId="0" applyNumberFormat="1" applyAlignment="1">
      <alignment horizontal="center" vertical="top"/>
    </xf>
    <xf numFmtId="1" fontId="0" fillId="4" borderId="0" xfId="0" applyNumberFormat="1" applyFill="1" applyAlignment="1">
      <alignment horizontal="center" vertical="top"/>
    </xf>
    <xf numFmtId="40" fontId="50" fillId="5" borderId="0" xfId="0" applyNumberFormat="1" applyFont="1" applyFill="1" applyAlignment="1">
      <alignment horizontal="center" vertical="center" wrapText="1"/>
    </xf>
    <xf numFmtId="0" fontId="62" fillId="0" borderId="0" xfId="0" applyFont="1" applyAlignment="1">
      <alignment horizontal="left" vertical="center" wrapText="1"/>
    </xf>
    <xf numFmtId="4" fontId="0" fillId="0" borderId="0" xfId="0" applyNumberFormat="1" applyAlignment="1">
      <alignment horizontal="center"/>
    </xf>
    <xf numFmtId="3" fontId="50" fillId="5" borderId="0" xfId="0" applyNumberFormat="1" applyFont="1" applyFill="1" applyAlignment="1">
      <alignment horizontal="center" vertical="center" wrapText="1"/>
    </xf>
    <xf numFmtId="3" fontId="0" fillId="0" borderId="0" xfId="0" applyNumberFormat="1" applyAlignment="1">
      <alignment horizontal="center" vertical="center"/>
    </xf>
    <xf numFmtId="3" fontId="50" fillId="0" borderId="0" xfId="0" applyNumberFormat="1" applyFont="1" applyAlignment="1">
      <alignment horizontal="center" vertical="center" wrapText="1"/>
    </xf>
    <xf numFmtId="3" fontId="7" fillId="0" borderId="0" xfId="0" applyNumberFormat="1" applyFont="1" applyAlignment="1">
      <alignment horizontal="center" vertical="center"/>
    </xf>
    <xf numFmtId="3" fontId="0" fillId="4" borderId="0" xfId="0" applyNumberFormat="1" applyFill="1" applyAlignment="1">
      <alignment vertical="center"/>
    </xf>
    <xf numFmtId="3" fontId="0" fillId="4" borderId="0" xfId="0" applyNumberFormat="1" applyFill="1" applyAlignment="1">
      <alignment horizontal="center" vertical="center" wrapText="1"/>
    </xf>
    <xf numFmtId="43" fontId="18" fillId="0" borderId="14" xfId="496" applyFont="1" applyFill="1" applyBorder="1" applyAlignment="1">
      <alignment horizontal="center" vertical="center" wrapText="1"/>
    </xf>
    <xf numFmtId="0" fontId="64" fillId="0" borderId="0" xfId="0" applyFont="1" applyAlignment="1">
      <alignment vertical="center"/>
    </xf>
    <xf numFmtId="14" fontId="0" fillId="38" borderId="0" xfId="0" applyNumberFormat="1" applyFill="1" applyAlignment="1">
      <alignment horizontal="center" vertical="center"/>
    </xf>
    <xf numFmtId="44" fontId="0" fillId="0" borderId="0" xfId="1" applyFont="1" applyFill="1" applyBorder="1" applyAlignment="1">
      <alignment horizontal="center" vertical="center" wrapText="1"/>
    </xf>
    <xf numFmtId="0" fontId="23" fillId="0" borderId="0" xfId="0" applyFont="1" applyAlignment="1">
      <alignment horizontal="left" vertical="top"/>
    </xf>
    <xf numFmtId="0" fontId="0" fillId="0" borderId="0" xfId="0" applyAlignment="1" applyProtection="1">
      <alignment vertical="center"/>
      <protection locked="0"/>
    </xf>
    <xf numFmtId="0" fontId="23" fillId="0" borderId="0" xfId="49" applyFont="1" applyAlignment="1">
      <alignment horizontal="left"/>
    </xf>
    <xf numFmtId="0" fontId="19" fillId="0" borderId="0" xfId="0" applyFont="1"/>
    <xf numFmtId="0" fontId="54" fillId="0" borderId="13" xfId="0" applyFont="1" applyBorder="1" applyAlignment="1">
      <alignment horizontal="center" vertical="center"/>
    </xf>
    <xf numFmtId="0" fontId="65" fillId="0" borderId="0" xfId="0" applyFont="1" applyAlignment="1">
      <alignment horizontal="center" vertical="center"/>
    </xf>
    <xf numFmtId="0" fontId="59" fillId="0" borderId="0" xfId="53" applyFont="1" applyAlignment="1" applyProtection="1">
      <alignment horizontal="left"/>
    </xf>
    <xf numFmtId="0" fontId="6" fillId="0" borderId="0" xfId="0" applyFont="1"/>
    <xf numFmtId="0" fontId="21" fillId="2" borderId="0" xfId="0" applyFont="1" applyFill="1"/>
    <xf numFmtId="0" fontId="34" fillId="3" borderId="0" xfId="0" applyFont="1" applyFill="1" applyAlignment="1">
      <alignment horizontal="left"/>
    </xf>
    <xf numFmtId="0" fontId="55" fillId="2" borderId="0" xfId="0" applyFont="1" applyFill="1"/>
    <xf numFmtId="0" fontId="72" fillId="40" borderId="0" xfId="0" applyFont="1" applyFill="1"/>
    <xf numFmtId="0" fontId="0" fillId="40" borderId="0" xfId="0" applyFill="1"/>
    <xf numFmtId="0" fontId="57" fillId="2" borderId="0" xfId="0" applyFont="1" applyFill="1"/>
    <xf numFmtId="0" fontId="25" fillId="0" borderId="0" xfId="0" applyFont="1"/>
    <xf numFmtId="0" fontId="26" fillId="4" borderId="0" xfId="0" applyFont="1" applyFill="1"/>
    <xf numFmtId="0" fontId="73" fillId="4" borderId="0" xfId="0" applyFont="1" applyFill="1"/>
    <xf numFmtId="0" fontId="74" fillId="4" borderId="0" xfId="0" applyFont="1" applyFill="1"/>
    <xf numFmtId="0" fontId="75" fillId="4" borderId="0" xfId="0" applyFont="1" applyFill="1"/>
    <xf numFmtId="0" fontId="76" fillId="4" borderId="0" xfId="0" applyFont="1" applyFill="1"/>
    <xf numFmtId="0" fontId="77" fillId="4" borderId="0" xfId="53" applyFont="1" applyFill="1" applyAlignment="1" applyProtection="1"/>
    <xf numFmtId="0" fontId="78" fillId="4" borderId="0" xfId="0" applyFont="1" applyFill="1"/>
    <xf numFmtId="0" fontId="79" fillId="4" borderId="0" xfId="0" applyFont="1" applyFill="1"/>
    <xf numFmtId="0" fontId="80" fillId="4" borderId="0" xfId="0" applyFont="1" applyFill="1"/>
    <xf numFmtId="0" fontId="81" fillId="4" borderId="0" xfId="0" applyFont="1" applyFill="1"/>
    <xf numFmtId="0" fontId="82" fillId="4" borderId="0" xfId="53" applyFont="1" applyFill="1" applyAlignment="1" applyProtection="1"/>
    <xf numFmtId="0" fontId="83" fillId="4" borderId="0" xfId="0" applyFont="1" applyFill="1"/>
    <xf numFmtId="44" fontId="0" fillId="0" borderId="0" xfId="1" applyFont="1" applyBorder="1" applyAlignment="1">
      <alignment horizontal="center" vertical="center"/>
    </xf>
    <xf numFmtId="0" fontId="10" fillId="4" borderId="0" xfId="0" applyFont="1" applyFill="1" applyAlignment="1">
      <alignment horizontal="right"/>
    </xf>
    <xf numFmtId="0" fontId="22" fillId="4" borderId="0" xfId="0" applyFont="1" applyFill="1"/>
    <xf numFmtId="44" fontId="0" fillId="2" borderId="0" xfId="0" applyNumberFormat="1" applyFill="1"/>
    <xf numFmtId="0" fontId="0" fillId="2" borderId="2" xfId="0" applyFill="1" applyBorder="1"/>
    <xf numFmtId="0" fontId="0" fillId="2" borderId="1" xfId="0" applyFill="1" applyBorder="1"/>
    <xf numFmtId="0" fontId="0" fillId="2" borderId="0" xfId="0" applyFill="1" applyAlignment="1">
      <alignment wrapText="1"/>
    </xf>
    <xf numFmtId="0" fontId="84" fillId="0" borderId="0" xfId="3" applyFont="1" applyFill="1" applyBorder="1" applyAlignment="1" applyProtection="1"/>
    <xf numFmtId="0" fontId="66" fillId="0" borderId="0" xfId="3" applyFont="1" applyFill="1" applyBorder="1" applyAlignment="1" applyProtection="1"/>
    <xf numFmtId="0" fontId="66" fillId="3" borderId="0" xfId="3" applyFont="1" applyFill="1" applyAlignment="1" applyProtection="1"/>
    <xf numFmtId="0" fontId="66" fillId="0" borderId="0" xfId="3" applyFont="1" applyFill="1" applyBorder="1" applyAlignment="1" applyProtection="1">
      <alignment horizontal="left"/>
    </xf>
    <xf numFmtId="0" fontId="66" fillId="0" borderId="1" xfId="3" applyFont="1" applyFill="1" applyBorder="1" applyAlignment="1" applyProtection="1"/>
    <xf numFmtId="0" fontId="84" fillId="3" borderId="0" xfId="3" applyFont="1" applyFill="1" applyBorder="1" applyAlignment="1" applyProtection="1"/>
    <xf numFmtId="0" fontId="66" fillId="3" borderId="0" xfId="3" applyFont="1" applyFill="1" applyBorder="1" applyAlignment="1" applyProtection="1"/>
    <xf numFmtId="0" fontId="66" fillId="3" borderId="0" xfId="3" applyFont="1" applyFill="1" applyAlignment="1" applyProtection="1">
      <alignment vertical="center"/>
    </xf>
    <xf numFmtId="0" fontId="66" fillId="3" borderId="1" xfId="3" applyFont="1" applyFill="1" applyBorder="1" applyAlignment="1" applyProtection="1">
      <alignment horizontal="left"/>
    </xf>
    <xf numFmtId="0" fontId="66" fillId="3" borderId="0" xfId="3" applyFont="1" applyFill="1" applyAlignment="1" applyProtection="1">
      <alignment horizontal="left"/>
    </xf>
    <xf numFmtId="0" fontId="85" fillId="3" borderId="0" xfId="0" applyFont="1" applyFill="1"/>
    <xf numFmtId="0" fontId="66" fillId="3" borderId="1" xfId="3" applyFont="1" applyFill="1" applyBorder="1" applyAlignment="1" applyProtection="1"/>
    <xf numFmtId="44" fontId="66" fillId="3" borderId="0" xfId="3" applyNumberFormat="1" applyFont="1" applyFill="1" applyAlignment="1" applyProtection="1">
      <alignment horizontal="left"/>
    </xf>
    <xf numFmtId="0" fontId="66" fillId="3" borderId="0" xfId="3" applyFont="1" applyFill="1" applyAlignment="1" applyProtection="1">
      <alignment vertical="top"/>
    </xf>
    <xf numFmtId="0" fontId="58" fillId="0" borderId="0" xfId="3" applyFont="1" applyFill="1" applyBorder="1" applyAlignment="1" applyProtection="1">
      <alignment horizontal="left" vertical="center"/>
    </xf>
    <xf numFmtId="0" fontId="66" fillId="0" borderId="0" xfId="318" applyFont="1" applyBorder="1" applyAlignment="1" applyProtection="1">
      <alignment horizontal="left" vertical="center"/>
    </xf>
    <xf numFmtId="0" fontId="66" fillId="4" borderId="0" xfId="318" applyFont="1" applyFill="1" applyBorder="1" applyAlignment="1" applyProtection="1">
      <alignment horizontal="center" vertical="center"/>
    </xf>
    <xf numFmtId="0" fontId="66" fillId="0" borderId="0" xfId="3" applyFont="1" applyBorder="1" applyAlignment="1" applyProtection="1">
      <alignment horizontal="left" vertical="center"/>
    </xf>
    <xf numFmtId="0" fontId="66" fillId="0" borderId="0" xfId="3" applyFont="1" applyFill="1" applyBorder="1" applyAlignment="1" applyProtection="1">
      <alignment horizontal="left" vertical="center"/>
    </xf>
    <xf numFmtId="0" fontId="67" fillId="0" borderId="0" xfId="3" applyFont="1" applyFill="1" applyBorder="1" applyAlignment="1" applyProtection="1">
      <alignment horizontal="left" vertical="center"/>
    </xf>
    <xf numFmtId="0" fontId="58" fillId="0" borderId="0" xfId="3" applyFont="1" applyAlignment="1" applyProtection="1">
      <alignment horizontal="left"/>
    </xf>
    <xf numFmtId="0" fontId="64" fillId="4" borderId="0" xfId="0" applyFont="1" applyFill="1" applyAlignment="1">
      <alignment horizontal="left" vertical="center"/>
    </xf>
    <xf numFmtId="0" fontId="62" fillId="4" borderId="0" xfId="0" applyFont="1" applyFill="1" applyAlignment="1">
      <alignment horizontal="left" vertical="center"/>
    </xf>
    <xf numFmtId="0" fontId="62" fillId="4" borderId="0" xfId="0" applyFont="1" applyFill="1" applyAlignment="1">
      <alignment horizontal="center" vertical="center"/>
    </xf>
    <xf numFmtId="0" fontId="62" fillId="4" borderId="0" xfId="0" applyFont="1" applyFill="1" applyAlignment="1">
      <alignment vertical="center"/>
    </xf>
    <xf numFmtId="165" fontId="49" fillId="4" borderId="0" xfId="2" applyNumberFormat="1" applyFont="1" applyFill="1" applyBorder="1" applyAlignment="1">
      <alignment vertical="center" wrapText="1"/>
    </xf>
    <xf numFmtId="44" fontId="49" fillId="4" borderId="0" xfId="2" applyNumberFormat="1" applyFont="1" applyFill="1" applyBorder="1" applyAlignment="1">
      <alignment horizontal="left" vertical="center" wrapText="1"/>
    </xf>
    <xf numFmtId="44" fontId="49" fillId="4" borderId="0" xfId="2" applyNumberFormat="1" applyFont="1" applyFill="1" applyBorder="1" applyAlignment="1">
      <alignment horizontal="left" vertical="top" wrapText="1"/>
    </xf>
    <xf numFmtId="1" fontId="62" fillId="4" borderId="0" xfId="0" applyNumberFormat="1" applyFont="1" applyFill="1" applyAlignment="1">
      <alignment horizontal="center" vertical="center"/>
    </xf>
    <xf numFmtId="40" fontId="62" fillId="4" borderId="0" xfId="0" applyNumberFormat="1" applyFont="1" applyFill="1" applyAlignment="1">
      <alignment horizontal="center" vertical="center"/>
    </xf>
    <xf numFmtId="0" fontId="62" fillId="0" borderId="0" xfId="0" applyFont="1" applyAlignment="1">
      <alignment horizontal="center" vertical="center" wrapText="1"/>
    </xf>
    <xf numFmtId="0" fontId="62" fillId="0" borderId="0" xfId="0" applyFont="1" applyAlignment="1">
      <alignment vertical="center"/>
    </xf>
    <xf numFmtId="0" fontId="62" fillId="0" borderId="0" xfId="0" applyFont="1" applyAlignment="1">
      <alignment horizontal="center" vertical="center"/>
    </xf>
    <xf numFmtId="44" fontId="62" fillId="0" borderId="0" xfId="1" applyFont="1" applyFill="1" applyBorder="1" applyAlignment="1">
      <alignment vertical="center"/>
    </xf>
    <xf numFmtId="44" fontId="62" fillId="0" borderId="0" xfId="1" applyFont="1" applyFill="1" applyAlignment="1">
      <alignment vertical="center"/>
    </xf>
    <xf numFmtId="40" fontId="62" fillId="0" borderId="0" xfId="0" applyNumberFormat="1" applyFont="1" applyAlignment="1">
      <alignment horizontal="center" vertical="center"/>
    </xf>
    <xf numFmtId="3" fontId="49" fillId="0" borderId="0" xfId="0" applyNumberFormat="1" applyFont="1" applyAlignment="1">
      <alignment horizontal="center" vertical="center"/>
    </xf>
    <xf numFmtId="0" fontId="49" fillId="0" borderId="0" xfId="0" applyFont="1" applyAlignment="1">
      <alignment horizontal="left" vertical="center"/>
    </xf>
    <xf numFmtId="0" fontId="64" fillId="0" borderId="0" xfId="0" applyFont="1" applyAlignment="1">
      <alignment horizontal="left" vertical="center"/>
    </xf>
    <xf numFmtId="1" fontId="62" fillId="0" borderId="0" xfId="0" applyNumberFormat="1" applyFont="1" applyAlignment="1">
      <alignment horizontal="left" vertical="center"/>
    </xf>
    <xf numFmtId="169" fontId="62" fillId="0" borderId="0" xfId="0" applyNumberFormat="1" applyFont="1" applyAlignment="1">
      <alignment vertical="center"/>
    </xf>
    <xf numFmtId="44" fontId="62" fillId="0" borderId="0" xfId="0" applyNumberFormat="1" applyFont="1" applyAlignment="1">
      <alignment horizontal="left" vertical="center" wrapText="1"/>
    </xf>
    <xf numFmtId="44" fontId="62" fillId="0" borderId="0" xfId="0" applyNumberFormat="1" applyFont="1" applyAlignment="1">
      <alignment horizontal="center" vertical="center" wrapText="1"/>
    </xf>
    <xf numFmtId="40" fontId="62" fillId="0" borderId="0" xfId="0" applyNumberFormat="1" applyFont="1" applyAlignment="1">
      <alignment horizontal="center" vertical="center" wrapText="1"/>
    </xf>
    <xf numFmtId="1" fontId="62" fillId="0" borderId="0" xfId="0" applyNumberFormat="1" applyFont="1" applyAlignment="1">
      <alignment horizontal="center" vertical="center"/>
    </xf>
    <xf numFmtId="4" fontId="50" fillId="5" borderId="0" xfId="0" applyNumberFormat="1" applyFont="1" applyFill="1" applyAlignment="1">
      <alignment horizontal="center" vertical="center" wrapText="1"/>
    </xf>
    <xf numFmtId="4" fontId="7" fillId="4" borderId="0" xfId="0" applyNumberFormat="1" applyFont="1" applyFill="1" applyAlignment="1">
      <alignment horizontal="center" vertical="center"/>
    </xf>
    <xf numFmtId="4" fontId="7" fillId="0" borderId="0" xfId="0" applyNumberFormat="1" applyFont="1" applyAlignment="1">
      <alignment horizontal="center"/>
    </xf>
    <xf numFmtId="4" fontId="62" fillId="0" borderId="0" xfId="0" applyNumberFormat="1" applyFont="1" applyAlignment="1">
      <alignment horizontal="center"/>
    </xf>
    <xf numFmtId="0" fontId="62" fillId="4" borderId="0" xfId="0" applyFont="1" applyFill="1" applyAlignment="1">
      <alignment horizontal="left"/>
    </xf>
    <xf numFmtId="0" fontId="62" fillId="4" borderId="0" xfId="0" applyFont="1" applyFill="1"/>
    <xf numFmtId="165" fontId="49" fillId="4" borderId="0" xfId="2" applyNumberFormat="1" applyFont="1" applyFill="1" applyAlignment="1">
      <alignment vertical="center" wrapText="1"/>
    </xf>
    <xf numFmtId="44" fontId="49" fillId="4" borderId="0" xfId="2" applyNumberFormat="1" applyFont="1" applyFill="1" applyAlignment="1">
      <alignment horizontal="left" vertical="top" wrapText="1"/>
    </xf>
    <xf numFmtId="44" fontId="49" fillId="4" borderId="0" xfId="2" applyNumberFormat="1" applyFont="1" applyFill="1" applyAlignment="1">
      <alignment horizontal="center" vertical="top" wrapText="1"/>
    </xf>
    <xf numFmtId="1" fontId="62" fillId="4" borderId="0" xfId="0" applyNumberFormat="1" applyFont="1" applyFill="1" applyAlignment="1">
      <alignment horizontal="center" vertical="top"/>
    </xf>
    <xf numFmtId="4" fontId="62" fillId="4" borderId="0" xfId="0" applyNumberFormat="1" applyFont="1" applyFill="1" applyAlignment="1">
      <alignment horizontal="center" vertical="center"/>
    </xf>
    <xf numFmtId="0" fontId="62" fillId="4" borderId="0" xfId="0" applyFont="1" applyFill="1" applyAlignment="1">
      <alignment horizontal="center" vertical="center" wrapText="1"/>
    </xf>
    <xf numFmtId="0" fontId="62" fillId="0" borderId="0" xfId="0" applyFont="1"/>
    <xf numFmtId="0" fontId="62" fillId="0" borderId="0" xfId="0" applyFont="1" applyAlignment="1">
      <alignment horizontal="left"/>
    </xf>
    <xf numFmtId="0" fontId="62" fillId="0" borderId="0" xfId="0" applyFont="1" applyAlignment="1">
      <alignment wrapText="1"/>
    </xf>
    <xf numFmtId="0" fontId="62" fillId="0" borderId="0" xfId="0" applyFont="1" applyAlignment="1">
      <alignment horizontal="left" vertical="top" wrapText="1"/>
    </xf>
    <xf numFmtId="44" fontId="62" fillId="0" borderId="0" xfId="1" applyFont="1" applyAlignment="1">
      <alignment horizontal="center" vertical="center" wrapText="1"/>
    </xf>
    <xf numFmtId="0" fontId="62" fillId="0" borderId="0" xfId="0" applyFont="1" applyAlignment="1">
      <alignment horizontal="center" vertical="top"/>
    </xf>
    <xf numFmtId="1" fontId="62" fillId="0" borderId="0" xfId="0" applyNumberFormat="1" applyFont="1" applyAlignment="1">
      <alignment horizontal="center"/>
    </xf>
    <xf numFmtId="0" fontId="62" fillId="0" borderId="0" xfId="0" applyFont="1" applyAlignment="1">
      <alignment horizontal="center"/>
    </xf>
    <xf numFmtId="0" fontId="87" fillId="2" borderId="0" xfId="0" applyFont="1" applyFill="1"/>
    <xf numFmtId="0" fontId="3" fillId="0" borderId="0" xfId="3" applyAlignment="1" applyProtection="1">
      <alignment horizontal="left" vertical="center"/>
    </xf>
    <xf numFmtId="0" fontId="1" fillId="0" borderId="0" xfId="0" applyFont="1" applyAlignment="1">
      <alignment horizontal="center" vertical="center"/>
    </xf>
    <xf numFmtId="0" fontId="18" fillId="0" borderId="14" xfId="15" applyFill="1" applyBorder="1" applyAlignment="1">
      <alignment horizontal="center" vertical="center" wrapText="1"/>
    </xf>
    <xf numFmtId="2" fontId="18" fillId="0" borderId="14" xfId="15" applyNumberFormat="1" applyFill="1" applyBorder="1" applyAlignment="1">
      <alignment horizontal="center" vertical="center" wrapText="1"/>
    </xf>
    <xf numFmtId="1" fontId="18" fillId="0" borderId="14" xfId="15" applyNumberFormat="1" applyFill="1" applyBorder="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horizontal="left" vertical="center"/>
    </xf>
    <xf numFmtId="2" fontId="1" fillId="0" borderId="0" xfId="0" applyNumberFormat="1" applyFont="1" applyAlignment="1">
      <alignment horizontal="center" vertical="center"/>
    </xf>
    <xf numFmtId="1" fontId="1" fillId="0" borderId="0" xfId="0" applyNumberFormat="1" applyFont="1" applyAlignment="1">
      <alignment horizontal="center" vertical="center"/>
    </xf>
    <xf numFmtId="43" fontId="1" fillId="0" borderId="0" xfId="496" applyFont="1" applyAlignment="1">
      <alignment horizontal="center" vertical="center"/>
    </xf>
    <xf numFmtId="0" fontId="1" fillId="0" borderId="0" xfId="0" applyFont="1" applyAlignment="1">
      <alignment horizontal="center"/>
    </xf>
    <xf numFmtId="0" fontId="66" fillId="0" borderId="0" xfId="3" applyFont="1" applyAlignment="1" applyProtection="1">
      <alignment horizontal="left" vertical="center"/>
    </xf>
    <xf numFmtId="0" fontId="1" fillId="0" borderId="0" xfId="496" applyNumberFormat="1" applyFont="1" applyAlignment="1">
      <alignment horizontal="center" vertical="center"/>
    </xf>
    <xf numFmtId="1" fontId="7" fillId="0" borderId="0" xfId="0" applyNumberFormat="1" applyFont="1" applyAlignment="1">
      <alignment horizontal="center"/>
    </xf>
    <xf numFmtId="1" fontId="7" fillId="0" borderId="0" xfId="0" applyNumberFormat="1" applyFont="1"/>
    <xf numFmtId="0" fontId="1" fillId="38" borderId="0" xfId="0" applyFont="1" applyFill="1" applyAlignment="1">
      <alignment horizontal="left" vertical="center"/>
    </xf>
    <xf numFmtId="0" fontId="65" fillId="12" borderId="10" xfId="204" applyNumberFormat="1" applyFont="1" applyAlignment="1">
      <alignment horizontal="center" vertical="center"/>
    </xf>
    <xf numFmtId="0" fontId="1" fillId="0" borderId="0" xfId="0" applyFont="1"/>
    <xf numFmtId="14" fontId="0" fillId="0" borderId="0" xfId="0" applyNumberFormat="1" applyAlignment="1">
      <alignment horizontal="center"/>
    </xf>
    <xf numFmtId="0" fontId="7" fillId="0" borderId="0" xfId="0" applyFont="1" applyAlignment="1">
      <alignment horizontal="center" vertical="center"/>
    </xf>
    <xf numFmtId="0" fontId="26" fillId="0" borderId="0" xfId="0" applyFont="1" applyAlignment="1">
      <alignment vertical="center"/>
    </xf>
    <xf numFmtId="1" fontId="3" fillId="0" borderId="0" xfId="3" applyNumberFormat="1" applyFill="1" applyBorder="1" applyAlignment="1" applyProtection="1">
      <alignment horizontal="left" vertical="center"/>
    </xf>
    <xf numFmtId="1" fontId="0" fillId="0" borderId="0" xfId="0" applyNumberFormat="1" applyAlignment="1">
      <alignment horizontal="left" vertical="center"/>
    </xf>
    <xf numFmtId="1" fontId="21" fillId="0" borderId="0" xfId="0" applyNumberFormat="1" applyFont="1" applyAlignment="1">
      <alignment horizontal="center" vertical="center"/>
    </xf>
    <xf numFmtId="44" fontId="0" fillId="0" borderId="0" xfId="1" applyFont="1" applyFill="1" applyAlignment="1">
      <alignment horizontal="center" vertical="center" wrapText="1"/>
    </xf>
    <xf numFmtId="1" fontId="21" fillId="0" borderId="0" xfId="0" applyNumberFormat="1" applyFont="1" applyAlignment="1">
      <alignment horizontal="left" vertical="center"/>
    </xf>
    <xf numFmtId="0" fontId="66" fillId="0" borderId="0" xfId="3" applyFont="1" applyAlignment="1" applyProtection="1">
      <alignment horizontal="left"/>
    </xf>
    <xf numFmtId="0" fontId="66" fillId="0" borderId="0" xfId="3" applyFont="1" applyFill="1" applyAlignment="1" applyProtection="1">
      <alignment horizontal="left"/>
    </xf>
    <xf numFmtId="0" fontId="0" fillId="0" borderId="0" xfId="496" applyNumberFormat="1" applyFont="1" applyAlignment="1">
      <alignment horizontal="center" vertical="center"/>
    </xf>
    <xf numFmtId="43" fontId="0" fillId="0" borderId="0" xfId="496" applyFont="1" applyAlignment="1">
      <alignment horizontal="center" vertical="center"/>
    </xf>
    <xf numFmtId="44" fontId="7" fillId="0" borderId="0" xfId="1" applyFont="1" applyFill="1" applyAlignment="1">
      <alignment horizontal="center" vertical="center" wrapText="1"/>
    </xf>
    <xf numFmtId="44" fontId="0" fillId="0" borderId="0" xfId="1" applyFont="1" applyFill="1"/>
    <xf numFmtId="49" fontId="66" fillId="0" borderId="0" xfId="3" applyNumberFormat="1" applyFont="1" applyFill="1" applyAlignment="1" applyProtection="1">
      <alignment horizontal="left"/>
    </xf>
    <xf numFmtId="1" fontId="21" fillId="41" borderId="0" xfId="0" applyNumberFormat="1" applyFont="1" applyFill="1" applyAlignment="1">
      <alignment horizontal="center" vertical="center"/>
    </xf>
    <xf numFmtId="0" fontId="1" fillId="41" borderId="0" xfId="0" applyFont="1" applyFill="1" applyAlignment="1">
      <alignment horizontal="center" vertical="center"/>
    </xf>
    <xf numFmtId="0" fontId="0" fillId="41" borderId="0" xfId="0" applyFill="1" applyAlignment="1">
      <alignment horizontal="center" vertical="center"/>
    </xf>
    <xf numFmtId="4" fontId="18" fillId="0" borderId="14" xfId="15" applyNumberFormat="1" applyFill="1" applyBorder="1" applyAlignment="1">
      <alignment horizontal="center" vertical="center" wrapText="1"/>
    </xf>
    <xf numFmtId="4" fontId="1" fillId="0" borderId="0" xfId="0" applyNumberFormat="1" applyFont="1" applyAlignment="1">
      <alignment horizontal="center" vertical="center"/>
    </xf>
    <xf numFmtId="4" fontId="0" fillId="0" borderId="0" xfId="0" applyNumberFormat="1" applyAlignment="1">
      <alignment horizontal="center" vertical="center"/>
    </xf>
    <xf numFmtId="4" fontId="26" fillId="0" borderId="0" xfId="0" applyNumberFormat="1" applyFont="1" applyAlignment="1">
      <alignment vertical="center"/>
    </xf>
    <xf numFmtId="4" fontId="1" fillId="0" borderId="0" xfId="496" applyNumberFormat="1" applyFont="1" applyAlignment="1">
      <alignment horizontal="center" vertical="center"/>
    </xf>
    <xf numFmtId="0" fontId="0" fillId="0" borderId="0" xfId="496" applyNumberFormat="1" applyFont="1" applyBorder="1" applyAlignment="1">
      <alignment horizontal="center" vertical="center"/>
    </xf>
    <xf numFmtId="43" fontId="0" fillId="0" borderId="0" xfId="496" applyFont="1" applyBorder="1" applyAlignment="1">
      <alignment horizontal="center" vertical="center"/>
    </xf>
    <xf numFmtId="1" fontId="7" fillId="0" borderId="0" xfId="0" applyNumberFormat="1" applyFont="1" applyAlignment="1" applyProtection="1">
      <alignment horizontal="center"/>
      <protection locked="0"/>
    </xf>
    <xf numFmtId="4" fontId="49" fillId="0" borderId="0" xfId="0" applyNumberFormat="1" applyFont="1" applyAlignment="1">
      <alignment horizontal="center"/>
    </xf>
    <xf numFmtId="2" fontId="3" fillId="0" borderId="0" xfId="3" applyNumberFormat="1" applyFill="1" applyAlignment="1" applyProtection="1">
      <alignment horizontal="left"/>
    </xf>
    <xf numFmtId="0" fontId="23" fillId="0" borderId="15" xfId="0" applyFont="1" applyBorder="1" applyAlignment="1">
      <alignment horizontal="left" vertical="top"/>
    </xf>
    <xf numFmtId="0" fontId="1" fillId="0" borderId="15" xfId="0" applyFont="1" applyBorder="1" applyAlignment="1">
      <alignment horizontal="center" vertical="center"/>
    </xf>
    <xf numFmtId="0" fontId="0" fillId="2" borderId="0" xfId="0" applyFill="1" applyAlignment="1">
      <alignment horizontal="left" vertical="top" wrapText="1"/>
    </xf>
    <xf numFmtId="0" fontId="22" fillId="4" borderId="0" xfId="0" applyFont="1" applyFill="1" applyAlignment="1">
      <alignment horizontal="center"/>
    </xf>
    <xf numFmtId="0" fontId="86" fillId="2" borderId="0" xfId="0" applyFont="1" applyFill="1" applyAlignment="1">
      <alignment horizontal="center"/>
    </xf>
    <xf numFmtId="0" fontId="86" fillId="2" borderId="0" xfId="0" applyFont="1" applyFill="1" applyAlignment="1">
      <alignment horizontal="center" vertical="center"/>
    </xf>
    <xf numFmtId="0" fontId="0" fillId="2" borderId="0" xfId="0" applyFill="1" applyAlignment="1">
      <alignment horizontal="left" vertical="top"/>
    </xf>
    <xf numFmtId="0" fontId="21" fillId="0" borderId="0" xfId="0" applyFont="1" applyAlignment="1">
      <alignment horizontal="center" vertical="top"/>
    </xf>
    <xf numFmtId="0" fontId="18" fillId="4" borderId="0" xfId="0" applyFont="1" applyFill="1" applyAlignment="1">
      <alignment horizontal="center" vertical="center"/>
    </xf>
    <xf numFmtId="0" fontId="0" fillId="0" borderId="0" xfId="0" applyAlignment="1">
      <alignment horizontal="left" wrapText="1"/>
    </xf>
    <xf numFmtId="0" fontId="52" fillId="0" borderId="0" xfId="0" applyFont="1" applyAlignment="1">
      <alignment horizontal="left"/>
    </xf>
    <xf numFmtId="0" fontId="0" fillId="0" borderId="0" xfId="0" applyAlignment="1">
      <alignment horizontal="left"/>
    </xf>
    <xf numFmtId="0" fontId="0" fillId="0" borderId="0" xfId="0" applyAlignment="1">
      <alignment horizontal="center"/>
    </xf>
    <xf numFmtId="0" fontId="59" fillId="0" borderId="0" xfId="53" applyFont="1" applyAlignment="1" applyProtection="1">
      <alignment horizontal="left"/>
    </xf>
    <xf numFmtId="0" fontId="26" fillId="0" borderId="0" xfId="0" applyFont="1" applyAlignment="1">
      <alignment horizontal="left"/>
    </xf>
    <xf numFmtId="0" fontId="0" fillId="0" borderId="0" xfId="0"/>
  </cellXfs>
  <cellStyles count="497">
    <cellStyle name="20% - Accent1" xfId="21" builtinId="30" customBuiltin="1"/>
    <cellStyle name="20% - Accent1 2" xfId="62" xr:uid="{00000000-0005-0000-0000-000001000000}"/>
    <cellStyle name="20% - Accent1 3" xfId="63" xr:uid="{00000000-0005-0000-0000-000002000000}"/>
    <cellStyle name="20% - Accent1 4" xfId="64" xr:uid="{00000000-0005-0000-0000-000003000000}"/>
    <cellStyle name="20% - Accent1 5" xfId="280" xr:uid="{00000000-0005-0000-0000-000004000000}"/>
    <cellStyle name="20% - Accent1 6" xfId="341" xr:uid="{00000000-0005-0000-0000-000005000000}"/>
    <cellStyle name="20% - Accent2" xfId="25" builtinId="34" customBuiltin="1"/>
    <cellStyle name="20% - Accent2 2" xfId="65" xr:uid="{00000000-0005-0000-0000-000007000000}"/>
    <cellStyle name="20% - Accent2 3" xfId="66" xr:uid="{00000000-0005-0000-0000-000008000000}"/>
    <cellStyle name="20% - Accent2 4" xfId="67" xr:uid="{00000000-0005-0000-0000-000009000000}"/>
    <cellStyle name="20% - Accent2 5" xfId="284" xr:uid="{00000000-0005-0000-0000-00000A000000}"/>
    <cellStyle name="20% - Accent2 6" xfId="345" xr:uid="{00000000-0005-0000-0000-00000B000000}"/>
    <cellStyle name="20% - Accent3" xfId="29" builtinId="38" customBuiltin="1"/>
    <cellStyle name="20% - Accent3 2" xfId="68" xr:uid="{00000000-0005-0000-0000-00000D000000}"/>
    <cellStyle name="20% - Accent3 3" xfId="69" xr:uid="{00000000-0005-0000-0000-00000E000000}"/>
    <cellStyle name="20% - Accent3 4" xfId="70" xr:uid="{00000000-0005-0000-0000-00000F000000}"/>
    <cellStyle name="20% - Accent3 5" xfId="288" xr:uid="{00000000-0005-0000-0000-000010000000}"/>
    <cellStyle name="20% - Accent3 6" xfId="349" xr:uid="{00000000-0005-0000-0000-000011000000}"/>
    <cellStyle name="20% - Accent4" xfId="33" builtinId="42" customBuiltin="1"/>
    <cellStyle name="20% - Accent4 2" xfId="71" xr:uid="{00000000-0005-0000-0000-000013000000}"/>
    <cellStyle name="20% - Accent4 3" xfId="72" xr:uid="{00000000-0005-0000-0000-000014000000}"/>
    <cellStyle name="20% - Accent4 4" xfId="73" xr:uid="{00000000-0005-0000-0000-000015000000}"/>
    <cellStyle name="20% - Accent4 5" xfId="292" xr:uid="{00000000-0005-0000-0000-000016000000}"/>
    <cellStyle name="20% - Accent4 6" xfId="353" xr:uid="{00000000-0005-0000-0000-000017000000}"/>
    <cellStyle name="20% - Accent5" xfId="37" builtinId="46" customBuiltin="1"/>
    <cellStyle name="20% - Accent5 2" xfId="74" xr:uid="{00000000-0005-0000-0000-000019000000}"/>
    <cellStyle name="20% - Accent5 3" xfId="75" xr:uid="{00000000-0005-0000-0000-00001A000000}"/>
    <cellStyle name="20% - Accent5 4" xfId="76" xr:uid="{00000000-0005-0000-0000-00001B000000}"/>
    <cellStyle name="20% - Accent5 5" xfId="296" xr:uid="{00000000-0005-0000-0000-00001C000000}"/>
    <cellStyle name="20% - Accent5 6" xfId="357" xr:uid="{00000000-0005-0000-0000-00001D000000}"/>
    <cellStyle name="20% - Accent6" xfId="41" builtinId="50" customBuiltin="1"/>
    <cellStyle name="20% - Accent6 2" xfId="77" xr:uid="{00000000-0005-0000-0000-00001F000000}"/>
    <cellStyle name="20% - Accent6 3" xfId="78" xr:uid="{00000000-0005-0000-0000-000020000000}"/>
    <cellStyle name="20% - Accent6 4" xfId="79" xr:uid="{00000000-0005-0000-0000-000021000000}"/>
    <cellStyle name="20% - Accent6 5" xfId="300" xr:uid="{00000000-0005-0000-0000-000022000000}"/>
    <cellStyle name="20% - Accent6 6" xfId="361" xr:uid="{00000000-0005-0000-0000-000023000000}"/>
    <cellStyle name="40% - Accent1" xfId="22" builtinId="31" customBuiltin="1"/>
    <cellStyle name="40% - Accent1 2" xfId="80" xr:uid="{00000000-0005-0000-0000-000025000000}"/>
    <cellStyle name="40% - Accent1 3" xfId="81" xr:uid="{00000000-0005-0000-0000-000026000000}"/>
    <cellStyle name="40% - Accent1 4" xfId="82" xr:uid="{00000000-0005-0000-0000-000027000000}"/>
    <cellStyle name="40% - Accent1 5" xfId="281" xr:uid="{00000000-0005-0000-0000-000028000000}"/>
    <cellStyle name="40% - Accent1 6" xfId="342" xr:uid="{00000000-0005-0000-0000-000029000000}"/>
    <cellStyle name="40% - Accent2" xfId="26" builtinId="35" customBuiltin="1"/>
    <cellStyle name="40% - Accent2 2" xfId="83" xr:uid="{00000000-0005-0000-0000-00002B000000}"/>
    <cellStyle name="40% - Accent2 3" xfId="84" xr:uid="{00000000-0005-0000-0000-00002C000000}"/>
    <cellStyle name="40% - Accent2 4" xfId="85" xr:uid="{00000000-0005-0000-0000-00002D000000}"/>
    <cellStyle name="40% - Accent2 5" xfId="285" xr:uid="{00000000-0005-0000-0000-00002E000000}"/>
    <cellStyle name="40% - Accent2 6" xfId="346" xr:uid="{00000000-0005-0000-0000-00002F000000}"/>
    <cellStyle name="40% - Accent3" xfId="30" builtinId="39" customBuiltin="1"/>
    <cellStyle name="40% - Accent3 2" xfId="86" xr:uid="{00000000-0005-0000-0000-000031000000}"/>
    <cellStyle name="40% - Accent3 3" xfId="87" xr:uid="{00000000-0005-0000-0000-000032000000}"/>
    <cellStyle name="40% - Accent3 4" xfId="88" xr:uid="{00000000-0005-0000-0000-000033000000}"/>
    <cellStyle name="40% - Accent3 5" xfId="289" xr:uid="{00000000-0005-0000-0000-000034000000}"/>
    <cellStyle name="40% - Accent3 6" xfId="350" xr:uid="{00000000-0005-0000-0000-000035000000}"/>
    <cellStyle name="40% - Accent4" xfId="34" builtinId="43" customBuiltin="1"/>
    <cellStyle name="40% - Accent4 2" xfId="89" xr:uid="{00000000-0005-0000-0000-000037000000}"/>
    <cellStyle name="40% - Accent4 3" xfId="90" xr:uid="{00000000-0005-0000-0000-000038000000}"/>
    <cellStyle name="40% - Accent4 4" xfId="91" xr:uid="{00000000-0005-0000-0000-000039000000}"/>
    <cellStyle name="40% - Accent4 5" xfId="293" xr:uid="{00000000-0005-0000-0000-00003A000000}"/>
    <cellStyle name="40% - Accent4 6" xfId="354" xr:uid="{00000000-0005-0000-0000-00003B000000}"/>
    <cellStyle name="40% - Accent5" xfId="38" builtinId="47" customBuiltin="1"/>
    <cellStyle name="40% - Accent5 2" xfId="92" xr:uid="{00000000-0005-0000-0000-00003D000000}"/>
    <cellStyle name="40% - Accent5 3" xfId="93" xr:uid="{00000000-0005-0000-0000-00003E000000}"/>
    <cellStyle name="40% - Accent5 4" xfId="94" xr:uid="{00000000-0005-0000-0000-00003F000000}"/>
    <cellStyle name="40% - Accent5 5" xfId="297" xr:uid="{00000000-0005-0000-0000-000040000000}"/>
    <cellStyle name="40% - Accent5 6" xfId="358" xr:uid="{00000000-0005-0000-0000-000041000000}"/>
    <cellStyle name="40% - Accent6" xfId="42" builtinId="51" customBuiltin="1"/>
    <cellStyle name="40% - Accent6 2" xfId="95" xr:uid="{00000000-0005-0000-0000-000043000000}"/>
    <cellStyle name="40% - Accent6 3" xfId="96" xr:uid="{00000000-0005-0000-0000-000044000000}"/>
    <cellStyle name="40% - Accent6 4" xfId="97" xr:uid="{00000000-0005-0000-0000-000045000000}"/>
    <cellStyle name="40% - Accent6 5" xfId="301" xr:uid="{00000000-0005-0000-0000-000046000000}"/>
    <cellStyle name="40% - Accent6 6" xfId="362" xr:uid="{00000000-0005-0000-0000-000047000000}"/>
    <cellStyle name="60% - Accent1" xfId="23" builtinId="32" customBuiltin="1"/>
    <cellStyle name="60% - Accent1 2" xfId="98" xr:uid="{00000000-0005-0000-0000-000049000000}"/>
    <cellStyle name="60% - Accent1 3" xfId="99" xr:uid="{00000000-0005-0000-0000-00004A000000}"/>
    <cellStyle name="60% - Accent1 4" xfId="100" xr:uid="{00000000-0005-0000-0000-00004B000000}"/>
    <cellStyle name="60% - Accent1 5" xfId="282" xr:uid="{00000000-0005-0000-0000-00004C000000}"/>
    <cellStyle name="60% - Accent1 6" xfId="343" xr:uid="{00000000-0005-0000-0000-00004D000000}"/>
    <cellStyle name="60% - Accent1 7" xfId="490" xr:uid="{A6E69CF8-951F-4157-897B-7CC880AED567}"/>
    <cellStyle name="60% - Accent1 8" xfId="483" xr:uid="{4C4F2E31-7255-4A53-8A12-7A3A5DD0B36F}"/>
    <cellStyle name="60% - Accent2" xfId="27" builtinId="36" customBuiltin="1"/>
    <cellStyle name="60% - Accent2 2" xfId="101" xr:uid="{00000000-0005-0000-0000-00004F000000}"/>
    <cellStyle name="60% - Accent2 3" xfId="102" xr:uid="{00000000-0005-0000-0000-000050000000}"/>
    <cellStyle name="60% - Accent2 4" xfId="103" xr:uid="{00000000-0005-0000-0000-000051000000}"/>
    <cellStyle name="60% - Accent2 5" xfId="286" xr:uid="{00000000-0005-0000-0000-000052000000}"/>
    <cellStyle name="60% - Accent2 6" xfId="347" xr:uid="{00000000-0005-0000-0000-000053000000}"/>
    <cellStyle name="60% - Accent2 7" xfId="491" xr:uid="{9424CA0B-37CE-4F9A-97D3-A59B500B3A02}"/>
    <cellStyle name="60% - Accent2 8" xfId="484" xr:uid="{61211E56-5582-4726-B7A7-9B6D364913C1}"/>
    <cellStyle name="60% - Accent3" xfId="31" builtinId="40" customBuiltin="1"/>
    <cellStyle name="60% - Accent3 2" xfId="104" xr:uid="{00000000-0005-0000-0000-000055000000}"/>
    <cellStyle name="60% - Accent3 3" xfId="105" xr:uid="{00000000-0005-0000-0000-000056000000}"/>
    <cellStyle name="60% - Accent3 4" xfId="106" xr:uid="{00000000-0005-0000-0000-000057000000}"/>
    <cellStyle name="60% - Accent3 5" xfId="290" xr:uid="{00000000-0005-0000-0000-000058000000}"/>
    <cellStyle name="60% - Accent3 6" xfId="351" xr:uid="{00000000-0005-0000-0000-000059000000}"/>
    <cellStyle name="60% - Accent3 7" xfId="492" xr:uid="{A24C76FD-CA19-4979-81D7-5EBC72E4B4FA}"/>
    <cellStyle name="60% - Accent3 8" xfId="485" xr:uid="{A0EC2435-00A9-4BB0-980D-B6F3762CD910}"/>
    <cellStyle name="60% - Accent4" xfId="35" builtinId="44" customBuiltin="1"/>
    <cellStyle name="60% - Accent4 2" xfId="107" xr:uid="{00000000-0005-0000-0000-00005B000000}"/>
    <cellStyle name="60% - Accent4 3" xfId="108" xr:uid="{00000000-0005-0000-0000-00005C000000}"/>
    <cellStyle name="60% - Accent4 4" xfId="109" xr:uid="{00000000-0005-0000-0000-00005D000000}"/>
    <cellStyle name="60% - Accent4 5" xfId="294" xr:uid="{00000000-0005-0000-0000-00005E000000}"/>
    <cellStyle name="60% - Accent4 6" xfId="355" xr:uid="{00000000-0005-0000-0000-00005F000000}"/>
    <cellStyle name="60% - Accent4 7" xfId="493" xr:uid="{1EA305BA-5CAF-4F71-962C-BDA7FA2DEA2C}"/>
    <cellStyle name="60% - Accent4 8" xfId="486" xr:uid="{4975642D-18A4-413B-A823-09F188909DDA}"/>
    <cellStyle name="60% - Accent5" xfId="39" builtinId="48" customBuiltin="1"/>
    <cellStyle name="60% - Accent5 2" xfId="110" xr:uid="{00000000-0005-0000-0000-000061000000}"/>
    <cellStyle name="60% - Accent5 3" xfId="111" xr:uid="{00000000-0005-0000-0000-000062000000}"/>
    <cellStyle name="60% - Accent5 4" xfId="112" xr:uid="{00000000-0005-0000-0000-000063000000}"/>
    <cellStyle name="60% - Accent5 5" xfId="298" xr:uid="{00000000-0005-0000-0000-000064000000}"/>
    <cellStyle name="60% - Accent5 6" xfId="359" xr:uid="{00000000-0005-0000-0000-000065000000}"/>
    <cellStyle name="60% - Accent5 7" xfId="494" xr:uid="{45B57D18-5D45-4EC1-909C-34DEC592FB69}"/>
    <cellStyle name="60% - Accent5 8" xfId="487" xr:uid="{E895DA45-802D-40E1-AD1E-2C1A12DB5847}"/>
    <cellStyle name="60% - Accent6" xfId="43" builtinId="52" customBuiltin="1"/>
    <cellStyle name="60% - Accent6 2" xfId="113" xr:uid="{00000000-0005-0000-0000-000067000000}"/>
    <cellStyle name="60% - Accent6 3" xfId="114" xr:uid="{00000000-0005-0000-0000-000068000000}"/>
    <cellStyle name="60% - Accent6 4" xfId="115" xr:uid="{00000000-0005-0000-0000-000069000000}"/>
    <cellStyle name="60% - Accent6 5" xfId="302" xr:uid="{00000000-0005-0000-0000-00006A000000}"/>
    <cellStyle name="60% - Accent6 6" xfId="363" xr:uid="{00000000-0005-0000-0000-00006B000000}"/>
    <cellStyle name="60% - Accent6 7" xfId="495" xr:uid="{F2A45BF5-427E-40CF-B148-432A6FA36AD8}"/>
    <cellStyle name="60% - Accent6 8" xfId="488" xr:uid="{B9C3C944-47C2-4016-9803-C113F0CBAB69}"/>
    <cellStyle name="Accent1" xfId="20" builtinId="29" customBuiltin="1"/>
    <cellStyle name="Accent1 2" xfId="116" xr:uid="{00000000-0005-0000-0000-00006D000000}"/>
    <cellStyle name="Accent1 3" xfId="117" xr:uid="{00000000-0005-0000-0000-00006E000000}"/>
    <cellStyle name="Accent1 4" xfId="118" xr:uid="{00000000-0005-0000-0000-00006F000000}"/>
    <cellStyle name="Accent1 5" xfId="279" xr:uid="{00000000-0005-0000-0000-000070000000}"/>
    <cellStyle name="Accent1 6" xfId="340" xr:uid="{00000000-0005-0000-0000-000071000000}"/>
    <cellStyle name="Accent2" xfId="24" builtinId="33" customBuiltin="1"/>
    <cellStyle name="Accent2 2" xfId="119" xr:uid="{00000000-0005-0000-0000-000073000000}"/>
    <cellStyle name="Accent2 3" xfId="120" xr:uid="{00000000-0005-0000-0000-000074000000}"/>
    <cellStyle name="Accent2 4" xfId="121" xr:uid="{00000000-0005-0000-0000-000075000000}"/>
    <cellStyle name="Accent2 5" xfId="283" xr:uid="{00000000-0005-0000-0000-000076000000}"/>
    <cellStyle name="Accent2 6" xfId="344" xr:uid="{00000000-0005-0000-0000-000077000000}"/>
    <cellStyle name="Accent3" xfId="28" builtinId="37" customBuiltin="1"/>
    <cellStyle name="Accent3 2" xfId="122" xr:uid="{00000000-0005-0000-0000-000079000000}"/>
    <cellStyle name="Accent3 3" xfId="123" xr:uid="{00000000-0005-0000-0000-00007A000000}"/>
    <cellStyle name="Accent3 4" xfId="124" xr:uid="{00000000-0005-0000-0000-00007B000000}"/>
    <cellStyle name="Accent3 5" xfId="287" xr:uid="{00000000-0005-0000-0000-00007C000000}"/>
    <cellStyle name="Accent3 6" xfId="348" xr:uid="{00000000-0005-0000-0000-00007D000000}"/>
    <cellStyle name="Accent4" xfId="32" builtinId="41" customBuiltin="1"/>
    <cellStyle name="Accent4 2" xfId="125" xr:uid="{00000000-0005-0000-0000-00007F000000}"/>
    <cellStyle name="Accent4 3" xfId="126" xr:uid="{00000000-0005-0000-0000-000080000000}"/>
    <cellStyle name="Accent4 4" xfId="127" xr:uid="{00000000-0005-0000-0000-000081000000}"/>
    <cellStyle name="Accent4 5" xfId="291" xr:uid="{00000000-0005-0000-0000-000082000000}"/>
    <cellStyle name="Accent4 6" xfId="352" xr:uid="{00000000-0005-0000-0000-000083000000}"/>
    <cellStyle name="Accent5" xfId="36" builtinId="45" customBuiltin="1"/>
    <cellStyle name="Accent5 2" xfId="128" xr:uid="{00000000-0005-0000-0000-000085000000}"/>
    <cellStyle name="Accent5 3" xfId="129" xr:uid="{00000000-0005-0000-0000-000086000000}"/>
    <cellStyle name="Accent5 4" xfId="130" xr:uid="{00000000-0005-0000-0000-000087000000}"/>
    <cellStyle name="Accent5 5" xfId="295" xr:uid="{00000000-0005-0000-0000-000088000000}"/>
    <cellStyle name="Accent5 6" xfId="356" xr:uid="{00000000-0005-0000-0000-000089000000}"/>
    <cellStyle name="Accent6" xfId="40" builtinId="49" customBuiltin="1"/>
    <cellStyle name="Accent6 2" xfId="131" xr:uid="{00000000-0005-0000-0000-00008B000000}"/>
    <cellStyle name="Accent6 3" xfId="132" xr:uid="{00000000-0005-0000-0000-00008C000000}"/>
    <cellStyle name="Accent6 4" xfId="133" xr:uid="{00000000-0005-0000-0000-00008D000000}"/>
    <cellStyle name="Accent6 5" xfId="299" xr:uid="{00000000-0005-0000-0000-00008E000000}"/>
    <cellStyle name="Accent6 6" xfId="360" xr:uid="{00000000-0005-0000-0000-00008F000000}"/>
    <cellStyle name="Bad" xfId="9" builtinId="27" customBuiltin="1"/>
    <cellStyle name="Bad 2" xfId="134" xr:uid="{00000000-0005-0000-0000-000091000000}"/>
    <cellStyle name="Bad 3" xfId="135" xr:uid="{00000000-0005-0000-0000-000092000000}"/>
    <cellStyle name="Bad 4" xfId="136" xr:uid="{00000000-0005-0000-0000-000093000000}"/>
    <cellStyle name="Bad 5" xfId="269" xr:uid="{00000000-0005-0000-0000-000094000000}"/>
    <cellStyle name="Bad 6" xfId="335" xr:uid="{00000000-0005-0000-0000-000095000000}"/>
    <cellStyle name="Calculation" xfId="13" builtinId="22" customBuiltin="1"/>
    <cellStyle name="Calculation 2" xfId="137" xr:uid="{00000000-0005-0000-0000-000097000000}"/>
    <cellStyle name="Calculation 3" xfId="138" xr:uid="{00000000-0005-0000-0000-000098000000}"/>
    <cellStyle name="Calculation 4" xfId="139" xr:uid="{00000000-0005-0000-0000-000099000000}"/>
    <cellStyle name="Calculation 5" xfId="273" xr:uid="{00000000-0005-0000-0000-00009A000000}"/>
    <cellStyle name="Check Cell" xfId="15" builtinId="23" customBuiltin="1"/>
    <cellStyle name="Check Cell 2" xfId="140" xr:uid="{00000000-0005-0000-0000-00009C000000}"/>
    <cellStyle name="Check Cell 3" xfId="141" xr:uid="{00000000-0005-0000-0000-00009D000000}"/>
    <cellStyle name="Check Cell 4" xfId="142" xr:uid="{00000000-0005-0000-0000-00009E000000}"/>
    <cellStyle name="Check Cell 5" xfId="275" xr:uid="{00000000-0005-0000-0000-00009F000000}"/>
    <cellStyle name="Comma" xfId="496" builtinId="3"/>
    <cellStyle name="Comma 2" xfId="143" xr:uid="{00000000-0005-0000-0000-0000A0000000}"/>
    <cellStyle name="Comma 2 2" xfId="237" xr:uid="{00000000-0005-0000-0000-0000A1000000}"/>
    <cellStyle name="Comma 2 2 2" xfId="323" xr:uid="{00000000-0005-0000-0000-0000A2000000}"/>
    <cellStyle name="Comma 2 2 3" xfId="374" xr:uid="{00000000-0005-0000-0000-0000A3000000}"/>
    <cellStyle name="Comma 2 3" xfId="375" xr:uid="{00000000-0005-0000-0000-0000A4000000}"/>
    <cellStyle name="Comma 3" xfId="225" xr:uid="{00000000-0005-0000-0000-0000A5000000}"/>
    <cellStyle name="Comma 3 2" xfId="376" xr:uid="{00000000-0005-0000-0000-0000A6000000}"/>
    <cellStyle name="Comma 3 3" xfId="439" xr:uid="{00000000-0005-0000-0000-0000A7000000}"/>
    <cellStyle name="Comma 3 4" xfId="451" xr:uid="{00000000-0005-0000-0000-0000A8000000}"/>
    <cellStyle name="Currency" xfId="1" builtinId="4"/>
    <cellStyle name="Currency 2" xfId="144" xr:uid="{00000000-0005-0000-0000-0000AA000000}"/>
    <cellStyle name="Currency 2 2" xfId="223" xr:uid="{00000000-0005-0000-0000-0000AB000000}"/>
    <cellStyle name="Currency 2 2 2" xfId="377" xr:uid="{00000000-0005-0000-0000-0000AC000000}"/>
    <cellStyle name="Currency 2 3" xfId="236" xr:uid="{00000000-0005-0000-0000-0000AD000000}"/>
    <cellStyle name="Currency 2 3 2" xfId="466" xr:uid="{00000000-0005-0000-0000-0000AE000000}"/>
    <cellStyle name="Currency 2 3 3" xfId="464" xr:uid="{00000000-0005-0000-0000-0000AF000000}"/>
    <cellStyle name="Currency 2 4" xfId="238" xr:uid="{00000000-0005-0000-0000-0000B0000000}"/>
    <cellStyle name="Currency 2 4 2" xfId="324" xr:uid="{00000000-0005-0000-0000-0000B1000000}"/>
    <cellStyle name="Currency 2 4 3" xfId="378" xr:uid="{00000000-0005-0000-0000-0000B2000000}"/>
    <cellStyle name="Currency 2 4 4" xfId="449" xr:uid="{00000000-0005-0000-0000-0000B3000000}"/>
    <cellStyle name="Currency 2 5" xfId="322" xr:uid="{00000000-0005-0000-0000-0000B4000000}"/>
    <cellStyle name="Currency 2 6" xfId="379" xr:uid="{00000000-0005-0000-0000-0000B5000000}"/>
    <cellStyle name="Currency 3" xfId="145" xr:uid="{00000000-0005-0000-0000-0000B6000000}"/>
    <cellStyle name="Currency 3 2" xfId="461" xr:uid="{00000000-0005-0000-0000-0000B7000000}"/>
    <cellStyle name="Currency 3 3" xfId="448" xr:uid="{00000000-0005-0000-0000-0000B8000000}"/>
    <cellStyle name="Currency 4" xfId="226" xr:uid="{00000000-0005-0000-0000-0000B9000000}"/>
    <cellStyle name="Currency 4 2" xfId="440" xr:uid="{00000000-0005-0000-0000-0000BA000000}"/>
    <cellStyle name="Currency 4 3" xfId="452" xr:uid="{00000000-0005-0000-0000-0000BB000000}"/>
    <cellStyle name="Currency 5" xfId="2" xr:uid="{00000000-0005-0000-0000-0000BC000000}"/>
    <cellStyle name="Currency 5 2" xfId="465" xr:uid="{00000000-0005-0000-0000-0000BD000000}"/>
    <cellStyle name="Currency 5 3" xfId="453" xr:uid="{00000000-0005-0000-0000-0000BE000000}"/>
    <cellStyle name="Currency 6" xfId="320" xr:uid="{00000000-0005-0000-0000-0000BF000000}"/>
    <cellStyle name="Currency 7" xfId="326" xr:uid="{00000000-0005-0000-0000-0000C0000000}"/>
    <cellStyle name="Currency 7 2" xfId="468" xr:uid="{00000000-0005-0000-0000-0000C1000000}"/>
    <cellStyle name="Currency 7 3" xfId="447" xr:uid="{00000000-0005-0000-0000-0000C2000000}"/>
    <cellStyle name="Currency 8" xfId="331" xr:uid="{00000000-0005-0000-0000-0000C3000000}"/>
    <cellStyle name="Currency 9" xfId="365" xr:uid="{00000000-0005-0000-0000-0000C4000000}"/>
    <cellStyle name="Excel Built-in Normal" xfId="55" xr:uid="{00000000-0005-0000-0000-0000C5000000}"/>
    <cellStyle name="Excel Built-in Normal 2" xfId="146" xr:uid="{00000000-0005-0000-0000-0000C6000000}"/>
    <cellStyle name="Excel Built-in Normal 3" xfId="147" xr:uid="{00000000-0005-0000-0000-0000C7000000}"/>
    <cellStyle name="Excel Built-in Normal 4" xfId="380" xr:uid="{00000000-0005-0000-0000-0000C8000000}"/>
    <cellStyle name="Explanatory Text" xfId="18" builtinId="53" customBuiltin="1"/>
    <cellStyle name="Explanatory Text 2" xfId="148" xr:uid="{00000000-0005-0000-0000-0000CA000000}"/>
    <cellStyle name="Explanatory Text 3" xfId="149" xr:uid="{00000000-0005-0000-0000-0000CB000000}"/>
    <cellStyle name="Explanatory Text 4" xfId="150" xr:uid="{00000000-0005-0000-0000-0000CC000000}"/>
    <cellStyle name="Explanatory Text 5" xfId="277" xr:uid="{00000000-0005-0000-0000-0000CD000000}"/>
    <cellStyle name="Explanatory Text 6" xfId="339" xr:uid="{00000000-0005-0000-0000-0000CE000000}"/>
    <cellStyle name="Feature List" xfId="368" xr:uid="{00000000-0005-0000-0000-0000CF000000}"/>
    <cellStyle name="Good" xfId="8" builtinId="26" customBuiltin="1"/>
    <cellStyle name="Good 2" xfId="151" xr:uid="{00000000-0005-0000-0000-0000D1000000}"/>
    <cellStyle name="Good 3" xfId="152" xr:uid="{00000000-0005-0000-0000-0000D2000000}"/>
    <cellStyle name="Good 4" xfId="153" xr:uid="{00000000-0005-0000-0000-0000D3000000}"/>
    <cellStyle name="Good 5" xfId="268" xr:uid="{00000000-0005-0000-0000-0000D4000000}"/>
    <cellStyle name="Good 6" xfId="334" xr:uid="{00000000-0005-0000-0000-0000D5000000}"/>
    <cellStyle name="Heading 1" xfId="4" builtinId="16" customBuiltin="1"/>
    <cellStyle name="Heading 1 2" xfId="154" xr:uid="{00000000-0005-0000-0000-0000D7000000}"/>
    <cellStyle name="Heading 1 3" xfId="155" xr:uid="{00000000-0005-0000-0000-0000D8000000}"/>
    <cellStyle name="Heading 1 4" xfId="156" xr:uid="{00000000-0005-0000-0000-0000D9000000}"/>
    <cellStyle name="Heading 1 5" xfId="264" xr:uid="{00000000-0005-0000-0000-0000DA000000}"/>
    <cellStyle name="Heading 2" xfId="5" builtinId="17" customBuiltin="1"/>
    <cellStyle name="Heading 2 2" xfId="157" xr:uid="{00000000-0005-0000-0000-0000DC000000}"/>
    <cellStyle name="Heading 2 3" xfId="158" xr:uid="{00000000-0005-0000-0000-0000DD000000}"/>
    <cellStyle name="Heading 2 4" xfId="159" xr:uid="{00000000-0005-0000-0000-0000DE000000}"/>
    <cellStyle name="Heading 2 5" xfId="265" xr:uid="{00000000-0005-0000-0000-0000DF000000}"/>
    <cellStyle name="Heading 3" xfId="6" builtinId="18" customBuiltin="1"/>
    <cellStyle name="Heading 3 2" xfId="160" xr:uid="{00000000-0005-0000-0000-0000E1000000}"/>
    <cellStyle name="Heading 3 3" xfId="161" xr:uid="{00000000-0005-0000-0000-0000E2000000}"/>
    <cellStyle name="Heading 3 4" xfId="162" xr:uid="{00000000-0005-0000-0000-0000E3000000}"/>
    <cellStyle name="Heading 3 5" xfId="266" xr:uid="{00000000-0005-0000-0000-0000E4000000}"/>
    <cellStyle name="Heading 4" xfId="7" builtinId="19" customBuiltin="1"/>
    <cellStyle name="Heading 4 2" xfId="163" xr:uid="{00000000-0005-0000-0000-0000E6000000}"/>
    <cellStyle name="Heading 4 3" xfId="164" xr:uid="{00000000-0005-0000-0000-0000E7000000}"/>
    <cellStyle name="Heading 4 4" xfId="165" xr:uid="{00000000-0005-0000-0000-0000E8000000}"/>
    <cellStyle name="Heading 4 5" xfId="267" xr:uid="{00000000-0005-0000-0000-0000E9000000}"/>
    <cellStyle name="Heading 4 6" xfId="333" xr:uid="{00000000-0005-0000-0000-0000EA000000}"/>
    <cellStyle name="Hyperlink" xfId="3" builtinId="8"/>
    <cellStyle name="Hyperlink 2" xfId="318" xr:uid="{00000000-0005-0000-0000-0000EC000000}"/>
    <cellStyle name="Hyperlink 2 2" xfId="381" xr:uid="{00000000-0005-0000-0000-0000ED000000}"/>
    <cellStyle name="Hyperlink 2 3" xfId="52" xr:uid="{00000000-0005-0000-0000-0000EE000000}"/>
    <cellStyle name="Hyperlink 3" xfId="50" xr:uid="{00000000-0005-0000-0000-0000EF000000}"/>
    <cellStyle name="Hyperlink 3 2" xfId="53" xr:uid="{00000000-0005-0000-0000-0000F0000000}"/>
    <cellStyle name="Hyperlink 4" xfId="51" xr:uid="{00000000-0005-0000-0000-0000F1000000}"/>
    <cellStyle name="Input" xfId="11" builtinId="20" customBuiltin="1"/>
    <cellStyle name="Input 2" xfId="166" xr:uid="{00000000-0005-0000-0000-0000F3000000}"/>
    <cellStyle name="Input 3" xfId="167" xr:uid="{00000000-0005-0000-0000-0000F4000000}"/>
    <cellStyle name="Input 4" xfId="168" xr:uid="{00000000-0005-0000-0000-0000F5000000}"/>
    <cellStyle name="Input 5" xfId="271" xr:uid="{00000000-0005-0000-0000-0000F6000000}"/>
    <cellStyle name="Linked Cell" xfId="14" builtinId="24" customBuiltin="1"/>
    <cellStyle name="Linked Cell 2" xfId="169" xr:uid="{00000000-0005-0000-0000-0000F8000000}"/>
    <cellStyle name="Linked Cell 3" xfId="170" xr:uid="{00000000-0005-0000-0000-0000F9000000}"/>
    <cellStyle name="Linked Cell 4" xfId="171" xr:uid="{00000000-0005-0000-0000-0000FA000000}"/>
    <cellStyle name="Linked Cell 5" xfId="274" xr:uid="{00000000-0005-0000-0000-0000FB000000}"/>
    <cellStyle name="Neutral" xfId="10" builtinId="28" customBuiltin="1"/>
    <cellStyle name="Neutral 2" xfId="172" xr:uid="{00000000-0005-0000-0000-0000FD000000}"/>
    <cellStyle name="Neutral 3" xfId="173" xr:uid="{00000000-0005-0000-0000-0000FE000000}"/>
    <cellStyle name="Neutral 4" xfId="174" xr:uid="{00000000-0005-0000-0000-0000FF000000}"/>
    <cellStyle name="Neutral 5" xfId="270" xr:uid="{00000000-0005-0000-0000-000000010000}"/>
    <cellStyle name="Neutral 6" xfId="336" xr:uid="{00000000-0005-0000-0000-000001010000}"/>
    <cellStyle name="Neutral 7" xfId="489" xr:uid="{460FEBFE-C501-4070-85C0-28CFFCC99027}"/>
    <cellStyle name="Neutral 8" xfId="482" xr:uid="{72833865-604C-4EAE-B01A-C0F79CE5EAB4}"/>
    <cellStyle name="Normal" xfId="0" builtinId="0"/>
    <cellStyle name="Normal 10" xfId="56" xr:uid="{00000000-0005-0000-0000-000003010000}"/>
    <cellStyle name="Normal 10 2" xfId="382" xr:uid="{00000000-0005-0000-0000-000004010000}"/>
    <cellStyle name="Normal 11" xfId="57" xr:uid="{00000000-0005-0000-0000-000005010000}"/>
    <cellStyle name="Normal 12" xfId="58" xr:uid="{00000000-0005-0000-0000-000006010000}"/>
    <cellStyle name="Normal 13" xfId="175" xr:uid="{00000000-0005-0000-0000-000007010000}"/>
    <cellStyle name="Normal 14" xfId="60" xr:uid="{00000000-0005-0000-0000-000008010000}"/>
    <cellStyle name="Normal 15" xfId="176" xr:uid="{00000000-0005-0000-0000-000009010000}"/>
    <cellStyle name="Normal 16" xfId="177" xr:uid="{00000000-0005-0000-0000-00000A010000}"/>
    <cellStyle name="Normal 17" xfId="178" xr:uid="{00000000-0005-0000-0000-00000B010000}"/>
    <cellStyle name="Normal 18" xfId="179" xr:uid="{00000000-0005-0000-0000-00000C010000}"/>
    <cellStyle name="Normal 19" xfId="180" xr:uid="{00000000-0005-0000-0000-00000D010000}"/>
    <cellStyle name="Normal 2" xfId="47" xr:uid="{00000000-0005-0000-0000-00000E010000}"/>
    <cellStyle name="Normal 2 10 2 2" xfId="481" xr:uid="{F9B43C07-5A72-4A8B-B8F5-270F266EEB31}"/>
    <cellStyle name="Normal 2 2" xfId="181" xr:uid="{00000000-0005-0000-0000-00000F010000}"/>
    <cellStyle name="Normal 2 2 2" xfId="371" xr:uid="{00000000-0005-0000-0000-000010010000}"/>
    <cellStyle name="Normal 2 2 3" xfId="383" xr:uid="{00000000-0005-0000-0000-000011010000}"/>
    <cellStyle name="Normal 2 3" xfId="182" xr:uid="{00000000-0005-0000-0000-000012010000}"/>
    <cellStyle name="Normal 2 3 2" xfId="384" xr:uid="{00000000-0005-0000-0000-000013010000}"/>
    <cellStyle name="Normal 2 4" xfId="183" xr:uid="{00000000-0005-0000-0000-000014010000}"/>
    <cellStyle name="Normal 2 4 2" xfId="385" xr:uid="{00000000-0005-0000-0000-000015010000}"/>
    <cellStyle name="Normal 2 5" xfId="184" xr:uid="{00000000-0005-0000-0000-000016010000}"/>
    <cellStyle name="Normal 2 5 2" xfId="386" xr:uid="{00000000-0005-0000-0000-000017010000}"/>
    <cellStyle name="Normal 2 6" xfId="227" xr:uid="{00000000-0005-0000-0000-000018010000}"/>
    <cellStyle name="Normal 2 6 2" xfId="316" xr:uid="{00000000-0005-0000-0000-000019010000}"/>
    <cellStyle name="Normal 2 7" xfId="230" xr:uid="{00000000-0005-0000-0000-00001A010000}"/>
    <cellStyle name="Normal 20" xfId="185" xr:uid="{00000000-0005-0000-0000-00001B010000}"/>
    <cellStyle name="Normal 21" xfId="186" xr:uid="{00000000-0005-0000-0000-00001C010000}"/>
    <cellStyle name="Normal 22" xfId="187" xr:uid="{00000000-0005-0000-0000-00001D010000}"/>
    <cellStyle name="Normal 23" xfId="188" xr:uid="{00000000-0005-0000-0000-00001E010000}"/>
    <cellStyle name="Normal 24" xfId="189" xr:uid="{00000000-0005-0000-0000-00001F010000}"/>
    <cellStyle name="Normal 25" xfId="190" xr:uid="{00000000-0005-0000-0000-000020010000}"/>
    <cellStyle name="Normal 26" xfId="191" xr:uid="{00000000-0005-0000-0000-000021010000}"/>
    <cellStyle name="Normal 27" xfId="192" xr:uid="{00000000-0005-0000-0000-000022010000}"/>
    <cellStyle name="Normal 28" xfId="193" xr:uid="{00000000-0005-0000-0000-000023010000}"/>
    <cellStyle name="Normal 28 2" xfId="194" xr:uid="{00000000-0005-0000-0000-000024010000}"/>
    <cellStyle name="Normal 28 3" xfId="444" xr:uid="{00000000-0005-0000-0000-000025010000}"/>
    <cellStyle name="Normal 29" xfId="195" xr:uid="{00000000-0005-0000-0000-000026010000}"/>
    <cellStyle name="Normal 29 2" xfId="249" xr:uid="{00000000-0005-0000-0000-000027010000}"/>
    <cellStyle name="Normal 29 2 2" xfId="467" xr:uid="{00000000-0005-0000-0000-000028010000}"/>
    <cellStyle name="Normal 29 2 3" xfId="445" xr:uid="{00000000-0005-0000-0000-000029010000}"/>
    <cellStyle name="Normal 3" xfId="46" xr:uid="{00000000-0005-0000-0000-00002A010000}"/>
    <cellStyle name="Normal 3 2" xfId="196" xr:uid="{00000000-0005-0000-0000-00002B010000}"/>
    <cellStyle name="Normal 3 2 2" xfId="387" xr:uid="{00000000-0005-0000-0000-00002C010000}"/>
    <cellStyle name="Normal 3 2 3" xfId="388" xr:uid="{00000000-0005-0000-0000-00002D010000}"/>
    <cellStyle name="Normal 3 3" xfId="197" xr:uid="{00000000-0005-0000-0000-00002E010000}"/>
    <cellStyle name="Normal 3 3 2" xfId="389" xr:uid="{00000000-0005-0000-0000-00002F010000}"/>
    <cellStyle name="Normal 3 4" xfId="390" xr:uid="{00000000-0005-0000-0000-000030010000}"/>
    <cellStyle name="Normal 3 4 2" xfId="469" xr:uid="{00000000-0005-0000-0000-000031010000}"/>
    <cellStyle name="Normal 3 4 3" xfId="456" xr:uid="{00000000-0005-0000-0000-000032010000}"/>
    <cellStyle name="Normal 30" xfId="224" xr:uid="{00000000-0005-0000-0000-000033010000}"/>
    <cellStyle name="Normal 30 2" xfId="253" xr:uid="{00000000-0005-0000-0000-000034010000}"/>
    <cellStyle name="Normal 30 3" xfId="49" xr:uid="{00000000-0005-0000-0000-000035010000}"/>
    <cellStyle name="Normal 30 4" xfId="446" xr:uid="{00000000-0005-0000-0000-000036010000}"/>
    <cellStyle name="Normal 31" xfId="48" xr:uid="{00000000-0005-0000-0000-000037010000}"/>
    <cellStyle name="Normal 31 2" xfId="250" xr:uid="{00000000-0005-0000-0000-000038010000}"/>
    <cellStyle name="Normal 32" xfId="235" xr:uid="{00000000-0005-0000-0000-000039010000}"/>
    <cellStyle name="Normal 32 2" xfId="258" xr:uid="{00000000-0005-0000-0000-00003A010000}"/>
    <cellStyle name="Normal 32 3" xfId="317" xr:uid="{00000000-0005-0000-0000-00003B010000}"/>
    <cellStyle name="Normal 33" xfId="254" xr:uid="{00000000-0005-0000-0000-00003C010000}"/>
    <cellStyle name="Normal 34" xfId="255" xr:uid="{00000000-0005-0000-0000-00003D010000}"/>
    <cellStyle name="Normal 35" xfId="257" xr:uid="{00000000-0005-0000-0000-00003E010000}"/>
    <cellStyle name="Normal 36" xfId="256" xr:uid="{00000000-0005-0000-0000-00003F010000}"/>
    <cellStyle name="Normal 37" xfId="252" xr:uid="{00000000-0005-0000-0000-000040010000}"/>
    <cellStyle name="Normal 38" xfId="259" xr:uid="{00000000-0005-0000-0000-000041010000}"/>
    <cellStyle name="Normal 39" xfId="260" xr:uid="{00000000-0005-0000-0000-000042010000}"/>
    <cellStyle name="Normal 4" xfId="61" xr:uid="{00000000-0005-0000-0000-000043010000}"/>
    <cellStyle name="Normal 4 2" xfId="198" xr:uid="{00000000-0005-0000-0000-000044010000}"/>
    <cellStyle name="Normal 4 2 2" xfId="391" xr:uid="{00000000-0005-0000-0000-000045010000}"/>
    <cellStyle name="Normal 4 2 2 2" xfId="470" xr:uid="{00000000-0005-0000-0000-000046010000}"/>
    <cellStyle name="Normal 4 2 2 3" xfId="462" xr:uid="{00000000-0005-0000-0000-000047010000}"/>
    <cellStyle name="Normal 4 2 3" xfId="454" xr:uid="{00000000-0005-0000-0000-000048010000}"/>
    <cellStyle name="Normal 4 3" xfId="221" xr:uid="{00000000-0005-0000-0000-000049010000}"/>
    <cellStyle name="Normal 4 3 2" xfId="392" xr:uid="{00000000-0005-0000-0000-00004A010000}"/>
    <cellStyle name="Normal 4 3 2 2" xfId="471" xr:uid="{00000000-0005-0000-0000-00004B010000}"/>
    <cellStyle name="Normal 4 3 2 3" xfId="457" xr:uid="{00000000-0005-0000-0000-00004C010000}"/>
    <cellStyle name="Normal 4 4" xfId="329" xr:uid="{00000000-0005-0000-0000-00004D010000}"/>
    <cellStyle name="Normal 4 5" xfId="393" xr:uid="{00000000-0005-0000-0000-00004E010000}"/>
    <cellStyle name="Normal 40" xfId="251" xr:uid="{00000000-0005-0000-0000-00004F010000}"/>
    <cellStyle name="Normal 41" xfId="262" xr:uid="{00000000-0005-0000-0000-000050010000}"/>
    <cellStyle name="Normal 42" xfId="304" xr:uid="{00000000-0005-0000-0000-000051010000}"/>
    <cellStyle name="Normal 43" xfId="312" xr:uid="{00000000-0005-0000-0000-000052010000}"/>
    <cellStyle name="Normal 44" xfId="306" xr:uid="{00000000-0005-0000-0000-000053010000}"/>
    <cellStyle name="Normal 45" xfId="309" xr:uid="{00000000-0005-0000-0000-000054010000}"/>
    <cellStyle name="Normal 46" xfId="307" xr:uid="{00000000-0005-0000-0000-000055010000}"/>
    <cellStyle name="Normal 47" xfId="305" xr:uid="{00000000-0005-0000-0000-000056010000}"/>
    <cellStyle name="Normal 48" xfId="310" xr:uid="{00000000-0005-0000-0000-000057010000}"/>
    <cellStyle name="Normal 49" xfId="308" xr:uid="{00000000-0005-0000-0000-000058010000}"/>
    <cellStyle name="Normal 5" xfId="45" xr:uid="{00000000-0005-0000-0000-000059010000}"/>
    <cellStyle name="Normal 5 2" xfId="199" xr:uid="{00000000-0005-0000-0000-00005A010000}"/>
    <cellStyle name="Normal 5 2 2" xfId="463" xr:uid="{00000000-0005-0000-0000-00005B010000}"/>
    <cellStyle name="Normal 5 2 3" xfId="455" xr:uid="{00000000-0005-0000-0000-00005C010000}"/>
    <cellStyle name="Normal 5 3" xfId="222" xr:uid="{00000000-0005-0000-0000-00005D010000}"/>
    <cellStyle name="Normal 5 3 2" xfId="394" xr:uid="{00000000-0005-0000-0000-00005E010000}"/>
    <cellStyle name="Normal 5 3 2 2" xfId="472" xr:uid="{00000000-0005-0000-0000-00005F010000}"/>
    <cellStyle name="Normal 5 3 2 3" xfId="458" xr:uid="{00000000-0005-0000-0000-000060010000}"/>
    <cellStyle name="Normal 5 4" xfId="328" xr:uid="{00000000-0005-0000-0000-000061010000}"/>
    <cellStyle name="Normal 5 5" xfId="395" xr:uid="{00000000-0005-0000-0000-000062010000}"/>
    <cellStyle name="Normal 50" xfId="311" xr:uid="{00000000-0005-0000-0000-000063010000}"/>
    <cellStyle name="Normal 51" xfId="313" xr:uid="{00000000-0005-0000-0000-000064010000}"/>
    <cellStyle name="Normal 52" xfId="261" xr:uid="{00000000-0005-0000-0000-000065010000}"/>
    <cellStyle name="Normal 53" xfId="303" xr:uid="{00000000-0005-0000-0000-000066010000}"/>
    <cellStyle name="Normal 54" xfId="239" xr:uid="{00000000-0005-0000-0000-000067010000}"/>
    <cellStyle name="Normal 55" xfId="248" xr:uid="{00000000-0005-0000-0000-000068010000}"/>
    <cellStyle name="Normal 56" xfId="246" xr:uid="{00000000-0005-0000-0000-000069010000}"/>
    <cellStyle name="Normal 57" xfId="315" xr:uid="{00000000-0005-0000-0000-00006A010000}"/>
    <cellStyle name="Normal 58" xfId="247" xr:uid="{00000000-0005-0000-0000-00006B010000}"/>
    <cellStyle name="Normal 59" xfId="314" xr:uid="{00000000-0005-0000-0000-00006C010000}"/>
    <cellStyle name="Normal 6" xfId="200" xr:uid="{00000000-0005-0000-0000-00006D010000}"/>
    <cellStyle name="Normal 6 18" xfId="372" xr:uid="{00000000-0005-0000-0000-00006E010000}"/>
    <cellStyle name="Normal 6 2" xfId="396" xr:uid="{00000000-0005-0000-0000-00006F010000}"/>
    <cellStyle name="Normal 6 2 2" xfId="397" xr:uid="{00000000-0005-0000-0000-000070010000}"/>
    <cellStyle name="Normal 6 3" xfId="398" xr:uid="{00000000-0005-0000-0000-000071010000}"/>
    <cellStyle name="Normal 6 4" xfId="399" xr:uid="{00000000-0005-0000-0000-000072010000}"/>
    <cellStyle name="Normal 60" xfId="245" xr:uid="{00000000-0005-0000-0000-000073010000}"/>
    <cellStyle name="Normal 60 2" xfId="400" xr:uid="{00000000-0005-0000-0000-000074010000}"/>
    <cellStyle name="Normal 61" xfId="242" xr:uid="{00000000-0005-0000-0000-000075010000}"/>
    <cellStyle name="Normal 61 2" xfId="401" xr:uid="{00000000-0005-0000-0000-000076010000}"/>
    <cellStyle name="Normal 62" xfId="241" xr:uid="{00000000-0005-0000-0000-000077010000}"/>
    <cellStyle name="Normal 63" xfId="244" xr:uid="{00000000-0005-0000-0000-000078010000}"/>
    <cellStyle name="Normal 64" xfId="240" xr:uid="{00000000-0005-0000-0000-000079010000}"/>
    <cellStyle name="Normal 65" xfId="243" xr:uid="{00000000-0005-0000-0000-00007A010000}"/>
    <cellStyle name="Normal 66" xfId="319" xr:uid="{00000000-0005-0000-0000-00007B010000}"/>
    <cellStyle name="Normal 67" xfId="325" xr:uid="{00000000-0005-0000-0000-00007C010000}"/>
    <cellStyle name="Normal 68" xfId="330" xr:uid="{00000000-0005-0000-0000-00007D010000}"/>
    <cellStyle name="Normal 69" xfId="364" xr:uid="{00000000-0005-0000-0000-00007E010000}"/>
    <cellStyle name="Normal 7" xfId="201" xr:uid="{00000000-0005-0000-0000-00007F010000}"/>
    <cellStyle name="Normal 7 2" xfId="402" xr:uid="{00000000-0005-0000-0000-000080010000}"/>
    <cellStyle name="Normal 70" xfId="367" xr:uid="{00000000-0005-0000-0000-000081010000}"/>
    <cellStyle name="Normal 71" xfId="373" xr:uid="{00000000-0005-0000-0000-000082010000}"/>
    <cellStyle name="Normal 71 2" xfId="442" xr:uid="{00000000-0005-0000-0000-000083010000}"/>
    <cellStyle name="Normal 71 2 2" xfId="44" xr:uid="{00000000-0005-0000-0000-000084010000}"/>
    <cellStyle name="Normal 71 3" xfId="443" xr:uid="{00000000-0005-0000-0000-000085010000}"/>
    <cellStyle name="Normal 71 4" xfId="441" xr:uid="{00000000-0005-0000-0000-000086010000}"/>
    <cellStyle name="Normal 71 5" xfId="476" xr:uid="{00000000-0005-0000-0000-000087010000}"/>
    <cellStyle name="Normal 72" xfId="403" xr:uid="{00000000-0005-0000-0000-000088010000}"/>
    <cellStyle name="Normal 73" xfId="404" xr:uid="{00000000-0005-0000-0000-000089010000}"/>
    <cellStyle name="Normal 74" xfId="405" xr:uid="{00000000-0005-0000-0000-00008A010000}"/>
    <cellStyle name="Normal 75" xfId="406" xr:uid="{00000000-0005-0000-0000-00008B010000}"/>
    <cellStyle name="Normal 76" xfId="407" xr:uid="{00000000-0005-0000-0000-00008C010000}"/>
    <cellStyle name="Normal 77" xfId="408" xr:uid="{00000000-0005-0000-0000-00008D010000}"/>
    <cellStyle name="Normal 78" xfId="409" xr:uid="{00000000-0005-0000-0000-00008E010000}"/>
    <cellStyle name="Normal 79" xfId="410" xr:uid="{00000000-0005-0000-0000-00008F010000}"/>
    <cellStyle name="Normal 8" xfId="59" xr:uid="{00000000-0005-0000-0000-000090010000}"/>
    <cellStyle name="Normal 8 2" xfId="411" xr:uid="{00000000-0005-0000-0000-000091010000}"/>
    <cellStyle name="Normal 80" xfId="412" xr:uid="{00000000-0005-0000-0000-000092010000}"/>
    <cellStyle name="Normal 81" xfId="413" xr:uid="{00000000-0005-0000-0000-000093010000}"/>
    <cellStyle name="Normal 82" xfId="414" xr:uid="{00000000-0005-0000-0000-000094010000}"/>
    <cellStyle name="Normal 83" xfId="415" xr:uid="{00000000-0005-0000-0000-000095010000}"/>
    <cellStyle name="Normal 84" xfId="416" xr:uid="{00000000-0005-0000-0000-000096010000}"/>
    <cellStyle name="Normal 85" xfId="417" xr:uid="{00000000-0005-0000-0000-000097010000}"/>
    <cellStyle name="Normal 86" xfId="418" xr:uid="{00000000-0005-0000-0000-000098010000}"/>
    <cellStyle name="Normal 87" xfId="419" xr:uid="{00000000-0005-0000-0000-000099010000}"/>
    <cellStyle name="Normal 88" xfId="420" xr:uid="{00000000-0005-0000-0000-00009A010000}"/>
    <cellStyle name="Normal 89" xfId="421" xr:uid="{00000000-0005-0000-0000-00009B010000}"/>
    <cellStyle name="Normal 9" xfId="202" xr:uid="{00000000-0005-0000-0000-00009C010000}"/>
    <cellStyle name="Normal 9 2" xfId="422" xr:uid="{00000000-0005-0000-0000-00009D010000}"/>
    <cellStyle name="Normal 9 3" xfId="423" xr:uid="{00000000-0005-0000-0000-00009E010000}"/>
    <cellStyle name="Normal 90" xfId="424" xr:uid="{00000000-0005-0000-0000-00009F010000}"/>
    <cellStyle name="Normal 91" xfId="425" xr:uid="{00000000-0005-0000-0000-0000A0010000}"/>
    <cellStyle name="Normal 92" xfId="426" xr:uid="{00000000-0005-0000-0000-0000A1010000}"/>
    <cellStyle name="Normal 93" xfId="427" xr:uid="{00000000-0005-0000-0000-0000A2010000}"/>
    <cellStyle name="Normal 94" xfId="428" xr:uid="{00000000-0005-0000-0000-0000A3010000}"/>
    <cellStyle name="Normal 95" xfId="477" xr:uid="{00000000-0005-0000-0000-0000A4010000}"/>
    <cellStyle name="Normal 96" xfId="478" xr:uid="{00000000-0005-0000-0000-0000A5010000}"/>
    <cellStyle name="Note" xfId="17" builtinId="10" customBuiltin="1"/>
    <cellStyle name="Note 2" xfId="203" xr:uid="{00000000-0005-0000-0000-0000A7010000}"/>
    <cellStyle name="Note 2 2" xfId="204" xr:uid="{00000000-0005-0000-0000-0000A8010000}"/>
    <cellStyle name="Note 2 3" xfId="205" xr:uid="{00000000-0005-0000-0000-0000A9010000}"/>
    <cellStyle name="Note 2 4" xfId="206" xr:uid="{00000000-0005-0000-0000-0000AA010000}"/>
    <cellStyle name="Note 3" xfId="321" xr:uid="{00000000-0005-0000-0000-0000AB010000}"/>
    <cellStyle name="Note 4" xfId="327" xr:uid="{00000000-0005-0000-0000-0000AC010000}"/>
    <cellStyle name="Note 5" xfId="338" xr:uid="{00000000-0005-0000-0000-0000AD010000}"/>
    <cellStyle name="Note 6" xfId="366" xr:uid="{00000000-0005-0000-0000-0000AE010000}"/>
    <cellStyle name="Output" xfId="12" builtinId="21" customBuiltin="1"/>
    <cellStyle name="Output 2" xfId="207" xr:uid="{00000000-0005-0000-0000-0000B0010000}"/>
    <cellStyle name="Output 3" xfId="208" xr:uid="{00000000-0005-0000-0000-0000B1010000}"/>
    <cellStyle name="Output 4" xfId="209" xr:uid="{00000000-0005-0000-0000-0000B2010000}"/>
    <cellStyle name="Output 5" xfId="272" xr:uid="{00000000-0005-0000-0000-0000B3010000}"/>
    <cellStyle name="Percent 2" xfId="210" xr:uid="{00000000-0005-0000-0000-0000B5010000}"/>
    <cellStyle name="Percent 2 2" xfId="232" xr:uid="{00000000-0005-0000-0000-0000B6010000}"/>
    <cellStyle name="Percent 2 2 2" xfId="429" xr:uid="{00000000-0005-0000-0000-0000B7010000}"/>
    <cellStyle name="Percent 2 2 2 2" xfId="473" xr:uid="{00000000-0005-0000-0000-0000B8010000}"/>
    <cellStyle name="Percent 2 2 2 3" xfId="460" xr:uid="{00000000-0005-0000-0000-0000B9010000}"/>
    <cellStyle name="Percent 2 3" xfId="430" xr:uid="{00000000-0005-0000-0000-0000BA010000}"/>
    <cellStyle name="Percent 2 4" xfId="431" xr:uid="{00000000-0005-0000-0000-0000BB010000}"/>
    <cellStyle name="Percent 2 5" xfId="432" xr:uid="{00000000-0005-0000-0000-0000BC010000}"/>
    <cellStyle name="Percent 3" xfId="211" xr:uid="{00000000-0005-0000-0000-0000BD010000}"/>
    <cellStyle name="Percent 3 2" xfId="433" xr:uid="{00000000-0005-0000-0000-0000BE010000}"/>
    <cellStyle name="Percent 3 2 2" xfId="434" xr:uid="{00000000-0005-0000-0000-0000BF010000}"/>
    <cellStyle name="Percent 3 2 3" xfId="474" xr:uid="{00000000-0005-0000-0000-0000C0010000}"/>
    <cellStyle name="Percent 3 2 4" xfId="459" xr:uid="{00000000-0005-0000-0000-0000C1010000}"/>
    <cellStyle name="Percent 3 3" xfId="435" xr:uid="{00000000-0005-0000-0000-0000C2010000}"/>
    <cellStyle name="Percent 3 3 2" xfId="475" xr:uid="{00000000-0005-0000-0000-0000C3010000}"/>
    <cellStyle name="Percent 3 3 3" xfId="450" xr:uid="{00000000-0005-0000-0000-0000C4010000}"/>
    <cellStyle name="Percent 3 4" xfId="436" xr:uid="{00000000-0005-0000-0000-0000C5010000}"/>
    <cellStyle name="Percent 3 5" xfId="437" xr:uid="{00000000-0005-0000-0000-0000C6010000}"/>
    <cellStyle name="Price Header" xfId="234" xr:uid="{00000000-0005-0000-0000-0000C7010000}"/>
    <cellStyle name="Pricelist" xfId="369" xr:uid="{00000000-0005-0000-0000-0000C8010000}"/>
    <cellStyle name="Pricing Text" xfId="233" xr:uid="{00000000-0005-0000-0000-0000C9010000}"/>
    <cellStyle name="Standard 2" xfId="231" xr:uid="{00000000-0005-0000-0000-0000CA010000}"/>
    <cellStyle name="Standard 2 2" xfId="228" xr:uid="{00000000-0005-0000-0000-0000CB010000}"/>
    <cellStyle name="Standard_Alphabetical_Pricelist" xfId="438" xr:uid="{00000000-0005-0000-0000-0000CC010000}"/>
    <cellStyle name="Titelzeile" xfId="370" xr:uid="{00000000-0005-0000-0000-0000CD010000}"/>
    <cellStyle name="Title" xfId="480" builtinId="15" customBuiltin="1"/>
    <cellStyle name="Title 2" xfId="212" xr:uid="{00000000-0005-0000-0000-0000CE010000}"/>
    <cellStyle name="Title 3" xfId="213" xr:uid="{00000000-0005-0000-0000-0000CF010000}"/>
    <cellStyle name="Title 4" xfId="214" xr:uid="{00000000-0005-0000-0000-0000D0010000}"/>
    <cellStyle name="Title 5" xfId="263" xr:uid="{00000000-0005-0000-0000-0000D1010000}"/>
    <cellStyle name="Title 6" xfId="332" xr:uid="{00000000-0005-0000-0000-0000D2010000}"/>
    <cellStyle name="Title 7" xfId="479" xr:uid="{00000000-0005-0000-0000-0000D3010000}"/>
    <cellStyle name="Title 8" xfId="54" xr:uid="{00000000-0005-0000-0000-0000D4010000}"/>
    <cellStyle name="Total" xfId="19" builtinId="25" customBuiltin="1"/>
    <cellStyle name="Total 2" xfId="215" xr:uid="{00000000-0005-0000-0000-0000D6010000}"/>
    <cellStyle name="Total 3" xfId="216" xr:uid="{00000000-0005-0000-0000-0000D7010000}"/>
    <cellStyle name="Total 4" xfId="217" xr:uid="{00000000-0005-0000-0000-0000D8010000}"/>
    <cellStyle name="Total 5" xfId="278" xr:uid="{00000000-0005-0000-0000-0000D9010000}"/>
    <cellStyle name="Währung 3" xfId="229" xr:uid="{00000000-0005-0000-0000-0000DA010000}"/>
    <cellStyle name="Warning Text" xfId="16" builtinId="11" customBuiltin="1"/>
    <cellStyle name="Warning Text 2" xfId="218" xr:uid="{00000000-0005-0000-0000-0000DC010000}"/>
    <cellStyle name="Warning Text 3" xfId="219" xr:uid="{00000000-0005-0000-0000-0000DD010000}"/>
    <cellStyle name="Warning Text 4" xfId="220" xr:uid="{00000000-0005-0000-0000-0000DE010000}"/>
    <cellStyle name="Warning Text 5" xfId="276" xr:uid="{00000000-0005-0000-0000-0000DF010000}"/>
    <cellStyle name="Warning Text 6" xfId="337" xr:uid="{00000000-0005-0000-0000-0000E0010000}"/>
  </cellStyles>
  <dxfs count="319">
    <dxf>
      <font>
        <color rgb="FF9C0006"/>
      </font>
      <fill>
        <patternFill>
          <bgColor rgb="FFFFC7CE"/>
        </patternFill>
      </fill>
    </dxf>
    <dxf>
      <numFmt numFmtId="171" formatCode="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4.9989318521683403E-2"/>
        </patternFill>
      </fill>
    </dxf>
    <dxf>
      <fill>
        <patternFill>
          <bgColor theme="2" tint="-9.9948118533890809E-2"/>
        </patternFill>
      </fill>
    </dxf>
    <dxf>
      <numFmt numFmtId="171" formatCode="0;\-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numFmt numFmtId="171" formatCode="0;\-0;;@"/>
    </dxf>
    <dxf>
      <font>
        <color rgb="FF9C0006"/>
      </font>
      <fill>
        <patternFill>
          <bgColor rgb="FFFFC7CE"/>
        </patternFill>
      </fill>
    </dxf>
    <dxf>
      <font>
        <color rgb="FF9C0006"/>
      </font>
      <fill>
        <patternFill>
          <bgColor rgb="FFFFC7CE"/>
        </patternFill>
      </fill>
    </dxf>
    <dxf>
      <numFmt numFmtId="171" formatCode="0;\-0;;@"/>
    </dxf>
    <dxf>
      <numFmt numFmtId="171" formatCode="0;\-0;;@"/>
    </dxf>
    <dxf>
      <numFmt numFmtId="171" formatCode="0;\-0;;@"/>
    </dxf>
    <dxf>
      <font>
        <strike val="0"/>
        <outline val="0"/>
        <shadow val="0"/>
        <vertAlign val="baseline"/>
        <sz val="11"/>
        <name val="Calibri"/>
        <family val="2"/>
        <scheme val="minor"/>
      </font>
      <alignment horizontal="center" vertical="center" textRotation="0" wrapText="0" indent="0" justifyLastLine="0" shrinkToFit="0" readingOrder="0"/>
    </dxf>
    <dxf>
      <font>
        <strike val="0"/>
        <outline val="0"/>
        <shadow val="0"/>
        <vertAlign val="baseline"/>
        <sz val="11"/>
        <name val="Calibri"/>
        <family val="2"/>
        <scheme val="minor"/>
      </font>
      <numFmt numFmtId="0" formatCode="General"/>
      <alignment horizontal="center" vertical="center" textRotation="0" wrapText="0" indent="0" justifyLastLine="0" shrinkToFit="0" readingOrder="0"/>
    </dxf>
    <dxf>
      <font>
        <strike val="0"/>
        <outline val="0"/>
        <shadow val="0"/>
        <vertAlign val="baseline"/>
        <sz val="11"/>
        <name val="Calibri"/>
        <family val="2"/>
        <scheme val="minor"/>
      </font>
      <alignment horizontal="left" vertical="center" textRotation="0" wrapText="0" indent="0" justifyLastLine="0" shrinkToFit="0" readingOrder="0"/>
    </dxf>
    <dxf>
      <font>
        <strike val="0"/>
        <outline val="0"/>
        <shadow val="0"/>
        <vertAlign val="baseline"/>
        <sz val="11"/>
        <name val="Calibri"/>
        <family val="2"/>
        <scheme val="minor"/>
      </font>
      <alignment horizontal="center" vertical="center" textRotation="0" wrapText="0" indent="0" justifyLastLine="0" shrinkToFit="0" readingOrder="0"/>
    </dxf>
    <dxf>
      <font>
        <strike val="0"/>
        <outline val="0"/>
        <shadow val="0"/>
        <vertAlign val="baseline"/>
        <sz val="11"/>
        <name val="Calibri"/>
        <family val="2"/>
        <scheme val="minor"/>
      </font>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2"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4"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4"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4"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4"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numFmt numFmtId="4" formatCode="#,##0.00"/>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minor"/>
      </font>
      <fill>
        <patternFill patternType="none">
          <fgColor indexed="64"/>
          <bgColor auto="1"/>
        </patternFill>
      </fill>
      <alignment horizontal="center" vertical="center" textRotation="0" wrapText="0" indent="0" justifyLastLine="0" shrinkToFit="0" readingOrder="0"/>
    </dxf>
    <dxf>
      <border outline="0">
        <top style="double">
          <color rgb="FF3F3F3F"/>
        </top>
      </border>
    </dxf>
    <dxf>
      <font>
        <strike val="0"/>
        <outline val="0"/>
        <shadow val="0"/>
        <vertAlign val="baseline"/>
        <sz val="11"/>
        <name val="Calibri"/>
        <family val="2"/>
        <scheme val="minor"/>
      </font>
      <fill>
        <patternFill patternType="none">
          <fgColor indexed="64"/>
          <bgColor auto="1"/>
        </patternFill>
      </fill>
      <alignment textRotation="0" wrapText="0" indent="0" justifyLastLine="0" shrinkToFit="0" readingOrder="0"/>
    </dxf>
    <dxf>
      <border outline="0">
        <bottom style="double">
          <color rgb="FF3F3F3F"/>
        </bottom>
      </border>
    </dxf>
    <dxf>
      <font>
        <strike val="0"/>
        <outline val="0"/>
        <shadow val="0"/>
        <vertAlign val="baseline"/>
        <sz val="1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double">
          <color rgb="FF3F3F3F"/>
        </left>
        <right style="double">
          <color rgb="FF3F3F3F"/>
        </right>
        <top/>
        <bottom/>
      </border>
    </dxf>
    <dxf>
      <fill>
        <patternFill patternType="none">
          <fgColor indexed="64"/>
          <bgColor auto="1"/>
        </patternFill>
      </fill>
    </dxf>
    <dxf>
      <font>
        <b val="0"/>
        <i val="0"/>
        <strike val="0"/>
        <condense val="0"/>
        <extend val="0"/>
        <outline val="0"/>
        <shadow val="0"/>
        <u/>
        <vertAlign val="baseline"/>
        <sz val="11"/>
        <color indexed="12"/>
        <name val="Calibri"/>
        <family val="2"/>
        <scheme val="none"/>
      </font>
      <numFmt numFmtId="2" formatCode="0.00"/>
      <fill>
        <patternFill patternType="none">
          <fgColor indexed="64"/>
          <bgColor auto="1"/>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4" formatCode="#,##0.00"/>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4" formatCode="#,##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auto="1"/>
        <name val="Calibri"/>
        <family val="2"/>
        <scheme val="minor"/>
      </font>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top"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1"/>
        <color theme="0"/>
        <name val="Calibri"/>
        <family val="2"/>
        <scheme val="none"/>
      </font>
      <numFmt numFmtId="8" formatCode="#,##0.00_);[Red]\(#,##0.00\)"/>
      <fill>
        <patternFill patternType="solid">
          <fgColor theme="4"/>
          <bgColor theme="1"/>
        </patternFill>
      </fill>
      <alignment horizontal="center" vertical="center" textRotation="0" wrapText="1"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ertAlign val="baseline"/>
        <sz val="11"/>
        <color indexed="12"/>
        <name val="Calibri"/>
        <family val="2"/>
        <scheme val="none"/>
      </font>
      <fill>
        <patternFill patternType="none">
          <fgColor indexed="64"/>
          <bgColor indexed="65"/>
        </patternFill>
      </fill>
      <alignment horizontal="left" vertical="bottom" textRotation="0" wrapText="0" indent="0" justifyLastLine="0" shrinkToFit="0" readingOrder="0"/>
      <protection locked="1" hidden="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numFmt numFmtId="8" formatCode="#,##0.00_);[Red]\(#,##0.00\)"/>
      <alignment horizontal="center" vertical="center" textRotation="0" wrapText="0" indent="0" justifyLastLine="0" shrinkToFit="0" readingOrder="0"/>
    </dxf>
    <dxf>
      <font>
        <strike val="0"/>
        <outline val="0"/>
        <shadow val="0"/>
        <vertAlign val="baseline"/>
        <sz val="11"/>
        <name val="Calibri"/>
        <family val="2"/>
        <scheme val="none"/>
      </font>
      <numFmt numFmtId="8" formatCode="#,##0.00_);[Red]\(#,##0.00\)"/>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numFmt numFmtId="8" formatCode="#,##0.00_);[Red]\(#,##0.00\)"/>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numFmt numFmtId="8" formatCode="#,##0.00_);[Red]\(#,##0.00\)"/>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4" formatCode="_(&quot;$&quot;* #,##0.00_);_(&quot;$&quot;* \(#,##0.00\);_(&quot;$&quot;* &quot;-&quot;??_);_(@_)"/>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none"/>
      </font>
      <numFmt numFmtId="34" formatCode="_(&quot;$&quot;* #,##0.00_);_(&quot;$&quot;* \(#,##0.00\);_(&quot;$&quot;* &quot;-&quot;??_);_(@_)"/>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left" vertical="center" textRotation="0" wrapText="0" indent="0" justifyLastLine="0" shrinkToFit="0" readingOrder="0"/>
    </dxf>
    <dxf>
      <font>
        <strike val="0"/>
        <outline val="0"/>
        <shadow val="0"/>
        <vertAlign val="baseline"/>
        <sz val="11"/>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font>
        <strike val="0"/>
        <outline val="0"/>
        <shadow val="0"/>
        <vertAlign val="baseline"/>
        <sz val="11"/>
        <name val="Calibri"/>
        <family val="2"/>
        <scheme val="none"/>
      </font>
    </dxf>
    <dxf>
      <font>
        <b val="0"/>
        <i val="0"/>
        <strike val="0"/>
        <condense val="0"/>
        <extend val="0"/>
        <outline val="0"/>
        <shadow val="0"/>
        <u/>
        <vertAlign val="baseline"/>
        <sz val="11"/>
        <color indexed="12"/>
        <name val="Calibri"/>
        <family val="2"/>
        <scheme val="none"/>
      </font>
      <alignment horizontal="left" vertical="bottom" textRotation="0" wrapText="0" indent="0" justifyLastLine="0" shrinkToFit="0" readingOrder="0"/>
      <protection locked="1" hidden="0"/>
    </dxf>
    <dxf>
      <font>
        <strike val="0"/>
        <outline val="0"/>
        <shadow val="0"/>
        <vertAlign val="baseline"/>
        <sz val="11"/>
        <name val="Calibri"/>
        <family val="2"/>
        <scheme val="none"/>
      </font>
    </dxf>
    <dxf>
      <font>
        <strike val="0"/>
        <outline val="0"/>
        <shadow val="0"/>
        <vertAlign val="baseline"/>
        <sz val="11"/>
        <name val="Calibri"/>
        <family val="2"/>
        <scheme val="none"/>
      </font>
      <alignment horizontal="center" textRotation="0" indent="0" justifyLastLine="0" shrinkToFit="0" readingOrder="0"/>
    </dxf>
    <dxf>
      <font>
        <strike val="0"/>
        <outline val="0"/>
        <shadow val="0"/>
        <vertAlign val="baseline"/>
        <sz val="11"/>
        <name val="Calibri"/>
        <family val="2"/>
        <scheme val="none"/>
      </font>
      <numFmt numFmtId="4" formatCode="#,##0.00"/>
      <alignment horizontal="center" textRotation="0" indent="0" justifyLastLine="0" shrinkToFit="0" readingOrder="0"/>
    </dxf>
    <dxf>
      <font>
        <strike val="0"/>
        <outline val="0"/>
        <shadow val="0"/>
        <vertAlign val="baseline"/>
        <sz val="11"/>
        <name val="Calibri"/>
        <family val="2"/>
        <scheme val="none"/>
      </font>
      <numFmt numFmtId="4" formatCode="#,##0.00"/>
      <alignment horizontal="center" vertical="bottom" textRotation="0" wrapText="0" indent="0" justifyLastLine="0" shrinkToFit="0" readingOrder="0"/>
    </dxf>
    <dxf>
      <font>
        <strike val="0"/>
        <outline val="0"/>
        <shadow val="0"/>
        <vertAlign val="baseline"/>
        <sz val="11"/>
        <name val="Calibri"/>
        <family val="2"/>
        <scheme val="none"/>
      </font>
      <numFmt numFmtId="4" formatCode="#,##0.00"/>
      <alignment horizontal="center" vertical="bottom" textRotation="0" wrapText="0" indent="0" justifyLastLine="0" shrinkToFit="0" readingOrder="0"/>
    </dxf>
    <dxf>
      <font>
        <strike val="0"/>
        <outline val="0"/>
        <shadow val="0"/>
        <vertAlign val="baseline"/>
        <sz val="11"/>
        <name val="Calibri"/>
        <family val="2"/>
        <scheme val="none"/>
      </font>
      <numFmt numFmtId="4" formatCode="#,##0.00"/>
      <alignment horizontal="center" vertical="bottom" textRotation="0" wrapText="0" indent="0" justifyLastLine="0" shrinkToFit="0" readingOrder="0"/>
    </dxf>
    <dxf>
      <font>
        <strike val="0"/>
        <outline val="0"/>
        <shadow val="0"/>
        <vertAlign val="baseline"/>
        <sz val="11"/>
        <name val="Calibri"/>
        <family val="2"/>
        <scheme val="none"/>
      </font>
      <alignment horizontal="center" textRotation="0" indent="0" justifyLastLine="0" shrinkToFit="0" readingOrder="0"/>
    </dxf>
    <dxf>
      <font>
        <strike val="0"/>
        <outline val="0"/>
        <shadow val="0"/>
        <vertAlign val="baseline"/>
        <sz val="11"/>
        <name val="Calibri"/>
        <family val="2"/>
        <scheme val="none"/>
      </font>
      <numFmt numFmtId="1" formatCode="0"/>
      <alignment horizontal="center" vertical="bottom" textRotation="0" wrapText="0" indent="0" justifyLastLine="0" shrinkToFit="0" readingOrder="0"/>
    </dxf>
    <dxf>
      <font>
        <strike val="0"/>
        <outline val="0"/>
        <shadow val="0"/>
        <vertAlign val="baseline"/>
        <sz val="11"/>
        <name val="Calibri"/>
        <family val="2"/>
        <scheme val="none"/>
      </font>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none"/>
      </font>
      <alignment horizontal="center" vertical="center" textRotation="0" wrapText="1" indent="0" justifyLastLine="0" shrinkToFit="0" readingOrder="0"/>
    </dxf>
    <dxf>
      <font>
        <strike val="0"/>
        <outline val="0"/>
        <shadow val="0"/>
        <vertAlign val="baseline"/>
        <sz val="11"/>
        <name val="Calibri"/>
        <family val="2"/>
        <scheme val="none"/>
      </font>
      <alignment horizontal="left" vertical="top" textRotation="0" wrapText="1" indent="0" justifyLastLine="0" shrinkToFit="0" readingOrder="0"/>
    </dxf>
    <dxf>
      <font>
        <strike val="0"/>
        <outline val="0"/>
        <shadow val="0"/>
        <vertAlign val="baseline"/>
        <sz val="11"/>
        <name val="Calibri"/>
        <family val="2"/>
        <scheme val="none"/>
      </font>
      <alignment horizontal="general" vertical="bottom" textRotation="0" wrapText="1" indent="0" justifyLastLine="0" shrinkToFit="0" readingOrder="0"/>
    </dxf>
    <dxf>
      <font>
        <strike val="0"/>
        <outline val="0"/>
        <shadow val="0"/>
        <vertAlign val="baseline"/>
        <sz val="11"/>
        <name val="Calibri"/>
        <family val="2"/>
        <scheme val="none"/>
      </font>
    </dxf>
    <dxf>
      <font>
        <strike val="0"/>
        <outline val="0"/>
        <shadow val="0"/>
        <vertAlign val="baseline"/>
        <sz val="11"/>
        <name val="Calibri"/>
        <family val="2"/>
        <scheme val="none"/>
      </font>
    </dxf>
    <dxf>
      <font>
        <strike val="0"/>
        <outline val="0"/>
        <shadow val="0"/>
        <vertAlign val="baseline"/>
        <sz val="11"/>
        <name val="Calibri"/>
        <family val="2"/>
        <scheme val="none"/>
      </font>
    </dxf>
    <dxf>
      <font>
        <strike val="0"/>
        <outline val="0"/>
        <shadow val="0"/>
        <vertAlign val="baseline"/>
        <sz val="11"/>
        <name val="Calibri"/>
        <family val="2"/>
        <scheme val="none"/>
      </font>
      <alignment horizontal="left" vertical="bottom" textRotation="0" wrapText="0" indent="0" justifyLastLine="0" shrinkToFit="0" readingOrder="0"/>
    </dxf>
    <dxf>
      <font>
        <strike val="0"/>
        <outline val="0"/>
        <shadow val="0"/>
        <vertAlign val="baseline"/>
        <sz val="11"/>
        <name val="Calibri"/>
        <family val="2"/>
        <scheme val="none"/>
      </font>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none"/>
      </font>
    </dxf>
    <dxf>
      <font>
        <strike val="0"/>
        <outline val="0"/>
        <shadow val="0"/>
        <vertAlign val="baseline"/>
        <sz val="11"/>
        <name val="Calibri"/>
        <family val="2"/>
        <scheme val="none"/>
      </font>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font>
        <b val="0"/>
        <i val="0"/>
        <strike val="0"/>
        <condense val="0"/>
        <extend val="0"/>
        <outline val="0"/>
        <shadow val="0"/>
        <u/>
        <vertAlign val="baseline"/>
        <sz val="11"/>
        <color indexed="12"/>
        <name val="Calibri"/>
        <family val="2"/>
        <scheme val="none"/>
      </font>
      <alignment horizontal="general" vertical="bottom" textRotation="0" wrapText="0" indent="0" justifyLastLine="0" shrinkToFit="0" readingOrder="0"/>
      <protection locked="1" hidden="0"/>
    </dxf>
    <dxf>
      <alignment horizontal="center" textRotation="0" indent="0" justifyLastLine="0" shrinkToFit="0" readingOrder="0"/>
    </dxf>
    <dxf>
      <numFmt numFmtId="8" formatCode="#,##0.00_);[Red]\(#,##0.00\)"/>
      <alignment horizontal="center" textRotation="0" indent="0" justifyLastLine="0" shrinkToFit="0" readingOrder="0"/>
    </dxf>
    <dxf>
      <numFmt numFmtId="8" formatCode="#,##0.00_);[Red]\(#,##0.00\)"/>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alignment horizontal="center" textRotation="0" indent="0" justifyLastLine="0" shrinkToFit="0" readingOrder="0"/>
    </dxf>
    <dxf>
      <numFmt numFmtId="1" formatCode="0"/>
      <alignment horizontal="center" vertical="bottom" textRotation="0" wrapText="0" indent="0" justifyLastLine="0" shrinkToFit="0" readingOrder="0"/>
    </dxf>
    <dxf>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alignment horizontal="left" vertical="top" textRotation="0" wrapText="1"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alignment horizontal="center" textRotation="0" indent="0" justifyLastLine="0" shrinkToFit="0" readingOrder="0"/>
    </dxf>
    <dxf>
      <font>
        <b val="0"/>
        <i val="0"/>
        <strike val="0"/>
        <condense val="0"/>
        <extend val="0"/>
        <outline val="0"/>
        <shadow val="0"/>
        <u val="none"/>
        <vertAlign val="baseline"/>
        <sz val="11"/>
        <color theme="1"/>
        <name val="Calibri"/>
        <family val="2"/>
        <scheme val="none"/>
      </font>
      <alignment horizontal="left" vertical="center" textRotation="0" wrapText="1"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alignment horizontal="general" vertical="center" textRotation="0" wrapText="0" indent="0" justifyLastLine="0" shrinkToFit="0" readingOrder="0"/>
    </dxf>
    <dxf>
      <font>
        <b val="0"/>
        <i val="0"/>
        <strike val="0"/>
        <condense val="0"/>
        <extend val="0"/>
        <outline val="0"/>
        <shadow val="0"/>
        <u/>
        <vertAlign val="baseline"/>
        <sz val="11"/>
        <color indexed="12"/>
        <name val="Calibri"/>
        <family val="2"/>
        <scheme val="none"/>
      </font>
      <alignment horizontal="left" vertical="bottom"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alignment horizontal="general" vertical="center" textRotation="0" wrapText="0" indent="0" justifyLastLine="0" shrinkToFit="0" readingOrder="0"/>
    </dxf>
    <dxf>
      <numFmt numFmtId="1" formatCode="0"/>
      <alignment horizontal="center" vertical="center" textRotation="0" wrapText="0" indent="0" justifyLastLine="0" shrinkToFit="0" readingOrder="0"/>
    </dxf>
    <dxf>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alignment horizontal="left" vertical="center" textRotation="0" wrapText="1"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center" vertical="center" textRotation="0" wrapText="0" indent="0" justifyLastLine="0" shrinkToFit="0" readingOrder="0"/>
    </dxf>
    <dxf>
      <alignment horizontal="left" vertical="center" textRotation="0" wrapText="0" indent="0" justifyLastLine="0" shrinkToFit="0" readingOrder="0"/>
    </dxf>
    <dxf>
      <alignment horizontal="left" vertical="center" textRotation="0" wrapText="0" indent="0" justifyLastLine="0" shrinkToFit="0" readingOrder="0"/>
    </dxf>
    <dxf>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u/>
        <vertAlign val="baseline"/>
        <sz val="11"/>
        <color indexed="12"/>
        <name val="Calibri"/>
        <family val="2"/>
        <scheme val="minor"/>
      </font>
      <numFmt numFmtId="30" formatCode="@"/>
      <fill>
        <patternFill patternType="none">
          <fgColor indexed="64"/>
          <bgColor indexed="65"/>
        </patternFill>
      </fill>
      <alignment horizontal="left" vertical="bottom" textRotation="0" wrapText="0" indent="0" justifyLastLine="0" shrinkToFit="0" readingOrder="0"/>
      <protection locked="1" hidden="0"/>
    </dxf>
    <dxf>
      <font>
        <strike val="0"/>
        <outline val="0"/>
        <shadow val="0"/>
        <vertAlign val="baseline"/>
        <sz val="11"/>
        <name val="Calibri"/>
        <family val="2"/>
        <scheme val="minor"/>
      </font>
      <fill>
        <patternFill patternType="none">
          <fgColor indexed="64"/>
          <bgColor indexed="65"/>
        </patternFill>
      </fill>
    </dxf>
    <dxf>
      <font>
        <strike val="0"/>
        <outline val="0"/>
        <shadow val="0"/>
        <vertAlign val="baseline"/>
        <sz val="11"/>
        <name val="Calibri"/>
        <family val="2"/>
        <scheme val="minor"/>
      </font>
      <fill>
        <patternFill patternType="none">
          <fgColor indexed="64"/>
          <bgColor indexed="65"/>
        </patternFill>
      </fill>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vertAlign val="baseline"/>
        <sz val="11"/>
        <name val="Calibri"/>
        <family val="2"/>
        <scheme val="minor"/>
      </font>
      <numFmt numFmtId="8" formatCode="#,##0.00_);[Red]\(#,##0.00\)"/>
      <fill>
        <patternFill patternType="none">
          <fgColor indexed="64"/>
          <bgColor indexed="65"/>
        </patternFill>
      </fill>
      <alignment horizontal="center" vertical="bottom" textRotation="0" wrapText="0" indent="0" justifyLastLine="0" shrinkToFit="0" readingOrder="0"/>
    </dxf>
    <dxf>
      <font>
        <strike val="0"/>
        <outline val="0"/>
        <shadow val="0"/>
        <vertAlign val="baseline"/>
        <sz val="11"/>
        <name val="Calibri"/>
        <family val="2"/>
        <scheme val="minor"/>
      </font>
      <numFmt numFmtId="8" formatCode="#,##0.00_);[Red]\(#,##0.00\)"/>
      <fill>
        <patternFill patternType="none">
          <fgColor indexed="64"/>
          <bgColor indexed="65"/>
        </patternFill>
      </fill>
      <alignment horizontal="center" vertical="bottom" textRotation="0" wrapText="0" indent="0" justifyLastLine="0" shrinkToFit="0" readingOrder="0"/>
    </dxf>
    <dxf>
      <font>
        <strike val="0"/>
        <outline val="0"/>
        <shadow val="0"/>
        <vertAlign val="baseline"/>
        <sz val="11"/>
        <name val="Calibri"/>
        <family val="2"/>
        <scheme val="minor"/>
      </font>
      <numFmt numFmtId="8" formatCode="#,##0.00_);[Red]\(#,##0.00\)"/>
      <fill>
        <patternFill patternType="none">
          <fgColor indexed="64"/>
          <bgColor indexed="65"/>
        </patternFill>
      </fill>
      <alignment horizontal="center" vertical="bottom" textRotation="0" wrapText="0"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vertAlign val="baseline"/>
        <sz val="11"/>
        <name val="Calibri"/>
        <family val="2"/>
        <scheme val="minor"/>
      </font>
      <numFmt numFmtId="1" formatCode="0"/>
      <fill>
        <patternFill patternType="none">
          <fgColor indexed="64"/>
          <bgColor indexed="65"/>
        </patternFill>
      </fill>
      <alignment horizontal="center" vertical="bottom" textRotation="0" wrapText="0" indent="0" justifyLastLine="0" shrinkToFit="0" readingOrder="0"/>
    </dxf>
    <dxf>
      <font>
        <strike val="0"/>
        <outline val="0"/>
        <shadow val="0"/>
        <vertAlign val="baseline"/>
        <sz val="11"/>
        <name val="Calibri"/>
        <family val="2"/>
        <scheme val="minor"/>
      </font>
      <numFmt numFmtId="3" formatCode="#,##0"/>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center" textRotation="0" wrapText="1"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left" vertical="top" textRotation="0" wrapText="1" indent="0" justifyLastLine="0" shrinkToFit="0" readingOrder="0"/>
    </dxf>
    <dxf>
      <font>
        <strike val="0"/>
        <outline val="0"/>
        <shadow val="0"/>
        <vertAlign val="baseline"/>
        <sz val="11"/>
        <name val="Calibri"/>
        <family val="2"/>
        <scheme val="minor"/>
      </font>
      <fill>
        <patternFill patternType="none">
          <fgColor indexed="64"/>
          <bgColor indexed="65"/>
        </patternFill>
      </fill>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center" textRotation="0" indent="0" justifyLastLine="0" shrinkToFit="0" readingOrder="0"/>
    </dxf>
    <dxf>
      <font>
        <strike val="0"/>
        <outline val="0"/>
        <shadow val="0"/>
        <vertAlign val="baseline"/>
        <sz val="11"/>
        <name val="Calibri"/>
        <family val="2"/>
        <scheme val="minor"/>
      </font>
      <fill>
        <patternFill patternType="none">
          <fgColor indexed="64"/>
          <bgColor indexed="65"/>
        </patternFill>
      </fill>
      <alignment horizontal="left" vertical="bottom" textRotation="0" wrapText="0" indent="0" justifyLastLine="0" shrinkToFit="0" readingOrder="0"/>
    </dxf>
    <dxf>
      <font>
        <strike val="0"/>
        <outline val="0"/>
        <shadow val="0"/>
        <vertAlign val="baseline"/>
        <sz val="1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font>
        <strike val="0"/>
        <outline val="0"/>
        <shadow val="0"/>
        <vertAlign val="baseline"/>
        <sz val="11"/>
        <name val="Calibri"/>
        <family val="2"/>
        <scheme val="minor"/>
      </font>
      <fill>
        <patternFill patternType="none">
          <fgColor indexed="64"/>
          <bgColor indexed="65"/>
        </patternFill>
      </fill>
    </dxf>
    <dxf>
      <font>
        <b/>
        <i val="0"/>
        <strike val="0"/>
        <condense val="0"/>
        <extend val="0"/>
        <outline val="0"/>
        <shadow val="0"/>
        <u val="none"/>
        <vertAlign val="baseline"/>
        <sz val="11"/>
        <color theme="0"/>
        <name val="Calibri"/>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ertAlign val="baseline"/>
        <sz val="11"/>
        <color indexed="12"/>
        <name val="Calibri"/>
        <family val="2"/>
        <scheme val="none"/>
      </font>
      <alignment horizontal="left" vertical="bottom" textRotation="0" wrapText="0" indent="0" justifyLastLine="0" shrinkToFit="0" readingOrder="0"/>
      <protection locked="1" hidden="0"/>
    </dxf>
    <dxf>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numFmt numFmtId="8" formatCode="#,##0.00_);[Red]\(#,##0.0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6" formatCode="#,##0_);[Red]\(#,##0\)"/>
      <alignment horizontal="center" vertical="top"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
      <alignment horizontal="left" vertical="top" textRotation="0" wrapText="1" indent="0" justifyLastLine="0" shrinkToFit="0" readingOrder="0"/>
    </dxf>
    <dxf>
      <alignment horizontal="general" vertical="bottom" textRotation="0" wrapText="1" indent="0" justifyLastLine="0" shrinkToFit="0" readingOrder="0"/>
    </dxf>
    <dxf>
      <numFmt numFmtId="1" formatCode="0"/>
      <alignment horizontal="left"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bgColor auto="1"/>
        </patternFill>
      </fill>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ertAlign val="baseline"/>
        <sz val="11"/>
        <color indexed="12"/>
        <name val="Verdana"/>
        <family val="2"/>
        <scheme val="none"/>
      </font>
      <fill>
        <patternFill patternType="none">
          <fgColor indexed="64"/>
          <bgColor auto="1"/>
        </patternFill>
      </fill>
      <alignment horizontal="left" vertical="center" textRotation="0" wrapText="0" indent="0" justifyLastLine="0" shrinkToFit="0" readingOrder="0"/>
      <protection locked="1" hidden="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7" formatCode="#,##0.00_);\(#,##0.00\)"/>
      <fill>
        <patternFill patternType="none">
          <fgColor indexed="64"/>
          <bgColor auto="1"/>
        </patternFill>
      </fill>
      <alignment horizontal="center" vertical="center" textRotation="0" wrapText="0" indent="0" justifyLastLine="0" shrinkToFit="0" readingOrder="0"/>
    </dxf>
    <dxf>
      <numFmt numFmtId="7" formatCode="#,##0.00_);\(#,##0.00\)"/>
      <fill>
        <patternFill patternType="none">
          <fgColor indexed="64"/>
          <bgColor auto="1"/>
        </patternFill>
      </fill>
      <alignment horizontal="center" vertical="center" textRotation="0" wrapText="0" indent="0" justifyLastLine="0" shrinkToFit="0" readingOrder="0"/>
    </dxf>
    <dxf>
      <numFmt numFmtId="7" formatCode="#,##0.00_);\(#,##0.00\)"/>
      <fill>
        <patternFill patternType="none">
          <fgColor indexed="64"/>
          <bgColor auto="1"/>
        </patternFill>
      </fill>
      <alignment horizontal="center" vertical="center" textRotation="0" wrapText="0" indent="0" justifyLastLine="0" shrinkToFit="0" readingOrder="0"/>
    </dxf>
    <dxf>
      <numFmt numFmtId="7" formatCode="#,##0.00_);\(#,##0.00\)"/>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center"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ertAlign val="baseline"/>
        <sz val="11"/>
        <color indexed="12"/>
        <name val="Verdana"/>
        <family val="2"/>
        <scheme val="none"/>
      </font>
      <fill>
        <patternFill patternType="none">
          <fgColor indexed="64"/>
          <bgColor indexed="65"/>
        </patternFill>
      </fill>
      <alignment horizontal="left" vertical="center" textRotation="0" wrapText="0" indent="0" justifyLastLine="0" shrinkToFit="0" readingOrder="0"/>
      <protection locked="1" hidden="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8" formatCode="#,##0.00_);[Red]\(#,##0.00\)"/>
      <fill>
        <patternFill patternType="none">
          <fgColor indexed="64"/>
          <bgColor indexed="65"/>
        </patternFill>
      </fill>
      <alignment horizontal="center" vertical="center" textRotation="0" wrapText="0" indent="0" justifyLastLine="0" shrinkToFit="0" readingOrder="0"/>
    </dxf>
    <dxf>
      <numFmt numFmtId="8" formatCode="#,##0.00_);[Red]\(#,##0.00\)"/>
      <fill>
        <patternFill patternType="none">
          <fgColor indexed="64"/>
          <bgColor indexed="65"/>
        </patternFill>
      </fill>
      <alignment horizontal="center" vertical="center" textRotation="0" wrapText="0" indent="0" justifyLastLine="0" shrinkToFit="0" readingOrder="0"/>
    </dxf>
    <dxf>
      <numFmt numFmtId="8" formatCode="#,##0.00_);[Red]\(#,##0.00\)"/>
      <fill>
        <patternFill patternType="none">
          <fgColor indexed="64"/>
          <bgColor indexed="65"/>
        </patternFill>
      </fill>
      <alignment horizontal="center" vertical="center" textRotation="0" wrapText="0" indent="0" justifyLastLine="0" shrinkToFit="0" readingOrder="0"/>
    </dxf>
    <dxf>
      <numFmt numFmtId="8" formatCode="#,##0.00_);[Red]\(#,##0.00\)"/>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numFmt numFmtId="1" formatCode="0"/>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general" vertical="center" textRotation="0" wrapText="0" indent="0" justifyLastLine="0" shrinkToFit="0" readingOrder="0"/>
    </dxf>
    <dxf>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ertAlign val="baseline"/>
        <sz val="11"/>
        <color indexed="12"/>
        <name val="Calibri"/>
        <family val="2"/>
        <scheme val="none"/>
      </font>
      <numFmt numFmtId="1" formatCode="0"/>
      <fill>
        <patternFill patternType="none">
          <fgColor indexed="64"/>
          <bgColor auto="1"/>
        </patternFill>
      </fill>
      <alignment horizontal="left" vertical="center" textRotation="0" wrapText="0" indent="0" justifyLastLine="0" shrinkToFit="0" readingOrder="0"/>
      <protection locked="1" hidden="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2" formatCode="0.0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center" vertical="center" textRotation="0" wrapText="1"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center"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center" textRotation="0" wrapText="0" indent="0" justifyLastLine="0" shrinkToFit="0" readingOrder="0"/>
    </dxf>
    <dxf>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Calibri"/>
        <family val="2"/>
        <scheme val="none"/>
      </font>
      <numFmt numFmtId="8" formatCode="#,##0.00_);[Red]\(#,##0.00\)"/>
      <fill>
        <patternFill patternType="solid">
          <fgColor theme="4"/>
          <bgColor theme="1"/>
        </patternFill>
      </fill>
      <alignment horizontal="center" vertical="center" textRotation="0" wrapText="1"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ertAlign val="baseline"/>
        <sz val="11"/>
        <color indexed="12"/>
        <name val="Calibri"/>
        <family val="2"/>
        <scheme val="minor"/>
      </font>
      <numFmt numFmtId="8" formatCode="#,##0.00_);[Red]\(#,##0.00\)"/>
      <fill>
        <patternFill patternType="none">
          <fgColor indexed="64"/>
          <bgColor indexed="65"/>
        </patternFill>
      </fill>
      <alignment horizontal="left" vertical="center" textRotation="0" wrapText="0" indent="0" justifyLastLine="0" shrinkToFit="0" readingOrder="0"/>
      <protection locked="1" hidden="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8" formatCode="#,##0.00_);[Red]\(#,##0.00\)"/>
      <alignment horizontal="center" vertical="center" textRotation="0" wrapText="0" indent="0" justifyLastLine="0" shrinkToFit="0" readingOrder="0"/>
    </dxf>
    <dxf>
      <numFmt numFmtId="170" formatCode="0_);[Red]\(0\)"/>
      <alignment horizontal="center" vertical="center" textRotation="0" wrapText="0" indent="0" justifyLastLine="0" shrinkToFit="0" readingOrder="0"/>
    </dxf>
    <dxf>
      <numFmt numFmtId="170" formatCode="0_);[Red]\(0\)"/>
      <alignment horizontal="center" vertical="center" textRotation="0" wrapText="0" indent="0" justifyLastLine="0" shrinkToFit="0" readingOrder="0"/>
    </dxf>
    <dxf>
      <numFmt numFmtId="6" formatCode="#,##0_);[Red]\(#,##0\)"/>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center" vertical="center" textRotation="0" wrapText="0" indent="0" justifyLastLine="0" shrinkToFit="0" readingOrder="0"/>
    </dxf>
    <dxf>
      <alignment horizontal="left" vertical="center" textRotation="0" wrapText="1" indent="0" justifyLastLine="0" shrinkToFit="0" readingOrder="0"/>
    </dxf>
    <dxf>
      <alignment horizontal="left" vertical="center" textRotation="0" wrapText="0" indent="0" justifyLastLine="0" shrinkToFit="0" readingOrder="0"/>
    </dxf>
    <dxf>
      <font>
        <b/>
        <i val="0"/>
        <strike val="0"/>
        <condense val="0"/>
        <extend val="0"/>
        <outline val="0"/>
        <shadow val="0"/>
        <u val="none"/>
        <vertAlign val="baseline"/>
        <sz val="11"/>
        <color theme="1"/>
        <name val="Calibri"/>
        <family val="2"/>
        <scheme val="minor"/>
      </font>
      <alignment vertical="center" textRotation="0" indent="0" justifyLastLine="0" shrinkToFit="0" readingOrder="0"/>
    </dxf>
    <dxf>
      <alignment horizontal="center" vertical="center" textRotation="0" wrapText="0" indent="0" justifyLastLine="0" shrinkToFit="0" readingOrder="0"/>
    </dxf>
    <dxf>
      <alignment horizontal="center" vertical="center" textRotation="0" indent="0" justifyLastLine="0" shrinkToFit="0" readingOrder="0"/>
    </dxf>
    <dxf>
      <alignment horizontal="center" vertical="center" textRotation="0" indent="0" justifyLastLine="0" shrinkToFit="0" readingOrder="0"/>
    </dxf>
    <dxf>
      <alignment vertical="center" textRotation="0" indent="0" justifyLastLine="0" shrinkToFit="0" readingOrder="0"/>
    </dxf>
    <dxf>
      <font>
        <b/>
        <i val="0"/>
        <strike val="0"/>
        <condense val="0"/>
        <extend val="0"/>
        <outline val="0"/>
        <shadow val="0"/>
        <u val="none"/>
        <vertAlign val="baseline"/>
        <sz val="11"/>
        <color theme="1"/>
        <name val="Calibri"/>
        <family val="2"/>
        <scheme val="minor"/>
      </font>
      <alignment vertical="center" textRotation="0" indent="0" justifyLastLine="0" shrinkToFit="0" readingOrder="0"/>
    </dxf>
    <dxf>
      <alignment vertical="center" textRotation="0" indent="0" justifyLastLine="0" shrinkToFit="0" readingOrder="0"/>
    </dxf>
    <dxf>
      <font>
        <b/>
        <i val="0"/>
        <strike val="0"/>
        <condense val="0"/>
        <extend val="0"/>
        <outline val="0"/>
        <shadow val="0"/>
        <u val="none"/>
        <vertAlign val="baseline"/>
        <sz val="11"/>
        <color theme="0"/>
        <name val="Calibri"/>
        <family val="2"/>
        <scheme val="none"/>
      </font>
      <fill>
        <patternFill patternType="solid">
          <fgColor theme="4"/>
          <bgColor theme="1"/>
        </patternFill>
      </fill>
      <alignment horizontal="center" vertical="center" textRotation="0" wrapText="1" indent="0" justifyLastLine="0" shrinkToFit="0" readingOrder="0"/>
    </dxf>
  </dxfs>
  <tableStyles count="1" defaultTableStyle="TableStyleMedium2" defaultPivotStyle="PivotStyleLight16">
    <tableStyle name="Invisible" pivot="0" table="0" count="0" xr9:uid="{573B28B6-39C9-42CB-8E9A-2411A1940380}"/>
  </tableStyles>
  <colors>
    <mruColors>
      <color rgb="FFFFC5C5"/>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892773</xdr:colOff>
      <xdr:row>27</xdr:row>
      <xdr:rowOff>155922</xdr:rowOff>
    </xdr:to>
    <xdr:pic>
      <xdr:nvPicPr>
        <xdr:cNvPr id="2" name="7C9E32FA-D831-4BEB-9BCE-51924613200C">
          <a:extLst>
            <a:ext uri="{FF2B5EF4-FFF2-40B4-BE49-F238E27FC236}">
              <a16:creationId xmlns:a16="http://schemas.microsoft.com/office/drawing/2014/main" id="{06EF9470-A449-4E07-897E-533F7B8A4E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779098" cy="5651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971550</xdr:colOff>
      <xdr:row>0</xdr:row>
      <xdr:rowOff>742255</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5360" cy="758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1060056" cy="777240"/>
    <xdr:pic>
      <xdr:nvPicPr>
        <xdr:cNvPr id="3" name="Picture 2">
          <a:extLst>
            <a:ext uri="{FF2B5EF4-FFF2-40B4-BE49-F238E27FC236}">
              <a16:creationId xmlns:a16="http://schemas.microsoft.com/office/drawing/2014/main" id="{50520128-DA97-4258-9E61-DE1E1E5658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060056" cy="777240"/>
    <xdr:pic>
      <xdr:nvPicPr>
        <xdr:cNvPr id="4" name="Picture 3">
          <a:extLst>
            <a:ext uri="{FF2B5EF4-FFF2-40B4-BE49-F238E27FC236}">
              <a16:creationId xmlns:a16="http://schemas.microsoft.com/office/drawing/2014/main" id="{D8FB3478-276D-4D47-8717-EED539ADEC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60056" cy="7772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1568430</xdr:colOff>
      <xdr:row>1</xdr:row>
      <xdr:rowOff>0</xdr:rowOff>
    </xdr:to>
    <xdr:pic>
      <xdr:nvPicPr>
        <xdr:cNvPr id="2" name="Picture 1">
          <a:extLst>
            <a:ext uri="{FF2B5EF4-FFF2-40B4-BE49-F238E27FC236}">
              <a16:creationId xmlns:a16="http://schemas.microsoft.com/office/drawing/2014/main" id="{612C6D43-A0B5-44D6-B9F7-96844A35D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851130" cy="78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3</xdr:col>
      <xdr:colOff>152400</xdr:colOff>
      <xdr:row>0</xdr:row>
      <xdr:rowOff>57150</xdr:rowOff>
    </xdr:from>
    <xdr:ext cx="1552575" cy="1071516"/>
    <xdr:pic>
      <xdr:nvPicPr>
        <xdr:cNvPr id="2" name="Picture 1">
          <a:extLst>
            <a:ext uri="{FF2B5EF4-FFF2-40B4-BE49-F238E27FC236}">
              <a16:creationId xmlns:a16="http://schemas.microsoft.com/office/drawing/2014/main" id="{C6885815-B6D9-4238-80BE-A8B8ED756A1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72050" y="57150"/>
          <a:ext cx="1552575" cy="1071516"/>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8</xdr:col>
      <xdr:colOff>400050</xdr:colOff>
      <xdr:row>0</xdr:row>
      <xdr:rowOff>28575</xdr:rowOff>
    </xdr:from>
    <xdr:ext cx="1552575" cy="1071516"/>
    <xdr:pic>
      <xdr:nvPicPr>
        <xdr:cNvPr id="13" name="Picture 12">
          <a:extLst>
            <a:ext uri="{FF2B5EF4-FFF2-40B4-BE49-F238E27FC236}">
              <a16:creationId xmlns:a16="http://schemas.microsoft.com/office/drawing/2014/main" id="{E6411EEF-AEF8-4BB1-80AF-C34F917FF0C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0" y="28575"/>
          <a:ext cx="1552575" cy="1071516"/>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4</xdr:col>
      <xdr:colOff>275723</xdr:colOff>
      <xdr:row>0</xdr:row>
      <xdr:rowOff>187994</xdr:rowOff>
    </xdr:from>
    <xdr:to>
      <xdr:col>14</xdr:col>
      <xdr:colOff>513847</xdr:colOff>
      <xdr:row>3</xdr:row>
      <xdr:rowOff>37598</xdr:rowOff>
    </xdr:to>
    <xdr:sp macro="" textlink="">
      <xdr:nvSpPr>
        <xdr:cNvPr id="2" name="TextBox 1">
          <a:extLst>
            <a:ext uri="{FF2B5EF4-FFF2-40B4-BE49-F238E27FC236}">
              <a16:creationId xmlns:a16="http://schemas.microsoft.com/office/drawing/2014/main" id="{9AA3EACC-9B7C-4033-BD61-A0B69E2E14EC}"/>
            </a:ext>
          </a:extLst>
        </xdr:cNvPr>
        <xdr:cNvSpPr txBox="1"/>
      </xdr:nvSpPr>
      <xdr:spPr>
        <a:xfrm>
          <a:off x="2637923" y="187994"/>
          <a:ext cx="6143624" cy="849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3" name="TextBox 2">
          <a:extLst>
            <a:ext uri="{FF2B5EF4-FFF2-40B4-BE49-F238E27FC236}">
              <a16:creationId xmlns:a16="http://schemas.microsoft.com/office/drawing/2014/main" id="{931F227D-C26E-44AA-80B9-B62C2E768104}"/>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4" name="TextBox 3">
          <a:extLst>
            <a:ext uri="{FF2B5EF4-FFF2-40B4-BE49-F238E27FC236}">
              <a16:creationId xmlns:a16="http://schemas.microsoft.com/office/drawing/2014/main" id="{E0BD4A2C-65D6-4895-BB0D-9E18686F0AB3}"/>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5" name="TextBox 4">
          <a:extLst>
            <a:ext uri="{FF2B5EF4-FFF2-40B4-BE49-F238E27FC236}">
              <a16:creationId xmlns:a16="http://schemas.microsoft.com/office/drawing/2014/main" id="{DDD546C9-6A1C-4D87-A4B6-631C501D2889}"/>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6" name="TextBox 5">
          <a:extLst>
            <a:ext uri="{FF2B5EF4-FFF2-40B4-BE49-F238E27FC236}">
              <a16:creationId xmlns:a16="http://schemas.microsoft.com/office/drawing/2014/main" id="{80E3F430-E362-4C4E-A3D4-6D3FAE07341C}"/>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7" name="TextBox 6">
          <a:extLst>
            <a:ext uri="{FF2B5EF4-FFF2-40B4-BE49-F238E27FC236}">
              <a16:creationId xmlns:a16="http://schemas.microsoft.com/office/drawing/2014/main" id="{78EEEBF2-F588-4686-9CFB-3D00985255F8}"/>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twoCellAnchor>
    <xdr:from>
      <xdr:col>5</xdr:col>
      <xdr:colOff>213059</xdr:colOff>
      <xdr:row>1</xdr:row>
      <xdr:rowOff>112796</xdr:rowOff>
    </xdr:from>
    <xdr:to>
      <xdr:col>15</xdr:col>
      <xdr:colOff>451183</xdr:colOff>
      <xdr:row>3</xdr:row>
      <xdr:rowOff>162926</xdr:rowOff>
    </xdr:to>
    <xdr:sp macro="" textlink="">
      <xdr:nvSpPr>
        <xdr:cNvPr id="8" name="TextBox 7">
          <a:extLst>
            <a:ext uri="{FF2B5EF4-FFF2-40B4-BE49-F238E27FC236}">
              <a16:creationId xmlns:a16="http://schemas.microsoft.com/office/drawing/2014/main" id="{1EF14CE3-8712-4907-9BAC-6F86CC443E4F}"/>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oneCellAnchor>
    <xdr:from>
      <xdr:col>0</xdr:col>
      <xdr:colOff>2</xdr:colOff>
      <xdr:row>0</xdr:row>
      <xdr:rowOff>0</xdr:rowOff>
    </xdr:from>
    <xdr:ext cx="12369966" cy="7741317"/>
    <xdr:pic>
      <xdr:nvPicPr>
        <xdr:cNvPr id="9" name="Picture 8">
          <a:extLst>
            <a:ext uri="{FF2B5EF4-FFF2-40B4-BE49-F238E27FC236}">
              <a16:creationId xmlns:a16="http://schemas.microsoft.com/office/drawing/2014/main" id="{FCDB1E2D-3A80-4E3B-94D6-E478D413EA6F}"/>
            </a:ext>
          </a:extLst>
        </xdr:cNvPr>
        <xdr:cNvPicPr>
          <a:picLocks noChangeAspect="1"/>
        </xdr:cNvPicPr>
      </xdr:nvPicPr>
      <xdr:blipFill>
        <a:blip xmlns:r="http://schemas.openxmlformats.org/officeDocument/2006/relationships" r:embed="rId1"/>
        <a:stretch>
          <a:fillRect/>
        </a:stretch>
      </xdr:blipFill>
      <xdr:spPr>
        <a:xfrm>
          <a:off x="2" y="0"/>
          <a:ext cx="12369966" cy="7741317"/>
        </a:xfrm>
        <a:prstGeom prst="rect">
          <a:avLst/>
        </a:prstGeom>
      </xdr:spPr>
    </xdr:pic>
    <xdr:clientData/>
  </xdr:oneCellAnchor>
  <xdr:twoCellAnchor>
    <xdr:from>
      <xdr:col>5</xdr:col>
      <xdr:colOff>213059</xdr:colOff>
      <xdr:row>1</xdr:row>
      <xdr:rowOff>112796</xdr:rowOff>
    </xdr:from>
    <xdr:to>
      <xdr:col>15</xdr:col>
      <xdr:colOff>451183</xdr:colOff>
      <xdr:row>3</xdr:row>
      <xdr:rowOff>162926</xdr:rowOff>
    </xdr:to>
    <xdr:sp macro="" textlink="">
      <xdr:nvSpPr>
        <xdr:cNvPr id="10" name="TextBox 9">
          <a:extLst>
            <a:ext uri="{FF2B5EF4-FFF2-40B4-BE49-F238E27FC236}">
              <a16:creationId xmlns:a16="http://schemas.microsoft.com/office/drawing/2014/main" id="{3355F2F1-AEBA-4C8F-8503-2FBCACE9AA7A}"/>
            </a:ext>
          </a:extLst>
        </xdr:cNvPr>
        <xdr:cNvSpPr txBox="1"/>
      </xdr:nvSpPr>
      <xdr:spPr>
        <a:xfrm>
          <a:off x="3165809" y="312821"/>
          <a:ext cx="6143624" cy="850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000" b="1"/>
            <a:t>US </a:t>
          </a:r>
          <a:r>
            <a:rPr lang="en-US" sz="3000" b="1">
              <a:ln>
                <a:noFill/>
              </a:ln>
            </a:rPr>
            <a:t>Channel</a:t>
          </a:r>
          <a:r>
            <a:rPr lang="en-US" sz="3000" b="1"/>
            <a:t> Regions - ISR Offices</a:t>
          </a:r>
        </a:p>
        <a:p>
          <a:pPr algn="ctr"/>
          <a:endParaRPr lang="en-US" sz="3000" b="1"/>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609599</xdr:colOff>
      <xdr:row>0</xdr:row>
      <xdr:rowOff>0</xdr:rowOff>
    </xdr:from>
    <xdr:to>
      <xdr:col>24</xdr:col>
      <xdr:colOff>9525</xdr:colOff>
      <xdr:row>29</xdr:row>
      <xdr:rowOff>76200</xdr:rowOff>
    </xdr:to>
    <xdr:pic>
      <xdr:nvPicPr>
        <xdr:cNvPr id="2" name="Picture 1">
          <a:extLst>
            <a:ext uri="{FF2B5EF4-FFF2-40B4-BE49-F238E27FC236}">
              <a16:creationId xmlns:a16="http://schemas.microsoft.com/office/drawing/2014/main" id="{03BB56F8-C7CA-4D29-AD75-9F894374077A}"/>
            </a:ext>
          </a:extLst>
        </xdr:cNvPr>
        <xdr:cNvPicPr>
          <a:picLocks noChangeAspect="1"/>
        </xdr:cNvPicPr>
      </xdr:nvPicPr>
      <xdr:blipFill>
        <a:blip xmlns:r="http://schemas.openxmlformats.org/officeDocument/2006/relationships" r:embed="rId1"/>
        <a:stretch>
          <a:fillRect/>
        </a:stretch>
      </xdr:blipFill>
      <xdr:spPr>
        <a:xfrm>
          <a:off x="3047999" y="0"/>
          <a:ext cx="11591926" cy="5876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1225550</xdr:colOff>
      <xdr:row>0</xdr:row>
      <xdr:rowOff>749392</xdr:rowOff>
    </xdr:to>
    <xdr:pic>
      <xdr:nvPicPr>
        <xdr:cNvPr id="2" name="Picture 1">
          <a:extLst>
            <a:ext uri="{FF2B5EF4-FFF2-40B4-BE49-F238E27FC236}">
              <a16:creationId xmlns:a16="http://schemas.microsoft.com/office/drawing/2014/main" id="{E6A5538F-C8B6-47DC-8C90-B25BC4F4E3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31900" cy="755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014294" cy="783770"/>
    <xdr:pic>
      <xdr:nvPicPr>
        <xdr:cNvPr id="2" name="Picture 1">
          <a:extLst>
            <a:ext uri="{FF2B5EF4-FFF2-40B4-BE49-F238E27FC236}">
              <a16:creationId xmlns:a16="http://schemas.microsoft.com/office/drawing/2014/main" id="{544C5DB5-F145-4A86-A5C0-B9A4E8E30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14294" cy="78377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1282700</xdr:colOff>
      <xdr:row>0</xdr:row>
      <xdr:rowOff>779928</xdr:rowOff>
    </xdr:to>
    <xdr:pic>
      <xdr:nvPicPr>
        <xdr:cNvPr id="2" name="Picture 1">
          <a:extLst>
            <a:ext uri="{FF2B5EF4-FFF2-40B4-BE49-F238E27FC236}">
              <a16:creationId xmlns:a16="http://schemas.microsoft.com/office/drawing/2014/main" id="{47CAB0A7-37A5-4476-9F84-7AA74AC072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282700" cy="7799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1015089</xdr:colOff>
      <xdr:row>1</xdr:row>
      <xdr:rowOff>1339</xdr:rowOff>
    </xdr:to>
    <xdr:pic>
      <xdr:nvPicPr>
        <xdr:cNvPr id="2" name="Picture 1">
          <a:extLst>
            <a:ext uri="{FF2B5EF4-FFF2-40B4-BE49-F238E27FC236}">
              <a16:creationId xmlns:a16="http://schemas.microsoft.com/office/drawing/2014/main" id="{FCC1E63C-2799-4AF6-8F09-99A1BA77F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9650" cy="785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970734</xdr:colOff>
      <xdr:row>0</xdr:row>
      <xdr:rowOff>760664</xdr:rowOff>
    </xdr:to>
    <xdr:pic>
      <xdr:nvPicPr>
        <xdr:cNvPr id="2" name="Picture 1">
          <a:extLst>
            <a:ext uri="{FF2B5EF4-FFF2-40B4-BE49-F238E27FC236}">
              <a16:creationId xmlns:a16="http://schemas.microsoft.com/office/drawing/2014/main" id="{2C1A393F-9D6D-40F5-8E2F-1A6A9529E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68556" cy="7606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1103000</xdr:colOff>
      <xdr:row>1</xdr:row>
      <xdr:rowOff>36200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792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1085307</xdr:colOff>
      <xdr:row>1</xdr:row>
      <xdr:rowOff>20039</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74420" cy="817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1009651</xdr:colOff>
      <xdr:row>1</xdr:row>
      <xdr:rowOff>2810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1005840" cy="77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96BCEB-B45E-445A-9229-CF15569F233B}" name="Table1" displayName="Table1" ref="A2:U362" totalsRowShown="0" headerRowDxfId="318" dataDxfId="317">
  <autoFilter ref="A2:U362" xr:uid="{F096BCEB-B45E-445A-9229-CF15569F233B}">
    <filterColumn colId="2">
      <filters>
        <filter val="PZM11"/>
        <filter val="PZM11 LL"/>
        <filter val="PZM11 LL WR"/>
      </filters>
    </filterColumn>
  </autoFilter>
  <sortState xmlns:xlrd2="http://schemas.microsoft.com/office/spreadsheetml/2017/richdata2" ref="A3:U362">
    <sortCondition ref="U2:U362"/>
  </sortState>
  <tableColumns count="21">
    <tableColumn id="1" xr3:uid="{B5F9D527-E5E6-45AF-883C-31970605AA53}" name="SKU" dataDxfId="316"/>
    <tableColumn id="2" xr3:uid="{BECAD787-6FD9-45BE-A21B-44840D31B409}" name="Category" dataDxfId="315">
      <calculatedColumnFormula>(IF((VLOOKUP(Table1[[#This Row],[SKU]],'All Skus'!$A:$AC,2,FALSE))="AKG",(VLOOKUP(Table1[[#This Row],[SKU]],'All Skus'!$A:$AC,3,FALSE)), ""))</calculatedColumnFormula>
    </tableColumn>
    <tableColumn id="3" xr3:uid="{BC8FCD33-A680-4352-82EA-A5E737D00C6D}" name="Model Number" dataDxfId="314">
      <calculatedColumnFormula>(IF((VLOOKUP(Table1[[#This Row],[SKU]],'All Skus'!$A:$AC,2,FALSE))="AKG",(VLOOKUP(Table1[[#This Row],[SKU]],'All Skus'!$A:$AC,4,FALSE)),""))</calculatedColumnFormula>
    </tableColumn>
    <tableColumn id="4" xr3:uid="{411486B6-5627-4863-946B-8EF51F2B965B}" name="Material Group" dataDxfId="313">
      <calculatedColumnFormula>(IF((VLOOKUP(Table1[[#This Row],[SKU]],'All Skus'!$A:$AC,2,FALSE))="AKG",(VLOOKUP(Table1[[#This Row],[SKU]],'All Skus'!$A:$AC,5,FALSE)),""))</calculatedColumnFormula>
    </tableColumn>
    <tableColumn id="5" xr3:uid="{8B24971F-54E5-49EE-9DC0-315C60D1EFF6}" name="Restricted from Internet" dataDxfId="312">
      <calculatedColumnFormula>(IF((VLOOKUP(Table1[[#This Row],[SKU]],'All Skus'!$A:$AC,2,FALSE))="AKG",(VLOOKUP(Table1[[#This Row],[SKU]],'All Skus'!$A:$AC,6,FALSE)),""))</calculatedColumnFormula>
    </tableColumn>
    <tableColumn id="6" xr3:uid="{7684D6C9-A366-4A15-9CE8-EF3D404EB0A5}" name="Status" dataDxfId="311">
      <calculatedColumnFormula>(IF((VLOOKUP(Table1[[#This Row],[SKU]],'All Skus'!$A:$AC,2,FALSE))="AKG",(VLOOKUP(Table1[[#This Row],[SKU]],'All Skus'!$A:$AC,7,FALSE)),""))</calculatedColumnFormula>
    </tableColumn>
    <tableColumn id="7" xr3:uid="{4CA242E5-5F33-4724-8A93-B021CE27BD4E}" name="Product Description Short" dataDxfId="310">
      <calculatedColumnFormula>(IF((VLOOKUP(Table1[[#This Row],[SKU]],'All Skus'!$A:$AC,2,FALSE))="AKG",(VLOOKUP(Table1[[#This Row],[SKU]],'All Skus'!$A:$AC,8,FALSE)),""))</calculatedColumnFormula>
    </tableColumn>
    <tableColumn id="8" xr3:uid="{FB08F963-E495-4484-83FB-4EF84BA8C2EF}" name="Product Description Long" dataDxfId="309">
      <calculatedColumnFormula>(IF((VLOOKUP(Table1[[#This Row],[SKU]],'All Skus'!$A:$AC,2,FALSE))="AKG",(VLOOKUP(Table1[[#This Row],[SKU]],'All Skus'!$A:$AC,9,FALSE)),""))</calculatedColumnFormula>
    </tableColumn>
    <tableColumn id="14" xr3:uid="{81600C8C-EBF7-46A9-BA37-54D3C61105BA}" name="MSRP" dataDxfId="308" dataCellStyle="Currency">
      <calculatedColumnFormula>(IF((VLOOKUP(Table1[[#This Row],[SKU]],'All Skus'!$A:$AC,2,FALSE))="AKG",(VLOOKUP(Table1[[#This Row],[SKU]],'All Skus'!$A:$AC,10,FALSE)),""))</calculatedColumnFormula>
    </tableColumn>
    <tableColumn id="15" xr3:uid="{1E1A2513-30C3-41D4-9C2D-F05804FD6AA7}" name=" MAP" dataDxfId="307" dataCellStyle="Currency">
      <calculatedColumnFormula>(IF((VLOOKUP(Table1[[#This Row],[SKU]],'All Skus'!$A:$AC,2,FALSE))="AKG",(VLOOKUP(Table1[[#This Row],[SKU]],'All Skus'!$A:$AC,11,FALSE)),""))</calculatedColumnFormula>
    </tableColumn>
    <tableColumn id="17" xr3:uid="{6CAA5551-D0D8-421E-BF40-BA0D5FA5B4D3}" name="Master Pack Qty" dataDxfId="306">
      <calculatedColumnFormula>(IF((VLOOKUP(Table1[[#This Row],[SKU]],'All Skus'!$A:$AC,2,FALSE))="AKG",(VLOOKUP(Table1[[#This Row],[SKU]],'All Skus'!$A:$AC,15,FALSE)),""))</calculatedColumnFormula>
    </tableColumn>
    <tableColumn id="18" xr3:uid="{7958C1EE-DB74-45AC-A721-4A2548AE3AE6}" name="UPC" dataDxfId="305">
      <calculatedColumnFormula>(IF((VLOOKUP(Table1[[#This Row],[SKU]],'All Skus'!$A:$AC,2,FALSE))="AKG",(VLOOKUP(Table1[[#This Row],[SKU]],'All Skus'!$A:$AC,16,FALSE)),""))</calculatedColumnFormula>
    </tableColumn>
    <tableColumn id="19" xr3:uid="{C7841DF7-A303-46A5-B74C-0A54093E186C}" name="EAN" dataDxfId="304">
      <calculatedColumnFormula>(IF((VLOOKUP(Table1[[#This Row],[SKU]],'All Skus'!$A:$AC,2,FALSE))="AKG",(VLOOKUP(Table1[[#This Row],[SKU]],'All Skus'!$A:$AC,17,FALSE)),""))</calculatedColumnFormula>
    </tableColumn>
    <tableColumn id="20" xr3:uid="{75FB5962-E48A-4114-8E68-E492780F58B4}" name="WEIGHT (lb.)" dataDxfId="303">
      <calculatedColumnFormula>(IF((VLOOKUP(Table1[[#This Row],[SKU]],'All Skus'!$A:$AC,2,FALSE))="AKG",(VLOOKUP(Table1[[#This Row],[SKU]],'All Skus'!$A:$AC,18,FALSE)),""))</calculatedColumnFormula>
    </tableColumn>
    <tableColumn id="21" xr3:uid="{4948FA57-B023-4518-A678-91CECDBEF3FD}" name="DIM L (in.)" dataDxfId="302">
      <calculatedColumnFormula>(IF((VLOOKUP(Table1[[#This Row],[SKU]],'All Skus'!$A:$AC,2,FALSE))="AKG",(VLOOKUP(Table1[[#This Row],[SKU]],'All Skus'!$A:$AC,19,FALSE)),""))</calculatedColumnFormula>
    </tableColumn>
    <tableColumn id="22" xr3:uid="{1EA15B17-E991-434B-A7A9-90406C2A2760}" name="DIM W (in.)" dataDxfId="301">
      <calculatedColumnFormula>(IF((VLOOKUP(Table1[[#This Row],[SKU]],'All Skus'!$A:$AC,2,FALSE))="AKG",(VLOOKUP(Table1[[#This Row],[SKU]],'All Skus'!$A:$AC,20,FALSE)),""))</calculatedColumnFormula>
    </tableColumn>
    <tableColumn id="23" xr3:uid="{AAB34E6E-F1D9-4CBE-9179-AC340E0BA385}" name="DIM H (in.)" dataDxfId="300">
      <calculatedColumnFormula>(IF((VLOOKUP(Table1[[#This Row],[SKU]],'All Skus'!$A:$AC,2,FALSE))="AKG",(VLOOKUP(Table1[[#This Row],[SKU]],'All Skus'!$A:$AC,21,FALSE)),""))</calculatedColumnFormula>
    </tableColumn>
    <tableColumn id="24" xr3:uid="{A1A2EB34-5928-489D-A74B-945507221DED}" name="COUNTRY OF ORIGIN" dataDxfId="299">
      <calculatedColumnFormula>(IF((VLOOKUP(Table1[[#This Row],[SKU]],'All Skus'!$A:$AC,2,FALSE))="AKG",(VLOOKUP(Table1[[#This Row],[SKU]],'All Skus'!$A:$AC,22,FALSE)),""))</calculatedColumnFormula>
    </tableColumn>
    <tableColumn id="25" xr3:uid="{6F1791F9-A151-4C01-89E2-6C552774A18C}" name="TAA Compliant" dataDxfId="298">
      <calculatedColumnFormula>(IF((VLOOKUP(Table1[[#This Row],[SKU]],'All Skus'!$A:$AC,2,FALSE))="AKG",(VLOOKUP(Table1[[#This Row],[SKU]],'All Skus'!$A:$AC,23,FALSE)),""))</calculatedColumnFormula>
    </tableColumn>
    <tableColumn id="26" xr3:uid="{1B814BCE-4ED5-4DB2-8D56-9C1E5B070157}" name="LINK" dataDxfId="297" dataCellStyle="Hyperlink">
      <calculatedColumnFormula>HYPERLINK((IF((VLOOKUP(Table1[[#This Row],[SKU]],'All Skus'!$A:$AC,2,FALSE))="AKG",(VLOOKUP(Table1[[#This Row],[SKU]],'All Skus'!$A:$AC,24,FALSE)),"")))</calculatedColumnFormula>
    </tableColumn>
    <tableColumn id="9" xr3:uid="{7E8B0861-F506-406D-B0DA-00096345FAC0}" name="Row Sort Order" dataDxfId="296"/>
  </tableColumns>
  <tableStyleInfo name="TableStyleMedium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DA84364-21D0-4FDD-BAA7-340C3DDF1F13}" name="Table10" displayName="Table10" ref="A2:V896" totalsRowShown="0" headerRowDxfId="119" dataDxfId="118">
  <autoFilter ref="A2:V896" xr:uid="{00000000-0001-0000-0A00-000000000000}">
    <filterColumn colId="2">
      <filters>
        <filter val="Air Director, JEM Compact Hazer Pro"/>
        <filter val="Ducting system, JEM ZR25"/>
        <filter val="Ducting system, JEM ZR35"/>
        <filter val="Ducting System, JEM ZR45"/>
        <filter val="Flying Kit, JEM Compact Hazer Pro"/>
        <filter val="Flying kit, JEM K1/Hazer Pro"/>
        <filter val="JEM AF-1 MkII dmx fan; 115V 50/60Hz, US"/>
        <filter val="JEM AF-1 MkII dmx fan; 230V 50/60Hz, EU"/>
        <filter val="JEM AF-2 dmx fan; 115V 50/60Hz, US"/>
        <filter val="JEM AF-2 dmx fan; 230V 50/60Hz, EU"/>
        <filter val="JEM Compact Hazer, 120V,50/60Hz, US"/>
        <filter val="JEM Compact Hazer, 230V,50/60Hz, EU"/>
        <filter val="JEM C-Plus Haze Fluid, 25 l"/>
        <filter val="JEM C-Plus Haze Fluid, 4x 2.5 l"/>
        <filter val="JEM C-Plus Haze Fluid, 4x 5 l"/>
        <filter val="JEM External Fluid Reservoir Kit, 25 l"/>
        <filter val="JEM Glaciator Dynamic"/>
        <filter val="JEM Glaciator Dynamic, Ducting Kit"/>
        <filter val="JEM Glaciator Dynamic, Fog Blade"/>
        <filter val="JEM Glaciator Dynamic, Softcover       "/>
        <filter val="JEM Hazer Pro, 120V, 50/60Hz, US"/>
        <filter val="JEM Hazer Pro, 230V, 50/60Hz, EU"/>
        <filter val="JEM K1 Haze Fluid,  220  l"/>
        <filter val="JEM K1 Haze Fluid,  4x 2.5 l"/>
        <filter val="JEM Low-Fog Fluid, 220 l"/>
        <filter val="JEM Low-Fog Fluid, 4x 5 l"/>
        <filter val="JEM Low-Fog Fluid, High Density, 220 l"/>
        <filter val="JEM Low-Fog Fluid, High Density, 4x 5 l"/>
        <filter val="JEM Low-Fog Fluid, Quick Dissipating, 4x 5 l"/>
        <filter val="JEM Pro-Fog Fluid, 220 l"/>
        <filter val="JEM Pro-Fog Fluid, 25 l"/>
        <filter val="JEM Pro-Fog Fluid, 4x 5 l"/>
        <filter val="JEM Pro-Fog Fluid, Extra Quick Dissipating, 220 l"/>
        <filter val="JEM Pro-Fog Fluid, Extra Quick Dissipating, 25 l"/>
        <filter val="JEM Pro-Fog Fluid, Extra Quick Dissipating, 4x 5 l"/>
        <filter val="JEM Pro-Fog Fluid, High Density, 220 l"/>
        <filter val="JEM Pro-Fog Fluid, High Density, 4x 5 l"/>
        <filter val="JEM Pro-Fog Fluid, Quick Dissipating, 4x 5 l"/>
        <filter val="JEM Pro-Fog Fluid, Quick Dissipating, 9.5 l"/>
        <filter val="JEM ZR25 120V/50-60Hz, US"/>
        <filter val="JEM ZR25 230V/50-60Hz, EU"/>
        <filter val="JEM ZR35 120V/50-60Hz, US"/>
        <filter val="JEM ZR35 230V/50-60Hz, EU"/>
        <filter val="JEM ZR45 120V/50-60Hz, US"/>
        <filter val="JEM ZR45 230V/50-60Hz, EU"/>
      </filters>
    </filterColumn>
  </autoFilter>
  <sortState xmlns:xlrd2="http://schemas.microsoft.com/office/spreadsheetml/2017/richdata2" ref="A3:V896">
    <sortCondition ref="U2:U896"/>
  </sortState>
  <tableColumns count="22">
    <tableColumn id="1" xr3:uid="{C0C33237-82BD-4494-A11F-4025BD68BCB3}" name="SKU" dataDxfId="117"/>
    <tableColumn id="2" xr3:uid="{FFA2B7D3-B1D1-4D55-BDCD-A7998879CD76}" name="Category" dataDxfId="116">
      <calculatedColumnFormula>(IF((VLOOKUP(Table10[[#This Row],[SKU]],'All Skus'!$A:$AC,2,FALSE))="Martin",(VLOOKUP(Table10[[#This Row],[SKU]],'All Skus'!$A:$AC,3,FALSE)),""))</calculatedColumnFormula>
    </tableColumn>
    <tableColumn id="3" xr3:uid="{40E7E2E1-217A-49B8-82C1-C73C2E0AB043}" name="Model Number" dataDxfId="115">
      <calculatedColumnFormula>(IF((VLOOKUP(Table10[[#This Row],[SKU]],'All Skus'!$A:$AC,2,FALSE))="Martin",(VLOOKUP(Table10[[#This Row],[SKU]],'All Skus'!$A:$AC,4,FALSE)),""))</calculatedColumnFormula>
    </tableColumn>
    <tableColumn id="4" xr3:uid="{286BBAF4-4F39-4471-9BDF-23AF34DA1981}" name="Material Group" dataDxfId="114">
      <calculatedColumnFormula>(IF((VLOOKUP(Table10[[#This Row],[SKU]],'All Skus'!$A:$AC,2,FALSE))="Martin",(VLOOKUP(Table10[[#This Row],[SKU]],'All Skus'!$A:$AC,5,FALSE)),""))</calculatedColumnFormula>
    </tableColumn>
    <tableColumn id="5" xr3:uid="{BC415778-E66F-4B7C-85C2-CB6C74EF694D}" name="Restricted from Internet" dataDxfId="113">
      <calculatedColumnFormula>(IF((VLOOKUP(Table10[[#This Row],[SKU]],'All Skus'!$A:$AC,2,FALSE))="Martin",(VLOOKUP(Table10[[#This Row],[SKU]],'All Skus'!$A:$AC,6,FALSE)),""))</calculatedColumnFormula>
    </tableColumn>
    <tableColumn id="6" xr3:uid="{C3E828B5-9C87-43EB-ABD3-96DAD1843D92}" name="Status" dataDxfId="112">
      <calculatedColumnFormula>(IF((VLOOKUP(Table10[[#This Row],[SKU]],'All Skus'!$A:$AC,2,FALSE))="Martin",(VLOOKUP(Table10[[#This Row],[SKU]],'All Skus'!$A:$AC,7,FALSE)),""))</calculatedColumnFormula>
    </tableColumn>
    <tableColumn id="7" xr3:uid="{410591EA-5DBD-4551-865E-97EA8391014F}" name="Product Description Short" dataDxfId="111">
      <calculatedColumnFormula>(IF((VLOOKUP(Table10[[#This Row],[SKU]],'All Skus'!$A:$AC,2,FALSE))="Martin",(VLOOKUP(Table10[[#This Row],[SKU]],'All Skus'!$A:$AC,8,FALSE)),""))</calculatedColumnFormula>
    </tableColumn>
    <tableColumn id="8" xr3:uid="{519DDFA2-5AC0-4BC3-BABE-36A4D6AB3E2B}" name="Product Description Long" dataDxfId="110">
      <calculatedColumnFormula>(IF((VLOOKUP(Table10[[#This Row],[SKU]],'All Skus'!$A:$AC,2,FALSE))="Martin",(VLOOKUP(Table10[[#This Row],[SKU]],'All Skus'!$A:$AC,9,FALSE)),""))</calculatedColumnFormula>
    </tableColumn>
    <tableColumn id="15" xr3:uid="{C9C63CCB-0FBE-462D-AB19-504064DA5878}" name="MSRP" dataDxfId="109" dataCellStyle="Currency">
      <calculatedColumnFormula>(IF((VLOOKUP(Table10[[#This Row],[SKU]],'All Skus'!$A:$AC,2,FALSE))="Martin",(VLOOKUP(Table10[[#This Row],[SKU]],'All Skus'!$A:$AC,10,FALSE)),""))</calculatedColumnFormula>
    </tableColumn>
    <tableColumn id="16" xr3:uid="{589A313E-07EC-4162-8DD3-5342080A3FEA}" name=" MAP" dataDxfId="108" dataCellStyle="Currency">
      <calculatedColumnFormula>(IF((VLOOKUP(Table10[[#This Row],[SKU]],'All Skus'!$A:$AC,2,FALSE))="Martin",(VLOOKUP(Table10[[#This Row],[SKU]],'All Skus'!$A:$AC,11,FALSE)),""))</calculatedColumnFormula>
    </tableColumn>
    <tableColumn id="18" xr3:uid="{4D82B376-9675-4F6D-97B7-69B1F0DF21E8}" name="Master Pack Qty" dataDxfId="107">
      <calculatedColumnFormula>(IF((VLOOKUP(Table10[[#This Row],[SKU]],'All Skus'!$A:$AC,2,FALSE))="Martin",(VLOOKUP(Table10[[#This Row],[SKU]],'All Skus'!$A:$AC,15,FALSE)),""))</calculatedColumnFormula>
    </tableColumn>
    <tableColumn id="19" xr3:uid="{2A13148B-4B93-480B-9E13-A8F7BDDE7860}" name="UPC" dataDxfId="106">
      <calculatedColumnFormula>(IF((VLOOKUP(Table10[[#This Row],[SKU]],'All Skus'!$A:$AC,2,FALSE))="Martin",(VLOOKUP(Table10[[#This Row],[SKU]],'All Skus'!$A:$AC,16,FALSE)),""))</calculatedColumnFormula>
    </tableColumn>
    <tableColumn id="20" xr3:uid="{F35B87A5-91C6-4BA0-B6FF-C530305AD2A0}" name="EAN" dataDxfId="105">
      <calculatedColumnFormula>(IF((VLOOKUP(Table10[[#This Row],[SKU]],'All Skus'!$A:$AC,2,FALSE))="Martin",(VLOOKUP(Table10[[#This Row],[SKU]],'All Skus'!$A:$AC,17,FALSE)),""))</calculatedColumnFormula>
    </tableColumn>
    <tableColumn id="21" xr3:uid="{95F04DD7-FC46-4736-BF7E-D9466147EC56}" name="WEIGHT (lb.)" dataDxfId="104">
      <calculatedColumnFormula>(IF((VLOOKUP(Table10[[#This Row],[SKU]],'All Skus'!$A:$AC,2,FALSE))="Martin",(VLOOKUP(Table10[[#This Row],[SKU]],'All Skus'!$A:$AC,18,FALSE)),""))</calculatedColumnFormula>
    </tableColumn>
    <tableColumn id="22" xr3:uid="{BFF2D683-7FDD-4EDD-9A54-C5F3F68C4935}" name="DIM L (in.)" dataDxfId="103">
      <calculatedColumnFormula>(IF((VLOOKUP(Table10[[#This Row],[SKU]],'All Skus'!$A:$AC,2,FALSE))="Martin",(VLOOKUP(Table10[[#This Row],[SKU]],'All Skus'!$A:$AC,19,FALSE)),""))</calculatedColumnFormula>
    </tableColumn>
    <tableColumn id="23" xr3:uid="{76D40AF4-3B7B-4951-85EF-2B6F4AAE89D4}" name="DIM W (in.)" dataDxfId="102">
      <calculatedColumnFormula>(IF((VLOOKUP(Table10[[#This Row],[SKU]],'All Skus'!$A:$AC,2,FALSE))="Martin",(VLOOKUP(Table10[[#This Row],[SKU]],'All Skus'!$A:$AC,20,FALSE)),""))</calculatedColumnFormula>
    </tableColumn>
    <tableColumn id="9" xr3:uid="{2ED03C44-8BEB-4612-8282-AC81FD3AFF86}" name="DIM H (in.)" dataDxfId="101">
      <calculatedColumnFormula>(IF((VLOOKUP(Table10[[#This Row],[SKU]],'All Skus'!$A:$AC,2,FALSE))="Martin",(VLOOKUP(Table10[[#This Row],[SKU]],'All Skus'!$A:$AC,21,FALSE)),""))</calculatedColumnFormula>
    </tableColumn>
    <tableColumn id="24" xr3:uid="{184840C9-B4AF-433E-94AD-E5FADF6C2603}" name="COUNTRY OF ORIGIN" dataDxfId="100">
      <calculatedColumnFormula>(IF((VLOOKUP(Table10[[#This Row],[SKU]],'All Skus'!$A:$AC,2,FALSE))="Martin",(VLOOKUP(Table10[[#This Row],[SKU]],'All Skus'!$A:$AC,22,FALSE)),""))</calculatedColumnFormula>
    </tableColumn>
    <tableColumn id="25" xr3:uid="{B659777D-D26B-4041-A1CE-6C963818A53B}" name="TAA Compliant" dataDxfId="99">
      <calculatedColumnFormula>(IF((VLOOKUP(Table10[[#This Row],[SKU]],'All Skus'!$A:$AC,2,FALSE))="Martin",(VLOOKUP(Table10[[#This Row],[SKU]],'All Skus'!$A:$AC,23,FALSE)),""))</calculatedColumnFormula>
    </tableColumn>
    <tableColumn id="26" xr3:uid="{311F36D2-0C0D-46ED-850A-C76074349DB5}" name="LINK" dataDxfId="98" dataCellStyle="Hyperlink">
      <calculatedColumnFormula>HYPERLINK((IF((VLOOKUP(Table10[[#This Row],[SKU]],'All Skus'!$A:$AC,2,FALSE))="Martin",(VLOOKUP(Table10[[#This Row],[SKU]],'All Skus'!$A:$AC,24,FALSE)),"")))</calculatedColumnFormula>
    </tableColumn>
    <tableColumn id="10" xr3:uid="{37CFCCFC-7C06-4F78-B019-612E2D7F5803}" name="Row Sort Order" dataDxfId="97"/>
    <tableColumn id="11" xr3:uid="{99942568-BC8A-413F-86B5-B6EC3E1EA569}" name="Column1" dataDxfId="96">
      <calculatedColumnFormula>VLOOKUP(Table10[[#This Row],[SKU]],'Change Log'!$C$386:$C$426,1,)</calculatedColumnFormula>
    </tableColumn>
  </tableColumns>
  <tableStyleInfo name="TableStyleMedium8"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39A69F20-131E-49C8-9DDB-A0E4DB3C90FB}" name="Table11" displayName="Table11" ref="A2:T199" totalsRowShown="0" headerRowDxfId="95" dataDxfId="94">
  <autoFilter ref="A2:T199" xr:uid="{39A69F20-131E-49C8-9DDB-A0E4DB3C90FB}"/>
  <sortState xmlns:xlrd2="http://schemas.microsoft.com/office/spreadsheetml/2017/richdata2" ref="A3:T199">
    <sortCondition ref="T2:T199"/>
  </sortState>
  <tableColumns count="20">
    <tableColumn id="1" xr3:uid="{AB8E388F-A136-47CD-968A-8EBF2A37002D}" name="SKU" dataDxfId="93"/>
    <tableColumn id="2" xr3:uid="{D44E6BD8-2CA3-473D-A50C-218015BE3F21}" name="Category" dataDxfId="92">
      <calculatedColumnFormula>(IF((VLOOKUP(Table11[[#This Row],[SKU]],'All Skus'!$A:$AC,2,FALSE))="Soundcraft",(VLOOKUP(Table11[[#This Row],[SKU]],'All Skus'!$A:$AC,3,FALSE)),""))</calculatedColumnFormula>
    </tableColumn>
    <tableColumn id="3" xr3:uid="{05338B3D-3CE1-4FC2-B65E-AAC802CDCA69}" name="Model Number" dataDxfId="91">
      <calculatedColumnFormula>(IF((VLOOKUP(Table11[[#This Row],[SKU]],'All Skus'!$A:$AC,2,FALSE))="Soundcraft",(VLOOKUP(Table11[[#This Row],[SKU]],'All Skus'!$A:$AC,4,FALSE)),""))</calculatedColumnFormula>
    </tableColumn>
    <tableColumn id="4" xr3:uid="{69882C64-5B0D-4878-AE93-785D81FC3A02}" name="Material Group" dataDxfId="90">
      <calculatedColumnFormula>(IF((VLOOKUP(Table11[[#This Row],[SKU]],'All Skus'!$A:$AC,2,FALSE))="Soundcraft",(VLOOKUP(Table11[[#This Row],[SKU]],'All Skus'!$A:$AC,5,FALSE)),""))</calculatedColumnFormula>
    </tableColumn>
    <tableColumn id="5" xr3:uid="{877961F9-A9E0-47C5-9FC2-2FEA3EBEB648}" name="Restricted from Internet" dataDxfId="89">
      <calculatedColumnFormula>(IF((VLOOKUP(Table11[[#This Row],[SKU]],'All Skus'!$A:$AC,2,FALSE))="Soundcraft",(VLOOKUP(Table11[[#This Row],[SKU]],'All Skus'!$A:$AC,6,FALSE)),""))</calculatedColumnFormula>
    </tableColumn>
    <tableColumn id="6" xr3:uid="{E2CBC5CD-1A6D-4030-B40F-C25C6ED54C01}" name="Status" dataDxfId="88">
      <calculatedColumnFormula>(IF((VLOOKUP(Table11[[#This Row],[SKU]],'All Skus'!$A:$AC,2,FALSE))="Soundcraft",(VLOOKUP(Table11[[#This Row],[SKU]],'All Skus'!$A:$AC,7,FALSE)),""))</calculatedColumnFormula>
    </tableColumn>
    <tableColumn id="7" xr3:uid="{113BD33C-478C-49AF-8589-5D2B115CBC66}" name="Product Description Short" dataDxfId="87">
      <calculatedColumnFormula>(IF((VLOOKUP(Table11[[#This Row],[SKU]],'All Skus'!$A:$AC,2,FALSE))="Soundcraft",(VLOOKUP(Table11[[#This Row],[SKU]],'All Skus'!$A:$AC,8,FALSE)),""))</calculatedColumnFormula>
    </tableColumn>
    <tableColumn id="8" xr3:uid="{F5FE59CF-B2DE-4238-8726-35317B7405D6}" name="Product Description Long" dataDxfId="86">
      <calculatedColumnFormula>(IF((VLOOKUP(Table11[[#This Row],[SKU]],'All Skus'!$A:$AC,2,FALSE))="Soundcraft",(VLOOKUP(Table11[[#This Row],[SKU]],'All Skus'!$A:$AC,9,FALSE)),""))</calculatedColumnFormula>
    </tableColumn>
    <tableColumn id="14" xr3:uid="{834CF8F7-641C-4D5D-928F-21EADB45FB2E}" name="MSRP" dataDxfId="85" dataCellStyle="Currency">
      <calculatedColumnFormula>(IF((VLOOKUP(Table11[[#This Row],[SKU]],'All Skus'!$A:$AC,2,FALSE))="Soundcraft",(VLOOKUP(Table11[[#This Row],[SKU]],'All Skus'!$A:$AC,10,FALSE)),""))</calculatedColumnFormula>
    </tableColumn>
    <tableColumn id="15" xr3:uid="{03501E63-4FB6-4862-9A3C-C920622881E3}" name="MAP" dataDxfId="84" dataCellStyle="Currency">
      <calculatedColumnFormula>(IF((VLOOKUP(Table11[[#This Row],[SKU]],'All Skus'!$A:$AC,2,FALSE))="Soundcraft",(VLOOKUP(Table11[[#This Row],[SKU]],'All Skus'!$A:$AC,11,FALSE)),""))</calculatedColumnFormula>
    </tableColumn>
    <tableColumn id="17" xr3:uid="{F23D3E71-09A0-49D2-AD8C-204A9273B12D}" name="UPC" dataDxfId="83">
      <calculatedColumnFormula>(IF((VLOOKUP(Table11[[#This Row],[SKU]],'All Skus'!$A:$AC,2,FALSE))="Soundcraft",(VLOOKUP(Table11[[#This Row],[SKU]],'All Skus'!$A:$AC,16,FALSE)),""))</calculatedColumnFormula>
    </tableColumn>
    <tableColumn id="18" xr3:uid="{A05BB8E8-C0FA-4CC2-9284-6A549500200B}" name="EAN" dataDxfId="82">
      <calculatedColumnFormula>(IF((VLOOKUP(Table11[[#This Row],[SKU]],'All Skus'!$A:$AC,2,FALSE))="Soundcraft",(VLOOKUP(Table11[[#This Row],[SKU]],'All Skus'!$A:$AC,17,FALSE)),""))</calculatedColumnFormula>
    </tableColumn>
    <tableColumn id="19" xr3:uid="{87D983B4-CCA4-4EC7-8333-46A5BD3F46F4}" name="WEIGHT (lb.)" dataDxfId="81">
      <calculatedColumnFormula>(IF((VLOOKUP(Table11[[#This Row],[SKU]],'All Skus'!$A:$AC,2,FALSE))="Soundcraft",(VLOOKUP(Table11[[#This Row],[SKU]],'All Skus'!$A:$AC,18,FALSE)),""))</calculatedColumnFormula>
    </tableColumn>
    <tableColumn id="20" xr3:uid="{18B7F72E-E68A-4CE2-9156-E2D38E833233}" name="DIM L (in.)" dataDxfId="80">
      <calculatedColumnFormula>(IF((VLOOKUP(Table11[[#This Row],[SKU]],'All Skus'!$A:$AC,2,FALSE))="Soundcraft",(VLOOKUP(Table11[[#This Row],[SKU]],'All Skus'!$A:$AC,19,FALSE)),""))</calculatedColumnFormula>
    </tableColumn>
    <tableColumn id="21" xr3:uid="{63267FD9-916D-4075-9159-35E832144DEC}" name="DIM W (in.)" dataDxfId="79">
      <calculatedColumnFormula>(IF((VLOOKUP(Table11[[#This Row],[SKU]],'All Skus'!$A:$AC,2,FALSE))="Soundcraft",(VLOOKUP(Table11[[#This Row],[SKU]],'All Skus'!$A:$AC,20,FALSE)),""))</calculatedColumnFormula>
    </tableColumn>
    <tableColumn id="22" xr3:uid="{D422307D-4A57-40BB-9DD5-3DA70357A1A2}" name="DIM H (in.)" dataDxfId="78">
      <calculatedColumnFormula>(IF((VLOOKUP(Table11[[#This Row],[SKU]],'All Skus'!$A:$AC,2,FALSE))="Soundcraft",(VLOOKUP(Table11[[#This Row],[SKU]],'All Skus'!$A:$AC,21,FALSE)),""))</calculatedColumnFormula>
    </tableColumn>
    <tableColumn id="23" xr3:uid="{749DAC35-98D6-4919-AFA5-65DB1EAC2C15}" name="COO" dataDxfId="77">
      <calculatedColumnFormula>(IF((VLOOKUP(Table11[[#This Row],[SKU]],'All Skus'!$A:$AC,2,FALSE))="Soundcraft",(VLOOKUP(Table11[[#This Row],[SKU]],'All Skus'!$A:$AC,22,FALSE)),""))</calculatedColumnFormula>
    </tableColumn>
    <tableColumn id="24" xr3:uid="{ACF5DE94-7707-448F-85CA-5B2B084F061B}" name="TAA Compliant" dataDxfId="76">
      <calculatedColumnFormula>(IF((VLOOKUP(Table11[[#This Row],[SKU]],'All Skus'!$A:$AC,2,FALSE))="Soundcraft",(VLOOKUP(Table11[[#This Row],[SKU]],'All Skus'!$A:$AC,23,FALSE)),""))</calculatedColumnFormula>
    </tableColumn>
    <tableColumn id="25" xr3:uid="{D73AB133-49D9-4C54-83AC-B6D1CC8FF9B5}" name="LINK" dataDxfId="75" dataCellStyle="Hyperlink">
      <calculatedColumnFormula>HYPERLINK((IF((VLOOKUP(Table11[[#This Row],[SKU]],'All Skus'!$A:$AC,2,FALSE))="Soundcraft",(VLOOKUP(Table11[[#This Row],[SKU]],'All Skus'!$A:$AC,24,FALSE)),"")))</calculatedColumnFormula>
    </tableColumn>
    <tableColumn id="9" xr3:uid="{CF774482-F3E5-44AF-9C53-868B9B0E1E62}" name="Row Sort Order" dataDxfId="74"/>
  </tableColumns>
  <tableStyleInfo name="TableStyleMedium8"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8D260CA9-E1E5-482A-9CD6-48930D114A46}" name="Table12" displayName="Table12" ref="A2:AC2905" totalsRowShown="0" headerRowDxfId="73" dataDxfId="71" headerRowBorderDxfId="72" tableBorderDxfId="70" headerRowCellStyle="Check Cell">
  <autoFilter ref="A2:AC2905" xr:uid="{C139F346-8178-4F2C-8BC0-C63C1CF4EBEE}"/>
  <sortState xmlns:xlrd2="http://schemas.microsoft.com/office/spreadsheetml/2017/richdata2" ref="A3:AC2905">
    <sortCondition ref="B2:B2905"/>
  </sortState>
  <tableColumns count="29">
    <tableColumn id="2" xr3:uid="{15FC98A6-DA55-4681-BC5A-8D20C8D87954}" name="SKU" dataDxfId="69"/>
    <tableColumn id="1" xr3:uid="{0DF49F3C-A83A-448C-A49C-02A2873BBCFA}" name="Brand" dataDxfId="68"/>
    <tableColumn id="3" xr3:uid="{74AA7247-82DE-480F-AE70-EB418A5C6CFA}" name="Category" dataDxfId="67"/>
    <tableColumn id="4" xr3:uid="{A9A41C0A-56BC-4104-968E-EF54667CC6FC}" name="Model Number" dataDxfId="66"/>
    <tableColumn id="5" xr3:uid="{769E0DDE-C4D8-408B-B1DC-C4225D34A192}" name="Material Group" dataDxfId="65"/>
    <tableColumn id="6" xr3:uid="{31C7A836-F993-48C8-BFA4-DA28EA12EF00}" name="Restricted from Internet" dataDxfId="64"/>
    <tableColumn id="7" xr3:uid="{5445B170-E0FE-4DA8-9EB4-4F01EDFF4A1A}" name="Status" dataDxfId="63"/>
    <tableColumn id="8" xr3:uid="{91785121-110F-4A03-9D2B-173BA6267C47}" name="Product Description Short" dataDxfId="62"/>
    <tableColumn id="9" xr3:uid="{D6106496-4280-4ED8-85FC-5449405DF988}" name="Product Description Long" dataDxfId="61"/>
    <tableColumn id="10" xr3:uid="{318A290D-C795-4687-BA62-C18C1F2C6F27}" name="MSRP" dataDxfId="60"/>
    <tableColumn id="11" xr3:uid="{30D1B741-915B-4B00-882B-94E35C729586}" name="MAP" dataDxfId="59"/>
    <tableColumn id="12" xr3:uid="{0ED30763-6C25-4709-8FD9-2A12CAAD55D9}" name="Dealer" dataDxfId="58"/>
    <tableColumn id="13" xr3:uid="{8073D66D-E9D7-4648-B8DE-DC3C2977CA37}" name="US Dealer_x000a_100-249pcs*" dataDxfId="57"/>
    <tableColumn id="14" xr3:uid="{DC7334E2-6114-4221-A09D-3D6E6DED785C}" name="US Dealer_x000a_250+ pcs*" dataDxfId="56"/>
    <tableColumn id="15" xr3:uid="{14A75BD3-822A-4DE0-A42D-A67B32AAB77C}" name="Master Pack Qty" dataDxfId="55"/>
    <tableColumn id="16" xr3:uid="{9BD0E9C9-6299-4697-BF49-642D1A31AF10}" name="UPC" dataDxfId="54"/>
    <tableColumn id="17" xr3:uid="{14D7EBC5-5FD7-4C8B-A9C0-56C3BD684232}" name="EAN" dataDxfId="53"/>
    <tableColumn id="18" xr3:uid="{D2CEB8A4-9D56-41F7-A628-F4EE6D7E8A1A}" name="WEIGHT (lb.)" dataDxfId="52"/>
    <tableColumn id="19" xr3:uid="{391803FE-3FED-428B-AB68-3A8B91A809C4}" name="DIM L (in.)" dataDxfId="51"/>
    <tableColumn id="20" xr3:uid="{01800F68-C8A2-4F64-A4A4-9242BC183757}" name="DIM W (in.)" dataDxfId="50"/>
    <tableColumn id="21" xr3:uid="{3C29293A-D39E-4700-84F7-B5B29B9835DB}" name="DIM H (in.)" dataDxfId="49"/>
    <tableColumn id="22" xr3:uid="{56811911-9B3F-4269-9954-B251CCB7F270}" name="COUNTRY OF ORIGIN" dataDxfId="48"/>
    <tableColumn id="23" xr3:uid="{3E6D064C-0E24-4937-9123-0B42F504AB08}" name="TAA Compliant" dataDxfId="47"/>
    <tableColumn id="24" xr3:uid="{99A5BAAC-40DE-436C-8529-66362682C90B}" name="LINK" dataDxfId="46"/>
    <tableColumn id="25" xr3:uid="{0F2A3E26-3127-4CF3-B734-33A549A302D6}" name="Row Sort Order" dataDxfId="45"/>
    <tableColumn id="28" xr3:uid="{ACEAEED2-791A-48E2-983C-E45609DB3EF4}" name="Product Type" dataDxfId="44"/>
    <tableColumn id="29" xr3:uid="{88E980E2-775E-4A68-8B82-4B1851593FB1}" name="Helper Column 1" dataDxfId="43"/>
    <tableColumn id="27" xr3:uid="{8ED0C457-F661-4096-A918-829E5F168EEE}" name="Helper Column 2" dataDxfId="42" dataCellStyle="Comma"/>
    <tableColumn id="26" xr3:uid="{8A4F64DB-ED7F-40C3-B63D-5BCBC4C92A0E}" name="Helper Column 3" dataDxfId="41" dataCellStyle="Comma"/>
  </tableColumns>
  <tableStyleInfo name="TableStyleMedium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8C57DB0-BF65-4F5D-BAB6-B37AFA3CCCF3}" name="Table2" displayName="Table2" ref="A2:T299" totalsRowShown="0" headerRowDxfId="295" dataDxfId="294">
  <autoFilter ref="A2:T299" xr:uid="{28C57DB0-BF65-4F5D-BAB6-B37AFA3CCCF3}">
    <filterColumn colId="2">
      <filters>
        <filter val="DX-RX-4K60"/>
        <filter val="DX-RX-4K60-TAA"/>
      </filters>
    </filterColumn>
  </autoFilter>
  <sortState xmlns:xlrd2="http://schemas.microsoft.com/office/spreadsheetml/2017/richdata2" ref="A3:T299">
    <sortCondition ref="A2:A299"/>
  </sortState>
  <tableColumns count="20">
    <tableColumn id="1" xr3:uid="{208B8484-66DD-42FD-A72F-4C30472AB0A3}" name="SKU" dataDxfId="293"/>
    <tableColumn id="2" xr3:uid="{80FB7595-5E87-42F5-BBBB-37F7C4EDB25B}" name="Category" dataDxfId="292">
      <calculatedColumnFormula>(IF((VLOOKUP(Table2[[#This Row],[SKU]],'All Skus'!$A:$AC,2,FALSE))="AMX",(VLOOKUP(Table2[[#This Row],[SKU]],'All Skus'!$A:$AC,3,FALSE)),""))</calculatedColumnFormula>
    </tableColumn>
    <tableColumn id="3" xr3:uid="{CB2560DC-7D00-4214-A9BA-5661073E9ED4}" name="Model Number" dataDxfId="291">
      <calculatedColumnFormula>(IF((VLOOKUP(Table2[[#This Row],[SKU]],'All Skus'!$A:$AC,2,FALSE))="AMX",(VLOOKUP(Table2[[#This Row],[SKU]],'All Skus'!$A:$AC,4,FALSE)),""))</calculatedColumnFormula>
    </tableColumn>
    <tableColumn id="4" xr3:uid="{353E2657-9092-4B14-8118-C06589D765D7}" name="Material Group" dataDxfId="290">
      <calculatedColumnFormula>(IF((VLOOKUP(Table2[[#This Row],[SKU]],'All Skus'!$A:$AC,2,FALSE))="AMX",(VLOOKUP(Table2[[#This Row],[SKU]],'All Skus'!$A:$AC,5,FALSE)),""))</calculatedColumnFormula>
    </tableColumn>
    <tableColumn id="5" xr3:uid="{615C3511-80C5-4E4B-94DD-19739ED3E3E5}" name="Status" dataDxfId="289">
      <calculatedColumnFormula>(IF((VLOOKUP(Table2[[#This Row],[SKU]],'All Skus'!$A:$AC,2,FALSE))="AMX",(VLOOKUP(Table2[[#This Row],[SKU]],'All Skus'!$A:$AC,7,FALSE)),""))</calculatedColumnFormula>
    </tableColumn>
    <tableColumn id="6" xr3:uid="{C3DCDDAD-57FB-40AF-8F0D-EFDC9E10B10B}" name="Product Description Short" dataDxfId="288">
      <calculatedColumnFormula>(IF((VLOOKUP(Table2[[#This Row],[SKU]],'All Skus'!$A:$AC,2,FALSE))="AMX",(VLOOKUP(Table2[[#This Row],[SKU]],'All Skus'!$A:$AC,8,FALSE)),""))</calculatedColumnFormula>
    </tableColumn>
    <tableColumn id="7" xr3:uid="{453AB62A-1BE1-496E-93E6-3360E9129D8C}" name="Product Description Long" dataDxfId="287">
      <calculatedColumnFormula>(IF((VLOOKUP(Table2[[#This Row],[SKU]],'All Skus'!$A:$AC,2,FALSE))="AMX",(VLOOKUP(Table2[[#This Row],[SKU]],'All Skus'!$A:$AC,9,FALSE)),""))</calculatedColumnFormula>
    </tableColumn>
    <tableColumn id="13" xr3:uid="{09983D76-9D76-4171-B817-40280C47201C}" name="MSRP" dataDxfId="286" dataCellStyle="Currency">
      <calculatedColumnFormula>(IF((VLOOKUP(Table2[[#This Row],[SKU]],'All Skus'!$A:$AC,2,FALSE))="AMX",(VLOOKUP(Table2[[#This Row],[SKU]],'All Skus'!$A:$AC,10,FALSE)),""))</calculatedColumnFormula>
    </tableColumn>
    <tableColumn id="14" xr3:uid="{5D431C39-9F35-499D-9908-A7426D43B5E0}" name=" MAP" dataDxfId="285" dataCellStyle="Currency">
      <calculatedColumnFormula>(IF((VLOOKUP(Table2[[#This Row],[SKU]],'All Skus'!$A:$AC,2,FALSE))="AMX",(VLOOKUP(Table2[[#This Row],[SKU]],'All Skus'!$A:$AC,11,FALSE)),""))</calculatedColumnFormula>
    </tableColumn>
    <tableColumn id="16" xr3:uid="{F7F1FF96-8248-4527-83B9-665099580589}" name="Master Pack Qty" dataDxfId="284">
      <calculatedColumnFormula>(IF((VLOOKUP(Table2[[#This Row],[SKU]],'All Skus'!$A:$AC,2,FALSE))="AMX",(VLOOKUP(Table2[[#This Row],[SKU]],'All Skus'!$A:$AC,15,FALSE)),""))</calculatedColumnFormula>
    </tableColumn>
    <tableColumn id="17" xr3:uid="{086967F3-9E6A-480F-A667-FF9E17953882}" name="UPC" dataDxfId="283">
      <calculatedColumnFormula>(IF((VLOOKUP(Table2[[#This Row],[SKU]],'All Skus'!$A:$AC,2,FALSE))="AMX",(VLOOKUP(Table2[[#This Row],[SKU]],'All Skus'!$A:$AC,16,FALSE)),""))</calculatedColumnFormula>
    </tableColumn>
    <tableColumn id="18" xr3:uid="{D1A7A10D-D2BF-49EB-89A5-4755444EDDA7}" name="EAN" dataDxfId="282">
      <calculatedColumnFormula>(IF((VLOOKUP(Table2[[#This Row],[SKU]],'All Skus'!$A:$AC,2,FALSE))="AMX",(VLOOKUP(Table2[[#This Row],[SKU]],'All Skus'!$A:$AC,17,FALSE)),""))</calculatedColumnFormula>
    </tableColumn>
    <tableColumn id="19" xr3:uid="{4FD0ED79-B449-4793-96F7-9361655D7963}" name="WEIGHT (lb.)" dataDxfId="281">
      <calculatedColumnFormula>(IF((VLOOKUP(Table2[[#This Row],[SKU]],'All Skus'!$A:$AC,2,FALSE))="AMX",(VLOOKUP(Table2[[#This Row],[SKU]],'All Skus'!$A:$AC,18,FALSE)),""))</calculatedColumnFormula>
    </tableColumn>
    <tableColumn id="20" xr3:uid="{86477C04-F4D9-4CED-84A8-4DD7486258E4}" name="DIM L (in.)" dataDxfId="280">
      <calculatedColumnFormula>(IF((VLOOKUP(Table2[[#This Row],[SKU]],'All Skus'!$A:$AC,2,FALSE))="AMX",(VLOOKUP(Table2[[#This Row],[SKU]],'All Skus'!$A:$AC,19,FALSE)),""))</calculatedColumnFormula>
    </tableColumn>
    <tableColumn id="21" xr3:uid="{A594A180-F052-40B8-9E11-B8B0A7D339E6}" name="DIM W (in.)" dataDxfId="279">
      <calculatedColumnFormula>(IF((VLOOKUP(Table2[[#This Row],[SKU]],'All Skus'!$A:$AC,2,FALSE))="AMX",(VLOOKUP(Table2[[#This Row],[SKU]],'All Skus'!$A:$AC,20,FALSE)),""))</calculatedColumnFormula>
    </tableColumn>
    <tableColumn id="22" xr3:uid="{084876CB-010A-450E-86C9-1D0E314C0B5F}" name="DIM H (in.)" dataDxfId="278">
      <calculatedColumnFormula>(IF((VLOOKUP(Table2[[#This Row],[SKU]],'All Skus'!$A:$AC,2,FALSE))="AMX",(VLOOKUP(Table2[[#This Row],[SKU]],'All Skus'!$A:$AC,21,FALSE)),""))</calculatedColumnFormula>
    </tableColumn>
    <tableColumn id="23" xr3:uid="{FF823365-DDA1-450B-931A-B368289F7255}" name="COUNTRY OF ORIGIN" dataDxfId="277">
      <calculatedColumnFormula>(IF((VLOOKUP(Table2[[#This Row],[SKU]],'All Skus'!$A:$AC,2,FALSE))="AMX",(VLOOKUP(Table2[[#This Row],[SKU]],'All Skus'!$A:$AC,22,FALSE)),""))</calculatedColumnFormula>
    </tableColumn>
    <tableColumn id="24" xr3:uid="{6D4BCE32-8F32-4F02-BF78-653C02FA4FA6}" name="TAA Compliant" dataDxfId="276">
      <calculatedColumnFormula>(IF((VLOOKUP(Table2[[#This Row],[SKU]],'All Skus'!$A:$AC,2,FALSE))="AMX",(VLOOKUP(Table2[[#This Row],[SKU]],'All Skus'!$A:$AC,23,FALSE)),""))</calculatedColumnFormula>
    </tableColumn>
    <tableColumn id="25" xr3:uid="{0513579C-4ADA-40A1-9B12-9964F8285C4B}" name="LINK" dataDxfId="275" dataCellStyle="Hyperlink">
      <calculatedColumnFormula>HYPERLINK((IF((VLOOKUP(Table2[[#This Row],[SKU]],'All Skus'!$A:$AC,2,FALSE))="AMX",(VLOOKUP(Table2[[#This Row],[SKU]],'All Skus'!$A:$AC,24,FALSE)),"")))</calculatedColumnFormula>
    </tableColumn>
    <tableColumn id="8" xr3:uid="{F0F7F525-FE81-4ADF-B9D5-9C771773C3B5}" name="Row Sort Order" dataDxfId="274"/>
  </tableColumns>
  <tableStyleInfo name="TableStyleMedium8"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1D3C901-ACE5-46A2-9E9F-EA71C1AF8FB3}" name="Table3" displayName="Table3" ref="A2:U49" totalsRowShown="0" headerRowDxfId="273" dataDxfId="272">
  <autoFilter ref="A2:U49" xr:uid="{00000000-0009-0000-0000-000003000000}"/>
  <sortState xmlns:xlrd2="http://schemas.microsoft.com/office/spreadsheetml/2017/richdata2" ref="A3:U49">
    <sortCondition ref="U2:U49"/>
  </sortState>
  <tableColumns count="21">
    <tableColumn id="1" xr3:uid="{8357F2CE-FA06-46AC-8ADF-DA9074D8695F}" name="SKU" dataDxfId="271"/>
    <tableColumn id="2" xr3:uid="{9EF04298-A34E-47C7-8ED0-42E1AEAF90FA}" name="Category" dataDxfId="270">
      <calculatedColumnFormula>(IF((VLOOKUP(Table3[[#This Row],[SKU]],'All Skus'!$A:$AC,2,FALSE))="BSS",(VLOOKUP(Table3[[#This Row],[SKU]],'All Skus'!$A:$AC,3,FALSE)),""))</calculatedColumnFormula>
    </tableColumn>
    <tableColumn id="3" xr3:uid="{388D5BCA-387B-44BB-A6FB-A82DF0A13E93}" name="Model Number" dataDxfId="269">
      <calculatedColumnFormula>(IF((VLOOKUP(Table3[[#This Row],[SKU]],'All Skus'!$A:$AC,2,FALSE))="BSS",(VLOOKUP(Table3[[#This Row],[SKU]],'All Skus'!$A:$AC,4,FALSE)),""))</calculatedColumnFormula>
    </tableColumn>
    <tableColumn id="4" xr3:uid="{973AC4B2-41E4-4A60-B577-84B847C20363}" name="Material Group" dataDxfId="268">
      <calculatedColumnFormula>(IF((VLOOKUP(Table3[[#This Row],[SKU]],'All Skus'!$A:$AC,2,FALSE))="BSS",(VLOOKUP(Table3[[#This Row],[SKU]],'All Skus'!$A:$AC,5,FALSE)),""))</calculatedColumnFormula>
    </tableColumn>
    <tableColumn id="5" xr3:uid="{34593160-4297-49EC-8B37-CE2E9712940B}" name="Restricted from Internet" dataDxfId="267">
      <calculatedColumnFormula>(IF((VLOOKUP(Table3[[#This Row],[SKU]],'All Skus'!$A:$AC,2,FALSE))="BSS",(VLOOKUP(Table3[[#This Row],[SKU]],'All Skus'!$A:$AC,6,FALSE)),""))</calculatedColumnFormula>
    </tableColumn>
    <tableColumn id="6" xr3:uid="{E842163B-51D2-44A0-B33D-3EAEE4881621}" name="Status" dataDxfId="266">
      <calculatedColumnFormula>(IF((VLOOKUP(Table3[[#This Row],[SKU]],'All Skus'!$A:$AC,2,FALSE))="BSS",(VLOOKUP(Table3[[#This Row],[SKU]],'All Skus'!$A:$AC,7,FALSE)),""))</calculatedColumnFormula>
    </tableColumn>
    <tableColumn id="7" xr3:uid="{859764BF-89FF-440F-9AEE-3472BF564486}" name="Product Description Short" dataDxfId="265">
      <calculatedColumnFormula>(IF((VLOOKUP(Table3[[#This Row],[SKU]],'All Skus'!$A:$AC,2,FALSE))="BSS",(VLOOKUP(Table3[[#This Row],[SKU]],'All Skus'!$A:$AC,8,FALSE)),""))</calculatedColumnFormula>
    </tableColumn>
    <tableColumn id="8" xr3:uid="{3307CFCC-1AAB-4E77-B9B1-DA148DCAE548}" name="Product Description Long" dataDxfId="264">
      <calculatedColumnFormula>(IF((VLOOKUP(Table3[[#This Row],[SKU]],'All Skus'!$A:$AC,2,FALSE))="BSS",(VLOOKUP(Table3[[#This Row],[SKU]],'All Skus'!$A:$AC,9,FALSE)),""))</calculatedColumnFormula>
    </tableColumn>
    <tableColumn id="14" xr3:uid="{3AD28C78-AC48-4DC0-8D7F-C3611721A127}" name="MSRP" dataDxfId="263" dataCellStyle="Currency">
      <calculatedColumnFormula>(IF((VLOOKUP(Table3[[#This Row],[SKU]],'All Skus'!$A:$AC,2,FALSE))="BSS",(VLOOKUP(Table3[[#This Row],[SKU]],'All Skus'!$A:$AC,10,FALSE)),""))</calculatedColumnFormula>
    </tableColumn>
    <tableColumn id="15" xr3:uid="{92E7D625-DD38-4CE0-820F-AA5B33C754D6}" name="MAP" dataDxfId="262" dataCellStyle="Currency">
      <calculatedColumnFormula>(IF((VLOOKUP(Table3[[#This Row],[SKU]],'All Skus'!$A:$AC,2,FALSE))="BSS",(VLOOKUP(Table3[[#This Row],[SKU]],'All Skus'!$A:$AC,11,FALSE)),""))</calculatedColumnFormula>
    </tableColumn>
    <tableColumn id="17" xr3:uid="{A595FD36-9ABA-41C8-97F3-310CEC092731}" name="Master Pack Qty" dataDxfId="261">
      <calculatedColumnFormula>(IF((VLOOKUP(Table3[[#This Row],[SKU]],'All Skus'!$A:$AC,2,FALSE))="BSS",(VLOOKUP(Table3[[#This Row],[SKU]],'All Skus'!$A:$AC,15,FALSE)),""))</calculatedColumnFormula>
    </tableColumn>
    <tableColumn id="18" xr3:uid="{1E177628-C794-4B3C-848A-E9A0F532F2A0}" name="UPC" dataDxfId="260">
      <calculatedColumnFormula>(IF((VLOOKUP(Table3[[#This Row],[SKU]],'All Skus'!$A:$AC,2,FALSE))="BSS",(VLOOKUP(Table3[[#This Row],[SKU]],'All Skus'!$A:$AC,16,FALSE)),""))</calculatedColumnFormula>
    </tableColumn>
    <tableColumn id="19" xr3:uid="{603D4798-B5B2-4A43-8EE9-C7E467E712DE}" name="EAN" dataDxfId="259">
      <calculatedColumnFormula>(IF((VLOOKUP(Table3[[#This Row],[SKU]],'All Skus'!$A:$AC,2,FALSE))="BSS",(VLOOKUP(Table3[[#This Row],[SKU]],'All Skus'!$A:$AC,17,FALSE)),""))</calculatedColumnFormula>
    </tableColumn>
    <tableColumn id="20" xr3:uid="{E3382A95-594C-4E8E-ADA0-C115164948FC}" name="WEIGHT (lb.)" dataDxfId="258">
      <calculatedColumnFormula>(IF((VLOOKUP(Table3[[#This Row],[SKU]],'All Skus'!$A:$AC,2,FALSE))="BSS",(VLOOKUP(Table3[[#This Row],[SKU]],'All Skus'!$A:$AC,18,FALSE)),""))</calculatedColumnFormula>
    </tableColumn>
    <tableColumn id="21" xr3:uid="{523C8583-C776-4430-B760-086BC70931A1}" name="DIM L (in.)" dataDxfId="257">
      <calculatedColumnFormula>(IF((VLOOKUP(Table3[[#This Row],[SKU]],'All Skus'!$A:$AC,2,FALSE))="BSS",(VLOOKUP(Table3[[#This Row],[SKU]],'All Skus'!$A:$AC,19,FALSE)),""))</calculatedColumnFormula>
    </tableColumn>
    <tableColumn id="22" xr3:uid="{54503546-B0F6-4679-B99F-652E72546C07}" name="DIM W (in.)" dataDxfId="256">
      <calculatedColumnFormula>(IF((VLOOKUP(Table3[[#This Row],[SKU]],'All Skus'!$A:$AC,2,FALSE))="BSS",(VLOOKUP(Table3[[#This Row],[SKU]],'All Skus'!$A:$AC,20,FALSE)),""))</calculatedColumnFormula>
    </tableColumn>
    <tableColumn id="23" xr3:uid="{59FE0757-C0A0-4B1E-BD4E-447BBA32CD9C}" name="DIM H (in.)" dataDxfId="255">
      <calculatedColumnFormula>(IF((VLOOKUP(Table3[[#This Row],[SKU]],'All Skus'!$A:$AC,2,FALSE))="BSS",(VLOOKUP(Table3[[#This Row],[SKU]],'All Skus'!$A:$AC,21,FALSE)),""))</calculatedColumnFormula>
    </tableColumn>
    <tableColumn id="24" xr3:uid="{83C4617A-CF38-4BC4-B76B-749589D398A3}" name="COUNTRY OF ORIGIN" dataDxfId="254">
      <calculatedColumnFormula>(IF((VLOOKUP(Table3[[#This Row],[SKU]],'All Skus'!$A:$AC,2,FALSE))="BSS",(VLOOKUP(Table3[[#This Row],[SKU]],'All Skus'!$A:$AC,22,FALSE)),""))</calculatedColumnFormula>
    </tableColumn>
    <tableColumn id="25" xr3:uid="{56A79581-C36F-419E-8B64-FFC181D4AF76}" name="TAA Compliance" dataDxfId="253">
      <calculatedColumnFormula>(IF((VLOOKUP(Table3[[#This Row],[SKU]],'All Skus'!$A:$AC,2,FALSE))="BSS",(VLOOKUP(Table3[[#This Row],[SKU]],'All Skus'!$A:$AC,23,FALSE)),""))</calculatedColumnFormula>
    </tableColumn>
    <tableColumn id="26" xr3:uid="{E885FB69-C5B8-44F4-8010-6C421EE6DE71}" name="LINK" dataDxfId="252" dataCellStyle="Hyperlink">
      <calculatedColumnFormula>HYPERLINK((IF((VLOOKUP(Table3[[#This Row],[SKU]],'All Skus'!$A:$AC,2,FALSE))="BSS",(VLOOKUP(Table3[[#This Row],[SKU]],'All Skus'!$A:$AC,24,FALSE)),"")))</calculatedColumnFormula>
    </tableColumn>
    <tableColumn id="9" xr3:uid="{29F7F271-D27B-49DE-B53E-3EBC010F2B7D}" name="Row Sort Order" dataDxfId="251"/>
  </tableColumns>
  <tableStyleInfo name="TableStyleMedium8"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5BD7227-5496-403B-9570-7A763FC4D18B}" name="Table4" displayName="Table4" ref="A2:U91" totalsRowShown="0" headerRowDxfId="250" dataDxfId="249">
  <autoFilter ref="A2:U91" xr:uid="{00000000-0009-0000-0000-000004000000}"/>
  <tableColumns count="21">
    <tableColumn id="1" xr3:uid="{8F06A311-B25D-4E67-930B-DDE7C1000F0E}" name="SKU" dataDxfId="248"/>
    <tableColumn id="2" xr3:uid="{576C75B3-050B-4A03-A579-07F2C39F11F6}" name="Category" dataDxfId="247">
      <calculatedColumnFormula>(IF((VLOOKUP(Table4[[#This Row],[SKU]],'All Skus'!$A:$AC,2,FALSE))="Crown",(VLOOKUP(Table4[[#This Row],[SKU]],'All Skus'!$A:$AC,3,FALSE)),""))</calculatedColumnFormula>
    </tableColumn>
    <tableColumn id="3" xr3:uid="{27504BFC-FA8D-4AE4-82B4-28EC7781ADD7}" name="Model Number" dataDxfId="246">
      <calculatedColumnFormula>(IF((VLOOKUP(Table4[[#This Row],[SKU]],'All Skus'!$A:$AC,2,FALSE))="Crown",(VLOOKUP(Table4[[#This Row],[SKU]],'All Skus'!$A:$AC,4,FALSE)),""))</calculatedColumnFormula>
    </tableColumn>
    <tableColumn id="4" xr3:uid="{A6163F0C-9F77-43B8-9F11-49D9F1C6656C}" name="Material Group" dataDxfId="245">
      <calculatedColumnFormula>(IF((VLOOKUP(Table4[[#This Row],[SKU]],'All Skus'!$A:$AC,2,FALSE))="Crown",(VLOOKUP(Table4[[#This Row],[SKU]],'All Skus'!$A:$AC,5,FALSE)),""))</calculatedColumnFormula>
    </tableColumn>
    <tableColumn id="5" xr3:uid="{C639808E-EA74-4D2E-ABDE-F15E05448F77}" name="Restricted from Internet" dataDxfId="244">
      <calculatedColumnFormula>(IF((VLOOKUP(Table4[[#This Row],[SKU]],'All Skus'!$A:$AC,2,FALSE))="Crown",(VLOOKUP(Table4[[#This Row],[SKU]],'All Skus'!$A:$AC,6,FALSE)),""))</calculatedColumnFormula>
    </tableColumn>
    <tableColumn id="6" xr3:uid="{691ECB7C-B4BB-498E-8F25-F95D76A0BB0B}" name="Status" dataDxfId="243">
      <calculatedColumnFormula>(IF((VLOOKUP(Table4[[#This Row],[SKU]],'All Skus'!$A:$AC,2,FALSE))="Crown",(VLOOKUP(Table4[[#This Row],[SKU]],'All Skus'!$A:$AC,7,FALSE)),""))</calculatedColumnFormula>
    </tableColumn>
    <tableColumn id="7" xr3:uid="{60430BEA-D7B4-49AE-9EE4-7CE0949D995C}" name="Product Description Short" dataDxfId="242">
      <calculatedColumnFormula>(IF((VLOOKUP(Table4[[#This Row],[SKU]],'All Skus'!$A:$AC,2,FALSE))="Crown",(VLOOKUP(Table4[[#This Row],[SKU]],'All Skus'!$A:$AC,8,FALSE)),""))</calculatedColumnFormula>
    </tableColumn>
    <tableColumn id="8" xr3:uid="{B24F155A-5D83-48DA-A082-2068043C052B}" name="Product Description Long" dataDxfId="241">
      <calculatedColumnFormula>(IF((VLOOKUP(Table4[[#This Row],[SKU]],'All Skus'!$A:$AC,2,FALSE))="Crown",(VLOOKUP(Table4[[#This Row],[SKU]],'All Skus'!$A:$AC,9,FALSE)),""))</calculatedColumnFormula>
    </tableColumn>
    <tableColumn id="14" xr3:uid="{1FCCD686-E0EB-435D-8287-A519791B21AD}" name="MSRP" dataDxfId="240" dataCellStyle="Currency">
      <calculatedColumnFormula>(IF((VLOOKUP(Table4[[#This Row],[SKU]],'All Skus'!$A:$AC,2,FALSE))="Crown",(VLOOKUP(Table4[[#This Row],[SKU]],'All Skus'!$A:$AC,10,FALSE)),""))</calculatedColumnFormula>
    </tableColumn>
    <tableColumn id="15" xr3:uid="{E7572162-720A-4E85-904C-6FFBBEC612CE}" name="MAP" dataDxfId="239" dataCellStyle="Currency">
      <calculatedColumnFormula>(IF((VLOOKUP(Table4[[#This Row],[SKU]],'All Skus'!$A:$AC,2,FALSE))="Crown",(VLOOKUP(Table4[[#This Row],[SKU]],'All Skus'!$A:$AC,11,FALSE)),""))</calculatedColumnFormula>
    </tableColumn>
    <tableColumn id="17" xr3:uid="{CA343418-0D1F-46A5-8F55-86E283AA6F55}" name="Master Pack Qty" dataDxfId="238">
      <calculatedColumnFormula>(IF((VLOOKUP(Table4[[#This Row],[SKU]],'All Skus'!$A:$AC,2,FALSE))="Crown",(VLOOKUP(Table4[[#This Row],[SKU]],'All Skus'!$A:$AC,15,FALSE)),""))</calculatedColumnFormula>
    </tableColumn>
    <tableColumn id="18" xr3:uid="{18FA26C7-7501-49BD-BDB4-B4FF54C3F8F0}" name="UPC" dataDxfId="237">
      <calculatedColumnFormula>(IF((VLOOKUP(Table4[[#This Row],[SKU]],'All Skus'!$A:$AC,2,FALSE))="Crown",(VLOOKUP(Table4[[#This Row],[SKU]],'All Skus'!$A:$AC,16,FALSE)),""))</calculatedColumnFormula>
    </tableColumn>
    <tableColumn id="19" xr3:uid="{7900C7DA-7B94-4B1A-B811-C54115B638FC}" name="EAN" dataDxfId="236">
      <calculatedColumnFormula>(IF((VLOOKUP(Table4[[#This Row],[SKU]],'All Skus'!$A:$AC,2,FALSE))="Crown",(VLOOKUP(Table4[[#This Row],[SKU]],'All Skus'!$A:$AC,17,FALSE)),""))</calculatedColumnFormula>
    </tableColumn>
    <tableColumn id="20" xr3:uid="{61BDC84A-97EA-49DB-A69A-3F7A4D13D300}" name="WEIGHT (lb.)" dataDxfId="235">
      <calculatedColumnFormula>(IF((VLOOKUP(Table4[[#This Row],[SKU]],'All Skus'!$A:$AC,2,FALSE))="Crown",(VLOOKUP(Table4[[#This Row],[SKU]],'All Skus'!$A:$AC,18,FALSE)),""))</calculatedColumnFormula>
    </tableColumn>
    <tableColumn id="21" xr3:uid="{FACC49EA-3415-48F1-9F53-2297A473ABC1}" name="DIM L (in.)" dataDxfId="234">
      <calculatedColumnFormula>(IF((VLOOKUP(Table4[[#This Row],[SKU]],'All Skus'!$A:$AC,2,FALSE))="Crown",(VLOOKUP(Table4[[#This Row],[SKU]],'All Skus'!$A:$AC,19,FALSE)),""))</calculatedColumnFormula>
    </tableColumn>
    <tableColumn id="22" xr3:uid="{F68FEB5F-C3F3-47C0-A652-21E72A54179F}" name="DIM W (in.)" dataDxfId="233">
      <calculatedColumnFormula>(IF((VLOOKUP(Table4[[#This Row],[SKU]],'All Skus'!$A:$AC,2,FALSE))="Crown",(VLOOKUP(Table4[[#This Row],[SKU]],'All Skus'!$A:$AC,20,FALSE)),""))</calculatedColumnFormula>
    </tableColumn>
    <tableColumn id="23" xr3:uid="{0CB018E1-A213-4560-9C56-BDDD1D326047}" name="DIM H (in.)" dataDxfId="232">
      <calculatedColumnFormula>(IF((VLOOKUP(Table4[[#This Row],[SKU]],'All Skus'!$A:$AC,2,FALSE))="Crown",(VLOOKUP(Table4[[#This Row],[SKU]],'All Skus'!$A:$AC,21,FALSE)),""))</calculatedColumnFormula>
    </tableColumn>
    <tableColumn id="24" xr3:uid="{B5DFE91F-CB7E-47C3-BE43-3162A8BCE698}" name="COUNTRY OF ORIGIN" dataDxfId="231">
      <calculatedColumnFormula>(IF((VLOOKUP(Table4[[#This Row],[SKU]],'All Skus'!$A:$AC,2,FALSE))="Crown",(VLOOKUP(Table4[[#This Row],[SKU]],'All Skus'!$A:$AC,22,FALSE)),""))</calculatedColumnFormula>
    </tableColumn>
    <tableColumn id="25" xr3:uid="{15389CCD-7E2B-4682-8670-BD125C72C9D0}" name="TAA Compliance" dataDxfId="230">
      <calculatedColumnFormula>(IF((VLOOKUP(Table4[[#This Row],[SKU]],'All Skus'!$A:$AC,2,FALSE))="Crown",(VLOOKUP(Table4[[#This Row],[SKU]],'All Skus'!$A:$AC,23,FALSE)),""))</calculatedColumnFormula>
    </tableColumn>
    <tableColumn id="26" xr3:uid="{8D6E5C50-E8D6-4068-8E03-552617A95F8F}" name="LINK" dataDxfId="229" dataCellStyle="Hyperlink">
      <calculatedColumnFormula>HYPERLINK((IF((VLOOKUP(Table4[[#This Row],[SKU]],'All Skus'!$A:$AC,2,FALSE))="Crown",(VLOOKUP(Table4[[#This Row],[SKU]],'All Skus'!$A:$AC,24,FALSE)),"")))</calculatedColumnFormula>
    </tableColumn>
    <tableColumn id="9" xr3:uid="{41DEE94A-E228-4D19-BAA8-17C9F100E065}" name="Row Sort Order" dataDxfId="228"/>
  </tableColumns>
  <tableStyleInfo name="TableStyleMedium8"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2AE1097-5C00-4004-9495-E263716BEDBF}" name="Table5" displayName="Table5" ref="A2:U63" totalsRowShown="0" headerRowDxfId="227">
  <autoFilter ref="A2:U63" xr:uid="{D2AE1097-5C00-4004-9495-E263716BEDBF}"/>
  <tableColumns count="21">
    <tableColumn id="1" xr3:uid="{3549C7EC-33AD-4FA9-9A0B-3C65846B6655}" name="SKU" dataDxfId="226"/>
    <tableColumn id="2" xr3:uid="{D8F5CC83-88E8-42CF-AE44-4C6B7F20B666}" name="Category" dataDxfId="225">
      <calculatedColumnFormula>(IF((VLOOKUP(Table5[[#This Row],[SKU]],'All Skus'!$A:$AC,2,FALSE))="DBX",(VLOOKUP(Table5[[#This Row],[SKU]],'All Skus'!$A:$AC,3,FALSE)),""))</calculatedColumnFormula>
    </tableColumn>
    <tableColumn id="3" xr3:uid="{71825DD0-010B-4260-B54B-28220290ADB5}" name="Model Number" dataDxfId="224">
      <calculatedColumnFormula>(IF((VLOOKUP(Table5[[#This Row],[SKU]],'All Skus'!$A:$AC,2,FALSE))="DBX",(VLOOKUP(Table5[[#This Row],[SKU]],'All Skus'!$A:$AC,4,FALSE)),""))</calculatedColumnFormula>
    </tableColumn>
    <tableColumn id="4" xr3:uid="{471E33B2-CFBF-4615-8C9D-56706FCA5252}" name="Material Group">
      <calculatedColumnFormula>(IF((VLOOKUP(Table5[[#This Row],[SKU]],'All Skus'!$A:$AC,2,FALSE))="DBX",(VLOOKUP(Table5[[#This Row],[SKU]],'All Skus'!$A:$AC,5,FALSE)),""))</calculatedColumnFormula>
    </tableColumn>
    <tableColumn id="5" xr3:uid="{EC1BDD09-E349-4635-BBBC-1D0DD6707523}" name="Restricted from Internet" dataDxfId="223">
      <calculatedColumnFormula>(IF((VLOOKUP(Table5[[#This Row],[SKU]],'All Skus'!$A:$AC,2,FALSE))="DBX",(VLOOKUP(Table5[[#This Row],[SKU]],'All Skus'!$A:$AC,6,FALSE)),""))</calculatedColumnFormula>
    </tableColumn>
    <tableColumn id="6" xr3:uid="{68890A04-D4D0-44C9-8C67-6743F2FA5145}" name="Status">
      <calculatedColumnFormula>(IF((VLOOKUP(Table5[[#This Row],[SKU]],'All Skus'!$A:$AC,2,FALSE))="DBX",(VLOOKUP(Table5[[#This Row],[SKU]],'All Skus'!$A:$AC,7,FALSE)),""))</calculatedColumnFormula>
    </tableColumn>
    <tableColumn id="7" xr3:uid="{BEA6F27A-C116-42B3-90E5-7E9E19CB96B4}" name="Product Description Short" dataDxfId="222">
      <calculatedColumnFormula>(IF((VLOOKUP(Table5[[#This Row],[SKU]],'All Skus'!$A:$AC,2,FALSE))="DBX",(VLOOKUP(Table5[[#This Row],[SKU]],'All Skus'!$A:$AC,8,FALSE)),""))</calculatedColumnFormula>
    </tableColumn>
    <tableColumn id="8" xr3:uid="{5A9CB47A-BAA2-4083-8A53-FFB986B9D0EC}" name="Product Description Long" dataDxfId="221">
      <calculatedColumnFormula>(IF((VLOOKUP(Table5[[#This Row],[SKU]],'All Skus'!$A:$AC,2,FALSE))="DBX",(VLOOKUP(Table5[[#This Row],[SKU]],'All Skus'!$A:$AC,9,FALSE)),""))</calculatedColumnFormula>
    </tableColumn>
    <tableColumn id="14" xr3:uid="{A2D86075-D937-4105-B3F1-5CE8A4A4EECE}" name="MSRP" dataDxfId="220" dataCellStyle="Currency">
      <calculatedColumnFormula>(IF((VLOOKUP(Table5[[#This Row],[SKU]],'All Skus'!$A:$AC,2,FALSE))="DBX",(VLOOKUP(Table5[[#This Row],[SKU]],'All Skus'!$A:$AC,10,FALSE)),""))</calculatedColumnFormula>
    </tableColumn>
    <tableColumn id="15" xr3:uid="{938616EB-D788-4D65-B158-F441A0B2FC34}" name="MAP" dataDxfId="219" dataCellStyle="Currency">
      <calculatedColumnFormula>(IF((VLOOKUP(Table5[[#This Row],[SKU]],'All Skus'!$A:$AC,2,FALSE))="DBX",(VLOOKUP(Table5[[#This Row],[SKU]],'All Skus'!$A:$AC,11,FALSE)),""))</calculatedColumnFormula>
    </tableColumn>
    <tableColumn id="17" xr3:uid="{6E8E2973-2865-4F25-AFFB-BA26505E3298}" name="Master Pack Qty" dataDxfId="218">
      <calculatedColumnFormula>(IF((VLOOKUP(Table5[[#This Row],[SKU]],'All Skus'!$A:$AC,2,FALSE))="DBX",(VLOOKUP(Table5[[#This Row],[SKU]],'All Skus'!$A:$AC,15,FALSE)),""))</calculatedColumnFormula>
    </tableColumn>
    <tableColumn id="18" xr3:uid="{94755AF3-C554-4373-A029-411620302418}" name="UPC" dataDxfId="217">
      <calculatedColumnFormula>(IF((VLOOKUP(Table5[[#This Row],[SKU]],'All Skus'!$A:$AC,2,FALSE))="DBX",(VLOOKUP(Table5[[#This Row],[SKU]],'All Skus'!$A:$AC,16,FALSE)),""))</calculatedColumnFormula>
    </tableColumn>
    <tableColumn id="19" xr3:uid="{D8633AE4-9E1B-4DAB-AE28-897E7E05E830}" name="EAN" dataDxfId="216">
      <calculatedColumnFormula>(IF((VLOOKUP(Table5[[#This Row],[SKU]],'All Skus'!$A:$AC,2,FALSE))="DBX",(VLOOKUP(Table5[[#This Row],[SKU]],'All Skus'!$A:$AC,17,FALSE)),""))</calculatedColumnFormula>
    </tableColumn>
    <tableColumn id="20" xr3:uid="{4042B982-5D21-40FB-88A9-97C343570382}" name="WEIGHT (lb.)" dataDxfId="215">
      <calculatedColumnFormula>(IF((VLOOKUP(Table5[[#This Row],[SKU]],'All Skus'!$A:$AC,2,FALSE))="DBX",(VLOOKUP(Table5[[#This Row],[SKU]],'All Skus'!$A:$AC,18,FALSE)),""))</calculatedColumnFormula>
    </tableColumn>
    <tableColumn id="21" xr3:uid="{D92134AF-AADB-480C-B4CD-65B34BE9B93B}" name="DIM L (in.)" dataDxfId="214">
      <calculatedColumnFormula>(IF((VLOOKUP(Table5[[#This Row],[SKU]],'All Skus'!$A:$AC,2,FALSE))="DBX",(VLOOKUP(Table5[[#This Row],[SKU]],'All Skus'!$A:$AC,19,FALSE)),""))</calculatedColumnFormula>
    </tableColumn>
    <tableColumn id="22" xr3:uid="{E132D863-9829-455F-9315-9677D0900D40}" name="DIM W (in.)" dataDxfId="213">
      <calculatedColumnFormula>(IF((VLOOKUP(Table5[[#This Row],[SKU]],'All Skus'!$A:$AC,2,FALSE))="DBX",(VLOOKUP(Table5[[#This Row],[SKU]],'All Skus'!$A:$AC,20,FALSE)),""))</calculatedColumnFormula>
    </tableColumn>
    <tableColumn id="23" xr3:uid="{173449D9-347A-4EED-8805-06B1AF893521}" name="DIM H (in.)" dataDxfId="212">
      <calculatedColumnFormula>(IF((VLOOKUP(Table5[[#This Row],[SKU]],'All Skus'!$A:$AC,2,FALSE))="DBX",(VLOOKUP(Table5[[#This Row],[SKU]],'All Skus'!$A:$AC,21,FALSE)),""))</calculatedColumnFormula>
    </tableColumn>
    <tableColumn id="24" xr3:uid="{07AED272-75D8-4691-B4A7-1115C1CD80EE}" name="COUNTRY OF ORIGIN" dataDxfId="211">
      <calculatedColumnFormula>(IF((VLOOKUP(Table5[[#This Row],[SKU]],'All Skus'!$A:$AC,2,FALSE))="DBX",(VLOOKUP(Table5[[#This Row],[SKU]],'All Skus'!$A:$AC,22,FALSE)),""))</calculatedColumnFormula>
    </tableColumn>
    <tableColumn id="25" xr3:uid="{8A488C1D-02F7-4329-B404-F9FD5751F09F}" name="TAA Compliant">
      <calculatedColumnFormula>(IF((VLOOKUP(Table5[[#This Row],[SKU]],'All Skus'!$A:$AC,2,FALSE))="DBX",(VLOOKUP(Table5[[#This Row],[SKU]],'All Skus'!$A:$AC,23,FALSE)),""))</calculatedColumnFormula>
    </tableColumn>
    <tableColumn id="26" xr3:uid="{7425F75C-2A83-491A-9EF7-810A5D6BE89E}" name="LINK" dataDxfId="210" dataCellStyle="Hyperlink">
      <calculatedColumnFormula>HYPERLINK((IF((VLOOKUP(Table5[[#This Row],[SKU]],'All Skus'!$A:$AC,2,FALSE))="DBX",(VLOOKUP(Table5[[#This Row],[SKU]],'All Skus'!$A:$AC,24,FALSE)),"")))</calculatedColumnFormula>
    </tableColumn>
    <tableColumn id="9" xr3:uid="{B5B661D0-7FBB-420A-AD05-A41970A276F0}" name="Row Sort Order"/>
  </tableColumns>
  <tableStyleInfo name="TableStyleMedium8"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473BD34-88EB-4F5B-B132-84541337D83F}" name="Table6" displayName="Table6" ref="A2:W868" totalsRowShown="0" headerRowDxfId="209" dataDxfId="208">
  <autoFilter ref="A2:W868" xr:uid="{00000000-0001-0000-0600-000000000000}">
    <filterColumn colId="2">
      <filters>
        <filter val="CONTROL 24C"/>
        <filter val="CONTROL 24C MICRO"/>
        <filter val="CONTROL 24CT"/>
        <filter val="CONTROL 24CT MICRO"/>
      </filters>
    </filterColumn>
  </autoFilter>
  <tableColumns count="23">
    <tableColumn id="1" xr3:uid="{BBF149B9-D436-44D9-B225-4001B13A00BC}" name="SKU" dataDxfId="207"/>
    <tableColumn id="2" xr3:uid="{4DB99347-1D84-47AE-BAE0-57F9BFFC1F7B}" name="Category" dataDxfId="206">
      <calculatedColumnFormula>(IF((VLOOKUP(Table6[[#This Row],[SKU]],'All Skus'!$A:$AC,2,FALSE))="JBL",(VLOOKUP(Table6[[#This Row],[SKU]],'All Skus'!$A:$AC,3,FALSE)),""))</calculatedColumnFormula>
    </tableColumn>
    <tableColumn id="3" xr3:uid="{9011F5AE-CA78-4501-AAF8-DE59B109BFC6}" name="Model Number" dataDxfId="205">
      <calculatedColumnFormula>(IF((VLOOKUP(Table6[[#This Row],[SKU]],'All Skus'!$A:$AC,2,FALSE))="JBL",(VLOOKUP(Table6[[#This Row],[SKU]],'All Skus'!$A:$AC,4,FALSE)),""))</calculatedColumnFormula>
    </tableColumn>
    <tableColumn id="4" xr3:uid="{D16EDE4A-2BDB-4F28-BA1A-7D46ACA1362D}" name="Material Group" dataDxfId="204">
      <calculatedColumnFormula>(IF((VLOOKUP(Table6[[#This Row],[SKU]],'All Skus'!$A:$AC,2,FALSE))="JBL",(VLOOKUP(Table6[[#This Row],[SKU]],'All Skus'!$A:$AC,5,FALSE)),""))</calculatedColumnFormula>
    </tableColumn>
    <tableColumn id="5" xr3:uid="{9A7A5BA1-DE22-4BC0-B180-CDBB42235286}" name="Restricted from Internet" dataDxfId="203">
      <calculatedColumnFormula>(IF((VLOOKUP(Table6[[#This Row],[SKU]],'All Skus'!$A:$AC,2,FALSE))="JBL",(VLOOKUP(Table6[[#This Row],[SKU]],'All Skus'!$A:$AC,6,FALSE)),""))</calculatedColumnFormula>
    </tableColumn>
    <tableColumn id="6" xr3:uid="{293F624A-7779-4AC9-823B-015E0D7B4690}" name="Status" dataDxfId="202">
      <calculatedColumnFormula>(IF((VLOOKUP(Table6[[#This Row],[SKU]],'All Skus'!$A:$AC,2,FALSE))="JBL",(VLOOKUP(Table6[[#This Row],[SKU]],'All Skus'!$A:$AC,7,FALSE)),""))</calculatedColumnFormula>
    </tableColumn>
    <tableColumn id="7" xr3:uid="{7D51963E-E699-47B0-8523-8785800D01F3}" name="Product Description Short" dataDxfId="201">
      <calculatedColumnFormula>(IF((VLOOKUP(Table6[[#This Row],[SKU]],'All Skus'!$A:$AC,2,FALSE))="JBL",(VLOOKUP(Table6[[#This Row],[SKU]],'All Skus'!$A:$AC,8,FALSE)),""))</calculatedColumnFormula>
    </tableColumn>
    <tableColumn id="8" xr3:uid="{A841A466-01FB-4916-A67F-EF71FD487977}" name="Product Description Long" dataDxfId="200">
      <calculatedColumnFormula>(IF((VLOOKUP(Table6[[#This Row],[SKU]],'All Skus'!$A:$AC,2,FALSE))="JBL",(VLOOKUP(Table6[[#This Row],[SKU]],'All Skus'!$A:$AC,9,FALSE)),""))</calculatedColumnFormula>
    </tableColumn>
    <tableColumn id="14" xr3:uid="{127B5D86-AA93-4FF9-9D23-F7589C68C2F8}" name="MSRP" dataDxfId="199" dataCellStyle="Currency">
      <calculatedColumnFormula>(IF((VLOOKUP(Table6[[#This Row],[SKU]],'All Skus'!$A:$AC,2,FALSE))="JBL",(VLOOKUP(Table6[[#This Row],[SKU]],'All Skus'!$A:$AC,10,FALSE)),""))</calculatedColumnFormula>
    </tableColumn>
    <tableColumn id="15" xr3:uid="{02F3E0D6-0D51-4A00-A1A1-96643C28ED0B}" name="MAP" dataDxfId="198" dataCellStyle="Currency">
      <calculatedColumnFormula>(IF((VLOOKUP(Table6[[#This Row],[SKU]],'All Skus'!$A:$AC,2,FALSE))="JBL",(VLOOKUP(Table6[[#This Row],[SKU]],'All Skus'!$A:$AC,11,FALSE)),""))</calculatedColumnFormula>
    </tableColumn>
    <tableColumn id="17" xr3:uid="{2A9CD9CF-3442-481E-AF9C-99C9C553CD2C}" name="&quot;US Dealer_x000a_100-249pcs*&quot; " dataDxfId="197" dataCellStyle="Currency">
      <calculatedColumnFormula>(IF((VLOOKUP(Table6[[#This Row],[SKU]],'All Skus'!$A:$AC,2,FALSE))="JBL",(VLOOKUP(Table6[[#This Row],[SKU]],'All Skus'!$A:$AC,13,FALSE)),""))</calculatedColumnFormula>
    </tableColumn>
    <tableColumn id="18" xr3:uid="{F4B6908B-2010-4364-AAA2-68F15AA08854}" name="US Dealer_x000a_250+ pcs*" dataDxfId="196" dataCellStyle="Currency">
      <calculatedColumnFormula>(IF((VLOOKUP(Table6[[#This Row],[SKU]],'All Skus'!$A:$AC,2,FALSE))="JBL",(VLOOKUP(Table6[[#This Row],[SKU]],'All Skus'!$A:$AC,14,FALSE)),""))</calculatedColumnFormula>
    </tableColumn>
    <tableColumn id="19" xr3:uid="{29B6FF19-9246-4A2F-962C-97094D4EB38E}" name="Master Pack Qty" dataDxfId="195">
      <calculatedColumnFormula>(IF((VLOOKUP(Table6[[#This Row],[SKU]],'All Skus'!$A:$AC,2,FALSE))="JBL",(VLOOKUP(Table6[[#This Row],[SKU]],'All Skus'!$A:$AC,15,FALSE)),""))</calculatedColumnFormula>
    </tableColumn>
    <tableColumn id="20" xr3:uid="{CB115FCC-FF45-4DF5-BD48-2C332A596817}" name="UPC" dataDxfId="194">
      <calculatedColumnFormula>(IF((VLOOKUP(Table6[[#This Row],[SKU]],'All Skus'!$A:$AC,2,FALSE))="JBL",(VLOOKUP(Table6[[#This Row],[SKU]],'All Skus'!$A:$AC,16,FALSE)),""))</calculatedColumnFormula>
    </tableColumn>
    <tableColumn id="21" xr3:uid="{E6E7A77F-E417-4286-BA23-72B0490B407B}" name="EAN" dataDxfId="193">
      <calculatedColumnFormula>(IF((VLOOKUP(Table6[[#This Row],[SKU]],'All Skus'!$A:$AC,2,FALSE))="JBL",(VLOOKUP(Table6[[#This Row],[SKU]],'All Skus'!$A:$AC,17,FALSE)),""))</calculatedColumnFormula>
    </tableColumn>
    <tableColumn id="22" xr3:uid="{2CBB272A-6499-4EF0-BBA6-B68C0F644D80}" name="WEIGHT (lb.)" dataDxfId="192">
      <calculatedColumnFormula>(IF((VLOOKUP(Table6[[#This Row],[SKU]],'All Skus'!$A:$AC,2,FALSE))="JBL",(VLOOKUP(Table6[[#This Row],[SKU]],'All Skus'!$A:$AC,18,FALSE)),""))</calculatedColumnFormula>
    </tableColumn>
    <tableColumn id="23" xr3:uid="{CC49A302-D0C9-4E9D-B47E-314A391F5B56}" name="DIM L (in.)" dataDxfId="191">
      <calculatedColumnFormula>(IF((VLOOKUP(Table6[[#This Row],[SKU]],'All Skus'!$A:$AC,2,FALSE))="JBL",(VLOOKUP(Table6[[#This Row],[SKU]],'All Skus'!$A:$AC,19,FALSE)),""))</calculatedColumnFormula>
    </tableColumn>
    <tableColumn id="24" xr3:uid="{D4169807-F917-4B38-A4B4-1CAD0C8C372F}" name="DIM W (in.)" dataDxfId="190">
      <calculatedColumnFormula>(IF((VLOOKUP(Table6[[#This Row],[SKU]],'All Skus'!$A:$AC,2,FALSE))="JBL",(VLOOKUP(Table6[[#This Row],[SKU]],'All Skus'!$A:$AC,20,FALSE)),""))</calculatedColumnFormula>
    </tableColumn>
    <tableColumn id="25" xr3:uid="{CB92BC02-958A-42B0-BEC1-0B9B4A5F0E1F}" name="DIM H (in.)" dataDxfId="189">
      <calculatedColumnFormula>(IF((VLOOKUP(Table6[[#This Row],[SKU]],'All Skus'!$A:$AC,2,FALSE))="JBL",(VLOOKUP(Table6[[#This Row],[SKU]],'All Skus'!$A:$AC,21,FALSE)),""))</calculatedColumnFormula>
    </tableColumn>
    <tableColumn id="26" xr3:uid="{509D5EF2-D161-4AD4-95D0-BF65E6F408EB}" name="COUNTRY OF ORIGIN" dataDxfId="188">
      <calculatedColumnFormula>(IF((VLOOKUP(Table6[[#This Row],[SKU]],'All Skus'!$A:$AC,2,FALSE))="JBL",(VLOOKUP(Table6[[#This Row],[SKU]],'All Skus'!$A:$AC,22,FALSE)),""))</calculatedColumnFormula>
    </tableColumn>
    <tableColumn id="27" xr3:uid="{B14FA787-7F3F-41A7-8A73-C2E453C0D6A4}" name="TAA Compliant" dataDxfId="187">
      <calculatedColumnFormula>(IF((VLOOKUP(Table6[[#This Row],[SKU]],'All Skus'!$A:$AC,2,FALSE))="JBL",(VLOOKUP(Table6[[#This Row],[SKU]],'All Skus'!$A:$AC,23,FALSE)),""))</calculatedColumnFormula>
    </tableColumn>
    <tableColumn id="28" xr3:uid="{038C3A63-E094-48BE-A8F5-CD9FFDDCF925}" name="LINK" dataDxfId="186" dataCellStyle="Hyperlink">
      <calculatedColumnFormula>HYPERLINK((IF((VLOOKUP(Table6[[#This Row],[SKU]],'All Skus'!$A:$AC,2,FALSE))="JBL",(VLOOKUP(Table6[[#This Row],[SKU]],'All Skus'!$A:$AC,24,FALSE)),"")))</calculatedColumnFormula>
    </tableColumn>
    <tableColumn id="9" xr3:uid="{06A46C75-4C17-43D5-B059-CCDF68CFC3BC}" name="Row Sort Order" dataDxfId="185"/>
  </tableColumns>
  <tableStyleInfo name="TableStyleMedium8"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81291FD-E4C6-4086-AF4E-977225D74AD8}" name="Table7" displayName="Table7" ref="A2:V26" totalsRowShown="0" headerRowDxfId="184">
  <autoFilter ref="A2:V26" xr:uid="{00000000-0009-0000-0000-000007000000}"/>
  <tableColumns count="22">
    <tableColumn id="1" xr3:uid="{C12B4884-AA54-44A1-BB3C-9E5B3590218F}" name="SKU" dataDxfId="183"/>
    <tableColumn id="2" xr3:uid="{68EBCAC1-DD85-46B9-901E-468DA4C948EF}" name="Category" dataDxfId="182">
      <calculatedColumnFormula>(VLOOKUP(Table7[[#This Row],[SKU]],'All Skus'!$A:$AC,3,FALSE))</calculatedColumnFormula>
    </tableColumn>
    <tableColumn id="3" xr3:uid="{9E37727A-AD94-48F0-A405-5F876B7B01F9}" name="Model Number" dataDxfId="181">
      <calculatedColumnFormula>(VLOOKUP(Table7[[#This Row],[SKU]],'All Skus'!$A:$AC,4,FALSE))</calculatedColumnFormula>
    </tableColumn>
    <tableColumn id="4" xr3:uid="{C505CF90-E133-4160-B81F-F429ADFF00C2}" name="Material Group" dataDxfId="180">
      <calculatedColumnFormula>(VLOOKUP(Table7[[#This Row],[SKU]],'All Skus'!$A:$AC,5,FALSE))</calculatedColumnFormula>
    </tableColumn>
    <tableColumn id="5" xr3:uid="{B7AFDF0E-61CD-4583-8352-5FF7F2E30062}" name="Restricted from Internet" dataDxfId="179">
      <calculatedColumnFormula>(VLOOKUP(Table7[[#This Row],[SKU]],'All Skus'!$A:$AC,6,FALSE))</calculatedColumnFormula>
    </tableColumn>
    <tableColumn id="6" xr3:uid="{1BF7CE6A-8179-40EA-8DCC-75A54AC7F54E}" name="Status" dataDxfId="178">
      <calculatedColumnFormula>(VLOOKUP(Table7[[#This Row],[SKU]],'All Skus'!$A:$AC,7,FALSE))</calculatedColumnFormula>
    </tableColumn>
    <tableColumn id="7" xr3:uid="{FB147C2D-D098-4ACE-92AE-3ED35CC40757}" name="Product Description Short" dataDxfId="177">
      <calculatedColumnFormula>(VLOOKUP(Table7[[#This Row],[SKU]],'All Skus'!$A:$AC,8,FALSE))</calculatedColumnFormula>
    </tableColumn>
    <tableColumn id="8" xr3:uid="{3787BE16-A85B-4D7F-8317-07AB3E86C668}" name="Product Description Long" dataDxfId="176">
      <calculatedColumnFormula>(VLOOKUP(Table7[[#This Row],[SKU]],'All Skus'!$A:$AC,9,FALSE))</calculatedColumnFormula>
    </tableColumn>
    <tableColumn id="14" xr3:uid="{2ABE86BA-4C5C-4752-9B2F-D74A6288C3AA}" name="MSRP" dataDxfId="175" dataCellStyle="Currency">
      <calculatedColumnFormula>(VLOOKUP(Table7[[#This Row],[SKU]],'All Skus'!$A:$AC,10,FALSE))</calculatedColumnFormula>
    </tableColumn>
    <tableColumn id="15" xr3:uid="{9711C03F-FFFE-4377-A363-4EE70CAB9C1B}" name="MAP" dataDxfId="174" dataCellStyle="Currency">
      <calculatedColumnFormula>(VLOOKUP(Table7[[#This Row],[SKU]],'All Skus'!$A:$AC,11,FALSE))</calculatedColumnFormula>
    </tableColumn>
    <tableColumn id="17" xr3:uid="{D560DE58-F6AA-4EB4-A4C4-16143948BBCA}" name="&quot;US Dealer_x000a_100-249pcs*&quot; " dataDxfId="173" dataCellStyle="Currency">
      <calculatedColumnFormula>(VLOOKUP(Table7[[#This Row],[SKU]],'All Skus'!$A:$AC,13,FALSE))</calculatedColumnFormula>
    </tableColumn>
    <tableColumn id="18" xr3:uid="{BF264762-D1C2-4488-A711-A34896377FBB}" name="US Dealer_x000a_250+ pcs*" dataDxfId="172" dataCellStyle="Currency">
      <calculatedColumnFormula>(VLOOKUP(Table7[[#This Row],[SKU]],'All Skus'!$A:$AC,14,FALSE))</calculatedColumnFormula>
    </tableColumn>
    <tableColumn id="19" xr3:uid="{F3C429F5-076F-4501-BD86-8DE7A8897F48}" name="Master Pack Qty" dataDxfId="171">
      <calculatedColumnFormula>(VLOOKUP(Table7[[#This Row],[SKU]],'All Skus'!$A:$AC,15,FALSE))</calculatedColumnFormula>
    </tableColumn>
    <tableColumn id="20" xr3:uid="{F5D97A3E-798A-4F0B-8E01-F34F3AFB9670}" name="UPC" dataDxfId="170">
      <calculatedColumnFormula>(VLOOKUP(Table7[[#This Row],[SKU]],'All Skus'!$A:$AC,16,FALSE))</calculatedColumnFormula>
    </tableColumn>
    <tableColumn id="21" xr3:uid="{DF87D117-1C77-4D79-BD5C-F44BB3F3B385}" name="EAN" dataDxfId="169">
      <calculatedColumnFormula>(VLOOKUP(Table7[[#This Row],[SKU]],'All Skus'!$A:$AC,17,FALSE))</calculatedColumnFormula>
    </tableColumn>
    <tableColumn id="22" xr3:uid="{78C78C64-D5A7-4F92-88EA-17CC7AAD541A}" name="WEIGHT (lb.)" dataDxfId="168">
      <calculatedColumnFormula>(VLOOKUP(Table7[[#This Row],[SKU]],'All Skus'!$A:$AC,18,FALSE))</calculatedColumnFormula>
    </tableColumn>
    <tableColumn id="23" xr3:uid="{7359FEBF-F9CE-48A2-8048-E0D7A2F6FDCF}" name="DIM L (in.)" dataDxfId="167">
      <calculatedColumnFormula>(VLOOKUP(Table7[[#This Row],[SKU]],'All Skus'!$A:$AC,19,FALSE))</calculatedColumnFormula>
    </tableColumn>
    <tableColumn id="24" xr3:uid="{6F5B9788-1D7D-4CDC-925F-31A8F19C802E}" name="DIM W (in.)" dataDxfId="166">
      <calculatedColumnFormula>(VLOOKUP(Table7[[#This Row],[SKU]],'All Skus'!$A:$AC,20,FALSE))</calculatedColumnFormula>
    </tableColumn>
    <tableColumn id="25" xr3:uid="{9093B15E-F74B-4DF7-B760-CC268CF2DA0D}" name="DIM H (in.)" dataDxfId="165">
      <calculatedColumnFormula>(VLOOKUP(Table7[[#This Row],[SKU]],'All Skus'!$A:$AC,21,FALSE))</calculatedColumnFormula>
    </tableColumn>
    <tableColumn id="26" xr3:uid="{A803AB60-CC7B-4AE4-816A-27DC62D68E53}" name="COUNTRY OF ORIGIN" dataDxfId="164" dataCellStyle="Currency">
      <calculatedColumnFormula>(VLOOKUP(Table7[[#This Row],[SKU]],'All Skus'!$A:$AC,22,FALSE))</calculatedColumnFormula>
    </tableColumn>
    <tableColumn id="27" xr3:uid="{2717C3E3-6DD7-48A8-99FE-22FEDA083AD5}" name="LINK" dataDxfId="163" dataCellStyle="Hyperlink">
      <calculatedColumnFormula>HYPERLINK(((VLOOKUP(Table7[[#This Row],[SKU]],'All Skus'!$A:$AC,24,FALSE))))</calculatedColumnFormula>
    </tableColumn>
    <tableColumn id="9" xr3:uid="{D29EFD15-9354-488D-8EB6-E9775E832A00}" name="Row Sort Order" dataDxfId="162"/>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1F6920FC-9BF5-47CD-B717-367B10398251}" name="Table8" displayName="Table8" ref="A2:U60" totalsRowShown="0" headerRowDxfId="161">
  <autoFilter ref="A2:U60" xr:uid="{1F6920FC-9BF5-47CD-B717-367B10398251}"/>
  <tableColumns count="21">
    <tableColumn id="1" xr3:uid="{00C6AF69-D031-45F7-89D5-C1588A5C87C3}" name="SKU" dataDxfId="160"/>
    <tableColumn id="2" xr3:uid="{6B68A579-BBF3-40AC-AB52-9B95CCDE3288}" name="Category" dataDxfId="159">
      <calculatedColumnFormula>(IF((VLOOKUP(Table8[[#This Row],[SKU]],'All Skus'!$A:$AC,2,FALSE))="Cinema",(VLOOKUP(Table8[[#This Row],[SKU]],'All Skus'!$A:$AC,3,FALSE)),""))</calculatedColumnFormula>
    </tableColumn>
    <tableColumn id="3" xr3:uid="{3E337D71-56D1-4234-B7C6-FC24DBEC1055}" name="Model Number" dataDxfId="158">
      <calculatedColumnFormula>(IF((VLOOKUP(Table8[[#This Row],[SKU]],'All Skus'!$A:$AC,2,FALSE))="Cinema",(VLOOKUP(Table8[[#This Row],[SKU]],'All Skus'!$A:$AC,4,FALSE)),""))</calculatedColumnFormula>
    </tableColumn>
    <tableColumn id="4" xr3:uid="{EA5153E0-D0C6-4FC0-BF47-51A339277941}" name="Material Group" dataDxfId="157">
      <calculatedColumnFormula>(IF((VLOOKUP(Table8[[#This Row],[SKU]],'All Skus'!$A:$AC,2,FALSE))="Cinema",(VLOOKUP(Table8[[#This Row],[SKU]],'All Skus'!$A:$AC,5,FALSE)),""))</calculatedColumnFormula>
    </tableColumn>
    <tableColumn id="5" xr3:uid="{0EB851B0-7209-4F5F-B76B-95553868F1C1}" name="Restricted From Internet" dataDxfId="156">
      <calculatedColumnFormula>(IF((VLOOKUP(Table8[[#This Row],[SKU]],'All Skus'!$A:$AC,2,FALSE))="Cinema",(VLOOKUP(Table8[[#This Row],[SKU]],'All Skus'!$A:$AC,6,FALSE)),""))</calculatedColumnFormula>
    </tableColumn>
    <tableColumn id="6" xr3:uid="{85D92C59-771D-40EE-8EBE-97EC27B4C81A}" name="Status">
      <calculatedColumnFormula>(IF((VLOOKUP(Table8[[#This Row],[SKU]],'All Skus'!$A:$AC,2,FALSE))="Cinema",(VLOOKUP(Table8[[#This Row],[SKU]],'All Skus'!$A:$AC,7,FALSE)),""))</calculatedColumnFormula>
    </tableColumn>
    <tableColumn id="7" xr3:uid="{8D447CD8-A6C5-4403-A5D8-6B42FEE9B400}" name="Product Description Short" dataDxfId="155">
      <calculatedColumnFormula>(IF((VLOOKUP(Table8[[#This Row],[SKU]],'All Skus'!$A:$AC,2,FALSE))="Cinema",(VLOOKUP(Table8[[#This Row],[SKU]],'All Skus'!$A:$AC,8,FALSE)),""))</calculatedColumnFormula>
    </tableColumn>
    <tableColumn id="8" xr3:uid="{1139D34E-DAD3-4B9F-8016-CFA5B7B75A63}" name="Product Description Long" dataDxfId="154">
      <calculatedColumnFormula>(IF((VLOOKUP(Table8[[#This Row],[SKU]],'All Skus'!$A:$AC,2,FALSE))="Cinema",(VLOOKUP(Table8[[#This Row],[SKU]],'All Skus'!$A:$AC,9,FALSE)),""))</calculatedColumnFormula>
    </tableColumn>
    <tableColumn id="14" xr3:uid="{0B9EB371-8012-48C9-8384-4E5F8BC83AE8}" name="MSRP" dataDxfId="153" dataCellStyle="Currency">
      <calculatedColumnFormula>(IF((VLOOKUP(Table8[[#This Row],[SKU]],'All Skus'!$A:$AC,2,FALSE))="Cinema",(VLOOKUP(Table8[[#This Row],[SKU]],'All Skus'!$A:$AC,10,FALSE)),""))</calculatedColumnFormula>
    </tableColumn>
    <tableColumn id="15" xr3:uid="{90B02B08-B7D1-42D0-876B-05074B19342A}" name="MAP" dataDxfId="152" dataCellStyle="Currency">
      <calculatedColumnFormula>(IF((VLOOKUP(Table8[[#This Row],[SKU]],'All Skus'!$A:$AC,2,FALSE))="Cinema",(VLOOKUP(Table8[[#This Row],[SKU]],'All Skus'!$A:$AC,11,FALSE)),""))</calculatedColumnFormula>
    </tableColumn>
    <tableColumn id="17" xr3:uid="{E509917B-42E3-417F-BB39-A1EA5FC44B77}" name="Master Pack Qty" dataDxfId="151">
      <calculatedColumnFormula>(IF((VLOOKUP(Table8[[#This Row],[SKU]],'All Skus'!$A:$AC,2,FALSE))="Cinema",(VLOOKUP(Table8[[#This Row],[SKU]],'All Skus'!$A:$AC,15,FALSE)),""))</calculatedColumnFormula>
    </tableColumn>
    <tableColumn id="18" xr3:uid="{1A4B244F-1F4B-4435-9E03-171F66129003}" name="UPC" dataDxfId="150">
      <calculatedColumnFormula>(IF((VLOOKUP(Table8[[#This Row],[SKU]],'All Skus'!$A:$AC,2,FALSE))="Cinema",(VLOOKUP(Table8[[#This Row],[SKU]],'All Skus'!$A:$AC,16,FALSE)),""))</calculatedColumnFormula>
    </tableColumn>
    <tableColumn id="19" xr3:uid="{5F3F69B9-FB48-4EA3-A66A-D49C103703E3}" name="EAN" dataDxfId="149">
      <calculatedColumnFormula>(IF((VLOOKUP(Table8[[#This Row],[SKU]],'All Skus'!$A:$AC,2,FALSE))="Cinema",(VLOOKUP(Table8[[#This Row],[SKU]],'All Skus'!$A:$AC,17,FALSE)),""))</calculatedColumnFormula>
    </tableColumn>
    <tableColumn id="20" xr3:uid="{D85C6DA1-618F-4715-AF0B-68816DB1F401}" name="WEIGHT (lb.)" dataDxfId="148">
      <calculatedColumnFormula>(IF((VLOOKUP(Table8[[#This Row],[SKU]],'All Skus'!$A:$AC,2,FALSE))="Cinema",(VLOOKUP(Table8[[#This Row],[SKU]],'All Skus'!$A:$AC,18,FALSE)),""))</calculatedColumnFormula>
    </tableColumn>
    <tableColumn id="21" xr3:uid="{59D28FCB-C295-4848-A754-D5AF65C08BF3}" name="DIM L (in.)" dataDxfId="147">
      <calculatedColumnFormula>(IF((VLOOKUP(Table8[[#This Row],[SKU]],'All Skus'!$A:$AC,2,FALSE))="Cinema",(VLOOKUP(Table8[[#This Row],[SKU]],'All Skus'!$A:$AC,19,FALSE)),""))</calculatedColumnFormula>
    </tableColumn>
    <tableColumn id="22" xr3:uid="{1F448D53-594D-44CB-AA98-92B98EC0CA0E}" name="DIM W (in.)" dataDxfId="146">
      <calculatedColumnFormula>(IF((VLOOKUP(Table8[[#This Row],[SKU]],'All Skus'!$A:$AC,2,FALSE))="Cinema",(VLOOKUP(Table8[[#This Row],[SKU]],'All Skus'!$A:$AC,20,FALSE)),""))</calculatedColumnFormula>
    </tableColumn>
    <tableColumn id="23" xr3:uid="{9198F9E0-79A4-430A-A3AF-2BE96F3475FE}" name="DIM H (in.)" dataDxfId="145">
      <calculatedColumnFormula>(IF((VLOOKUP(Table8[[#This Row],[SKU]],'All Skus'!$A:$AC,2,FALSE))="Cinema",(VLOOKUP(Table8[[#This Row],[SKU]],'All Skus'!$A:$AC,21,FALSE)),""))</calculatedColumnFormula>
    </tableColumn>
    <tableColumn id="24" xr3:uid="{B0F77BF8-6CDD-4E4E-BE6B-28DE9D879F0C}" name="COUNTRY OF ORIGIN" dataDxfId="144">
      <calculatedColumnFormula>(IF((VLOOKUP(Table8[[#This Row],[SKU]],'All Skus'!$A:$AC,2,FALSE))="Cinema",(VLOOKUP(Table8[[#This Row],[SKU]],'All Skus'!$A:$AC,22,FALSE)),""))</calculatedColumnFormula>
    </tableColumn>
    <tableColumn id="25" xr3:uid="{09765255-9464-4975-AB9B-AF6F8ABC96C2}" name="TAA Compliant">
      <calculatedColumnFormula>(IF((VLOOKUP(Table8[[#This Row],[SKU]],'All Skus'!$A:$AC,2,FALSE))="Cinema",(VLOOKUP(Table8[[#This Row],[SKU]],'All Skus'!$A:$AC,23,FALSE)),""))</calculatedColumnFormula>
    </tableColumn>
    <tableColumn id="26" xr3:uid="{0BE32EC5-09A2-4698-8FC6-F21731DF9770}" name="LINK" dataDxfId="143" dataCellStyle="Hyperlink">
      <calculatedColumnFormula>HYPERLINK((IF((VLOOKUP(Table8[[#This Row],[SKU]],'All Skus'!$A:$AC,2,FALSE))="Cinema",(VLOOKUP(Table8[[#This Row],[SKU]],'All Skus'!$A:$AC,24,FALSE)),"")))</calculatedColumnFormula>
    </tableColumn>
    <tableColumn id="9" xr3:uid="{A59D66A5-D953-409B-980F-5096C1DD9695}" name="Row Sort Order"/>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7445C3E-2A67-48CE-83D8-EA2281D3253D}" name="Table9" displayName="Table9" ref="A2:U14" totalsRowShown="0" headerRowDxfId="142" dataDxfId="141">
  <autoFilter ref="A2:U14" xr:uid="{07445C3E-2A67-48CE-83D8-EA2281D3253D}"/>
  <tableColumns count="21">
    <tableColumn id="1" xr3:uid="{7518E8BD-2F13-452A-81DC-C765200E212A}" name="SKU" dataDxfId="140"/>
    <tableColumn id="2" xr3:uid="{0A94E28A-9821-40C4-B6D6-B7FF3A6DD2CF}" name="Category" dataDxfId="139">
      <calculatedColumnFormula>(IF((VLOOKUP(Table9[[#This Row],[SKU]],'All Skus'!$A:$AC,2,FALSE))="Lexicon",(VLOOKUP(Table9[[#This Row],[SKU]],'All Skus'!$A:$AC,3,FALSE)),""))</calculatedColumnFormula>
    </tableColumn>
    <tableColumn id="3" xr3:uid="{72FB621D-28CE-48D2-A51F-737C86061B43}" name="Model Number" dataDxfId="138">
      <calculatedColumnFormula>(IF((VLOOKUP(Table9[[#This Row],[SKU]],'All Skus'!$A:$AC,2,FALSE))="Lexicon",(VLOOKUP(Table9[[#This Row],[SKU]],'All Skus'!$A:$AC,4,FALSE)),""))</calculatedColumnFormula>
    </tableColumn>
    <tableColumn id="4" xr3:uid="{04E3B2D2-45B3-4D75-A4EE-F330B2799FF3}" name="Material Group" dataDxfId="137">
      <calculatedColumnFormula>(IF((VLOOKUP(Table9[[#This Row],[SKU]],'All Skus'!$A:$AC,2,FALSE))="Lexicon",(VLOOKUP(Table9[[#This Row],[SKU]],'All Skus'!$A:$AC,5,FALSE)),""))</calculatedColumnFormula>
    </tableColumn>
    <tableColumn id="5" xr3:uid="{D21EBC73-7E0A-400A-B36B-4CA75317B780}" name="Restricted from Internet" dataDxfId="136">
      <calculatedColumnFormula>(IF((VLOOKUP(Table9[[#This Row],[SKU]],'All Skus'!$A:$AC,2,FALSE))="Lexicon",(VLOOKUP(Table9[[#This Row],[SKU]],'All Skus'!$A:$AC,6,FALSE)),""))</calculatedColumnFormula>
    </tableColumn>
    <tableColumn id="6" xr3:uid="{4CDF56DB-F24C-4AA9-B410-9E6E6994715A}" name="Status" dataDxfId="135">
      <calculatedColumnFormula>(IF((VLOOKUP(Table9[[#This Row],[SKU]],'All Skus'!$A:$AC,2,FALSE))="Lexicon",(VLOOKUP(Table9[[#This Row],[SKU]],'All Skus'!$A:$AC,7,FALSE)),""))</calculatedColumnFormula>
    </tableColumn>
    <tableColumn id="7" xr3:uid="{1B8EC59F-5179-4B0F-83AE-6DD008730113}" name="Product Description Short" dataDxfId="134">
      <calculatedColumnFormula>(IF((VLOOKUP(Table9[[#This Row],[SKU]],'All Skus'!$A:$AC,2,FALSE))="Lexicon",(VLOOKUP(Table9[[#This Row],[SKU]],'All Skus'!$A:$AC,8,FALSE)),""))</calculatedColumnFormula>
    </tableColumn>
    <tableColumn id="8" xr3:uid="{0129C47C-D354-456C-8866-30AF688AE62D}" name="Product Description Long" dataDxfId="133">
      <calculatedColumnFormula>(IF((VLOOKUP(Table9[[#This Row],[SKU]],'All Skus'!$A:$AC,2,FALSE))="Lexicon",(VLOOKUP(Table9[[#This Row],[SKU]],'All Skus'!$A:$AC,9,FALSE)),""))</calculatedColumnFormula>
    </tableColumn>
    <tableColumn id="14" xr3:uid="{80AFD78F-BEAC-40F4-853B-A3467B67CF66}" name="MSRP" dataDxfId="132" dataCellStyle="Currency">
      <calculatedColumnFormula>(IF((VLOOKUP(Table9[[#This Row],[SKU]],'All Skus'!$A:$AC,2,FALSE))="Lexicon",(VLOOKUP(Table9[[#This Row],[SKU]],'All Skus'!$A:$AC,10,FALSE)),""))</calculatedColumnFormula>
    </tableColumn>
    <tableColumn id="15" xr3:uid="{417C0B45-A815-49E6-8E8F-EBE6675F95F8}" name="MAP" dataDxfId="131" dataCellStyle="Currency">
      <calculatedColumnFormula>(IF((VLOOKUP(Table9[[#This Row],[SKU]],'All Skus'!$A:$AC,2,FALSE))="Lexicon",(VLOOKUP(Table9[[#This Row],[SKU]],'All Skus'!$A:$AC,11,FALSE)),""))</calculatedColumnFormula>
    </tableColumn>
    <tableColumn id="17" xr3:uid="{1A2C6E83-0425-4095-B24C-FD08623D123F}" name="Master Pack Qty" dataDxfId="130">
      <calculatedColumnFormula>(IF((VLOOKUP(Table9[[#This Row],[SKU]],'All Skus'!$A:$AC,2,FALSE))="Lexicon",(VLOOKUP(Table9[[#This Row],[SKU]],'All Skus'!$A:$AC,15,FALSE)),""))</calculatedColumnFormula>
    </tableColumn>
    <tableColumn id="18" xr3:uid="{8F50F5D7-B796-4ACB-A374-09C21F35E9D5}" name="UPC" dataDxfId="129">
      <calculatedColumnFormula>(IF((VLOOKUP(Table9[[#This Row],[SKU]],'All Skus'!$A:$AC,2,FALSE))="Lexicon",(VLOOKUP(Table9[[#This Row],[SKU]],'All Skus'!$A:$AC,16,FALSE)),""))</calculatedColumnFormula>
    </tableColumn>
    <tableColumn id="19" xr3:uid="{A1EC4545-9530-4B20-BBB1-8550FD2E66A6}" name="EAN" dataDxfId="128">
      <calculatedColumnFormula>(IF((VLOOKUP(Table9[[#This Row],[SKU]],'All Skus'!$A:$AC,2,FALSE))="Lexicon",(VLOOKUP(Table9[[#This Row],[SKU]],'All Skus'!$A:$AC,17,FALSE)),""))</calculatedColumnFormula>
    </tableColumn>
    <tableColumn id="20" xr3:uid="{02E1BBAC-7900-44CE-8042-C18CFD01F641}" name="WEIGHT (lb.)" dataDxfId="127">
      <calculatedColumnFormula>(IF((VLOOKUP(Table9[[#This Row],[SKU]],'All Skus'!$A:$AC,2,FALSE))="Lexicon",(VLOOKUP(Table9[[#This Row],[SKU]],'All Skus'!$A:$AC,18,FALSE)),""))</calculatedColumnFormula>
    </tableColumn>
    <tableColumn id="21" xr3:uid="{8366F29F-A984-44B6-9924-A34A794AA63A}" name="DIM L (in.)" dataDxfId="126">
      <calculatedColumnFormula>(IF((VLOOKUP(Table9[[#This Row],[SKU]],'All Skus'!$A:$AC,2,FALSE))="Lexicon",(VLOOKUP(Table9[[#This Row],[SKU]],'All Skus'!$A:$AC,19,FALSE)),""))</calculatedColumnFormula>
    </tableColumn>
    <tableColumn id="22" xr3:uid="{3E6483EF-E803-487E-865E-593674AF56D2}" name="DIM W (in.)" dataDxfId="125">
      <calculatedColumnFormula>(IF((VLOOKUP(Table9[[#This Row],[SKU]],'All Skus'!$A:$AC,2,FALSE))="Lexicon",(VLOOKUP(Table9[[#This Row],[SKU]],'All Skus'!$A:$AC,20,FALSE)),""))</calculatedColumnFormula>
    </tableColumn>
    <tableColumn id="23" xr3:uid="{8C1B1515-D5D6-44D2-ADC8-B524F2BE00AC}" name="DIM H (in.)" dataDxfId="124">
      <calculatedColumnFormula>(IF((VLOOKUP(Table9[[#This Row],[SKU]],'All Skus'!$A:$AC,2,FALSE))="Lexicon",(VLOOKUP(Table9[[#This Row],[SKU]],'All Skus'!$A:$AC,21,FALSE)),""))</calculatedColumnFormula>
    </tableColumn>
    <tableColumn id="24" xr3:uid="{5D95744B-706C-4781-BED8-84E262374E57}" name="COUNTRY OF ORIGIN" dataDxfId="123">
      <calculatedColumnFormula>(IF((VLOOKUP(Table9[[#This Row],[SKU]],'All Skus'!$A:$AC,2,FALSE))="Lexicon",(VLOOKUP(Table9[[#This Row],[SKU]],'All Skus'!$A:$AC,22,FALSE)),""))</calculatedColumnFormula>
    </tableColumn>
    <tableColumn id="25" xr3:uid="{9DE51942-9B72-4346-9028-DE8CDFF30C48}" name="TAA Compliant" dataDxfId="122">
      <calculatedColumnFormula>(IF((VLOOKUP(Table9[[#This Row],[SKU]],'All Skus'!$A:$AC,2,FALSE))="Lexicon",(VLOOKUP(Table9[[#This Row],[SKU]],'All Skus'!$A:$AC,23,FALSE)),""))</calculatedColumnFormula>
    </tableColumn>
    <tableColumn id="26" xr3:uid="{08898286-819F-4CFB-835B-02800E6AE3D2}" name="LINK" dataDxfId="121" dataCellStyle="Hyperlink">
      <calculatedColumnFormula>HYPERLINK((IF((VLOOKUP(Table9[[#This Row],[SKU]],'All Skus'!$A:$AC,2,FALSE))="Lexicon",(VLOOKUP(Table9[[#This Row],[SKU]],'All Skus'!$A:$AC,24,FALSE)),"")))</calculatedColumnFormula>
    </tableColumn>
    <tableColumn id="9" xr3:uid="{1AD9E789-A2E0-4262-BC2B-DB639266DBB8}" name="Row Sort Order" dataDxfId="120"/>
  </tableColumns>
  <tableStyleInfo name="TableStyleMedium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8.bin"/><Relationship Id="rId1" Type="http://schemas.openxmlformats.org/officeDocument/2006/relationships/printerSettings" Target="../printerSettings/printerSettings10.bin"/><Relationship Id="rId4" Type="http://schemas.openxmlformats.org/officeDocument/2006/relationships/table" Target="../tables/table9.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9.bin"/><Relationship Id="rId1" Type="http://schemas.openxmlformats.org/officeDocument/2006/relationships/printerSettings" Target="../printerSettings/printerSettings11.bin"/><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3.xml"/><Relationship Id="rId3" Type="http://schemas.openxmlformats.org/officeDocument/2006/relationships/hyperlink" Target="mailto:John.Lewis@harman.com" TargetMode="External"/><Relationship Id="rId7" Type="http://schemas.openxmlformats.org/officeDocument/2006/relationships/printerSettings" Target="../printerSettings/printerSettings13.bin"/><Relationship Id="rId2" Type="http://schemas.openxmlformats.org/officeDocument/2006/relationships/hyperlink" Target="mailto:Miranda.Hull@harman.com" TargetMode="External"/><Relationship Id="rId1" Type="http://schemas.openxmlformats.org/officeDocument/2006/relationships/hyperlink" Target="mailto:HFAdmin@harman.com" TargetMode="External"/><Relationship Id="rId6" Type="http://schemas.openxmlformats.org/officeDocument/2006/relationships/hyperlink" Target="mailto:HProCinema@harman.com" TargetMode="External"/><Relationship Id="rId5" Type="http://schemas.openxmlformats.org/officeDocument/2006/relationships/hyperlink" Target="mailto:HProReturns@harman.com" TargetMode="External"/><Relationship Id="rId4" Type="http://schemas.openxmlformats.org/officeDocument/2006/relationships/hyperlink" Target="mailto:mailtohprospecialordersusa@harman.com"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mailto:Cristina.Rodriguez@harman.com" TargetMode="External"/><Relationship Id="rId3" Type="http://schemas.openxmlformats.org/officeDocument/2006/relationships/hyperlink" Target="mailto:HProPartsUSA@harman.com" TargetMode="External"/><Relationship Id="rId7" Type="http://schemas.openxmlformats.org/officeDocument/2006/relationships/hyperlink" Target="mailto:HProWarrantyClaims@harman.com" TargetMode="External"/><Relationship Id="rId12" Type="http://schemas.openxmlformats.org/officeDocument/2006/relationships/drawing" Target="../drawings/drawing14.xml"/><Relationship Id="rId2" Type="http://schemas.openxmlformats.org/officeDocument/2006/relationships/hyperlink" Target="mailto:HProTechSupportUSA@Harman.com" TargetMode="External"/><Relationship Id="rId1" Type="http://schemas.openxmlformats.org/officeDocument/2006/relationships/hyperlink" Target="mailto:HProServiceUSA@harman.com" TargetMode="External"/><Relationship Id="rId6" Type="http://schemas.openxmlformats.org/officeDocument/2006/relationships/hyperlink" Target="mailto:Sam.Hood@harman.com" TargetMode="External"/><Relationship Id="rId11" Type="http://schemas.openxmlformats.org/officeDocument/2006/relationships/customProperty" Target="../customProperty11.bin"/><Relationship Id="rId5" Type="http://schemas.openxmlformats.org/officeDocument/2006/relationships/hyperlink" Target="mailto:Dave.Fata@harman.com" TargetMode="External"/><Relationship Id="rId10" Type="http://schemas.openxmlformats.org/officeDocument/2006/relationships/customProperty" Target="../customProperty10.bin"/><Relationship Id="rId4" Type="http://schemas.openxmlformats.org/officeDocument/2006/relationships/hyperlink" Target="mailto:Cristina.Rodriguez@harman.com"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mailto:Scott.Anderson@Harman.com" TargetMode="External"/><Relationship Id="rId2" Type="http://schemas.openxmlformats.org/officeDocument/2006/relationships/hyperlink" Target="mailto:Brandon.Robbins@harman.com" TargetMode="External"/><Relationship Id="rId1" Type="http://schemas.openxmlformats.org/officeDocument/2006/relationships/hyperlink" Target="mailto:Ethan.Aberg@harman.com" TargetMode="External"/><Relationship Id="rId6" Type="http://schemas.openxmlformats.org/officeDocument/2006/relationships/drawing" Target="../drawings/drawing16.xml"/><Relationship Id="rId5" Type="http://schemas.openxmlformats.org/officeDocument/2006/relationships/printerSettings" Target="../printerSettings/printerSettings16.bin"/><Relationship Id="rId4" Type="http://schemas.openxmlformats.org/officeDocument/2006/relationships/hyperlink" Target="mailto:Jim.Fuller@Harman.com" TargetMode="Externa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17" Type="http://schemas.openxmlformats.org/officeDocument/2006/relationships/hyperlink" Target="https://www.akg.com/Microphones/Boundary%20Layer%20Microphones/CBL201.html?dwvar_CBL201_color=Black-GLOBAL-Current" TargetMode="External"/><Relationship Id="rId21" Type="http://schemas.openxmlformats.org/officeDocument/2006/relationships/hyperlink" Target="https://www.akg.com/Microphones/Condenser%20Microphones/C5.html" TargetMode="External"/><Relationship Id="rId63" Type="http://schemas.openxmlformats.org/officeDocument/2006/relationships/hyperlink" Target="https://www.akg.com/Microphones/Speech%20%2F%20Spoken%20Word%20Microphones/LC81MDgroup.html?dwvar_LC81MDgroup_color=Black-GLOBAL-Current" TargetMode="External"/><Relationship Id="rId159" Type="http://schemas.openxmlformats.org/officeDocument/2006/relationships/hyperlink" Target="https://www.akg.com/Microphones/Microphone%20Accessories/6500H00350.html" TargetMode="External"/><Relationship Id="rId170" Type="http://schemas.openxmlformats.org/officeDocument/2006/relationships/hyperlink" Target="https://www.akg.com/Microphones/Microphone%20Accessories/6000H05710.html" TargetMode="External"/><Relationship Id="rId226" Type="http://schemas.openxmlformats.org/officeDocument/2006/relationships/hyperlink" Target="https://www.akg.com/Wireless/wireless-components/3309H00370.html" TargetMode="External"/><Relationship Id="rId268" Type="http://schemas.openxmlformats.org/officeDocument/2006/relationships/hyperlink" Target="https://www.akg.com/Wireless/Wireless%20Accessories/CU400.html" TargetMode="External"/><Relationship Id="rId32" Type="http://schemas.openxmlformats.org/officeDocument/2006/relationships/hyperlink" Target="https://www.akg.com/Microphones/Condenser%20Microphones/C411PP.html" TargetMode="External"/><Relationship Id="rId74" Type="http://schemas.openxmlformats.org/officeDocument/2006/relationships/hyperlink" Target="https://au.akg.com/modular-microphones-components/GN30.html?dwvar_GN30_color=Grey-GLOBAL-Current" TargetMode="External"/><Relationship Id="rId128" Type="http://schemas.openxmlformats.org/officeDocument/2006/relationships/hyperlink" Target="https://www.akg.com/Microphones/Boundary%20Layer%20Microphones/3331H00010.html" TargetMode="External"/><Relationship Id="rId5" Type="http://schemas.openxmlformats.org/officeDocument/2006/relationships/hyperlink" Target="https://www.akg.com/Microphones/Tube%20Microphones/P820tube.html" TargetMode="External"/><Relationship Id="rId95" Type="http://schemas.openxmlformats.org/officeDocument/2006/relationships/hyperlink" Target="https://www.akg.com/Microphones/Microphone%20Accessories/2967H00020.html" TargetMode="External"/><Relationship Id="rId160" Type="http://schemas.openxmlformats.org/officeDocument/2006/relationships/hyperlink" Target="https://www.akg.com/Microphones/Microphone%20Accessories/6500H00360.html" TargetMode="External"/><Relationship Id="rId181" Type="http://schemas.openxmlformats.org/officeDocument/2006/relationships/hyperlink" Target="https://www.akg.com/Microphones/Microphone%20Accessories/6500H00480.html" TargetMode="External"/><Relationship Id="rId216" Type="http://schemas.openxmlformats.org/officeDocument/2006/relationships/hyperlink" Target="https://www.akg.com/Wireless/wireless-components/3302H00170.html" TargetMode="External"/><Relationship Id="rId237" Type="http://schemas.openxmlformats.org/officeDocument/2006/relationships/hyperlink" Target="https://www.akg.com/Wireless/wireless-components/3382H00100.html" TargetMode="External"/><Relationship Id="rId258" Type="http://schemas.openxmlformats.org/officeDocument/2006/relationships/hyperlink" Target="https://www.akg.com/Wireless/Antennas%20%2F%20Antenna%20Components/SRA2EW.html?dwvar_SRA2EW_color=Black-GLOBAL-Current" TargetMode="External"/><Relationship Id="rId22" Type="http://schemas.openxmlformats.org/officeDocument/2006/relationships/hyperlink" Target="https://www.akg.com/Microphones/Condenser%20Microphones/C7.html" TargetMode="External"/><Relationship Id="rId43" Type="http://schemas.openxmlformats.org/officeDocument/2006/relationships/hyperlink" Target="https://www.akg.com/Microphones/Dynamic%20Microphones/D12VR.html" TargetMode="External"/><Relationship Id="rId64" Type="http://schemas.openxmlformats.org/officeDocument/2006/relationships/hyperlink" Target="https://www.akg.com/Microphones/Headset%20Microphones/3242H00030.html" TargetMode="External"/><Relationship Id="rId118" Type="http://schemas.openxmlformats.org/officeDocument/2006/relationships/hyperlink" Target="https://www.akg.com/Microphones/Boundary%20Layer%20Microphones/3322H00010.html" TargetMode="External"/><Relationship Id="rId139" Type="http://schemas.openxmlformats.org/officeDocument/2006/relationships/hyperlink" Target="https://www.akg.com/Integrated_Systems/conference-system-components/CS3TC.html?dwvar_CS3TC_color=Black-GLOBAL-Current" TargetMode="External"/><Relationship Id="rId85" Type="http://schemas.openxmlformats.org/officeDocument/2006/relationships/hyperlink" Target="https://www.akg.com/Microphones/modular-microphones-components/2965H00110.html" TargetMode="External"/><Relationship Id="rId150" Type="http://schemas.openxmlformats.org/officeDocument/2006/relationships/hyperlink" Target="https://www.akg.com/Integrated_Systems/conference-system-components/3361H00240.html" TargetMode="External"/><Relationship Id="rId171" Type="http://schemas.openxmlformats.org/officeDocument/2006/relationships/hyperlink" Target="https://www.akg.com/Microphones/Microphone%20Accessories/6500H00590.html" TargetMode="External"/><Relationship Id="rId192" Type="http://schemas.openxmlformats.org/officeDocument/2006/relationships/hyperlink" Target="https://www.akg.com/wireless/microfones-wireless/3347X00130.html" TargetMode="External"/><Relationship Id="rId206" Type="http://schemas.openxmlformats.org/officeDocument/2006/relationships/hyperlink" Target="http://www.akg.com/pro/p/wms420headwornset" TargetMode="External"/><Relationship Id="rId227" Type="http://schemas.openxmlformats.org/officeDocument/2006/relationships/hyperlink" Target="https://www.akg.com/Wireless/wireless-components/3309H00380.html" TargetMode="External"/><Relationship Id="rId248" Type="http://schemas.openxmlformats.org/officeDocument/2006/relationships/hyperlink" Target="https://www.akg.com/Wireless/Wireless%20Accessories/3082X00020.html" TargetMode="External"/><Relationship Id="rId269" Type="http://schemas.openxmlformats.org/officeDocument/2006/relationships/hyperlink" Target="https://www.akg.com/Microphones/Microphone%20Accessories/6500H00520.html" TargetMode="External"/><Relationship Id="rId12" Type="http://schemas.openxmlformats.org/officeDocument/2006/relationships/hyperlink" Target="https://www.akg.com/Microphones/Condenser%20Microphones/C451B.html" TargetMode="External"/><Relationship Id="rId33" Type="http://schemas.openxmlformats.org/officeDocument/2006/relationships/hyperlink" Target="https://www.akg.com/Microphones/Condenser%20Microphones/C411L.html" TargetMode="External"/><Relationship Id="rId108" Type="http://schemas.openxmlformats.org/officeDocument/2006/relationships/hyperlink" Target="https://www.akg.com/Microphones/Microphone%20Accessories/3165H00160.html" TargetMode="External"/><Relationship Id="rId129" Type="http://schemas.openxmlformats.org/officeDocument/2006/relationships/hyperlink" Target="https://www.akg.com/Microphones/Boundary%20Layer%20Microphones/3329H00010.html" TargetMode="External"/><Relationship Id="rId54" Type="http://schemas.openxmlformats.org/officeDocument/2006/relationships/hyperlink" Target="https://www.akg.com/Microphones/Speech%20%2F%20Spoken%20Word%20Microphones/2577X00080.html" TargetMode="External"/><Relationship Id="rId75" Type="http://schemas.openxmlformats.org/officeDocument/2006/relationships/hyperlink" Target="https://au.akg.com/modular-microphones-components/3165H00090.html" TargetMode="External"/><Relationship Id="rId96" Type="http://schemas.openxmlformats.org/officeDocument/2006/relationships/hyperlink" Target="https://www.akg.com/Microphones/Microphone%20Accessories/2966H00040.html" TargetMode="External"/><Relationship Id="rId140" Type="http://schemas.openxmlformats.org/officeDocument/2006/relationships/hyperlink" Target="https://www.akg.com/cs3-system.html?dwvar_CS3System_color=Black-GLOBAL-Current" TargetMode="External"/><Relationship Id="rId161" Type="http://schemas.openxmlformats.org/officeDocument/2006/relationships/hyperlink" Target="https://www.akg.com/Microphones/Microphone%20Accessories/6500H00370.html" TargetMode="External"/><Relationship Id="rId182" Type="http://schemas.openxmlformats.org/officeDocument/2006/relationships/hyperlink" Target="https://www.akg.com/microlite-series.html" TargetMode="External"/><Relationship Id="rId217" Type="http://schemas.openxmlformats.org/officeDocument/2006/relationships/hyperlink" Target="https://www.akg.com/Wireless/wireless-components/3302H00180.html" TargetMode="External"/><Relationship Id="rId6" Type="http://schemas.openxmlformats.org/officeDocument/2006/relationships/hyperlink" Target="https://www.akg.com/Microphones/Condenser%20Microphones/C1000_S.html" TargetMode="External"/><Relationship Id="rId238" Type="http://schemas.openxmlformats.org/officeDocument/2006/relationships/hyperlink" Target="https://www.akg.com/Wireless/wireless-components/3381H00100.html" TargetMode="External"/><Relationship Id="rId259" Type="http://schemas.openxmlformats.org/officeDocument/2006/relationships/hyperlink" Target="https://jblpro.com/products/col800" TargetMode="External"/><Relationship Id="rId23" Type="http://schemas.openxmlformats.org/officeDocument/2006/relationships/hyperlink" Target="https://www.akg.com/Microphones/Condenser%20Microphones/3439X00020.html" TargetMode="External"/><Relationship Id="rId119" Type="http://schemas.openxmlformats.org/officeDocument/2006/relationships/hyperlink" Target="https://www.akg.com/Microphones/Boundary%20Layer%20Microphones/3328H00010.html" TargetMode="External"/><Relationship Id="rId270" Type="http://schemas.openxmlformats.org/officeDocument/2006/relationships/hyperlink" Target="https://www.akg.com/Microphones/Microphone%20Accessories/6500H00530.html" TargetMode="External"/><Relationship Id="rId44" Type="http://schemas.openxmlformats.org/officeDocument/2006/relationships/hyperlink" Target="https://www.akg.com/Microphones/Drum%20Microphone%20Bundles/DrumsetSessionI.html" TargetMode="External"/><Relationship Id="rId65" Type="http://schemas.openxmlformats.org/officeDocument/2006/relationships/hyperlink" Target="https://www.akg.com/Microphones/Headset%20Microphones/3242H00040.html" TargetMode="External"/><Relationship Id="rId86" Type="http://schemas.openxmlformats.org/officeDocument/2006/relationships/hyperlink" Target="https://www.akg.com/Microphones/modular-microphones-components/2965H00130.html" TargetMode="External"/><Relationship Id="rId130" Type="http://schemas.openxmlformats.org/officeDocument/2006/relationships/hyperlink" Target="https://www.akg.com/Microphones/Boundary%20Layer%20Microphones/3330H00010.html" TargetMode="External"/><Relationship Id="rId151" Type="http://schemas.openxmlformats.org/officeDocument/2006/relationships/hyperlink" Target="https://www.akg.com/Integrated_Systems/conference-system-components/3361H00250.html" TargetMode="External"/><Relationship Id="rId172" Type="http://schemas.openxmlformats.org/officeDocument/2006/relationships/hyperlink" Target="https://www.akg.com/Headphones/Headphone-Accessories/6000H10080.html" TargetMode="External"/><Relationship Id="rId193" Type="http://schemas.openxmlformats.org/officeDocument/2006/relationships/hyperlink" Target="https://www.akg.com/Wireless/wireless-components/3347X00140.html" TargetMode="External"/><Relationship Id="rId207" Type="http://schemas.openxmlformats.org/officeDocument/2006/relationships/hyperlink" Target="https://www.akg.com/Wireless/wireless-components/3414H00010.html" TargetMode="External"/><Relationship Id="rId228" Type="http://schemas.openxmlformats.org/officeDocument/2006/relationships/hyperlink" Target="https://www.akg.com/Wireless/wireless-components/3201H00280.html" TargetMode="External"/><Relationship Id="rId249" Type="http://schemas.openxmlformats.org/officeDocument/2006/relationships/hyperlink" Target="https://www.akg.com/Wireless/Wireless%20Accessories/3438X00030.html" TargetMode="External"/><Relationship Id="rId13" Type="http://schemas.openxmlformats.org/officeDocument/2006/relationships/hyperlink" Target="https://www.akg.com/Microphones/Tube%20Microphones/C12VR.html" TargetMode="External"/><Relationship Id="rId109" Type="http://schemas.openxmlformats.org/officeDocument/2006/relationships/hyperlink" Target="https://www.akg.com/Microphones/Microphone%20Accessories/3165H00170.html" TargetMode="External"/><Relationship Id="rId260" Type="http://schemas.openxmlformats.org/officeDocument/2006/relationships/hyperlink" Target="https://jblpro.com/products/col800" TargetMode="External"/><Relationship Id="rId34" Type="http://schemas.openxmlformats.org/officeDocument/2006/relationships/hyperlink" Target="https://www.akg.com/Microphones/Condenser%20Microphones/C430.html" TargetMode="External"/><Relationship Id="rId55" Type="http://schemas.openxmlformats.org/officeDocument/2006/relationships/hyperlink" Target="https://www.akg.com/Microphones/Speech%20%2F%20Spoken%20Word%20Microphones/2577X00120.html" TargetMode="External"/><Relationship Id="rId76" Type="http://schemas.openxmlformats.org/officeDocument/2006/relationships/hyperlink" Target="https://au.akg.com/modular-microphones-components/2765H00460.html" TargetMode="External"/><Relationship Id="rId97" Type="http://schemas.openxmlformats.org/officeDocument/2006/relationships/hyperlink" Target="https://www.akg.com/Microphones/Microphone%20Accessories/2765H00200.html" TargetMode="External"/><Relationship Id="rId120" Type="http://schemas.openxmlformats.org/officeDocument/2006/relationships/hyperlink" Target="https://www.akg.com/Microphones/Boundary%20Layer%20Microphones/3327H00010.html" TargetMode="External"/><Relationship Id="rId141" Type="http://schemas.openxmlformats.org/officeDocument/2006/relationships/hyperlink" Target="https://www.akg.com/cs3-system.html?dwvar_CS3System_color=Black-GLOBAL-Current" TargetMode="External"/><Relationship Id="rId7" Type="http://schemas.openxmlformats.org/officeDocument/2006/relationships/hyperlink" Target="https://www.akg.com/Microphones/Condenser%20Microphones/C3000.html" TargetMode="External"/><Relationship Id="rId162" Type="http://schemas.openxmlformats.org/officeDocument/2006/relationships/hyperlink" Target="https://www.akg.com/Microphones/Microphone%20Accessories/6500H00380.html" TargetMode="External"/><Relationship Id="rId183" Type="http://schemas.openxmlformats.org/officeDocument/2006/relationships/hyperlink" Target="https://www.akg.com/Wireless/wireless-components/3245H00010.html" TargetMode="External"/><Relationship Id="rId218" Type="http://schemas.openxmlformats.org/officeDocument/2006/relationships/hyperlink" Target="https://www.akg.com/Wireless/wireless-components/3305X00370.html" TargetMode="External"/><Relationship Id="rId239" Type="http://schemas.openxmlformats.org/officeDocument/2006/relationships/hyperlink" Target="https://www.akg.com/Wireless/wireless-components/3380H00100.html" TargetMode="External"/><Relationship Id="rId250" Type="http://schemas.openxmlformats.org/officeDocument/2006/relationships/hyperlink" Target="https://www.akg.com/Wireless/Wireless%20Accessories/3082X00030.html" TargetMode="External"/><Relationship Id="rId271" Type="http://schemas.openxmlformats.org/officeDocument/2006/relationships/hyperlink" Target="https://www.akg.com/Wireless/Wireless%20Accessories/3158H00050.html" TargetMode="External"/><Relationship Id="rId24" Type="http://schemas.openxmlformats.org/officeDocument/2006/relationships/hyperlink" Target="https://www.akg.com/Wireless/Wireless%20Accessories/D5WL1.html" TargetMode="External"/><Relationship Id="rId45" Type="http://schemas.openxmlformats.org/officeDocument/2006/relationships/hyperlink" Target="https://www.akg.com/Microphones/Drum%20Microphone%20Bundles/2581H00160.html" TargetMode="External"/><Relationship Id="rId66" Type="http://schemas.openxmlformats.org/officeDocument/2006/relationships/hyperlink" Target="https://au.akg.com/speech-spoken-word-microphones/6000H51010.html" TargetMode="External"/><Relationship Id="rId87" Type="http://schemas.openxmlformats.org/officeDocument/2006/relationships/hyperlink" Target="https://www.akg.com/Microphones/modular-microphones-components/2965X00120.html" TargetMode="External"/><Relationship Id="rId110" Type="http://schemas.openxmlformats.org/officeDocument/2006/relationships/hyperlink" Target="https://www.akg.com/cs3-system.html?dwvar_CS3System_color=Black-GLOBAL-Current" TargetMode="External"/><Relationship Id="rId131" Type="http://schemas.openxmlformats.org/officeDocument/2006/relationships/hyperlink" Target="https://www.akg.com/Microphones/Speech%20%2F%20Spoken%20Word%20Microphones/2965H00150.html" TargetMode="External"/><Relationship Id="rId152" Type="http://schemas.openxmlformats.org/officeDocument/2006/relationships/hyperlink" Target="https://www.akg.com/Integrated_Systems/conference-system-components/3361H00340.html" TargetMode="External"/><Relationship Id="rId173" Type="http://schemas.openxmlformats.org/officeDocument/2006/relationships/hyperlink" Target="https://www.akg.com/support-product-detail.html" TargetMode="External"/><Relationship Id="rId194" Type="http://schemas.openxmlformats.org/officeDocument/2006/relationships/hyperlink" Target="https://www.akg.com/wireless/microfones-wireless/3348H00110.html" TargetMode="External"/><Relationship Id="rId208" Type="http://schemas.openxmlformats.org/officeDocument/2006/relationships/hyperlink" Target="https://www.akg.com/Wireless/wireless-components/3415H00010.html" TargetMode="External"/><Relationship Id="rId229" Type="http://schemas.openxmlformats.org/officeDocument/2006/relationships/hyperlink" Target="https://www.akg.com/Wireless/wireless-components/3201H00300.html" TargetMode="External"/><Relationship Id="rId240" Type="http://schemas.openxmlformats.org/officeDocument/2006/relationships/hyperlink" Target="https://www.akg.com/Wireless/wireless-components/3383H00010.html" TargetMode="External"/><Relationship Id="rId261" Type="http://schemas.openxmlformats.org/officeDocument/2006/relationships/hyperlink" Target="https://jblpro.com/products/col600" TargetMode="External"/><Relationship Id="rId14" Type="http://schemas.openxmlformats.org/officeDocument/2006/relationships/hyperlink" Target="https://www.akg.com/Microphones/Drum%20Microphone%20Bundles/C214MatPair.html" TargetMode="External"/><Relationship Id="rId35" Type="http://schemas.openxmlformats.org/officeDocument/2006/relationships/hyperlink" Target="https://www.akg.com/Microphones/Condenser%20Microphones/C516ML.html" TargetMode="External"/><Relationship Id="rId56" Type="http://schemas.openxmlformats.org/officeDocument/2006/relationships/hyperlink" Target="https://www.akg.com/Microphones/Speech%20%2F%20Spoken%20Word%20Microphones/6000H51040.html" TargetMode="External"/><Relationship Id="rId77" Type="http://schemas.openxmlformats.org/officeDocument/2006/relationships/hyperlink" Target="https://au.akg.com/modular-microphones-components/2765H00030.html" TargetMode="External"/><Relationship Id="rId100" Type="http://schemas.openxmlformats.org/officeDocument/2006/relationships/hyperlink" Target="https://www.akg.com/Microphones/Microphone%20Accessories/3165H00010.html" TargetMode="External"/><Relationship Id="rId8" Type="http://schemas.openxmlformats.org/officeDocument/2006/relationships/hyperlink" Target="https://www.akg.com/Microphones/Condenser%20Microphones/C214.html" TargetMode="External"/><Relationship Id="rId98" Type="http://schemas.openxmlformats.org/officeDocument/2006/relationships/hyperlink" Target="https://www.akg.com/Microphones/Microphone%20Accessories/2765X00220.html" TargetMode="External"/><Relationship Id="rId121" Type="http://schemas.openxmlformats.org/officeDocument/2006/relationships/hyperlink" Target="https://www.akg.com/Microphones/Boundary%20Layer%20Microphones/3326H00010.html" TargetMode="External"/><Relationship Id="rId142" Type="http://schemas.openxmlformats.org/officeDocument/2006/relationships/hyperlink" Target="https://www.akg.com/cs3-system.html?dwvar_CS3System_color=Black-GLOBAL-Current" TargetMode="External"/><Relationship Id="rId163" Type="http://schemas.openxmlformats.org/officeDocument/2006/relationships/hyperlink" Target="https://www.akg.com/Microphones/Microphone%20Accessories/6500H00390.html" TargetMode="External"/><Relationship Id="rId184" Type="http://schemas.openxmlformats.org/officeDocument/2006/relationships/hyperlink" Target="https://www.akg.com/Wireless/wireless-components/3246H00010.html" TargetMode="External"/><Relationship Id="rId219" Type="http://schemas.openxmlformats.org/officeDocument/2006/relationships/hyperlink" Target="https://www.akg.com/Wireless/wireless-components/3305X00380.html" TargetMode="External"/><Relationship Id="rId230" Type="http://schemas.openxmlformats.org/officeDocument/2006/relationships/hyperlink" Target="https://www.akg.com/Wireless/wireless-components/3202H00300.html" TargetMode="External"/><Relationship Id="rId251" Type="http://schemas.openxmlformats.org/officeDocument/2006/relationships/hyperlink" Target="https://www.akg.com/Wireless/Wireless%20Accessories/3439X00030.html" TargetMode="External"/><Relationship Id="rId25" Type="http://schemas.openxmlformats.org/officeDocument/2006/relationships/hyperlink" Target="https://www.akg.com/Microphones/Dynamic%20Microphones/D5S.html" TargetMode="External"/><Relationship Id="rId46" Type="http://schemas.openxmlformats.org/officeDocument/2006/relationships/hyperlink" Target="https://www.akg.com/Microphones/Drum%20Microphone%20Bundles/DrumsetPremium.html" TargetMode="External"/><Relationship Id="rId67" Type="http://schemas.openxmlformats.org/officeDocument/2006/relationships/hyperlink" Target="https://au.akg.com/speech-spoken-word-microphones/6000H51020.html" TargetMode="External"/><Relationship Id="rId272" Type="http://schemas.openxmlformats.org/officeDocument/2006/relationships/hyperlink" Target="https://www.akg.com/Wireless/Wireless%20Accessories/3158H00150.html" TargetMode="External"/><Relationship Id="rId88" Type="http://schemas.openxmlformats.org/officeDocument/2006/relationships/hyperlink" Target="https://www.akg.com/Microphones/modular-microphones-components/2965X00140.html" TargetMode="External"/><Relationship Id="rId111" Type="http://schemas.openxmlformats.org/officeDocument/2006/relationships/hyperlink" Target="https://www.akg.com/Microphones/modular-microphones-components/2765H00100.html" TargetMode="External"/><Relationship Id="rId132" Type="http://schemas.openxmlformats.org/officeDocument/2006/relationships/hyperlink" Target="https://www.akg.com/Microphones/Speech%20%2F%20Spoken%20Word%20Microphones/2965H00160.html" TargetMode="External"/><Relationship Id="rId153" Type="http://schemas.openxmlformats.org/officeDocument/2006/relationships/hyperlink" Target="https://www.akg.com/Integrated_Systems/conference-system-components/6500H00220.html" TargetMode="External"/><Relationship Id="rId174" Type="http://schemas.openxmlformats.org/officeDocument/2006/relationships/hyperlink" Target="https://www.akg.com/Microphones/Microphone%20Accessories/6500H00450.html" TargetMode="External"/><Relationship Id="rId195" Type="http://schemas.openxmlformats.org/officeDocument/2006/relationships/hyperlink" Target="https://www.akg.com/Wireless/wireless-components/3348H00120.html" TargetMode="External"/><Relationship Id="rId209" Type="http://schemas.openxmlformats.org/officeDocument/2006/relationships/hyperlink" Target="https://www.akg.com/Wireless/wireless-components/3416H00010.html" TargetMode="External"/><Relationship Id="rId220" Type="http://schemas.openxmlformats.org/officeDocument/2006/relationships/hyperlink" Target="https://www.akg.com/Wireless/wireless-components/3306X00370.html" TargetMode="External"/><Relationship Id="rId241" Type="http://schemas.openxmlformats.org/officeDocument/2006/relationships/hyperlink" Target="https://www.akg.com/Wireless/wireless-components/3383H00110.html" TargetMode="External"/><Relationship Id="rId15" Type="http://schemas.openxmlformats.org/officeDocument/2006/relationships/hyperlink" Target="https://www.akg.com/Microphones/Drum%20Microphone%20Bundles/C314MatPair.html" TargetMode="External"/><Relationship Id="rId36" Type="http://schemas.openxmlformats.org/officeDocument/2006/relationships/hyperlink" Target="https://www.akg.com/Microphones/Condenser%20Microphones/3064X00010.html" TargetMode="External"/><Relationship Id="rId57" Type="http://schemas.openxmlformats.org/officeDocument/2006/relationships/hyperlink" Target="https://www.akg.com/Microphones/Microphone%20Accessories/2803H00080.html" TargetMode="External"/><Relationship Id="rId262" Type="http://schemas.openxmlformats.org/officeDocument/2006/relationships/hyperlink" Target="https://jblpro.com/products/col600" TargetMode="External"/><Relationship Id="rId78" Type="http://schemas.openxmlformats.org/officeDocument/2006/relationships/hyperlink" Target="https://au.akg.com/modular-microphones-components/2765H00040.html" TargetMode="External"/><Relationship Id="rId99" Type="http://schemas.openxmlformats.org/officeDocument/2006/relationships/hyperlink" Target="https://www.akg.com/Microphones/Microphone%20Accessories/2765Z00240.html" TargetMode="External"/><Relationship Id="rId101" Type="http://schemas.openxmlformats.org/officeDocument/2006/relationships/hyperlink" Target="https://www.akg.com/Microphones/Microphone%20Accessories/3165H00030.html" TargetMode="External"/><Relationship Id="rId122" Type="http://schemas.openxmlformats.org/officeDocument/2006/relationships/hyperlink" Target="https://www.akg.com/Microphones/Boundary%20Layer%20Microphones/3340H00010.html" TargetMode="External"/><Relationship Id="rId143" Type="http://schemas.openxmlformats.org/officeDocument/2006/relationships/hyperlink" Target="https://www.akg.com/cs3-system.html?dwvar_CS3System_color=Black-GLOBAL-Current" TargetMode="External"/><Relationship Id="rId164" Type="http://schemas.openxmlformats.org/officeDocument/2006/relationships/hyperlink" Target="https://www.akg.com/Microphones/Microphone%20Accessories/6500H00400.html" TargetMode="External"/><Relationship Id="rId185" Type="http://schemas.openxmlformats.org/officeDocument/2006/relationships/hyperlink" Target="https://www.akg.com/Wireless/wireless-components/3247H00010.html" TargetMode="External"/><Relationship Id="rId9" Type="http://schemas.openxmlformats.org/officeDocument/2006/relationships/hyperlink" Target="https://www.akg.com/Microphones/Condenser%20Microphones/C314.html" TargetMode="External"/><Relationship Id="rId210" Type="http://schemas.openxmlformats.org/officeDocument/2006/relationships/hyperlink" Target="https://www.akg.com/Wireless/wireless-components/3300H00150.html" TargetMode="External"/><Relationship Id="rId26" Type="http://schemas.openxmlformats.org/officeDocument/2006/relationships/hyperlink" Target="https://www.akg.com/Microphones/Dynamic%20Microphones/3138X00340.html" TargetMode="External"/><Relationship Id="rId231" Type="http://schemas.openxmlformats.org/officeDocument/2006/relationships/hyperlink" Target="https://www.akg.com/Wireless/wireless-components/3203H00300.html" TargetMode="External"/><Relationship Id="rId252" Type="http://schemas.openxmlformats.org/officeDocument/2006/relationships/hyperlink" Target="https://www.akg.com/Wireless/Wireless%20Accessories/3009H00140.html" TargetMode="External"/><Relationship Id="rId273" Type="http://schemas.openxmlformats.org/officeDocument/2006/relationships/hyperlink" Target="https://jblpro.com/en/products/jbl-lct-81c-tm" TargetMode="External"/><Relationship Id="rId47" Type="http://schemas.openxmlformats.org/officeDocument/2006/relationships/hyperlink" Target="https://www.akg.com/Microphones/Headset%20Microphones/6000H50930.html" TargetMode="External"/><Relationship Id="rId68" Type="http://schemas.openxmlformats.org/officeDocument/2006/relationships/hyperlink" Target="https://au.akg.com/speech-spoken-word-microphones/6000H51030.html" TargetMode="External"/><Relationship Id="rId89" Type="http://schemas.openxmlformats.org/officeDocument/2006/relationships/hyperlink" Target="https://www.akg.com/Microphones/modular-microphones-components/2765H00180.html" TargetMode="External"/><Relationship Id="rId112" Type="http://schemas.openxmlformats.org/officeDocument/2006/relationships/hyperlink" Target="https://www.akg.com/Microphones/modular-microphones-components/3165H00250.html" TargetMode="External"/><Relationship Id="rId133" Type="http://schemas.openxmlformats.org/officeDocument/2006/relationships/hyperlink" Target="https://www.akg.com/Microphones/Headset%20Microphones/6500H00030.html" TargetMode="External"/><Relationship Id="rId154" Type="http://schemas.openxmlformats.org/officeDocument/2006/relationships/hyperlink" Target="https://www.akg.com/Microphones/Speech%20%2F%20Spoken%20Word%20Microphones/3241H00050.html" TargetMode="External"/><Relationship Id="rId175" Type="http://schemas.openxmlformats.org/officeDocument/2006/relationships/hyperlink" Target="https://www.akg.com/Microphones/Microphone%20Accessories/6500H00460.html" TargetMode="External"/><Relationship Id="rId196" Type="http://schemas.openxmlformats.org/officeDocument/2006/relationships/hyperlink" Target="https://www.akg.com/Wireless/wireless-components/3348H00130.html" TargetMode="External"/><Relationship Id="rId200" Type="http://schemas.openxmlformats.org/officeDocument/2006/relationships/hyperlink" Target="https://www.akg.com/Wireless/wireless-components/3351H00050.html" TargetMode="External"/><Relationship Id="rId16" Type="http://schemas.openxmlformats.org/officeDocument/2006/relationships/hyperlink" Target="https://www.akg.com/Microphones/Drum%20Microphone%20Bundles/C414XLSMatPair.html" TargetMode="External"/><Relationship Id="rId221" Type="http://schemas.openxmlformats.org/officeDocument/2006/relationships/hyperlink" Target="https://www.akg.com/Wireless/wireless-components/3306X00380.html" TargetMode="External"/><Relationship Id="rId242" Type="http://schemas.openxmlformats.org/officeDocument/2006/relationships/hyperlink" Target="https://www.akg.com/support-product-detail.html" TargetMode="External"/><Relationship Id="rId263" Type="http://schemas.openxmlformats.org/officeDocument/2006/relationships/hyperlink" Target="https://www.akg.com/Wireless/Antennas%20%2F%20Antenna%20Components/3009H00210.html" TargetMode="External"/><Relationship Id="rId37" Type="http://schemas.openxmlformats.org/officeDocument/2006/relationships/hyperlink" Target="https://www.akg.com/Microphones/Condenser%20Microphones/3064X00020.html" TargetMode="External"/><Relationship Id="rId58" Type="http://schemas.openxmlformats.org/officeDocument/2006/relationships/hyperlink" Target="https://www.akg.com/Microphones/Headset%20Microphones/2793H00100.html" TargetMode="External"/><Relationship Id="rId79" Type="http://schemas.openxmlformats.org/officeDocument/2006/relationships/hyperlink" Target="https://au.akg.com/modular-microphones-components/2765H00080.html" TargetMode="External"/><Relationship Id="rId102" Type="http://schemas.openxmlformats.org/officeDocument/2006/relationships/hyperlink" Target="https://www.akg.com/Microphones/Microphone%20Accessories/2765H00300.html" TargetMode="External"/><Relationship Id="rId123" Type="http://schemas.openxmlformats.org/officeDocument/2006/relationships/hyperlink" Target="https://www.akg.com/Microphones/Boundary%20Layer%20Microphones/3325H00010.html" TargetMode="External"/><Relationship Id="rId144" Type="http://schemas.openxmlformats.org/officeDocument/2006/relationships/hyperlink" Target="https://www.akg.com/cs3-system.html?dwvar_CS3System_color=Black-GLOBAL-Current" TargetMode="External"/><Relationship Id="rId90" Type="http://schemas.openxmlformats.org/officeDocument/2006/relationships/hyperlink" Target="https://www.akg.com/Microphones/Speech%20%2F%20Spoken%20Word%20Microphones/2765H00500.html" TargetMode="External"/><Relationship Id="rId165" Type="http://schemas.openxmlformats.org/officeDocument/2006/relationships/hyperlink" Target="https://www.akg.com/Microphones/Microphone%20Accessories/6500H00580.html" TargetMode="External"/><Relationship Id="rId186" Type="http://schemas.openxmlformats.org/officeDocument/2006/relationships/hyperlink" Target="https://www.akg.com/Wireless/wireless-components/3248X00010.html" TargetMode="External"/><Relationship Id="rId211" Type="http://schemas.openxmlformats.org/officeDocument/2006/relationships/hyperlink" Target="https://www.akg.com/Wireless/wireless-components/3300H00160.html" TargetMode="External"/><Relationship Id="rId232" Type="http://schemas.openxmlformats.org/officeDocument/2006/relationships/hyperlink" Target="https://www.akg.com/Wireless/wireless-components/3205Z00280.html" TargetMode="External"/><Relationship Id="rId253" Type="http://schemas.openxmlformats.org/officeDocument/2006/relationships/hyperlink" Target="https://www.akg.com/Wireless/Wireless%20Accessories/3296H00010.html" TargetMode="External"/><Relationship Id="rId274" Type="http://schemas.openxmlformats.org/officeDocument/2006/relationships/hyperlink" Target="https://jblpro.com/en/products/control-89ms" TargetMode="External"/><Relationship Id="rId27" Type="http://schemas.openxmlformats.org/officeDocument/2006/relationships/hyperlink" Target="https://www.akg.com/Microphones/Dynamic%20Microphones/3138X00340.html" TargetMode="External"/><Relationship Id="rId48" Type="http://schemas.openxmlformats.org/officeDocument/2006/relationships/hyperlink" Target="https://www.akg.com/Microphones/Headset%20Microphones/6000H50940.html" TargetMode="External"/><Relationship Id="rId69" Type="http://schemas.openxmlformats.org/officeDocument/2006/relationships/hyperlink" Target="https://au.akg.com/modular-microphones-components/2765H00010.html" TargetMode="External"/><Relationship Id="rId113" Type="http://schemas.openxmlformats.org/officeDocument/2006/relationships/hyperlink" Target="https://www.akg.com/Microphones/Boundary%20Layer%20Microphones/2262X00030.html" TargetMode="External"/><Relationship Id="rId134" Type="http://schemas.openxmlformats.org/officeDocument/2006/relationships/hyperlink" Target="https://www.akg.com/Integrated_Systems/conference-system-components/6500H00150.html" TargetMode="External"/><Relationship Id="rId80" Type="http://schemas.openxmlformats.org/officeDocument/2006/relationships/hyperlink" Target="https://au.akg.com/modular-microphones-components/2765H00090.html" TargetMode="External"/><Relationship Id="rId155" Type="http://schemas.openxmlformats.org/officeDocument/2006/relationships/hyperlink" Target="https://www.akg.com/Microphones/Microphone%20Accessories/6500H00290.html" TargetMode="External"/><Relationship Id="rId176" Type="http://schemas.openxmlformats.org/officeDocument/2006/relationships/hyperlink" Target="https://www.akg.com/support-product-detail.html" TargetMode="External"/><Relationship Id="rId197" Type="http://schemas.openxmlformats.org/officeDocument/2006/relationships/hyperlink" Target="https://www.akg.com/Wireless/wireless-components/3348H00140.html" TargetMode="External"/><Relationship Id="rId201" Type="http://schemas.openxmlformats.org/officeDocument/2006/relationships/hyperlink" Target="https://www.akg.com/Wireless/wireless-components/3351H00060.html" TargetMode="External"/><Relationship Id="rId222" Type="http://schemas.openxmlformats.org/officeDocument/2006/relationships/hyperlink" Target="https://www.akg.com/Wireless/wireless-components/3307H00370.html" TargetMode="External"/><Relationship Id="rId243" Type="http://schemas.openxmlformats.org/officeDocument/2006/relationships/hyperlink" Target="https://www.akg.com/Wireless/wireless-components/3383H00310.html" TargetMode="External"/><Relationship Id="rId264" Type="http://schemas.openxmlformats.org/officeDocument/2006/relationships/hyperlink" Target="https://www.akg.com/Wireless/Wireless%20Accessories/2999H00150.html" TargetMode="External"/><Relationship Id="rId17" Type="http://schemas.openxmlformats.org/officeDocument/2006/relationships/hyperlink" Target="https://www.akg.com/Microphones/Drum%20Microphone%20Bundles/C414XLIIMatPair.html" TargetMode="External"/><Relationship Id="rId38" Type="http://schemas.openxmlformats.org/officeDocument/2006/relationships/hyperlink" Target="https://www.akg.com/Microphones/Condenser%20Microphones/3065X00010.html" TargetMode="External"/><Relationship Id="rId59" Type="http://schemas.openxmlformats.org/officeDocument/2006/relationships/hyperlink" Target="https://www.akg.com/Microphones/Speech%20%2F%20Spoken%20Word%20Microphones/2577X00210.html" TargetMode="External"/><Relationship Id="rId103" Type="http://schemas.openxmlformats.org/officeDocument/2006/relationships/hyperlink" Target="https://www.akg.com/support-product-detail.html" TargetMode="External"/><Relationship Id="rId124" Type="http://schemas.openxmlformats.org/officeDocument/2006/relationships/hyperlink" Target="https://www.akg.com/Microphones/Boundary%20Layer%20Microphones/3323H00010.html" TargetMode="External"/><Relationship Id="rId70" Type="http://schemas.openxmlformats.org/officeDocument/2006/relationships/hyperlink" Target="https://au.akg.com/modular-microphones-components/2765H00450.html" TargetMode="External"/><Relationship Id="rId91" Type="http://schemas.openxmlformats.org/officeDocument/2006/relationships/hyperlink" Target="https://www.akg.com/Microphones/Speech%20%2F%20Spoken%20Word%20Microphones/3165H00500.html" TargetMode="External"/><Relationship Id="rId145" Type="http://schemas.openxmlformats.org/officeDocument/2006/relationships/hyperlink" Target="https://www.akg.com/cs3-system.html?dwvar_CS3System_color=Black-GLOBAL-Current" TargetMode="External"/><Relationship Id="rId166" Type="http://schemas.openxmlformats.org/officeDocument/2006/relationships/hyperlink" Target="https://www.akg.com/Wireless/Wireless%20Accessories/RMU40pro.html?dwvar_RMU40pro_color=Black-GLOBAL-Current" TargetMode="External"/><Relationship Id="rId187" Type="http://schemas.openxmlformats.org/officeDocument/2006/relationships/hyperlink" Target="https://www.akg.com/Wireless/wireless-components/3249H00010.html" TargetMode="External"/><Relationship Id="rId1" Type="http://schemas.openxmlformats.org/officeDocument/2006/relationships/hyperlink" Target="https://www.akg.com/Microphones/Condenser%20Microphones/P120-.html" TargetMode="External"/><Relationship Id="rId212" Type="http://schemas.openxmlformats.org/officeDocument/2006/relationships/hyperlink" Target="https://www.akg.com/Wireless/wireless-components/3301X00170.html" TargetMode="External"/><Relationship Id="rId233" Type="http://schemas.openxmlformats.org/officeDocument/2006/relationships/hyperlink" Target="https://www.akg.com/Wireless/wireless-components/5100247-00.html" TargetMode="External"/><Relationship Id="rId254" Type="http://schemas.openxmlformats.org/officeDocument/2006/relationships/hyperlink" Target="https://www.akg.com/Wireless/Wireless%20Accessories/APS4+EU-US-UK-AU.html" TargetMode="External"/><Relationship Id="rId28" Type="http://schemas.openxmlformats.org/officeDocument/2006/relationships/hyperlink" Target="https://www.akg.com/Wireless/Wireless%20Accessories/D7WL1.html" TargetMode="External"/><Relationship Id="rId49" Type="http://schemas.openxmlformats.org/officeDocument/2006/relationships/hyperlink" Target="https://www.akg.com/Microphones/Headset%20Microphones/6000H50950.html" TargetMode="External"/><Relationship Id="rId114" Type="http://schemas.openxmlformats.org/officeDocument/2006/relationships/hyperlink" Target="https://www.akg.com/Microphones/Boundary%20Layer%20Microphones/3177H00010.html" TargetMode="External"/><Relationship Id="rId275" Type="http://schemas.openxmlformats.org/officeDocument/2006/relationships/printerSettings" Target="../printerSettings/printerSettings18.bin"/><Relationship Id="rId60" Type="http://schemas.openxmlformats.org/officeDocument/2006/relationships/hyperlink" Target="https://www.akg.com/Microphones/Speech%20%2F%20Spoken%20Word%20Microphones/2577X00200.html" TargetMode="External"/><Relationship Id="rId81" Type="http://schemas.openxmlformats.org/officeDocument/2006/relationships/hyperlink" Target="https://au.akg.com/modular-microphones-components/GN50.html?dwvar_GN50_color=Grey-GLOBAL-Current" TargetMode="External"/><Relationship Id="rId135" Type="http://schemas.openxmlformats.org/officeDocument/2006/relationships/hyperlink" Target="https://www.akg.com/Integrated_Systems/conference-system-components/6500H00160.html" TargetMode="External"/><Relationship Id="rId156" Type="http://schemas.openxmlformats.org/officeDocument/2006/relationships/hyperlink" Target="https://www.akg.com/Microphones/Microphone%20Accessories/6500H00320.html" TargetMode="External"/><Relationship Id="rId177" Type="http://schemas.openxmlformats.org/officeDocument/2006/relationships/hyperlink" Target="https://www.akg.com/Microphones/Microphone%20Accessories/6500H00550.html" TargetMode="External"/><Relationship Id="rId198" Type="http://schemas.openxmlformats.org/officeDocument/2006/relationships/hyperlink" Target="https://www.akg.com/Wireless/wireless-components/3350X00050.html" TargetMode="External"/><Relationship Id="rId202" Type="http://schemas.openxmlformats.org/officeDocument/2006/relationships/hyperlink" Target="https://www.akg.com/Wireless/wireless-components/3352X00050.html" TargetMode="External"/><Relationship Id="rId223" Type="http://schemas.openxmlformats.org/officeDocument/2006/relationships/hyperlink" Target="https://www.akg.com/Wireless/wireless-components/3307H00380.html" TargetMode="External"/><Relationship Id="rId244" Type="http://schemas.openxmlformats.org/officeDocument/2006/relationships/hyperlink" Target="https://www.akg.com/dmstetrad-system.html" TargetMode="External"/><Relationship Id="rId18" Type="http://schemas.openxmlformats.org/officeDocument/2006/relationships/hyperlink" Target="https://www.akg.com/Microphones/Drum%20Microphone%20Bundles/C451BMatPair.html" TargetMode="External"/><Relationship Id="rId39" Type="http://schemas.openxmlformats.org/officeDocument/2006/relationships/hyperlink" Target="https://www.akg.com/Microphones/Condenser%20Microphones/3065X00020.html" TargetMode="External"/><Relationship Id="rId265" Type="http://schemas.openxmlformats.org/officeDocument/2006/relationships/hyperlink" Target="https://www.akg.com/Wireless/Wireless%20Accessories/3004H00030.html" TargetMode="External"/><Relationship Id="rId50" Type="http://schemas.openxmlformats.org/officeDocument/2006/relationships/hyperlink" Target="https://www.akg.com/Microphones/Headset%20Microphones/3066X00010.html" TargetMode="External"/><Relationship Id="rId104" Type="http://schemas.openxmlformats.org/officeDocument/2006/relationships/hyperlink" Target="https://www.akg.com/Microphones/Microphone%20Accessories/3165H00290.html" TargetMode="External"/><Relationship Id="rId125" Type="http://schemas.openxmlformats.org/officeDocument/2006/relationships/hyperlink" Target="https://www.akg.com/Microphones/Boundary%20Layer%20Microphones/3334H00010.html" TargetMode="External"/><Relationship Id="rId146" Type="http://schemas.openxmlformats.org/officeDocument/2006/relationships/hyperlink" Target="https://www.akg.com/Microphones/Microphone%20Accessories/6500H00310.html" TargetMode="External"/><Relationship Id="rId167" Type="http://schemas.openxmlformats.org/officeDocument/2006/relationships/hyperlink" Target="https://www.akg.com/Headphones/Headphone-Accessories/2955H00480.html" TargetMode="External"/><Relationship Id="rId188" Type="http://schemas.openxmlformats.org/officeDocument/2006/relationships/hyperlink" Target="https://www.akg.com/Microphones/perception-series-microphones/3250H00010.html" TargetMode="External"/><Relationship Id="rId71" Type="http://schemas.openxmlformats.org/officeDocument/2006/relationships/hyperlink" Target="https://au.akg.com/modular-microphones-components/2765H00020.html" TargetMode="External"/><Relationship Id="rId92" Type="http://schemas.openxmlformats.org/officeDocument/2006/relationships/hyperlink" Target="https://www.akg.com/Microphones/Speech%20%2F%20Spoken%20Word%20Microphones/2966H00010.html" TargetMode="External"/><Relationship Id="rId213" Type="http://schemas.openxmlformats.org/officeDocument/2006/relationships/hyperlink" Target="https://www.akg.com/Wireless/wireless-components/3301X00180.html" TargetMode="External"/><Relationship Id="rId234" Type="http://schemas.openxmlformats.org/officeDocument/2006/relationships/hyperlink" Target="https://www.akg.com/Wireless/wireless-components/5100248-00.html" TargetMode="External"/><Relationship Id="rId2" Type="http://schemas.openxmlformats.org/officeDocument/2006/relationships/hyperlink" Target="https://www.akg.com/Microphones/Condenser%20Microphones/P170.html" TargetMode="External"/><Relationship Id="rId29" Type="http://schemas.openxmlformats.org/officeDocument/2006/relationships/hyperlink" Target="https://www.akg.com/Microphones/Dynamic%20Microphones/3139X00020.html" TargetMode="External"/><Relationship Id="rId255" Type="http://schemas.openxmlformats.org/officeDocument/2006/relationships/hyperlink" Target="https://www.akg.com/Wireless/Antennas%20%2F%20Antenna%20Components/2634H00330-LS.html" TargetMode="External"/><Relationship Id="rId276" Type="http://schemas.openxmlformats.org/officeDocument/2006/relationships/table" Target="../tables/table12.xml"/><Relationship Id="rId40" Type="http://schemas.openxmlformats.org/officeDocument/2006/relationships/hyperlink" Target="https://www.akg.com/Microphones/Condenser%20Microphones/C7.html" TargetMode="External"/><Relationship Id="rId115" Type="http://schemas.openxmlformats.org/officeDocument/2006/relationships/hyperlink" Target="https://www.akg.com/Microphones/Boundary%20Layer%20Microphones/3177H00020.html" TargetMode="External"/><Relationship Id="rId136" Type="http://schemas.openxmlformats.org/officeDocument/2006/relationships/hyperlink" Target="https://www.akg.com/Integrated_Systems/conference-system-components/6500H00170.html" TargetMode="External"/><Relationship Id="rId157" Type="http://schemas.openxmlformats.org/officeDocument/2006/relationships/hyperlink" Target="https://www.akg.com/Microphones/Microphone%20Accessories/6500H00330.html" TargetMode="External"/><Relationship Id="rId178" Type="http://schemas.openxmlformats.org/officeDocument/2006/relationships/hyperlink" Target="https://www.akg.com/Microphones/Microphone%20Accessories/6500H00560.html" TargetMode="External"/><Relationship Id="rId61" Type="http://schemas.openxmlformats.org/officeDocument/2006/relationships/hyperlink" Target="https://www.akg.com/Microphones/Speech%20%2F%20Spoken%20Word%20Microphones/LC81MDgroup.html?dwvar_LC81MDgroup_color=Black-GLOBAL-Current" TargetMode="External"/><Relationship Id="rId82" Type="http://schemas.openxmlformats.org/officeDocument/2006/relationships/hyperlink" Target="https://au.akg.com/modular-microphones-components/2765H00410.html" TargetMode="External"/><Relationship Id="rId199" Type="http://schemas.openxmlformats.org/officeDocument/2006/relationships/hyperlink" Target="https://www.akg.com/Wireless/wireless-components/3350X00060.html" TargetMode="External"/><Relationship Id="rId203" Type="http://schemas.openxmlformats.org/officeDocument/2006/relationships/hyperlink" Target="https://www.akg.com/Wireless/wireless-components/3352X00060.html" TargetMode="External"/><Relationship Id="rId19" Type="http://schemas.openxmlformats.org/officeDocument/2006/relationships/hyperlink" Target="https://www.akg.com/Microphones/Dynamic%20Microphones/P3.html" TargetMode="External"/><Relationship Id="rId224" Type="http://schemas.openxmlformats.org/officeDocument/2006/relationships/hyperlink" Target="https://www.akg.com/Wireless/wireless-components/3308H00370.html" TargetMode="External"/><Relationship Id="rId245" Type="http://schemas.openxmlformats.org/officeDocument/2006/relationships/hyperlink" Target="https://www.akg.com/dmstetrad-system.html" TargetMode="External"/><Relationship Id="rId266" Type="http://schemas.openxmlformats.org/officeDocument/2006/relationships/hyperlink" Target="https://www.akg.com/Wireless/Antennas%20%2F%20Antenna%20Components/3009H00130.html" TargetMode="External"/><Relationship Id="rId30" Type="http://schemas.openxmlformats.org/officeDocument/2006/relationships/hyperlink" Target="https://www.akg.com/Microphones/Dynamic%20Microphones/P2.html" TargetMode="External"/><Relationship Id="rId105" Type="http://schemas.openxmlformats.org/officeDocument/2006/relationships/hyperlink" Target="http://www.akg.com/pro/p/mfmcatalog" TargetMode="External"/><Relationship Id="rId126" Type="http://schemas.openxmlformats.org/officeDocument/2006/relationships/hyperlink" Target="https://www.akg.com/Microphones/Boundary%20Layer%20Microphones/3333H00010.html" TargetMode="External"/><Relationship Id="rId147" Type="http://schemas.openxmlformats.org/officeDocument/2006/relationships/hyperlink" Target="https://www.akg.com/Integrated_Systems/conference-system-components/3361H00210.html" TargetMode="External"/><Relationship Id="rId168" Type="http://schemas.openxmlformats.org/officeDocument/2006/relationships/hyperlink" Target="https://www.akg.com/Microphones/Microphone%20Accessories/6000H60010.html" TargetMode="External"/><Relationship Id="rId51" Type="http://schemas.openxmlformats.org/officeDocument/2006/relationships/hyperlink" Target="https://www.akg.com/Microphones/Headset%20Microphones/3066X00020.html" TargetMode="External"/><Relationship Id="rId72" Type="http://schemas.openxmlformats.org/officeDocument/2006/relationships/hyperlink" Target="https://au.akg.com/modular-microphones-components/3165H00080.html" TargetMode="External"/><Relationship Id="rId93" Type="http://schemas.openxmlformats.org/officeDocument/2006/relationships/hyperlink" Target="https://www.akg.com/Microphones/Speech%20%2F%20Spoken%20Word%20Microphones/2966H00020.html" TargetMode="External"/><Relationship Id="rId189" Type="http://schemas.openxmlformats.org/officeDocument/2006/relationships/hyperlink" Target="https://www.akg.com/Wireless/wireless-components/3251H00010.html" TargetMode="External"/><Relationship Id="rId3" Type="http://schemas.openxmlformats.org/officeDocument/2006/relationships/hyperlink" Target="https://www.akg.com/Microphones/Condenser%20Microphones/P220.html" TargetMode="External"/><Relationship Id="rId214" Type="http://schemas.openxmlformats.org/officeDocument/2006/relationships/hyperlink" Target="https://www.akg.com/Wireless/wireless-components/3301X00370.html" TargetMode="External"/><Relationship Id="rId235" Type="http://schemas.openxmlformats.org/officeDocument/2006/relationships/hyperlink" Target="https://www.akg.com/Wireless/wireless-components/5100252-00.html" TargetMode="External"/><Relationship Id="rId256" Type="http://schemas.openxmlformats.org/officeDocument/2006/relationships/hyperlink" Target="https://www.akg.com/Wireless/Antennas%20%2F%20Antenna%20Components/2634H00340.html" TargetMode="External"/><Relationship Id="rId116" Type="http://schemas.openxmlformats.org/officeDocument/2006/relationships/hyperlink" Target="https://www.akg.com/Microphones/Boundary%20Layer%20Microphones/5095183-00-LS.html" TargetMode="External"/><Relationship Id="rId137" Type="http://schemas.openxmlformats.org/officeDocument/2006/relationships/hyperlink" Target="https://www.akg.com/Integrated_Systems/conference-system-components/6500H00210.html" TargetMode="External"/><Relationship Id="rId158" Type="http://schemas.openxmlformats.org/officeDocument/2006/relationships/hyperlink" Target="https://www.akg.com/Microphones/Microphone%20Accessories/6500H00340.html" TargetMode="External"/><Relationship Id="rId20" Type="http://schemas.openxmlformats.org/officeDocument/2006/relationships/hyperlink" Target="https://www.akg.com/professionalemployeesale/3100H00120.html" TargetMode="External"/><Relationship Id="rId41" Type="http://schemas.openxmlformats.org/officeDocument/2006/relationships/hyperlink" Target="https://www.akg.com/Microphones/Dynamic%20Microphones/D40.html" TargetMode="External"/><Relationship Id="rId62" Type="http://schemas.openxmlformats.org/officeDocument/2006/relationships/hyperlink" Target="https://www.akg.com/Microphones/Speech%20%2F%20Spoken%20Word%20Microphones/LC81MDgroup.html?dwvar_LC81MDgroup_color=Black-GLOBAL-Current" TargetMode="External"/><Relationship Id="rId83" Type="http://schemas.openxmlformats.org/officeDocument/2006/relationships/hyperlink" Target="https://au.akg.com/modular-microphones-components/2765H00470.html" TargetMode="External"/><Relationship Id="rId179" Type="http://schemas.openxmlformats.org/officeDocument/2006/relationships/hyperlink" Target="https://www.akg.com/Microphones/Microphone%20Accessories/6500H00570.html" TargetMode="External"/><Relationship Id="rId190" Type="http://schemas.openxmlformats.org/officeDocument/2006/relationships/hyperlink" Target="https://www.akg.com/wireless/microfones-wireless/3347X00110.html" TargetMode="External"/><Relationship Id="rId204" Type="http://schemas.openxmlformats.org/officeDocument/2006/relationships/hyperlink" Target="https://www.akg.com/Wireless/wireless-components/3411X00010.html" TargetMode="External"/><Relationship Id="rId225" Type="http://schemas.openxmlformats.org/officeDocument/2006/relationships/hyperlink" Target="https://www.akg.com/Wireless/wireless-components/3308H00380.html" TargetMode="External"/><Relationship Id="rId246" Type="http://schemas.openxmlformats.org/officeDocument/2006/relationships/hyperlink" Target="https://www.akg.com/Microphones/Microphone%20Accessories/6500H00510.html" TargetMode="External"/><Relationship Id="rId267" Type="http://schemas.openxmlformats.org/officeDocument/2006/relationships/hyperlink" Target="https://www.akg.com/Wireless/Wireless%20Accessories/2887X00060.html" TargetMode="External"/><Relationship Id="rId106" Type="http://schemas.openxmlformats.org/officeDocument/2006/relationships/hyperlink" Target="https://www.akg.com/Microphones/Microphone%20Accessories/2426X00030.html" TargetMode="External"/><Relationship Id="rId127" Type="http://schemas.openxmlformats.org/officeDocument/2006/relationships/hyperlink" Target="https://www.akg.com/Microphones/Boundary%20Layer%20Microphones/3332H00010.html" TargetMode="External"/><Relationship Id="rId10" Type="http://schemas.openxmlformats.org/officeDocument/2006/relationships/hyperlink" Target="https://www.akg.com/Microphones/Condenser%20Microphones/C414XLS.html" TargetMode="External"/><Relationship Id="rId31" Type="http://schemas.openxmlformats.org/officeDocument/2006/relationships/hyperlink" Target="https://www.akg.com/Microphones/Dynamic%20Microphones/P4.html" TargetMode="External"/><Relationship Id="rId52" Type="http://schemas.openxmlformats.org/officeDocument/2006/relationships/hyperlink" Target="https://www.akg.com/Microphones/Headset%20Microphones/2793H00060.html" TargetMode="External"/><Relationship Id="rId73" Type="http://schemas.openxmlformats.org/officeDocument/2006/relationships/hyperlink" Target="https://au.akg.com/modular-microphones-components/2765H00400.html" TargetMode="External"/><Relationship Id="rId94" Type="http://schemas.openxmlformats.org/officeDocument/2006/relationships/hyperlink" Target="https://www.akg.com/Microphones/Microphone%20Accessories/2966H00030.html" TargetMode="External"/><Relationship Id="rId148" Type="http://schemas.openxmlformats.org/officeDocument/2006/relationships/hyperlink" Target="https://www.akg.com/Integrated_Systems/conference-system-components/3361H00220.html" TargetMode="External"/><Relationship Id="rId169" Type="http://schemas.openxmlformats.org/officeDocument/2006/relationships/hyperlink" Target="https://www.akg.com/Microphones/Microphone%20Accessories/6000H63010.html" TargetMode="External"/><Relationship Id="rId4" Type="http://schemas.openxmlformats.org/officeDocument/2006/relationships/hyperlink" Target="https://www.akg.com/Microphones/Condenser%20Microphones/P420.html" TargetMode="External"/><Relationship Id="rId180" Type="http://schemas.openxmlformats.org/officeDocument/2006/relationships/hyperlink" Target="https://www.akg.com/Microphones/Microphone%20Accessories/6500H00470.html" TargetMode="External"/><Relationship Id="rId215" Type="http://schemas.openxmlformats.org/officeDocument/2006/relationships/hyperlink" Target="https://www.akg.com/Wireless/wireless-components/3301X00380.html" TargetMode="External"/><Relationship Id="rId236" Type="http://schemas.openxmlformats.org/officeDocument/2006/relationships/hyperlink" Target="https://www.akg.com/Wireless/wireless-components/5100253-00.html" TargetMode="External"/><Relationship Id="rId257" Type="http://schemas.openxmlformats.org/officeDocument/2006/relationships/hyperlink" Target="https://www.akg.com/Wireless/Antennas%20%2F%20Antenna%20Components/3009H00170.html" TargetMode="External"/><Relationship Id="rId42" Type="http://schemas.openxmlformats.org/officeDocument/2006/relationships/hyperlink" Target="https://www.akg.com/Microphones/Dynamic%20Microphones/D112MkII.html" TargetMode="External"/><Relationship Id="rId84" Type="http://schemas.openxmlformats.org/officeDocument/2006/relationships/hyperlink" Target="https://au.akg.com/modular-microphones-components/3165H00100.html" TargetMode="External"/><Relationship Id="rId138" Type="http://schemas.openxmlformats.org/officeDocument/2006/relationships/hyperlink" Target="https://www.akg.com/cs3-system.html?dwvar_CS3System_color=Black-GLOBAL-Current" TargetMode="External"/><Relationship Id="rId191" Type="http://schemas.openxmlformats.org/officeDocument/2006/relationships/hyperlink" Target="https://www.akg.com/wireless/microfones-wireless/3347X00120.html" TargetMode="External"/><Relationship Id="rId205" Type="http://schemas.openxmlformats.org/officeDocument/2006/relationships/hyperlink" Target="https://www.akg.com/Wireless/wireless-components/3412H00010.html" TargetMode="External"/><Relationship Id="rId247" Type="http://schemas.openxmlformats.org/officeDocument/2006/relationships/hyperlink" Target="https://www.akg.com/Wireless/Wireless%20Accessories/3082X00010.html" TargetMode="External"/><Relationship Id="rId107" Type="http://schemas.openxmlformats.org/officeDocument/2006/relationships/hyperlink" Target="https://www.akg.com/Microphones/Microphone%20Accessories/3165H00150.html" TargetMode="External"/><Relationship Id="rId11" Type="http://schemas.openxmlformats.org/officeDocument/2006/relationships/hyperlink" Target="https://www.akg.com/Microphones/Condenser%20Microphones/C414+XLII.html" TargetMode="External"/><Relationship Id="rId53" Type="http://schemas.openxmlformats.org/officeDocument/2006/relationships/hyperlink" Target="https://www.akg.com/Microphones/Headset%20Microphones/3066H00100.html" TargetMode="External"/><Relationship Id="rId149" Type="http://schemas.openxmlformats.org/officeDocument/2006/relationships/hyperlink" Target="https://www.akg.com/Integrated_Systems/conference-system-components/3361H00230.html"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7.bin"/><Relationship Id="rId6" Type="http://schemas.openxmlformats.org/officeDocument/2006/relationships/table" Target="../tables/table6.xml"/><Relationship Id="rId5" Type="http://schemas.openxmlformats.org/officeDocument/2006/relationships/drawing" Target="../drawings/drawing7.xml"/><Relationship Id="rId4" Type="http://schemas.openxmlformats.org/officeDocument/2006/relationships/customProperty" Target="../customProperty3.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8.bin"/><Relationship Id="rId5" Type="http://schemas.openxmlformats.org/officeDocument/2006/relationships/table" Target="../tables/table7.x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9.bin"/><Relationship Id="rId5" Type="http://schemas.openxmlformats.org/officeDocument/2006/relationships/table" Target="../tables/table8.x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79E3D1-0152-446C-B95E-9E8F97B950A7}">
  <dimension ref="A1:P59"/>
  <sheetViews>
    <sheetView showGridLines="0" zoomScale="75" zoomScaleNormal="75" workbookViewId="0">
      <selection activeCell="Q19" sqref="Q19"/>
    </sheetView>
  </sheetViews>
  <sheetFormatPr defaultColWidth="8.85546875" defaultRowHeight="15"/>
  <cols>
    <col min="1" max="7" width="8.85546875" style="1"/>
    <col min="8" max="8" width="11.28515625" style="1" customWidth="1"/>
    <col min="9" max="9" width="15" style="1" customWidth="1"/>
    <col min="10" max="10" width="6.85546875" style="1" customWidth="1"/>
    <col min="11" max="11" width="41.42578125" style="1" bestFit="1" customWidth="1"/>
    <col min="12" max="12" width="36.28515625" style="1" bestFit="1" customWidth="1"/>
    <col min="13" max="13" width="46.5703125" style="1" bestFit="1" customWidth="1"/>
    <col min="14" max="16384" width="8.85546875" style="1"/>
  </cols>
  <sheetData>
    <row r="1" spans="1:16">
      <c r="A1" s="17"/>
      <c r="B1" s="17"/>
      <c r="C1" s="17"/>
      <c r="D1" s="17"/>
      <c r="E1" s="17"/>
      <c r="F1" s="17"/>
      <c r="G1" s="17"/>
      <c r="H1" s="16"/>
      <c r="I1" s="186"/>
      <c r="J1" s="187"/>
      <c r="K1" s="307" t="s">
        <v>0</v>
      </c>
      <c r="L1" s="307"/>
      <c r="M1" s="307"/>
    </row>
    <row r="2" spans="1:16">
      <c r="J2" s="2" t="s">
        <v>1</v>
      </c>
      <c r="K2" s="3"/>
      <c r="L2" s="3"/>
      <c r="M2" s="3"/>
      <c r="N2" s="3"/>
    </row>
    <row r="3" spans="1:16">
      <c r="K3" s="192" t="s">
        <v>2</v>
      </c>
      <c r="L3" s="192" t="s">
        <v>3</v>
      </c>
      <c r="M3" s="193" t="s">
        <v>4</v>
      </c>
      <c r="N3" s="194"/>
      <c r="O3" s="194"/>
      <c r="P3" s="194"/>
    </row>
    <row r="4" spans="1:16">
      <c r="J4" s="3"/>
      <c r="K4" s="193" t="s">
        <v>5</v>
      </c>
      <c r="L4" s="193" t="s">
        <v>6</v>
      </c>
      <c r="M4" s="165"/>
      <c r="N4" s="194"/>
      <c r="O4" s="194"/>
      <c r="P4" s="194"/>
    </row>
    <row r="5" spans="1:16">
      <c r="J5" s="3"/>
      <c r="K5" s="195" t="s">
        <v>7</v>
      </c>
      <c r="L5" s="193" t="s">
        <v>8</v>
      </c>
      <c r="M5" s="192" t="s">
        <v>9</v>
      </c>
      <c r="N5" s="194"/>
      <c r="O5" s="194"/>
      <c r="P5" s="194"/>
    </row>
    <row r="6" spans="1:16">
      <c r="J6" s="3"/>
      <c r="K6" s="195" t="s">
        <v>10</v>
      </c>
      <c r="L6" s="192" t="s">
        <v>11</v>
      </c>
      <c r="M6" s="193" t="s">
        <v>12</v>
      </c>
      <c r="N6" s="194"/>
      <c r="O6" s="194"/>
      <c r="P6" s="194"/>
    </row>
    <row r="7" spans="1:16">
      <c r="J7" s="3"/>
      <c r="K7" s="193" t="s">
        <v>13</v>
      </c>
      <c r="L7" s="193" t="s">
        <v>14</v>
      </c>
      <c r="M7" s="193" t="s">
        <v>15</v>
      </c>
      <c r="N7" s="194"/>
      <c r="O7" s="194"/>
      <c r="P7" s="194"/>
    </row>
    <row r="8" spans="1:16">
      <c r="J8" s="3"/>
      <c r="K8" s="193" t="s">
        <v>16</v>
      </c>
      <c r="L8" s="193" t="s">
        <v>17</v>
      </c>
      <c r="M8" s="193" t="s">
        <v>18</v>
      </c>
      <c r="N8" s="194"/>
      <c r="O8" s="194"/>
      <c r="P8" s="194"/>
    </row>
    <row r="9" spans="1:16">
      <c r="J9" s="3"/>
      <c r="K9" s="195" t="s">
        <v>19</v>
      </c>
      <c r="L9" s="193" t="s">
        <v>20</v>
      </c>
      <c r="M9" s="193" t="s">
        <v>21</v>
      </c>
      <c r="N9" s="194"/>
      <c r="O9" s="194"/>
      <c r="P9" s="194"/>
    </row>
    <row r="10" spans="1:16">
      <c r="J10" s="3"/>
      <c r="K10" s="195" t="s">
        <v>22</v>
      </c>
      <c r="L10" s="193" t="s">
        <v>23</v>
      </c>
      <c r="M10" s="195" t="s">
        <v>24</v>
      </c>
      <c r="N10" s="194"/>
      <c r="O10" s="194"/>
      <c r="P10" s="194"/>
    </row>
    <row r="11" spans="1:16">
      <c r="J11" s="3"/>
      <c r="K11" s="193" t="s">
        <v>25</v>
      </c>
      <c r="L11" s="193" t="s">
        <v>26</v>
      </c>
      <c r="M11" s="195" t="s">
        <v>27</v>
      </c>
      <c r="N11" s="194"/>
      <c r="O11" s="194"/>
      <c r="P11" s="194"/>
    </row>
    <row r="12" spans="1:16">
      <c r="H12" s="188"/>
      <c r="J12" s="3"/>
      <c r="K12"/>
      <c r="L12" s="193" t="s">
        <v>28</v>
      </c>
      <c r="M12" s="195" t="s">
        <v>29</v>
      </c>
      <c r="N12" s="194"/>
      <c r="O12" s="194"/>
      <c r="P12" s="194"/>
    </row>
    <row r="13" spans="1:16">
      <c r="J13" s="4"/>
      <c r="K13" s="196"/>
      <c r="L13" s="196" t="s">
        <v>30</v>
      </c>
      <c r="M13" s="196" t="s">
        <v>31</v>
      </c>
      <c r="N13" s="194"/>
      <c r="O13" s="194"/>
      <c r="P13" s="194"/>
    </row>
    <row r="14" spans="1:16">
      <c r="J14" s="2" t="s">
        <v>32</v>
      </c>
      <c r="N14" s="3"/>
    </row>
    <row r="15" spans="1:16">
      <c r="J15" s="3"/>
      <c r="K15" s="197" t="s">
        <v>33</v>
      </c>
      <c r="L15" s="198" t="s">
        <v>34</v>
      </c>
      <c r="M15" s="194" t="s">
        <v>35</v>
      </c>
      <c r="N15" s="3"/>
    </row>
    <row r="16" spans="1:16">
      <c r="J16" s="3"/>
      <c r="K16" s="199" t="s">
        <v>36</v>
      </c>
      <c r="L16" s="194" t="s">
        <v>37</v>
      </c>
      <c r="M16" s="194" t="s">
        <v>38</v>
      </c>
      <c r="N16" s="3"/>
    </row>
    <row r="17" spans="2:14">
      <c r="J17" s="3"/>
      <c r="K17" s="199" t="s">
        <v>39</v>
      </c>
      <c r="L17" s="194" t="s">
        <v>40</v>
      </c>
      <c r="M17" s="194" t="s">
        <v>41</v>
      </c>
      <c r="N17" s="3"/>
    </row>
    <row r="18" spans="2:14">
      <c r="J18" s="3"/>
      <c r="K18" s="199" t="s">
        <v>42</v>
      </c>
      <c r="L18" s="194" t="s">
        <v>43</v>
      </c>
      <c r="M18" s="194" t="s">
        <v>44</v>
      </c>
      <c r="N18" s="3"/>
    </row>
    <row r="19" spans="2:14">
      <c r="J19" s="3"/>
      <c r="K19" s="194" t="s">
        <v>45</v>
      </c>
      <c r="L19" s="194" t="s">
        <v>46</v>
      </c>
      <c r="M19" s="194" t="s">
        <v>47</v>
      </c>
      <c r="N19" s="3"/>
    </row>
    <row r="20" spans="2:14">
      <c r="J20" s="3"/>
      <c r="K20" s="194" t="s">
        <v>48</v>
      </c>
      <c r="L20" s="194" t="s">
        <v>49</v>
      </c>
      <c r="N20" s="3"/>
    </row>
    <row r="21" spans="2:14" ht="15.75" customHeight="1">
      <c r="J21" s="4"/>
      <c r="K21" s="194" t="s">
        <v>50</v>
      </c>
      <c r="L21" s="194" t="s">
        <v>51</v>
      </c>
      <c r="M21" s="4"/>
      <c r="N21" s="3"/>
    </row>
    <row r="22" spans="2:14">
      <c r="J22" s="5" t="s">
        <v>52</v>
      </c>
      <c r="K22" s="189"/>
      <c r="L22" s="189"/>
      <c r="M22" s="189"/>
      <c r="N22" s="3"/>
    </row>
    <row r="23" spans="2:14">
      <c r="J23" s="3"/>
      <c r="K23" s="198" t="s">
        <v>53</v>
      </c>
      <c r="L23" s="198" t="s">
        <v>54</v>
      </c>
      <c r="M23" s="198" t="s">
        <v>55</v>
      </c>
      <c r="N23" s="3"/>
    </row>
    <row r="24" spans="2:14">
      <c r="J24" s="4"/>
      <c r="K24" s="200" t="s">
        <v>56</v>
      </c>
      <c r="L24" s="190"/>
      <c r="M24" s="190"/>
      <c r="N24" s="3"/>
    </row>
    <row r="25" spans="2:14">
      <c r="J25" s="2" t="s">
        <v>57</v>
      </c>
      <c r="N25" s="3"/>
    </row>
    <row r="26" spans="2:14">
      <c r="J26" s="3"/>
      <c r="K26" s="201" t="s">
        <v>58</v>
      </c>
      <c r="L26" s="194" t="s">
        <v>59</v>
      </c>
      <c r="M26" s="194" t="s">
        <v>60</v>
      </c>
      <c r="N26" s="3"/>
    </row>
    <row r="27" spans="2:14">
      <c r="J27" s="3"/>
      <c r="K27" s="201" t="s">
        <v>61</v>
      </c>
      <c r="L27" s="194" t="s">
        <v>62</v>
      </c>
      <c r="M27" s="194" t="s">
        <v>63</v>
      </c>
      <c r="N27" s="202"/>
    </row>
    <row r="28" spans="2:14">
      <c r="J28" s="3"/>
      <c r="K28" s="194" t="s">
        <v>64</v>
      </c>
      <c r="L28" s="198" t="s">
        <v>65</v>
      </c>
      <c r="M28" s="194" t="s">
        <v>66</v>
      </c>
      <c r="N28" s="202"/>
    </row>
    <row r="29" spans="2:14">
      <c r="B29" s="308" t="s">
        <v>67</v>
      </c>
      <c r="C29" s="308"/>
      <c r="D29" s="308"/>
      <c r="E29" s="308"/>
      <c r="F29" s="308"/>
      <c r="G29" s="308"/>
      <c r="H29" s="308"/>
      <c r="J29" s="190"/>
      <c r="K29" s="196" t="s">
        <v>68</v>
      </c>
      <c r="L29" s="203"/>
      <c r="M29" s="203" t="s">
        <v>69</v>
      </c>
      <c r="N29" s="202"/>
    </row>
    <row r="30" spans="2:14">
      <c r="B30" s="308"/>
      <c r="C30" s="308"/>
      <c r="D30" s="308"/>
      <c r="E30" s="308"/>
      <c r="F30" s="308"/>
      <c r="G30" s="308"/>
      <c r="H30" s="308"/>
      <c r="J30" s="166" t="s">
        <v>70</v>
      </c>
      <c r="N30" s="3"/>
    </row>
    <row r="31" spans="2:14" ht="15" customHeight="1">
      <c r="B31" s="308" t="s">
        <v>71</v>
      </c>
      <c r="C31" s="308"/>
      <c r="D31" s="308"/>
      <c r="E31" s="308"/>
      <c r="F31" s="308"/>
      <c r="G31" s="308"/>
      <c r="H31" s="308"/>
      <c r="J31" s="2"/>
      <c r="K31" s="204" t="s">
        <v>72</v>
      </c>
      <c r="L31" s="204" t="s">
        <v>73</v>
      </c>
      <c r="M31" s="204" t="s">
        <v>74</v>
      </c>
      <c r="N31" s="3"/>
    </row>
    <row r="32" spans="2:14" ht="15" customHeight="1">
      <c r="B32" s="308"/>
      <c r="C32" s="308"/>
      <c r="D32" s="308"/>
      <c r="E32" s="308"/>
      <c r="F32" s="308"/>
      <c r="G32" s="308"/>
      <c r="H32" s="308"/>
      <c r="J32" s="3"/>
      <c r="K32" s="204" t="s">
        <v>75</v>
      </c>
      <c r="L32" s="204" t="s">
        <v>76</v>
      </c>
      <c r="M32" s="204" t="s">
        <v>77</v>
      </c>
      <c r="N32" s="3"/>
    </row>
    <row r="33" spans="2:14" ht="21">
      <c r="B33" s="257"/>
      <c r="C33" s="257"/>
      <c r="D33" s="257"/>
      <c r="E33" s="257"/>
      <c r="F33" s="257"/>
      <c r="G33" s="257"/>
      <c r="H33" s="257"/>
      <c r="J33" s="3"/>
      <c r="K33" s="204" t="s">
        <v>78</v>
      </c>
      <c r="L33" s="204" t="s">
        <v>79</v>
      </c>
      <c r="N33" s="3"/>
    </row>
    <row r="34" spans="2:14" ht="27" customHeight="1">
      <c r="B34" s="309" t="s">
        <v>8430</v>
      </c>
      <c r="C34" s="309"/>
      <c r="D34" s="309"/>
      <c r="E34" s="309"/>
      <c r="F34" s="309"/>
      <c r="G34" s="309"/>
      <c r="H34" s="309"/>
      <c r="J34" s="3"/>
      <c r="K34" s="3"/>
      <c r="L34" s="3"/>
      <c r="M34" s="6"/>
      <c r="N34" s="3"/>
    </row>
    <row r="35" spans="2:14">
      <c r="J35" s="5" t="s">
        <v>80</v>
      </c>
      <c r="K35" s="189"/>
      <c r="L35" s="189"/>
      <c r="M35" s="189"/>
      <c r="N35" s="202"/>
    </row>
    <row r="36" spans="2:14">
      <c r="B36" s="306" t="s">
        <v>81</v>
      </c>
      <c r="C36" s="310"/>
      <c r="D36" s="310"/>
      <c r="E36" s="310"/>
      <c r="F36" s="310"/>
      <c r="G36" s="310"/>
      <c r="H36" s="310"/>
      <c r="J36" s="3"/>
      <c r="K36" s="197" t="s">
        <v>82</v>
      </c>
      <c r="L36" s="198"/>
      <c r="M36" s="198"/>
      <c r="N36" s="3"/>
    </row>
    <row r="37" spans="2:14">
      <c r="B37" s="310"/>
      <c r="C37" s="310"/>
      <c r="D37" s="310"/>
      <c r="E37" s="310"/>
      <c r="F37" s="310"/>
      <c r="G37" s="310"/>
      <c r="H37" s="310"/>
      <c r="J37" s="3"/>
      <c r="K37" s="205" t="s">
        <v>83</v>
      </c>
      <c r="L37" s="205" t="s">
        <v>84</v>
      </c>
      <c r="M37" s="205" t="s">
        <v>85</v>
      </c>
      <c r="N37" s="3"/>
    </row>
    <row r="38" spans="2:14">
      <c r="B38" s="310"/>
      <c r="C38" s="310"/>
      <c r="D38" s="310"/>
      <c r="E38" s="310"/>
      <c r="F38" s="310"/>
      <c r="G38" s="310"/>
      <c r="H38" s="310"/>
      <c r="J38" s="3"/>
      <c r="K38" s="205" t="s">
        <v>86</v>
      </c>
      <c r="L38" s="205" t="s">
        <v>87</v>
      </c>
      <c r="M38" s="194" t="s">
        <v>88</v>
      </c>
      <c r="N38" s="3"/>
    </row>
    <row r="39" spans="2:14">
      <c r="B39" s="310"/>
      <c r="C39" s="310"/>
      <c r="D39" s="310"/>
      <c r="E39" s="310"/>
      <c r="F39" s="310"/>
      <c r="G39" s="310"/>
      <c r="H39" s="310"/>
      <c r="J39" s="3"/>
      <c r="K39" s="205" t="s">
        <v>89</v>
      </c>
      <c r="L39" s="205" t="s">
        <v>90</v>
      </c>
      <c r="M39" s="205" t="s">
        <v>91</v>
      </c>
      <c r="N39" s="3"/>
    </row>
    <row r="40" spans="2:14">
      <c r="B40" s="310"/>
      <c r="C40" s="310"/>
      <c r="D40" s="310"/>
      <c r="E40" s="310"/>
      <c r="F40" s="310"/>
      <c r="G40" s="310"/>
      <c r="H40" s="310"/>
      <c r="J40" s="3"/>
      <c r="K40" s="194" t="s">
        <v>92</v>
      </c>
      <c r="L40" s="205" t="s">
        <v>93</v>
      </c>
      <c r="M40" s="205" t="s">
        <v>94</v>
      </c>
      <c r="N40" s="3"/>
    </row>
    <row r="41" spans="2:14">
      <c r="B41" s="310"/>
      <c r="C41" s="310"/>
      <c r="D41" s="310"/>
      <c r="E41" s="310"/>
      <c r="F41" s="310"/>
      <c r="G41" s="310"/>
      <c r="H41" s="310"/>
      <c r="J41" s="3"/>
      <c r="K41" s="205" t="s">
        <v>95</v>
      </c>
      <c r="L41" s="205" t="s">
        <v>96</v>
      </c>
      <c r="M41" s="205" t="s">
        <v>97</v>
      </c>
      <c r="N41" s="3"/>
    </row>
    <row r="42" spans="2:14">
      <c r="B42" s="310"/>
      <c r="C42" s="310"/>
      <c r="D42" s="310"/>
      <c r="E42" s="310"/>
      <c r="F42" s="310"/>
      <c r="G42" s="310"/>
      <c r="H42" s="310"/>
      <c r="J42" s="3"/>
      <c r="K42" s="205" t="s">
        <v>98</v>
      </c>
      <c r="L42" s="205" t="s">
        <v>99</v>
      </c>
      <c r="M42" s="205" t="s">
        <v>100</v>
      </c>
      <c r="N42" s="3"/>
    </row>
    <row r="43" spans="2:14">
      <c r="B43" s="310"/>
      <c r="C43" s="310"/>
      <c r="D43" s="310"/>
      <c r="E43" s="310"/>
      <c r="F43" s="310"/>
      <c r="G43" s="310"/>
      <c r="H43" s="310"/>
      <c r="J43" s="3"/>
      <c r="K43" s="205" t="s">
        <v>101</v>
      </c>
      <c r="L43" s="205" t="s">
        <v>102</v>
      </c>
      <c r="M43" s="205" t="s">
        <v>103</v>
      </c>
      <c r="N43" s="3"/>
    </row>
    <row r="44" spans="2:14">
      <c r="B44" s="310"/>
      <c r="C44" s="310"/>
      <c r="D44" s="310"/>
      <c r="E44" s="310"/>
      <c r="F44" s="310"/>
      <c r="G44" s="310"/>
      <c r="H44" s="310"/>
      <c r="J44" s="3"/>
      <c r="K44" s="205" t="s">
        <v>104</v>
      </c>
      <c r="L44" s="205" t="s">
        <v>105</v>
      </c>
      <c r="M44" s="205" t="s">
        <v>106</v>
      </c>
      <c r="N44" s="3"/>
    </row>
    <row r="45" spans="2:14">
      <c r="B45" s="310"/>
      <c r="C45" s="310"/>
      <c r="D45" s="310"/>
      <c r="E45" s="310"/>
      <c r="F45" s="310"/>
      <c r="G45" s="310"/>
      <c r="H45" s="310"/>
      <c r="J45" s="4"/>
      <c r="K45" s="203" t="s">
        <v>107</v>
      </c>
      <c r="L45" s="203" t="s">
        <v>108</v>
      </c>
      <c r="M45" s="203" t="s">
        <v>109</v>
      </c>
      <c r="N45" s="3"/>
    </row>
    <row r="46" spans="2:14">
      <c r="B46" s="310"/>
      <c r="C46" s="310"/>
      <c r="D46" s="310"/>
      <c r="E46" s="310"/>
      <c r="F46" s="310"/>
      <c r="G46" s="310"/>
      <c r="H46" s="310"/>
      <c r="J46" s="2" t="s">
        <v>110</v>
      </c>
      <c r="K46" s="3"/>
      <c r="L46" s="3"/>
      <c r="M46" s="3"/>
      <c r="N46" s="3"/>
    </row>
    <row r="47" spans="2:14">
      <c r="B47" s="310"/>
      <c r="C47" s="310"/>
      <c r="D47" s="310"/>
      <c r="E47" s="310"/>
      <c r="F47" s="310"/>
      <c r="G47" s="310"/>
      <c r="H47" s="310"/>
      <c r="J47" s="3"/>
      <c r="K47" s="194" t="s">
        <v>111</v>
      </c>
      <c r="L47" s="194" t="s">
        <v>112</v>
      </c>
      <c r="M47" s="194" t="s">
        <v>113</v>
      </c>
      <c r="N47" s="3"/>
    </row>
    <row r="48" spans="2:14">
      <c r="B48" s="310"/>
      <c r="C48" s="310"/>
      <c r="D48" s="310"/>
      <c r="E48" s="310"/>
      <c r="F48" s="310"/>
      <c r="G48" s="310"/>
      <c r="H48" s="310"/>
      <c r="J48" s="4"/>
      <c r="K48" s="203" t="s">
        <v>114</v>
      </c>
      <c r="L48" s="203" t="s">
        <v>115</v>
      </c>
      <c r="M48" s="4"/>
      <c r="N48" s="3"/>
    </row>
    <row r="49" spans="2:14">
      <c r="B49" s="310"/>
      <c r="C49" s="310"/>
      <c r="D49" s="310"/>
      <c r="E49" s="310"/>
      <c r="F49" s="310"/>
      <c r="G49" s="310"/>
      <c r="H49" s="310"/>
      <c r="J49" s="2" t="s">
        <v>116</v>
      </c>
      <c r="K49" s="3"/>
      <c r="L49" s="3"/>
      <c r="M49" s="3"/>
      <c r="N49" s="3"/>
    </row>
    <row r="50" spans="2:14">
      <c r="B50" s="311"/>
      <c r="C50" s="311"/>
      <c r="D50" s="311"/>
      <c r="E50" s="311"/>
      <c r="F50" s="311"/>
      <c r="G50" s="311"/>
      <c r="H50" s="311"/>
      <c r="J50" s="3"/>
      <c r="K50" s="194" t="s">
        <v>117</v>
      </c>
      <c r="L50" s="194" t="s">
        <v>118</v>
      </c>
      <c r="M50" s="194" t="s">
        <v>119</v>
      </c>
      <c r="N50" s="3"/>
    </row>
    <row r="51" spans="2:14">
      <c r="B51" s="306"/>
      <c r="C51" s="306"/>
      <c r="D51" s="306"/>
      <c r="E51" s="306"/>
      <c r="F51" s="306"/>
      <c r="G51" s="306"/>
      <c r="H51" s="306"/>
      <c r="J51" s="3"/>
      <c r="K51" s="194" t="s">
        <v>120</v>
      </c>
      <c r="L51" s="194" t="s">
        <v>121</v>
      </c>
      <c r="N51" s="3"/>
    </row>
    <row r="52" spans="2:14" ht="15.6" customHeight="1">
      <c r="B52" s="306"/>
      <c r="C52" s="306"/>
      <c r="D52" s="306"/>
      <c r="E52" s="306"/>
      <c r="F52" s="306"/>
      <c r="G52" s="306"/>
      <c r="H52" s="306"/>
      <c r="J52" s="4"/>
      <c r="K52" s="203" t="s">
        <v>122</v>
      </c>
      <c r="L52" s="203" t="s">
        <v>123</v>
      </c>
      <c r="M52" s="203"/>
      <c r="N52" s="3"/>
    </row>
    <row r="53" spans="2:14" ht="15.6" customHeight="1">
      <c r="B53" s="306"/>
      <c r="C53" s="306"/>
      <c r="D53" s="306"/>
      <c r="E53" s="306"/>
      <c r="F53" s="306"/>
      <c r="G53" s="306"/>
      <c r="H53" s="306"/>
      <c r="J53" s="2" t="s">
        <v>124</v>
      </c>
      <c r="K53" s="2"/>
      <c r="L53" s="3"/>
      <c r="M53" s="3"/>
      <c r="N53" s="3"/>
    </row>
    <row r="54" spans="2:14">
      <c r="B54" s="306"/>
      <c r="C54" s="306"/>
      <c r="D54" s="306"/>
      <c r="E54" s="306"/>
      <c r="F54" s="306"/>
      <c r="G54" s="306"/>
      <c r="H54" s="306"/>
      <c r="J54" s="3" t="s">
        <v>125</v>
      </c>
      <c r="K54" s="194" t="s">
        <v>126</v>
      </c>
      <c r="L54" s="194" t="s">
        <v>127</v>
      </c>
      <c r="M54" s="194" t="s">
        <v>128</v>
      </c>
      <c r="N54" s="3"/>
    </row>
    <row r="55" spans="2:14">
      <c r="B55" s="306"/>
      <c r="C55" s="306"/>
      <c r="D55" s="306"/>
      <c r="E55" s="306"/>
      <c r="F55" s="306"/>
      <c r="G55" s="306"/>
      <c r="H55" s="306"/>
      <c r="I55" s="191"/>
      <c r="J55" s="3"/>
      <c r="K55" s="194" t="s">
        <v>129</v>
      </c>
      <c r="L55" s="194" t="s">
        <v>130</v>
      </c>
      <c r="M55" s="194" t="s">
        <v>131</v>
      </c>
      <c r="N55" s="3"/>
    </row>
    <row r="56" spans="2:14">
      <c r="B56" s="166"/>
      <c r="C56" s="191"/>
      <c r="D56" s="191"/>
      <c r="E56" s="191"/>
      <c r="F56" s="191"/>
      <c r="G56" s="191"/>
      <c r="H56" s="191"/>
      <c r="J56" s="3"/>
      <c r="K56" s="194" t="s">
        <v>132</v>
      </c>
      <c r="L56" s="194" t="s">
        <v>133</v>
      </c>
      <c r="M56" s="194" t="s">
        <v>134</v>
      </c>
    </row>
    <row r="57" spans="2:14">
      <c r="B57" s="166"/>
      <c r="J57" s="3"/>
      <c r="K57" s="194" t="s">
        <v>135</v>
      </c>
      <c r="L57" s="194" t="s">
        <v>136</v>
      </c>
      <c r="M57" s="194" t="s">
        <v>137</v>
      </c>
      <c r="N57" s="3"/>
    </row>
    <row r="58" spans="2:14">
      <c r="J58" s="3"/>
      <c r="M58" s="202"/>
      <c r="N58" s="3"/>
    </row>
    <row r="59" spans="2:14">
      <c r="J59" s="3"/>
      <c r="M59" s="3"/>
      <c r="N59" s="3"/>
    </row>
  </sheetData>
  <mergeCells count="7">
    <mergeCell ref="B51:H55"/>
    <mergeCell ref="K1:M1"/>
    <mergeCell ref="B29:H30"/>
    <mergeCell ref="B31:H32"/>
    <mergeCell ref="B34:H34"/>
    <mergeCell ref="B36:H49"/>
    <mergeCell ref="B50:H50"/>
  </mergeCells>
  <hyperlinks>
    <hyperlink ref="K3" location="AKG!A219" display="Wireless" xr:uid="{6772E0E4-0E41-4142-ABE9-0BF4C16FA6CB}"/>
    <hyperlink ref="L3" location="AKG!A329" display="Headphones" xr:uid="{0012FFCE-2E05-4BE5-91D5-C23FB21068F7}"/>
    <hyperlink ref="L4" location="AKG!A331" display="Studio Headphones" xr:uid="{A28881D6-A692-481E-A1E8-557F20EB841A}"/>
    <hyperlink ref="L5" location="AKG!A347" display="Headsets" xr:uid="{F2888E24-D5B3-465A-B884-514D522781B6}"/>
    <hyperlink ref="M5" location="AKG!A160" display="Conference Systems" xr:uid="{C9CA976B-FEDF-4999-AE56-4B0C779D5863}"/>
    <hyperlink ref="M6" location="AKG!A113" display="Tabletops" xr:uid="{53B4DF34-9A08-486E-9293-28F6B4D5B253}"/>
    <hyperlink ref="M7" location="AKG!A82" display="Microlite Microphones" xr:uid="{AF14EDFF-DE5D-419E-8206-AFF947E7F562}"/>
    <hyperlink ref="M8" location="AKG!A188" display="Microlite Accessories" xr:uid="{92FAD0BF-0939-4884-8E2D-93D7692B1493}"/>
    <hyperlink ref="M9" location="AKG!A69" display="Lavalier Microphones" xr:uid="{89D4A630-48EA-4D58-8B02-0C9E3365BF55}"/>
    <hyperlink ref="M10" location="AKG!A86" display="Gooseneck Microphones" xr:uid="{7CECD2E0-E46D-41D1-9F33-15AE61E83CB3}"/>
    <hyperlink ref="M11" location="AKG!A365" display="DMM (Digital Microphone Mixer)" xr:uid="{B1F6FD00-ADF7-4046-9BB4-4B5A432BA1C0}"/>
    <hyperlink ref="M12" location="AKG!A79" display="Conference Headphones" xr:uid="{A01CF15B-2F63-48B5-AB95-033971A7BF12}"/>
    <hyperlink ref="M13" location="AKG!A136" display="Boundary Layer Microphones" xr:uid="{54ADFA98-20DD-4CFB-9C9D-E0A699FAB63E}"/>
    <hyperlink ref="K15" location="AMX!A3" display="Switchers" xr:uid="{5400FFAF-441E-4978-8AB5-BA19F19267B6}"/>
    <hyperlink ref="K17" location="AMX!A56" display="Analog Signal Distribution" xr:uid="{55ED6C04-ABF5-4859-A8EB-B863AA9FB418}"/>
    <hyperlink ref="K18" location="AMX!A165" display="Architectural Connectivity" xr:uid="{03E855F6-A601-44B0-BCB6-2B9B2E76D0E5}"/>
    <hyperlink ref="M15" location="AMX!A158" display="Scheduling Panels " xr:uid="{428C77B2-7C5A-43FF-9BBD-6A4376E81EE3}"/>
    <hyperlink ref="K19" location="AMX!A113" display="Camera &amp; Camera Control" xr:uid="{B1884684-26A3-470B-A360-762A73C7A885}"/>
    <hyperlink ref="K20" location="AMX!A113" display="Central Controllers" xr:uid="{732111DE-A5D2-4ACF-A37D-12A68F18437C}"/>
    <hyperlink ref="L19" location="AMX!A128" display="Integration Software" xr:uid="{7B157469-72B2-4F68-A56F-87ACFDB93FD7}"/>
    <hyperlink ref="K21" location="AMX!A118" display="Control Pads" xr:uid="{523F936A-3383-46EB-958A-7061BD33B272}"/>
    <hyperlink ref="L20" location="AMX!A216" display="Keypads" xr:uid="{7CEA1AAE-78F7-4D8D-AEF7-A518858CF05E}"/>
    <hyperlink ref="L15" location="AMX!A103" display="Control System Accessories" xr:uid="{A5AB5A57-F601-4BDF-A947-026AC6D6DAF7}"/>
    <hyperlink ref="L16" location="AMX!A70" display="Digital Matrix Switchers" xr:uid="{45A02DC3-0780-4650-B1C6-F80B3592B92B}"/>
    <hyperlink ref="M17" location="AMX!A136" display="User Interface Accessories" xr:uid="{115BEB15-16EC-42BD-9B70-F1CB4BE60197}"/>
    <hyperlink ref="L18" location="AMX!A10" display="Digital Switchers" xr:uid="{834E8E37-4B5C-4D8A-91C3-2274A4EF0F75}"/>
    <hyperlink ref="L21" location="AMX!A247" display="Networked AV" xr:uid="{68218D20-7D3A-4EF2-A0CE-A58EA1200752}"/>
    <hyperlink ref="M18" location="AMX!A154" display="Workspace Collaboration" xr:uid="{3EF824FD-9A1B-47D5-8EFC-2FCCC04E3056}"/>
    <hyperlink ref="K23" location="BSS!A9" display="Direct Box" xr:uid="{3DDA8774-F4B1-4702-AAB8-E3FA39A08006}"/>
    <hyperlink ref="M23" location="BSS!A3" display="Soundweb London" xr:uid="{7B249539-28D5-4139-A01E-F2D5C9D4152C}"/>
    <hyperlink ref="L23" location="BSS!A16" display="Soundweb Controllers" xr:uid="{15E1F510-108C-44FA-B30C-51499FF88776}"/>
    <hyperlink ref="K26" location="Crown!A76" display="XLi" xr:uid="{4663236D-CE86-4158-A91B-F9C81CCAC759}"/>
    <hyperlink ref="L26" location="Crown!A67" display="I-Tech HD Series" xr:uid="{13EFE7A6-2318-4187-B8D7-9A254E8060BA}"/>
    <hyperlink ref="M26" location="Crown!A43" display="DriveCore Install Analog Series" xr:uid="{70597B38-4E34-48BE-8BAA-123653466FB2}"/>
    <hyperlink ref="K27" location="Crown!A80" display="XLS DriveCore 2" xr:uid="{A353B5D3-82D1-45A1-91B5-1789E943FB86}"/>
    <hyperlink ref="L27" location="Crown!A72" display="VRACK" xr:uid="{CA28A555-2EA7-4B76-842A-8D9279F2B296}"/>
    <hyperlink ref="M27" location="Crown!A31" display="DriveCore Install Network Series (w/ BLU-Link)" xr:uid="{C605F6EC-2572-462B-9A9D-79557A1D2D44}"/>
    <hyperlink ref="K28" location="Crown!A84" display="XTi 2" xr:uid="{E9ADAC5D-F413-4751-9171-62F702CC7497}"/>
    <hyperlink ref="M28" location="Crown!A50" display="DriveCore Install Network Display Series (w/ AVB)" xr:uid="{92587768-BF1A-4620-9BF2-D03C5287CBE7}"/>
    <hyperlink ref="M29" location="Crown!A49" display="DriveCore Install DA Series (w/ Dante) NEW" xr:uid="{F113C1BB-4D7E-46A3-9FA1-FC19B6526D7D}"/>
    <hyperlink ref="K31" location="DBX!A12" display=" Production Series " xr:uid="{6984E39F-0761-415F-BEA4-A5F9382AF85E}"/>
    <hyperlink ref="L31" location="DBX!A17" display=" DriveRack " xr:uid="{1BEE29CB-147C-41EC-9F46-D2448617A058}"/>
    <hyperlink ref="K32" location="DBX!A22" display=" 500 Series " xr:uid="{05D03B9E-17E7-424A-B92A-B137B50706BC}"/>
    <hyperlink ref="L32" location="DBX!A50" display=" Personal Monitor Solutions " xr:uid="{F3F63667-C6C9-4039-A612-5D4A0C2BB43B}"/>
    <hyperlink ref="M32" location="DBX!A39" display=" Accessories " xr:uid="{1DCD1AE2-A0A0-42ED-97B7-256EA6C525BC}"/>
    <hyperlink ref="K33" location="DBX!A3" display=" Graphic EQs " xr:uid="{16EFB9B5-700F-429A-A40B-B5CFAFC8D54C}"/>
    <hyperlink ref="L33" location="DBX!A5" display=" ZonePro / Digital Zone Processor " xr:uid="{C9CFE05B-3CFE-43B4-89A6-C7BCEA7AD9F1}"/>
    <hyperlink ref="K47" location="Lexicon!A6" display="PCM Series" xr:uid="{85E70F5C-1C5C-40F2-AEAE-B9F8EC5DAC5D}"/>
    <hyperlink ref="L47" location="Lexicon!A11" display="PCM Plug-ins" xr:uid="{B4BAC37D-8FC8-423F-A8D4-0418AC6576AB}"/>
    <hyperlink ref="M47" location="Lexicon!A14" display="CINEMA PROCESSOR" xr:uid="{26006874-6C38-4791-AF86-00B81C59A588}"/>
    <hyperlink ref="K48" location="Lexicon!A4" display="I·O Series" xr:uid="{B6E7143C-4938-4B45-A805-4EB0A8C4DE8F}"/>
    <hyperlink ref="L48" location="Lexicon!A5" display="LXP Plug-ins" xr:uid="{6ABC814F-89EC-42AC-982D-D5A4711A5DC8}"/>
    <hyperlink ref="K50" location="Martin!A3" display="AUTOMATED LIGHTS" xr:uid="{DC018FAE-93DA-4D16-BD16-8210C9DD0F2A}"/>
    <hyperlink ref="L50" location="Martin!A429" display="ARCHITAINMENT" xr:uid="{B29B2169-8243-40A5-9C39-FEB0C88DA010}"/>
    <hyperlink ref="K51" location="Martin!A182" display="STATIC LIGHTS" xr:uid="{498B4DC4-971D-43AF-B4C9-866BA0D9EBB6}"/>
    <hyperlink ref="L51" location="Martin!A358" display="LED VIDEO" xr:uid="{FB4D720F-B2B7-49E2-907D-7BF21ABC24C3}"/>
    <hyperlink ref="M50" location="Martin!A3" display="ACCESSORIES" xr:uid="{16A424BD-BB53-411E-94A0-1554F5C5FAB6}"/>
    <hyperlink ref="K52" location="Martin!A175" display="EFFECT LIGHTS" xr:uid="{77FE1290-CAB5-474E-835D-A3C9ECE0D0DE}"/>
    <hyperlink ref="L52" location="Martin!A124" display="ATMOSPHERIC EFFECTS" xr:uid="{7356C16C-3D56-4DB9-A328-F81C21499AB1}"/>
    <hyperlink ref="K54" location="Soundcraft!A6" display="EPM Series" xr:uid="{BD500C32-B036-477E-A97D-4960FEC79DFE}"/>
    <hyperlink ref="L54" location="Soundcraft!A31" display="GB Series" xr:uid="{55059BE4-524C-4F90-866B-8E31DF7ACCF7}"/>
    <hyperlink ref="M55" location="Soundcraft!A196" display="Vi Series" xr:uid="{F6E32B9F-7D3A-47D4-9F86-2902A2E7B3B6}"/>
    <hyperlink ref="K56" location="Soundcraft!A15" display="FX Series" xr:uid="{D6D4A53D-201D-4F01-89BE-EC9C1BB8703F}"/>
    <hyperlink ref="L56" location="Soundcraft!A16" display="Signature Series" xr:uid="{B4247EBF-4821-43C2-9413-871B321E9058}"/>
    <hyperlink ref="L57" location="Soundcraft!A23" display="Signature MTK Series" xr:uid="{3F626290-D8C1-49D6-9F02-0DA132845245}"/>
    <hyperlink ref="L55" location="Soundcraft!A71" display="Si Series" xr:uid="{436A3F79-6324-44FC-AA88-3EAFBFBE8AF1}"/>
    <hyperlink ref="M54" location="Soundcraft!A66" display="Ui Series" xr:uid="{CD40D6D3-E8A2-4503-9085-FDF6029D9C7C}"/>
    <hyperlink ref="M56" location="Soundcraft!A130" display="CSB Series (COMPACT STAGEBOX)" xr:uid="{7F2BC08D-39E8-4ACF-8BD1-03E7D6818E1E}"/>
    <hyperlink ref="K57" location="Soundcraft!A25" display="LX7ii Series" xr:uid="{C70B3543-6C53-49D1-8F3D-E3B2A73DC9C8}"/>
    <hyperlink ref="M57" location="Soundcraft!A125" display="MSB Series (MINISTAGEBOX)" xr:uid="{B7A18F00-77BB-4B4E-B908-F72D560F5D6C}"/>
    <hyperlink ref="M3" location="AKG!A361" display="Headphone Amplifiers" xr:uid="{C7F1A426-3915-4D57-82B9-6A5D7A70E487}"/>
    <hyperlink ref="K39" location="JBL!A60" display="10 Series Blind-Mount Ceiling Speakers" xr:uid="{12B0F508-20C7-4DB3-B59A-7544C1C4A6E9}"/>
    <hyperlink ref="K40" location="JBL!A74" display="20 Series Blind-Mount Ceiling Speakers" xr:uid="{486BF87B-99EF-405A-A677-13D971A185B9}"/>
    <hyperlink ref="K41" location="JBL!A99" display="40 Series Premium Ceiling Speakers" xr:uid="{168075AA-35EF-4416-B5D1-73096A555319}"/>
    <hyperlink ref="K42" location="JBL!A110" display="200 Series Medium-Format Ceiling Speakers" xr:uid="{5ED8CD4F-EA82-4720-9EC5-D5679295AA4E}"/>
    <hyperlink ref="K43" location="JBL!A118" display="300 Series Large-Format Ceiling Speakers" xr:uid="{3238AB9B-CD7E-469B-9C24-401910E7C4AB}"/>
    <hyperlink ref="K44" location="JBL!A130" display="CSS Commercial Solutions Surface Speakers" xr:uid="{F2851331-3FDF-4D7F-8429-687315DC08C3}"/>
    <hyperlink ref="K45" location="JBL!A135" display="Control 20/30 Series Surface Speakers" xr:uid="{D98B45A6-3EF0-44CA-A1DD-7EAD085FF48F}"/>
    <hyperlink ref="L37" location="JBL!A208" display="Control 60 Series" xr:uid="{71DDC13E-9B7D-41B6-9DED-43FDCD7D23BB}"/>
    <hyperlink ref="L38" location="JBL!A225" display="Control 100 In-Wall Speakers" xr:uid="{618871EF-3F15-4D98-83CC-BE6FA87376EC}"/>
    <hyperlink ref="L39" location="JBL!A232" display="Control 80 Series Landscape Speakers" xr:uid="{ED7D48D7-5681-430D-9FF0-DFCFEC154040}"/>
    <hyperlink ref="L40" location="JBL!A245" display="CBT Series Pattern-Controlled Columns" xr:uid="{A5AD5596-3A71-47D6-97CF-B7054455B174}"/>
    <hyperlink ref="L41" location="JBL!A275" display="Intellivox Powered Column Speakers" xr:uid="{3EC9210A-E47B-4CD1-A29C-BFAE7229864F}"/>
    <hyperlink ref="L42" location="JBL!A339" display="AWC All-Weather Compact" xr:uid="{5987E431-AEFB-4A69-BB7F-B752CFE1871F}"/>
    <hyperlink ref="L43" location="JBL!A350" display="AW All-Weather (full size)" xr:uid="{3FF60703-A07A-4D23-BCC7-6AB71C40A883}"/>
    <hyperlink ref="L45" location="JBL!A440" display="AE Series" xr:uid="{333CA753-B4B6-4FCD-82F4-DC6533EE85CF}"/>
    <hyperlink ref="L44" location="JBL!A370" display="AE Compact Series" xr:uid="{70FAE0E8-F9E7-43BF-A543-CB8CC026D15E}"/>
    <hyperlink ref="M37" location="JBL!A580" display="PD Precision Directivity Series" xr:uid="{F73D0513-CC1F-4DCA-94D9-4C2D4390D322}"/>
    <hyperlink ref="M38" location="JBL!A664" display="VLA Line Array Modules" xr:uid="{2F3620EB-C04C-41A1-9BB5-2CCE1EE81A03}"/>
    <hyperlink ref="M39" location="JBL!A696" display="VTX Series Large Format Line Arrays" xr:uid="{B74E423B-DF99-434D-BFB6-E3FC9A7FC9A2}"/>
    <hyperlink ref="M40" location="JBL!A779" display="VRX Fixed Curvature Line Array" xr:uid="{E3A0C775-0F9F-4B26-A694-0B64CCFBD8FA}"/>
    <hyperlink ref="M41" location="JBL!A793" display="EON Series " xr:uid="{981CE493-4428-4796-9074-8DCF5CE0C2B9}"/>
    <hyperlink ref="M42" location="JBL!A812" display="JRX Portable Speakers" xr:uid="{ABC8636C-1109-46D7-A7D4-ACFB1B5399BC}"/>
    <hyperlink ref="M43" location="JBL!A817" display="PRX Portable Speakers" xr:uid="{E3B12880-7006-403B-BFC9-CDE942422827}"/>
    <hyperlink ref="M44" location="JBL!A836" display="SRX Portable Speakers" xr:uid="{08249A05-20C9-45DD-B7FF-F882B13F2A81}"/>
    <hyperlink ref="M45" location="JBL!A864" display="Portable PA Stands" xr:uid="{D0C978E0-905D-44D8-9D13-B260E2C26B96}"/>
    <hyperlink ref="K36" location="JBL!A3" display="JBL Commercial Electronics" xr:uid="{CEABB0D9-7727-4119-8425-7450D1113414}"/>
    <hyperlink ref="K37" location="JBL!A40" display="CSS Commercial Solutions Ceiling Speakers" xr:uid="{2730A23A-D626-4645-A2B8-C017E34EE0DC}"/>
    <hyperlink ref="K38" location="JBL!A50" display="8100 Series Ceiling Speakers" xr:uid="{B38CE3A8-0AF9-4DE8-A088-AD97CCB5BF2B}"/>
    <hyperlink ref="K4" location="AKG!A283" display="DMS800" xr:uid="{0D3CE166-9E8C-4D0D-B252-65CB37612954}"/>
    <hyperlink ref="K5" location="AKG!A228" display="WMS40 MINI" xr:uid="{E1768081-2340-4613-A2C9-4491A18F7598}"/>
    <hyperlink ref="K6" location="AKG!A237" display="WMS40 MINI 2" xr:uid="{4FDD78D4-1C38-40D1-8DC9-5706A6E63B76}"/>
    <hyperlink ref="K7" location="AKG!A221" display="WMS45" xr:uid="{3EE11004-AE47-4425-AAE1-0C223C2071F8}"/>
    <hyperlink ref="K8" location="AKG!A243" display="WMS420" xr:uid="{4DAE189B-44AF-494A-8292-67754492339C}"/>
    <hyperlink ref="K9" location="AKG!A251" display="WMS470" xr:uid="{8F2E80E5-115D-405D-A481-A9B2B99D8B1F}"/>
    <hyperlink ref="K10" location="AKG!A270" display="WMS4500" xr:uid="{73D0E8D3-CB38-4419-9F75-736B0286718D}"/>
    <hyperlink ref="K11" location="AKG!A295" display="Wireless Accessories" xr:uid="{B158CB61-39D9-408C-8480-0DBA98509367}"/>
    <hyperlink ref="L6" location="AKG!A3" display="Microphones" xr:uid="{EE845EF3-883E-44C5-93C8-2B841D527BD4}"/>
    <hyperlink ref="L7" location="AKG!A33" display="Handheld Condenser Microphones" xr:uid="{E11DD741-51DD-4C67-8160-4CE8B05BE3F6}"/>
    <hyperlink ref="L8" location="AKG!A36" display="Handheld Dynamic Microphones" xr:uid="{259F3BB0-6AC2-48FC-B950-3ECF4F502466}"/>
    <hyperlink ref="L9" location="AKG!A9" display="Studio Condenser Microphones" xr:uid="{86F2C1BE-B3D6-441F-93E6-A2C19BF6010D}"/>
    <hyperlink ref="L10" location="AKG!A44" display="Instrument Microphones" xr:uid="{F34330AE-9513-4CCA-8C57-463DFF8FC7EF}"/>
    <hyperlink ref="L11" location="AKG!A58" display="Drum Sets" xr:uid="{90B6125D-033C-4969-B90D-4F083C72FCB1}"/>
    <hyperlink ref="L12" location="AKG!A61" display="Headworn Vocal Microphones" xr:uid="{64FF7EDA-2100-451E-B33F-9FAD46C224BF}"/>
    <hyperlink ref="L13" location="AKG!A143" display="Crown Microphones" xr:uid="{D73AF3AC-3CDC-49AE-BCD7-D063D07B562A}"/>
    <hyperlink ref="L17" location="AMX!A32" display="Digital Media Switchers" xr:uid="{B4102CB7-486A-44BC-B24D-537403D740C7}"/>
    <hyperlink ref="M19" location="AMX!A160" display="Power Supply" xr:uid="{0D4189F4-ED59-43C6-A5BF-35BE2D5A9AE4}"/>
    <hyperlink ref="K24" location="BSS!A29" display="Graphic Equallizer" xr:uid="{F797EAF1-2380-40AA-86B3-8782D3DAF166}"/>
    <hyperlink ref="L28" location="Crown!A9" display="CDi DriveCore Series" xr:uid="{CAEE59CB-4D81-4F57-A210-F4B9823EAC2D}"/>
    <hyperlink ref="K29" location="Crown!A3" display="Amp Accessories" xr:uid="{E4B0E274-8921-44D0-A4FA-52B2947AA857}"/>
    <hyperlink ref="M31" location="DBX!A55" display=" Zone Controller" xr:uid="{9DC75A73-0828-471E-97ED-6921DD54F444}"/>
    <hyperlink ref="K55" location="Soundcraft!A12" display="EFX Series" xr:uid="{5CA33522-E791-4DC0-A504-8A326A089EEB}"/>
    <hyperlink ref="K16" location="AMX!A3" display="All-in-One Presentation Switchers" xr:uid="{0046C2E0-1CDB-426D-B470-DD60824C14C9}"/>
    <hyperlink ref="M16" location="AMX!A19" display="Touch Panels" xr:uid="{7FC7B98B-DDE1-42BE-A231-16EF0CB4EAE8}"/>
  </hyperlink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V898"/>
  <sheetViews>
    <sheetView zoomScale="75" zoomScaleNormal="75" workbookViewId="0">
      <pane xSplit="1" ySplit="1" topLeftCell="G2" activePane="bottomRight" state="frozen"/>
      <selection pane="topRight" activeCell="D35" sqref="D35"/>
      <selection pane="bottomLeft" activeCell="D35" sqref="D35"/>
      <selection pane="bottomRight" activeCell="K1" sqref="K1:K1048576"/>
    </sheetView>
  </sheetViews>
  <sheetFormatPr defaultColWidth="9.140625" defaultRowHeight="15"/>
  <cols>
    <col min="1" max="1" width="18.42578125" style="249" bestFit="1" customWidth="1"/>
    <col min="2" max="2" width="40.5703125" style="249" bestFit="1" customWidth="1"/>
    <col min="3" max="3" width="20.85546875" style="250" bestFit="1" customWidth="1"/>
    <col min="4" max="4" width="20.85546875" style="249" bestFit="1" customWidth="1"/>
    <col min="5" max="5" width="19.42578125" style="249" bestFit="1" customWidth="1"/>
    <col min="6" max="6" width="16.5703125" style="249" bestFit="1" customWidth="1"/>
    <col min="7" max="7" width="40.140625" style="249" bestFit="1" customWidth="1"/>
    <col min="8" max="8" width="65.140625" style="252" bestFit="1" customWidth="1"/>
    <col min="9" max="9" width="12.85546875" style="222" bestFit="1" customWidth="1"/>
    <col min="10" max="10" width="12.140625" style="222" bestFit="1" customWidth="1"/>
    <col min="11" max="11" width="21.85546875" style="254" bestFit="1" customWidth="1"/>
    <col min="12" max="12" width="15.140625" style="256" bestFit="1" customWidth="1"/>
    <col min="13" max="13" width="11" style="256" bestFit="1" customWidth="1"/>
    <col min="14" max="14" width="18.28515625" style="240" bestFit="1" customWidth="1"/>
    <col min="15" max="15" width="16.28515625" style="240" bestFit="1" customWidth="1"/>
    <col min="16" max="16" width="17.28515625" style="240" bestFit="1" customWidth="1"/>
    <col min="17" max="17" width="16.7109375" style="240" bestFit="1" customWidth="1"/>
    <col min="18" max="18" width="18.42578125" style="256" bestFit="1" customWidth="1"/>
    <col min="19" max="19" width="20.5703125" style="249" bestFit="1" customWidth="1"/>
    <col min="20" max="20" width="69.140625" style="250" bestFit="1" customWidth="1"/>
    <col min="21" max="21" width="15.140625" style="249" bestFit="1" customWidth="1"/>
    <col min="22" max="16384" width="9.140625" style="249"/>
  </cols>
  <sheetData>
    <row r="1" spans="1:22" s="216" customFormat="1" ht="62.25" customHeight="1">
      <c r="A1" s="241"/>
      <c r="B1" s="241"/>
      <c r="C1" s="241"/>
      <c r="D1" s="242"/>
      <c r="E1" s="242"/>
      <c r="F1" s="241"/>
      <c r="G1" s="243"/>
      <c r="H1" s="244"/>
      <c r="I1" s="245"/>
      <c r="J1" s="245"/>
      <c r="K1" s="246"/>
      <c r="L1" s="220"/>
      <c r="M1" s="215"/>
      <c r="N1" s="247"/>
      <c r="O1" s="247"/>
      <c r="P1" s="247"/>
      <c r="Q1" s="247"/>
      <c r="R1" s="215"/>
      <c r="T1" s="214"/>
    </row>
    <row r="2" spans="1:22" ht="35.25" customHeight="1">
      <c r="A2" s="100" t="s">
        <v>138</v>
      </c>
      <c r="B2" s="75" t="s">
        <v>139</v>
      </c>
      <c r="C2" s="75" t="s">
        <v>140</v>
      </c>
      <c r="D2" s="75" t="s">
        <v>141</v>
      </c>
      <c r="E2" s="75" t="s">
        <v>142</v>
      </c>
      <c r="F2" s="75" t="s">
        <v>143</v>
      </c>
      <c r="G2" s="75" t="s">
        <v>144</v>
      </c>
      <c r="H2" s="75" t="s">
        <v>145</v>
      </c>
      <c r="I2" s="87" t="s">
        <v>146</v>
      </c>
      <c r="J2" s="87" t="s">
        <v>808</v>
      </c>
      <c r="K2" s="75" t="s">
        <v>149</v>
      </c>
      <c r="L2" s="88" t="s">
        <v>150</v>
      </c>
      <c r="M2" s="75" t="s">
        <v>151</v>
      </c>
      <c r="N2" s="145" t="s">
        <v>152</v>
      </c>
      <c r="O2" s="145" t="s">
        <v>153</v>
      </c>
      <c r="P2" s="145" t="s">
        <v>154</v>
      </c>
      <c r="Q2" s="145" t="s">
        <v>155</v>
      </c>
      <c r="R2" s="75" t="s">
        <v>156</v>
      </c>
      <c r="S2" s="75" t="s">
        <v>157</v>
      </c>
      <c r="T2" s="75" t="s">
        <v>158</v>
      </c>
      <c r="U2" s="148" t="s">
        <v>159</v>
      </c>
      <c r="V2" s="248"/>
    </row>
    <row r="3" spans="1:22" ht="15" customHeight="1">
      <c r="A3" s="105" t="s">
        <v>1937</v>
      </c>
      <c r="B3" s="250" t="str">
        <f>(IF((VLOOKUP(Table9[[#This Row],[SKU]],'All Skus'!$A:$AC,2,FALSE))="Lexicon",(VLOOKUP(Table9[[#This Row],[SKU]],'All Skus'!$A:$AC,3,FALSE)),""))</f>
        <v>32 Channel Digital to Analog Converter</v>
      </c>
      <c r="C3" s="250" t="str">
        <f>(IF((VLOOKUP(Table9[[#This Row],[SKU]],'All Skus'!$A:$AC,2,FALSE))="Lexicon",(VLOOKUP(Table9[[#This Row],[SKU]],'All Skus'!$A:$AC,4,FALSE)),""))</f>
        <v>BOB-32</v>
      </c>
      <c r="D3" s="249">
        <f>(IF((VLOOKUP(Table9[[#This Row],[SKU]],'All Skus'!$A:$AC,2,FALSE))="Lexicon",(VLOOKUP(Table9[[#This Row],[SKU]],'All Skus'!$A:$AC,5,FALSE)),""))</f>
        <v>0</v>
      </c>
      <c r="E3" s="249">
        <f>(IF((VLOOKUP(Table9[[#This Row],[SKU]],'All Skus'!$A:$AC,2,FALSE))="Lexicon",(VLOOKUP(Table9[[#This Row],[SKU]],'All Skus'!$A:$AC,6,FALSE)),""))</f>
        <v>0</v>
      </c>
      <c r="F3" s="249">
        <f>(IF((VLOOKUP(Table9[[#This Row],[SKU]],'All Skus'!$A:$AC,2,FALSE))="Lexicon",(VLOOKUP(Table9[[#This Row],[SKU]],'All Skus'!$A:$AC,7,FALSE)),""))</f>
        <v>0</v>
      </c>
      <c r="G3" s="251" t="str">
        <f>(IF((VLOOKUP(Table9[[#This Row],[SKU]],'All Skus'!$A:$AC,2,FALSE))="Lexicon",(VLOOKUP(Table9[[#This Row],[SKU]],'All Skus'!$A:$AC,8,FALSE)),""))</f>
        <v>32 Channel Digital to Analog Converter</v>
      </c>
      <c r="H3" s="252" t="str">
        <f>(IF((VLOOKUP(Table9[[#This Row],[SKU]],'All Skus'!$A:$AC,2,FALSE))="Lexicon",(VLOOKUP(Table9[[#This Row],[SKU]],'All Skus'!$A:$AC,9,FALSE)),""))</f>
        <v>32 Channel Digital to Analog Converter over DB25 connectors</v>
      </c>
      <c r="I3" s="253">
        <f>(IF((VLOOKUP(Table9[[#This Row],[SKU]],'All Skus'!$A:$AC,2,FALSE))="Lexicon",(VLOOKUP(Table9[[#This Row],[SKU]],'All Skus'!$A:$AC,10,FALSE)),""))</f>
        <v>4624.1899999999996</v>
      </c>
      <c r="J3" s="253">
        <f>(IF((VLOOKUP(Table9[[#This Row],[SKU]],'All Skus'!$A:$AC,2,FALSE))="Lexicon",(VLOOKUP(Table9[[#This Row],[SKU]],'All Skus'!$A:$AC,11,FALSE)),""))</f>
        <v>4624</v>
      </c>
      <c r="K3" s="254">
        <f>(IF((VLOOKUP(Table9[[#This Row],[SKU]],'All Skus'!$A:$AC,2,FALSE))="Lexicon",(VLOOKUP(Table9[[#This Row],[SKU]],'All Skus'!$A:$AC,15,FALSE)),""))</f>
        <v>0</v>
      </c>
      <c r="L3" s="255">
        <f>(IF((VLOOKUP(Table9[[#This Row],[SKU]],'All Skus'!$A:$AC,2,FALSE))="Lexicon",(VLOOKUP(Table9[[#This Row],[SKU]],'All Skus'!$A:$AC,16,FALSE)),""))</f>
        <v>691991002090</v>
      </c>
      <c r="M3" s="256">
        <f>(IF((VLOOKUP(Table9[[#This Row],[SKU]],'All Skus'!$A:$AC,2,FALSE))="Lexicon",(VLOOKUP(Table9[[#This Row],[SKU]],'All Skus'!$A:$AC,17,FALSE)),""))</f>
        <v>0</v>
      </c>
      <c r="N3" s="240">
        <f>(IF((VLOOKUP(Table9[[#This Row],[SKU]],'All Skus'!$A:$AC,2,FALSE))="Lexicon",(VLOOKUP(Table9[[#This Row],[SKU]],'All Skus'!$A:$AC,18,FALSE)),""))</f>
        <v>0</v>
      </c>
      <c r="O3" s="240">
        <f>(IF((VLOOKUP(Table9[[#This Row],[SKU]],'All Skus'!$A:$AC,2,FALSE))="Lexicon",(VLOOKUP(Table9[[#This Row],[SKU]],'All Skus'!$A:$AC,19,FALSE)),""))</f>
        <v>0</v>
      </c>
      <c r="P3" s="240">
        <f>(IF((VLOOKUP(Table9[[#This Row],[SKU]],'All Skus'!$A:$AC,2,FALSE))="Lexicon",(VLOOKUP(Table9[[#This Row],[SKU]],'All Skus'!$A:$AC,20,FALSE)),""))</f>
        <v>0</v>
      </c>
      <c r="Q3" s="240">
        <f>(IF((VLOOKUP(Table9[[#This Row],[SKU]],'All Skus'!$A:$AC,2,FALSE))="Lexicon",(VLOOKUP(Table9[[#This Row],[SKU]],'All Skus'!$A:$AC,21,FALSE)),""))</f>
        <v>0</v>
      </c>
      <c r="R3" s="256">
        <f>(IF((VLOOKUP(Table9[[#This Row],[SKU]],'All Skus'!$A:$AC,2,FALSE))="Lexicon",(VLOOKUP(Table9[[#This Row],[SKU]],'All Skus'!$A:$AC,22,FALSE)),""))</f>
        <v>0</v>
      </c>
      <c r="S3" s="249">
        <f>(IF((VLOOKUP(Table9[[#This Row],[SKU]],'All Skus'!$A:$AC,2,FALSE))="Lexicon",(VLOOKUP(Table9[[#This Row],[SKU]],'All Skus'!$A:$AC,23,FALSE)),""))</f>
        <v>0</v>
      </c>
      <c r="T3" s="212" t="str">
        <f>HYPERLINK((IF((VLOOKUP(Table9[[#This Row],[SKU]],'All Skus'!$A:$AC,2,FALSE))="Lexicon",(VLOOKUP(Table9[[#This Row],[SKU]],'All Skus'!$A:$AC,24,FALSE)),"")))</f>
        <v/>
      </c>
      <c r="U3" s="228">
        <v>1</v>
      </c>
    </row>
    <row r="4" spans="1:22" ht="15" customHeight="1">
      <c r="A4" s="105" t="s">
        <v>1938</v>
      </c>
      <c r="B4" s="250" t="str">
        <f>(IF((VLOOKUP(Table9[[#This Row],[SKU]],'All Skus'!$A:$AC,2,FALSE))="Lexicon",(VLOOKUP(Table9[[#This Row],[SKU]],'All Skus'!$A:$AC,3,FALSE)),""))</f>
        <v>LXP Plug-ins</v>
      </c>
      <c r="C4" s="250" t="str">
        <f>(IF((VLOOKUP(Table9[[#This Row],[SKU]],'All Skus'!$A:$AC,2,FALSE))="Lexicon",(VLOOKUP(Table9[[#This Row],[SKU]],'All Skus'!$A:$AC,4,FALSE)),""))</f>
        <v>LXPPLUGRB</v>
      </c>
      <c r="D4" s="249" t="str">
        <f>(IF((VLOOKUP(Table9[[#This Row],[SKU]],'All Skus'!$A:$AC,2,FALSE))="Lexicon",(VLOOKUP(Table9[[#This Row],[SKU]],'All Skus'!$A:$AC,5,FALSE)),""))</f>
        <v>LEXPLUGIN</v>
      </c>
      <c r="E4" s="249">
        <f>(IF((VLOOKUP(Table9[[#This Row],[SKU]],'All Skus'!$A:$AC,2,FALSE))="Lexicon",(VLOOKUP(Table9[[#This Row],[SKU]],'All Skus'!$A:$AC,6,FALSE)),""))</f>
        <v>0</v>
      </c>
      <c r="F4" s="249">
        <f>(IF((VLOOKUP(Table9[[#This Row],[SKU]],'All Skus'!$A:$AC,2,FALSE))="Lexicon",(VLOOKUP(Table9[[#This Row],[SKU]],'All Skus'!$A:$AC,7,FALSE)),""))</f>
        <v>0</v>
      </c>
      <c r="G4" s="251" t="str">
        <f>(IF((VLOOKUP(Table9[[#This Row],[SKU]],'All Skus'!$A:$AC,2,FALSE))="Lexicon",(VLOOKUP(Table9[[#This Row],[SKU]],'All Skus'!$A:$AC,8,FALSE)),""))</f>
        <v>LXP Plug-ins</v>
      </c>
      <c r="H4" s="252" t="str">
        <f>(IF((VLOOKUP(Table9[[#This Row],[SKU]],'All Skus'!$A:$AC,2,FALSE))="Lexicon",(VLOOKUP(Table9[[#This Row],[SKU]],'All Skus'!$A:$AC,9,FALSE)),""))</f>
        <v>Lexicon LXP Native Reverb Plug-in Bundle</v>
      </c>
      <c r="I4" s="253">
        <f>(IF((VLOOKUP(Table9[[#This Row],[SKU]],'All Skus'!$A:$AC,2,FALSE))="Lexicon",(VLOOKUP(Table9[[#This Row],[SKU]],'All Skus'!$A:$AC,10,FALSE)),""))</f>
        <v>319.83999999999997</v>
      </c>
      <c r="J4" s="253">
        <f>(IF((VLOOKUP(Table9[[#This Row],[SKU]],'All Skus'!$A:$AC,2,FALSE))="Lexicon",(VLOOKUP(Table9[[#This Row],[SKU]],'All Skus'!$A:$AC,11,FALSE)),""))</f>
        <v>253</v>
      </c>
      <c r="K4" s="254">
        <f>(IF((VLOOKUP(Table9[[#This Row],[SKU]],'All Skus'!$A:$AC,2,FALSE))="Lexicon",(VLOOKUP(Table9[[#This Row],[SKU]],'All Skus'!$A:$AC,15,FALSE)),""))</f>
        <v>1</v>
      </c>
      <c r="L4" s="255">
        <f>(IF((VLOOKUP(Table9[[#This Row],[SKU]],'All Skus'!$A:$AC,2,FALSE))="Lexicon",(VLOOKUP(Table9[[#This Row],[SKU]],'All Skus'!$A:$AC,16,FALSE)),""))</f>
        <v>691991500404</v>
      </c>
      <c r="M4" s="256">
        <f>(IF((VLOOKUP(Table9[[#This Row],[SKU]],'All Skus'!$A:$AC,2,FALSE))="Lexicon",(VLOOKUP(Table9[[#This Row],[SKU]],'All Skus'!$A:$AC,17,FALSE)),""))</f>
        <v>0</v>
      </c>
      <c r="N4" s="240">
        <f>(IF((VLOOKUP(Table9[[#This Row],[SKU]],'All Skus'!$A:$AC,2,FALSE))="Lexicon",(VLOOKUP(Table9[[#This Row],[SKU]],'All Skus'!$A:$AC,18,FALSE)),""))</f>
        <v>1.4</v>
      </c>
      <c r="O4" s="240">
        <f>(IF((VLOOKUP(Table9[[#This Row],[SKU]],'All Skus'!$A:$AC,2,FALSE))="Lexicon",(VLOOKUP(Table9[[#This Row],[SKU]],'All Skus'!$A:$AC,19,FALSE)),""))</f>
        <v>8</v>
      </c>
      <c r="P4" s="240">
        <f>(IF((VLOOKUP(Table9[[#This Row],[SKU]],'All Skus'!$A:$AC,2,FALSE))="Lexicon",(VLOOKUP(Table9[[#This Row],[SKU]],'All Skus'!$A:$AC,20,FALSE)),""))</f>
        <v>2.125</v>
      </c>
      <c r="Q4" s="240">
        <f>(IF((VLOOKUP(Table9[[#This Row],[SKU]],'All Skus'!$A:$AC,2,FALSE))="Lexicon",(VLOOKUP(Table9[[#This Row],[SKU]],'All Skus'!$A:$AC,21,FALSE)),""))</f>
        <v>7</v>
      </c>
      <c r="R4" s="256" t="str">
        <f>(IF((VLOOKUP(Table9[[#This Row],[SKU]],'All Skus'!$A:$AC,2,FALSE))="Lexicon",(VLOOKUP(Table9[[#This Row],[SKU]],'All Skus'!$A:$AC,22,FALSE)),""))</f>
        <v>US</v>
      </c>
      <c r="S4" s="249" t="str">
        <f>(IF((VLOOKUP(Table9[[#This Row],[SKU]],'All Skus'!$A:$AC,2,FALSE))="Lexicon",(VLOOKUP(Table9[[#This Row],[SKU]],'All Skus'!$A:$AC,23,FALSE)),""))</f>
        <v>Compliant</v>
      </c>
      <c r="T4" s="212" t="str">
        <f>HYPERLINK((IF((VLOOKUP(Table9[[#This Row],[SKU]],'All Skus'!$A:$AC,2,FALSE))="Lexicon",(VLOOKUP(Table9[[#This Row],[SKU]],'All Skus'!$A:$AC,24,FALSE)),"")))</f>
        <v>http://lexiconpro.com/en-US/products/lxp-native-reverb-plug-in-bundle</v>
      </c>
      <c r="U4" s="228">
        <v>2</v>
      </c>
    </row>
    <row r="5" spans="1:22" ht="15" customHeight="1">
      <c r="A5" s="105" t="s">
        <v>1939</v>
      </c>
      <c r="B5" s="250" t="str">
        <f>(IF((VLOOKUP(Table9[[#This Row],[SKU]],'All Skus'!$A:$AC,2,FALSE))="Lexicon",(VLOOKUP(Table9[[#This Row],[SKU]],'All Skus'!$A:$AC,3,FALSE)),""))</f>
        <v>PCM Series</v>
      </c>
      <c r="C5" s="250" t="str">
        <f>(IF((VLOOKUP(Table9[[#This Row],[SKU]],'All Skus'!$A:$AC,2,FALSE))="Lexicon",(VLOOKUP(Table9[[#This Row],[SKU]],'All Skus'!$A:$AC,4,FALSE)),""))</f>
        <v>PCM92</v>
      </c>
      <c r="D5" s="249" t="str">
        <f>(IF((VLOOKUP(Table9[[#This Row],[SKU]],'All Skus'!$A:$AC,2,FALSE))="Lexicon",(VLOOKUP(Table9[[#This Row],[SKU]],'All Skus'!$A:$AC,5,FALSE)),""))</f>
        <v>LEXPROREC</v>
      </c>
      <c r="E5" s="249">
        <f>(IF((VLOOKUP(Table9[[#This Row],[SKU]],'All Skus'!$A:$AC,2,FALSE))="Lexicon",(VLOOKUP(Table9[[#This Row],[SKU]],'All Skus'!$A:$AC,6,FALSE)),""))</f>
        <v>0</v>
      </c>
      <c r="F5" s="249">
        <f>(IF((VLOOKUP(Table9[[#This Row],[SKU]],'All Skus'!$A:$AC,2,FALSE))="Lexicon",(VLOOKUP(Table9[[#This Row],[SKU]],'All Skus'!$A:$AC,7,FALSE)),""))</f>
        <v>0</v>
      </c>
      <c r="G5" s="251" t="str">
        <f>(IF((VLOOKUP(Table9[[#This Row],[SKU]],'All Skus'!$A:$AC,2,FALSE))="Lexicon",(VLOOKUP(Table9[[#This Row],[SKU]],'All Skus'!$A:$AC,8,FALSE)),""))</f>
        <v>PCM Series</v>
      </c>
      <c r="H5" s="252" t="str">
        <f>(IF((VLOOKUP(Table9[[#This Row],[SKU]],'All Skus'!$A:$AC,2,FALSE))="Lexicon",(VLOOKUP(Table9[[#This Row],[SKU]],'All Skus'!$A:$AC,9,FALSE)),""))</f>
        <v>Stereo Reverb/Effects Processor</v>
      </c>
      <c r="I5" s="253">
        <f>(IF((VLOOKUP(Table9[[#This Row],[SKU]],'All Skus'!$A:$AC,2,FALSE))="Lexicon",(VLOOKUP(Table9[[#This Row],[SKU]],'All Skus'!$A:$AC,10,FALSE)),""))</f>
        <v>2888.83</v>
      </c>
      <c r="J5" s="253">
        <f>(IF((VLOOKUP(Table9[[#This Row],[SKU]],'All Skus'!$A:$AC,2,FALSE))="Lexicon",(VLOOKUP(Table9[[#This Row],[SKU]],'All Skus'!$A:$AC,11,FALSE)),""))</f>
        <v>2307</v>
      </c>
      <c r="K5" s="254">
        <f>(IF((VLOOKUP(Table9[[#This Row],[SKU]],'All Skus'!$A:$AC,2,FALSE))="Lexicon",(VLOOKUP(Table9[[#This Row],[SKU]],'All Skus'!$A:$AC,15,FALSE)),""))</f>
        <v>2</v>
      </c>
      <c r="L5" s="255">
        <f>(IF((VLOOKUP(Table9[[#This Row],[SKU]],'All Skus'!$A:$AC,2,FALSE))="Lexicon",(VLOOKUP(Table9[[#This Row],[SKU]],'All Skus'!$A:$AC,16,FALSE)),""))</f>
        <v>691991500398</v>
      </c>
      <c r="M5" s="256">
        <f>(IF((VLOOKUP(Table9[[#This Row],[SKU]],'All Skus'!$A:$AC,2,FALSE))="Lexicon",(VLOOKUP(Table9[[#This Row],[SKU]],'All Skus'!$A:$AC,17,FALSE)),""))</f>
        <v>0</v>
      </c>
      <c r="N5" s="240">
        <f>(IF((VLOOKUP(Table9[[#This Row],[SKU]],'All Skus'!$A:$AC,2,FALSE))="Lexicon",(VLOOKUP(Table9[[#This Row],[SKU]],'All Skus'!$A:$AC,18,FALSE)),""))</f>
        <v>0</v>
      </c>
      <c r="O5" s="240">
        <f>(IF((VLOOKUP(Table9[[#This Row],[SKU]],'All Skus'!$A:$AC,2,FALSE))="Lexicon",(VLOOKUP(Table9[[#This Row],[SKU]],'All Skus'!$A:$AC,19,FALSE)),""))</f>
        <v>24.25</v>
      </c>
      <c r="P5" s="240">
        <f>(IF((VLOOKUP(Table9[[#This Row],[SKU]],'All Skus'!$A:$AC,2,FALSE))="Lexicon",(VLOOKUP(Table9[[#This Row],[SKU]],'All Skus'!$A:$AC,20,FALSE)),""))</f>
        <v>5</v>
      </c>
      <c r="Q5" s="240">
        <f>(IF((VLOOKUP(Table9[[#This Row],[SKU]],'All Skus'!$A:$AC,2,FALSE))="Lexicon",(VLOOKUP(Table9[[#This Row],[SKU]],'All Skus'!$A:$AC,21,FALSE)),""))</f>
        <v>15</v>
      </c>
      <c r="R5" s="256" t="str">
        <f>(IF((VLOOKUP(Table9[[#This Row],[SKU]],'All Skus'!$A:$AC,2,FALSE))="Lexicon",(VLOOKUP(Table9[[#This Row],[SKU]],'All Skus'!$A:$AC,22,FALSE)),""))</f>
        <v>US</v>
      </c>
      <c r="S5" s="249" t="str">
        <f>(IF((VLOOKUP(Table9[[#This Row],[SKU]],'All Skus'!$A:$AC,2,FALSE))="Lexicon",(VLOOKUP(Table9[[#This Row],[SKU]],'All Skus'!$A:$AC,23,FALSE)),""))</f>
        <v>Compliant</v>
      </c>
      <c r="T5" s="212" t="str">
        <f>HYPERLINK((IF((VLOOKUP(Table9[[#This Row],[SKU]],'All Skus'!$A:$AC,2,FALSE))="Lexicon",(VLOOKUP(Table9[[#This Row],[SKU]],'All Skus'!$A:$AC,24,FALSE)),"")))</f>
        <v>http://lexiconpro.com/en-US/products/pcm92</v>
      </c>
      <c r="U5" s="228">
        <v>3</v>
      </c>
    </row>
    <row r="6" spans="1:22" ht="15" customHeight="1">
      <c r="A6" s="105" t="s">
        <v>1940</v>
      </c>
      <c r="B6" s="250" t="str">
        <f>(IF((VLOOKUP(Table9[[#This Row],[SKU]],'All Skus'!$A:$AC,2,FALSE))="Lexicon",(VLOOKUP(Table9[[#This Row],[SKU]],'All Skus'!$A:$AC,3,FALSE)),""))</f>
        <v>PCM Series</v>
      </c>
      <c r="C6" s="250" t="str">
        <f>(IF((VLOOKUP(Table9[[#This Row],[SKU]],'All Skus'!$A:$AC,2,FALSE))="Lexicon",(VLOOKUP(Table9[[#This Row],[SKU]],'All Skus'!$A:$AC,4,FALSE)),""))</f>
        <v>PCM96</v>
      </c>
      <c r="D6" s="249" t="str">
        <f>(IF((VLOOKUP(Table9[[#This Row],[SKU]],'All Skus'!$A:$AC,2,FALSE))="Lexicon",(VLOOKUP(Table9[[#This Row],[SKU]],'All Skus'!$A:$AC,5,FALSE)),""))</f>
        <v>LEXPROREC</v>
      </c>
      <c r="E6" s="249">
        <f>(IF((VLOOKUP(Table9[[#This Row],[SKU]],'All Skus'!$A:$AC,2,FALSE))="Lexicon",(VLOOKUP(Table9[[#This Row],[SKU]],'All Skus'!$A:$AC,6,FALSE)),""))</f>
        <v>0</v>
      </c>
      <c r="F6" s="249">
        <f>(IF((VLOOKUP(Table9[[#This Row],[SKU]],'All Skus'!$A:$AC,2,FALSE))="Lexicon",(VLOOKUP(Table9[[#This Row],[SKU]],'All Skus'!$A:$AC,7,FALSE)),""))</f>
        <v>0</v>
      </c>
      <c r="G6" s="251" t="str">
        <f>(IF((VLOOKUP(Table9[[#This Row],[SKU]],'All Skus'!$A:$AC,2,FALSE))="Lexicon",(VLOOKUP(Table9[[#This Row],[SKU]],'All Skus'!$A:$AC,8,FALSE)),""))</f>
        <v>PCM Series</v>
      </c>
      <c r="H6" s="252" t="str">
        <f>(IF((VLOOKUP(Table9[[#This Row],[SKU]],'All Skus'!$A:$AC,2,FALSE))="Lexicon",(VLOOKUP(Table9[[#This Row],[SKU]],'All Skus'!$A:$AC,9,FALSE)),""))</f>
        <v>Stereo Reverb/Effects Processor</v>
      </c>
      <c r="I6" s="253">
        <f>(IF((VLOOKUP(Table9[[#This Row],[SKU]],'All Skus'!$A:$AC,2,FALSE))="Lexicon",(VLOOKUP(Table9[[#This Row],[SKU]],'All Skus'!$A:$AC,10,FALSE)),""))</f>
        <v>4908.28</v>
      </c>
      <c r="J6" s="253">
        <f>(IF((VLOOKUP(Table9[[#This Row],[SKU]],'All Skus'!$A:$AC,2,FALSE))="Lexicon",(VLOOKUP(Table9[[#This Row],[SKU]],'All Skus'!$A:$AC,11,FALSE)),""))</f>
        <v>3851</v>
      </c>
      <c r="K6" s="254">
        <f>(IF((VLOOKUP(Table9[[#This Row],[SKU]],'All Skus'!$A:$AC,2,FALSE))="Lexicon",(VLOOKUP(Table9[[#This Row],[SKU]],'All Skus'!$A:$AC,15,FALSE)),""))</f>
        <v>3</v>
      </c>
      <c r="L6" s="255">
        <f>(IF((VLOOKUP(Table9[[#This Row],[SKU]],'All Skus'!$A:$AC,2,FALSE))="Lexicon",(VLOOKUP(Table9[[#This Row],[SKU]],'All Skus'!$A:$AC,16,FALSE)),""))</f>
        <v>691991500268</v>
      </c>
      <c r="M6" s="256">
        <f>(IF((VLOOKUP(Table9[[#This Row],[SKU]],'All Skus'!$A:$AC,2,FALSE))="Lexicon",(VLOOKUP(Table9[[#This Row],[SKU]],'All Skus'!$A:$AC,17,FALSE)),""))</f>
        <v>0</v>
      </c>
      <c r="N6" s="240">
        <f>(IF((VLOOKUP(Table9[[#This Row],[SKU]],'All Skus'!$A:$AC,2,FALSE))="Lexicon",(VLOOKUP(Table9[[#This Row],[SKU]],'All Skus'!$A:$AC,18,FALSE)),""))</f>
        <v>12.5</v>
      </c>
      <c r="O6" s="240">
        <f>(IF((VLOOKUP(Table9[[#This Row],[SKU]],'All Skus'!$A:$AC,2,FALSE))="Lexicon",(VLOOKUP(Table9[[#This Row],[SKU]],'All Skus'!$A:$AC,19,FALSE)),""))</f>
        <v>15.5</v>
      </c>
      <c r="P6" s="240">
        <f>(IF((VLOOKUP(Table9[[#This Row],[SKU]],'All Skus'!$A:$AC,2,FALSE))="Lexicon",(VLOOKUP(Table9[[#This Row],[SKU]],'All Skus'!$A:$AC,20,FALSE)),""))</f>
        <v>24</v>
      </c>
      <c r="Q6" s="240">
        <f>(IF((VLOOKUP(Table9[[#This Row],[SKU]],'All Skus'!$A:$AC,2,FALSE))="Lexicon",(VLOOKUP(Table9[[#This Row],[SKU]],'All Skus'!$A:$AC,21,FALSE)),""))</f>
        <v>5</v>
      </c>
      <c r="R6" s="256" t="str">
        <f>(IF((VLOOKUP(Table9[[#This Row],[SKU]],'All Skus'!$A:$AC,2,FALSE))="Lexicon",(VLOOKUP(Table9[[#This Row],[SKU]],'All Skus'!$A:$AC,22,FALSE)),""))</f>
        <v>US</v>
      </c>
      <c r="S6" s="249" t="str">
        <f>(IF((VLOOKUP(Table9[[#This Row],[SKU]],'All Skus'!$A:$AC,2,FALSE))="Lexicon",(VLOOKUP(Table9[[#This Row],[SKU]],'All Skus'!$A:$AC,23,FALSE)),""))</f>
        <v>Compliant</v>
      </c>
      <c r="T6" s="212" t="str">
        <f>HYPERLINK((IF((VLOOKUP(Table9[[#This Row],[SKU]],'All Skus'!$A:$AC,2,FALSE))="Lexicon",(VLOOKUP(Table9[[#This Row],[SKU]],'All Skus'!$A:$AC,24,FALSE)),"")))</f>
        <v>http://lexiconpro.com/en-US/products/pcm96</v>
      </c>
      <c r="U6" s="228">
        <v>4</v>
      </c>
    </row>
    <row r="7" spans="1:22" ht="15" customHeight="1">
      <c r="A7" s="105" t="s">
        <v>1941</v>
      </c>
      <c r="B7" s="250" t="str">
        <f>(IF((VLOOKUP(Table9[[#This Row],[SKU]],'All Skus'!$A:$AC,2,FALSE))="Lexicon",(VLOOKUP(Table9[[#This Row],[SKU]],'All Skus'!$A:$AC,3,FALSE)),""))</f>
        <v>PCM Series</v>
      </c>
      <c r="C7" s="250" t="str">
        <f>(IF((VLOOKUP(Table9[[#This Row],[SKU]],'All Skus'!$A:$AC,2,FALSE))="Lexicon",(VLOOKUP(Table9[[#This Row],[SKU]],'All Skus'!$A:$AC,4,FALSE)),""))</f>
        <v>PCM96SUR-A</v>
      </c>
      <c r="D7" s="249" t="str">
        <f>(IF((VLOOKUP(Table9[[#This Row],[SKU]],'All Skus'!$A:$AC,2,FALSE))="Lexicon",(VLOOKUP(Table9[[#This Row],[SKU]],'All Skus'!$A:$AC,5,FALSE)),""))</f>
        <v>LEXPROREC</v>
      </c>
      <c r="E7" s="249">
        <f>(IF((VLOOKUP(Table9[[#This Row],[SKU]],'All Skus'!$A:$AC,2,FALSE))="Lexicon",(VLOOKUP(Table9[[#This Row],[SKU]],'All Skus'!$A:$AC,6,FALSE)),""))</f>
        <v>0</v>
      </c>
      <c r="F7" s="249">
        <f>(IF((VLOOKUP(Table9[[#This Row],[SKU]],'All Skus'!$A:$AC,2,FALSE))="Lexicon",(VLOOKUP(Table9[[#This Row],[SKU]],'All Skus'!$A:$AC,7,FALSE)),""))</f>
        <v>0</v>
      </c>
      <c r="G7" s="251" t="str">
        <f>(IF((VLOOKUP(Table9[[#This Row],[SKU]],'All Skus'!$A:$AC,2,FALSE))="Lexicon",(VLOOKUP(Table9[[#This Row],[SKU]],'All Skus'!$A:$AC,8,FALSE)),""))</f>
        <v>PCM Series</v>
      </c>
      <c r="H7" s="252" t="str">
        <f>(IF((VLOOKUP(Table9[[#This Row],[SKU]],'All Skus'!$A:$AC,2,FALSE))="Lexicon",(VLOOKUP(Table9[[#This Row],[SKU]],'All Skus'!$A:$AC,9,FALSE)),""))</f>
        <v>Multi-channel Reverb/Effects Processor - Analog &amp; Digital I/O</v>
      </c>
      <c r="I7" s="253">
        <f>(IF((VLOOKUP(Table9[[#This Row],[SKU]],'All Skus'!$A:$AC,2,FALSE))="Lexicon",(VLOOKUP(Table9[[#This Row],[SKU]],'All Skus'!$A:$AC,10,FALSE)),""))</f>
        <v>6421.21</v>
      </c>
      <c r="J7" s="253">
        <f>(IF((VLOOKUP(Table9[[#This Row],[SKU]],'All Skus'!$A:$AC,2,FALSE))="Lexicon",(VLOOKUP(Table9[[#This Row],[SKU]],'All Skus'!$A:$AC,11,FALSE)),""))</f>
        <v>5135</v>
      </c>
      <c r="K7" s="254">
        <f>(IF((VLOOKUP(Table9[[#This Row],[SKU]],'All Skus'!$A:$AC,2,FALSE))="Lexicon",(VLOOKUP(Table9[[#This Row],[SKU]],'All Skus'!$A:$AC,15,FALSE)),""))</f>
        <v>1</v>
      </c>
      <c r="L7" s="255">
        <f>(IF((VLOOKUP(Table9[[#This Row],[SKU]],'All Skus'!$A:$AC,2,FALSE))="Lexicon",(VLOOKUP(Table9[[#This Row],[SKU]],'All Skus'!$A:$AC,16,FALSE)),""))</f>
        <v>691991500282</v>
      </c>
      <c r="M7" s="256">
        <f>(IF((VLOOKUP(Table9[[#This Row],[SKU]],'All Skus'!$A:$AC,2,FALSE))="Lexicon",(VLOOKUP(Table9[[#This Row],[SKU]],'All Skus'!$A:$AC,17,FALSE)),""))</f>
        <v>0</v>
      </c>
      <c r="N7" s="240">
        <f>(IF((VLOOKUP(Table9[[#This Row],[SKU]],'All Skus'!$A:$AC,2,FALSE))="Lexicon",(VLOOKUP(Table9[[#This Row],[SKU]],'All Skus'!$A:$AC,18,FALSE)),""))</f>
        <v>16.760000000000002</v>
      </c>
      <c r="O7" s="240">
        <f>(IF((VLOOKUP(Table9[[#This Row],[SKU]],'All Skus'!$A:$AC,2,FALSE))="Lexicon",(VLOOKUP(Table9[[#This Row],[SKU]],'All Skus'!$A:$AC,19,FALSE)),""))</f>
        <v>24</v>
      </c>
      <c r="P7" s="240">
        <f>(IF((VLOOKUP(Table9[[#This Row],[SKU]],'All Skus'!$A:$AC,2,FALSE))="Lexicon",(VLOOKUP(Table9[[#This Row],[SKU]],'All Skus'!$A:$AC,20,FALSE)),""))</f>
        <v>19</v>
      </c>
      <c r="Q7" s="240">
        <f>(IF((VLOOKUP(Table9[[#This Row],[SKU]],'All Skus'!$A:$AC,2,FALSE))="Lexicon",(VLOOKUP(Table9[[#This Row],[SKU]],'All Skus'!$A:$AC,21,FALSE)),""))</f>
        <v>5</v>
      </c>
      <c r="R7" s="256" t="str">
        <f>(IF((VLOOKUP(Table9[[#This Row],[SKU]],'All Skus'!$A:$AC,2,FALSE))="Lexicon",(VLOOKUP(Table9[[#This Row],[SKU]],'All Skus'!$A:$AC,22,FALSE)),""))</f>
        <v>US</v>
      </c>
      <c r="S7" s="249" t="str">
        <f>(IF((VLOOKUP(Table9[[#This Row],[SKU]],'All Skus'!$A:$AC,2,FALSE))="Lexicon",(VLOOKUP(Table9[[#This Row],[SKU]],'All Skus'!$A:$AC,23,FALSE)),""))</f>
        <v>Compliant</v>
      </c>
      <c r="T7" s="212" t="str">
        <f>HYPERLINK((IF((VLOOKUP(Table9[[#This Row],[SKU]],'All Skus'!$A:$AC,2,FALSE))="Lexicon",(VLOOKUP(Table9[[#This Row],[SKU]],'All Skus'!$A:$AC,24,FALSE)),"")))</f>
        <v>http://lexiconpro.com/en-US/products/pcm96-surround</v>
      </c>
      <c r="U7" s="228">
        <v>5</v>
      </c>
    </row>
    <row r="8" spans="1:22" ht="15" customHeight="1">
      <c r="A8" s="105" t="s">
        <v>1942</v>
      </c>
      <c r="B8" s="250" t="str">
        <f>(IF((VLOOKUP(Table9[[#This Row],[SKU]],'All Skus'!$A:$AC,2,FALSE))="Lexicon",(VLOOKUP(Table9[[#This Row],[SKU]],'All Skus'!$A:$AC,3,FALSE)),""))</f>
        <v>PCM Series</v>
      </c>
      <c r="C8" s="250" t="str">
        <f>(IF((VLOOKUP(Table9[[#This Row],[SKU]],'All Skus'!$A:$AC,2,FALSE))="Lexicon",(VLOOKUP(Table9[[#This Row],[SKU]],'All Skus'!$A:$AC,4,FALSE)),""))</f>
        <v>PCM96SUR-D</v>
      </c>
      <c r="D8" s="249" t="str">
        <f>(IF((VLOOKUP(Table9[[#This Row],[SKU]],'All Skus'!$A:$AC,2,FALSE))="Lexicon",(VLOOKUP(Table9[[#This Row],[SKU]],'All Skus'!$A:$AC,5,FALSE)),""))</f>
        <v>LEXPROREC</v>
      </c>
      <c r="E8" s="249">
        <f>(IF((VLOOKUP(Table9[[#This Row],[SKU]],'All Skus'!$A:$AC,2,FALSE))="Lexicon",(VLOOKUP(Table9[[#This Row],[SKU]],'All Skus'!$A:$AC,6,FALSE)),""))</f>
        <v>0</v>
      </c>
      <c r="F8" s="249">
        <f>(IF((VLOOKUP(Table9[[#This Row],[SKU]],'All Skus'!$A:$AC,2,FALSE))="Lexicon",(VLOOKUP(Table9[[#This Row],[SKU]],'All Skus'!$A:$AC,7,FALSE)),""))</f>
        <v>0</v>
      </c>
      <c r="G8" s="251" t="str">
        <f>(IF((VLOOKUP(Table9[[#This Row],[SKU]],'All Skus'!$A:$AC,2,FALSE))="Lexicon",(VLOOKUP(Table9[[#This Row],[SKU]],'All Skus'!$A:$AC,8,FALSE)),""))</f>
        <v>PCM Series</v>
      </c>
      <c r="H8" s="252" t="str">
        <f>(IF((VLOOKUP(Table9[[#This Row],[SKU]],'All Skus'!$A:$AC,2,FALSE))="Lexicon",(VLOOKUP(Table9[[#This Row],[SKU]],'All Skus'!$A:$AC,9,FALSE)),""))</f>
        <v>Multi-channel Reverb/Effects Processor - Digital I/O</v>
      </c>
      <c r="I8" s="253">
        <f>(IF((VLOOKUP(Table9[[#This Row],[SKU]],'All Skus'!$A:$AC,2,FALSE))="Lexicon",(VLOOKUP(Table9[[#This Row],[SKU]],'All Skus'!$A:$AC,10,FALSE)),""))</f>
        <v>6100.08</v>
      </c>
      <c r="J8" s="253">
        <f>(IF((VLOOKUP(Table9[[#This Row],[SKU]],'All Skus'!$A:$AC,2,FALSE))="Lexicon",(VLOOKUP(Table9[[#This Row],[SKU]],'All Skus'!$A:$AC,11,FALSE)),""))</f>
        <v>4881</v>
      </c>
      <c r="K8" s="254">
        <f>(IF((VLOOKUP(Table9[[#This Row],[SKU]],'All Skus'!$A:$AC,2,FALSE))="Lexicon",(VLOOKUP(Table9[[#This Row],[SKU]],'All Skus'!$A:$AC,15,FALSE)),""))</f>
        <v>1</v>
      </c>
      <c r="L8" s="255">
        <f>(IF((VLOOKUP(Table9[[#This Row],[SKU]],'All Skus'!$A:$AC,2,FALSE))="Lexicon",(VLOOKUP(Table9[[#This Row],[SKU]],'All Skus'!$A:$AC,16,FALSE)),""))</f>
        <v>691991500299</v>
      </c>
      <c r="M8" s="256">
        <f>(IF((VLOOKUP(Table9[[#This Row],[SKU]],'All Skus'!$A:$AC,2,FALSE))="Lexicon",(VLOOKUP(Table9[[#This Row],[SKU]],'All Skus'!$A:$AC,17,FALSE)),""))</f>
        <v>0</v>
      </c>
      <c r="N8" s="240">
        <f>(IF((VLOOKUP(Table9[[#This Row],[SKU]],'All Skus'!$A:$AC,2,FALSE))="Lexicon",(VLOOKUP(Table9[[#This Row],[SKU]],'All Skus'!$A:$AC,18,FALSE)),""))</f>
        <v>16.079999999999998</v>
      </c>
      <c r="O8" s="240">
        <f>(IF((VLOOKUP(Table9[[#This Row],[SKU]],'All Skus'!$A:$AC,2,FALSE))="Lexicon",(VLOOKUP(Table9[[#This Row],[SKU]],'All Skus'!$A:$AC,19,FALSE)),""))</f>
        <v>24</v>
      </c>
      <c r="P8" s="240">
        <f>(IF((VLOOKUP(Table9[[#This Row],[SKU]],'All Skus'!$A:$AC,2,FALSE))="Lexicon",(VLOOKUP(Table9[[#This Row],[SKU]],'All Skus'!$A:$AC,20,FALSE)),""))</f>
        <v>19</v>
      </c>
      <c r="Q8" s="240">
        <f>(IF((VLOOKUP(Table9[[#This Row],[SKU]],'All Skus'!$A:$AC,2,FALSE))="Lexicon",(VLOOKUP(Table9[[#This Row],[SKU]],'All Skus'!$A:$AC,21,FALSE)),""))</f>
        <v>5</v>
      </c>
      <c r="R8" s="256" t="str">
        <f>(IF((VLOOKUP(Table9[[#This Row],[SKU]],'All Skus'!$A:$AC,2,FALSE))="Lexicon",(VLOOKUP(Table9[[#This Row],[SKU]],'All Skus'!$A:$AC,22,FALSE)),""))</f>
        <v>US</v>
      </c>
      <c r="S8" s="249" t="str">
        <f>(IF((VLOOKUP(Table9[[#This Row],[SKU]],'All Skus'!$A:$AC,2,FALSE))="Lexicon",(VLOOKUP(Table9[[#This Row],[SKU]],'All Skus'!$A:$AC,23,FALSE)),""))</f>
        <v>Compliant</v>
      </c>
      <c r="T8" s="212" t="str">
        <f>HYPERLINK((IF((VLOOKUP(Table9[[#This Row],[SKU]],'All Skus'!$A:$AC,2,FALSE))="Lexicon",(VLOOKUP(Table9[[#This Row],[SKU]],'All Skus'!$A:$AC,24,FALSE)),"")))</f>
        <v>http://lexiconpro.com/en-US/products/pcm96-surround-digital</v>
      </c>
      <c r="U8" s="228">
        <v>6</v>
      </c>
    </row>
    <row r="9" spans="1:22" ht="15" customHeight="1">
      <c r="A9" s="105" t="s">
        <v>1943</v>
      </c>
      <c r="B9" s="250" t="str">
        <f>(IF((VLOOKUP(Table9[[#This Row],[SKU]],'All Skus'!$A:$AC,2,FALSE))="Lexicon",(VLOOKUP(Table9[[#This Row],[SKU]],'All Skus'!$A:$AC,3,FALSE)),""))</f>
        <v>LEX,MPXR,NATIVE REVERB PLUGIN D</v>
      </c>
      <c r="C9" s="250" t="str">
        <f>(IF((VLOOKUP(Table9[[#This Row],[SKU]],'All Skus'!$A:$AC,2,FALSE))="Lexicon",(VLOOKUP(Table9[[#This Row],[SKU]],'All Skus'!$A:$AC,4,FALSE)),""))</f>
        <v>PLMPXR-D</v>
      </c>
      <c r="D9" s="249" t="str">
        <f>(IF((VLOOKUP(Table9[[#This Row],[SKU]],'All Skus'!$A:$AC,2,FALSE))="Lexicon",(VLOOKUP(Table9[[#This Row],[SKU]],'All Skus'!$A:$AC,5,FALSE)),""))</f>
        <v>LEXPLUGIN</v>
      </c>
      <c r="E9" s="249">
        <f>(IF((VLOOKUP(Table9[[#This Row],[SKU]],'All Skus'!$A:$AC,2,FALSE))="Lexicon",(VLOOKUP(Table9[[#This Row],[SKU]],'All Skus'!$A:$AC,6,FALSE)),""))</f>
        <v>0</v>
      </c>
      <c r="F9" s="249">
        <f>(IF((VLOOKUP(Table9[[#This Row],[SKU]],'All Skus'!$A:$AC,2,FALSE))="Lexicon",(VLOOKUP(Table9[[#This Row],[SKU]],'All Skus'!$A:$AC,7,FALSE)),""))</f>
        <v>0</v>
      </c>
      <c r="G9" s="251" t="str">
        <f>(IF((VLOOKUP(Table9[[#This Row],[SKU]],'All Skus'!$A:$AC,2,FALSE))="Lexicon",(VLOOKUP(Table9[[#This Row],[SKU]],'All Skus'!$A:$AC,8,FALSE)),""))</f>
        <v>LEX,MPXR,NATIVE REVERB PLUGIN D</v>
      </c>
      <c r="H9" s="252" t="str">
        <f>(IF((VLOOKUP(Table9[[#This Row],[SKU]],'All Skus'!$A:$AC,2,FALSE))="Lexicon",(VLOOKUP(Table9[[#This Row],[SKU]],'All Skus'!$A:$AC,9,FALSE)),""))</f>
        <v>VST / AU / RTAS Reverb Plug-in</v>
      </c>
      <c r="I9" s="253">
        <f>(IF((VLOOKUP(Table9[[#This Row],[SKU]],'All Skus'!$A:$AC,2,FALSE))="Lexicon",(VLOOKUP(Table9[[#This Row],[SKU]],'All Skus'!$A:$AC,10,FALSE)),""))</f>
        <v>160.94</v>
      </c>
      <c r="J9" s="253">
        <f>(IF((VLOOKUP(Table9[[#This Row],[SKU]],'All Skus'!$A:$AC,2,FALSE))="Lexicon",(VLOOKUP(Table9[[#This Row],[SKU]],'All Skus'!$A:$AC,11,FALSE)),""))</f>
        <v>129</v>
      </c>
      <c r="K9" s="254">
        <f>(IF((VLOOKUP(Table9[[#This Row],[SKU]],'All Skus'!$A:$AC,2,FALSE))="Lexicon",(VLOOKUP(Table9[[#This Row],[SKU]],'All Skus'!$A:$AC,15,FALSE)),""))</f>
        <v>0</v>
      </c>
      <c r="L9" s="255">
        <f>(IF((VLOOKUP(Table9[[#This Row],[SKU]],'All Skus'!$A:$AC,2,FALSE))="Lexicon",(VLOOKUP(Table9[[#This Row],[SKU]],'All Skus'!$A:$AC,16,FALSE)),""))</f>
        <v>691991033285</v>
      </c>
      <c r="M9" s="256">
        <f>(IF((VLOOKUP(Table9[[#This Row],[SKU]],'All Skus'!$A:$AC,2,FALSE))="Lexicon",(VLOOKUP(Table9[[#This Row],[SKU]],'All Skus'!$A:$AC,17,FALSE)),""))</f>
        <v>0</v>
      </c>
      <c r="N9" s="240">
        <f>(IF((VLOOKUP(Table9[[#This Row],[SKU]],'All Skus'!$A:$AC,2,FALSE))="Lexicon",(VLOOKUP(Table9[[#This Row],[SKU]],'All Skus'!$A:$AC,18,FALSE)),""))</f>
        <v>0</v>
      </c>
      <c r="O9" s="240">
        <f>(IF((VLOOKUP(Table9[[#This Row],[SKU]],'All Skus'!$A:$AC,2,FALSE))="Lexicon",(VLOOKUP(Table9[[#This Row],[SKU]],'All Skus'!$A:$AC,19,FALSE)),""))</f>
        <v>0</v>
      </c>
      <c r="P9" s="240">
        <f>(IF((VLOOKUP(Table9[[#This Row],[SKU]],'All Skus'!$A:$AC,2,FALSE))="Lexicon",(VLOOKUP(Table9[[#This Row],[SKU]],'All Skus'!$A:$AC,20,FALSE)),""))</f>
        <v>0</v>
      </c>
      <c r="Q9" s="240">
        <f>(IF((VLOOKUP(Table9[[#This Row],[SKU]],'All Skus'!$A:$AC,2,FALSE))="Lexicon",(VLOOKUP(Table9[[#This Row],[SKU]],'All Skus'!$A:$AC,21,FALSE)),""))</f>
        <v>0</v>
      </c>
      <c r="R9" s="256" t="str">
        <f>(IF((VLOOKUP(Table9[[#This Row],[SKU]],'All Skus'!$A:$AC,2,FALSE))="Lexicon",(VLOOKUP(Table9[[#This Row],[SKU]],'All Skus'!$A:$AC,22,FALSE)),""))</f>
        <v>CN</v>
      </c>
      <c r="S9" s="249" t="str">
        <f>(IF((VLOOKUP(Table9[[#This Row],[SKU]],'All Skus'!$A:$AC,2,FALSE))="Lexicon",(VLOOKUP(Table9[[#This Row],[SKU]],'All Skus'!$A:$AC,23,FALSE)),""))</f>
        <v>Non Compliant</v>
      </c>
      <c r="T9" s="212" t="str">
        <f>HYPERLINK((IF((VLOOKUP(Table9[[#This Row],[SKU]],'All Skus'!$A:$AC,2,FALSE))="Lexicon",(VLOOKUP(Table9[[#This Row],[SKU]],'All Skus'!$A:$AC,24,FALSE)),"")))</f>
        <v/>
      </c>
      <c r="U9" s="228">
        <v>7</v>
      </c>
    </row>
    <row r="10" spans="1:22" ht="15" customHeight="1">
      <c r="A10" s="105" t="s">
        <v>1944</v>
      </c>
      <c r="B10" s="250" t="str">
        <f>(IF((VLOOKUP(Table9[[#This Row],[SKU]],'All Skus'!$A:$AC,2,FALSE))="Lexicon",(VLOOKUP(Table9[[#This Row],[SKU]],'All Skus'!$A:$AC,3,FALSE)),""))</f>
        <v>PCM Plug-ins</v>
      </c>
      <c r="C10" s="250" t="str">
        <f>(IF((VLOOKUP(Table9[[#This Row],[SKU]],'All Skus'!$A:$AC,2,FALSE))="Lexicon",(VLOOKUP(Table9[[#This Row],[SKU]],'All Skus'!$A:$AC,4,FALSE)),""))</f>
        <v>PLPCMFX</v>
      </c>
      <c r="D10" s="249" t="str">
        <f>(IF((VLOOKUP(Table9[[#This Row],[SKU]],'All Skus'!$A:$AC,2,FALSE))="Lexicon",(VLOOKUP(Table9[[#This Row],[SKU]],'All Skus'!$A:$AC,5,FALSE)),""))</f>
        <v>LEXPLUGIN</v>
      </c>
      <c r="E10" s="249">
        <f>(IF((VLOOKUP(Table9[[#This Row],[SKU]],'All Skus'!$A:$AC,2,FALSE))="Lexicon",(VLOOKUP(Table9[[#This Row],[SKU]],'All Skus'!$A:$AC,6,FALSE)),""))</f>
        <v>0</v>
      </c>
      <c r="F10" s="249">
        <f>(IF((VLOOKUP(Table9[[#This Row],[SKU]],'All Skus'!$A:$AC,2,FALSE))="Lexicon",(VLOOKUP(Table9[[#This Row],[SKU]],'All Skus'!$A:$AC,7,FALSE)),""))</f>
        <v>0</v>
      </c>
      <c r="G10" s="251" t="str">
        <f>(IF((VLOOKUP(Table9[[#This Row],[SKU]],'All Skus'!$A:$AC,2,FALSE))="Lexicon",(VLOOKUP(Table9[[#This Row],[SKU]],'All Skus'!$A:$AC,8,FALSE)),""))</f>
        <v>PCM Plug-ins</v>
      </c>
      <c r="H10" s="252" t="str">
        <f>(IF((VLOOKUP(Table9[[#This Row],[SKU]],'All Skus'!$A:$AC,2,FALSE))="Lexicon",(VLOOKUP(Table9[[#This Row],[SKU]],'All Skus'!$A:$AC,9,FALSE)),""))</f>
        <v>PCM Native Effects Plug-in Bundle</v>
      </c>
      <c r="I10" s="253">
        <f>(IF((VLOOKUP(Table9[[#This Row],[SKU]],'All Skus'!$A:$AC,2,FALSE))="Lexicon",(VLOOKUP(Table9[[#This Row],[SKU]],'All Skus'!$A:$AC,10,FALSE)),""))</f>
        <v>801.53</v>
      </c>
      <c r="J10" s="253">
        <f>(IF((VLOOKUP(Table9[[#This Row],[SKU]],'All Skus'!$A:$AC,2,FALSE))="Lexicon",(VLOOKUP(Table9[[#This Row],[SKU]],'All Skus'!$A:$AC,11,FALSE)),""))</f>
        <v>634</v>
      </c>
      <c r="K10" s="254">
        <f>(IF((VLOOKUP(Table9[[#This Row],[SKU]],'All Skus'!$A:$AC,2,FALSE))="Lexicon",(VLOOKUP(Table9[[#This Row],[SKU]],'All Skus'!$A:$AC,15,FALSE)),""))</f>
        <v>1</v>
      </c>
      <c r="L10" s="255">
        <f>(IF((VLOOKUP(Table9[[#This Row],[SKU]],'All Skus'!$A:$AC,2,FALSE))="Lexicon",(VLOOKUP(Table9[[#This Row],[SKU]],'All Skus'!$A:$AC,16,FALSE)),""))</f>
        <v>691991014161</v>
      </c>
      <c r="M10" s="256">
        <f>(IF((VLOOKUP(Table9[[#This Row],[SKU]],'All Skus'!$A:$AC,2,FALSE))="Lexicon",(VLOOKUP(Table9[[#This Row],[SKU]],'All Skus'!$A:$AC,17,FALSE)),""))</f>
        <v>0</v>
      </c>
      <c r="N10" s="240">
        <f>(IF((VLOOKUP(Table9[[#This Row],[SKU]],'All Skus'!$A:$AC,2,FALSE))="Lexicon",(VLOOKUP(Table9[[#This Row],[SKU]],'All Skus'!$A:$AC,18,FALSE)),""))</f>
        <v>0</v>
      </c>
      <c r="O10" s="240">
        <f>(IF((VLOOKUP(Table9[[#This Row],[SKU]],'All Skus'!$A:$AC,2,FALSE))="Lexicon",(VLOOKUP(Table9[[#This Row],[SKU]],'All Skus'!$A:$AC,19,FALSE)),""))</f>
        <v>0</v>
      </c>
      <c r="P10" s="240">
        <f>(IF((VLOOKUP(Table9[[#This Row],[SKU]],'All Skus'!$A:$AC,2,FALSE))="Lexicon",(VLOOKUP(Table9[[#This Row],[SKU]],'All Skus'!$A:$AC,20,FALSE)),""))</f>
        <v>0</v>
      </c>
      <c r="Q10" s="240">
        <f>(IF((VLOOKUP(Table9[[#This Row],[SKU]],'All Skus'!$A:$AC,2,FALSE))="Lexicon",(VLOOKUP(Table9[[#This Row],[SKU]],'All Skus'!$A:$AC,21,FALSE)),""))</f>
        <v>0</v>
      </c>
      <c r="R10" s="256" t="str">
        <f>(IF((VLOOKUP(Table9[[#This Row],[SKU]],'All Skus'!$A:$AC,2,FALSE))="Lexicon",(VLOOKUP(Table9[[#This Row],[SKU]],'All Skus'!$A:$AC,22,FALSE)),""))</f>
        <v>US</v>
      </c>
      <c r="S10" s="249" t="str">
        <f>(IF((VLOOKUP(Table9[[#This Row],[SKU]],'All Skus'!$A:$AC,2,FALSE))="Lexicon",(VLOOKUP(Table9[[#This Row],[SKU]],'All Skus'!$A:$AC,23,FALSE)),""))</f>
        <v>Compliant</v>
      </c>
      <c r="T10" s="212" t="str">
        <f>HYPERLINK((IF((VLOOKUP(Table9[[#This Row],[SKU]],'All Skus'!$A:$AC,2,FALSE))="Lexicon",(VLOOKUP(Table9[[#This Row],[SKU]],'All Skus'!$A:$AC,24,FALSE)),"")))</f>
        <v>http://lexiconpro.com/en-US/products/pcm-native-effects-plug-in-bundle</v>
      </c>
      <c r="U10" s="228">
        <v>8</v>
      </c>
    </row>
    <row r="11" spans="1:22" ht="15" customHeight="1">
      <c r="A11" s="105" t="s">
        <v>1945</v>
      </c>
      <c r="B11" s="250" t="str">
        <f>(IF((VLOOKUP(Table9[[#This Row],[SKU]],'All Skus'!$A:$AC,2,FALSE))="Lexicon",(VLOOKUP(Table9[[#This Row],[SKU]],'All Skus'!$A:$AC,3,FALSE)),""))</f>
        <v>PCM Plug-ins</v>
      </c>
      <c r="C11" s="250" t="str">
        <f>(IF((VLOOKUP(Table9[[#This Row],[SKU]],'All Skus'!$A:$AC,2,FALSE))="Lexicon",(VLOOKUP(Table9[[#This Row],[SKU]],'All Skus'!$A:$AC,4,FALSE)),""))</f>
        <v>PLPCMRB</v>
      </c>
      <c r="D11" s="249" t="str">
        <f>(IF((VLOOKUP(Table9[[#This Row],[SKU]],'All Skus'!$A:$AC,2,FALSE))="Lexicon",(VLOOKUP(Table9[[#This Row],[SKU]],'All Skus'!$A:$AC,5,FALSE)),""))</f>
        <v>LEXPLUGIN</v>
      </c>
      <c r="E11" s="249">
        <f>(IF((VLOOKUP(Table9[[#This Row],[SKU]],'All Skus'!$A:$AC,2,FALSE))="Lexicon",(VLOOKUP(Table9[[#This Row],[SKU]],'All Skus'!$A:$AC,6,FALSE)),""))</f>
        <v>0</v>
      </c>
      <c r="F11" s="249">
        <f>(IF((VLOOKUP(Table9[[#This Row],[SKU]],'All Skus'!$A:$AC,2,FALSE))="Lexicon",(VLOOKUP(Table9[[#This Row],[SKU]],'All Skus'!$A:$AC,7,FALSE)),""))</f>
        <v>0</v>
      </c>
      <c r="G11" s="251" t="str">
        <f>(IF((VLOOKUP(Table9[[#This Row],[SKU]],'All Skus'!$A:$AC,2,FALSE))="Lexicon",(VLOOKUP(Table9[[#This Row],[SKU]],'All Skus'!$A:$AC,8,FALSE)),""))</f>
        <v>PCM Plug-ins</v>
      </c>
      <c r="H11" s="252" t="str">
        <f>(IF((VLOOKUP(Table9[[#This Row],[SKU]],'All Skus'!$A:$AC,2,FALSE))="Lexicon",(VLOOKUP(Table9[[#This Row],[SKU]],'All Skus'!$A:$AC,9,FALSE)),""))</f>
        <v>PCM Native Reverb Plug-in Bundle</v>
      </c>
      <c r="I11" s="253">
        <f>(IF((VLOOKUP(Table9[[#This Row],[SKU]],'All Skus'!$A:$AC,2,FALSE))="Lexicon",(VLOOKUP(Table9[[#This Row],[SKU]],'All Skus'!$A:$AC,10,FALSE)),""))</f>
        <v>963.79</v>
      </c>
      <c r="J11" s="253">
        <f>(IF((VLOOKUP(Table9[[#This Row],[SKU]],'All Skus'!$A:$AC,2,FALSE))="Lexicon",(VLOOKUP(Table9[[#This Row],[SKU]],'All Skus'!$A:$AC,11,FALSE)),""))</f>
        <v>772</v>
      </c>
      <c r="K11" s="254">
        <f>(IF((VLOOKUP(Table9[[#This Row],[SKU]],'All Skus'!$A:$AC,2,FALSE))="Lexicon",(VLOOKUP(Table9[[#This Row],[SKU]],'All Skus'!$A:$AC,15,FALSE)),""))</f>
        <v>1</v>
      </c>
      <c r="L11" s="255">
        <f>(IF((VLOOKUP(Table9[[#This Row],[SKU]],'All Skus'!$A:$AC,2,FALSE))="Lexicon",(VLOOKUP(Table9[[#This Row],[SKU]],'All Skus'!$A:$AC,16,FALSE)),""))</f>
        <v>691991014154</v>
      </c>
      <c r="M11" s="256">
        <f>(IF((VLOOKUP(Table9[[#This Row],[SKU]],'All Skus'!$A:$AC,2,FALSE))="Lexicon",(VLOOKUP(Table9[[#This Row],[SKU]],'All Skus'!$A:$AC,17,FALSE)),""))</f>
        <v>0</v>
      </c>
      <c r="N11" s="240">
        <f>(IF((VLOOKUP(Table9[[#This Row],[SKU]],'All Skus'!$A:$AC,2,FALSE))="Lexicon",(VLOOKUP(Table9[[#This Row],[SKU]],'All Skus'!$A:$AC,18,FALSE)),""))</f>
        <v>0</v>
      </c>
      <c r="O11" s="240">
        <f>(IF((VLOOKUP(Table9[[#This Row],[SKU]],'All Skus'!$A:$AC,2,FALSE))="Lexicon",(VLOOKUP(Table9[[#This Row],[SKU]],'All Skus'!$A:$AC,19,FALSE)),""))</f>
        <v>0</v>
      </c>
      <c r="P11" s="240">
        <f>(IF((VLOOKUP(Table9[[#This Row],[SKU]],'All Skus'!$A:$AC,2,FALSE))="Lexicon",(VLOOKUP(Table9[[#This Row],[SKU]],'All Skus'!$A:$AC,20,FALSE)),""))</f>
        <v>0</v>
      </c>
      <c r="Q11" s="240">
        <f>(IF((VLOOKUP(Table9[[#This Row],[SKU]],'All Skus'!$A:$AC,2,FALSE))="Lexicon",(VLOOKUP(Table9[[#This Row],[SKU]],'All Skus'!$A:$AC,21,FALSE)),""))</f>
        <v>0</v>
      </c>
      <c r="R11" s="256" t="str">
        <f>(IF((VLOOKUP(Table9[[#This Row],[SKU]],'All Skus'!$A:$AC,2,FALSE))="Lexicon",(VLOOKUP(Table9[[#This Row],[SKU]],'All Skus'!$A:$AC,22,FALSE)),""))</f>
        <v>US</v>
      </c>
      <c r="S11" s="249" t="str">
        <f>(IF((VLOOKUP(Table9[[#This Row],[SKU]],'All Skus'!$A:$AC,2,FALSE))="Lexicon",(VLOOKUP(Table9[[#This Row],[SKU]],'All Skus'!$A:$AC,23,FALSE)),""))</f>
        <v>Compliant</v>
      </c>
      <c r="T11" s="212" t="str">
        <f>HYPERLINK((IF((VLOOKUP(Table9[[#This Row],[SKU]],'All Skus'!$A:$AC,2,FALSE))="Lexicon",(VLOOKUP(Table9[[#This Row],[SKU]],'All Skus'!$A:$AC,24,FALSE)),"")))</f>
        <v>http://lexiconpro.com/en-US/products/pcm-native-reverb-plug-in-bundle</v>
      </c>
      <c r="U11" s="228">
        <v>9</v>
      </c>
    </row>
    <row r="12" spans="1:22" ht="15" customHeight="1">
      <c r="A12" s="105" t="s">
        <v>1946</v>
      </c>
      <c r="B12" s="250" t="str">
        <f>(IF((VLOOKUP(Table9[[#This Row],[SKU]],'All Skus'!$A:$AC,2,FALSE))="Lexicon",(VLOOKUP(Table9[[#This Row],[SKU]],'All Skus'!$A:$AC,3,FALSE)),""))</f>
        <v>PCM Plug-ins</v>
      </c>
      <c r="C12" s="250" t="str">
        <f>(IF((VLOOKUP(Table9[[#This Row],[SKU]],'All Skus'!$A:$AC,2,FALSE))="Lexicon",(VLOOKUP(Table9[[#This Row],[SKU]],'All Skus'!$A:$AC,4,FALSE)),""))</f>
        <v>PLPCMTOT</v>
      </c>
      <c r="D12" s="249" t="str">
        <f>(IF((VLOOKUP(Table9[[#This Row],[SKU]],'All Skus'!$A:$AC,2,FALSE))="Lexicon",(VLOOKUP(Table9[[#This Row],[SKU]],'All Skus'!$A:$AC,5,FALSE)),""))</f>
        <v>LEXPLUGIN</v>
      </c>
      <c r="E12" s="249">
        <f>(IF((VLOOKUP(Table9[[#This Row],[SKU]],'All Skus'!$A:$AC,2,FALSE))="Lexicon",(VLOOKUP(Table9[[#This Row],[SKU]],'All Skus'!$A:$AC,6,FALSE)),""))</f>
        <v>0</v>
      </c>
      <c r="F12" s="249">
        <f>(IF((VLOOKUP(Table9[[#This Row],[SKU]],'All Skus'!$A:$AC,2,FALSE))="Lexicon",(VLOOKUP(Table9[[#This Row],[SKU]],'All Skus'!$A:$AC,7,FALSE)),""))</f>
        <v>0</v>
      </c>
      <c r="G12" s="251" t="str">
        <f>(IF((VLOOKUP(Table9[[#This Row],[SKU]],'All Skus'!$A:$AC,2,FALSE))="Lexicon",(VLOOKUP(Table9[[#This Row],[SKU]],'All Skus'!$A:$AC,8,FALSE)),""))</f>
        <v>PCM Plug-ins</v>
      </c>
      <c r="H12" s="252" t="str">
        <f>(IF((VLOOKUP(Table9[[#This Row],[SKU]],'All Skus'!$A:$AC,2,FALSE))="Lexicon",(VLOOKUP(Table9[[#This Row],[SKU]],'All Skus'!$A:$AC,9,FALSE)),""))</f>
        <v>PCM Total Bundle (Reverb &amp; Effects Plug-ins)</v>
      </c>
      <c r="I12" s="253">
        <f>(IF((VLOOKUP(Table9[[#This Row],[SKU]],'All Skus'!$A:$AC,2,FALSE))="Lexicon",(VLOOKUP(Table9[[#This Row],[SKU]],'All Skus'!$A:$AC,10,FALSE)),""))</f>
        <v>1604.34</v>
      </c>
      <c r="J12" s="253">
        <f>(IF((VLOOKUP(Table9[[#This Row],[SKU]],'All Skus'!$A:$AC,2,FALSE))="Lexicon",(VLOOKUP(Table9[[#This Row],[SKU]],'All Skus'!$A:$AC,11,FALSE)),""))</f>
        <v>1283</v>
      </c>
      <c r="K12" s="254">
        <f>(IF((VLOOKUP(Table9[[#This Row],[SKU]],'All Skus'!$A:$AC,2,FALSE))="Lexicon",(VLOOKUP(Table9[[#This Row],[SKU]],'All Skus'!$A:$AC,15,FALSE)),""))</f>
        <v>1</v>
      </c>
      <c r="L12" s="255">
        <f>(IF((VLOOKUP(Table9[[#This Row],[SKU]],'All Skus'!$A:$AC,2,FALSE))="Lexicon",(VLOOKUP(Table9[[#This Row],[SKU]],'All Skus'!$A:$AC,16,FALSE)),""))</f>
        <v>691991201912</v>
      </c>
      <c r="M12" s="256">
        <f>(IF((VLOOKUP(Table9[[#This Row],[SKU]],'All Skus'!$A:$AC,2,FALSE))="Lexicon",(VLOOKUP(Table9[[#This Row],[SKU]],'All Skus'!$A:$AC,17,FALSE)),""))</f>
        <v>0</v>
      </c>
      <c r="N12" s="240">
        <f>(IF((VLOOKUP(Table9[[#This Row],[SKU]],'All Skus'!$A:$AC,2,FALSE))="Lexicon",(VLOOKUP(Table9[[#This Row],[SKU]],'All Skus'!$A:$AC,18,FALSE)),""))</f>
        <v>1.1000000000000001</v>
      </c>
      <c r="O12" s="240">
        <f>(IF((VLOOKUP(Table9[[#This Row],[SKU]],'All Skus'!$A:$AC,2,FALSE))="Lexicon",(VLOOKUP(Table9[[#This Row],[SKU]],'All Skus'!$A:$AC,19,FALSE)),""))</f>
        <v>8.125</v>
      </c>
      <c r="P12" s="240">
        <f>(IF((VLOOKUP(Table9[[#This Row],[SKU]],'All Skus'!$A:$AC,2,FALSE))="Lexicon",(VLOOKUP(Table9[[#This Row],[SKU]],'All Skus'!$A:$AC,20,FALSE)),""))</f>
        <v>7</v>
      </c>
      <c r="Q12" s="240">
        <f>(IF((VLOOKUP(Table9[[#This Row],[SKU]],'All Skus'!$A:$AC,2,FALSE))="Lexicon",(VLOOKUP(Table9[[#This Row],[SKU]],'All Skus'!$A:$AC,21,FALSE)),""))</f>
        <v>2.0619999999999998</v>
      </c>
      <c r="R12" s="256" t="str">
        <f>(IF((VLOOKUP(Table9[[#This Row],[SKU]],'All Skus'!$A:$AC,2,FALSE))="Lexicon",(VLOOKUP(Table9[[#This Row],[SKU]],'All Skus'!$A:$AC,22,FALSE)),""))</f>
        <v>US</v>
      </c>
      <c r="S12" s="249" t="str">
        <f>(IF((VLOOKUP(Table9[[#This Row],[SKU]],'All Skus'!$A:$AC,2,FALSE))="Lexicon",(VLOOKUP(Table9[[#This Row],[SKU]],'All Skus'!$A:$AC,23,FALSE)),""))</f>
        <v>Compliant</v>
      </c>
      <c r="T12" s="212" t="str">
        <f>HYPERLINK((IF((VLOOKUP(Table9[[#This Row],[SKU]],'All Skus'!$A:$AC,2,FALSE))="Lexicon",(VLOOKUP(Table9[[#This Row],[SKU]],'All Skus'!$A:$AC,24,FALSE)),"")))</f>
        <v>http://lexiconpro.com/en-US/products/pcm-total-bundle</v>
      </c>
      <c r="U12" s="228">
        <v>10</v>
      </c>
    </row>
    <row r="13" spans="1:22" ht="15" customHeight="1">
      <c r="A13" s="105" t="s">
        <v>1947</v>
      </c>
      <c r="B13" s="250" t="str">
        <f>(IF((VLOOKUP(Table9[[#This Row],[SKU]],'All Skus'!$A:$AC,2,FALSE))="Lexicon",(VLOOKUP(Table9[[#This Row],[SKU]],'All Skus'!$A:$AC,3,FALSE)),""))</f>
        <v xml:space="preserve">32-Channel Immersive Cinema Processors </v>
      </c>
      <c r="C13" s="250" t="str">
        <f>(IF((VLOOKUP(Table9[[#This Row],[SKU]],'All Skus'!$A:$AC,2,FALSE))="Lexicon",(VLOOKUP(Table9[[#This Row],[SKU]],'All Skus'!$A:$AC,4,FALSE)),""))</f>
        <v>QLI-32</v>
      </c>
      <c r="D13" s="249" t="str">
        <f>(IF((VLOOKUP(Table9[[#This Row],[SKU]],'All Skus'!$A:$AC,2,FALSE))="Lexicon",(VLOOKUP(Table9[[#This Row],[SKU]],'All Skus'!$A:$AC,5,FALSE)),""))</f>
        <v>CINEPROCR</v>
      </c>
      <c r="E13" s="249">
        <f>(IF((VLOOKUP(Table9[[#This Row],[SKU]],'All Skus'!$A:$AC,2,FALSE))="Lexicon",(VLOOKUP(Table9[[#This Row],[SKU]],'All Skus'!$A:$AC,6,FALSE)),""))</f>
        <v>0</v>
      </c>
      <c r="F13" s="249">
        <f>(IF((VLOOKUP(Table9[[#This Row],[SKU]],'All Skus'!$A:$AC,2,FALSE))="Lexicon",(VLOOKUP(Table9[[#This Row],[SKU]],'All Skus'!$A:$AC,7,FALSE)),""))</f>
        <v>0</v>
      </c>
      <c r="G13" s="251" t="str">
        <f>(IF((VLOOKUP(Table9[[#This Row],[SKU]],'All Skus'!$A:$AC,2,FALSE))="Lexicon",(VLOOKUP(Table9[[#This Row],[SKU]],'All Skus'!$A:$AC,8,FALSE)),""))</f>
        <v xml:space="preserve">32-Channel Immersive Cinema Processors </v>
      </c>
      <c r="H13" s="252" t="str">
        <f>(IF((VLOOKUP(Table9[[#This Row],[SKU]],'All Skus'!$A:$AC,2,FALSE))="Lexicon",(VLOOKUP(Table9[[#This Row],[SKU]],'All Skus'!$A:$AC,9,FALSE)),""))</f>
        <v>32-Channel Immersive Cinema Processors with BLU link Input/Output</v>
      </c>
      <c r="I13" s="253">
        <f>(IF((VLOOKUP(Table9[[#This Row],[SKU]],'All Skus'!$A:$AC,2,FALSE))="Lexicon",(VLOOKUP(Table9[[#This Row],[SKU]],'All Skus'!$A:$AC,10,FALSE)),""))</f>
        <v>8986.75</v>
      </c>
      <c r="J13" s="253">
        <f>(IF((VLOOKUP(Table9[[#This Row],[SKU]],'All Skus'!$A:$AC,2,FALSE))="Lexicon",(VLOOKUP(Table9[[#This Row],[SKU]],'All Skus'!$A:$AC,11,FALSE)),""))</f>
        <v>8986</v>
      </c>
      <c r="K13" s="254">
        <f>(IF((VLOOKUP(Table9[[#This Row],[SKU]],'All Skus'!$A:$AC,2,FALSE))="Lexicon",(VLOOKUP(Table9[[#This Row],[SKU]],'All Skus'!$A:$AC,15,FALSE)),""))</f>
        <v>0</v>
      </c>
      <c r="L13" s="255">
        <f>(IF((VLOOKUP(Table9[[#This Row],[SKU]],'All Skus'!$A:$AC,2,FALSE))="Lexicon",(VLOOKUP(Table9[[#This Row],[SKU]],'All Skus'!$A:$AC,16,FALSE)),""))</f>
        <v>691991013638</v>
      </c>
      <c r="M13" s="256">
        <f>(IF((VLOOKUP(Table9[[#This Row],[SKU]],'All Skus'!$A:$AC,2,FALSE))="Lexicon",(VLOOKUP(Table9[[#This Row],[SKU]],'All Skus'!$A:$AC,17,FALSE)),""))</f>
        <v>0</v>
      </c>
      <c r="N13" s="240">
        <f>(IF((VLOOKUP(Table9[[#This Row],[SKU]],'All Skus'!$A:$AC,2,FALSE))="Lexicon",(VLOOKUP(Table9[[#This Row],[SKU]],'All Skus'!$A:$AC,18,FALSE)),""))</f>
        <v>10</v>
      </c>
      <c r="O13" s="240">
        <f>(IF((VLOOKUP(Table9[[#This Row],[SKU]],'All Skus'!$A:$AC,2,FALSE))="Lexicon",(VLOOKUP(Table9[[#This Row],[SKU]],'All Skus'!$A:$AC,19,FALSE)),""))</f>
        <v>22</v>
      </c>
      <c r="P13" s="240">
        <f>(IF((VLOOKUP(Table9[[#This Row],[SKU]],'All Skus'!$A:$AC,2,FALSE))="Lexicon",(VLOOKUP(Table9[[#This Row],[SKU]],'All Skus'!$A:$AC,20,FALSE)),""))</f>
        <v>15.5</v>
      </c>
      <c r="Q13" s="240">
        <f>(IF((VLOOKUP(Table9[[#This Row],[SKU]],'All Skus'!$A:$AC,2,FALSE))="Lexicon",(VLOOKUP(Table9[[#This Row],[SKU]],'All Skus'!$A:$AC,21,FALSE)),""))</f>
        <v>8</v>
      </c>
      <c r="R13" s="256" t="str">
        <f>(IF((VLOOKUP(Table9[[#This Row],[SKU]],'All Skus'!$A:$AC,2,FALSE))="Lexicon",(VLOOKUP(Table9[[#This Row],[SKU]],'All Skus'!$A:$AC,22,FALSE)),""))</f>
        <v>US</v>
      </c>
      <c r="S13" s="249" t="str">
        <f>(IF((VLOOKUP(Table9[[#This Row],[SKU]],'All Skus'!$A:$AC,2,FALSE))="Lexicon",(VLOOKUP(Table9[[#This Row],[SKU]],'All Skus'!$A:$AC,23,FALSE)),""))</f>
        <v>Compliant</v>
      </c>
      <c r="T13" s="212" t="str">
        <f>HYPERLINK((IF((VLOOKUP(Table9[[#This Row],[SKU]],'All Skus'!$A:$AC,2,FALSE))="Lexicon",(VLOOKUP(Table9[[#This Row],[SKU]],'All Skus'!$A:$AC,24,FALSE)),"")))</f>
        <v/>
      </c>
      <c r="U13" s="228">
        <v>11</v>
      </c>
    </row>
    <row r="14" spans="1:22" ht="15" customHeight="1">
      <c r="A14" s="105" t="s">
        <v>1948</v>
      </c>
      <c r="B14" s="250" t="str">
        <f>(IF((VLOOKUP(Table9[[#This Row],[SKU]],'All Skus'!$A:$AC,2,FALSE))="Lexicon",(VLOOKUP(Table9[[#This Row],[SKU]],'All Skus'!$A:$AC,3,FALSE)),""))</f>
        <v>LEXICON HOLODECK 240 REMOTE</v>
      </c>
      <c r="C14" s="250">
        <f>(IF((VLOOKUP(Table9[[#This Row],[SKU]],'All Skus'!$A:$AC,2,FALSE))="Lexicon",(VLOOKUP(Table9[[#This Row],[SKU]],'All Skus'!$A:$AC,4,FALSE)),""))</f>
        <v>0</v>
      </c>
      <c r="D14" s="249" t="str">
        <f>(IF((VLOOKUP(Table9[[#This Row],[SKU]],'All Skus'!$A:$AC,2,FALSE))="Lexicon",(VLOOKUP(Table9[[#This Row],[SKU]],'All Skus'!$A:$AC,5,FALSE)),""))</f>
        <v>LEXLARES</v>
      </c>
      <c r="E14" s="249">
        <f>(IF((VLOOKUP(Table9[[#This Row],[SKU]],'All Skus'!$A:$AC,2,FALSE))="Lexicon",(VLOOKUP(Table9[[#This Row],[SKU]],'All Skus'!$A:$AC,6,FALSE)),""))</f>
        <v>0</v>
      </c>
      <c r="F14" s="249" t="str">
        <f>(IF((VLOOKUP(Table9[[#This Row],[SKU]],'All Skus'!$A:$AC,2,FALSE))="Lexicon",(VLOOKUP(Table9[[#This Row],[SKU]],'All Skus'!$A:$AC,7,FALSE)),""))</f>
        <v>Limited Quantity</v>
      </c>
      <c r="G14" s="251" t="str">
        <f>(IF((VLOOKUP(Table9[[#This Row],[SKU]],'All Skus'!$A:$AC,2,FALSE))="Lexicon",(VLOOKUP(Table9[[#This Row],[SKU]],'All Skus'!$A:$AC,8,FALSE)),""))</f>
        <v>LEXICON HOLODECK 240 REMOTE</v>
      </c>
      <c r="H14" s="252" t="str">
        <f>(IF((VLOOKUP(Table9[[#This Row],[SKU]],'All Skus'!$A:$AC,2,FALSE))="Lexicon",(VLOOKUP(Table9[[#This Row],[SKU]],'All Skus'!$A:$AC,9,FALSE)),""))</f>
        <v>LEXICON HOLODECK 240 REMOTE</v>
      </c>
      <c r="I14" s="253">
        <f>(IF((VLOOKUP(Table9[[#This Row],[SKU]],'All Skus'!$A:$AC,2,FALSE))="Lexicon",(VLOOKUP(Table9[[#This Row],[SKU]],'All Skus'!$A:$AC,10,FALSE)),""))</f>
        <v>1281.06</v>
      </c>
      <c r="J14" s="253">
        <f>(IF((VLOOKUP(Table9[[#This Row],[SKU]],'All Skus'!$A:$AC,2,FALSE))="Lexicon",(VLOOKUP(Table9[[#This Row],[SKU]],'All Skus'!$A:$AC,11,FALSE)),""))</f>
        <v>1025</v>
      </c>
      <c r="K14" s="254">
        <f>(IF((VLOOKUP(Table9[[#This Row],[SKU]],'All Skus'!$A:$AC,2,FALSE))="Lexicon",(VLOOKUP(Table9[[#This Row],[SKU]],'All Skus'!$A:$AC,15,FALSE)),""))</f>
        <v>0</v>
      </c>
      <c r="L14" s="255">
        <f>(IF((VLOOKUP(Table9[[#This Row],[SKU]],'All Skus'!$A:$AC,2,FALSE))="Lexicon",(VLOOKUP(Table9[[#This Row],[SKU]],'All Skus'!$A:$AC,16,FALSE)),""))</f>
        <v>691991500183</v>
      </c>
      <c r="M14" s="256">
        <f>(IF((VLOOKUP(Table9[[#This Row],[SKU]],'All Skus'!$A:$AC,2,FALSE))="Lexicon",(VLOOKUP(Table9[[#This Row],[SKU]],'All Skus'!$A:$AC,17,FALSE)),""))</f>
        <v>0</v>
      </c>
      <c r="N14" s="240">
        <f>(IF((VLOOKUP(Table9[[#This Row],[SKU]],'All Skus'!$A:$AC,2,FALSE))="Lexicon",(VLOOKUP(Table9[[#This Row],[SKU]],'All Skus'!$A:$AC,18,FALSE)),""))</f>
        <v>0</v>
      </c>
      <c r="O14" s="240">
        <f>(IF((VLOOKUP(Table9[[#This Row],[SKU]],'All Skus'!$A:$AC,2,FALSE))="Lexicon",(VLOOKUP(Table9[[#This Row],[SKU]],'All Skus'!$A:$AC,19,FALSE)),""))</f>
        <v>0</v>
      </c>
      <c r="P14" s="240">
        <f>(IF((VLOOKUP(Table9[[#This Row],[SKU]],'All Skus'!$A:$AC,2,FALSE))="Lexicon",(VLOOKUP(Table9[[#This Row],[SKU]],'All Skus'!$A:$AC,20,FALSE)),""))</f>
        <v>0</v>
      </c>
      <c r="Q14" s="240">
        <f>(IF((VLOOKUP(Table9[[#This Row],[SKU]],'All Skus'!$A:$AC,2,FALSE))="Lexicon",(VLOOKUP(Table9[[#This Row],[SKU]],'All Skus'!$A:$AC,21,FALSE)),""))</f>
        <v>0</v>
      </c>
      <c r="R14" s="256" t="str">
        <f>(IF((VLOOKUP(Table9[[#This Row],[SKU]],'All Skus'!$A:$AC,2,FALSE))="Lexicon",(VLOOKUP(Table9[[#This Row],[SKU]],'All Skus'!$A:$AC,22,FALSE)),""))</f>
        <v>US</v>
      </c>
      <c r="S14" s="249" t="str">
        <f>(IF((VLOOKUP(Table9[[#This Row],[SKU]],'All Skus'!$A:$AC,2,FALSE))="Lexicon",(VLOOKUP(Table9[[#This Row],[SKU]],'All Skus'!$A:$AC,23,FALSE)),""))</f>
        <v>Compliant</v>
      </c>
      <c r="T14" s="212" t="str">
        <f>HYPERLINK((IF((VLOOKUP(Table9[[#This Row],[SKU]],'All Skus'!$A:$AC,2,FALSE))="Lexicon",(VLOOKUP(Table9[[#This Row],[SKU]],'All Skus'!$A:$AC,24,FALSE)),"")))</f>
        <v/>
      </c>
      <c r="U14" s="228">
        <v>12</v>
      </c>
    </row>
    <row r="15" spans="1:22" ht="15" customHeight="1">
      <c r="A15" s="105"/>
      <c r="B15" s="250"/>
      <c r="G15" s="251"/>
      <c r="I15" s="253"/>
      <c r="J15" s="253"/>
      <c r="T15" s="212"/>
    </row>
    <row r="16" spans="1:22" ht="15" customHeight="1">
      <c r="A16" s="105"/>
      <c r="B16" s="250"/>
      <c r="G16" s="251"/>
      <c r="I16" s="253"/>
      <c r="J16" s="253"/>
      <c r="T16" s="212"/>
    </row>
    <row r="17" spans="1:20" ht="15" customHeight="1">
      <c r="A17" s="105"/>
      <c r="B17" s="250"/>
      <c r="G17" s="251"/>
      <c r="I17" s="253"/>
      <c r="J17" s="253"/>
      <c r="T17" s="212"/>
    </row>
    <row r="18" spans="1:20" ht="15" customHeight="1">
      <c r="A18" s="105"/>
      <c r="B18" s="250"/>
      <c r="G18" s="251"/>
      <c r="I18" s="253"/>
      <c r="J18" s="253"/>
      <c r="T18" s="212"/>
    </row>
    <row r="19" spans="1:20" ht="15" customHeight="1">
      <c r="A19" s="105"/>
      <c r="B19" s="250"/>
      <c r="G19" s="251"/>
      <c r="I19" s="253"/>
      <c r="J19" s="253"/>
      <c r="T19" s="212"/>
    </row>
    <row r="20" spans="1:20" ht="15" customHeight="1">
      <c r="A20" s="105"/>
      <c r="B20" s="250"/>
      <c r="G20" s="251"/>
      <c r="I20" s="253"/>
      <c r="J20" s="253"/>
      <c r="T20" s="212"/>
    </row>
    <row r="21" spans="1:20" ht="15" customHeight="1">
      <c r="A21" s="105"/>
      <c r="B21" s="250"/>
      <c r="G21" s="251"/>
      <c r="I21" s="253"/>
      <c r="J21" s="253"/>
      <c r="T21" s="212"/>
    </row>
    <row r="22" spans="1:20" ht="15" customHeight="1">
      <c r="A22" s="105"/>
      <c r="B22" s="250"/>
      <c r="G22" s="251"/>
      <c r="I22" s="253"/>
      <c r="J22" s="253"/>
      <c r="T22" s="212"/>
    </row>
    <row r="23" spans="1:20" ht="15" customHeight="1">
      <c r="A23" s="105"/>
      <c r="B23" s="250"/>
      <c r="G23" s="251"/>
      <c r="I23" s="253"/>
      <c r="J23" s="253"/>
      <c r="T23" s="212"/>
    </row>
    <row r="24" spans="1:20" ht="15" customHeight="1">
      <c r="A24" s="105"/>
      <c r="B24" s="250"/>
      <c r="G24" s="251"/>
      <c r="I24" s="253"/>
      <c r="J24" s="253"/>
      <c r="T24" s="212"/>
    </row>
    <row r="25" spans="1:20" ht="15" customHeight="1">
      <c r="A25" s="105"/>
      <c r="B25" s="250"/>
      <c r="G25" s="251"/>
      <c r="I25" s="253"/>
      <c r="J25" s="253"/>
      <c r="T25" s="212"/>
    </row>
    <row r="26" spans="1:20" ht="15" customHeight="1">
      <c r="A26" s="105"/>
      <c r="B26" s="250"/>
      <c r="G26" s="251"/>
      <c r="I26" s="253"/>
      <c r="J26" s="253"/>
      <c r="T26" s="212"/>
    </row>
    <row r="27" spans="1:20" ht="15" customHeight="1">
      <c r="A27" s="105"/>
      <c r="B27" s="250"/>
      <c r="G27" s="251"/>
      <c r="I27" s="253"/>
      <c r="J27" s="253"/>
      <c r="T27" s="212"/>
    </row>
    <row r="28" spans="1:20" ht="15" customHeight="1">
      <c r="A28" s="105"/>
      <c r="B28" s="250"/>
      <c r="G28" s="251"/>
      <c r="I28" s="253"/>
      <c r="J28" s="253"/>
      <c r="T28" s="212"/>
    </row>
    <row r="29" spans="1:20" ht="15" customHeight="1">
      <c r="A29" s="105"/>
      <c r="B29" s="250"/>
      <c r="G29" s="251"/>
      <c r="I29" s="253"/>
      <c r="J29" s="253"/>
      <c r="T29" s="212"/>
    </row>
    <row r="30" spans="1:20" ht="15" customHeight="1">
      <c r="A30" s="105"/>
      <c r="B30" s="250"/>
      <c r="G30" s="251"/>
      <c r="I30" s="253"/>
      <c r="J30" s="253"/>
      <c r="T30" s="212"/>
    </row>
    <row r="31" spans="1:20" ht="15" customHeight="1">
      <c r="A31" s="105"/>
      <c r="B31" s="250"/>
      <c r="G31" s="251"/>
      <c r="I31" s="253"/>
      <c r="J31" s="253"/>
      <c r="T31" s="212"/>
    </row>
    <row r="32" spans="1:20" ht="15" customHeight="1">
      <c r="A32" s="105"/>
      <c r="B32" s="250"/>
      <c r="G32" s="251"/>
      <c r="I32" s="253"/>
      <c r="J32" s="253"/>
      <c r="T32" s="212"/>
    </row>
    <row r="33" spans="1:20" ht="15" customHeight="1">
      <c r="A33" s="105"/>
      <c r="B33" s="250"/>
      <c r="G33" s="251"/>
      <c r="I33" s="253"/>
      <c r="J33" s="253"/>
      <c r="T33" s="212"/>
    </row>
    <row r="34" spans="1:20" ht="15" customHeight="1">
      <c r="A34" s="105"/>
      <c r="B34" s="250"/>
      <c r="G34" s="251"/>
      <c r="I34" s="253"/>
      <c r="J34" s="253"/>
      <c r="T34" s="212"/>
    </row>
    <row r="35" spans="1:20" ht="15" customHeight="1">
      <c r="A35" s="105"/>
      <c r="B35" s="250"/>
      <c r="G35" s="251"/>
      <c r="I35" s="253"/>
      <c r="J35" s="253"/>
      <c r="T35" s="212"/>
    </row>
    <row r="36" spans="1:20" ht="15" customHeight="1">
      <c r="A36" s="105"/>
      <c r="B36" s="250"/>
      <c r="G36" s="251"/>
      <c r="I36" s="253"/>
      <c r="J36" s="253"/>
      <c r="T36" s="212"/>
    </row>
    <row r="37" spans="1:20" ht="15" customHeight="1">
      <c r="A37" s="105"/>
      <c r="B37" s="250"/>
      <c r="G37" s="251"/>
      <c r="I37" s="253"/>
      <c r="J37" s="253"/>
      <c r="T37" s="212"/>
    </row>
    <row r="38" spans="1:20" ht="15" customHeight="1">
      <c r="A38" s="105"/>
      <c r="B38" s="250"/>
      <c r="G38" s="251"/>
      <c r="I38" s="253"/>
      <c r="J38" s="253"/>
      <c r="T38" s="212"/>
    </row>
    <row r="39" spans="1:20" ht="15" customHeight="1">
      <c r="A39" s="105"/>
      <c r="B39" s="250"/>
      <c r="G39" s="251"/>
      <c r="I39" s="253"/>
      <c r="J39" s="253"/>
      <c r="T39" s="212"/>
    </row>
    <row r="40" spans="1:20" ht="15" customHeight="1">
      <c r="A40" s="105"/>
      <c r="B40" s="250"/>
      <c r="G40" s="251"/>
      <c r="I40" s="253"/>
      <c r="J40" s="253"/>
      <c r="T40" s="212"/>
    </row>
    <row r="41" spans="1:20" ht="15" customHeight="1">
      <c r="A41" s="105"/>
      <c r="B41" s="250"/>
      <c r="G41" s="251"/>
      <c r="I41" s="253"/>
      <c r="J41" s="253"/>
      <c r="T41" s="212"/>
    </row>
    <row r="42" spans="1:20" ht="15" customHeight="1">
      <c r="A42" s="105"/>
      <c r="B42" s="250"/>
      <c r="G42" s="251"/>
      <c r="I42" s="253"/>
      <c r="J42" s="253"/>
      <c r="T42" s="212"/>
    </row>
    <row r="43" spans="1:20" ht="15" customHeight="1">
      <c r="A43" s="105"/>
      <c r="B43" s="250"/>
      <c r="G43" s="251"/>
      <c r="I43" s="253"/>
      <c r="J43" s="253"/>
      <c r="T43" s="212"/>
    </row>
    <row r="44" spans="1:20" ht="15" customHeight="1">
      <c r="A44" s="105"/>
      <c r="B44" s="250"/>
      <c r="G44" s="251"/>
      <c r="I44" s="253"/>
      <c r="J44" s="253"/>
      <c r="T44" s="212"/>
    </row>
    <row r="45" spans="1:20" ht="15" customHeight="1">
      <c r="A45" s="105"/>
      <c r="B45" s="250"/>
      <c r="G45" s="251"/>
      <c r="I45" s="253"/>
      <c r="J45" s="253"/>
      <c r="T45" s="212"/>
    </row>
    <row r="46" spans="1:20" ht="15" customHeight="1">
      <c r="A46" s="105"/>
      <c r="G46" s="251"/>
      <c r="I46" s="253"/>
      <c r="J46" s="253"/>
      <c r="T46" s="212"/>
    </row>
    <row r="47" spans="1:20" ht="15" customHeight="1">
      <c r="A47" s="105"/>
      <c r="G47" s="251"/>
      <c r="I47" s="253"/>
      <c r="J47" s="253"/>
      <c r="T47" s="212"/>
    </row>
    <row r="48" spans="1:20" ht="15" customHeight="1">
      <c r="A48" s="105"/>
      <c r="G48" s="251"/>
      <c r="I48" s="253"/>
      <c r="J48" s="253"/>
      <c r="T48" s="212"/>
    </row>
    <row r="49" spans="1:20" ht="15" customHeight="1">
      <c r="A49" s="105"/>
      <c r="G49" s="251"/>
      <c r="I49" s="253"/>
      <c r="J49" s="253"/>
      <c r="T49" s="212"/>
    </row>
    <row r="50" spans="1:20" ht="15" customHeight="1">
      <c r="A50" s="105"/>
      <c r="G50" s="251"/>
      <c r="I50" s="253"/>
      <c r="J50" s="253"/>
      <c r="T50" s="212"/>
    </row>
    <row r="51" spans="1:20" ht="15" customHeight="1">
      <c r="A51" s="105"/>
      <c r="G51" s="251"/>
      <c r="I51" s="253"/>
      <c r="J51" s="253"/>
      <c r="T51" s="212"/>
    </row>
    <row r="52" spans="1:20" ht="15" customHeight="1">
      <c r="A52" s="105"/>
      <c r="G52" s="251"/>
      <c r="I52" s="253"/>
      <c r="J52" s="253"/>
      <c r="T52" s="212"/>
    </row>
    <row r="53" spans="1:20" ht="15" customHeight="1">
      <c r="A53" s="105"/>
      <c r="G53" s="251"/>
      <c r="I53" s="253"/>
      <c r="J53" s="253"/>
      <c r="T53" s="212"/>
    </row>
    <row r="54" spans="1:20" ht="15" customHeight="1">
      <c r="A54" s="105"/>
      <c r="G54" s="251"/>
      <c r="I54" s="253"/>
      <c r="J54" s="253"/>
      <c r="T54" s="212"/>
    </row>
    <row r="55" spans="1:20" ht="15" customHeight="1">
      <c r="A55" s="105"/>
      <c r="G55" s="251"/>
      <c r="I55" s="253"/>
      <c r="J55" s="253"/>
      <c r="T55" s="212"/>
    </row>
    <row r="56" spans="1:20" ht="15" customHeight="1">
      <c r="A56" s="105"/>
      <c r="G56" s="251"/>
      <c r="I56" s="253"/>
      <c r="J56" s="253"/>
      <c r="T56" s="212"/>
    </row>
    <row r="57" spans="1:20" ht="15" customHeight="1">
      <c r="A57" s="105"/>
      <c r="G57" s="251"/>
      <c r="I57" s="253"/>
      <c r="J57" s="253"/>
      <c r="T57" s="212"/>
    </row>
    <row r="58" spans="1:20" ht="15" customHeight="1">
      <c r="A58" s="105"/>
      <c r="G58" s="251"/>
      <c r="I58" s="253"/>
      <c r="J58" s="253"/>
      <c r="T58" s="212"/>
    </row>
    <row r="59" spans="1:20" ht="15" customHeight="1">
      <c r="A59" s="105"/>
      <c r="G59" s="251"/>
      <c r="I59" s="253"/>
      <c r="J59" s="253"/>
      <c r="T59" s="212"/>
    </row>
    <row r="60" spans="1:20" ht="15" customHeight="1">
      <c r="A60" s="105"/>
      <c r="G60" s="251"/>
      <c r="I60" s="253"/>
      <c r="J60" s="253"/>
      <c r="T60" s="212"/>
    </row>
    <row r="61" spans="1:20" ht="15" customHeight="1">
      <c r="A61" s="105"/>
      <c r="G61" s="251"/>
      <c r="I61" s="253"/>
      <c r="J61" s="253"/>
      <c r="T61" s="212"/>
    </row>
    <row r="62" spans="1:20" ht="15" customHeight="1">
      <c r="A62" s="105"/>
      <c r="G62" s="251"/>
      <c r="I62" s="253"/>
      <c r="J62" s="253"/>
      <c r="T62" s="212"/>
    </row>
    <row r="63" spans="1:20" ht="15" customHeight="1">
      <c r="A63" s="105"/>
      <c r="G63" s="251"/>
      <c r="I63" s="253"/>
      <c r="J63" s="253"/>
      <c r="T63" s="212"/>
    </row>
    <row r="64" spans="1:20" ht="15" customHeight="1">
      <c r="A64" s="105"/>
      <c r="G64" s="251"/>
      <c r="I64" s="253"/>
      <c r="J64" s="253"/>
      <c r="T64" s="212"/>
    </row>
    <row r="65" spans="1:20" ht="15" customHeight="1">
      <c r="A65" s="105"/>
      <c r="G65" s="251"/>
      <c r="I65" s="253"/>
      <c r="J65" s="253"/>
      <c r="T65" s="212"/>
    </row>
    <row r="66" spans="1:20" ht="15" customHeight="1">
      <c r="A66" s="105"/>
      <c r="G66" s="251"/>
      <c r="I66" s="253"/>
      <c r="J66" s="253"/>
      <c r="T66" s="212"/>
    </row>
    <row r="67" spans="1:20" ht="15" customHeight="1">
      <c r="A67" s="105"/>
      <c r="G67" s="251"/>
      <c r="I67" s="253"/>
      <c r="J67" s="253"/>
      <c r="T67" s="212"/>
    </row>
    <row r="68" spans="1:20" ht="15" customHeight="1">
      <c r="A68" s="105"/>
      <c r="G68" s="251"/>
      <c r="I68" s="253"/>
      <c r="J68" s="253"/>
      <c r="T68" s="212"/>
    </row>
    <row r="69" spans="1:20" ht="15" customHeight="1">
      <c r="A69" s="105"/>
      <c r="G69" s="251"/>
      <c r="I69" s="253"/>
      <c r="J69" s="253"/>
      <c r="T69" s="212"/>
    </row>
    <row r="70" spans="1:20" ht="15" customHeight="1">
      <c r="A70" s="105"/>
      <c r="G70" s="251"/>
      <c r="I70" s="253"/>
      <c r="J70" s="253"/>
      <c r="T70" s="212"/>
    </row>
    <row r="71" spans="1:20" ht="15" customHeight="1">
      <c r="A71" s="105"/>
      <c r="G71" s="251"/>
      <c r="I71" s="253"/>
      <c r="J71" s="253"/>
      <c r="T71" s="212"/>
    </row>
    <row r="72" spans="1:20" ht="15" customHeight="1">
      <c r="A72" s="105"/>
      <c r="G72" s="251"/>
      <c r="I72" s="253"/>
      <c r="J72" s="253"/>
      <c r="T72" s="212"/>
    </row>
    <row r="73" spans="1:20" ht="15" customHeight="1">
      <c r="A73" s="105"/>
      <c r="G73" s="251"/>
      <c r="I73" s="253"/>
      <c r="J73" s="253"/>
      <c r="T73" s="212"/>
    </row>
    <row r="74" spans="1:20">
      <c r="A74" s="105"/>
      <c r="G74" s="251"/>
      <c r="I74" s="253"/>
      <c r="J74" s="253"/>
      <c r="T74" s="212"/>
    </row>
    <row r="75" spans="1:20">
      <c r="I75" s="253"/>
      <c r="J75" s="253"/>
    </row>
    <row r="76" spans="1:20">
      <c r="I76" s="253"/>
      <c r="J76" s="253"/>
    </row>
    <row r="77" spans="1:20">
      <c r="I77" s="253"/>
      <c r="J77" s="253"/>
    </row>
    <row r="78" spans="1:20">
      <c r="I78" s="253"/>
      <c r="J78" s="253"/>
    </row>
    <row r="79" spans="1:20">
      <c r="I79" s="253"/>
      <c r="J79" s="253"/>
    </row>
    <row r="80" spans="1:20">
      <c r="I80" s="253"/>
      <c r="J80" s="253"/>
    </row>
    <row r="81" spans="9:10">
      <c r="I81" s="253"/>
      <c r="J81" s="253"/>
    </row>
    <row r="82" spans="9:10">
      <c r="I82" s="253"/>
      <c r="J82" s="253"/>
    </row>
    <row r="83" spans="9:10">
      <c r="I83" s="253"/>
      <c r="J83" s="253"/>
    </row>
    <row r="84" spans="9:10">
      <c r="I84" s="253"/>
      <c r="J84" s="253"/>
    </row>
    <row r="85" spans="9:10">
      <c r="I85" s="253"/>
      <c r="J85" s="253"/>
    </row>
    <row r="86" spans="9:10">
      <c r="I86" s="253"/>
      <c r="J86" s="253"/>
    </row>
    <row r="87" spans="9:10">
      <c r="I87" s="253"/>
      <c r="J87" s="253"/>
    </row>
    <row r="88" spans="9:10">
      <c r="I88" s="253"/>
      <c r="J88" s="253"/>
    </row>
    <row r="89" spans="9:10">
      <c r="I89" s="253"/>
      <c r="J89" s="253"/>
    </row>
    <row r="90" spans="9:10">
      <c r="I90" s="253"/>
      <c r="J90" s="253"/>
    </row>
    <row r="91" spans="9:10">
      <c r="I91" s="253"/>
      <c r="J91" s="253"/>
    </row>
    <row r="92" spans="9:10">
      <c r="I92" s="253"/>
      <c r="J92" s="253"/>
    </row>
    <row r="93" spans="9:10">
      <c r="I93" s="253"/>
      <c r="J93" s="253"/>
    </row>
    <row r="94" spans="9:10">
      <c r="I94" s="253"/>
      <c r="J94" s="253"/>
    </row>
    <row r="95" spans="9:10">
      <c r="I95" s="253"/>
      <c r="J95" s="253"/>
    </row>
    <row r="96" spans="9:10">
      <c r="I96" s="253"/>
      <c r="J96" s="253"/>
    </row>
    <row r="97" spans="9:10">
      <c r="I97" s="253"/>
      <c r="J97" s="253"/>
    </row>
    <row r="98" spans="9:10">
      <c r="I98" s="253"/>
      <c r="J98" s="253"/>
    </row>
    <row r="99" spans="9:10">
      <c r="I99" s="253"/>
      <c r="J99" s="253"/>
    </row>
    <row r="100" spans="9:10">
      <c r="I100" s="253"/>
      <c r="J100" s="253"/>
    </row>
    <row r="101" spans="9:10">
      <c r="I101" s="253"/>
      <c r="J101" s="253"/>
    </row>
    <row r="102" spans="9:10">
      <c r="I102" s="253"/>
      <c r="J102" s="253"/>
    </row>
    <row r="103" spans="9:10">
      <c r="I103" s="253"/>
      <c r="J103" s="253"/>
    </row>
    <row r="104" spans="9:10">
      <c r="I104" s="253"/>
      <c r="J104" s="253"/>
    </row>
    <row r="105" spans="9:10">
      <c r="I105" s="253"/>
      <c r="J105" s="253"/>
    </row>
    <row r="106" spans="9:10">
      <c r="I106" s="253"/>
      <c r="J106" s="253"/>
    </row>
    <row r="107" spans="9:10">
      <c r="I107" s="253"/>
      <c r="J107" s="253"/>
    </row>
    <row r="108" spans="9:10">
      <c r="I108" s="253"/>
      <c r="J108" s="253"/>
    </row>
    <row r="109" spans="9:10">
      <c r="I109" s="253"/>
      <c r="J109" s="253"/>
    </row>
    <row r="110" spans="9:10">
      <c r="I110" s="253"/>
      <c r="J110" s="253"/>
    </row>
    <row r="111" spans="9:10">
      <c r="I111" s="253"/>
      <c r="J111" s="253"/>
    </row>
    <row r="112" spans="9:10">
      <c r="I112" s="253"/>
      <c r="J112" s="253"/>
    </row>
    <row r="113" spans="9:10">
      <c r="I113" s="253"/>
      <c r="J113" s="253"/>
    </row>
    <row r="114" spans="9:10">
      <c r="I114" s="253"/>
      <c r="J114" s="253"/>
    </row>
    <row r="115" spans="9:10">
      <c r="I115" s="253"/>
      <c r="J115" s="253"/>
    </row>
    <row r="116" spans="9:10">
      <c r="I116" s="253"/>
      <c r="J116" s="253"/>
    </row>
    <row r="117" spans="9:10">
      <c r="I117" s="253"/>
      <c r="J117" s="253"/>
    </row>
    <row r="118" spans="9:10">
      <c r="I118" s="253"/>
      <c r="J118" s="253"/>
    </row>
    <row r="119" spans="9:10">
      <c r="I119" s="253"/>
      <c r="J119" s="253"/>
    </row>
    <row r="120" spans="9:10">
      <c r="I120" s="253"/>
      <c r="J120" s="253"/>
    </row>
    <row r="121" spans="9:10">
      <c r="I121" s="253"/>
      <c r="J121" s="253"/>
    </row>
    <row r="122" spans="9:10">
      <c r="I122" s="253"/>
      <c r="J122" s="253"/>
    </row>
    <row r="123" spans="9:10">
      <c r="I123" s="253"/>
      <c r="J123" s="253"/>
    </row>
    <row r="124" spans="9:10">
      <c r="I124" s="253"/>
      <c r="J124" s="253"/>
    </row>
    <row r="125" spans="9:10">
      <c r="I125" s="253"/>
      <c r="J125" s="253"/>
    </row>
    <row r="126" spans="9:10">
      <c r="I126" s="253"/>
      <c r="J126" s="253"/>
    </row>
    <row r="127" spans="9:10">
      <c r="I127" s="253"/>
      <c r="J127" s="253"/>
    </row>
    <row r="128" spans="9:10">
      <c r="I128" s="253"/>
      <c r="J128" s="253"/>
    </row>
    <row r="129" spans="9:10">
      <c r="I129" s="253"/>
      <c r="J129" s="253"/>
    </row>
    <row r="130" spans="9:10">
      <c r="I130" s="253"/>
      <c r="J130" s="253"/>
    </row>
    <row r="131" spans="9:10">
      <c r="I131" s="253"/>
      <c r="J131" s="253"/>
    </row>
    <row r="132" spans="9:10">
      <c r="I132" s="253"/>
      <c r="J132" s="253"/>
    </row>
    <row r="133" spans="9:10">
      <c r="I133" s="253"/>
      <c r="J133" s="253"/>
    </row>
    <row r="134" spans="9:10">
      <c r="I134" s="253"/>
      <c r="J134" s="253"/>
    </row>
    <row r="135" spans="9:10">
      <c r="I135" s="253"/>
      <c r="J135" s="253"/>
    </row>
    <row r="136" spans="9:10">
      <c r="I136" s="253"/>
      <c r="J136" s="253"/>
    </row>
    <row r="137" spans="9:10">
      <c r="I137" s="253"/>
      <c r="J137" s="253"/>
    </row>
    <row r="138" spans="9:10">
      <c r="I138" s="253"/>
      <c r="J138" s="253"/>
    </row>
    <row r="139" spans="9:10">
      <c r="I139" s="253"/>
      <c r="J139" s="253"/>
    </row>
    <row r="140" spans="9:10">
      <c r="I140" s="253"/>
      <c r="J140" s="253"/>
    </row>
    <row r="141" spans="9:10">
      <c r="I141" s="253"/>
      <c r="J141" s="253"/>
    </row>
    <row r="142" spans="9:10">
      <c r="I142" s="253"/>
      <c r="J142" s="253"/>
    </row>
    <row r="143" spans="9:10">
      <c r="I143" s="253"/>
      <c r="J143" s="253"/>
    </row>
    <row r="144" spans="9:10">
      <c r="I144" s="253"/>
      <c r="J144" s="253"/>
    </row>
    <row r="145" spans="9:10">
      <c r="I145" s="253"/>
      <c r="J145" s="253"/>
    </row>
    <row r="146" spans="9:10">
      <c r="I146" s="253"/>
      <c r="J146" s="253"/>
    </row>
    <row r="147" spans="9:10">
      <c r="I147" s="253"/>
      <c r="J147" s="253"/>
    </row>
    <row r="148" spans="9:10">
      <c r="I148" s="253"/>
      <c r="J148" s="253"/>
    </row>
    <row r="149" spans="9:10">
      <c r="I149" s="253"/>
      <c r="J149" s="253"/>
    </row>
    <row r="150" spans="9:10">
      <c r="I150" s="253"/>
      <c r="J150" s="253"/>
    </row>
    <row r="151" spans="9:10">
      <c r="I151" s="253"/>
      <c r="J151" s="253"/>
    </row>
    <row r="152" spans="9:10">
      <c r="I152" s="253"/>
      <c r="J152" s="253"/>
    </row>
    <row r="153" spans="9:10">
      <c r="I153" s="253"/>
      <c r="J153" s="253"/>
    </row>
    <row r="154" spans="9:10">
      <c r="I154" s="253"/>
      <c r="J154" s="253"/>
    </row>
    <row r="155" spans="9:10">
      <c r="I155" s="253"/>
      <c r="J155" s="253"/>
    </row>
    <row r="156" spans="9:10">
      <c r="I156" s="253"/>
      <c r="J156" s="253"/>
    </row>
    <row r="157" spans="9:10">
      <c r="I157" s="253"/>
      <c r="J157" s="253"/>
    </row>
    <row r="158" spans="9:10">
      <c r="I158" s="253"/>
      <c r="J158" s="253"/>
    </row>
    <row r="159" spans="9:10">
      <c r="I159" s="253"/>
      <c r="J159" s="253"/>
    </row>
    <row r="160" spans="9:10">
      <c r="I160" s="253"/>
      <c r="J160" s="253"/>
    </row>
    <row r="161" spans="9:10">
      <c r="I161" s="253"/>
      <c r="J161" s="253"/>
    </row>
    <row r="162" spans="9:10">
      <c r="I162" s="253"/>
      <c r="J162" s="253"/>
    </row>
    <row r="163" spans="9:10">
      <c r="I163" s="253"/>
      <c r="J163" s="253"/>
    </row>
    <row r="164" spans="9:10">
      <c r="I164" s="253"/>
      <c r="J164" s="253"/>
    </row>
    <row r="165" spans="9:10">
      <c r="I165" s="253"/>
      <c r="J165" s="253"/>
    </row>
    <row r="166" spans="9:10">
      <c r="I166" s="253"/>
      <c r="J166" s="253"/>
    </row>
    <row r="167" spans="9:10">
      <c r="I167" s="253"/>
      <c r="J167" s="253"/>
    </row>
    <row r="168" spans="9:10">
      <c r="I168" s="253"/>
      <c r="J168" s="253"/>
    </row>
    <row r="169" spans="9:10">
      <c r="I169" s="253"/>
      <c r="J169" s="253"/>
    </row>
    <row r="170" spans="9:10">
      <c r="I170" s="253"/>
      <c r="J170" s="253"/>
    </row>
    <row r="171" spans="9:10">
      <c r="I171" s="253"/>
      <c r="J171" s="253"/>
    </row>
    <row r="172" spans="9:10">
      <c r="I172" s="253"/>
      <c r="J172" s="253"/>
    </row>
    <row r="173" spans="9:10">
      <c r="I173" s="253"/>
      <c r="J173" s="253"/>
    </row>
    <row r="174" spans="9:10">
      <c r="I174" s="253"/>
      <c r="J174" s="253"/>
    </row>
    <row r="175" spans="9:10">
      <c r="I175" s="253"/>
      <c r="J175" s="253"/>
    </row>
    <row r="176" spans="9:10">
      <c r="I176" s="253"/>
      <c r="J176" s="253"/>
    </row>
    <row r="177" spans="9:10">
      <c r="I177" s="253"/>
      <c r="J177" s="253"/>
    </row>
    <row r="178" spans="9:10">
      <c r="I178" s="253"/>
      <c r="J178" s="253"/>
    </row>
    <row r="179" spans="9:10">
      <c r="I179" s="253"/>
      <c r="J179" s="253"/>
    </row>
    <row r="180" spans="9:10">
      <c r="I180" s="253"/>
      <c r="J180" s="253"/>
    </row>
    <row r="181" spans="9:10">
      <c r="I181" s="253"/>
      <c r="J181" s="253"/>
    </row>
    <row r="182" spans="9:10">
      <c r="I182" s="253"/>
      <c r="J182" s="253"/>
    </row>
    <row r="183" spans="9:10">
      <c r="I183" s="253"/>
      <c r="J183" s="253"/>
    </row>
    <row r="184" spans="9:10">
      <c r="I184" s="253"/>
      <c r="J184" s="253"/>
    </row>
    <row r="185" spans="9:10">
      <c r="I185" s="253"/>
      <c r="J185" s="253"/>
    </row>
    <row r="186" spans="9:10">
      <c r="I186" s="253"/>
      <c r="J186" s="253"/>
    </row>
    <row r="187" spans="9:10">
      <c r="I187" s="253"/>
      <c r="J187" s="253"/>
    </row>
    <row r="188" spans="9:10">
      <c r="I188" s="253"/>
      <c r="J188" s="253"/>
    </row>
    <row r="189" spans="9:10">
      <c r="I189" s="253"/>
      <c r="J189" s="253"/>
    </row>
    <row r="190" spans="9:10">
      <c r="I190" s="253"/>
      <c r="J190" s="253"/>
    </row>
    <row r="191" spans="9:10">
      <c r="I191" s="253"/>
      <c r="J191" s="253"/>
    </row>
    <row r="192" spans="9:10">
      <c r="I192" s="253"/>
      <c r="J192" s="253"/>
    </row>
    <row r="193" spans="9:10">
      <c r="I193" s="253"/>
      <c r="J193" s="253"/>
    </row>
    <row r="194" spans="9:10">
      <c r="I194" s="253"/>
      <c r="J194" s="253"/>
    </row>
    <row r="195" spans="9:10">
      <c r="I195" s="253"/>
      <c r="J195" s="253"/>
    </row>
    <row r="196" spans="9:10">
      <c r="I196" s="253"/>
      <c r="J196" s="253"/>
    </row>
    <row r="197" spans="9:10">
      <c r="I197" s="253"/>
      <c r="J197" s="253"/>
    </row>
    <row r="198" spans="9:10">
      <c r="I198" s="253"/>
      <c r="J198" s="253"/>
    </row>
    <row r="199" spans="9:10">
      <c r="I199" s="253"/>
      <c r="J199" s="253"/>
    </row>
    <row r="200" spans="9:10">
      <c r="I200" s="253"/>
      <c r="J200" s="253"/>
    </row>
    <row r="201" spans="9:10">
      <c r="I201" s="253"/>
      <c r="J201" s="253"/>
    </row>
    <row r="202" spans="9:10">
      <c r="I202" s="253"/>
      <c r="J202" s="253"/>
    </row>
    <row r="203" spans="9:10">
      <c r="I203" s="253"/>
      <c r="J203" s="253"/>
    </row>
    <row r="204" spans="9:10">
      <c r="I204" s="253"/>
      <c r="J204" s="253"/>
    </row>
    <row r="205" spans="9:10">
      <c r="I205" s="253"/>
      <c r="J205" s="253"/>
    </row>
    <row r="206" spans="9:10">
      <c r="I206" s="253"/>
      <c r="J206" s="253"/>
    </row>
    <row r="207" spans="9:10">
      <c r="I207" s="253"/>
      <c r="J207" s="253"/>
    </row>
    <row r="208" spans="9:10">
      <c r="I208" s="253"/>
      <c r="J208" s="253"/>
    </row>
    <row r="209" spans="9:10">
      <c r="I209" s="253"/>
      <c r="J209" s="253"/>
    </row>
    <row r="210" spans="9:10">
      <c r="I210" s="253"/>
      <c r="J210" s="253"/>
    </row>
    <row r="211" spans="9:10">
      <c r="I211" s="253"/>
      <c r="J211" s="253"/>
    </row>
    <row r="212" spans="9:10">
      <c r="I212" s="253"/>
      <c r="J212" s="253"/>
    </row>
    <row r="213" spans="9:10">
      <c r="I213" s="253"/>
      <c r="J213" s="253"/>
    </row>
    <row r="214" spans="9:10">
      <c r="I214" s="253"/>
      <c r="J214" s="253"/>
    </row>
    <row r="215" spans="9:10">
      <c r="I215" s="253"/>
      <c r="J215" s="253"/>
    </row>
    <row r="216" spans="9:10">
      <c r="I216" s="253"/>
      <c r="J216" s="253"/>
    </row>
    <row r="217" spans="9:10">
      <c r="I217" s="253"/>
      <c r="J217" s="253"/>
    </row>
    <row r="218" spans="9:10">
      <c r="I218" s="253"/>
      <c r="J218" s="253"/>
    </row>
    <row r="219" spans="9:10">
      <c r="I219" s="253"/>
      <c r="J219" s="253"/>
    </row>
    <row r="220" spans="9:10">
      <c r="I220" s="253"/>
      <c r="J220" s="253"/>
    </row>
    <row r="221" spans="9:10">
      <c r="I221" s="253"/>
      <c r="J221" s="253"/>
    </row>
    <row r="222" spans="9:10">
      <c r="I222" s="253"/>
      <c r="J222" s="253"/>
    </row>
    <row r="223" spans="9:10">
      <c r="I223" s="253"/>
      <c r="J223" s="253"/>
    </row>
    <row r="224" spans="9:10">
      <c r="I224" s="253"/>
      <c r="J224" s="253"/>
    </row>
    <row r="225" spans="9:10">
      <c r="I225" s="253"/>
      <c r="J225" s="253"/>
    </row>
    <row r="226" spans="9:10">
      <c r="I226" s="253"/>
      <c r="J226" s="253"/>
    </row>
    <row r="227" spans="9:10">
      <c r="I227" s="253"/>
      <c r="J227" s="253"/>
    </row>
    <row r="228" spans="9:10">
      <c r="I228" s="253"/>
      <c r="J228" s="253"/>
    </row>
    <row r="229" spans="9:10">
      <c r="I229" s="253"/>
      <c r="J229" s="253"/>
    </row>
    <row r="230" spans="9:10">
      <c r="I230" s="253"/>
      <c r="J230" s="253"/>
    </row>
    <row r="231" spans="9:10">
      <c r="I231" s="253"/>
      <c r="J231" s="253"/>
    </row>
    <row r="232" spans="9:10">
      <c r="I232" s="253"/>
      <c r="J232" s="253"/>
    </row>
    <row r="233" spans="9:10">
      <c r="I233" s="253"/>
      <c r="J233" s="253"/>
    </row>
    <row r="234" spans="9:10">
      <c r="I234" s="253"/>
      <c r="J234" s="253"/>
    </row>
    <row r="235" spans="9:10">
      <c r="I235" s="253"/>
      <c r="J235" s="253"/>
    </row>
    <row r="236" spans="9:10">
      <c r="I236" s="253"/>
      <c r="J236" s="253"/>
    </row>
    <row r="237" spans="9:10">
      <c r="I237" s="253"/>
      <c r="J237" s="253"/>
    </row>
    <row r="238" spans="9:10">
      <c r="I238" s="253"/>
      <c r="J238" s="253"/>
    </row>
    <row r="239" spans="9:10">
      <c r="I239" s="253"/>
      <c r="J239" s="253"/>
    </row>
    <row r="240" spans="9:10">
      <c r="I240" s="253"/>
      <c r="J240" s="253"/>
    </row>
    <row r="241" spans="9:10">
      <c r="I241" s="253"/>
      <c r="J241" s="253"/>
    </row>
    <row r="242" spans="9:10">
      <c r="I242" s="253"/>
      <c r="J242" s="253"/>
    </row>
    <row r="243" spans="9:10">
      <c r="I243" s="253"/>
      <c r="J243" s="253"/>
    </row>
    <row r="244" spans="9:10">
      <c r="I244" s="253"/>
      <c r="J244" s="253"/>
    </row>
    <row r="245" spans="9:10">
      <c r="I245" s="253"/>
      <c r="J245" s="253"/>
    </row>
    <row r="246" spans="9:10">
      <c r="I246" s="253"/>
      <c r="J246" s="253"/>
    </row>
    <row r="247" spans="9:10">
      <c r="I247" s="253"/>
      <c r="J247" s="253"/>
    </row>
    <row r="248" spans="9:10">
      <c r="I248" s="253"/>
      <c r="J248" s="253"/>
    </row>
    <row r="249" spans="9:10">
      <c r="I249" s="253"/>
      <c r="J249" s="253"/>
    </row>
    <row r="250" spans="9:10">
      <c r="I250" s="253"/>
      <c r="J250" s="253"/>
    </row>
    <row r="251" spans="9:10">
      <c r="I251" s="253"/>
      <c r="J251" s="253"/>
    </row>
    <row r="252" spans="9:10">
      <c r="I252" s="253"/>
      <c r="J252" s="253"/>
    </row>
    <row r="253" spans="9:10">
      <c r="I253" s="253"/>
      <c r="J253" s="253"/>
    </row>
    <row r="254" spans="9:10">
      <c r="I254" s="253"/>
      <c r="J254" s="253"/>
    </row>
    <row r="255" spans="9:10">
      <c r="I255" s="253"/>
      <c r="J255" s="253"/>
    </row>
    <row r="256" spans="9:10">
      <c r="I256" s="253"/>
      <c r="J256" s="253"/>
    </row>
    <row r="257" spans="9:10">
      <c r="I257" s="253"/>
      <c r="J257" s="253"/>
    </row>
    <row r="258" spans="9:10">
      <c r="I258" s="253"/>
      <c r="J258" s="253"/>
    </row>
    <row r="259" spans="9:10">
      <c r="I259" s="253"/>
      <c r="J259" s="253"/>
    </row>
    <row r="260" spans="9:10">
      <c r="I260" s="253"/>
      <c r="J260" s="253"/>
    </row>
    <row r="261" spans="9:10">
      <c r="I261" s="253"/>
      <c r="J261" s="253"/>
    </row>
    <row r="262" spans="9:10">
      <c r="I262" s="253"/>
      <c r="J262" s="253"/>
    </row>
    <row r="263" spans="9:10">
      <c r="I263" s="253"/>
      <c r="J263" s="253"/>
    </row>
    <row r="264" spans="9:10">
      <c r="I264" s="253"/>
      <c r="J264" s="253"/>
    </row>
    <row r="265" spans="9:10">
      <c r="I265" s="253"/>
      <c r="J265" s="253"/>
    </row>
    <row r="266" spans="9:10">
      <c r="I266" s="253"/>
      <c r="J266" s="253"/>
    </row>
    <row r="267" spans="9:10">
      <c r="I267" s="253"/>
      <c r="J267" s="253"/>
    </row>
    <row r="268" spans="9:10">
      <c r="I268" s="253"/>
      <c r="J268" s="253"/>
    </row>
    <row r="269" spans="9:10">
      <c r="I269" s="253"/>
      <c r="J269" s="253"/>
    </row>
    <row r="270" spans="9:10">
      <c r="I270" s="253"/>
      <c r="J270" s="253"/>
    </row>
    <row r="271" spans="9:10">
      <c r="I271" s="253"/>
      <c r="J271" s="253"/>
    </row>
    <row r="272" spans="9:10">
      <c r="I272" s="253"/>
      <c r="J272" s="253"/>
    </row>
    <row r="273" spans="9:10">
      <c r="I273" s="253"/>
      <c r="J273" s="253"/>
    </row>
    <row r="274" spans="9:10">
      <c r="I274" s="253"/>
      <c r="J274" s="253"/>
    </row>
    <row r="275" spans="9:10">
      <c r="I275" s="253"/>
      <c r="J275" s="253"/>
    </row>
    <row r="276" spans="9:10">
      <c r="I276" s="253"/>
      <c r="J276" s="253"/>
    </row>
    <row r="277" spans="9:10">
      <c r="I277" s="253"/>
      <c r="J277" s="253"/>
    </row>
    <row r="278" spans="9:10">
      <c r="I278" s="253"/>
      <c r="J278" s="253"/>
    </row>
    <row r="279" spans="9:10">
      <c r="I279" s="253"/>
      <c r="J279" s="253"/>
    </row>
    <row r="280" spans="9:10">
      <c r="I280" s="253"/>
      <c r="J280" s="253"/>
    </row>
    <row r="281" spans="9:10">
      <c r="I281" s="253"/>
      <c r="J281" s="253"/>
    </row>
    <row r="282" spans="9:10">
      <c r="I282" s="253"/>
      <c r="J282" s="253"/>
    </row>
    <row r="283" spans="9:10">
      <c r="I283" s="253"/>
      <c r="J283" s="253"/>
    </row>
    <row r="284" spans="9:10">
      <c r="I284" s="253"/>
      <c r="J284" s="253"/>
    </row>
    <row r="285" spans="9:10">
      <c r="I285" s="253"/>
      <c r="J285" s="253"/>
    </row>
    <row r="286" spans="9:10">
      <c r="I286" s="253"/>
      <c r="J286" s="253"/>
    </row>
    <row r="287" spans="9:10">
      <c r="I287" s="253"/>
      <c r="J287" s="253"/>
    </row>
    <row r="288" spans="9:10">
      <c r="I288" s="253"/>
      <c r="J288" s="253"/>
    </row>
    <row r="289" spans="9:10">
      <c r="I289" s="253"/>
      <c r="J289" s="253"/>
    </row>
    <row r="290" spans="9:10">
      <c r="I290" s="253"/>
      <c r="J290" s="253"/>
    </row>
    <row r="291" spans="9:10">
      <c r="I291" s="253"/>
      <c r="J291" s="253"/>
    </row>
    <row r="292" spans="9:10">
      <c r="I292" s="253"/>
      <c r="J292" s="253"/>
    </row>
    <row r="293" spans="9:10">
      <c r="I293" s="253"/>
      <c r="J293" s="253"/>
    </row>
    <row r="294" spans="9:10">
      <c r="I294" s="253"/>
      <c r="J294" s="253"/>
    </row>
    <row r="295" spans="9:10">
      <c r="I295" s="253"/>
      <c r="J295" s="253"/>
    </row>
    <row r="296" spans="9:10">
      <c r="I296" s="253"/>
      <c r="J296" s="253"/>
    </row>
    <row r="297" spans="9:10">
      <c r="I297" s="253"/>
      <c r="J297" s="253"/>
    </row>
    <row r="298" spans="9:10">
      <c r="I298" s="253"/>
      <c r="J298" s="253"/>
    </row>
    <row r="299" spans="9:10">
      <c r="I299" s="253"/>
      <c r="J299" s="253"/>
    </row>
    <row r="300" spans="9:10">
      <c r="I300" s="253"/>
      <c r="J300" s="253"/>
    </row>
    <row r="301" spans="9:10">
      <c r="I301" s="253"/>
      <c r="J301" s="253"/>
    </row>
    <row r="302" spans="9:10">
      <c r="I302" s="253"/>
      <c r="J302" s="253"/>
    </row>
    <row r="303" spans="9:10">
      <c r="I303" s="253"/>
      <c r="J303" s="253"/>
    </row>
    <row r="304" spans="9:10">
      <c r="I304" s="253"/>
      <c r="J304" s="253"/>
    </row>
    <row r="305" spans="9:10">
      <c r="I305" s="253"/>
      <c r="J305" s="253"/>
    </row>
    <row r="306" spans="9:10">
      <c r="I306" s="253"/>
      <c r="J306" s="253"/>
    </row>
    <row r="307" spans="9:10">
      <c r="I307" s="253"/>
      <c r="J307" s="253"/>
    </row>
    <row r="308" spans="9:10">
      <c r="I308" s="253"/>
      <c r="J308" s="253"/>
    </row>
    <row r="309" spans="9:10">
      <c r="I309" s="253"/>
      <c r="J309" s="253"/>
    </row>
    <row r="310" spans="9:10">
      <c r="I310" s="253"/>
      <c r="J310" s="253"/>
    </row>
    <row r="311" spans="9:10">
      <c r="I311" s="253"/>
      <c r="J311" s="253"/>
    </row>
    <row r="312" spans="9:10">
      <c r="I312" s="253"/>
      <c r="J312" s="253"/>
    </row>
    <row r="313" spans="9:10">
      <c r="I313" s="253"/>
      <c r="J313" s="253"/>
    </row>
    <row r="314" spans="9:10">
      <c r="I314" s="253"/>
      <c r="J314" s="253"/>
    </row>
    <row r="315" spans="9:10">
      <c r="I315" s="253"/>
      <c r="J315" s="253"/>
    </row>
    <row r="316" spans="9:10">
      <c r="I316" s="253"/>
      <c r="J316" s="253"/>
    </row>
    <row r="317" spans="9:10">
      <c r="I317" s="253"/>
      <c r="J317" s="253"/>
    </row>
    <row r="318" spans="9:10">
      <c r="I318" s="253"/>
      <c r="J318" s="253"/>
    </row>
    <row r="319" spans="9:10">
      <c r="I319" s="253"/>
      <c r="J319" s="253"/>
    </row>
    <row r="320" spans="9:10">
      <c r="I320" s="253"/>
      <c r="J320" s="253"/>
    </row>
    <row r="321" spans="9:10">
      <c r="I321" s="253"/>
      <c r="J321" s="253"/>
    </row>
    <row r="322" spans="9:10">
      <c r="I322" s="253"/>
      <c r="J322" s="253"/>
    </row>
    <row r="323" spans="9:10">
      <c r="I323" s="253"/>
      <c r="J323" s="253"/>
    </row>
    <row r="324" spans="9:10">
      <c r="I324" s="253"/>
      <c r="J324" s="253"/>
    </row>
    <row r="325" spans="9:10">
      <c r="I325" s="253"/>
      <c r="J325" s="253"/>
    </row>
    <row r="326" spans="9:10">
      <c r="I326" s="253"/>
      <c r="J326" s="253"/>
    </row>
    <row r="327" spans="9:10">
      <c r="I327" s="253"/>
      <c r="J327" s="253"/>
    </row>
    <row r="328" spans="9:10">
      <c r="I328" s="253"/>
      <c r="J328" s="253"/>
    </row>
    <row r="329" spans="9:10">
      <c r="I329" s="253"/>
      <c r="J329" s="253"/>
    </row>
    <row r="330" spans="9:10">
      <c r="I330" s="253"/>
      <c r="J330" s="253"/>
    </row>
    <row r="331" spans="9:10">
      <c r="I331" s="253"/>
      <c r="J331" s="253"/>
    </row>
    <row r="332" spans="9:10">
      <c r="I332" s="253"/>
      <c r="J332" s="253"/>
    </row>
    <row r="333" spans="9:10">
      <c r="I333" s="253"/>
      <c r="J333" s="253"/>
    </row>
    <row r="334" spans="9:10">
      <c r="I334" s="253"/>
      <c r="J334" s="253"/>
    </row>
    <row r="335" spans="9:10">
      <c r="I335" s="253"/>
      <c r="J335" s="253"/>
    </row>
    <row r="336" spans="9:10">
      <c r="I336" s="253"/>
      <c r="J336" s="253"/>
    </row>
    <row r="337" spans="9:10">
      <c r="I337" s="253"/>
      <c r="J337" s="253"/>
    </row>
    <row r="338" spans="9:10">
      <c r="I338" s="253"/>
      <c r="J338" s="253"/>
    </row>
    <row r="339" spans="9:10">
      <c r="I339" s="253"/>
      <c r="J339" s="253"/>
    </row>
    <row r="340" spans="9:10">
      <c r="I340" s="253"/>
      <c r="J340" s="253"/>
    </row>
    <row r="341" spans="9:10">
      <c r="I341" s="253"/>
      <c r="J341" s="253"/>
    </row>
    <row r="342" spans="9:10">
      <c r="I342" s="253"/>
      <c r="J342" s="253"/>
    </row>
    <row r="343" spans="9:10">
      <c r="I343" s="253"/>
      <c r="J343" s="253"/>
    </row>
    <row r="344" spans="9:10">
      <c r="I344" s="253"/>
      <c r="J344" s="253"/>
    </row>
    <row r="345" spans="9:10">
      <c r="I345" s="253"/>
      <c r="J345" s="253"/>
    </row>
    <row r="346" spans="9:10">
      <c r="I346" s="253"/>
      <c r="J346" s="253"/>
    </row>
    <row r="347" spans="9:10">
      <c r="I347" s="253"/>
      <c r="J347" s="253"/>
    </row>
    <row r="348" spans="9:10">
      <c r="I348" s="253"/>
      <c r="J348" s="253"/>
    </row>
    <row r="349" spans="9:10">
      <c r="I349" s="253"/>
      <c r="J349" s="253"/>
    </row>
    <row r="350" spans="9:10">
      <c r="I350" s="253"/>
      <c r="J350" s="253"/>
    </row>
    <row r="351" spans="9:10">
      <c r="I351" s="253"/>
      <c r="J351" s="253"/>
    </row>
    <row r="352" spans="9:10">
      <c r="I352" s="253"/>
      <c r="J352" s="253"/>
    </row>
    <row r="353" spans="9:10">
      <c r="I353" s="253"/>
      <c r="J353" s="253"/>
    </row>
    <row r="354" spans="9:10">
      <c r="I354" s="253"/>
      <c r="J354" s="253"/>
    </row>
    <row r="355" spans="9:10">
      <c r="I355" s="253"/>
      <c r="J355" s="253"/>
    </row>
    <row r="356" spans="9:10">
      <c r="I356" s="253"/>
      <c r="J356" s="253"/>
    </row>
    <row r="357" spans="9:10">
      <c r="I357" s="253"/>
      <c r="J357" s="253"/>
    </row>
    <row r="358" spans="9:10">
      <c r="I358" s="253"/>
      <c r="J358" s="253"/>
    </row>
    <row r="359" spans="9:10">
      <c r="I359" s="253"/>
      <c r="J359" s="253"/>
    </row>
    <row r="360" spans="9:10">
      <c r="I360" s="253"/>
      <c r="J360" s="253"/>
    </row>
    <row r="361" spans="9:10">
      <c r="I361" s="253"/>
      <c r="J361" s="253"/>
    </row>
    <row r="362" spans="9:10">
      <c r="I362" s="253"/>
      <c r="J362" s="253"/>
    </row>
    <row r="363" spans="9:10">
      <c r="I363" s="253"/>
      <c r="J363" s="253"/>
    </row>
    <row r="364" spans="9:10">
      <c r="I364" s="253"/>
      <c r="J364" s="253"/>
    </row>
    <row r="365" spans="9:10">
      <c r="I365" s="253"/>
      <c r="J365" s="253"/>
    </row>
    <row r="366" spans="9:10">
      <c r="I366" s="253"/>
      <c r="J366" s="253"/>
    </row>
    <row r="367" spans="9:10">
      <c r="I367" s="253"/>
      <c r="J367" s="253"/>
    </row>
    <row r="368" spans="9:10">
      <c r="I368" s="253"/>
      <c r="J368" s="253"/>
    </row>
    <row r="369" spans="9:10">
      <c r="I369" s="253"/>
      <c r="J369" s="253"/>
    </row>
    <row r="370" spans="9:10">
      <c r="I370" s="253"/>
      <c r="J370" s="253"/>
    </row>
    <row r="371" spans="9:10">
      <c r="I371" s="253"/>
      <c r="J371" s="253"/>
    </row>
    <row r="372" spans="9:10">
      <c r="I372" s="253"/>
      <c r="J372" s="253"/>
    </row>
    <row r="373" spans="9:10">
      <c r="I373" s="253"/>
      <c r="J373" s="253"/>
    </row>
    <row r="374" spans="9:10">
      <c r="I374" s="253"/>
      <c r="J374" s="253"/>
    </row>
    <row r="375" spans="9:10">
      <c r="I375" s="253"/>
      <c r="J375" s="253"/>
    </row>
    <row r="376" spans="9:10">
      <c r="I376" s="253"/>
      <c r="J376" s="253"/>
    </row>
    <row r="377" spans="9:10">
      <c r="I377" s="253"/>
      <c r="J377" s="253"/>
    </row>
    <row r="378" spans="9:10">
      <c r="I378" s="253"/>
      <c r="J378" s="253"/>
    </row>
    <row r="379" spans="9:10">
      <c r="I379" s="253"/>
      <c r="J379" s="253"/>
    </row>
    <row r="380" spans="9:10">
      <c r="I380" s="253"/>
      <c r="J380" s="253"/>
    </row>
    <row r="381" spans="9:10">
      <c r="I381" s="253"/>
      <c r="J381" s="253"/>
    </row>
    <row r="382" spans="9:10">
      <c r="I382" s="253"/>
      <c r="J382" s="253"/>
    </row>
    <row r="383" spans="9:10">
      <c r="I383" s="253"/>
      <c r="J383" s="253"/>
    </row>
    <row r="384" spans="9:10">
      <c r="I384" s="253"/>
      <c r="J384" s="253"/>
    </row>
    <row r="385" spans="9:10">
      <c r="I385" s="253"/>
      <c r="J385" s="253"/>
    </row>
    <row r="386" spans="9:10">
      <c r="I386" s="253"/>
      <c r="J386" s="253"/>
    </row>
    <row r="387" spans="9:10">
      <c r="I387" s="253"/>
      <c r="J387" s="253"/>
    </row>
    <row r="388" spans="9:10">
      <c r="I388" s="253"/>
      <c r="J388" s="253"/>
    </row>
    <row r="389" spans="9:10">
      <c r="I389" s="253"/>
      <c r="J389" s="253"/>
    </row>
    <row r="390" spans="9:10">
      <c r="I390" s="253"/>
      <c r="J390" s="253"/>
    </row>
    <row r="391" spans="9:10">
      <c r="I391" s="253"/>
      <c r="J391" s="253"/>
    </row>
    <row r="392" spans="9:10">
      <c r="I392" s="253"/>
      <c r="J392" s="253"/>
    </row>
    <row r="393" spans="9:10">
      <c r="I393" s="253"/>
      <c r="J393" s="253"/>
    </row>
    <row r="394" spans="9:10">
      <c r="I394" s="253"/>
      <c r="J394" s="253"/>
    </row>
    <row r="395" spans="9:10">
      <c r="I395" s="253"/>
      <c r="J395" s="253"/>
    </row>
    <row r="396" spans="9:10">
      <c r="I396" s="253"/>
      <c r="J396" s="253"/>
    </row>
    <row r="397" spans="9:10">
      <c r="I397" s="253"/>
      <c r="J397" s="253"/>
    </row>
    <row r="398" spans="9:10">
      <c r="I398" s="253"/>
      <c r="J398" s="253"/>
    </row>
    <row r="399" spans="9:10">
      <c r="I399" s="253"/>
      <c r="J399" s="253"/>
    </row>
    <row r="400" spans="9:10">
      <c r="I400" s="253"/>
      <c r="J400" s="253"/>
    </row>
    <row r="401" spans="9:10">
      <c r="I401" s="253"/>
      <c r="J401" s="253"/>
    </row>
    <row r="402" spans="9:10">
      <c r="I402" s="253"/>
      <c r="J402" s="253"/>
    </row>
    <row r="403" spans="9:10">
      <c r="I403" s="253"/>
      <c r="J403" s="253"/>
    </row>
    <row r="404" spans="9:10">
      <c r="I404" s="253"/>
      <c r="J404" s="253"/>
    </row>
    <row r="405" spans="9:10">
      <c r="I405" s="253"/>
      <c r="J405" s="253"/>
    </row>
    <row r="406" spans="9:10">
      <c r="I406" s="253"/>
      <c r="J406" s="253"/>
    </row>
    <row r="407" spans="9:10">
      <c r="I407" s="253"/>
      <c r="J407" s="253"/>
    </row>
    <row r="408" spans="9:10">
      <c r="I408" s="253"/>
      <c r="J408" s="253"/>
    </row>
    <row r="409" spans="9:10">
      <c r="I409" s="253"/>
      <c r="J409" s="253"/>
    </row>
    <row r="410" spans="9:10">
      <c r="I410" s="253"/>
      <c r="J410" s="253"/>
    </row>
    <row r="411" spans="9:10">
      <c r="I411" s="253"/>
      <c r="J411" s="253"/>
    </row>
    <row r="412" spans="9:10">
      <c r="I412" s="253"/>
      <c r="J412" s="253"/>
    </row>
    <row r="413" spans="9:10">
      <c r="I413" s="253"/>
      <c r="J413" s="253"/>
    </row>
    <row r="414" spans="9:10">
      <c r="I414" s="253"/>
      <c r="J414" s="253"/>
    </row>
    <row r="415" spans="9:10">
      <c r="I415" s="253"/>
      <c r="J415" s="253"/>
    </row>
    <row r="416" spans="9:10">
      <c r="I416" s="253"/>
      <c r="J416" s="253"/>
    </row>
    <row r="417" spans="9:10">
      <c r="I417" s="253"/>
      <c r="J417" s="253"/>
    </row>
    <row r="418" spans="9:10">
      <c r="I418" s="253"/>
      <c r="J418" s="253"/>
    </row>
    <row r="419" spans="9:10">
      <c r="I419" s="253"/>
      <c r="J419" s="253"/>
    </row>
    <row r="420" spans="9:10">
      <c r="I420" s="253"/>
      <c r="J420" s="253"/>
    </row>
    <row r="421" spans="9:10">
      <c r="I421" s="253"/>
      <c r="J421" s="253"/>
    </row>
    <row r="422" spans="9:10">
      <c r="I422" s="253"/>
      <c r="J422" s="253"/>
    </row>
    <row r="423" spans="9:10">
      <c r="I423" s="253"/>
      <c r="J423" s="253"/>
    </row>
    <row r="424" spans="9:10">
      <c r="I424" s="253"/>
      <c r="J424" s="253"/>
    </row>
    <row r="425" spans="9:10">
      <c r="I425" s="253"/>
      <c r="J425" s="253"/>
    </row>
    <row r="426" spans="9:10">
      <c r="I426" s="253"/>
      <c r="J426" s="253"/>
    </row>
    <row r="427" spans="9:10">
      <c r="I427" s="253"/>
      <c r="J427" s="253"/>
    </row>
    <row r="428" spans="9:10">
      <c r="I428" s="253"/>
      <c r="J428" s="253"/>
    </row>
    <row r="429" spans="9:10">
      <c r="I429" s="253"/>
      <c r="J429" s="253"/>
    </row>
    <row r="430" spans="9:10">
      <c r="I430" s="253"/>
      <c r="J430" s="253"/>
    </row>
    <row r="431" spans="9:10">
      <c r="I431" s="253"/>
      <c r="J431" s="253"/>
    </row>
    <row r="432" spans="9:10">
      <c r="I432" s="253"/>
      <c r="J432" s="253"/>
    </row>
    <row r="433" spans="9:10">
      <c r="I433" s="253"/>
      <c r="J433" s="253"/>
    </row>
    <row r="434" spans="9:10">
      <c r="I434" s="253"/>
      <c r="J434" s="253"/>
    </row>
    <row r="435" spans="9:10">
      <c r="I435" s="253"/>
      <c r="J435" s="253"/>
    </row>
    <row r="436" spans="9:10">
      <c r="I436" s="253"/>
      <c r="J436" s="253"/>
    </row>
    <row r="437" spans="9:10">
      <c r="I437" s="253"/>
      <c r="J437" s="253"/>
    </row>
    <row r="438" spans="9:10">
      <c r="I438" s="253"/>
      <c r="J438" s="253"/>
    </row>
    <row r="439" spans="9:10">
      <c r="I439" s="253"/>
      <c r="J439" s="253"/>
    </row>
    <row r="440" spans="9:10">
      <c r="I440" s="253"/>
      <c r="J440" s="253"/>
    </row>
    <row r="441" spans="9:10">
      <c r="I441" s="253"/>
      <c r="J441" s="253"/>
    </row>
    <row r="442" spans="9:10">
      <c r="I442" s="253"/>
      <c r="J442" s="253"/>
    </row>
    <row r="443" spans="9:10">
      <c r="I443" s="253"/>
      <c r="J443" s="253"/>
    </row>
    <row r="444" spans="9:10">
      <c r="I444" s="253"/>
      <c r="J444" s="253"/>
    </row>
    <row r="445" spans="9:10">
      <c r="I445" s="253"/>
      <c r="J445" s="253"/>
    </row>
    <row r="446" spans="9:10">
      <c r="I446" s="253"/>
      <c r="J446" s="253"/>
    </row>
    <row r="447" spans="9:10">
      <c r="I447" s="253"/>
      <c r="J447" s="253"/>
    </row>
    <row r="448" spans="9:10">
      <c r="I448" s="253"/>
      <c r="J448" s="253"/>
    </row>
    <row r="449" spans="9:10">
      <c r="I449" s="253"/>
      <c r="J449" s="253"/>
    </row>
    <row r="450" spans="9:10">
      <c r="I450" s="253"/>
      <c r="J450" s="253"/>
    </row>
    <row r="451" spans="9:10">
      <c r="I451" s="253"/>
      <c r="J451" s="253"/>
    </row>
    <row r="452" spans="9:10">
      <c r="I452" s="253"/>
      <c r="J452" s="253"/>
    </row>
    <row r="453" spans="9:10">
      <c r="I453" s="253"/>
      <c r="J453" s="253"/>
    </row>
    <row r="454" spans="9:10">
      <c r="I454" s="253"/>
      <c r="J454" s="253"/>
    </row>
    <row r="455" spans="9:10">
      <c r="I455" s="253"/>
      <c r="J455" s="253"/>
    </row>
    <row r="456" spans="9:10">
      <c r="I456" s="253"/>
      <c r="J456" s="253"/>
    </row>
    <row r="457" spans="9:10">
      <c r="I457" s="253"/>
      <c r="J457" s="253"/>
    </row>
    <row r="458" spans="9:10">
      <c r="I458" s="253"/>
      <c r="J458" s="253"/>
    </row>
    <row r="459" spans="9:10">
      <c r="I459" s="253"/>
      <c r="J459" s="253"/>
    </row>
    <row r="460" spans="9:10">
      <c r="I460" s="253"/>
      <c r="J460" s="253"/>
    </row>
    <row r="461" spans="9:10">
      <c r="I461" s="253"/>
      <c r="J461" s="253"/>
    </row>
    <row r="462" spans="9:10">
      <c r="I462" s="253"/>
      <c r="J462" s="253"/>
    </row>
    <row r="463" spans="9:10">
      <c r="I463" s="253"/>
      <c r="J463" s="253"/>
    </row>
    <row r="464" spans="9:10">
      <c r="I464" s="253"/>
      <c r="J464" s="253"/>
    </row>
    <row r="465" spans="9:10">
      <c r="I465" s="253"/>
      <c r="J465" s="253"/>
    </row>
    <row r="466" spans="9:10">
      <c r="I466" s="253"/>
      <c r="J466" s="253"/>
    </row>
    <row r="467" spans="9:10">
      <c r="I467" s="253"/>
      <c r="J467" s="253"/>
    </row>
    <row r="468" spans="9:10">
      <c r="I468" s="253"/>
      <c r="J468" s="253"/>
    </row>
    <row r="469" spans="9:10">
      <c r="I469" s="253"/>
      <c r="J469" s="253"/>
    </row>
    <row r="470" spans="9:10">
      <c r="I470" s="253"/>
      <c r="J470" s="253"/>
    </row>
    <row r="471" spans="9:10">
      <c r="I471" s="253"/>
      <c r="J471" s="253"/>
    </row>
    <row r="472" spans="9:10">
      <c r="I472" s="253"/>
      <c r="J472" s="253"/>
    </row>
    <row r="473" spans="9:10">
      <c r="I473" s="253"/>
      <c r="J473" s="253"/>
    </row>
    <row r="474" spans="9:10">
      <c r="I474" s="253"/>
      <c r="J474" s="253"/>
    </row>
    <row r="475" spans="9:10">
      <c r="I475" s="253"/>
      <c r="J475" s="253"/>
    </row>
    <row r="476" spans="9:10">
      <c r="I476" s="253"/>
      <c r="J476" s="253"/>
    </row>
    <row r="477" spans="9:10">
      <c r="I477" s="253"/>
      <c r="J477" s="253"/>
    </row>
    <row r="478" spans="9:10">
      <c r="I478" s="253"/>
      <c r="J478" s="253"/>
    </row>
    <row r="479" spans="9:10">
      <c r="I479" s="253"/>
      <c r="J479" s="253"/>
    </row>
    <row r="480" spans="9:10">
      <c r="I480" s="253"/>
      <c r="J480" s="253"/>
    </row>
    <row r="481" spans="9:10">
      <c r="I481" s="253"/>
      <c r="J481" s="253"/>
    </row>
    <row r="482" spans="9:10">
      <c r="I482" s="253"/>
      <c r="J482" s="253"/>
    </row>
    <row r="483" spans="9:10">
      <c r="I483" s="253"/>
      <c r="J483" s="253"/>
    </row>
    <row r="484" spans="9:10">
      <c r="I484" s="253"/>
      <c r="J484" s="253"/>
    </row>
    <row r="485" spans="9:10">
      <c r="I485" s="253"/>
      <c r="J485" s="253"/>
    </row>
    <row r="486" spans="9:10">
      <c r="I486" s="253"/>
      <c r="J486" s="253"/>
    </row>
    <row r="487" spans="9:10">
      <c r="I487" s="253"/>
      <c r="J487" s="253"/>
    </row>
    <row r="488" spans="9:10">
      <c r="I488" s="253"/>
      <c r="J488" s="253"/>
    </row>
    <row r="489" spans="9:10">
      <c r="I489" s="253"/>
      <c r="J489" s="253"/>
    </row>
    <row r="490" spans="9:10">
      <c r="I490" s="253"/>
      <c r="J490" s="253"/>
    </row>
    <row r="491" spans="9:10">
      <c r="I491" s="253"/>
      <c r="J491" s="253"/>
    </row>
    <row r="492" spans="9:10">
      <c r="I492" s="253"/>
      <c r="J492" s="253"/>
    </row>
    <row r="493" spans="9:10">
      <c r="I493" s="253"/>
      <c r="J493" s="253"/>
    </row>
    <row r="494" spans="9:10">
      <c r="I494" s="253"/>
      <c r="J494" s="253"/>
    </row>
    <row r="495" spans="9:10">
      <c r="I495" s="253"/>
      <c r="J495" s="253"/>
    </row>
    <row r="496" spans="9:10">
      <c r="I496" s="253"/>
      <c r="J496" s="253"/>
    </row>
    <row r="497" spans="9:10">
      <c r="I497" s="253"/>
      <c r="J497" s="253"/>
    </row>
    <row r="498" spans="9:10">
      <c r="I498" s="253"/>
      <c r="J498" s="253"/>
    </row>
    <row r="499" spans="9:10">
      <c r="I499" s="253"/>
      <c r="J499" s="253"/>
    </row>
    <row r="500" spans="9:10">
      <c r="I500" s="253"/>
      <c r="J500" s="253"/>
    </row>
    <row r="501" spans="9:10">
      <c r="I501" s="253"/>
      <c r="J501" s="253"/>
    </row>
    <row r="502" spans="9:10">
      <c r="I502" s="253"/>
      <c r="J502" s="253"/>
    </row>
    <row r="503" spans="9:10">
      <c r="I503" s="253"/>
      <c r="J503" s="253"/>
    </row>
    <row r="504" spans="9:10">
      <c r="I504" s="253"/>
      <c r="J504" s="253"/>
    </row>
    <row r="505" spans="9:10">
      <c r="I505" s="253"/>
      <c r="J505" s="253"/>
    </row>
    <row r="506" spans="9:10">
      <c r="I506" s="253"/>
      <c r="J506" s="253"/>
    </row>
    <row r="507" spans="9:10">
      <c r="I507" s="253"/>
      <c r="J507" s="253"/>
    </row>
    <row r="508" spans="9:10">
      <c r="I508" s="253"/>
      <c r="J508" s="253"/>
    </row>
    <row r="509" spans="9:10">
      <c r="I509" s="253"/>
      <c r="J509" s="253"/>
    </row>
    <row r="510" spans="9:10">
      <c r="I510" s="253"/>
      <c r="J510" s="253"/>
    </row>
    <row r="511" spans="9:10">
      <c r="I511" s="253"/>
      <c r="J511" s="253"/>
    </row>
    <row r="512" spans="9:10">
      <c r="I512" s="253"/>
      <c r="J512" s="253"/>
    </row>
    <row r="513" spans="9:10">
      <c r="I513" s="253"/>
      <c r="J513" s="253"/>
    </row>
    <row r="514" spans="9:10">
      <c r="I514" s="253"/>
      <c r="J514" s="253"/>
    </row>
    <row r="515" spans="9:10">
      <c r="I515" s="253"/>
      <c r="J515" s="253"/>
    </row>
    <row r="516" spans="9:10">
      <c r="I516" s="253"/>
      <c r="J516" s="253"/>
    </row>
    <row r="517" spans="9:10">
      <c r="I517" s="253"/>
      <c r="J517" s="253"/>
    </row>
    <row r="518" spans="9:10">
      <c r="I518" s="253"/>
      <c r="J518" s="253"/>
    </row>
    <row r="519" spans="9:10">
      <c r="I519" s="253"/>
      <c r="J519" s="253"/>
    </row>
    <row r="520" spans="9:10">
      <c r="I520" s="253"/>
      <c r="J520" s="253"/>
    </row>
    <row r="521" spans="9:10">
      <c r="I521" s="253"/>
      <c r="J521" s="253"/>
    </row>
    <row r="522" spans="9:10">
      <c r="I522" s="253"/>
      <c r="J522" s="253"/>
    </row>
    <row r="523" spans="9:10">
      <c r="I523" s="253"/>
      <c r="J523" s="253"/>
    </row>
    <row r="524" spans="9:10">
      <c r="I524" s="253"/>
      <c r="J524" s="253"/>
    </row>
    <row r="525" spans="9:10">
      <c r="I525" s="253"/>
      <c r="J525" s="253"/>
    </row>
    <row r="526" spans="9:10">
      <c r="I526" s="253"/>
      <c r="J526" s="253"/>
    </row>
    <row r="527" spans="9:10">
      <c r="I527" s="253"/>
      <c r="J527" s="253"/>
    </row>
    <row r="528" spans="9:10">
      <c r="I528" s="253"/>
      <c r="J528" s="253"/>
    </row>
    <row r="529" spans="9:10">
      <c r="I529" s="253"/>
      <c r="J529" s="253"/>
    </row>
    <row r="530" spans="9:10">
      <c r="I530" s="253"/>
      <c r="J530" s="253"/>
    </row>
    <row r="531" spans="9:10">
      <c r="I531" s="253"/>
      <c r="J531" s="253"/>
    </row>
    <row r="532" spans="9:10">
      <c r="I532" s="253"/>
      <c r="J532" s="253"/>
    </row>
    <row r="533" spans="9:10">
      <c r="I533" s="253"/>
      <c r="J533" s="253"/>
    </row>
    <row r="534" spans="9:10">
      <c r="I534" s="253"/>
      <c r="J534" s="253"/>
    </row>
    <row r="535" spans="9:10">
      <c r="I535" s="253"/>
      <c r="J535" s="253"/>
    </row>
    <row r="536" spans="9:10">
      <c r="I536" s="253"/>
      <c r="J536" s="253"/>
    </row>
    <row r="537" spans="9:10">
      <c r="I537" s="253"/>
      <c r="J537" s="253"/>
    </row>
    <row r="538" spans="9:10">
      <c r="I538" s="253"/>
      <c r="J538" s="253"/>
    </row>
    <row r="539" spans="9:10">
      <c r="I539" s="253"/>
      <c r="J539" s="253"/>
    </row>
    <row r="540" spans="9:10">
      <c r="I540" s="253"/>
      <c r="J540" s="253"/>
    </row>
    <row r="541" spans="9:10">
      <c r="I541" s="253"/>
      <c r="J541" s="253"/>
    </row>
    <row r="542" spans="9:10">
      <c r="I542" s="253"/>
      <c r="J542" s="253"/>
    </row>
    <row r="543" spans="9:10">
      <c r="I543" s="253"/>
      <c r="J543" s="253"/>
    </row>
    <row r="544" spans="9:10">
      <c r="I544" s="253"/>
      <c r="J544" s="253"/>
    </row>
    <row r="545" spans="9:10">
      <c r="I545" s="253"/>
      <c r="J545" s="253"/>
    </row>
    <row r="546" spans="9:10">
      <c r="I546" s="253"/>
      <c r="J546" s="253"/>
    </row>
    <row r="547" spans="9:10">
      <c r="I547" s="253"/>
      <c r="J547" s="253"/>
    </row>
    <row r="548" spans="9:10">
      <c r="I548" s="253"/>
      <c r="J548" s="253"/>
    </row>
    <row r="549" spans="9:10">
      <c r="I549" s="253"/>
      <c r="J549" s="253"/>
    </row>
    <row r="550" spans="9:10">
      <c r="I550" s="253"/>
      <c r="J550" s="253"/>
    </row>
    <row r="551" spans="9:10">
      <c r="I551" s="253"/>
      <c r="J551" s="253"/>
    </row>
    <row r="552" spans="9:10">
      <c r="I552" s="253"/>
      <c r="J552" s="253"/>
    </row>
    <row r="553" spans="9:10">
      <c r="I553" s="253"/>
      <c r="J553" s="253"/>
    </row>
    <row r="554" spans="9:10">
      <c r="I554" s="253"/>
      <c r="J554" s="253"/>
    </row>
    <row r="555" spans="9:10">
      <c r="I555" s="253"/>
      <c r="J555" s="253"/>
    </row>
    <row r="556" spans="9:10">
      <c r="I556" s="253"/>
      <c r="J556" s="253"/>
    </row>
    <row r="557" spans="9:10">
      <c r="I557" s="253"/>
      <c r="J557" s="253"/>
    </row>
    <row r="558" spans="9:10">
      <c r="I558" s="253"/>
      <c r="J558" s="253"/>
    </row>
    <row r="559" spans="9:10">
      <c r="I559" s="253"/>
      <c r="J559" s="253"/>
    </row>
    <row r="560" spans="9:10">
      <c r="I560" s="253"/>
      <c r="J560" s="253"/>
    </row>
    <row r="561" spans="9:10">
      <c r="I561" s="253"/>
      <c r="J561" s="253"/>
    </row>
    <row r="562" spans="9:10">
      <c r="I562" s="253"/>
      <c r="J562" s="253"/>
    </row>
    <row r="563" spans="9:10">
      <c r="I563" s="253"/>
      <c r="J563" s="253"/>
    </row>
    <row r="564" spans="9:10">
      <c r="I564" s="253"/>
      <c r="J564" s="253"/>
    </row>
    <row r="565" spans="9:10">
      <c r="I565" s="253"/>
      <c r="J565" s="253"/>
    </row>
    <row r="566" spans="9:10">
      <c r="I566" s="253"/>
      <c r="J566" s="253"/>
    </row>
    <row r="567" spans="9:10">
      <c r="I567" s="253"/>
      <c r="J567" s="253"/>
    </row>
    <row r="568" spans="9:10">
      <c r="I568" s="253"/>
      <c r="J568" s="253"/>
    </row>
    <row r="569" spans="9:10">
      <c r="I569" s="253"/>
      <c r="J569" s="253"/>
    </row>
    <row r="570" spans="9:10">
      <c r="I570" s="253"/>
      <c r="J570" s="253"/>
    </row>
    <row r="571" spans="9:10">
      <c r="I571" s="253"/>
      <c r="J571" s="253"/>
    </row>
    <row r="572" spans="9:10">
      <c r="I572" s="253"/>
      <c r="J572" s="253"/>
    </row>
    <row r="573" spans="9:10">
      <c r="I573" s="253"/>
      <c r="J573" s="253"/>
    </row>
    <row r="574" spans="9:10">
      <c r="I574" s="253"/>
      <c r="J574" s="253"/>
    </row>
    <row r="575" spans="9:10">
      <c r="I575" s="253"/>
      <c r="J575" s="253"/>
    </row>
    <row r="576" spans="9:10">
      <c r="I576" s="253"/>
      <c r="J576" s="253"/>
    </row>
    <row r="577" spans="9:10">
      <c r="I577" s="253"/>
      <c r="J577" s="253"/>
    </row>
    <row r="578" spans="9:10">
      <c r="I578" s="253"/>
      <c r="J578" s="253"/>
    </row>
    <row r="579" spans="9:10">
      <c r="I579" s="253"/>
      <c r="J579" s="253"/>
    </row>
    <row r="580" spans="9:10">
      <c r="I580" s="253"/>
      <c r="J580" s="253"/>
    </row>
    <row r="581" spans="9:10">
      <c r="I581" s="253"/>
      <c r="J581" s="253"/>
    </row>
    <row r="582" spans="9:10">
      <c r="I582" s="253"/>
      <c r="J582" s="253"/>
    </row>
    <row r="583" spans="9:10">
      <c r="I583" s="253"/>
      <c r="J583" s="253"/>
    </row>
    <row r="584" spans="9:10">
      <c r="I584" s="253"/>
      <c r="J584" s="253"/>
    </row>
    <row r="585" spans="9:10">
      <c r="I585" s="253"/>
      <c r="J585" s="253"/>
    </row>
    <row r="586" spans="9:10">
      <c r="I586" s="253"/>
      <c r="J586" s="253"/>
    </row>
    <row r="587" spans="9:10">
      <c r="I587" s="253"/>
      <c r="J587" s="253"/>
    </row>
    <row r="588" spans="9:10">
      <c r="I588" s="253"/>
      <c r="J588" s="253"/>
    </row>
    <row r="589" spans="9:10">
      <c r="I589" s="253"/>
      <c r="J589" s="253"/>
    </row>
    <row r="590" spans="9:10">
      <c r="I590" s="253"/>
      <c r="J590" s="253"/>
    </row>
    <row r="591" spans="9:10">
      <c r="I591" s="253"/>
      <c r="J591" s="253"/>
    </row>
    <row r="592" spans="9:10">
      <c r="I592" s="253"/>
      <c r="J592" s="253"/>
    </row>
    <row r="593" spans="9:10">
      <c r="I593" s="253"/>
      <c r="J593" s="253"/>
    </row>
    <row r="594" spans="9:10">
      <c r="I594" s="253"/>
      <c r="J594" s="253"/>
    </row>
    <row r="595" spans="9:10">
      <c r="I595" s="253"/>
      <c r="J595" s="253"/>
    </row>
    <row r="596" spans="9:10">
      <c r="I596" s="253"/>
      <c r="J596" s="253"/>
    </row>
    <row r="597" spans="9:10">
      <c r="I597" s="253"/>
      <c r="J597" s="253"/>
    </row>
    <row r="598" spans="9:10">
      <c r="I598" s="253"/>
      <c r="J598" s="253"/>
    </row>
    <row r="599" spans="9:10">
      <c r="I599" s="253"/>
      <c r="J599" s="253"/>
    </row>
    <row r="600" spans="9:10">
      <c r="I600" s="253"/>
      <c r="J600" s="253"/>
    </row>
    <row r="601" spans="9:10">
      <c r="I601" s="253"/>
      <c r="J601" s="253"/>
    </row>
    <row r="602" spans="9:10">
      <c r="I602" s="253"/>
      <c r="J602" s="253"/>
    </row>
    <row r="603" spans="9:10">
      <c r="I603" s="253"/>
      <c r="J603" s="253"/>
    </row>
    <row r="604" spans="9:10">
      <c r="I604" s="253"/>
      <c r="J604" s="253"/>
    </row>
    <row r="605" spans="9:10">
      <c r="I605" s="253"/>
      <c r="J605" s="253"/>
    </row>
    <row r="606" spans="9:10">
      <c r="I606" s="253"/>
      <c r="J606" s="253"/>
    </row>
    <row r="607" spans="9:10">
      <c r="I607" s="253"/>
      <c r="J607" s="253"/>
    </row>
    <row r="608" spans="9:10">
      <c r="I608" s="253"/>
      <c r="J608" s="253"/>
    </row>
    <row r="609" spans="9:10">
      <c r="I609" s="253"/>
      <c r="J609" s="253"/>
    </row>
    <row r="610" spans="9:10">
      <c r="I610" s="253"/>
      <c r="J610" s="253"/>
    </row>
    <row r="611" spans="9:10">
      <c r="I611" s="253"/>
      <c r="J611" s="253"/>
    </row>
    <row r="612" spans="9:10">
      <c r="I612" s="253"/>
      <c r="J612" s="253"/>
    </row>
    <row r="613" spans="9:10">
      <c r="I613" s="253"/>
      <c r="J613" s="253"/>
    </row>
    <row r="614" spans="9:10">
      <c r="I614" s="253"/>
      <c r="J614" s="253"/>
    </row>
    <row r="615" spans="9:10">
      <c r="I615" s="253"/>
      <c r="J615" s="253"/>
    </row>
    <row r="616" spans="9:10">
      <c r="I616" s="253"/>
      <c r="J616" s="253"/>
    </row>
    <row r="617" spans="9:10">
      <c r="I617" s="253"/>
      <c r="J617" s="253"/>
    </row>
    <row r="618" spans="9:10">
      <c r="I618" s="253"/>
      <c r="J618" s="253"/>
    </row>
    <row r="619" spans="9:10">
      <c r="I619" s="253"/>
      <c r="J619" s="253"/>
    </row>
    <row r="620" spans="9:10">
      <c r="I620" s="253"/>
      <c r="J620" s="253"/>
    </row>
    <row r="621" spans="9:10">
      <c r="I621" s="253"/>
      <c r="J621" s="253"/>
    </row>
    <row r="622" spans="9:10">
      <c r="I622" s="253"/>
      <c r="J622" s="253"/>
    </row>
    <row r="623" spans="9:10">
      <c r="I623" s="253"/>
      <c r="J623" s="253"/>
    </row>
    <row r="624" spans="9:10">
      <c r="I624" s="253"/>
      <c r="J624" s="253"/>
    </row>
    <row r="625" spans="9:10">
      <c r="I625" s="253"/>
      <c r="J625" s="253"/>
    </row>
    <row r="626" spans="9:10">
      <c r="I626" s="253"/>
      <c r="J626" s="253"/>
    </row>
    <row r="627" spans="9:10">
      <c r="I627" s="253"/>
      <c r="J627" s="253"/>
    </row>
    <row r="628" spans="9:10">
      <c r="I628" s="253"/>
      <c r="J628" s="253"/>
    </row>
    <row r="629" spans="9:10">
      <c r="I629" s="253"/>
      <c r="J629" s="253"/>
    </row>
    <row r="630" spans="9:10">
      <c r="I630" s="253"/>
      <c r="J630" s="253"/>
    </row>
    <row r="631" spans="9:10">
      <c r="I631" s="253"/>
      <c r="J631" s="253"/>
    </row>
    <row r="632" spans="9:10">
      <c r="I632" s="253"/>
      <c r="J632" s="253"/>
    </row>
    <row r="633" spans="9:10">
      <c r="I633" s="253"/>
      <c r="J633" s="253"/>
    </row>
    <row r="634" spans="9:10">
      <c r="I634" s="253"/>
      <c r="J634" s="253"/>
    </row>
    <row r="635" spans="9:10">
      <c r="I635" s="253"/>
      <c r="J635" s="253"/>
    </row>
    <row r="636" spans="9:10">
      <c r="I636" s="253"/>
      <c r="J636" s="253"/>
    </row>
    <row r="637" spans="9:10">
      <c r="I637" s="253"/>
      <c r="J637" s="253"/>
    </row>
    <row r="638" spans="9:10">
      <c r="I638" s="253"/>
      <c r="J638" s="253"/>
    </row>
    <row r="639" spans="9:10">
      <c r="I639" s="253"/>
      <c r="J639" s="253"/>
    </row>
    <row r="640" spans="9:10">
      <c r="I640" s="253"/>
      <c r="J640" s="253"/>
    </row>
    <row r="641" spans="9:10">
      <c r="I641" s="253"/>
      <c r="J641" s="253"/>
    </row>
    <row r="642" spans="9:10">
      <c r="I642" s="253"/>
      <c r="J642" s="253"/>
    </row>
    <row r="643" spans="9:10">
      <c r="I643" s="253"/>
      <c r="J643" s="253"/>
    </row>
    <row r="644" spans="9:10">
      <c r="I644" s="253"/>
      <c r="J644" s="253"/>
    </row>
    <row r="645" spans="9:10">
      <c r="I645" s="253"/>
      <c r="J645" s="253"/>
    </row>
    <row r="646" spans="9:10">
      <c r="I646" s="253"/>
      <c r="J646" s="253"/>
    </row>
    <row r="647" spans="9:10">
      <c r="I647" s="253"/>
      <c r="J647" s="253"/>
    </row>
    <row r="648" spans="9:10">
      <c r="I648" s="253"/>
      <c r="J648" s="253"/>
    </row>
    <row r="649" spans="9:10">
      <c r="I649" s="253"/>
      <c r="J649" s="253"/>
    </row>
    <row r="650" spans="9:10">
      <c r="I650" s="253"/>
      <c r="J650" s="253"/>
    </row>
    <row r="651" spans="9:10">
      <c r="I651" s="253"/>
      <c r="J651" s="253"/>
    </row>
    <row r="652" spans="9:10">
      <c r="I652" s="253"/>
      <c r="J652" s="253"/>
    </row>
    <row r="653" spans="9:10">
      <c r="I653" s="253"/>
      <c r="J653" s="253"/>
    </row>
    <row r="654" spans="9:10">
      <c r="I654" s="253"/>
      <c r="J654" s="253"/>
    </row>
    <row r="655" spans="9:10">
      <c r="I655" s="253"/>
      <c r="J655" s="253"/>
    </row>
    <row r="656" spans="9:10">
      <c r="I656" s="253"/>
      <c r="J656" s="253"/>
    </row>
    <row r="657" spans="9:10">
      <c r="I657" s="253"/>
      <c r="J657" s="253"/>
    </row>
    <row r="658" spans="9:10">
      <c r="I658" s="253"/>
      <c r="J658" s="253"/>
    </row>
    <row r="659" spans="9:10">
      <c r="I659" s="253"/>
      <c r="J659" s="253"/>
    </row>
    <row r="660" spans="9:10">
      <c r="I660" s="253"/>
      <c r="J660" s="253"/>
    </row>
    <row r="661" spans="9:10">
      <c r="I661" s="253"/>
      <c r="J661" s="253"/>
    </row>
    <row r="662" spans="9:10">
      <c r="I662" s="253"/>
      <c r="J662" s="253"/>
    </row>
    <row r="663" spans="9:10">
      <c r="I663" s="253"/>
      <c r="J663" s="253"/>
    </row>
    <row r="664" spans="9:10">
      <c r="I664" s="253"/>
      <c r="J664" s="253"/>
    </row>
    <row r="665" spans="9:10">
      <c r="I665" s="253"/>
      <c r="J665" s="253"/>
    </row>
    <row r="666" spans="9:10">
      <c r="I666" s="253"/>
      <c r="J666" s="253"/>
    </row>
    <row r="667" spans="9:10">
      <c r="I667" s="253"/>
      <c r="J667" s="253"/>
    </row>
    <row r="668" spans="9:10">
      <c r="I668" s="253"/>
      <c r="J668" s="253"/>
    </row>
    <row r="669" spans="9:10">
      <c r="I669" s="253"/>
      <c r="J669" s="253"/>
    </row>
    <row r="670" spans="9:10">
      <c r="I670" s="253"/>
      <c r="J670" s="253"/>
    </row>
    <row r="671" spans="9:10">
      <c r="I671" s="253"/>
      <c r="J671" s="253"/>
    </row>
    <row r="672" spans="9:10">
      <c r="I672" s="253"/>
      <c r="J672" s="253"/>
    </row>
    <row r="673" spans="9:10">
      <c r="I673" s="253"/>
      <c r="J673" s="253"/>
    </row>
    <row r="674" spans="9:10">
      <c r="I674" s="253"/>
      <c r="J674" s="253"/>
    </row>
    <row r="675" spans="9:10">
      <c r="I675" s="253"/>
      <c r="J675" s="253"/>
    </row>
    <row r="676" spans="9:10">
      <c r="I676" s="253"/>
      <c r="J676" s="253"/>
    </row>
    <row r="677" spans="9:10">
      <c r="I677" s="253"/>
      <c r="J677" s="253"/>
    </row>
    <row r="678" spans="9:10">
      <c r="I678" s="253"/>
      <c r="J678" s="253"/>
    </row>
    <row r="679" spans="9:10">
      <c r="I679" s="253"/>
      <c r="J679" s="253"/>
    </row>
    <row r="680" spans="9:10">
      <c r="I680" s="253"/>
      <c r="J680" s="253"/>
    </row>
    <row r="681" spans="9:10">
      <c r="I681" s="253"/>
      <c r="J681" s="253"/>
    </row>
    <row r="682" spans="9:10">
      <c r="I682" s="253"/>
      <c r="J682" s="253"/>
    </row>
    <row r="683" spans="9:10">
      <c r="I683" s="253"/>
      <c r="J683" s="253"/>
    </row>
    <row r="684" spans="9:10">
      <c r="I684" s="253"/>
      <c r="J684" s="253"/>
    </row>
    <row r="685" spans="9:10">
      <c r="I685" s="253"/>
      <c r="J685" s="253"/>
    </row>
    <row r="686" spans="9:10">
      <c r="I686" s="253"/>
      <c r="J686" s="253"/>
    </row>
    <row r="687" spans="9:10">
      <c r="I687" s="253"/>
      <c r="J687" s="253"/>
    </row>
    <row r="688" spans="9:10">
      <c r="I688" s="253"/>
      <c r="J688" s="253"/>
    </row>
    <row r="689" spans="9:10">
      <c r="I689" s="253"/>
      <c r="J689" s="253"/>
    </row>
    <row r="690" spans="9:10">
      <c r="I690" s="253"/>
      <c r="J690" s="253"/>
    </row>
    <row r="691" spans="9:10">
      <c r="I691" s="253"/>
      <c r="J691" s="253"/>
    </row>
    <row r="692" spans="9:10">
      <c r="I692" s="253"/>
      <c r="J692" s="253"/>
    </row>
    <row r="693" spans="9:10">
      <c r="I693" s="253"/>
      <c r="J693" s="253"/>
    </row>
    <row r="694" spans="9:10">
      <c r="I694" s="253"/>
      <c r="J694" s="253"/>
    </row>
    <row r="695" spans="9:10">
      <c r="I695" s="253"/>
      <c r="J695" s="253"/>
    </row>
    <row r="696" spans="9:10">
      <c r="I696" s="253"/>
      <c r="J696" s="253"/>
    </row>
    <row r="697" spans="9:10">
      <c r="I697" s="253"/>
      <c r="J697" s="253"/>
    </row>
    <row r="698" spans="9:10">
      <c r="I698" s="253"/>
      <c r="J698" s="253"/>
    </row>
    <row r="699" spans="9:10">
      <c r="I699" s="253"/>
      <c r="J699" s="253"/>
    </row>
    <row r="700" spans="9:10">
      <c r="I700" s="253"/>
      <c r="J700" s="253"/>
    </row>
    <row r="701" spans="9:10">
      <c r="I701" s="253"/>
      <c r="J701" s="253"/>
    </row>
    <row r="702" spans="9:10">
      <c r="I702" s="253"/>
      <c r="J702" s="253"/>
    </row>
    <row r="703" spans="9:10">
      <c r="I703" s="253"/>
      <c r="J703" s="253"/>
    </row>
    <row r="704" spans="9:10">
      <c r="I704" s="253"/>
      <c r="J704" s="253"/>
    </row>
    <row r="705" spans="9:10">
      <c r="I705" s="253"/>
      <c r="J705" s="253"/>
    </row>
    <row r="706" spans="9:10">
      <c r="I706" s="253"/>
      <c r="J706" s="253"/>
    </row>
    <row r="707" spans="9:10">
      <c r="I707" s="253"/>
      <c r="J707" s="253"/>
    </row>
    <row r="708" spans="9:10">
      <c r="I708" s="253"/>
      <c r="J708" s="253"/>
    </row>
    <row r="709" spans="9:10">
      <c r="I709" s="253"/>
      <c r="J709" s="253"/>
    </row>
    <row r="710" spans="9:10">
      <c r="I710" s="253"/>
      <c r="J710" s="253"/>
    </row>
    <row r="711" spans="9:10">
      <c r="I711" s="253"/>
      <c r="J711" s="253"/>
    </row>
    <row r="712" spans="9:10">
      <c r="I712" s="253"/>
      <c r="J712" s="253"/>
    </row>
    <row r="713" spans="9:10">
      <c r="I713" s="253"/>
      <c r="J713" s="253"/>
    </row>
    <row r="714" spans="9:10">
      <c r="I714" s="253"/>
      <c r="J714" s="253"/>
    </row>
    <row r="715" spans="9:10">
      <c r="I715" s="253"/>
      <c r="J715" s="253"/>
    </row>
    <row r="716" spans="9:10">
      <c r="I716" s="253"/>
      <c r="J716" s="253"/>
    </row>
    <row r="717" spans="9:10">
      <c r="I717" s="253"/>
      <c r="J717" s="253"/>
    </row>
    <row r="718" spans="9:10">
      <c r="I718" s="253"/>
      <c r="J718" s="253"/>
    </row>
    <row r="719" spans="9:10">
      <c r="I719" s="253"/>
      <c r="J719" s="253"/>
    </row>
    <row r="720" spans="9:10">
      <c r="I720" s="253"/>
      <c r="J720" s="253"/>
    </row>
    <row r="721" spans="9:10">
      <c r="I721" s="253"/>
      <c r="J721" s="253"/>
    </row>
    <row r="722" spans="9:10">
      <c r="I722" s="253"/>
      <c r="J722" s="253"/>
    </row>
    <row r="723" spans="9:10">
      <c r="I723" s="253"/>
      <c r="J723" s="253"/>
    </row>
    <row r="724" spans="9:10">
      <c r="I724" s="253"/>
      <c r="J724" s="253"/>
    </row>
    <row r="725" spans="9:10">
      <c r="I725" s="253"/>
      <c r="J725" s="253"/>
    </row>
    <row r="726" spans="9:10">
      <c r="I726" s="253"/>
      <c r="J726" s="253"/>
    </row>
    <row r="727" spans="9:10">
      <c r="I727" s="253"/>
      <c r="J727" s="253"/>
    </row>
    <row r="728" spans="9:10">
      <c r="I728" s="253"/>
      <c r="J728" s="253"/>
    </row>
    <row r="729" spans="9:10">
      <c r="I729" s="253"/>
      <c r="J729" s="253"/>
    </row>
    <row r="730" spans="9:10">
      <c r="I730" s="253"/>
      <c r="J730" s="253"/>
    </row>
    <row r="731" spans="9:10">
      <c r="I731" s="253"/>
      <c r="J731" s="253"/>
    </row>
    <row r="732" spans="9:10">
      <c r="I732" s="253"/>
      <c r="J732" s="253"/>
    </row>
    <row r="733" spans="9:10">
      <c r="I733" s="253"/>
      <c r="J733" s="253"/>
    </row>
    <row r="734" spans="9:10">
      <c r="I734" s="253"/>
      <c r="J734" s="253"/>
    </row>
    <row r="735" spans="9:10">
      <c r="I735" s="253"/>
      <c r="J735" s="253"/>
    </row>
    <row r="736" spans="9:10">
      <c r="I736" s="253"/>
      <c r="J736" s="253"/>
    </row>
    <row r="737" spans="9:10">
      <c r="I737" s="253"/>
      <c r="J737" s="253"/>
    </row>
    <row r="738" spans="9:10">
      <c r="I738" s="253"/>
      <c r="J738" s="253"/>
    </row>
    <row r="739" spans="9:10">
      <c r="I739" s="253"/>
      <c r="J739" s="253"/>
    </row>
    <row r="740" spans="9:10">
      <c r="I740" s="253"/>
      <c r="J740" s="253"/>
    </row>
    <row r="741" spans="9:10">
      <c r="I741" s="253"/>
      <c r="J741" s="253"/>
    </row>
    <row r="742" spans="9:10">
      <c r="I742" s="253"/>
      <c r="J742" s="253"/>
    </row>
    <row r="743" spans="9:10">
      <c r="I743" s="253"/>
      <c r="J743" s="253"/>
    </row>
    <row r="744" spans="9:10">
      <c r="I744" s="253"/>
      <c r="J744" s="253"/>
    </row>
    <row r="745" spans="9:10">
      <c r="I745" s="253"/>
      <c r="J745" s="253"/>
    </row>
    <row r="746" spans="9:10">
      <c r="I746" s="253"/>
      <c r="J746" s="253"/>
    </row>
    <row r="747" spans="9:10">
      <c r="I747" s="253"/>
      <c r="J747" s="253"/>
    </row>
    <row r="748" spans="9:10">
      <c r="I748" s="253"/>
      <c r="J748" s="253"/>
    </row>
    <row r="749" spans="9:10">
      <c r="I749" s="253"/>
      <c r="J749" s="253"/>
    </row>
    <row r="750" spans="9:10">
      <c r="I750" s="253"/>
      <c r="J750" s="253"/>
    </row>
    <row r="751" spans="9:10">
      <c r="I751" s="253"/>
      <c r="J751" s="253"/>
    </row>
    <row r="752" spans="9:10">
      <c r="I752" s="253"/>
      <c r="J752" s="253"/>
    </row>
    <row r="753" spans="9:10">
      <c r="I753" s="253"/>
      <c r="J753" s="253"/>
    </row>
    <row r="754" spans="9:10">
      <c r="I754" s="253"/>
      <c r="J754" s="253"/>
    </row>
    <row r="755" spans="9:10">
      <c r="I755" s="253"/>
      <c r="J755" s="253"/>
    </row>
    <row r="756" spans="9:10">
      <c r="I756" s="253"/>
      <c r="J756" s="253"/>
    </row>
    <row r="757" spans="9:10">
      <c r="I757" s="253"/>
      <c r="J757" s="253"/>
    </row>
    <row r="758" spans="9:10">
      <c r="I758" s="253"/>
      <c r="J758" s="253"/>
    </row>
    <row r="759" spans="9:10">
      <c r="I759" s="253"/>
      <c r="J759" s="253"/>
    </row>
    <row r="760" spans="9:10">
      <c r="I760" s="253"/>
      <c r="J760" s="253"/>
    </row>
    <row r="761" spans="9:10">
      <c r="I761" s="253"/>
      <c r="J761" s="253"/>
    </row>
    <row r="762" spans="9:10">
      <c r="I762" s="253"/>
      <c r="J762" s="253"/>
    </row>
    <row r="763" spans="9:10">
      <c r="I763" s="253"/>
      <c r="J763" s="253"/>
    </row>
    <row r="764" spans="9:10">
      <c r="I764" s="253"/>
      <c r="J764" s="253"/>
    </row>
    <row r="765" spans="9:10">
      <c r="I765" s="253"/>
      <c r="J765" s="253"/>
    </row>
    <row r="766" spans="9:10">
      <c r="I766" s="253"/>
      <c r="J766" s="253"/>
    </row>
    <row r="767" spans="9:10">
      <c r="I767" s="253"/>
      <c r="J767" s="253"/>
    </row>
    <row r="768" spans="9:10">
      <c r="I768" s="253"/>
      <c r="J768" s="253"/>
    </row>
    <row r="769" spans="9:10">
      <c r="I769" s="253"/>
      <c r="J769" s="253"/>
    </row>
    <row r="770" spans="9:10">
      <c r="I770" s="253"/>
      <c r="J770" s="253"/>
    </row>
    <row r="771" spans="9:10">
      <c r="I771" s="253"/>
      <c r="J771" s="253"/>
    </row>
    <row r="772" spans="9:10">
      <c r="I772" s="253"/>
      <c r="J772" s="253"/>
    </row>
    <row r="773" spans="9:10">
      <c r="I773" s="253"/>
      <c r="J773" s="253"/>
    </row>
    <row r="774" spans="9:10">
      <c r="I774" s="253"/>
      <c r="J774" s="253"/>
    </row>
    <row r="775" spans="9:10">
      <c r="I775" s="253"/>
      <c r="J775" s="253"/>
    </row>
    <row r="776" spans="9:10">
      <c r="I776" s="253"/>
      <c r="J776" s="253"/>
    </row>
    <row r="777" spans="9:10">
      <c r="I777" s="253"/>
      <c r="J777" s="253"/>
    </row>
    <row r="778" spans="9:10">
      <c r="I778" s="253"/>
      <c r="J778" s="253"/>
    </row>
    <row r="779" spans="9:10">
      <c r="I779" s="253"/>
      <c r="J779" s="253"/>
    </row>
    <row r="780" spans="9:10">
      <c r="I780" s="253"/>
      <c r="J780" s="253"/>
    </row>
    <row r="781" spans="9:10">
      <c r="I781" s="253"/>
      <c r="J781" s="253"/>
    </row>
    <row r="782" spans="9:10">
      <c r="I782" s="253"/>
      <c r="J782" s="253"/>
    </row>
    <row r="783" spans="9:10">
      <c r="I783" s="253"/>
      <c r="J783" s="253"/>
    </row>
    <row r="784" spans="9:10">
      <c r="I784" s="253"/>
      <c r="J784" s="253"/>
    </row>
    <row r="785" spans="9:10">
      <c r="I785" s="253"/>
      <c r="J785" s="253"/>
    </row>
    <row r="786" spans="9:10">
      <c r="I786" s="253"/>
      <c r="J786" s="253"/>
    </row>
    <row r="787" spans="9:10">
      <c r="I787" s="253"/>
      <c r="J787" s="253"/>
    </row>
    <row r="788" spans="9:10">
      <c r="I788" s="253"/>
      <c r="J788" s="253"/>
    </row>
    <row r="789" spans="9:10">
      <c r="I789" s="253"/>
      <c r="J789" s="253"/>
    </row>
    <row r="790" spans="9:10">
      <c r="I790" s="253"/>
      <c r="J790" s="253"/>
    </row>
    <row r="791" spans="9:10">
      <c r="I791" s="253"/>
      <c r="J791" s="253"/>
    </row>
    <row r="792" spans="9:10">
      <c r="I792" s="253"/>
      <c r="J792" s="253"/>
    </row>
    <row r="793" spans="9:10">
      <c r="I793" s="253"/>
      <c r="J793" s="253"/>
    </row>
    <row r="794" spans="9:10">
      <c r="I794" s="253"/>
      <c r="J794" s="253"/>
    </row>
    <row r="795" spans="9:10">
      <c r="I795" s="253"/>
      <c r="J795" s="253"/>
    </row>
    <row r="796" spans="9:10">
      <c r="I796" s="253"/>
      <c r="J796" s="253"/>
    </row>
    <row r="797" spans="9:10">
      <c r="I797" s="253"/>
      <c r="J797" s="253"/>
    </row>
    <row r="798" spans="9:10">
      <c r="I798" s="253"/>
      <c r="J798" s="253"/>
    </row>
    <row r="799" spans="9:10">
      <c r="I799" s="253"/>
      <c r="J799" s="253"/>
    </row>
    <row r="800" spans="9:10">
      <c r="I800" s="253"/>
      <c r="J800" s="253"/>
    </row>
    <row r="801" spans="9:10">
      <c r="I801" s="253"/>
      <c r="J801" s="253"/>
    </row>
    <row r="802" spans="9:10">
      <c r="I802" s="253"/>
      <c r="J802" s="253"/>
    </row>
    <row r="803" spans="9:10">
      <c r="I803" s="253"/>
      <c r="J803" s="253"/>
    </row>
    <row r="804" spans="9:10">
      <c r="I804" s="253"/>
      <c r="J804" s="253"/>
    </row>
    <row r="805" spans="9:10">
      <c r="I805" s="253"/>
      <c r="J805" s="253"/>
    </row>
    <row r="806" spans="9:10">
      <c r="I806" s="253"/>
      <c r="J806" s="253"/>
    </row>
    <row r="807" spans="9:10">
      <c r="I807" s="253"/>
      <c r="J807" s="253"/>
    </row>
    <row r="808" spans="9:10">
      <c r="I808" s="253"/>
      <c r="J808" s="253"/>
    </row>
    <row r="809" spans="9:10">
      <c r="I809" s="253"/>
      <c r="J809" s="253"/>
    </row>
    <row r="810" spans="9:10">
      <c r="I810" s="253"/>
      <c r="J810" s="253"/>
    </row>
    <row r="811" spans="9:10">
      <c r="I811" s="253"/>
      <c r="J811" s="253"/>
    </row>
    <row r="812" spans="9:10">
      <c r="I812" s="253"/>
      <c r="J812" s="253"/>
    </row>
    <row r="813" spans="9:10">
      <c r="I813" s="253"/>
      <c r="J813" s="253"/>
    </row>
    <row r="814" spans="9:10">
      <c r="I814" s="253"/>
      <c r="J814" s="253"/>
    </row>
    <row r="815" spans="9:10">
      <c r="I815" s="253"/>
      <c r="J815" s="253"/>
    </row>
    <row r="816" spans="9:10">
      <c r="I816" s="253"/>
      <c r="J816" s="253"/>
    </row>
    <row r="817" spans="9:10">
      <c r="I817" s="253"/>
      <c r="J817" s="253"/>
    </row>
    <row r="818" spans="9:10">
      <c r="I818" s="253"/>
      <c r="J818" s="253"/>
    </row>
    <row r="819" spans="9:10">
      <c r="I819" s="253"/>
      <c r="J819" s="253"/>
    </row>
    <row r="820" spans="9:10">
      <c r="I820" s="253"/>
      <c r="J820" s="253"/>
    </row>
    <row r="821" spans="9:10">
      <c r="I821" s="253"/>
      <c r="J821" s="253"/>
    </row>
    <row r="822" spans="9:10">
      <c r="I822" s="253"/>
      <c r="J822" s="253"/>
    </row>
    <row r="823" spans="9:10">
      <c r="I823" s="253"/>
      <c r="J823" s="253"/>
    </row>
    <row r="824" spans="9:10">
      <c r="I824" s="253"/>
      <c r="J824" s="253"/>
    </row>
    <row r="825" spans="9:10">
      <c r="I825" s="253"/>
      <c r="J825" s="253"/>
    </row>
    <row r="826" spans="9:10">
      <c r="I826" s="253"/>
      <c r="J826" s="253"/>
    </row>
    <row r="827" spans="9:10">
      <c r="I827" s="253"/>
      <c r="J827" s="253"/>
    </row>
    <row r="828" spans="9:10">
      <c r="I828" s="253"/>
      <c r="J828" s="253"/>
    </row>
    <row r="829" spans="9:10">
      <c r="I829" s="253"/>
      <c r="J829" s="253"/>
    </row>
    <row r="830" spans="9:10">
      <c r="I830" s="253"/>
      <c r="J830" s="253"/>
    </row>
    <row r="831" spans="9:10">
      <c r="I831" s="253"/>
      <c r="J831" s="253"/>
    </row>
    <row r="832" spans="9:10">
      <c r="I832" s="253"/>
      <c r="J832" s="253"/>
    </row>
    <row r="833" spans="9:10">
      <c r="I833" s="253"/>
      <c r="J833" s="253"/>
    </row>
    <row r="834" spans="9:10">
      <c r="I834" s="253"/>
      <c r="J834" s="253"/>
    </row>
    <row r="835" spans="9:10">
      <c r="I835" s="253"/>
      <c r="J835" s="253"/>
    </row>
    <row r="836" spans="9:10">
      <c r="I836" s="253"/>
      <c r="J836" s="253"/>
    </row>
    <row r="837" spans="9:10">
      <c r="I837" s="253"/>
      <c r="J837" s="253"/>
    </row>
    <row r="838" spans="9:10">
      <c r="I838" s="253"/>
      <c r="J838" s="253"/>
    </row>
    <row r="839" spans="9:10">
      <c r="I839" s="253"/>
      <c r="J839" s="253"/>
    </row>
    <row r="840" spans="9:10">
      <c r="I840" s="253"/>
      <c r="J840" s="253"/>
    </row>
    <row r="841" spans="9:10">
      <c r="I841" s="253"/>
      <c r="J841" s="253"/>
    </row>
    <row r="842" spans="9:10">
      <c r="I842" s="253"/>
      <c r="J842" s="253"/>
    </row>
    <row r="843" spans="9:10">
      <c r="I843" s="253"/>
      <c r="J843" s="253"/>
    </row>
    <row r="844" spans="9:10">
      <c r="I844" s="253"/>
      <c r="J844" s="253"/>
    </row>
    <row r="845" spans="9:10">
      <c r="I845" s="253"/>
      <c r="J845" s="253"/>
    </row>
    <row r="846" spans="9:10">
      <c r="I846" s="253"/>
      <c r="J846" s="253"/>
    </row>
    <row r="847" spans="9:10">
      <c r="I847" s="253"/>
      <c r="J847" s="253"/>
    </row>
    <row r="848" spans="9:10">
      <c r="I848" s="253"/>
      <c r="J848" s="253"/>
    </row>
    <row r="849" spans="9:10">
      <c r="I849" s="253"/>
      <c r="J849" s="253"/>
    </row>
    <row r="850" spans="9:10">
      <c r="I850" s="253"/>
      <c r="J850" s="253"/>
    </row>
    <row r="851" spans="9:10">
      <c r="I851" s="253"/>
      <c r="J851" s="253"/>
    </row>
    <row r="852" spans="9:10">
      <c r="I852" s="253"/>
      <c r="J852" s="253"/>
    </row>
    <row r="853" spans="9:10">
      <c r="I853" s="253"/>
      <c r="J853" s="253"/>
    </row>
    <row r="854" spans="9:10">
      <c r="I854" s="253"/>
      <c r="J854" s="253"/>
    </row>
    <row r="855" spans="9:10">
      <c r="I855" s="253"/>
      <c r="J855" s="253"/>
    </row>
    <row r="856" spans="9:10">
      <c r="I856" s="253"/>
      <c r="J856" s="253"/>
    </row>
    <row r="857" spans="9:10">
      <c r="I857" s="253"/>
      <c r="J857" s="253"/>
    </row>
    <row r="858" spans="9:10">
      <c r="I858" s="253"/>
      <c r="J858" s="253"/>
    </row>
    <row r="859" spans="9:10">
      <c r="I859" s="253"/>
      <c r="J859" s="253"/>
    </row>
    <row r="860" spans="9:10">
      <c r="I860" s="253"/>
      <c r="J860" s="253"/>
    </row>
    <row r="861" spans="9:10">
      <c r="I861" s="253"/>
      <c r="J861" s="253"/>
    </row>
    <row r="862" spans="9:10">
      <c r="I862" s="253"/>
      <c r="J862" s="253"/>
    </row>
    <row r="863" spans="9:10">
      <c r="I863" s="253"/>
      <c r="J863" s="253"/>
    </row>
    <row r="864" spans="9:10">
      <c r="I864" s="253"/>
      <c r="J864" s="253"/>
    </row>
    <row r="865" spans="9:10">
      <c r="I865" s="253"/>
      <c r="J865" s="253"/>
    </row>
    <row r="866" spans="9:10">
      <c r="I866" s="253"/>
      <c r="J866" s="253"/>
    </row>
    <row r="867" spans="9:10">
      <c r="I867" s="253"/>
      <c r="J867" s="253"/>
    </row>
    <row r="868" spans="9:10">
      <c r="I868" s="253"/>
      <c r="J868" s="253"/>
    </row>
    <row r="869" spans="9:10">
      <c r="I869" s="253"/>
      <c r="J869" s="253"/>
    </row>
    <row r="870" spans="9:10">
      <c r="I870" s="253"/>
      <c r="J870" s="253"/>
    </row>
    <row r="871" spans="9:10">
      <c r="I871" s="253"/>
      <c r="J871" s="253"/>
    </row>
    <row r="872" spans="9:10">
      <c r="I872" s="253"/>
      <c r="J872" s="253"/>
    </row>
    <row r="873" spans="9:10">
      <c r="I873" s="253"/>
      <c r="J873" s="253"/>
    </row>
    <row r="874" spans="9:10">
      <c r="I874" s="253"/>
      <c r="J874" s="253"/>
    </row>
    <row r="875" spans="9:10">
      <c r="I875" s="253"/>
      <c r="J875" s="253"/>
    </row>
    <row r="876" spans="9:10">
      <c r="I876" s="253"/>
      <c r="J876" s="253"/>
    </row>
    <row r="877" spans="9:10">
      <c r="I877" s="253"/>
      <c r="J877" s="253"/>
    </row>
    <row r="878" spans="9:10">
      <c r="I878" s="253"/>
      <c r="J878" s="253"/>
    </row>
    <row r="879" spans="9:10">
      <c r="I879" s="253"/>
      <c r="J879" s="253"/>
    </row>
    <row r="880" spans="9:10">
      <c r="I880" s="253"/>
      <c r="J880" s="253"/>
    </row>
    <row r="881" spans="9:10">
      <c r="I881" s="253"/>
      <c r="J881" s="253"/>
    </row>
    <row r="882" spans="9:10">
      <c r="I882" s="253"/>
      <c r="J882" s="253"/>
    </row>
    <row r="883" spans="9:10">
      <c r="I883" s="253"/>
      <c r="J883" s="253"/>
    </row>
    <row r="884" spans="9:10">
      <c r="I884" s="253"/>
      <c r="J884" s="253"/>
    </row>
    <row r="885" spans="9:10">
      <c r="I885" s="253"/>
      <c r="J885" s="253"/>
    </row>
    <row r="886" spans="9:10">
      <c r="I886" s="253"/>
      <c r="J886" s="253"/>
    </row>
    <row r="887" spans="9:10">
      <c r="I887" s="253"/>
      <c r="J887" s="253"/>
    </row>
    <row r="888" spans="9:10">
      <c r="I888" s="253"/>
      <c r="J888" s="253"/>
    </row>
    <row r="889" spans="9:10">
      <c r="I889" s="253"/>
      <c r="J889" s="253"/>
    </row>
    <row r="890" spans="9:10">
      <c r="I890" s="253"/>
      <c r="J890" s="253"/>
    </row>
    <row r="891" spans="9:10">
      <c r="I891" s="253"/>
      <c r="J891" s="253"/>
    </row>
    <row r="892" spans="9:10">
      <c r="I892" s="253"/>
      <c r="J892" s="253"/>
    </row>
    <row r="893" spans="9:10">
      <c r="I893" s="253"/>
      <c r="J893" s="253"/>
    </row>
    <row r="894" spans="9:10">
      <c r="I894" s="253"/>
      <c r="J894" s="253"/>
    </row>
    <row r="895" spans="9:10">
      <c r="I895" s="253"/>
      <c r="J895" s="253"/>
    </row>
    <row r="896" spans="9:10">
      <c r="I896" s="253"/>
      <c r="J896" s="253"/>
    </row>
    <row r="897" spans="9:10">
      <c r="I897" s="253"/>
      <c r="J897" s="253"/>
    </row>
    <row r="898" spans="9:10">
      <c r="I898" s="253"/>
      <c r="J898" s="253"/>
    </row>
  </sheetData>
  <conditionalFormatting sqref="V2:XFD14 A1:XFD1 A2:T14 A15:XFD1048576">
    <cfRule type="cellIs" dxfId="22" priority="1" operator="equal">
      <formula>0</formula>
    </cfRule>
  </conditionalFormatting>
  <pageMargins left="0.7" right="0.7" top="0.75" bottom="0.75" header="0.3" footer="0.3"/>
  <pageSetup orientation="portrait" horizontalDpi="90" verticalDpi="90" r:id="rId1"/>
  <customProperties>
    <customPr name="EpmWorksheetKeyString_GUID" r:id="rId2"/>
  </customProperties>
  <drawing r:id="rId3"/>
  <tableParts count="1">
    <tablePart r:id="rId4"/>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W897"/>
  <sheetViews>
    <sheetView zoomScale="75" zoomScaleNormal="75" workbookViewId="0">
      <pane xSplit="1" ySplit="1" topLeftCell="G2" activePane="bottomRight" state="frozen"/>
      <selection pane="topRight" activeCell="D35" sqref="D35"/>
      <selection pane="bottomLeft" activeCell="D35" sqref="D35"/>
      <selection pane="bottomRight" activeCell="K1" sqref="K1:K1048576"/>
    </sheetView>
  </sheetViews>
  <sheetFormatPr defaultColWidth="8.85546875" defaultRowHeight="15" customHeight="1"/>
  <cols>
    <col min="1" max="1" width="60" style="230" customWidth="1"/>
    <col min="2" max="2" width="27.140625" style="224" customWidth="1"/>
    <col min="3" max="3" width="48.140625" style="90" customWidth="1"/>
    <col min="4" max="4" width="20.85546875" style="224" customWidth="1"/>
    <col min="5" max="5" width="21.28515625" style="223" customWidth="1"/>
    <col min="6" max="6" width="19" style="155" customWidth="1"/>
    <col min="7" max="7" width="47" style="223" customWidth="1"/>
    <col min="8" max="8" width="46.5703125" style="146" customWidth="1"/>
    <col min="9" max="9" width="12.85546875" style="233" customWidth="1"/>
    <col min="10" max="10" width="12.7109375" style="233" customWidth="1"/>
    <col min="11" max="11" width="18" style="224" customWidth="1"/>
    <col min="12" max="12" width="16.28515625" style="236" customWidth="1"/>
    <col min="13" max="13" width="11" style="224" customWidth="1"/>
    <col min="14" max="17" width="13.85546875" style="227" customWidth="1"/>
    <col min="18" max="18" width="11.7109375" style="224" customWidth="1"/>
    <col min="19" max="19" width="20.5703125" style="223" customWidth="1"/>
    <col min="20" max="20" width="69.28515625" style="90" customWidth="1"/>
    <col min="21" max="21" width="20.7109375" style="224" bestFit="1" customWidth="1"/>
    <col min="22" max="16384" width="8.85546875" style="223"/>
  </cols>
  <sheetData>
    <row r="1" spans="1:23" s="216" customFormat="1" ht="62.25" customHeight="1">
      <c r="A1" s="213"/>
      <c r="B1" s="215"/>
      <c r="C1" s="214"/>
      <c r="D1" s="215"/>
      <c r="F1" s="213"/>
      <c r="G1" s="217"/>
      <c r="H1" s="218"/>
      <c r="I1" s="219"/>
      <c r="J1" s="219"/>
      <c r="K1" s="215"/>
      <c r="L1" s="220"/>
      <c r="M1" s="215"/>
      <c r="N1" s="221"/>
      <c r="O1" s="221"/>
      <c r="P1" s="221"/>
      <c r="Q1" s="221"/>
      <c r="R1" s="215"/>
      <c r="T1" s="214"/>
      <c r="U1" s="215"/>
    </row>
    <row r="2" spans="1:23" ht="35.25" customHeight="1">
      <c r="A2" s="100" t="s">
        <v>138</v>
      </c>
      <c r="B2" s="75" t="s">
        <v>139</v>
      </c>
      <c r="C2" s="75" t="s">
        <v>140</v>
      </c>
      <c r="D2" s="75" t="s">
        <v>141</v>
      </c>
      <c r="E2" s="75" t="s">
        <v>142</v>
      </c>
      <c r="F2" s="75" t="s">
        <v>143</v>
      </c>
      <c r="G2" s="75" t="s">
        <v>144</v>
      </c>
      <c r="H2" s="75" t="s">
        <v>145</v>
      </c>
      <c r="I2" s="87" t="s">
        <v>146</v>
      </c>
      <c r="J2" s="87" t="s">
        <v>147</v>
      </c>
      <c r="K2" s="75" t="s">
        <v>149</v>
      </c>
      <c r="L2" s="88" t="s">
        <v>150</v>
      </c>
      <c r="M2" s="75" t="s">
        <v>151</v>
      </c>
      <c r="N2" s="145" t="s">
        <v>152</v>
      </c>
      <c r="O2" s="145" t="s">
        <v>153</v>
      </c>
      <c r="P2" s="145" t="s">
        <v>154</v>
      </c>
      <c r="Q2" s="145" t="s">
        <v>155</v>
      </c>
      <c r="R2" s="75" t="s">
        <v>156</v>
      </c>
      <c r="S2" s="75" t="s">
        <v>157</v>
      </c>
      <c r="T2" s="75" t="s">
        <v>158</v>
      </c>
      <c r="U2" s="148" t="s">
        <v>159</v>
      </c>
      <c r="V2" s="75" t="s">
        <v>8355</v>
      </c>
      <c r="W2" s="222"/>
    </row>
    <row r="3" spans="1:23" hidden="1">
      <c r="A3" s="115" t="s">
        <v>1949</v>
      </c>
      <c r="B3" s="224" t="str">
        <f>(IF((VLOOKUP(Table10[[#This Row],[SKU]],'All Skus'!$A:$AC,2,FALSE))="Martin",(VLOOKUP(Table10[[#This Row],[SKU]],'All Skus'!$A:$AC,3,FALSE)),""))</f>
        <v/>
      </c>
      <c r="C3" s="223" t="str">
        <f>(IF((VLOOKUP(Table10[[#This Row],[SKU]],'All Skus'!$A:$AC,2,FALSE))="Martin",(VLOOKUP(Table10[[#This Row],[SKU]],'All Skus'!$A:$AC,4,FALSE)),""))</f>
        <v/>
      </c>
      <c r="D3" s="224" t="str">
        <f>(IF((VLOOKUP(Table10[[#This Row],[SKU]],'All Skus'!$A:$AC,2,FALSE))="Martin",(VLOOKUP(Table10[[#This Row],[SKU]],'All Skus'!$A:$AC,5,FALSE)),""))</f>
        <v/>
      </c>
      <c r="E3" s="223" t="str">
        <f>(IF((VLOOKUP(Table10[[#This Row],[SKU]],'All Skus'!$A:$AC,2,FALSE))="Martin",(VLOOKUP(Table10[[#This Row],[SKU]],'All Skus'!$A:$AC,6,FALSE)),""))</f>
        <v/>
      </c>
      <c r="F3" s="155" t="str">
        <f>(IF((VLOOKUP(Table10[[#This Row],[SKU]],'All Skus'!$A:$AC,2,FALSE))="Martin",(VLOOKUP(Table10[[#This Row],[SKU]],'All Skus'!$A:$AC,7,FALSE)),""))</f>
        <v/>
      </c>
      <c r="G3" s="223" t="str">
        <f>(IF((VLOOKUP(Table10[[#This Row],[SKU]],'All Skus'!$A:$AC,2,FALSE))="Martin",(VLOOKUP(Table10[[#This Row],[SKU]],'All Skus'!$A:$AC,8,FALSE)),""))</f>
        <v/>
      </c>
      <c r="H3" s="223" t="str">
        <f>(IF((VLOOKUP(Table10[[#This Row],[SKU]],'All Skus'!$A:$AC,2,FALSE))="Martin",(VLOOKUP(Table10[[#This Row],[SKU]],'All Skus'!$A:$AC,9,FALSE)),""))</f>
        <v/>
      </c>
      <c r="I3" s="225" t="str">
        <f>(IF((VLOOKUP(Table10[[#This Row],[SKU]],'All Skus'!$A:$AC,2,FALSE))="Martin",(VLOOKUP(Table10[[#This Row],[SKU]],'All Skus'!$A:$AC,10,FALSE)),""))</f>
        <v/>
      </c>
      <c r="J3" s="226" t="str">
        <f>(IF((VLOOKUP(Table10[[#This Row],[SKU]],'All Skus'!$A:$AC,2,FALSE))="Martin",(VLOOKUP(Table10[[#This Row],[SKU]],'All Skus'!$A:$AC,11,FALSE)),""))</f>
        <v/>
      </c>
      <c r="K3" s="224" t="str">
        <f>(IF((VLOOKUP(Table10[[#This Row],[SKU]],'All Skus'!$A:$AC,2,FALSE))="Martin",(VLOOKUP(Table10[[#This Row],[SKU]],'All Skus'!$A:$AC,15,FALSE)),""))</f>
        <v/>
      </c>
      <c r="L3" s="224" t="str">
        <f>(IF((VLOOKUP(Table10[[#This Row],[SKU]],'All Skus'!$A:$AC,2,FALSE))="Martin",(VLOOKUP(Table10[[#This Row],[SKU]],'All Skus'!$A:$AC,16,FALSE)),""))</f>
        <v/>
      </c>
      <c r="M3" s="224" t="str">
        <f>(IF((VLOOKUP(Table10[[#This Row],[SKU]],'All Skus'!$A:$AC,2,FALSE))="Martin",(VLOOKUP(Table10[[#This Row],[SKU]],'All Skus'!$A:$AC,17,FALSE)),""))</f>
        <v/>
      </c>
      <c r="N3" s="227" t="str">
        <f>(IF((VLOOKUP(Table10[[#This Row],[SKU]],'All Skus'!$A:$AC,2,FALSE))="Martin",(VLOOKUP(Table10[[#This Row],[SKU]],'All Skus'!$A:$AC,18,FALSE)),""))</f>
        <v/>
      </c>
      <c r="O3" s="227" t="str">
        <f>(IF((VLOOKUP(Table10[[#This Row],[SKU]],'All Skus'!$A:$AC,2,FALSE))="Martin",(VLOOKUP(Table10[[#This Row],[SKU]],'All Skus'!$A:$AC,19,FALSE)),""))</f>
        <v/>
      </c>
      <c r="P3" s="227" t="str">
        <f>(IF((VLOOKUP(Table10[[#This Row],[SKU]],'All Skus'!$A:$AC,2,FALSE))="Martin",(VLOOKUP(Table10[[#This Row],[SKU]],'All Skus'!$A:$AC,20,FALSE)),""))</f>
        <v/>
      </c>
      <c r="Q3" s="227" t="str">
        <f>(IF((VLOOKUP(Table10[[#This Row],[SKU]],'All Skus'!$A:$AC,2,FALSE))="Martin",(VLOOKUP(Table10[[#This Row],[SKU]],'All Skus'!$A:$AC,21,FALSE)),""))</f>
        <v/>
      </c>
      <c r="R3" s="224" t="str">
        <f>(IF((VLOOKUP(Table10[[#This Row],[SKU]],'All Skus'!$A:$AC,2,FALSE))="Martin",(VLOOKUP(Table10[[#This Row],[SKU]],'All Skus'!$A:$AC,22,FALSE)),""))</f>
        <v/>
      </c>
      <c r="S3" s="223" t="str">
        <f>(IF((VLOOKUP(Table10[[#This Row],[SKU]],'All Skus'!$A:$AC,2,FALSE))="Martin",(VLOOKUP(Table10[[#This Row],[SKU]],'All Skus'!$A:$AC,23,FALSE)),""))</f>
        <v/>
      </c>
      <c r="T3" s="212" t="str">
        <f>HYPERLINK((IF((VLOOKUP(Table10[[#This Row],[SKU]],'All Skus'!$A:$AC,2,FALSE))="Martin",(VLOOKUP(Table10[[#This Row],[SKU]],'All Skus'!$A:$AC,24,FALSE)),"")))</f>
        <v/>
      </c>
      <c r="U3" s="228">
        <v>1</v>
      </c>
    </row>
    <row r="4" spans="1:23" hidden="1">
      <c r="A4" s="111" t="s">
        <v>1950</v>
      </c>
      <c r="B4" s="224">
        <f>(IF((VLOOKUP(Table10[[#This Row],[SKU]],'All Skus'!$A:$AC,2,FALSE))="Martin",(VLOOKUP(Table10[[#This Row],[SKU]],'All Skus'!$A:$AC,3,FALSE)),""))</f>
        <v>0</v>
      </c>
      <c r="C4" s="223">
        <f>(IF((VLOOKUP(Table10[[#This Row],[SKU]],'All Skus'!$A:$AC,2,FALSE))="Martin",(VLOOKUP(Table10[[#This Row],[SKU]],'All Skus'!$A:$AC,4,FALSE)),""))</f>
        <v>0</v>
      </c>
      <c r="D4" s="224">
        <f>(IF((VLOOKUP(Table10[[#This Row],[SKU]],'All Skus'!$A:$AC,2,FALSE))="Martin",(VLOOKUP(Table10[[#This Row],[SKU]],'All Skus'!$A:$AC,5,FALSE)),""))</f>
        <v>0</v>
      </c>
      <c r="E4" s="223">
        <f>(IF((VLOOKUP(Table10[[#This Row],[SKU]],'All Skus'!$A:$AC,2,FALSE))="Martin",(VLOOKUP(Table10[[#This Row],[SKU]],'All Skus'!$A:$AC,6,FALSE)),""))</f>
        <v>0</v>
      </c>
      <c r="F4" s="155">
        <f>(IF((VLOOKUP(Table10[[#This Row],[SKU]],'All Skus'!$A:$AC,2,FALSE))="Martin",(VLOOKUP(Table10[[#This Row],[SKU]],'All Skus'!$A:$AC,7,FALSE)),""))</f>
        <v>0</v>
      </c>
      <c r="G4" s="223">
        <f>(IF((VLOOKUP(Table10[[#This Row],[SKU]],'All Skus'!$A:$AC,2,FALSE))="Martin",(VLOOKUP(Table10[[#This Row],[SKU]],'All Skus'!$A:$AC,8,FALSE)),""))</f>
        <v>0</v>
      </c>
      <c r="H4" s="223">
        <f>(IF((VLOOKUP(Table10[[#This Row],[SKU]],'All Skus'!$A:$AC,2,FALSE))="Martin",(VLOOKUP(Table10[[#This Row],[SKU]],'All Skus'!$A:$AC,9,FALSE)),""))</f>
        <v>0</v>
      </c>
      <c r="I4" s="225">
        <f>(IF((VLOOKUP(Table10[[#This Row],[SKU]],'All Skus'!$A:$AC,2,FALSE))="Martin",(VLOOKUP(Table10[[#This Row],[SKU]],'All Skus'!$A:$AC,10,FALSE)),""))</f>
        <v>0</v>
      </c>
      <c r="J4" s="226">
        <f>(IF((VLOOKUP(Table10[[#This Row],[SKU]],'All Skus'!$A:$AC,2,FALSE))="Martin",(VLOOKUP(Table10[[#This Row],[SKU]],'All Skus'!$A:$AC,11,FALSE)),""))</f>
        <v>0</v>
      </c>
      <c r="K4" s="224">
        <f>(IF((VLOOKUP(Table10[[#This Row],[SKU]],'All Skus'!$A:$AC,2,FALSE))="Martin",(VLOOKUP(Table10[[#This Row],[SKU]],'All Skus'!$A:$AC,15,FALSE)),""))</f>
        <v>0</v>
      </c>
      <c r="L4" s="224">
        <f>(IF((VLOOKUP(Table10[[#This Row],[SKU]],'All Skus'!$A:$AC,2,FALSE))="Martin",(VLOOKUP(Table10[[#This Row],[SKU]],'All Skus'!$A:$AC,16,FALSE)),""))</f>
        <v>0</v>
      </c>
      <c r="M4" s="224">
        <f>(IF((VLOOKUP(Table10[[#This Row],[SKU]],'All Skus'!$A:$AC,2,FALSE))="Martin",(VLOOKUP(Table10[[#This Row],[SKU]],'All Skus'!$A:$AC,17,FALSE)),""))</f>
        <v>0</v>
      </c>
      <c r="N4" s="227">
        <f>(IF((VLOOKUP(Table10[[#This Row],[SKU]],'All Skus'!$A:$AC,2,FALSE))="Martin",(VLOOKUP(Table10[[#This Row],[SKU]],'All Skus'!$A:$AC,18,FALSE)),""))</f>
        <v>0</v>
      </c>
      <c r="O4" s="227">
        <f>(IF((VLOOKUP(Table10[[#This Row],[SKU]],'All Skus'!$A:$AC,2,FALSE))="Martin",(VLOOKUP(Table10[[#This Row],[SKU]],'All Skus'!$A:$AC,19,FALSE)),""))</f>
        <v>0</v>
      </c>
      <c r="P4" s="227">
        <f>(IF((VLOOKUP(Table10[[#This Row],[SKU]],'All Skus'!$A:$AC,2,FALSE))="Martin",(VLOOKUP(Table10[[#This Row],[SKU]],'All Skus'!$A:$AC,20,FALSE)),""))</f>
        <v>0</v>
      </c>
      <c r="Q4" s="227">
        <f>(IF((VLOOKUP(Table10[[#This Row],[SKU]],'All Skus'!$A:$AC,2,FALSE))="Martin",(VLOOKUP(Table10[[#This Row],[SKU]],'All Skus'!$A:$AC,21,FALSE)),""))</f>
        <v>0</v>
      </c>
      <c r="R4" s="224">
        <f>(IF((VLOOKUP(Table10[[#This Row],[SKU]],'All Skus'!$A:$AC,2,FALSE))="Martin",(VLOOKUP(Table10[[#This Row],[SKU]],'All Skus'!$A:$AC,22,FALSE)),""))</f>
        <v>0</v>
      </c>
      <c r="S4" s="223">
        <f>(IF((VLOOKUP(Table10[[#This Row],[SKU]],'All Skus'!$A:$AC,2,FALSE))="Martin",(VLOOKUP(Table10[[#This Row],[SKU]],'All Skus'!$A:$AC,23,FALSE)),""))</f>
        <v>0</v>
      </c>
      <c r="T4" s="212" t="str">
        <f>HYPERLINK((IF((VLOOKUP(Table10[[#This Row],[SKU]],'All Skus'!$A:$AC,2,FALSE))="Martin",(VLOOKUP(Table10[[#This Row],[SKU]],'All Skus'!$A:$AC,24,FALSE)),"")))</f>
        <v/>
      </c>
      <c r="U4" s="228">
        <v>2</v>
      </c>
    </row>
    <row r="5" spans="1:23" hidden="1">
      <c r="A5" s="115" t="s">
        <v>1951</v>
      </c>
      <c r="B5" s="224">
        <f>(IF((VLOOKUP(Table10[[#This Row],[SKU]],'All Skus'!$A:$AC,2,FALSE))="Martin",(VLOOKUP(Table10[[#This Row],[SKU]],'All Skus'!$A:$AC,3,FALSE)),""))</f>
        <v>0</v>
      </c>
      <c r="C5" s="223">
        <f>(IF((VLOOKUP(Table10[[#This Row],[SKU]],'All Skus'!$A:$AC,2,FALSE))="Martin",(VLOOKUP(Table10[[#This Row],[SKU]],'All Skus'!$A:$AC,4,FALSE)),""))</f>
        <v>0</v>
      </c>
      <c r="D5" s="224">
        <f>(IF((VLOOKUP(Table10[[#This Row],[SKU]],'All Skus'!$A:$AC,2,FALSE))="Martin",(VLOOKUP(Table10[[#This Row],[SKU]],'All Skus'!$A:$AC,5,FALSE)),""))</f>
        <v>0</v>
      </c>
      <c r="E5" s="223">
        <f>(IF((VLOOKUP(Table10[[#This Row],[SKU]],'All Skus'!$A:$AC,2,FALSE))="Martin",(VLOOKUP(Table10[[#This Row],[SKU]],'All Skus'!$A:$AC,6,FALSE)),""))</f>
        <v>0</v>
      </c>
      <c r="F5" s="155">
        <f>(IF((VLOOKUP(Table10[[#This Row],[SKU]],'All Skus'!$A:$AC,2,FALSE))="Martin",(VLOOKUP(Table10[[#This Row],[SKU]],'All Skus'!$A:$AC,7,FALSE)),""))</f>
        <v>0</v>
      </c>
      <c r="G5" s="223">
        <f>(IF((VLOOKUP(Table10[[#This Row],[SKU]],'All Skus'!$A:$AC,2,FALSE))="Martin",(VLOOKUP(Table10[[#This Row],[SKU]],'All Skus'!$A:$AC,8,FALSE)),""))</f>
        <v>0</v>
      </c>
      <c r="H5" s="223">
        <f>(IF((VLOOKUP(Table10[[#This Row],[SKU]],'All Skus'!$A:$AC,2,FALSE))="Martin",(VLOOKUP(Table10[[#This Row],[SKU]],'All Skus'!$A:$AC,9,FALSE)),""))</f>
        <v>0</v>
      </c>
      <c r="I5" s="225">
        <f>(IF((VLOOKUP(Table10[[#This Row],[SKU]],'All Skus'!$A:$AC,2,FALSE))="Martin",(VLOOKUP(Table10[[#This Row],[SKU]],'All Skus'!$A:$AC,10,FALSE)),""))</f>
        <v>0</v>
      </c>
      <c r="J5" s="226">
        <f>(IF((VLOOKUP(Table10[[#This Row],[SKU]],'All Skus'!$A:$AC,2,FALSE))="Martin",(VLOOKUP(Table10[[#This Row],[SKU]],'All Skus'!$A:$AC,11,FALSE)),""))</f>
        <v>0</v>
      </c>
      <c r="K5" s="224">
        <f>(IF((VLOOKUP(Table10[[#This Row],[SKU]],'All Skus'!$A:$AC,2,FALSE))="Martin",(VLOOKUP(Table10[[#This Row],[SKU]],'All Skus'!$A:$AC,15,FALSE)),""))</f>
        <v>0</v>
      </c>
      <c r="L5" s="224">
        <f>(IF((VLOOKUP(Table10[[#This Row],[SKU]],'All Skus'!$A:$AC,2,FALSE))="Martin",(VLOOKUP(Table10[[#This Row],[SKU]],'All Skus'!$A:$AC,16,FALSE)),""))</f>
        <v>0</v>
      </c>
      <c r="M5" s="224">
        <f>(IF((VLOOKUP(Table10[[#This Row],[SKU]],'All Skus'!$A:$AC,2,FALSE))="Martin",(VLOOKUP(Table10[[#This Row],[SKU]],'All Skus'!$A:$AC,17,FALSE)),""))</f>
        <v>0</v>
      </c>
      <c r="N5" s="227">
        <f>(IF((VLOOKUP(Table10[[#This Row],[SKU]],'All Skus'!$A:$AC,2,FALSE))="Martin",(VLOOKUP(Table10[[#This Row],[SKU]],'All Skus'!$A:$AC,18,FALSE)),""))</f>
        <v>0</v>
      </c>
      <c r="O5" s="227">
        <f>(IF((VLOOKUP(Table10[[#This Row],[SKU]],'All Skus'!$A:$AC,2,FALSE))="Martin",(VLOOKUP(Table10[[#This Row],[SKU]],'All Skus'!$A:$AC,19,FALSE)),""))</f>
        <v>0</v>
      </c>
      <c r="P5" s="227">
        <f>(IF((VLOOKUP(Table10[[#This Row],[SKU]],'All Skus'!$A:$AC,2,FALSE))="Martin",(VLOOKUP(Table10[[#This Row],[SKU]],'All Skus'!$A:$AC,20,FALSE)),""))</f>
        <v>0</v>
      </c>
      <c r="Q5" s="227">
        <f>(IF((VLOOKUP(Table10[[#This Row],[SKU]],'All Skus'!$A:$AC,2,FALSE))="Martin",(VLOOKUP(Table10[[#This Row],[SKU]],'All Skus'!$A:$AC,21,FALSE)),""))</f>
        <v>0</v>
      </c>
      <c r="R5" s="224">
        <f>(IF((VLOOKUP(Table10[[#This Row],[SKU]],'All Skus'!$A:$AC,2,FALSE))="Martin",(VLOOKUP(Table10[[#This Row],[SKU]],'All Skus'!$A:$AC,22,FALSE)),""))</f>
        <v>0</v>
      </c>
      <c r="S5" s="223">
        <f>(IF((VLOOKUP(Table10[[#This Row],[SKU]],'All Skus'!$A:$AC,2,FALSE))="Martin",(VLOOKUP(Table10[[#This Row],[SKU]],'All Skus'!$A:$AC,23,FALSE)),""))</f>
        <v>0</v>
      </c>
      <c r="T5" s="212" t="str">
        <f>HYPERLINK((IF((VLOOKUP(Table10[[#This Row],[SKU]],'All Skus'!$A:$AC,2,FALSE))="Martin",(VLOOKUP(Table10[[#This Row],[SKU]],'All Skus'!$A:$AC,24,FALSE)),"")))</f>
        <v/>
      </c>
      <c r="U5" s="228">
        <v>3</v>
      </c>
    </row>
    <row r="6" spans="1:23" hidden="1">
      <c r="A6" s="90">
        <v>91616091</v>
      </c>
      <c r="B6" s="224" t="str">
        <f>(IF((VLOOKUP(Table10[[#This Row],[SKU]],'All Skus'!$A:$AC,2,FALSE))="Martin",(VLOOKUP(Table10[[#This Row],[SKU]],'All Skus'!$A:$AC,3,FALSE)),""))</f>
        <v>Accessories</v>
      </c>
      <c r="C6" s="223" t="str">
        <f>(IF((VLOOKUP(Table10[[#This Row],[SKU]],'All Skus'!$A:$AC,2,FALSE))="Martin",(VLOOKUP(Table10[[#This Row],[SKU]],'All Skus'!$A:$AC,4,FALSE)),""))</f>
        <v>Martin Companion Cable</v>
      </c>
      <c r="D6" s="224" t="str">
        <f>(IF((VLOOKUP(Table10[[#This Row],[SKU]],'All Skus'!$A:$AC,2,FALSE))="Martin",(VLOOKUP(Table10[[#This Row],[SKU]],'All Skus'!$A:$AC,5,FALSE)),""))</f>
        <v>MAR-ACC</v>
      </c>
      <c r="E6" s="223">
        <f>(IF((VLOOKUP(Table10[[#This Row],[SKU]],'All Skus'!$A:$AC,2,FALSE))="Martin",(VLOOKUP(Table10[[#This Row],[SKU]],'All Skus'!$A:$AC,6,FALSE)),""))</f>
        <v>0</v>
      </c>
      <c r="F6" s="155" t="str">
        <f>(IF((VLOOKUP(Table10[[#This Row],[SKU]],'All Skus'!$A:$AC,2,FALSE))="Martin",(VLOOKUP(Table10[[#This Row],[SKU]],'All Skus'!$A:$AC,7,FALSE)),""))</f>
        <v>Temporary price increase due to component shortage issues</v>
      </c>
      <c r="G6" s="223" t="str">
        <f>(IF((VLOOKUP(Table10[[#This Row],[SKU]],'All Skus'!$A:$AC,2,FALSE))="Martin",(VLOOKUP(Table10[[#This Row],[SKU]],'All Skus'!$A:$AC,8,FALSE)),""))</f>
        <v>Martin Companion Cable</v>
      </c>
      <c r="H6" s="223" t="str">
        <f>(IF((VLOOKUP(Table10[[#This Row],[SKU]],'All Skus'!$A:$AC,2,FALSE))="Martin",(VLOOKUP(Table10[[#This Row],[SKU]],'All Skus'!$A:$AC,9,FALSE)),""))</f>
        <v>Martin Companion Cable</v>
      </c>
      <c r="I6" s="225">
        <f>(IF((VLOOKUP(Table10[[#This Row],[SKU]],'All Skus'!$A:$AC,2,FALSE))="Martin",(VLOOKUP(Table10[[#This Row],[SKU]],'All Skus'!$A:$AC,10,FALSE)),""))</f>
        <v>462.47</v>
      </c>
      <c r="J6" s="226">
        <f>(IF((VLOOKUP(Table10[[#This Row],[SKU]],'All Skus'!$A:$AC,2,FALSE))="Martin",(VLOOKUP(Table10[[#This Row],[SKU]],'All Skus'!$A:$AC,11,FALSE)),""))</f>
        <v>462.47</v>
      </c>
      <c r="K6" s="224">
        <f>(IF((VLOOKUP(Table10[[#This Row],[SKU]],'All Skus'!$A:$AC,2,FALSE))="Martin",(VLOOKUP(Table10[[#This Row],[SKU]],'All Skus'!$A:$AC,15,FALSE)),""))</f>
        <v>0</v>
      </c>
      <c r="L6" s="224">
        <f>(IF((VLOOKUP(Table10[[#This Row],[SKU]],'All Skus'!$A:$AC,2,FALSE))="Martin",(VLOOKUP(Table10[[#This Row],[SKU]],'All Skus'!$A:$AC,16,FALSE)),""))</f>
        <v>688705005287</v>
      </c>
      <c r="M6" s="224">
        <f>(IF((VLOOKUP(Table10[[#This Row],[SKU]],'All Skus'!$A:$AC,2,FALSE))="Martin",(VLOOKUP(Table10[[#This Row],[SKU]],'All Skus'!$A:$AC,17,FALSE)),""))</f>
        <v>0</v>
      </c>
      <c r="N6" s="227">
        <f>(IF((VLOOKUP(Table10[[#This Row],[SKU]],'All Skus'!$A:$AC,2,FALSE))="Martin",(VLOOKUP(Table10[[#This Row],[SKU]],'All Skus'!$A:$AC,18,FALSE)),""))</f>
        <v>0</v>
      </c>
      <c r="O6" s="227">
        <f>(IF((VLOOKUP(Table10[[#This Row],[SKU]],'All Skus'!$A:$AC,2,FALSE))="Martin",(VLOOKUP(Table10[[#This Row],[SKU]],'All Skus'!$A:$AC,19,FALSE)),""))</f>
        <v>0</v>
      </c>
      <c r="P6" s="227">
        <f>(IF((VLOOKUP(Table10[[#This Row],[SKU]],'All Skus'!$A:$AC,2,FALSE))="Martin",(VLOOKUP(Table10[[#This Row],[SKU]],'All Skus'!$A:$AC,20,FALSE)),""))</f>
        <v>0</v>
      </c>
      <c r="Q6" s="227">
        <f>(IF((VLOOKUP(Table10[[#This Row],[SKU]],'All Skus'!$A:$AC,2,FALSE))="Martin",(VLOOKUP(Table10[[#This Row],[SKU]],'All Skus'!$A:$AC,21,FALSE)),""))</f>
        <v>0</v>
      </c>
      <c r="R6" s="224" t="str">
        <f>(IF((VLOOKUP(Table10[[#This Row],[SKU]],'All Skus'!$A:$AC,2,FALSE))="Martin",(VLOOKUP(Table10[[#This Row],[SKU]],'All Skus'!$A:$AC,22,FALSE)),""))</f>
        <v>CN</v>
      </c>
      <c r="S6" s="223">
        <f>(IF((VLOOKUP(Table10[[#This Row],[SKU]],'All Skus'!$A:$AC,2,FALSE))="Martin",(VLOOKUP(Table10[[#This Row],[SKU]],'All Skus'!$A:$AC,23,FALSE)),""))</f>
        <v>0</v>
      </c>
      <c r="T6" s="212" t="str">
        <f>HYPERLINK((IF((VLOOKUP(Table10[[#This Row],[SKU]],'All Skus'!$A:$AC,2,FALSE))="Martin",(VLOOKUP(Table10[[#This Row],[SKU]],'All Skus'!$A:$AC,24,FALSE)),"")))</f>
        <v/>
      </c>
      <c r="U6" s="228">
        <v>4</v>
      </c>
    </row>
    <row r="7" spans="1:23" hidden="1">
      <c r="A7" s="90">
        <v>50502004</v>
      </c>
      <c r="B7" s="224">
        <f>(IF((VLOOKUP(Table10[[#This Row],[SKU]],'All Skus'!$A:$AC,2,FALSE))="Martin",(VLOOKUP(Table10[[#This Row],[SKU]],'All Skus'!$A:$AC,3,FALSE)),""))</f>
        <v>0</v>
      </c>
      <c r="C7" s="223" t="str">
        <f>(IF((VLOOKUP(Table10[[#This Row],[SKU]],'All Skus'!$A:$AC,2,FALSE))="Martin",(VLOOKUP(Table10[[#This Row],[SKU]],'All Skus'!$A:$AC,4,FALSE)),""))</f>
        <v>Epsilon 5 AVR Programmer</v>
      </c>
      <c r="D7" s="224" t="str">
        <f>(IF((VLOOKUP(Table10[[#This Row],[SKU]],'All Skus'!$A:$AC,2,FALSE))="Martin",(VLOOKUP(Table10[[#This Row],[SKU]],'All Skus'!$A:$AC,5,FALSE)),""))</f>
        <v>MAR-ACC</v>
      </c>
      <c r="E7" s="223">
        <f>(IF((VLOOKUP(Table10[[#This Row],[SKU]],'All Skus'!$A:$AC,2,FALSE))="Martin",(VLOOKUP(Table10[[#This Row],[SKU]],'All Skus'!$A:$AC,6,FALSE)),""))</f>
        <v>0</v>
      </c>
      <c r="F7" s="155">
        <f>(IF((VLOOKUP(Table10[[#This Row],[SKU]],'All Skus'!$A:$AC,2,FALSE))="Martin",(VLOOKUP(Table10[[#This Row],[SKU]],'All Skus'!$A:$AC,7,FALSE)),""))</f>
        <v>0</v>
      </c>
      <c r="G7" s="223" t="str">
        <f>(IF((VLOOKUP(Table10[[#This Row],[SKU]],'All Skus'!$A:$AC,2,FALSE))="Martin",(VLOOKUP(Table10[[#This Row],[SKU]],'All Skus'!$A:$AC,8,FALSE)),""))</f>
        <v>Epsilon 5 AVR Programmer</v>
      </c>
      <c r="H7" s="223" t="str">
        <f>(IF((VLOOKUP(Table10[[#This Row],[SKU]],'All Skus'!$A:$AC,2,FALSE))="Martin",(VLOOKUP(Table10[[#This Row],[SKU]],'All Skus'!$A:$AC,9,FALSE)),""))</f>
        <v>Epsilon 5 AVR Programmer</v>
      </c>
      <c r="I7" s="225">
        <f>(IF((VLOOKUP(Table10[[#This Row],[SKU]],'All Skus'!$A:$AC,2,FALSE))="Martin",(VLOOKUP(Table10[[#This Row],[SKU]],'All Skus'!$A:$AC,10,FALSE)),""))</f>
        <v>1481.72</v>
      </c>
      <c r="J7" s="226">
        <f>(IF((VLOOKUP(Table10[[#This Row],[SKU]],'All Skus'!$A:$AC,2,FALSE))="Martin",(VLOOKUP(Table10[[#This Row],[SKU]],'All Skus'!$A:$AC,11,FALSE)),""))</f>
        <v>1481.72</v>
      </c>
      <c r="K7" s="224">
        <f>(IF((VLOOKUP(Table10[[#This Row],[SKU]],'All Skus'!$A:$AC,2,FALSE))="Martin",(VLOOKUP(Table10[[#This Row],[SKU]],'All Skus'!$A:$AC,15,FALSE)),""))</f>
        <v>0</v>
      </c>
      <c r="L7" s="224">
        <f>(IF((VLOOKUP(Table10[[#This Row],[SKU]],'All Skus'!$A:$AC,2,FALSE))="Martin",(VLOOKUP(Table10[[#This Row],[SKU]],'All Skus'!$A:$AC,16,FALSE)),""))</f>
        <v>0</v>
      </c>
      <c r="M7" s="224">
        <f>(IF((VLOOKUP(Table10[[#This Row],[SKU]],'All Skus'!$A:$AC,2,FALSE))="Martin",(VLOOKUP(Table10[[#This Row],[SKU]],'All Skus'!$A:$AC,17,FALSE)),""))</f>
        <v>0</v>
      </c>
      <c r="N7" s="227">
        <f>(IF((VLOOKUP(Table10[[#This Row],[SKU]],'All Skus'!$A:$AC,2,FALSE))="Martin",(VLOOKUP(Table10[[#This Row],[SKU]],'All Skus'!$A:$AC,18,FALSE)),""))</f>
        <v>0</v>
      </c>
      <c r="O7" s="227">
        <f>(IF((VLOOKUP(Table10[[#This Row],[SKU]],'All Skus'!$A:$AC,2,FALSE))="Martin",(VLOOKUP(Table10[[#This Row],[SKU]],'All Skus'!$A:$AC,19,FALSE)),""))</f>
        <v>0</v>
      </c>
      <c r="P7" s="227">
        <f>(IF((VLOOKUP(Table10[[#This Row],[SKU]],'All Skus'!$A:$AC,2,FALSE))="Martin",(VLOOKUP(Table10[[#This Row],[SKU]],'All Skus'!$A:$AC,20,FALSE)),""))</f>
        <v>0</v>
      </c>
      <c r="Q7" s="227">
        <f>(IF((VLOOKUP(Table10[[#This Row],[SKU]],'All Skus'!$A:$AC,2,FALSE))="Martin",(VLOOKUP(Table10[[#This Row],[SKU]],'All Skus'!$A:$AC,21,FALSE)),""))</f>
        <v>0</v>
      </c>
      <c r="R7" s="224">
        <f>(IF((VLOOKUP(Table10[[#This Row],[SKU]],'All Skus'!$A:$AC,2,FALSE))="Martin",(VLOOKUP(Table10[[#This Row],[SKU]],'All Skus'!$A:$AC,22,FALSE)),""))</f>
        <v>0</v>
      </c>
      <c r="S7" s="223">
        <f>(IF((VLOOKUP(Table10[[#This Row],[SKU]],'All Skus'!$A:$AC,2,FALSE))="Martin",(VLOOKUP(Table10[[#This Row],[SKU]],'All Skus'!$A:$AC,23,FALSE)),""))</f>
        <v>0</v>
      </c>
      <c r="T7" s="212" t="str">
        <f>HYPERLINK((IF((VLOOKUP(Table10[[#This Row],[SKU]],'All Skus'!$A:$AC,2,FALSE))="Martin",(VLOOKUP(Table10[[#This Row],[SKU]],'All Skus'!$A:$AC,24,FALSE)),"")))</f>
        <v/>
      </c>
      <c r="U7" s="228">
        <v>5</v>
      </c>
    </row>
    <row r="8" spans="1:23" hidden="1">
      <c r="A8" s="115" t="s">
        <v>1952</v>
      </c>
      <c r="B8" s="224">
        <f>(IF((VLOOKUP(Table10[[#This Row],[SKU]],'All Skus'!$A:$AC,2,FALSE))="Martin",(VLOOKUP(Table10[[#This Row],[SKU]],'All Skus'!$A:$AC,3,FALSE)),""))</f>
        <v>0</v>
      </c>
      <c r="C8" s="223">
        <f>(IF((VLOOKUP(Table10[[#This Row],[SKU]],'All Skus'!$A:$AC,2,FALSE))="Martin",(VLOOKUP(Table10[[#This Row],[SKU]],'All Skus'!$A:$AC,4,FALSE)),""))</f>
        <v>0</v>
      </c>
      <c r="D8" s="224">
        <f>(IF((VLOOKUP(Table10[[#This Row],[SKU]],'All Skus'!$A:$AC,2,FALSE))="Martin",(VLOOKUP(Table10[[#This Row],[SKU]],'All Skus'!$A:$AC,5,FALSE)),""))</f>
        <v>0</v>
      </c>
      <c r="E8" s="223">
        <f>(IF((VLOOKUP(Table10[[#This Row],[SKU]],'All Skus'!$A:$AC,2,FALSE))="Martin",(VLOOKUP(Table10[[#This Row],[SKU]],'All Skus'!$A:$AC,6,FALSE)),""))</f>
        <v>0</v>
      </c>
      <c r="F8" s="155">
        <f>(IF((VLOOKUP(Table10[[#This Row],[SKU]],'All Skus'!$A:$AC,2,FALSE))="Martin",(VLOOKUP(Table10[[#This Row],[SKU]],'All Skus'!$A:$AC,7,FALSE)),""))</f>
        <v>0</v>
      </c>
      <c r="G8" s="223">
        <f>(IF((VLOOKUP(Table10[[#This Row],[SKU]],'All Skus'!$A:$AC,2,FALSE))="Martin",(VLOOKUP(Table10[[#This Row],[SKU]],'All Skus'!$A:$AC,8,FALSE)),""))</f>
        <v>0</v>
      </c>
      <c r="H8" s="223">
        <f>(IF((VLOOKUP(Table10[[#This Row],[SKU]],'All Skus'!$A:$AC,2,FALSE))="Martin",(VLOOKUP(Table10[[#This Row],[SKU]],'All Skus'!$A:$AC,9,FALSE)),""))</f>
        <v>0</v>
      </c>
      <c r="I8" s="225">
        <f>(IF((VLOOKUP(Table10[[#This Row],[SKU]],'All Skus'!$A:$AC,2,FALSE))="Martin",(VLOOKUP(Table10[[#This Row],[SKU]],'All Skus'!$A:$AC,10,FALSE)),""))</f>
        <v>0</v>
      </c>
      <c r="J8" s="226">
        <f>(IF((VLOOKUP(Table10[[#This Row],[SKU]],'All Skus'!$A:$AC,2,FALSE))="Martin",(VLOOKUP(Table10[[#This Row],[SKU]],'All Skus'!$A:$AC,11,FALSE)),""))</f>
        <v>0</v>
      </c>
      <c r="K8" s="224">
        <f>(IF((VLOOKUP(Table10[[#This Row],[SKU]],'All Skus'!$A:$AC,2,FALSE))="Martin",(VLOOKUP(Table10[[#This Row],[SKU]],'All Skus'!$A:$AC,15,FALSE)),""))</f>
        <v>0</v>
      </c>
      <c r="L8" s="224">
        <f>(IF((VLOOKUP(Table10[[#This Row],[SKU]],'All Skus'!$A:$AC,2,FALSE))="Martin",(VLOOKUP(Table10[[#This Row],[SKU]],'All Skus'!$A:$AC,16,FALSE)),""))</f>
        <v>0</v>
      </c>
      <c r="M8" s="224">
        <f>(IF((VLOOKUP(Table10[[#This Row],[SKU]],'All Skus'!$A:$AC,2,FALSE))="Martin",(VLOOKUP(Table10[[#This Row],[SKU]],'All Skus'!$A:$AC,17,FALSE)),""))</f>
        <v>0</v>
      </c>
      <c r="N8" s="227">
        <f>(IF((VLOOKUP(Table10[[#This Row],[SKU]],'All Skus'!$A:$AC,2,FALSE))="Martin",(VLOOKUP(Table10[[#This Row],[SKU]],'All Skus'!$A:$AC,18,FALSE)),""))</f>
        <v>0</v>
      </c>
      <c r="O8" s="227">
        <f>(IF((VLOOKUP(Table10[[#This Row],[SKU]],'All Skus'!$A:$AC,2,FALSE))="Martin",(VLOOKUP(Table10[[#This Row],[SKU]],'All Skus'!$A:$AC,19,FALSE)),""))</f>
        <v>0</v>
      </c>
      <c r="P8" s="227">
        <f>(IF((VLOOKUP(Table10[[#This Row],[SKU]],'All Skus'!$A:$AC,2,FALSE))="Martin",(VLOOKUP(Table10[[#This Row],[SKU]],'All Skus'!$A:$AC,20,FALSE)),""))</f>
        <v>0</v>
      </c>
      <c r="Q8" s="227">
        <f>(IF((VLOOKUP(Table10[[#This Row],[SKU]],'All Skus'!$A:$AC,2,FALSE))="Martin",(VLOOKUP(Table10[[#This Row],[SKU]],'All Skus'!$A:$AC,21,FALSE)),""))</f>
        <v>0</v>
      </c>
      <c r="R8" s="224">
        <f>(IF((VLOOKUP(Table10[[#This Row],[SKU]],'All Skus'!$A:$AC,2,FALSE))="Martin",(VLOOKUP(Table10[[#This Row],[SKU]],'All Skus'!$A:$AC,22,FALSE)),""))</f>
        <v>0</v>
      </c>
      <c r="S8" s="223">
        <f>(IF((VLOOKUP(Table10[[#This Row],[SKU]],'All Skus'!$A:$AC,2,FALSE))="Martin",(VLOOKUP(Table10[[#This Row],[SKU]],'All Skus'!$A:$AC,23,FALSE)),""))</f>
        <v>0</v>
      </c>
      <c r="T8" s="212" t="str">
        <f>HYPERLINK((IF((VLOOKUP(Table10[[#This Row],[SKU]],'All Skus'!$A:$AC,2,FALSE))="Martin",(VLOOKUP(Table10[[#This Row],[SKU]],'All Skus'!$A:$AC,24,FALSE)),"")))</f>
        <v/>
      </c>
      <c r="U8" s="228">
        <v>6</v>
      </c>
    </row>
    <row r="9" spans="1:23" hidden="1">
      <c r="A9" s="112">
        <v>91610139</v>
      </c>
      <c r="B9" s="224" t="str">
        <f>(IF((VLOOKUP(Table10[[#This Row],[SKU]],'All Skus'!$A:$AC,2,FALSE))="Martin",(VLOOKUP(Table10[[#This Row],[SKU]],'All Skus'!$A:$AC,3,FALSE)),""))</f>
        <v>Linear</v>
      </c>
      <c r="C9" s="223" t="str">
        <f>(IF((VLOOKUP(Table10[[#This Row],[SKU]],'All Skus'!$A:$AC,2,FALSE))="Martin",(VLOOKUP(Table10[[#This Row],[SKU]],'All Skus'!$A:$AC,4,FALSE)),""))</f>
        <v>Set of 10 Magnetic Test Tools</v>
      </c>
      <c r="D9" s="224" t="str">
        <f>(IF((VLOOKUP(Table10[[#This Row],[SKU]],'All Skus'!$A:$AC,2,FALSE))="Martin",(VLOOKUP(Table10[[#This Row],[SKU]],'All Skus'!$A:$AC,5,FALSE)),""))</f>
        <v>MAR-ACC</v>
      </c>
      <c r="E9" s="223">
        <f>(IF((VLOOKUP(Table10[[#This Row],[SKU]],'All Skus'!$A:$AC,2,FALSE))="Martin",(VLOOKUP(Table10[[#This Row],[SKU]],'All Skus'!$A:$AC,6,FALSE)),""))</f>
        <v>0</v>
      </c>
      <c r="F9" s="155">
        <f>(IF((VLOOKUP(Table10[[#This Row],[SKU]],'All Skus'!$A:$AC,2,FALSE))="Martin",(VLOOKUP(Table10[[#This Row],[SKU]],'All Skus'!$A:$AC,7,FALSE)),""))</f>
        <v>0</v>
      </c>
      <c r="G9" s="223" t="str">
        <f>(IF((VLOOKUP(Table10[[#This Row],[SKU]],'All Skus'!$A:$AC,2,FALSE))="Martin",(VLOOKUP(Table10[[#This Row],[SKU]],'All Skus'!$A:$AC,8,FALSE)),""))</f>
        <v>Set of 10 Magnetic Test Tools</v>
      </c>
      <c r="H9" s="223" t="str">
        <f>(IF((VLOOKUP(Table10[[#This Row],[SKU]],'All Skus'!$A:$AC,2,FALSE))="Martin",(VLOOKUP(Table10[[#This Row],[SKU]],'All Skus'!$A:$AC,9,FALSE)),""))</f>
        <v>Set of 10 Magnetic Test Tools</v>
      </c>
      <c r="I9" s="225">
        <f>(IF((VLOOKUP(Table10[[#This Row],[SKU]],'All Skus'!$A:$AC,2,FALSE))="Martin",(VLOOKUP(Table10[[#This Row],[SKU]],'All Skus'!$A:$AC,10,FALSE)),""))</f>
        <v>81.37</v>
      </c>
      <c r="J9" s="226">
        <f>(IF((VLOOKUP(Table10[[#This Row],[SKU]],'All Skus'!$A:$AC,2,FALSE))="Martin",(VLOOKUP(Table10[[#This Row],[SKU]],'All Skus'!$A:$AC,11,FALSE)),""))</f>
        <v>81.37</v>
      </c>
      <c r="K9" s="224">
        <f>(IF((VLOOKUP(Table10[[#This Row],[SKU]],'All Skus'!$A:$AC,2,FALSE))="Martin",(VLOOKUP(Table10[[#This Row],[SKU]],'All Skus'!$A:$AC,15,FALSE)),""))</f>
        <v>0</v>
      </c>
      <c r="L9" s="224">
        <f>(IF((VLOOKUP(Table10[[#This Row],[SKU]],'All Skus'!$A:$AC,2,FALSE))="Martin",(VLOOKUP(Table10[[#This Row],[SKU]],'All Skus'!$A:$AC,16,FALSE)),""))</f>
        <v>5706681230136</v>
      </c>
      <c r="M9" s="224">
        <f>(IF((VLOOKUP(Table10[[#This Row],[SKU]],'All Skus'!$A:$AC,2,FALSE))="Martin",(VLOOKUP(Table10[[#This Row],[SKU]],'All Skus'!$A:$AC,17,FALSE)),""))</f>
        <v>0</v>
      </c>
      <c r="N9" s="227">
        <f>(IF((VLOOKUP(Table10[[#This Row],[SKU]],'All Skus'!$A:$AC,2,FALSE))="Martin",(VLOOKUP(Table10[[#This Row],[SKU]],'All Skus'!$A:$AC,18,FALSE)),""))</f>
        <v>7.8740199999999998</v>
      </c>
      <c r="O9" s="227">
        <f>(IF((VLOOKUP(Table10[[#This Row],[SKU]],'All Skus'!$A:$AC,2,FALSE))="Martin",(VLOOKUP(Table10[[#This Row],[SKU]],'All Skus'!$A:$AC,19,FALSE)),""))</f>
        <v>7.8740199999999998</v>
      </c>
      <c r="P9" s="227">
        <f>(IF((VLOOKUP(Table10[[#This Row],[SKU]],'All Skus'!$A:$AC,2,FALSE))="Martin",(VLOOKUP(Table10[[#This Row],[SKU]],'All Skus'!$A:$AC,20,FALSE)),""))</f>
        <v>0</v>
      </c>
      <c r="Q9" s="227">
        <f>(IF((VLOOKUP(Table10[[#This Row],[SKU]],'All Skus'!$A:$AC,2,FALSE))="Martin",(VLOOKUP(Table10[[#This Row],[SKU]],'All Skus'!$A:$AC,21,FALSE)),""))</f>
        <v>0</v>
      </c>
      <c r="R9" s="224" t="str">
        <f>(IF((VLOOKUP(Table10[[#This Row],[SKU]],'All Skus'!$A:$AC,2,FALSE))="Martin",(VLOOKUP(Table10[[#This Row],[SKU]],'All Skus'!$A:$AC,22,FALSE)),""))</f>
        <v>CN</v>
      </c>
      <c r="S9" s="223">
        <f>(IF((VLOOKUP(Table10[[#This Row],[SKU]],'All Skus'!$A:$AC,2,FALSE))="Martin",(VLOOKUP(Table10[[#This Row],[SKU]],'All Skus'!$A:$AC,23,FALSE)),""))</f>
        <v>0</v>
      </c>
      <c r="T9" s="212" t="str">
        <f>HYPERLINK((IF((VLOOKUP(Table10[[#This Row],[SKU]],'All Skus'!$A:$AC,2,FALSE))="Martin",(VLOOKUP(Table10[[#This Row],[SKU]],'All Skus'!$A:$AC,24,FALSE)),"")))</f>
        <v>http://www.martin.com/en-us/product-details/exterior-linear-cove-series</v>
      </c>
      <c r="U9" s="228">
        <v>7</v>
      </c>
    </row>
    <row r="10" spans="1:23" hidden="1">
      <c r="A10" s="113">
        <v>92620005</v>
      </c>
      <c r="B10" s="224" t="str">
        <f>(IF((VLOOKUP(Table10[[#This Row],[SKU]],'All Skus'!$A:$AC,2,FALSE))="Martin",(VLOOKUP(Table10[[#This Row],[SKU]],'All Skus'!$A:$AC,3,FALSE)),""))</f>
        <v>Accessories</v>
      </c>
      <c r="C10" s="223" t="str">
        <f>(IF((VLOOKUP(Table10[[#This Row],[SKU]],'All Skus'!$A:$AC,2,FALSE))="Martin",(VLOOKUP(Table10[[#This Row],[SKU]],'All Skus'!$A:$AC,4,FALSE)),""))</f>
        <v>Temp calibration box, smoke</v>
      </c>
      <c r="D10" s="224" t="str">
        <f>(IF((VLOOKUP(Table10[[#This Row],[SKU]],'All Skus'!$A:$AC,2,FALSE))="Martin",(VLOOKUP(Table10[[#This Row],[SKU]],'All Skus'!$A:$AC,5,FALSE)),""))</f>
        <v>MSM-JEM</v>
      </c>
      <c r="E10" s="223">
        <f>(IF((VLOOKUP(Table10[[#This Row],[SKU]],'All Skus'!$A:$AC,2,FALSE))="Martin",(VLOOKUP(Table10[[#This Row],[SKU]],'All Skus'!$A:$AC,6,FALSE)),""))</f>
        <v>0</v>
      </c>
      <c r="F10" s="155">
        <f>(IF((VLOOKUP(Table10[[#This Row],[SKU]],'All Skus'!$A:$AC,2,FALSE))="Martin",(VLOOKUP(Table10[[#This Row],[SKU]],'All Skus'!$A:$AC,7,FALSE)),""))</f>
        <v>0</v>
      </c>
      <c r="G10" s="223" t="str">
        <f>(IF((VLOOKUP(Table10[[#This Row],[SKU]],'All Skus'!$A:$AC,2,FALSE))="Martin",(VLOOKUP(Table10[[#This Row],[SKU]],'All Skus'!$A:$AC,8,FALSE)),""))</f>
        <v>Temp calibration box, smoke</v>
      </c>
      <c r="H10" s="223" t="str">
        <f>(IF((VLOOKUP(Table10[[#This Row],[SKU]],'All Skus'!$A:$AC,2,FALSE))="Martin",(VLOOKUP(Table10[[#This Row],[SKU]],'All Skus'!$A:$AC,9,FALSE)),""))</f>
        <v>Temp calibration box, smoke</v>
      </c>
      <c r="I10" s="225">
        <f>(IF((VLOOKUP(Table10[[#This Row],[SKU]],'All Skus'!$A:$AC,2,FALSE))="Martin",(VLOOKUP(Table10[[#This Row],[SKU]],'All Skus'!$A:$AC,10,FALSE)),""))</f>
        <v>617.38</v>
      </c>
      <c r="J10" s="226">
        <f>(IF((VLOOKUP(Table10[[#This Row],[SKU]],'All Skus'!$A:$AC,2,FALSE))="Martin",(VLOOKUP(Table10[[#This Row],[SKU]],'All Skus'!$A:$AC,11,FALSE)),""))</f>
        <v>617.38</v>
      </c>
      <c r="K10" s="224">
        <f>(IF((VLOOKUP(Table10[[#This Row],[SKU]],'All Skus'!$A:$AC,2,FALSE))="Martin",(VLOOKUP(Table10[[#This Row],[SKU]],'All Skus'!$A:$AC,15,FALSE)),""))</f>
        <v>0</v>
      </c>
      <c r="L10" s="224">
        <f>(IF((VLOOKUP(Table10[[#This Row],[SKU]],'All Skus'!$A:$AC,2,FALSE))="Martin",(VLOOKUP(Table10[[#This Row],[SKU]],'All Skus'!$A:$AC,16,FALSE)),""))</f>
        <v>688705005140</v>
      </c>
      <c r="M10" s="224">
        <f>(IF((VLOOKUP(Table10[[#This Row],[SKU]],'All Skus'!$A:$AC,2,FALSE))="Martin",(VLOOKUP(Table10[[#This Row],[SKU]],'All Skus'!$A:$AC,17,FALSE)),""))</f>
        <v>0</v>
      </c>
      <c r="N10" s="227">
        <f>(IF((VLOOKUP(Table10[[#This Row],[SKU]],'All Skus'!$A:$AC,2,FALSE))="Martin",(VLOOKUP(Table10[[#This Row],[SKU]],'All Skus'!$A:$AC,18,FALSE)),""))</f>
        <v>0</v>
      </c>
      <c r="O10" s="227">
        <f>(IF((VLOOKUP(Table10[[#This Row],[SKU]],'All Skus'!$A:$AC,2,FALSE))="Martin",(VLOOKUP(Table10[[#This Row],[SKU]],'All Skus'!$A:$AC,19,FALSE)),""))</f>
        <v>0</v>
      </c>
      <c r="P10" s="227">
        <f>(IF((VLOOKUP(Table10[[#This Row],[SKU]],'All Skus'!$A:$AC,2,FALSE))="Martin",(VLOOKUP(Table10[[#This Row],[SKU]],'All Skus'!$A:$AC,20,FALSE)),""))</f>
        <v>0</v>
      </c>
      <c r="Q10" s="227">
        <f>(IF((VLOOKUP(Table10[[#This Row],[SKU]],'All Skus'!$A:$AC,2,FALSE))="Martin",(VLOOKUP(Table10[[#This Row],[SKU]],'All Skus'!$A:$AC,21,FALSE)),""))</f>
        <v>0</v>
      </c>
      <c r="R10" s="224" t="str">
        <f>(IF((VLOOKUP(Table10[[#This Row],[SKU]],'All Skus'!$A:$AC,2,FALSE))="Martin",(VLOOKUP(Table10[[#This Row],[SKU]],'All Skus'!$A:$AC,22,FALSE)),""))</f>
        <v>GB</v>
      </c>
      <c r="S10" s="223">
        <f>(IF((VLOOKUP(Table10[[#This Row],[SKU]],'All Skus'!$A:$AC,2,FALSE))="Martin",(VLOOKUP(Table10[[#This Row],[SKU]],'All Skus'!$A:$AC,23,FALSE)),""))</f>
        <v>0</v>
      </c>
      <c r="T10" s="212" t="str">
        <f>HYPERLINK((IF((VLOOKUP(Table10[[#This Row],[SKU]],'All Skus'!$A:$AC,2,FALSE))="Martin",(VLOOKUP(Table10[[#This Row],[SKU]],'All Skus'!$A:$AC,24,FALSE)),"")))</f>
        <v/>
      </c>
      <c r="U10" s="228">
        <v>8</v>
      </c>
    </row>
    <row r="11" spans="1:23" hidden="1">
      <c r="A11" s="112">
        <v>91611580</v>
      </c>
      <c r="B11" s="224" t="str">
        <f>(IF((VLOOKUP(Table10[[#This Row],[SKU]],'All Skus'!$A:$AC,2,FALSE))="Martin",(VLOOKUP(Table10[[#This Row],[SKU]],'All Skus'!$A:$AC,3,FALSE)),""))</f>
        <v>Accessories</v>
      </c>
      <c r="C11" s="223" t="str">
        <f>(IF((VLOOKUP(Table10[[#This Row],[SKU]],'All Skus'!$A:$AC,2,FALSE))="Martin",(VLOOKUP(Table10[[#This Row],[SKU]],'All Skus'!$A:$AC,4,FALSE)),""))</f>
        <v>Vacuum test equipment</v>
      </c>
      <c r="D11" s="224" t="str">
        <f>(IF((VLOOKUP(Table10[[#This Row],[SKU]],'All Skus'!$A:$AC,2,FALSE))="Martin",(VLOOKUP(Table10[[#This Row],[SKU]],'All Skus'!$A:$AC,5,FALSE)),""))</f>
        <v>MAR-ACC</v>
      </c>
      <c r="E11" s="223">
        <f>(IF((VLOOKUP(Table10[[#This Row],[SKU]],'All Skus'!$A:$AC,2,FALSE))="Martin",(VLOOKUP(Table10[[#This Row],[SKU]],'All Skus'!$A:$AC,6,FALSE)),""))</f>
        <v>0</v>
      </c>
      <c r="F11" s="155">
        <f>(IF((VLOOKUP(Table10[[#This Row],[SKU]],'All Skus'!$A:$AC,2,FALSE))="Martin",(VLOOKUP(Table10[[#This Row],[SKU]],'All Skus'!$A:$AC,7,FALSE)),""))</f>
        <v>0</v>
      </c>
      <c r="G11" s="223" t="str">
        <f>(IF((VLOOKUP(Table10[[#This Row],[SKU]],'All Skus'!$A:$AC,2,FALSE))="Martin",(VLOOKUP(Table10[[#This Row],[SKU]],'All Skus'!$A:$AC,8,FALSE)),""))</f>
        <v>Vacuum test equipment</v>
      </c>
      <c r="H11" s="223" t="str">
        <f>(IF((VLOOKUP(Table10[[#This Row],[SKU]],'All Skus'!$A:$AC,2,FALSE))="Martin",(VLOOKUP(Table10[[#This Row],[SKU]],'All Skus'!$A:$AC,9,FALSE)),""))</f>
        <v>Vacuum test equipment</v>
      </c>
      <c r="I11" s="225">
        <f>(IF((VLOOKUP(Table10[[#This Row],[SKU]],'All Skus'!$A:$AC,2,FALSE))="Martin",(VLOOKUP(Table10[[#This Row],[SKU]],'All Skus'!$A:$AC,10,FALSE)),""))</f>
        <v>1790.41</v>
      </c>
      <c r="J11" s="226">
        <f>(IF((VLOOKUP(Table10[[#This Row],[SKU]],'All Skus'!$A:$AC,2,FALSE))="Martin",(VLOOKUP(Table10[[#This Row],[SKU]],'All Skus'!$A:$AC,11,FALSE)),""))</f>
        <v>1790.41</v>
      </c>
      <c r="K11" s="224">
        <f>(IF((VLOOKUP(Table10[[#This Row],[SKU]],'All Skus'!$A:$AC,2,FALSE))="Martin",(VLOOKUP(Table10[[#This Row],[SKU]],'All Skus'!$A:$AC,15,FALSE)),""))</f>
        <v>0</v>
      </c>
      <c r="L11" s="224">
        <f>(IF((VLOOKUP(Table10[[#This Row],[SKU]],'All Skus'!$A:$AC,2,FALSE))="Martin",(VLOOKUP(Table10[[#This Row],[SKU]],'All Skus'!$A:$AC,16,FALSE)),""))</f>
        <v>0</v>
      </c>
      <c r="M11" s="224">
        <f>(IF((VLOOKUP(Table10[[#This Row],[SKU]],'All Skus'!$A:$AC,2,FALSE))="Martin",(VLOOKUP(Table10[[#This Row],[SKU]],'All Skus'!$A:$AC,17,FALSE)),""))</f>
        <v>0</v>
      </c>
      <c r="N11" s="227">
        <f>(IF((VLOOKUP(Table10[[#This Row],[SKU]],'All Skus'!$A:$AC,2,FALSE))="Martin",(VLOOKUP(Table10[[#This Row],[SKU]],'All Skus'!$A:$AC,18,FALSE)),""))</f>
        <v>0</v>
      </c>
      <c r="O11" s="227">
        <f>(IF((VLOOKUP(Table10[[#This Row],[SKU]],'All Skus'!$A:$AC,2,FALSE))="Martin",(VLOOKUP(Table10[[#This Row],[SKU]],'All Skus'!$A:$AC,19,FALSE)),""))</f>
        <v>0</v>
      </c>
      <c r="P11" s="227">
        <f>(IF((VLOOKUP(Table10[[#This Row],[SKU]],'All Skus'!$A:$AC,2,FALSE))="Martin",(VLOOKUP(Table10[[#This Row],[SKU]],'All Skus'!$A:$AC,20,FALSE)),""))</f>
        <v>0</v>
      </c>
      <c r="Q11" s="227">
        <f>(IF((VLOOKUP(Table10[[#This Row],[SKU]],'All Skus'!$A:$AC,2,FALSE))="Martin",(VLOOKUP(Table10[[#This Row],[SKU]],'All Skus'!$A:$AC,21,FALSE)),""))</f>
        <v>0</v>
      </c>
      <c r="R11" s="224">
        <f>(IF((VLOOKUP(Table10[[#This Row],[SKU]],'All Skus'!$A:$AC,2,FALSE))="Martin",(VLOOKUP(Table10[[#This Row],[SKU]],'All Skus'!$A:$AC,22,FALSE)),""))</f>
        <v>0</v>
      </c>
      <c r="S11" s="223">
        <f>(IF((VLOOKUP(Table10[[#This Row],[SKU]],'All Skus'!$A:$AC,2,FALSE))="Martin",(VLOOKUP(Table10[[#This Row],[SKU]],'All Skus'!$A:$AC,23,FALSE)),""))</f>
        <v>0</v>
      </c>
      <c r="T11" s="212" t="str">
        <f>HYPERLINK((IF((VLOOKUP(Table10[[#This Row],[SKU]],'All Skus'!$A:$AC,2,FALSE))="Martin",(VLOOKUP(Table10[[#This Row],[SKU]],'All Skus'!$A:$AC,24,FALSE)),"")))</f>
        <v/>
      </c>
      <c r="U11" s="228">
        <v>9</v>
      </c>
    </row>
    <row r="12" spans="1:23" hidden="1">
      <c r="A12" s="111" t="s">
        <v>1953</v>
      </c>
      <c r="B12" s="224">
        <f>(IF((VLOOKUP(Table10[[#This Row],[SKU]],'All Skus'!$A:$AC,2,FALSE))="Martin",(VLOOKUP(Table10[[#This Row],[SKU]],'All Skus'!$A:$AC,3,FALSE)),""))</f>
        <v>0</v>
      </c>
      <c r="C12" s="223">
        <f>(IF((VLOOKUP(Table10[[#This Row],[SKU]],'All Skus'!$A:$AC,2,FALSE))="Martin",(VLOOKUP(Table10[[#This Row],[SKU]],'All Skus'!$A:$AC,4,FALSE)),""))</f>
        <v>0</v>
      </c>
      <c r="D12" s="224">
        <f>(IF((VLOOKUP(Table10[[#This Row],[SKU]],'All Skus'!$A:$AC,2,FALSE))="Martin",(VLOOKUP(Table10[[#This Row],[SKU]],'All Skus'!$A:$AC,5,FALSE)),""))</f>
        <v>0</v>
      </c>
      <c r="E12" s="223">
        <f>(IF((VLOOKUP(Table10[[#This Row],[SKU]],'All Skus'!$A:$AC,2,FALSE))="Martin",(VLOOKUP(Table10[[#This Row],[SKU]],'All Skus'!$A:$AC,6,FALSE)),""))</f>
        <v>0</v>
      </c>
      <c r="F12" s="155">
        <f>(IF((VLOOKUP(Table10[[#This Row],[SKU]],'All Skus'!$A:$AC,2,FALSE))="Martin",(VLOOKUP(Table10[[#This Row],[SKU]],'All Skus'!$A:$AC,7,FALSE)),""))</f>
        <v>0</v>
      </c>
      <c r="G12" s="223">
        <f>(IF((VLOOKUP(Table10[[#This Row],[SKU]],'All Skus'!$A:$AC,2,FALSE))="Martin",(VLOOKUP(Table10[[#This Row],[SKU]],'All Skus'!$A:$AC,8,FALSE)),""))</f>
        <v>0</v>
      </c>
      <c r="H12" s="223">
        <f>(IF((VLOOKUP(Table10[[#This Row],[SKU]],'All Skus'!$A:$AC,2,FALSE))="Martin",(VLOOKUP(Table10[[#This Row],[SKU]],'All Skus'!$A:$AC,9,FALSE)),""))</f>
        <v>0</v>
      </c>
      <c r="I12" s="225">
        <f>(IF((VLOOKUP(Table10[[#This Row],[SKU]],'All Skus'!$A:$AC,2,FALSE))="Martin",(VLOOKUP(Table10[[#This Row],[SKU]],'All Skus'!$A:$AC,10,FALSE)),""))</f>
        <v>0</v>
      </c>
      <c r="J12" s="226">
        <f>(IF((VLOOKUP(Table10[[#This Row],[SKU]],'All Skus'!$A:$AC,2,FALSE))="Martin",(VLOOKUP(Table10[[#This Row],[SKU]],'All Skus'!$A:$AC,11,FALSE)),""))</f>
        <v>0</v>
      </c>
      <c r="K12" s="224">
        <f>(IF((VLOOKUP(Table10[[#This Row],[SKU]],'All Skus'!$A:$AC,2,FALSE))="Martin",(VLOOKUP(Table10[[#This Row],[SKU]],'All Skus'!$A:$AC,15,FALSE)),""))</f>
        <v>0</v>
      </c>
      <c r="L12" s="224">
        <f>(IF((VLOOKUP(Table10[[#This Row],[SKU]],'All Skus'!$A:$AC,2,FALSE))="Martin",(VLOOKUP(Table10[[#This Row],[SKU]],'All Skus'!$A:$AC,16,FALSE)),""))</f>
        <v>0</v>
      </c>
      <c r="M12" s="224">
        <f>(IF((VLOOKUP(Table10[[#This Row],[SKU]],'All Skus'!$A:$AC,2,FALSE))="Martin",(VLOOKUP(Table10[[#This Row],[SKU]],'All Skus'!$A:$AC,17,FALSE)),""))</f>
        <v>0</v>
      </c>
      <c r="N12" s="227">
        <f>(IF((VLOOKUP(Table10[[#This Row],[SKU]],'All Skus'!$A:$AC,2,FALSE))="Martin",(VLOOKUP(Table10[[#This Row],[SKU]],'All Skus'!$A:$AC,18,FALSE)),""))</f>
        <v>0</v>
      </c>
      <c r="O12" s="227">
        <f>(IF((VLOOKUP(Table10[[#This Row],[SKU]],'All Skus'!$A:$AC,2,FALSE))="Martin",(VLOOKUP(Table10[[#This Row],[SKU]],'All Skus'!$A:$AC,19,FALSE)),""))</f>
        <v>0</v>
      </c>
      <c r="P12" s="227">
        <f>(IF((VLOOKUP(Table10[[#This Row],[SKU]],'All Skus'!$A:$AC,2,FALSE))="Martin",(VLOOKUP(Table10[[#This Row],[SKU]],'All Skus'!$A:$AC,20,FALSE)),""))</f>
        <v>0</v>
      </c>
      <c r="Q12" s="227">
        <f>(IF((VLOOKUP(Table10[[#This Row],[SKU]],'All Skus'!$A:$AC,2,FALSE))="Martin",(VLOOKUP(Table10[[#This Row],[SKU]],'All Skus'!$A:$AC,21,FALSE)),""))</f>
        <v>0</v>
      </c>
      <c r="R12" s="224">
        <f>(IF((VLOOKUP(Table10[[#This Row],[SKU]],'All Skus'!$A:$AC,2,FALSE))="Martin",(VLOOKUP(Table10[[#This Row],[SKU]],'All Skus'!$A:$AC,22,FALSE)),""))</f>
        <v>0</v>
      </c>
      <c r="S12" s="223">
        <f>(IF((VLOOKUP(Table10[[#This Row],[SKU]],'All Skus'!$A:$AC,2,FALSE))="Martin",(VLOOKUP(Table10[[#This Row],[SKU]],'All Skus'!$A:$AC,23,FALSE)),""))</f>
        <v>0</v>
      </c>
      <c r="T12" s="212" t="str">
        <f>HYPERLINK((IF((VLOOKUP(Table10[[#This Row],[SKU]],'All Skus'!$A:$AC,2,FALSE))="Martin",(VLOOKUP(Table10[[#This Row],[SKU]],'All Skus'!$A:$AC,24,FALSE)),"")))</f>
        <v/>
      </c>
      <c r="U12" s="228">
        <v>10</v>
      </c>
    </row>
    <row r="13" spans="1:23" hidden="1">
      <c r="A13" s="115" t="s">
        <v>1954</v>
      </c>
      <c r="B13" s="224">
        <f>(IF((VLOOKUP(Table10[[#This Row],[SKU]],'All Skus'!$A:$AC,2,FALSE))="Martin",(VLOOKUP(Table10[[#This Row],[SKU]],'All Skus'!$A:$AC,3,FALSE)),""))</f>
        <v>0</v>
      </c>
      <c r="C13" s="223">
        <f>(IF((VLOOKUP(Table10[[#This Row],[SKU]],'All Skus'!$A:$AC,2,FALSE))="Martin",(VLOOKUP(Table10[[#This Row],[SKU]],'All Skus'!$A:$AC,4,FALSE)),""))</f>
        <v>0</v>
      </c>
      <c r="D13" s="224">
        <f>(IF((VLOOKUP(Table10[[#This Row],[SKU]],'All Skus'!$A:$AC,2,FALSE))="Martin",(VLOOKUP(Table10[[#This Row],[SKU]],'All Skus'!$A:$AC,5,FALSE)),""))</f>
        <v>0</v>
      </c>
      <c r="E13" s="223">
        <f>(IF((VLOOKUP(Table10[[#This Row],[SKU]],'All Skus'!$A:$AC,2,FALSE))="Martin",(VLOOKUP(Table10[[#This Row],[SKU]],'All Skus'!$A:$AC,6,FALSE)),""))</f>
        <v>0</v>
      </c>
      <c r="F13" s="155">
        <f>(IF((VLOOKUP(Table10[[#This Row],[SKU]],'All Skus'!$A:$AC,2,FALSE))="Martin",(VLOOKUP(Table10[[#This Row],[SKU]],'All Skus'!$A:$AC,7,FALSE)),""))</f>
        <v>0</v>
      </c>
      <c r="G13" s="223">
        <f>(IF((VLOOKUP(Table10[[#This Row],[SKU]],'All Skus'!$A:$AC,2,FALSE))="Martin",(VLOOKUP(Table10[[#This Row],[SKU]],'All Skus'!$A:$AC,8,FALSE)),""))</f>
        <v>0</v>
      </c>
      <c r="H13" s="223">
        <f>(IF((VLOOKUP(Table10[[#This Row],[SKU]],'All Skus'!$A:$AC,2,FALSE))="Martin",(VLOOKUP(Table10[[#This Row],[SKU]],'All Skus'!$A:$AC,9,FALSE)),""))</f>
        <v>0</v>
      </c>
      <c r="I13" s="225">
        <f>(IF((VLOOKUP(Table10[[#This Row],[SKU]],'All Skus'!$A:$AC,2,FALSE))="Martin",(VLOOKUP(Table10[[#This Row],[SKU]],'All Skus'!$A:$AC,10,FALSE)),""))</f>
        <v>0</v>
      </c>
      <c r="J13" s="226">
        <f>(IF((VLOOKUP(Table10[[#This Row],[SKU]],'All Skus'!$A:$AC,2,FALSE))="Martin",(VLOOKUP(Table10[[#This Row],[SKU]],'All Skus'!$A:$AC,11,FALSE)),""))</f>
        <v>0</v>
      </c>
      <c r="K13" s="224">
        <f>(IF((VLOOKUP(Table10[[#This Row],[SKU]],'All Skus'!$A:$AC,2,FALSE))="Martin",(VLOOKUP(Table10[[#This Row],[SKU]],'All Skus'!$A:$AC,15,FALSE)),""))</f>
        <v>0</v>
      </c>
      <c r="L13" s="224">
        <f>(IF((VLOOKUP(Table10[[#This Row],[SKU]],'All Skus'!$A:$AC,2,FALSE))="Martin",(VLOOKUP(Table10[[#This Row],[SKU]],'All Skus'!$A:$AC,16,FALSE)),""))</f>
        <v>0</v>
      </c>
      <c r="M13" s="224">
        <f>(IF((VLOOKUP(Table10[[#This Row],[SKU]],'All Skus'!$A:$AC,2,FALSE))="Martin",(VLOOKUP(Table10[[#This Row],[SKU]],'All Skus'!$A:$AC,17,FALSE)),""))</f>
        <v>0</v>
      </c>
      <c r="N13" s="227">
        <f>(IF((VLOOKUP(Table10[[#This Row],[SKU]],'All Skus'!$A:$AC,2,FALSE))="Martin",(VLOOKUP(Table10[[#This Row],[SKU]],'All Skus'!$A:$AC,18,FALSE)),""))</f>
        <v>0</v>
      </c>
      <c r="O13" s="227">
        <f>(IF((VLOOKUP(Table10[[#This Row],[SKU]],'All Skus'!$A:$AC,2,FALSE))="Martin",(VLOOKUP(Table10[[#This Row],[SKU]],'All Skus'!$A:$AC,19,FALSE)),""))</f>
        <v>0</v>
      </c>
      <c r="P13" s="227">
        <f>(IF((VLOOKUP(Table10[[#This Row],[SKU]],'All Skus'!$A:$AC,2,FALSE))="Martin",(VLOOKUP(Table10[[#This Row],[SKU]],'All Skus'!$A:$AC,20,FALSE)),""))</f>
        <v>0</v>
      </c>
      <c r="Q13" s="227">
        <f>(IF((VLOOKUP(Table10[[#This Row],[SKU]],'All Skus'!$A:$AC,2,FALSE))="Martin",(VLOOKUP(Table10[[#This Row],[SKU]],'All Skus'!$A:$AC,21,FALSE)),""))</f>
        <v>0</v>
      </c>
      <c r="R13" s="224">
        <f>(IF((VLOOKUP(Table10[[#This Row],[SKU]],'All Skus'!$A:$AC,2,FALSE))="Martin",(VLOOKUP(Table10[[#This Row],[SKU]],'All Skus'!$A:$AC,22,FALSE)),""))</f>
        <v>0</v>
      </c>
      <c r="S13" s="223">
        <f>(IF((VLOOKUP(Table10[[#This Row],[SKU]],'All Skus'!$A:$AC,2,FALSE))="Martin",(VLOOKUP(Table10[[#This Row],[SKU]],'All Skus'!$A:$AC,23,FALSE)),""))</f>
        <v>0</v>
      </c>
      <c r="T13" s="212" t="str">
        <f>HYPERLINK((IF((VLOOKUP(Table10[[#This Row],[SKU]],'All Skus'!$A:$AC,2,FALSE))="Martin",(VLOOKUP(Table10[[#This Row],[SKU]],'All Skus'!$A:$AC,24,FALSE)),"")))</f>
        <v/>
      </c>
      <c r="U13" s="228">
        <v>11</v>
      </c>
    </row>
    <row r="14" spans="1:23" hidden="1">
      <c r="A14" s="112">
        <v>91602001</v>
      </c>
      <c r="B14" s="224" t="str">
        <f>(IF((VLOOKUP(Table10[[#This Row],[SKU]],'All Skus'!$A:$AC,2,FALSE))="Martin",(VLOOKUP(Table10[[#This Row],[SKU]],'All Skus'!$A:$AC,3,FALSE)),""))</f>
        <v>Accessories</v>
      </c>
      <c r="C14" s="223" t="str">
        <f>(IF((VLOOKUP(Table10[[#This Row],[SKU]],'All Skus'!$A:$AC,2,FALSE))="Martin",(VLOOKUP(Table10[[#This Row],[SKU]],'All Skus'!$A:$AC,4,FALSE)),""))</f>
        <v xml:space="preserve">Omega bracket with 1/4 turn fasteners </v>
      </c>
      <c r="D14" s="224" t="str">
        <f>(IF((VLOOKUP(Table10[[#This Row],[SKU]],'All Skus'!$A:$AC,2,FALSE))="Martin",(VLOOKUP(Table10[[#This Row],[SKU]],'All Skus'!$A:$AC,5,FALSE)),""))</f>
        <v>MAR-ACC</v>
      </c>
      <c r="E14" s="223">
        <f>(IF((VLOOKUP(Table10[[#This Row],[SKU]],'All Skus'!$A:$AC,2,FALSE))="Martin",(VLOOKUP(Table10[[#This Row],[SKU]],'All Skus'!$A:$AC,6,FALSE)),""))</f>
        <v>0</v>
      </c>
      <c r="F14" s="155">
        <f>(IF((VLOOKUP(Table10[[#This Row],[SKU]],'All Skus'!$A:$AC,2,FALSE))="Martin",(VLOOKUP(Table10[[#This Row],[SKU]],'All Skus'!$A:$AC,7,FALSE)),""))</f>
        <v>0</v>
      </c>
      <c r="G14" s="223" t="str">
        <f>(IF((VLOOKUP(Table10[[#This Row],[SKU]],'All Skus'!$A:$AC,2,FALSE))="Martin",(VLOOKUP(Table10[[#This Row],[SKU]],'All Skus'!$A:$AC,8,FALSE)),""))</f>
        <v xml:space="preserve">Omega bracket with 1/4 turn fasteners </v>
      </c>
      <c r="H14" s="223" t="str">
        <f>(IF((VLOOKUP(Table10[[#This Row],[SKU]],'All Skus'!$A:$AC,2,FALSE))="Martin",(VLOOKUP(Table10[[#This Row],[SKU]],'All Skus'!$A:$AC,9,FALSE)),""))</f>
        <v xml:space="preserve">Omega bracket with 1/4 turn fasteners </v>
      </c>
      <c r="I14" s="225">
        <f>(IF((VLOOKUP(Table10[[#This Row],[SKU]],'All Skus'!$A:$AC,2,FALSE))="Martin",(VLOOKUP(Table10[[#This Row],[SKU]],'All Skus'!$A:$AC,10,FALSE)),""))</f>
        <v>61.74</v>
      </c>
      <c r="J14" s="226">
        <f>(IF((VLOOKUP(Table10[[#This Row],[SKU]],'All Skus'!$A:$AC,2,FALSE))="Martin",(VLOOKUP(Table10[[#This Row],[SKU]],'All Skus'!$A:$AC,11,FALSE)),""))</f>
        <v>61.74</v>
      </c>
      <c r="K14" s="224">
        <f>(IF((VLOOKUP(Table10[[#This Row],[SKU]],'All Skus'!$A:$AC,2,FALSE))="Martin",(VLOOKUP(Table10[[#This Row],[SKU]],'All Skus'!$A:$AC,15,FALSE)),""))</f>
        <v>0</v>
      </c>
      <c r="L14" s="224">
        <f>(IF((VLOOKUP(Table10[[#This Row],[SKU]],'All Skus'!$A:$AC,2,FALSE))="Martin",(VLOOKUP(Table10[[#This Row],[SKU]],'All Skus'!$A:$AC,16,FALSE)),""))</f>
        <v>5706681212163</v>
      </c>
      <c r="M14" s="224">
        <f>(IF((VLOOKUP(Table10[[#This Row],[SKU]],'All Skus'!$A:$AC,2,FALSE))="Martin",(VLOOKUP(Table10[[#This Row],[SKU]],'All Skus'!$A:$AC,17,FALSE)),""))</f>
        <v>0</v>
      </c>
      <c r="N14" s="227">
        <f>(IF((VLOOKUP(Table10[[#This Row],[SKU]],'All Skus'!$A:$AC,2,FALSE))="Martin",(VLOOKUP(Table10[[#This Row],[SKU]],'All Skus'!$A:$AC,18,FALSE)),""))</f>
        <v>5.4094517399999997</v>
      </c>
      <c r="O14" s="227">
        <f>(IF((VLOOKUP(Table10[[#This Row],[SKU]],'All Skus'!$A:$AC,2,FALSE))="Martin",(VLOOKUP(Table10[[#This Row],[SKU]],'All Skus'!$A:$AC,19,FALSE)),""))</f>
        <v>5.4094517399999997</v>
      </c>
      <c r="P14" s="227">
        <f>(IF((VLOOKUP(Table10[[#This Row],[SKU]],'All Skus'!$A:$AC,2,FALSE))="Martin",(VLOOKUP(Table10[[#This Row],[SKU]],'All Skus'!$A:$AC,20,FALSE)),""))</f>
        <v>0</v>
      </c>
      <c r="Q14" s="227">
        <f>(IF((VLOOKUP(Table10[[#This Row],[SKU]],'All Skus'!$A:$AC,2,FALSE))="Martin",(VLOOKUP(Table10[[#This Row],[SKU]],'All Skus'!$A:$AC,21,FALSE)),""))</f>
        <v>0</v>
      </c>
      <c r="R14" s="224" t="str">
        <f>(IF((VLOOKUP(Table10[[#This Row],[SKU]],'All Skus'!$A:$AC,2,FALSE))="Martin",(VLOOKUP(Table10[[#This Row],[SKU]],'All Skus'!$A:$AC,22,FALSE)),""))</f>
        <v>GB</v>
      </c>
      <c r="S14" s="223">
        <f>(IF((VLOOKUP(Table10[[#This Row],[SKU]],'All Skus'!$A:$AC,2,FALSE))="Martin",(VLOOKUP(Table10[[#This Row],[SKU]],'All Skus'!$A:$AC,23,FALSE)),""))</f>
        <v>0</v>
      </c>
      <c r="T14" s="212" t="str">
        <f>HYPERLINK((IF((VLOOKUP(Table10[[#This Row],[SKU]],'All Skus'!$A:$AC,2,FALSE))="Martin",(VLOOKUP(Table10[[#This Row],[SKU]],'All Skus'!$A:$AC,24,FALSE)),"")))</f>
        <v/>
      </c>
      <c r="U14" s="228">
        <v>12</v>
      </c>
    </row>
    <row r="15" spans="1:23" hidden="1">
      <c r="A15" s="112">
        <v>91602008</v>
      </c>
      <c r="B15" s="224" t="str">
        <f>(IF((VLOOKUP(Table10[[#This Row],[SKU]],'All Skus'!$A:$AC,2,FALSE))="Martin",(VLOOKUP(Table10[[#This Row],[SKU]],'All Skus'!$A:$AC,3,FALSE)),""))</f>
        <v>Accessories</v>
      </c>
      <c r="C15" s="223" t="str">
        <f>(IF((VLOOKUP(Table10[[#This Row],[SKU]],'All Skus'!$A:$AC,2,FALSE))="Martin",(VLOOKUP(Table10[[#This Row],[SKU]],'All Skus'!$A:$AC,4,FALSE)),""))</f>
        <v xml:space="preserve">T-shape Omega bracket w 1/4 turn </v>
      </c>
      <c r="D15" s="224" t="str">
        <f>(IF((VLOOKUP(Table10[[#This Row],[SKU]],'All Skus'!$A:$AC,2,FALSE))="Martin",(VLOOKUP(Table10[[#This Row],[SKU]],'All Skus'!$A:$AC,5,FALSE)),""))</f>
        <v>MAR-ACC</v>
      </c>
      <c r="E15" s="223">
        <f>(IF((VLOOKUP(Table10[[#This Row],[SKU]],'All Skus'!$A:$AC,2,FALSE))="Martin",(VLOOKUP(Table10[[#This Row],[SKU]],'All Skus'!$A:$AC,6,FALSE)),""))</f>
        <v>0</v>
      </c>
      <c r="F15" s="155">
        <f>(IF((VLOOKUP(Table10[[#This Row],[SKU]],'All Skus'!$A:$AC,2,FALSE))="Martin",(VLOOKUP(Table10[[#This Row],[SKU]],'All Skus'!$A:$AC,7,FALSE)),""))</f>
        <v>0</v>
      </c>
      <c r="G15" s="223" t="str">
        <f>(IF((VLOOKUP(Table10[[#This Row],[SKU]],'All Skus'!$A:$AC,2,FALSE))="Martin",(VLOOKUP(Table10[[#This Row],[SKU]],'All Skus'!$A:$AC,8,FALSE)),""))</f>
        <v xml:space="preserve">T-shape Omega bracket w 1/4 turn </v>
      </c>
      <c r="H15" s="223" t="str">
        <f>(IF((VLOOKUP(Table10[[#This Row],[SKU]],'All Skus'!$A:$AC,2,FALSE))="Martin",(VLOOKUP(Table10[[#This Row],[SKU]],'All Skus'!$A:$AC,9,FALSE)),""))</f>
        <v xml:space="preserve">T-shape Omega bracket w 1/4 turn </v>
      </c>
      <c r="I15" s="225">
        <f>(IF((VLOOKUP(Table10[[#This Row],[SKU]],'All Skus'!$A:$AC,2,FALSE))="Martin",(VLOOKUP(Table10[[#This Row],[SKU]],'All Skus'!$A:$AC,10,FALSE)),""))</f>
        <v>74.09</v>
      </c>
      <c r="J15" s="226">
        <f>(IF((VLOOKUP(Table10[[#This Row],[SKU]],'All Skus'!$A:$AC,2,FALSE))="Martin",(VLOOKUP(Table10[[#This Row],[SKU]],'All Skus'!$A:$AC,11,FALSE)),""))</f>
        <v>74.09</v>
      </c>
      <c r="K15" s="224">
        <f>(IF((VLOOKUP(Table10[[#This Row],[SKU]],'All Skus'!$A:$AC,2,FALSE))="Martin",(VLOOKUP(Table10[[#This Row],[SKU]],'All Skus'!$A:$AC,15,FALSE)),""))</f>
        <v>0</v>
      </c>
      <c r="L15" s="224">
        <f>(IF((VLOOKUP(Table10[[#This Row],[SKU]],'All Skus'!$A:$AC,2,FALSE))="Martin",(VLOOKUP(Table10[[#This Row],[SKU]],'All Skus'!$A:$AC,16,FALSE)),""))</f>
        <v>0</v>
      </c>
      <c r="M15" s="224">
        <f>(IF((VLOOKUP(Table10[[#This Row],[SKU]],'All Skus'!$A:$AC,2,FALSE))="Martin",(VLOOKUP(Table10[[#This Row],[SKU]],'All Skus'!$A:$AC,17,FALSE)),""))</f>
        <v>0</v>
      </c>
      <c r="N15" s="227">
        <f>(IF((VLOOKUP(Table10[[#This Row],[SKU]],'All Skus'!$A:$AC,2,FALSE))="Martin",(VLOOKUP(Table10[[#This Row],[SKU]],'All Skus'!$A:$AC,18,FALSE)),""))</f>
        <v>5.4094517399999997</v>
      </c>
      <c r="O15" s="227">
        <f>(IF((VLOOKUP(Table10[[#This Row],[SKU]],'All Skus'!$A:$AC,2,FALSE))="Martin",(VLOOKUP(Table10[[#This Row],[SKU]],'All Skus'!$A:$AC,19,FALSE)),""))</f>
        <v>5.4094517399999997</v>
      </c>
      <c r="P15" s="227">
        <f>(IF((VLOOKUP(Table10[[#This Row],[SKU]],'All Skus'!$A:$AC,2,FALSE))="Martin",(VLOOKUP(Table10[[#This Row],[SKU]],'All Skus'!$A:$AC,20,FALSE)),""))</f>
        <v>0</v>
      </c>
      <c r="Q15" s="227">
        <f>(IF((VLOOKUP(Table10[[#This Row],[SKU]],'All Skus'!$A:$AC,2,FALSE))="Martin",(VLOOKUP(Table10[[#This Row],[SKU]],'All Skus'!$A:$AC,21,FALSE)),""))</f>
        <v>0</v>
      </c>
      <c r="R15" s="224" t="str">
        <f>(IF((VLOOKUP(Table10[[#This Row],[SKU]],'All Skus'!$A:$AC,2,FALSE))="Martin",(VLOOKUP(Table10[[#This Row],[SKU]],'All Skus'!$A:$AC,22,FALSE)),""))</f>
        <v>GB</v>
      </c>
      <c r="S15" s="223">
        <f>(IF((VLOOKUP(Table10[[#This Row],[SKU]],'All Skus'!$A:$AC,2,FALSE))="Martin",(VLOOKUP(Table10[[#This Row],[SKU]],'All Skus'!$A:$AC,23,FALSE)),""))</f>
        <v>0</v>
      </c>
      <c r="T15" s="212" t="str">
        <f>HYPERLINK((IF((VLOOKUP(Table10[[#This Row],[SKU]],'All Skus'!$A:$AC,2,FALSE))="Martin",(VLOOKUP(Table10[[#This Row],[SKU]],'All Skus'!$A:$AC,24,FALSE)),"")))</f>
        <v/>
      </c>
      <c r="U15" s="228">
        <v>13</v>
      </c>
    </row>
    <row r="16" spans="1:23" hidden="1">
      <c r="A16" s="229">
        <v>91602000</v>
      </c>
      <c r="B16" s="224" t="str">
        <f>(IF((VLOOKUP(Table10[[#This Row],[SKU]],'All Skus'!$A:$AC,2,FALSE))="Martin",(VLOOKUP(Table10[[#This Row],[SKU]],'All Skus'!$A:$AC,3,FALSE)),""))</f>
        <v>Accessories</v>
      </c>
      <c r="C16" s="223" t="str">
        <f>(IF((VLOOKUP(Table10[[#This Row],[SKU]],'All Skus'!$A:$AC,2,FALSE))="Martin",(VLOOKUP(Table10[[#This Row],[SKU]],'All Skus'!$A:$AC,4,FALSE)),""))</f>
        <v xml:space="preserve">Omega Bracket, M250-300. ¼-turm </v>
      </c>
      <c r="D16" s="224" t="str">
        <f>(IF((VLOOKUP(Table10[[#This Row],[SKU]],'All Skus'!$A:$AC,2,FALSE))="Martin",(VLOOKUP(Table10[[#This Row],[SKU]],'All Skus'!$A:$AC,5,FALSE)),""))</f>
        <v>MAR-ACC</v>
      </c>
      <c r="E16" s="223">
        <f>(IF((VLOOKUP(Table10[[#This Row],[SKU]],'All Skus'!$A:$AC,2,FALSE))="Martin",(VLOOKUP(Table10[[#This Row],[SKU]],'All Skus'!$A:$AC,6,FALSE)),""))</f>
        <v>0</v>
      </c>
      <c r="F16" s="155">
        <f>(IF((VLOOKUP(Table10[[#This Row],[SKU]],'All Skus'!$A:$AC,2,FALSE))="Martin",(VLOOKUP(Table10[[#This Row],[SKU]],'All Skus'!$A:$AC,7,FALSE)),""))</f>
        <v>0</v>
      </c>
      <c r="G16" s="223" t="str">
        <f>(IF((VLOOKUP(Table10[[#This Row],[SKU]],'All Skus'!$A:$AC,2,FALSE))="Martin",(VLOOKUP(Table10[[#This Row],[SKU]],'All Skus'!$A:$AC,8,FALSE)),""))</f>
        <v xml:space="preserve">Omega Bracket, M250-300. ¼-turm </v>
      </c>
      <c r="H16" s="223" t="str">
        <f>(IF((VLOOKUP(Table10[[#This Row],[SKU]],'All Skus'!$A:$AC,2,FALSE))="Martin",(VLOOKUP(Table10[[#This Row],[SKU]],'All Skus'!$A:$AC,9,FALSE)),""))</f>
        <v xml:space="preserve">Omega Bracket, M250-300. ¼-turm </v>
      </c>
      <c r="I16" s="225">
        <f>(IF((VLOOKUP(Table10[[#This Row],[SKU]],'All Skus'!$A:$AC,2,FALSE))="Martin",(VLOOKUP(Table10[[#This Row],[SKU]],'All Skus'!$A:$AC,10,FALSE)),""))</f>
        <v>134.59</v>
      </c>
      <c r="J16" s="226">
        <f>(IF((VLOOKUP(Table10[[#This Row],[SKU]],'All Skus'!$A:$AC,2,FALSE))="Martin",(VLOOKUP(Table10[[#This Row],[SKU]],'All Skus'!$A:$AC,11,FALSE)),""))</f>
        <v>134.59</v>
      </c>
      <c r="K16" s="224">
        <f>(IF((VLOOKUP(Table10[[#This Row],[SKU]],'All Skus'!$A:$AC,2,FALSE))="Martin",(VLOOKUP(Table10[[#This Row],[SKU]],'All Skus'!$A:$AC,15,FALSE)),""))</f>
        <v>0</v>
      </c>
      <c r="L16" s="224">
        <f>(IF((VLOOKUP(Table10[[#This Row],[SKU]],'All Skus'!$A:$AC,2,FALSE))="Martin",(VLOOKUP(Table10[[#This Row],[SKU]],'All Skus'!$A:$AC,16,FALSE)),""))</f>
        <v>5706681212156</v>
      </c>
      <c r="M16" s="224">
        <f>(IF((VLOOKUP(Table10[[#This Row],[SKU]],'All Skus'!$A:$AC,2,FALSE))="Martin",(VLOOKUP(Table10[[#This Row],[SKU]],'All Skus'!$A:$AC,17,FALSE)),""))</f>
        <v>0</v>
      </c>
      <c r="N16" s="227">
        <f>(IF((VLOOKUP(Table10[[#This Row],[SKU]],'All Skus'!$A:$AC,2,FALSE))="Martin",(VLOOKUP(Table10[[#This Row],[SKU]],'All Skus'!$A:$AC,18,FALSE)),""))</f>
        <v>0</v>
      </c>
      <c r="O16" s="227">
        <f>(IF((VLOOKUP(Table10[[#This Row],[SKU]],'All Skus'!$A:$AC,2,FALSE))="Martin",(VLOOKUP(Table10[[#This Row],[SKU]],'All Skus'!$A:$AC,19,FALSE)),""))</f>
        <v>0</v>
      </c>
      <c r="P16" s="227">
        <f>(IF((VLOOKUP(Table10[[#This Row],[SKU]],'All Skus'!$A:$AC,2,FALSE))="Martin",(VLOOKUP(Table10[[#This Row],[SKU]],'All Skus'!$A:$AC,20,FALSE)),""))</f>
        <v>0</v>
      </c>
      <c r="Q16" s="227">
        <f>(IF((VLOOKUP(Table10[[#This Row],[SKU]],'All Skus'!$A:$AC,2,FALSE))="Martin",(VLOOKUP(Table10[[#This Row],[SKU]],'All Skus'!$A:$AC,21,FALSE)),""))</f>
        <v>0</v>
      </c>
      <c r="R16" s="224" t="str">
        <f>(IF((VLOOKUP(Table10[[#This Row],[SKU]],'All Skus'!$A:$AC,2,FALSE))="Martin",(VLOOKUP(Table10[[#This Row],[SKU]],'All Skus'!$A:$AC,22,FALSE)),""))</f>
        <v>GB</v>
      </c>
      <c r="S16" s="223">
        <f>(IF((VLOOKUP(Table10[[#This Row],[SKU]],'All Skus'!$A:$AC,2,FALSE))="Martin",(VLOOKUP(Table10[[#This Row],[SKU]],'All Skus'!$A:$AC,23,FALSE)),""))</f>
        <v>0</v>
      </c>
      <c r="T16" s="212" t="str">
        <f>HYPERLINK((IF((VLOOKUP(Table10[[#This Row],[SKU]],'All Skus'!$A:$AC,2,FALSE))="Martin",(VLOOKUP(Table10[[#This Row],[SKU]],'All Skus'!$A:$AC,24,FALSE)),"")))</f>
        <v/>
      </c>
      <c r="U16" s="228">
        <v>14</v>
      </c>
    </row>
    <row r="17" spans="1:21" hidden="1">
      <c r="A17" s="229" t="s">
        <v>1955</v>
      </c>
      <c r="B17" s="224" t="str">
        <f>(IF((VLOOKUP(Table10[[#This Row],[SKU]],'All Skus'!$A:$AC,2,FALSE))="Martin",(VLOOKUP(Table10[[#This Row],[SKU]],'All Skus'!$A:$AC,3,FALSE)),""))</f>
        <v>Accessories</v>
      </c>
      <c r="C17" s="223" t="str">
        <f>(IF((VLOOKUP(Table10[[#This Row],[SKU]],'All Skus'!$A:$AC,2,FALSE))="Martin",(VLOOKUP(Table10[[#This Row],[SKU]],'All Skus'!$A:$AC,4,FALSE)),""))</f>
        <v>Omega Bracket B with 1/4 turn fastners</v>
      </c>
      <c r="D17" s="224" t="str">
        <f>(IF((VLOOKUP(Table10[[#This Row],[SKU]],'All Skus'!$A:$AC,2,FALSE))="Martin",(VLOOKUP(Table10[[#This Row],[SKU]],'All Skus'!$A:$AC,5,FALSE)),""))</f>
        <v>MAR-ACC</v>
      </c>
      <c r="E17" s="223">
        <f>(IF((VLOOKUP(Table10[[#This Row],[SKU]],'All Skus'!$A:$AC,2,FALSE))="Martin",(VLOOKUP(Table10[[#This Row],[SKU]],'All Skus'!$A:$AC,6,FALSE)),""))</f>
        <v>0</v>
      </c>
      <c r="F17" s="155" t="str">
        <f>(IF((VLOOKUP(Table10[[#This Row],[SKU]],'All Skus'!$A:$AC,2,FALSE))="Martin",(VLOOKUP(Table10[[#This Row],[SKU]],'All Skus'!$A:$AC,7,FALSE)),""))</f>
        <v>Only for ERA 300/ERA 400</v>
      </c>
      <c r="G17" s="223" t="str">
        <f>(IF((VLOOKUP(Table10[[#This Row],[SKU]],'All Skus'!$A:$AC,2,FALSE))="Martin",(VLOOKUP(Table10[[#This Row],[SKU]],'All Skus'!$A:$AC,8,FALSE)),""))</f>
        <v>Omega Bracket B with 1/4 turn fastners</v>
      </c>
      <c r="H17" s="223" t="str">
        <f>(IF((VLOOKUP(Table10[[#This Row],[SKU]],'All Skus'!$A:$AC,2,FALSE))="Martin",(VLOOKUP(Table10[[#This Row],[SKU]],'All Skus'!$A:$AC,9,FALSE)),""))</f>
        <v>Omega Bracket B with 1/4 turn fastners</v>
      </c>
      <c r="I17" s="225">
        <f>(IF((VLOOKUP(Table10[[#This Row],[SKU]],'All Skus'!$A:$AC,2,FALSE))="Martin",(VLOOKUP(Table10[[#This Row],[SKU]],'All Skus'!$A:$AC,10,FALSE)),""))</f>
        <v>61.74</v>
      </c>
      <c r="J17" s="226">
        <f>(IF((VLOOKUP(Table10[[#This Row],[SKU]],'All Skus'!$A:$AC,2,FALSE))="Martin",(VLOOKUP(Table10[[#This Row],[SKU]],'All Skus'!$A:$AC,11,FALSE)),""))</f>
        <v>61.74</v>
      </c>
      <c r="K17" s="224">
        <f>(IF((VLOOKUP(Table10[[#This Row],[SKU]],'All Skus'!$A:$AC,2,FALSE))="Martin",(VLOOKUP(Table10[[#This Row],[SKU]],'All Skus'!$A:$AC,15,FALSE)),""))</f>
        <v>0</v>
      </c>
      <c r="L17" s="224">
        <f>(IF((VLOOKUP(Table10[[#This Row],[SKU]],'All Skus'!$A:$AC,2,FALSE))="Martin",(VLOOKUP(Table10[[#This Row],[SKU]],'All Skus'!$A:$AC,16,FALSE)),""))</f>
        <v>688705006505</v>
      </c>
      <c r="M17" s="224">
        <f>(IF((VLOOKUP(Table10[[#This Row],[SKU]],'All Skus'!$A:$AC,2,FALSE))="Martin",(VLOOKUP(Table10[[#This Row],[SKU]],'All Skus'!$A:$AC,17,FALSE)),""))</f>
        <v>0</v>
      </c>
      <c r="N17" s="227">
        <f>(IF((VLOOKUP(Table10[[#This Row],[SKU]],'All Skus'!$A:$AC,2,FALSE))="Martin",(VLOOKUP(Table10[[#This Row],[SKU]],'All Skus'!$A:$AC,18,FALSE)),""))</f>
        <v>0</v>
      </c>
      <c r="O17" s="227">
        <f>(IF((VLOOKUP(Table10[[#This Row],[SKU]],'All Skus'!$A:$AC,2,FALSE))="Martin",(VLOOKUP(Table10[[#This Row],[SKU]],'All Skus'!$A:$AC,19,FALSE)),""))</f>
        <v>0</v>
      </c>
      <c r="P17" s="227">
        <f>(IF((VLOOKUP(Table10[[#This Row],[SKU]],'All Skus'!$A:$AC,2,FALSE))="Martin",(VLOOKUP(Table10[[#This Row],[SKU]],'All Skus'!$A:$AC,20,FALSE)),""))</f>
        <v>0</v>
      </c>
      <c r="Q17" s="227">
        <f>(IF((VLOOKUP(Table10[[#This Row],[SKU]],'All Skus'!$A:$AC,2,FALSE))="Martin",(VLOOKUP(Table10[[#This Row],[SKU]],'All Skus'!$A:$AC,21,FALSE)),""))</f>
        <v>0</v>
      </c>
      <c r="R17" s="224">
        <f>(IF((VLOOKUP(Table10[[#This Row],[SKU]],'All Skus'!$A:$AC,2,FALSE))="Martin",(VLOOKUP(Table10[[#This Row],[SKU]],'All Skus'!$A:$AC,22,FALSE)),""))</f>
        <v>0</v>
      </c>
      <c r="S17" s="223">
        <f>(IF((VLOOKUP(Table10[[#This Row],[SKU]],'All Skus'!$A:$AC,2,FALSE))="Martin",(VLOOKUP(Table10[[#This Row],[SKU]],'All Skus'!$A:$AC,23,FALSE)),""))</f>
        <v>0</v>
      </c>
      <c r="T17" s="212" t="str">
        <f>HYPERLINK((IF((VLOOKUP(Table10[[#This Row],[SKU]],'All Skus'!$A:$AC,2,FALSE))="Martin",(VLOOKUP(Table10[[#This Row],[SKU]],'All Skus'!$A:$AC,24,FALSE)),"")))</f>
        <v/>
      </c>
      <c r="U17" s="228">
        <v>15</v>
      </c>
    </row>
    <row r="18" spans="1:21" hidden="1">
      <c r="A18" s="115" t="s">
        <v>1956</v>
      </c>
      <c r="B18" s="224">
        <f>(IF((VLOOKUP(Table10[[#This Row],[SKU]],'All Skus'!$A:$AC,2,FALSE))="Martin",(VLOOKUP(Table10[[#This Row],[SKU]],'All Skus'!$A:$AC,3,FALSE)),""))</f>
        <v>0</v>
      </c>
      <c r="C18" s="223">
        <f>(IF((VLOOKUP(Table10[[#This Row],[SKU]],'All Skus'!$A:$AC,2,FALSE))="Martin",(VLOOKUP(Table10[[#This Row],[SKU]],'All Skus'!$A:$AC,4,FALSE)),""))</f>
        <v>0</v>
      </c>
      <c r="D18" s="224">
        <f>(IF((VLOOKUP(Table10[[#This Row],[SKU]],'All Skus'!$A:$AC,2,FALSE))="Martin",(VLOOKUP(Table10[[#This Row],[SKU]],'All Skus'!$A:$AC,5,FALSE)),""))</f>
        <v>0</v>
      </c>
      <c r="E18" s="223">
        <f>(IF((VLOOKUP(Table10[[#This Row],[SKU]],'All Skus'!$A:$AC,2,FALSE))="Martin",(VLOOKUP(Table10[[#This Row],[SKU]],'All Skus'!$A:$AC,6,FALSE)),""))</f>
        <v>0</v>
      </c>
      <c r="F18" s="155">
        <f>(IF((VLOOKUP(Table10[[#This Row],[SKU]],'All Skus'!$A:$AC,2,FALSE))="Martin",(VLOOKUP(Table10[[#This Row],[SKU]],'All Skus'!$A:$AC,7,FALSE)),""))</f>
        <v>0</v>
      </c>
      <c r="G18" s="223">
        <f>(IF((VLOOKUP(Table10[[#This Row],[SKU]],'All Skus'!$A:$AC,2,FALSE))="Martin",(VLOOKUP(Table10[[#This Row],[SKU]],'All Skus'!$A:$AC,8,FALSE)),""))</f>
        <v>0</v>
      </c>
      <c r="H18" s="223">
        <f>(IF((VLOOKUP(Table10[[#This Row],[SKU]],'All Skus'!$A:$AC,2,FALSE))="Martin",(VLOOKUP(Table10[[#This Row],[SKU]],'All Skus'!$A:$AC,9,FALSE)),""))</f>
        <v>0</v>
      </c>
      <c r="I18" s="225">
        <f>(IF((VLOOKUP(Table10[[#This Row],[SKU]],'All Skus'!$A:$AC,2,FALSE))="Martin",(VLOOKUP(Table10[[#This Row],[SKU]],'All Skus'!$A:$AC,10,FALSE)),""))</f>
        <v>0</v>
      </c>
      <c r="J18" s="226">
        <f>(IF((VLOOKUP(Table10[[#This Row],[SKU]],'All Skus'!$A:$AC,2,FALSE))="Martin",(VLOOKUP(Table10[[#This Row],[SKU]],'All Skus'!$A:$AC,11,FALSE)),""))</f>
        <v>0</v>
      </c>
      <c r="K18" s="224">
        <f>(IF((VLOOKUP(Table10[[#This Row],[SKU]],'All Skus'!$A:$AC,2,FALSE))="Martin",(VLOOKUP(Table10[[#This Row],[SKU]],'All Skus'!$A:$AC,15,FALSE)),""))</f>
        <v>0</v>
      </c>
      <c r="L18" s="224">
        <f>(IF((VLOOKUP(Table10[[#This Row],[SKU]],'All Skus'!$A:$AC,2,FALSE))="Martin",(VLOOKUP(Table10[[#This Row],[SKU]],'All Skus'!$A:$AC,16,FALSE)),""))</f>
        <v>0</v>
      </c>
      <c r="M18" s="224">
        <f>(IF((VLOOKUP(Table10[[#This Row],[SKU]],'All Skus'!$A:$AC,2,FALSE))="Martin",(VLOOKUP(Table10[[#This Row],[SKU]],'All Skus'!$A:$AC,17,FALSE)),""))</f>
        <v>0</v>
      </c>
      <c r="N18" s="227">
        <f>(IF((VLOOKUP(Table10[[#This Row],[SKU]],'All Skus'!$A:$AC,2,FALSE))="Martin",(VLOOKUP(Table10[[#This Row],[SKU]],'All Skus'!$A:$AC,18,FALSE)),""))</f>
        <v>0</v>
      </c>
      <c r="O18" s="227">
        <f>(IF((VLOOKUP(Table10[[#This Row],[SKU]],'All Skus'!$A:$AC,2,FALSE))="Martin",(VLOOKUP(Table10[[#This Row],[SKU]],'All Skus'!$A:$AC,19,FALSE)),""))</f>
        <v>0</v>
      </c>
      <c r="P18" s="227">
        <f>(IF((VLOOKUP(Table10[[#This Row],[SKU]],'All Skus'!$A:$AC,2,FALSE))="Martin",(VLOOKUP(Table10[[#This Row],[SKU]],'All Skus'!$A:$AC,20,FALSE)),""))</f>
        <v>0</v>
      </c>
      <c r="Q18" s="227">
        <f>(IF((VLOOKUP(Table10[[#This Row],[SKU]],'All Skus'!$A:$AC,2,FALSE))="Martin",(VLOOKUP(Table10[[#This Row],[SKU]],'All Skus'!$A:$AC,21,FALSE)),""))</f>
        <v>0</v>
      </c>
      <c r="R18" s="224">
        <f>(IF((VLOOKUP(Table10[[#This Row],[SKU]],'All Skus'!$A:$AC,2,FALSE))="Martin",(VLOOKUP(Table10[[#This Row],[SKU]],'All Skus'!$A:$AC,22,FALSE)),""))</f>
        <v>0</v>
      </c>
      <c r="S18" s="223">
        <f>(IF((VLOOKUP(Table10[[#This Row],[SKU]],'All Skus'!$A:$AC,2,FALSE))="Martin",(VLOOKUP(Table10[[#This Row],[SKU]],'All Skus'!$A:$AC,23,FALSE)),""))</f>
        <v>0</v>
      </c>
      <c r="T18" s="212" t="str">
        <f>HYPERLINK((IF((VLOOKUP(Table10[[#This Row],[SKU]],'All Skus'!$A:$AC,2,FALSE))="Martin",(VLOOKUP(Table10[[#This Row],[SKU]],'All Skus'!$A:$AC,24,FALSE)),"")))</f>
        <v/>
      </c>
      <c r="U18" s="228">
        <v>16</v>
      </c>
    </row>
    <row r="19" spans="1:21" hidden="1">
      <c r="A19" s="112">
        <v>91602003</v>
      </c>
      <c r="B19" s="224" t="str">
        <f>(IF((VLOOKUP(Table10[[#This Row],[SKU]],'All Skus'!$A:$AC,2,FALSE))="Martin",(VLOOKUP(Table10[[#This Row],[SKU]],'All Skus'!$A:$AC,3,FALSE)),""))</f>
        <v>Accessories</v>
      </c>
      <c r="C19" s="223" t="str">
        <f>(IF((VLOOKUP(Table10[[#This Row],[SKU]],'All Skus'!$A:$AC,2,FALSE))="Martin",(VLOOKUP(Table10[[#This Row],[SKU]],'All Skus'!$A:$AC,4,FALSE)),""))</f>
        <v xml:space="preserve">G-Clamp </v>
      </c>
      <c r="D19" s="224" t="str">
        <f>(IF((VLOOKUP(Table10[[#This Row],[SKU]],'All Skus'!$A:$AC,2,FALSE))="Martin",(VLOOKUP(Table10[[#This Row],[SKU]],'All Skus'!$A:$AC,5,FALSE)),""))</f>
        <v>MAR-ACC</v>
      </c>
      <c r="E19" s="223">
        <f>(IF((VLOOKUP(Table10[[#This Row],[SKU]],'All Skus'!$A:$AC,2,FALSE))="Martin",(VLOOKUP(Table10[[#This Row],[SKU]],'All Skus'!$A:$AC,6,FALSE)),""))</f>
        <v>0</v>
      </c>
      <c r="F19" s="155">
        <f>(IF((VLOOKUP(Table10[[#This Row],[SKU]],'All Skus'!$A:$AC,2,FALSE))="Martin",(VLOOKUP(Table10[[#This Row],[SKU]],'All Skus'!$A:$AC,7,FALSE)),""))</f>
        <v>0</v>
      </c>
      <c r="G19" s="223" t="str">
        <f>(IF((VLOOKUP(Table10[[#This Row],[SKU]],'All Skus'!$A:$AC,2,FALSE))="Martin",(VLOOKUP(Table10[[#This Row],[SKU]],'All Skus'!$A:$AC,8,FALSE)),""))</f>
        <v xml:space="preserve">G-Clamp </v>
      </c>
      <c r="H19" s="223" t="str">
        <f>(IF((VLOOKUP(Table10[[#This Row],[SKU]],'All Skus'!$A:$AC,2,FALSE))="Martin",(VLOOKUP(Table10[[#This Row],[SKU]],'All Skus'!$A:$AC,9,FALSE)),""))</f>
        <v xml:space="preserve">G-Clamp </v>
      </c>
      <c r="I19" s="225">
        <f>(IF((VLOOKUP(Table10[[#This Row],[SKU]],'All Skus'!$A:$AC,2,FALSE))="Martin",(VLOOKUP(Table10[[#This Row],[SKU]],'All Skus'!$A:$AC,10,FALSE)),""))</f>
        <v>33.340000000000003</v>
      </c>
      <c r="J19" s="226">
        <f>(IF((VLOOKUP(Table10[[#This Row],[SKU]],'All Skus'!$A:$AC,2,FALSE))="Martin",(VLOOKUP(Table10[[#This Row],[SKU]],'All Skus'!$A:$AC,11,FALSE)),""))</f>
        <v>33.340000000000003</v>
      </c>
      <c r="K19" s="224">
        <f>(IF((VLOOKUP(Table10[[#This Row],[SKU]],'All Skus'!$A:$AC,2,FALSE))="Martin",(VLOOKUP(Table10[[#This Row],[SKU]],'All Skus'!$A:$AC,15,FALSE)),""))</f>
        <v>0</v>
      </c>
      <c r="L19" s="224">
        <f>(IF((VLOOKUP(Table10[[#This Row],[SKU]],'All Skus'!$A:$AC,2,FALSE))="Martin",(VLOOKUP(Table10[[#This Row],[SKU]],'All Skus'!$A:$AC,16,FALSE)),""))</f>
        <v>0</v>
      </c>
      <c r="M19" s="224">
        <f>(IF((VLOOKUP(Table10[[#This Row],[SKU]],'All Skus'!$A:$AC,2,FALSE))="Martin",(VLOOKUP(Table10[[#This Row],[SKU]],'All Skus'!$A:$AC,17,FALSE)),""))</f>
        <v>0</v>
      </c>
      <c r="N19" s="227">
        <f>(IF((VLOOKUP(Table10[[#This Row],[SKU]],'All Skus'!$A:$AC,2,FALSE))="Martin",(VLOOKUP(Table10[[#This Row],[SKU]],'All Skus'!$A:$AC,18,FALSE)),""))</f>
        <v>7.8740199999999998</v>
      </c>
      <c r="O19" s="227">
        <f>(IF((VLOOKUP(Table10[[#This Row],[SKU]],'All Skus'!$A:$AC,2,FALSE))="Martin",(VLOOKUP(Table10[[#This Row],[SKU]],'All Skus'!$A:$AC,19,FALSE)),""))</f>
        <v>7.8740199999999998</v>
      </c>
      <c r="P19" s="227">
        <f>(IF((VLOOKUP(Table10[[#This Row],[SKU]],'All Skus'!$A:$AC,2,FALSE))="Martin",(VLOOKUP(Table10[[#This Row],[SKU]],'All Skus'!$A:$AC,20,FALSE)),""))</f>
        <v>0</v>
      </c>
      <c r="Q19" s="227">
        <f>(IF((VLOOKUP(Table10[[#This Row],[SKU]],'All Skus'!$A:$AC,2,FALSE))="Martin",(VLOOKUP(Table10[[#This Row],[SKU]],'All Skus'!$A:$AC,21,FALSE)),""))</f>
        <v>0</v>
      </c>
      <c r="R19" s="224" t="str">
        <f>(IF((VLOOKUP(Table10[[#This Row],[SKU]],'All Skus'!$A:$AC,2,FALSE))="Martin",(VLOOKUP(Table10[[#This Row],[SKU]],'All Skus'!$A:$AC,22,FALSE)),""))</f>
        <v>GB</v>
      </c>
      <c r="S19" s="223">
        <f>(IF((VLOOKUP(Table10[[#This Row],[SKU]],'All Skus'!$A:$AC,2,FALSE))="Martin",(VLOOKUP(Table10[[#This Row],[SKU]],'All Skus'!$A:$AC,23,FALSE)),""))</f>
        <v>0</v>
      </c>
      <c r="T19" s="212" t="str">
        <f>HYPERLINK((IF((VLOOKUP(Table10[[#This Row],[SKU]],'All Skus'!$A:$AC,2,FALSE))="Martin",(VLOOKUP(Table10[[#This Row],[SKU]],'All Skus'!$A:$AC,24,FALSE)),"")))</f>
        <v/>
      </c>
      <c r="U19" s="228">
        <v>17</v>
      </c>
    </row>
    <row r="20" spans="1:21" hidden="1">
      <c r="A20" s="112">
        <v>91602005</v>
      </c>
      <c r="B20" s="224" t="str">
        <f>(IF((VLOOKUP(Table10[[#This Row],[SKU]],'All Skus'!$A:$AC,2,FALSE))="Martin",(VLOOKUP(Table10[[#This Row],[SKU]],'All Skus'!$A:$AC,3,FALSE)),""))</f>
        <v>Accessories</v>
      </c>
      <c r="C20" s="223" t="str">
        <f>(IF((VLOOKUP(Table10[[#This Row],[SKU]],'All Skus'!$A:$AC,2,FALSE))="Martin",(VLOOKUP(Table10[[#This Row],[SKU]],'All Skus'!$A:$AC,4,FALSE)),""))</f>
        <v xml:space="preserve">Half-coupler clamp for Ø50 </v>
      </c>
      <c r="D20" s="224" t="str">
        <f>(IF((VLOOKUP(Table10[[#This Row],[SKU]],'All Skus'!$A:$AC,2,FALSE))="Martin",(VLOOKUP(Table10[[#This Row],[SKU]],'All Skus'!$A:$AC,5,FALSE)),""))</f>
        <v>MAR-ACC</v>
      </c>
      <c r="E20" s="223">
        <f>(IF((VLOOKUP(Table10[[#This Row],[SKU]],'All Skus'!$A:$AC,2,FALSE))="Martin",(VLOOKUP(Table10[[#This Row],[SKU]],'All Skus'!$A:$AC,6,FALSE)),""))</f>
        <v>0</v>
      </c>
      <c r="F20" s="155">
        <f>(IF((VLOOKUP(Table10[[#This Row],[SKU]],'All Skus'!$A:$AC,2,FALSE))="Martin",(VLOOKUP(Table10[[#This Row],[SKU]],'All Skus'!$A:$AC,7,FALSE)),""))</f>
        <v>0</v>
      </c>
      <c r="G20" s="223" t="str">
        <f>(IF((VLOOKUP(Table10[[#This Row],[SKU]],'All Skus'!$A:$AC,2,FALSE))="Martin",(VLOOKUP(Table10[[#This Row],[SKU]],'All Skus'!$A:$AC,8,FALSE)),""))</f>
        <v xml:space="preserve">Half-coupler clamp for Ø50 </v>
      </c>
      <c r="H20" s="223" t="str">
        <f>(IF((VLOOKUP(Table10[[#This Row],[SKU]],'All Skus'!$A:$AC,2,FALSE))="Martin",(VLOOKUP(Table10[[#This Row],[SKU]],'All Skus'!$A:$AC,9,FALSE)),""))</f>
        <v xml:space="preserve">Half-coupler clamp for Ø50 </v>
      </c>
      <c r="I20" s="225">
        <f>(IF((VLOOKUP(Table10[[#This Row],[SKU]],'All Skus'!$A:$AC,2,FALSE))="Martin",(VLOOKUP(Table10[[#This Row],[SKU]],'All Skus'!$A:$AC,10,FALSE)),""))</f>
        <v>27.16</v>
      </c>
      <c r="J20" s="226">
        <f>(IF((VLOOKUP(Table10[[#This Row],[SKU]],'All Skus'!$A:$AC,2,FALSE))="Martin",(VLOOKUP(Table10[[#This Row],[SKU]],'All Skus'!$A:$AC,11,FALSE)),""))</f>
        <v>27.16</v>
      </c>
      <c r="K20" s="224">
        <f>(IF((VLOOKUP(Table10[[#This Row],[SKU]],'All Skus'!$A:$AC,2,FALSE))="Martin",(VLOOKUP(Table10[[#This Row],[SKU]],'All Skus'!$A:$AC,15,FALSE)),""))</f>
        <v>0</v>
      </c>
      <c r="L20" s="224">
        <f>(IF((VLOOKUP(Table10[[#This Row],[SKU]],'All Skus'!$A:$AC,2,FALSE))="Martin",(VLOOKUP(Table10[[#This Row],[SKU]],'All Skus'!$A:$AC,16,FALSE)),""))</f>
        <v>5706681212187</v>
      </c>
      <c r="M20" s="224">
        <f>(IF((VLOOKUP(Table10[[#This Row],[SKU]],'All Skus'!$A:$AC,2,FALSE))="Martin",(VLOOKUP(Table10[[#This Row],[SKU]],'All Skus'!$A:$AC,17,FALSE)),""))</f>
        <v>0</v>
      </c>
      <c r="N20" s="227">
        <f>(IF((VLOOKUP(Table10[[#This Row],[SKU]],'All Skus'!$A:$AC,2,FALSE))="Martin",(VLOOKUP(Table10[[#This Row],[SKU]],'All Skus'!$A:$AC,18,FALSE)),""))</f>
        <v>18.110246</v>
      </c>
      <c r="O20" s="227">
        <f>(IF((VLOOKUP(Table10[[#This Row],[SKU]],'All Skus'!$A:$AC,2,FALSE))="Martin",(VLOOKUP(Table10[[#This Row],[SKU]],'All Skus'!$A:$AC,19,FALSE)),""))</f>
        <v>18.110246</v>
      </c>
      <c r="P20" s="227">
        <f>(IF((VLOOKUP(Table10[[#This Row],[SKU]],'All Skus'!$A:$AC,2,FALSE))="Martin",(VLOOKUP(Table10[[#This Row],[SKU]],'All Skus'!$A:$AC,20,FALSE)),""))</f>
        <v>0</v>
      </c>
      <c r="Q20" s="227">
        <f>(IF((VLOOKUP(Table10[[#This Row],[SKU]],'All Skus'!$A:$AC,2,FALSE))="Martin",(VLOOKUP(Table10[[#This Row],[SKU]],'All Skus'!$A:$AC,21,FALSE)),""))</f>
        <v>0</v>
      </c>
      <c r="R20" s="224" t="str">
        <f>(IF((VLOOKUP(Table10[[#This Row],[SKU]],'All Skus'!$A:$AC,2,FALSE))="Martin",(VLOOKUP(Table10[[#This Row],[SKU]],'All Skus'!$A:$AC,22,FALSE)),""))</f>
        <v>GB</v>
      </c>
      <c r="S20" s="223">
        <f>(IF((VLOOKUP(Table10[[#This Row],[SKU]],'All Skus'!$A:$AC,2,FALSE))="Martin",(VLOOKUP(Table10[[#This Row],[SKU]],'All Skus'!$A:$AC,23,FALSE)),""))</f>
        <v>0</v>
      </c>
      <c r="T20" s="212" t="str">
        <f>HYPERLINK((IF((VLOOKUP(Table10[[#This Row],[SKU]],'All Skus'!$A:$AC,2,FALSE))="Martin",(VLOOKUP(Table10[[#This Row],[SKU]],'All Skus'!$A:$AC,24,FALSE)),"")))</f>
        <v/>
      </c>
      <c r="U20" s="228">
        <v>18</v>
      </c>
    </row>
    <row r="21" spans="1:21" hidden="1">
      <c r="A21" s="112">
        <v>91602007</v>
      </c>
      <c r="B21" s="224" t="str">
        <f>(IF((VLOOKUP(Table10[[#This Row],[SKU]],'All Skus'!$A:$AC,2,FALSE))="Martin",(VLOOKUP(Table10[[#This Row],[SKU]],'All Skus'!$A:$AC,3,FALSE)),""))</f>
        <v>Accessories</v>
      </c>
      <c r="C21" s="223" t="str">
        <f>(IF((VLOOKUP(Table10[[#This Row],[SKU]],'All Skus'!$A:$AC,2,FALSE))="Martin",(VLOOKUP(Table10[[#This Row],[SKU]],'All Skus'!$A:$AC,4,FALSE)),""))</f>
        <v xml:space="preserve">Quick-trigger clamp Ø38.1-51mm </v>
      </c>
      <c r="D21" s="224" t="str">
        <f>(IF((VLOOKUP(Table10[[#This Row],[SKU]],'All Skus'!$A:$AC,2,FALSE))="Martin",(VLOOKUP(Table10[[#This Row],[SKU]],'All Skus'!$A:$AC,5,FALSE)),""))</f>
        <v>MAR-ACC</v>
      </c>
      <c r="E21" s="223">
        <f>(IF((VLOOKUP(Table10[[#This Row],[SKU]],'All Skus'!$A:$AC,2,FALSE))="Martin",(VLOOKUP(Table10[[#This Row],[SKU]],'All Skus'!$A:$AC,6,FALSE)),""))</f>
        <v>0</v>
      </c>
      <c r="F21" s="155">
        <f>(IF((VLOOKUP(Table10[[#This Row],[SKU]],'All Skus'!$A:$AC,2,FALSE))="Martin",(VLOOKUP(Table10[[#This Row],[SKU]],'All Skus'!$A:$AC,7,FALSE)),""))</f>
        <v>0</v>
      </c>
      <c r="G21" s="223" t="str">
        <f>(IF((VLOOKUP(Table10[[#This Row],[SKU]],'All Skus'!$A:$AC,2,FALSE))="Martin",(VLOOKUP(Table10[[#This Row],[SKU]],'All Skus'!$A:$AC,8,FALSE)),""))</f>
        <v xml:space="preserve">Quick-trigger clamp Ø38.1-51mm </v>
      </c>
      <c r="H21" s="223" t="str">
        <f>(IF((VLOOKUP(Table10[[#This Row],[SKU]],'All Skus'!$A:$AC,2,FALSE))="Martin",(VLOOKUP(Table10[[#This Row],[SKU]],'All Skus'!$A:$AC,9,FALSE)),""))</f>
        <v xml:space="preserve">Quick-trigger clamp Ø38.1-51mm </v>
      </c>
      <c r="I21" s="225">
        <f>(IF((VLOOKUP(Table10[[#This Row],[SKU]],'All Skus'!$A:$AC,2,FALSE))="Martin",(VLOOKUP(Table10[[#This Row],[SKU]],'All Skus'!$A:$AC,10,FALSE)),""))</f>
        <v>59.27</v>
      </c>
      <c r="J21" s="226">
        <f>(IF((VLOOKUP(Table10[[#This Row],[SKU]],'All Skus'!$A:$AC,2,FALSE))="Martin",(VLOOKUP(Table10[[#This Row],[SKU]],'All Skus'!$A:$AC,11,FALSE)),""))</f>
        <v>59.27</v>
      </c>
      <c r="K21" s="224">
        <f>(IF((VLOOKUP(Table10[[#This Row],[SKU]],'All Skus'!$A:$AC,2,FALSE))="Martin",(VLOOKUP(Table10[[#This Row],[SKU]],'All Skus'!$A:$AC,15,FALSE)),""))</f>
        <v>0</v>
      </c>
      <c r="L21" s="224">
        <f>(IF((VLOOKUP(Table10[[#This Row],[SKU]],'All Skus'!$A:$AC,2,FALSE))="Martin",(VLOOKUP(Table10[[#This Row],[SKU]],'All Skus'!$A:$AC,16,FALSE)),""))</f>
        <v>5706681212194</v>
      </c>
      <c r="M21" s="224">
        <f>(IF((VLOOKUP(Table10[[#This Row],[SKU]],'All Skus'!$A:$AC,2,FALSE))="Martin",(VLOOKUP(Table10[[#This Row],[SKU]],'All Skus'!$A:$AC,17,FALSE)),""))</f>
        <v>0</v>
      </c>
      <c r="N21" s="227">
        <f>(IF((VLOOKUP(Table10[[#This Row],[SKU]],'All Skus'!$A:$AC,2,FALSE))="Martin",(VLOOKUP(Table10[[#This Row],[SKU]],'All Skus'!$A:$AC,18,FALSE)),""))</f>
        <v>18.110246</v>
      </c>
      <c r="O21" s="227">
        <f>(IF((VLOOKUP(Table10[[#This Row],[SKU]],'All Skus'!$A:$AC,2,FALSE))="Martin",(VLOOKUP(Table10[[#This Row],[SKU]],'All Skus'!$A:$AC,19,FALSE)),""))</f>
        <v>18.110246</v>
      </c>
      <c r="P21" s="227">
        <f>(IF((VLOOKUP(Table10[[#This Row],[SKU]],'All Skus'!$A:$AC,2,FALSE))="Martin",(VLOOKUP(Table10[[#This Row],[SKU]],'All Skus'!$A:$AC,20,FALSE)),""))</f>
        <v>0</v>
      </c>
      <c r="Q21" s="227">
        <f>(IF((VLOOKUP(Table10[[#This Row],[SKU]],'All Skus'!$A:$AC,2,FALSE))="Martin",(VLOOKUP(Table10[[#This Row],[SKU]],'All Skus'!$A:$AC,21,FALSE)),""))</f>
        <v>0</v>
      </c>
      <c r="R21" s="224" t="str">
        <f>(IF((VLOOKUP(Table10[[#This Row],[SKU]],'All Skus'!$A:$AC,2,FALSE))="Martin",(VLOOKUP(Table10[[#This Row],[SKU]],'All Skus'!$A:$AC,22,FALSE)),""))</f>
        <v>GB</v>
      </c>
      <c r="S21" s="223">
        <f>(IF((VLOOKUP(Table10[[#This Row],[SKU]],'All Skus'!$A:$AC,2,FALSE))="Martin",(VLOOKUP(Table10[[#This Row],[SKU]],'All Skus'!$A:$AC,23,FALSE)),""))</f>
        <v>0</v>
      </c>
      <c r="T21" s="212" t="str">
        <f>HYPERLINK((IF((VLOOKUP(Table10[[#This Row],[SKU]],'All Skus'!$A:$AC,2,FALSE))="Martin",(VLOOKUP(Table10[[#This Row],[SKU]],'All Skus'!$A:$AC,24,FALSE)),"")))</f>
        <v/>
      </c>
      <c r="U21" s="228">
        <v>19</v>
      </c>
    </row>
    <row r="22" spans="1:21" hidden="1">
      <c r="A22" s="112">
        <v>91602018</v>
      </c>
      <c r="B22" s="224" t="str">
        <f>(IF((VLOOKUP(Table10[[#This Row],[SKU]],'All Skus'!$A:$AC,2,FALSE))="Martin",(VLOOKUP(Table10[[#This Row],[SKU]],'All Skus'!$A:$AC,3,FALSE)),""))</f>
        <v>LED Video</v>
      </c>
      <c r="C22" s="223" t="str">
        <f>(IF((VLOOKUP(Table10[[#This Row],[SKU]],'All Skus'!$A:$AC,2,FALSE))="Martin",(VLOOKUP(Table10[[#This Row],[SKU]],'All Skus'!$A:$AC,4,FALSE)),""))</f>
        <v>Super Lightweight Half Coupler Black</v>
      </c>
      <c r="D22" s="224" t="str">
        <f>(IF((VLOOKUP(Table10[[#This Row],[SKU]],'All Skus'!$A:$AC,2,FALSE))="Martin",(VLOOKUP(Table10[[#This Row],[SKU]],'All Skus'!$A:$AC,5,FALSE)),""))</f>
        <v>MAR-ACC</v>
      </c>
      <c r="E22" s="223">
        <f>(IF((VLOOKUP(Table10[[#This Row],[SKU]],'All Skus'!$A:$AC,2,FALSE))="Martin",(VLOOKUP(Table10[[#This Row],[SKU]],'All Skus'!$A:$AC,6,FALSE)),""))</f>
        <v>0</v>
      </c>
      <c r="F22" s="155">
        <f>(IF((VLOOKUP(Table10[[#This Row],[SKU]],'All Skus'!$A:$AC,2,FALSE))="Martin",(VLOOKUP(Table10[[#This Row],[SKU]],'All Skus'!$A:$AC,7,FALSE)),""))</f>
        <v>0</v>
      </c>
      <c r="G22" s="223" t="str">
        <f>(IF((VLOOKUP(Table10[[#This Row],[SKU]],'All Skus'!$A:$AC,2,FALSE))="Martin",(VLOOKUP(Table10[[#This Row],[SKU]],'All Skus'!$A:$AC,8,FALSE)),""))</f>
        <v>Super Lightweight Half Coupler Black</v>
      </c>
      <c r="H22" s="223" t="str">
        <f>(IF((VLOOKUP(Table10[[#This Row],[SKU]],'All Skus'!$A:$AC,2,FALSE))="Martin",(VLOOKUP(Table10[[#This Row],[SKU]],'All Skus'!$A:$AC,9,FALSE)),""))</f>
        <v>Super Lightweight Half Coupler Black</v>
      </c>
      <c r="I22" s="225">
        <f>(IF((VLOOKUP(Table10[[#This Row],[SKU]],'All Skus'!$A:$AC,2,FALSE))="Martin",(VLOOKUP(Table10[[#This Row],[SKU]],'All Skus'!$A:$AC,10,FALSE)),""))</f>
        <v>43.22</v>
      </c>
      <c r="J22" s="226">
        <f>(IF((VLOOKUP(Table10[[#This Row],[SKU]],'All Skus'!$A:$AC,2,FALSE))="Martin",(VLOOKUP(Table10[[#This Row],[SKU]],'All Skus'!$A:$AC,11,FALSE)),""))</f>
        <v>43.22</v>
      </c>
      <c r="K22" s="224">
        <f>(IF((VLOOKUP(Table10[[#This Row],[SKU]],'All Skus'!$A:$AC,2,FALSE))="Martin",(VLOOKUP(Table10[[#This Row],[SKU]],'All Skus'!$A:$AC,15,FALSE)),""))</f>
        <v>0</v>
      </c>
      <c r="L22" s="224">
        <f>(IF((VLOOKUP(Table10[[#This Row],[SKU]],'All Skus'!$A:$AC,2,FALSE))="Martin",(VLOOKUP(Table10[[#This Row],[SKU]],'All Skus'!$A:$AC,16,FALSE)),""))</f>
        <v>5706681230167</v>
      </c>
      <c r="M22" s="224">
        <f>(IF((VLOOKUP(Table10[[#This Row],[SKU]],'All Skus'!$A:$AC,2,FALSE))="Martin",(VLOOKUP(Table10[[#This Row],[SKU]],'All Skus'!$A:$AC,17,FALSE)),""))</f>
        <v>0</v>
      </c>
      <c r="N22" s="227">
        <f>(IF((VLOOKUP(Table10[[#This Row],[SKU]],'All Skus'!$A:$AC,2,FALSE))="Martin",(VLOOKUP(Table10[[#This Row],[SKU]],'All Skus'!$A:$AC,18,FALSE)),""))</f>
        <v>28.740172999999999</v>
      </c>
      <c r="O22" s="227">
        <f>(IF((VLOOKUP(Table10[[#This Row],[SKU]],'All Skus'!$A:$AC,2,FALSE))="Martin",(VLOOKUP(Table10[[#This Row],[SKU]],'All Skus'!$A:$AC,19,FALSE)),""))</f>
        <v>28.740172999999999</v>
      </c>
      <c r="P22" s="227">
        <f>(IF((VLOOKUP(Table10[[#This Row],[SKU]],'All Skus'!$A:$AC,2,FALSE))="Martin",(VLOOKUP(Table10[[#This Row],[SKU]],'All Skus'!$A:$AC,20,FALSE)),""))</f>
        <v>0</v>
      </c>
      <c r="Q22" s="227">
        <f>(IF((VLOOKUP(Table10[[#This Row],[SKU]],'All Skus'!$A:$AC,2,FALSE))="Martin",(VLOOKUP(Table10[[#This Row],[SKU]],'All Skus'!$A:$AC,21,FALSE)),""))</f>
        <v>0</v>
      </c>
      <c r="R22" s="224" t="str">
        <f>(IF((VLOOKUP(Table10[[#This Row],[SKU]],'All Skus'!$A:$AC,2,FALSE))="Martin",(VLOOKUP(Table10[[#This Row],[SKU]],'All Skus'!$A:$AC,22,FALSE)),""))</f>
        <v>GB</v>
      </c>
      <c r="S22" s="223">
        <f>(IF((VLOOKUP(Table10[[#This Row],[SKU]],'All Skus'!$A:$AC,2,FALSE))="Martin",(VLOOKUP(Table10[[#This Row],[SKU]],'All Skus'!$A:$AC,23,FALSE)),""))</f>
        <v>0</v>
      </c>
      <c r="T22" s="212" t="str">
        <f>HYPERLINK((IF((VLOOKUP(Table10[[#This Row],[SKU]],'All Skus'!$A:$AC,2,FALSE))="Martin",(VLOOKUP(Table10[[#This Row],[SKU]],'All Skus'!$A:$AC,24,FALSE)),"")))</f>
        <v>http://www.martin.com/en-us/product-details/vdo-sceptron-10</v>
      </c>
      <c r="U22" s="228">
        <v>20</v>
      </c>
    </row>
    <row r="23" spans="1:21" hidden="1">
      <c r="A23" s="115" t="s">
        <v>1957</v>
      </c>
      <c r="B23" s="224">
        <f>(IF((VLOOKUP(Table10[[#This Row],[SKU]],'All Skus'!$A:$AC,2,FALSE))="Martin",(VLOOKUP(Table10[[#This Row],[SKU]],'All Skus'!$A:$AC,3,FALSE)),""))</f>
        <v>0</v>
      </c>
      <c r="C23" s="223">
        <f>(IF((VLOOKUP(Table10[[#This Row],[SKU]],'All Skus'!$A:$AC,2,FALSE))="Martin",(VLOOKUP(Table10[[#This Row],[SKU]],'All Skus'!$A:$AC,4,FALSE)),""))</f>
        <v>0</v>
      </c>
      <c r="D23" s="224">
        <f>(IF((VLOOKUP(Table10[[#This Row],[SKU]],'All Skus'!$A:$AC,2,FALSE))="Martin",(VLOOKUP(Table10[[#This Row],[SKU]],'All Skus'!$A:$AC,5,FALSE)),""))</f>
        <v>0</v>
      </c>
      <c r="E23" s="223">
        <f>(IF((VLOOKUP(Table10[[#This Row],[SKU]],'All Skus'!$A:$AC,2,FALSE))="Martin",(VLOOKUP(Table10[[#This Row],[SKU]],'All Skus'!$A:$AC,6,FALSE)),""))</f>
        <v>0</v>
      </c>
      <c r="F23" s="155">
        <f>(IF((VLOOKUP(Table10[[#This Row],[SKU]],'All Skus'!$A:$AC,2,FALSE))="Martin",(VLOOKUP(Table10[[#This Row],[SKU]],'All Skus'!$A:$AC,7,FALSE)),""))</f>
        <v>0</v>
      </c>
      <c r="G23" s="223">
        <f>(IF((VLOOKUP(Table10[[#This Row],[SKU]],'All Skus'!$A:$AC,2,FALSE))="Martin",(VLOOKUP(Table10[[#This Row],[SKU]],'All Skus'!$A:$AC,8,FALSE)),""))</f>
        <v>0</v>
      </c>
      <c r="H23" s="223">
        <f>(IF((VLOOKUP(Table10[[#This Row],[SKU]],'All Skus'!$A:$AC,2,FALSE))="Martin",(VLOOKUP(Table10[[#This Row],[SKU]],'All Skus'!$A:$AC,9,FALSE)),""))</f>
        <v>0</v>
      </c>
      <c r="I23" s="225">
        <f>(IF((VLOOKUP(Table10[[#This Row],[SKU]],'All Skus'!$A:$AC,2,FALSE))="Martin",(VLOOKUP(Table10[[#This Row],[SKU]],'All Skus'!$A:$AC,10,FALSE)),""))</f>
        <v>0</v>
      </c>
      <c r="J23" s="226">
        <f>(IF((VLOOKUP(Table10[[#This Row],[SKU]],'All Skus'!$A:$AC,2,FALSE))="Martin",(VLOOKUP(Table10[[#This Row],[SKU]],'All Skus'!$A:$AC,11,FALSE)),""))</f>
        <v>0</v>
      </c>
      <c r="K23" s="224">
        <f>(IF((VLOOKUP(Table10[[#This Row],[SKU]],'All Skus'!$A:$AC,2,FALSE))="Martin",(VLOOKUP(Table10[[#This Row],[SKU]],'All Skus'!$A:$AC,15,FALSE)),""))</f>
        <v>0</v>
      </c>
      <c r="L23" s="224">
        <f>(IF((VLOOKUP(Table10[[#This Row],[SKU]],'All Skus'!$A:$AC,2,FALSE))="Martin",(VLOOKUP(Table10[[#This Row],[SKU]],'All Skus'!$A:$AC,16,FALSE)),""))</f>
        <v>0</v>
      </c>
      <c r="M23" s="224">
        <f>(IF((VLOOKUP(Table10[[#This Row],[SKU]],'All Skus'!$A:$AC,2,FALSE))="Martin",(VLOOKUP(Table10[[#This Row],[SKU]],'All Skus'!$A:$AC,17,FALSE)),""))</f>
        <v>0</v>
      </c>
      <c r="N23" s="227">
        <f>(IF((VLOOKUP(Table10[[#This Row],[SKU]],'All Skus'!$A:$AC,2,FALSE))="Martin",(VLOOKUP(Table10[[#This Row],[SKU]],'All Skus'!$A:$AC,18,FALSE)),""))</f>
        <v>0</v>
      </c>
      <c r="O23" s="227">
        <f>(IF((VLOOKUP(Table10[[#This Row],[SKU]],'All Skus'!$A:$AC,2,FALSE))="Martin",(VLOOKUP(Table10[[#This Row],[SKU]],'All Skus'!$A:$AC,19,FALSE)),""))</f>
        <v>0</v>
      </c>
      <c r="P23" s="227">
        <f>(IF((VLOOKUP(Table10[[#This Row],[SKU]],'All Skus'!$A:$AC,2,FALSE))="Martin",(VLOOKUP(Table10[[#This Row],[SKU]],'All Skus'!$A:$AC,20,FALSE)),""))</f>
        <v>0</v>
      </c>
      <c r="Q23" s="227">
        <f>(IF((VLOOKUP(Table10[[#This Row],[SKU]],'All Skus'!$A:$AC,2,FALSE))="Martin",(VLOOKUP(Table10[[#This Row],[SKU]],'All Skus'!$A:$AC,21,FALSE)),""))</f>
        <v>0</v>
      </c>
      <c r="R23" s="224">
        <f>(IF((VLOOKUP(Table10[[#This Row],[SKU]],'All Skus'!$A:$AC,2,FALSE))="Martin",(VLOOKUP(Table10[[#This Row],[SKU]],'All Skus'!$A:$AC,22,FALSE)),""))</f>
        <v>0</v>
      </c>
      <c r="S23" s="223">
        <f>(IF((VLOOKUP(Table10[[#This Row],[SKU]],'All Skus'!$A:$AC,2,FALSE))="Martin",(VLOOKUP(Table10[[#This Row],[SKU]],'All Skus'!$A:$AC,23,FALSE)),""))</f>
        <v>0</v>
      </c>
      <c r="T23" s="212" t="str">
        <f>HYPERLINK((IF((VLOOKUP(Table10[[#This Row],[SKU]],'All Skus'!$A:$AC,2,FALSE))="Martin",(VLOOKUP(Table10[[#This Row],[SKU]],'All Skus'!$A:$AC,24,FALSE)),"")))</f>
        <v/>
      </c>
      <c r="U23" s="228">
        <v>21</v>
      </c>
    </row>
    <row r="24" spans="1:21" hidden="1">
      <c r="A24" s="112">
        <v>91604006</v>
      </c>
      <c r="B24" s="224" t="str">
        <f>(IF((VLOOKUP(Table10[[#This Row],[SKU]],'All Skus'!$A:$AC,2,FALSE))="Martin",(VLOOKUP(Table10[[#This Row],[SKU]],'All Skus'!$A:$AC,3,FALSE)),""))</f>
        <v>Accessories</v>
      </c>
      <c r="C24" s="223" t="str">
        <f>(IF((VLOOKUP(Table10[[#This Row],[SKU]],'All Skus'!$A:$AC,2,FALSE))="Martin",(VLOOKUP(Table10[[#This Row],[SKU]],'All Skus'!$A:$AC,4,FALSE)),""))</f>
        <v>Safety Cable, SWL 60 kg, BGV C1 / DGUV 17, black</v>
      </c>
      <c r="D24" s="224" t="str">
        <f>(IF((VLOOKUP(Table10[[#This Row],[SKU]],'All Skus'!$A:$AC,2,FALSE))="Martin",(VLOOKUP(Table10[[#This Row],[SKU]],'All Skus'!$A:$AC,5,FALSE)),""))</f>
        <v>MAR-ACC</v>
      </c>
      <c r="E24" s="223">
        <f>(IF((VLOOKUP(Table10[[#This Row],[SKU]],'All Skus'!$A:$AC,2,FALSE))="Martin",(VLOOKUP(Table10[[#This Row],[SKU]],'All Skus'!$A:$AC,6,FALSE)),""))</f>
        <v>0</v>
      </c>
      <c r="F24" s="155">
        <f>(IF((VLOOKUP(Table10[[#This Row],[SKU]],'All Skus'!$A:$AC,2,FALSE))="Martin",(VLOOKUP(Table10[[#This Row],[SKU]],'All Skus'!$A:$AC,7,FALSE)),""))</f>
        <v>0</v>
      </c>
      <c r="G24" s="223" t="str">
        <f>(IF((VLOOKUP(Table10[[#This Row],[SKU]],'All Skus'!$A:$AC,2,FALSE))="Martin",(VLOOKUP(Table10[[#This Row],[SKU]],'All Skus'!$A:$AC,8,FALSE)),""))</f>
        <v>Safety Cable, SWL 60 kg, BGV C1 / DGUV 17, black</v>
      </c>
      <c r="H24" s="223" t="str">
        <f>(IF((VLOOKUP(Table10[[#This Row],[SKU]],'All Skus'!$A:$AC,2,FALSE))="Martin",(VLOOKUP(Table10[[#This Row],[SKU]],'All Skus'!$A:$AC,9,FALSE)),""))</f>
        <v>Safety Cable, SWL 60 kg, BGV C1 / DGUV 17, black</v>
      </c>
      <c r="I24" s="225">
        <f>(IF((VLOOKUP(Table10[[#This Row],[SKU]],'All Skus'!$A:$AC,2,FALSE))="Martin",(VLOOKUP(Table10[[#This Row],[SKU]],'All Skus'!$A:$AC,10,FALSE)),""))</f>
        <v>43.22</v>
      </c>
      <c r="J24" s="226">
        <f>(IF((VLOOKUP(Table10[[#This Row],[SKU]],'All Skus'!$A:$AC,2,FALSE))="Martin",(VLOOKUP(Table10[[#This Row],[SKU]],'All Skus'!$A:$AC,11,FALSE)),""))</f>
        <v>43.22</v>
      </c>
      <c r="K24" s="224">
        <f>(IF((VLOOKUP(Table10[[#This Row],[SKU]],'All Skus'!$A:$AC,2,FALSE))="Martin",(VLOOKUP(Table10[[#This Row],[SKU]],'All Skus'!$A:$AC,15,FALSE)),""))</f>
        <v>0</v>
      </c>
      <c r="L24" s="224">
        <f>(IF((VLOOKUP(Table10[[#This Row],[SKU]],'All Skus'!$A:$AC,2,FALSE))="Martin",(VLOOKUP(Table10[[#This Row],[SKU]],'All Skus'!$A:$AC,16,FALSE)),""))</f>
        <v>688705000657</v>
      </c>
      <c r="M24" s="224">
        <f>(IF((VLOOKUP(Table10[[#This Row],[SKU]],'All Skus'!$A:$AC,2,FALSE))="Martin",(VLOOKUP(Table10[[#This Row],[SKU]],'All Skus'!$A:$AC,17,FALSE)),""))</f>
        <v>0</v>
      </c>
      <c r="N24" s="227">
        <f>(IF((VLOOKUP(Table10[[#This Row],[SKU]],'All Skus'!$A:$AC,2,FALSE))="Martin",(VLOOKUP(Table10[[#This Row],[SKU]],'All Skus'!$A:$AC,18,FALSE)),""))</f>
        <v>0</v>
      </c>
      <c r="O24" s="227">
        <f>(IF((VLOOKUP(Table10[[#This Row],[SKU]],'All Skus'!$A:$AC,2,FALSE))="Martin",(VLOOKUP(Table10[[#This Row],[SKU]],'All Skus'!$A:$AC,19,FALSE)),""))</f>
        <v>0</v>
      </c>
      <c r="P24" s="227">
        <f>(IF((VLOOKUP(Table10[[#This Row],[SKU]],'All Skus'!$A:$AC,2,FALSE))="Martin",(VLOOKUP(Table10[[#This Row],[SKU]],'All Skus'!$A:$AC,20,FALSE)),""))</f>
        <v>0</v>
      </c>
      <c r="Q24" s="227">
        <f>(IF((VLOOKUP(Table10[[#This Row],[SKU]],'All Skus'!$A:$AC,2,FALSE))="Martin",(VLOOKUP(Table10[[#This Row],[SKU]],'All Skus'!$A:$AC,21,FALSE)),""))</f>
        <v>0</v>
      </c>
      <c r="R24" s="224" t="str">
        <f>(IF((VLOOKUP(Table10[[#This Row],[SKU]],'All Skus'!$A:$AC,2,FALSE))="Martin",(VLOOKUP(Table10[[#This Row],[SKU]],'All Skus'!$A:$AC,22,FALSE)),""))</f>
        <v>DE</v>
      </c>
      <c r="S24" s="223">
        <f>(IF((VLOOKUP(Table10[[#This Row],[SKU]],'All Skus'!$A:$AC,2,FALSE))="Martin",(VLOOKUP(Table10[[#This Row],[SKU]],'All Skus'!$A:$AC,23,FALSE)),""))</f>
        <v>0</v>
      </c>
      <c r="T24" s="212" t="str">
        <f>HYPERLINK((IF((VLOOKUP(Table10[[#This Row],[SKU]],'All Skus'!$A:$AC,2,FALSE))="Martin",(VLOOKUP(Table10[[#This Row],[SKU]],'All Skus'!$A:$AC,24,FALSE)),"")))</f>
        <v/>
      </c>
      <c r="U24" s="228">
        <v>22</v>
      </c>
    </row>
    <row r="25" spans="1:21" hidden="1">
      <c r="A25" s="112">
        <v>91604007</v>
      </c>
      <c r="B25" s="224">
        <f>(IF((VLOOKUP(Table10[[#This Row],[SKU]],'All Skus'!$A:$AC,2,FALSE))="Martin",(VLOOKUP(Table10[[#This Row],[SKU]],'All Skus'!$A:$AC,3,FALSE)),""))</f>
        <v>0</v>
      </c>
      <c r="C25" s="223" t="str">
        <f>(IF((VLOOKUP(Table10[[#This Row],[SKU]],'All Skus'!$A:$AC,2,FALSE))="Martin",(VLOOKUP(Table10[[#This Row],[SKU]],'All Skus'!$A:$AC,4,FALSE)),""))</f>
        <v>Safety Cable, SWL 60 kg, BGV C1 / DGUV 17, silver</v>
      </c>
      <c r="D25" s="224" t="str">
        <f>(IF((VLOOKUP(Table10[[#This Row],[SKU]],'All Skus'!$A:$AC,2,FALSE))="Martin",(VLOOKUP(Table10[[#This Row],[SKU]],'All Skus'!$A:$AC,5,FALSE)),""))</f>
        <v>MAR-ACC</v>
      </c>
      <c r="E25" s="223">
        <f>(IF((VLOOKUP(Table10[[#This Row],[SKU]],'All Skus'!$A:$AC,2,FALSE))="Martin",(VLOOKUP(Table10[[#This Row],[SKU]],'All Skus'!$A:$AC,6,FALSE)),""))</f>
        <v>0</v>
      </c>
      <c r="F25" s="155">
        <f>(IF((VLOOKUP(Table10[[#This Row],[SKU]],'All Skus'!$A:$AC,2,FALSE))="Martin",(VLOOKUP(Table10[[#This Row],[SKU]],'All Skus'!$A:$AC,7,FALSE)),""))</f>
        <v>0</v>
      </c>
      <c r="G25" s="223" t="str">
        <f>(IF((VLOOKUP(Table10[[#This Row],[SKU]],'All Skus'!$A:$AC,2,FALSE))="Martin",(VLOOKUP(Table10[[#This Row],[SKU]],'All Skus'!$A:$AC,8,FALSE)),""))</f>
        <v>Safety Cable, SWL 60 kg, BGV C1 / DGUV 17, silver</v>
      </c>
      <c r="H25" s="223" t="str">
        <f>(IF((VLOOKUP(Table10[[#This Row],[SKU]],'All Skus'!$A:$AC,2,FALSE))="Martin",(VLOOKUP(Table10[[#This Row],[SKU]],'All Skus'!$A:$AC,9,FALSE)),""))</f>
        <v>Safety Cable, SWL 60 kg, BGV C1 / DGUV 17, silver</v>
      </c>
      <c r="I25" s="225">
        <f>(IF((VLOOKUP(Table10[[#This Row],[SKU]],'All Skus'!$A:$AC,2,FALSE))="Martin",(VLOOKUP(Table10[[#This Row],[SKU]],'All Skus'!$A:$AC,10,FALSE)),""))</f>
        <v>43.22</v>
      </c>
      <c r="J25" s="226">
        <f>(IF((VLOOKUP(Table10[[#This Row],[SKU]],'All Skus'!$A:$AC,2,FALSE))="Martin",(VLOOKUP(Table10[[#This Row],[SKU]],'All Skus'!$A:$AC,11,FALSE)),""))</f>
        <v>43.22</v>
      </c>
      <c r="K25" s="224">
        <f>(IF((VLOOKUP(Table10[[#This Row],[SKU]],'All Skus'!$A:$AC,2,FALSE))="Martin",(VLOOKUP(Table10[[#This Row],[SKU]],'All Skus'!$A:$AC,15,FALSE)),""))</f>
        <v>0</v>
      </c>
      <c r="L25" s="224">
        <f>(IF((VLOOKUP(Table10[[#This Row],[SKU]],'All Skus'!$A:$AC,2,FALSE))="Martin",(VLOOKUP(Table10[[#This Row],[SKU]],'All Skus'!$A:$AC,16,FALSE)),""))</f>
        <v>0</v>
      </c>
      <c r="M25" s="224">
        <f>(IF((VLOOKUP(Table10[[#This Row],[SKU]],'All Skus'!$A:$AC,2,FALSE))="Martin",(VLOOKUP(Table10[[#This Row],[SKU]],'All Skus'!$A:$AC,17,FALSE)),""))</f>
        <v>0</v>
      </c>
      <c r="N25" s="227">
        <f>(IF((VLOOKUP(Table10[[#This Row],[SKU]],'All Skus'!$A:$AC,2,FALSE))="Martin",(VLOOKUP(Table10[[#This Row],[SKU]],'All Skus'!$A:$AC,18,FALSE)),""))</f>
        <v>0</v>
      </c>
      <c r="O25" s="227">
        <f>(IF((VLOOKUP(Table10[[#This Row],[SKU]],'All Skus'!$A:$AC,2,FALSE))="Martin",(VLOOKUP(Table10[[#This Row],[SKU]],'All Skus'!$A:$AC,19,FALSE)),""))</f>
        <v>0</v>
      </c>
      <c r="P25" s="227">
        <f>(IF((VLOOKUP(Table10[[#This Row],[SKU]],'All Skus'!$A:$AC,2,FALSE))="Martin",(VLOOKUP(Table10[[#This Row],[SKU]],'All Skus'!$A:$AC,20,FALSE)),""))</f>
        <v>0</v>
      </c>
      <c r="Q25" s="227">
        <f>(IF((VLOOKUP(Table10[[#This Row],[SKU]],'All Skus'!$A:$AC,2,FALSE))="Martin",(VLOOKUP(Table10[[#This Row],[SKU]],'All Skus'!$A:$AC,21,FALSE)),""))</f>
        <v>0</v>
      </c>
      <c r="R25" s="224" t="str">
        <f>(IF((VLOOKUP(Table10[[#This Row],[SKU]],'All Skus'!$A:$AC,2,FALSE))="Martin",(VLOOKUP(Table10[[#This Row],[SKU]],'All Skus'!$A:$AC,22,FALSE)),""))</f>
        <v>DE</v>
      </c>
      <c r="S25" s="223">
        <f>(IF((VLOOKUP(Table10[[#This Row],[SKU]],'All Skus'!$A:$AC,2,FALSE))="Martin",(VLOOKUP(Table10[[#This Row],[SKU]],'All Skus'!$A:$AC,23,FALSE)),""))</f>
        <v>0</v>
      </c>
      <c r="T25" s="212" t="str">
        <f>HYPERLINK((IF((VLOOKUP(Table10[[#This Row],[SKU]],'All Skus'!$A:$AC,2,FALSE))="Martin",(VLOOKUP(Table10[[#This Row],[SKU]],'All Skus'!$A:$AC,24,FALSE)),"")))</f>
        <v/>
      </c>
      <c r="U25" s="228">
        <v>23</v>
      </c>
    </row>
    <row r="26" spans="1:21" hidden="1">
      <c r="A26" s="111" t="s">
        <v>1958</v>
      </c>
      <c r="B26" s="224">
        <f>(IF((VLOOKUP(Table10[[#This Row],[SKU]],'All Skus'!$A:$AC,2,FALSE))="Martin",(VLOOKUP(Table10[[#This Row],[SKU]],'All Skus'!$A:$AC,3,FALSE)),""))</f>
        <v>0</v>
      </c>
      <c r="C26" s="223">
        <f>(IF((VLOOKUP(Table10[[#This Row],[SKU]],'All Skus'!$A:$AC,2,FALSE))="Martin",(VLOOKUP(Table10[[#This Row],[SKU]],'All Skus'!$A:$AC,4,FALSE)),""))</f>
        <v>0</v>
      </c>
      <c r="D26" s="224">
        <f>(IF((VLOOKUP(Table10[[#This Row],[SKU]],'All Skus'!$A:$AC,2,FALSE))="Martin",(VLOOKUP(Table10[[#This Row],[SKU]],'All Skus'!$A:$AC,5,FALSE)),""))</f>
        <v>0</v>
      </c>
      <c r="E26" s="223">
        <f>(IF((VLOOKUP(Table10[[#This Row],[SKU]],'All Skus'!$A:$AC,2,FALSE))="Martin",(VLOOKUP(Table10[[#This Row],[SKU]],'All Skus'!$A:$AC,6,FALSE)),""))</f>
        <v>0</v>
      </c>
      <c r="F26" s="155">
        <f>(IF((VLOOKUP(Table10[[#This Row],[SKU]],'All Skus'!$A:$AC,2,FALSE))="Martin",(VLOOKUP(Table10[[#This Row],[SKU]],'All Skus'!$A:$AC,7,FALSE)),""))</f>
        <v>0</v>
      </c>
      <c r="G26" s="223">
        <f>(IF((VLOOKUP(Table10[[#This Row],[SKU]],'All Skus'!$A:$AC,2,FALSE))="Martin",(VLOOKUP(Table10[[#This Row],[SKU]],'All Skus'!$A:$AC,8,FALSE)),""))</f>
        <v>0</v>
      </c>
      <c r="H26" s="223">
        <f>(IF((VLOOKUP(Table10[[#This Row],[SKU]],'All Skus'!$A:$AC,2,FALSE))="Martin",(VLOOKUP(Table10[[#This Row],[SKU]],'All Skus'!$A:$AC,9,FALSE)),""))</f>
        <v>0</v>
      </c>
      <c r="I26" s="225">
        <f>(IF((VLOOKUP(Table10[[#This Row],[SKU]],'All Skus'!$A:$AC,2,FALSE))="Martin",(VLOOKUP(Table10[[#This Row],[SKU]],'All Skus'!$A:$AC,10,FALSE)),""))</f>
        <v>0</v>
      </c>
      <c r="J26" s="226">
        <f>(IF((VLOOKUP(Table10[[#This Row],[SKU]],'All Skus'!$A:$AC,2,FALSE))="Martin",(VLOOKUP(Table10[[#This Row],[SKU]],'All Skus'!$A:$AC,11,FALSE)),""))</f>
        <v>0</v>
      </c>
      <c r="K26" s="224">
        <f>(IF((VLOOKUP(Table10[[#This Row],[SKU]],'All Skus'!$A:$AC,2,FALSE))="Martin",(VLOOKUP(Table10[[#This Row],[SKU]],'All Skus'!$A:$AC,15,FALSE)),""))</f>
        <v>0</v>
      </c>
      <c r="L26" s="224">
        <f>(IF((VLOOKUP(Table10[[#This Row],[SKU]],'All Skus'!$A:$AC,2,FALSE))="Martin",(VLOOKUP(Table10[[#This Row],[SKU]],'All Skus'!$A:$AC,16,FALSE)),""))</f>
        <v>0</v>
      </c>
      <c r="M26" s="224">
        <f>(IF((VLOOKUP(Table10[[#This Row],[SKU]],'All Skus'!$A:$AC,2,FALSE))="Martin",(VLOOKUP(Table10[[#This Row],[SKU]],'All Skus'!$A:$AC,17,FALSE)),""))</f>
        <v>0</v>
      </c>
      <c r="N26" s="227">
        <f>(IF((VLOOKUP(Table10[[#This Row],[SKU]],'All Skus'!$A:$AC,2,FALSE))="Martin",(VLOOKUP(Table10[[#This Row],[SKU]],'All Skus'!$A:$AC,18,FALSE)),""))</f>
        <v>0</v>
      </c>
      <c r="O26" s="227">
        <f>(IF((VLOOKUP(Table10[[#This Row],[SKU]],'All Skus'!$A:$AC,2,FALSE))="Martin",(VLOOKUP(Table10[[#This Row],[SKU]],'All Skus'!$A:$AC,19,FALSE)),""))</f>
        <v>0</v>
      </c>
      <c r="P26" s="227">
        <f>(IF((VLOOKUP(Table10[[#This Row],[SKU]],'All Skus'!$A:$AC,2,FALSE))="Martin",(VLOOKUP(Table10[[#This Row],[SKU]],'All Skus'!$A:$AC,20,FALSE)),""))</f>
        <v>0</v>
      </c>
      <c r="Q26" s="227">
        <f>(IF((VLOOKUP(Table10[[#This Row],[SKU]],'All Skus'!$A:$AC,2,FALSE))="Martin",(VLOOKUP(Table10[[#This Row],[SKU]],'All Skus'!$A:$AC,21,FALSE)),""))</f>
        <v>0</v>
      </c>
      <c r="R26" s="224">
        <f>(IF((VLOOKUP(Table10[[#This Row],[SKU]],'All Skus'!$A:$AC,2,FALSE))="Martin",(VLOOKUP(Table10[[#This Row],[SKU]],'All Skus'!$A:$AC,22,FALSE)),""))</f>
        <v>0</v>
      </c>
      <c r="S26" s="223">
        <f>(IF((VLOOKUP(Table10[[#This Row],[SKU]],'All Skus'!$A:$AC,2,FALSE))="Martin",(VLOOKUP(Table10[[#This Row],[SKU]],'All Skus'!$A:$AC,23,FALSE)),""))</f>
        <v>0</v>
      </c>
      <c r="T26" s="212" t="str">
        <f>HYPERLINK((IF((VLOOKUP(Table10[[#This Row],[SKU]],'All Skus'!$A:$AC,2,FALSE))="Martin",(VLOOKUP(Table10[[#This Row],[SKU]],'All Skus'!$A:$AC,24,FALSE)),"")))</f>
        <v/>
      </c>
      <c r="U26" s="228">
        <v>24</v>
      </c>
    </row>
    <row r="27" spans="1:21" hidden="1">
      <c r="A27" s="115" t="s">
        <v>1959</v>
      </c>
      <c r="B27" s="224">
        <f>(IF((VLOOKUP(Table10[[#This Row],[SKU]],'All Skus'!$A:$AC,2,FALSE))="Martin",(VLOOKUP(Table10[[#This Row],[SKU]],'All Skus'!$A:$AC,3,FALSE)),""))</f>
        <v>0</v>
      </c>
      <c r="C27" s="223">
        <f>(IF((VLOOKUP(Table10[[#This Row],[SKU]],'All Skus'!$A:$AC,2,FALSE))="Martin",(VLOOKUP(Table10[[#This Row],[SKU]],'All Skus'!$A:$AC,4,FALSE)),""))</f>
        <v>0</v>
      </c>
      <c r="D27" s="224">
        <f>(IF((VLOOKUP(Table10[[#This Row],[SKU]],'All Skus'!$A:$AC,2,FALSE))="Martin",(VLOOKUP(Table10[[#This Row],[SKU]],'All Skus'!$A:$AC,5,FALSE)),""))</f>
        <v>0</v>
      </c>
      <c r="E27" s="223">
        <f>(IF((VLOOKUP(Table10[[#This Row],[SKU]],'All Skus'!$A:$AC,2,FALSE))="Martin",(VLOOKUP(Table10[[#This Row],[SKU]],'All Skus'!$A:$AC,6,FALSE)),""))</f>
        <v>0</v>
      </c>
      <c r="F27" s="155">
        <f>(IF((VLOOKUP(Table10[[#This Row],[SKU]],'All Skus'!$A:$AC,2,FALSE))="Martin",(VLOOKUP(Table10[[#This Row],[SKU]],'All Skus'!$A:$AC,7,FALSE)),""))</f>
        <v>0</v>
      </c>
      <c r="G27" s="223">
        <f>(IF((VLOOKUP(Table10[[#This Row],[SKU]],'All Skus'!$A:$AC,2,FALSE))="Martin",(VLOOKUP(Table10[[#This Row],[SKU]],'All Skus'!$A:$AC,8,FALSE)),""))</f>
        <v>0</v>
      </c>
      <c r="H27" s="223">
        <f>(IF((VLOOKUP(Table10[[#This Row],[SKU]],'All Skus'!$A:$AC,2,FALSE))="Martin",(VLOOKUP(Table10[[#This Row],[SKU]],'All Skus'!$A:$AC,9,FALSE)),""))</f>
        <v>0</v>
      </c>
      <c r="I27" s="225">
        <f>(IF((VLOOKUP(Table10[[#This Row],[SKU]],'All Skus'!$A:$AC,2,FALSE))="Martin",(VLOOKUP(Table10[[#This Row],[SKU]],'All Skus'!$A:$AC,10,FALSE)),""))</f>
        <v>0</v>
      </c>
      <c r="J27" s="226">
        <f>(IF((VLOOKUP(Table10[[#This Row],[SKU]],'All Skus'!$A:$AC,2,FALSE))="Martin",(VLOOKUP(Table10[[#This Row],[SKU]],'All Skus'!$A:$AC,11,FALSE)),""))</f>
        <v>0</v>
      </c>
      <c r="K27" s="224">
        <f>(IF((VLOOKUP(Table10[[#This Row],[SKU]],'All Skus'!$A:$AC,2,FALSE))="Martin",(VLOOKUP(Table10[[#This Row],[SKU]],'All Skus'!$A:$AC,15,FALSE)),""))</f>
        <v>0</v>
      </c>
      <c r="L27" s="224">
        <f>(IF((VLOOKUP(Table10[[#This Row],[SKU]],'All Skus'!$A:$AC,2,FALSE))="Martin",(VLOOKUP(Table10[[#This Row],[SKU]],'All Skus'!$A:$AC,16,FALSE)),""))</f>
        <v>0</v>
      </c>
      <c r="M27" s="224">
        <f>(IF((VLOOKUP(Table10[[#This Row],[SKU]],'All Skus'!$A:$AC,2,FALSE))="Martin",(VLOOKUP(Table10[[#This Row],[SKU]],'All Skus'!$A:$AC,17,FALSE)),""))</f>
        <v>0</v>
      </c>
      <c r="N27" s="227">
        <f>(IF((VLOOKUP(Table10[[#This Row],[SKU]],'All Skus'!$A:$AC,2,FALSE))="Martin",(VLOOKUP(Table10[[#This Row],[SKU]],'All Skus'!$A:$AC,18,FALSE)),""))</f>
        <v>0</v>
      </c>
      <c r="O27" s="227">
        <f>(IF((VLOOKUP(Table10[[#This Row],[SKU]],'All Skus'!$A:$AC,2,FALSE))="Martin",(VLOOKUP(Table10[[#This Row],[SKU]],'All Skus'!$A:$AC,19,FALSE)),""))</f>
        <v>0</v>
      </c>
      <c r="P27" s="227">
        <f>(IF((VLOOKUP(Table10[[#This Row],[SKU]],'All Skus'!$A:$AC,2,FALSE))="Martin",(VLOOKUP(Table10[[#This Row],[SKU]],'All Skus'!$A:$AC,20,FALSE)),""))</f>
        <v>0</v>
      </c>
      <c r="Q27" s="227">
        <f>(IF((VLOOKUP(Table10[[#This Row],[SKU]],'All Skus'!$A:$AC,2,FALSE))="Martin",(VLOOKUP(Table10[[#This Row],[SKU]],'All Skus'!$A:$AC,21,FALSE)),""))</f>
        <v>0</v>
      </c>
      <c r="R27" s="224">
        <f>(IF((VLOOKUP(Table10[[#This Row],[SKU]],'All Skus'!$A:$AC,2,FALSE))="Martin",(VLOOKUP(Table10[[#This Row],[SKU]],'All Skus'!$A:$AC,22,FALSE)),""))</f>
        <v>0</v>
      </c>
      <c r="S27" s="223">
        <f>(IF((VLOOKUP(Table10[[#This Row],[SKU]],'All Skus'!$A:$AC,2,FALSE))="Martin",(VLOOKUP(Table10[[#This Row],[SKU]],'All Skus'!$A:$AC,23,FALSE)),""))</f>
        <v>0</v>
      </c>
      <c r="T27" s="212" t="str">
        <f>HYPERLINK((IF((VLOOKUP(Table10[[#This Row],[SKU]],'All Skus'!$A:$AC,2,FALSE))="Martin",(VLOOKUP(Table10[[#This Row],[SKU]],'All Skus'!$A:$AC,24,FALSE)),"")))</f>
        <v/>
      </c>
      <c r="U27" s="228">
        <v>25</v>
      </c>
    </row>
    <row r="28" spans="1:21" hidden="1">
      <c r="A28" s="114">
        <v>91611781</v>
      </c>
      <c r="B28" s="224" t="str">
        <f>(IF((VLOOKUP(Table10[[#This Row],[SKU]],'All Skus'!$A:$AC,2,FALSE))="Martin",(VLOOKUP(Table10[[#This Row],[SKU]],'All Skus'!$A:$AC,3,FALSE)),""))</f>
        <v>Accessories</v>
      </c>
      <c r="C28" s="223" t="str">
        <f>(IF((VLOOKUP(Table10[[#This Row],[SKU]],'All Skus'!$A:$AC,2,FALSE))="Martin",(VLOOKUP(Table10[[#This Row],[SKU]],'All Skus'!$A:$AC,4,FALSE)),""))</f>
        <v>Data Cable Cat6 EtherCON-EtherCON 0,45m</v>
      </c>
      <c r="D28" s="224" t="str">
        <f>(IF((VLOOKUP(Table10[[#This Row],[SKU]],'All Skus'!$A:$AC,2,FALSE))="Martin",(VLOOKUP(Table10[[#This Row],[SKU]],'All Skus'!$A:$AC,5,FALSE)),""))</f>
        <v>MAR-ACC</v>
      </c>
      <c r="E28" s="223">
        <f>(IF((VLOOKUP(Table10[[#This Row],[SKU]],'All Skus'!$A:$AC,2,FALSE))="Martin",(VLOOKUP(Table10[[#This Row],[SKU]],'All Skus'!$A:$AC,6,FALSE)),""))</f>
        <v>0</v>
      </c>
      <c r="F28" s="155" t="str">
        <f>(IF((VLOOKUP(Table10[[#This Row],[SKU]],'All Skus'!$A:$AC,2,FALSE))="Martin",(VLOOKUP(Table10[[#This Row],[SKU]],'All Skus'!$A:$AC,7,FALSE)),""))</f>
        <v>EOL stage – limited availability may apply</v>
      </c>
      <c r="G28" s="223" t="str">
        <f>(IF((VLOOKUP(Table10[[#This Row],[SKU]],'All Skus'!$A:$AC,2,FALSE))="Martin",(VLOOKUP(Table10[[#This Row],[SKU]],'All Skus'!$A:$AC,8,FALSE)),""))</f>
        <v>Data Cable Cat6 EtherCON-EtherCON 0,45m</v>
      </c>
      <c r="H28" s="223" t="str">
        <f>(IF((VLOOKUP(Table10[[#This Row],[SKU]],'All Skus'!$A:$AC,2,FALSE))="Martin",(VLOOKUP(Table10[[#This Row],[SKU]],'All Skus'!$A:$AC,9,FALSE)),""))</f>
        <v>Data Cable Cat6 EtherCON-EtherCON 0,45m</v>
      </c>
      <c r="I28" s="225">
        <f>(IF((VLOOKUP(Table10[[#This Row],[SKU]],'All Skus'!$A:$AC,2,FALSE))="Martin",(VLOOKUP(Table10[[#This Row],[SKU]],'All Skus'!$A:$AC,10,FALSE)),""))</f>
        <v>71.62</v>
      </c>
      <c r="J28" s="226">
        <f>(IF((VLOOKUP(Table10[[#This Row],[SKU]],'All Skus'!$A:$AC,2,FALSE))="Martin",(VLOOKUP(Table10[[#This Row],[SKU]],'All Skus'!$A:$AC,11,FALSE)),""))</f>
        <v>71.62</v>
      </c>
      <c r="K28" s="224">
        <f>(IF((VLOOKUP(Table10[[#This Row],[SKU]],'All Skus'!$A:$AC,2,FALSE))="Martin",(VLOOKUP(Table10[[#This Row],[SKU]],'All Skus'!$A:$AC,15,FALSE)),""))</f>
        <v>0</v>
      </c>
      <c r="L28" s="224">
        <f>(IF((VLOOKUP(Table10[[#This Row],[SKU]],'All Skus'!$A:$AC,2,FALSE))="Martin",(VLOOKUP(Table10[[#This Row],[SKU]],'All Skus'!$A:$AC,16,FALSE)),""))</f>
        <v>0</v>
      </c>
      <c r="M28" s="224">
        <f>(IF((VLOOKUP(Table10[[#This Row],[SKU]],'All Skus'!$A:$AC,2,FALSE))="Martin",(VLOOKUP(Table10[[#This Row],[SKU]],'All Skus'!$A:$AC,17,FALSE)),""))</f>
        <v>0</v>
      </c>
      <c r="N28" s="227">
        <f>(IF((VLOOKUP(Table10[[#This Row],[SKU]],'All Skus'!$A:$AC,2,FALSE))="Martin",(VLOOKUP(Table10[[#This Row],[SKU]],'All Skus'!$A:$AC,18,FALSE)),""))</f>
        <v>0</v>
      </c>
      <c r="O28" s="227">
        <f>(IF((VLOOKUP(Table10[[#This Row],[SKU]],'All Skus'!$A:$AC,2,FALSE))="Martin",(VLOOKUP(Table10[[#This Row],[SKU]],'All Skus'!$A:$AC,19,FALSE)),""))</f>
        <v>0</v>
      </c>
      <c r="P28" s="227">
        <f>(IF((VLOOKUP(Table10[[#This Row],[SKU]],'All Skus'!$A:$AC,2,FALSE))="Martin",(VLOOKUP(Table10[[#This Row],[SKU]],'All Skus'!$A:$AC,20,FALSE)),""))</f>
        <v>0</v>
      </c>
      <c r="Q28" s="227">
        <f>(IF((VLOOKUP(Table10[[#This Row],[SKU]],'All Skus'!$A:$AC,2,FALSE))="Martin",(VLOOKUP(Table10[[#This Row],[SKU]],'All Skus'!$A:$AC,21,FALSE)),""))</f>
        <v>0</v>
      </c>
      <c r="R28" s="224" t="str">
        <f>(IF((VLOOKUP(Table10[[#This Row],[SKU]],'All Skus'!$A:$AC,2,FALSE))="Martin",(VLOOKUP(Table10[[#This Row],[SKU]],'All Skus'!$A:$AC,22,FALSE)),""))</f>
        <v>PL</v>
      </c>
      <c r="S28" s="223">
        <f>(IF((VLOOKUP(Table10[[#This Row],[SKU]],'All Skus'!$A:$AC,2,FALSE))="Martin",(VLOOKUP(Table10[[#This Row],[SKU]],'All Skus'!$A:$AC,23,FALSE)),""))</f>
        <v>0</v>
      </c>
      <c r="T28" s="212" t="str">
        <f>HYPERLINK((IF((VLOOKUP(Table10[[#This Row],[SKU]],'All Skus'!$A:$AC,2,FALSE))="Martin",(VLOOKUP(Table10[[#This Row],[SKU]],'All Skus'!$A:$AC,24,FALSE)),"")))</f>
        <v/>
      </c>
      <c r="U28" s="228">
        <v>26</v>
      </c>
    </row>
    <row r="29" spans="1:21" hidden="1">
      <c r="A29" s="114">
        <v>91611782</v>
      </c>
      <c r="B29" s="224" t="str">
        <f>(IF((VLOOKUP(Table10[[#This Row],[SKU]],'All Skus'!$A:$AC,2,FALSE))="Martin",(VLOOKUP(Table10[[#This Row],[SKU]],'All Skus'!$A:$AC,3,FALSE)),""))</f>
        <v>Accessories</v>
      </c>
      <c r="C29" s="223" t="str">
        <f>(IF((VLOOKUP(Table10[[#This Row],[SKU]],'All Skus'!$A:$AC,2,FALSE))="Martin",(VLOOKUP(Table10[[#This Row],[SKU]],'All Skus'!$A:$AC,4,FALSE)),""))</f>
        <v>Data Cable Cat6 EtherCON-EtherCON 1,20m</v>
      </c>
      <c r="D29" s="224" t="str">
        <f>(IF((VLOOKUP(Table10[[#This Row],[SKU]],'All Skus'!$A:$AC,2,FALSE))="Martin",(VLOOKUP(Table10[[#This Row],[SKU]],'All Skus'!$A:$AC,5,FALSE)),""))</f>
        <v>MAR-ACC</v>
      </c>
      <c r="E29" s="223">
        <f>(IF((VLOOKUP(Table10[[#This Row],[SKU]],'All Skus'!$A:$AC,2,FALSE))="Martin",(VLOOKUP(Table10[[#This Row],[SKU]],'All Skus'!$A:$AC,6,FALSE)),""))</f>
        <v>0</v>
      </c>
      <c r="F29" s="155" t="str">
        <f>(IF((VLOOKUP(Table10[[#This Row],[SKU]],'All Skus'!$A:$AC,2,FALSE))="Martin",(VLOOKUP(Table10[[#This Row],[SKU]],'All Skus'!$A:$AC,7,FALSE)),""))</f>
        <v>EOL stage – limited availability may apply</v>
      </c>
      <c r="G29" s="223" t="str">
        <f>(IF((VLOOKUP(Table10[[#This Row],[SKU]],'All Skus'!$A:$AC,2,FALSE))="Martin",(VLOOKUP(Table10[[#This Row],[SKU]],'All Skus'!$A:$AC,8,FALSE)),""))</f>
        <v>Data Cable Cat6 EtherCON-EtherCON 1,20m</v>
      </c>
      <c r="H29" s="223" t="str">
        <f>(IF((VLOOKUP(Table10[[#This Row],[SKU]],'All Skus'!$A:$AC,2,FALSE))="Martin",(VLOOKUP(Table10[[#This Row],[SKU]],'All Skus'!$A:$AC,9,FALSE)),""))</f>
        <v>Data Cable Cat6 EtherCON-EtherCON 1,20m</v>
      </c>
      <c r="I29" s="225">
        <f>(IF((VLOOKUP(Table10[[#This Row],[SKU]],'All Skus'!$A:$AC,2,FALSE))="Martin",(VLOOKUP(Table10[[#This Row],[SKU]],'All Skus'!$A:$AC,10,FALSE)),""))</f>
        <v>75.319999999999993</v>
      </c>
      <c r="J29" s="226">
        <f>(IF((VLOOKUP(Table10[[#This Row],[SKU]],'All Skus'!$A:$AC,2,FALSE))="Martin",(VLOOKUP(Table10[[#This Row],[SKU]],'All Skus'!$A:$AC,11,FALSE)),""))</f>
        <v>75.319999999999993</v>
      </c>
      <c r="K29" s="224">
        <f>(IF((VLOOKUP(Table10[[#This Row],[SKU]],'All Skus'!$A:$AC,2,FALSE))="Martin",(VLOOKUP(Table10[[#This Row],[SKU]],'All Skus'!$A:$AC,15,FALSE)),""))</f>
        <v>0</v>
      </c>
      <c r="L29" s="224">
        <f>(IF((VLOOKUP(Table10[[#This Row],[SKU]],'All Skus'!$A:$AC,2,FALSE))="Martin",(VLOOKUP(Table10[[#This Row],[SKU]],'All Skus'!$A:$AC,16,FALSE)),""))</f>
        <v>0</v>
      </c>
      <c r="M29" s="224">
        <f>(IF((VLOOKUP(Table10[[#This Row],[SKU]],'All Skus'!$A:$AC,2,FALSE))="Martin",(VLOOKUP(Table10[[#This Row],[SKU]],'All Skus'!$A:$AC,17,FALSE)),""))</f>
        <v>0</v>
      </c>
      <c r="N29" s="227">
        <f>(IF((VLOOKUP(Table10[[#This Row],[SKU]],'All Skus'!$A:$AC,2,FALSE))="Martin",(VLOOKUP(Table10[[#This Row],[SKU]],'All Skus'!$A:$AC,18,FALSE)),""))</f>
        <v>0</v>
      </c>
      <c r="O29" s="227">
        <f>(IF((VLOOKUP(Table10[[#This Row],[SKU]],'All Skus'!$A:$AC,2,FALSE))="Martin",(VLOOKUP(Table10[[#This Row],[SKU]],'All Skus'!$A:$AC,19,FALSE)),""))</f>
        <v>0</v>
      </c>
      <c r="P29" s="227">
        <f>(IF((VLOOKUP(Table10[[#This Row],[SKU]],'All Skus'!$A:$AC,2,FALSE))="Martin",(VLOOKUP(Table10[[#This Row],[SKU]],'All Skus'!$A:$AC,20,FALSE)),""))</f>
        <v>0</v>
      </c>
      <c r="Q29" s="227">
        <f>(IF((VLOOKUP(Table10[[#This Row],[SKU]],'All Skus'!$A:$AC,2,FALSE))="Martin",(VLOOKUP(Table10[[#This Row],[SKU]],'All Skus'!$A:$AC,21,FALSE)),""))</f>
        <v>0</v>
      </c>
      <c r="R29" s="224" t="str">
        <f>(IF((VLOOKUP(Table10[[#This Row],[SKU]],'All Skus'!$A:$AC,2,FALSE))="Martin",(VLOOKUP(Table10[[#This Row],[SKU]],'All Skus'!$A:$AC,22,FALSE)),""))</f>
        <v>PL</v>
      </c>
      <c r="S29" s="223">
        <f>(IF((VLOOKUP(Table10[[#This Row],[SKU]],'All Skus'!$A:$AC,2,FALSE))="Martin",(VLOOKUP(Table10[[#This Row],[SKU]],'All Skus'!$A:$AC,23,FALSE)),""))</f>
        <v>0</v>
      </c>
      <c r="T29" s="212" t="str">
        <f>HYPERLINK((IF((VLOOKUP(Table10[[#This Row],[SKU]],'All Skus'!$A:$AC,2,FALSE))="Martin",(VLOOKUP(Table10[[#This Row],[SKU]],'All Skus'!$A:$AC,24,FALSE)),"")))</f>
        <v/>
      </c>
      <c r="U29" s="228">
        <v>27</v>
      </c>
    </row>
    <row r="30" spans="1:21" hidden="1">
      <c r="A30" s="114">
        <v>91611783</v>
      </c>
      <c r="B30" s="224" t="str">
        <f>(IF((VLOOKUP(Table10[[#This Row],[SKU]],'All Skus'!$A:$AC,2,FALSE))="Martin",(VLOOKUP(Table10[[#This Row],[SKU]],'All Skus'!$A:$AC,3,FALSE)),""))</f>
        <v>Accessories</v>
      </c>
      <c r="C30" s="223" t="str">
        <f>(IF((VLOOKUP(Table10[[#This Row],[SKU]],'All Skus'!$A:$AC,2,FALSE))="Martin",(VLOOKUP(Table10[[#This Row],[SKU]],'All Skus'!$A:$AC,4,FALSE)),""))</f>
        <v>Data Cable Cat6 EtherCON-EtherCON 5,00m</v>
      </c>
      <c r="D30" s="224" t="str">
        <f>(IF((VLOOKUP(Table10[[#This Row],[SKU]],'All Skus'!$A:$AC,2,FALSE))="Martin",(VLOOKUP(Table10[[#This Row],[SKU]],'All Skus'!$A:$AC,5,FALSE)),""))</f>
        <v>MAR-ACC</v>
      </c>
      <c r="E30" s="223">
        <f>(IF((VLOOKUP(Table10[[#This Row],[SKU]],'All Skus'!$A:$AC,2,FALSE))="Martin",(VLOOKUP(Table10[[#This Row],[SKU]],'All Skus'!$A:$AC,6,FALSE)),""))</f>
        <v>0</v>
      </c>
      <c r="F30" s="155" t="str">
        <f>(IF((VLOOKUP(Table10[[#This Row],[SKU]],'All Skus'!$A:$AC,2,FALSE))="Martin",(VLOOKUP(Table10[[#This Row],[SKU]],'All Skus'!$A:$AC,7,FALSE)),""))</f>
        <v>EOL stage – limited availability may apply</v>
      </c>
      <c r="G30" s="223" t="str">
        <f>(IF((VLOOKUP(Table10[[#This Row],[SKU]],'All Skus'!$A:$AC,2,FALSE))="Martin",(VLOOKUP(Table10[[#This Row],[SKU]],'All Skus'!$A:$AC,8,FALSE)),""))</f>
        <v>Data Cable Cat6 EtherCON-EtherCON 5,00m</v>
      </c>
      <c r="H30" s="223" t="str">
        <f>(IF((VLOOKUP(Table10[[#This Row],[SKU]],'All Skus'!$A:$AC,2,FALSE))="Martin",(VLOOKUP(Table10[[#This Row],[SKU]],'All Skus'!$A:$AC,9,FALSE)),""))</f>
        <v>Data Cable Cat6 EtherCON-EtherCON 5,00m</v>
      </c>
      <c r="I30" s="225">
        <f>(IF((VLOOKUP(Table10[[#This Row],[SKU]],'All Skus'!$A:$AC,2,FALSE))="Martin",(VLOOKUP(Table10[[#This Row],[SKU]],'All Skus'!$A:$AC,10,FALSE)),""))</f>
        <v>90.14</v>
      </c>
      <c r="J30" s="226">
        <f>(IF((VLOOKUP(Table10[[#This Row],[SKU]],'All Skus'!$A:$AC,2,FALSE))="Martin",(VLOOKUP(Table10[[#This Row],[SKU]],'All Skus'!$A:$AC,11,FALSE)),""))</f>
        <v>90.14</v>
      </c>
      <c r="K30" s="224">
        <f>(IF((VLOOKUP(Table10[[#This Row],[SKU]],'All Skus'!$A:$AC,2,FALSE))="Martin",(VLOOKUP(Table10[[#This Row],[SKU]],'All Skus'!$A:$AC,15,FALSE)),""))</f>
        <v>0</v>
      </c>
      <c r="L30" s="224">
        <f>(IF((VLOOKUP(Table10[[#This Row],[SKU]],'All Skus'!$A:$AC,2,FALSE))="Martin",(VLOOKUP(Table10[[#This Row],[SKU]],'All Skus'!$A:$AC,16,FALSE)),""))</f>
        <v>688705003818</v>
      </c>
      <c r="M30" s="224">
        <f>(IF((VLOOKUP(Table10[[#This Row],[SKU]],'All Skus'!$A:$AC,2,FALSE))="Martin",(VLOOKUP(Table10[[#This Row],[SKU]],'All Skus'!$A:$AC,17,FALSE)),""))</f>
        <v>0</v>
      </c>
      <c r="N30" s="227">
        <f>(IF((VLOOKUP(Table10[[#This Row],[SKU]],'All Skus'!$A:$AC,2,FALSE))="Martin",(VLOOKUP(Table10[[#This Row],[SKU]],'All Skus'!$A:$AC,18,FALSE)),""))</f>
        <v>0</v>
      </c>
      <c r="O30" s="227">
        <f>(IF((VLOOKUP(Table10[[#This Row],[SKU]],'All Skus'!$A:$AC,2,FALSE))="Martin",(VLOOKUP(Table10[[#This Row],[SKU]],'All Skus'!$A:$AC,19,FALSE)),""))</f>
        <v>0</v>
      </c>
      <c r="P30" s="227">
        <f>(IF((VLOOKUP(Table10[[#This Row],[SKU]],'All Skus'!$A:$AC,2,FALSE))="Martin",(VLOOKUP(Table10[[#This Row],[SKU]],'All Skus'!$A:$AC,20,FALSE)),""))</f>
        <v>0</v>
      </c>
      <c r="Q30" s="227">
        <f>(IF((VLOOKUP(Table10[[#This Row],[SKU]],'All Skus'!$A:$AC,2,FALSE))="Martin",(VLOOKUP(Table10[[#This Row],[SKU]],'All Skus'!$A:$AC,21,FALSE)),""))</f>
        <v>0</v>
      </c>
      <c r="R30" s="224" t="str">
        <f>(IF((VLOOKUP(Table10[[#This Row],[SKU]],'All Skus'!$A:$AC,2,FALSE))="Martin",(VLOOKUP(Table10[[#This Row],[SKU]],'All Skus'!$A:$AC,22,FALSE)),""))</f>
        <v>PL</v>
      </c>
      <c r="S30" s="223">
        <f>(IF((VLOOKUP(Table10[[#This Row],[SKU]],'All Skus'!$A:$AC,2,FALSE))="Martin",(VLOOKUP(Table10[[#This Row],[SKU]],'All Skus'!$A:$AC,23,FALSE)),""))</f>
        <v>0</v>
      </c>
      <c r="T30" s="212" t="str">
        <f>HYPERLINK((IF((VLOOKUP(Table10[[#This Row],[SKU]],'All Skus'!$A:$AC,2,FALSE))="Martin",(VLOOKUP(Table10[[#This Row],[SKU]],'All Skus'!$A:$AC,24,FALSE)),"")))</f>
        <v/>
      </c>
      <c r="U30" s="228">
        <v>28</v>
      </c>
    </row>
    <row r="31" spans="1:21" hidden="1">
      <c r="A31" s="114" t="s">
        <v>1960</v>
      </c>
      <c r="B31" s="224" t="str">
        <f>(IF((VLOOKUP(Table10[[#This Row],[SKU]],'All Skus'!$A:$AC,2,FALSE))="Martin",(VLOOKUP(Table10[[#This Row],[SKU]],'All Skus'!$A:$AC,3,FALSE)),""))</f>
        <v>Accessories</v>
      </c>
      <c r="C31" s="223" t="str">
        <f>(IF((VLOOKUP(Table10[[#This Row],[SKU]],'All Skus'!$A:$AC,2,FALSE))="Martin",(VLOOKUP(Table10[[#This Row],[SKU]],'All Skus'!$A:$AC,4,FALSE)),""))</f>
        <v>Data Connector Cat6 EtherCON</v>
      </c>
      <c r="D31" s="224" t="str">
        <f>(IF((VLOOKUP(Table10[[#This Row],[SKU]],'All Skus'!$A:$AC,2,FALSE))="Martin",(VLOOKUP(Table10[[#This Row],[SKU]],'All Skus'!$A:$AC,5,FALSE)),""))</f>
        <v>MAR-ACC</v>
      </c>
      <c r="E31" s="223">
        <f>(IF((VLOOKUP(Table10[[#This Row],[SKU]],'All Skus'!$A:$AC,2,FALSE))="Martin",(VLOOKUP(Table10[[#This Row],[SKU]],'All Skus'!$A:$AC,6,FALSE)),""))</f>
        <v>0</v>
      </c>
      <c r="F31" s="155" t="str">
        <f>(IF((VLOOKUP(Table10[[#This Row],[SKU]],'All Skus'!$A:$AC,2,FALSE))="Martin",(VLOOKUP(Table10[[#This Row],[SKU]],'All Skus'!$A:$AC,7,FALSE)),""))</f>
        <v>EOL stage – limited availability may apply</v>
      </c>
      <c r="G31" s="223" t="str">
        <f>(IF((VLOOKUP(Table10[[#This Row],[SKU]],'All Skus'!$A:$AC,2,FALSE))="Martin",(VLOOKUP(Table10[[#This Row],[SKU]],'All Skus'!$A:$AC,8,FALSE)),""))</f>
        <v>Data Connector Cat6 EtherCON</v>
      </c>
      <c r="H31" s="223" t="str">
        <f>(IF((VLOOKUP(Table10[[#This Row],[SKU]],'All Skus'!$A:$AC,2,FALSE))="Martin",(VLOOKUP(Table10[[#This Row],[SKU]],'All Skus'!$A:$AC,9,FALSE)),""))</f>
        <v>Data Connector Cat6 EtherCON</v>
      </c>
      <c r="I31" s="225">
        <f>(IF((VLOOKUP(Table10[[#This Row],[SKU]],'All Skus'!$A:$AC,2,FALSE))="Martin",(VLOOKUP(Table10[[#This Row],[SKU]],'All Skus'!$A:$AC,10,FALSE)),""))</f>
        <v>22.23</v>
      </c>
      <c r="J31" s="226">
        <f>(IF((VLOOKUP(Table10[[#This Row],[SKU]],'All Skus'!$A:$AC,2,FALSE))="Martin",(VLOOKUP(Table10[[#This Row],[SKU]],'All Skus'!$A:$AC,11,FALSE)),""))</f>
        <v>22.23</v>
      </c>
      <c r="K31" s="224">
        <f>(IF((VLOOKUP(Table10[[#This Row],[SKU]],'All Skus'!$A:$AC,2,FALSE))="Martin",(VLOOKUP(Table10[[#This Row],[SKU]],'All Skus'!$A:$AC,15,FALSE)),""))</f>
        <v>1</v>
      </c>
      <c r="L31" s="224">
        <f>(IF((VLOOKUP(Table10[[#This Row],[SKU]],'All Skus'!$A:$AC,2,FALSE))="Martin",(VLOOKUP(Table10[[#This Row],[SKU]],'All Skus'!$A:$AC,16,FALSE)),""))</f>
        <v>0</v>
      </c>
      <c r="M31" s="224">
        <f>(IF((VLOOKUP(Table10[[#This Row],[SKU]],'All Skus'!$A:$AC,2,FALSE))="Martin",(VLOOKUP(Table10[[#This Row],[SKU]],'All Skus'!$A:$AC,17,FALSE)),""))</f>
        <v>0</v>
      </c>
      <c r="N31" s="227">
        <f>(IF((VLOOKUP(Table10[[#This Row],[SKU]],'All Skus'!$A:$AC,2,FALSE))="Martin",(VLOOKUP(Table10[[#This Row],[SKU]],'All Skus'!$A:$AC,18,FALSE)),""))</f>
        <v>0</v>
      </c>
      <c r="O31" s="227">
        <f>(IF((VLOOKUP(Table10[[#This Row],[SKU]],'All Skus'!$A:$AC,2,FALSE))="Martin",(VLOOKUP(Table10[[#This Row],[SKU]],'All Skus'!$A:$AC,19,FALSE)),""))</f>
        <v>0</v>
      </c>
      <c r="P31" s="227">
        <f>(IF((VLOOKUP(Table10[[#This Row],[SKU]],'All Skus'!$A:$AC,2,FALSE))="Martin",(VLOOKUP(Table10[[#This Row],[SKU]],'All Skus'!$A:$AC,20,FALSE)),""))</f>
        <v>0</v>
      </c>
      <c r="Q31" s="227">
        <f>(IF((VLOOKUP(Table10[[#This Row],[SKU]],'All Skus'!$A:$AC,2,FALSE))="Martin",(VLOOKUP(Table10[[#This Row],[SKU]],'All Skus'!$A:$AC,21,FALSE)),""))</f>
        <v>0</v>
      </c>
      <c r="R31" s="224" t="str">
        <f>(IF((VLOOKUP(Table10[[#This Row],[SKU]],'All Skus'!$A:$AC,2,FALSE))="Martin",(VLOOKUP(Table10[[#This Row],[SKU]],'All Skus'!$A:$AC,22,FALSE)),""))</f>
        <v>HU</v>
      </c>
      <c r="S31" s="223">
        <f>(IF((VLOOKUP(Table10[[#This Row],[SKU]],'All Skus'!$A:$AC,2,FALSE))="Martin",(VLOOKUP(Table10[[#This Row],[SKU]],'All Skus'!$A:$AC,23,FALSE)),""))</f>
        <v>0</v>
      </c>
      <c r="T31" s="212" t="str">
        <f>HYPERLINK((IF((VLOOKUP(Table10[[#This Row],[SKU]],'All Skus'!$A:$AC,2,FALSE))="Martin",(VLOOKUP(Table10[[#This Row],[SKU]],'All Skus'!$A:$AC,24,FALSE)),"")))</f>
        <v/>
      </c>
      <c r="U31" s="228">
        <v>29</v>
      </c>
    </row>
    <row r="32" spans="1:21" hidden="1">
      <c r="A32" s="115" t="s">
        <v>1961</v>
      </c>
      <c r="B32" s="224">
        <f>(IF((VLOOKUP(Table10[[#This Row],[SKU]],'All Skus'!$A:$AC,2,FALSE))="Martin",(VLOOKUP(Table10[[#This Row],[SKU]],'All Skus'!$A:$AC,3,FALSE)),""))</f>
        <v>0</v>
      </c>
      <c r="C32" s="223">
        <f>(IF((VLOOKUP(Table10[[#This Row],[SKU]],'All Skus'!$A:$AC,2,FALSE))="Martin",(VLOOKUP(Table10[[#This Row],[SKU]],'All Skus'!$A:$AC,4,FALSE)),""))</f>
        <v>0</v>
      </c>
      <c r="D32" s="224">
        <f>(IF((VLOOKUP(Table10[[#This Row],[SKU]],'All Skus'!$A:$AC,2,FALSE))="Martin",(VLOOKUP(Table10[[#This Row],[SKU]],'All Skus'!$A:$AC,5,FALSE)),""))</f>
        <v>0</v>
      </c>
      <c r="E32" s="223">
        <f>(IF((VLOOKUP(Table10[[#This Row],[SKU]],'All Skus'!$A:$AC,2,FALSE))="Martin",(VLOOKUP(Table10[[#This Row],[SKU]],'All Skus'!$A:$AC,6,FALSE)),""))</f>
        <v>0</v>
      </c>
      <c r="F32" s="155">
        <f>(IF((VLOOKUP(Table10[[#This Row],[SKU]],'All Skus'!$A:$AC,2,FALSE))="Martin",(VLOOKUP(Table10[[#This Row],[SKU]],'All Skus'!$A:$AC,7,FALSE)),""))</f>
        <v>0</v>
      </c>
      <c r="G32" s="223">
        <f>(IF((VLOOKUP(Table10[[#This Row],[SKU]],'All Skus'!$A:$AC,2,FALSE))="Martin",(VLOOKUP(Table10[[#This Row],[SKU]],'All Skus'!$A:$AC,8,FALSE)),""))</f>
        <v>0</v>
      </c>
      <c r="H32" s="223">
        <f>(IF((VLOOKUP(Table10[[#This Row],[SKU]],'All Skus'!$A:$AC,2,FALSE))="Martin",(VLOOKUP(Table10[[#This Row],[SKU]],'All Skus'!$A:$AC,9,FALSE)),""))</f>
        <v>0</v>
      </c>
      <c r="I32" s="225">
        <f>(IF((VLOOKUP(Table10[[#This Row],[SKU]],'All Skus'!$A:$AC,2,FALSE))="Martin",(VLOOKUP(Table10[[#This Row],[SKU]],'All Skus'!$A:$AC,10,FALSE)),""))</f>
        <v>0</v>
      </c>
      <c r="J32" s="226">
        <f>(IF((VLOOKUP(Table10[[#This Row],[SKU]],'All Skus'!$A:$AC,2,FALSE))="Martin",(VLOOKUP(Table10[[#This Row],[SKU]],'All Skus'!$A:$AC,11,FALSE)),""))</f>
        <v>0</v>
      </c>
      <c r="K32" s="224">
        <f>(IF((VLOOKUP(Table10[[#This Row],[SKU]],'All Skus'!$A:$AC,2,FALSE))="Martin",(VLOOKUP(Table10[[#This Row],[SKU]],'All Skus'!$A:$AC,15,FALSE)),""))</f>
        <v>0</v>
      </c>
      <c r="L32" s="224">
        <f>(IF((VLOOKUP(Table10[[#This Row],[SKU]],'All Skus'!$A:$AC,2,FALSE))="Martin",(VLOOKUP(Table10[[#This Row],[SKU]],'All Skus'!$A:$AC,16,FALSE)),""))</f>
        <v>0</v>
      </c>
      <c r="M32" s="224">
        <f>(IF((VLOOKUP(Table10[[#This Row],[SKU]],'All Skus'!$A:$AC,2,FALSE))="Martin",(VLOOKUP(Table10[[#This Row],[SKU]],'All Skus'!$A:$AC,17,FALSE)),""))</f>
        <v>0</v>
      </c>
      <c r="N32" s="227">
        <f>(IF((VLOOKUP(Table10[[#This Row],[SKU]],'All Skus'!$A:$AC,2,FALSE))="Martin",(VLOOKUP(Table10[[#This Row],[SKU]],'All Skus'!$A:$AC,18,FALSE)),""))</f>
        <v>0</v>
      </c>
      <c r="O32" s="227">
        <f>(IF((VLOOKUP(Table10[[#This Row],[SKU]],'All Skus'!$A:$AC,2,FALSE))="Martin",(VLOOKUP(Table10[[#This Row],[SKU]],'All Skus'!$A:$AC,19,FALSE)),""))</f>
        <v>0</v>
      </c>
      <c r="P32" s="227">
        <f>(IF((VLOOKUP(Table10[[#This Row],[SKU]],'All Skus'!$A:$AC,2,FALSE))="Martin",(VLOOKUP(Table10[[#This Row],[SKU]],'All Skus'!$A:$AC,20,FALSE)),""))</f>
        <v>0</v>
      </c>
      <c r="Q32" s="227">
        <f>(IF((VLOOKUP(Table10[[#This Row],[SKU]],'All Skus'!$A:$AC,2,FALSE))="Martin",(VLOOKUP(Table10[[#This Row],[SKU]],'All Skus'!$A:$AC,21,FALSE)),""))</f>
        <v>0</v>
      </c>
      <c r="R32" s="224">
        <f>(IF((VLOOKUP(Table10[[#This Row],[SKU]],'All Skus'!$A:$AC,2,FALSE))="Martin",(VLOOKUP(Table10[[#This Row],[SKU]],'All Skus'!$A:$AC,22,FALSE)),""))</f>
        <v>0</v>
      </c>
      <c r="S32" s="223">
        <f>(IF((VLOOKUP(Table10[[#This Row],[SKU]],'All Skus'!$A:$AC,2,FALSE))="Martin",(VLOOKUP(Table10[[#This Row],[SKU]],'All Skus'!$A:$AC,23,FALSE)),""))</f>
        <v>0</v>
      </c>
      <c r="T32" s="212" t="str">
        <f>HYPERLINK((IF((VLOOKUP(Table10[[#This Row],[SKU]],'All Skus'!$A:$AC,2,FALSE))="Martin",(VLOOKUP(Table10[[#This Row],[SKU]],'All Skus'!$A:$AC,24,FALSE)),"")))</f>
        <v/>
      </c>
      <c r="U32" s="228">
        <v>30</v>
      </c>
    </row>
    <row r="33" spans="1:21" hidden="1">
      <c r="A33" s="114">
        <v>91611784</v>
      </c>
      <c r="B33" s="224" t="str">
        <f>(IF((VLOOKUP(Table10[[#This Row],[SKU]],'All Skus'!$A:$AC,2,FALSE))="Martin",(VLOOKUP(Table10[[#This Row],[SKU]],'All Skus'!$A:$AC,3,FALSE)),""))</f>
        <v>Accessories</v>
      </c>
      <c r="C33" s="223" t="str">
        <f>(IF((VLOOKUP(Table10[[#This Row],[SKU]],'All Skus'!$A:$AC,2,FALSE))="Martin",(VLOOKUP(Table10[[#This Row],[SKU]],'All Skus'!$A:$AC,4,FALSE)),""))</f>
        <v>Power Cable H07RN-F TRUE1-TRUE1 0,45m</v>
      </c>
      <c r="D33" s="224" t="str">
        <f>(IF((VLOOKUP(Table10[[#This Row],[SKU]],'All Skus'!$A:$AC,2,FALSE))="Martin",(VLOOKUP(Table10[[#This Row],[SKU]],'All Skus'!$A:$AC,5,FALSE)),""))</f>
        <v>MAR-ACC</v>
      </c>
      <c r="E33" s="223">
        <f>(IF((VLOOKUP(Table10[[#This Row],[SKU]],'All Skus'!$A:$AC,2,FALSE))="Martin",(VLOOKUP(Table10[[#This Row],[SKU]],'All Skus'!$A:$AC,6,FALSE)),""))</f>
        <v>0</v>
      </c>
      <c r="F33" s="155" t="str">
        <f>(IF((VLOOKUP(Table10[[#This Row],[SKU]],'All Skus'!$A:$AC,2,FALSE))="Martin",(VLOOKUP(Table10[[#This Row],[SKU]],'All Skus'!$A:$AC,7,FALSE)),""))</f>
        <v>EOL stage – limited availability may apply</v>
      </c>
      <c r="G33" s="223" t="str">
        <f>(IF((VLOOKUP(Table10[[#This Row],[SKU]],'All Skus'!$A:$AC,2,FALSE))="Martin",(VLOOKUP(Table10[[#This Row],[SKU]],'All Skus'!$A:$AC,8,FALSE)),""))</f>
        <v>Power Cable H07RN-F TRUE1-TRUE1 0,45m</v>
      </c>
      <c r="H33" s="223" t="str">
        <f>(IF((VLOOKUP(Table10[[#This Row],[SKU]],'All Skus'!$A:$AC,2,FALSE))="Martin",(VLOOKUP(Table10[[#This Row],[SKU]],'All Skus'!$A:$AC,9,FALSE)),""))</f>
        <v>Power Cable H07RN-F TRUE1-TRUE1 0,45m</v>
      </c>
      <c r="I33" s="225">
        <f>(IF((VLOOKUP(Table10[[#This Row],[SKU]],'All Skus'!$A:$AC,2,FALSE))="Martin",(VLOOKUP(Table10[[#This Row],[SKU]],'All Skus'!$A:$AC,10,FALSE)),""))</f>
        <v>39.51</v>
      </c>
      <c r="J33" s="226">
        <f>(IF((VLOOKUP(Table10[[#This Row],[SKU]],'All Skus'!$A:$AC,2,FALSE))="Martin",(VLOOKUP(Table10[[#This Row],[SKU]],'All Skus'!$A:$AC,11,FALSE)),""))</f>
        <v>39.51</v>
      </c>
      <c r="K33" s="224">
        <f>(IF((VLOOKUP(Table10[[#This Row],[SKU]],'All Skus'!$A:$AC,2,FALSE))="Martin",(VLOOKUP(Table10[[#This Row],[SKU]],'All Skus'!$A:$AC,15,FALSE)),""))</f>
        <v>0</v>
      </c>
      <c r="L33" s="224">
        <f>(IF((VLOOKUP(Table10[[#This Row],[SKU]],'All Skus'!$A:$AC,2,FALSE))="Martin",(VLOOKUP(Table10[[#This Row],[SKU]],'All Skus'!$A:$AC,16,FALSE)),""))</f>
        <v>0</v>
      </c>
      <c r="M33" s="224">
        <f>(IF((VLOOKUP(Table10[[#This Row],[SKU]],'All Skus'!$A:$AC,2,FALSE))="Martin",(VLOOKUP(Table10[[#This Row],[SKU]],'All Skus'!$A:$AC,17,FALSE)),""))</f>
        <v>0</v>
      </c>
      <c r="N33" s="227">
        <f>(IF((VLOOKUP(Table10[[#This Row],[SKU]],'All Skus'!$A:$AC,2,FALSE))="Martin",(VLOOKUP(Table10[[#This Row],[SKU]],'All Skus'!$A:$AC,18,FALSE)),""))</f>
        <v>0</v>
      </c>
      <c r="O33" s="227">
        <f>(IF((VLOOKUP(Table10[[#This Row],[SKU]],'All Skus'!$A:$AC,2,FALSE))="Martin",(VLOOKUP(Table10[[#This Row],[SKU]],'All Skus'!$A:$AC,19,FALSE)),""))</f>
        <v>0</v>
      </c>
      <c r="P33" s="227">
        <f>(IF((VLOOKUP(Table10[[#This Row],[SKU]],'All Skus'!$A:$AC,2,FALSE))="Martin",(VLOOKUP(Table10[[#This Row],[SKU]],'All Skus'!$A:$AC,20,FALSE)),""))</f>
        <v>0</v>
      </c>
      <c r="Q33" s="227">
        <f>(IF((VLOOKUP(Table10[[#This Row],[SKU]],'All Skus'!$A:$AC,2,FALSE))="Martin",(VLOOKUP(Table10[[#This Row],[SKU]],'All Skus'!$A:$AC,21,FALSE)),""))</f>
        <v>0</v>
      </c>
      <c r="R33" s="224" t="str">
        <f>(IF((VLOOKUP(Table10[[#This Row],[SKU]],'All Skus'!$A:$AC,2,FALSE))="Martin",(VLOOKUP(Table10[[#This Row],[SKU]],'All Skus'!$A:$AC,22,FALSE)),""))</f>
        <v>CN</v>
      </c>
      <c r="S33" s="223" t="str">
        <f>(IF((VLOOKUP(Table10[[#This Row],[SKU]],'All Skus'!$A:$AC,2,FALSE))="Martin",(VLOOKUP(Table10[[#This Row],[SKU]],'All Skus'!$A:$AC,23,FALSE)),""))</f>
        <v>Non Compliant</v>
      </c>
      <c r="T33" s="212" t="str">
        <f>HYPERLINK((IF((VLOOKUP(Table10[[#This Row],[SKU]],'All Skus'!$A:$AC,2,FALSE))="Martin",(VLOOKUP(Table10[[#This Row],[SKU]],'All Skus'!$A:$AC,24,FALSE)),"")))</f>
        <v/>
      </c>
      <c r="U33" s="228">
        <v>31</v>
      </c>
    </row>
    <row r="34" spans="1:21" hidden="1">
      <c r="A34" s="114">
        <v>91610170</v>
      </c>
      <c r="B34" s="224" t="str">
        <f>(IF((VLOOKUP(Table10[[#This Row],[SKU]],'All Skus'!$A:$AC,2,FALSE))="Martin",(VLOOKUP(Table10[[#This Row],[SKU]],'All Skus'!$A:$AC,3,FALSE)),""))</f>
        <v>Accessories</v>
      </c>
      <c r="C34" s="223" t="str">
        <f>(IF((VLOOKUP(Table10[[#This Row],[SKU]],'All Skus'!$A:$AC,2,FALSE))="Martin",(VLOOKUP(Table10[[#This Row],[SKU]],'All Skus'!$A:$AC,4,FALSE)),""))</f>
        <v>Power Cable SJOOW TRUE1-TRUE1 0,45m</v>
      </c>
      <c r="D34" s="224" t="str">
        <f>(IF((VLOOKUP(Table10[[#This Row],[SKU]],'All Skus'!$A:$AC,2,FALSE))="Martin",(VLOOKUP(Table10[[#This Row],[SKU]],'All Skus'!$A:$AC,5,FALSE)),""))</f>
        <v>MAR-ACC</v>
      </c>
      <c r="E34" s="223">
        <f>(IF((VLOOKUP(Table10[[#This Row],[SKU]],'All Skus'!$A:$AC,2,FALSE))="Martin",(VLOOKUP(Table10[[#This Row],[SKU]],'All Skus'!$A:$AC,6,FALSE)),""))</f>
        <v>0</v>
      </c>
      <c r="F34" s="155" t="str">
        <f>(IF((VLOOKUP(Table10[[#This Row],[SKU]],'All Skus'!$A:$AC,2,FALSE))="Martin",(VLOOKUP(Table10[[#This Row],[SKU]],'All Skus'!$A:$AC,7,FALSE)),""))</f>
        <v>EOL stage – limited availability may apply</v>
      </c>
      <c r="G34" s="223" t="str">
        <f>(IF((VLOOKUP(Table10[[#This Row],[SKU]],'All Skus'!$A:$AC,2,FALSE))="Martin",(VLOOKUP(Table10[[#This Row],[SKU]],'All Skus'!$A:$AC,8,FALSE)),""))</f>
        <v>Power Cable SJOOW TRUE1-TRUE1 0,45m</v>
      </c>
      <c r="H34" s="223" t="str">
        <f>(IF((VLOOKUP(Table10[[#This Row],[SKU]],'All Skus'!$A:$AC,2,FALSE))="Martin",(VLOOKUP(Table10[[#This Row],[SKU]],'All Skus'!$A:$AC,9,FALSE)),""))</f>
        <v>Power Cable SJOOW TRUE1-TRUE1 0,45m</v>
      </c>
      <c r="I34" s="225">
        <f>(IF((VLOOKUP(Table10[[#This Row],[SKU]],'All Skus'!$A:$AC,2,FALSE))="Martin",(VLOOKUP(Table10[[#This Row],[SKU]],'All Skus'!$A:$AC,10,FALSE)),""))</f>
        <v>44.45</v>
      </c>
      <c r="J34" s="226">
        <f>(IF((VLOOKUP(Table10[[#This Row],[SKU]],'All Skus'!$A:$AC,2,FALSE))="Martin",(VLOOKUP(Table10[[#This Row],[SKU]],'All Skus'!$A:$AC,11,FALSE)),""))</f>
        <v>44.45</v>
      </c>
      <c r="K34" s="224">
        <f>(IF((VLOOKUP(Table10[[#This Row],[SKU]],'All Skus'!$A:$AC,2,FALSE))="Martin",(VLOOKUP(Table10[[#This Row],[SKU]],'All Skus'!$A:$AC,15,FALSE)),""))</f>
        <v>0</v>
      </c>
      <c r="L34" s="224">
        <f>(IF((VLOOKUP(Table10[[#This Row],[SKU]],'All Skus'!$A:$AC,2,FALSE))="Martin",(VLOOKUP(Table10[[#This Row],[SKU]],'All Skus'!$A:$AC,16,FALSE)),""))</f>
        <v>0</v>
      </c>
      <c r="M34" s="224">
        <f>(IF((VLOOKUP(Table10[[#This Row],[SKU]],'All Skus'!$A:$AC,2,FALSE))="Martin",(VLOOKUP(Table10[[#This Row],[SKU]],'All Skus'!$A:$AC,17,FALSE)),""))</f>
        <v>0</v>
      </c>
      <c r="N34" s="227">
        <f>(IF((VLOOKUP(Table10[[#This Row],[SKU]],'All Skus'!$A:$AC,2,FALSE))="Martin",(VLOOKUP(Table10[[#This Row],[SKU]],'All Skus'!$A:$AC,18,FALSE)),""))</f>
        <v>0</v>
      </c>
      <c r="O34" s="227">
        <f>(IF((VLOOKUP(Table10[[#This Row],[SKU]],'All Skus'!$A:$AC,2,FALSE))="Martin",(VLOOKUP(Table10[[#This Row],[SKU]],'All Skus'!$A:$AC,19,FALSE)),""))</f>
        <v>0</v>
      </c>
      <c r="P34" s="227">
        <f>(IF((VLOOKUP(Table10[[#This Row],[SKU]],'All Skus'!$A:$AC,2,FALSE))="Martin",(VLOOKUP(Table10[[#This Row],[SKU]],'All Skus'!$A:$AC,20,FALSE)),""))</f>
        <v>0</v>
      </c>
      <c r="Q34" s="227">
        <f>(IF((VLOOKUP(Table10[[#This Row],[SKU]],'All Skus'!$A:$AC,2,FALSE))="Martin",(VLOOKUP(Table10[[#This Row],[SKU]],'All Skus'!$A:$AC,21,FALSE)),""))</f>
        <v>0</v>
      </c>
      <c r="R34" s="224" t="str">
        <f>(IF((VLOOKUP(Table10[[#This Row],[SKU]],'All Skus'!$A:$AC,2,FALSE))="Martin",(VLOOKUP(Table10[[#This Row],[SKU]],'All Skus'!$A:$AC,22,FALSE)),""))</f>
        <v>PL</v>
      </c>
      <c r="S34" s="223">
        <f>(IF((VLOOKUP(Table10[[#This Row],[SKU]],'All Skus'!$A:$AC,2,FALSE))="Martin",(VLOOKUP(Table10[[#This Row],[SKU]],'All Skus'!$A:$AC,23,FALSE)),""))</f>
        <v>0</v>
      </c>
      <c r="T34" s="212" t="str">
        <f>HYPERLINK((IF((VLOOKUP(Table10[[#This Row],[SKU]],'All Skus'!$A:$AC,2,FALSE))="Martin",(VLOOKUP(Table10[[#This Row],[SKU]],'All Skus'!$A:$AC,24,FALSE)),"")))</f>
        <v/>
      </c>
      <c r="U34" s="228">
        <v>32</v>
      </c>
    </row>
    <row r="35" spans="1:21" hidden="1">
      <c r="A35" s="114">
        <v>91611785</v>
      </c>
      <c r="B35" s="224" t="str">
        <f>(IF((VLOOKUP(Table10[[#This Row],[SKU]],'All Skus'!$A:$AC,2,FALSE))="Martin",(VLOOKUP(Table10[[#This Row],[SKU]],'All Skus'!$A:$AC,3,FALSE)),""))</f>
        <v>Accessories</v>
      </c>
      <c r="C35" s="223" t="str">
        <f>(IF((VLOOKUP(Table10[[#This Row],[SKU]],'All Skus'!$A:$AC,2,FALSE))="Martin",(VLOOKUP(Table10[[#This Row],[SKU]],'All Skus'!$A:$AC,4,FALSE)),""))</f>
        <v>Power Cable H07RN-F TRUE1-TRUE1 1,20m</v>
      </c>
      <c r="D35" s="224" t="str">
        <f>(IF((VLOOKUP(Table10[[#This Row],[SKU]],'All Skus'!$A:$AC,2,FALSE))="Martin",(VLOOKUP(Table10[[#This Row],[SKU]],'All Skus'!$A:$AC,5,FALSE)),""))</f>
        <v>MAR-ACC</v>
      </c>
      <c r="E35" s="223">
        <f>(IF((VLOOKUP(Table10[[#This Row],[SKU]],'All Skus'!$A:$AC,2,FALSE))="Martin",(VLOOKUP(Table10[[#This Row],[SKU]],'All Skus'!$A:$AC,6,FALSE)),""))</f>
        <v>0</v>
      </c>
      <c r="F35" s="155" t="str">
        <f>(IF((VLOOKUP(Table10[[#This Row],[SKU]],'All Skus'!$A:$AC,2,FALSE))="Martin",(VLOOKUP(Table10[[#This Row],[SKU]],'All Skus'!$A:$AC,7,FALSE)),""))</f>
        <v>EOL stage – limited availability may apply</v>
      </c>
      <c r="G35" s="223" t="str">
        <f>(IF((VLOOKUP(Table10[[#This Row],[SKU]],'All Skus'!$A:$AC,2,FALSE))="Martin",(VLOOKUP(Table10[[#This Row],[SKU]],'All Skus'!$A:$AC,8,FALSE)),""))</f>
        <v>Power Cable H07RN-F TRUE1-TRUE1 1,20m</v>
      </c>
      <c r="H35" s="223" t="str">
        <f>(IF((VLOOKUP(Table10[[#This Row],[SKU]],'All Skus'!$A:$AC,2,FALSE))="Martin",(VLOOKUP(Table10[[#This Row],[SKU]],'All Skus'!$A:$AC,9,FALSE)),""))</f>
        <v>Power Cable H07RN-F TRUE1-TRUE1 1,20m</v>
      </c>
      <c r="I35" s="225">
        <f>(IF((VLOOKUP(Table10[[#This Row],[SKU]],'All Skus'!$A:$AC,2,FALSE))="Martin",(VLOOKUP(Table10[[#This Row],[SKU]],'All Skus'!$A:$AC,10,FALSE)),""))</f>
        <v>45.69</v>
      </c>
      <c r="J35" s="226">
        <f>(IF((VLOOKUP(Table10[[#This Row],[SKU]],'All Skus'!$A:$AC,2,FALSE))="Martin",(VLOOKUP(Table10[[#This Row],[SKU]],'All Skus'!$A:$AC,11,FALSE)),""))</f>
        <v>45.69</v>
      </c>
      <c r="K35" s="224">
        <f>(IF((VLOOKUP(Table10[[#This Row],[SKU]],'All Skus'!$A:$AC,2,FALSE))="Martin",(VLOOKUP(Table10[[#This Row],[SKU]],'All Skus'!$A:$AC,15,FALSE)),""))</f>
        <v>0</v>
      </c>
      <c r="L35" s="224">
        <f>(IF((VLOOKUP(Table10[[#This Row],[SKU]],'All Skus'!$A:$AC,2,FALSE))="Martin",(VLOOKUP(Table10[[#This Row],[SKU]],'All Skus'!$A:$AC,16,FALSE)),""))</f>
        <v>0</v>
      </c>
      <c r="M35" s="224">
        <f>(IF((VLOOKUP(Table10[[#This Row],[SKU]],'All Skus'!$A:$AC,2,FALSE))="Martin",(VLOOKUP(Table10[[#This Row],[SKU]],'All Skus'!$A:$AC,17,FALSE)),""))</f>
        <v>0</v>
      </c>
      <c r="N35" s="227">
        <f>(IF((VLOOKUP(Table10[[#This Row],[SKU]],'All Skus'!$A:$AC,2,FALSE))="Martin",(VLOOKUP(Table10[[#This Row],[SKU]],'All Skus'!$A:$AC,18,FALSE)),""))</f>
        <v>0</v>
      </c>
      <c r="O35" s="227">
        <f>(IF((VLOOKUP(Table10[[#This Row],[SKU]],'All Skus'!$A:$AC,2,FALSE))="Martin",(VLOOKUP(Table10[[#This Row],[SKU]],'All Skus'!$A:$AC,19,FALSE)),""))</f>
        <v>0</v>
      </c>
      <c r="P35" s="227">
        <f>(IF((VLOOKUP(Table10[[#This Row],[SKU]],'All Skus'!$A:$AC,2,FALSE))="Martin",(VLOOKUP(Table10[[#This Row],[SKU]],'All Skus'!$A:$AC,20,FALSE)),""))</f>
        <v>0</v>
      </c>
      <c r="Q35" s="227">
        <f>(IF((VLOOKUP(Table10[[#This Row],[SKU]],'All Skus'!$A:$AC,2,FALSE))="Martin",(VLOOKUP(Table10[[#This Row],[SKU]],'All Skus'!$A:$AC,21,FALSE)),""))</f>
        <v>0</v>
      </c>
      <c r="R35" s="224" t="str">
        <f>(IF((VLOOKUP(Table10[[#This Row],[SKU]],'All Skus'!$A:$AC,2,FALSE))="Martin",(VLOOKUP(Table10[[#This Row],[SKU]],'All Skus'!$A:$AC,22,FALSE)),""))</f>
        <v>PL</v>
      </c>
      <c r="S35" s="223" t="str">
        <f>(IF((VLOOKUP(Table10[[#This Row],[SKU]],'All Skus'!$A:$AC,2,FALSE))="Martin",(VLOOKUP(Table10[[#This Row],[SKU]],'All Skus'!$A:$AC,23,FALSE)),""))</f>
        <v>Non Compliant</v>
      </c>
      <c r="T35" s="212" t="str">
        <f>HYPERLINK((IF((VLOOKUP(Table10[[#This Row],[SKU]],'All Skus'!$A:$AC,2,FALSE))="Martin",(VLOOKUP(Table10[[#This Row],[SKU]],'All Skus'!$A:$AC,24,FALSE)),"")))</f>
        <v/>
      </c>
      <c r="U35" s="228">
        <v>33</v>
      </c>
    </row>
    <row r="36" spans="1:21" hidden="1">
      <c r="A36" s="114">
        <v>91610171</v>
      </c>
      <c r="B36" s="224" t="str">
        <f>(IF((VLOOKUP(Table10[[#This Row],[SKU]],'All Skus'!$A:$AC,2,FALSE))="Martin",(VLOOKUP(Table10[[#This Row],[SKU]],'All Skus'!$A:$AC,3,FALSE)),""))</f>
        <v>Accessories</v>
      </c>
      <c r="C36" s="223" t="str">
        <f>(IF((VLOOKUP(Table10[[#This Row],[SKU]],'All Skus'!$A:$AC,2,FALSE))="Martin",(VLOOKUP(Table10[[#This Row],[SKU]],'All Skus'!$A:$AC,4,FALSE)),""))</f>
        <v>Power Cable SJOOW TRUE1-TRUE1 1,20m</v>
      </c>
      <c r="D36" s="224" t="str">
        <f>(IF((VLOOKUP(Table10[[#This Row],[SKU]],'All Skus'!$A:$AC,2,FALSE))="Martin",(VLOOKUP(Table10[[#This Row],[SKU]],'All Skus'!$A:$AC,5,FALSE)),""))</f>
        <v>MAR-ACC</v>
      </c>
      <c r="E36" s="223">
        <f>(IF((VLOOKUP(Table10[[#This Row],[SKU]],'All Skus'!$A:$AC,2,FALSE))="Martin",(VLOOKUP(Table10[[#This Row],[SKU]],'All Skus'!$A:$AC,6,FALSE)),""))</f>
        <v>0</v>
      </c>
      <c r="F36" s="155" t="str">
        <f>(IF((VLOOKUP(Table10[[#This Row],[SKU]],'All Skus'!$A:$AC,2,FALSE))="Martin",(VLOOKUP(Table10[[#This Row],[SKU]],'All Skus'!$A:$AC,7,FALSE)),""))</f>
        <v>EOL stage – limited availability may apply</v>
      </c>
      <c r="G36" s="223" t="str">
        <f>(IF((VLOOKUP(Table10[[#This Row],[SKU]],'All Skus'!$A:$AC,2,FALSE))="Martin",(VLOOKUP(Table10[[#This Row],[SKU]],'All Skus'!$A:$AC,8,FALSE)),""))</f>
        <v>Power Cable SJOOW TRUE1-TRUE1 1,20m</v>
      </c>
      <c r="H36" s="223" t="str">
        <f>(IF((VLOOKUP(Table10[[#This Row],[SKU]],'All Skus'!$A:$AC,2,FALSE))="Martin",(VLOOKUP(Table10[[#This Row],[SKU]],'All Skus'!$A:$AC,9,FALSE)),""))</f>
        <v>Power Cable SJOOW TRUE1-TRUE1 1,20m</v>
      </c>
      <c r="I36" s="225">
        <f>(IF((VLOOKUP(Table10[[#This Row],[SKU]],'All Skus'!$A:$AC,2,FALSE))="Martin",(VLOOKUP(Table10[[#This Row],[SKU]],'All Skus'!$A:$AC,10,FALSE)),""))</f>
        <v>54.33</v>
      </c>
      <c r="J36" s="226">
        <f>(IF((VLOOKUP(Table10[[#This Row],[SKU]],'All Skus'!$A:$AC,2,FALSE))="Martin",(VLOOKUP(Table10[[#This Row],[SKU]],'All Skus'!$A:$AC,11,FALSE)),""))</f>
        <v>54.33</v>
      </c>
      <c r="K36" s="224">
        <f>(IF((VLOOKUP(Table10[[#This Row],[SKU]],'All Skus'!$A:$AC,2,FALSE))="Martin",(VLOOKUP(Table10[[#This Row],[SKU]],'All Skus'!$A:$AC,15,FALSE)),""))</f>
        <v>0</v>
      </c>
      <c r="L36" s="224">
        <f>(IF((VLOOKUP(Table10[[#This Row],[SKU]],'All Skus'!$A:$AC,2,FALSE))="Martin",(VLOOKUP(Table10[[#This Row],[SKU]],'All Skus'!$A:$AC,16,FALSE)),""))</f>
        <v>0</v>
      </c>
      <c r="M36" s="224">
        <f>(IF((VLOOKUP(Table10[[#This Row],[SKU]],'All Skus'!$A:$AC,2,FALSE))="Martin",(VLOOKUP(Table10[[#This Row],[SKU]],'All Skus'!$A:$AC,17,FALSE)),""))</f>
        <v>0</v>
      </c>
      <c r="N36" s="227">
        <f>(IF((VLOOKUP(Table10[[#This Row],[SKU]],'All Skus'!$A:$AC,2,FALSE))="Martin",(VLOOKUP(Table10[[#This Row],[SKU]],'All Skus'!$A:$AC,18,FALSE)),""))</f>
        <v>0</v>
      </c>
      <c r="O36" s="227">
        <f>(IF((VLOOKUP(Table10[[#This Row],[SKU]],'All Skus'!$A:$AC,2,FALSE))="Martin",(VLOOKUP(Table10[[#This Row],[SKU]],'All Skus'!$A:$AC,19,FALSE)),""))</f>
        <v>0</v>
      </c>
      <c r="P36" s="227">
        <f>(IF((VLOOKUP(Table10[[#This Row],[SKU]],'All Skus'!$A:$AC,2,FALSE))="Martin",(VLOOKUP(Table10[[#This Row],[SKU]],'All Skus'!$A:$AC,20,FALSE)),""))</f>
        <v>0</v>
      </c>
      <c r="Q36" s="227">
        <f>(IF((VLOOKUP(Table10[[#This Row],[SKU]],'All Skus'!$A:$AC,2,FALSE))="Martin",(VLOOKUP(Table10[[#This Row],[SKU]],'All Skus'!$A:$AC,21,FALSE)),""))</f>
        <v>0</v>
      </c>
      <c r="R36" s="224" t="str">
        <f>(IF((VLOOKUP(Table10[[#This Row],[SKU]],'All Skus'!$A:$AC,2,FALSE))="Martin",(VLOOKUP(Table10[[#This Row],[SKU]],'All Skus'!$A:$AC,22,FALSE)),""))</f>
        <v>BY</v>
      </c>
      <c r="S36" s="223">
        <f>(IF((VLOOKUP(Table10[[#This Row],[SKU]],'All Skus'!$A:$AC,2,FALSE))="Martin",(VLOOKUP(Table10[[#This Row],[SKU]],'All Skus'!$A:$AC,23,FALSE)),""))</f>
        <v>0</v>
      </c>
      <c r="T36" s="212" t="str">
        <f>HYPERLINK((IF((VLOOKUP(Table10[[#This Row],[SKU]],'All Skus'!$A:$AC,2,FALSE))="Martin",(VLOOKUP(Table10[[#This Row],[SKU]],'All Skus'!$A:$AC,24,FALSE)),"")))</f>
        <v/>
      </c>
      <c r="U36" s="228">
        <v>34</v>
      </c>
    </row>
    <row r="37" spans="1:21" hidden="1">
      <c r="A37" s="114">
        <v>91611796</v>
      </c>
      <c r="B37" s="224" t="str">
        <f>(IF((VLOOKUP(Table10[[#This Row],[SKU]],'All Skus'!$A:$AC,2,FALSE))="Martin",(VLOOKUP(Table10[[#This Row],[SKU]],'All Skus'!$A:$AC,3,FALSE)),""))</f>
        <v>Accessories</v>
      </c>
      <c r="C37" s="223" t="str">
        <f>(IF((VLOOKUP(Table10[[#This Row],[SKU]],'All Skus'!$A:$AC,2,FALSE))="Martin",(VLOOKUP(Table10[[#This Row],[SKU]],'All Skus'!$A:$AC,4,FALSE)),""))</f>
        <v>Power Cable H07RN-F TRUE1-TRUE1 2,50m</v>
      </c>
      <c r="D37" s="224" t="str">
        <f>(IF((VLOOKUP(Table10[[#This Row],[SKU]],'All Skus'!$A:$AC,2,FALSE))="Martin",(VLOOKUP(Table10[[#This Row],[SKU]],'All Skus'!$A:$AC,5,FALSE)),""))</f>
        <v>MAR-ACC</v>
      </c>
      <c r="E37" s="223">
        <f>(IF((VLOOKUP(Table10[[#This Row],[SKU]],'All Skus'!$A:$AC,2,FALSE))="Martin",(VLOOKUP(Table10[[#This Row],[SKU]],'All Skus'!$A:$AC,6,FALSE)),""))</f>
        <v>0</v>
      </c>
      <c r="F37" s="155">
        <f>(IF((VLOOKUP(Table10[[#This Row],[SKU]],'All Skus'!$A:$AC,2,FALSE))="Martin",(VLOOKUP(Table10[[#This Row],[SKU]],'All Skus'!$A:$AC,7,FALSE)),""))</f>
        <v>0</v>
      </c>
      <c r="G37" s="223" t="str">
        <f>(IF((VLOOKUP(Table10[[#This Row],[SKU]],'All Skus'!$A:$AC,2,FALSE))="Martin",(VLOOKUP(Table10[[#This Row],[SKU]],'All Skus'!$A:$AC,8,FALSE)),""))</f>
        <v>Power Cable H07RN-F TRUE1-TRUE1 2,50m</v>
      </c>
      <c r="H37" s="223" t="str">
        <f>(IF((VLOOKUP(Table10[[#This Row],[SKU]],'All Skus'!$A:$AC,2,FALSE))="Martin",(VLOOKUP(Table10[[#This Row],[SKU]],'All Skus'!$A:$AC,9,FALSE)),""))</f>
        <v>Power Cable H07RN-F TRUE1-TRUE1 2,50m</v>
      </c>
      <c r="I37" s="225">
        <f>(IF((VLOOKUP(Table10[[#This Row],[SKU]],'All Skus'!$A:$AC,2,FALSE))="Martin",(VLOOKUP(Table10[[#This Row],[SKU]],'All Skus'!$A:$AC,10,FALSE)),""))</f>
        <v>50.63</v>
      </c>
      <c r="J37" s="226">
        <f>(IF((VLOOKUP(Table10[[#This Row],[SKU]],'All Skus'!$A:$AC,2,FALSE))="Martin",(VLOOKUP(Table10[[#This Row],[SKU]],'All Skus'!$A:$AC,11,FALSE)),""))</f>
        <v>50.63</v>
      </c>
      <c r="K37" s="224">
        <f>(IF((VLOOKUP(Table10[[#This Row],[SKU]],'All Skus'!$A:$AC,2,FALSE))="Martin",(VLOOKUP(Table10[[#This Row],[SKU]],'All Skus'!$A:$AC,15,FALSE)),""))</f>
        <v>0</v>
      </c>
      <c r="L37" s="224">
        <f>(IF((VLOOKUP(Table10[[#This Row],[SKU]],'All Skus'!$A:$AC,2,FALSE))="Martin",(VLOOKUP(Table10[[#This Row],[SKU]],'All Skus'!$A:$AC,16,FALSE)),""))</f>
        <v>0</v>
      </c>
      <c r="M37" s="224">
        <f>(IF((VLOOKUP(Table10[[#This Row],[SKU]],'All Skus'!$A:$AC,2,FALSE))="Martin",(VLOOKUP(Table10[[#This Row],[SKU]],'All Skus'!$A:$AC,17,FALSE)),""))</f>
        <v>0</v>
      </c>
      <c r="N37" s="227">
        <f>(IF((VLOOKUP(Table10[[#This Row],[SKU]],'All Skus'!$A:$AC,2,FALSE))="Martin",(VLOOKUP(Table10[[#This Row],[SKU]],'All Skus'!$A:$AC,18,FALSE)),""))</f>
        <v>0</v>
      </c>
      <c r="O37" s="227">
        <f>(IF((VLOOKUP(Table10[[#This Row],[SKU]],'All Skus'!$A:$AC,2,FALSE))="Martin",(VLOOKUP(Table10[[#This Row],[SKU]],'All Skus'!$A:$AC,19,FALSE)),""))</f>
        <v>0</v>
      </c>
      <c r="P37" s="227">
        <f>(IF((VLOOKUP(Table10[[#This Row],[SKU]],'All Skus'!$A:$AC,2,FALSE))="Martin",(VLOOKUP(Table10[[#This Row],[SKU]],'All Skus'!$A:$AC,20,FALSE)),""))</f>
        <v>0</v>
      </c>
      <c r="Q37" s="227">
        <f>(IF((VLOOKUP(Table10[[#This Row],[SKU]],'All Skus'!$A:$AC,2,FALSE))="Martin",(VLOOKUP(Table10[[#This Row],[SKU]],'All Skus'!$A:$AC,21,FALSE)),""))</f>
        <v>0</v>
      </c>
      <c r="R37" s="224" t="str">
        <f>(IF((VLOOKUP(Table10[[#This Row],[SKU]],'All Skus'!$A:$AC,2,FALSE))="Martin",(VLOOKUP(Table10[[#This Row],[SKU]],'All Skus'!$A:$AC,22,FALSE)),""))</f>
        <v>PL</v>
      </c>
      <c r="S37" s="223">
        <f>(IF((VLOOKUP(Table10[[#This Row],[SKU]],'All Skus'!$A:$AC,2,FALSE))="Martin",(VLOOKUP(Table10[[#This Row],[SKU]],'All Skus'!$A:$AC,23,FALSE)),""))</f>
        <v>0</v>
      </c>
      <c r="T37" s="212" t="str">
        <f>HYPERLINK((IF((VLOOKUP(Table10[[#This Row],[SKU]],'All Skus'!$A:$AC,2,FALSE))="Martin",(VLOOKUP(Table10[[#This Row],[SKU]],'All Skus'!$A:$AC,24,FALSE)),"")))</f>
        <v/>
      </c>
      <c r="U37" s="228">
        <v>35</v>
      </c>
    </row>
    <row r="38" spans="1:21" hidden="1">
      <c r="A38" s="114">
        <v>91610172</v>
      </c>
      <c r="B38" s="224" t="str">
        <f>(IF((VLOOKUP(Table10[[#This Row],[SKU]],'All Skus'!$A:$AC,2,FALSE))="Martin",(VLOOKUP(Table10[[#This Row],[SKU]],'All Skus'!$A:$AC,3,FALSE)),""))</f>
        <v>Accessories</v>
      </c>
      <c r="C38" s="223" t="str">
        <f>(IF((VLOOKUP(Table10[[#This Row],[SKU]],'All Skus'!$A:$AC,2,FALSE))="Martin",(VLOOKUP(Table10[[#This Row],[SKU]],'All Skus'!$A:$AC,4,FALSE)),""))</f>
        <v>Power Cable SJOOW TRUE1-TRUE1 2,50m</v>
      </c>
      <c r="D38" s="224" t="str">
        <f>(IF((VLOOKUP(Table10[[#This Row],[SKU]],'All Skus'!$A:$AC,2,FALSE))="Martin",(VLOOKUP(Table10[[#This Row],[SKU]],'All Skus'!$A:$AC,5,FALSE)),""))</f>
        <v>MAR-ACC</v>
      </c>
      <c r="E38" s="223">
        <f>(IF((VLOOKUP(Table10[[#This Row],[SKU]],'All Skus'!$A:$AC,2,FALSE))="Martin",(VLOOKUP(Table10[[#This Row],[SKU]],'All Skus'!$A:$AC,6,FALSE)),""))</f>
        <v>0</v>
      </c>
      <c r="F38" s="155">
        <f>(IF((VLOOKUP(Table10[[#This Row],[SKU]],'All Skus'!$A:$AC,2,FALSE))="Martin",(VLOOKUP(Table10[[#This Row],[SKU]],'All Skus'!$A:$AC,7,FALSE)),""))</f>
        <v>0</v>
      </c>
      <c r="G38" s="223" t="str">
        <f>(IF((VLOOKUP(Table10[[#This Row],[SKU]],'All Skus'!$A:$AC,2,FALSE))="Martin",(VLOOKUP(Table10[[#This Row],[SKU]],'All Skus'!$A:$AC,8,FALSE)),""))</f>
        <v>Power Cable SJOOW TRUE1-TRUE1 2,50m</v>
      </c>
      <c r="H38" s="223" t="str">
        <f>(IF((VLOOKUP(Table10[[#This Row],[SKU]],'All Skus'!$A:$AC,2,FALSE))="Martin",(VLOOKUP(Table10[[#This Row],[SKU]],'All Skus'!$A:$AC,9,FALSE)),""))</f>
        <v>Power Cable SJOOW TRUE1-TRUE1 2,50m</v>
      </c>
      <c r="I38" s="225">
        <f>(IF((VLOOKUP(Table10[[#This Row],[SKU]],'All Skus'!$A:$AC,2,FALSE))="Martin",(VLOOKUP(Table10[[#This Row],[SKU]],'All Skus'!$A:$AC,10,FALSE)),""))</f>
        <v>74.09</v>
      </c>
      <c r="J38" s="226">
        <f>(IF((VLOOKUP(Table10[[#This Row],[SKU]],'All Skus'!$A:$AC,2,FALSE))="Martin",(VLOOKUP(Table10[[#This Row],[SKU]],'All Skus'!$A:$AC,11,FALSE)),""))</f>
        <v>74.09</v>
      </c>
      <c r="K38" s="224">
        <f>(IF((VLOOKUP(Table10[[#This Row],[SKU]],'All Skus'!$A:$AC,2,FALSE))="Martin",(VLOOKUP(Table10[[#This Row],[SKU]],'All Skus'!$A:$AC,15,FALSE)),""))</f>
        <v>0</v>
      </c>
      <c r="L38" s="224">
        <f>(IF((VLOOKUP(Table10[[#This Row],[SKU]],'All Skus'!$A:$AC,2,FALSE))="Martin",(VLOOKUP(Table10[[#This Row],[SKU]],'All Skus'!$A:$AC,16,FALSE)),""))</f>
        <v>0</v>
      </c>
      <c r="M38" s="224">
        <f>(IF((VLOOKUP(Table10[[#This Row],[SKU]],'All Skus'!$A:$AC,2,FALSE))="Martin",(VLOOKUP(Table10[[#This Row],[SKU]],'All Skus'!$A:$AC,17,FALSE)),""))</f>
        <v>0</v>
      </c>
      <c r="N38" s="227">
        <f>(IF((VLOOKUP(Table10[[#This Row],[SKU]],'All Skus'!$A:$AC,2,FALSE))="Martin",(VLOOKUP(Table10[[#This Row],[SKU]],'All Skus'!$A:$AC,18,FALSE)),""))</f>
        <v>0</v>
      </c>
      <c r="O38" s="227">
        <f>(IF((VLOOKUP(Table10[[#This Row],[SKU]],'All Skus'!$A:$AC,2,FALSE))="Martin",(VLOOKUP(Table10[[#This Row],[SKU]],'All Skus'!$A:$AC,19,FALSE)),""))</f>
        <v>0</v>
      </c>
      <c r="P38" s="227">
        <f>(IF((VLOOKUP(Table10[[#This Row],[SKU]],'All Skus'!$A:$AC,2,FALSE))="Martin",(VLOOKUP(Table10[[#This Row],[SKU]],'All Skus'!$A:$AC,20,FALSE)),""))</f>
        <v>0</v>
      </c>
      <c r="Q38" s="227">
        <f>(IF((VLOOKUP(Table10[[#This Row],[SKU]],'All Skus'!$A:$AC,2,FALSE))="Martin",(VLOOKUP(Table10[[#This Row],[SKU]],'All Skus'!$A:$AC,21,FALSE)),""))</f>
        <v>0</v>
      </c>
      <c r="R38" s="224" t="str">
        <f>(IF((VLOOKUP(Table10[[#This Row],[SKU]],'All Skus'!$A:$AC,2,FALSE))="Martin",(VLOOKUP(Table10[[#This Row],[SKU]],'All Skus'!$A:$AC,22,FALSE)),""))</f>
        <v>PL</v>
      </c>
      <c r="S38" s="223">
        <f>(IF((VLOOKUP(Table10[[#This Row],[SKU]],'All Skus'!$A:$AC,2,FALSE))="Martin",(VLOOKUP(Table10[[#This Row],[SKU]],'All Skus'!$A:$AC,23,FALSE)),""))</f>
        <v>0</v>
      </c>
      <c r="T38" s="212" t="str">
        <f>HYPERLINK((IF((VLOOKUP(Table10[[#This Row],[SKU]],'All Skus'!$A:$AC,2,FALSE))="Martin",(VLOOKUP(Table10[[#This Row],[SKU]],'All Skus'!$A:$AC,24,FALSE)),"")))</f>
        <v/>
      </c>
      <c r="U38" s="228">
        <v>36</v>
      </c>
    </row>
    <row r="39" spans="1:21" hidden="1">
      <c r="A39" s="114">
        <v>91611797</v>
      </c>
      <c r="B39" s="224" t="str">
        <f>(IF((VLOOKUP(Table10[[#This Row],[SKU]],'All Skus'!$A:$AC,2,FALSE))="Martin",(VLOOKUP(Table10[[#This Row],[SKU]],'All Skus'!$A:$AC,3,FALSE)),""))</f>
        <v>Accessories</v>
      </c>
      <c r="C39" s="223" t="str">
        <f>(IF((VLOOKUP(Table10[[#This Row],[SKU]],'All Skus'!$A:$AC,2,FALSE))="Martin",(VLOOKUP(Table10[[#This Row],[SKU]],'All Skus'!$A:$AC,4,FALSE)),""))</f>
        <v>Power Cable H07RN-F OPEN-TRUE1 1,50m</v>
      </c>
      <c r="D39" s="224" t="str">
        <f>(IF((VLOOKUP(Table10[[#This Row],[SKU]],'All Skus'!$A:$AC,2,FALSE))="Martin",(VLOOKUP(Table10[[#This Row],[SKU]],'All Skus'!$A:$AC,5,FALSE)),""))</f>
        <v>MAR-ACC</v>
      </c>
      <c r="E39" s="223">
        <f>(IF((VLOOKUP(Table10[[#This Row],[SKU]],'All Skus'!$A:$AC,2,FALSE))="Martin",(VLOOKUP(Table10[[#This Row],[SKU]],'All Skus'!$A:$AC,6,FALSE)),""))</f>
        <v>0</v>
      </c>
      <c r="F39" s="155">
        <f>(IF((VLOOKUP(Table10[[#This Row],[SKU]],'All Skus'!$A:$AC,2,FALSE))="Martin",(VLOOKUP(Table10[[#This Row],[SKU]],'All Skus'!$A:$AC,7,FALSE)),""))</f>
        <v>0</v>
      </c>
      <c r="G39" s="223" t="str">
        <f>(IF((VLOOKUP(Table10[[#This Row],[SKU]],'All Skus'!$A:$AC,2,FALSE))="Martin",(VLOOKUP(Table10[[#This Row],[SKU]],'All Skus'!$A:$AC,8,FALSE)),""))</f>
        <v>Power Cable H07RN-F OPEN-TRUE1 1,50m</v>
      </c>
      <c r="H39" s="223" t="str">
        <f>(IF((VLOOKUP(Table10[[#This Row],[SKU]],'All Skus'!$A:$AC,2,FALSE))="Martin",(VLOOKUP(Table10[[#This Row],[SKU]],'All Skus'!$A:$AC,9,FALSE)),""))</f>
        <v>Power Cable H07RN-F OPEN-TRUE1 1,50m</v>
      </c>
      <c r="I39" s="225">
        <f>(IF((VLOOKUP(Table10[[#This Row],[SKU]],'All Skus'!$A:$AC,2,FALSE))="Martin",(VLOOKUP(Table10[[#This Row],[SKU]],'All Skus'!$A:$AC,10,FALSE)),""))</f>
        <v>28.4</v>
      </c>
      <c r="J39" s="226">
        <f>(IF((VLOOKUP(Table10[[#This Row],[SKU]],'All Skus'!$A:$AC,2,FALSE))="Martin",(VLOOKUP(Table10[[#This Row],[SKU]],'All Skus'!$A:$AC,11,FALSE)),""))</f>
        <v>28.4</v>
      </c>
      <c r="K39" s="224">
        <f>(IF((VLOOKUP(Table10[[#This Row],[SKU]],'All Skus'!$A:$AC,2,FALSE))="Martin",(VLOOKUP(Table10[[#This Row],[SKU]],'All Skus'!$A:$AC,15,FALSE)),""))</f>
        <v>0</v>
      </c>
      <c r="L39" s="224">
        <f>(IF((VLOOKUP(Table10[[#This Row],[SKU]],'All Skus'!$A:$AC,2,FALSE))="Martin",(VLOOKUP(Table10[[#This Row],[SKU]],'All Skus'!$A:$AC,16,FALSE)),""))</f>
        <v>688705000497</v>
      </c>
      <c r="M39" s="224">
        <f>(IF((VLOOKUP(Table10[[#This Row],[SKU]],'All Skus'!$A:$AC,2,FALSE))="Martin",(VLOOKUP(Table10[[#This Row],[SKU]],'All Skus'!$A:$AC,17,FALSE)),""))</f>
        <v>0</v>
      </c>
      <c r="N39" s="227">
        <f>(IF((VLOOKUP(Table10[[#This Row],[SKU]],'All Skus'!$A:$AC,2,FALSE))="Martin",(VLOOKUP(Table10[[#This Row],[SKU]],'All Skus'!$A:$AC,18,FALSE)),""))</f>
        <v>0</v>
      </c>
      <c r="O39" s="227">
        <f>(IF((VLOOKUP(Table10[[#This Row],[SKU]],'All Skus'!$A:$AC,2,FALSE))="Martin",(VLOOKUP(Table10[[#This Row],[SKU]],'All Skus'!$A:$AC,19,FALSE)),""))</f>
        <v>0</v>
      </c>
      <c r="P39" s="227">
        <f>(IF((VLOOKUP(Table10[[#This Row],[SKU]],'All Skus'!$A:$AC,2,FALSE))="Martin",(VLOOKUP(Table10[[#This Row],[SKU]],'All Skus'!$A:$AC,20,FALSE)),""))</f>
        <v>0</v>
      </c>
      <c r="Q39" s="227">
        <f>(IF((VLOOKUP(Table10[[#This Row],[SKU]],'All Skus'!$A:$AC,2,FALSE))="Martin",(VLOOKUP(Table10[[#This Row],[SKU]],'All Skus'!$A:$AC,21,FALSE)),""))</f>
        <v>0</v>
      </c>
      <c r="R39" s="224" t="str">
        <f>(IF((VLOOKUP(Table10[[#This Row],[SKU]],'All Skus'!$A:$AC,2,FALSE))="Martin",(VLOOKUP(Table10[[#This Row],[SKU]],'All Skus'!$A:$AC,22,FALSE)),""))</f>
        <v>PL</v>
      </c>
      <c r="S39" s="223">
        <f>(IF((VLOOKUP(Table10[[#This Row],[SKU]],'All Skus'!$A:$AC,2,FALSE))="Martin",(VLOOKUP(Table10[[#This Row],[SKU]],'All Skus'!$A:$AC,23,FALSE)),""))</f>
        <v>0</v>
      </c>
      <c r="T39" s="212" t="str">
        <f>HYPERLINK((IF((VLOOKUP(Table10[[#This Row],[SKU]],'All Skus'!$A:$AC,2,FALSE))="Martin",(VLOOKUP(Table10[[#This Row],[SKU]],'All Skus'!$A:$AC,24,FALSE)),"")))</f>
        <v/>
      </c>
      <c r="U39" s="228">
        <v>37</v>
      </c>
    </row>
    <row r="40" spans="1:21" hidden="1">
      <c r="A40" s="114">
        <v>91610173</v>
      </c>
      <c r="B40" s="224" t="str">
        <f>(IF((VLOOKUP(Table10[[#This Row],[SKU]],'All Skus'!$A:$AC,2,FALSE))="Martin",(VLOOKUP(Table10[[#This Row],[SKU]],'All Skus'!$A:$AC,3,FALSE)),""))</f>
        <v>Accessories</v>
      </c>
      <c r="C40" s="223" t="str">
        <f>(IF((VLOOKUP(Table10[[#This Row],[SKU]],'All Skus'!$A:$AC,2,FALSE))="Martin",(VLOOKUP(Table10[[#This Row],[SKU]],'All Skus'!$A:$AC,4,FALSE)),""))</f>
        <v>Power Cable SJOOW OPEN-TRUE1 1,50m</v>
      </c>
      <c r="D40" s="224" t="str">
        <f>(IF((VLOOKUP(Table10[[#This Row],[SKU]],'All Skus'!$A:$AC,2,FALSE))="Martin",(VLOOKUP(Table10[[#This Row],[SKU]],'All Skus'!$A:$AC,5,FALSE)),""))</f>
        <v>MAR-ACC</v>
      </c>
      <c r="E40" s="223">
        <f>(IF((VLOOKUP(Table10[[#This Row],[SKU]],'All Skus'!$A:$AC,2,FALSE))="Martin",(VLOOKUP(Table10[[#This Row],[SKU]],'All Skus'!$A:$AC,6,FALSE)),""))</f>
        <v>0</v>
      </c>
      <c r="F40" s="155">
        <f>(IF((VLOOKUP(Table10[[#This Row],[SKU]],'All Skus'!$A:$AC,2,FALSE))="Martin",(VLOOKUP(Table10[[#This Row],[SKU]],'All Skus'!$A:$AC,7,FALSE)),""))</f>
        <v>0</v>
      </c>
      <c r="G40" s="223" t="str">
        <f>(IF((VLOOKUP(Table10[[#This Row],[SKU]],'All Skus'!$A:$AC,2,FALSE))="Martin",(VLOOKUP(Table10[[#This Row],[SKU]],'All Skus'!$A:$AC,8,FALSE)),""))</f>
        <v>Power Cable SJOOW OPEN-TRUE1 1,50m</v>
      </c>
      <c r="H40" s="223" t="str">
        <f>(IF((VLOOKUP(Table10[[#This Row],[SKU]],'All Skus'!$A:$AC,2,FALSE))="Martin",(VLOOKUP(Table10[[#This Row],[SKU]],'All Skus'!$A:$AC,9,FALSE)),""))</f>
        <v>Power Cable SJOOW OPEN-TRUE1 1,50m</v>
      </c>
      <c r="I40" s="225">
        <f>(IF((VLOOKUP(Table10[[#This Row],[SKU]],'All Skus'!$A:$AC,2,FALSE))="Martin",(VLOOKUP(Table10[[#This Row],[SKU]],'All Skus'!$A:$AC,10,FALSE)),""))</f>
        <v>38.28</v>
      </c>
      <c r="J40" s="226">
        <f>(IF((VLOOKUP(Table10[[#This Row],[SKU]],'All Skus'!$A:$AC,2,FALSE))="Martin",(VLOOKUP(Table10[[#This Row],[SKU]],'All Skus'!$A:$AC,11,FALSE)),""))</f>
        <v>38.28</v>
      </c>
      <c r="K40" s="224">
        <f>(IF((VLOOKUP(Table10[[#This Row],[SKU]],'All Skus'!$A:$AC,2,FALSE))="Martin",(VLOOKUP(Table10[[#This Row],[SKU]],'All Skus'!$A:$AC,15,FALSE)),""))</f>
        <v>0</v>
      </c>
      <c r="L40" s="224">
        <f>(IF((VLOOKUP(Table10[[#This Row],[SKU]],'All Skus'!$A:$AC,2,FALSE))="Martin",(VLOOKUP(Table10[[#This Row],[SKU]],'All Skus'!$A:$AC,16,FALSE)),""))</f>
        <v>0</v>
      </c>
      <c r="M40" s="224">
        <f>(IF((VLOOKUP(Table10[[#This Row],[SKU]],'All Skus'!$A:$AC,2,FALSE))="Martin",(VLOOKUP(Table10[[#This Row],[SKU]],'All Skus'!$A:$AC,17,FALSE)),""))</f>
        <v>0</v>
      </c>
      <c r="N40" s="227">
        <f>(IF((VLOOKUP(Table10[[#This Row],[SKU]],'All Skus'!$A:$AC,2,FALSE))="Martin",(VLOOKUP(Table10[[#This Row],[SKU]],'All Skus'!$A:$AC,18,FALSE)),""))</f>
        <v>0</v>
      </c>
      <c r="O40" s="227">
        <f>(IF((VLOOKUP(Table10[[#This Row],[SKU]],'All Skus'!$A:$AC,2,FALSE))="Martin",(VLOOKUP(Table10[[#This Row],[SKU]],'All Skus'!$A:$AC,19,FALSE)),""))</f>
        <v>0</v>
      </c>
      <c r="P40" s="227">
        <f>(IF((VLOOKUP(Table10[[#This Row],[SKU]],'All Skus'!$A:$AC,2,FALSE))="Martin",(VLOOKUP(Table10[[#This Row],[SKU]],'All Skus'!$A:$AC,20,FALSE)),""))</f>
        <v>0</v>
      </c>
      <c r="Q40" s="227">
        <f>(IF((VLOOKUP(Table10[[#This Row],[SKU]],'All Skus'!$A:$AC,2,FALSE))="Martin",(VLOOKUP(Table10[[#This Row],[SKU]],'All Skus'!$A:$AC,21,FALSE)),""))</f>
        <v>0</v>
      </c>
      <c r="R40" s="224" t="str">
        <f>(IF((VLOOKUP(Table10[[#This Row],[SKU]],'All Skus'!$A:$AC,2,FALSE))="Martin",(VLOOKUP(Table10[[#This Row],[SKU]],'All Skus'!$A:$AC,22,FALSE)),""))</f>
        <v>PL</v>
      </c>
      <c r="S40" s="223">
        <f>(IF((VLOOKUP(Table10[[#This Row],[SKU]],'All Skus'!$A:$AC,2,FALSE))="Martin",(VLOOKUP(Table10[[#This Row],[SKU]],'All Skus'!$A:$AC,23,FALSE)),""))</f>
        <v>0</v>
      </c>
      <c r="T40" s="212" t="str">
        <f>HYPERLINK((IF((VLOOKUP(Table10[[#This Row],[SKU]],'All Skus'!$A:$AC,2,FALSE))="Martin",(VLOOKUP(Table10[[#This Row],[SKU]],'All Skus'!$A:$AC,24,FALSE)),"")))</f>
        <v/>
      </c>
      <c r="U40" s="228">
        <v>38</v>
      </c>
    </row>
    <row r="41" spans="1:21" hidden="1">
      <c r="A41" s="114">
        <v>91611786</v>
      </c>
      <c r="B41" s="224" t="str">
        <f>(IF((VLOOKUP(Table10[[#This Row],[SKU]],'All Skus'!$A:$AC,2,FALSE))="Martin",(VLOOKUP(Table10[[#This Row],[SKU]],'All Skus'!$A:$AC,3,FALSE)),""))</f>
        <v>Accessories</v>
      </c>
      <c r="C41" s="223" t="str">
        <f>(IF((VLOOKUP(Table10[[#This Row],[SKU]],'All Skus'!$A:$AC,2,FALSE))="Martin",(VLOOKUP(Table10[[#This Row],[SKU]],'All Skus'!$A:$AC,4,FALSE)),""))</f>
        <v>Power Cable H07RN-F OPEN-TRUE1 5,00m</v>
      </c>
      <c r="D41" s="224" t="str">
        <f>(IF((VLOOKUP(Table10[[#This Row],[SKU]],'All Skus'!$A:$AC,2,FALSE))="Martin",(VLOOKUP(Table10[[#This Row],[SKU]],'All Skus'!$A:$AC,5,FALSE)),""))</f>
        <v>MAR-ACC</v>
      </c>
      <c r="E41" s="223">
        <f>(IF((VLOOKUP(Table10[[#This Row],[SKU]],'All Skus'!$A:$AC,2,FALSE))="Martin",(VLOOKUP(Table10[[#This Row],[SKU]],'All Skus'!$A:$AC,6,FALSE)),""))</f>
        <v>0</v>
      </c>
      <c r="F41" s="155" t="str">
        <f>(IF((VLOOKUP(Table10[[#This Row],[SKU]],'All Skus'!$A:$AC,2,FALSE))="Martin",(VLOOKUP(Table10[[#This Row],[SKU]],'All Skus'!$A:$AC,7,FALSE)),""))</f>
        <v>EOL stage – limited availability may apply</v>
      </c>
      <c r="G41" s="223" t="str">
        <f>(IF((VLOOKUP(Table10[[#This Row],[SKU]],'All Skus'!$A:$AC,2,FALSE))="Martin",(VLOOKUP(Table10[[#This Row],[SKU]],'All Skus'!$A:$AC,8,FALSE)),""))</f>
        <v>Power Cable H07RN-F OPEN-TRUE1 5,00m</v>
      </c>
      <c r="H41" s="223" t="str">
        <f>(IF((VLOOKUP(Table10[[#This Row],[SKU]],'All Skus'!$A:$AC,2,FALSE))="Martin",(VLOOKUP(Table10[[#This Row],[SKU]],'All Skus'!$A:$AC,9,FALSE)),""))</f>
        <v>Power Cable H07RN-F OPEN-TRUE1 5,00m</v>
      </c>
      <c r="I41" s="225">
        <f>(IF((VLOOKUP(Table10[[#This Row],[SKU]],'All Skus'!$A:$AC,2,FALSE))="Martin",(VLOOKUP(Table10[[#This Row],[SKU]],'All Skus'!$A:$AC,10,FALSE)),""))</f>
        <v>43.22</v>
      </c>
      <c r="J41" s="226">
        <f>(IF((VLOOKUP(Table10[[#This Row],[SKU]],'All Skus'!$A:$AC,2,FALSE))="Martin",(VLOOKUP(Table10[[#This Row],[SKU]],'All Skus'!$A:$AC,11,FALSE)),""))</f>
        <v>43.22</v>
      </c>
      <c r="K41" s="224">
        <f>(IF((VLOOKUP(Table10[[#This Row],[SKU]],'All Skus'!$A:$AC,2,FALSE))="Martin",(VLOOKUP(Table10[[#This Row],[SKU]],'All Skus'!$A:$AC,15,FALSE)),""))</f>
        <v>0</v>
      </c>
      <c r="L41" s="224">
        <f>(IF((VLOOKUP(Table10[[#This Row],[SKU]],'All Skus'!$A:$AC,2,FALSE))="Martin",(VLOOKUP(Table10[[#This Row],[SKU]],'All Skus'!$A:$AC,16,FALSE)),""))</f>
        <v>0</v>
      </c>
      <c r="M41" s="224">
        <f>(IF((VLOOKUP(Table10[[#This Row],[SKU]],'All Skus'!$A:$AC,2,FALSE))="Martin",(VLOOKUP(Table10[[#This Row],[SKU]],'All Skus'!$A:$AC,17,FALSE)),""))</f>
        <v>0</v>
      </c>
      <c r="N41" s="227">
        <f>(IF((VLOOKUP(Table10[[#This Row],[SKU]],'All Skus'!$A:$AC,2,FALSE))="Martin",(VLOOKUP(Table10[[#This Row],[SKU]],'All Skus'!$A:$AC,18,FALSE)),""))</f>
        <v>0</v>
      </c>
      <c r="O41" s="227">
        <f>(IF((VLOOKUP(Table10[[#This Row],[SKU]],'All Skus'!$A:$AC,2,FALSE))="Martin",(VLOOKUP(Table10[[#This Row],[SKU]],'All Skus'!$A:$AC,19,FALSE)),""))</f>
        <v>0</v>
      </c>
      <c r="P41" s="227">
        <f>(IF((VLOOKUP(Table10[[#This Row],[SKU]],'All Skus'!$A:$AC,2,FALSE))="Martin",(VLOOKUP(Table10[[#This Row],[SKU]],'All Skus'!$A:$AC,20,FALSE)),""))</f>
        <v>0</v>
      </c>
      <c r="Q41" s="227">
        <f>(IF((VLOOKUP(Table10[[#This Row],[SKU]],'All Skus'!$A:$AC,2,FALSE))="Martin",(VLOOKUP(Table10[[#This Row],[SKU]],'All Skus'!$A:$AC,21,FALSE)),""))</f>
        <v>0</v>
      </c>
      <c r="R41" s="224" t="str">
        <f>(IF((VLOOKUP(Table10[[#This Row],[SKU]],'All Skus'!$A:$AC,2,FALSE))="Martin",(VLOOKUP(Table10[[#This Row],[SKU]],'All Skus'!$A:$AC,22,FALSE)),""))</f>
        <v>CN</v>
      </c>
      <c r="S41" s="223" t="str">
        <f>(IF((VLOOKUP(Table10[[#This Row],[SKU]],'All Skus'!$A:$AC,2,FALSE))="Martin",(VLOOKUP(Table10[[#This Row],[SKU]],'All Skus'!$A:$AC,23,FALSE)),""))</f>
        <v>Non Compliant</v>
      </c>
      <c r="T41" s="212" t="str">
        <f>HYPERLINK((IF((VLOOKUP(Table10[[#This Row],[SKU]],'All Skus'!$A:$AC,2,FALSE))="Martin",(VLOOKUP(Table10[[#This Row],[SKU]],'All Skus'!$A:$AC,24,FALSE)),"")))</f>
        <v/>
      </c>
      <c r="U41" s="228">
        <v>39</v>
      </c>
    </row>
    <row r="42" spans="1:21" hidden="1">
      <c r="A42" s="114">
        <v>91610174</v>
      </c>
      <c r="B42" s="224" t="str">
        <f>(IF((VLOOKUP(Table10[[#This Row],[SKU]],'All Skus'!$A:$AC,2,FALSE))="Martin",(VLOOKUP(Table10[[#This Row],[SKU]],'All Skus'!$A:$AC,3,FALSE)),""))</f>
        <v>Accessories</v>
      </c>
      <c r="C42" s="223" t="str">
        <f>(IF((VLOOKUP(Table10[[#This Row],[SKU]],'All Skus'!$A:$AC,2,FALSE))="Martin",(VLOOKUP(Table10[[#This Row],[SKU]],'All Skus'!$A:$AC,4,FALSE)),""))</f>
        <v>Power Cable SJOOW OPEN-TRUE1 5,00m</v>
      </c>
      <c r="D42" s="224" t="str">
        <f>(IF((VLOOKUP(Table10[[#This Row],[SKU]],'All Skus'!$A:$AC,2,FALSE))="Martin",(VLOOKUP(Table10[[#This Row],[SKU]],'All Skus'!$A:$AC,5,FALSE)),""))</f>
        <v>MAR-ACC</v>
      </c>
      <c r="E42" s="223">
        <f>(IF((VLOOKUP(Table10[[#This Row],[SKU]],'All Skus'!$A:$AC,2,FALSE))="Martin",(VLOOKUP(Table10[[#This Row],[SKU]],'All Skus'!$A:$AC,6,FALSE)),""))</f>
        <v>0</v>
      </c>
      <c r="F42" s="155" t="str">
        <f>(IF((VLOOKUP(Table10[[#This Row],[SKU]],'All Skus'!$A:$AC,2,FALSE))="Martin",(VLOOKUP(Table10[[#This Row],[SKU]],'All Skus'!$A:$AC,7,FALSE)),""))</f>
        <v>EOL stage – limited availability may apply</v>
      </c>
      <c r="G42" s="223" t="str">
        <f>(IF((VLOOKUP(Table10[[#This Row],[SKU]],'All Skus'!$A:$AC,2,FALSE))="Martin",(VLOOKUP(Table10[[#This Row],[SKU]],'All Skus'!$A:$AC,8,FALSE)),""))</f>
        <v>Power Cable SJOOW OPEN-TRUE1 5,00m</v>
      </c>
      <c r="H42" s="223" t="str">
        <f>(IF((VLOOKUP(Table10[[#This Row],[SKU]],'All Skus'!$A:$AC,2,FALSE))="Martin",(VLOOKUP(Table10[[#This Row],[SKU]],'All Skus'!$A:$AC,9,FALSE)),""))</f>
        <v>Power Cable SJOOW OPEN-TRUE1 5,00m</v>
      </c>
      <c r="I42" s="225">
        <f>(IF((VLOOKUP(Table10[[#This Row],[SKU]],'All Skus'!$A:$AC,2,FALSE))="Martin",(VLOOKUP(Table10[[#This Row],[SKU]],'All Skus'!$A:$AC,10,FALSE)),""))</f>
        <v>70.38</v>
      </c>
      <c r="J42" s="226">
        <f>(IF((VLOOKUP(Table10[[#This Row],[SKU]],'All Skus'!$A:$AC,2,FALSE))="Martin",(VLOOKUP(Table10[[#This Row],[SKU]],'All Skus'!$A:$AC,11,FALSE)),""))</f>
        <v>70.38</v>
      </c>
      <c r="K42" s="224">
        <f>(IF((VLOOKUP(Table10[[#This Row],[SKU]],'All Skus'!$A:$AC,2,FALSE))="Martin",(VLOOKUP(Table10[[#This Row],[SKU]],'All Skus'!$A:$AC,15,FALSE)),""))</f>
        <v>0</v>
      </c>
      <c r="L42" s="224">
        <f>(IF((VLOOKUP(Table10[[#This Row],[SKU]],'All Skus'!$A:$AC,2,FALSE))="Martin",(VLOOKUP(Table10[[#This Row],[SKU]],'All Skus'!$A:$AC,16,FALSE)),""))</f>
        <v>0</v>
      </c>
      <c r="M42" s="224">
        <f>(IF((VLOOKUP(Table10[[#This Row],[SKU]],'All Skus'!$A:$AC,2,FALSE))="Martin",(VLOOKUP(Table10[[#This Row],[SKU]],'All Skus'!$A:$AC,17,FALSE)),""))</f>
        <v>0</v>
      </c>
      <c r="N42" s="227">
        <f>(IF((VLOOKUP(Table10[[#This Row],[SKU]],'All Skus'!$A:$AC,2,FALSE))="Martin",(VLOOKUP(Table10[[#This Row],[SKU]],'All Skus'!$A:$AC,18,FALSE)),""))</f>
        <v>0</v>
      </c>
      <c r="O42" s="227">
        <f>(IF((VLOOKUP(Table10[[#This Row],[SKU]],'All Skus'!$A:$AC,2,FALSE))="Martin",(VLOOKUP(Table10[[#This Row],[SKU]],'All Skus'!$A:$AC,19,FALSE)),""))</f>
        <v>0</v>
      </c>
      <c r="P42" s="227">
        <f>(IF((VLOOKUP(Table10[[#This Row],[SKU]],'All Skus'!$A:$AC,2,FALSE))="Martin",(VLOOKUP(Table10[[#This Row],[SKU]],'All Skus'!$A:$AC,20,FALSE)),""))</f>
        <v>0</v>
      </c>
      <c r="Q42" s="227">
        <f>(IF((VLOOKUP(Table10[[#This Row],[SKU]],'All Skus'!$A:$AC,2,FALSE))="Martin",(VLOOKUP(Table10[[#This Row],[SKU]],'All Skus'!$A:$AC,21,FALSE)),""))</f>
        <v>0</v>
      </c>
      <c r="R42" s="224" t="str">
        <f>(IF((VLOOKUP(Table10[[#This Row],[SKU]],'All Skus'!$A:$AC,2,FALSE))="Martin",(VLOOKUP(Table10[[#This Row],[SKU]],'All Skus'!$A:$AC,22,FALSE)),""))</f>
        <v>PL</v>
      </c>
      <c r="S42" s="223">
        <f>(IF((VLOOKUP(Table10[[#This Row],[SKU]],'All Skus'!$A:$AC,2,FALSE))="Martin",(VLOOKUP(Table10[[#This Row],[SKU]],'All Skus'!$A:$AC,23,FALSE)),""))</f>
        <v>0</v>
      </c>
      <c r="T42" s="212" t="str">
        <f>HYPERLINK((IF((VLOOKUP(Table10[[#This Row],[SKU]],'All Skus'!$A:$AC,2,FALSE))="Martin",(VLOOKUP(Table10[[#This Row],[SKU]],'All Skus'!$A:$AC,24,FALSE)),"")))</f>
        <v/>
      </c>
      <c r="U42" s="228">
        <v>40</v>
      </c>
    </row>
    <row r="43" spans="1:21" hidden="1">
      <c r="A43" s="114" t="s">
        <v>1962</v>
      </c>
      <c r="B43" s="224">
        <f>(IF((VLOOKUP(Table10[[#This Row],[SKU]],'All Skus'!$A:$AC,2,FALSE))="Martin",(VLOOKUP(Table10[[#This Row],[SKU]],'All Skus'!$A:$AC,3,FALSE)),""))</f>
        <v>0</v>
      </c>
      <c r="C43" s="223" t="str">
        <f>(IF((VLOOKUP(Table10[[#This Row],[SKU]],'All Skus'!$A:$AC,2,FALSE))="Martin",(VLOOKUP(Table10[[#This Row],[SKU]],'All Skus'!$A:$AC,4,FALSE)),""))</f>
        <v>Power Connector PowerCON TRUE1 Male</v>
      </c>
      <c r="D43" s="224" t="str">
        <f>(IF((VLOOKUP(Table10[[#This Row],[SKU]],'All Skus'!$A:$AC,2,FALSE))="Martin",(VLOOKUP(Table10[[#This Row],[SKU]],'All Skus'!$A:$AC,5,FALSE)),""))</f>
        <v>MAR-ACC</v>
      </c>
      <c r="E43" s="223">
        <f>(IF((VLOOKUP(Table10[[#This Row],[SKU]],'All Skus'!$A:$AC,2,FALSE))="Martin",(VLOOKUP(Table10[[#This Row],[SKU]],'All Skus'!$A:$AC,6,FALSE)),""))</f>
        <v>0</v>
      </c>
      <c r="F43" s="155">
        <f>(IF((VLOOKUP(Table10[[#This Row],[SKU]],'All Skus'!$A:$AC,2,FALSE))="Martin",(VLOOKUP(Table10[[#This Row],[SKU]],'All Skus'!$A:$AC,7,FALSE)),""))</f>
        <v>0</v>
      </c>
      <c r="G43" s="223" t="str">
        <f>(IF((VLOOKUP(Table10[[#This Row],[SKU]],'All Skus'!$A:$AC,2,FALSE))="Martin",(VLOOKUP(Table10[[#This Row],[SKU]],'All Skus'!$A:$AC,8,FALSE)),""))</f>
        <v>Power Connector PowerCON TRUE1 Male</v>
      </c>
      <c r="H43" s="223" t="str">
        <f>(IF((VLOOKUP(Table10[[#This Row],[SKU]],'All Skus'!$A:$AC,2,FALSE))="Martin",(VLOOKUP(Table10[[#This Row],[SKU]],'All Skus'!$A:$AC,9,FALSE)),""))</f>
        <v>Power Connector PowerCON TRUE1 Male</v>
      </c>
      <c r="I43" s="225">
        <f>(IF((VLOOKUP(Table10[[#This Row],[SKU]],'All Skus'!$A:$AC,2,FALSE))="Martin",(VLOOKUP(Table10[[#This Row],[SKU]],'All Skus'!$A:$AC,10,FALSE)),""))</f>
        <v>18.52</v>
      </c>
      <c r="J43" s="226">
        <f>(IF((VLOOKUP(Table10[[#This Row],[SKU]],'All Skus'!$A:$AC,2,FALSE))="Martin",(VLOOKUP(Table10[[#This Row],[SKU]],'All Skus'!$A:$AC,11,FALSE)),""))</f>
        <v>18.52</v>
      </c>
      <c r="K43" s="224">
        <f>(IF((VLOOKUP(Table10[[#This Row],[SKU]],'All Skus'!$A:$AC,2,FALSE))="Martin",(VLOOKUP(Table10[[#This Row],[SKU]],'All Skus'!$A:$AC,15,FALSE)),""))</f>
        <v>0</v>
      </c>
      <c r="L43" s="224">
        <f>(IF((VLOOKUP(Table10[[#This Row],[SKU]],'All Skus'!$A:$AC,2,FALSE))="Martin",(VLOOKUP(Table10[[#This Row],[SKU]],'All Skus'!$A:$AC,16,FALSE)),""))</f>
        <v>0</v>
      </c>
      <c r="M43" s="224">
        <f>(IF((VLOOKUP(Table10[[#This Row],[SKU]],'All Skus'!$A:$AC,2,FALSE))="Martin",(VLOOKUP(Table10[[#This Row],[SKU]],'All Skus'!$A:$AC,17,FALSE)),""))</f>
        <v>0</v>
      </c>
      <c r="N43" s="227">
        <f>(IF((VLOOKUP(Table10[[#This Row],[SKU]],'All Skus'!$A:$AC,2,FALSE))="Martin",(VLOOKUP(Table10[[#This Row],[SKU]],'All Skus'!$A:$AC,18,FALSE)),""))</f>
        <v>0</v>
      </c>
      <c r="O43" s="227">
        <f>(IF((VLOOKUP(Table10[[#This Row],[SKU]],'All Skus'!$A:$AC,2,FALSE))="Martin",(VLOOKUP(Table10[[#This Row],[SKU]],'All Skus'!$A:$AC,19,FALSE)),""))</f>
        <v>0</v>
      </c>
      <c r="P43" s="227">
        <f>(IF((VLOOKUP(Table10[[#This Row],[SKU]],'All Skus'!$A:$AC,2,FALSE))="Martin",(VLOOKUP(Table10[[#This Row],[SKU]],'All Skus'!$A:$AC,20,FALSE)),""))</f>
        <v>0</v>
      </c>
      <c r="Q43" s="227">
        <f>(IF((VLOOKUP(Table10[[#This Row],[SKU]],'All Skus'!$A:$AC,2,FALSE))="Martin",(VLOOKUP(Table10[[#This Row],[SKU]],'All Skus'!$A:$AC,21,FALSE)),""))</f>
        <v>0</v>
      </c>
      <c r="R43" s="224" t="str">
        <f>(IF((VLOOKUP(Table10[[#This Row],[SKU]],'All Skus'!$A:$AC,2,FALSE))="Martin",(VLOOKUP(Table10[[#This Row],[SKU]],'All Skus'!$A:$AC,22,FALSE)),""))</f>
        <v>HU</v>
      </c>
      <c r="S43" s="223">
        <f>(IF((VLOOKUP(Table10[[#This Row],[SKU]],'All Skus'!$A:$AC,2,FALSE))="Martin",(VLOOKUP(Table10[[#This Row],[SKU]],'All Skus'!$A:$AC,23,FALSE)),""))</f>
        <v>0</v>
      </c>
      <c r="T43" s="212" t="str">
        <f>HYPERLINK((IF((VLOOKUP(Table10[[#This Row],[SKU]],'All Skus'!$A:$AC,2,FALSE))="Martin",(VLOOKUP(Table10[[#This Row],[SKU]],'All Skus'!$A:$AC,24,FALSE)),"")))</f>
        <v/>
      </c>
      <c r="U43" s="228">
        <v>41</v>
      </c>
    </row>
    <row r="44" spans="1:21" hidden="1">
      <c r="A44" s="114" t="s">
        <v>1963</v>
      </c>
      <c r="B44" s="224" t="str">
        <f>(IF((VLOOKUP(Table10[[#This Row],[SKU]],'All Skus'!$A:$AC,2,FALSE))="Martin",(VLOOKUP(Table10[[#This Row],[SKU]],'All Skus'!$A:$AC,3,FALSE)),""))</f>
        <v>Accessories</v>
      </c>
      <c r="C44" s="223" t="str">
        <f>(IF((VLOOKUP(Table10[[#This Row],[SKU]],'All Skus'!$A:$AC,2,FALSE))="Martin",(VLOOKUP(Table10[[#This Row],[SKU]],'All Skus'!$A:$AC,4,FALSE)),""))</f>
        <v>Power Connector PowerCON TRUE1 Female</v>
      </c>
      <c r="D44" s="224" t="str">
        <f>(IF((VLOOKUP(Table10[[#This Row],[SKU]],'All Skus'!$A:$AC,2,FALSE))="Martin",(VLOOKUP(Table10[[#This Row],[SKU]],'All Skus'!$A:$AC,5,FALSE)),""))</f>
        <v>MAR-ACC</v>
      </c>
      <c r="E44" s="223">
        <f>(IF((VLOOKUP(Table10[[#This Row],[SKU]],'All Skus'!$A:$AC,2,FALSE))="Martin",(VLOOKUP(Table10[[#This Row],[SKU]],'All Skus'!$A:$AC,6,FALSE)),""))</f>
        <v>0</v>
      </c>
      <c r="F44" s="155">
        <f>(IF((VLOOKUP(Table10[[#This Row],[SKU]],'All Skus'!$A:$AC,2,FALSE))="Martin",(VLOOKUP(Table10[[#This Row],[SKU]],'All Skus'!$A:$AC,7,FALSE)),""))</f>
        <v>0</v>
      </c>
      <c r="G44" s="223" t="str">
        <f>(IF((VLOOKUP(Table10[[#This Row],[SKU]],'All Skus'!$A:$AC,2,FALSE))="Martin",(VLOOKUP(Table10[[#This Row],[SKU]],'All Skus'!$A:$AC,8,FALSE)),""))</f>
        <v>Power Connector PowerCON TRUE1 Female</v>
      </c>
      <c r="H44" s="223" t="str">
        <f>(IF((VLOOKUP(Table10[[#This Row],[SKU]],'All Skus'!$A:$AC,2,FALSE))="Martin",(VLOOKUP(Table10[[#This Row],[SKU]],'All Skus'!$A:$AC,9,FALSE)),""))</f>
        <v>Power Connector PowerCON TRUE1 Female</v>
      </c>
      <c r="I44" s="225">
        <f>(IF((VLOOKUP(Table10[[#This Row],[SKU]],'All Skus'!$A:$AC,2,FALSE))="Martin",(VLOOKUP(Table10[[#This Row],[SKU]],'All Skus'!$A:$AC,10,FALSE)),""))</f>
        <v>18.52</v>
      </c>
      <c r="J44" s="226">
        <f>(IF((VLOOKUP(Table10[[#This Row],[SKU]],'All Skus'!$A:$AC,2,FALSE))="Martin",(VLOOKUP(Table10[[#This Row],[SKU]],'All Skus'!$A:$AC,11,FALSE)),""))</f>
        <v>18.52</v>
      </c>
      <c r="K44" s="224">
        <f>(IF((VLOOKUP(Table10[[#This Row],[SKU]],'All Skus'!$A:$AC,2,FALSE))="Martin",(VLOOKUP(Table10[[#This Row],[SKU]],'All Skus'!$A:$AC,15,FALSE)),""))</f>
        <v>0.5</v>
      </c>
      <c r="L44" s="224">
        <f>(IF((VLOOKUP(Table10[[#This Row],[SKU]],'All Skus'!$A:$AC,2,FALSE))="Martin",(VLOOKUP(Table10[[#This Row],[SKU]],'All Skus'!$A:$AC,16,FALSE)),""))</f>
        <v>0</v>
      </c>
      <c r="M44" s="224">
        <f>(IF((VLOOKUP(Table10[[#This Row],[SKU]],'All Skus'!$A:$AC,2,FALSE))="Martin",(VLOOKUP(Table10[[#This Row],[SKU]],'All Skus'!$A:$AC,17,FALSE)),""))</f>
        <v>0</v>
      </c>
      <c r="N44" s="227">
        <f>(IF((VLOOKUP(Table10[[#This Row],[SKU]],'All Skus'!$A:$AC,2,FALSE))="Martin",(VLOOKUP(Table10[[#This Row],[SKU]],'All Skus'!$A:$AC,18,FALSE)),""))</f>
        <v>0</v>
      </c>
      <c r="O44" s="227">
        <f>(IF((VLOOKUP(Table10[[#This Row],[SKU]],'All Skus'!$A:$AC,2,FALSE))="Martin",(VLOOKUP(Table10[[#This Row],[SKU]],'All Skus'!$A:$AC,19,FALSE)),""))</f>
        <v>0</v>
      </c>
      <c r="P44" s="227">
        <f>(IF((VLOOKUP(Table10[[#This Row],[SKU]],'All Skus'!$A:$AC,2,FALSE))="Martin",(VLOOKUP(Table10[[#This Row],[SKU]],'All Skus'!$A:$AC,20,FALSE)),""))</f>
        <v>0</v>
      </c>
      <c r="Q44" s="227">
        <f>(IF((VLOOKUP(Table10[[#This Row],[SKU]],'All Skus'!$A:$AC,2,FALSE))="Martin",(VLOOKUP(Table10[[#This Row],[SKU]],'All Skus'!$A:$AC,21,FALSE)),""))</f>
        <v>0</v>
      </c>
      <c r="R44" s="224" t="str">
        <f>(IF((VLOOKUP(Table10[[#This Row],[SKU]],'All Skus'!$A:$AC,2,FALSE))="Martin",(VLOOKUP(Table10[[#This Row],[SKU]],'All Skus'!$A:$AC,22,FALSE)),""))</f>
        <v>HU</v>
      </c>
      <c r="S44" s="223">
        <f>(IF((VLOOKUP(Table10[[#This Row],[SKU]],'All Skus'!$A:$AC,2,FALSE))="Martin",(VLOOKUP(Table10[[#This Row],[SKU]],'All Skus'!$A:$AC,23,FALSE)),""))</f>
        <v>0</v>
      </c>
      <c r="T44" s="212" t="str">
        <f>HYPERLINK((IF((VLOOKUP(Table10[[#This Row],[SKU]],'All Skus'!$A:$AC,2,FALSE))="Martin",(VLOOKUP(Table10[[#This Row],[SKU]],'All Skus'!$A:$AC,24,FALSE)),"")))</f>
        <v/>
      </c>
      <c r="U44" s="228">
        <v>42</v>
      </c>
    </row>
    <row r="45" spans="1:21" hidden="1">
      <c r="A45" s="115" t="s">
        <v>1964</v>
      </c>
      <c r="B45" s="224">
        <f>(IF((VLOOKUP(Table10[[#This Row],[SKU]],'All Skus'!$A:$AC,2,FALSE))="Martin",(VLOOKUP(Table10[[#This Row],[SKU]],'All Skus'!$A:$AC,3,FALSE)),""))</f>
        <v>0</v>
      </c>
      <c r="C45" s="223">
        <f>(IF((VLOOKUP(Table10[[#This Row],[SKU]],'All Skus'!$A:$AC,2,FALSE))="Martin",(VLOOKUP(Table10[[#This Row],[SKU]],'All Skus'!$A:$AC,4,FALSE)),""))</f>
        <v>0</v>
      </c>
      <c r="D45" s="224">
        <f>(IF((VLOOKUP(Table10[[#This Row],[SKU]],'All Skus'!$A:$AC,2,FALSE))="Martin",(VLOOKUP(Table10[[#This Row],[SKU]],'All Skus'!$A:$AC,5,FALSE)),""))</f>
        <v>0</v>
      </c>
      <c r="E45" s="223">
        <f>(IF((VLOOKUP(Table10[[#This Row],[SKU]],'All Skus'!$A:$AC,2,FALSE))="Martin",(VLOOKUP(Table10[[#This Row],[SKU]],'All Skus'!$A:$AC,6,FALSE)),""))</f>
        <v>0</v>
      </c>
      <c r="F45" s="155">
        <f>(IF((VLOOKUP(Table10[[#This Row],[SKU]],'All Skus'!$A:$AC,2,FALSE))="Martin",(VLOOKUP(Table10[[#This Row],[SKU]],'All Skus'!$A:$AC,7,FALSE)),""))</f>
        <v>0</v>
      </c>
      <c r="G45" s="223">
        <f>(IF((VLOOKUP(Table10[[#This Row],[SKU]],'All Skus'!$A:$AC,2,FALSE))="Martin",(VLOOKUP(Table10[[#This Row],[SKU]],'All Skus'!$A:$AC,8,FALSE)),""))</f>
        <v>0</v>
      </c>
      <c r="H45" s="223">
        <f>(IF((VLOOKUP(Table10[[#This Row],[SKU]],'All Skus'!$A:$AC,2,FALSE))="Martin",(VLOOKUP(Table10[[#This Row],[SKU]],'All Skus'!$A:$AC,9,FALSE)),""))</f>
        <v>0</v>
      </c>
      <c r="I45" s="225">
        <f>(IF((VLOOKUP(Table10[[#This Row],[SKU]],'All Skus'!$A:$AC,2,FALSE))="Martin",(VLOOKUP(Table10[[#This Row],[SKU]],'All Skus'!$A:$AC,10,FALSE)),""))</f>
        <v>0</v>
      </c>
      <c r="J45" s="226">
        <f>(IF((VLOOKUP(Table10[[#This Row],[SKU]],'All Skus'!$A:$AC,2,FALSE))="Martin",(VLOOKUP(Table10[[#This Row],[SKU]],'All Skus'!$A:$AC,11,FALSE)),""))</f>
        <v>0</v>
      </c>
      <c r="K45" s="224">
        <f>(IF((VLOOKUP(Table10[[#This Row],[SKU]],'All Skus'!$A:$AC,2,FALSE))="Martin",(VLOOKUP(Table10[[#This Row],[SKU]],'All Skus'!$A:$AC,15,FALSE)),""))</f>
        <v>0</v>
      </c>
      <c r="L45" s="224">
        <f>(IF((VLOOKUP(Table10[[#This Row],[SKU]],'All Skus'!$A:$AC,2,FALSE))="Martin",(VLOOKUP(Table10[[#This Row],[SKU]],'All Skus'!$A:$AC,16,FALSE)),""))</f>
        <v>0</v>
      </c>
      <c r="M45" s="224">
        <f>(IF((VLOOKUP(Table10[[#This Row],[SKU]],'All Skus'!$A:$AC,2,FALSE))="Martin",(VLOOKUP(Table10[[#This Row],[SKU]],'All Skus'!$A:$AC,17,FALSE)),""))</f>
        <v>0</v>
      </c>
      <c r="N45" s="227">
        <f>(IF((VLOOKUP(Table10[[#This Row],[SKU]],'All Skus'!$A:$AC,2,FALSE))="Martin",(VLOOKUP(Table10[[#This Row],[SKU]],'All Skus'!$A:$AC,18,FALSE)),""))</f>
        <v>0</v>
      </c>
      <c r="O45" s="227">
        <f>(IF((VLOOKUP(Table10[[#This Row],[SKU]],'All Skus'!$A:$AC,2,FALSE))="Martin",(VLOOKUP(Table10[[#This Row],[SKU]],'All Skus'!$A:$AC,19,FALSE)),""))</f>
        <v>0</v>
      </c>
      <c r="P45" s="227">
        <f>(IF((VLOOKUP(Table10[[#This Row],[SKU]],'All Skus'!$A:$AC,2,FALSE))="Martin",(VLOOKUP(Table10[[#This Row],[SKU]],'All Skus'!$A:$AC,20,FALSE)),""))</f>
        <v>0</v>
      </c>
      <c r="Q45" s="227">
        <f>(IF((VLOOKUP(Table10[[#This Row],[SKU]],'All Skus'!$A:$AC,2,FALSE))="Martin",(VLOOKUP(Table10[[#This Row],[SKU]],'All Skus'!$A:$AC,21,FALSE)),""))</f>
        <v>0</v>
      </c>
      <c r="R45" s="224">
        <f>(IF((VLOOKUP(Table10[[#This Row],[SKU]],'All Skus'!$A:$AC,2,FALSE))="Martin",(VLOOKUP(Table10[[#This Row],[SKU]],'All Skus'!$A:$AC,22,FALSE)),""))</f>
        <v>0</v>
      </c>
      <c r="S45" s="223">
        <f>(IF((VLOOKUP(Table10[[#This Row],[SKU]],'All Skus'!$A:$AC,2,FALSE))="Martin",(VLOOKUP(Table10[[#This Row],[SKU]],'All Skus'!$A:$AC,23,FALSE)),""))</f>
        <v>0</v>
      </c>
      <c r="T45" s="212" t="str">
        <f>HYPERLINK((IF((VLOOKUP(Table10[[#This Row],[SKU]],'All Skus'!$A:$AC,2,FALSE))="Martin",(VLOOKUP(Table10[[#This Row],[SKU]],'All Skus'!$A:$AC,24,FALSE)),"")))</f>
        <v/>
      </c>
      <c r="U45" s="228">
        <v>43</v>
      </c>
    </row>
    <row r="46" spans="1:21" hidden="1">
      <c r="A46" s="114">
        <v>91611798</v>
      </c>
      <c r="B46" s="224" t="str">
        <f>(IF((VLOOKUP(Table10[[#This Row],[SKU]],'All Skus'!$A:$AC,2,FALSE))="Martin",(VLOOKUP(Table10[[#This Row],[SKU]],'All Skus'!$A:$AC,3,FALSE)),""))</f>
        <v>Accessories</v>
      </c>
      <c r="C46" s="223" t="str">
        <f>(IF((VLOOKUP(Table10[[#This Row],[SKU]],'All Skus'!$A:$AC,2,FALSE))="Martin",(VLOOKUP(Table10[[#This Row],[SKU]],'All Skus'!$A:$AC,4,FALSE)),""))</f>
        <v>Power Cable H07RN-F POWCON-POWCON 1,20m</v>
      </c>
      <c r="D46" s="224" t="str">
        <f>(IF((VLOOKUP(Table10[[#This Row],[SKU]],'All Skus'!$A:$AC,2,FALSE))="Martin",(VLOOKUP(Table10[[#This Row],[SKU]],'All Skus'!$A:$AC,5,FALSE)),""))</f>
        <v>MAR-ACC</v>
      </c>
      <c r="E46" s="223">
        <f>(IF((VLOOKUP(Table10[[#This Row],[SKU]],'All Skus'!$A:$AC,2,FALSE))="Martin",(VLOOKUP(Table10[[#This Row],[SKU]],'All Skus'!$A:$AC,6,FALSE)),""))</f>
        <v>0</v>
      </c>
      <c r="F46" s="155">
        <f>(IF((VLOOKUP(Table10[[#This Row],[SKU]],'All Skus'!$A:$AC,2,FALSE))="Martin",(VLOOKUP(Table10[[#This Row],[SKU]],'All Skus'!$A:$AC,7,FALSE)),""))</f>
        <v>0</v>
      </c>
      <c r="G46" s="223" t="str">
        <f>(IF((VLOOKUP(Table10[[#This Row],[SKU]],'All Skus'!$A:$AC,2,FALSE))="Martin",(VLOOKUP(Table10[[#This Row],[SKU]],'All Skus'!$A:$AC,8,FALSE)),""))</f>
        <v>Power Cable H07RN-F POWCON-POWCON 1,20m</v>
      </c>
      <c r="H46" s="223" t="str">
        <f>(IF((VLOOKUP(Table10[[#This Row],[SKU]],'All Skus'!$A:$AC,2,FALSE))="Martin",(VLOOKUP(Table10[[#This Row],[SKU]],'All Skus'!$A:$AC,9,FALSE)),""))</f>
        <v>Power Cable H07RN-F POWCON-POWCON 1,20m</v>
      </c>
      <c r="I46" s="225">
        <f>(IF((VLOOKUP(Table10[[#This Row],[SKU]],'All Skus'!$A:$AC,2,FALSE))="Martin",(VLOOKUP(Table10[[#This Row],[SKU]],'All Skus'!$A:$AC,10,FALSE)),""))</f>
        <v>42</v>
      </c>
      <c r="J46" s="226">
        <f>(IF((VLOOKUP(Table10[[#This Row],[SKU]],'All Skus'!$A:$AC,2,FALSE))="Martin",(VLOOKUP(Table10[[#This Row],[SKU]],'All Skus'!$A:$AC,11,FALSE)),""))</f>
        <v>42</v>
      </c>
      <c r="K46" s="224">
        <f>(IF((VLOOKUP(Table10[[#This Row],[SKU]],'All Skus'!$A:$AC,2,FALSE))="Martin",(VLOOKUP(Table10[[#This Row],[SKU]],'All Skus'!$A:$AC,15,FALSE)),""))</f>
        <v>0</v>
      </c>
      <c r="L46" s="224">
        <f>(IF((VLOOKUP(Table10[[#This Row],[SKU]],'All Skus'!$A:$AC,2,FALSE))="Martin",(VLOOKUP(Table10[[#This Row],[SKU]],'All Skus'!$A:$AC,16,FALSE)),""))</f>
        <v>0</v>
      </c>
      <c r="M46" s="224">
        <f>(IF((VLOOKUP(Table10[[#This Row],[SKU]],'All Skus'!$A:$AC,2,FALSE))="Martin",(VLOOKUP(Table10[[#This Row],[SKU]],'All Skus'!$A:$AC,17,FALSE)),""))</f>
        <v>0</v>
      </c>
      <c r="N46" s="227">
        <f>(IF((VLOOKUP(Table10[[#This Row],[SKU]],'All Skus'!$A:$AC,2,FALSE))="Martin",(VLOOKUP(Table10[[#This Row],[SKU]],'All Skus'!$A:$AC,18,FALSE)),""))</f>
        <v>0</v>
      </c>
      <c r="O46" s="227">
        <f>(IF((VLOOKUP(Table10[[#This Row],[SKU]],'All Skus'!$A:$AC,2,FALSE))="Martin",(VLOOKUP(Table10[[#This Row],[SKU]],'All Skus'!$A:$AC,19,FALSE)),""))</f>
        <v>0</v>
      </c>
      <c r="P46" s="227">
        <f>(IF((VLOOKUP(Table10[[#This Row],[SKU]],'All Skus'!$A:$AC,2,FALSE))="Martin",(VLOOKUP(Table10[[#This Row],[SKU]],'All Skus'!$A:$AC,20,FALSE)),""))</f>
        <v>0</v>
      </c>
      <c r="Q46" s="227">
        <f>(IF((VLOOKUP(Table10[[#This Row],[SKU]],'All Skus'!$A:$AC,2,FALSE))="Martin",(VLOOKUP(Table10[[#This Row],[SKU]],'All Skus'!$A:$AC,21,FALSE)),""))</f>
        <v>0</v>
      </c>
      <c r="R46" s="224" t="str">
        <f>(IF((VLOOKUP(Table10[[#This Row],[SKU]],'All Skus'!$A:$AC,2,FALSE))="Martin",(VLOOKUP(Table10[[#This Row],[SKU]],'All Skus'!$A:$AC,22,FALSE)),""))</f>
        <v>PL</v>
      </c>
      <c r="S46" s="223">
        <f>(IF((VLOOKUP(Table10[[#This Row],[SKU]],'All Skus'!$A:$AC,2,FALSE))="Martin",(VLOOKUP(Table10[[#This Row],[SKU]],'All Skus'!$A:$AC,23,FALSE)),""))</f>
        <v>0</v>
      </c>
      <c r="T46" s="212" t="str">
        <f>HYPERLINK((IF((VLOOKUP(Table10[[#This Row],[SKU]],'All Skus'!$A:$AC,2,FALSE))="Martin",(VLOOKUP(Table10[[#This Row],[SKU]],'All Skus'!$A:$AC,24,FALSE)),"")))</f>
        <v/>
      </c>
      <c r="U46" s="228">
        <v>44</v>
      </c>
    </row>
    <row r="47" spans="1:21" hidden="1">
      <c r="A47" s="114">
        <v>91610175</v>
      </c>
      <c r="B47" s="224" t="str">
        <f>(IF((VLOOKUP(Table10[[#This Row],[SKU]],'All Skus'!$A:$AC,2,FALSE))="Martin",(VLOOKUP(Table10[[#This Row],[SKU]],'All Skus'!$A:$AC,3,FALSE)),""))</f>
        <v>Accessories</v>
      </c>
      <c r="C47" s="223" t="str">
        <f>(IF((VLOOKUP(Table10[[#This Row],[SKU]],'All Skus'!$A:$AC,2,FALSE))="Martin",(VLOOKUP(Table10[[#This Row],[SKU]],'All Skus'!$A:$AC,4,FALSE)),""))</f>
        <v>Power Cable SJOOW POWCON-POWCON 1,20m</v>
      </c>
      <c r="D47" s="224" t="str">
        <f>(IF((VLOOKUP(Table10[[#This Row],[SKU]],'All Skus'!$A:$AC,2,FALSE))="Martin",(VLOOKUP(Table10[[#This Row],[SKU]],'All Skus'!$A:$AC,5,FALSE)),""))</f>
        <v>MAR-ACC</v>
      </c>
      <c r="E47" s="223">
        <f>(IF((VLOOKUP(Table10[[#This Row],[SKU]],'All Skus'!$A:$AC,2,FALSE))="Martin",(VLOOKUP(Table10[[#This Row],[SKU]],'All Skus'!$A:$AC,6,FALSE)),""))</f>
        <v>0</v>
      </c>
      <c r="F47" s="155" t="str">
        <f>(IF((VLOOKUP(Table10[[#This Row],[SKU]],'All Skus'!$A:$AC,2,FALSE))="Martin",(VLOOKUP(Table10[[#This Row],[SKU]],'All Skus'!$A:$AC,7,FALSE)),""))</f>
        <v>EOL stage – limited availability may apply</v>
      </c>
      <c r="G47" s="223" t="str">
        <f>(IF((VLOOKUP(Table10[[#This Row],[SKU]],'All Skus'!$A:$AC,2,FALSE))="Martin",(VLOOKUP(Table10[[#This Row],[SKU]],'All Skus'!$A:$AC,8,FALSE)),""))</f>
        <v>Power Cable SJOOW POWCON-POWCON 1,20m</v>
      </c>
      <c r="H47" s="223" t="str">
        <f>(IF((VLOOKUP(Table10[[#This Row],[SKU]],'All Skus'!$A:$AC,2,FALSE))="Martin",(VLOOKUP(Table10[[#This Row],[SKU]],'All Skus'!$A:$AC,9,FALSE)),""))</f>
        <v>Power Cable SJOOW POWCON-POWCON 1,20m</v>
      </c>
      <c r="I47" s="225">
        <f>(IF((VLOOKUP(Table10[[#This Row],[SKU]],'All Skus'!$A:$AC,2,FALSE))="Martin",(VLOOKUP(Table10[[#This Row],[SKU]],'All Skus'!$A:$AC,10,FALSE)),""))</f>
        <v>59.27</v>
      </c>
      <c r="J47" s="226">
        <f>(IF((VLOOKUP(Table10[[#This Row],[SKU]],'All Skus'!$A:$AC,2,FALSE))="Martin",(VLOOKUP(Table10[[#This Row],[SKU]],'All Skus'!$A:$AC,11,FALSE)),""))</f>
        <v>59.27</v>
      </c>
      <c r="K47" s="224">
        <f>(IF((VLOOKUP(Table10[[#This Row],[SKU]],'All Skus'!$A:$AC,2,FALSE))="Martin",(VLOOKUP(Table10[[#This Row],[SKU]],'All Skus'!$A:$AC,15,FALSE)),""))</f>
        <v>0</v>
      </c>
      <c r="L47" s="224">
        <f>(IF((VLOOKUP(Table10[[#This Row],[SKU]],'All Skus'!$A:$AC,2,FALSE))="Martin",(VLOOKUP(Table10[[#This Row],[SKU]],'All Skus'!$A:$AC,16,FALSE)),""))</f>
        <v>0</v>
      </c>
      <c r="M47" s="224">
        <f>(IF((VLOOKUP(Table10[[#This Row],[SKU]],'All Skus'!$A:$AC,2,FALSE))="Martin",(VLOOKUP(Table10[[#This Row],[SKU]],'All Skus'!$A:$AC,17,FALSE)),""))</f>
        <v>0</v>
      </c>
      <c r="N47" s="227">
        <f>(IF((VLOOKUP(Table10[[#This Row],[SKU]],'All Skus'!$A:$AC,2,FALSE))="Martin",(VLOOKUP(Table10[[#This Row],[SKU]],'All Skus'!$A:$AC,18,FALSE)),""))</f>
        <v>0</v>
      </c>
      <c r="O47" s="227">
        <f>(IF((VLOOKUP(Table10[[#This Row],[SKU]],'All Skus'!$A:$AC,2,FALSE))="Martin",(VLOOKUP(Table10[[#This Row],[SKU]],'All Skus'!$A:$AC,19,FALSE)),""))</f>
        <v>0</v>
      </c>
      <c r="P47" s="227">
        <f>(IF((VLOOKUP(Table10[[#This Row],[SKU]],'All Skus'!$A:$AC,2,FALSE))="Martin",(VLOOKUP(Table10[[#This Row],[SKU]],'All Skus'!$A:$AC,20,FALSE)),""))</f>
        <v>0</v>
      </c>
      <c r="Q47" s="227">
        <f>(IF((VLOOKUP(Table10[[#This Row],[SKU]],'All Skus'!$A:$AC,2,FALSE))="Martin",(VLOOKUP(Table10[[#This Row],[SKU]],'All Skus'!$A:$AC,21,FALSE)),""))</f>
        <v>0</v>
      </c>
      <c r="R47" s="224" t="str">
        <f>(IF((VLOOKUP(Table10[[#This Row],[SKU]],'All Skus'!$A:$AC,2,FALSE))="Martin",(VLOOKUP(Table10[[#This Row],[SKU]],'All Skus'!$A:$AC,22,FALSE)),""))</f>
        <v>BY</v>
      </c>
      <c r="S47" s="223">
        <f>(IF((VLOOKUP(Table10[[#This Row],[SKU]],'All Skus'!$A:$AC,2,FALSE))="Martin",(VLOOKUP(Table10[[#This Row],[SKU]],'All Skus'!$A:$AC,23,FALSE)),""))</f>
        <v>0</v>
      </c>
      <c r="T47" s="212" t="str">
        <f>HYPERLINK((IF((VLOOKUP(Table10[[#This Row],[SKU]],'All Skus'!$A:$AC,2,FALSE))="Martin",(VLOOKUP(Table10[[#This Row],[SKU]],'All Skus'!$A:$AC,24,FALSE)),"")))</f>
        <v/>
      </c>
      <c r="U47" s="228">
        <v>45</v>
      </c>
    </row>
    <row r="48" spans="1:21" hidden="1">
      <c r="A48" s="114">
        <v>91611799</v>
      </c>
      <c r="B48" s="224" t="str">
        <f>(IF((VLOOKUP(Table10[[#This Row],[SKU]],'All Skus'!$A:$AC,2,FALSE))="Martin",(VLOOKUP(Table10[[#This Row],[SKU]],'All Skus'!$A:$AC,3,FALSE)),""))</f>
        <v>Accessories</v>
      </c>
      <c r="C48" s="223" t="str">
        <f>(IF((VLOOKUP(Table10[[#This Row],[SKU]],'All Skus'!$A:$AC,2,FALSE))="Martin",(VLOOKUP(Table10[[#This Row],[SKU]],'All Skus'!$A:$AC,4,FALSE)),""))</f>
        <v>Power Cable H07RN-F POWCON-POWCON 2,50m</v>
      </c>
      <c r="D48" s="224" t="str">
        <f>(IF((VLOOKUP(Table10[[#This Row],[SKU]],'All Skus'!$A:$AC,2,FALSE))="Martin",(VLOOKUP(Table10[[#This Row],[SKU]],'All Skus'!$A:$AC,5,FALSE)),""))</f>
        <v>MAR-ACC</v>
      </c>
      <c r="E48" s="223">
        <f>(IF((VLOOKUP(Table10[[#This Row],[SKU]],'All Skus'!$A:$AC,2,FALSE))="Martin",(VLOOKUP(Table10[[#This Row],[SKU]],'All Skus'!$A:$AC,6,FALSE)),""))</f>
        <v>0</v>
      </c>
      <c r="F48" s="155">
        <f>(IF((VLOOKUP(Table10[[#This Row],[SKU]],'All Skus'!$A:$AC,2,FALSE))="Martin",(VLOOKUP(Table10[[#This Row],[SKU]],'All Skus'!$A:$AC,7,FALSE)),""))</f>
        <v>0</v>
      </c>
      <c r="G48" s="223" t="str">
        <f>(IF((VLOOKUP(Table10[[#This Row],[SKU]],'All Skus'!$A:$AC,2,FALSE))="Martin",(VLOOKUP(Table10[[#This Row],[SKU]],'All Skus'!$A:$AC,8,FALSE)),""))</f>
        <v>Power Cable H07RN-F POWCON-POWCON 2,50m</v>
      </c>
      <c r="H48" s="223" t="str">
        <f>(IF((VLOOKUP(Table10[[#This Row],[SKU]],'All Skus'!$A:$AC,2,FALSE))="Martin",(VLOOKUP(Table10[[#This Row],[SKU]],'All Skus'!$A:$AC,9,FALSE)),""))</f>
        <v>Power Cable H07RN-F POWCON-POWCON 2,50m</v>
      </c>
      <c r="I48" s="225">
        <f>(IF((VLOOKUP(Table10[[#This Row],[SKU]],'All Skus'!$A:$AC,2,FALSE))="Martin",(VLOOKUP(Table10[[#This Row],[SKU]],'All Skus'!$A:$AC,10,FALSE)),""))</f>
        <v>50.63</v>
      </c>
      <c r="J48" s="226">
        <f>(IF((VLOOKUP(Table10[[#This Row],[SKU]],'All Skus'!$A:$AC,2,FALSE))="Martin",(VLOOKUP(Table10[[#This Row],[SKU]],'All Skus'!$A:$AC,11,FALSE)),""))</f>
        <v>50.63</v>
      </c>
      <c r="K48" s="224">
        <f>(IF((VLOOKUP(Table10[[#This Row],[SKU]],'All Skus'!$A:$AC,2,FALSE))="Martin",(VLOOKUP(Table10[[#This Row],[SKU]],'All Skus'!$A:$AC,15,FALSE)),""))</f>
        <v>0</v>
      </c>
      <c r="L48" s="224">
        <f>(IF((VLOOKUP(Table10[[#This Row],[SKU]],'All Skus'!$A:$AC,2,FALSE))="Martin",(VLOOKUP(Table10[[#This Row],[SKU]],'All Skus'!$A:$AC,16,FALSE)),""))</f>
        <v>0</v>
      </c>
      <c r="M48" s="224">
        <f>(IF((VLOOKUP(Table10[[#This Row],[SKU]],'All Skus'!$A:$AC,2,FALSE))="Martin",(VLOOKUP(Table10[[#This Row],[SKU]],'All Skus'!$A:$AC,17,FALSE)),""))</f>
        <v>0</v>
      </c>
      <c r="N48" s="227">
        <f>(IF((VLOOKUP(Table10[[#This Row],[SKU]],'All Skus'!$A:$AC,2,FALSE))="Martin",(VLOOKUP(Table10[[#This Row],[SKU]],'All Skus'!$A:$AC,18,FALSE)),""))</f>
        <v>0</v>
      </c>
      <c r="O48" s="227">
        <f>(IF((VLOOKUP(Table10[[#This Row],[SKU]],'All Skus'!$A:$AC,2,FALSE))="Martin",(VLOOKUP(Table10[[#This Row],[SKU]],'All Skus'!$A:$AC,19,FALSE)),""))</f>
        <v>0</v>
      </c>
      <c r="P48" s="227">
        <f>(IF((VLOOKUP(Table10[[#This Row],[SKU]],'All Skus'!$A:$AC,2,FALSE))="Martin",(VLOOKUP(Table10[[#This Row],[SKU]],'All Skus'!$A:$AC,20,FALSE)),""))</f>
        <v>0</v>
      </c>
      <c r="Q48" s="227">
        <f>(IF((VLOOKUP(Table10[[#This Row],[SKU]],'All Skus'!$A:$AC,2,FALSE))="Martin",(VLOOKUP(Table10[[#This Row],[SKU]],'All Skus'!$A:$AC,21,FALSE)),""))</f>
        <v>0</v>
      </c>
      <c r="R48" s="224" t="str">
        <f>(IF((VLOOKUP(Table10[[#This Row],[SKU]],'All Skus'!$A:$AC,2,FALSE))="Martin",(VLOOKUP(Table10[[#This Row],[SKU]],'All Skus'!$A:$AC,22,FALSE)),""))</f>
        <v>PL</v>
      </c>
      <c r="S48" s="223">
        <f>(IF((VLOOKUP(Table10[[#This Row],[SKU]],'All Skus'!$A:$AC,2,FALSE))="Martin",(VLOOKUP(Table10[[#This Row],[SKU]],'All Skus'!$A:$AC,23,FALSE)),""))</f>
        <v>0</v>
      </c>
      <c r="T48" s="212" t="str">
        <f>HYPERLINK((IF((VLOOKUP(Table10[[#This Row],[SKU]],'All Skus'!$A:$AC,2,FALSE))="Martin",(VLOOKUP(Table10[[#This Row],[SKU]],'All Skus'!$A:$AC,24,FALSE)),"")))</f>
        <v/>
      </c>
      <c r="U48" s="228">
        <v>46</v>
      </c>
    </row>
    <row r="49" spans="1:21" hidden="1">
      <c r="A49" s="114">
        <v>91610176</v>
      </c>
      <c r="B49" s="224" t="str">
        <f>(IF((VLOOKUP(Table10[[#This Row],[SKU]],'All Skus'!$A:$AC,2,FALSE))="Martin",(VLOOKUP(Table10[[#This Row],[SKU]],'All Skus'!$A:$AC,3,FALSE)),""))</f>
        <v>Accessories</v>
      </c>
      <c r="C49" s="223" t="str">
        <f>(IF((VLOOKUP(Table10[[#This Row],[SKU]],'All Skus'!$A:$AC,2,FALSE))="Martin",(VLOOKUP(Table10[[#This Row],[SKU]],'All Skus'!$A:$AC,4,FALSE)),""))</f>
        <v>Power Cable SJOOW POWCON-POWCON 2,50m</v>
      </c>
      <c r="D49" s="224" t="str">
        <f>(IF((VLOOKUP(Table10[[#This Row],[SKU]],'All Skus'!$A:$AC,2,FALSE))="Martin",(VLOOKUP(Table10[[#This Row],[SKU]],'All Skus'!$A:$AC,5,FALSE)),""))</f>
        <v>MAR-ACC</v>
      </c>
      <c r="E49" s="223">
        <f>(IF((VLOOKUP(Table10[[#This Row],[SKU]],'All Skus'!$A:$AC,2,FALSE))="Martin",(VLOOKUP(Table10[[#This Row],[SKU]],'All Skus'!$A:$AC,6,FALSE)),""))</f>
        <v>0</v>
      </c>
      <c r="F49" s="155">
        <f>(IF((VLOOKUP(Table10[[#This Row],[SKU]],'All Skus'!$A:$AC,2,FALSE))="Martin",(VLOOKUP(Table10[[#This Row],[SKU]],'All Skus'!$A:$AC,7,FALSE)),""))</f>
        <v>0</v>
      </c>
      <c r="G49" s="223" t="str">
        <f>(IF((VLOOKUP(Table10[[#This Row],[SKU]],'All Skus'!$A:$AC,2,FALSE))="Martin",(VLOOKUP(Table10[[#This Row],[SKU]],'All Skus'!$A:$AC,8,FALSE)),""))</f>
        <v>Power Cable SJOOW POWCON-POWCON 2,50m</v>
      </c>
      <c r="H49" s="223" t="str">
        <f>(IF((VLOOKUP(Table10[[#This Row],[SKU]],'All Skus'!$A:$AC,2,FALSE))="Martin",(VLOOKUP(Table10[[#This Row],[SKU]],'All Skus'!$A:$AC,9,FALSE)),""))</f>
        <v>Power Cable SJOOW POWCON-POWCON 2,50m</v>
      </c>
      <c r="I49" s="225">
        <f>(IF((VLOOKUP(Table10[[#This Row],[SKU]],'All Skus'!$A:$AC,2,FALSE))="Martin",(VLOOKUP(Table10[[#This Row],[SKU]],'All Skus'!$A:$AC,10,FALSE)),""))</f>
        <v>81.489999999999995</v>
      </c>
      <c r="J49" s="226">
        <f>(IF((VLOOKUP(Table10[[#This Row],[SKU]],'All Skus'!$A:$AC,2,FALSE))="Martin",(VLOOKUP(Table10[[#This Row],[SKU]],'All Skus'!$A:$AC,11,FALSE)),""))</f>
        <v>81.489999999999995</v>
      </c>
      <c r="K49" s="224">
        <f>(IF((VLOOKUP(Table10[[#This Row],[SKU]],'All Skus'!$A:$AC,2,FALSE))="Martin",(VLOOKUP(Table10[[#This Row],[SKU]],'All Skus'!$A:$AC,15,FALSE)),""))</f>
        <v>0</v>
      </c>
      <c r="L49" s="224">
        <f>(IF((VLOOKUP(Table10[[#This Row],[SKU]],'All Skus'!$A:$AC,2,FALSE))="Martin",(VLOOKUP(Table10[[#This Row],[SKU]],'All Skus'!$A:$AC,16,FALSE)),""))</f>
        <v>0</v>
      </c>
      <c r="M49" s="224">
        <f>(IF((VLOOKUP(Table10[[#This Row],[SKU]],'All Skus'!$A:$AC,2,FALSE))="Martin",(VLOOKUP(Table10[[#This Row],[SKU]],'All Skus'!$A:$AC,17,FALSE)),""))</f>
        <v>0</v>
      </c>
      <c r="N49" s="227">
        <f>(IF((VLOOKUP(Table10[[#This Row],[SKU]],'All Skus'!$A:$AC,2,FALSE))="Martin",(VLOOKUP(Table10[[#This Row],[SKU]],'All Skus'!$A:$AC,18,FALSE)),""))</f>
        <v>0</v>
      </c>
      <c r="O49" s="227">
        <f>(IF((VLOOKUP(Table10[[#This Row],[SKU]],'All Skus'!$A:$AC,2,FALSE))="Martin",(VLOOKUP(Table10[[#This Row],[SKU]],'All Skus'!$A:$AC,19,FALSE)),""))</f>
        <v>0</v>
      </c>
      <c r="P49" s="227">
        <f>(IF((VLOOKUP(Table10[[#This Row],[SKU]],'All Skus'!$A:$AC,2,FALSE))="Martin",(VLOOKUP(Table10[[#This Row],[SKU]],'All Skus'!$A:$AC,20,FALSE)),""))</f>
        <v>0</v>
      </c>
      <c r="Q49" s="227">
        <f>(IF((VLOOKUP(Table10[[#This Row],[SKU]],'All Skus'!$A:$AC,2,FALSE))="Martin",(VLOOKUP(Table10[[#This Row],[SKU]],'All Skus'!$A:$AC,21,FALSE)),""))</f>
        <v>0</v>
      </c>
      <c r="R49" s="224" t="str">
        <f>(IF((VLOOKUP(Table10[[#This Row],[SKU]],'All Skus'!$A:$AC,2,FALSE))="Martin",(VLOOKUP(Table10[[#This Row],[SKU]],'All Skus'!$A:$AC,22,FALSE)),""))</f>
        <v>BY</v>
      </c>
      <c r="S49" s="223">
        <f>(IF((VLOOKUP(Table10[[#This Row],[SKU]],'All Skus'!$A:$AC,2,FALSE))="Martin",(VLOOKUP(Table10[[#This Row],[SKU]],'All Skus'!$A:$AC,23,FALSE)),""))</f>
        <v>0</v>
      </c>
      <c r="T49" s="212" t="str">
        <f>HYPERLINK((IF((VLOOKUP(Table10[[#This Row],[SKU]],'All Skus'!$A:$AC,2,FALSE))="Martin",(VLOOKUP(Table10[[#This Row],[SKU]],'All Skus'!$A:$AC,24,FALSE)),"")))</f>
        <v/>
      </c>
      <c r="U49" s="228">
        <v>47</v>
      </c>
    </row>
    <row r="50" spans="1:21" hidden="1">
      <c r="A50" s="114">
        <v>91611800</v>
      </c>
      <c r="B50" s="224" t="str">
        <f>(IF((VLOOKUP(Table10[[#This Row],[SKU]],'All Skus'!$A:$AC,2,FALSE))="Martin",(VLOOKUP(Table10[[#This Row],[SKU]],'All Skus'!$A:$AC,3,FALSE)),""))</f>
        <v>Accessories</v>
      </c>
      <c r="C50" s="223" t="str">
        <f>(IF((VLOOKUP(Table10[[#This Row],[SKU]],'All Skus'!$A:$AC,2,FALSE))="Martin",(VLOOKUP(Table10[[#This Row],[SKU]],'All Skus'!$A:$AC,4,FALSE)),""))</f>
        <v>Power Cable H07RN-F OPEN-POWCON 1,50m</v>
      </c>
      <c r="D50" s="224" t="str">
        <f>(IF((VLOOKUP(Table10[[#This Row],[SKU]],'All Skus'!$A:$AC,2,FALSE))="Martin",(VLOOKUP(Table10[[#This Row],[SKU]],'All Skus'!$A:$AC,5,FALSE)),""))</f>
        <v>MAR-ACC</v>
      </c>
      <c r="E50" s="223">
        <f>(IF((VLOOKUP(Table10[[#This Row],[SKU]],'All Skus'!$A:$AC,2,FALSE))="Martin",(VLOOKUP(Table10[[#This Row],[SKU]],'All Skus'!$A:$AC,6,FALSE)),""))</f>
        <v>0</v>
      </c>
      <c r="F50" s="155">
        <f>(IF((VLOOKUP(Table10[[#This Row],[SKU]],'All Skus'!$A:$AC,2,FALSE))="Martin",(VLOOKUP(Table10[[#This Row],[SKU]],'All Skus'!$A:$AC,7,FALSE)),""))</f>
        <v>0</v>
      </c>
      <c r="G50" s="223" t="str">
        <f>(IF((VLOOKUP(Table10[[#This Row],[SKU]],'All Skus'!$A:$AC,2,FALSE))="Martin",(VLOOKUP(Table10[[#This Row],[SKU]],'All Skus'!$A:$AC,8,FALSE)),""))</f>
        <v>Power Cable H07RN-F OPEN-POWCON 1,50m</v>
      </c>
      <c r="H50" s="223" t="str">
        <f>(IF((VLOOKUP(Table10[[#This Row],[SKU]],'All Skus'!$A:$AC,2,FALSE))="Martin",(VLOOKUP(Table10[[#This Row],[SKU]],'All Skus'!$A:$AC,9,FALSE)),""))</f>
        <v>Power Cable H07RN-F OPEN-POWCON 1,50m</v>
      </c>
      <c r="I50" s="225">
        <f>(IF((VLOOKUP(Table10[[#This Row],[SKU]],'All Skus'!$A:$AC,2,FALSE))="Martin",(VLOOKUP(Table10[[#This Row],[SKU]],'All Skus'!$A:$AC,10,FALSE)),""))</f>
        <v>28.4</v>
      </c>
      <c r="J50" s="226">
        <f>(IF((VLOOKUP(Table10[[#This Row],[SKU]],'All Skus'!$A:$AC,2,FALSE))="Martin",(VLOOKUP(Table10[[#This Row],[SKU]],'All Skus'!$A:$AC,11,FALSE)),""))</f>
        <v>28.4</v>
      </c>
      <c r="K50" s="224">
        <f>(IF((VLOOKUP(Table10[[#This Row],[SKU]],'All Skus'!$A:$AC,2,FALSE))="Martin",(VLOOKUP(Table10[[#This Row],[SKU]],'All Skus'!$A:$AC,15,FALSE)),""))</f>
        <v>0</v>
      </c>
      <c r="L50" s="224">
        <f>(IF((VLOOKUP(Table10[[#This Row],[SKU]],'All Skus'!$A:$AC,2,FALSE))="Martin",(VLOOKUP(Table10[[#This Row],[SKU]],'All Skus'!$A:$AC,16,FALSE)),""))</f>
        <v>688705000671</v>
      </c>
      <c r="M50" s="224">
        <f>(IF((VLOOKUP(Table10[[#This Row],[SKU]],'All Skus'!$A:$AC,2,FALSE))="Martin",(VLOOKUP(Table10[[#This Row],[SKU]],'All Skus'!$A:$AC,17,FALSE)),""))</f>
        <v>0</v>
      </c>
      <c r="N50" s="227">
        <f>(IF((VLOOKUP(Table10[[#This Row],[SKU]],'All Skus'!$A:$AC,2,FALSE))="Martin",(VLOOKUP(Table10[[#This Row],[SKU]],'All Skus'!$A:$AC,18,FALSE)),""))</f>
        <v>0</v>
      </c>
      <c r="O50" s="227">
        <f>(IF((VLOOKUP(Table10[[#This Row],[SKU]],'All Skus'!$A:$AC,2,FALSE))="Martin",(VLOOKUP(Table10[[#This Row],[SKU]],'All Skus'!$A:$AC,19,FALSE)),""))</f>
        <v>0</v>
      </c>
      <c r="P50" s="227">
        <f>(IF((VLOOKUP(Table10[[#This Row],[SKU]],'All Skus'!$A:$AC,2,FALSE))="Martin",(VLOOKUP(Table10[[#This Row],[SKU]],'All Skus'!$A:$AC,20,FALSE)),""))</f>
        <v>0</v>
      </c>
      <c r="Q50" s="227">
        <f>(IF((VLOOKUP(Table10[[#This Row],[SKU]],'All Skus'!$A:$AC,2,FALSE))="Martin",(VLOOKUP(Table10[[#This Row],[SKU]],'All Skus'!$A:$AC,21,FALSE)),""))</f>
        <v>0</v>
      </c>
      <c r="R50" s="224" t="str">
        <f>(IF((VLOOKUP(Table10[[#This Row],[SKU]],'All Skus'!$A:$AC,2,FALSE))="Martin",(VLOOKUP(Table10[[#This Row],[SKU]],'All Skus'!$A:$AC,22,FALSE)),""))</f>
        <v>PL</v>
      </c>
      <c r="S50" s="223">
        <f>(IF((VLOOKUP(Table10[[#This Row],[SKU]],'All Skus'!$A:$AC,2,FALSE))="Martin",(VLOOKUP(Table10[[#This Row],[SKU]],'All Skus'!$A:$AC,23,FALSE)),""))</f>
        <v>0</v>
      </c>
      <c r="T50" s="212" t="str">
        <f>HYPERLINK((IF((VLOOKUP(Table10[[#This Row],[SKU]],'All Skus'!$A:$AC,2,FALSE))="Martin",(VLOOKUP(Table10[[#This Row],[SKU]],'All Skus'!$A:$AC,24,FALSE)),"")))</f>
        <v/>
      </c>
      <c r="U50" s="228">
        <v>48</v>
      </c>
    </row>
    <row r="51" spans="1:21" hidden="1">
      <c r="A51" s="114">
        <v>91610177</v>
      </c>
      <c r="B51" s="224" t="str">
        <f>(IF((VLOOKUP(Table10[[#This Row],[SKU]],'All Skus'!$A:$AC,2,FALSE))="Martin",(VLOOKUP(Table10[[#This Row],[SKU]],'All Skus'!$A:$AC,3,FALSE)),""))</f>
        <v>Accessories</v>
      </c>
      <c r="C51" s="223" t="str">
        <f>(IF((VLOOKUP(Table10[[#This Row],[SKU]],'All Skus'!$A:$AC,2,FALSE))="Martin",(VLOOKUP(Table10[[#This Row],[SKU]],'All Skus'!$A:$AC,4,FALSE)),""))</f>
        <v>Power Cable SJOOW OPEN-POWCON 1,50m</v>
      </c>
      <c r="D51" s="224" t="str">
        <f>(IF((VLOOKUP(Table10[[#This Row],[SKU]],'All Skus'!$A:$AC,2,FALSE))="Martin",(VLOOKUP(Table10[[#This Row],[SKU]],'All Skus'!$A:$AC,5,FALSE)),""))</f>
        <v>MAR-ACC</v>
      </c>
      <c r="E51" s="223">
        <f>(IF((VLOOKUP(Table10[[#This Row],[SKU]],'All Skus'!$A:$AC,2,FALSE))="Martin",(VLOOKUP(Table10[[#This Row],[SKU]],'All Skus'!$A:$AC,6,FALSE)),""))</f>
        <v>0</v>
      </c>
      <c r="F51" s="155">
        <f>(IF((VLOOKUP(Table10[[#This Row],[SKU]],'All Skus'!$A:$AC,2,FALSE))="Martin",(VLOOKUP(Table10[[#This Row],[SKU]],'All Skus'!$A:$AC,7,FALSE)),""))</f>
        <v>0</v>
      </c>
      <c r="G51" s="223" t="str">
        <f>(IF((VLOOKUP(Table10[[#This Row],[SKU]],'All Skus'!$A:$AC,2,FALSE))="Martin",(VLOOKUP(Table10[[#This Row],[SKU]],'All Skus'!$A:$AC,8,FALSE)),""))</f>
        <v>Power Cable SJOOW OPEN-POWCON 1,50m</v>
      </c>
      <c r="H51" s="223" t="str">
        <f>(IF((VLOOKUP(Table10[[#This Row],[SKU]],'All Skus'!$A:$AC,2,FALSE))="Martin",(VLOOKUP(Table10[[#This Row],[SKU]],'All Skus'!$A:$AC,9,FALSE)),""))</f>
        <v>Power Cable SJOOW OPEN-POWCON 1,50m</v>
      </c>
      <c r="I51" s="225">
        <f>(IF((VLOOKUP(Table10[[#This Row],[SKU]],'All Skus'!$A:$AC,2,FALSE))="Martin",(VLOOKUP(Table10[[#This Row],[SKU]],'All Skus'!$A:$AC,10,FALSE)),""))</f>
        <v>41.98</v>
      </c>
      <c r="J51" s="226">
        <f>(IF((VLOOKUP(Table10[[#This Row],[SKU]],'All Skus'!$A:$AC,2,FALSE))="Martin",(VLOOKUP(Table10[[#This Row],[SKU]],'All Skus'!$A:$AC,11,FALSE)),""))</f>
        <v>41.98</v>
      </c>
      <c r="K51" s="224">
        <f>(IF((VLOOKUP(Table10[[#This Row],[SKU]],'All Skus'!$A:$AC,2,FALSE))="Martin",(VLOOKUP(Table10[[#This Row],[SKU]],'All Skus'!$A:$AC,15,FALSE)),""))</f>
        <v>0</v>
      </c>
      <c r="L51" s="224">
        <f>(IF((VLOOKUP(Table10[[#This Row],[SKU]],'All Skus'!$A:$AC,2,FALSE))="Martin",(VLOOKUP(Table10[[#This Row],[SKU]],'All Skus'!$A:$AC,16,FALSE)),""))</f>
        <v>0</v>
      </c>
      <c r="M51" s="224">
        <f>(IF((VLOOKUP(Table10[[#This Row],[SKU]],'All Skus'!$A:$AC,2,FALSE))="Martin",(VLOOKUP(Table10[[#This Row],[SKU]],'All Skus'!$A:$AC,17,FALSE)),""))</f>
        <v>0</v>
      </c>
      <c r="N51" s="227">
        <f>(IF((VLOOKUP(Table10[[#This Row],[SKU]],'All Skus'!$A:$AC,2,FALSE))="Martin",(VLOOKUP(Table10[[#This Row],[SKU]],'All Skus'!$A:$AC,18,FALSE)),""))</f>
        <v>0</v>
      </c>
      <c r="O51" s="227">
        <f>(IF((VLOOKUP(Table10[[#This Row],[SKU]],'All Skus'!$A:$AC,2,FALSE))="Martin",(VLOOKUP(Table10[[#This Row],[SKU]],'All Skus'!$A:$AC,19,FALSE)),""))</f>
        <v>0</v>
      </c>
      <c r="P51" s="227">
        <f>(IF((VLOOKUP(Table10[[#This Row],[SKU]],'All Skus'!$A:$AC,2,FALSE))="Martin",(VLOOKUP(Table10[[#This Row],[SKU]],'All Skus'!$A:$AC,20,FALSE)),""))</f>
        <v>0</v>
      </c>
      <c r="Q51" s="227">
        <f>(IF((VLOOKUP(Table10[[#This Row],[SKU]],'All Skus'!$A:$AC,2,FALSE))="Martin",(VLOOKUP(Table10[[#This Row],[SKU]],'All Skus'!$A:$AC,21,FALSE)),""))</f>
        <v>0</v>
      </c>
      <c r="R51" s="224" t="str">
        <f>(IF((VLOOKUP(Table10[[#This Row],[SKU]],'All Skus'!$A:$AC,2,FALSE))="Martin",(VLOOKUP(Table10[[#This Row],[SKU]],'All Skus'!$A:$AC,22,FALSE)),""))</f>
        <v>BY</v>
      </c>
      <c r="S51" s="223">
        <f>(IF((VLOOKUP(Table10[[#This Row],[SKU]],'All Skus'!$A:$AC,2,FALSE))="Martin",(VLOOKUP(Table10[[#This Row],[SKU]],'All Skus'!$A:$AC,23,FALSE)),""))</f>
        <v>0</v>
      </c>
      <c r="T51" s="212" t="str">
        <f>HYPERLINK((IF((VLOOKUP(Table10[[#This Row],[SKU]],'All Skus'!$A:$AC,2,FALSE))="Martin",(VLOOKUP(Table10[[#This Row],[SKU]],'All Skus'!$A:$AC,24,FALSE)),"")))</f>
        <v/>
      </c>
      <c r="U51" s="228">
        <v>49</v>
      </c>
    </row>
    <row r="52" spans="1:21" hidden="1">
      <c r="A52" s="114">
        <v>91611801</v>
      </c>
      <c r="B52" s="224" t="str">
        <f>(IF((VLOOKUP(Table10[[#This Row],[SKU]],'All Skus'!$A:$AC,2,FALSE))="Martin",(VLOOKUP(Table10[[#This Row],[SKU]],'All Skus'!$A:$AC,3,FALSE)),""))</f>
        <v>Accessories</v>
      </c>
      <c r="C52" s="223" t="str">
        <f>(IF((VLOOKUP(Table10[[#This Row],[SKU]],'All Skus'!$A:$AC,2,FALSE))="Martin",(VLOOKUP(Table10[[#This Row],[SKU]],'All Skus'!$A:$AC,4,FALSE)),""))</f>
        <v>Power Cable H07RN-F OPEN-POWCON 5,00m</v>
      </c>
      <c r="D52" s="224" t="str">
        <f>(IF((VLOOKUP(Table10[[#This Row],[SKU]],'All Skus'!$A:$AC,2,FALSE))="Martin",(VLOOKUP(Table10[[#This Row],[SKU]],'All Skus'!$A:$AC,5,FALSE)),""))</f>
        <v>MAR-ACC</v>
      </c>
      <c r="E52" s="223">
        <f>(IF((VLOOKUP(Table10[[#This Row],[SKU]],'All Skus'!$A:$AC,2,FALSE))="Martin",(VLOOKUP(Table10[[#This Row],[SKU]],'All Skus'!$A:$AC,6,FALSE)),""))</f>
        <v>0</v>
      </c>
      <c r="F52" s="155" t="str">
        <f>(IF((VLOOKUP(Table10[[#This Row],[SKU]],'All Skus'!$A:$AC,2,FALSE))="Martin",(VLOOKUP(Table10[[#This Row],[SKU]],'All Skus'!$A:$AC,7,FALSE)),""))</f>
        <v>EOL stage – limited availability may apply</v>
      </c>
      <c r="G52" s="223" t="str">
        <f>(IF((VLOOKUP(Table10[[#This Row],[SKU]],'All Skus'!$A:$AC,2,FALSE))="Martin",(VLOOKUP(Table10[[#This Row],[SKU]],'All Skus'!$A:$AC,8,FALSE)),""))</f>
        <v>Power Cable H07RN-F OPEN-POWCON 5,00m</v>
      </c>
      <c r="H52" s="223" t="str">
        <f>(IF((VLOOKUP(Table10[[#This Row],[SKU]],'All Skus'!$A:$AC,2,FALSE))="Martin",(VLOOKUP(Table10[[#This Row],[SKU]],'All Skus'!$A:$AC,9,FALSE)),""))</f>
        <v>Power Cable H07RN-F OPEN-POWCON 5,00m</v>
      </c>
      <c r="I52" s="225">
        <f>(IF((VLOOKUP(Table10[[#This Row],[SKU]],'All Skus'!$A:$AC,2,FALSE))="Martin",(VLOOKUP(Table10[[#This Row],[SKU]],'All Skus'!$A:$AC,10,FALSE)),""))</f>
        <v>43.22</v>
      </c>
      <c r="J52" s="226">
        <f>(IF((VLOOKUP(Table10[[#This Row],[SKU]],'All Skus'!$A:$AC,2,FALSE))="Martin",(VLOOKUP(Table10[[#This Row],[SKU]],'All Skus'!$A:$AC,11,FALSE)),""))</f>
        <v>43.22</v>
      </c>
      <c r="K52" s="224">
        <f>(IF((VLOOKUP(Table10[[#This Row],[SKU]],'All Skus'!$A:$AC,2,FALSE))="Martin",(VLOOKUP(Table10[[#This Row],[SKU]],'All Skus'!$A:$AC,15,FALSE)),""))</f>
        <v>0</v>
      </c>
      <c r="L52" s="224">
        <f>(IF((VLOOKUP(Table10[[#This Row],[SKU]],'All Skus'!$A:$AC,2,FALSE))="Martin",(VLOOKUP(Table10[[#This Row],[SKU]],'All Skus'!$A:$AC,16,FALSE)),""))</f>
        <v>0</v>
      </c>
      <c r="M52" s="224">
        <f>(IF((VLOOKUP(Table10[[#This Row],[SKU]],'All Skus'!$A:$AC,2,FALSE))="Martin",(VLOOKUP(Table10[[#This Row],[SKU]],'All Skus'!$A:$AC,17,FALSE)),""))</f>
        <v>0</v>
      </c>
      <c r="N52" s="227">
        <f>(IF((VLOOKUP(Table10[[#This Row],[SKU]],'All Skus'!$A:$AC,2,FALSE))="Martin",(VLOOKUP(Table10[[#This Row],[SKU]],'All Skus'!$A:$AC,18,FALSE)),""))</f>
        <v>0</v>
      </c>
      <c r="O52" s="227">
        <f>(IF((VLOOKUP(Table10[[#This Row],[SKU]],'All Skus'!$A:$AC,2,FALSE))="Martin",(VLOOKUP(Table10[[#This Row],[SKU]],'All Skus'!$A:$AC,19,FALSE)),""))</f>
        <v>0</v>
      </c>
      <c r="P52" s="227">
        <f>(IF((VLOOKUP(Table10[[#This Row],[SKU]],'All Skus'!$A:$AC,2,FALSE))="Martin",(VLOOKUP(Table10[[#This Row],[SKU]],'All Skus'!$A:$AC,20,FALSE)),""))</f>
        <v>0</v>
      </c>
      <c r="Q52" s="227">
        <f>(IF((VLOOKUP(Table10[[#This Row],[SKU]],'All Skus'!$A:$AC,2,FALSE))="Martin",(VLOOKUP(Table10[[#This Row],[SKU]],'All Skus'!$A:$AC,21,FALSE)),""))</f>
        <v>0</v>
      </c>
      <c r="R52" s="224" t="str">
        <f>(IF((VLOOKUP(Table10[[#This Row],[SKU]],'All Skus'!$A:$AC,2,FALSE))="Martin",(VLOOKUP(Table10[[#This Row],[SKU]],'All Skus'!$A:$AC,22,FALSE)),""))</f>
        <v>PL</v>
      </c>
      <c r="S52" s="223">
        <f>(IF((VLOOKUP(Table10[[#This Row],[SKU]],'All Skus'!$A:$AC,2,FALSE))="Martin",(VLOOKUP(Table10[[#This Row],[SKU]],'All Skus'!$A:$AC,23,FALSE)),""))</f>
        <v>0</v>
      </c>
      <c r="T52" s="212" t="str">
        <f>HYPERLINK((IF((VLOOKUP(Table10[[#This Row],[SKU]],'All Skus'!$A:$AC,2,FALSE))="Martin",(VLOOKUP(Table10[[#This Row],[SKU]],'All Skus'!$A:$AC,24,FALSE)),"")))</f>
        <v/>
      </c>
      <c r="U52" s="228">
        <v>50</v>
      </c>
    </row>
    <row r="53" spans="1:21" hidden="1">
      <c r="A53" s="114">
        <v>91610178</v>
      </c>
      <c r="B53" s="224" t="str">
        <f>(IF((VLOOKUP(Table10[[#This Row],[SKU]],'All Skus'!$A:$AC,2,FALSE))="Martin",(VLOOKUP(Table10[[#This Row],[SKU]],'All Skus'!$A:$AC,3,FALSE)),""))</f>
        <v>Accessories</v>
      </c>
      <c r="C53" s="223" t="str">
        <f>(IF((VLOOKUP(Table10[[#This Row],[SKU]],'All Skus'!$A:$AC,2,FALSE))="Martin",(VLOOKUP(Table10[[#This Row],[SKU]],'All Skus'!$A:$AC,4,FALSE)),""))</f>
        <v>Power Cable SJOOW OPEN-POWCON 5,00m</v>
      </c>
      <c r="D53" s="224" t="str">
        <f>(IF((VLOOKUP(Table10[[#This Row],[SKU]],'All Skus'!$A:$AC,2,FALSE))="Martin",(VLOOKUP(Table10[[#This Row],[SKU]],'All Skus'!$A:$AC,5,FALSE)),""))</f>
        <v>MAR-ACC</v>
      </c>
      <c r="E53" s="223">
        <f>(IF((VLOOKUP(Table10[[#This Row],[SKU]],'All Skus'!$A:$AC,2,FALSE))="Martin",(VLOOKUP(Table10[[#This Row],[SKU]],'All Skus'!$A:$AC,6,FALSE)),""))</f>
        <v>0</v>
      </c>
      <c r="F53" s="155" t="str">
        <f>(IF((VLOOKUP(Table10[[#This Row],[SKU]],'All Skus'!$A:$AC,2,FALSE))="Martin",(VLOOKUP(Table10[[#This Row],[SKU]],'All Skus'!$A:$AC,7,FALSE)),""))</f>
        <v>EOL stage – limited availability may apply</v>
      </c>
      <c r="G53" s="223" t="str">
        <f>(IF((VLOOKUP(Table10[[#This Row],[SKU]],'All Skus'!$A:$AC,2,FALSE))="Martin",(VLOOKUP(Table10[[#This Row],[SKU]],'All Skus'!$A:$AC,8,FALSE)),""))</f>
        <v>Power Cable SJOOW OPEN-POWCON 5,00m</v>
      </c>
      <c r="H53" s="223" t="str">
        <f>(IF((VLOOKUP(Table10[[#This Row],[SKU]],'All Skus'!$A:$AC,2,FALSE))="Martin",(VLOOKUP(Table10[[#This Row],[SKU]],'All Skus'!$A:$AC,9,FALSE)),""))</f>
        <v>Power Cable SJOOW OPEN-POWCON 5,00m</v>
      </c>
      <c r="I53" s="225">
        <f>(IF((VLOOKUP(Table10[[#This Row],[SKU]],'All Skus'!$A:$AC,2,FALSE))="Martin",(VLOOKUP(Table10[[#This Row],[SKU]],'All Skus'!$A:$AC,10,FALSE)),""))</f>
        <v>76.56</v>
      </c>
      <c r="J53" s="226">
        <f>(IF((VLOOKUP(Table10[[#This Row],[SKU]],'All Skus'!$A:$AC,2,FALSE))="Martin",(VLOOKUP(Table10[[#This Row],[SKU]],'All Skus'!$A:$AC,11,FALSE)),""))</f>
        <v>76.56</v>
      </c>
      <c r="K53" s="224">
        <f>(IF((VLOOKUP(Table10[[#This Row],[SKU]],'All Skus'!$A:$AC,2,FALSE))="Martin",(VLOOKUP(Table10[[#This Row],[SKU]],'All Skus'!$A:$AC,15,FALSE)),""))</f>
        <v>0</v>
      </c>
      <c r="L53" s="224">
        <f>(IF((VLOOKUP(Table10[[#This Row],[SKU]],'All Skus'!$A:$AC,2,FALSE))="Martin",(VLOOKUP(Table10[[#This Row],[SKU]],'All Skus'!$A:$AC,16,FALSE)),""))</f>
        <v>0</v>
      </c>
      <c r="M53" s="224">
        <f>(IF((VLOOKUP(Table10[[#This Row],[SKU]],'All Skus'!$A:$AC,2,FALSE))="Martin",(VLOOKUP(Table10[[#This Row],[SKU]],'All Skus'!$A:$AC,17,FALSE)),""))</f>
        <v>0</v>
      </c>
      <c r="N53" s="227">
        <f>(IF((VLOOKUP(Table10[[#This Row],[SKU]],'All Skus'!$A:$AC,2,FALSE))="Martin",(VLOOKUP(Table10[[#This Row],[SKU]],'All Skus'!$A:$AC,18,FALSE)),""))</f>
        <v>0</v>
      </c>
      <c r="O53" s="227">
        <f>(IF((VLOOKUP(Table10[[#This Row],[SKU]],'All Skus'!$A:$AC,2,FALSE))="Martin",(VLOOKUP(Table10[[#This Row],[SKU]],'All Skus'!$A:$AC,19,FALSE)),""))</f>
        <v>0</v>
      </c>
      <c r="P53" s="227">
        <f>(IF((VLOOKUP(Table10[[#This Row],[SKU]],'All Skus'!$A:$AC,2,FALSE))="Martin",(VLOOKUP(Table10[[#This Row],[SKU]],'All Skus'!$A:$AC,20,FALSE)),""))</f>
        <v>0</v>
      </c>
      <c r="Q53" s="227">
        <f>(IF((VLOOKUP(Table10[[#This Row],[SKU]],'All Skus'!$A:$AC,2,FALSE))="Martin",(VLOOKUP(Table10[[#This Row],[SKU]],'All Skus'!$A:$AC,21,FALSE)),""))</f>
        <v>0</v>
      </c>
      <c r="R53" s="224" t="str">
        <f>(IF((VLOOKUP(Table10[[#This Row],[SKU]],'All Skus'!$A:$AC,2,FALSE))="Martin",(VLOOKUP(Table10[[#This Row],[SKU]],'All Skus'!$A:$AC,22,FALSE)),""))</f>
        <v>PL</v>
      </c>
      <c r="S53" s="223">
        <f>(IF((VLOOKUP(Table10[[#This Row],[SKU]],'All Skus'!$A:$AC,2,FALSE))="Martin",(VLOOKUP(Table10[[#This Row],[SKU]],'All Skus'!$A:$AC,23,FALSE)),""))</f>
        <v>0</v>
      </c>
      <c r="T53" s="212" t="str">
        <f>HYPERLINK((IF((VLOOKUP(Table10[[#This Row],[SKU]],'All Skus'!$A:$AC,2,FALSE))="Martin",(VLOOKUP(Table10[[#This Row],[SKU]],'All Skus'!$A:$AC,24,FALSE)),"")))</f>
        <v/>
      </c>
      <c r="U53" s="228">
        <v>51</v>
      </c>
    </row>
    <row r="54" spans="1:21" hidden="1">
      <c r="A54" s="114" t="s">
        <v>1965</v>
      </c>
      <c r="B54" s="224" t="str">
        <f>(IF((VLOOKUP(Table10[[#This Row],[SKU]],'All Skus'!$A:$AC,2,FALSE))="Martin",(VLOOKUP(Table10[[#This Row],[SKU]],'All Skus'!$A:$AC,3,FALSE)),""))</f>
        <v>Accessories</v>
      </c>
      <c r="C54" s="223" t="str">
        <f>(IF((VLOOKUP(Table10[[#This Row],[SKU]],'All Skus'!$A:$AC,2,FALSE))="Martin",(VLOOKUP(Table10[[#This Row],[SKU]],'All Skus'!$A:$AC,4,FALSE)),""))</f>
        <v>Power Connector PowerCON Male</v>
      </c>
      <c r="D54" s="224" t="str">
        <f>(IF((VLOOKUP(Table10[[#This Row],[SKU]],'All Skus'!$A:$AC,2,FALSE))="Martin",(VLOOKUP(Table10[[#This Row],[SKU]],'All Skus'!$A:$AC,5,FALSE)),""))</f>
        <v>MAR-ACC</v>
      </c>
      <c r="E54" s="223">
        <f>(IF((VLOOKUP(Table10[[#This Row],[SKU]],'All Skus'!$A:$AC,2,FALSE))="Martin",(VLOOKUP(Table10[[#This Row],[SKU]],'All Skus'!$A:$AC,6,FALSE)),""))</f>
        <v>0</v>
      </c>
      <c r="F54" s="155">
        <f>(IF((VLOOKUP(Table10[[#This Row],[SKU]],'All Skus'!$A:$AC,2,FALSE))="Martin",(VLOOKUP(Table10[[#This Row],[SKU]],'All Skus'!$A:$AC,7,FALSE)),""))</f>
        <v>0</v>
      </c>
      <c r="G54" s="223" t="str">
        <f>(IF((VLOOKUP(Table10[[#This Row],[SKU]],'All Skus'!$A:$AC,2,FALSE))="Martin",(VLOOKUP(Table10[[#This Row],[SKU]],'All Skus'!$A:$AC,8,FALSE)),""))</f>
        <v>Power Connector PowerCON Male</v>
      </c>
      <c r="H54" s="223" t="str">
        <f>(IF((VLOOKUP(Table10[[#This Row],[SKU]],'All Skus'!$A:$AC,2,FALSE))="Martin",(VLOOKUP(Table10[[#This Row],[SKU]],'All Skus'!$A:$AC,9,FALSE)),""))</f>
        <v>Power Connector PowerCON Male</v>
      </c>
      <c r="I54" s="225">
        <f>(IF((VLOOKUP(Table10[[#This Row],[SKU]],'All Skus'!$A:$AC,2,FALSE))="Martin",(VLOOKUP(Table10[[#This Row],[SKU]],'All Skus'!$A:$AC,10,FALSE)),""))</f>
        <v>18.52</v>
      </c>
      <c r="J54" s="226">
        <f>(IF((VLOOKUP(Table10[[#This Row],[SKU]],'All Skus'!$A:$AC,2,FALSE))="Martin",(VLOOKUP(Table10[[#This Row],[SKU]],'All Skus'!$A:$AC,11,FALSE)),""))</f>
        <v>18.52</v>
      </c>
      <c r="K54" s="224">
        <f>(IF((VLOOKUP(Table10[[#This Row],[SKU]],'All Skus'!$A:$AC,2,FALSE))="Martin",(VLOOKUP(Table10[[#This Row],[SKU]],'All Skus'!$A:$AC,15,FALSE)),""))</f>
        <v>0.5</v>
      </c>
      <c r="L54" s="224">
        <f>(IF((VLOOKUP(Table10[[#This Row],[SKU]],'All Skus'!$A:$AC,2,FALSE))="Martin",(VLOOKUP(Table10[[#This Row],[SKU]],'All Skus'!$A:$AC,16,FALSE)),""))</f>
        <v>0</v>
      </c>
      <c r="M54" s="224">
        <f>(IF((VLOOKUP(Table10[[#This Row],[SKU]],'All Skus'!$A:$AC,2,FALSE))="Martin",(VLOOKUP(Table10[[#This Row],[SKU]],'All Skus'!$A:$AC,17,FALSE)),""))</f>
        <v>0</v>
      </c>
      <c r="N54" s="227">
        <f>(IF((VLOOKUP(Table10[[#This Row],[SKU]],'All Skus'!$A:$AC,2,FALSE))="Martin",(VLOOKUP(Table10[[#This Row],[SKU]],'All Skus'!$A:$AC,18,FALSE)),""))</f>
        <v>0</v>
      </c>
      <c r="O54" s="227">
        <f>(IF((VLOOKUP(Table10[[#This Row],[SKU]],'All Skus'!$A:$AC,2,FALSE))="Martin",(VLOOKUP(Table10[[#This Row],[SKU]],'All Skus'!$A:$AC,19,FALSE)),""))</f>
        <v>0</v>
      </c>
      <c r="P54" s="227">
        <f>(IF((VLOOKUP(Table10[[#This Row],[SKU]],'All Skus'!$A:$AC,2,FALSE))="Martin",(VLOOKUP(Table10[[#This Row],[SKU]],'All Skus'!$A:$AC,20,FALSE)),""))</f>
        <v>0</v>
      </c>
      <c r="Q54" s="227">
        <f>(IF((VLOOKUP(Table10[[#This Row],[SKU]],'All Skus'!$A:$AC,2,FALSE))="Martin",(VLOOKUP(Table10[[#This Row],[SKU]],'All Skus'!$A:$AC,21,FALSE)),""))</f>
        <v>0</v>
      </c>
      <c r="R54" s="224" t="str">
        <f>(IF((VLOOKUP(Table10[[#This Row],[SKU]],'All Skus'!$A:$AC,2,FALSE))="Martin",(VLOOKUP(Table10[[#This Row],[SKU]],'All Skus'!$A:$AC,22,FALSE)),""))</f>
        <v>HU</v>
      </c>
      <c r="S54" s="223">
        <f>(IF((VLOOKUP(Table10[[#This Row],[SKU]],'All Skus'!$A:$AC,2,FALSE))="Martin",(VLOOKUP(Table10[[#This Row],[SKU]],'All Skus'!$A:$AC,23,FALSE)),""))</f>
        <v>0</v>
      </c>
      <c r="T54" s="212" t="str">
        <f>HYPERLINK((IF((VLOOKUP(Table10[[#This Row],[SKU]],'All Skus'!$A:$AC,2,FALSE))="Martin",(VLOOKUP(Table10[[#This Row],[SKU]],'All Skus'!$A:$AC,24,FALSE)),"")))</f>
        <v/>
      </c>
      <c r="U54" s="228">
        <v>52</v>
      </c>
    </row>
    <row r="55" spans="1:21" hidden="1">
      <c r="A55" s="114" t="s">
        <v>1966</v>
      </c>
      <c r="B55" s="224" t="str">
        <f>(IF((VLOOKUP(Table10[[#This Row],[SKU]],'All Skus'!$A:$AC,2,FALSE))="Martin",(VLOOKUP(Table10[[#This Row],[SKU]],'All Skus'!$A:$AC,3,FALSE)),""))</f>
        <v>Accessories</v>
      </c>
      <c r="C55" s="223" t="str">
        <f>(IF((VLOOKUP(Table10[[#This Row],[SKU]],'All Skus'!$A:$AC,2,FALSE))="Martin",(VLOOKUP(Table10[[#This Row],[SKU]],'All Skus'!$A:$AC,4,FALSE)),""))</f>
        <v>Power Connector PowerCON Female</v>
      </c>
      <c r="D55" s="224" t="str">
        <f>(IF((VLOOKUP(Table10[[#This Row],[SKU]],'All Skus'!$A:$AC,2,FALSE))="Martin",(VLOOKUP(Table10[[#This Row],[SKU]],'All Skus'!$A:$AC,5,FALSE)),""))</f>
        <v>MAR-ACC</v>
      </c>
      <c r="E55" s="223">
        <f>(IF((VLOOKUP(Table10[[#This Row],[SKU]],'All Skus'!$A:$AC,2,FALSE))="Martin",(VLOOKUP(Table10[[#This Row],[SKU]],'All Skus'!$A:$AC,6,FALSE)),""))</f>
        <v>0</v>
      </c>
      <c r="F55" s="155">
        <f>(IF((VLOOKUP(Table10[[#This Row],[SKU]],'All Skus'!$A:$AC,2,FALSE))="Martin",(VLOOKUP(Table10[[#This Row],[SKU]],'All Skus'!$A:$AC,7,FALSE)),""))</f>
        <v>0</v>
      </c>
      <c r="G55" s="223" t="str">
        <f>(IF((VLOOKUP(Table10[[#This Row],[SKU]],'All Skus'!$A:$AC,2,FALSE))="Martin",(VLOOKUP(Table10[[#This Row],[SKU]],'All Skus'!$A:$AC,8,FALSE)),""))</f>
        <v>Power Connector PowerCON Female</v>
      </c>
      <c r="H55" s="223" t="str">
        <f>(IF((VLOOKUP(Table10[[#This Row],[SKU]],'All Skus'!$A:$AC,2,FALSE))="Martin",(VLOOKUP(Table10[[#This Row],[SKU]],'All Skus'!$A:$AC,9,FALSE)),""))</f>
        <v>Power Connector PowerCON Female</v>
      </c>
      <c r="I55" s="225">
        <f>(IF((VLOOKUP(Table10[[#This Row],[SKU]],'All Skus'!$A:$AC,2,FALSE))="Martin",(VLOOKUP(Table10[[#This Row],[SKU]],'All Skus'!$A:$AC,10,FALSE)),""))</f>
        <v>18.52</v>
      </c>
      <c r="J55" s="226">
        <f>(IF((VLOOKUP(Table10[[#This Row],[SKU]],'All Skus'!$A:$AC,2,FALSE))="Martin",(VLOOKUP(Table10[[#This Row],[SKU]],'All Skus'!$A:$AC,11,FALSE)),""))</f>
        <v>18.52</v>
      </c>
      <c r="K55" s="224">
        <f>(IF((VLOOKUP(Table10[[#This Row],[SKU]],'All Skus'!$A:$AC,2,FALSE))="Martin",(VLOOKUP(Table10[[#This Row],[SKU]],'All Skus'!$A:$AC,15,FALSE)),""))</f>
        <v>0.5</v>
      </c>
      <c r="L55" s="224">
        <f>(IF((VLOOKUP(Table10[[#This Row],[SKU]],'All Skus'!$A:$AC,2,FALSE))="Martin",(VLOOKUP(Table10[[#This Row],[SKU]],'All Skus'!$A:$AC,16,FALSE)),""))</f>
        <v>0</v>
      </c>
      <c r="M55" s="224">
        <f>(IF((VLOOKUP(Table10[[#This Row],[SKU]],'All Skus'!$A:$AC,2,FALSE))="Martin",(VLOOKUP(Table10[[#This Row],[SKU]],'All Skus'!$A:$AC,17,FALSE)),""))</f>
        <v>0</v>
      </c>
      <c r="N55" s="227">
        <f>(IF((VLOOKUP(Table10[[#This Row],[SKU]],'All Skus'!$A:$AC,2,FALSE))="Martin",(VLOOKUP(Table10[[#This Row],[SKU]],'All Skus'!$A:$AC,18,FALSE)),""))</f>
        <v>0</v>
      </c>
      <c r="O55" s="227">
        <f>(IF((VLOOKUP(Table10[[#This Row],[SKU]],'All Skus'!$A:$AC,2,FALSE))="Martin",(VLOOKUP(Table10[[#This Row],[SKU]],'All Skus'!$A:$AC,19,FALSE)),""))</f>
        <v>0</v>
      </c>
      <c r="P55" s="227">
        <f>(IF((VLOOKUP(Table10[[#This Row],[SKU]],'All Skus'!$A:$AC,2,FALSE))="Martin",(VLOOKUP(Table10[[#This Row],[SKU]],'All Skus'!$A:$AC,20,FALSE)),""))</f>
        <v>0</v>
      </c>
      <c r="Q55" s="227">
        <f>(IF((VLOOKUP(Table10[[#This Row],[SKU]],'All Skus'!$A:$AC,2,FALSE))="Martin",(VLOOKUP(Table10[[#This Row],[SKU]],'All Skus'!$A:$AC,21,FALSE)),""))</f>
        <v>0</v>
      </c>
      <c r="R55" s="224" t="str">
        <f>(IF((VLOOKUP(Table10[[#This Row],[SKU]],'All Skus'!$A:$AC,2,FALSE))="Martin",(VLOOKUP(Table10[[#This Row],[SKU]],'All Skus'!$A:$AC,22,FALSE)),""))</f>
        <v>HU</v>
      </c>
      <c r="S55" s="223">
        <f>(IF((VLOOKUP(Table10[[#This Row],[SKU]],'All Skus'!$A:$AC,2,FALSE))="Martin",(VLOOKUP(Table10[[#This Row],[SKU]],'All Skus'!$A:$AC,23,FALSE)),""))</f>
        <v>0</v>
      </c>
      <c r="T55" s="212" t="str">
        <f>HYPERLINK((IF((VLOOKUP(Table10[[#This Row],[SKU]],'All Skus'!$A:$AC,2,FALSE))="Martin",(VLOOKUP(Table10[[#This Row],[SKU]],'All Skus'!$A:$AC,24,FALSE)),"")))</f>
        <v/>
      </c>
      <c r="U55" s="228">
        <v>53</v>
      </c>
    </row>
    <row r="56" spans="1:21" hidden="1">
      <c r="A56" s="115" t="s">
        <v>1967</v>
      </c>
      <c r="B56" s="224">
        <f>(IF((VLOOKUP(Table10[[#This Row],[SKU]],'All Skus'!$A:$AC,2,FALSE))="Martin",(VLOOKUP(Table10[[#This Row],[SKU]],'All Skus'!$A:$AC,3,FALSE)),""))</f>
        <v>0</v>
      </c>
      <c r="C56" s="223">
        <f>(IF((VLOOKUP(Table10[[#This Row],[SKU]],'All Skus'!$A:$AC,2,FALSE))="Martin",(VLOOKUP(Table10[[#This Row],[SKU]],'All Skus'!$A:$AC,4,FALSE)),""))</f>
        <v>0</v>
      </c>
      <c r="D56" s="224">
        <f>(IF((VLOOKUP(Table10[[#This Row],[SKU]],'All Skus'!$A:$AC,2,FALSE))="Martin",(VLOOKUP(Table10[[#This Row],[SKU]],'All Skus'!$A:$AC,5,FALSE)),""))</f>
        <v>0</v>
      </c>
      <c r="E56" s="223">
        <f>(IF((VLOOKUP(Table10[[#This Row],[SKU]],'All Skus'!$A:$AC,2,FALSE))="Martin",(VLOOKUP(Table10[[#This Row],[SKU]],'All Skus'!$A:$AC,6,FALSE)),""))</f>
        <v>0</v>
      </c>
      <c r="F56" s="155">
        <f>(IF((VLOOKUP(Table10[[#This Row],[SKU]],'All Skus'!$A:$AC,2,FALSE))="Martin",(VLOOKUP(Table10[[#This Row],[SKU]],'All Skus'!$A:$AC,7,FALSE)),""))</f>
        <v>0</v>
      </c>
      <c r="G56" s="223">
        <f>(IF((VLOOKUP(Table10[[#This Row],[SKU]],'All Skus'!$A:$AC,2,FALSE))="Martin",(VLOOKUP(Table10[[#This Row],[SKU]],'All Skus'!$A:$AC,8,FALSE)),""))</f>
        <v>0</v>
      </c>
      <c r="H56" s="223">
        <f>(IF((VLOOKUP(Table10[[#This Row],[SKU]],'All Skus'!$A:$AC,2,FALSE))="Martin",(VLOOKUP(Table10[[#This Row],[SKU]],'All Skus'!$A:$AC,9,FALSE)),""))</f>
        <v>0</v>
      </c>
      <c r="I56" s="225">
        <f>(IF((VLOOKUP(Table10[[#This Row],[SKU]],'All Skus'!$A:$AC,2,FALSE))="Martin",(VLOOKUP(Table10[[#This Row],[SKU]],'All Skus'!$A:$AC,10,FALSE)),""))</f>
        <v>0</v>
      </c>
      <c r="J56" s="226">
        <f>(IF((VLOOKUP(Table10[[#This Row],[SKU]],'All Skus'!$A:$AC,2,FALSE))="Martin",(VLOOKUP(Table10[[#This Row],[SKU]],'All Skus'!$A:$AC,11,FALSE)),""))</f>
        <v>0</v>
      </c>
      <c r="K56" s="224">
        <f>(IF((VLOOKUP(Table10[[#This Row],[SKU]],'All Skus'!$A:$AC,2,FALSE))="Martin",(VLOOKUP(Table10[[#This Row],[SKU]],'All Skus'!$A:$AC,15,FALSE)),""))</f>
        <v>0</v>
      </c>
      <c r="L56" s="224">
        <f>(IF((VLOOKUP(Table10[[#This Row],[SKU]],'All Skus'!$A:$AC,2,FALSE))="Martin",(VLOOKUP(Table10[[#This Row],[SKU]],'All Skus'!$A:$AC,16,FALSE)),""))</f>
        <v>0</v>
      </c>
      <c r="M56" s="224">
        <f>(IF((VLOOKUP(Table10[[#This Row],[SKU]],'All Skus'!$A:$AC,2,FALSE))="Martin",(VLOOKUP(Table10[[#This Row],[SKU]],'All Skus'!$A:$AC,17,FALSE)),""))</f>
        <v>0</v>
      </c>
      <c r="N56" s="227">
        <f>(IF((VLOOKUP(Table10[[#This Row],[SKU]],'All Skus'!$A:$AC,2,FALSE))="Martin",(VLOOKUP(Table10[[#This Row],[SKU]],'All Skus'!$A:$AC,18,FALSE)),""))</f>
        <v>0</v>
      </c>
      <c r="O56" s="227">
        <f>(IF((VLOOKUP(Table10[[#This Row],[SKU]],'All Skus'!$A:$AC,2,FALSE))="Martin",(VLOOKUP(Table10[[#This Row],[SKU]],'All Skus'!$A:$AC,19,FALSE)),""))</f>
        <v>0</v>
      </c>
      <c r="P56" s="227">
        <f>(IF((VLOOKUP(Table10[[#This Row],[SKU]],'All Skus'!$A:$AC,2,FALSE))="Martin",(VLOOKUP(Table10[[#This Row],[SKU]],'All Skus'!$A:$AC,20,FALSE)),""))</f>
        <v>0</v>
      </c>
      <c r="Q56" s="227">
        <f>(IF((VLOOKUP(Table10[[#This Row],[SKU]],'All Skus'!$A:$AC,2,FALSE))="Martin",(VLOOKUP(Table10[[#This Row],[SKU]],'All Skus'!$A:$AC,21,FALSE)),""))</f>
        <v>0</v>
      </c>
      <c r="R56" s="224">
        <f>(IF((VLOOKUP(Table10[[#This Row],[SKU]],'All Skus'!$A:$AC,2,FALSE))="Martin",(VLOOKUP(Table10[[#This Row],[SKU]],'All Skus'!$A:$AC,22,FALSE)),""))</f>
        <v>0</v>
      </c>
      <c r="S56" s="223">
        <f>(IF((VLOOKUP(Table10[[#This Row],[SKU]],'All Skus'!$A:$AC,2,FALSE))="Martin",(VLOOKUP(Table10[[#This Row],[SKU]],'All Skus'!$A:$AC,23,FALSE)),""))</f>
        <v>0</v>
      </c>
      <c r="T56" s="212" t="str">
        <f>HYPERLINK((IF((VLOOKUP(Table10[[#This Row],[SKU]],'All Skus'!$A:$AC,2,FALSE))="Martin",(VLOOKUP(Table10[[#This Row],[SKU]],'All Skus'!$A:$AC,24,FALSE)),"")))</f>
        <v/>
      </c>
      <c r="U56" s="228">
        <v>54</v>
      </c>
    </row>
    <row r="57" spans="1:21" hidden="1">
      <c r="A57" s="114" t="s">
        <v>1968</v>
      </c>
      <c r="B57" s="224" t="str">
        <f>(IF((VLOOKUP(Table10[[#This Row],[SKU]],'All Skus'!$A:$AC,2,FALSE))="Martin",(VLOOKUP(Table10[[#This Row],[SKU]],'All Skus'!$A:$AC,3,FALSE)),""))</f>
        <v>Accessories</v>
      </c>
      <c r="C57" s="223" t="str">
        <f>(IF((VLOOKUP(Table10[[#This Row],[SKU]],'All Skus'!$A:$AC,2,FALSE))="Martin",(VLOOKUP(Table10[[#This Row],[SKU]],'All Skus'!$A:$AC,4,FALSE)),""))</f>
        <v>Active Junction Box Power-DMX-Ethernet to PDE</v>
      </c>
      <c r="D57" s="224" t="str">
        <f>(IF((VLOOKUP(Table10[[#This Row],[SKU]],'All Skus'!$A:$AC,2,FALSE))="Martin",(VLOOKUP(Table10[[#This Row],[SKU]],'All Skus'!$A:$AC,5,FALSE)),""))</f>
        <v>MAR-ACC</v>
      </c>
      <c r="E57" s="223">
        <f>(IF((VLOOKUP(Table10[[#This Row],[SKU]],'All Skus'!$A:$AC,2,FALSE))="Martin",(VLOOKUP(Table10[[#This Row],[SKU]],'All Skus'!$A:$AC,6,FALSE)),""))</f>
        <v>0</v>
      </c>
      <c r="F57" s="155">
        <f>(IF((VLOOKUP(Table10[[#This Row],[SKU]],'All Skus'!$A:$AC,2,FALSE))="Martin",(VLOOKUP(Table10[[#This Row],[SKU]],'All Skus'!$A:$AC,7,FALSE)),""))</f>
        <v>0</v>
      </c>
      <c r="G57" s="223" t="str">
        <f>(IF((VLOOKUP(Table10[[#This Row],[SKU]],'All Skus'!$A:$AC,2,FALSE))="Martin",(VLOOKUP(Table10[[#This Row],[SKU]],'All Skus'!$A:$AC,8,FALSE)),""))</f>
        <v>Active Junction Box Power-DMX-Ethernet to PDE</v>
      </c>
      <c r="H57" s="223" t="str">
        <f>(IF((VLOOKUP(Table10[[#This Row],[SKU]],'All Skus'!$A:$AC,2,FALSE))="Martin",(VLOOKUP(Table10[[#This Row],[SKU]],'All Skus'!$A:$AC,9,FALSE)),""))</f>
        <v>Active Junction Box Power-DMX-Ethernet to PDE</v>
      </c>
      <c r="I57" s="225">
        <f>(IF((VLOOKUP(Table10[[#This Row],[SKU]],'All Skus'!$A:$AC,2,FALSE))="Martin",(VLOOKUP(Table10[[#This Row],[SKU]],'All Skus'!$A:$AC,10,FALSE)),""))</f>
        <v>833.47</v>
      </c>
      <c r="J57" s="226">
        <f>(IF((VLOOKUP(Table10[[#This Row],[SKU]],'All Skus'!$A:$AC,2,FALSE))="Martin",(VLOOKUP(Table10[[#This Row],[SKU]],'All Skus'!$A:$AC,11,FALSE)),""))</f>
        <v>833.47</v>
      </c>
      <c r="K57" s="224">
        <f>(IF((VLOOKUP(Table10[[#This Row],[SKU]],'All Skus'!$A:$AC,2,FALSE))="Martin",(VLOOKUP(Table10[[#This Row],[SKU]],'All Skus'!$A:$AC,15,FALSE)),""))</f>
        <v>0</v>
      </c>
      <c r="L57" s="224">
        <f>(IF((VLOOKUP(Table10[[#This Row],[SKU]],'All Skus'!$A:$AC,2,FALSE))="Martin",(VLOOKUP(Table10[[#This Row],[SKU]],'All Skus'!$A:$AC,16,FALSE)),""))</f>
        <v>688705007236</v>
      </c>
      <c r="M57" s="224">
        <f>(IF((VLOOKUP(Table10[[#This Row],[SKU]],'All Skus'!$A:$AC,2,FALSE))="Martin",(VLOOKUP(Table10[[#This Row],[SKU]],'All Skus'!$A:$AC,17,FALSE)),""))</f>
        <v>0</v>
      </c>
      <c r="N57" s="227">
        <f>(IF((VLOOKUP(Table10[[#This Row],[SKU]],'All Skus'!$A:$AC,2,FALSE))="Martin",(VLOOKUP(Table10[[#This Row],[SKU]],'All Skus'!$A:$AC,18,FALSE)),""))</f>
        <v>0</v>
      </c>
      <c r="O57" s="227">
        <f>(IF((VLOOKUP(Table10[[#This Row],[SKU]],'All Skus'!$A:$AC,2,FALSE))="Martin",(VLOOKUP(Table10[[#This Row],[SKU]],'All Skus'!$A:$AC,19,FALSE)),""))</f>
        <v>0</v>
      </c>
      <c r="P57" s="227">
        <f>(IF((VLOOKUP(Table10[[#This Row],[SKU]],'All Skus'!$A:$AC,2,FALSE))="Martin",(VLOOKUP(Table10[[#This Row],[SKU]],'All Skus'!$A:$AC,20,FALSE)),""))</f>
        <v>0</v>
      </c>
      <c r="Q57" s="227">
        <f>(IF((VLOOKUP(Table10[[#This Row],[SKU]],'All Skus'!$A:$AC,2,FALSE))="Martin",(VLOOKUP(Table10[[#This Row],[SKU]],'All Skus'!$A:$AC,21,FALSE)),""))</f>
        <v>0</v>
      </c>
      <c r="R57" s="224" t="str">
        <f>(IF((VLOOKUP(Table10[[#This Row],[SKU]],'All Skus'!$A:$AC,2,FALSE))="Martin",(VLOOKUP(Table10[[#This Row],[SKU]],'All Skus'!$A:$AC,22,FALSE)),""))</f>
        <v>DE</v>
      </c>
      <c r="S57" s="223">
        <f>(IF((VLOOKUP(Table10[[#This Row],[SKU]],'All Skus'!$A:$AC,2,FALSE))="Martin",(VLOOKUP(Table10[[#This Row],[SKU]],'All Skus'!$A:$AC,23,FALSE)),""))</f>
        <v>0</v>
      </c>
      <c r="T57" s="212" t="str">
        <f>HYPERLINK((IF((VLOOKUP(Table10[[#This Row],[SKU]],'All Skus'!$A:$AC,2,FALSE))="Martin",(VLOOKUP(Table10[[#This Row],[SKU]],'All Skus'!$A:$AC,24,FALSE)),"")))</f>
        <v/>
      </c>
      <c r="U57" s="228">
        <v>55</v>
      </c>
    </row>
    <row r="58" spans="1:21" hidden="1">
      <c r="A58" s="114">
        <v>91610001</v>
      </c>
      <c r="B58" s="224" t="str">
        <f>(IF((VLOOKUP(Table10[[#This Row],[SKU]],'All Skus'!$A:$AC,2,FALSE))="Martin",(VLOOKUP(Table10[[#This Row],[SKU]],'All Skus'!$A:$AC,3,FALSE)),""))</f>
        <v>Accessories</v>
      </c>
      <c r="C58" s="223" t="str">
        <f>(IF((VLOOKUP(Table10[[#This Row],[SKU]],'All Skus'!$A:$AC,2,FALSE))="Martin",(VLOOKUP(Table10[[#This Row],[SKU]],'All Skus'!$A:$AC,4,FALSE)),""))</f>
        <v>Passive Junction Box Power-DMX-Ethernet to PDE</v>
      </c>
      <c r="D58" s="224" t="str">
        <f>(IF((VLOOKUP(Table10[[#This Row],[SKU]],'All Skus'!$A:$AC,2,FALSE))="Martin",(VLOOKUP(Table10[[#This Row],[SKU]],'All Skus'!$A:$AC,5,FALSE)),""))</f>
        <v>MAR-ACC</v>
      </c>
      <c r="E58" s="223">
        <f>(IF((VLOOKUP(Table10[[#This Row],[SKU]],'All Skus'!$A:$AC,2,FALSE))="Martin",(VLOOKUP(Table10[[#This Row],[SKU]],'All Skus'!$A:$AC,6,FALSE)),""))</f>
        <v>0</v>
      </c>
      <c r="F58" s="155">
        <f>(IF((VLOOKUP(Table10[[#This Row],[SKU]],'All Skus'!$A:$AC,2,FALSE))="Martin",(VLOOKUP(Table10[[#This Row],[SKU]],'All Skus'!$A:$AC,7,FALSE)),""))</f>
        <v>0</v>
      </c>
      <c r="G58" s="223" t="str">
        <f>(IF((VLOOKUP(Table10[[#This Row],[SKU]],'All Skus'!$A:$AC,2,FALSE))="Martin",(VLOOKUP(Table10[[#This Row],[SKU]],'All Skus'!$A:$AC,8,FALSE)),""))</f>
        <v>Passive Junction Box Power-DMX-Ethernet to PDE</v>
      </c>
      <c r="H58" s="223" t="str">
        <f>(IF((VLOOKUP(Table10[[#This Row],[SKU]],'All Skus'!$A:$AC,2,FALSE))="Martin",(VLOOKUP(Table10[[#This Row],[SKU]],'All Skus'!$A:$AC,9,FALSE)),""))</f>
        <v>Passive Junction Box Power-DMX-Ethernet to PDE</v>
      </c>
      <c r="I58" s="225">
        <f>(IF((VLOOKUP(Table10[[#This Row],[SKU]],'All Skus'!$A:$AC,2,FALSE))="Martin",(VLOOKUP(Table10[[#This Row],[SKU]],'All Skus'!$A:$AC,10,FALSE)),""))</f>
        <v>277.82</v>
      </c>
      <c r="J58" s="226">
        <f>(IF((VLOOKUP(Table10[[#This Row],[SKU]],'All Skus'!$A:$AC,2,FALSE))="Martin",(VLOOKUP(Table10[[#This Row],[SKU]],'All Skus'!$A:$AC,11,FALSE)),""))</f>
        <v>277.82</v>
      </c>
      <c r="K58" s="224">
        <f>(IF((VLOOKUP(Table10[[#This Row],[SKU]],'All Skus'!$A:$AC,2,FALSE))="Martin",(VLOOKUP(Table10[[#This Row],[SKU]],'All Skus'!$A:$AC,15,FALSE)),""))</f>
        <v>0</v>
      </c>
      <c r="L58" s="224">
        <f>(IF((VLOOKUP(Table10[[#This Row],[SKU]],'All Skus'!$A:$AC,2,FALSE))="Martin",(VLOOKUP(Table10[[#This Row],[SKU]],'All Skus'!$A:$AC,16,FALSE)),""))</f>
        <v>688705004181</v>
      </c>
      <c r="M58" s="224">
        <f>(IF((VLOOKUP(Table10[[#This Row],[SKU]],'All Skus'!$A:$AC,2,FALSE))="Martin",(VLOOKUP(Table10[[#This Row],[SKU]],'All Skus'!$A:$AC,17,FALSE)),""))</f>
        <v>0</v>
      </c>
      <c r="N58" s="227">
        <f>(IF((VLOOKUP(Table10[[#This Row],[SKU]],'All Skus'!$A:$AC,2,FALSE))="Martin",(VLOOKUP(Table10[[#This Row],[SKU]],'All Skus'!$A:$AC,18,FALSE)),""))</f>
        <v>0</v>
      </c>
      <c r="O58" s="227">
        <f>(IF((VLOOKUP(Table10[[#This Row],[SKU]],'All Skus'!$A:$AC,2,FALSE))="Martin",(VLOOKUP(Table10[[#This Row],[SKU]],'All Skus'!$A:$AC,19,FALSE)),""))</f>
        <v>0</v>
      </c>
      <c r="P58" s="227">
        <f>(IF((VLOOKUP(Table10[[#This Row],[SKU]],'All Skus'!$A:$AC,2,FALSE))="Martin",(VLOOKUP(Table10[[#This Row],[SKU]],'All Skus'!$A:$AC,20,FALSE)),""))</f>
        <v>0</v>
      </c>
      <c r="Q58" s="227">
        <f>(IF((VLOOKUP(Table10[[#This Row],[SKU]],'All Skus'!$A:$AC,2,FALSE))="Martin",(VLOOKUP(Table10[[#This Row],[SKU]],'All Skus'!$A:$AC,21,FALSE)),""))</f>
        <v>0</v>
      </c>
      <c r="R58" s="224" t="str">
        <f>(IF((VLOOKUP(Table10[[#This Row],[SKU]],'All Skus'!$A:$AC,2,FALSE))="Martin",(VLOOKUP(Table10[[#This Row],[SKU]],'All Skus'!$A:$AC,22,FALSE)),""))</f>
        <v>CN</v>
      </c>
      <c r="S58" s="223">
        <f>(IF((VLOOKUP(Table10[[#This Row],[SKU]],'All Skus'!$A:$AC,2,FALSE))="Martin",(VLOOKUP(Table10[[#This Row],[SKU]],'All Skus'!$A:$AC,23,FALSE)),""))</f>
        <v>0</v>
      </c>
      <c r="T58" s="212" t="str">
        <f>HYPERLINK((IF((VLOOKUP(Table10[[#This Row],[SKU]],'All Skus'!$A:$AC,2,FALSE))="Martin",(VLOOKUP(Table10[[#This Row],[SKU]],'All Skus'!$A:$AC,24,FALSE)),"")))</f>
        <v/>
      </c>
      <c r="U58" s="228">
        <v>56</v>
      </c>
    </row>
    <row r="59" spans="1:21" hidden="1">
      <c r="A59" s="114" t="s">
        <v>1969</v>
      </c>
      <c r="B59" s="224" t="str">
        <f>(IF((VLOOKUP(Table10[[#This Row],[SKU]],'All Skus'!$A:$AC,2,FALSE))="Martin",(VLOOKUP(Table10[[#This Row],[SKU]],'All Skus'!$A:$AC,3,FALSE)),""))</f>
        <v>Accessories</v>
      </c>
      <c r="C59" s="223" t="str">
        <f>(IF((VLOOKUP(Table10[[#This Row],[SKU]],'All Skus'!$A:$AC,2,FALSE))="Martin",(VLOOKUP(Table10[[#This Row],[SKU]],'All Skus'!$A:$AC,4,FALSE)),""))</f>
        <v>BreakIn Cable Power-DMX-Ethernet to PDE</v>
      </c>
      <c r="D59" s="224" t="str">
        <f>(IF((VLOOKUP(Table10[[#This Row],[SKU]],'All Skus'!$A:$AC,2,FALSE))="Martin",(VLOOKUP(Table10[[#This Row],[SKU]],'All Skus'!$A:$AC,5,FALSE)),""))</f>
        <v>MAR-ACC</v>
      </c>
      <c r="E59" s="223">
        <f>(IF((VLOOKUP(Table10[[#This Row],[SKU]],'All Skus'!$A:$AC,2,FALSE))="Martin",(VLOOKUP(Table10[[#This Row],[SKU]],'All Skus'!$A:$AC,6,FALSE)),""))</f>
        <v>0</v>
      </c>
      <c r="F59" s="155">
        <f>(IF((VLOOKUP(Table10[[#This Row],[SKU]],'All Skus'!$A:$AC,2,FALSE))="Martin",(VLOOKUP(Table10[[#This Row],[SKU]],'All Skus'!$A:$AC,7,FALSE)),""))</f>
        <v>0</v>
      </c>
      <c r="G59" s="223" t="str">
        <f>(IF((VLOOKUP(Table10[[#This Row],[SKU]],'All Skus'!$A:$AC,2,FALSE))="Martin",(VLOOKUP(Table10[[#This Row],[SKU]],'All Skus'!$A:$AC,8,FALSE)),""))</f>
        <v>BreakIn Cable Power-DMX-Ethernet to PDE</v>
      </c>
      <c r="H59" s="223" t="str">
        <f>(IF((VLOOKUP(Table10[[#This Row],[SKU]],'All Skus'!$A:$AC,2,FALSE))="Martin",(VLOOKUP(Table10[[#This Row],[SKU]],'All Skus'!$A:$AC,9,FALSE)),""))</f>
        <v>BreakIn Cable Power-DMX-Ethernet to PDE</v>
      </c>
      <c r="I59" s="225">
        <f>(IF((VLOOKUP(Table10[[#This Row],[SKU]],'All Skus'!$A:$AC,2,FALSE))="Martin",(VLOOKUP(Table10[[#This Row],[SKU]],'All Skus'!$A:$AC,10,FALSE)),""))</f>
        <v>185.21</v>
      </c>
      <c r="J59" s="226">
        <f>(IF((VLOOKUP(Table10[[#This Row],[SKU]],'All Skus'!$A:$AC,2,FALSE))="Martin",(VLOOKUP(Table10[[#This Row],[SKU]],'All Skus'!$A:$AC,11,FALSE)),""))</f>
        <v>185.21</v>
      </c>
      <c r="K59" s="224">
        <f>(IF((VLOOKUP(Table10[[#This Row],[SKU]],'All Skus'!$A:$AC,2,FALSE))="Martin",(VLOOKUP(Table10[[#This Row],[SKU]],'All Skus'!$A:$AC,15,FALSE)),""))</f>
        <v>0</v>
      </c>
      <c r="L59" s="224">
        <f>(IF((VLOOKUP(Table10[[#This Row],[SKU]],'All Skus'!$A:$AC,2,FALSE))="Martin",(VLOOKUP(Table10[[#This Row],[SKU]],'All Skus'!$A:$AC,16,FALSE)),""))</f>
        <v>688705007151</v>
      </c>
      <c r="M59" s="224">
        <f>(IF((VLOOKUP(Table10[[#This Row],[SKU]],'All Skus'!$A:$AC,2,FALSE))="Martin",(VLOOKUP(Table10[[#This Row],[SKU]],'All Skus'!$A:$AC,17,FALSE)),""))</f>
        <v>0</v>
      </c>
      <c r="N59" s="227">
        <f>(IF((VLOOKUP(Table10[[#This Row],[SKU]],'All Skus'!$A:$AC,2,FALSE))="Martin",(VLOOKUP(Table10[[#This Row],[SKU]],'All Skus'!$A:$AC,18,FALSE)),""))</f>
        <v>0</v>
      </c>
      <c r="O59" s="227">
        <f>(IF((VLOOKUP(Table10[[#This Row],[SKU]],'All Skus'!$A:$AC,2,FALSE))="Martin",(VLOOKUP(Table10[[#This Row],[SKU]],'All Skus'!$A:$AC,19,FALSE)),""))</f>
        <v>0</v>
      </c>
      <c r="P59" s="227">
        <f>(IF((VLOOKUP(Table10[[#This Row],[SKU]],'All Skus'!$A:$AC,2,FALSE))="Martin",(VLOOKUP(Table10[[#This Row],[SKU]],'All Skus'!$A:$AC,20,FALSE)),""))</f>
        <v>0</v>
      </c>
      <c r="Q59" s="227">
        <f>(IF((VLOOKUP(Table10[[#This Row],[SKU]],'All Skus'!$A:$AC,2,FALSE))="Martin",(VLOOKUP(Table10[[#This Row],[SKU]],'All Skus'!$A:$AC,21,FALSE)),""))</f>
        <v>0</v>
      </c>
      <c r="R59" s="224" t="str">
        <f>(IF((VLOOKUP(Table10[[#This Row],[SKU]],'All Skus'!$A:$AC,2,FALSE))="Martin",(VLOOKUP(Table10[[#This Row],[SKU]],'All Skus'!$A:$AC,22,FALSE)),""))</f>
        <v>CN</v>
      </c>
      <c r="S59" s="223">
        <f>(IF((VLOOKUP(Table10[[#This Row],[SKU]],'All Skus'!$A:$AC,2,FALSE))="Martin",(VLOOKUP(Table10[[#This Row],[SKU]],'All Skus'!$A:$AC,23,FALSE)),""))</f>
        <v>0</v>
      </c>
      <c r="T59" s="212" t="str">
        <f>HYPERLINK((IF((VLOOKUP(Table10[[#This Row],[SKU]],'All Skus'!$A:$AC,2,FALSE))="Martin",(VLOOKUP(Table10[[#This Row],[SKU]],'All Skus'!$A:$AC,24,FALSE)),"")))</f>
        <v/>
      </c>
      <c r="U59" s="228">
        <v>57</v>
      </c>
    </row>
    <row r="60" spans="1:21" hidden="1">
      <c r="A60" s="114" t="s">
        <v>1970</v>
      </c>
      <c r="B60" s="224" t="str">
        <f>(IF((VLOOKUP(Table10[[#This Row],[SKU]],'All Skus'!$A:$AC,2,FALSE))="Martin",(VLOOKUP(Table10[[#This Row],[SKU]],'All Skus'!$A:$AC,3,FALSE)),""))</f>
        <v>Accessories</v>
      </c>
      <c r="C60" s="223" t="str">
        <f>(IF((VLOOKUP(Table10[[#This Row],[SKU]],'All Skus'!$A:$AC,2,FALSE))="Martin",(VLOOKUP(Table10[[#This Row],[SKU]],'All Skus'!$A:$AC,4,FALSE)),""))</f>
        <v>BreakOut Cable PDE to Power-DMX-Ethernet</v>
      </c>
      <c r="D60" s="224" t="str">
        <f>(IF((VLOOKUP(Table10[[#This Row],[SKU]],'All Skus'!$A:$AC,2,FALSE))="Martin",(VLOOKUP(Table10[[#This Row],[SKU]],'All Skus'!$A:$AC,5,FALSE)),""))</f>
        <v>MAR-ACC</v>
      </c>
      <c r="E60" s="223">
        <f>(IF((VLOOKUP(Table10[[#This Row],[SKU]],'All Skus'!$A:$AC,2,FALSE))="Martin",(VLOOKUP(Table10[[#This Row],[SKU]],'All Skus'!$A:$AC,6,FALSE)),""))</f>
        <v>0</v>
      </c>
      <c r="F60" s="155">
        <f>(IF((VLOOKUP(Table10[[#This Row],[SKU]],'All Skus'!$A:$AC,2,FALSE))="Martin",(VLOOKUP(Table10[[#This Row],[SKU]],'All Skus'!$A:$AC,7,FALSE)),""))</f>
        <v>0</v>
      </c>
      <c r="G60" s="223" t="str">
        <f>(IF((VLOOKUP(Table10[[#This Row],[SKU]],'All Skus'!$A:$AC,2,FALSE))="Martin",(VLOOKUP(Table10[[#This Row],[SKU]],'All Skus'!$A:$AC,8,FALSE)),""))</f>
        <v>BreakOut Cable PDE to Power-DMX-Ethernet</v>
      </c>
      <c r="H60" s="223" t="str">
        <f>(IF((VLOOKUP(Table10[[#This Row],[SKU]],'All Skus'!$A:$AC,2,FALSE))="Martin",(VLOOKUP(Table10[[#This Row],[SKU]],'All Skus'!$A:$AC,9,FALSE)),""))</f>
        <v>BreakOut Cable PDE to Power-DMX-Ethernet</v>
      </c>
      <c r="I60" s="225">
        <f>(IF((VLOOKUP(Table10[[#This Row],[SKU]],'All Skus'!$A:$AC,2,FALSE))="Martin",(VLOOKUP(Table10[[#This Row],[SKU]],'All Skus'!$A:$AC,10,FALSE)),""))</f>
        <v>185.21</v>
      </c>
      <c r="J60" s="226">
        <f>(IF((VLOOKUP(Table10[[#This Row],[SKU]],'All Skus'!$A:$AC,2,FALSE))="Martin",(VLOOKUP(Table10[[#This Row],[SKU]],'All Skus'!$A:$AC,11,FALSE)),""))</f>
        <v>185.21</v>
      </c>
      <c r="K60" s="224">
        <f>(IF((VLOOKUP(Table10[[#This Row],[SKU]],'All Skus'!$A:$AC,2,FALSE))="Martin",(VLOOKUP(Table10[[#This Row],[SKU]],'All Skus'!$A:$AC,15,FALSE)),""))</f>
        <v>0</v>
      </c>
      <c r="L60" s="224">
        <f>(IF((VLOOKUP(Table10[[#This Row],[SKU]],'All Skus'!$A:$AC,2,FALSE))="Martin",(VLOOKUP(Table10[[#This Row],[SKU]],'All Skus'!$A:$AC,16,FALSE)),""))</f>
        <v>688705007168</v>
      </c>
      <c r="M60" s="224">
        <f>(IF((VLOOKUP(Table10[[#This Row],[SKU]],'All Skus'!$A:$AC,2,FALSE))="Martin",(VLOOKUP(Table10[[#This Row],[SKU]],'All Skus'!$A:$AC,17,FALSE)),""))</f>
        <v>0</v>
      </c>
      <c r="N60" s="227">
        <f>(IF((VLOOKUP(Table10[[#This Row],[SKU]],'All Skus'!$A:$AC,2,FALSE))="Martin",(VLOOKUP(Table10[[#This Row],[SKU]],'All Skus'!$A:$AC,18,FALSE)),""))</f>
        <v>0</v>
      </c>
      <c r="O60" s="227">
        <f>(IF((VLOOKUP(Table10[[#This Row],[SKU]],'All Skus'!$A:$AC,2,FALSE))="Martin",(VLOOKUP(Table10[[#This Row],[SKU]],'All Skus'!$A:$AC,19,FALSE)),""))</f>
        <v>0</v>
      </c>
      <c r="P60" s="227">
        <f>(IF((VLOOKUP(Table10[[#This Row],[SKU]],'All Skus'!$A:$AC,2,FALSE))="Martin",(VLOOKUP(Table10[[#This Row],[SKU]],'All Skus'!$A:$AC,20,FALSE)),""))</f>
        <v>0</v>
      </c>
      <c r="Q60" s="227">
        <f>(IF((VLOOKUP(Table10[[#This Row],[SKU]],'All Skus'!$A:$AC,2,FALSE))="Martin",(VLOOKUP(Table10[[#This Row],[SKU]],'All Skus'!$A:$AC,21,FALSE)),""))</f>
        <v>0</v>
      </c>
      <c r="R60" s="224" t="str">
        <f>(IF((VLOOKUP(Table10[[#This Row],[SKU]],'All Skus'!$A:$AC,2,FALSE))="Martin",(VLOOKUP(Table10[[#This Row],[SKU]],'All Skus'!$A:$AC,22,FALSE)),""))</f>
        <v>CN</v>
      </c>
      <c r="S60" s="223">
        <f>(IF((VLOOKUP(Table10[[#This Row],[SKU]],'All Skus'!$A:$AC,2,FALSE))="Martin",(VLOOKUP(Table10[[#This Row],[SKU]],'All Skus'!$A:$AC,23,FALSE)),""))</f>
        <v>0</v>
      </c>
      <c r="T60" s="212" t="str">
        <f>HYPERLINK((IF((VLOOKUP(Table10[[#This Row],[SKU]],'All Skus'!$A:$AC,2,FALSE))="Martin",(VLOOKUP(Table10[[#This Row],[SKU]],'All Skus'!$A:$AC,24,FALSE)),"")))</f>
        <v/>
      </c>
      <c r="U60" s="228">
        <v>58</v>
      </c>
    </row>
    <row r="61" spans="1:21" hidden="1">
      <c r="A61" s="114" t="s">
        <v>1971</v>
      </c>
      <c r="B61" s="224" t="str">
        <f>(IF((VLOOKUP(Table10[[#This Row],[SKU]],'All Skus'!$A:$AC,2,FALSE))="Martin",(VLOOKUP(Table10[[#This Row],[SKU]],'All Skus'!$A:$AC,3,FALSE)),""))</f>
        <v>Accessories</v>
      </c>
      <c r="C61" s="223" t="str">
        <f>(IF((VLOOKUP(Table10[[#This Row],[SKU]],'All Skus'!$A:$AC,2,FALSE))="Martin",(VLOOKUP(Table10[[#This Row],[SKU]],'All Skus'!$A:$AC,4,FALSE)),""))</f>
        <v>BreakInOut Cable Power-DMX to PDE</v>
      </c>
      <c r="D61" s="224" t="str">
        <f>(IF((VLOOKUP(Table10[[#This Row],[SKU]],'All Skus'!$A:$AC,2,FALSE))="Martin",(VLOOKUP(Table10[[#This Row],[SKU]],'All Skus'!$A:$AC,5,FALSE)),""))</f>
        <v>MAR-ACC</v>
      </c>
      <c r="E61" s="223">
        <f>(IF((VLOOKUP(Table10[[#This Row],[SKU]],'All Skus'!$A:$AC,2,FALSE))="Martin",(VLOOKUP(Table10[[#This Row],[SKU]],'All Skus'!$A:$AC,6,FALSE)),""))</f>
        <v>0</v>
      </c>
      <c r="F61" s="155">
        <f>(IF((VLOOKUP(Table10[[#This Row],[SKU]],'All Skus'!$A:$AC,2,FALSE))="Martin",(VLOOKUP(Table10[[#This Row],[SKU]],'All Skus'!$A:$AC,7,FALSE)),""))</f>
        <v>0</v>
      </c>
      <c r="G61" s="223" t="str">
        <f>(IF((VLOOKUP(Table10[[#This Row],[SKU]],'All Skus'!$A:$AC,2,FALSE))="Martin",(VLOOKUP(Table10[[#This Row],[SKU]],'All Skus'!$A:$AC,8,FALSE)),""))</f>
        <v>BreakInOut Cable Power-DMX to PDE</v>
      </c>
      <c r="H61" s="223" t="str">
        <f>(IF((VLOOKUP(Table10[[#This Row],[SKU]],'All Skus'!$A:$AC,2,FALSE))="Martin",(VLOOKUP(Table10[[#This Row],[SKU]],'All Skus'!$A:$AC,9,FALSE)),""))</f>
        <v>BreakInOut Cable Power-DMX to PDE</v>
      </c>
      <c r="I61" s="225">
        <f>(IF((VLOOKUP(Table10[[#This Row],[SKU]],'All Skus'!$A:$AC,2,FALSE))="Martin",(VLOOKUP(Table10[[#This Row],[SKU]],'All Skus'!$A:$AC,10,FALSE)),""))</f>
        <v>123.6</v>
      </c>
      <c r="J61" s="226">
        <f>(IF((VLOOKUP(Table10[[#This Row],[SKU]],'All Skus'!$A:$AC,2,FALSE))="Martin",(VLOOKUP(Table10[[#This Row],[SKU]],'All Skus'!$A:$AC,11,FALSE)),""))</f>
        <v>123.6</v>
      </c>
      <c r="K61" s="224">
        <f>(IF((VLOOKUP(Table10[[#This Row],[SKU]],'All Skus'!$A:$AC,2,FALSE))="Martin",(VLOOKUP(Table10[[#This Row],[SKU]],'All Skus'!$A:$AC,15,FALSE)),""))</f>
        <v>0</v>
      </c>
      <c r="L61" s="224">
        <f>(IF((VLOOKUP(Table10[[#This Row],[SKU]],'All Skus'!$A:$AC,2,FALSE))="Martin",(VLOOKUP(Table10[[#This Row],[SKU]],'All Skus'!$A:$AC,16,FALSE)),""))</f>
        <v>688705008332</v>
      </c>
      <c r="M61" s="224">
        <f>(IF((VLOOKUP(Table10[[#This Row],[SKU]],'All Skus'!$A:$AC,2,FALSE))="Martin",(VLOOKUP(Table10[[#This Row],[SKU]],'All Skus'!$A:$AC,17,FALSE)),""))</f>
        <v>0</v>
      </c>
      <c r="N61" s="227">
        <f>(IF((VLOOKUP(Table10[[#This Row],[SKU]],'All Skus'!$A:$AC,2,FALSE))="Martin",(VLOOKUP(Table10[[#This Row],[SKU]],'All Skus'!$A:$AC,18,FALSE)),""))</f>
        <v>0</v>
      </c>
      <c r="O61" s="227">
        <f>(IF((VLOOKUP(Table10[[#This Row],[SKU]],'All Skus'!$A:$AC,2,FALSE))="Martin",(VLOOKUP(Table10[[#This Row],[SKU]],'All Skus'!$A:$AC,19,FALSE)),""))</f>
        <v>0</v>
      </c>
      <c r="P61" s="227">
        <f>(IF((VLOOKUP(Table10[[#This Row],[SKU]],'All Skus'!$A:$AC,2,FALSE))="Martin",(VLOOKUP(Table10[[#This Row],[SKU]],'All Skus'!$A:$AC,20,FALSE)),""))</f>
        <v>0</v>
      </c>
      <c r="Q61" s="227">
        <f>(IF((VLOOKUP(Table10[[#This Row],[SKU]],'All Skus'!$A:$AC,2,FALSE))="Martin",(VLOOKUP(Table10[[#This Row],[SKU]],'All Skus'!$A:$AC,21,FALSE)),""))</f>
        <v>0</v>
      </c>
      <c r="R61" s="224" t="str">
        <f>(IF((VLOOKUP(Table10[[#This Row],[SKU]],'All Skus'!$A:$AC,2,FALSE))="Martin",(VLOOKUP(Table10[[#This Row],[SKU]],'All Skus'!$A:$AC,22,FALSE)),""))</f>
        <v>CN</v>
      </c>
      <c r="S61" s="223">
        <f>(IF((VLOOKUP(Table10[[#This Row],[SKU]],'All Skus'!$A:$AC,2,FALSE))="Martin",(VLOOKUP(Table10[[#This Row],[SKU]],'All Skus'!$A:$AC,23,FALSE)),""))</f>
        <v>0</v>
      </c>
      <c r="T61" s="212" t="str">
        <f>HYPERLINK((IF((VLOOKUP(Table10[[#This Row],[SKU]],'All Skus'!$A:$AC,2,FALSE))="Martin",(VLOOKUP(Table10[[#This Row],[SKU]],'All Skus'!$A:$AC,24,FALSE)),"")))</f>
        <v/>
      </c>
      <c r="U61" s="228">
        <v>59</v>
      </c>
    </row>
    <row r="62" spans="1:21" hidden="1">
      <c r="A62" s="114">
        <v>91616001</v>
      </c>
      <c r="B62" s="224" t="str">
        <f>(IF((VLOOKUP(Table10[[#This Row],[SKU]],'All Skus'!$A:$AC,2,FALSE))="Martin",(VLOOKUP(Table10[[#This Row],[SKU]],'All Skus'!$A:$AC,3,FALSE)),""))</f>
        <v>Accessories</v>
      </c>
      <c r="C62" s="223" t="str">
        <f>(IF((VLOOKUP(Table10[[#This Row],[SKU]],'All Skus'!$A:$AC,2,FALSE))="Martin",(VLOOKUP(Table10[[#This Row],[SKU]],'All Skus'!$A:$AC,4,FALSE)),""))</f>
        <v>Power+Data Cable Rental PDE-PDE 1m</v>
      </c>
      <c r="D62" s="224" t="str">
        <f>(IF((VLOOKUP(Table10[[#This Row],[SKU]],'All Skus'!$A:$AC,2,FALSE))="Martin",(VLOOKUP(Table10[[#This Row],[SKU]],'All Skus'!$A:$AC,5,FALSE)),""))</f>
        <v>MAR-ACC</v>
      </c>
      <c r="E62" s="223">
        <f>(IF((VLOOKUP(Table10[[#This Row],[SKU]],'All Skus'!$A:$AC,2,FALSE))="Martin",(VLOOKUP(Table10[[#This Row],[SKU]],'All Skus'!$A:$AC,6,FALSE)),""))</f>
        <v>0</v>
      </c>
      <c r="F62" s="155">
        <f>(IF((VLOOKUP(Table10[[#This Row],[SKU]],'All Skus'!$A:$AC,2,FALSE))="Martin",(VLOOKUP(Table10[[#This Row],[SKU]],'All Skus'!$A:$AC,7,FALSE)),""))</f>
        <v>0</v>
      </c>
      <c r="G62" s="223" t="str">
        <f>(IF((VLOOKUP(Table10[[#This Row],[SKU]],'All Skus'!$A:$AC,2,FALSE))="Martin",(VLOOKUP(Table10[[#This Row],[SKU]],'All Skus'!$A:$AC,8,FALSE)),""))</f>
        <v>Power+Data Cable Rental PDE-PDE 1m</v>
      </c>
      <c r="H62" s="223" t="str">
        <f>(IF((VLOOKUP(Table10[[#This Row],[SKU]],'All Skus'!$A:$AC,2,FALSE))="Martin",(VLOOKUP(Table10[[#This Row],[SKU]],'All Skus'!$A:$AC,9,FALSE)),""))</f>
        <v>Power+Data Cable Rental PDE-PDE 1m</v>
      </c>
      <c r="I62" s="225">
        <f>(IF((VLOOKUP(Table10[[#This Row],[SKU]],'All Skus'!$A:$AC,2,FALSE))="Martin",(VLOOKUP(Table10[[#This Row],[SKU]],'All Skus'!$A:$AC,10,FALSE)),""))</f>
        <v>39.51</v>
      </c>
      <c r="J62" s="226">
        <f>(IF((VLOOKUP(Table10[[#This Row],[SKU]],'All Skus'!$A:$AC,2,FALSE))="Martin",(VLOOKUP(Table10[[#This Row],[SKU]],'All Skus'!$A:$AC,11,FALSE)),""))</f>
        <v>39.51</v>
      </c>
      <c r="K62" s="224">
        <f>(IF((VLOOKUP(Table10[[#This Row],[SKU]],'All Skus'!$A:$AC,2,FALSE))="Martin",(VLOOKUP(Table10[[#This Row],[SKU]],'All Skus'!$A:$AC,15,FALSE)),""))</f>
        <v>0</v>
      </c>
      <c r="L62" s="224">
        <f>(IF((VLOOKUP(Table10[[#This Row],[SKU]],'All Skus'!$A:$AC,2,FALSE))="Martin",(VLOOKUP(Table10[[#This Row],[SKU]],'All Skus'!$A:$AC,16,FALSE)),""))</f>
        <v>0</v>
      </c>
      <c r="M62" s="224">
        <f>(IF((VLOOKUP(Table10[[#This Row],[SKU]],'All Skus'!$A:$AC,2,FALSE))="Martin",(VLOOKUP(Table10[[#This Row],[SKU]],'All Skus'!$A:$AC,17,FALSE)),""))</f>
        <v>0</v>
      </c>
      <c r="N62" s="227">
        <f>(IF((VLOOKUP(Table10[[#This Row],[SKU]],'All Skus'!$A:$AC,2,FALSE))="Martin",(VLOOKUP(Table10[[#This Row],[SKU]],'All Skus'!$A:$AC,18,FALSE)),""))</f>
        <v>0</v>
      </c>
      <c r="O62" s="227">
        <f>(IF((VLOOKUP(Table10[[#This Row],[SKU]],'All Skus'!$A:$AC,2,FALSE))="Martin",(VLOOKUP(Table10[[#This Row],[SKU]],'All Skus'!$A:$AC,19,FALSE)),""))</f>
        <v>0</v>
      </c>
      <c r="P62" s="227">
        <f>(IF((VLOOKUP(Table10[[#This Row],[SKU]],'All Skus'!$A:$AC,2,FALSE))="Martin",(VLOOKUP(Table10[[#This Row],[SKU]],'All Skus'!$A:$AC,20,FALSE)),""))</f>
        <v>0</v>
      </c>
      <c r="Q62" s="227">
        <f>(IF((VLOOKUP(Table10[[#This Row],[SKU]],'All Skus'!$A:$AC,2,FALSE))="Martin",(VLOOKUP(Table10[[#This Row],[SKU]],'All Skus'!$A:$AC,21,FALSE)),""))</f>
        <v>0</v>
      </c>
      <c r="R62" s="224" t="str">
        <f>(IF((VLOOKUP(Table10[[#This Row],[SKU]],'All Skus'!$A:$AC,2,FALSE))="Martin",(VLOOKUP(Table10[[#This Row],[SKU]],'All Skus'!$A:$AC,22,FALSE)),""))</f>
        <v>CN</v>
      </c>
      <c r="S62" s="223">
        <f>(IF((VLOOKUP(Table10[[#This Row],[SKU]],'All Skus'!$A:$AC,2,FALSE))="Martin",(VLOOKUP(Table10[[#This Row],[SKU]],'All Skus'!$A:$AC,23,FALSE)),""))</f>
        <v>0</v>
      </c>
      <c r="T62" s="212" t="str">
        <f>HYPERLINK((IF((VLOOKUP(Table10[[#This Row],[SKU]],'All Skus'!$A:$AC,2,FALSE))="Martin",(VLOOKUP(Table10[[#This Row],[SKU]],'All Skus'!$A:$AC,24,FALSE)),"")))</f>
        <v/>
      </c>
      <c r="U62" s="228">
        <v>60</v>
      </c>
    </row>
    <row r="63" spans="1:21" hidden="1">
      <c r="A63" s="114">
        <v>91616002</v>
      </c>
      <c r="B63" s="224" t="str">
        <f>(IF((VLOOKUP(Table10[[#This Row],[SKU]],'All Skus'!$A:$AC,2,FALSE))="Martin",(VLOOKUP(Table10[[#This Row],[SKU]],'All Skus'!$A:$AC,3,FALSE)),""))</f>
        <v>Accessories</v>
      </c>
      <c r="C63" s="223" t="str">
        <f>(IF((VLOOKUP(Table10[[#This Row],[SKU]],'All Skus'!$A:$AC,2,FALSE))="Martin",(VLOOKUP(Table10[[#This Row],[SKU]],'All Skus'!$A:$AC,4,FALSE)),""))</f>
        <v>Power+Data Cable Rental PDE-PDE 2,5m</v>
      </c>
      <c r="D63" s="224" t="str">
        <f>(IF((VLOOKUP(Table10[[#This Row],[SKU]],'All Skus'!$A:$AC,2,FALSE))="Martin",(VLOOKUP(Table10[[#This Row],[SKU]],'All Skus'!$A:$AC,5,FALSE)),""))</f>
        <v>MAR-ACC</v>
      </c>
      <c r="E63" s="223">
        <f>(IF((VLOOKUP(Table10[[#This Row],[SKU]],'All Skus'!$A:$AC,2,FALSE))="Martin",(VLOOKUP(Table10[[#This Row],[SKU]],'All Skus'!$A:$AC,6,FALSE)),""))</f>
        <v>0</v>
      </c>
      <c r="F63" s="155">
        <f>(IF((VLOOKUP(Table10[[#This Row],[SKU]],'All Skus'!$A:$AC,2,FALSE))="Martin",(VLOOKUP(Table10[[#This Row],[SKU]],'All Skus'!$A:$AC,7,FALSE)),""))</f>
        <v>0</v>
      </c>
      <c r="G63" s="223" t="str">
        <f>(IF((VLOOKUP(Table10[[#This Row],[SKU]],'All Skus'!$A:$AC,2,FALSE))="Martin",(VLOOKUP(Table10[[#This Row],[SKU]],'All Skus'!$A:$AC,8,FALSE)),""))</f>
        <v>Power+Data Cable Rental PDE-PDE 2,5m</v>
      </c>
      <c r="H63" s="223" t="str">
        <f>(IF((VLOOKUP(Table10[[#This Row],[SKU]],'All Skus'!$A:$AC,2,FALSE))="Martin",(VLOOKUP(Table10[[#This Row],[SKU]],'All Skus'!$A:$AC,9,FALSE)),""))</f>
        <v>Power+Data Cable Rental PDE-PDE 2,5m</v>
      </c>
      <c r="I63" s="225">
        <f>(IF((VLOOKUP(Table10[[#This Row],[SKU]],'All Skus'!$A:$AC,2,FALSE))="Martin",(VLOOKUP(Table10[[#This Row],[SKU]],'All Skus'!$A:$AC,10,FALSE)),""))</f>
        <v>54.33</v>
      </c>
      <c r="J63" s="226">
        <f>(IF((VLOOKUP(Table10[[#This Row],[SKU]],'All Skus'!$A:$AC,2,FALSE))="Martin",(VLOOKUP(Table10[[#This Row],[SKU]],'All Skus'!$A:$AC,11,FALSE)),""))</f>
        <v>54.33</v>
      </c>
      <c r="K63" s="224">
        <f>(IF((VLOOKUP(Table10[[#This Row],[SKU]],'All Skus'!$A:$AC,2,FALSE))="Martin",(VLOOKUP(Table10[[#This Row],[SKU]],'All Skus'!$A:$AC,15,FALSE)),""))</f>
        <v>0</v>
      </c>
      <c r="L63" s="224">
        <f>(IF((VLOOKUP(Table10[[#This Row],[SKU]],'All Skus'!$A:$AC,2,FALSE))="Martin",(VLOOKUP(Table10[[#This Row],[SKU]],'All Skus'!$A:$AC,16,FALSE)),""))</f>
        <v>0</v>
      </c>
      <c r="M63" s="224">
        <f>(IF((VLOOKUP(Table10[[#This Row],[SKU]],'All Skus'!$A:$AC,2,FALSE))="Martin",(VLOOKUP(Table10[[#This Row],[SKU]],'All Skus'!$A:$AC,17,FALSE)),""))</f>
        <v>0</v>
      </c>
      <c r="N63" s="227">
        <f>(IF((VLOOKUP(Table10[[#This Row],[SKU]],'All Skus'!$A:$AC,2,FALSE))="Martin",(VLOOKUP(Table10[[#This Row],[SKU]],'All Skus'!$A:$AC,18,FALSE)),""))</f>
        <v>0</v>
      </c>
      <c r="O63" s="227">
        <f>(IF((VLOOKUP(Table10[[#This Row],[SKU]],'All Skus'!$A:$AC,2,FALSE))="Martin",(VLOOKUP(Table10[[#This Row],[SKU]],'All Skus'!$A:$AC,19,FALSE)),""))</f>
        <v>0</v>
      </c>
      <c r="P63" s="227">
        <f>(IF((VLOOKUP(Table10[[#This Row],[SKU]],'All Skus'!$A:$AC,2,FALSE))="Martin",(VLOOKUP(Table10[[#This Row],[SKU]],'All Skus'!$A:$AC,20,FALSE)),""))</f>
        <v>0</v>
      </c>
      <c r="Q63" s="227">
        <f>(IF((VLOOKUP(Table10[[#This Row],[SKU]],'All Skus'!$A:$AC,2,FALSE))="Martin",(VLOOKUP(Table10[[#This Row],[SKU]],'All Skus'!$A:$AC,21,FALSE)),""))</f>
        <v>0</v>
      </c>
      <c r="R63" s="224" t="str">
        <f>(IF((VLOOKUP(Table10[[#This Row],[SKU]],'All Skus'!$A:$AC,2,FALSE))="Martin",(VLOOKUP(Table10[[#This Row],[SKU]],'All Skus'!$A:$AC,22,FALSE)),""))</f>
        <v>CN</v>
      </c>
      <c r="S63" s="223">
        <f>(IF((VLOOKUP(Table10[[#This Row],[SKU]],'All Skus'!$A:$AC,2,FALSE))="Martin",(VLOOKUP(Table10[[#This Row],[SKU]],'All Skus'!$A:$AC,23,FALSE)),""))</f>
        <v>0</v>
      </c>
      <c r="T63" s="212" t="str">
        <f>HYPERLINK((IF((VLOOKUP(Table10[[#This Row],[SKU]],'All Skus'!$A:$AC,2,FALSE))="Martin",(VLOOKUP(Table10[[#This Row],[SKU]],'All Skus'!$A:$AC,24,FALSE)),"")))</f>
        <v/>
      </c>
      <c r="U63" s="228">
        <v>61</v>
      </c>
    </row>
    <row r="64" spans="1:21" hidden="1">
      <c r="A64" s="114">
        <v>91616003</v>
      </c>
      <c r="B64" s="224" t="str">
        <f>(IF((VLOOKUP(Table10[[#This Row],[SKU]],'All Skus'!$A:$AC,2,FALSE))="Martin",(VLOOKUP(Table10[[#This Row],[SKU]],'All Skus'!$A:$AC,3,FALSE)),""))</f>
        <v>Accessories</v>
      </c>
      <c r="C64" s="223" t="str">
        <f>(IF((VLOOKUP(Table10[[#This Row],[SKU]],'All Skus'!$A:$AC,2,FALSE))="Martin",(VLOOKUP(Table10[[#This Row],[SKU]],'All Skus'!$A:$AC,4,FALSE)),""))</f>
        <v>Power+Data Cable Rental PDE-PDE 5m</v>
      </c>
      <c r="D64" s="224" t="str">
        <f>(IF((VLOOKUP(Table10[[#This Row],[SKU]],'All Skus'!$A:$AC,2,FALSE))="Martin",(VLOOKUP(Table10[[#This Row],[SKU]],'All Skus'!$A:$AC,5,FALSE)),""))</f>
        <v>MAR-ACC</v>
      </c>
      <c r="E64" s="223">
        <f>(IF((VLOOKUP(Table10[[#This Row],[SKU]],'All Skus'!$A:$AC,2,FALSE))="Martin",(VLOOKUP(Table10[[#This Row],[SKU]],'All Skus'!$A:$AC,6,FALSE)),""))</f>
        <v>0</v>
      </c>
      <c r="F64" s="155">
        <f>(IF((VLOOKUP(Table10[[#This Row],[SKU]],'All Skus'!$A:$AC,2,FALSE))="Martin",(VLOOKUP(Table10[[#This Row],[SKU]],'All Skus'!$A:$AC,7,FALSE)),""))</f>
        <v>0</v>
      </c>
      <c r="G64" s="223" t="str">
        <f>(IF((VLOOKUP(Table10[[#This Row],[SKU]],'All Skus'!$A:$AC,2,FALSE))="Martin",(VLOOKUP(Table10[[#This Row],[SKU]],'All Skus'!$A:$AC,8,FALSE)),""))</f>
        <v>Power+Data Cable Rental PDE-PDE 5m</v>
      </c>
      <c r="H64" s="223" t="str">
        <f>(IF((VLOOKUP(Table10[[#This Row],[SKU]],'All Skus'!$A:$AC,2,FALSE))="Martin",(VLOOKUP(Table10[[#This Row],[SKU]],'All Skus'!$A:$AC,9,FALSE)),""))</f>
        <v>Power+Data Cable Rental PDE-PDE 5m</v>
      </c>
      <c r="I64" s="225">
        <f>(IF((VLOOKUP(Table10[[#This Row],[SKU]],'All Skus'!$A:$AC,2,FALSE))="Martin",(VLOOKUP(Table10[[#This Row],[SKU]],'All Skus'!$A:$AC,10,FALSE)),""))</f>
        <v>77.790000000000006</v>
      </c>
      <c r="J64" s="226">
        <f>(IF((VLOOKUP(Table10[[#This Row],[SKU]],'All Skus'!$A:$AC,2,FALSE))="Martin",(VLOOKUP(Table10[[#This Row],[SKU]],'All Skus'!$A:$AC,11,FALSE)),""))</f>
        <v>77.790000000000006</v>
      </c>
      <c r="K64" s="224">
        <f>(IF((VLOOKUP(Table10[[#This Row],[SKU]],'All Skus'!$A:$AC,2,FALSE))="Martin",(VLOOKUP(Table10[[#This Row],[SKU]],'All Skus'!$A:$AC,15,FALSE)),""))</f>
        <v>0</v>
      </c>
      <c r="L64" s="224">
        <f>(IF((VLOOKUP(Table10[[#This Row],[SKU]],'All Skus'!$A:$AC,2,FALSE))="Martin",(VLOOKUP(Table10[[#This Row],[SKU]],'All Skus'!$A:$AC,16,FALSE)),""))</f>
        <v>0</v>
      </c>
      <c r="M64" s="224">
        <f>(IF((VLOOKUP(Table10[[#This Row],[SKU]],'All Skus'!$A:$AC,2,FALSE))="Martin",(VLOOKUP(Table10[[#This Row],[SKU]],'All Skus'!$A:$AC,17,FALSE)),""))</f>
        <v>0</v>
      </c>
      <c r="N64" s="227">
        <f>(IF((VLOOKUP(Table10[[#This Row],[SKU]],'All Skus'!$A:$AC,2,FALSE))="Martin",(VLOOKUP(Table10[[#This Row],[SKU]],'All Skus'!$A:$AC,18,FALSE)),""))</f>
        <v>0</v>
      </c>
      <c r="O64" s="227">
        <f>(IF((VLOOKUP(Table10[[#This Row],[SKU]],'All Skus'!$A:$AC,2,FALSE))="Martin",(VLOOKUP(Table10[[#This Row],[SKU]],'All Skus'!$A:$AC,19,FALSE)),""))</f>
        <v>0</v>
      </c>
      <c r="P64" s="227">
        <f>(IF((VLOOKUP(Table10[[#This Row],[SKU]],'All Skus'!$A:$AC,2,FALSE))="Martin",(VLOOKUP(Table10[[#This Row],[SKU]],'All Skus'!$A:$AC,20,FALSE)),""))</f>
        <v>0</v>
      </c>
      <c r="Q64" s="227">
        <f>(IF((VLOOKUP(Table10[[#This Row],[SKU]],'All Skus'!$A:$AC,2,FALSE))="Martin",(VLOOKUP(Table10[[#This Row],[SKU]],'All Skus'!$A:$AC,21,FALSE)),""))</f>
        <v>0</v>
      </c>
      <c r="R64" s="224" t="str">
        <f>(IF((VLOOKUP(Table10[[#This Row],[SKU]],'All Skus'!$A:$AC,2,FALSE))="Martin",(VLOOKUP(Table10[[#This Row],[SKU]],'All Skus'!$A:$AC,22,FALSE)),""))</f>
        <v>CN</v>
      </c>
      <c r="S64" s="223">
        <f>(IF((VLOOKUP(Table10[[#This Row],[SKU]],'All Skus'!$A:$AC,2,FALSE))="Martin",(VLOOKUP(Table10[[#This Row],[SKU]],'All Skus'!$A:$AC,23,FALSE)),""))</f>
        <v>0</v>
      </c>
      <c r="T64" s="212" t="str">
        <f>HYPERLINK((IF((VLOOKUP(Table10[[#This Row],[SKU]],'All Skus'!$A:$AC,2,FALSE))="Martin",(VLOOKUP(Table10[[#This Row],[SKU]],'All Skus'!$A:$AC,24,FALSE)),"")))</f>
        <v/>
      </c>
      <c r="U64" s="228">
        <v>62</v>
      </c>
    </row>
    <row r="65" spans="1:21" hidden="1">
      <c r="A65" s="114">
        <v>91616004</v>
      </c>
      <c r="B65" s="224" t="str">
        <f>(IF((VLOOKUP(Table10[[#This Row],[SKU]],'All Skus'!$A:$AC,2,FALSE))="Martin",(VLOOKUP(Table10[[#This Row],[SKU]],'All Skus'!$A:$AC,3,FALSE)),""))</f>
        <v>Accessories</v>
      </c>
      <c r="C65" s="223" t="str">
        <f>(IF((VLOOKUP(Table10[[#This Row],[SKU]],'All Skus'!$A:$AC,2,FALSE))="Martin",(VLOOKUP(Table10[[#This Row],[SKU]],'All Skus'!$A:$AC,4,FALSE)),""))</f>
        <v>Power+Data Cable Rental PDE-PDE 10m</v>
      </c>
      <c r="D65" s="224" t="str">
        <f>(IF((VLOOKUP(Table10[[#This Row],[SKU]],'All Skus'!$A:$AC,2,FALSE))="Martin",(VLOOKUP(Table10[[#This Row],[SKU]],'All Skus'!$A:$AC,5,FALSE)),""))</f>
        <v>MAR-ACC</v>
      </c>
      <c r="E65" s="223">
        <f>(IF((VLOOKUP(Table10[[#This Row],[SKU]],'All Skus'!$A:$AC,2,FALSE))="Martin",(VLOOKUP(Table10[[#This Row],[SKU]],'All Skus'!$A:$AC,6,FALSE)),""))</f>
        <v>0</v>
      </c>
      <c r="F65" s="155">
        <f>(IF((VLOOKUP(Table10[[#This Row],[SKU]],'All Skus'!$A:$AC,2,FALSE))="Martin",(VLOOKUP(Table10[[#This Row],[SKU]],'All Skus'!$A:$AC,7,FALSE)),""))</f>
        <v>0</v>
      </c>
      <c r="G65" s="223" t="str">
        <f>(IF((VLOOKUP(Table10[[#This Row],[SKU]],'All Skus'!$A:$AC,2,FALSE))="Martin",(VLOOKUP(Table10[[#This Row],[SKU]],'All Skus'!$A:$AC,8,FALSE)),""))</f>
        <v>Power+Data Cable Rental PDE-PDE 10m</v>
      </c>
      <c r="H65" s="223" t="str">
        <f>(IF((VLOOKUP(Table10[[#This Row],[SKU]],'All Skus'!$A:$AC,2,FALSE))="Martin",(VLOOKUP(Table10[[#This Row],[SKU]],'All Skus'!$A:$AC,9,FALSE)),""))</f>
        <v>Power+Data Cable Rental PDE-PDE 10m</v>
      </c>
      <c r="I65" s="225">
        <f>(IF((VLOOKUP(Table10[[#This Row],[SKU]],'All Skus'!$A:$AC,2,FALSE))="Martin",(VLOOKUP(Table10[[#This Row],[SKU]],'All Skus'!$A:$AC,10,FALSE)),""))</f>
        <v>124.71</v>
      </c>
      <c r="J65" s="226">
        <f>(IF((VLOOKUP(Table10[[#This Row],[SKU]],'All Skus'!$A:$AC,2,FALSE))="Martin",(VLOOKUP(Table10[[#This Row],[SKU]],'All Skus'!$A:$AC,11,FALSE)),""))</f>
        <v>124.71</v>
      </c>
      <c r="K65" s="224">
        <f>(IF((VLOOKUP(Table10[[#This Row],[SKU]],'All Skus'!$A:$AC,2,FALSE))="Martin",(VLOOKUP(Table10[[#This Row],[SKU]],'All Skus'!$A:$AC,15,FALSE)),""))</f>
        <v>0</v>
      </c>
      <c r="L65" s="224">
        <f>(IF((VLOOKUP(Table10[[#This Row],[SKU]],'All Skus'!$A:$AC,2,FALSE))="Martin",(VLOOKUP(Table10[[#This Row],[SKU]],'All Skus'!$A:$AC,16,FALSE)),""))</f>
        <v>0</v>
      </c>
      <c r="M65" s="224">
        <f>(IF((VLOOKUP(Table10[[#This Row],[SKU]],'All Skus'!$A:$AC,2,FALSE))="Martin",(VLOOKUP(Table10[[#This Row],[SKU]],'All Skus'!$A:$AC,17,FALSE)),""))</f>
        <v>0</v>
      </c>
      <c r="N65" s="227">
        <f>(IF((VLOOKUP(Table10[[#This Row],[SKU]],'All Skus'!$A:$AC,2,FALSE))="Martin",(VLOOKUP(Table10[[#This Row],[SKU]],'All Skus'!$A:$AC,18,FALSE)),""))</f>
        <v>0</v>
      </c>
      <c r="O65" s="227">
        <f>(IF((VLOOKUP(Table10[[#This Row],[SKU]],'All Skus'!$A:$AC,2,FALSE))="Martin",(VLOOKUP(Table10[[#This Row],[SKU]],'All Skus'!$A:$AC,19,FALSE)),""))</f>
        <v>0</v>
      </c>
      <c r="P65" s="227">
        <f>(IF((VLOOKUP(Table10[[#This Row],[SKU]],'All Skus'!$A:$AC,2,FALSE))="Martin",(VLOOKUP(Table10[[#This Row],[SKU]],'All Skus'!$A:$AC,20,FALSE)),""))</f>
        <v>0</v>
      </c>
      <c r="Q65" s="227">
        <f>(IF((VLOOKUP(Table10[[#This Row],[SKU]],'All Skus'!$A:$AC,2,FALSE))="Martin",(VLOOKUP(Table10[[#This Row],[SKU]],'All Skus'!$A:$AC,21,FALSE)),""))</f>
        <v>0</v>
      </c>
      <c r="R65" s="224" t="str">
        <f>(IF((VLOOKUP(Table10[[#This Row],[SKU]],'All Skus'!$A:$AC,2,FALSE))="Martin",(VLOOKUP(Table10[[#This Row],[SKU]],'All Skus'!$A:$AC,22,FALSE)),""))</f>
        <v>CN</v>
      </c>
      <c r="S65" s="223">
        <f>(IF((VLOOKUP(Table10[[#This Row],[SKU]],'All Skus'!$A:$AC,2,FALSE))="Martin",(VLOOKUP(Table10[[#This Row],[SKU]],'All Skus'!$A:$AC,23,FALSE)),""))</f>
        <v>0</v>
      </c>
      <c r="T65" s="212" t="str">
        <f>HYPERLINK((IF((VLOOKUP(Table10[[#This Row],[SKU]],'All Skus'!$A:$AC,2,FALSE))="Martin",(VLOOKUP(Table10[[#This Row],[SKU]],'All Skus'!$A:$AC,24,FALSE)),"")))</f>
        <v/>
      </c>
      <c r="U65" s="228">
        <v>63</v>
      </c>
    </row>
    <row r="66" spans="1:21" hidden="1">
      <c r="A66" s="114">
        <v>91616005</v>
      </c>
      <c r="B66" s="224" t="str">
        <f>(IF((VLOOKUP(Table10[[#This Row],[SKU]],'All Skus'!$A:$AC,2,FALSE))="Martin",(VLOOKUP(Table10[[#This Row],[SKU]],'All Skus'!$A:$AC,3,FALSE)),""))</f>
        <v>Accessories</v>
      </c>
      <c r="C66" s="223" t="str">
        <f>(IF((VLOOKUP(Table10[[#This Row],[SKU]],'All Skus'!$A:$AC,2,FALSE))="Martin",(VLOOKUP(Table10[[#This Row],[SKU]],'All Skus'!$A:$AC,4,FALSE)),""))</f>
        <v>Power+Data Cable Rental PDE-PDE 25m</v>
      </c>
      <c r="D66" s="224" t="str">
        <f>(IF((VLOOKUP(Table10[[#This Row],[SKU]],'All Skus'!$A:$AC,2,FALSE))="Martin",(VLOOKUP(Table10[[#This Row],[SKU]],'All Skus'!$A:$AC,5,FALSE)),""))</f>
        <v>MAR-ACC</v>
      </c>
      <c r="E66" s="223">
        <f>(IF((VLOOKUP(Table10[[#This Row],[SKU]],'All Skus'!$A:$AC,2,FALSE))="Martin",(VLOOKUP(Table10[[#This Row],[SKU]],'All Skus'!$A:$AC,6,FALSE)),""))</f>
        <v>0</v>
      </c>
      <c r="F66" s="155">
        <f>(IF((VLOOKUP(Table10[[#This Row],[SKU]],'All Skus'!$A:$AC,2,FALSE))="Martin",(VLOOKUP(Table10[[#This Row],[SKU]],'All Skus'!$A:$AC,7,FALSE)),""))</f>
        <v>0</v>
      </c>
      <c r="G66" s="223" t="str">
        <f>(IF((VLOOKUP(Table10[[#This Row],[SKU]],'All Skus'!$A:$AC,2,FALSE))="Martin",(VLOOKUP(Table10[[#This Row],[SKU]],'All Skus'!$A:$AC,8,FALSE)),""))</f>
        <v>Power+Data Cable Rental PDE-PDE 25m</v>
      </c>
      <c r="H66" s="223" t="str">
        <f>(IF((VLOOKUP(Table10[[#This Row],[SKU]],'All Skus'!$A:$AC,2,FALSE))="Martin",(VLOOKUP(Table10[[#This Row],[SKU]],'All Skus'!$A:$AC,9,FALSE)),""))</f>
        <v>Power+Data Cable Rental PDE-PDE 25m</v>
      </c>
      <c r="I66" s="225">
        <f>(IF((VLOOKUP(Table10[[#This Row],[SKU]],'All Skus'!$A:$AC,2,FALSE))="Martin",(VLOOKUP(Table10[[#This Row],[SKU]],'All Skus'!$A:$AC,10,FALSE)),""))</f>
        <v>265.47000000000003</v>
      </c>
      <c r="J66" s="226">
        <f>(IF((VLOOKUP(Table10[[#This Row],[SKU]],'All Skus'!$A:$AC,2,FALSE))="Martin",(VLOOKUP(Table10[[#This Row],[SKU]],'All Skus'!$A:$AC,11,FALSE)),""))</f>
        <v>265.47000000000003</v>
      </c>
      <c r="K66" s="224">
        <f>(IF((VLOOKUP(Table10[[#This Row],[SKU]],'All Skus'!$A:$AC,2,FALSE))="Martin",(VLOOKUP(Table10[[#This Row],[SKU]],'All Skus'!$A:$AC,15,FALSE)),""))</f>
        <v>0</v>
      </c>
      <c r="L66" s="224">
        <f>(IF((VLOOKUP(Table10[[#This Row],[SKU]],'All Skus'!$A:$AC,2,FALSE))="Martin",(VLOOKUP(Table10[[#This Row],[SKU]],'All Skus'!$A:$AC,16,FALSE)),""))</f>
        <v>0</v>
      </c>
      <c r="M66" s="224">
        <f>(IF((VLOOKUP(Table10[[#This Row],[SKU]],'All Skus'!$A:$AC,2,FALSE))="Martin",(VLOOKUP(Table10[[#This Row],[SKU]],'All Skus'!$A:$AC,17,FALSE)),""))</f>
        <v>0</v>
      </c>
      <c r="N66" s="227">
        <f>(IF((VLOOKUP(Table10[[#This Row],[SKU]],'All Skus'!$A:$AC,2,FALSE))="Martin",(VLOOKUP(Table10[[#This Row],[SKU]],'All Skus'!$A:$AC,18,FALSE)),""))</f>
        <v>0</v>
      </c>
      <c r="O66" s="227">
        <f>(IF((VLOOKUP(Table10[[#This Row],[SKU]],'All Skus'!$A:$AC,2,FALSE))="Martin",(VLOOKUP(Table10[[#This Row],[SKU]],'All Skus'!$A:$AC,19,FALSE)),""))</f>
        <v>0</v>
      </c>
      <c r="P66" s="227">
        <f>(IF((VLOOKUP(Table10[[#This Row],[SKU]],'All Skus'!$A:$AC,2,FALSE))="Martin",(VLOOKUP(Table10[[#This Row],[SKU]],'All Skus'!$A:$AC,20,FALSE)),""))</f>
        <v>0</v>
      </c>
      <c r="Q66" s="227">
        <f>(IF((VLOOKUP(Table10[[#This Row],[SKU]],'All Skus'!$A:$AC,2,FALSE))="Martin",(VLOOKUP(Table10[[#This Row],[SKU]],'All Skus'!$A:$AC,21,FALSE)),""))</f>
        <v>0</v>
      </c>
      <c r="R66" s="224" t="str">
        <f>(IF((VLOOKUP(Table10[[#This Row],[SKU]],'All Skus'!$A:$AC,2,FALSE))="Martin",(VLOOKUP(Table10[[#This Row],[SKU]],'All Skus'!$A:$AC,22,FALSE)),""))</f>
        <v>CN</v>
      </c>
      <c r="S66" s="223">
        <f>(IF((VLOOKUP(Table10[[#This Row],[SKU]],'All Skus'!$A:$AC,2,FALSE))="Martin",(VLOOKUP(Table10[[#This Row],[SKU]],'All Skus'!$A:$AC,23,FALSE)),""))</f>
        <v>0</v>
      </c>
      <c r="T66" s="212" t="str">
        <f>HYPERLINK((IF((VLOOKUP(Table10[[#This Row],[SKU]],'All Skus'!$A:$AC,2,FALSE))="Martin",(VLOOKUP(Table10[[#This Row],[SKU]],'All Skus'!$A:$AC,24,FALSE)),"")))</f>
        <v/>
      </c>
      <c r="U66" s="228">
        <v>64</v>
      </c>
    </row>
    <row r="67" spans="1:21" hidden="1">
      <c r="A67" s="114">
        <v>91616006</v>
      </c>
      <c r="B67" s="224" t="str">
        <f>(IF((VLOOKUP(Table10[[#This Row],[SKU]],'All Skus'!$A:$AC,2,FALSE))="Martin",(VLOOKUP(Table10[[#This Row],[SKU]],'All Skus'!$A:$AC,3,FALSE)),""))</f>
        <v>Accessories</v>
      </c>
      <c r="C67" s="223" t="str">
        <f>(IF((VLOOKUP(Table10[[#This Row],[SKU]],'All Skus'!$A:$AC,2,FALSE))="Martin",(VLOOKUP(Table10[[#This Row],[SKU]],'All Skus'!$A:$AC,4,FALSE)),""))</f>
        <v>Power+Data Cable PowerDMXEth Rental 100m</v>
      </c>
      <c r="D67" s="224" t="str">
        <f>(IF((VLOOKUP(Table10[[#This Row],[SKU]],'All Skus'!$A:$AC,2,FALSE))="Martin",(VLOOKUP(Table10[[#This Row],[SKU]],'All Skus'!$A:$AC,5,FALSE)),""))</f>
        <v>MAR-ACC</v>
      </c>
      <c r="E67" s="223">
        <f>(IF((VLOOKUP(Table10[[#This Row],[SKU]],'All Skus'!$A:$AC,2,FALSE))="Martin",(VLOOKUP(Table10[[#This Row],[SKU]],'All Skus'!$A:$AC,6,FALSE)),""))</f>
        <v>0</v>
      </c>
      <c r="F67" s="155">
        <f>(IF((VLOOKUP(Table10[[#This Row],[SKU]],'All Skus'!$A:$AC,2,FALSE))="Martin",(VLOOKUP(Table10[[#This Row],[SKU]],'All Skus'!$A:$AC,7,FALSE)),""))</f>
        <v>0</v>
      </c>
      <c r="G67" s="223" t="str">
        <f>(IF((VLOOKUP(Table10[[#This Row],[SKU]],'All Skus'!$A:$AC,2,FALSE))="Martin",(VLOOKUP(Table10[[#This Row],[SKU]],'All Skus'!$A:$AC,8,FALSE)),""))</f>
        <v>Power+Data Cable PowerDMXEth Rental 100m</v>
      </c>
      <c r="H67" s="223" t="str">
        <f>(IF((VLOOKUP(Table10[[#This Row],[SKU]],'All Skus'!$A:$AC,2,FALSE))="Martin",(VLOOKUP(Table10[[#This Row],[SKU]],'All Skus'!$A:$AC,9,FALSE)),""))</f>
        <v>Power+Data Cable PowerDMXEth Rental 100m</v>
      </c>
      <c r="I67" s="225">
        <f>(IF((VLOOKUP(Table10[[#This Row],[SKU]],'All Skus'!$A:$AC,2,FALSE))="Martin",(VLOOKUP(Table10[[#This Row],[SKU]],'All Skus'!$A:$AC,10,FALSE)),""))</f>
        <v>942.12</v>
      </c>
      <c r="J67" s="226">
        <f>(IF((VLOOKUP(Table10[[#This Row],[SKU]],'All Skus'!$A:$AC,2,FALSE))="Martin",(VLOOKUP(Table10[[#This Row],[SKU]],'All Skus'!$A:$AC,11,FALSE)),""))</f>
        <v>942.12</v>
      </c>
      <c r="K67" s="224">
        <f>(IF((VLOOKUP(Table10[[#This Row],[SKU]],'All Skus'!$A:$AC,2,FALSE))="Martin",(VLOOKUP(Table10[[#This Row],[SKU]],'All Skus'!$A:$AC,15,FALSE)),""))</f>
        <v>0</v>
      </c>
      <c r="L67" s="224">
        <f>(IF((VLOOKUP(Table10[[#This Row],[SKU]],'All Skus'!$A:$AC,2,FALSE))="Martin",(VLOOKUP(Table10[[#This Row],[SKU]],'All Skus'!$A:$AC,16,FALSE)),""))</f>
        <v>0</v>
      </c>
      <c r="M67" s="224">
        <f>(IF((VLOOKUP(Table10[[#This Row],[SKU]],'All Skus'!$A:$AC,2,FALSE))="Martin",(VLOOKUP(Table10[[#This Row],[SKU]],'All Skus'!$A:$AC,17,FALSE)),""))</f>
        <v>0</v>
      </c>
      <c r="N67" s="227">
        <f>(IF((VLOOKUP(Table10[[#This Row],[SKU]],'All Skus'!$A:$AC,2,FALSE))="Martin",(VLOOKUP(Table10[[#This Row],[SKU]],'All Skus'!$A:$AC,18,FALSE)),""))</f>
        <v>0</v>
      </c>
      <c r="O67" s="227">
        <f>(IF((VLOOKUP(Table10[[#This Row],[SKU]],'All Skus'!$A:$AC,2,FALSE))="Martin",(VLOOKUP(Table10[[#This Row],[SKU]],'All Skus'!$A:$AC,19,FALSE)),""))</f>
        <v>0</v>
      </c>
      <c r="P67" s="227">
        <f>(IF((VLOOKUP(Table10[[#This Row],[SKU]],'All Skus'!$A:$AC,2,FALSE))="Martin",(VLOOKUP(Table10[[#This Row],[SKU]],'All Skus'!$A:$AC,20,FALSE)),""))</f>
        <v>0</v>
      </c>
      <c r="Q67" s="227">
        <f>(IF((VLOOKUP(Table10[[#This Row],[SKU]],'All Skus'!$A:$AC,2,FALSE))="Martin",(VLOOKUP(Table10[[#This Row],[SKU]],'All Skus'!$A:$AC,21,FALSE)),""))</f>
        <v>0</v>
      </c>
      <c r="R67" s="224" t="str">
        <f>(IF((VLOOKUP(Table10[[#This Row],[SKU]],'All Skus'!$A:$AC,2,FALSE))="Martin",(VLOOKUP(Table10[[#This Row],[SKU]],'All Skus'!$A:$AC,22,FALSE)),""))</f>
        <v>CN</v>
      </c>
      <c r="S67" s="223">
        <f>(IF((VLOOKUP(Table10[[#This Row],[SKU]],'All Skus'!$A:$AC,2,FALSE))="Martin",(VLOOKUP(Table10[[#This Row],[SKU]],'All Skus'!$A:$AC,23,FALSE)),""))</f>
        <v>0</v>
      </c>
      <c r="T67" s="212" t="str">
        <f>HYPERLINK((IF((VLOOKUP(Table10[[#This Row],[SKU]],'All Skus'!$A:$AC,2,FALSE))="Martin",(VLOOKUP(Table10[[#This Row],[SKU]],'All Skus'!$A:$AC,24,FALSE)),"")))</f>
        <v/>
      </c>
      <c r="U67" s="228">
        <v>65</v>
      </c>
    </row>
    <row r="68" spans="1:21" hidden="1">
      <c r="A68" s="114">
        <v>91611701</v>
      </c>
      <c r="B68" s="224" t="str">
        <f>(IF((VLOOKUP(Table10[[#This Row],[SKU]],'All Skus'!$A:$AC,2,FALSE))="Martin",(VLOOKUP(Table10[[#This Row],[SKU]],'All Skus'!$A:$AC,3,FALSE)),""))</f>
        <v>Accessories</v>
      </c>
      <c r="C68" s="223" t="str">
        <f>(IF((VLOOKUP(Table10[[#This Row],[SKU]],'All Skus'!$A:$AC,2,FALSE))="Martin",(VLOOKUP(Table10[[#This Row],[SKU]],'All Skus'!$A:$AC,4,FALSE)),""))</f>
        <v>Power+Data Connector PDE Male</v>
      </c>
      <c r="D68" s="224" t="str">
        <f>(IF((VLOOKUP(Table10[[#This Row],[SKU]],'All Skus'!$A:$AC,2,FALSE))="Martin",(VLOOKUP(Table10[[#This Row],[SKU]],'All Skus'!$A:$AC,5,FALSE)),""))</f>
        <v>MAR-ACC</v>
      </c>
      <c r="E68" s="223">
        <f>(IF((VLOOKUP(Table10[[#This Row],[SKU]],'All Skus'!$A:$AC,2,FALSE))="Martin",(VLOOKUP(Table10[[#This Row],[SKU]],'All Skus'!$A:$AC,6,FALSE)),""))</f>
        <v>0</v>
      </c>
      <c r="F68" s="155">
        <f>(IF((VLOOKUP(Table10[[#This Row],[SKU]],'All Skus'!$A:$AC,2,FALSE))="Martin",(VLOOKUP(Table10[[#This Row],[SKU]],'All Skus'!$A:$AC,7,FALSE)),""))</f>
        <v>0</v>
      </c>
      <c r="G68" s="223" t="str">
        <f>(IF((VLOOKUP(Table10[[#This Row],[SKU]],'All Skus'!$A:$AC,2,FALSE))="Martin",(VLOOKUP(Table10[[#This Row],[SKU]],'All Skus'!$A:$AC,8,FALSE)),""))</f>
        <v>Power+Data Connector PDE Male</v>
      </c>
      <c r="H68" s="223" t="str">
        <f>(IF((VLOOKUP(Table10[[#This Row],[SKU]],'All Skus'!$A:$AC,2,FALSE))="Martin",(VLOOKUP(Table10[[#This Row],[SKU]],'All Skus'!$A:$AC,9,FALSE)),""))</f>
        <v>Power+Data Connector PDE Male</v>
      </c>
      <c r="I68" s="225">
        <f>(IF((VLOOKUP(Table10[[#This Row],[SKU]],'All Skus'!$A:$AC,2,FALSE))="Martin",(VLOOKUP(Table10[[#This Row],[SKU]],'All Skus'!$A:$AC,10,FALSE)),""))</f>
        <v>16.05</v>
      </c>
      <c r="J68" s="226">
        <f>(IF((VLOOKUP(Table10[[#This Row],[SKU]],'All Skus'!$A:$AC,2,FALSE))="Martin",(VLOOKUP(Table10[[#This Row],[SKU]],'All Skus'!$A:$AC,11,FALSE)),""))</f>
        <v>16.05</v>
      </c>
      <c r="K68" s="224">
        <f>(IF((VLOOKUP(Table10[[#This Row],[SKU]],'All Skus'!$A:$AC,2,FALSE))="Martin",(VLOOKUP(Table10[[#This Row],[SKU]],'All Skus'!$A:$AC,15,FALSE)),""))</f>
        <v>0</v>
      </c>
      <c r="L68" s="224">
        <f>(IF((VLOOKUP(Table10[[#This Row],[SKU]],'All Skus'!$A:$AC,2,FALSE))="Martin",(VLOOKUP(Table10[[#This Row],[SKU]],'All Skus'!$A:$AC,16,FALSE)),""))</f>
        <v>0</v>
      </c>
      <c r="M68" s="224">
        <f>(IF((VLOOKUP(Table10[[#This Row],[SKU]],'All Skus'!$A:$AC,2,FALSE))="Martin",(VLOOKUP(Table10[[#This Row],[SKU]],'All Skus'!$A:$AC,17,FALSE)),""))</f>
        <v>0</v>
      </c>
      <c r="N68" s="227">
        <f>(IF((VLOOKUP(Table10[[#This Row],[SKU]],'All Skus'!$A:$AC,2,FALSE))="Martin",(VLOOKUP(Table10[[#This Row],[SKU]],'All Skus'!$A:$AC,18,FALSE)),""))</f>
        <v>0</v>
      </c>
      <c r="O68" s="227">
        <f>(IF((VLOOKUP(Table10[[#This Row],[SKU]],'All Skus'!$A:$AC,2,FALSE))="Martin",(VLOOKUP(Table10[[#This Row],[SKU]],'All Skus'!$A:$AC,19,FALSE)),""))</f>
        <v>0</v>
      </c>
      <c r="P68" s="227">
        <f>(IF((VLOOKUP(Table10[[#This Row],[SKU]],'All Skus'!$A:$AC,2,FALSE))="Martin",(VLOOKUP(Table10[[#This Row],[SKU]],'All Skus'!$A:$AC,20,FALSE)),""))</f>
        <v>0</v>
      </c>
      <c r="Q68" s="227">
        <f>(IF((VLOOKUP(Table10[[#This Row],[SKU]],'All Skus'!$A:$AC,2,FALSE))="Martin",(VLOOKUP(Table10[[#This Row],[SKU]],'All Skus'!$A:$AC,21,FALSE)),""))</f>
        <v>0</v>
      </c>
      <c r="R68" s="224" t="str">
        <f>(IF((VLOOKUP(Table10[[#This Row],[SKU]],'All Skus'!$A:$AC,2,FALSE))="Martin",(VLOOKUP(Table10[[#This Row],[SKU]],'All Skus'!$A:$AC,22,FALSE)),""))</f>
        <v>CN</v>
      </c>
      <c r="S68" s="223" t="str">
        <f>(IF((VLOOKUP(Table10[[#This Row],[SKU]],'All Skus'!$A:$AC,2,FALSE))="Martin",(VLOOKUP(Table10[[#This Row],[SKU]],'All Skus'!$A:$AC,23,FALSE)),""))</f>
        <v>Non Compliant</v>
      </c>
      <c r="T68" s="212" t="str">
        <f>HYPERLINK((IF((VLOOKUP(Table10[[#This Row],[SKU]],'All Skus'!$A:$AC,2,FALSE))="Martin",(VLOOKUP(Table10[[#This Row],[SKU]],'All Skus'!$A:$AC,24,FALSE)),"")))</f>
        <v/>
      </c>
      <c r="U68" s="228">
        <v>66</v>
      </c>
    </row>
    <row r="69" spans="1:21" hidden="1">
      <c r="A69" s="114">
        <v>91611702</v>
      </c>
      <c r="B69" s="224" t="str">
        <f>(IF((VLOOKUP(Table10[[#This Row],[SKU]],'All Skus'!$A:$AC,2,FALSE))="Martin",(VLOOKUP(Table10[[#This Row],[SKU]],'All Skus'!$A:$AC,3,FALSE)),""))</f>
        <v>Accessories</v>
      </c>
      <c r="C69" s="223" t="str">
        <f>(IF((VLOOKUP(Table10[[#This Row],[SKU]],'All Skus'!$A:$AC,2,FALSE))="Martin",(VLOOKUP(Table10[[#This Row],[SKU]],'All Skus'!$A:$AC,4,FALSE)),""))</f>
        <v>Power+Data Connector PDE Female</v>
      </c>
      <c r="D69" s="224" t="str">
        <f>(IF((VLOOKUP(Table10[[#This Row],[SKU]],'All Skus'!$A:$AC,2,FALSE))="Martin",(VLOOKUP(Table10[[#This Row],[SKU]],'All Skus'!$A:$AC,5,FALSE)),""))</f>
        <v>MAR-ACC</v>
      </c>
      <c r="E69" s="223">
        <f>(IF((VLOOKUP(Table10[[#This Row],[SKU]],'All Skus'!$A:$AC,2,FALSE))="Martin",(VLOOKUP(Table10[[#This Row],[SKU]],'All Skus'!$A:$AC,6,FALSE)),""))</f>
        <v>0</v>
      </c>
      <c r="F69" s="155">
        <f>(IF((VLOOKUP(Table10[[#This Row],[SKU]],'All Skus'!$A:$AC,2,FALSE))="Martin",(VLOOKUP(Table10[[#This Row],[SKU]],'All Skus'!$A:$AC,7,FALSE)),""))</f>
        <v>0</v>
      </c>
      <c r="G69" s="223" t="str">
        <f>(IF((VLOOKUP(Table10[[#This Row],[SKU]],'All Skus'!$A:$AC,2,FALSE))="Martin",(VLOOKUP(Table10[[#This Row],[SKU]],'All Skus'!$A:$AC,8,FALSE)),""))</f>
        <v>Power+Data Connector PDE Female</v>
      </c>
      <c r="H69" s="223" t="str">
        <f>(IF((VLOOKUP(Table10[[#This Row],[SKU]],'All Skus'!$A:$AC,2,FALSE))="Martin",(VLOOKUP(Table10[[#This Row],[SKU]],'All Skus'!$A:$AC,9,FALSE)),""))</f>
        <v>Power+Data Connector PDE Female</v>
      </c>
      <c r="I69" s="225">
        <f>(IF((VLOOKUP(Table10[[#This Row],[SKU]],'All Skus'!$A:$AC,2,FALSE))="Martin",(VLOOKUP(Table10[[#This Row],[SKU]],'All Skus'!$A:$AC,10,FALSE)),""))</f>
        <v>16.05</v>
      </c>
      <c r="J69" s="226">
        <f>(IF((VLOOKUP(Table10[[#This Row],[SKU]],'All Skus'!$A:$AC,2,FALSE))="Martin",(VLOOKUP(Table10[[#This Row],[SKU]],'All Skus'!$A:$AC,11,FALSE)),""))</f>
        <v>16.05</v>
      </c>
      <c r="K69" s="224">
        <f>(IF((VLOOKUP(Table10[[#This Row],[SKU]],'All Skus'!$A:$AC,2,FALSE))="Martin",(VLOOKUP(Table10[[#This Row],[SKU]],'All Skus'!$A:$AC,15,FALSE)),""))</f>
        <v>0</v>
      </c>
      <c r="L69" s="224">
        <f>(IF((VLOOKUP(Table10[[#This Row],[SKU]],'All Skus'!$A:$AC,2,FALSE))="Martin",(VLOOKUP(Table10[[#This Row],[SKU]],'All Skus'!$A:$AC,16,FALSE)),""))</f>
        <v>0</v>
      </c>
      <c r="M69" s="224">
        <f>(IF((VLOOKUP(Table10[[#This Row],[SKU]],'All Skus'!$A:$AC,2,FALSE))="Martin",(VLOOKUP(Table10[[#This Row],[SKU]],'All Skus'!$A:$AC,17,FALSE)),""))</f>
        <v>0</v>
      </c>
      <c r="N69" s="227">
        <f>(IF((VLOOKUP(Table10[[#This Row],[SKU]],'All Skus'!$A:$AC,2,FALSE))="Martin",(VLOOKUP(Table10[[#This Row],[SKU]],'All Skus'!$A:$AC,18,FALSE)),""))</f>
        <v>0</v>
      </c>
      <c r="O69" s="227">
        <f>(IF((VLOOKUP(Table10[[#This Row],[SKU]],'All Skus'!$A:$AC,2,FALSE))="Martin",(VLOOKUP(Table10[[#This Row],[SKU]],'All Skus'!$A:$AC,19,FALSE)),""))</f>
        <v>0</v>
      </c>
      <c r="P69" s="227">
        <f>(IF((VLOOKUP(Table10[[#This Row],[SKU]],'All Skus'!$A:$AC,2,FALSE))="Martin",(VLOOKUP(Table10[[#This Row],[SKU]],'All Skus'!$A:$AC,20,FALSE)),""))</f>
        <v>0</v>
      </c>
      <c r="Q69" s="227">
        <f>(IF((VLOOKUP(Table10[[#This Row],[SKU]],'All Skus'!$A:$AC,2,FALSE))="Martin",(VLOOKUP(Table10[[#This Row],[SKU]],'All Skus'!$A:$AC,21,FALSE)),""))</f>
        <v>0</v>
      </c>
      <c r="R69" s="224" t="str">
        <f>(IF((VLOOKUP(Table10[[#This Row],[SKU]],'All Skus'!$A:$AC,2,FALSE))="Martin",(VLOOKUP(Table10[[#This Row],[SKU]],'All Skus'!$A:$AC,22,FALSE)),""))</f>
        <v>CN</v>
      </c>
      <c r="S69" s="223" t="str">
        <f>(IF((VLOOKUP(Table10[[#This Row],[SKU]],'All Skus'!$A:$AC,2,FALSE))="Martin",(VLOOKUP(Table10[[#This Row],[SKU]],'All Skus'!$A:$AC,23,FALSE)),""))</f>
        <v>Non Compliant</v>
      </c>
      <c r="T69" s="212" t="str">
        <f>HYPERLINK((IF((VLOOKUP(Table10[[#This Row],[SKU]],'All Skus'!$A:$AC,2,FALSE))="Martin",(VLOOKUP(Table10[[#This Row],[SKU]],'All Skus'!$A:$AC,24,FALSE)),"")))</f>
        <v/>
      </c>
      <c r="U69" s="228">
        <v>67</v>
      </c>
    </row>
    <row r="70" spans="1:21" hidden="1">
      <c r="A70" s="115" t="s">
        <v>1972</v>
      </c>
      <c r="B70" s="224">
        <f>(IF((VLOOKUP(Table10[[#This Row],[SKU]],'All Skus'!$A:$AC,2,FALSE))="Martin",(VLOOKUP(Table10[[#This Row],[SKU]],'All Skus'!$A:$AC,3,FALSE)),""))</f>
        <v>0</v>
      </c>
      <c r="C70" s="223">
        <f>(IF((VLOOKUP(Table10[[#This Row],[SKU]],'All Skus'!$A:$AC,2,FALSE))="Martin",(VLOOKUP(Table10[[#This Row],[SKU]],'All Skus'!$A:$AC,4,FALSE)),""))</f>
        <v>0</v>
      </c>
      <c r="D70" s="224">
        <f>(IF((VLOOKUP(Table10[[#This Row],[SKU]],'All Skus'!$A:$AC,2,FALSE))="Martin",(VLOOKUP(Table10[[#This Row],[SKU]],'All Skus'!$A:$AC,5,FALSE)),""))</f>
        <v>0</v>
      </c>
      <c r="E70" s="223">
        <f>(IF((VLOOKUP(Table10[[#This Row],[SKU]],'All Skus'!$A:$AC,2,FALSE))="Martin",(VLOOKUP(Table10[[#This Row],[SKU]],'All Skus'!$A:$AC,6,FALSE)),""))</f>
        <v>0</v>
      </c>
      <c r="F70" s="155">
        <f>(IF((VLOOKUP(Table10[[#This Row],[SKU]],'All Skus'!$A:$AC,2,FALSE))="Martin",(VLOOKUP(Table10[[#This Row],[SKU]],'All Skus'!$A:$AC,7,FALSE)),""))</f>
        <v>0</v>
      </c>
      <c r="G70" s="223">
        <f>(IF((VLOOKUP(Table10[[#This Row],[SKU]],'All Skus'!$A:$AC,2,FALSE))="Martin",(VLOOKUP(Table10[[#This Row],[SKU]],'All Skus'!$A:$AC,8,FALSE)),""))</f>
        <v>0</v>
      </c>
      <c r="H70" s="223">
        <f>(IF((VLOOKUP(Table10[[#This Row],[SKU]],'All Skus'!$A:$AC,2,FALSE))="Martin",(VLOOKUP(Table10[[#This Row],[SKU]],'All Skus'!$A:$AC,9,FALSE)),""))</f>
        <v>0</v>
      </c>
      <c r="I70" s="225">
        <f>(IF((VLOOKUP(Table10[[#This Row],[SKU]],'All Skus'!$A:$AC,2,FALSE))="Martin",(VLOOKUP(Table10[[#This Row],[SKU]],'All Skus'!$A:$AC,10,FALSE)),""))</f>
        <v>0</v>
      </c>
      <c r="J70" s="226">
        <f>(IF((VLOOKUP(Table10[[#This Row],[SKU]],'All Skus'!$A:$AC,2,FALSE))="Martin",(VLOOKUP(Table10[[#This Row],[SKU]],'All Skus'!$A:$AC,11,FALSE)),""))</f>
        <v>0</v>
      </c>
      <c r="K70" s="224">
        <f>(IF((VLOOKUP(Table10[[#This Row],[SKU]],'All Skus'!$A:$AC,2,FALSE))="Martin",(VLOOKUP(Table10[[#This Row],[SKU]],'All Skus'!$A:$AC,15,FALSE)),""))</f>
        <v>0</v>
      </c>
      <c r="L70" s="224">
        <f>(IF((VLOOKUP(Table10[[#This Row],[SKU]],'All Skus'!$A:$AC,2,FALSE))="Martin",(VLOOKUP(Table10[[#This Row],[SKU]],'All Skus'!$A:$AC,16,FALSE)),""))</f>
        <v>0</v>
      </c>
      <c r="M70" s="224">
        <f>(IF((VLOOKUP(Table10[[#This Row],[SKU]],'All Skus'!$A:$AC,2,FALSE))="Martin",(VLOOKUP(Table10[[#This Row],[SKU]],'All Skus'!$A:$AC,17,FALSE)),""))</f>
        <v>0</v>
      </c>
      <c r="N70" s="227">
        <f>(IF((VLOOKUP(Table10[[#This Row],[SKU]],'All Skus'!$A:$AC,2,FALSE))="Martin",(VLOOKUP(Table10[[#This Row],[SKU]],'All Skus'!$A:$AC,18,FALSE)),""))</f>
        <v>0</v>
      </c>
      <c r="O70" s="227">
        <f>(IF((VLOOKUP(Table10[[#This Row],[SKU]],'All Skus'!$A:$AC,2,FALSE))="Martin",(VLOOKUP(Table10[[#This Row],[SKU]],'All Skus'!$A:$AC,19,FALSE)),""))</f>
        <v>0</v>
      </c>
      <c r="P70" s="227">
        <f>(IF((VLOOKUP(Table10[[#This Row],[SKU]],'All Skus'!$A:$AC,2,FALSE))="Martin",(VLOOKUP(Table10[[#This Row],[SKU]],'All Skus'!$A:$AC,20,FALSE)),""))</f>
        <v>0</v>
      </c>
      <c r="Q70" s="227">
        <f>(IF((VLOOKUP(Table10[[#This Row],[SKU]],'All Skus'!$A:$AC,2,FALSE))="Martin",(VLOOKUP(Table10[[#This Row],[SKU]],'All Skus'!$A:$AC,21,FALSE)),""))</f>
        <v>0</v>
      </c>
      <c r="R70" s="224">
        <f>(IF((VLOOKUP(Table10[[#This Row],[SKU]],'All Skus'!$A:$AC,2,FALSE))="Martin",(VLOOKUP(Table10[[#This Row],[SKU]],'All Skus'!$A:$AC,22,FALSE)),""))</f>
        <v>0</v>
      </c>
      <c r="S70" s="223">
        <f>(IF((VLOOKUP(Table10[[#This Row],[SKU]],'All Skus'!$A:$AC,2,FALSE))="Martin",(VLOOKUP(Table10[[#This Row],[SKU]],'All Skus'!$A:$AC,23,FALSE)),""))</f>
        <v>0</v>
      </c>
      <c r="T70" s="212" t="str">
        <f>HYPERLINK((IF((VLOOKUP(Table10[[#This Row],[SKU]],'All Skus'!$A:$AC,2,FALSE))="Martin",(VLOOKUP(Table10[[#This Row],[SKU]],'All Skus'!$A:$AC,24,FALSE)),"")))</f>
        <v/>
      </c>
      <c r="U70" s="228">
        <v>68</v>
      </c>
    </row>
    <row r="71" spans="1:21" hidden="1">
      <c r="A71" s="114">
        <v>91616025</v>
      </c>
      <c r="B71" s="224" t="str">
        <f>(IF((VLOOKUP(Table10[[#This Row],[SKU]],'All Skus'!$A:$AC,2,FALSE))="Martin",(VLOOKUP(Table10[[#This Row],[SKU]],'All Skus'!$A:$AC,3,FALSE)),""))</f>
        <v>Accessories</v>
      </c>
      <c r="C71" s="223" t="str">
        <f>(IF((VLOOKUP(Table10[[#This Row],[SKU]],'All Skus'!$A:$AC,2,FALSE))="Martin",(VLOOKUP(Table10[[#This Row],[SKU]],'All Skus'!$A:$AC,4,FALSE)),""))</f>
        <v>Power+Data Cable PCB-PCB 200mm</v>
      </c>
      <c r="D71" s="224" t="str">
        <f>(IF((VLOOKUP(Table10[[#This Row],[SKU]],'All Skus'!$A:$AC,2,FALSE))="Martin",(VLOOKUP(Table10[[#This Row],[SKU]],'All Skus'!$A:$AC,5,FALSE)),""))</f>
        <v>MAR-ACC</v>
      </c>
      <c r="E71" s="223">
        <f>(IF((VLOOKUP(Table10[[#This Row],[SKU]],'All Skus'!$A:$AC,2,FALSE))="Martin",(VLOOKUP(Table10[[#This Row],[SKU]],'All Skus'!$A:$AC,6,FALSE)),""))</f>
        <v>0</v>
      </c>
      <c r="F71" s="155" t="str">
        <f>(IF((VLOOKUP(Table10[[#This Row],[SKU]],'All Skus'!$A:$AC,2,FALSE))="Martin",(VLOOKUP(Table10[[#This Row],[SKU]],'All Skus'!$A:$AC,7,FALSE)),""))</f>
        <v>EOL pre-notice - Will be submitted for EOL soon - But will remain available to support final VC-Grid/Strip sales</v>
      </c>
      <c r="G71" s="223" t="str">
        <f>(IF((VLOOKUP(Table10[[#This Row],[SKU]],'All Skus'!$A:$AC,2,FALSE))="Martin",(VLOOKUP(Table10[[#This Row],[SKU]],'All Skus'!$A:$AC,8,FALSE)),""))</f>
        <v>Power+Data Cable PCB-PCB 200mm</v>
      </c>
      <c r="H71" s="223" t="str">
        <f>(IF((VLOOKUP(Table10[[#This Row],[SKU]],'All Skus'!$A:$AC,2,FALSE))="Martin",(VLOOKUP(Table10[[#This Row],[SKU]],'All Skus'!$A:$AC,9,FALSE)),""))</f>
        <v>Power+Data Cable PCB-PCB 200mm</v>
      </c>
      <c r="I71" s="225">
        <f>(IF((VLOOKUP(Table10[[#This Row],[SKU]],'All Skus'!$A:$AC,2,FALSE))="Martin",(VLOOKUP(Table10[[#This Row],[SKU]],'All Skus'!$A:$AC,10,FALSE)),""))</f>
        <v>14.82</v>
      </c>
      <c r="J71" s="226">
        <f>(IF((VLOOKUP(Table10[[#This Row],[SKU]],'All Skus'!$A:$AC,2,FALSE))="Martin",(VLOOKUP(Table10[[#This Row],[SKU]],'All Skus'!$A:$AC,11,FALSE)),""))</f>
        <v>14.82</v>
      </c>
      <c r="K71" s="224">
        <f>(IF((VLOOKUP(Table10[[#This Row],[SKU]],'All Skus'!$A:$AC,2,FALSE))="Martin",(VLOOKUP(Table10[[#This Row],[SKU]],'All Skus'!$A:$AC,15,FALSE)),""))</f>
        <v>0</v>
      </c>
      <c r="L71" s="224">
        <f>(IF((VLOOKUP(Table10[[#This Row],[SKU]],'All Skus'!$A:$AC,2,FALSE))="Martin",(VLOOKUP(Table10[[#This Row],[SKU]],'All Skus'!$A:$AC,16,FALSE)),""))</f>
        <v>0</v>
      </c>
      <c r="M71" s="224">
        <f>(IF((VLOOKUP(Table10[[#This Row],[SKU]],'All Skus'!$A:$AC,2,FALSE))="Martin",(VLOOKUP(Table10[[#This Row],[SKU]],'All Skus'!$A:$AC,17,FALSE)),""))</f>
        <v>0</v>
      </c>
      <c r="N71" s="227">
        <f>(IF((VLOOKUP(Table10[[#This Row],[SKU]],'All Skus'!$A:$AC,2,FALSE))="Martin",(VLOOKUP(Table10[[#This Row],[SKU]],'All Skus'!$A:$AC,18,FALSE)),""))</f>
        <v>0</v>
      </c>
      <c r="O71" s="227">
        <f>(IF((VLOOKUP(Table10[[#This Row],[SKU]],'All Skus'!$A:$AC,2,FALSE))="Martin",(VLOOKUP(Table10[[#This Row],[SKU]],'All Skus'!$A:$AC,19,FALSE)),""))</f>
        <v>0</v>
      </c>
      <c r="P71" s="227">
        <f>(IF((VLOOKUP(Table10[[#This Row],[SKU]],'All Skus'!$A:$AC,2,FALSE))="Martin",(VLOOKUP(Table10[[#This Row],[SKU]],'All Skus'!$A:$AC,20,FALSE)),""))</f>
        <v>0</v>
      </c>
      <c r="Q71" s="227">
        <f>(IF((VLOOKUP(Table10[[#This Row],[SKU]],'All Skus'!$A:$AC,2,FALSE))="Martin",(VLOOKUP(Table10[[#This Row],[SKU]],'All Skus'!$A:$AC,21,FALSE)),""))</f>
        <v>0</v>
      </c>
      <c r="R71" s="224" t="str">
        <f>(IF((VLOOKUP(Table10[[#This Row],[SKU]],'All Skus'!$A:$AC,2,FALSE))="Martin",(VLOOKUP(Table10[[#This Row],[SKU]],'All Skus'!$A:$AC,22,FALSE)),""))</f>
        <v>CN</v>
      </c>
      <c r="S71" s="223" t="str">
        <f>(IF((VLOOKUP(Table10[[#This Row],[SKU]],'All Skus'!$A:$AC,2,FALSE))="Martin",(VLOOKUP(Table10[[#This Row],[SKU]],'All Skus'!$A:$AC,23,FALSE)),""))</f>
        <v>Non Compliant</v>
      </c>
      <c r="T71" s="212" t="str">
        <f>HYPERLINK((IF((VLOOKUP(Table10[[#This Row],[SKU]],'All Skus'!$A:$AC,2,FALSE))="Martin",(VLOOKUP(Table10[[#This Row],[SKU]],'All Skus'!$A:$AC,24,FALSE)),"")))</f>
        <v/>
      </c>
      <c r="U71" s="228">
        <v>69</v>
      </c>
    </row>
    <row r="72" spans="1:21" hidden="1">
      <c r="A72" s="114">
        <v>91616026</v>
      </c>
      <c r="B72" s="224" t="str">
        <f>(IF((VLOOKUP(Table10[[#This Row],[SKU]],'All Skus'!$A:$AC,2,FALSE))="Martin",(VLOOKUP(Table10[[#This Row],[SKU]],'All Skus'!$A:$AC,3,FALSE)),""))</f>
        <v>Accessories</v>
      </c>
      <c r="C72" s="223" t="str">
        <f>(IF((VLOOKUP(Table10[[#This Row],[SKU]],'All Skus'!$A:$AC,2,FALSE))="Martin",(VLOOKUP(Table10[[#This Row],[SKU]],'All Skus'!$A:$AC,4,FALSE)),""))</f>
        <v>Power+Data Cable PCB-PCB 400mm</v>
      </c>
      <c r="D72" s="224" t="str">
        <f>(IF((VLOOKUP(Table10[[#This Row],[SKU]],'All Skus'!$A:$AC,2,FALSE))="Martin",(VLOOKUP(Table10[[#This Row],[SKU]],'All Skus'!$A:$AC,5,FALSE)),""))</f>
        <v>MAR-ACC</v>
      </c>
      <c r="E72" s="223">
        <f>(IF((VLOOKUP(Table10[[#This Row],[SKU]],'All Skus'!$A:$AC,2,FALSE))="Martin",(VLOOKUP(Table10[[#This Row],[SKU]],'All Skus'!$A:$AC,6,FALSE)),""))</f>
        <v>0</v>
      </c>
      <c r="F72" s="155" t="str">
        <f>(IF((VLOOKUP(Table10[[#This Row],[SKU]],'All Skus'!$A:$AC,2,FALSE))="Martin",(VLOOKUP(Table10[[#This Row],[SKU]],'All Skus'!$A:$AC,7,FALSE)),""))</f>
        <v>EOL pre-notice - Will be submitted for EOL soon - But will remain available to support final VC-Grid/Strip sales</v>
      </c>
      <c r="G72" s="223" t="str">
        <f>(IF((VLOOKUP(Table10[[#This Row],[SKU]],'All Skus'!$A:$AC,2,FALSE))="Martin",(VLOOKUP(Table10[[#This Row],[SKU]],'All Skus'!$A:$AC,8,FALSE)),""))</f>
        <v>Power+Data Cable PCB-PCB 400mm</v>
      </c>
      <c r="H72" s="223" t="str">
        <f>(IF((VLOOKUP(Table10[[#This Row],[SKU]],'All Skus'!$A:$AC,2,FALSE))="Martin",(VLOOKUP(Table10[[#This Row],[SKU]],'All Skus'!$A:$AC,9,FALSE)),""))</f>
        <v>Power+Data Cable PCB-PCB 400mm</v>
      </c>
      <c r="I72" s="225">
        <f>(IF((VLOOKUP(Table10[[#This Row],[SKU]],'All Skus'!$A:$AC,2,FALSE))="Martin",(VLOOKUP(Table10[[#This Row],[SKU]],'All Skus'!$A:$AC,10,FALSE)),""))</f>
        <v>16.05</v>
      </c>
      <c r="J72" s="226">
        <f>(IF((VLOOKUP(Table10[[#This Row],[SKU]],'All Skus'!$A:$AC,2,FALSE))="Martin",(VLOOKUP(Table10[[#This Row],[SKU]],'All Skus'!$A:$AC,11,FALSE)),""))</f>
        <v>16.05</v>
      </c>
      <c r="K72" s="224">
        <f>(IF((VLOOKUP(Table10[[#This Row],[SKU]],'All Skus'!$A:$AC,2,FALSE))="Martin",(VLOOKUP(Table10[[#This Row],[SKU]],'All Skus'!$A:$AC,15,FALSE)),""))</f>
        <v>0</v>
      </c>
      <c r="L72" s="224">
        <f>(IF((VLOOKUP(Table10[[#This Row],[SKU]],'All Skus'!$A:$AC,2,FALSE))="Martin",(VLOOKUP(Table10[[#This Row],[SKU]],'All Skus'!$A:$AC,16,FALSE)),""))</f>
        <v>0</v>
      </c>
      <c r="M72" s="224">
        <f>(IF((VLOOKUP(Table10[[#This Row],[SKU]],'All Skus'!$A:$AC,2,FALSE))="Martin",(VLOOKUP(Table10[[#This Row],[SKU]],'All Skus'!$A:$AC,17,FALSE)),""))</f>
        <v>0</v>
      </c>
      <c r="N72" s="227">
        <f>(IF((VLOOKUP(Table10[[#This Row],[SKU]],'All Skus'!$A:$AC,2,FALSE))="Martin",(VLOOKUP(Table10[[#This Row],[SKU]],'All Skus'!$A:$AC,18,FALSE)),""))</f>
        <v>0</v>
      </c>
      <c r="O72" s="227">
        <f>(IF((VLOOKUP(Table10[[#This Row],[SKU]],'All Skus'!$A:$AC,2,FALSE))="Martin",(VLOOKUP(Table10[[#This Row],[SKU]],'All Skus'!$A:$AC,19,FALSE)),""))</f>
        <v>0</v>
      </c>
      <c r="P72" s="227">
        <f>(IF((VLOOKUP(Table10[[#This Row],[SKU]],'All Skus'!$A:$AC,2,FALSE))="Martin",(VLOOKUP(Table10[[#This Row],[SKU]],'All Skus'!$A:$AC,20,FALSE)),""))</f>
        <v>0</v>
      </c>
      <c r="Q72" s="227">
        <f>(IF((VLOOKUP(Table10[[#This Row],[SKU]],'All Skus'!$A:$AC,2,FALSE))="Martin",(VLOOKUP(Table10[[#This Row],[SKU]],'All Skus'!$A:$AC,21,FALSE)),""))</f>
        <v>0</v>
      </c>
      <c r="R72" s="224" t="str">
        <f>(IF((VLOOKUP(Table10[[#This Row],[SKU]],'All Skus'!$A:$AC,2,FALSE))="Martin",(VLOOKUP(Table10[[#This Row],[SKU]],'All Skus'!$A:$AC,22,FALSE)),""))</f>
        <v>CN</v>
      </c>
      <c r="S72" s="223" t="str">
        <f>(IF((VLOOKUP(Table10[[#This Row],[SKU]],'All Skus'!$A:$AC,2,FALSE))="Martin",(VLOOKUP(Table10[[#This Row],[SKU]],'All Skus'!$A:$AC,23,FALSE)),""))</f>
        <v>Non Compliant</v>
      </c>
      <c r="T72" s="212" t="str">
        <f>HYPERLINK((IF((VLOOKUP(Table10[[#This Row],[SKU]],'All Skus'!$A:$AC,2,FALSE))="Martin",(VLOOKUP(Table10[[#This Row],[SKU]],'All Skus'!$A:$AC,24,FALSE)),"")))</f>
        <v/>
      </c>
      <c r="U72" s="228">
        <v>70</v>
      </c>
    </row>
    <row r="73" spans="1:21" hidden="1">
      <c r="A73" s="114">
        <v>91616027</v>
      </c>
      <c r="B73" s="224" t="str">
        <f>(IF((VLOOKUP(Table10[[#This Row],[SKU]],'All Skus'!$A:$AC,2,FALSE))="Martin",(VLOOKUP(Table10[[#This Row],[SKU]],'All Skus'!$A:$AC,3,FALSE)),""))</f>
        <v>Accessories</v>
      </c>
      <c r="C73" s="223" t="str">
        <f>(IF((VLOOKUP(Table10[[#This Row],[SKU]],'All Skus'!$A:$AC,2,FALSE))="Martin",(VLOOKUP(Table10[[#This Row],[SKU]],'All Skus'!$A:$AC,4,FALSE)),""))</f>
        <v>Power+Data Cable PCB-PCB 600mm</v>
      </c>
      <c r="D73" s="224" t="str">
        <f>(IF((VLOOKUP(Table10[[#This Row],[SKU]],'All Skus'!$A:$AC,2,FALSE))="Martin",(VLOOKUP(Table10[[#This Row],[SKU]],'All Skus'!$A:$AC,5,FALSE)),""))</f>
        <v>MAR-ACC</v>
      </c>
      <c r="E73" s="223">
        <f>(IF((VLOOKUP(Table10[[#This Row],[SKU]],'All Skus'!$A:$AC,2,FALSE))="Martin",(VLOOKUP(Table10[[#This Row],[SKU]],'All Skus'!$A:$AC,6,FALSE)),""))</f>
        <v>0</v>
      </c>
      <c r="F73" s="155" t="str">
        <f>(IF((VLOOKUP(Table10[[#This Row],[SKU]],'All Skus'!$A:$AC,2,FALSE))="Martin",(VLOOKUP(Table10[[#This Row],[SKU]],'All Skus'!$A:$AC,7,FALSE)),""))</f>
        <v>EOL pre-notice - Will be submitted for EOL soon - But will remain available to support final VC-Grid/Strip sales</v>
      </c>
      <c r="G73" s="223" t="str">
        <f>(IF((VLOOKUP(Table10[[#This Row],[SKU]],'All Skus'!$A:$AC,2,FALSE))="Martin",(VLOOKUP(Table10[[#This Row],[SKU]],'All Skus'!$A:$AC,8,FALSE)),""))</f>
        <v>Power+Data Cable PCB-PCB 600mm</v>
      </c>
      <c r="H73" s="223" t="str">
        <f>(IF((VLOOKUP(Table10[[#This Row],[SKU]],'All Skus'!$A:$AC,2,FALSE))="Martin",(VLOOKUP(Table10[[#This Row],[SKU]],'All Skus'!$A:$AC,9,FALSE)),""))</f>
        <v>Power+Data Cable PCB-PCB 600mm</v>
      </c>
      <c r="I73" s="225">
        <f>(IF((VLOOKUP(Table10[[#This Row],[SKU]],'All Skus'!$A:$AC,2,FALSE))="Martin",(VLOOKUP(Table10[[#This Row],[SKU]],'All Skus'!$A:$AC,10,FALSE)),""))</f>
        <v>17.29</v>
      </c>
      <c r="J73" s="226">
        <f>(IF((VLOOKUP(Table10[[#This Row],[SKU]],'All Skus'!$A:$AC,2,FALSE))="Martin",(VLOOKUP(Table10[[#This Row],[SKU]],'All Skus'!$A:$AC,11,FALSE)),""))</f>
        <v>17.29</v>
      </c>
      <c r="K73" s="224">
        <f>(IF((VLOOKUP(Table10[[#This Row],[SKU]],'All Skus'!$A:$AC,2,FALSE))="Martin",(VLOOKUP(Table10[[#This Row],[SKU]],'All Skus'!$A:$AC,15,FALSE)),""))</f>
        <v>0</v>
      </c>
      <c r="L73" s="224">
        <f>(IF((VLOOKUP(Table10[[#This Row],[SKU]],'All Skus'!$A:$AC,2,FALSE))="Martin",(VLOOKUP(Table10[[#This Row],[SKU]],'All Skus'!$A:$AC,16,FALSE)),""))</f>
        <v>0</v>
      </c>
      <c r="M73" s="224">
        <f>(IF((VLOOKUP(Table10[[#This Row],[SKU]],'All Skus'!$A:$AC,2,FALSE))="Martin",(VLOOKUP(Table10[[#This Row],[SKU]],'All Skus'!$A:$AC,17,FALSE)),""))</f>
        <v>0</v>
      </c>
      <c r="N73" s="227">
        <f>(IF((VLOOKUP(Table10[[#This Row],[SKU]],'All Skus'!$A:$AC,2,FALSE))="Martin",(VLOOKUP(Table10[[#This Row],[SKU]],'All Skus'!$A:$AC,18,FALSE)),""))</f>
        <v>0</v>
      </c>
      <c r="O73" s="227">
        <f>(IF((VLOOKUP(Table10[[#This Row],[SKU]],'All Skus'!$A:$AC,2,FALSE))="Martin",(VLOOKUP(Table10[[#This Row],[SKU]],'All Skus'!$A:$AC,19,FALSE)),""))</f>
        <v>0</v>
      </c>
      <c r="P73" s="227">
        <f>(IF((VLOOKUP(Table10[[#This Row],[SKU]],'All Skus'!$A:$AC,2,FALSE))="Martin",(VLOOKUP(Table10[[#This Row],[SKU]],'All Skus'!$A:$AC,20,FALSE)),""))</f>
        <v>0</v>
      </c>
      <c r="Q73" s="227">
        <f>(IF((VLOOKUP(Table10[[#This Row],[SKU]],'All Skus'!$A:$AC,2,FALSE))="Martin",(VLOOKUP(Table10[[#This Row],[SKU]],'All Skus'!$A:$AC,21,FALSE)),""))</f>
        <v>0</v>
      </c>
      <c r="R73" s="224" t="str">
        <f>(IF((VLOOKUP(Table10[[#This Row],[SKU]],'All Skus'!$A:$AC,2,FALSE))="Martin",(VLOOKUP(Table10[[#This Row],[SKU]],'All Skus'!$A:$AC,22,FALSE)),""))</f>
        <v>CN</v>
      </c>
      <c r="S73" s="223">
        <f>(IF((VLOOKUP(Table10[[#This Row],[SKU]],'All Skus'!$A:$AC,2,FALSE))="Martin",(VLOOKUP(Table10[[#This Row],[SKU]],'All Skus'!$A:$AC,23,FALSE)),""))</f>
        <v>0</v>
      </c>
      <c r="T73" s="212" t="str">
        <f>HYPERLINK((IF((VLOOKUP(Table10[[#This Row],[SKU]],'All Skus'!$A:$AC,2,FALSE))="Martin",(VLOOKUP(Table10[[#This Row],[SKU]],'All Skus'!$A:$AC,24,FALSE)),"")))</f>
        <v/>
      </c>
      <c r="U73" s="228">
        <v>71</v>
      </c>
    </row>
    <row r="74" spans="1:21" hidden="1">
      <c r="A74" s="114">
        <v>91616028</v>
      </c>
      <c r="B74" s="224" t="str">
        <f>(IF((VLOOKUP(Table10[[#This Row],[SKU]],'All Skus'!$A:$AC,2,FALSE))="Martin",(VLOOKUP(Table10[[#This Row],[SKU]],'All Skus'!$A:$AC,3,FALSE)),""))</f>
        <v>Accessories</v>
      </c>
      <c r="C74" s="223" t="str">
        <f>(IF((VLOOKUP(Table10[[#This Row],[SKU]],'All Skus'!$A:$AC,2,FALSE))="Martin",(VLOOKUP(Table10[[#This Row],[SKU]],'All Skus'!$A:$AC,4,FALSE)),""))</f>
        <v>Power+Data Cable PCB-PCB 800mm</v>
      </c>
      <c r="D74" s="224" t="str">
        <f>(IF((VLOOKUP(Table10[[#This Row],[SKU]],'All Skus'!$A:$AC,2,FALSE))="Martin",(VLOOKUP(Table10[[#This Row],[SKU]],'All Skus'!$A:$AC,5,FALSE)),""))</f>
        <v>MAR-ACC</v>
      </c>
      <c r="E74" s="223">
        <f>(IF((VLOOKUP(Table10[[#This Row],[SKU]],'All Skus'!$A:$AC,2,FALSE))="Martin",(VLOOKUP(Table10[[#This Row],[SKU]],'All Skus'!$A:$AC,6,FALSE)),""))</f>
        <v>0</v>
      </c>
      <c r="F74" s="155" t="str">
        <f>(IF((VLOOKUP(Table10[[#This Row],[SKU]],'All Skus'!$A:$AC,2,FALSE))="Martin",(VLOOKUP(Table10[[#This Row],[SKU]],'All Skus'!$A:$AC,7,FALSE)),""))</f>
        <v>EOL pre-notice - Will be submitted for EOL soon - But will remain available to support final VC-Grid/Strip sales</v>
      </c>
      <c r="G74" s="223" t="str">
        <f>(IF((VLOOKUP(Table10[[#This Row],[SKU]],'All Skus'!$A:$AC,2,FALSE))="Martin",(VLOOKUP(Table10[[#This Row],[SKU]],'All Skus'!$A:$AC,8,FALSE)),""))</f>
        <v>Power+Data Cable PCB-PCB 800mm</v>
      </c>
      <c r="H74" s="223" t="str">
        <f>(IF((VLOOKUP(Table10[[#This Row],[SKU]],'All Skus'!$A:$AC,2,FALSE))="Martin",(VLOOKUP(Table10[[#This Row],[SKU]],'All Skus'!$A:$AC,9,FALSE)),""))</f>
        <v>Power+Data Cable PCB-PCB 800mm</v>
      </c>
      <c r="I74" s="225">
        <f>(IF((VLOOKUP(Table10[[#This Row],[SKU]],'All Skus'!$A:$AC,2,FALSE))="Martin",(VLOOKUP(Table10[[#This Row],[SKU]],'All Skus'!$A:$AC,10,FALSE)),""))</f>
        <v>18.52</v>
      </c>
      <c r="J74" s="226">
        <f>(IF((VLOOKUP(Table10[[#This Row],[SKU]],'All Skus'!$A:$AC,2,FALSE))="Martin",(VLOOKUP(Table10[[#This Row],[SKU]],'All Skus'!$A:$AC,11,FALSE)),""))</f>
        <v>18.52</v>
      </c>
      <c r="K74" s="224">
        <f>(IF((VLOOKUP(Table10[[#This Row],[SKU]],'All Skus'!$A:$AC,2,FALSE))="Martin",(VLOOKUP(Table10[[#This Row],[SKU]],'All Skus'!$A:$AC,15,FALSE)),""))</f>
        <v>0</v>
      </c>
      <c r="L74" s="224">
        <f>(IF((VLOOKUP(Table10[[#This Row],[SKU]],'All Skus'!$A:$AC,2,FALSE))="Martin",(VLOOKUP(Table10[[#This Row],[SKU]],'All Skus'!$A:$AC,16,FALSE)),""))</f>
        <v>0</v>
      </c>
      <c r="M74" s="224">
        <f>(IF((VLOOKUP(Table10[[#This Row],[SKU]],'All Skus'!$A:$AC,2,FALSE))="Martin",(VLOOKUP(Table10[[#This Row],[SKU]],'All Skus'!$A:$AC,17,FALSE)),""))</f>
        <v>0</v>
      </c>
      <c r="N74" s="227">
        <f>(IF((VLOOKUP(Table10[[#This Row],[SKU]],'All Skus'!$A:$AC,2,FALSE))="Martin",(VLOOKUP(Table10[[#This Row],[SKU]],'All Skus'!$A:$AC,18,FALSE)),""))</f>
        <v>0</v>
      </c>
      <c r="O74" s="227">
        <f>(IF((VLOOKUP(Table10[[#This Row],[SKU]],'All Skus'!$A:$AC,2,FALSE))="Martin",(VLOOKUP(Table10[[#This Row],[SKU]],'All Skus'!$A:$AC,19,FALSE)),""))</f>
        <v>0</v>
      </c>
      <c r="P74" s="227">
        <f>(IF((VLOOKUP(Table10[[#This Row],[SKU]],'All Skus'!$A:$AC,2,FALSE))="Martin",(VLOOKUP(Table10[[#This Row],[SKU]],'All Skus'!$A:$AC,20,FALSE)),""))</f>
        <v>0</v>
      </c>
      <c r="Q74" s="227">
        <f>(IF((VLOOKUP(Table10[[#This Row],[SKU]],'All Skus'!$A:$AC,2,FALSE))="Martin",(VLOOKUP(Table10[[#This Row],[SKU]],'All Skus'!$A:$AC,21,FALSE)),""))</f>
        <v>0</v>
      </c>
      <c r="R74" s="224" t="str">
        <f>(IF((VLOOKUP(Table10[[#This Row],[SKU]],'All Skus'!$A:$AC,2,FALSE))="Martin",(VLOOKUP(Table10[[#This Row],[SKU]],'All Skus'!$A:$AC,22,FALSE)),""))</f>
        <v>CN</v>
      </c>
      <c r="S74" s="223" t="str">
        <f>(IF((VLOOKUP(Table10[[#This Row],[SKU]],'All Skus'!$A:$AC,2,FALSE))="Martin",(VLOOKUP(Table10[[#This Row],[SKU]],'All Skus'!$A:$AC,23,FALSE)),""))</f>
        <v>Non Compliant</v>
      </c>
      <c r="T74" s="212" t="str">
        <f>HYPERLINK((IF((VLOOKUP(Table10[[#This Row],[SKU]],'All Skus'!$A:$AC,2,FALSE))="Martin",(VLOOKUP(Table10[[#This Row],[SKU]],'All Skus'!$A:$AC,24,FALSE)),"")))</f>
        <v/>
      </c>
      <c r="U74" s="228">
        <v>72</v>
      </c>
    </row>
    <row r="75" spans="1:21" hidden="1">
      <c r="A75" s="114">
        <v>91616029</v>
      </c>
      <c r="B75" s="224" t="str">
        <f>(IF((VLOOKUP(Table10[[#This Row],[SKU]],'All Skus'!$A:$AC,2,FALSE))="Martin",(VLOOKUP(Table10[[#This Row],[SKU]],'All Skus'!$A:$AC,3,FALSE)),""))</f>
        <v>Accessories</v>
      </c>
      <c r="C75" s="223" t="str">
        <f>(IF((VLOOKUP(Table10[[#This Row],[SKU]],'All Skus'!$A:$AC,2,FALSE))="Martin",(VLOOKUP(Table10[[#This Row],[SKU]],'All Skus'!$A:$AC,4,FALSE)),""))</f>
        <v>Power+Data Cable PCB-PCB 1000mm</v>
      </c>
      <c r="D75" s="224" t="str">
        <f>(IF((VLOOKUP(Table10[[#This Row],[SKU]],'All Skus'!$A:$AC,2,FALSE))="Martin",(VLOOKUP(Table10[[#This Row],[SKU]],'All Skus'!$A:$AC,5,FALSE)),""))</f>
        <v>MAR-ACC</v>
      </c>
      <c r="E75" s="223">
        <f>(IF((VLOOKUP(Table10[[#This Row],[SKU]],'All Skus'!$A:$AC,2,FALSE))="Martin",(VLOOKUP(Table10[[#This Row],[SKU]],'All Skus'!$A:$AC,6,FALSE)),""))</f>
        <v>0</v>
      </c>
      <c r="F75" s="155" t="str">
        <f>(IF((VLOOKUP(Table10[[#This Row],[SKU]],'All Skus'!$A:$AC,2,FALSE))="Martin",(VLOOKUP(Table10[[#This Row],[SKU]],'All Skus'!$A:$AC,7,FALSE)),""))</f>
        <v>EOL pre-notice - Will be submitted for EOL soon - But will remain available to support final VC-Grid/Strip sales</v>
      </c>
      <c r="G75" s="223" t="str">
        <f>(IF((VLOOKUP(Table10[[#This Row],[SKU]],'All Skus'!$A:$AC,2,FALSE))="Martin",(VLOOKUP(Table10[[#This Row],[SKU]],'All Skus'!$A:$AC,8,FALSE)),""))</f>
        <v>Power+Data Cable PCB-PCB 1000mm</v>
      </c>
      <c r="H75" s="223" t="str">
        <f>(IF((VLOOKUP(Table10[[#This Row],[SKU]],'All Skus'!$A:$AC,2,FALSE))="Martin",(VLOOKUP(Table10[[#This Row],[SKU]],'All Skus'!$A:$AC,9,FALSE)),""))</f>
        <v>Power+Data Cable PCB-PCB 1000mm</v>
      </c>
      <c r="I75" s="225">
        <f>(IF((VLOOKUP(Table10[[#This Row],[SKU]],'All Skus'!$A:$AC,2,FALSE))="Martin",(VLOOKUP(Table10[[#This Row],[SKU]],'All Skus'!$A:$AC,10,FALSE)),""))</f>
        <v>20.99</v>
      </c>
      <c r="J75" s="226">
        <f>(IF((VLOOKUP(Table10[[#This Row],[SKU]],'All Skus'!$A:$AC,2,FALSE))="Martin",(VLOOKUP(Table10[[#This Row],[SKU]],'All Skus'!$A:$AC,11,FALSE)),""))</f>
        <v>20.99</v>
      </c>
      <c r="K75" s="224">
        <f>(IF((VLOOKUP(Table10[[#This Row],[SKU]],'All Skus'!$A:$AC,2,FALSE))="Martin",(VLOOKUP(Table10[[#This Row],[SKU]],'All Skus'!$A:$AC,15,FALSE)),""))</f>
        <v>0</v>
      </c>
      <c r="L75" s="224">
        <f>(IF((VLOOKUP(Table10[[#This Row],[SKU]],'All Skus'!$A:$AC,2,FALSE))="Martin",(VLOOKUP(Table10[[#This Row],[SKU]],'All Skus'!$A:$AC,16,FALSE)),""))</f>
        <v>0</v>
      </c>
      <c r="M75" s="224">
        <f>(IF((VLOOKUP(Table10[[#This Row],[SKU]],'All Skus'!$A:$AC,2,FALSE))="Martin",(VLOOKUP(Table10[[#This Row],[SKU]],'All Skus'!$A:$AC,17,FALSE)),""))</f>
        <v>0</v>
      </c>
      <c r="N75" s="227">
        <f>(IF((VLOOKUP(Table10[[#This Row],[SKU]],'All Skus'!$A:$AC,2,FALSE))="Martin",(VLOOKUP(Table10[[#This Row],[SKU]],'All Skus'!$A:$AC,18,FALSE)),""))</f>
        <v>0</v>
      </c>
      <c r="O75" s="227">
        <f>(IF((VLOOKUP(Table10[[#This Row],[SKU]],'All Skus'!$A:$AC,2,FALSE))="Martin",(VLOOKUP(Table10[[#This Row],[SKU]],'All Skus'!$A:$AC,19,FALSE)),""))</f>
        <v>0</v>
      </c>
      <c r="P75" s="227">
        <f>(IF((VLOOKUP(Table10[[#This Row],[SKU]],'All Skus'!$A:$AC,2,FALSE))="Martin",(VLOOKUP(Table10[[#This Row],[SKU]],'All Skus'!$A:$AC,20,FALSE)),""))</f>
        <v>0</v>
      </c>
      <c r="Q75" s="227">
        <f>(IF((VLOOKUP(Table10[[#This Row],[SKU]],'All Skus'!$A:$AC,2,FALSE))="Martin",(VLOOKUP(Table10[[#This Row],[SKU]],'All Skus'!$A:$AC,21,FALSE)),""))</f>
        <v>0</v>
      </c>
      <c r="R75" s="224" t="str">
        <f>(IF((VLOOKUP(Table10[[#This Row],[SKU]],'All Skus'!$A:$AC,2,FALSE))="Martin",(VLOOKUP(Table10[[#This Row],[SKU]],'All Skus'!$A:$AC,22,FALSE)),""))</f>
        <v>CN</v>
      </c>
      <c r="S75" s="223" t="str">
        <f>(IF((VLOOKUP(Table10[[#This Row],[SKU]],'All Skus'!$A:$AC,2,FALSE))="Martin",(VLOOKUP(Table10[[#This Row],[SKU]],'All Skus'!$A:$AC,23,FALSE)),""))</f>
        <v>Non Compliant</v>
      </c>
      <c r="T75" s="212" t="str">
        <f>HYPERLINK((IF((VLOOKUP(Table10[[#This Row],[SKU]],'All Skus'!$A:$AC,2,FALSE))="Martin",(VLOOKUP(Table10[[#This Row],[SKU]],'All Skus'!$A:$AC,24,FALSE)),"")))</f>
        <v/>
      </c>
      <c r="U75" s="228">
        <v>73</v>
      </c>
    </row>
    <row r="76" spans="1:21" hidden="1">
      <c r="A76" s="115" t="s">
        <v>1973</v>
      </c>
      <c r="B76" s="224">
        <f>(IF((VLOOKUP(Table10[[#This Row],[SKU]],'All Skus'!$A:$AC,2,FALSE))="Martin",(VLOOKUP(Table10[[#This Row],[SKU]],'All Skus'!$A:$AC,3,FALSE)),""))</f>
        <v>0</v>
      </c>
      <c r="C76" s="223">
        <f>(IF((VLOOKUP(Table10[[#This Row],[SKU]],'All Skus'!$A:$AC,2,FALSE))="Martin",(VLOOKUP(Table10[[#This Row],[SKU]],'All Skus'!$A:$AC,4,FALSE)),""))</f>
        <v>0</v>
      </c>
      <c r="D76" s="224">
        <f>(IF((VLOOKUP(Table10[[#This Row],[SKU]],'All Skus'!$A:$AC,2,FALSE))="Martin",(VLOOKUP(Table10[[#This Row],[SKU]],'All Skus'!$A:$AC,5,FALSE)),""))</f>
        <v>0</v>
      </c>
      <c r="E76" s="223">
        <f>(IF((VLOOKUP(Table10[[#This Row],[SKU]],'All Skus'!$A:$AC,2,FALSE))="Martin",(VLOOKUP(Table10[[#This Row],[SKU]],'All Skus'!$A:$AC,6,FALSE)),""))</f>
        <v>0</v>
      </c>
      <c r="F76" s="155">
        <f>(IF((VLOOKUP(Table10[[#This Row],[SKU]],'All Skus'!$A:$AC,2,FALSE))="Martin",(VLOOKUP(Table10[[#This Row],[SKU]],'All Skus'!$A:$AC,7,FALSE)),""))</f>
        <v>0</v>
      </c>
      <c r="G76" s="223">
        <f>(IF((VLOOKUP(Table10[[#This Row],[SKU]],'All Skus'!$A:$AC,2,FALSE))="Martin",(VLOOKUP(Table10[[#This Row],[SKU]],'All Skus'!$A:$AC,8,FALSE)),""))</f>
        <v>0</v>
      </c>
      <c r="H76" s="223">
        <f>(IF((VLOOKUP(Table10[[#This Row],[SKU]],'All Skus'!$A:$AC,2,FALSE))="Martin",(VLOOKUP(Table10[[#This Row],[SKU]],'All Skus'!$A:$AC,9,FALSE)),""))</f>
        <v>0</v>
      </c>
      <c r="I76" s="225">
        <f>(IF((VLOOKUP(Table10[[#This Row],[SKU]],'All Skus'!$A:$AC,2,FALSE))="Martin",(VLOOKUP(Table10[[#This Row],[SKU]],'All Skus'!$A:$AC,10,FALSE)),""))</f>
        <v>0</v>
      </c>
      <c r="J76" s="226">
        <f>(IF((VLOOKUP(Table10[[#This Row],[SKU]],'All Skus'!$A:$AC,2,FALSE))="Martin",(VLOOKUP(Table10[[#This Row],[SKU]],'All Skus'!$A:$AC,11,FALSE)),""))</f>
        <v>0</v>
      </c>
      <c r="K76" s="224">
        <f>(IF((VLOOKUP(Table10[[#This Row],[SKU]],'All Skus'!$A:$AC,2,FALSE))="Martin",(VLOOKUP(Table10[[#This Row],[SKU]],'All Skus'!$A:$AC,15,FALSE)),""))</f>
        <v>0</v>
      </c>
      <c r="L76" s="224">
        <f>(IF((VLOOKUP(Table10[[#This Row],[SKU]],'All Skus'!$A:$AC,2,FALSE))="Martin",(VLOOKUP(Table10[[#This Row],[SKU]],'All Skus'!$A:$AC,16,FALSE)),""))</f>
        <v>0</v>
      </c>
      <c r="M76" s="224">
        <f>(IF((VLOOKUP(Table10[[#This Row],[SKU]],'All Skus'!$A:$AC,2,FALSE))="Martin",(VLOOKUP(Table10[[#This Row],[SKU]],'All Skus'!$A:$AC,17,FALSE)),""))</f>
        <v>0</v>
      </c>
      <c r="N76" s="227">
        <f>(IF((VLOOKUP(Table10[[#This Row],[SKU]],'All Skus'!$A:$AC,2,FALSE))="Martin",(VLOOKUP(Table10[[#This Row],[SKU]],'All Skus'!$A:$AC,18,FALSE)),""))</f>
        <v>0</v>
      </c>
      <c r="O76" s="227">
        <f>(IF((VLOOKUP(Table10[[#This Row],[SKU]],'All Skus'!$A:$AC,2,FALSE))="Martin",(VLOOKUP(Table10[[#This Row],[SKU]],'All Skus'!$A:$AC,19,FALSE)),""))</f>
        <v>0</v>
      </c>
      <c r="P76" s="227">
        <f>(IF((VLOOKUP(Table10[[#This Row],[SKU]],'All Skus'!$A:$AC,2,FALSE))="Martin",(VLOOKUP(Table10[[#This Row],[SKU]],'All Skus'!$A:$AC,20,FALSE)),""))</f>
        <v>0</v>
      </c>
      <c r="Q76" s="227">
        <f>(IF((VLOOKUP(Table10[[#This Row],[SKU]],'All Skus'!$A:$AC,2,FALSE))="Martin",(VLOOKUP(Table10[[#This Row],[SKU]],'All Skus'!$A:$AC,21,FALSE)),""))</f>
        <v>0</v>
      </c>
      <c r="R76" s="224">
        <f>(IF((VLOOKUP(Table10[[#This Row],[SKU]],'All Skus'!$A:$AC,2,FALSE))="Martin",(VLOOKUP(Table10[[#This Row],[SKU]],'All Skus'!$A:$AC,22,FALSE)),""))</f>
        <v>0</v>
      </c>
      <c r="S76" s="223">
        <f>(IF((VLOOKUP(Table10[[#This Row],[SKU]],'All Skus'!$A:$AC,2,FALSE))="Martin",(VLOOKUP(Table10[[#This Row],[SKU]],'All Skus'!$A:$AC,23,FALSE)),""))</f>
        <v>0</v>
      </c>
      <c r="T76" s="212" t="str">
        <f>HYPERLINK((IF((VLOOKUP(Table10[[#This Row],[SKU]],'All Skus'!$A:$AC,2,FALSE))="Martin",(VLOOKUP(Table10[[#This Row],[SKU]],'All Skus'!$A:$AC,24,FALSE)),"")))</f>
        <v/>
      </c>
      <c r="U76" s="228">
        <v>74</v>
      </c>
    </row>
    <row r="77" spans="1:21" hidden="1">
      <c r="A77" s="114">
        <v>91616030</v>
      </c>
      <c r="B77" s="224" t="str">
        <f>(IF((VLOOKUP(Table10[[#This Row],[SKU]],'All Skus'!$A:$AC,2,FALSE))="Martin",(VLOOKUP(Table10[[#This Row],[SKU]],'All Skus'!$A:$AC,3,FALSE)),""))</f>
        <v>Accessories</v>
      </c>
      <c r="C77" s="223" t="str">
        <f>(IF((VLOOKUP(Table10[[#This Row],[SKU]],'All Skus'!$A:$AC,2,FALSE))="Martin",(VLOOKUP(Table10[[#This Row],[SKU]],'All Skus'!$A:$AC,4,FALSE)),""))</f>
        <v>Power+Data Cable XLR4-XLR4 1m</v>
      </c>
      <c r="D77" s="224" t="str">
        <f>(IF((VLOOKUP(Table10[[#This Row],[SKU]],'All Skus'!$A:$AC,2,FALSE))="Martin",(VLOOKUP(Table10[[#This Row],[SKU]],'All Skus'!$A:$AC,5,FALSE)),""))</f>
        <v>MAR-ACC</v>
      </c>
      <c r="E77" s="223">
        <f>(IF((VLOOKUP(Table10[[#This Row],[SKU]],'All Skus'!$A:$AC,2,FALSE))="Martin",(VLOOKUP(Table10[[#This Row],[SKU]],'All Skus'!$A:$AC,6,FALSE)),""))</f>
        <v>0</v>
      </c>
      <c r="F77" s="155" t="str">
        <f>(IF((VLOOKUP(Table10[[#This Row],[SKU]],'All Skus'!$A:$AC,2,FALSE))="Martin",(VLOOKUP(Table10[[#This Row],[SKU]],'All Skus'!$A:$AC,7,FALSE)),""))</f>
        <v>EOL pre-notice - Will be submitted for EOL soon - But will remain available to support final VC-Grid/Strip sales</v>
      </c>
      <c r="G77" s="223" t="str">
        <f>(IF((VLOOKUP(Table10[[#This Row],[SKU]],'All Skus'!$A:$AC,2,FALSE))="Martin",(VLOOKUP(Table10[[#This Row],[SKU]],'All Skus'!$A:$AC,8,FALSE)),""))</f>
        <v>Power+Data Cable XLR4-XLR4 1m</v>
      </c>
      <c r="H77" s="223" t="str">
        <f>(IF((VLOOKUP(Table10[[#This Row],[SKU]],'All Skus'!$A:$AC,2,FALSE))="Martin",(VLOOKUP(Table10[[#This Row],[SKU]],'All Skus'!$A:$AC,9,FALSE)),""))</f>
        <v>Power+Data Cable XLR4-XLR4 1m</v>
      </c>
      <c r="I77" s="225">
        <f>(IF((VLOOKUP(Table10[[#This Row],[SKU]],'All Skus'!$A:$AC,2,FALSE))="Martin",(VLOOKUP(Table10[[#This Row],[SKU]],'All Skus'!$A:$AC,10,FALSE)),""))</f>
        <v>54.33</v>
      </c>
      <c r="J77" s="226">
        <f>(IF((VLOOKUP(Table10[[#This Row],[SKU]],'All Skus'!$A:$AC,2,FALSE))="Martin",(VLOOKUP(Table10[[#This Row],[SKU]],'All Skus'!$A:$AC,11,FALSE)),""))</f>
        <v>54.33</v>
      </c>
      <c r="K77" s="224">
        <f>(IF((VLOOKUP(Table10[[#This Row],[SKU]],'All Skus'!$A:$AC,2,FALSE))="Martin",(VLOOKUP(Table10[[#This Row],[SKU]],'All Skus'!$A:$AC,15,FALSE)),""))</f>
        <v>0</v>
      </c>
      <c r="L77" s="224">
        <f>(IF((VLOOKUP(Table10[[#This Row],[SKU]],'All Skus'!$A:$AC,2,FALSE))="Martin",(VLOOKUP(Table10[[#This Row],[SKU]],'All Skus'!$A:$AC,16,FALSE)),""))</f>
        <v>0</v>
      </c>
      <c r="M77" s="224">
        <f>(IF((VLOOKUP(Table10[[#This Row],[SKU]],'All Skus'!$A:$AC,2,FALSE))="Martin",(VLOOKUP(Table10[[#This Row],[SKU]],'All Skus'!$A:$AC,17,FALSE)),""))</f>
        <v>0</v>
      </c>
      <c r="N77" s="227">
        <f>(IF((VLOOKUP(Table10[[#This Row],[SKU]],'All Skus'!$A:$AC,2,FALSE))="Martin",(VLOOKUP(Table10[[#This Row],[SKU]],'All Skus'!$A:$AC,18,FALSE)),""))</f>
        <v>0</v>
      </c>
      <c r="O77" s="227">
        <f>(IF((VLOOKUP(Table10[[#This Row],[SKU]],'All Skus'!$A:$AC,2,FALSE))="Martin",(VLOOKUP(Table10[[#This Row],[SKU]],'All Skus'!$A:$AC,19,FALSE)),""))</f>
        <v>0</v>
      </c>
      <c r="P77" s="227">
        <f>(IF((VLOOKUP(Table10[[#This Row],[SKU]],'All Skus'!$A:$AC,2,FALSE))="Martin",(VLOOKUP(Table10[[#This Row],[SKU]],'All Skus'!$A:$AC,20,FALSE)),""))</f>
        <v>0</v>
      </c>
      <c r="Q77" s="227">
        <f>(IF((VLOOKUP(Table10[[#This Row],[SKU]],'All Skus'!$A:$AC,2,FALSE))="Martin",(VLOOKUP(Table10[[#This Row],[SKU]],'All Skus'!$A:$AC,21,FALSE)),""))</f>
        <v>0</v>
      </c>
      <c r="R77" s="224" t="str">
        <f>(IF((VLOOKUP(Table10[[#This Row],[SKU]],'All Skus'!$A:$AC,2,FALSE))="Martin",(VLOOKUP(Table10[[#This Row],[SKU]],'All Skus'!$A:$AC,22,FALSE)),""))</f>
        <v>CN</v>
      </c>
      <c r="S77" s="223" t="str">
        <f>(IF((VLOOKUP(Table10[[#This Row],[SKU]],'All Skus'!$A:$AC,2,FALSE))="Martin",(VLOOKUP(Table10[[#This Row],[SKU]],'All Skus'!$A:$AC,23,FALSE)),""))</f>
        <v>Non Compliant</v>
      </c>
      <c r="T77" s="212" t="str">
        <f>HYPERLINK((IF((VLOOKUP(Table10[[#This Row],[SKU]],'All Skus'!$A:$AC,2,FALSE))="Martin",(VLOOKUP(Table10[[#This Row],[SKU]],'All Skus'!$A:$AC,24,FALSE)),"")))</f>
        <v/>
      </c>
      <c r="U77" s="228">
        <v>75</v>
      </c>
    </row>
    <row r="78" spans="1:21" hidden="1">
      <c r="A78" s="114">
        <v>91616031</v>
      </c>
      <c r="B78" s="224" t="str">
        <f>(IF((VLOOKUP(Table10[[#This Row],[SKU]],'All Skus'!$A:$AC,2,FALSE))="Martin",(VLOOKUP(Table10[[#This Row],[SKU]],'All Skus'!$A:$AC,3,FALSE)),""))</f>
        <v>Accessories</v>
      </c>
      <c r="C78" s="223" t="str">
        <f>(IF((VLOOKUP(Table10[[#This Row],[SKU]],'All Skus'!$A:$AC,2,FALSE))="Martin",(VLOOKUP(Table10[[#This Row],[SKU]],'All Skus'!$A:$AC,4,FALSE)),""))</f>
        <v>Power+Data Cable XLR4-XLR4 2,5m</v>
      </c>
      <c r="D78" s="224" t="str">
        <f>(IF((VLOOKUP(Table10[[#This Row],[SKU]],'All Skus'!$A:$AC,2,FALSE))="Martin",(VLOOKUP(Table10[[#This Row],[SKU]],'All Skus'!$A:$AC,5,FALSE)),""))</f>
        <v>MAR-ACC</v>
      </c>
      <c r="E78" s="223">
        <f>(IF((VLOOKUP(Table10[[#This Row],[SKU]],'All Skus'!$A:$AC,2,FALSE))="Martin",(VLOOKUP(Table10[[#This Row],[SKU]],'All Skus'!$A:$AC,6,FALSE)),""))</f>
        <v>0</v>
      </c>
      <c r="F78" s="155" t="str">
        <f>(IF((VLOOKUP(Table10[[#This Row],[SKU]],'All Skus'!$A:$AC,2,FALSE))="Martin",(VLOOKUP(Table10[[#This Row],[SKU]],'All Skus'!$A:$AC,7,FALSE)),""))</f>
        <v>EOL pre-notice - Will be submitted for EOL soon - But will remain available to support final VC-Grid/Strip sales</v>
      </c>
      <c r="G78" s="223" t="str">
        <f>(IF((VLOOKUP(Table10[[#This Row],[SKU]],'All Skus'!$A:$AC,2,FALSE))="Martin",(VLOOKUP(Table10[[#This Row],[SKU]],'All Skus'!$A:$AC,8,FALSE)),""))</f>
        <v>Power+Data Cable XLR4-XLR4 2,5m</v>
      </c>
      <c r="H78" s="223" t="str">
        <f>(IF((VLOOKUP(Table10[[#This Row],[SKU]],'All Skus'!$A:$AC,2,FALSE))="Martin",(VLOOKUP(Table10[[#This Row],[SKU]],'All Skus'!$A:$AC,9,FALSE)),""))</f>
        <v>Power+Data Cable XLR4-XLR4 2,5m</v>
      </c>
      <c r="I78" s="225">
        <f>(IF((VLOOKUP(Table10[[#This Row],[SKU]],'All Skus'!$A:$AC,2,FALSE))="Martin",(VLOOKUP(Table10[[#This Row],[SKU]],'All Skus'!$A:$AC,10,FALSE)),""))</f>
        <v>62.97</v>
      </c>
      <c r="J78" s="226">
        <f>(IF((VLOOKUP(Table10[[#This Row],[SKU]],'All Skus'!$A:$AC,2,FALSE))="Martin",(VLOOKUP(Table10[[#This Row],[SKU]],'All Skus'!$A:$AC,11,FALSE)),""))</f>
        <v>62.97</v>
      </c>
      <c r="K78" s="224">
        <f>(IF((VLOOKUP(Table10[[#This Row],[SKU]],'All Skus'!$A:$AC,2,FALSE))="Martin",(VLOOKUP(Table10[[#This Row],[SKU]],'All Skus'!$A:$AC,15,FALSE)),""))</f>
        <v>0</v>
      </c>
      <c r="L78" s="224">
        <f>(IF((VLOOKUP(Table10[[#This Row],[SKU]],'All Skus'!$A:$AC,2,FALSE))="Martin",(VLOOKUP(Table10[[#This Row],[SKU]],'All Skus'!$A:$AC,16,FALSE)),""))</f>
        <v>0</v>
      </c>
      <c r="M78" s="224">
        <f>(IF((VLOOKUP(Table10[[#This Row],[SKU]],'All Skus'!$A:$AC,2,FALSE))="Martin",(VLOOKUP(Table10[[#This Row],[SKU]],'All Skus'!$A:$AC,17,FALSE)),""))</f>
        <v>0</v>
      </c>
      <c r="N78" s="227">
        <f>(IF((VLOOKUP(Table10[[#This Row],[SKU]],'All Skus'!$A:$AC,2,FALSE))="Martin",(VLOOKUP(Table10[[#This Row],[SKU]],'All Skus'!$A:$AC,18,FALSE)),""))</f>
        <v>0</v>
      </c>
      <c r="O78" s="227">
        <f>(IF((VLOOKUP(Table10[[#This Row],[SKU]],'All Skus'!$A:$AC,2,FALSE))="Martin",(VLOOKUP(Table10[[#This Row],[SKU]],'All Skus'!$A:$AC,19,FALSE)),""))</f>
        <v>0</v>
      </c>
      <c r="P78" s="227">
        <f>(IF((VLOOKUP(Table10[[#This Row],[SKU]],'All Skus'!$A:$AC,2,FALSE))="Martin",(VLOOKUP(Table10[[#This Row],[SKU]],'All Skus'!$A:$AC,20,FALSE)),""))</f>
        <v>0</v>
      </c>
      <c r="Q78" s="227">
        <f>(IF((VLOOKUP(Table10[[#This Row],[SKU]],'All Skus'!$A:$AC,2,FALSE))="Martin",(VLOOKUP(Table10[[#This Row],[SKU]],'All Skus'!$A:$AC,21,FALSE)),""))</f>
        <v>0</v>
      </c>
      <c r="R78" s="224" t="str">
        <f>(IF((VLOOKUP(Table10[[#This Row],[SKU]],'All Skus'!$A:$AC,2,FALSE))="Martin",(VLOOKUP(Table10[[#This Row],[SKU]],'All Skus'!$A:$AC,22,FALSE)),""))</f>
        <v>CN</v>
      </c>
      <c r="S78" s="223" t="str">
        <f>(IF((VLOOKUP(Table10[[#This Row],[SKU]],'All Skus'!$A:$AC,2,FALSE))="Martin",(VLOOKUP(Table10[[#This Row],[SKU]],'All Skus'!$A:$AC,23,FALSE)),""))</f>
        <v>Non Compliant</v>
      </c>
      <c r="T78" s="212" t="str">
        <f>HYPERLINK((IF((VLOOKUP(Table10[[#This Row],[SKU]],'All Skus'!$A:$AC,2,FALSE))="Martin",(VLOOKUP(Table10[[#This Row],[SKU]],'All Skus'!$A:$AC,24,FALSE)),"")))</f>
        <v/>
      </c>
      <c r="U78" s="228">
        <v>76</v>
      </c>
    </row>
    <row r="79" spans="1:21" hidden="1">
      <c r="A79" s="114">
        <v>91616032</v>
      </c>
      <c r="B79" s="224" t="str">
        <f>(IF((VLOOKUP(Table10[[#This Row],[SKU]],'All Skus'!$A:$AC,2,FALSE))="Martin",(VLOOKUP(Table10[[#This Row],[SKU]],'All Skus'!$A:$AC,3,FALSE)),""))</f>
        <v>Accessories</v>
      </c>
      <c r="C79" s="223" t="str">
        <f>(IF((VLOOKUP(Table10[[#This Row],[SKU]],'All Skus'!$A:$AC,2,FALSE))="Martin",(VLOOKUP(Table10[[#This Row],[SKU]],'All Skus'!$A:$AC,4,FALSE)),""))</f>
        <v>Power+Data Cable XLR4-XLR4 5m</v>
      </c>
      <c r="D79" s="224" t="str">
        <f>(IF((VLOOKUP(Table10[[#This Row],[SKU]],'All Skus'!$A:$AC,2,FALSE))="Martin",(VLOOKUP(Table10[[#This Row],[SKU]],'All Skus'!$A:$AC,5,FALSE)),""))</f>
        <v>MAR-ACC</v>
      </c>
      <c r="E79" s="223">
        <f>(IF((VLOOKUP(Table10[[#This Row],[SKU]],'All Skus'!$A:$AC,2,FALSE))="Martin",(VLOOKUP(Table10[[#This Row],[SKU]],'All Skus'!$A:$AC,6,FALSE)),""))</f>
        <v>0</v>
      </c>
      <c r="F79" s="155" t="str">
        <f>(IF((VLOOKUP(Table10[[#This Row],[SKU]],'All Skus'!$A:$AC,2,FALSE))="Martin",(VLOOKUP(Table10[[#This Row],[SKU]],'All Skus'!$A:$AC,7,FALSE)),""))</f>
        <v>EOL pre-notice - Will be submitted for EOL soon - But will remain available to support final VC-Grid/Strip sales</v>
      </c>
      <c r="G79" s="223" t="str">
        <f>(IF((VLOOKUP(Table10[[#This Row],[SKU]],'All Skus'!$A:$AC,2,FALSE))="Martin",(VLOOKUP(Table10[[#This Row],[SKU]],'All Skus'!$A:$AC,8,FALSE)),""))</f>
        <v>Power+Data Cable XLR4-XLR4 5m</v>
      </c>
      <c r="H79" s="223" t="str">
        <f>(IF((VLOOKUP(Table10[[#This Row],[SKU]],'All Skus'!$A:$AC,2,FALSE))="Martin",(VLOOKUP(Table10[[#This Row],[SKU]],'All Skus'!$A:$AC,9,FALSE)),""))</f>
        <v>Power+Data Cable XLR4-XLR4 5m</v>
      </c>
      <c r="I79" s="225">
        <f>(IF((VLOOKUP(Table10[[#This Row],[SKU]],'All Skus'!$A:$AC,2,FALSE))="Martin",(VLOOKUP(Table10[[#This Row],[SKU]],'All Skus'!$A:$AC,10,FALSE)),""))</f>
        <v>76.56</v>
      </c>
      <c r="J79" s="226">
        <f>(IF((VLOOKUP(Table10[[#This Row],[SKU]],'All Skus'!$A:$AC,2,FALSE))="Martin",(VLOOKUP(Table10[[#This Row],[SKU]],'All Skus'!$A:$AC,11,FALSE)),""))</f>
        <v>76.56</v>
      </c>
      <c r="K79" s="224">
        <f>(IF((VLOOKUP(Table10[[#This Row],[SKU]],'All Skus'!$A:$AC,2,FALSE))="Martin",(VLOOKUP(Table10[[#This Row],[SKU]],'All Skus'!$A:$AC,15,FALSE)),""))</f>
        <v>0</v>
      </c>
      <c r="L79" s="224">
        <f>(IF((VLOOKUP(Table10[[#This Row],[SKU]],'All Skus'!$A:$AC,2,FALSE))="Martin",(VLOOKUP(Table10[[#This Row],[SKU]],'All Skus'!$A:$AC,16,FALSE)),""))</f>
        <v>0</v>
      </c>
      <c r="M79" s="224">
        <f>(IF((VLOOKUP(Table10[[#This Row],[SKU]],'All Skus'!$A:$AC,2,FALSE))="Martin",(VLOOKUP(Table10[[#This Row],[SKU]],'All Skus'!$A:$AC,17,FALSE)),""))</f>
        <v>0</v>
      </c>
      <c r="N79" s="227">
        <f>(IF((VLOOKUP(Table10[[#This Row],[SKU]],'All Skus'!$A:$AC,2,FALSE))="Martin",(VLOOKUP(Table10[[#This Row],[SKU]],'All Skus'!$A:$AC,18,FALSE)),""))</f>
        <v>0</v>
      </c>
      <c r="O79" s="227">
        <f>(IF((VLOOKUP(Table10[[#This Row],[SKU]],'All Skus'!$A:$AC,2,FALSE))="Martin",(VLOOKUP(Table10[[#This Row],[SKU]],'All Skus'!$A:$AC,19,FALSE)),""))</f>
        <v>0</v>
      </c>
      <c r="P79" s="227">
        <f>(IF((VLOOKUP(Table10[[#This Row],[SKU]],'All Skus'!$A:$AC,2,FALSE))="Martin",(VLOOKUP(Table10[[#This Row],[SKU]],'All Skus'!$A:$AC,20,FALSE)),""))</f>
        <v>0</v>
      </c>
      <c r="Q79" s="227">
        <f>(IF((VLOOKUP(Table10[[#This Row],[SKU]],'All Skus'!$A:$AC,2,FALSE))="Martin",(VLOOKUP(Table10[[#This Row],[SKU]],'All Skus'!$A:$AC,21,FALSE)),""))</f>
        <v>0</v>
      </c>
      <c r="R79" s="224" t="str">
        <f>(IF((VLOOKUP(Table10[[#This Row],[SKU]],'All Skus'!$A:$AC,2,FALSE))="Martin",(VLOOKUP(Table10[[#This Row],[SKU]],'All Skus'!$A:$AC,22,FALSE)),""))</f>
        <v>CN</v>
      </c>
      <c r="S79" s="223" t="str">
        <f>(IF((VLOOKUP(Table10[[#This Row],[SKU]],'All Skus'!$A:$AC,2,FALSE))="Martin",(VLOOKUP(Table10[[#This Row],[SKU]],'All Skus'!$A:$AC,23,FALSE)),""))</f>
        <v>Non Compliant</v>
      </c>
      <c r="T79" s="212" t="str">
        <f>HYPERLINK((IF((VLOOKUP(Table10[[#This Row],[SKU]],'All Skus'!$A:$AC,2,FALSE))="Martin",(VLOOKUP(Table10[[#This Row],[SKU]],'All Skus'!$A:$AC,24,FALSE)),"")))</f>
        <v/>
      </c>
      <c r="U79" s="228">
        <v>77</v>
      </c>
    </row>
    <row r="80" spans="1:21" hidden="1">
      <c r="A80" s="114">
        <v>91616033</v>
      </c>
      <c r="B80" s="224" t="str">
        <f>(IF((VLOOKUP(Table10[[#This Row],[SKU]],'All Skus'!$A:$AC,2,FALSE))="Martin",(VLOOKUP(Table10[[#This Row],[SKU]],'All Skus'!$A:$AC,3,FALSE)),""))</f>
        <v>Accessories</v>
      </c>
      <c r="C80" s="223" t="str">
        <f>(IF((VLOOKUP(Table10[[#This Row],[SKU]],'All Skus'!$A:$AC,2,FALSE))="Martin",(VLOOKUP(Table10[[#This Row],[SKU]],'All Skus'!$A:$AC,4,FALSE)),""))</f>
        <v>Power+Data Cable XLR4-XLR4 10m</v>
      </c>
      <c r="D80" s="224" t="str">
        <f>(IF((VLOOKUP(Table10[[#This Row],[SKU]],'All Skus'!$A:$AC,2,FALSE))="Martin",(VLOOKUP(Table10[[#This Row],[SKU]],'All Skus'!$A:$AC,5,FALSE)),""))</f>
        <v>MAR-ACC</v>
      </c>
      <c r="E80" s="223">
        <f>(IF((VLOOKUP(Table10[[#This Row],[SKU]],'All Skus'!$A:$AC,2,FALSE))="Martin",(VLOOKUP(Table10[[#This Row],[SKU]],'All Skus'!$A:$AC,6,FALSE)),""))</f>
        <v>0</v>
      </c>
      <c r="F80" s="155" t="str">
        <f>(IF((VLOOKUP(Table10[[#This Row],[SKU]],'All Skus'!$A:$AC,2,FALSE))="Martin",(VLOOKUP(Table10[[#This Row],[SKU]],'All Skus'!$A:$AC,7,FALSE)),""))</f>
        <v>EOL pre-notice - Will be submitted for EOL soon - But will remain available to support final VC-Grid/Strip sales</v>
      </c>
      <c r="G80" s="223" t="str">
        <f>(IF((VLOOKUP(Table10[[#This Row],[SKU]],'All Skus'!$A:$AC,2,FALSE))="Martin",(VLOOKUP(Table10[[#This Row],[SKU]],'All Skus'!$A:$AC,8,FALSE)),""))</f>
        <v>Power+Data Cable XLR4-XLR4 10m</v>
      </c>
      <c r="H80" s="223" t="str">
        <f>(IF((VLOOKUP(Table10[[#This Row],[SKU]],'All Skus'!$A:$AC,2,FALSE))="Martin",(VLOOKUP(Table10[[#This Row],[SKU]],'All Skus'!$A:$AC,9,FALSE)),""))</f>
        <v>Power+Data Cable XLR4-XLR4 10m</v>
      </c>
      <c r="I80" s="225">
        <f>(IF((VLOOKUP(Table10[[#This Row],[SKU]],'All Skus'!$A:$AC,2,FALSE))="Martin",(VLOOKUP(Table10[[#This Row],[SKU]],'All Skus'!$A:$AC,10,FALSE)),""))</f>
        <v>106.19</v>
      </c>
      <c r="J80" s="226">
        <f>(IF((VLOOKUP(Table10[[#This Row],[SKU]],'All Skus'!$A:$AC,2,FALSE))="Martin",(VLOOKUP(Table10[[#This Row],[SKU]],'All Skus'!$A:$AC,11,FALSE)),""))</f>
        <v>106.19</v>
      </c>
      <c r="K80" s="224">
        <f>(IF((VLOOKUP(Table10[[#This Row],[SKU]],'All Skus'!$A:$AC,2,FALSE))="Martin",(VLOOKUP(Table10[[#This Row],[SKU]],'All Skus'!$A:$AC,15,FALSE)),""))</f>
        <v>0</v>
      </c>
      <c r="L80" s="224">
        <f>(IF((VLOOKUP(Table10[[#This Row],[SKU]],'All Skus'!$A:$AC,2,FALSE))="Martin",(VLOOKUP(Table10[[#This Row],[SKU]],'All Skus'!$A:$AC,16,FALSE)),""))</f>
        <v>0</v>
      </c>
      <c r="M80" s="224">
        <f>(IF((VLOOKUP(Table10[[#This Row],[SKU]],'All Skus'!$A:$AC,2,FALSE))="Martin",(VLOOKUP(Table10[[#This Row],[SKU]],'All Skus'!$A:$AC,17,FALSE)),""))</f>
        <v>0</v>
      </c>
      <c r="N80" s="227">
        <f>(IF((VLOOKUP(Table10[[#This Row],[SKU]],'All Skus'!$A:$AC,2,FALSE))="Martin",(VLOOKUP(Table10[[#This Row],[SKU]],'All Skus'!$A:$AC,18,FALSE)),""))</f>
        <v>0</v>
      </c>
      <c r="O80" s="227">
        <f>(IF((VLOOKUP(Table10[[#This Row],[SKU]],'All Skus'!$A:$AC,2,FALSE))="Martin",(VLOOKUP(Table10[[#This Row],[SKU]],'All Skus'!$A:$AC,19,FALSE)),""))</f>
        <v>0</v>
      </c>
      <c r="P80" s="227">
        <f>(IF((VLOOKUP(Table10[[#This Row],[SKU]],'All Skus'!$A:$AC,2,FALSE))="Martin",(VLOOKUP(Table10[[#This Row],[SKU]],'All Skus'!$A:$AC,20,FALSE)),""))</f>
        <v>0</v>
      </c>
      <c r="Q80" s="227">
        <f>(IF((VLOOKUP(Table10[[#This Row],[SKU]],'All Skus'!$A:$AC,2,FALSE))="Martin",(VLOOKUP(Table10[[#This Row],[SKU]],'All Skus'!$A:$AC,21,FALSE)),""))</f>
        <v>0</v>
      </c>
      <c r="R80" s="224" t="str">
        <f>(IF((VLOOKUP(Table10[[#This Row],[SKU]],'All Skus'!$A:$AC,2,FALSE))="Martin",(VLOOKUP(Table10[[#This Row],[SKU]],'All Skus'!$A:$AC,22,FALSE)),""))</f>
        <v>CN</v>
      </c>
      <c r="S80" s="223" t="str">
        <f>(IF((VLOOKUP(Table10[[#This Row],[SKU]],'All Skus'!$A:$AC,2,FALSE))="Martin",(VLOOKUP(Table10[[#This Row],[SKU]],'All Skus'!$A:$AC,23,FALSE)),""))</f>
        <v>Non Compliant</v>
      </c>
      <c r="T80" s="212" t="str">
        <f>HYPERLINK((IF((VLOOKUP(Table10[[#This Row],[SKU]],'All Skus'!$A:$AC,2,FALSE))="Martin",(VLOOKUP(Table10[[#This Row],[SKU]],'All Skus'!$A:$AC,24,FALSE)),"")))</f>
        <v/>
      </c>
      <c r="U80" s="228">
        <v>78</v>
      </c>
    </row>
    <row r="81" spans="1:21" hidden="1">
      <c r="A81" s="114">
        <v>91616034</v>
      </c>
      <c r="B81" s="224" t="str">
        <f>(IF((VLOOKUP(Table10[[#This Row],[SKU]],'All Skus'!$A:$AC,2,FALSE))="Martin",(VLOOKUP(Table10[[#This Row],[SKU]],'All Skus'!$A:$AC,3,FALSE)),""))</f>
        <v>Accessories</v>
      </c>
      <c r="C81" s="223" t="str">
        <f>(IF((VLOOKUP(Table10[[#This Row],[SKU]],'All Skus'!$A:$AC,2,FALSE))="Martin",(VLOOKUP(Table10[[#This Row],[SKU]],'All Skus'!$A:$AC,4,FALSE)),""))</f>
        <v>Power+Data Cable XLR4-XLR4 25m</v>
      </c>
      <c r="D81" s="224" t="str">
        <f>(IF((VLOOKUP(Table10[[#This Row],[SKU]],'All Skus'!$A:$AC,2,FALSE))="Martin",(VLOOKUP(Table10[[#This Row],[SKU]],'All Skus'!$A:$AC,5,FALSE)),""))</f>
        <v>MAR-ACC</v>
      </c>
      <c r="E81" s="223">
        <f>(IF((VLOOKUP(Table10[[#This Row],[SKU]],'All Skus'!$A:$AC,2,FALSE))="Martin",(VLOOKUP(Table10[[#This Row],[SKU]],'All Skus'!$A:$AC,6,FALSE)),""))</f>
        <v>0</v>
      </c>
      <c r="F81" s="155" t="str">
        <f>(IF((VLOOKUP(Table10[[#This Row],[SKU]],'All Skus'!$A:$AC,2,FALSE))="Martin",(VLOOKUP(Table10[[#This Row],[SKU]],'All Skus'!$A:$AC,7,FALSE)),""))</f>
        <v>EOL pre-notice - Will be submitted for EOL soon - But will remain available to support final VC-Grid/Strip sales</v>
      </c>
      <c r="G81" s="223" t="str">
        <f>(IF((VLOOKUP(Table10[[#This Row],[SKU]],'All Skus'!$A:$AC,2,FALSE))="Martin",(VLOOKUP(Table10[[#This Row],[SKU]],'All Skus'!$A:$AC,8,FALSE)),""))</f>
        <v>Power+Data Cable XLR4-XLR4 25m</v>
      </c>
      <c r="H81" s="223" t="str">
        <f>(IF((VLOOKUP(Table10[[#This Row],[SKU]],'All Skus'!$A:$AC,2,FALSE))="Martin",(VLOOKUP(Table10[[#This Row],[SKU]],'All Skus'!$A:$AC,9,FALSE)),""))</f>
        <v>Power+Data Cable XLR4-XLR4 25m</v>
      </c>
      <c r="I81" s="225">
        <f>(IF((VLOOKUP(Table10[[#This Row],[SKU]],'All Skus'!$A:$AC,2,FALSE))="Martin",(VLOOKUP(Table10[[#This Row],[SKU]],'All Skus'!$A:$AC,10,FALSE)),""))</f>
        <v>208.68</v>
      </c>
      <c r="J81" s="226">
        <f>(IF((VLOOKUP(Table10[[#This Row],[SKU]],'All Skus'!$A:$AC,2,FALSE))="Martin",(VLOOKUP(Table10[[#This Row],[SKU]],'All Skus'!$A:$AC,11,FALSE)),""))</f>
        <v>208.68</v>
      </c>
      <c r="K81" s="224">
        <f>(IF((VLOOKUP(Table10[[#This Row],[SKU]],'All Skus'!$A:$AC,2,FALSE))="Martin",(VLOOKUP(Table10[[#This Row],[SKU]],'All Skus'!$A:$AC,15,FALSE)),""))</f>
        <v>0</v>
      </c>
      <c r="L81" s="224">
        <f>(IF((VLOOKUP(Table10[[#This Row],[SKU]],'All Skus'!$A:$AC,2,FALSE))="Martin",(VLOOKUP(Table10[[#This Row],[SKU]],'All Skus'!$A:$AC,16,FALSE)),""))</f>
        <v>0</v>
      </c>
      <c r="M81" s="224">
        <f>(IF((VLOOKUP(Table10[[#This Row],[SKU]],'All Skus'!$A:$AC,2,FALSE))="Martin",(VLOOKUP(Table10[[#This Row],[SKU]],'All Skus'!$A:$AC,17,FALSE)),""))</f>
        <v>0</v>
      </c>
      <c r="N81" s="227">
        <f>(IF((VLOOKUP(Table10[[#This Row],[SKU]],'All Skus'!$A:$AC,2,FALSE))="Martin",(VLOOKUP(Table10[[#This Row],[SKU]],'All Skus'!$A:$AC,18,FALSE)),""))</f>
        <v>0</v>
      </c>
      <c r="O81" s="227">
        <f>(IF((VLOOKUP(Table10[[#This Row],[SKU]],'All Skus'!$A:$AC,2,FALSE))="Martin",(VLOOKUP(Table10[[#This Row],[SKU]],'All Skus'!$A:$AC,19,FALSE)),""))</f>
        <v>0</v>
      </c>
      <c r="P81" s="227">
        <f>(IF((VLOOKUP(Table10[[#This Row],[SKU]],'All Skus'!$A:$AC,2,FALSE))="Martin",(VLOOKUP(Table10[[#This Row],[SKU]],'All Skus'!$A:$AC,20,FALSE)),""))</f>
        <v>0</v>
      </c>
      <c r="Q81" s="227">
        <f>(IF((VLOOKUP(Table10[[#This Row],[SKU]],'All Skus'!$A:$AC,2,FALSE))="Martin",(VLOOKUP(Table10[[#This Row],[SKU]],'All Skus'!$A:$AC,21,FALSE)),""))</f>
        <v>0</v>
      </c>
      <c r="R81" s="224" t="str">
        <f>(IF((VLOOKUP(Table10[[#This Row],[SKU]],'All Skus'!$A:$AC,2,FALSE))="Martin",(VLOOKUP(Table10[[#This Row],[SKU]],'All Skus'!$A:$AC,22,FALSE)),""))</f>
        <v>CN</v>
      </c>
      <c r="S81" s="223" t="str">
        <f>(IF((VLOOKUP(Table10[[#This Row],[SKU]],'All Skus'!$A:$AC,2,FALSE))="Martin",(VLOOKUP(Table10[[#This Row],[SKU]],'All Skus'!$A:$AC,23,FALSE)),""))</f>
        <v>Non Compliant</v>
      </c>
      <c r="T81" s="212" t="str">
        <f>HYPERLINK((IF((VLOOKUP(Table10[[#This Row],[SKU]],'All Skus'!$A:$AC,2,FALSE))="Martin",(VLOOKUP(Table10[[#This Row],[SKU]],'All Skus'!$A:$AC,24,FALSE)),"")))</f>
        <v/>
      </c>
      <c r="U81" s="228">
        <v>79</v>
      </c>
    </row>
    <row r="82" spans="1:21" hidden="1">
      <c r="A82" s="115" t="s">
        <v>1974</v>
      </c>
      <c r="B82" s="224">
        <f>(IF((VLOOKUP(Table10[[#This Row],[SKU]],'All Skus'!$A:$AC,2,FALSE))="Martin",(VLOOKUP(Table10[[#This Row],[SKU]],'All Skus'!$A:$AC,3,FALSE)),""))</f>
        <v>0</v>
      </c>
      <c r="C82" s="223">
        <f>(IF((VLOOKUP(Table10[[#This Row],[SKU]],'All Skus'!$A:$AC,2,FALSE))="Martin",(VLOOKUP(Table10[[#This Row],[SKU]],'All Skus'!$A:$AC,4,FALSE)),""))</f>
        <v>0</v>
      </c>
      <c r="D82" s="224">
        <f>(IF((VLOOKUP(Table10[[#This Row],[SKU]],'All Skus'!$A:$AC,2,FALSE))="Martin",(VLOOKUP(Table10[[#This Row],[SKU]],'All Skus'!$A:$AC,5,FALSE)),""))</f>
        <v>0</v>
      </c>
      <c r="E82" s="223">
        <f>(IF((VLOOKUP(Table10[[#This Row],[SKU]],'All Skus'!$A:$AC,2,FALSE))="Martin",(VLOOKUP(Table10[[#This Row],[SKU]],'All Skus'!$A:$AC,6,FALSE)),""))</f>
        <v>0</v>
      </c>
      <c r="F82" s="155">
        <f>(IF((VLOOKUP(Table10[[#This Row],[SKU]],'All Skus'!$A:$AC,2,FALSE))="Martin",(VLOOKUP(Table10[[#This Row],[SKU]],'All Skus'!$A:$AC,7,FALSE)),""))</f>
        <v>0</v>
      </c>
      <c r="G82" s="223">
        <f>(IF((VLOOKUP(Table10[[#This Row],[SKU]],'All Skus'!$A:$AC,2,FALSE))="Martin",(VLOOKUP(Table10[[#This Row],[SKU]],'All Skus'!$A:$AC,8,FALSE)),""))</f>
        <v>0</v>
      </c>
      <c r="H82" s="223">
        <f>(IF((VLOOKUP(Table10[[#This Row],[SKU]],'All Skus'!$A:$AC,2,FALSE))="Martin",(VLOOKUP(Table10[[#This Row],[SKU]],'All Skus'!$A:$AC,9,FALSE)),""))</f>
        <v>0</v>
      </c>
      <c r="I82" s="225">
        <f>(IF((VLOOKUP(Table10[[#This Row],[SKU]],'All Skus'!$A:$AC,2,FALSE))="Martin",(VLOOKUP(Table10[[#This Row],[SKU]],'All Skus'!$A:$AC,10,FALSE)),""))</f>
        <v>0</v>
      </c>
      <c r="J82" s="226">
        <f>(IF((VLOOKUP(Table10[[#This Row],[SKU]],'All Skus'!$A:$AC,2,FALSE))="Martin",(VLOOKUP(Table10[[#This Row],[SKU]],'All Skus'!$A:$AC,11,FALSE)),""))</f>
        <v>0</v>
      </c>
      <c r="K82" s="224">
        <f>(IF((VLOOKUP(Table10[[#This Row],[SKU]],'All Skus'!$A:$AC,2,FALSE))="Martin",(VLOOKUP(Table10[[#This Row],[SKU]],'All Skus'!$A:$AC,15,FALSE)),""))</f>
        <v>0</v>
      </c>
      <c r="L82" s="224">
        <f>(IF((VLOOKUP(Table10[[#This Row],[SKU]],'All Skus'!$A:$AC,2,FALSE))="Martin",(VLOOKUP(Table10[[#This Row],[SKU]],'All Skus'!$A:$AC,16,FALSE)),""))</f>
        <v>0</v>
      </c>
      <c r="M82" s="224">
        <f>(IF((VLOOKUP(Table10[[#This Row],[SKU]],'All Skus'!$A:$AC,2,FALSE))="Martin",(VLOOKUP(Table10[[#This Row],[SKU]],'All Skus'!$A:$AC,17,FALSE)),""))</f>
        <v>0</v>
      </c>
      <c r="N82" s="227">
        <f>(IF((VLOOKUP(Table10[[#This Row],[SKU]],'All Skus'!$A:$AC,2,FALSE))="Martin",(VLOOKUP(Table10[[#This Row],[SKU]],'All Skus'!$A:$AC,18,FALSE)),""))</f>
        <v>0</v>
      </c>
      <c r="O82" s="227">
        <f>(IF((VLOOKUP(Table10[[#This Row],[SKU]],'All Skus'!$A:$AC,2,FALSE))="Martin",(VLOOKUP(Table10[[#This Row],[SKU]],'All Skus'!$A:$AC,19,FALSE)),""))</f>
        <v>0</v>
      </c>
      <c r="P82" s="227">
        <f>(IF((VLOOKUP(Table10[[#This Row],[SKU]],'All Skus'!$A:$AC,2,FALSE))="Martin",(VLOOKUP(Table10[[#This Row],[SKU]],'All Skus'!$A:$AC,20,FALSE)),""))</f>
        <v>0</v>
      </c>
      <c r="Q82" s="227">
        <f>(IF((VLOOKUP(Table10[[#This Row],[SKU]],'All Skus'!$A:$AC,2,FALSE))="Martin",(VLOOKUP(Table10[[#This Row],[SKU]],'All Skus'!$A:$AC,21,FALSE)),""))</f>
        <v>0</v>
      </c>
      <c r="R82" s="224">
        <f>(IF((VLOOKUP(Table10[[#This Row],[SKU]],'All Skus'!$A:$AC,2,FALSE))="Martin",(VLOOKUP(Table10[[#This Row],[SKU]],'All Skus'!$A:$AC,22,FALSE)),""))</f>
        <v>0</v>
      </c>
      <c r="S82" s="223">
        <f>(IF((VLOOKUP(Table10[[#This Row],[SKU]],'All Skus'!$A:$AC,2,FALSE))="Martin",(VLOOKUP(Table10[[#This Row],[SKU]],'All Skus'!$A:$AC,23,FALSE)),""))</f>
        <v>0</v>
      </c>
      <c r="T82" s="212" t="str">
        <f>HYPERLINK((IF((VLOOKUP(Table10[[#This Row],[SKU]],'All Skus'!$A:$AC,2,FALSE))="Martin",(VLOOKUP(Table10[[#This Row],[SKU]],'All Skus'!$A:$AC,24,FALSE)),"")))</f>
        <v/>
      </c>
      <c r="U82" s="228">
        <v>80</v>
      </c>
    </row>
    <row r="83" spans="1:21" hidden="1">
      <c r="A83" s="114">
        <v>91616041</v>
      </c>
      <c r="B83" s="224" t="str">
        <f>(IF((VLOOKUP(Table10[[#This Row],[SKU]],'All Skus'!$A:$AC,2,FALSE))="Martin",(VLOOKUP(Table10[[#This Row],[SKU]],'All Skus'!$A:$AC,3,FALSE)),""))</f>
        <v>Accessories</v>
      </c>
      <c r="C83" s="223" t="str">
        <f>(IF((VLOOKUP(Table10[[#This Row],[SKU]],'All Skus'!$A:$AC,2,FALSE))="Martin",(VLOOKUP(Table10[[#This Row],[SKU]],'All Skus'!$A:$AC,4,FALSE)),""))</f>
        <v>Power+Data Cable Rental BBD-BBD 1m</v>
      </c>
      <c r="D83" s="224" t="str">
        <f>(IF((VLOOKUP(Table10[[#This Row],[SKU]],'All Skus'!$A:$AC,2,FALSE))="Martin",(VLOOKUP(Table10[[#This Row],[SKU]],'All Skus'!$A:$AC,5,FALSE)),""))</f>
        <v>MAR-ACC</v>
      </c>
      <c r="E83" s="223">
        <f>(IF((VLOOKUP(Table10[[#This Row],[SKU]],'All Skus'!$A:$AC,2,FALSE))="Martin",(VLOOKUP(Table10[[#This Row],[SKU]],'All Skus'!$A:$AC,6,FALSE)),""))</f>
        <v>0</v>
      </c>
      <c r="F83" s="155">
        <f>(IF((VLOOKUP(Table10[[#This Row],[SKU]],'All Skus'!$A:$AC,2,FALSE))="Martin",(VLOOKUP(Table10[[#This Row],[SKU]],'All Skus'!$A:$AC,7,FALSE)),""))</f>
        <v>0</v>
      </c>
      <c r="G83" s="223" t="str">
        <f>(IF((VLOOKUP(Table10[[#This Row],[SKU]],'All Skus'!$A:$AC,2,FALSE))="Martin",(VLOOKUP(Table10[[#This Row],[SKU]],'All Skus'!$A:$AC,8,FALSE)),""))</f>
        <v>Power+Data Cable Rental BBD-BBD 1m</v>
      </c>
      <c r="H83" s="223" t="str">
        <f>(IF((VLOOKUP(Table10[[#This Row],[SKU]],'All Skus'!$A:$AC,2,FALSE))="Martin",(VLOOKUP(Table10[[#This Row],[SKU]],'All Skus'!$A:$AC,9,FALSE)),""))</f>
        <v>Power+Data Cable Rental BBD-BBD 1m</v>
      </c>
      <c r="I83" s="225">
        <f>(IF((VLOOKUP(Table10[[#This Row],[SKU]],'All Skus'!$A:$AC,2,FALSE))="Martin",(VLOOKUP(Table10[[#This Row],[SKU]],'All Skus'!$A:$AC,10,FALSE)),""))</f>
        <v>38.28</v>
      </c>
      <c r="J83" s="226">
        <f>(IF((VLOOKUP(Table10[[#This Row],[SKU]],'All Skus'!$A:$AC,2,FALSE))="Martin",(VLOOKUP(Table10[[#This Row],[SKU]],'All Skus'!$A:$AC,11,FALSE)),""))</f>
        <v>38.28</v>
      </c>
      <c r="K83" s="224">
        <f>(IF((VLOOKUP(Table10[[#This Row],[SKU]],'All Skus'!$A:$AC,2,FALSE))="Martin",(VLOOKUP(Table10[[#This Row],[SKU]],'All Skus'!$A:$AC,15,FALSE)),""))</f>
        <v>0</v>
      </c>
      <c r="L83" s="224">
        <f>(IF((VLOOKUP(Table10[[#This Row],[SKU]],'All Skus'!$A:$AC,2,FALSE))="Martin",(VLOOKUP(Table10[[#This Row],[SKU]],'All Skus'!$A:$AC,16,FALSE)),""))</f>
        <v>0</v>
      </c>
      <c r="M83" s="224">
        <f>(IF((VLOOKUP(Table10[[#This Row],[SKU]],'All Skus'!$A:$AC,2,FALSE))="Martin",(VLOOKUP(Table10[[#This Row],[SKU]],'All Skus'!$A:$AC,17,FALSE)),""))</f>
        <v>0</v>
      </c>
      <c r="N83" s="227">
        <f>(IF((VLOOKUP(Table10[[#This Row],[SKU]],'All Skus'!$A:$AC,2,FALSE))="Martin",(VLOOKUP(Table10[[#This Row],[SKU]],'All Skus'!$A:$AC,18,FALSE)),""))</f>
        <v>0</v>
      </c>
      <c r="O83" s="227">
        <f>(IF((VLOOKUP(Table10[[#This Row],[SKU]],'All Skus'!$A:$AC,2,FALSE))="Martin",(VLOOKUP(Table10[[#This Row],[SKU]],'All Skus'!$A:$AC,19,FALSE)),""))</f>
        <v>0</v>
      </c>
      <c r="P83" s="227">
        <f>(IF((VLOOKUP(Table10[[#This Row],[SKU]],'All Skus'!$A:$AC,2,FALSE))="Martin",(VLOOKUP(Table10[[#This Row],[SKU]],'All Skus'!$A:$AC,20,FALSE)),""))</f>
        <v>0</v>
      </c>
      <c r="Q83" s="227">
        <f>(IF((VLOOKUP(Table10[[#This Row],[SKU]],'All Skus'!$A:$AC,2,FALSE))="Martin",(VLOOKUP(Table10[[#This Row],[SKU]],'All Skus'!$A:$AC,21,FALSE)),""))</f>
        <v>0</v>
      </c>
      <c r="R83" s="224" t="str">
        <f>(IF((VLOOKUP(Table10[[#This Row],[SKU]],'All Skus'!$A:$AC,2,FALSE))="Martin",(VLOOKUP(Table10[[#This Row],[SKU]],'All Skus'!$A:$AC,22,FALSE)),""))</f>
        <v>TW</v>
      </c>
      <c r="S83" s="223">
        <f>(IF((VLOOKUP(Table10[[#This Row],[SKU]],'All Skus'!$A:$AC,2,FALSE))="Martin",(VLOOKUP(Table10[[#This Row],[SKU]],'All Skus'!$A:$AC,23,FALSE)),""))</f>
        <v>0</v>
      </c>
      <c r="T83" s="212" t="str">
        <f>HYPERLINK((IF((VLOOKUP(Table10[[#This Row],[SKU]],'All Skus'!$A:$AC,2,FALSE))="Martin",(VLOOKUP(Table10[[#This Row],[SKU]],'All Skus'!$A:$AC,24,FALSE)),"")))</f>
        <v/>
      </c>
      <c r="U83" s="228">
        <v>81</v>
      </c>
    </row>
    <row r="84" spans="1:21" hidden="1">
      <c r="A84" s="114">
        <v>91616024</v>
      </c>
      <c r="B84" s="224" t="str">
        <f>(IF((VLOOKUP(Table10[[#This Row],[SKU]],'All Skus'!$A:$AC,2,FALSE))="Martin",(VLOOKUP(Table10[[#This Row],[SKU]],'All Skus'!$A:$AC,3,FALSE)),""))</f>
        <v>Accessories</v>
      </c>
      <c r="C84" s="223" t="str">
        <f>(IF((VLOOKUP(Table10[[#This Row],[SKU]],'All Skus'!$A:$AC,2,FALSE))="Martin",(VLOOKUP(Table10[[#This Row],[SKU]],'All Skus'!$A:$AC,4,FALSE)),""))</f>
        <v>Power+Data Cable Rental BBD-BBD 2,5m</v>
      </c>
      <c r="D84" s="224" t="str">
        <f>(IF((VLOOKUP(Table10[[#This Row],[SKU]],'All Skus'!$A:$AC,2,FALSE))="Martin",(VLOOKUP(Table10[[#This Row],[SKU]],'All Skus'!$A:$AC,5,FALSE)),""))</f>
        <v>MAR-ACC</v>
      </c>
      <c r="E84" s="223">
        <f>(IF((VLOOKUP(Table10[[#This Row],[SKU]],'All Skus'!$A:$AC,2,FALSE))="Martin",(VLOOKUP(Table10[[#This Row],[SKU]],'All Skus'!$A:$AC,6,FALSE)),""))</f>
        <v>0</v>
      </c>
      <c r="F84" s="155">
        <f>(IF((VLOOKUP(Table10[[#This Row],[SKU]],'All Skus'!$A:$AC,2,FALSE))="Martin",(VLOOKUP(Table10[[#This Row],[SKU]],'All Skus'!$A:$AC,7,FALSE)),""))</f>
        <v>0</v>
      </c>
      <c r="G84" s="223" t="str">
        <f>(IF((VLOOKUP(Table10[[#This Row],[SKU]],'All Skus'!$A:$AC,2,FALSE))="Martin",(VLOOKUP(Table10[[#This Row],[SKU]],'All Skus'!$A:$AC,8,FALSE)),""))</f>
        <v>Power+Data Cable Rental BBD-BBD 2,5m</v>
      </c>
      <c r="H84" s="223" t="str">
        <f>(IF((VLOOKUP(Table10[[#This Row],[SKU]],'All Skus'!$A:$AC,2,FALSE))="Martin",(VLOOKUP(Table10[[#This Row],[SKU]],'All Skus'!$A:$AC,9,FALSE)),""))</f>
        <v>Power+Data Cable Rental BBD-BBD 2,5m</v>
      </c>
      <c r="I84" s="225">
        <f>(IF((VLOOKUP(Table10[[#This Row],[SKU]],'All Skus'!$A:$AC,2,FALSE))="Martin",(VLOOKUP(Table10[[#This Row],[SKU]],'All Skus'!$A:$AC,10,FALSE)),""))</f>
        <v>51.86</v>
      </c>
      <c r="J84" s="226">
        <f>(IF((VLOOKUP(Table10[[#This Row],[SKU]],'All Skus'!$A:$AC,2,FALSE))="Martin",(VLOOKUP(Table10[[#This Row],[SKU]],'All Skus'!$A:$AC,11,FALSE)),""))</f>
        <v>51.86</v>
      </c>
      <c r="K84" s="224">
        <f>(IF((VLOOKUP(Table10[[#This Row],[SKU]],'All Skus'!$A:$AC,2,FALSE))="Martin",(VLOOKUP(Table10[[#This Row],[SKU]],'All Skus'!$A:$AC,15,FALSE)),""))</f>
        <v>0</v>
      </c>
      <c r="L84" s="224">
        <f>(IF((VLOOKUP(Table10[[#This Row],[SKU]],'All Skus'!$A:$AC,2,FALSE))="Martin",(VLOOKUP(Table10[[#This Row],[SKU]],'All Skus'!$A:$AC,16,FALSE)),""))</f>
        <v>0</v>
      </c>
      <c r="M84" s="224">
        <f>(IF((VLOOKUP(Table10[[#This Row],[SKU]],'All Skus'!$A:$AC,2,FALSE))="Martin",(VLOOKUP(Table10[[#This Row],[SKU]],'All Skus'!$A:$AC,17,FALSE)),""))</f>
        <v>0</v>
      </c>
      <c r="N84" s="227">
        <f>(IF((VLOOKUP(Table10[[#This Row],[SKU]],'All Skus'!$A:$AC,2,FALSE))="Martin",(VLOOKUP(Table10[[#This Row],[SKU]],'All Skus'!$A:$AC,18,FALSE)),""))</f>
        <v>0</v>
      </c>
      <c r="O84" s="227">
        <f>(IF((VLOOKUP(Table10[[#This Row],[SKU]],'All Skus'!$A:$AC,2,FALSE))="Martin",(VLOOKUP(Table10[[#This Row],[SKU]],'All Skus'!$A:$AC,19,FALSE)),""))</f>
        <v>0</v>
      </c>
      <c r="P84" s="227">
        <f>(IF((VLOOKUP(Table10[[#This Row],[SKU]],'All Skus'!$A:$AC,2,FALSE))="Martin",(VLOOKUP(Table10[[#This Row],[SKU]],'All Skus'!$A:$AC,20,FALSE)),""))</f>
        <v>0</v>
      </c>
      <c r="Q84" s="227">
        <f>(IF((VLOOKUP(Table10[[#This Row],[SKU]],'All Skus'!$A:$AC,2,FALSE))="Martin",(VLOOKUP(Table10[[#This Row],[SKU]],'All Skus'!$A:$AC,21,FALSE)),""))</f>
        <v>0</v>
      </c>
      <c r="R84" s="224" t="str">
        <f>(IF((VLOOKUP(Table10[[#This Row],[SKU]],'All Skus'!$A:$AC,2,FALSE))="Martin",(VLOOKUP(Table10[[#This Row],[SKU]],'All Skus'!$A:$AC,22,FALSE)),""))</f>
        <v>TW</v>
      </c>
      <c r="S84" s="223">
        <f>(IF((VLOOKUP(Table10[[#This Row],[SKU]],'All Skus'!$A:$AC,2,FALSE))="Martin",(VLOOKUP(Table10[[#This Row],[SKU]],'All Skus'!$A:$AC,23,FALSE)),""))</f>
        <v>0</v>
      </c>
      <c r="T84" s="212" t="str">
        <f>HYPERLINK((IF((VLOOKUP(Table10[[#This Row],[SKU]],'All Skus'!$A:$AC,2,FALSE))="Martin",(VLOOKUP(Table10[[#This Row],[SKU]],'All Skus'!$A:$AC,24,FALSE)),"")))</f>
        <v/>
      </c>
      <c r="U84" s="228">
        <v>82</v>
      </c>
    </row>
    <row r="85" spans="1:21" hidden="1">
      <c r="A85" s="114">
        <v>91616042</v>
      </c>
      <c r="B85" s="224" t="str">
        <f>(IF((VLOOKUP(Table10[[#This Row],[SKU]],'All Skus'!$A:$AC,2,FALSE))="Martin",(VLOOKUP(Table10[[#This Row],[SKU]],'All Skus'!$A:$AC,3,FALSE)),""))</f>
        <v>Accessories</v>
      </c>
      <c r="C85" s="223" t="str">
        <f>(IF((VLOOKUP(Table10[[#This Row],[SKU]],'All Skus'!$A:$AC,2,FALSE))="Martin",(VLOOKUP(Table10[[#This Row],[SKU]],'All Skus'!$A:$AC,4,FALSE)),""))</f>
        <v>Power+Data Cable Rental BBD-BBD 5m</v>
      </c>
      <c r="D85" s="224" t="str">
        <f>(IF((VLOOKUP(Table10[[#This Row],[SKU]],'All Skus'!$A:$AC,2,FALSE))="Martin",(VLOOKUP(Table10[[#This Row],[SKU]],'All Skus'!$A:$AC,5,FALSE)),""))</f>
        <v>MAR-ACC</v>
      </c>
      <c r="E85" s="223">
        <f>(IF((VLOOKUP(Table10[[#This Row],[SKU]],'All Skus'!$A:$AC,2,FALSE))="Martin",(VLOOKUP(Table10[[#This Row],[SKU]],'All Skus'!$A:$AC,6,FALSE)),""))</f>
        <v>0</v>
      </c>
      <c r="F85" s="155">
        <f>(IF((VLOOKUP(Table10[[#This Row],[SKU]],'All Skus'!$A:$AC,2,FALSE))="Martin",(VLOOKUP(Table10[[#This Row],[SKU]],'All Skus'!$A:$AC,7,FALSE)),""))</f>
        <v>0</v>
      </c>
      <c r="G85" s="223" t="str">
        <f>(IF((VLOOKUP(Table10[[#This Row],[SKU]],'All Skus'!$A:$AC,2,FALSE))="Martin",(VLOOKUP(Table10[[#This Row],[SKU]],'All Skus'!$A:$AC,8,FALSE)),""))</f>
        <v>Power+Data Cable Rental BBD-BBD 5m</v>
      </c>
      <c r="H85" s="223" t="str">
        <f>(IF((VLOOKUP(Table10[[#This Row],[SKU]],'All Skus'!$A:$AC,2,FALSE))="Martin",(VLOOKUP(Table10[[#This Row],[SKU]],'All Skus'!$A:$AC,9,FALSE)),""))</f>
        <v>Power+Data Cable Rental BBD-BBD 5m</v>
      </c>
      <c r="I85" s="225">
        <f>(IF((VLOOKUP(Table10[[#This Row],[SKU]],'All Skus'!$A:$AC,2,FALSE))="Martin",(VLOOKUP(Table10[[#This Row],[SKU]],'All Skus'!$A:$AC,10,FALSE)),""))</f>
        <v>71.62</v>
      </c>
      <c r="J85" s="226">
        <f>(IF((VLOOKUP(Table10[[#This Row],[SKU]],'All Skus'!$A:$AC,2,FALSE))="Martin",(VLOOKUP(Table10[[#This Row],[SKU]],'All Skus'!$A:$AC,11,FALSE)),""))</f>
        <v>71.62</v>
      </c>
      <c r="K85" s="224">
        <f>(IF((VLOOKUP(Table10[[#This Row],[SKU]],'All Skus'!$A:$AC,2,FALSE))="Martin",(VLOOKUP(Table10[[#This Row],[SKU]],'All Skus'!$A:$AC,15,FALSE)),""))</f>
        <v>0</v>
      </c>
      <c r="L85" s="224">
        <f>(IF((VLOOKUP(Table10[[#This Row],[SKU]],'All Skus'!$A:$AC,2,FALSE))="Martin",(VLOOKUP(Table10[[#This Row],[SKU]],'All Skus'!$A:$AC,16,FALSE)),""))</f>
        <v>0</v>
      </c>
      <c r="M85" s="224">
        <f>(IF((VLOOKUP(Table10[[#This Row],[SKU]],'All Skus'!$A:$AC,2,FALSE))="Martin",(VLOOKUP(Table10[[#This Row],[SKU]],'All Skus'!$A:$AC,17,FALSE)),""))</f>
        <v>0</v>
      </c>
      <c r="N85" s="227">
        <f>(IF((VLOOKUP(Table10[[#This Row],[SKU]],'All Skus'!$A:$AC,2,FALSE))="Martin",(VLOOKUP(Table10[[#This Row],[SKU]],'All Skus'!$A:$AC,18,FALSE)),""))</f>
        <v>0</v>
      </c>
      <c r="O85" s="227">
        <f>(IF((VLOOKUP(Table10[[#This Row],[SKU]],'All Skus'!$A:$AC,2,FALSE))="Martin",(VLOOKUP(Table10[[#This Row],[SKU]],'All Skus'!$A:$AC,19,FALSE)),""))</f>
        <v>0</v>
      </c>
      <c r="P85" s="227">
        <f>(IF((VLOOKUP(Table10[[#This Row],[SKU]],'All Skus'!$A:$AC,2,FALSE))="Martin",(VLOOKUP(Table10[[#This Row],[SKU]],'All Skus'!$A:$AC,20,FALSE)),""))</f>
        <v>0</v>
      </c>
      <c r="Q85" s="227">
        <f>(IF((VLOOKUP(Table10[[#This Row],[SKU]],'All Skus'!$A:$AC,2,FALSE))="Martin",(VLOOKUP(Table10[[#This Row],[SKU]],'All Skus'!$A:$AC,21,FALSE)),""))</f>
        <v>0</v>
      </c>
      <c r="R85" s="224" t="str">
        <f>(IF((VLOOKUP(Table10[[#This Row],[SKU]],'All Skus'!$A:$AC,2,FALSE))="Martin",(VLOOKUP(Table10[[#This Row],[SKU]],'All Skus'!$A:$AC,22,FALSE)),""))</f>
        <v>TW</v>
      </c>
      <c r="S85" s="223">
        <f>(IF((VLOOKUP(Table10[[#This Row],[SKU]],'All Skus'!$A:$AC,2,FALSE))="Martin",(VLOOKUP(Table10[[#This Row],[SKU]],'All Skus'!$A:$AC,23,FALSE)),""))</f>
        <v>0</v>
      </c>
      <c r="T85" s="212" t="str">
        <f>HYPERLINK((IF((VLOOKUP(Table10[[#This Row],[SKU]],'All Skus'!$A:$AC,2,FALSE))="Martin",(VLOOKUP(Table10[[#This Row],[SKU]],'All Skus'!$A:$AC,24,FALSE)),"")))</f>
        <v/>
      </c>
      <c r="U85" s="228">
        <v>83</v>
      </c>
    </row>
    <row r="86" spans="1:21" hidden="1">
      <c r="A86" s="114">
        <v>91616043</v>
      </c>
      <c r="B86" s="224" t="str">
        <f>(IF((VLOOKUP(Table10[[#This Row],[SKU]],'All Skus'!$A:$AC,2,FALSE))="Martin",(VLOOKUP(Table10[[#This Row],[SKU]],'All Skus'!$A:$AC,3,FALSE)),""))</f>
        <v>Accessories</v>
      </c>
      <c r="C86" s="223" t="str">
        <f>(IF((VLOOKUP(Table10[[#This Row],[SKU]],'All Skus'!$A:$AC,2,FALSE))="Martin",(VLOOKUP(Table10[[#This Row],[SKU]],'All Skus'!$A:$AC,4,FALSE)),""))</f>
        <v>Power+Data Cable Rental BBD-BBD 10m</v>
      </c>
      <c r="D86" s="224" t="str">
        <f>(IF((VLOOKUP(Table10[[#This Row],[SKU]],'All Skus'!$A:$AC,2,FALSE))="Martin",(VLOOKUP(Table10[[#This Row],[SKU]],'All Skus'!$A:$AC,5,FALSE)),""))</f>
        <v>MAR-ACC</v>
      </c>
      <c r="E86" s="223">
        <f>(IF((VLOOKUP(Table10[[#This Row],[SKU]],'All Skus'!$A:$AC,2,FALSE))="Martin",(VLOOKUP(Table10[[#This Row],[SKU]],'All Skus'!$A:$AC,6,FALSE)),""))</f>
        <v>0</v>
      </c>
      <c r="F86" s="155">
        <f>(IF((VLOOKUP(Table10[[#This Row],[SKU]],'All Skus'!$A:$AC,2,FALSE))="Martin",(VLOOKUP(Table10[[#This Row],[SKU]],'All Skus'!$A:$AC,7,FALSE)),""))</f>
        <v>0</v>
      </c>
      <c r="G86" s="223" t="str">
        <f>(IF((VLOOKUP(Table10[[#This Row],[SKU]],'All Skus'!$A:$AC,2,FALSE))="Martin",(VLOOKUP(Table10[[#This Row],[SKU]],'All Skus'!$A:$AC,8,FALSE)),""))</f>
        <v>Power+Data Cable Rental BBD-BBD 10m</v>
      </c>
      <c r="H86" s="223" t="str">
        <f>(IF((VLOOKUP(Table10[[#This Row],[SKU]],'All Skus'!$A:$AC,2,FALSE))="Martin",(VLOOKUP(Table10[[#This Row],[SKU]],'All Skus'!$A:$AC,9,FALSE)),""))</f>
        <v>Power+Data Cable Rental BBD-BBD 10m</v>
      </c>
      <c r="I86" s="225">
        <f>(IF((VLOOKUP(Table10[[#This Row],[SKU]],'All Skus'!$A:$AC,2,FALSE))="Martin",(VLOOKUP(Table10[[#This Row],[SKU]],'All Skus'!$A:$AC,10,FALSE)),""))</f>
        <v>107.42</v>
      </c>
      <c r="J86" s="226">
        <f>(IF((VLOOKUP(Table10[[#This Row],[SKU]],'All Skus'!$A:$AC,2,FALSE))="Martin",(VLOOKUP(Table10[[#This Row],[SKU]],'All Skus'!$A:$AC,11,FALSE)),""))</f>
        <v>107.42</v>
      </c>
      <c r="K86" s="224">
        <f>(IF((VLOOKUP(Table10[[#This Row],[SKU]],'All Skus'!$A:$AC,2,FALSE))="Martin",(VLOOKUP(Table10[[#This Row],[SKU]],'All Skus'!$A:$AC,15,FALSE)),""))</f>
        <v>0</v>
      </c>
      <c r="L86" s="224">
        <f>(IF((VLOOKUP(Table10[[#This Row],[SKU]],'All Skus'!$A:$AC,2,FALSE))="Martin",(VLOOKUP(Table10[[#This Row],[SKU]],'All Skus'!$A:$AC,16,FALSE)),""))</f>
        <v>0</v>
      </c>
      <c r="M86" s="224">
        <f>(IF((VLOOKUP(Table10[[#This Row],[SKU]],'All Skus'!$A:$AC,2,FALSE))="Martin",(VLOOKUP(Table10[[#This Row],[SKU]],'All Skus'!$A:$AC,17,FALSE)),""))</f>
        <v>0</v>
      </c>
      <c r="N86" s="227">
        <f>(IF((VLOOKUP(Table10[[#This Row],[SKU]],'All Skus'!$A:$AC,2,FALSE))="Martin",(VLOOKUP(Table10[[#This Row],[SKU]],'All Skus'!$A:$AC,18,FALSE)),""))</f>
        <v>0</v>
      </c>
      <c r="O86" s="227">
        <f>(IF((VLOOKUP(Table10[[#This Row],[SKU]],'All Skus'!$A:$AC,2,FALSE))="Martin",(VLOOKUP(Table10[[#This Row],[SKU]],'All Skus'!$A:$AC,19,FALSE)),""))</f>
        <v>0</v>
      </c>
      <c r="P86" s="227">
        <f>(IF((VLOOKUP(Table10[[#This Row],[SKU]],'All Skus'!$A:$AC,2,FALSE))="Martin",(VLOOKUP(Table10[[#This Row],[SKU]],'All Skus'!$A:$AC,20,FALSE)),""))</f>
        <v>0</v>
      </c>
      <c r="Q86" s="227">
        <f>(IF((VLOOKUP(Table10[[#This Row],[SKU]],'All Skus'!$A:$AC,2,FALSE))="Martin",(VLOOKUP(Table10[[#This Row],[SKU]],'All Skus'!$A:$AC,21,FALSE)),""))</f>
        <v>0</v>
      </c>
      <c r="R86" s="224" t="str">
        <f>(IF((VLOOKUP(Table10[[#This Row],[SKU]],'All Skus'!$A:$AC,2,FALSE))="Martin",(VLOOKUP(Table10[[#This Row],[SKU]],'All Skus'!$A:$AC,22,FALSE)),""))</f>
        <v>CN</v>
      </c>
      <c r="S86" s="223">
        <f>(IF((VLOOKUP(Table10[[#This Row],[SKU]],'All Skus'!$A:$AC,2,FALSE))="Martin",(VLOOKUP(Table10[[#This Row],[SKU]],'All Skus'!$A:$AC,23,FALSE)),""))</f>
        <v>0</v>
      </c>
      <c r="T86" s="212" t="str">
        <f>HYPERLINK((IF((VLOOKUP(Table10[[#This Row],[SKU]],'All Skus'!$A:$AC,2,FALSE))="Martin",(VLOOKUP(Table10[[#This Row],[SKU]],'All Skus'!$A:$AC,24,FALSE)),"")))</f>
        <v/>
      </c>
      <c r="U86" s="228">
        <v>84</v>
      </c>
    </row>
    <row r="87" spans="1:21" hidden="1">
      <c r="A87" s="114">
        <v>91616044</v>
      </c>
      <c r="B87" s="224" t="str">
        <f>(IF((VLOOKUP(Table10[[#This Row],[SKU]],'All Skus'!$A:$AC,2,FALSE))="Martin",(VLOOKUP(Table10[[#This Row],[SKU]],'All Skus'!$A:$AC,3,FALSE)),""))</f>
        <v>Accessories</v>
      </c>
      <c r="C87" s="223" t="str">
        <f>(IF((VLOOKUP(Table10[[#This Row],[SKU]],'All Skus'!$A:$AC,2,FALSE))="Martin",(VLOOKUP(Table10[[#This Row],[SKU]],'All Skus'!$A:$AC,4,FALSE)),""))</f>
        <v>Power+Data Cable Rental BBD-BBD 25m</v>
      </c>
      <c r="D87" s="224" t="str">
        <f>(IF((VLOOKUP(Table10[[#This Row],[SKU]],'All Skus'!$A:$AC,2,FALSE))="Martin",(VLOOKUP(Table10[[#This Row],[SKU]],'All Skus'!$A:$AC,5,FALSE)),""))</f>
        <v>MAR-ACC</v>
      </c>
      <c r="E87" s="223">
        <f>(IF((VLOOKUP(Table10[[#This Row],[SKU]],'All Skus'!$A:$AC,2,FALSE))="Martin",(VLOOKUP(Table10[[#This Row],[SKU]],'All Skus'!$A:$AC,6,FALSE)),""))</f>
        <v>0</v>
      </c>
      <c r="F87" s="155">
        <f>(IF((VLOOKUP(Table10[[#This Row],[SKU]],'All Skus'!$A:$AC,2,FALSE))="Martin",(VLOOKUP(Table10[[#This Row],[SKU]],'All Skus'!$A:$AC,7,FALSE)),""))</f>
        <v>0</v>
      </c>
      <c r="G87" s="223" t="str">
        <f>(IF((VLOOKUP(Table10[[#This Row],[SKU]],'All Skus'!$A:$AC,2,FALSE))="Martin",(VLOOKUP(Table10[[#This Row],[SKU]],'All Skus'!$A:$AC,8,FALSE)),""))</f>
        <v>Power+Data Cable Rental BBD-BBD 25m</v>
      </c>
      <c r="H87" s="223" t="str">
        <f>(IF((VLOOKUP(Table10[[#This Row],[SKU]],'All Skus'!$A:$AC,2,FALSE))="Martin",(VLOOKUP(Table10[[#This Row],[SKU]],'All Skus'!$A:$AC,9,FALSE)),""))</f>
        <v>Power+Data Cable Rental BBD-BBD 25m</v>
      </c>
      <c r="I87" s="225">
        <f>(IF((VLOOKUP(Table10[[#This Row],[SKU]],'All Skus'!$A:$AC,2,FALSE))="Martin",(VLOOKUP(Table10[[#This Row],[SKU]],'All Skus'!$A:$AC,10,FALSE)),""))</f>
        <v>225.96</v>
      </c>
      <c r="J87" s="226">
        <f>(IF((VLOOKUP(Table10[[#This Row],[SKU]],'All Skus'!$A:$AC,2,FALSE))="Martin",(VLOOKUP(Table10[[#This Row],[SKU]],'All Skus'!$A:$AC,11,FALSE)),""))</f>
        <v>225.96</v>
      </c>
      <c r="K87" s="224">
        <f>(IF((VLOOKUP(Table10[[#This Row],[SKU]],'All Skus'!$A:$AC,2,FALSE))="Martin",(VLOOKUP(Table10[[#This Row],[SKU]],'All Skus'!$A:$AC,15,FALSE)),""))</f>
        <v>0</v>
      </c>
      <c r="L87" s="224">
        <f>(IF((VLOOKUP(Table10[[#This Row],[SKU]],'All Skus'!$A:$AC,2,FALSE))="Martin",(VLOOKUP(Table10[[#This Row],[SKU]],'All Skus'!$A:$AC,16,FALSE)),""))</f>
        <v>0</v>
      </c>
      <c r="M87" s="224">
        <f>(IF((VLOOKUP(Table10[[#This Row],[SKU]],'All Skus'!$A:$AC,2,FALSE))="Martin",(VLOOKUP(Table10[[#This Row],[SKU]],'All Skus'!$A:$AC,17,FALSE)),""))</f>
        <v>0</v>
      </c>
      <c r="N87" s="227">
        <f>(IF((VLOOKUP(Table10[[#This Row],[SKU]],'All Skus'!$A:$AC,2,FALSE))="Martin",(VLOOKUP(Table10[[#This Row],[SKU]],'All Skus'!$A:$AC,18,FALSE)),""))</f>
        <v>0</v>
      </c>
      <c r="O87" s="227">
        <f>(IF((VLOOKUP(Table10[[#This Row],[SKU]],'All Skus'!$A:$AC,2,FALSE))="Martin",(VLOOKUP(Table10[[#This Row],[SKU]],'All Skus'!$A:$AC,19,FALSE)),""))</f>
        <v>0</v>
      </c>
      <c r="P87" s="227">
        <f>(IF((VLOOKUP(Table10[[#This Row],[SKU]],'All Skus'!$A:$AC,2,FALSE))="Martin",(VLOOKUP(Table10[[#This Row],[SKU]],'All Skus'!$A:$AC,20,FALSE)),""))</f>
        <v>0</v>
      </c>
      <c r="Q87" s="227">
        <f>(IF((VLOOKUP(Table10[[#This Row],[SKU]],'All Skus'!$A:$AC,2,FALSE))="Martin",(VLOOKUP(Table10[[#This Row],[SKU]],'All Skus'!$A:$AC,21,FALSE)),""))</f>
        <v>0</v>
      </c>
      <c r="R87" s="224" t="str">
        <f>(IF((VLOOKUP(Table10[[#This Row],[SKU]],'All Skus'!$A:$AC,2,FALSE))="Martin",(VLOOKUP(Table10[[#This Row],[SKU]],'All Skus'!$A:$AC,22,FALSE)),""))</f>
        <v>CN</v>
      </c>
      <c r="S87" s="223">
        <f>(IF((VLOOKUP(Table10[[#This Row],[SKU]],'All Skus'!$A:$AC,2,FALSE))="Martin",(VLOOKUP(Table10[[#This Row],[SKU]],'All Skus'!$A:$AC,23,FALSE)),""))</f>
        <v>0</v>
      </c>
      <c r="T87" s="212" t="str">
        <f>HYPERLINK((IF((VLOOKUP(Table10[[#This Row],[SKU]],'All Skus'!$A:$AC,2,FALSE))="Martin",(VLOOKUP(Table10[[#This Row],[SKU]],'All Skus'!$A:$AC,24,FALSE)),"")))</f>
        <v/>
      </c>
      <c r="U87" s="228">
        <v>85</v>
      </c>
    </row>
    <row r="88" spans="1:21" hidden="1">
      <c r="A88" s="114">
        <v>91616045</v>
      </c>
      <c r="B88" s="224" t="str">
        <f>(IF((VLOOKUP(Table10[[#This Row],[SKU]],'All Skus'!$A:$AC,2,FALSE))="Martin",(VLOOKUP(Table10[[#This Row],[SKU]],'All Skus'!$A:$AC,3,FALSE)),""))</f>
        <v>Accessories</v>
      </c>
      <c r="C88" s="223" t="str">
        <f>(IF((VLOOKUP(Table10[[#This Row],[SKU]],'All Skus'!$A:$AC,2,FALSE))="Martin",(VLOOKUP(Table10[[#This Row],[SKU]],'All Skus'!$A:$AC,4,FALSE)),""))</f>
        <v>Power+Data Cable Rental 100m</v>
      </c>
      <c r="D88" s="224" t="str">
        <f>(IF((VLOOKUP(Table10[[#This Row],[SKU]],'All Skus'!$A:$AC,2,FALSE))="Martin",(VLOOKUP(Table10[[#This Row],[SKU]],'All Skus'!$A:$AC,5,FALSE)),""))</f>
        <v>MAR-ACC</v>
      </c>
      <c r="E88" s="223">
        <f>(IF((VLOOKUP(Table10[[#This Row],[SKU]],'All Skus'!$A:$AC,2,FALSE))="Martin",(VLOOKUP(Table10[[#This Row],[SKU]],'All Skus'!$A:$AC,6,FALSE)),""))</f>
        <v>0</v>
      </c>
      <c r="F88" s="155">
        <f>(IF((VLOOKUP(Table10[[#This Row],[SKU]],'All Skus'!$A:$AC,2,FALSE))="Martin",(VLOOKUP(Table10[[#This Row],[SKU]],'All Skus'!$A:$AC,7,FALSE)),""))</f>
        <v>0</v>
      </c>
      <c r="G88" s="223" t="str">
        <f>(IF((VLOOKUP(Table10[[#This Row],[SKU]],'All Skus'!$A:$AC,2,FALSE))="Martin",(VLOOKUP(Table10[[#This Row],[SKU]],'All Skus'!$A:$AC,8,FALSE)),""))</f>
        <v>Power+Data Cable Rental 100m</v>
      </c>
      <c r="H88" s="223" t="str">
        <f>(IF((VLOOKUP(Table10[[#This Row],[SKU]],'All Skus'!$A:$AC,2,FALSE))="Martin",(VLOOKUP(Table10[[#This Row],[SKU]],'All Skus'!$A:$AC,9,FALSE)),""))</f>
        <v>Power+Data Cable Rental 100m</v>
      </c>
      <c r="I88" s="225">
        <f>(IF((VLOOKUP(Table10[[#This Row],[SKU]],'All Skus'!$A:$AC,2,FALSE))="Martin",(VLOOKUP(Table10[[#This Row],[SKU]],'All Skus'!$A:$AC,10,FALSE)),""))</f>
        <v>869.27</v>
      </c>
      <c r="J88" s="226">
        <f>(IF((VLOOKUP(Table10[[#This Row],[SKU]],'All Skus'!$A:$AC,2,FALSE))="Martin",(VLOOKUP(Table10[[#This Row],[SKU]],'All Skus'!$A:$AC,11,FALSE)),""))</f>
        <v>869.27</v>
      </c>
      <c r="K88" s="224">
        <f>(IF((VLOOKUP(Table10[[#This Row],[SKU]],'All Skus'!$A:$AC,2,FALSE))="Martin",(VLOOKUP(Table10[[#This Row],[SKU]],'All Skus'!$A:$AC,15,FALSE)),""))</f>
        <v>0</v>
      </c>
      <c r="L88" s="224">
        <f>(IF((VLOOKUP(Table10[[#This Row],[SKU]],'All Skus'!$A:$AC,2,FALSE))="Martin",(VLOOKUP(Table10[[#This Row],[SKU]],'All Skus'!$A:$AC,16,FALSE)),""))</f>
        <v>0</v>
      </c>
      <c r="M88" s="224">
        <f>(IF((VLOOKUP(Table10[[#This Row],[SKU]],'All Skus'!$A:$AC,2,FALSE))="Martin",(VLOOKUP(Table10[[#This Row],[SKU]],'All Skus'!$A:$AC,17,FALSE)),""))</f>
        <v>0</v>
      </c>
      <c r="N88" s="227">
        <f>(IF((VLOOKUP(Table10[[#This Row],[SKU]],'All Skus'!$A:$AC,2,FALSE))="Martin",(VLOOKUP(Table10[[#This Row],[SKU]],'All Skus'!$A:$AC,18,FALSE)),""))</f>
        <v>0</v>
      </c>
      <c r="O88" s="227">
        <f>(IF((VLOOKUP(Table10[[#This Row],[SKU]],'All Skus'!$A:$AC,2,FALSE))="Martin",(VLOOKUP(Table10[[#This Row],[SKU]],'All Skus'!$A:$AC,19,FALSE)),""))</f>
        <v>0</v>
      </c>
      <c r="P88" s="227">
        <f>(IF((VLOOKUP(Table10[[#This Row],[SKU]],'All Skus'!$A:$AC,2,FALSE))="Martin",(VLOOKUP(Table10[[#This Row],[SKU]],'All Skus'!$A:$AC,20,FALSE)),""))</f>
        <v>0</v>
      </c>
      <c r="Q88" s="227">
        <f>(IF((VLOOKUP(Table10[[#This Row],[SKU]],'All Skus'!$A:$AC,2,FALSE))="Martin",(VLOOKUP(Table10[[#This Row],[SKU]],'All Skus'!$A:$AC,21,FALSE)),""))</f>
        <v>0</v>
      </c>
      <c r="R88" s="224" t="str">
        <f>(IF((VLOOKUP(Table10[[#This Row],[SKU]],'All Skus'!$A:$AC,2,FALSE))="Martin",(VLOOKUP(Table10[[#This Row],[SKU]],'All Skus'!$A:$AC,22,FALSE)),""))</f>
        <v>TW</v>
      </c>
      <c r="S88" s="223">
        <f>(IF((VLOOKUP(Table10[[#This Row],[SKU]],'All Skus'!$A:$AC,2,FALSE))="Martin",(VLOOKUP(Table10[[#This Row],[SKU]],'All Skus'!$A:$AC,23,FALSE)),""))</f>
        <v>0</v>
      </c>
      <c r="T88" s="212" t="str">
        <f>HYPERLINK((IF((VLOOKUP(Table10[[#This Row],[SKU]],'All Skus'!$A:$AC,2,FALSE))="Martin",(VLOOKUP(Table10[[#This Row],[SKU]],'All Skus'!$A:$AC,24,FALSE)),"")))</f>
        <v/>
      </c>
      <c r="U88" s="228">
        <v>86</v>
      </c>
    </row>
    <row r="89" spans="1:21" hidden="1">
      <c r="A89" s="115" t="s">
        <v>1975</v>
      </c>
      <c r="B89" s="224">
        <f>(IF((VLOOKUP(Table10[[#This Row],[SKU]],'All Skus'!$A:$AC,2,FALSE))="Martin",(VLOOKUP(Table10[[#This Row],[SKU]],'All Skus'!$A:$AC,3,FALSE)),""))</f>
        <v>0</v>
      </c>
      <c r="C89" s="223">
        <f>(IF((VLOOKUP(Table10[[#This Row],[SKU]],'All Skus'!$A:$AC,2,FALSE))="Martin",(VLOOKUP(Table10[[#This Row],[SKU]],'All Skus'!$A:$AC,4,FALSE)),""))</f>
        <v>0</v>
      </c>
      <c r="D89" s="224">
        <f>(IF((VLOOKUP(Table10[[#This Row],[SKU]],'All Skus'!$A:$AC,2,FALSE))="Martin",(VLOOKUP(Table10[[#This Row],[SKU]],'All Skus'!$A:$AC,5,FALSE)),""))</f>
        <v>0</v>
      </c>
      <c r="E89" s="223">
        <f>(IF((VLOOKUP(Table10[[#This Row],[SKU]],'All Skus'!$A:$AC,2,FALSE))="Martin",(VLOOKUP(Table10[[#This Row],[SKU]],'All Skus'!$A:$AC,6,FALSE)),""))</f>
        <v>0</v>
      </c>
      <c r="F89" s="155">
        <f>(IF((VLOOKUP(Table10[[#This Row],[SKU]],'All Skus'!$A:$AC,2,FALSE))="Martin",(VLOOKUP(Table10[[#This Row],[SKU]],'All Skus'!$A:$AC,7,FALSE)),""))</f>
        <v>0</v>
      </c>
      <c r="G89" s="223">
        <f>(IF((VLOOKUP(Table10[[#This Row],[SKU]],'All Skus'!$A:$AC,2,FALSE))="Martin",(VLOOKUP(Table10[[#This Row],[SKU]],'All Skus'!$A:$AC,8,FALSE)),""))</f>
        <v>0</v>
      </c>
      <c r="H89" s="223">
        <f>(IF((VLOOKUP(Table10[[#This Row],[SKU]],'All Skus'!$A:$AC,2,FALSE))="Martin",(VLOOKUP(Table10[[#This Row],[SKU]],'All Skus'!$A:$AC,9,FALSE)),""))</f>
        <v>0</v>
      </c>
      <c r="I89" s="225">
        <f>(IF((VLOOKUP(Table10[[#This Row],[SKU]],'All Skus'!$A:$AC,2,FALSE))="Martin",(VLOOKUP(Table10[[#This Row],[SKU]],'All Skus'!$A:$AC,10,FALSE)),""))</f>
        <v>0</v>
      </c>
      <c r="J89" s="226">
        <f>(IF((VLOOKUP(Table10[[#This Row],[SKU]],'All Skus'!$A:$AC,2,FALSE))="Martin",(VLOOKUP(Table10[[#This Row],[SKU]],'All Skus'!$A:$AC,11,FALSE)),""))</f>
        <v>0</v>
      </c>
      <c r="K89" s="224">
        <f>(IF((VLOOKUP(Table10[[#This Row],[SKU]],'All Skus'!$A:$AC,2,FALSE))="Martin",(VLOOKUP(Table10[[#This Row],[SKU]],'All Skus'!$A:$AC,15,FALSE)),""))</f>
        <v>0</v>
      </c>
      <c r="L89" s="224">
        <f>(IF((VLOOKUP(Table10[[#This Row],[SKU]],'All Skus'!$A:$AC,2,FALSE))="Martin",(VLOOKUP(Table10[[#This Row],[SKU]],'All Skus'!$A:$AC,16,FALSE)),""))</f>
        <v>0</v>
      </c>
      <c r="M89" s="224">
        <f>(IF((VLOOKUP(Table10[[#This Row],[SKU]],'All Skus'!$A:$AC,2,FALSE))="Martin",(VLOOKUP(Table10[[#This Row],[SKU]],'All Skus'!$A:$AC,17,FALSE)),""))</f>
        <v>0</v>
      </c>
      <c r="N89" s="227">
        <f>(IF((VLOOKUP(Table10[[#This Row],[SKU]],'All Skus'!$A:$AC,2,FALSE))="Martin",(VLOOKUP(Table10[[#This Row],[SKU]],'All Skus'!$A:$AC,18,FALSE)),""))</f>
        <v>0</v>
      </c>
      <c r="O89" s="227">
        <f>(IF((VLOOKUP(Table10[[#This Row],[SKU]],'All Skus'!$A:$AC,2,FALSE))="Martin",(VLOOKUP(Table10[[#This Row],[SKU]],'All Skus'!$A:$AC,19,FALSE)),""))</f>
        <v>0</v>
      </c>
      <c r="P89" s="227">
        <f>(IF((VLOOKUP(Table10[[#This Row],[SKU]],'All Skus'!$A:$AC,2,FALSE))="Martin",(VLOOKUP(Table10[[#This Row],[SKU]],'All Skus'!$A:$AC,20,FALSE)),""))</f>
        <v>0</v>
      </c>
      <c r="Q89" s="227">
        <f>(IF((VLOOKUP(Table10[[#This Row],[SKU]],'All Skus'!$A:$AC,2,FALSE))="Martin",(VLOOKUP(Table10[[#This Row],[SKU]],'All Skus'!$A:$AC,21,FALSE)),""))</f>
        <v>0</v>
      </c>
      <c r="R89" s="224">
        <f>(IF((VLOOKUP(Table10[[#This Row],[SKU]],'All Skus'!$A:$AC,2,FALSE))="Martin",(VLOOKUP(Table10[[#This Row],[SKU]],'All Skus'!$A:$AC,22,FALSE)),""))</f>
        <v>0</v>
      </c>
      <c r="S89" s="223">
        <f>(IF((VLOOKUP(Table10[[#This Row],[SKU]],'All Skus'!$A:$AC,2,FALSE))="Martin",(VLOOKUP(Table10[[#This Row],[SKU]],'All Skus'!$A:$AC,23,FALSE)),""))</f>
        <v>0</v>
      </c>
      <c r="T89" s="212" t="str">
        <f>HYPERLINK((IF((VLOOKUP(Table10[[#This Row],[SKU]],'All Skus'!$A:$AC,2,FALSE))="Martin",(VLOOKUP(Table10[[#This Row],[SKU]],'All Skus'!$A:$AC,24,FALSE)),"")))</f>
        <v/>
      </c>
      <c r="U89" s="228">
        <v>87</v>
      </c>
    </row>
    <row r="90" spans="1:21" hidden="1">
      <c r="A90" s="114">
        <v>91616055</v>
      </c>
      <c r="B90" s="224" t="str">
        <f>(IF((VLOOKUP(Table10[[#This Row],[SKU]],'All Skus'!$A:$AC,2,FALSE))="Martin",(VLOOKUP(Table10[[#This Row],[SKU]],'All Skus'!$A:$AC,3,FALSE)),""))</f>
        <v>Accessories</v>
      </c>
      <c r="C90" s="223" t="str">
        <f>(IF((VLOOKUP(Table10[[#This Row],[SKU]],'All Skus'!$A:$AC,2,FALSE))="Martin",(VLOOKUP(Table10[[#This Row],[SKU]],'All Skus'!$A:$AC,4,FALSE)),""))</f>
        <v>Power+Data Cable Instal CMX BBD-BBD 1m</v>
      </c>
      <c r="D90" s="224" t="str">
        <f>(IF((VLOOKUP(Table10[[#This Row],[SKU]],'All Skus'!$A:$AC,2,FALSE))="Martin",(VLOOKUP(Table10[[#This Row],[SKU]],'All Skus'!$A:$AC,5,FALSE)),""))</f>
        <v>MAR-ACC</v>
      </c>
      <c r="E90" s="223">
        <f>(IF((VLOOKUP(Table10[[#This Row],[SKU]],'All Skus'!$A:$AC,2,FALSE))="Martin",(VLOOKUP(Table10[[#This Row],[SKU]],'All Skus'!$A:$AC,6,FALSE)),""))</f>
        <v>0</v>
      </c>
      <c r="F90" s="155">
        <f>(IF((VLOOKUP(Table10[[#This Row],[SKU]],'All Skus'!$A:$AC,2,FALSE))="Martin",(VLOOKUP(Table10[[#This Row],[SKU]],'All Skus'!$A:$AC,7,FALSE)),""))</f>
        <v>0</v>
      </c>
      <c r="G90" s="223" t="str">
        <f>(IF((VLOOKUP(Table10[[#This Row],[SKU]],'All Skus'!$A:$AC,2,FALSE))="Martin",(VLOOKUP(Table10[[#This Row],[SKU]],'All Skus'!$A:$AC,8,FALSE)),""))</f>
        <v>Power+Data Cable Instal CMX BBD-BBD 1m</v>
      </c>
      <c r="H90" s="223" t="str">
        <f>(IF((VLOOKUP(Table10[[#This Row],[SKU]],'All Skus'!$A:$AC,2,FALSE))="Martin",(VLOOKUP(Table10[[#This Row],[SKU]],'All Skus'!$A:$AC,9,FALSE)),""))</f>
        <v>Power+Data Cable Instal CMX BBD-BBD 1m</v>
      </c>
      <c r="I90" s="225">
        <f>(IF((VLOOKUP(Table10[[#This Row],[SKU]],'All Skus'!$A:$AC,2,FALSE))="Martin",(VLOOKUP(Table10[[#This Row],[SKU]],'All Skus'!$A:$AC,10,FALSE)),""))</f>
        <v>41.98</v>
      </c>
      <c r="J90" s="226">
        <f>(IF((VLOOKUP(Table10[[#This Row],[SKU]],'All Skus'!$A:$AC,2,FALSE))="Martin",(VLOOKUP(Table10[[#This Row],[SKU]],'All Skus'!$A:$AC,11,FALSE)),""))</f>
        <v>41.98</v>
      </c>
      <c r="K90" s="224">
        <f>(IF((VLOOKUP(Table10[[#This Row],[SKU]],'All Skus'!$A:$AC,2,FALSE))="Martin",(VLOOKUP(Table10[[#This Row],[SKU]],'All Skus'!$A:$AC,15,FALSE)),""))</f>
        <v>0</v>
      </c>
      <c r="L90" s="224">
        <f>(IF((VLOOKUP(Table10[[#This Row],[SKU]],'All Skus'!$A:$AC,2,FALSE))="Martin",(VLOOKUP(Table10[[#This Row],[SKU]],'All Skus'!$A:$AC,16,FALSE)),""))</f>
        <v>0</v>
      </c>
      <c r="M90" s="224">
        <f>(IF((VLOOKUP(Table10[[#This Row],[SKU]],'All Skus'!$A:$AC,2,FALSE))="Martin",(VLOOKUP(Table10[[#This Row],[SKU]],'All Skus'!$A:$AC,17,FALSE)),""))</f>
        <v>0</v>
      </c>
      <c r="N90" s="227">
        <f>(IF((VLOOKUP(Table10[[#This Row],[SKU]],'All Skus'!$A:$AC,2,FALSE))="Martin",(VLOOKUP(Table10[[#This Row],[SKU]],'All Skus'!$A:$AC,18,FALSE)),""))</f>
        <v>0</v>
      </c>
      <c r="O90" s="227">
        <f>(IF((VLOOKUP(Table10[[#This Row],[SKU]],'All Skus'!$A:$AC,2,FALSE))="Martin",(VLOOKUP(Table10[[#This Row],[SKU]],'All Skus'!$A:$AC,19,FALSE)),""))</f>
        <v>0</v>
      </c>
      <c r="P90" s="227">
        <f>(IF((VLOOKUP(Table10[[#This Row],[SKU]],'All Skus'!$A:$AC,2,FALSE))="Martin",(VLOOKUP(Table10[[#This Row],[SKU]],'All Skus'!$A:$AC,20,FALSE)),""))</f>
        <v>0</v>
      </c>
      <c r="Q90" s="227">
        <f>(IF((VLOOKUP(Table10[[#This Row],[SKU]],'All Skus'!$A:$AC,2,FALSE))="Martin",(VLOOKUP(Table10[[#This Row],[SKU]],'All Skus'!$A:$AC,21,FALSE)),""))</f>
        <v>0</v>
      </c>
      <c r="R90" s="224" t="str">
        <f>(IF((VLOOKUP(Table10[[#This Row],[SKU]],'All Skus'!$A:$AC,2,FALSE))="Martin",(VLOOKUP(Table10[[#This Row],[SKU]],'All Skus'!$A:$AC,22,FALSE)),""))</f>
        <v>TW</v>
      </c>
      <c r="S90" s="223">
        <f>(IF((VLOOKUP(Table10[[#This Row],[SKU]],'All Skus'!$A:$AC,2,FALSE))="Martin",(VLOOKUP(Table10[[#This Row],[SKU]],'All Skus'!$A:$AC,23,FALSE)),""))</f>
        <v>0</v>
      </c>
      <c r="T90" s="212" t="str">
        <f>HYPERLINK((IF((VLOOKUP(Table10[[#This Row],[SKU]],'All Skus'!$A:$AC,2,FALSE))="Martin",(VLOOKUP(Table10[[#This Row],[SKU]],'All Skus'!$A:$AC,24,FALSE)),"")))</f>
        <v/>
      </c>
      <c r="U90" s="228">
        <v>88</v>
      </c>
    </row>
    <row r="91" spans="1:21" hidden="1">
      <c r="A91" s="114">
        <v>91616056</v>
      </c>
      <c r="B91" s="224" t="str">
        <f>(IF((VLOOKUP(Table10[[#This Row],[SKU]],'All Skus'!$A:$AC,2,FALSE))="Martin",(VLOOKUP(Table10[[#This Row],[SKU]],'All Skus'!$A:$AC,3,FALSE)),""))</f>
        <v>Accessories</v>
      </c>
      <c r="C91" s="223" t="str">
        <f>(IF((VLOOKUP(Table10[[#This Row],[SKU]],'All Skus'!$A:$AC,2,FALSE))="Martin",(VLOOKUP(Table10[[#This Row],[SKU]],'All Skus'!$A:$AC,4,FALSE)),""))</f>
        <v>Power+Data Cable Instal CMX BBD-BBD 2,5m</v>
      </c>
      <c r="D91" s="224" t="str">
        <f>(IF((VLOOKUP(Table10[[#This Row],[SKU]],'All Skus'!$A:$AC,2,FALSE))="Martin",(VLOOKUP(Table10[[#This Row],[SKU]],'All Skus'!$A:$AC,5,FALSE)),""))</f>
        <v>MAR-ACC</v>
      </c>
      <c r="E91" s="223">
        <f>(IF((VLOOKUP(Table10[[#This Row],[SKU]],'All Skus'!$A:$AC,2,FALSE))="Martin",(VLOOKUP(Table10[[#This Row],[SKU]],'All Skus'!$A:$AC,6,FALSE)),""))</f>
        <v>0</v>
      </c>
      <c r="F91" s="155">
        <f>(IF((VLOOKUP(Table10[[#This Row],[SKU]],'All Skus'!$A:$AC,2,FALSE))="Martin",(VLOOKUP(Table10[[#This Row],[SKU]],'All Skus'!$A:$AC,7,FALSE)),""))</f>
        <v>0</v>
      </c>
      <c r="G91" s="223" t="str">
        <f>(IF((VLOOKUP(Table10[[#This Row],[SKU]],'All Skus'!$A:$AC,2,FALSE))="Martin",(VLOOKUP(Table10[[#This Row],[SKU]],'All Skus'!$A:$AC,8,FALSE)),""))</f>
        <v>Power+Data Cable Instal CMX BBD-BBD 2,5m</v>
      </c>
      <c r="H91" s="223" t="str">
        <f>(IF((VLOOKUP(Table10[[#This Row],[SKU]],'All Skus'!$A:$AC,2,FALSE))="Martin",(VLOOKUP(Table10[[#This Row],[SKU]],'All Skus'!$A:$AC,9,FALSE)),""))</f>
        <v>Power+Data Cable Instal CMX BBD-BBD 2,5m</v>
      </c>
      <c r="I91" s="225">
        <f>(IF((VLOOKUP(Table10[[#This Row],[SKU]],'All Skus'!$A:$AC,2,FALSE))="Martin",(VLOOKUP(Table10[[#This Row],[SKU]],'All Skus'!$A:$AC,10,FALSE)),""))</f>
        <v>60.5</v>
      </c>
      <c r="J91" s="226">
        <f>(IF((VLOOKUP(Table10[[#This Row],[SKU]],'All Skus'!$A:$AC,2,FALSE))="Martin",(VLOOKUP(Table10[[#This Row],[SKU]],'All Skus'!$A:$AC,11,FALSE)),""))</f>
        <v>60.5</v>
      </c>
      <c r="K91" s="224">
        <f>(IF((VLOOKUP(Table10[[#This Row],[SKU]],'All Skus'!$A:$AC,2,FALSE))="Martin",(VLOOKUP(Table10[[#This Row],[SKU]],'All Skus'!$A:$AC,15,FALSE)),""))</f>
        <v>0</v>
      </c>
      <c r="L91" s="224">
        <f>(IF((VLOOKUP(Table10[[#This Row],[SKU]],'All Skus'!$A:$AC,2,FALSE))="Martin",(VLOOKUP(Table10[[#This Row],[SKU]],'All Skus'!$A:$AC,16,FALSE)),""))</f>
        <v>0</v>
      </c>
      <c r="M91" s="224">
        <f>(IF((VLOOKUP(Table10[[#This Row],[SKU]],'All Skus'!$A:$AC,2,FALSE))="Martin",(VLOOKUP(Table10[[#This Row],[SKU]],'All Skus'!$A:$AC,17,FALSE)),""))</f>
        <v>0</v>
      </c>
      <c r="N91" s="227">
        <f>(IF((VLOOKUP(Table10[[#This Row],[SKU]],'All Skus'!$A:$AC,2,FALSE))="Martin",(VLOOKUP(Table10[[#This Row],[SKU]],'All Skus'!$A:$AC,18,FALSE)),""))</f>
        <v>0</v>
      </c>
      <c r="O91" s="227">
        <f>(IF((VLOOKUP(Table10[[#This Row],[SKU]],'All Skus'!$A:$AC,2,FALSE))="Martin",(VLOOKUP(Table10[[#This Row],[SKU]],'All Skus'!$A:$AC,19,FALSE)),""))</f>
        <v>0</v>
      </c>
      <c r="P91" s="227">
        <f>(IF((VLOOKUP(Table10[[#This Row],[SKU]],'All Skus'!$A:$AC,2,FALSE))="Martin",(VLOOKUP(Table10[[#This Row],[SKU]],'All Skus'!$A:$AC,20,FALSE)),""))</f>
        <v>0</v>
      </c>
      <c r="Q91" s="227">
        <f>(IF((VLOOKUP(Table10[[#This Row],[SKU]],'All Skus'!$A:$AC,2,FALSE))="Martin",(VLOOKUP(Table10[[#This Row],[SKU]],'All Skus'!$A:$AC,21,FALSE)),""))</f>
        <v>0</v>
      </c>
      <c r="R91" s="224" t="str">
        <f>(IF((VLOOKUP(Table10[[#This Row],[SKU]],'All Skus'!$A:$AC,2,FALSE))="Martin",(VLOOKUP(Table10[[#This Row],[SKU]],'All Skus'!$A:$AC,22,FALSE)),""))</f>
        <v>TW</v>
      </c>
      <c r="S91" s="223">
        <f>(IF((VLOOKUP(Table10[[#This Row],[SKU]],'All Skus'!$A:$AC,2,FALSE))="Martin",(VLOOKUP(Table10[[#This Row],[SKU]],'All Skus'!$A:$AC,23,FALSE)),""))</f>
        <v>0</v>
      </c>
      <c r="T91" s="212" t="str">
        <f>HYPERLINK((IF((VLOOKUP(Table10[[#This Row],[SKU]],'All Skus'!$A:$AC,2,FALSE))="Martin",(VLOOKUP(Table10[[#This Row],[SKU]],'All Skus'!$A:$AC,24,FALSE)),"")))</f>
        <v/>
      </c>
      <c r="U91" s="228">
        <v>89</v>
      </c>
    </row>
    <row r="92" spans="1:21" hidden="1">
      <c r="A92" s="114">
        <v>91616057</v>
      </c>
      <c r="B92" s="224" t="str">
        <f>(IF((VLOOKUP(Table10[[#This Row],[SKU]],'All Skus'!$A:$AC,2,FALSE))="Martin",(VLOOKUP(Table10[[#This Row],[SKU]],'All Skus'!$A:$AC,3,FALSE)),""))</f>
        <v>Accessories</v>
      </c>
      <c r="C92" s="223" t="str">
        <f>(IF((VLOOKUP(Table10[[#This Row],[SKU]],'All Skus'!$A:$AC,2,FALSE))="Martin",(VLOOKUP(Table10[[#This Row],[SKU]],'All Skus'!$A:$AC,4,FALSE)),""))</f>
        <v>Power+Data Cable Instal CMX BBD-BBD 5m</v>
      </c>
      <c r="D92" s="224" t="str">
        <f>(IF((VLOOKUP(Table10[[#This Row],[SKU]],'All Skus'!$A:$AC,2,FALSE))="Martin",(VLOOKUP(Table10[[#This Row],[SKU]],'All Skus'!$A:$AC,5,FALSE)),""))</f>
        <v>MAR-ACC</v>
      </c>
      <c r="E92" s="223">
        <f>(IF((VLOOKUP(Table10[[#This Row],[SKU]],'All Skus'!$A:$AC,2,FALSE))="Martin",(VLOOKUP(Table10[[#This Row],[SKU]],'All Skus'!$A:$AC,6,FALSE)),""))</f>
        <v>0</v>
      </c>
      <c r="F92" s="155">
        <f>(IF((VLOOKUP(Table10[[#This Row],[SKU]],'All Skus'!$A:$AC,2,FALSE))="Martin",(VLOOKUP(Table10[[#This Row],[SKU]],'All Skus'!$A:$AC,7,FALSE)),""))</f>
        <v>0</v>
      </c>
      <c r="G92" s="223" t="str">
        <f>(IF((VLOOKUP(Table10[[#This Row],[SKU]],'All Skus'!$A:$AC,2,FALSE))="Martin",(VLOOKUP(Table10[[#This Row],[SKU]],'All Skus'!$A:$AC,8,FALSE)),""))</f>
        <v>Power+Data Cable Instal CMX BBD-BBD 5m</v>
      </c>
      <c r="H92" s="223" t="str">
        <f>(IF((VLOOKUP(Table10[[#This Row],[SKU]],'All Skus'!$A:$AC,2,FALSE))="Martin",(VLOOKUP(Table10[[#This Row],[SKU]],'All Skus'!$A:$AC,9,FALSE)),""))</f>
        <v>Power+Data Cable Instal CMX BBD-BBD 5m</v>
      </c>
      <c r="I92" s="225">
        <f>(IF((VLOOKUP(Table10[[#This Row],[SKU]],'All Skus'!$A:$AC,2,FALSE))="Martin",(VLOOKUP(Table10[[#This Row],[SKU]],'All Skus'!$A:$AC,10,FALSE)),""))</f>
        <v>88.9</v>
      </c>
      <c r="J92" s="226">
        <f>(IF((VLOOKUP(Table10[[#This Row],[SKU]],'All Skus'!$A:$AC,2,FALSE))="Martin",(VLOOKUP(Table10[[#This Row],[SKU]],'All Skus'!$A:$AC,11,FALSE)),""))</f>
        <v>88.9</v>
      </c>
      <c r="K92" s="224">
        <f>(IF((VLOOKUP(Table10[[#This Row],[SKU]],'All Skus'!$A:$AC,2,FALSE))="Martin",(VLOOKUP(Table10[[#This Row],[SKU]],'All Skus'!$A:$AC,15,FALSE)),""))</f>
        <v>0</v>
      </c>
      <c r="L92" s="224">
        <f>(IF((VLOOKUP(Table10[[#This Row],[SKU]],'All Skus'!$A:$AC,2,FALSE))="Martin",(VLOOKUP(Table10[[#This Row],[SKU]],'All Skus'!$A:$AC,16,FALSE)),""))</f>
        <v>0</v>
      </c>
      <c r="M92" s="224">
        <f>(IF((VLOOKUP(Table10[[#This Row],[SKU]],'All Skus'!$A:$AC,2,FALSE))="Martin",(VLOOKUP(Table10[[#This Row],[SKU]],'All Skus'!$A:$AC,17,FALSE)),""))</f>
        <v>0</v>
      </c>
      <c r="N92" s="227">
        <f>(IF((VLOOKUP(Table10[[#This Row],[SKU]],'All Skus'!$A:$AC,2,FALSE))="Martin",(VLOOKUP(Table10[[#This Row],[SKU]],'All Skus'!$A:$AC,18,FALSE)),""))</f>
        <v>0</v>
      </c>
      <c r="O92" s="227">
        <f>(IF((VLOOKUP(Table10[[#This Row],[SKU]],'All Skus'!$A:$AC,2,FALSE))="Martin",(VLOOKUP(Table10[[#This Row],[SKU]],'All Skus'!$A:$AC,19,FALSE)),""))</f>
        <v>0</v>
      </c>
      <c r="P92" s="227">
        <f>(IF((VLOOKUP(Table10[[#This Row],[SKU]],'All Skus'!$A:$AC,2,FALSE))="Martin",(VLOOKUP(Table10[[#This Row],[SKU]],'All Skus'!$A:$AC,20,FALSE)),""))</f>
        <v>0</v>
      </c>
      <c r="Q92" s="227">
        <f>(IF((VLOOKUP(Table10[[#This Row],[SKU]],'All Skus'!$A:$AC,2,FALSE))="Martin",(VLOOKUP(Table10[[#This Row],[SKU]],'All Skus'!$A:$AC,21,FALSE)),""))</f>
        <v>0</v>
      </c>
      <c r="R92" s="224" t="str">
        <f>(IF((VLOOKUP(Table10[[#This Row],[SKU]],'All Skus'!$A:$AC,2,FALSE))="Martin",(VLOOKUP(Table10[[#This Row],[SKU]],'All Skus'!$A:$AC,22,FALSE)),""))</f>
        <v>TW</v>
      </c>
      <c r="S92" s="223">
        <f>(IF((VLOOKUP(Table10[[#This Row],[SKU]],'All Skus'!$A:$AC,2,FALSE))="Martin",(VLOOKUP(Table10[[#This Row],[SKU]],'All Skus'!$A:$AC,23,FALSE)),""))</f>
        <v>0</v>
      </c>
      <c r="T92" s="212" t="str">
        <f>HYPERLINK((IF((VLOOKUP(Table10[[#This Row],[SKU]],'All Skus'!$A:$AC,2,FALSE))="Martin",(VLOOKUP(Table10[[#This Row],[SKU]],'All Skus'!$A:$AC,24,FALSE)),"")))</f>
        <v/>
      </c>
      <c r="U92" s="228">
        <v>90</v>
      </c>
    </row>
    <row r="93" spans="1:21" hidden="1">
      <c r="A93" s="114">
        <v>91616058</v>
      </c>
      <c r="B93" s="224" t="str">
        <f>(IF((VLOOKUP(Table10[[#This Row],[SKU]],'All Skus'!$A:$AC,2,FALSE))="Martin",(VLOOKUP(Table10[[#This Row],[SKU]],'All Skus'!$A:$AC,3,FALSE)),""))</f>
        <v>Accessories</v>
      </c>
      <c r="C93" s="223" t="str">
        <f>(IF((VLOOKUP(Table10[[#This Row],[SKU]],'All Skus'!$A:$AC,2,FALSE))="Martin",(VLOOKUP(Table10[[#This Row],[SKU]],'All Skus'!$A:$AC,4,FALSE)),""))</f>
        <v>Power+Data Cable Instal CMX BBD-BBD 10m</v>
      </c>
      <c r="D93" s="224" t="str">
        <f>(IF((VLOOKUP(Table10[[#This Row],[SKU]],'All Skus'!$A:$AC,2,FALSE))="Martin",(VLOOKUP(Table10[[#This Row],[SKU]],'All Skus'!$A:$AC,5,FALSE)),""))</f>
        <v>MAR-ACC</v>
      </c>
      <c r="E93" s="223">
        <f>(IF((VLOOKUP(Table10[[#This Row],[SKU]],'All Skus'!$A:$AC,2,FALSE))="Martin",(VLOOKUP(Table10[[#This Row],[SKU]],'All Skus'!$A:$AC,6,FALSE)),""))</f>
        <v>0</v>
      </c>
      <c r="F93" s="155">
        <f>(IF((VLOOKUP(Table10[[#This Row],[SKU]],'All Skus'!$A:$AC,2,FALSE))="Martin",(VLOOKUP(Table10[[#This Row],[SKU]],'All Skus'!$A:$AC,7,FALSE)),""))</f>
        <v>0</v>
      </c>
      <c r="G93" s="223" t="str">
        <f>(IF((VLOOKUP(Table10[[#This Row],[SKU]],'All Skus'!$A:$AC,2,FALSE))="Martin",(VLOOKUP(Table10[[#This Row],[SKU]],'All Skus'!$A:$AC,8,FALSE)),""))</f>
        <v>Power+Data Cable Instal CMX BBD-BBD 10m</v>
      </c>
      <c r="H93" s="223" t="str">
        <f>(IF((VLOOKUP(Table10[[#This Row],[SKU]],'All Skus'!$A:$AC,2,FALSE))="Martin",(VLOOKUP(Table10[[#This Row],[SKU]],'All Skus'!$A:$AC,9,FALSE)),""))</f>
        <v>Power+Data Cable Instal CMX BBD-BBD 10m</v>
      </c>
      <c r="I93" s="225">
        <f>(IF((VLOOKUP(Table10[[#This Row],[SKU]],'All Skus'!$A:$AC,2,FALSE))="Martin",(VLOOKUP(Table10[[#This Row],[SKU]],'All Skus'!$A:$AC,10,FALSE)),""))</f>
        <v>142</v>
      </c>
      <c r="J93" s="226">
        <f>(IF((VLOOKUP(Table10[[#This Row],[SKU]],'All Skus'!$A:$AC,2,FALSE))="Martin",(VLOOKUP(Table10[[#This Row],[SKU]],'All Skus'!$A:$AC,11,FALSE)),""))</f>
        <v>142</v>
      </c>
      <c r="K93" s="224">
        <f>(IF((VLOOKUP(Table10[[#This Row],[SKU]],'All Skus'!$A:$AC,2,FALSE))="Martin",(VLOOKUP(Table10[[#This Row],[SKU]],'All Skus'!$A:$AC,15,FALSE)),""))</f>
        <v>0</v>
      </c>
      <c r="L93" s="224">
        <f>(IF((VLOOKUP(Table10[[#This Row],[SKU]],'All Skus'!$A:$AC,2,FALSE))="Martin",(VLOOKUP(Table10[[#This Row],[SKU]],'All Skus'!$A:$AC,16,FALSE)),""))</f>
        <v>0</v>
      </c>
      <c r="M93" s="224">
        <f>(IF((VLOOKUP(Table10[[#This Row],[SKU]],'All Skus'!$A:$AC,2,FALSE))="Martin",(VLOOKUP(Table10[[#This Row],[SKU]],'All Skus'!$A:$AC,17,FALSE)),""))</f>
        <v>0</v>
      </c>
      <c r="N93" s="227">
        <f>(IF((VLOOKUP(Table10[[#This Row],[SKU]],'All Skus'!$A:$AC,2,FALSE))="Martin",(VLOOKUP(Table10[[#This Row],[SKU]],'All Skus'!$A:$AC,18,FALSE)),""))</f>
        <v>0</v>
      </c>
      <c r="O93" s="227">
        <f>(IF((VLOOKUP(Table10[[#This Row],[SKU]],'All Skus'!$A:$AC,2,FALSE))="Martin",(VLOOKUP(Table10[[#This Row],[SKU]],'All Skus'!$A:$AC,19,FALSE)),""))</f>
        <v>0</v>
      </c>
      <c r="P93" s="227">
        <f>(IF((VLOOKUP(Table10[[#This Row],[SKU]],'All Skus'!$A:$AC,2,FALSE))="Martin",(VLOOKUP(Table10[[#This Row],[SKU]],'All Skus'!$A:$AC,20,FALSE)),""))</f>
        <v>0</v>
      </c>
      <c r="Q93" s="227">
        <f>(IF((VLOOKUP(Table10[[#This Row],[SKU]],'All Skus'!$A:$AC,2,FALSE))="Martin",(VLOOKUP(Table10[[#This Row],[SKU]],'All Skus'!$A:$AC,21,FALSE)),""))</f>
        <v>0</v>
      </c>
      <c r="R93" s="224" t="str">
        <f>(IF((VLOOKUP(Table10[[#This Row],[SKU]],'All Skus'!$A:$AC,2,FALSE))="Martin",(VLOOKUP(Table10[[#This Row],[SKU]],'All Skus'!$A:$AC,22,FALSE)),""))</f>
        <v>TW</v>
      </c>
      <c r="S93" s="223">
        <f>(IF((VLOOKUP(Table10[[#This Row],[SKU]],'All Skus'!$A:$AC,2,FALSE))="Martin",(VLOOKUP(Table10[[#This Row],[SKU]],'All Skus'!$A:$AC,23,FALSE)),""))</f>
        <v>0</v>
      </c>
      <c r="T93" s="212" t="str">
        <f>HYPERLINK((IF((VLOOKUP(Table10[[#This Row],[SKU]],'All Skus'!$A:$AC,2,FALSE))="Martin",(VLOOKUP(Table10[[#This Row],[SKU]],'All Skus'!$A:$AC,24,FALSE)),"")))</f>
        <v/>
      </c>
      <c r="U93" s="228">
        <v>91</v>
      </c>
    </row>
    <row r="94" spans="1:21" hidden="1">
      <c r="A94" s="114">
        <v>91616059</v>
      </c>
      <c r="B94" s="224" t="str">
        <f>(IF((VLOOKUP(Table10[[#This Row],[SKU]],'All Skus'!$A:$AC,2,FALSE))="Martin",(VLOOKUP(Table10[[#This Row],[SKU]],'All Skus'!$A:$AC,3,FALSE)),""))</f>
        <v>Accessories</v>
      </c>
      <c r="C94" s="223" t="str">
        <f>(IF((VLOOKUP(Table10[[#This Row],[SKU]],'All Skus'!$A:$AC,2,FALSE))="Martin",(VLOOKUP(Table10[[#This Row],[SKU]],'All Skus'!$A:$AC,4,FALSE)),""))</f>
        <v>Power+Data Cable Instal CMX BBD-BBD 25m</v>
      </c>
      <c r="D94" s="224" t="str">
        <f>(IF((VLOOKUP(Table10[[#This Row],[SKU]],'All Skus'!$A:$AC,2,FALSE))="Martin",(VLOOKUP(Table10[[#This Row],[SKU]],'All Skus'!$A:$AC,5,FALSE)),""))</f>
        <v>MAR-ACC</v>
      </c>
      <c r="E94" s="223">
        <f>(IF((VLOOKUP(Table10[[#This Row],[SKU]],'All Skus'!$A:$AC,2,FALSE))="Martin",(VLOOKUP(Table10[[#This Row],[SKU]],'All Skus'!$A:$AC,6,FALSE)),""))</f>
        <v>0</v>
      </c>
      <c r="F94" s="155">
        <f>(IF((VLOOKUP(Table10[[#This Row],[SKU]],'All Skus'!$A:$AC,2,FALSE))="Martin",(VLOOKUP(Table10[[#This Row],[SKU]],'All Skus'!$A:$AC,7,FALSE)),""))</f>
        <v>0</v>
      </c>
      <c r="G94" s="223" t="str">
        <f>(IF((VLOOKUP(Table10[[#This Row],[SKU]],'All Skus'!$A:$AC,2,FALSE))="Martin",(VLOOKUP(Table10[[#This Row],[SKU]],'All Skus'!$A:$AC,8,FALSE)),""))</f>
        <v>Power+Data Cable Instal CMX BBD-BBD 25m</v>
      </c>
      <c r="H94" s="223" t="str">
        <f>(IF((VLOOKUP(Table10[[#This Row],[SKU]],'All Skus'!$A:$AC,2,FALSE))="Martin",(VLOOKUP(Table10[[#This Row],[SKU]],'All Skus'!$A:$AC,9,FALSE)),""))</f>
        <v>Power+Data Cable Instal CMX BBD-BBD 25m</v>
      </c>
      <c r="I94" s="225">
        <f>(IF((VLOOKUP(Table10[[#This Row],[SKU]],'All Skus'!$A:$AC,2,FALSE))="Martin",(VLOOKUP(Table10[[#This Row],[SKU]],'All Skus'!$A:$AC,10,FALSE)),""))</f>
        <v>313.63</v>
      </c>
      <c r="J94" s="226">
        <f>(IF((VLOOKUP(Table10[[#This Row],[SKU]],'All Skus'!$A:$AC,2,FALSE))="Martin",(VLOOKUP(Table10[[#This Row],[SKU]],'All Skus'!$A:$AC,11,FALSE)),""))</f>
        <v>313.63</v>
      </c>
      <c r="K94" s="224">
        <f>(IF((VLOOKUP(Table10[[#This Row],[SKU]],'All Skus'!$A:$AC,2,FALSE))="Martin",(VLOOKUP(Table10[[#This Row],[SKU]],'All Skus'!$A:$AC,15,FALSE)),""))</f>
        <v>0</v>
      </c>
      <c r="L94" s="224">
        <f>(IF((VLOOKUP(Table10[[#This Row],[SKU]],'All Skus'!$A:$AC,2,FALSE))="Martin",(VLOOKUP(Table10[[#This Row],[SKU]],'All Skus'!$A:$AC,16,FALSE)),""))</f>
        <v>0</v>
      </c>
      <c r="M94" s="224">
        <f>(IF((VLOOKUP(Table10[[#This Row],[SKU]],'All Skus'!$A:$AC,2,FALSE))="Martin",(VLOOKUP(Table10[[#This Row],[SKU]],'All Skus'!$A:$AC,17,FALSE)),""))</f>
        <v>0</v>
      </c>
      <c r="N94" s="227">
        <f>(IF((VLOOKUP(Table10[[#This Row],[SKU]],'All Skus'!$A:$AC,2,FALSE))="Martin",(VLOOKUP(Table10[[#This Row],[SKU]],'All Skus'!$A:$AC,18,FALSE)),""))</f>
        <v>0</v>
      </c>
      <c r="O94" s="227">
        <f>(IF((VLOOKUP(Table10[[#This Row],[SKU]],'All Skus'!$A:$AC,2,FALSE))="Martin",(VLOOKUP(Table10[[#This Row],[SKU]],'All Skus'!$A:$AC,19,FALSE)),""))</f>
        <v>0</v>
      </c>
      <c r="P94" s="227">
        <f>(IF((VLOOKUP(Table10[[#This Row],[SKU]],'All Skus'!$A:$AC,2,FALSE))="Martin",(VLOOKUP(Table10[[#This Row],[SKU]],'All Skus'!$A:$AC,20,FALSE)),""))</f>
        <v>0</v>
      </c>
      <c r="Q94" s="227">
        <f>(IF((VLOOKUP(Table10[[#This Row],[SKU]],'All Skus'!$A:$AC,2,FALSE))="Martin",(VLOOKUP(Table10[[#This Row],[SKU]],'All Skus'!$A:$AC,21,FALSE)),""))</f>
        <v>0</v>
      </c>
      <c r="R94" s="224" t="str">
        <f>(IF((VLOOKUP(Table10[[#This Row],[SKU]],'All Skus'!$A:$AC,2,FALSE))="Martin",(VLOOKUP(Table10[[#This Row],[SKU]],'All Skus'!$A:$AC,22,FALSE)),""))</f>
        <v>TW</v>
      </c>
      <c r="S94" s="223">
        <f>(IF((VLOOKUP(Table10[[#This Row],[SKU]],'All Skus'!$A:$AC,2,FALSE))="Martin",(VLOOKUP(Table10[[#This Row],[SKU]],'All Skus'!$A:$AC,23,FALSE)),""))</f>
        <v>0</v>
      </c>
      <c r="T94" s="212" t="str">
        <f>HYPERLINK((IF((VLOOKUP(Table10[[#This Row],[SKU]],'All Skus'!$A:$AC,2,FALSE))="Martin",(VLOOKUP(Table10[[#This Row],[SKU]],'All Skus'!$A:$AC,24,FALSE)),"")))</f>
        <v/>
      </c>
      <c r="U94" s="228">
        <v>92</v>
      </c>
    </row>
    <row r="95" spans="1:21" hidden="1">
      <c r="A95" s="114">
        <v>91616060</v>
      </c>
      <c r="B95" s="224" t="str">
        <f>(IF((VLOOKUP(Table10[[#This Row],[SKU]],'All Skus'!$A:$AC,2,FALSE))="Martin",(VLOOKUP(Table10[[#This Row],[SKU]],'All Skus'!$A:$AC,3,FALSE)),""))</f>
        <v>Accessories</v>
      </c>
      <c r="C95" s="223" t="str">
        <f>(IF((VLOOKUP(Table10[[#This Row],[SKU]],'All Skus'!$A:$AC,2,FALSE))="Martin",(VLOOKUP(Table10[[#This Row],[SKU]],'All Skus'!$A:$AC,4,FALSE)),""))</f>
        <v>Power+Data Cable Instal CMX 100m</v>
      </c>
      <c r="D95" s="224" t="str">
        <f>(IF((VLOOKUP(Table10[[#This Row],[SKU]],'All Skus'!$A:$AC,2,FALSE))="Martin",(VLOOKUP(Table10[[#This Row],[SKU]],'All Skus'!$A:$AC,5,FALSE)),""))</f>
        <v>MAR-ACC</v>
      </c>
      <c r="E95" s="223">
        <f>(IF((VLOOKUP(Table10[[#This Row],[SKU]],'All Skus'!$A:$AC,2,FALSE))="Martin",(VLOOKUP(Table10[[#This Row],[SKU]],'All Skus'!$A:$AC,6,FALSE)),""))</f>
        <v>0</v>
      </c>
      <c r="F95" s="155">
        <f>(IF((VLOOKUP(Table10[[#This Row],[SKU]],'All Skus'!$A:$AC,2,FALSE))="Martin",(VLOOKUP(Table10[[#This Row],[SKU]],'All Skus'!$A:$AC,7,FALSE)),""))</f>
        <v>0</v>
      </c>
      <c r="G95" s="223" t="str">
        <f>(IF((VLOOKUP(Table10[[#This Row],[SKU]],'All Skus'!$A:$AC,2,FALSE))="Martin",(VLOOKUP(Table10[[#This Row],[SKU]],'All Skus'!$A:$AC,8,FALSE)),""))</f>
        <v>Power+Data Cable Instal CMX 100m</v>
      </c>
      <c r="H95" s="223" t="str">
        <f>(IF((VLOOKUP(Table10[[#This Row],[SKU]],'All Skus'!$A:$AC,2,FALSE))="Martin",(VLOOKUP(Table10[[#This Row],[SKU]],'All Skus'!$A:$AC,9,FALSE)),""))</f>
        <v>Power+Data Cable Instal CMX 100m</v>
      </c>
      <c r="I95" s="225">
        <f>(IF((VLOOKUP(Table10[[#This Row],[SKU]],'All Skus'!$A:$AC,2,FALSE))="Martin",(VLOOKUP(Table10[[#This Row],[SKU]],'All Skus'!$A:$AC,10,FALSE)),""))</f>
        <v>1217.48</v>
      </c>
      <c r="J95" s="226">
        <f>(IF((VLOOKUP(Table10[[#This Row],[SKU]],'All Skus'!$A:$AC,2,FALSE))="Martin",(VLOOKUP(Table10[[#This Row],[SKU]],'All Skus'!$A:$AC,11,FALSE)),""))</f>
        <v>1217.48</v>
      </c>
      <c r="K95" s="224">
        <f>(IF((VLOOKUP(Table10[[#This Row],[SKU]],'All Skus'!$A:$AC,2,FALSE))="Martin",(VLOOKUP(Table10[[#This Row],[SKU]],'All Skus'!$A:$AC,15,FALSE)),""))</f>
        <v>0</v>
      </c>
      <c r="L95" s="224">
        <f>(IF((VLOOKUP(Table10[[#This Row],[SKU]],'All Skus'!$A:$AC,2,FALSE))="Martin",(VLOOKUP(Table10[[#This Row],[SKU]],'All Skus'!$A:$AC,16,FALSE)),""))</f>
        <v>0</v>
      </c>
      <c r="M95" s="224">
        <f>(IF((VLOOKUP(Table10[[#This Row],[SKU]],'All Skus'!$A:$AC,2,FALSE))="Martin",(VLOOKUP(Table10[[#This Row],[SKU]],'All Skus'!$A:$AC,17,FALSE)),""))</f>
        <v>0</v>
      </c>
      <c r="N95" s="227">
        <f>(IF((VLOOKUP(Table10[[#This Row],[SKU]],'All Skus'!$A:$AC,2,FALSE))="Martin",(VLOOKUP(Table10[[#This Row],[SKU]],'All Skus'!$A:$AC,18,FALSE)),""))</f>
        <v>0</v>
      </c>
      <c r="O95" s="227">
        <f>(IF((VLOOKUP(Table10[[#This Row],[SKU]],'All Skus'!$A:$AC,2,FALSE))="Martin",(VLOOKUP(Table10[[#This Row],[SKU]],'All Skus'!$A:$AC,19,FALSE)),""))</f>
        <v>0</v>
      </c>
      <c r="P95" s="227">
        <f>(IF((VLOOKUP(Table10[[#This Row],[SKU]],'All Skus'!$A:$AC,2,FALSE))="Martin",(VLOOKUP(Table10[[#This Row],[SKU]],'All Skus'!$A:$AC,20,FALSE)),""))</f>
        <v>0</v>
      </c>
      <c r="Q95" s="227">
        <f>(IF((VLOOKUP(Table10[[#This Row],[SKU]],'All Skus'!$A:$AC,2,FALSE))="Martin",(VLOOKUP(Table10[[#This Row],[SKU]],'All Skus'!$A:$AC,21,FALSE)),""))</f>
        <v>0</v>
      </c>
      <c r="R95" s="224" t="str">
        <f>(IF((VLOOKUP(Table10[[#This Row],[SKU]],'All Skus'!$A:$AC,2,FALSE))="Martin",(VLOOKUP(Table10[[#This Row],[SKU]],'All Skus'!$A:$AC,22,FALSE)),""))</f>
        <v>TW</v>
      </c>
      <c r="S95" s="223">
        <f>(IF((VLOOKUP(Table10[[#This Row],[SKU]],'All Skus'!$A:$AC,2,FALSE))="Martin",(VLOOKUP(Table10[[#This Row],[SKU]],'All Skus'!$A:$AC,23,FALSE)),""))</f>
        <v>0</v>
      </c>
      <c r="T95" s="212" t="str">
        <f>HYPERLINK((IF((VLOOKUP(Table10[[#This Row],[SKU]],'All Skus'!$A:$AC,2,FALSE))="Martin",(VLOOKUP(Table10[[#This Row],[SKU]],'All Skus'!$A:$AC,24,FALSE)),"")))</f>
        <v/>
      </c>
      <c r="U95" s="228">
        <v>93</v>
      </c>
    </row>
    <row r="96" spans="1:21" hidden="1">
      <c r="A96" s="115" t="s">
        <v>1976</v>
      </c>
      <c r="B96" s="224">
        <f>(IF((VLOOKUP(Table10[[#This Row],[SKU]],'All Skus'!$A:$AC,2,FALSE))="Martin",(VLOOKUP(Table10[[#This Row],[SKU]],'All Skus'!$A:$AC,3,FALSE)),""))</f>
        <v>0</v>
      </c>
      <c r="C96" s="223">
        <f>(IF((VLOOKUP(Table10[[#This Row],[SKU]],'All Skus'!$A:$AC,2,FALSE))="Martin",(VLOOKUP(Table10[[#This Row],[SKU]],'All Skus'!$A:$AC,4,FALSE)),""))</f>
        <v>0</v>
      </c>
      <c r="D96" s="224">
        <f>(IF((VLOOKUP(Table10[[#This Row],[SKU]],'All Skus'!$A:$AC,2,FALSE))="Martin",(VLOOKUP(Table10[[#This Row],[SKU]],'All Skus'!$A:$AC,5,FALSE)),""))</f>
        <v>0</v>
      </c>
      <c r="E96" s="223">
        <f>(IF((VLOOKUP(Table10[[#This Row],[SKU]],'All Skus'!$A:$AC,2,FALSE))="Martin",(VLOOKUP(Table10[[#This Row],[SKU]],'All Skus'!$A:$AC,6,FALSE)),""))</f>
        <v>0</v>
      </c>
      <c r="F96" s="155">
        <f>(IF((VLOOKUP(Table10[[#This Row],[SKU]],'All Skus'!$A:$AC,2,FALSE))="Martin",(VLOOKUP(Table10[[#This Row],[SKU]],'All Skus'!$A:$AC,7,FALSE)),""))</f>
        <v>0</v>
      </c>
      <c r="G96" s="223">
        <f>(IF((VLOOKUP(Table10[[#This Row],[SKU]],'All Skus'!$A:$AC,2,FALSE))="Martin",(VLOOKUP(Table10[[#This Row],[SKU]],'All Skus'!$A:$AC,8,FALSE)),""))</f>
        <v>0</v>
      </c>
      <c r="H96" s="223">
        <f>(IF((VLOOKUP(Table10[[#This Row],[SKU]],'All Skus'!$A:$AC,2,FALSE))="Martin",(VLOOKUP(Table10[[#This Row],[SKU]],'All Skus'!$A:$AC,9,FALSE)),""))</f>
        <v>0</v>
      </c>
      <c r="I96" s="225">
        <f>(IF((VLOOKUP(Table10[[#This Row],[SKU]],'All Skus'!$A:$AC,2,FALSE))="Martin",(VLOOKUP(Table10[[#This Row],[SKU]],'All Skus'!$A:$AC,10,FALSE)),""))</f>
        <v>0</v>
      </c>
      <c r="J96" s="226">
        <f>(IF((VLOOKUP(Table10[[#This Row],[SKU]],'All Skus'!$A:$AC,2,FALSE))="Martin",(VLOOKUP(Table10[[#This Row],[SKU]],'All Skus'!$A:$AC,11,FALSE)),""))</f>
        <v>0</v>
      </c>
      <c r="K96" s="224">
        <f>(IF((VLOOKUP(Table10[[#This Row],[SKU]],'All Skus'!$A:$AC,2,FALSE))="Martin",(VLOOKUP(Table10[[#This Row],[SKU]],'All Skus'!$A:$AC,15,FALSE)),""))</f>
        <v>0</v>
      </c>
      <c r="L96" s="224">
        <f>(IF((VLOOKUP(Table10[[#This Row],[SKU]],'All Skus'!$A:$AC,2,FALSE))="Martin",(VLOOKUP(Table10[[#This Row],[SKU]],'All Skus'!$A:$AC,16,FALSE)),""))</f>
        <v>0</v>
      </c>
      <c r="M96" s="224">
        <f>(IF((VLOOKUP(Table10[[#This Row],[SKU]],'All Skus'!$A:$AC,2,FALSE))="Martin",(VLOOKUP(Table10[[#This Row],[SKU]],'All Skus'!$A:$AC,17,FALSE)),""))</f>
        <v>0</v>
      </c>
      <c r="N96" s="227">
        <f>(IF((VLOOKUP(Table10[[#This Row],[SKU]],'All Skus'!$A:$AC,2,FALSE))="Martin",(VLOOKUP(Table10[[#This Row],[SKU]],'All Skus'!$A:$AC,18,FALSE)),""))</f>
        <v>0</v>
      </c>
      <c r="O96" s="227">
        <f>(IF((VLOOKUP(Table10[[#This Row],[SKU]],'All Skus'!$A:$AC,2,FALSE))="Martin",(VLOOKUP(Table10[[#This Row],[SKU]],'All Skus'!$A:$AC,19,FALSE)),""))</f>
        <v>0</v>
      </c>
      <c r="P96" s="227">
        <f>(IF((VLOOKUP(Table10[[#This Row],[SKU]],'All Skus'!$A:$AC,2,FALSE))="Martin",(VLOOKUP(Table10[[#This Row],[SKU]],'All Skus'!$A:$AC,20,FALSE)),""))</f>
        <v>0</v>
      </c>
      <c r="Q96" s="227">
        <f>(IF((VLOOKUP(Table10[[#This Row],[SKU]],'All Skus'!$A:$AC,2,FALSE))="Martin",(VLOOKUP(Table10[[#This Row],[SKU]],'All Skus'!$A:$AC,21,FALSE)),""))</f>
        <v>0</v>
      </c>
      <c r="R96" s="224">
        <f>(IF((VLOOKUP(Table10[[#This Row],[SKU]],'All Skus'!$A:$AC,2,FALSE))="Martin",(VLOOKUP(Table10[[#This Row],[SKU]],'All Skus'!$A:$AC,22,FALSE)),""))</f>
        <v>0</v>
      </c>
      <c r="S96" s="223">
        <f>(IF((VLOOKUP(Table10[[#This Row],[SKU]],'All Skus'!$A:$AC,2,FALSE))="Martin",(VLOOKUP(Table10[[#This Row],[SKU]],'All Skus'!$A:$AC,23,FALSE)),""))</f>
        <v>0</v>
      </c>
      <c r="T96" s="212" t="str">
        <f>HYPERLINK((IF((VLOOKUP(Table10[[#This Row],[SKU]],'All Skus'!$A:$AC,2,FALSE))="Martin",(VLOOKUP(Table10[[#This Row],[SKU]],'All Skus'!$A:$AC,24,FALSE)),"")))</f>
        <v/>
      </c>
      <c r="U96" s="228">
        <v>94</v>
      </c>
    </row>
    <row r="97" spans="1:21" hidden="1">
      <c r="A97" s="114">
        <v>91616012</v>
      </c>
      <c r="B97" s="224" t="str">
        <f>(IF((VLOOKUP(Table10[[#This Row],[SKU]],'All Skus'!$A:$AC,2,FALSE))="Martin",(VLOOKUP(Table10[[#This Row],[SKU]],'All Skus'!$A:$AC,3,FALSE)),""))</f>
        <v>Accessories</v>
      </c>
      <c r="C97" s="223" t="str">
        <f>(IF((VLOOKUP(Table10[[#This Row],[SKU]],'All Skus'!$A:$AC,2,FALSE))="Martin",(VLOOKUP(Table10[[#This Row],[SKU]],'All Skus'!$A:$AC,4,FALSE)),""))</f>
        <v>Power+Data Cable Instl LSZH BBD-BBD 1m</v>
      </c>
      <c r="D97" s="224" t="str">
        <f>(IF((VLOOKUP(Table10[[#This Row],[SKU]],'All Skus'!$A:$AC,2,FALSE))="Martin",(VLOOKUP(Table10[[#This Row],[SKU]],'All Skus'!$A:$AC,5,FALSE)),""))</f>
        <v>MAR-ACC</v>
      </c>
      <c r="E97" s="223">
        <f>(IF((VLOOKUP(Table10[[#This Row],[SKU]],'All Skus'!$A:$AC,2,FALSE))="Martin",(VLOOKUP(Table10[[#This Row],[SKU]],'All Skus'!$A:$AC,6,FALSE)),""))</f>
        <v>0</v>
      </c>
      <c r="F97" s="155">
        <f>(IF((VLOOKUP(Table10[[#This Row],[SKU]],'All Skus'!$A:$AC,2,FALSE))="Martin",(VLOOKUP(Table10[[#This Row],[SKU]],'All Skus'!$A:$AC,7,FALSE)),""))</f>
        <v>0</v>
      </c>
      <c r="G97" s="223" t="str">
        <f>(IF((VLOOKUP(Table10[[#This Row],[SKU]],'All Skus'!$A:$AC,2,FALSE))="Martin",(VLOOKUP(Table10[[#This Row],[SKU]],'All Skus'!$A:$AC,8,FALSE)),""))</f>
        <v>Power+Data Cable Instl LSZH BBD-BBD 1m</v>
      </c>
      <c r="H97" s="223" t="str">
        <f>(IF((VLOOKUP(Table10[[#This Row],[SKU]],'All Skus'!$A:$AC,2,FALSE))="Martin",(VLOOKUP(Table10[[#This Row],[SKU]],'All Skus'!$A:$AC,9,FALSE)),""))</f>
        <v>Power+Data Cable Instl LSZH BBD-BBD 1m</v>
      </c>
      <c r="I97" s="225">
        <f>(IF((VLOOKUP(Table10[[#This Row],[SKU]],'All Skus'!$A:$AC,2,FALSE))="Martin",(VLOOKUP(Table10[[#This Row],[SKU]],'All Skus'!$A:$AC,10,FALSE)),""))</f>
        <v>46.92</v>
      </c>
      <c r="J97" s="226">
        <f>(IF((VLOOKUP(Table10[[#This Row],[SKU]],'All Skus'!$A:$AC,2,FALSE))="Martin",(VLOOKUP(Table10[[#This Row],[SKU]],'All Skus'!$A:$AC,11,FALSE)),""))</f>
        <v>46.92</v>
      </c>
      <c r="K97" s="224">
        <f>(IF((VLOOKUP(Table10[[#This Row],[SKU]],'All Skus'!$A:$AC,2,FALSE))="Martin",(VLOOKUP(Table10[[#This Row],[SKU]],'All Skus'!$A:$AC,15,FALSE)),""))</f>
        <v>0</v>
      </c>
      <c r="L97" s="224">
        <f>(IF((VLOOKUP(Table10[[#This Row],[SKU]],'All Skus'!$A:$AC,2,FALSE))="Martin",(VLOOKUP(Table10[[#This Row],[SKU]],'All Skus'!$A:$AC,16,FALSE)),""))</f>
        <v>0</v>
      </c>
      <c r="M97" s="224">
        <f>(IF((VLOOKUP(Table10[[#This Row],[SKU]],'All Skus'!$A:$AC,2,FALSE))="Martin",(VLOOKUP(Table10[[#This Row],[SKU]],'All Skus'!$A:$AC,17,FALSE)),""))</f>
        <v>0</v>
      </c>
      <c r="N97" s="227">
        <f>(IF((VLOOKUP(Table10[[#This Row],[SKU]],'All Skus'!$A:$AC,2,FALSE))="Martin",(VLOOKUP(Table10[[#This Row],[SKU]],'All Skus'!$A:$AC,18,FALSE)),""))</f>
        <v>0</v>
      </c>
      <c r="O97" s="227">
        <f>(IF((VLOOKUP(Table10[[#This Row],[SKU]],'All Skus'!$A:$AC,2,FALSE))="Martin",(VLOOKUP(Table10[[#This Row],[SKU]],'All Skus'!$A:$AC,19,FALSE)),""))</f>
        <v>0</v>
      </c>
      <c r="P97" s="227">
        <f>(IF((VLOOKUP(Table10[[#This Row],[SKU]],'All Skus'!$A:$AC,2,FALSE))="Martin",(VLOOKUP(Table10[[#This Row],[SKU]],'All Skus'!$A:$AC,20,FALSE)),""))</f>
        <v>0</v>
      </c>
      <c r="Q97" s="227">
        <f>(IF((VLOOKUP(Table10[[#This Row],[SKU]],'All Skus'!$A:$AC,2,FALSE))="Martin",(VLOOKUP(Table10[[#This Row],[SKU]],'All Skus'!$A:$AC,21,FALSE)),""))</f>
        <v>0</v>
      </c>
      <c r="R97" s="224" t="str">
        <f>(IF((VLOOKUP(Table10[[#This Row],[SKU]],'All Skus'!$A:$AC,2,FALSE))="Martin",(VLOOKUP(Table10[[#This Row],[SKU]],'All Skus'!$A:$AC,22,FALSE)),""))</f>
        <v>TW</v>
      </c>
      <c r="S97" s="223">
        <f>(IF((VLOOKUP(Table10[[#This Row],[SKU]],'All Skus'!$A:$AC,2,FALSE))="Martin",(VLOOKUP(Table10[[#This Row],[SKU]],'All Skus'!$A:$AC,23,FALSE)),""))</f>
        <v>0</v>
      </c>
      <c r="T97" s="212" t="str">
        <f>HYPERLINK((IF((VLOOKUP(Table10[[#This Row],[SKU]],'All Skus'!$A:$AC,2,FALSE))="Martin",(VLOOKUP(Table10[[#This Row],[SKU]],'All Skus'!$A:$AC,24,FALSE)),"")))</f>
        <v/>
      </c>
      <c r="U97" s="228">
        <v>95</v>
      </c>
    </row>
    <row r="98" spans="1:21" hidden="1">
      <c r="A98" s="114">
        <v>91616013</v>
      </c>
      <c r="B98" s="224" t="str">
        <f>(IF((VLOOKUP(Table10[[#This Row],[SKU]],'All Skus'!$A:$AC,2,FALSE))="Martin",(VLOOKUP(Table10[[#This Row],[SKU]],'All Skus'!$A:$AC,3,FALSE)),""))</f>
        <v>Accessories</v>
      </c>
      <c r="C98" s="223" t="str">
        <f>(IF((VLOOKUP(Table10[[#This Row],[SKU]],'All Skus'!$A:$AC,2,FALSE))="Martin",(VLOOKUP(Table10[[#This Row],[SKU]],'All Skus'!$A:$AC,4,FALSE)),""))</f>
        <v>Power+Data Cable Instl LSZH BBD-BBD 2,5m</v>
      </c>
      <c r="D98" s="224" t="str">
        <f>(IF((VLOOKUP(Table10[[#This Row],[SKU]],'All Skus'!$A:$AC,2,FALSE))="Martin",(VLOOKUP(Table10[[#This Row],[SKU]],'All Skus'!$A:$AC,5,FALSE)),""))</f>
        <v>MAR-ACC</v>
      </c>
      <c r="E98" s="223">
        <f>(IF((VLOOKUP(Table10[[#This Row],[SKU]],'All Skus'!$A:$AC,2,FALSE))="Martin",(VLOOKUP(Table10[[#This Row],[SKU]],'All Skus'!$A:$AC,6,FALSE)),""))</f>
        <v>0</v>
      </c>
      <c r="F98" s="155">
        <f>(IF((VLOOKUP(Table10[[#This Row],[SKU]],'All Skus'!$A:$AC,2,FALSE))="Martin",(VLOOKUP(Table10[[#This Row],[SKU]],'All Skus'!$A:$AC,7,FALSE)),""))</f>
        <v>0</v>
      </c>
      <c r="G98" s="223" t="str">
        <f>(IF((VLOOKUP(Table10[[#This Row],[SKU]],'All Skus'!$A:$AC,2,FALSE))="Martin",(VLOOKUP(Table10[[#This Row],[SKU]],'All Skus'!$A:$AC,8,FALSE)),""))</f>
        <v>Power+Data Cable Instl LSZH BBD-BBD 2,5m</v>
      </c>
      <c r="H98" s="223" t="str">
        <f>(IF((VLOOKUP(Table10[[#This Row],[SKU]],'All Skus'!$A:$AC,2,FALSE))="Martin",(VLOOKUP(Table10[[#This Row],[SKU]],'All Skus'!$A:$AC,9,FALSE)),""))</f>
        <v>Power+Data Cable Instl LSZH BBD-BBD 2,5m</v>
      </c>
      <c r="I98" s="225">
        <f>(IF((VLOOKUP(Table10[[#This Row],[SKU]],'All Skus'!$A:$AC,2,FALSE))="Martin",(VLOOKUP(Table10[[#This Row],[SKU]],'All Skus'!$A:$AC,10,FALSE)),""))</f>
        <v>70.38</v>
      </c>
      <c r="J98" s="226">
        <f>(IF((VLOOKUP(Table10[[#This Row],[SKU]],'All Skus'!$A:$AC,2,FALSE))="Martin",(VLOOKUP(Table10[[#This Row],[SKU]],'All Skus'!$A:$AC,11,FALSE)),""))</f>
        <v>70.38</v>
      </c>
      <c r="K98" s="224">
        <f>(IF((VLOOKUP(Table10[[#This Row],[SKU]],'All Skus'!$A:$AC,2,FALSE))="Martin",(VLOOKUP(Table10[[#This Row],[SKU]],'All Skus'!$A:$AC,15,FALSE)),""))</f>
        <v>0</v>
      </c>
      <c r="L98" s="224">
        <f>(IF((VLOOKUP(Table10[[#This Row],[SKU]],'All Skus'!$A:$AC,2,FALSE))="Martin",(VLOOKUP(Table10[[#This Row],[SKU]],'All Skus'!$A:$AC,16,FALSE)),""))</f>
        <v>0</v>
      </c>
      <c r="M98" s="224">
        <f>(IF((VLOOKUP(Table10[[#This Row],[SKU]],'All Skus'!$A:$AC,2,FALSE))="Martin",(VLOOKUP(Table10[[#This Row],[SKU]],'All Skus'!$A:$AC,17,FALSE)),""))</f>
        <v>0</v>
      </c>
      <c r="N98" s="227">
        <f>(IF((VLOOKUP(Table10[[#This Row],[SKU]],'All Skus'!$A:$AC,2,FALSE))="Martin",(VLOOKUP(Table10[[#This Row],[SKU]],'All Skus'!$A:$AC,18,FALSE)),""))</f>
        <v>0</v>
      </c>
      <c r="O98" s="227">
        <f>(IF((VLOOKUP(Table10[[#This Row],[SKU]],'All Skus'!$A:$AC,2,FALSE))="Martin",(VLOOKUP(Table10[[#This Row],[SKU]],'All Skus'!$A:$AC,19,FALSE)),""))</f>
        <v>0</v>
      </c>
      <c r="P98" s="227">
        <f>(IF((VLOOKUP(Table10[[#This Row],[SKU]],'All Skus'!$A:$AC,2,FALSE))="Martin",(VLOOKUP(Table10[[#This Row],[SKU]],'All Skus'!$A:$AC,20,FALSE)),""))</f>
        <v>0</v>
      </c>
      <c r="Q98" s="227">
        <f>(IF((VLOOKUP(Table10[[#This Row],[SKU]],'All Skus'!$A:$AC,2,FALSE))="Martin",(VLOOKUP(Table10[[#This Row],[SKU]],'All Skus'!$A:$AC,21,FALSE)),""))</f>
        <v>0</v>
      </c>
      <c r="R98" s="224" t="str">
        <f>(IF((VLOOKUP(Table10[[#This Row],[SKU]],'All Skus'!$A:$AC,2,FALSE))="Martin",(VLOOKUP(Table10[[#This Row],[SKU]],'All Skus'!$A:$AC,22,FALSE)),""))</f>
        <v>TW</v>
      </c>
      <c r="S98" s="223">
        <f>(IF((VLOOKUP(Table10[[#This Row],[SKU]],'All Skus'!$A:$AC,2,FALSE))="Martin",(VLOOKUP(Table10[[#This Row],[SKU]],'All Skus'!$A:$AC,23,FALSE)),""))</f>
        <v>0</v>
      </c>
      <c r="T98" s="212" t="str">
        <f>HYPERLINK((IF((VLOOKUP(Table10[[#This Row],[SKU]],'All Skus'!$A:$AC,2,FALSE))="Martin",(VLOOKUP(Table10[[#This Row],[SKU]],'All Skus'!$A:$AC,24,FALSE)),"")))</f>
        <v/>
      </c>
      <c r="U98" s="228">
        <v>96</v>
      </c>
    </row>
    <row r="99" spans="1:21" hidden="1">
      <c r="A99" s="114">
        <v>91616014</v>
      </c>
      <c r="B99" s="224" t="str">
        <f>(IF((VLOOKUP(Table10[[#This Row],[SKU]],'All Skus'!$A:$AC,2,FALSE))="Martin",(VLOOKUP(Table10[[#This Row],[SKU]],'All Skus'!$A:$AC,3,FALSE)),""))</f>
        <v>Accessories</v>
      </c>
      <c r="C99" s="223" t="str">
        <f>(IF((VLOOKUP(Table10[[#This Row],[SKU]],'All Skus'!$A:$AC,2,FALSE))="Martin",(VLOOKUP(Table10[[#This Row],[SKU]],'All Skus'!$A:$AC,4,FALSE)),""))</f>
        <v>Power+Data Cable Instl LSZH BBD-BBD 5m</v>
      </c>
      <c r="D99" s="224" t="str">
        <f>(IF((VLOOKUP(Table10[[#This Row],[SKU]],'All Skus'!$A:$AC,2,FALSE))="Martin",(VLOOKUP(Table10[[#This Row],[SKU]],'All Skus'!$A:$AC,5,FALSE)),""))</f>
        <v>MAR-ACC</v>
      </c>
      <c r="E99" s="223">
        <f>(IF((VLOOKUP(Table10[[#This Row],[SKU]],'All Skus'!$A:$AC,2,FALSE))="Martin",(VLOOKUP(Table10[[#This Row],[SKU]],'All Skus'!$A:$AC,6,FALSE)),""))</f>
        <v>0</v>
      </c>
      <c r="F99" s="155">
        <f>(IF((VLOOKUP(Table10[[#This Row],[SKU]],'All Skus'!$A:$AC,2,FALSE))="Martin",(VLOOKUP(Table10[[#This Row],[SKU]],'All Skus'!$A:$AC,7,FALSE)),""))</f>
        <v>0</v>
      </c>
      <c r="G99" s="223" t="str">
        <f>(IF((VLOOKUP(Table10[[#This Row],[SKU]],'All Skus'!$A:$AC,2,FALSE))="Martin",(VLOOKUP(Table10[[#This Row],[SKU]],'All Skus'!$A:$AC,8,FALSE)),""))</f>
        <v>Power+Data Cable Instl LSZH BBD-BBD 5m</v>
      </c>
      <c r="H99" s="223" t="str">
        <f>(IF((VLOOKUP(Table10[[#This Row],[SKU]],'All Skus'!$A:$AC,2,FALSE))="Martin",(VLOOKUP(Table10[[#This Row],[SKU]],'All Skus'!$A:$AC,9,FALSE)),""))</f>
        <v>Power+Data Cable Instl LSZH BBD-BBD 5m</v>
      </c>
      <c r="I99" s="225">
        <f>(IF((VLOOKUP(Table10[[#This Row],[SKU]],'All Skus'!$A:$AC,2,FALSE))="Martin",(VLOOKUP(Table10[[#This Row],[SKU]],'All Skus'!$A:$AC,10,FALSE)),""))</f>
        <v>106.19</v>
      </c>
      <c r="J99" s="226">
        <f>(IF((VLOOKUP(Table10[[#This Row],[SKU]],'All Skus'!$A:$AC,2,FALSE))="Martin",(VLOOKUP(Table10[[#This Row],[SKU]],'All Skus'!$A:$AC,11,FALSE)),""))</f>
        <v>106.19</v>
      </c>
      <c r="K99" s="224">
        <f>(IF((VLOOKUP(Table10[[#This Row],[SKU]],'All Skus'!$A:$AC,2,FALSE))="Martin",(VLOOKUP(Table10[[#This Row],[SKU]],'All Skus'!$A:$AC,15,FALSE)),""))</f>
        <v>0</v>
      </c>
      <c r="L99" s="224">
        <f>(IF((VLOOKUP(Table10[[#This Row],[SKU]],'All Skus'!$A:$AC,2,FALSE))="Martin",(VLOOKUP(Table10[[#This Row],[SKU]],'All Skus'!$A:$AC,16,FALSE)),""))</f>
        <v>0</v>
      </c>
      <c r="M99" s="224">
        <f>(IF((VLOOKUP(Table10[[#This Row],[SKU]],'All Skus'!$A:$AC,2,FALSE))="Martin",(VLOOKUP(Table10[[#This Row],[SKU]],'All Skus'!$A:$AC,17,FALSE)),""))</f>
        <v>0</v>
      </c>
      <c r="N99" s="227">
        <f>(IF((VLOOKUP(Table10[[#This Row],[SKU]],'All Skus'!$A:$AC,2,FALSE))="Martin",(VLOOKUP(Table10[[#This Row],[SKU]],'All Skus'!$A:$AC,18,FALSE)),""))</f>
        <v>0</v>
      </c>
      <c r="O99" s="227">
        <f>(IF((VLOOKUP(Table10[[#This Row],[SKU]],'All Skus'!$A:$AC,2,FALSE))="Martin",(VLOOKUP(Table10[[#This Row],[SKU]],'All Skus'!$A:$AC,19,FALSE)),""))</f>
        <v>0</v>
      </c>
      <c r="P99" s="227">
        <f>(IF((VLOOKUP(Table10[[#This Row],[SKU]],'All Skus'!$A:$AC,2,FALSE))="Martin",(VLOOKUP(Table10[[#This Row],[SKU]],'All Skus'!$A:$AC,20,FALSE)),""))</f>
        <v>0</v>
      </c>
      <c r="Q99" s="227">
        <f>(IF((VLOOKUP(Table10[[#This Row],[SKU]],'All Skus'!$A:$AC,2,FALSE))="Martin",(VLOOKUP(Table10[[#This Row],[SKU]],'All Skus'!$A:$AC,21,FALSE)),""))</f>
        <v>0</v>
      </c>
      <c r="R99" s="224" t="str">
        <f>(IF((VLOOKUP(Table10[[#This Row],[SKU]],'All Skus'!$A:$AC,2,FALSE))="Martin",(VLOOKUP(Table10[[#This Row],[SKU]],'All Skus'!$A:$AC,22,FALSE)),""))</f>
        <v>TW</v>
      </c>
      <c r="S99" s="223">
        <f>(IF((VLOOKUP(Table10[[#This Row],[SKU]],'All Skus'!$A:$AC,2,FALSE))="Martin",(VLOOKUP(Table10[[#This Row],[SKU]],'All Skus'!$A:$AC,23,FALSE)),""))</f>
        <v>0</v>
      </c>
      <c r="T99" s="212" t="str">
        <f>HYPERLINK((IF((VLOOKUP(Table10[[#This Row],[SKU]],'All Skus'!$A:$AC,2,FALSE))="Martin",(VLOOKUP(Table10[[#This Row],[SKU]],'All Skus'!$A:$AC,24,FALSE)),"")))</f>
        <v/>
      </c>
      <c r="U99" s="228">
        <v>97</v>
      </c>
    </row>
    <row r="100" spans="1:21" hidden="1">
      <c r="A100" s="114">
        <v>91616015</v>
      </c>
      <c r="B100" s="224" t="str">
        <f>(IF((VLOOKUP(Table10[[#This Row],[SKU]],'All Skus'!$A:$AC,2,FALSE))="Martin",(VLOOKUP(Table10[[#This Row],[SKU]],'All Skus'!$A:$AC,3,FALSE)),""))</f>
        <v>Accessories</v>
      </c>
      <c r="C100" s="223" t="str">
        <f>(IF((VLOOKUP(Table10[[#This Row],[SKU]],'All Skus'!$A:$AC,2,FALSE))="Martin",(VLOOKUP(Table10[[#This Row],[SKU]],'All Skus'!$A:$AC,4,FALSE)),""))</f>
        <v>Power+Data Cable Instl LSZH BBD-BBD 10m</v>
      </c>
      <c r="D100" s="224" t="str">
        <f>(IF((VLOOKUP(Table10[[#This Row],[SKU]],'All Skus'!$A:$AC,2,FALSE))="Martin",(VLOOKUP(Table10[[#This Row],[SKU]],'All Skus'!$A:$AC,5,FALSE)),""))</f>
        <v>MAR-ACC</v>
      </c>
      <c r="E100" s="223">
        <f>(IF((VLOOKUP(Table10[[#This Row],[SKU]],'All Skus'!$A:$AC,2,FALSE))="Martin",(VLOOKUP(Table10[[#This Row],[SKU]],'All Skus'!$A:$AC,6,FALSE)),""))</f>
        <v>0</v>
      </c>
      <c r="F100" s="155">
        <f>(IF((VLOOKUP(Table10[[#This Row],[SKU]],'All Skus'!$A:$AC,2,FALSE))="Martin",(VLOOKUP(Table10[[#This Row],[SKU]],'All Skus'!$A:$AC,7,FALSE)),""))</f>
        <v>0</v>
      </c>
      <c r="G100" s="223" t="str">
        <f>(IF((VLOOKUP(Table10[[#This Row],[SKU]],'All Skus'!$A:$AC,2,FALSE))="Martin",(VLOOKUP(Table10[[#This Row],[SKU]],'All Skus'!$A:$AC,8,FALSE)),""))</f>
        <v>Power+Data Cable Instl LSZH BBD-BBD 10m</v>
      </c>
      <c r="H100" s="223" t="str">
        <f>(IF((VLOOKUP(Table10[[#This Row],[SKU]],'All Skus'!$A:$AC,2,FALSE))="Martin",(VLOOKUP(Table10[[#This Row],[SKU]],'All Skus'!$A:$AC,9,FALSE)),""))</f>
        <v>Power+Data Cable Instl LSZH BBD-BBD 10m</v>
      </c>
      <c r="I100" s="225">
        <f>(IF((VLOOKUP(Table10[[#This Row],[SKU]],'All Skus'!$A:$AC,2,FALSE))="Martin",(VLOOKUP(Table10[[#This Row],[SKU]],'All Skus'!$A:$AC,10,FALSE)),""))</f>
        <v>175.34</v>
      </c>
      <c r="J100" s="226">
        <f>(IF((VLOOKUP(Table10[[#This Row],[SKU]],'All Skus'!$A:$AC,2,FALSE))="Martin",(VLOOKUP(Table10[[#This Row],[SKU]],'All Skus'!$A:$AC,11,FALSE)),""))</f>
        <v>175.34</v>
      </c>
      <c r="K100" s="224">
        <f>(IF((VLOOKUP(Table10[[#This Row],[SKU]],'All Skus'!$A:$AC,2,FALSE))="Martin",(VLOOKUP(Table10[[#This Row],[SKU]],'All Skus'!$A:$AC,15,FALSE)),""))</f>
        <v>0</v>
      </c>
      <c r="L100" s="224">
        <f>(IF((VLOOKUP(Table10[[#This Row],[SKU]],'All Skus'!$A:$AC,2,FALSE))="Martin",(VLOOKUP(Table10[[#This Row],[SKU]],'All Skus'!$A:$AC,16,FALSE)),""))</f>
        <v>0</v>
      </c>
      <c r="M100" s="224">
        <f>(IF((VLOOKUP(Table10[[#This Row],[SKU]],'All Skus'!$A:$AC,2,FALSE))="Martin",(VLOOKUP(Table10[[#This Row],[SKU]],'All Skus'!$A:$AC,17,FALSE)),""))</f>
        <v>0</v>
      </c>
      <c r="N100" s="227">
        <f>(IF((VLOOKUP(Table10[[#This Row],[SKU]],'All Skus'!$A:$AC,2,FALSE))="Martin",(VLOOKUP(Table10[[#This Row],[SKU]],'All Skus'!$A:$AC,18,FALSE)),""))</f>
        <v>0</v>
      </c>
      <c r="O100" s="227">
        <f>(IF((VLOOKUP(Table10[[#This Row],[SKU]],'All Skus'!$A:$AC,2,FALSE))="Martin",(VLOOKUP(Table10[[#This Row],[SKU]],'All Skus'!$A:$AC,19,FALSE)),""))</f>
        <v>0</v>
      </c>
      <c r="P100" s="227">
        <f>(IF((VLOOKUP(Table10[[#This Row],[SKU]],'All Skus'!$A:$AC,2,FALSE))="Martin",(VLOOKUP(Table10[[#This Row],[SKU]],'All Skus'!$A:$AC,20,FALSE)),""))</f>
        <v>0</v>
      </c>
      <c r="Q100" s="227">
        <f>(IF((VLOOKUP(Table10[[#This Row],[SKU]],'All Skus'!$A:$AC,2,FALSE))="Martin",(VLOOKUP(Table10[[#This Row],[SKU]],'All Skus'!$A:$AC,21,FALSE)),""))</f>
        <v>0</v>
      </c>
      <c r="R100" s="224" t="str">
        <f>(IF((VLOOKUP(Table10[[#This Row],[SKU]],'All Skus'!$A:$AC,2,FALSE))="Martin",(VLOOKUP(Table10[[#This Row],[SKU]],'All Skus'!$A:$AC,22,FALSE)),""))</f>
        <v>TW</v>
      </c>
      <c r="S100" s="223">
        <f>(IF((VLOOKUP(Table10[[#This Row],[SKU]],'All Skus'!$A:$AC,2,FALSE))="Martin",(VLOOKUP(Table10[[#This Row],[SKU]],'All Skus'!$A:$AC,23,FALSE)),""))</f>
        <v>0</v>
      </c>
      <c r="T100" s="212" t="str">
        <f>HYPERLINK((IF((VLOOKUP(Table10[[#This Row],[SKU]],'All Skus'!$A:$AC,2,FALSE))="Martin",(VLOOKUP(Table10[[#This Row],[SKU]],'All Skus'!$A:$AC,24,FALSE)),"")))</f>
        <v/>
      </c>
      <c r="U100" s="228">
        <v>98</v>
      </c>
    </row>
    <row r="101" spans="1:21" hidden="1">
      <c r="A101" s="114">
        <v>91616016</v>
      </c>
      <c r="B101" s="224" t="str">
        <f>(IF((VLOOKUP(Table10[[#This Row],[SKU]],'All Skus'!$A:$AC,2,FALSE))="Martin",(VLOOKUP(Table10[[#This Row],[SKU]],'All Skus'!$A:$AC,3,FALSE)),""))</f>
        <v>Accessories</v>
      </c>
      <c r="C101" s="223" t="str">
        <f>(IF((VLOOKUP(Table10[[#This Row],[SKU]],'All Skus'!$A:$AC,2,FALSE))="Martin",(VLOOKUP(Table10[[#This Row],[SKU]],'All Skus'!$A:$AC,4,FALSE)),""))</f>
        <v>Power+Data Cable Instl LSZH BBD-BBD 25m</v>
      </c>
      <c r="D101" s="224" t="str">
        <f>(IF((VLOOKUP(Table10[[#This Row],[SKU]],'All Skus'!$A:$AC,2,FALSE))="Martin",(VLOOKUP(Table10[[#This Row],[SKU]],'All Skus'!$A:$AC,5,FALSE)),""))</f>
        <v>MAR-ACC</v>
      </c>
      <c r="E101" s="223">
        <f>(IF((VLOOKUP(Table10[[#This Row],[SKU]],'All Skus'!$A:$AC,2,FALSE))="Martin",(VLOOKUP(Table10[[#This Row],[SKU]],'All Skus'!$A:$AC,6,FALSE)),""))</f>
        <v>0</v>
      </c>
      <c r="F101" s="155">
        <f>(IF((VLOOKUP(Table10[[#This Row],[SKU]],'All Skus'!$A:$AC,2,FALSE))="Martin",(VLOOKUP(Table10[[#This Row],[SKU]],'All Skus'!$A:$AC,7,FALSE)),""))</f>
        <v>0</v>
      </c>
      <c r="G101" s="223" t="str">
        <f>(IF((VLOOKUP(Table10[[#This Row],[SKU]],'All Skus'!$A:$AC,2,FALSE))="Martin",(VLOOKUP(Table10[[#This Row],[SKU]],'All Skus'!$A:$AC,8,FALSE)),""))</f>
        <v>Power+Data Cable Instl LSZH BBD-BBD 25m</v>
      </c>
      <c r="H101" s="223" t="str">
        <f>(IF((VLOOKUP(Table10[[#This Row],[SKU]],'All Skus'!$A:$AC,2,FALSE))="Martin",(VLOOKUP(Table10[[#This Row],[SKU]],'All Skus'!$A:$AC,9,FALSE)),""))</f>
        <v>Power+Data Cable Instl LSZH BBD-BBD 25m</v>
      </c>
      <c r="I101" s="225">
        <f>(IF((VLOOKUP(Table10[[#This Row],[SKU]],'All Skus'!$A:$AC,2,FALSE))="Martin",(VLOOKUP(Table10[[#This Row],[SKU]],'All Skus'!$A:$AC,10,FALSE)),""))</f>
        <v>390.19</v>
      </c>
      <c r="J101" s="226">
        <f>(IF((VLOOKUP(Table10[[#This Row],[SKU]],'All Skus'!$A:$AC,2,FALSE))="Martin",(VLOOKUP(Table10[[#This Row],[SKU]],'All Skus'!$A:$AC,11,FALSE)),""))</f>
        <v>390.19</v>
      </c>
      <c r="K101" s="224">
        <f>(IF((VLOOKUP(Table10[[#This Row],[SKU]],'All Skus'!$A:$AC,2,FALSE))="Martin",(VLOOKUP(Table10[[#This Row],[SKU]],'All Skus'!$A:$AC,15,FALSE)),""))</f>
        <v>0</v>
      </c>
      <c r="L101" s="224">
        <f>(IF((VLOOKUP(Table10[[#This Row],[SKU]],'All Skus'!$A:$AC,2,FALSE))="Martin",(VLOOKUP(Table10[[#This Row],[SKU]],'All Skus'!$A:$AC,16,FALSE)),""))</f>
        <v>0</v>
      </c>
      <c r="M101" s="224">
        <f>(IF((VLOOKUP(Table10[[#This Row],[SKU]],'All Skus'!$A:$AC,2,FALSE))="Martin",(VLOOKUP(Table10[[#This Row],[SKU]],'All Skus'!$A:$AC,17,FALSE)),""))</f>
        <v>0</v>
      </c>
      <c r="N101" s="227">
        <f>(IF((VLOOKUP(Table10[[#This Row],[SKU]],'All Skus'!$A:$AC,2,FALSE))="Martin",(VLOOKUP(Table10[[#This Row],[SKU]],'All Skus'!$A:$AC,18,FALSE)),""))</f>
        <v>0</v>
      </c>
      <c r="O101" s="227">
        <f>(IF((VLOOKUP(Table10[[#This Row],[SKU]],'All Skus'!$A:$AC,2,FALSE))="Martin",(VLOOKUP(Table10[[#This Row],[SKU]],'All Skus'!$A:$AC,19,FALSE)),""))</f>
        <v>0</v>
      </c>
      <c r="P101" s="227">
        <f>(IF((VLOOKUP(Table10[[#This Row],[SKU]],'All Skus'!$A:$AC,2,FALSE))="Martin",(VLOOKUP(Table10[[#This Row],[SKU]],'All Skus'!$A:$AC,20,FALSE)),""))</f>
        <v>0</v>
      </c>
      <c r="Q101" s="227">
        <f>(IF((VLOOKUP(Table10[[#This Row],[SKU]],'All Skus'!$A:$AC,2,FALSE))="Martin",(VLOOKUP(Table10[[#This Row],[SKU]],'All Skus'!$A:$AC,21,FALSE)),""))</f>
        <v>0</v>
      </c>
      <c r="R101" s="224" t="str">
        <f>(IF((VLOOKUP(Table10[[#This Row],[SKU]],'All Skus'!$A:$AC,2,FALSE))="Martin",(VLOOKUP(Table10[[#This Row],[SKU]],'All Skus'!$A:$AC,22,FALSE)),""))</f>
        <v>TW</v>
      </c>
      <c r="S101" s="223">
        <f>(IF((VLOOKUP(Table10[[#This Row],[SKU]],'All Skus'!$A:$AC,2,FALSE))="Martin",(VLOOKUP(Table10[[#This Row],[SKU]],'All Skus'!$A:$AC,23,FALSE)),""))</f>
        <v>0</v>
      </c>
      <c r="T101" s="212" t="str">
        <f>HYPERLINK((IF((VLOOKUP(Table10[[#This Row],[SKU]],'All Skus'!$A:$AC,2,FALSE))="Martin",(VLOOKUP(Table10[[#This Row],[SKU]],'All Skus'!$A:$AC,24,FALSE)),"")))</f>
        <v/>
      </c>
      <c r="U101" s="228">
        <v>99</v>
      </c>
    </row>
    <row r="102" spans="1:21" hidden="1">
      <c r="A102" s="114">
        <v>91616017</v>
      </c>
      <c r="B102" s="224" t="str">
        <f>(IF((VLOOKUP(Table10[[#This Row],[SKU]],'All Skus'!$A:$AC,2,FALSE))="Martin",(VLOOKUP(Table10[[#This Row],[SKU]],'All Skus'!$A:$AC,3,FALSE)),""))</f>
        <v>Accessories</v>
      </c>
      <c r="C102" s="223" t="str">
        <f>(IF((VLOOKUP(Table10[[#This Row],[SKU]],'All Skus'!$A:$AC,2,FALSE))="Martin",(VLOOKUP(Table10[[#This Row],[SKU]],'All Skus'!$A:$AC,4,FALSE)),""))</f>
        <v>Power+Data Cable Instl LSZH 100m</v>
      </c>
      <c r="D102" s="224" t="str">
        <f>(IF((VLOOKUP(Table10[[#This Row],[SKU]],'All Skus'!$A:$AC,2,FALSE))="Martin",(VLOOKUP(Table10[[#This Row],[SKU]],'All Skus'!$A:$AC,5,FALSE)),""))</f>
        <v>MAR-ACC</v>
      </c>
      <c r="E102" s="223">
        <f>(IF((VLOOKUP(Table10[[#This Row],[SKU]],'All Skus'!$A:$AC,2,FALSE))="Martin",(VLOOKUP(Table10[[#This Row],[SKU]],'All Skus'!$A:$AC,6,FALSE)),""))</f>
        <v>0</v>
      </c>
      <c r="F102" s="155">
        <f>(IF((VLOOKUP(Table10[[#This Row],[SKU]],'All Skus'!$A:$AC,2,FALSE))="Martin",(VLOOKUP(Table10[[#This Row],[SKU]],'All Skus'!$A:$AC,7,FALSE)),""))</f>
        <v>0</v>
      </c>
      <c r="G102" s="223" t="str">
        <f>(IF((VLOOKUP(Table10[[#This Row],[SKU]],'All Skus'!$A:$AC,2,FALSE))="Martin",(VLOOKUP(Table10[[#This Row],[SKU]],'All Skus'!$A:$AC,8,FALSE)),""))</f>
        <v>Power+Data Cable Instl LSZH 100m</v>
      </c>
      <c r="H102" s="223" t="str">
        <f>(IF((VLOOKUP(Table10[[#This Row],[SKU]],'All Skus'!$A:$AC,2,FALSE))="Martin",(VLOOKUP(Table10[[#This Row],[SKU]],'All Skus'!$A:$AC,9,FALSE)),""))</f>
        <v>Power+Data Cable Instl LSZH 100m</v>
      </c>
      <c r="I102" s="225">
        <f>(IF((VLOOKUP(Table10[[#This Row],[SKU]],'All Skus'!$A:$AC,2,FALSE))="Martin",(VLOOKUP(Table10[[#This Row],[SKU]],'All Skus'!$A:$AC,10,FALSE)),""))</f>
        <v>1523.7</v>
      </c>
      <c r="J102" s="226">
        <f>(IF((VLOOKUP(Table10[[#This Row],[SKU]],'All Skus'!$A:$AC,2,FALSE))="Martin",(VLOOKUP(Table10[[#This Row],[SKU]],'All Skus'!$A:$AC,11,FALSE)),""))</f>
        <v>1523.7</v>
      </c>
      <c r="K102" s="224">
        <f>(IF((VLOOKUP(Table10[[#This Row],[SKU]],'All Skus'!$A:$AC,2,FALSE))="Martin",(VLOOKUP(Table10[[#This Row],[SKU]],'All Skus'!$A:$AC,15,FALSE)),""))</f>
        <v>0</v>
      </c>
      <c r="L102" s="224">
        <f>(IF((VLOOKUP(Table10[[#This Row],[SKU]],'All Skus'!$A:$AC,2,FALSE))="Martin",(VLOOKUP(Table10[[#This Row],[SKU]],'All Skus'!$A:$AC,16,FALSE)),""))</f>
        <v>0</v>
      </c>
      <c r="M102" s="224">
        <f>(IF((VLOOKUP(Table10[[#This Row],[SKU]],'All Skus'!$A:$AC,2,FALSE))="Martin",(VLOOKUP(Table10[[#This Row],[SKU]],'All Skus'!$A:$AC,17,FALSE)),""))</f>
        <v>0</v>
      </c>
      <c r="N102" s="227">
        <f>(IF((VLOOKUP(Table10[[#This Row],[SKU]],'All Skus'!$A:$AC,2,FALSE))="Martin",(VLOOKUP(Table10[[#This Row],[SKU]],'All Skus'!$A:$AC,18,FALSE)),""))</f>
        <v>0</v>
      </c>
      <c r="O102" s="227">
        <f>(IF((VLOOKUP(Table10[[#This Row],[SKU]],'All Skus'!$A:$AC,2,FALSE))="Martin",(VLOOKUP(Table10[[#This Row],[SKU]],'All Skus'!$A:$AC,19,FALSE)),""))</f>
        <v>0</v>
      </c>
      <c r="P102" s="227">
        <f>(IF((VLOOKUP(Table10[[#This Row],[SKU]],'All Skus'!$A:$AC,2,FALSE))="Martin",(VLOOKUP(Table10[[#This Row],[SKU]],'All Skus'!$A:$AC,20,FALSE)),""))</f>
        <v>0</v>
      </c>
      <c r="Q102" s="227">
        <f>(IF((VLOOKUP(Table10[[#This Row],[SKU]],'All Skus'!$A:$AC,2,FALSE))="Martin",(VLOOKUP(Table10[[#This Row],[SKU]],'All Skus'!$A:$AC,21,FALSE)),""))</f>
        <v>0</v>
      </c>
      <c r="R102" s="224" t="str">
        <f>(IF((VLOOKUP(Table10[[#This Row],[SKU]],'All Skus'!$A:$AC,2,FALSE))="Martin",(VLOOKUP(Table10[[#This Row],[SKU]],'All Skus'!$A:$AC,22,FALSE)),""))</f>
        <v>TW</v>
      </c>
      <c r="S102" s="223">
        <f>(IF((VLOOKUP(Table10[[#This Row],[SKU]],'All Skus'!$A:$AC,2,FALSE))="Martin",(VLOOKUP(Table10[[#This Row],[SKU]],'All Skus'!$A:$AC,23,FALSE)),""))</f>
        <v>0</v>
      </c>
      <c r="T102" s="212" t="str">
        <f>HYPERLINK((IF((VLOOKUP(Table10[[#This Row],[SKU]],'All Skus'!$A:$AC,2,FALSE))="Martin",(VLOOKUP(Table10[[#This Row],[SKU]],'All Skus'!$A:$AC,24,FALSE)),"")))</f>
        <v/>
      </c>
      <c r="U102" s="228">
        <v>100</v>
      </c>
    </row>
    <row r="103" spans="1:21" hidden="1">
      <c r="A103" s="115" t="s">
        <v>1977</v>
      </c>
      <c r="B103" s="224">
        <f>(IF((VLOOKUP(Table10[[#This Row],[SKU]],'All Skus'!$A:$AC,2,FALSE))="Martin",(VLOOKUP(Table10[[#This Row],[SKU]],'All Skus'!$A:$AC,3,FALSE)),""))</f>
        <v>0</v>
      </c>
      <c r="C103" s="223">
        <f>(IF((VLOOKUP(Table10[[#This Row],[SKU]],'All Skus'!$A:$AC,2,FALSE))="Martin",(VLOOKUP(Table10[[#This Row],[SKU]],'All Skus'!$A:$AC,4,FALSE)),""))</f>
        <v>0</v>
      </c>
      <c r="D103" s="224">
        <f>(IF((VLOOKUP(Table10[[#This Row],[SKU]],'All Skus'!$A:$AC,2,FALSE))="Martin",(VLOOKUP(Table10[[#This Row],[SKU]],'All Skus'!$A:$AC,5,FALSE)),""))</f>
        <v>0</v>
      </c>
      <c r="E103" s="223">
        <f>(IF((VLOOKUP(Table10[[#This Row],[SKU]],'All Skus'!$A:$AC,2,FALSE))="Martin",(VLOOKUP(Table10[[#This Row],[SKU]],'All Skus'!$A:$AC,6,FALSE)),""))</f>
        <v>0</v>
      </c>
      <c r="F103" s="155">
        <f>(IF((VLOOKUP(Table10[[#This Row],[SKU]],'All Skus'!$A:$AC,2,FALSE))="Martin",(VLOOKUP(Table10[[#This Row],[SKU]],'All Skus'!$A:$AC,7,FALSE)),""))</f>
        <v>0</v>
      </c>
      <c r="G103" s="223">
        <f>(IF((VLOOKUP(Table10[[#This Row],[SKU]],'All Skus'!$A:$AC,2,FALSE))="Martin",(VLOOKUP(Table10[[#This Row],[SKU]],'All Skus'!$A:$AC,8,FALSE)),""))</f>
        <v>0</v>
      </c>
      <c r="H103" s="223">
        <f>(IF((VLOOKUP(Table10[[#This Row],[SKU]],'All Skus'!$A:$AC,2,FALSE))="Martin",(VLOOKUP(Table10[[#This Row],[SKU]],'All Skus'!$A:$AC,9,FALSE)),""))</f>
        <v>0</v>
      </c>
      <c r="I103" s="225">
        <f>(IF((VLOOKUP(Table10[[#This Row],[SKU]],'All Skus'!$A:$AC,2,FALSE))="Martin",(VLOOKUP(Table10[[#This Row],[SKU]],'All Skus'!$A:$AC,10,FALSE)),""))</f>
        <v>0</v>
      </c>
      <c r="J103" s="226">
        <f>(IF((VLOOKUP(Table10[[#This Row],[SKU]],'All Skus'!$A:$AC,2,FALSE))="Martin",(VLOOKUP(Table10[[#This Row],[SKU]],'All Skus'!$A:$AC,11,FALSE)),""))</f>
        <v>0</v>
      </c>
      <c r="K103" s="224">
        <f>(IF((VLOOKUP(Table10[[#This Row],[SKU]],'All Skus'!$A:$AC,2,FALSE))="Martin",(VLOOKUP(Table10[[#This Row],[SKU]],'All Skus'!$A:$AC,15,FALSE)),""))</f>
        <v>0</v>
      </c>
      <c r="L103" s="224">
        <f>(IF((VLOOKUP(Table10[[#This Row],[SKU]],'All Skus'!$A:$AC,2,FALSE))="Martin",(VLOOKUP(Table10[[#This Row],[SKU]],'All Skus'!$A:$AC,16,FALSE)),""))</f>
        <v>0</v>
      </c>
      <c r="M103" s="224">
        <f>(IF((VLOOKUP(Table10[[#This Row],[SKU]],'All Skus'!$A:$AC,2,FALSE))="Martin",(VLOOKUP(Table10[[#This Row],[SKU]],'All Skus'!$A:$AC,17,FALSE)),""))</f>
        <v>0</v>
      </c>
      <c r="N103" s="227">
        <f>(IF((VLOOKUP(Table10[[#This Row],[SKU]],'All Skus'!$A:$AC,2,FALSE))="Martin",(VLOOKUP(Table10[[#This Row],[SKU]],'All Skus'!$A:$AC,18,FALSE)),""))</f>
        <v>0</v>
      </c>
      <c r="O103" s="227">
        <f>(IF((VLOOKUP(Table10[[#This Row],[SKU]],'All Skus'!$A:$AC,2,FALSE))="Martin",(VLOOKUP(Table10[[#This Row],[SKU]],'All Skus'!$A:$AC,19,FALSE)),""))</f>
        <v>0</v>
      </c>
      <c r="P103" s="227">
        <f>(IF((VLOOKUP(Table10[[#This Row],[SKU]],'All Skus'!$A:$AC,2,FALSE))="Martin",(VLOOKUP(Table10[[#This Row],[SKU]],'All Skus'!$A:$AC,20,FALSE)),""))</f>
        <v>0</v>
      </c>
      <c r="Q103" s="227">
        <f>(IF((VLOOKUP(Table10[[#This Row],[SKU]],'All Skus'!$A:$AC,2,FALSE))="Martin",(VLOOKUP(Table10[[#This Row],[SKU]],'All Skus'!$A:$AC,21,FALSE)),""))</f>
        <v>0</v>
      </c>
      <c r="R103" s="224">
        <f>(IF((VLOOKUP(Table10[[#This Row],[SKU]],'All Skus'!$A:$AC,2,FALSE))="Martin",(VLOOKUP(Table10[[#This Row],[SKU]],'All Skus'!$A:$AC,22,FALSE)),""))</f>
        <v>0</v>
      </c>
      <c r="S103" s="223">
        <f>(IF((VLOOKUP(Table10[[#This Row],[SKU]],'All Skus'!$A:$AC,2,FALSE))="Martin",(VLOOKUP(Table10[[#This Row],[SKU]],'All Skus'!$A:$AC,23,FALSE)),""))</f>
        <v>0</v>
      </c>
      <c r="T103" s="212" t="str">
        <f>HYPERLINK((IF((VLOOKUP(Table10[[#This Row],[SKU]],'All Skus'!$A:$AC,2,FALSE))="Martin",(VLOOKUP(Table10[[#This Row],[SKU]],'All Skus'!$A:$AC,24,FALSE)),"")))</f>
        <v/>
      </c>
      <c r="U103" s="228">
        <v>101</v>
      </c>
    </row>
    <row r="104" spans="1:21" hidden="1">
      <c r="A104" s="114">
        <v>91616035</v>
      </c>
      <c r="B104" s="224" t="str">
        <f>(IF((VLOOKUP(Table10[[#This Row],[SKU]],'All Skus'!$A:$AC,2,FALSE))="Martin",(VLOOKUP(Table10[[#This Row],[SKU]],'All Skus'!$A:$AC,3,FALSE)),""))</f>
        <v>Accessories</v>
      </c>
      <c r="C104" s="223" t="str">
        <f>(IF((VLOOKUP(Table10[[#This Row],[SKU]],'All Skus'!$A:$AC,2,FALSE))="Martin",(VLOOKUP(Table10[[#This Row],[SKU]],'All Skus'!$A:$AC,4,FALSE)),""))</f>
        <v>Power+Data Adapter XLR4-PCB 0,25m</v>
      </c>
      <c r="D104" s="224" t="str">
        <f>(IF((VLOOKUP(Table10[[#This Row],[SKU]],'All Skus'!$A:$AC,2,FALSE))="Martin",(VLOOKUP(Table10[[#This Row],[SKU]],'All Skus'!$A:$AC,5,FALSE)),""))</f>
        <v>MAR-ACC</v>
      </c>
      <c r="E104" s="223">
        <f>(IF((VLOOKUP(Table10[[#This Row],[SKU]],'All Skus'!$A:$AC,2,FALSE))="Martin",(VLOOKUP(Table10[[#This Row],[SKU]],'All Skus'!$A:$AC,6,FALSE)),""))</f>
        <v>0</v>
      </c>
      <c r="F104" s="155" t="str">
        <f>(IF((VLOOKUP(Table10[[#This Row],[SKU]],'All Skus'!$A:$AC,2,FALSE))="Martin",(VLOOKUP(Table10[[#This Row],[SKU]],'All Skus'!$A:$AC,7,FALSE)),""))</f>
        <v>EOL pre-notice - Will be submitted for EOL soon - But will remain available to support final VC-Grid/Strip sales</v>
      </c>
      <c r="G104" s="223" t="str">
        <f>(IF((VLOOKUP(Table10[[#This Row],[SKU]],'All Skus'!$A:$AC,2,FALSE))="Martin",(VLOOKUP(Table10[[#This Row],[SKU]],'All Skus'!$A:$AC,8,FALSE)),""))</f>
        <v>Power+Data Adapter XLR4-PCB 0,25m</v>
      </c>
      <c r="H104" s="223" t="str">
        <f>(IF((VLOOKUP(Table10[[#This Row],[SKU]],'All Skus'!$A:$AC,2,FALSE))="Martin",(VLOOKUP(Table10[[#This Row],[SKU]],'All Skus'!$A:$AC,9,FALSE)),""))</f>
        <v>Power+Data Adapter XLR4-PCB 0,25m</v>
      </c>
      <c r="I104" s="225">
        <f>(IF((VLOOKUP(Table10[[#This Row],[SKU]],'All Skus'!$A:$AC,2,FALSE))="Martin",(VLOOKUP(Table10[[#This Row],[SKU]],'All Skus'!$A:$AC,10,FALSE)),""))</f>
        <v>37.04</v>
      </c>
      <c r="J104" s="226">
        <f>(IF((VLOOKUP(Table10[[#This Row],[SKU]],'All Skus'!$A:$AC,2,FALSE))="Martin",(VLOOKUP(Table10[[#This Row],[SKU]],'All Skus'!$A:$AC,11,FALSE)),""))</f>
        <v>37.04</v>
      </c>
      <c r="K104" s="224">
        <f>(IF((VLOOKUP(Table10[[#This Row],[SKU]],'All Skus'!$A:$AC,2,FALSE))="Martin",(VLOOKUP(Table10[[#This Row],[SKU]],'All Skus'!$A:$AC,15,FALSE)),""))</f>
        <v>0</v>
      </c>
      <c r="L104" s="224">
        <f>(IF((VLOOKUP(Table10[[#This Row],[SKU]],'All Skus'!$A:$AC,2,FALSE))="Martin",(VLOOKUP(Table10[[#This Row],[SKU]],'All Skus'!$A:$AC,16,FALSE)),""))</f>
        <v>0</v>
      </c>
      <c r="M104" s="224">
        <f>(IF((VLOOKUP(Table10[[#This Row],[SKU]],'All Skus'!$A:$AC,2,FALSE))="Martin",(VLOOKUP(Table10[[#This Row],[SKU]],'All Skus'!$A:$AC,17,FALSE)),""))</f>
        <v>0</v>
      </c>
      <c r="N104" s="227">
        <f>(IF((VLOOKUP(Table10[[#This Row],[SKU]],'All Skus'!$A:$AC,2,FALSE))="Martin",(VLOOKUP(Table10[[#This Row],[SKU]],'All Skus'!$A:$AC,18,FALSE)),""))</f>
        <v>0</v>
      </c>
      <c r="O104" s="227">
        <f>(IF((VLOOKUP(Table10[[#This Row],[SKU]],'All Skus'!$A:$AC,2,FALSE))="Martin",(VLOOKUP(Table10[[#This Row],[SKU]],'All Skus'!$A:$AC,19,FALSE)),""))</f>
        <v>0</v>
      </c>
      <c r="P104" s="227">
        <f>(IF((VLOOKUP(Table10[[#This Row],[SKU]],'All Skus'!$A:$AC,2,FALSE))="Martin",(VLOOKUP(Table10[[#This Row],[SKU]],'All Skus'!$A:$AC,20,FALSE)),""))</f>
        <v>0</v>
      </c>
      <c r="Q104" s="227">
        <f>(IF((VLOOKUP(Table10[[#This Row],[SKU]],'All Skus'!$A:$AC,2,FALSE))="Martin",(VLOOKUP(Table10[[#This Row],[SKU]],'All Skus'!$A:$AC,21,FALSE)),""))</f>
        <v>0</v>
      </c>
      <c r="R104" s="224" t="str">
        <f>(IF((VLOOKUP(Table10[[#This Row],[SKU]],'All Skus'!$A:$AC,2,FALSE))="Martin",(VLOOKUP(Table10[[#This Row],[SKU]],'All Skus'!$A:$AC,22,FALSE)),""))</f>
        <v>CN</v>
      </c>
      <c r="S104" s="223">
        <f>(IF((VLOOKUP(Table10[[#This Row],[SKU]],'All Skus'!$A:$AC,2,FALSE))="Martin",(VLOOKUP(Table10[[#This Row],[SKU]],'All Skus'!$A:$AC,23,FALSE)),""))</f>
        <v>0</v>
      </c>
      <c r="T104" s="212" t="str">
        <f>HYPERLINK((IF((VLOOKUP(Table10[[#This Row],[SKU]],'All Skus'!$A:$AC,2,FALSE))="Martin",(VLOOKUP(Table10[[#This Row],[SKU]],'All Skus'!$A:$AC,24,FALSE)),"")))</f>
        <v/>
      </c>
      <c r="U104" s="228">
        <v>102</v>
      </c>
    </row>
    <row r="105" spans="1:21" hidden="1">
      <c r="A105" s="114">
        <v>91616036</v>
      </c>
      <c r="B105" s="224" t="str">
        <f>(IF((VLOOKUP(Table10[[#This Row],[SKU]],'All Skus'!$A:$AC,2,FALSE))="Martin",(VLOOKUP(Table10[[#This Row],[SKU]],'All Skus'!$A:$AC,3,FALSE)),""))</f>
        <v>Accessories</v>
      </c>
      <c r="C105" s="223" t="str">
        <f>(IF((VLOOKUP(Table10[[#This Row],[SKU]],'All Skus'!$A:$AC,2,FALSE))="Martin",(VLOOKUP(Table10[[#This Row],[SKU]],'All Skus'!$A:$AC,4,FALSE)),""))</f>
        <v>Power+Data Adapter PCB-XLR4 0,25m</v>
      </c>
      <c r="D105" s="224" t="str">
        <f>(IF((VLOOKUP(Table10[[#This Row],[SKU]],'All Skus'!$A:$AC,2,FALSE))="Martin",(VLOOKUP(Table10[[#This Row],[SKU]],'All Skus'!$A:$AC,5,FALSE)),""))</f>
        <v>MAR-ACC</v>
      </c>
      <c r="E105" s="223">
        <f>(IF((VLOOKUP(Table10[[#This Row],[SKU]],'All Skus'!$A:$AC,2,FALSE))="Martin",(VLOOKUP(Table10[[#This Row],[SKU]],'All Skus'!$A:$AC,6,FALSE)),""))</f>
        <v>0</v>
      </c>
      <c r="F105" s="155" t="str">
        <f>(IF((VLOOKUP(Table10[[#This Row],[SKU]],'All Skus'!$A:$AC,2,FALSE))="Martin",(VLOOKUP(Table10[[#This Row],[SKU]],'All Skus'!$A:$AC,7,FALSE)),""))</f>
        <v>EOL pre-notice - Will be submitted for EOL soon - But will remain available to support final VC-Grid/Strip sales</v>
      </c>
      <c r="G105" s="223" t="str">
        <f>(IF((VLOOKUP(Table10[[#This Row],[SKU]],'All Skus'!$A:$AC,2,FALSE))="Martin",(VLOOKUP(Table10[[#This Row],[SKU]],'All Skus'!$A:$AC,8,FALSE)),""))</f>
        <v>Power+Data Adapter PCB-XLR4 0,25m</v>
      </c>
      <c r="H105" s="223" t="str">
        <f>(IF((VLOOKUP(Table10[[#This Row],[SKU]],'All Skus'!$A:$AC,2,FALSE))="Martin",(VLOOKUP(Table10[[#This Row],[SKU]],'All Skus'!$A:$AC,9,FALSE)),""))</f>
        <v>Power+Data Adapter PCB-XLR4 0,25m</v>
      </c>
      <c r="I105" s="225">
        <f>(IF((VLOOKUP(Table10[[#This Row],[SKU]],'All Skus'!$A:$AC,2,FALSE))="Martin",(VLOOKUP(Table10[[#This Row],[SKU]],'All Skus'!$A:$AC,10,FALSE)),""))</f>
        <v>37.04</v>
      </c>
      <c r="J105" s="226">
        <f>(IF((VLOOKUP(Table10[[#This Row],[SKU]],'All Skus'!$A:$AC,2,FALSE))="Martin",(VLOOKUP(Table10[[#This Row],[SKU]],'All Skus'!$A:$AC,11,FALSE)),""))</f>
        <v>37.04</v>
      </c>
      <c r="K105" s="224">
        <f>(IF((VLOOKUP(Table10[[#This Row],[SKU]],'All Skus'!$A:$AC,2,FALSE))="Martin",(VLOOKUP(Table10[[#This Row],[SKU]],'All Skus'!$A:$AC,15,FALSE)),""))</f>
        <v>0</v>
      </c>
      <c r="L105" s="224">
        <f>(IF((VLOOKUP(Table10[[#This Row],[SKU]],'All Skus'!$A:$AC,2,FALSE))="Martin",(VLOOKUP(Table10[[#This Row],[SKU]],'All Skus'!$A:$AC,16,FALSE)),""))</f>
        <v>0</v>
      </c>
      <c r="M105" s="224">
        <f>(IF((VLOOKUP(Table10[[#This Row],[SKU]],'All Skus'!$A:$AC,2,FALSE))="Martin",(VLOOKUP(Table10[[#This Row],[SKU]],'All Skus'!$A:$AC,17,FALSE)),""))</f>
        <v>0</v>
      </c>
      <c r="N105" s="227">
        <f>(IF((VLOOKUP(Table10[[#This Row],[SKU]],'All Skus'!$A:$AC,2,FALSE))="Martin",(VLOOKUP(Table10[[#This Row],[SKU]],'All Skus'!$A:$AC,18,FALSE)),""))</f>
        <v>0</v>
      </c>
      <c r="O105" s="227">
        <f>(IF((VLOOKUP(Table10[[#This Row],[SKU]],'All Skus'!$A:$AC,2,FALSE))="Martin",(VLOOKUP(Table10[[#This Row],[SKU]],'All Skus'!$A:$AC,19,FALSE)),""))</f>
        <v>0</v>
      </c>
      <c r="P105" s="227">
        <f>(IF((VLOOKUP(Table10[[#This Row],[SKU]],'All Skus'!$A:$AC,2,FALSE))="Martin",(VLOOKUP(Table10[[#This Row],[SKU]],'All Skus'!$A:$AC,20,FALSE)),""))</f>
        <v>0</v>
      </c>
      <c r="Q105" s="227">
        <f>(IF((VLOOKUP(Table10[[#This Row],[SKU]],'All Skus'!$A:$AC,2,FALSE))="Martin",(VLOOKUP(Table10[[#This Row],[SKU]],'All Skus'!$A:$AC,21,FALSE)),""))</f>
        <v>0</v>
      </c>
      <c r="R105" s="224" t="str">
        <f>(IF((VLOOKUP(Table10[[#This Row],[SKU]],'All Skus'!$A:$AC,2,FALSE))="Martin",(VLOOKUP(Table10[[#This Row],[SKU]],'All Skus'!$A:$AC,22,FALSE)),""))</f>
        <v>CN</v>
      </c>
      <c r="S105" s="223" t="str">
        <f>(IF((VLOOKUP(Table10[[#This Row],[SKU]],'All Skus'!$A:$AC,2,FALSE))="Martin",(VLOOKUP(Table10[[#This Row],[SKU]],'All Skus'!$A:$AC,23,FALSE)),""))</f>
        <v>Non Compliant</v>
      </c>
      <c r="T105" s="212" t="str">
        <f>HYPERLINK((IF((VLOOKUP(Table10[[#This Row],[SKU]],'All Skus'!$A:$AC,2,FALSE))="Martin",(VLOOKUP(Table10[[#This Row],[SKU]],'All Skus'!$A:$AC,24,FALSE)),"")))</f>
        <v/>
      </c>
      <c r="U105" s="228">
        <v>103</v>
      </c>
    </row>
    <row r="106" spans="1:21" hidden="1">
      <c r="A106" s="114">
        <v>91616046</v>
      </c>
      <c r="B106" s="224" t="str">
        <f>(IF((VLOOKUP(Table10[[#This Row],[SKU]],'All Skus'!$A:$AC,2,FALSE))="Martin",(VLOOKUP(Table10[[#This Row],[SKU]],'All Skus'!$A:$AC,3,FALSE)),""))</f>
        <v>Accessories</v>
      </c>
      <c r="C106" s="223" t="str">
        <f>(IF((VLOOKUP(Table10[[#This Row],[SKU]],'All Skus'!$A:$AC,2,FALSE))="Martin",(VLOOKUP(Table10[[#This Row],[SKU]],'All Skus'!$A:$AC,4,FALSE)),""))</f>
        <v>Power+Data Adapter XLR4-BBD 0,25m</v>
      </c>
      <c r="D106" s="224" t="str">
        <f>(IF((VLOOKUP(Table10[[#This Row],[SKU]],'All Skus'!$A:$AC,2,FALSE))="Martin",(VLOOKUP(Table10[[#This Row],[SKU]],'All Skus'!$A:$AC,5,FALSE)),""))</f>
        <v>MAR-ACC</v>
      </c>
      <c r="E106" s="223">
        <f>(IF((VLOOKUP(Table10[[#This Row],[SKU]],'All Skus'!$A:$AC,2,FALSE))="Martin",(VLOOKUP(Table10[[#This Row],[SKU]],'All Skus'!$A:$AC,6,FALSE)),""))</f>
        <v>0</v>
      </c>
      <c r="F106" s="155">
        <f>(IF((VLOOKUP(Table10[[#This Row],[SKU]],'All Skus'!$A:$AC,2,FALSE))="Martin",(VLOOKUP(Table10[[#This Row],[SKU]],'All Skus'!$A:$AC,7,FALSE)),""))</f>
        <v>0</v>
      </c>
      <c r="G106" s="223" t="str">
        <f>(IF((VLOOKUP(Table10[[#This Row],[SKU]],'All Skus'!$A:$AC,2,FALSE))="Martin",(VLOOKUP(Table10[[#This Row],[SKU]],'All Skus'!$A:$AC,8,FALSE)),""))</f>
        <v>Power+Data Adapter XLR4-BBD 0,25m</v>
      </c>
      <c r="H106" s="223" t="str">
        <f>(IF((VLOOKUP(Table10[[#This Row],[SKU]],'All Skus'!$A:$AC,2,FALSE))="Martin",(VLOOKUP(Table10[[#This Row],[SKU]],'All Skus'!$A:$AC,9,FALSE)),""))</f>
        <v>Power+Data Adapter XLR4-BBD 0,25m</v>
      </c>
      <c r="I106" s="225">
        <f>(IF((VLOOKUP(Table10[[#This Row],[SKU]],'All Skus'!$A:$AC,2,FALSE))="Martin",(VLOOKUP(Table10[[#This Row],[SKU]],'All Skus'!$A:$AC,10,FALSE)),""))</f>
        <v>55.56</v>
      </c>
      <c r="J106" s="226">
        <f>(IF((VLOOKUP(Table10[[#This Row],[SKU]],'All Skus'!$A:$AC,2,FALSE))="Martin",(VLOOKUP(Table10[[#This Row],[SKU]],'All Skus'!$A:$AC,11,FALSE)),""))</f>
        <v>55.56</v>
      </c>
      <c r="K106" s="224">
        <f>(IF((VLOOKUP(Table10[[#This Row],[SKU]],'All Skus'!$A:$AC,2,FALSE))="Martin",(VLOOKUP(Table10[[#This Row],[SKU]],'All Skus'!$A:$AC,15,FALSE)),""))</f>
        <v>0</v>
      </c>
      <c r="L106" s="224">
        <f>(IF((VLOOKUP(Table10[[#This Row],[SKU]],'All Skus'!$A:$AC,2,FALSE))="Martin",(VLOOKUP(Table10[[#This Row],[SKU]],'All Skus'!$A:$AC,16,FALSE)),""))</f>
        <v>0</v>
      </c>
      <c r="M106" s="224">
        <f>(IF((VLOOKUP(Table10[[#This Row],[SKU]],'All Skus'!$A:$AC,2,FALSE))="Martin",(VLOOKUP(Table10[[#This Row],[SKU]],'All Skus'!$A:$AC,17,FALSE)),""))</f>
        <v>0</v>
      </c>
      <c r="N106" s="227">
        <f>(IF((VLOOKUP(Table10[[#This Row],[SKU]],'All Skus'!$A:$AC,2,FALSE))="Martin",(VLOOKUP(Table10[[#This Row],[SKU]],'All Skus'!$A:$AC,18,FALSE)),""))</f>
        <v>0</v>
      </c>
      <c r="O106" s="227">
        <f>(IF((VLOOKUP(Table10[[#This Row],[SKU]],'All Skus'!$A:$AC,2,FALSE))="Martin",(VLOOKUP(Table10[[#This Row],[SKU]],'All Skus'!$A:$AC,19,FALSE)),""))</f>
        <v>0</v>
      </c>
      <c r="P106" s="227">
        <f>(IF((VLOOKUP(Table10[[#This Row],[SKU]],'All Skus'!$A:$AC,2,FALSE))="Martin",(VLOOKUP(Table10[[#This Row],[SKU]],'All Skus'!$A:$AC,20,FALSE)),""))</f>
        <v>0</v>
      </c>
      <c r="Q106" s="227">
        <f>(IF((VLOOKUP(Table10[[#This Row],[SKU]],'All Skus'!$A:$AC,2,FALSE))="Martin",(VLOOKUP(Table10[[#This Row],[SKU]],'All Skus'!$A:$AC,21,FALSE)),""))</f>
        <v>0</v>
      </c>
      <c r="R106" s="224" t="str">
        <f>(IF((VLOOKUP(Table10[[#This Row],[SKU]],'All Skus'!$A:$AC,2,FALSE))="Martin",(VLOOKUP(Table10[[#This Row],[SKU]],'All Skus'!$A:$AC,22,FALSE)),""))</f>
        <v>CN</v>
      </c>
      <c r="S106" s="223">
        <f>(IF((VLOOKUP(Table10[[#This Row],[SKU]],'All Skus'!$A:$AC,2,FALSE))="Martin",(VLOOKUP(Table10[[#This Row],[SKU]],'All Skus'!$A:$AC,23,FALSE)),""))</f>
        <v>0</v>
      </c>
      <c r="T106" s="212" t="str">
        <f>HYPERLINK((IF((VLOOKUP(Table10[[#This Row],[SKU]],'All Skus'!$A:$AC,2,FALSE))="Martin",(VLOOKUP(Table10[[#This Row],[SKU]],'All Skus'!$A:$AC,24,FALSE)),"")))</f>
        <v/>
      </c>
      <c r="U106" s="228">
        <v>104</v>
      </c>
    </row>
    <row r="107" spans="1:21" hidden="1">
      <c r="A107" s="114">
        <v>91616047</v>
      </c>
      <c r="B107" s="224" t="str">
        <f>(IF((VLOOKUP(Table10[[#This Row],[SKU]],'All Skus'!$A:$AC,2,FALSE))="Martin",(VLOOKUP(Table10[[#This Row],[SKU]],'All Skus'!$A:$AC,3,FALSE)),""))</f>
        <v>Accessories</v>
      </c>
      <c r="C107" s="223" t="str">
        <f>(IF((VLOOKUP(Table10[[#This Row],[SKU]],'All Skus'!$A:$AC,2,FALSE))="Martin",(VLOOKUP(Table10[[#This Row],[SKU]],'All Skus'!$A:$AC,4,FALSE)),""))</f>
        <v>Power+Data Adapter BBD-XLR4 0,25m</v>
      </c>
      <c r="D107" s="224" t="str">
        <f>(IF((VLOOKUP(Table10[[#This Row],[SKU]],'All Skus'!$A:$AC,2,FALSE))="Martin",(VLOOKUP(Table10[[#This Row],[SKU]],'All Skus'!$A:$AC,5,FALSE)),""))</f>
        <v>MAR-ACC</v>
      </c>
      <c r="E107" s="223">
        <f>(IF((VLOOKUP(Table10[[#This Row],[SKU]],'All Skus'!$A:$AC,2,FALSE))="Martin",(VLOOKUP(Table10[[#This Row],[SKU]],'All Skus'!$A:$AC,6,FALSE)),""))</f>
        <v>0</v>
      </c>
      <c r="F107" s="155">
        <f>(IF((VLOOKUP(Table10[[#This Row],[SKU]],'All Skus'!$A:$AC,2,FALSE))="Martin",(VLOOKUP(Table10[[#This Row],[SKU]],'All Skus'!$A:$AC,7,FALSE)),""))</f>
        <v>0</v>
      </c>
      <c r="G107" s="223" t="str">
        <f>(IF((VLOOKUP(Table10[[#This Row],[SKU]],'All Skus'!$A:$AC,2,FALSE))="Martin",(VLOOKUP(Table10[[#This Row],[SKU]],'All Skus'!$A:$AC,8,FALSE)),""))</f>
        <v>Power+Data Adapter BBD-XLR4 0,25m</v>
      </c>
      <c r="H107" s="223" t="str">
        <f>(IF((VLOOKUP(Table10[[#This Row],[SKU]],'All Skus'!$A:$AC,2,FALSE))="Martin",(VLOOKUP(Table10[[#This Row],[SKU]],'All Skus'!$A:$AC,9,FALSE)),""))</f>
        <v>Power+Data Adapter BBD-XLR4 0,25m</v>
      </c>
      <c r="I107" s="225">
        <f>(IF((VLOOKUP(Table10[[#This Row],[SKU]],'All Skus'!$A:$AC,2,FALSE))="Martin",(VLOOKUP(Table10[[#This Row],[SKU]],'All Skus'!$A:$AC,10,FALSE)),""))</f>
        <v>95.08</v>
      </c>
      <c r="J107" s="226">
        <f>(IF((VLOOKUP(Table10[[#This Row],[SKU]],'All Skus'!$A:$AC,2,FALSE))="Martin",(VLOOKUP(Table10[[#This Row],[SKU]],'All Skus'!$A:$AC,11,FALSE)),""))</f>
        <v>95.08</v>
      </c>
      <c r="K107" s="224">
        <f>(IF((VLOOKUP(Table10[[#This Row],[SKU]],'All Skus'!$A:$AC,2,FALSE))="Martin",(VLOOKUP(Table10[[#This Row],[SKU]],'All Skus'!$A:$AC,15,FALSE)),""))</f>
        <v>0</v>
      </c>
      <c r="L107" s="224">
        <f>(IF((VLOOKUP(Table10[[#This Row],[SKU]],'All Skus'!$A:$AC,2,FALSE))="Martin",(VLOOKUP(Table10[[#This Row],[SKU]],'All Skus'!$A:$AC,16,FALSE)),""))</f>
        <v>0</v>
      </c>
      <c r="M107" s="224">
        <f>(IF((VLOOKUP(Table10[[#This Row],[SKU]],'All Skus'!$A:$AC,2,FALSE))="Martin",(VLOOKUP(Table10[[#This Row],[SKU]],'All Skus'!$A:$AC,17,FALSE)),""))</f>
        <v>0</v>
      </c>
      <c r="N107" s="227">
        <f>(IF((VLOOKUP(Table10[[#This Row],[SKU]],'All Skus'!$A:$AC,2,FALSE))="Martin",(VLOOKUP(Table10[[#This Row],[SKU]],'All Skus'!$A:$AC,18,FALSE)),""))</f>
        <v>0</v>
      </c>
      <c r="O107" s="227">
        <f>(IF((VLOOKUP(Table10[[#This Row],[SKU]],'All Skus'!$A:$AC,2,FALSE))="Martin",(VLOOKUP(Table10[[#This Row],[SKU]],'All Skus'!$A:$AC,19,FALSE)),""))</f>
        <v>0</v>
      </c>
      <c r="P107" s="227">
        <f>(IF((VLOOKUP(Table10[[#This Row],[SKU]],'All Skus'!$A:$AC,2,FALSE))="Martin",(VLOOKUP(Table10[[#This Row],[SKU]],'All Skus'!$A:$AC,20,FALSE)),""))</f>
        <v>0</v>
      </c>
      <c r="Q107" s="227">
        <f>(IF((VLOOKUP(Table10[[#This Row],[SKU]],'All Skus'!$A:$AC,2,FALSE))="Martin",(VLOOKUP(Table10[[#This Row],[SKU]],'All Skus'!$A:$AC,21,FALSE)),""))</f>
        <v>0</v>
      </c>
      <c r="R107" s="224" t="str">
        <f>(IF((VLOOKUP(Table10[[#This Row],[SKU]],'All Skus'!$A:$AC,2,FALSE))="Martin",(VLOOKUP(Table10[[#This Row],[SKU]],'All Skus'!$A:$AC,22,FALSE)),""))</f>
        <v>CN</v>
      </c>
      <c r="S107" s="223" t="str">
        <f>(IF((VLOOKUP(Table10[[#This Row],[SKU]],'All Skus'!$A:$AC,2,FALSE))="Martin",(VLOOKUP(Table10[[#This Row],[SKU]],'All Skus'!$A:$AC,23,FALSE)),""))</f>
        <v>Non Compliant</v>
      </c>
      <c r="T107" s="212" t="str">
        <f>HYPERLINK((IF((VLOOKUP(Table10[[#This Row],[SKU]],'All Skus'!$A:$AC,2,FALSE))="Martin",(VLOOKUP(Table10[[#This Row],[SKU]],'All Skus'!$A:$AC,24,FALSE)),"")))</f>
        <v/>
      </c>
      <c r="U107" s="228">
        <v>105</v>
      </c>
    </row>
    <row r="108" spans="1:21" hidden="1">
      <c r="A108" s="112">
        <v>91616053</v>
      </c>
      <c r="B108" s="224" t="str">
        <f>(IF((VLOOKUP(Table10[[#This Row],[SKU]],'All Skus'!$A:$AC,2,FALSE))="Martin",(VLOOKUP(Table10[[#This Row],[SKU]],'All Skus'!$A:$AC,3,FALSE)),""))</f>
        <v>Linear</v>
      </c>
      <c r="C108" s="223" t="str">
        <f>(IF((VLOOKUP(Table10[[#This Row],[SKU]],'All Skus'!$A:$AC,2,FALSE))="Martin",(VLOOKUP(Table10[[#This Row],[SKU]],'All Skus'!$A:$AC,4,FALSE)),""))</f>
        <v xml:space="preserve">POWER+DATA ADAPTER M16-BBD 0,25M </v>
      </c>
      <c r="D108" s="224" t="str">
        <f>(IF((VLOOKUP(Table10[[#This Row],[SKU]],'All Skus'!$A:$AC,2,FALSE))="Martin",(VLOOKUP(Table10[[#This Row],[SKU]],'All Skus'!$A:$AC,5,FALSE)),""))</f>
        <v>MAR-ACC</v>
      </c>
      <c r="E108" s="223">
        <f>(IF((VLOOKUP(Table10[[#This Row],[SKU]],'All Skus'!$A:$AC,2,FALSE))="Martin",(VLOOKUP(Table10[[#This Row],[SKU]],'All Skus'!$A:$AC,6,FALSE)),""))</f>
        <v>0</v>
      </c>
      <c r="F108" s="155">
        <f>(IF((VLOOKUP(Table10[[#This Row],[SKU]],'All Skus'!$A:$AC,2,FALSE))="Martin",(VLOOKUP(Table10[[#This Row],[SKU]],'All Skus'!$A:$AC,7,FALSE)),""))</f>
        <v>0</v>
      </c>
      <c r="G108" s="223" t="str">
        <f>(IF((VLOOKUP(Table10[[#This Row],[SKU]],'All Skus'!$A:$AC,2,FALSE))="Martin",(VLOOKUP(Table10[[#This Row],[SKU]],'All Skus'!$A:$AC,8,FALSE)),""))</f>
        <v xml:space="preserve">POWER+DATA ADAPTER M16-BBD 0,25M </v>
      </c>
      <c r="H108" s="223" t="str">
        <f>(IF((VLOOKUP(Table10[[#This Row],[SKU]],'All Skus'!$A:$AC,2,FALSE))="Martin",(VLOOKUP(Table10[[#This Row],[SKU]],'All Skus'!$A:$AC,9,FALSE)),""))</f>
        <v xml:space="preserve">POWER+DATA ADAPTER M16-BBD 0,25M </v>
      </c>
      <c r="I108" s="225">
        <f>(IF((VLOOKUP(Table10[[#This Row],[SKU]],'All Skus'!$A:$AC,2,FALSE))="Martin",(VLOOKUP(Table10[[#This Row],[SKU]],'All Skus'!$A:$AC,10,FALSE)),""))</f>
        <v>37.04</v>
      </c>
      <c r="J108" s="226">
        <f>(IF((VLOOKUP(Table10[[#This Row],[SKU]],'All Skus'!$A:$AC,2,FALSE))="Martin",(VLOOKUP(Table10[[#This Row],[SKU]],'All Skus'!$A:$AC,11,FALSE)),""))</f>
        <v>37.04</v>
      </c>
      <c r="K108" s="224">
        <f>(IF((VLOOKUP(Table10[[#This Row],[SKU]],'All Skus'!$A:$AC,2,FALSE))="Martin",(VLOOKUP(Table10[[#This Row],[SKU]],'All Skus'!$A:$AC,15,FALSE)),""))</f>
        <v>0</v>
      </c>
      <c r="L108" s="224">
        <f>(IF((VLOOKUP(Table10[[#This Row],[SKU]],'All Skus'!$A:$AC,2,FALSE))="Martin",(VLOOKUP(Table10[[#This Row],[SKU]],'All Skus'!$A:$AC,16,FALSE)),""))</f>
        <v>0</v>
      </c>
      <c r="M108" s="224">
        <f>(IF((VLOOKUP(Table10[[#This Row],[SKU]],'All Skus'!$A:$AC,2,FALSE))="Martin",(VLOOKUP(Table10[[#This Row],[SKU]],'All Skus'!$A:$AC,17,FALSE)),""))</f>
        <v>0</v>
      </c>
      <c r="N108" s="227">
        <f>(IF((VLOOKUP(Table10[[#This Row],[SKU]],'All Skus'!$A:$AC,2,FALSE))="Martin",(VLOOKUP(Table10[[#This Row],[SKU]],'All Skus'!$A:$AC,18,FALSE)),""))</f>
        <v>0</v>
      </c>
      <c r="O108" s="227">
        <f>(IF((VLOOKUP(Table10[[#This Row],[SKU]],'All Skus'!$A:$AC,2,FALSE))="Martin",(VLOOKUP(Table10[[#This Row],[SKU]],'All Skus'!$A:$AC,19,FALSE)),""))</f>
        <v>0</v>
      </c>
      <c r="P108" s="227">
        <f>(IF((VLOOKUP(Table10[[#This Row],[SKU]],'All Skus'!$A:$AC,2,FALSE))="Martin",(VLOOKUP(Table10[[#This Row],[SKU]],'All Skus'!$A:$AC,20,FALSE)),""))</f>
        <v>0</v>
      </c>
      <c r="Q108" s="227">
        <f>(IF((VLOOKUP(Table10[[#This Row],[SKU]],'All Skus'!$A:$AC,2,FALSE))="Martin",(VLOOKUP(Table10[[#This Row],[SKU]],'All Skus'!$A:$AC,21,FALSE)),""))</f>
        <v>0</v>
      </c>
      <c r="R108" s="224" t="str">
        <f>(IF((VLOOKUP(Table10[[#This Row],[SKU]],'All Skus'!$A:$AC,2,FALSE))="Martin",(VLOOKUP(Table10[[#This Row],[SKU]],'All Skus'!$A:$AC,22,FALSE)),""))</f>
        <v>TW</v>
      </c>
      <c r="S108" s="223">
        <f>(IF((VLOOKUP(Table10[[#This Row],[SKU]],'All Skus'!$A:$AC,2,FALSE))="Martin",(VLOOKUP(Table10[[#This Row],[SKU]],'All Skus'!$A:$AC,23,FALSE)),""))</f>
        <v>0</v>
      </c>
      <c r="T108" s="212" t="str">
        <f>HYPERLINK((IF((VLOOKUP(Table10[[#This Row],[SKU]],'All Skus'!$A:$AC,2,FALSE))="Martin",(VLOOKUP(Table10[[#This Row],[SKU]],'All Skus'!$A:$AC,24,FALSE)),"")))</f>
        <v/>
      </c>
      <c r="U108" s="228">
        <v>106</v>
      </c>
    </row>
    <row r="109" spans="1:21" hidden="1">
      <c r="A109" s="112">
        <v>91616054</v>
      </c>
      <c r="B109" s="224" t="str">
        <f>(IF((VLOOKUP(Table10[[#This Row],[SKU]],'All Skus'!$A:$AC,2,FALSE))="Martin",(VLOOKUP(Table10[[#This Row],[SKU]],'All Skus'!$A:$AC,3,FALSE)),""))</f>
        <v>Linear</v>
      </c>
      <c r="C109" s="223" t="str">
        <f>(IF((VLOOKUP(Table10[[#This Row],[SKU]],'All Skus'!$A:$AC,2,FALSE))="Martin",(VLOOKUP(Table10[[#This Row],[SKU]],'All Skus'!$A:$AC,4,FALSE)),""))</f>
        <v xml:space="preserve">POWER+DATA ADAPTER BBD-M16 0,25M </v>
      </c>
      <c r="D109" s="224" t="str">
        <f>(IF((VLOOKUP(Table10[[#This Row],[SKU]],'All Skus'!$A:$AC,2,FALSE))="Martin",(VLOOKUP(Table10[[#This Row],[SKU]],'All Skus'!$A:$AC,5,FALSE)),""))</f>
        <v>MAR-ACC</v>
      </c>
      <c r="E109" s="223">
        <f>(IF((VLOOKUP(Table10[[#This Row],[SKU]],'All Skus'!$A:$AC,2,FALSE))="Martin",(VLOOKUP(Table10[[#This Row],[SKU]],'All Skus'!$A:$AC,6,FALSE)),""))</f>
        <v>0</v>
      </c>
      <c r="F109" s="155">
        <f>(IF((VLOOKUP(Table10[[#This Row],[SKU]],'All Skus'!$A:$AC,2,FALSE))="Martin",(VLOOKUP(Table10[[#This Row],[SKU]],'All Skus'!$A:$AC,7,FALSE)),""))</f>
        <v>0</v>
      </c>
      <c r="G109" s="223" t="str">
        <f>(IF((VLOOKUP(Table10[[#This Row],[SKU]],'All Skus'!$A:$AC,2,FALSE))="Martin",(VLOOKUP(Table10[[#This Row],[SKU]],'All Skus'!$A:$AC,8,FALSE)),""))</f>
        <v xml:space="preserve">POWER+DATA ADAPTER BBD-M16 0,25M </v>
      </c>
      <c r="H109" s="223" t="str">
        <f>(IF((VLOOKUP(Table10[[#This Row],[SKU]],'All Skus'!$A:$AC,2,FALSE))="Martin",(VLOOKUP(Table10[[#This Row],[SKU]],'All Skus'!$A:$AC,9,FALSE)),""))</f>
        <v xml:space="preserve">POWER+DATA ADAPTER BBD-M16 0,25M </v>
      </c>
      <c r="I109" s="225">
        <f>(IF((VLOOKUP(Table10[[#This Row],[SKU]],'All Skus'!$A:$AC,2,FALSE))="Martin",(VLOOKUP(Table10[[#This Row],[SKU]],'All Skus'!$A:$AC,10,FALSE)),""))</f>
        <v>37.04</v>
      </c>
      <c r="J109" s="226">
        <f>(IF((VLOOKUP(Table10[[#This Row],[SKU]],'All Skus'!$A:$AC,2,FALSE))="Martin",(VLOOKUP(Table10[[#This Row],[SKU]],'All Skus'!$A:$AC,11,FALSE)),""))</f>
        <v>37.04</v>
      </c>
      <c r="K109" s="224">
        <f>(IF((VLOOKUP(Table10[[#This Row],[SKU]],'All Skus'!$A:$AC,2,FALSE))="Martin",(VLOOKUP(Table10[[#This Row],[SKU]],'All Skus'!$A:$AC,15,FALSE)),""))</f>
        <v>0</v>
      </c>
      <c r="L109" s="224">
        <f>(IF((VLOOKUP(Table10[[#This Row],[SKU]],'All Skus'!$A:$AC,2,FALSE))="Martin",(VLOOKUP(Table10[[#This Row],[SKU]],'All Skus'!$A:$AC,16,FALSE)),""))</f>
        <v>0</v>
      </c>
      <c r="M109" s="224">
        <f>(IF((VLOOKUP(Table10[[#This Row],[SKU]],'All Skus'!$A:$AC,2,FALSE))="Martin",(VLOOKUP(Table10[[#This Row],[SKU]],'All Skus'!$A:$AC,17,FALSE)),""))</f>
        <v>0</v>
      </c>
      <c r="N109" s="227">
        <f>(IF((VLOOKUP(Table10[[#This Row],[SKU]],'All Skus'!$A:$AC,2,FALSE))="Martin",(VLOOKUP(Table10[[#This Row],[SKU]],'All Skus'!$A:$AC,18,FALSE)),""))</f>
        <v>0</v>
      </c>
      <c r="O109" s="227">
        <f>(IF((VLOOKUP(Table10[[#This Row],[SKU]],'All Skus'!$A:$AC,2,FALSE))="Martin",(VLOOKUP(Table10[[#This Row],[SKU]],'All Skus'!$A:$AC,19,FALSE)),""))</f>
        <v>0</v>
      </c>
      <c r="P109" s="227">
        <f>(IF((VLOOKUP(Table10[[#This Row],[SKU]],'All Skus'!$A:$AC,2,FALSE))="Martin",(VLOOKUP(Table10[[#This Row],[SKU]],'All Skus'!$A:$AC,20,FALSE)),""))</f>
        <v>0</v>
      </c>
      <c r="Q109" s="227">
        <f>(IF((VLOOKUP(Table10[[#This Row],[SKU]],'All Skus'!$A:$AC,2,FALSE))="Martin",(VLOOKUP(Table10[[#This Row],[SKU]],'All Skus'!$A:$AC,21,FALSE)),""))</f>
        <v>0</v>
      </c>
      <c r="R109" s="224" t="str">
        <f>(IF((VLOOKUP(Table10[[#This Row],[SKU]],'All Skus'!$A:$AC,2,FALSE))="Martin",(VLOOKUP(Table10[[#This Row],[SKU]],'All Skus'!$A:$AC,22,FALSE)),""))</f>
        <v>TW</v>
      </c>
      <c r="S109" s="223">
        <f>(IF((VLOOKUP(Table10[[#This Row],[SKU]],'All Skus'!$A:$AC,2,FALSE))="Martin",(VLOOKUP(Table10[[#This Row],[SKU]],'All Skus'!$A:$AC,23,FALSE)),""))</f>
        <v>0</v>
      </c>
      <c r="T109" s="212" t="str">
        <f>HYPERLINK((IF((VLOOKUP(Table10[[#This Row],[SKU]],'All Skus'!$A:$AC,2,FALSE))="Martin",(VLOOKUP(Table10[[#This Row],[SKU]],'All Skus'!$A:$AC,24,FALSE)),"")))</f>
        <v>http://www.martin.com/en-us/product-details/vc-feeder</v>
      </c>
      <c r="U109" s="228">
        <v>107</v>
      </c>
    </row>
    <row r="110" spans="1:21" hidden="1">
      <c r="A110" s="114">
        <v>91616037</v>
      </c>
      <c r="B110" s="224" t="str">
        <f>(IF((VLOOKUP(Table10[[#This Row],[SKU]],'All Skus'!$A:$AC,2,FALSE))="Martin",(VLOOKUP(Table10[[#This Row],[SKU]],'All Skus'!$A:$AC,3,FALSE)),""))</f>
        <v>Accessories</v>
      </c>
      <c r="C110" s="223" t="str">
        <f>(IF((VLOOKUP(Table10[[#This Row],[SKU]],'All Skus'!$A:$AC,2,FALSE))="Martin",(VLOOKUP(Table10[[#This Row],[SKU]],'All Skus'!$A:$AC,4,FALSE)),""))</f>
        <v>Power+Data Adapter XLR5+Power-XLR4 0,25m</v>
      </c>
      <c r="D110" s="224" t="str">
        <f>(IF((VLOOKUP(Table10[[#This Row],[SKU]],'All Skus'!$A:$AC,2,FALSE))="Martin",(VLOOKUP(Table10[[#This Row],[SKU]],'All Skus'!$A:$AC,5,FALSE)),""))</f>
        <v>MAR-ACC</v>
      </c>
      <c r="E110" s="223">
        <f>(IF((VLOOKUP(Table10[[#This Row],[SKU]],'All Skus'!$A:$AC,2,FALSE))="Martin",(VLOOKUP(Table10[[#This Row],[SKU]],'All Skus'!$A:$AC,6,FALSE)),""))</f>
        <v>0</v>
      </c>
      <c r="F110" s="155" t="str">
        <f>(IF((VLOOKUP(Table10[[#This Row],[SKU]],'All Skus'!$A:$AC,2,FALSE))="Martin",(VLOOKUP(Table10[[#This Row],[SKU]],'All Skus'!$A:$AC,7,FALSE)),""))</f>
        <v>EOL pre-notice - Will be submitted for EOL soon - But will remain available to support final VC-Grid/Strip sales</v>
      </c>
      <c r="G110" s="223" t="str">
        <f>(IF((VLOOKUP(Table10[[#This Row],[SKU]],'All Skus'!$A:$AC,2,FALSE))="Martin",(VLOOKUP(Table10[[#This Row],[SKU]],'All Skus'!$A:$AC,8,FALSE)),""))</f>
        <v>Power+Data Adapter XLR5+Power-XLR4 0,25m</v>
      </c>
      <c r="H110" s="223" t="str">
        <f>(IF((VLOOKUP(Table10[[#This Row],[SKU]],'All Skus'!$A:$AC,2,FALSE))="Martin",(VLOOKUP(Table10[[#This Row],[SKU]],'All Skus'!$A:$AC,9,FALSE)),""))</f>
        <v>Power+Data Adapter XLR5+Power-XLR4 0,25m</v>
      </c>
      <c r="I110" s="225">
        <f>(IF((VLOOKUP(Table10[[#This Row],[SKU]],'All Skus'!$A:$AC,2,FALSE))="Martin",(VLOOKUP(Table10[[#This Row],[SKU]],'All Skus'!$A:$AC,10,FALSE)),""))</f>
        <v>55.56</v>
      </c>
      <c r="J110" s="226">
        <f>(IF((VLOOKUP(Table10[[#This Row],[SKU]],'All Skus'!$A:$AC,2,FALSE))="Martin",(VLOOKUP(Table10[[#This Row],[SKU]],'All Skus'!$A:$AC,11,FALSE)),""))</f>
        <v>55.56</v>
      </c>
      <c r="K110" s="224">
        <f>(IF((VLOOKUP(Table10[[#This Row],[SKU]],'All Skus'!$A:$AC,2,FALSE))="Martin",(VLOOKUP(Table10[[#This Row],[SKU]],'All Skus'!$A:$AC,15,FALSE)),""))</f>
        <v>0</v>
      </c>
      <c r="L110" s="224">
        <f>(IF((VLOOKUP(Table10[[#This Row],[SKU]],'All Skus'!$A:$AC,2,FALSE))="Martin",(VLOOKUP(Table10[[#This Row],[SKU]],'All Skus'!$A:$AC,16,FALSE)),""))</f>
        <v>0</v>
      </c>
      <c r="M110" s="224">
        <f>(IF((VLOOKUP(Table10[[#This Row],[SKU]],'All Skus'!$A:$AC,2,FALSE))="Martin",(VLOOKUP(Table10[[#This Row],[SKU]],'All Skus'!$A:$AC,17,FALSE)),""))</f>
        <v>0</v>
      </c>
      <c r="N110" s="227">
        <f>(IF((VLOOKUP(Table10[[#This Row],[SKU]],'All Skus'!$A:$AC,2,FALSE))="Martin",(VLOOKUP(Table10[[#This Row],[SKU]],'All Skus'!$A:$AC,18,FALSE)),""))</f>
        <v>0</v>
      </c>
      <c r="O110" s="227">
        <f>(IF((VLOOKUP(Table10[[#This Row],[SKU]],'All Skus'!$A:$AC,2,FALSE))="Martin",(VLOOKUP(Table10[[#This Row],[SKU]],'All Skus'!$A:$AC,19,FALSE)),""))</f>
        <v>0</v>
      </c>
      <c r="P110" s="227">
        <f>(IF((VLOOKUP(Table10[[#This Row],[SKU]],'All Skus'!$A:$AC,2,FALSE))="Martin",(VLOOKUP(Table10[[#This Row],[SKU]],'All Skus'!$A:$AC,20,FALSE)),""))</f>
        <v>0</v>
      </c>
      <c r="Q110" s="227">
        <f>(IF((VLOOKUP(Table10[[#This Row],[SKU]],'All Skus'!$A:$AC,2,FALSE))="Martin",(VLOOKUP(Table10[[#This Row],[SKU]],'All Skus'!$A:$AC,21,FALSE)),""))</f>
        <v>0</v>
      </c>
      <c r="R110" s="224" t="str">
        <f>(IF((VLOOKUP(Table10[[#This Row],[SKU]],'All Skus'!$A:$AC,2,FALSE))="Martin",(VLOOKUP(Table10[[#This Row],[SKU]],'All Skus'!$A:$AC,22,FALSE)),""))</f>
        <v>CN</v>
      </c>
      <c r="S110" s="223" t="str">
        <f>(IF((VLOOKUP(Table10[[#This Row],[SKU]],'All Skus'!$A:$AC,2,FALSE))="Martin",(VLOOKUP(Table10[[#This Row],[SKU]],'All Skus'!$A:$AC,23,FALSE)),""))</f>
        <v>Non Compliant</v>
      </c>
      <c r="T110" s="212" t="str">
        <f>HYPERLINK((IF((VLOOKUP(Table10[[#This Row],[SKU]],'All Skus'!$A:$AC,2,FALSE))="Martin",(VLOOKUP(Table10[[#This Row],[SKU]],'All Skus'!$A:$AC,24,FALSE)),"")))</f>
        <v/>
      </c>
      <c r="U110" s="228">
        <v>108</v>
      </c>
    </row>
    <row r="111" spans="1:21" hidden="1">
      <c r="A111" s="114">
        <v>91616038</v>
      </c>
      <c r="B111" s="224" t="str">
        <f>(IF((VLOOKUP(Table10[[#This Row],[SKU]],'All Skus'!$A:$AC,2,FALSE))="Martin",(VLOOKUP(Table10[[#This Row],[SKU]],'All Skus'!$A:$AC,3,FALSE)),""))</f>
        <v>Accessories</v>
      </c>
      <c r="C111" s="223" t="str">
        <f>(IF((VLOOKUP(Table10[[#This Row],[SKU]],'All Skus'!$A:$AC,2,FALSE))="Martin",(VLOOKUP(Table10[[#This Row],[SKU]],'All Skus'!$A:$AC,4,FALSE)),""))</f>
        <v>Power+Data Adapter XLR5+XLR4-XLR4 0,25m</v>
      </c>
      <c r="D111" s="224" t="str">
        <f>(IF((VLOOKUP(Table10[[#This Row],[SKU]],'All Skus'!$A:$AC,2,FALSE))="Martin",(VLOOKUP(Table10[[#This Row],[SKU]],'All Skus'!$A:$AC,5,FALSE)),""))</f>
        <v>MAR-ACC</v>
      </c>
      <c r="E111" s="223">
        <f>(IF((VLOOKUP(Table10[[#This Row],[SKU]],'All Skus'!$A:$AC,2,FALSE))="Martin",(VLOOKUP(Table10[[#This Row],[SKU]],'All Skus'!$A:$AC,6,FALSE)),""))</f>
        <v>0</v>
      </c>
      <c r="F111" s="155" t="str">
        <f>(IF((VLOOKUP(Table10[[#This Row],[SKU]],'All Skus'!$A:$AC,2,FALSE))="Martin",(VLOOKUP(Table10[[#This Row],[SKU]],'All Skus'!$A:$AC,7,FALSE)),""))</f>
        <v>EOL pre-notice - Will be submitted for EOL soon - But will remain available to support final VC-Grid/Strip sales</v>
      </c>
      <c r="G111" s="223" t="str">
        <f>(IF((VLOOKUP(Table10[[#This Row],[SKU]],'All Skus'!$A:$AC,2,FALSE))="Martin",(VLOOKUP(Table10[[#This Row],[SKU]],'All Skus'!$A:$AC,8,FALSE)),""))</f>
        <v>Power+Data Adapter XLR5+XLR4-XLR4 0,25m</v>
      </c>
      <c r="H111" s="223" t="str">
        <f>(IF((VLOOKUP(Table10[[#This Row],[SKU]],'All Skus'!$A:$AC,2,FALSE))="Martin",(VLOOKUP(Table10[[#This Row],[SKU]],'All Skus'!$A:$AC,9,FALSE)),""))</f>
        <v>Power+Data Adapter XLR5+XLR4-XLR4 0,25m</v>
      </c>
      <c r="I111" s="225">
        <f>(IF((VLOOKUP(Table10[[#This Row],[SKU]],'All Skus'!$A:$AC,2,FALSE))="Martin",(VLOOKUP(Table10[[#This Row],[SKU]],'All Skus'!$A:$AC,10,FALSE)),""))</f>
        <v>69.150000000000006</v>
      </c>
      <c r="J111" s="226">
        <f>(IF((VLOOKUP(Table10[[#This Row],[SKU]],'All Skus'!$A:$AC,2,FALSE))="Martin",(VLOOKUP(Table10[[#This Row],[SKU]],'All Skus'!$A:$AC,11,FALSE)),""))</f>
        <v>69.150000000000006</v>
      </c>
      <c r="K111" s="224">
        <f>(IF((VLOOKUP(Table10[[#This Row],[SKU]],'All Skus'!$A:$AC,2,FALSE))="Martin",(VLOOKUP(Table10[[#This Row],[SKU]],'All Skus'!$A:$AC,15,FALSE)),""))</f>
        <v>0</v>
      </c>
      <c r="L111" s="224">
        <f>(IF((VLOOKUP(Table10[[#This Row],[SKU]],'All Skus'!$A:$AC,2,FALSE))="Martin",(VLOOKUP(Table10[[#This Row],[SKU]],'All Skus'!$A:$AC,16,FALSE)),""))</f>
        <v>0</v>
      </c>
      <c r="M111" s="224">
        <f>(IF((VLOOKUP(Table10[[#This Row],[SKU]],'All Skus'!$A:$AC,2,FALSE))="Martin",(VLOOKUP(Table10[[#This Row],[SKU]],'All Skus'!$A:$AC,17,FALSE)),""))</f>
        <v>0</v>
      </c>
      <c r="N111" s="227">
        <f>(IF((VLOOKUP(Table10[[#This Row],[SKU]],'All Skus'!$A:$AC,2,FALSE))="Martin",(VLOOKUP(Table10[[#This Row],[SKU]],'All Skus'!$A:$AC,18,FALSE)),""))</f>
        <v>0</v>
      </c>
      <c r="O111" s="227">
        <f>(IF((VLOOKUP(Table10[[#This Row],[SKU]],'All Skus'!$A:$AC,2,FALSE))="Martin",(VLOOKUP(Table10[[#This Row],[SKU]],'All Skus'!$A:$AC,19,FALSE)),""))</f>
        <v>0</v>
      </c>
      <c r="P111" s="227">
        <f>(IF((VLOOKUP(Table10[[#This Row],[SKU]],'All Skus'!$A:$AC,2,FALSE))="Martin",(VLOOKUP(Table10[[#This Row],[SKU]],'All Skus'!$A:$AC,20,FALSE)),""))</f>
        <v>0</v>
      </c>
      <c r="Q111" s="227">
        <f>(IF((VLOOKUP(Table10[[#This Row],[SKU]],'All Skus'!$A:$AC,2,FALSE))="Martin",(VLOOKUP(Table10[[#This Row],[SKU]],'All Skus'!$A:$AC,21,FALSE)),""))</f>
        <v>0</v>
      </c>
      <c r="R111" s="224" t="str">
        <f>(IF((VLOOKUP(Table10[[#This Row],[SKU]],'All Skus'!$A:$AC,2,FALSE))="Martin",(VLOOKUP(Table10[[#This Row],[SKU]],'All Skus'!$A:$AC,22,FALSE)),""))</f>
        <v>CN</v>
      </c>
      <c r="S111" s="223" t="str">
        <f>(IF((VLOOKUP(Table10[[#This Row],[SKU]],'All Skus'!$A:$AC,2,FALSE))="Martin",(VLOOKUP(Table10[[#This Row],[SKU]],'All Skus'!$A:$AC,23,FALSE)),""))</f>
        <v>Non Compliant</v>
      </c>
      <c r="T111" s="212" t="str">
        <f>HYPERLINK((IF((VLOOKUP(Table10[[#This Row],[SKU]],'All Skus'!$A:$AC,2,FALSE))="Martin",(VLOOKUP(Table10[[#This Row],[SKU]],'All Skus'!$A:$AC,24,FALSE)),"")))</f>
        <v/>
      </c>
      <c r="U111" s="228">
        <v>109</v>
      </c>
    </row>
    <row r="112" spans="1:21" hidden="1">
      <c r="A112" s="114">
        <v>91616039</v>
      </c>
      <c r="B112" s="224" t="str">
        <f>(IF((VLOOKUP(Table10[[#This Row],[SKU]],'All Skus'!$A:$AC,2,FALSE))="Martin",(VLOOKUP(Table10[[#This Row],[SKU]],'All Skus'!$A:$AC,3,FALSE)),""))</f>
        <v>Accessories</v>
      </c>
      <c r="C112" s="223" t="str">
        <f>(IF((VLOOKUP(Table10[[#This Row],[SKU]],'All Skus'!$A:$AC,2,FALSE))="Martin",(VLOOKUP(Table10[[#This Row],[SKU]],'All Skus'!$A:$AC,4,FALSE)),""))</f>
        <v>Power+Data Adapter XLR5+Tripi-XLR4 0,25m</v>
      </c>
      <c r="D112" s="224" t="str">
        <f>(IF((VLOOKUP(Table10[[#This Row],[SKU]],'All Skus'!$A:$AC,2,FALSE))="Martin",(VLOOKUP(Table10[[#This Row],[SKU]],'All Skus'!$A:$AC,5,FALSE)),""))</f>
        <v>MAR-ACC</v>
      </c>
      <c r="E112" s="223">
        <f>(IF((VLOOKUP(Table10[[#This Row],[SKU]],'All Skus'!$A:$AC,2,FALSE))="Martin",(VLOOKUP(Table10[[#This Row],[SKU]],'All Skus'!$A:$AC,6,FALSE)),""))</f>
        <v>0</v>
      </c>
      <c r="F112" s="155" t="str">
        <f>(IF((VLOOKUP(Table10[[#This Row],[SKU]],'All Skus'!$A:$AC,2,FALSE))="Martin",(VLOOKUP(Table10[[#This Row],[SKU]],'All Skus'!$A:$AC,7,FALSE)),""))</f>
        <v>EOL pre-notice - Will be submitted for EOL soon - But will remain available to support final VC-Grid/Strip sales</v>
      </c>
      <c r="G112" s="223" t="str">
        <f>(IF((VLOOKUP(Table10[[#This Row],[SKU]],'All Skus'!$A:$AC,2,FALSE))="Martin",(VLOOKUP(Table10[[#This Row],[SKU]],'All Skus'!$A:$AC,8,FALSE)),""))</f>
        <v>Power+Data Adapter XLR5+Tripi-XLR4 0,25m</v>
      </c>
      <c r="H112" s="223" t="str">
        <f>(IF((VLOOKUP(Table10[[#This Row],[SKU]],'All Skus'!$A:$AC,2,FALSE))="Martin",(VLOOKUP(Table10[[#This Row],[SKU]],'All Skus'!$A:$AC,9,FALSE)),""))</f>
        <v>Power+Data Adapter XLR5+Tripi-XLR4 0,25m</v>
      </c>
      <c r="I112" s="225">
        <f>(IF((VLOOKUP(Table10[[#This Row],[SKU]],'All Skus'!$A:$AC,2,FALSE))="Martin",(VLOOKUP(Table10[[#This Row],[SKU]],'All Skus'!$A:$AC,10,FALSE)),""))</f>
        <v>85.2</v>
      </c>
      <c r="J112" s="226">
        <f>(IF((VLOOKUP(Table10[[#This Row],[SKU]],'All Skus'!$A:$AC,2,FALSE))="Martin",(VLOOKUP(Table10[[#This Row],[SKU]],'All Skus'!$A:$AC,11,FALSE)),""))</f>
        <v>85.2</v>
      </c>
      <c r="K112" s="224">
        <f>(IF((VLOOKUP(Table10[[#This Row],[SKU]],'All Skus'!$A:$AC,2,FALSE))="Martin",(VLOOKUP(Table10[[#This Row],[SKU]],'All Skus'!$A:$AC,15,FALSE)),""))</f>
        <v>0</v>
      </c>
      <c r="L112" s="224">
        <f>(IF((VLOOKUP(Table10[[#This Row],[SKU]],'All Skus'!$A:$AC,2,FALSE))="Martin",(VLOOKUP(Table10[[#This Row],[SKU]],'All Skus'!$A:$AC,16,FALSE)),""))</f>
        <v>0</v>
      </c>
      <c r="M112" s="224">
        <f>(IF((VLOOKUP(Table10[[#This Row],[SKU]],'All Skus'!$A:$AC,2,FALSE))="Martin",(VLOOKUP(Table10[[#This Row],[SKU]],'All Skus'!$A:$AC,17,FALSE)),""))</f>
        <v>0</v>
      </c>
      <c r="N112" s="227">
        <f>(IF((VLOOKUP(Table10[[#This Row],[SKU]],'All Skus'!$A:$AC,2,FALSE))="Martin",(VLOOKUP(Table10[[#This Row],[SKU]],'All Skus'!$A:$AC,18,FALSE)),""))</f>
        <v>0</v>
      </c>
      <c r="O112" s="227">
        <f>(IF((VLOOKUP(Table10[[#This Row],[SKU]],'All Skus'!$A:$AC,2,FALSE))="Martin",(VLOOKUP(Table10[[#This Row],[SKU]],'All Skus'!$A:$AC,19,FALSE)),""))</f>
        <v>0</v>
      </c>
      <c r="P112" s="227">
        <f>(IF((VLOOKUP(Table10[[#This Row],[SKU]],'All Skus'!$A:$AC,2,FALSE))="Martin",(VLOOKUP(Table10[[#This Row],[SKU]],'All Skus'!$A:$AC,20,FALSE)),""))</f>
        <v>0</v>
      </c>
      <c r="Q112" s="227">
        <f>(IF((VLOOKUP(Table10[[#This Row],[SKU]],'All Skus'!$A:$AC,2,FALSE))="Martin",(VLOOKUP(Table10[[#This Row],[SKU]],'All Skus'!$A:$AC,21,FALSE)),""))</f>
        <v>0</v>
      </c>
      <c r="R112" s="224" t="str">
        <f>(IF((VLOOKUP(Table10[[#This Row],[SKU]],'All Skus'!$A:$AC,2,FALSE))="Martin",(VLOOKUP(Table10[[#This Row],[SKU]],'All Skus'!$A:$AC,22,FALSE)),""))</f>
        <v>CN</v>
      </c>
      <c r="S112" s="223" t="str">
        <f>(IF((VLOOKUP(Table10[[#This Row],[SKU]],'All Skus'!$A:$AC,2,FALSE))="Martin",(VLOOKUP(Table10[[#This Row],[SKU]],'All Skus'!$A:$AC,23,FALSE)),""))</f>
        <v>Non Compliant</v>
      </c>
      <c r="T112" s="212" t="str">
        <f>HYPERLINK((IF((VLOOKUP(Table10[[#This Row],[SKU]],'All Skus'!$A:$AC,2,FALSE))="Martin",(VLOOKUP(Table10[[#This Row],[SKU]],'All Skus'!$A:$AC,24,FALSE)),"")))</f>
        <v/>
      </c>
      <c r="U112" s="228">
        <v>110</v>
      </c>
    </row>
    <row r="113" spans="1:21" hidden="1">
      <c r="A113" s="114">
        <v>91616040</v>
      </c>
      <c r="B113" s="224" t="str">
        <f>(IF((VLOOKUP(Table10[[#This Row],[SKU]],'All Skus'!$A:$AC,2,FALSE))="Martin",(VLOOKUP(Table10[[#This Row],[SKU]],'All Skus'!$A:$AC,3,FALSE)),""))</f>
        <v>Accessories</v>
      </c>
      <c r="C113" s="223" t="str">
        <f>(IF((VLOOKUP(Table10[[#This Row],[SKU]],'All Skus'!$A:$AC,2,FALSE))="Martin",(VLOOKUP(Table10[[#This Row],[SKU]],'All Skus'!$A:$AC,4,FALSE)),""))</f>
        <v>Power+Data Adapter XLR4-XLR5 0,25m</v>
      </c>
      <c r="D113" s="224" t="str">
        <f>(IF((VLOOKUP(Table10[[#This Row],[SKU]],'All Skus'!$A:$AC,2,FALSE))="Martin",(VLOOKUP(Table10[[#This Row],[SKU]],'All Skus'!$A:$AC,5,FALSE)),""))</f>
        <v>MAR-ACC</v>
      </c>
      <c r="E113" s="223">
        <f>(IF((VLOOKUP(Table10[[#This Row],[SKU]],'All Skus'!$A:$AC,2,FALSE))="Martin",(VLOOKUP(Table10[[#This Row],[SKU]],'All Skus'!$A:$AC,6,FALSE)),""))</f>
        <v>0</v>
      </c>
      <c r="F113" s="155" t="str">
        <f>(IF((VLOOKUP(Table10[[#This Row],[SKU]],'All Skus'!$A:$AC,2,FALSE))="Martin",(VLOOKUP(Table10[[#This Row],[SKU]],'All Skus'!$A:$AC,7,FALSE)),""))</f>
        <v>EOL pre-notice - Will be submitted for EOL soon - But will remain available to support final VC-Grid/Strip sales</v>
      </c>
      <c r="G113" s="223" t="str">
        <f>(IF((VLOOKUP(Table10[[#This Row],[SKU]],'All Skus'!$A:$AC,2,FALSE))="Martin",(VLOOKUP(Table10[[#This Row],[SKU]],'All Skus'!$A:$AC,8,FALSE)),""))</f>
        <v>Power+Data Adapter XLR4-XLR5 0,25m</v>
      </c>
      <c r="H113" s="223" t="str">
        <f>(IF((VLOOKUP(Table10[[#This Row],[SKU]],'All Skus'!$A:$AC,2,FALSE))="Martin",(VLOOKUP(Table10[[#This Row],[SKU]],'All Skus'!$A:$AC,9,FALSE)),""))</f>
        <v>Power+Data Adapter XLR4-XLR5 0,25m</v>
      </c>
      <c r="I113" s="225">
        <f>(IF((VLOOKUP(Table10[[#This Row],[SKU]],'All Skus'!$A:$AC,2,FALSE))="Martin",(VLOOKUP(Table10[[#This Row],[SKU]],'All Skus'!$A:$AC,10,FALSE)),""))</f>
        <v>64.209999999999994</v>
      </c>
      <c r="J113" s="226">
        <f>(IF((VLOOKUP(Table10[[#This Row],[SKU]],'All Skus'!$A:$AC,2,FALSE))="Martin",(VLOOKUP(Table10[[#This Row],[SKU]],'All Skus'!$A:$AC,11,FALSE)),""))</f>
        <v>64.209999999999994</v>
      </c>
      <c r="K113" s="224">
        <f>(IF((VLOOKUP(Table10[[#This Row],[SKU]],'All Skus'!$A:$AC,2,FALSE))="Martin",(VLOOKUP(Table10[[#This Row],[SKU]],'All Skus'!$A:$AC,15,FALSE)),""))</f>
        <v>0</v>
      </c>
      <c r="L113" s="224">
        <f>(IF((VLOOKUP(Table10[[#This Row],[SKU]],'All Skus'!$A:$AC,2,FALSE))="Martin",(VLOOKUP(Table10[[#This Row],[SKU]],'All Skus'!$A:$AC,16,FALSE)),""))</f>
        <v>0</v>
      </c>
      <c r="M113" s="224">
        <f>(IF((VLOOKUP(Table10[[#This Row],[SKU]],'All Skus'!$A:$AC,2,FALSE))="Martin",(VLOOKUP(Table10[[#This Row],[SKU]],'All Skus'!$A:$AC,17,FALSE)),""))</f>
        <v>0</v>
      </c>
      <c r="N113" s="227">
        <f>(IF((VLOOKUP(Table10[[#This Row],[SKU]],'All Skus'!$A:$AC,2,FALSE))="Martin",(VLOOKUP(Table10[[#This Row],[SKU]],'All Skus'!$A:$AC,18,FALSE)),""))</f>
        <v>0</v>
      </c>
      <c r="O113" s="227">
        <f>(IF((VLOOKUP(Table10[[#This Row],[SKU]],'All Skus'!$A:$AC,2,FALSE))="Martin",(VLOOKUP(Table10[[#This Row],[SKU]],'All Skus'!$A:$AC,19,FALSE)),""))</f>
        <v>0</v>
      </c>
      <c r="P113" s="227">
        <f>(IF((VLOOKUP(Table10[[#This Row],[SKU]],'All Skus'!$A:$AC,2,FALSE))="Martin",(VLOOKUP(Table10[[#This Row],[SKU]],'All Skus'!$A:$AC,20,FALSE)),""))</f>
        <v>0</v>
      </c>
      <c r="Q113" s="227">
        <f>(IF((VLOOKUP(Table10[[#This Row],[SKU]],'All Skus'!$A:$AC,2,FALSE))="Martin",(VLOOKUP(Table10[[#This Row],[SKU]],'All Skus'!$A:$AC,21,FALSE)),""))</f>
        <v>0</v>
      </c>
      <c r="R113" s="224" t="str">
        <f>(IF((VLOOKUP(Table10[[#This Row],[SKU]],'All Skus'!$A:$AC,2,FALSE))="Martin",(VLOOKUP(Table10[[#This Row],[SKU]],'All Skus'!$A:$AC,22,FALSE)),""))</f>
        <v>CN</v>
      </c>
      <c r="S113" s="223" t="str">
        <f>(IF((VLOOKUP(Table10[[#This Row],[SKU]],'All Skus'!$A:$AC,2,FALSE))="Martin",(VLOOKUP(Table10[[#This Row],[SKU]],'All Skus'!$A:$AC,23,FALSE)),""))</f>
        <v>Non Compliant</v>
      </c>
      <c r="T113" s="212" t="str">
        <f>HYPERLINK((IF((VLOOKUP(Table10[[#This Row],[SKU]],'All Skus'!$A:$AC,2,FALSE))="Martin",(VLOOKUP(Table10[[#This Row],[SKU]],'All Skus'!$A:$AC,24,FALSE)),"")))</f>
        <v/>
      </c>
      <c r="U113" s="228">
        <v>111</v>
      </c>
    </row>
    <row r="114" spans="1:21" hidden="1">
      <c r="A114" s="114">
        <v>91616048</v>
      </c>
      <c r="B114" s="224" t="str">
        <f>(IF((VLOOKUP(Table10[[#This Row],[SKU]],'All Skus'!$A:$AC,2,FALSE))="Martin",(VLOOKUP(Table10[[#This Row],[SKU]],'All Skus'!$A:$AC,3,FALSE)),""))</f>
        <v>Accessories</v>
      </c>
      <c r="C114" s="223" t="str">
        <f>(IF((VLOOKUP(Table10[[#This Row],[SKU]],'All Skus'!$A:$AC,2,FALSE))="Martin",(VLOOKUP(Table10[[#This Row],[SKU]],'All Skus'!$A:$AC,4,FALSE)),""))</f>
        <v>Power+Data Adapter XLR5+Power-BBD 0,25m</v>
      </c>
      <c r="D114" s="224" t="str">
        <f>(IF((VLOOKUP(Table10[[#This Row],[SKU]],'All Skus'!$A:$AC,2,FALSE))="Martin",(VLOOKUP(Table10[[#This Row],[SKU]],'All Skus'!$A:$AC,5,FALSE)),""))</f>
        <v>MAR-ACC</v>
      </c>
      <c r="E114" s="223">
        <f>(IF((VLOOKUP(Table10[[#This Row],[SKU]],'All Skus'!$A:$AC,2,FALSE))="Martin",(VLOOKUP(Table10[[#This Row],[SKU]],'All Skus'!$A:$AC,6,FALSE)),""))</f>
        <v>0</v>
      </c>
      <c r="F114" s="155">
        <f>(IF((VLOOKUP(Table10[[#This Row],[SKU]],'All Skus'!$A:$AC,2,FALSE))="Martin",(VLOOKUP(Table10[[#This Row],[SKU]],'All Skus'!$A:$AC,7,FALSE)),""))</f>
        <v>0</v>
      </c>
      <c r="G114" s="223" t="str">
        <f>(IF((VLOOKUP(Table10[[#This Row],[SKU]],'All Skus'!$A:$AC,2,FALSE))="Martin",(VLOOKUP(Table10[[#This Row],[SKU]],'All Skus'!$A:$AC,8,FALSE)),""))</f>
        <v>Power+Data Adapter XLR5+Power-BBD 0,25m</v>
      </c>
      <c r="H114" s="223" t="str">
        <f>(IF((VLOOKUP(Table10[[#This Row],[SKU]],'All Skus'!$A:$AC,2,FALSE))="Martin",(VLOOKUP(Table10[[#This Row],[SKU]],'All Skus'!$A:$AC,9,FALSE)),""))</f>
        <v>Power+Data Adapter XLR5+Power-BBD 0,25m</v>
      </c>
      <c r="I114" s="225">
        <f>(IF((VLOOKUP(Table10[[#This Row],[SKU]],'All Skus'!$A:$AC,2,FALSE))="Martin",(VLOOKUP(Table10[[#This Row],[SKU]],'All Skus'!$A:$AC,10,FALSE)),""))</f>
        <v>66.680000000000007</v>
      </c>
      <c r="J114" s="226">
        <f>(IF((VLOOKUP(Table10[[#This Row],[SKU]],'All Skus'!$A:$AC,2,FALSE))="Martin",(VLOOKUP(Table10[[#This Row],[SKU]],'All Skus'!$A:$AC,11,FALSE)),""))</f>
        <v>66.680000000000007</v>
      </c>
      <c r="K114" s="224">
        <f>(IF((VLOOKUP(Table10[[#This Row],[SKU]],'All Skus'!$A:$AC,2,FALSE))="Martin",(VLOOKUP(Table10[[#This Row],[SKU]],'All Skus'!$A:$AC,15,FALSE)),""))</f>
        <v>0</v>
      </c>
      <c r="L114" s="224">
        <f>(IF((VLOOKUP(Table10[[#This Row],[SKU]],'All Skus'!$A:$AC,2,FALSE))="Martin",(VLOOKUP(Table10[[#This Row],[SKU]],'All Skus'!$A:$AC,16,FALSE)),""))</f>
        <v>0</v>
      </c>
      <c r="M114" s="224">
        <f>(IF((VLOOKUP(Table10[[#This Row],[SKU]],'All Skus'!$A:$AC,2,FALSE))="Martin",(VLOOKUP(Table10[[#This Row],[SKU]],'All Skus'!$A:$AC,17,FALSE)),""))</f>
        <v>0</v>
      </c>
      <c r="N114" s="227">
        <f>(IF((VLOOKUP(Table10[[#This Row],[SKU]],'All Skus'!$A:$AC,2,FALSE))="Martin",(VLOOKUP(Table10[[#This Row],[SKU]],'All Skus'!$A:$AC,18,FALSE)),""))</f>
        <v>0</v>
      </c>
      <c r="O114" s="227">
        <f>(IF((VLOOKUP(Table10[[#This Row],[SKU]],'All Skus'!$A:$AC,2,FALSE))="Martin",(VLOOKUP(Table10[[#This Row],[SKU]],'All Skus'!$A:$AC,19,FALSE)),""))</f>
        <v>0</v>
      </c>
      <c r="P114" s="227">
        <f>(IF((VLOOKUP(Table10[[#This Row],[SKU]],'All Skus'!$A:$AC,2,FALSE))="Martin",(VLOOKUP(Table10[[#This Row],[SKU]],'All Skus'!$A:$AC,20,FALSE)),""))</f>
        <v>0</v>
      </c>
      <c r="Q114" s="227">
        <f>(IF((VLOOKUP(Table10[[#This Row],[SKU]],'All Skus'!$A:$AC,2,FALSE))="Martin",(VLOOKUP(Table10[[#This Row],[SKU]],'All Skus'!$A:$AC,21,FALSE)),""))</f>
        <v>0</v>
      </c>
      <c r="R114" s="224" t="str">
        <f>(IF((VLOOKUP(Table10[[#This Row],[SKU]],'All Skus'!$A:$AC,2,FALSE))="Martin",(VLOOKUP(Table10[[#This Row],[SKU]],'All Skus'!$A:$AC,22,FALSE)),""))</f>
        <v>TW</v>
      </c>
      <c r="S114" s="223">
        <f>(IF((VLOOKUP(Table10[[#This Row],[SKU]],'All Skus'!$A:$AC,2,FALSE))="Martin",(VLOOKUP(Table10[[#This Row],[SKU]],'All Skus'!$A:$AC,23,FALSE)),""))</f>
        <v>0</v>
      </c>
      <c r="T114" s="212" t="str">
        <f>HYPERLINK((IF((VLOOKUP(Table10[[#This Row],[SKU]],'All Skus'!$A:$AC,2,FALSE))="Martin",(VLOOKUP(Table10[[#This Row],[SKU]],'All Skus'!$A:$AC,24,FALSE)),"")))</f>
        <v/>
      </c>
      <c r="U114" s="228">
        <v>112</v>
      </c>
    </row>
    <row r="115" spans="1:21" hidden="1">
      <c r="A115" s="114">
        <v>91616049</v>
      </c>
      <c r="B115" s="224" t="str">
        <f>(IF((VLOOKUP(Table10[[#This Row],[SKU]],'All Skus'!$A:$AC,2,FALSE))="Martin",(VLOOKUP(Table10[[#This Row],[SKU]],'All Skus'!$A:$AC,3,FALSE)),""))</f>
        <v>Accessories</v>
      </c>
      <c r="C115" s="223" t="str">
        <f>(IF((VLOOKUP(Table10[[#This Row],[SKU]],'All Skus'!$A:$AC,2,FALSE))="Martin",(VLOOKUP(Table10[[#This Row],[SKU]],'All Skus'!$A:$AC,4,FALSE)),""))</f>
        <v>Power+Data Adapter XLR5+XLR4-BBD 0,25m</v>
      </c>
      <c r="D115" s="224" t="str">
        <f>(IF((VLOOKUP(Table10[[#This Row],[SKU]],'All Skus'!$A:$AC,2,FALSE))="Martin",(VLOOKUP(Table10[[#This Row],[SKU]],'All Skus'!$A:$AC,5,FALSE)),""))</f>
        <v>MAR-ACC</v>
      </c>
      <c r="E115" s="223">
        <f>(IF((VLOOKUP(Table10[[#This Row],[SKU]],'All Skus'!$A:$AC,2,FALSE))="Martin",(VLOOKUP(Table10[[#This Row],[SKU]],'All Skus'!$A:$AC,6,FALSE)),""))</f>
        <v>0</v>
      </c>
      <c r="F115" s="155">
        <f>(IF((VLOOKUP(Table10[[#This Row],[SKU]],'All Skus'!$A:$AC,2,FALSE))="Martin",(VLOOKUP(Table10[[#This Row],[SKU]],'All Skus'!$A:$AC,7,FALSE)),""))</f>
        <v>0</v>
      </c>
      <c r="G115" s="223" t="str">
        <f>(IF((VLOOKUP(Table10[[#This Row],[SKU]],'All Skus'!$A:$AC,2,FALSE))="Martin",(VLOOKUP(Table10[[#This Row],[SKU]],'All Skus'!$A:$AC,8,FALSE)),""))</f>
        <v>Power+Data Adapter XLR5+XLR4-BBD 0,25m</v>
      </c>
      <c r="H115" s="223" t="str">
        <f>(IF((VLOOKUP(Table10[[#This Row],[SKU]],'All Skus'!$A:$AC,2,FALSE))="Martin",(VLOOKUP(Table10[[#This Row],[SKU]],'All Skus'!$A:$AC,9,FALSE)),""))</f>
        <v>Power+Data Adapter XLR5+XLR4-BBD 0,25m</v>
      </c>
      <c r="I115" s="225">
        <f>(IF((VLOOKUP(Table10[[#This Row],[SKU]],'All Skus'!$A:$AC,2,FALSE))="Martin",(VLOOKUP(Table10[[#This Row],[SKU]],'All Skus'!$A:$AC,10,FALSE)),""))</f>
        <v>139.53</v>
      </c>
      <c r="J115" s="226">
        <f>(IF((VLOOKUP(Table10[[#This Row],[SKU]],'All Skus'!$A:$AC,2,FALSE))="Martin",(VLOOKUP(Table10[[#This Row],[SKU]],'All Skus'!$A:$AC,11,FALSE)),""))</f>
        <v>139.53</v>
      </c>
      <c r="K115" s="224">
        <f>(IF((VLOOKUP(Table10[[#This Row],[SKU]],'All Skus'!$A:$AC,2,FALSE))="Martin",(VLOOKUP(Table10[[#This Row],[SKU]],'All Skus'!$A:$AC,15,FALSE)),""))</f>
        <v>0</v>
      </c>
      <c r="L115" s="224">
        <f>(IF((VLOOKUP(Table10[[#This Row],[SKU]],'All Skus'!$A:$AC,2,FALSE))="Martin",(VLOOKUP(Table10[[#This Row],[SKU]],'All Skus'!$A:$AC,16,FALSE)),""))</f>
        <v>0</v>
      </c>
      <c r="M115" s="224">
        <f>(IF((VLOOKUP(Table10[[#This Row],[SKU]],'All Skus'!$A:$AC,2,FALSE))="Martin",(VLOOKUP(Table10[[#This Row],[SKU]],'All Skus'!$A:$AC,17,FALSE)),""))</f>
        <v>0</v>
      </c>
      <c r="N115" s="227">
        <f>(IF((VLOOKUP(Table10[[#This Row],[SKU]],'All Skus'!$A:$AC,2,FALSE))="Martin",(VLOOKUP(Table10[[#This Row],[SKU]],'All Skus'!$A:$AC,18,FALSE)),""))</f>
        <v>0</v>
      </c>
      <c r="O115" s="227">
        <f>(IF((VLOOKUP(Table10[[#This Row],[SKU]],'All Skus'!$A:$AC,2,FALSE))="Martin",(VLOOKUP(Table10[[#This Row],[SKU]],'All Skus'!$A:$AC,19,FALSE)),""))</f>
        <v>0</v>
      </c>
      <c r="P115" s="227">
        <f>(IF((VLOOKUP(Table10[[#This Row],[SKU]],'All Skus'!$A:$AC,2,FALSE))="Martin",(VLOOKUP(Table10[[#This Row],[SKU]],'All Skus'!$A:$AC,20,FALSE)),""))</f>
        <v>0</v>
      </c>
      <c r="Q115" s="227">
        <f>(IF((VLOOKUP(Table10[[#This Row],[SKU]],'All Skus'!$A:$AC,2,FALSE))="Martin",(VLOOKUP(Table10[[#This Row],[SKU]],'All Skus'!$A:$AC,21,FALSE)),""))</f>
        <v>0</v>
      </c>
      <c r="R115" s="224" t="str">
        <f>(IF((VLOOKUP(Table10[[#This Row],[SKU]],'All Skus'!$A:$AC,2,FALSE))="Martin",(VLOOKUP(Table10[[#This Row],[SKU]],'All Skus'!$A:$AC,22,FALSE)),""))</f>
        <v>CN</v>
      </c>
      <c r="S115" s="223" t="str">
        <f>(IF((VLOOKUP(Table10[[#This Row],[SKU]],'All Skus'!$A:$AC,2,FALSE))="Martin",(VLOOKUP(Table10[[#This Row],[SKU]],'All Skus'!$A:$AC,23,FALSE)),""))</f>
        <v>Non Compliant</v>
      </c>
      <c r="T115" s="212" t="str">
        <f>HYPERLINK((IF((VLOOKUP(Table10[[#This Row],[SKU]],'All Skus'!$A:$AC,2,FALSE))="Martin",(VLOOKUP(Table10[[#This Row],[SKU]],'All Skus'!$A:$AC,24,FALSE)),"")))</f>
        <v/>
      </c>
      <c r="U115" s="228">
        <v>113</v>
      </c>
    </row>
    <row r="116" spans="1:21" hidden="1">
      <c r="A116" s="114">
        <v>91616050</v>
      </c>
      <c r="B116" s="224" t="str">
        <f>(IF((VLOOKUP(Table10[[#This Row],[SKU]],'All Skus'!$A:$AC,2,FALSE))="Martin",(VLOOKUP(Table10[[#This Row],[SKU]],'All Skus'!$A:$AC,3,FALSE)),""))</f>
        <v>Accessories</v>
      </c>
      <c r="C116" s="223" t="str">
        <f>(IF((VLOOKUP(Table10[[#This Row],[SKU]],'All Skus'!$A:$AC,2,FALSE))="Martin",(VLOOKUP(Table10[[#This Row],[SKU]],'All Skus'!$A:$AC,4,FALSE)),""))</f>
        <v>Power+Data Adapter XLR5+Tripi-BBD 0,25m</v>
      </c>
      <c r="D116" s="224" t="str">
        <f>(IF((VLOOKUP(Table10[[#This Row],[SKU]],'All Skus'!$A:$AC,2,FALSE))="Martin",(VLOOKUP(Table10[[#This Row],[SKU]],'All Skus'!$A:$AC,5,FALSE)),""))</f>
        <v>MAR-ACC</v>
      </c>
      <c r="E116" s="223">
        <f>(IF((VLOOKUP(Table10[[#This Row],[SKU]],'All Skus'!$A:$AC,2,FALSE))="Martin",(VLOOKUP(Table10[[#This Row],[SKU]],'All Skus'!$A:$AC,6,FALSE)),""))</f>
        <v>0</v>
      </c>
      <c r="F116" s="155">
        <f>(IF((VLOOKUP(Table10[[#This Row],[SKU]],'All Skus'!$A:$AC,2,FALSE))="Martin",(VLOOKUP(Table10[[#This Row],[SKU]],'All Skus'!$A:$AC,7,FALSE)),""))</f>
        <v>0</v>
      </c>
      <c r="G116" s="223" t="str">
        <f>(IF((VLOOKUP(Table10[[#This Row],[SKU]],'All Skus'!$A:$AC,2,FALSE))="Martin",(VLOOKUP(Table10[[#This Row],[SKU]],'All Skus'!$A:$AC,8,FALSE)),""))</f>
        <v>Power+Data Adapter XLR5+Tripi-BBD 0,25m</v>
      </c>
      <c r="H116" s="223" t="str">
        <f>(IF((VLOOKUP(Table10[[#This Row],[SKU]],'All Skus'!$A:$AC,2,FALSE))="Martin",(VLOOKUP(Table10[[#This Row],[SKU]],'All Skus'!$A:$AC,9,FALSE)),""))</f>
        <v>Power+Data Adapter XLR5+Tripi-BBD 0,25m</v>
      </c>
      <c r="I116" s="225">
        <f>(IF((VLOOKUP(Table10[[#This Row],[SKU]],'All Skus'!$A:$AC,2,FALSE))="Martin",(VLOOKUP(Table10[[#This Row],[SKU]],'All Skus'!$A:$AC,10,FALSE)),""))</f>
        <v>170.4</v>
      </c>
      <c r="J116" s="226">
        <f>(IF((VLOOKUP(Table10[[#This Row],[SKU]],'All Skus'!$A:$AC,2,FALSE))="Martin",(VLOOKUP(Table10[[#This Row],[SKU]],'All Skus'!$A:$AC,11,FALSE)),""))</f>
        <v>170.4</v>
      </c>
      <c r="K116" s="224">
        <f>(IF((VLOOKUP(Table10[[#This Row],[SKU]],'All Skus'!$A:$AC,2,FALSE))="Martin",(VLOOKUP(Table10[[#This Row],[SKU]],'All Skus'!$A:$AC,15,FALSE)),""))</f>
        <v>0</v>
      </c>
      <c r="L116" s="224">
        <f>(IF((VLOOKUP(Table10[[#This Row],[SKU]],'All Skus'!$A:$AC,2,FALSE))="Martin",(VLOOKUP(Table10[[#This Row],[SKU]],'All Skus'!$A:$AC,16,FALSE)),""))</f>
        <v>0</v>
      </c>
      <c r="M116" s="224">
        <f>(IF((VLOOKUP(Table10[[#This Row],[SKU]],'All Skus'!$A:$AC,2,FALSE))="Martin",(VLOOKUP(Table10[[#This Row],[SKU]],'All Skus'!$A:$AC,17,FALSE)),""))</f>
        <v>0</v>
      </c>
      <c r="N116" s="227">
        <f>(IF((VLOOKUP(Table10[[#This Row],[SKU]],'All Skus'!$A:$AC,2,FALSE))="Martin",(VLOOKUP(Table10[[#This Row],[SKU]],'All Skus'!$A:$AC,18,FALSE)),""))</f>
        <v>0</v>
      </c>
      <c r="O116" s="227">
        <f>(IF((VLOOKUP(Table10[[#This Row],[SKU]],'All Skus'!$A:$AC,2,FALSE))="Martin",(VLOOKUP(Table10[[#This Row],[SKU]],'All Skus'!$A:$AC,19,FALSE)),""))</f>
        <v>0</v>
      </c>
      <c r="P116" s="227">
        <f>(IF((VLOOKUP(Table10[[#This Row],[SKU]],'All Skus'!$A:$AC,2,FALSE))="Martin",(VLOOKUP(Table10[[#This Row],[SKU]],'All Skus'!$A:$AC,20,FALSE)),""))</f>
        <v>0</v>
      </c>
      <c r="Q116" s="227">
        <f>(IF((VLOOKUP(Table10[[#This Row],[SKU]],'All Skus'!$A:$AC,2,FALSE))="Martin",(VLOOKUP(Table10[[#This Row],[SKU]],'All Skus'!$A:$AC,21,FALSE)),""))</f>
        <v>0</v>
      </c>
      <c r="R116" s="224" t="str">
        <f>(IF((VLOOKUP(Table10[[#This Row],[SKU]],'All Skus'!$A:$AC,2,FALSE))="Martin",(VLOOKUP(Table10[[#This Row],[SKU]],'All Skus'!$A:$AC,22,FALSE)),""))</f>
        <v>TW</v>
      </c>
      <c r="S116" s="223">
        <f>(IF((VLOOKUP(Table10[[#This Row],[SKU]],'All Skus'!$A:$AC,2,FALSE))="Martin",(VLOOKUP(Table10[[#This Row],[SKU]],'All Skus'!$A:$AC,23,FALSE)),""))</f>
        <v>0</v>
      </c>
      <c r="T116" s="212" t="str">
        <f>HYPERLINK((IF((VLOOKUP(Table10[[#This Row],[SKU]],'All Skus'!$A:$AC,2,FALSE))="Martin",(VLOOKUP(Table10[[#This Row],[SKU]],'All Skus'!$A:$AC,24,FALSE)),"")))</f>
        <v/>
      </c>
      <c r="U116" s="228">
        <v>114</v>
      </c>
    </row>
    <row r="117" spans="1:21" hidden="1">
      <c r="A117" s="114">
        <v>91616051</v>
      </c>
      <c r="B117" s="224" t="str">
        <f>(IF((VLOOKUP(Table10[[#This Row],[SKU]],'All Skus'!$A:$AC,2,FALSE))="Martin",(VLOOKUP(Table10[[#This Row],[SKU]],'All Skus'!$A:$AC,3,FALSE)),""))</f>
        <v>Accessories</v>
      </c>
      <c r="C117" s="223" t="str">
        <f>(IF((VLOOKUP(Table10[[#This Row],[SKU]],'All Skus'!$A:$AC,2,FALSE))="Martin",(VLOOKUP(Table10[[#This Row],[SKU]],'All Skus'!$A:$AC,4,FALSE)),""))</f>
        <v>Power+Data Adapter BBD-XLR5 0,25m</v>
      </c>
      <c r="D117" s="224" t="str">
        <f>(IF((VLOOKUP(Table10[[#This Row],[SKU]],'All Skus'!$A:$AC,2,FALSE))="Martin",(VLOOKUP(Table10[[#This Row],[SKU]],'All Skus'!$A:$AC,5,FALSE)),""))</f>
        <v>MAR-ACC</v>
      </c>
      <c r="E117" s="223">
        <f>(IF((VLOOKUP(Table10[[#This Row],[SKU]],'All Skus'!$A:$AC,2,FALSE))="Martin",(VLOOKUP(Table10[[#This Row],[SKU]],'All Skus'!$A:$AC,6,FALSE)),""))</f>
        <v>0</v>
      </c>
      <c r="F117" s="155">
        <f>(IF((VLOOKUP(Table10[[#This Row],[SKU]],'All Skus'!$A:$AC,2,FALSE))="Martin",(VLOOKUP(Table10[[#This Row],[SKU]],'All Skus'!$A:$AC,7,FALSE)),""))</f>
        <v>0</v>
      </c>
      <c r="G117" s="223" t="str">
        <f>(IF((VLOOKUP(Table10[[#This Row],[SKU]],'All Skus'!$A:$AC,2,FALSE))="Martin",(VLOOKUP(Table10[[#This Row],[SKU]],'All Skus'!$A:$AC,8,FALSE)),""))</f>
        <v>Power+Data Adapter BBD-XLR5 0,25m</v>
      </c>
      <c r="H117" s="223" t="str">
        <f>(IF((VLOOKUP(Table10[[#This Row],[SKU]],'All Skus'!$A:$AC,2,FALSE))="Martin",(VLOOKUP(Table10[[#This Row],[SKU]],'All Skus'!$A:$AC,9,FALSE)),""))</f>
        <v>Power+Data Adapter BBD-XLR5 0,25m</v>
      </c>
      <c r="I117" s="225">
        <f>(IF((VLOOKUP(Table10[[#This Row],[SKU]],'All Skus'!$A:$AC,2,FALSE))="Martin",(VLOOKUP(Table10[[#This Row],[SKU]],'All Skus'!$A:$AC,10,FALSE)),""))</f>
        <v>161.75</v>
      </c>
      <c r="J117" s="226">
        <f>(IF((VLOOKUP(Table10[[#This Row],[SKU]],'All Skus'!$A:$AC,2,FALSE))="Martin",(VLOOKUP(Table10[[#This Row],[SKU]],'All Skus'!$A:$AC,11,FALSE)),""))</f>
        <v>161.75</v>
      </c>
      <c r="K117" s="224">
        <f>(IF((VLOOKUP(Table10[[#This Row],[SKU]],'All Skus'!$A:$AC,2,FALSE))="Martin",(VLOOKUP(Table10[[#This Row],[SKU]],'All Skus'!$A:$AC,15,FALSE)),""))</f>
        <v>0</v>
      </c>
      <c r="L117" s="224">
        <f>(IF((VLOOKUP(Table10[[#This Row],[SKU]],'All Skus'!$A:$AC,2,FALSE))="Martin",(VLOOKUP(Table10[[#This Row],[SKU]],'All Skus'!$A:$AC,16,FALSE)),""))</f>
        <v>0</v>
      </c>
      <c r="M117" s="224">
        <f>(IF((VLOOKUP(Table10[[#This Row],[SKU]],'All Skus'!$A:$AC,2,FALSE))="Martin",(VLOOKUP(Table10[[#This Row],[SKU]],'All Skus'!$A:$AC,17,FALSE)),""))</f>
        <v>0</v>
      </c>
      <c r="N117" s="227">
        <f>(IF((VLOOKUP(Table10[[#This Row],[SKU]],'All Skus'!$A:$AC,2,FALSE))="Martin",(VLOOKUP(Table10[[#This Row],[SKU]],'All Skus'!$A:$AC,18,FALSE)),""))</f>
        <v>0</v>
      </c>
      <c r="O117" s="227">
        <f>(IF((VLOOKUP(Table10[[#This Row],[SKU]],'All Skus'!$A:$AC,2,FALSE))="Martin",(VLOOKUP(Table10[[#This Row],[SKU]],'All Skus'!$A:$AC,19,FALSE)),""))</f>
        <v>0</v>
      </c>
      <c r="P117" s="227">
        <f>(IF((VLOOKUP(Table10[[#This Row],[SKU]],'All Skus'!$A:$AC,2,FALSE))="Martin",(VLOOKUP(Table10[[#This Row],[SKU]],'All Skus'!$A:$AC,20,FALSE)),""))</f>
        <v>0</v>
      </c>
      <c r="Q117" s="227">
        <f>(IF((VLOOKUP(Table10[[#This Row],[SKU]],'All Skus'!$A:$AC,2,FALSE))="Martin",(VLOOKUP(Table10[[#This Row],[SKU]],'All Skus'!$A:$AC,21,FALSE)),""))</f>
        <v>0</v>
      </c>
      <c r="R117" s="224" t="str">
        <f>(IF((VLOOKUP(Table10[[#This Row],[SKU]],'All Skus'!$A:$AC,2,FALSE))="Martin",(VLOOKUP(Table10[[#This Row],[SKU]],'All Skus'!$A:$AC,22,FALSE)),""))</f>
        <v>TW</v>
      </c>
      <c r="S117" s="223">
        <f>(IF((VLOOKUP(Table10[[#This Row],[SKU]],'All Skus'!$A:$AC,2,FALSE))="Martin",(VLOOKUP(Table10[[#This Row],[SKU]],'All Skus'!$A:$AC,23,FALSE)),""))</f>
        <v>0</v>
      </c>
      <c r="T117" s="212" t="str">
        <f>HYPERLINK((IF((VLOOKUP(Table10[[#This Row],[SKU]],'All Skus'!$A:$AC,2,FALSE))="Martin",(VLOOKUP(Table10[[#This Row],[SKU]],'All Skus'!$A:$AC,24,FALSE)),"")))</f>
        <v/>
      </c>
      <c r="U117" s="228">
        <v>115</v>
      </c>
    </row>
    <row r="118" spans="1:21" hidden="1">
      <c r="A118" s="115" t="s">
        <v>1978</v>
      </c>
      <c r="B118" s="224">
        <f>(IF((VLOOKUP(Table10[[#This Row],[SKU]],'All Skus'!$A:$AC,2,FALSE))="Martin",(VLOOKUP(Table10[[#This Row],[SKU]],'All Skus'!$A:$AC,3,FALSE)),""))</f>
        <v>0</v>
      </c>
      <c r="C118" s="223">
        <f>(IF((VLOOKUP(Table10[[#This Row],[SKU]],'All Skus'!$A:$AC,2,FALSE))="Martin",(VLOOKUP(Table10[[#This Row],[SKU]],'All Skus'!$A:$AC,4,FALSE)),""))</f>
        <v>0</v>
      </c>
      <c r="D118" s="224">
        <f>(IF((VLOOKUP(Table10[[#This Row],[SKU]],'All Skus'!$A:$AC,2,FALSE))="Martin",(VLOOKUP(Table10[[#This Row],[SKU]],'All Skus'!$A:$AC,5,FALSE)),""))</f>
        <v>0</v>
      </c>
      <c r="E118" s="223">
        <f>(IF((VLOOKUP(Table10[[#This Row],[SKU]],'All Skus'!$A:$AC,2,FALSE))="Martin",(VLOOKUP(Table10[[#This Row],[SKU]],'All Skus'!$A:$AC,6,FALSE)),""))</f>
        <v>0</v>
      </c>
      <c r="F118" s="155">
        <f>(IF((VLOOKUP(Table10[[#This Row],[SKU]],'All Skus'!$A:$AC,2,FALSE))="Martin",(VLOOKUP(Table10[[#This Row],[SKU]],'All Skus'!$A:$AC,7,FALSE)),""))</f>
        <v>0</v>
      </c>
      <c r="G118" s="223">
        <f>(IF((VLOOKUP(Table10[[#This Row],[SKU]],'All Skus'!$A:$AC,2,FALSE))="Martin",(VLOOKUP(Table10[[#This Row],[SKU]],'All Skus'!$A:$AC,8,FALSE)),""))</f>
        <v>0</v>
      </c>
      <c r="H118" s="223">
        <f>(IF((VLOOKUP(Table10[[#This Row],[SKU]],'All Skus'!$A:$AC,2,FALSE))="Martin",(VLOOKUP(Table10[[#This Row],[SKU]],'All Skus'!$A:$AC,9,FALSE)),""))</f>
        <v>0</v>
      </c>
      <c r="I118" s="225">
        <f>(IF((VLOOKUP(Table10[[#This Row],[SKU]],'All Skus'!$A:$AC,2,FALSE))="Martin",(VLOOKUP(Table10[[#This Row],[SKU]],'All Skus'!$A:$AC,10,FALSE)),""))</f>
        <v>0</v>
      </c>
      <c r="J118" s="226">
        <f>(IF((VLOOKUP(Table10[[#This Row],[SKU]],'All Skus'!$A:$AC,2,FALSE))="Martin",(VLOOKUP(Table10[[#This Row],[SKU]],'All Skus'!$A:$AC,11,FALSE)),""))</f>
        <v>0</v>
      </c>
      <c r="K118" s="224">
        <f>(IF((VLOOKUP(Table10[[#This Row],[SKU]],'All Skus'!$A:$AC,2,FALSE))="Martin",(VLOOKUP(Table10[[#This Row],[SKU]],'All Skus'!$A:$AC,15,FALSE)),""))</f>
        <v>0</v>
      </c>
      <c r="L118" s="224">
        <f>(IF((VLOOKUP(Table10[[#This Row],[SKU]],'All Skus'!$A:$AC,2,FALSE))="Martin",(VLOOKUP(Table10[[#This Row],[SKU]],'All Skus'!$A:$AC,16,FALSE)),""))</f>
        <v>0</v>
      </c>
      <c r="M118" s="224">
        <f>(IF((VLOOKUP(Table10[[#This Row],[SKU]],'All Skus'!$A:$AC,2,FALSE))="Martin",(VLOOKUP(Table10[[#This Row],[SKU]],'All Skus'!$A:$AC,17,FALSE)),""))</f>
        <v>0</v>
      </c>
      <c r="N118" s="227">
        <f>(IF((VLOOKUP(Table10[[#This Row],[SKU]],'All Skus'!$A:$AC,2,FALSE))="Martin",(VLOOKUP(Table10[[#This Row],[SKU]],'All Skus'!$A:$AC,18,FALSE)),""))</f>
        <v>0</v>
      </c>
      <c r="O118" s="227">
        <f>(IF((VLOOKUP(Table10[[#This Row],[SKU]],'All Skus'!$A:$AC,2,FALSE))="Martin",(VLOOKUP(Table10[[#This Row],[SKU]],'All Skus'!$A:$AC,19,FALSE)),""))</f>
        <v>0</v>
      </c>
      <c r="P118" s="227">
        <f>(IF((VLOOKUP(Table10[[#This Row],[SKU]],'All Skus'!$A:$AC,2,FALSE))="Martin",(VLOOKUP(Table10[[#This Row],[SKU]],'All Skus'!$A:$AC,20,FALSE)),""))</f>
        <v>0</v>
      </c>
      <c r="Q118" s="227">
        <f>(IF((VLOOKUP(Table10[[#This Row],[SKU]],'All Skus'!$A:$AC,2,FALSE))="Martin",(VLOOKUP(Table10[[#This Row],[SKU]],'All Skus'!$A:$AC,21,FALSE)),""))</f>
        <v>0</v>
      </c>
      <c r="R118" s="224">
        <f>(IF((VLOOKUP(Table10[[#This Row],[SKU]],'All Skus'!$A:$AC,2,FALSE))="Martin",(VLOOKUP(Table10[[#This Row],[SKU]],'All Skus'!$A:$AC,22,FALSE)),""))</f>
        <v>0</v>
      </c>
      <c r="S118" s="223">
        <f>(IF((VLOOKUP(Table10[[#This Row],[SKU]],'All Skus'!$A:$AC,2,FALSE))="Martin",(VLOOKUP(Table10[[#This Row],[SKU]],'All Skus'!$A:$AC,23,FALSE)),""))</f>
        <v>0</v>
      </c>
      <c r="T118" s="212" t="str">
        <f>HYPERLINK((IF((VLOOKUP(Table10[[#This Row],[SKU]],'All Skus'!$A:$AC,2,FALSE))="Martin",(VLOOKUP(Table10[[#This Row],[SKU]],'All Skus'!$A:$AC,24,FALSE)),"")))</f>
        <v/>
      </c>
      <c r="U118" s="228">
        <v>116</v>
      </c>
    </row>
    <row r="119" spans="1:21" hidden="1">
      <c r="A119" s="114">
        <v>91611750</v>
      </c>
      <c r="B119" s="224" t="str">
        <f>(IF((VLOOKUP(Table10[[#This Row],[SKU]],'All Skus'!$A:$AC,2,FALSE))="Martin",(VLOOKUP(Table10[[#This Row],[SKU]],'All Skus'!$A:$AC,3,FALSE)),""))</f>
        <v>Accessories</v>
      </c>
      <c r="C119" s="223" t="str">
        <f>(IF((VLOOKUP(Table10[[#This Row],[SKU]],'All Skus'!$A:$AC,2,FALSE))="Martin",(VLOOKUP(Table10[[#This Row],[SKU]],'All Skus'!$A:$AC,4,FALSE)),""))</f>
        <v>Power+Data Connector BBD Male</v>
      </c>
      <c r="D119" s="224" t="str">
        <f>(IF((VLOOKUP(Table10[[#This Row],[SKU]],'All Skus'!$A:$AC,2,FALSE))="Martin",(VLOOKUP(Table10[[#This Row],[SKU]],'All Skus'!$A:$AC,5,FALSE)),""))</f>
        <v>MAR-ACC</v>
      </c>
      <c r="E119" s="223">
        <f>(IF((VLOOKUP(Table10[[#This Row],[SKU]],'All Skus'!$A:$AC,2,FALSE))="Martin",(VLOOKUP(Table10[[#This Row],[SKU]],'All Skus'!$A:$AC,6,FALSE)),""))</f>
        <v>0</v>
      </c>
      <c r="F119" s="155">
        <f>(IF((VLOOKUP(Table10[[#This Row],[SKU]],'All Skus'!$A:$AC,2,FALSE))="Martin",(VLOOKUP(Table10[[#This Row],[SKU]],'All Skus'!$A:$AC,7,FALSE)),""))</f>
        <v>0</v>
      </c>
      <c r="G119" s="223" t="str">
        <f>(IF((VLOOKUP(Table10[[#This Row],[SKU]],'All Skus'!$A:$AC,2,FALSE))="Martin",(VLOOKUP(Table10[[#This Row],[SKU]],'All Skus'!$A:$AC,8,FALSE)),""))</f>
        <v>Power+Data Connector BBD Male</v>
      </c>
      <c r="H119" s="223" t="str">
        <f>(IF((VLOOKUP(Table10[[#This Row],[SKU]],'All Skus'!$A:$AC,2,FALSE))="Martin",(VLOOKUP(Table10[[#This Row],[SKU]],'All Skus'!$A:$AC,9,FALSE)),""))</f>
        <v>Power+Data Connector BBD Male</v>
      </c>
      <c r="I119" s="225">
        <f>(IF((VLOOKUP(Table10[[#This Row],[SKU]],'All Skus'!$A:$AC,2,FALSE))="Martin",(VLOOKUP(Table10[[#This Row],[SKU]],'All Skus'!$A:$AC,10,FALSE)),""))</f>
        <v>29.63</v>
      </c>
      <c r="J119" s="226">
        <f>(IF((VLOOKUP(Table10[[#This Row],[SKU]],'All Skus'!$A:$AC,2,FALSE))="Martin",(VLOOKUP(Table10[[#This Row],[SKU]],'All Skus'!$A:$AC,11,FALSE)),""))</f>
        <v>29.63</v>
      </c>
      <c r="K119" s="224">
        <f>(IF((VLOOKUP(Table10[[#This Row],[SKU]],'All Skus'!$A:$AC,2,FALSE))="Martin",(VLOOKUP(Table10[[#This Row],[SKU]],'All Skus'!$A:$AC,15,FALSE)),""))</f>
        <v>0</v>
      </c>
      <c r="L119" s="224">
        <f>(IF((VLOOKUP(Table10[[#This Row],[SKU]],'All Skus'!$A:$AC,2,FALSE))="Martin",(VLOOKUP(Table10[[#This Row],[SKU]],'All Skus'!$A:$AC,16,FALSE)),""))</f>
        <v>0</v>
      </c>
      <c r="M119" s="224">
        <f>(IF((VLOOKUP(Table10[[#This Row],[SKU]],'All Skus'!$A:$AC,2,FALSE))="Martin",(VLOOKUP(Table10[[#This Row],[SKU]],'All Skus'!$A:$AC,17,FALSE)),""))</f>
        <v>0</v>
      </c>
      <c r="N119" s="227">
        <f>(IF((VLOOKUP(Table10[[#This Row],[SKU]],'All Skus'!$A:$AC,2,FALSE))="Martin",(VLOOKUP(Table10[[#This Row],[SKU]],'All Skus'!$A:$AC,18,FALSE)),""))</f>
        <v>0</v>
      </c>
      <c r="O119" s="227">
        <f>(IF((VLOOKUP(Table10[[#This Row],[SKU]],'All Skus'!$A:$AC,2,FALSE))="Martin",(VLOOKUP(Table10[[#This Row],[SKU]],'All Skus'!$A:$AC,19,FALSE)),""))</f>
        <v>0</v>
      </c>
      <c r="P119" s="227">
        <f>(IF((VLOOKUP(Table10[[#This Row],[SKU]],'All Skus'!$A:$AC,2,FALSE))="Martin",(VLOOKUP(Table10[[#This Row],[SKU]],'All Skus'!$A:$AC,20,FALSE)),""))</f>
        <v>0</v>
      </c>
      <c r="Q119" s="227">
        <f>(IF((VLOOKUP(Table10[[#This Row],[SKU]],'All Skus'!$A:$AC,2,FALSE))="Martin",(VLOOKUP(Table10[[#This Row],[SKU]],'All Skus'!$A:$AC,21,FALSE)),""))</f>
        <v>0</v>
      </c>
      <c r="R119" s="224" t="str">
        <f>(IF((VLOOKUP(Table10[[#This Row],[SKU]],'All Skus'!$A:$AC,2,FALSE))="Martin",(VLOOKUP(Table10[[#This Row],[SKU]],'All Skus'!$A:$AC,22,FALSE)),""))</f>
        <v>CN</v>
      </c>
      <c r="S119" s="223" t="str">
        <f>(IF((VLOOKUP(Table10[[#This Row],[SKU]],'All Skus'!$A:$AC,2,FALSE))="Martin",(VLOOKUP(Table10[[#This Row],[SKU]],'All Skus'!$A:$AC,23,FALSE)),""))</f>
        <v>Non Compliant</v>
      </c>
      <c r="T119" s="212" t="str">
        <f>HYPERLINK((IF((VLOOKUP(Table10[[#This Row],[SKU]],'All Skus'!$A:$AC,2,FALSE))="Martin",(VLOOKUP(Table10[[#This Row],[SKU]],'All Skus'!$A:$AC,24,FALSE)),"")))</f>
        <v/>
      </c>
      <c r="U119" s="228">
        <v>117</v>
      </c>
    </row>
    <row r="120" spans="1:21" hidden="1">
      <c r="A120" s="114">
        <v>91611751</v>
      </c>
      <c r="B120" s="224" t="str">
        <f>(IF((VLOOKUP(Table10[[#This Row],[SKU]],'All Skus'!$A:$AC,2,FALSE))="Martin",(VLOOKUP(Table10[[#This Row],[SKU]],'All Skus'!$A:$AC,3,FALSE)),""))</f>
        <v>Accessories</v>
      </c>
      <c r="C120" s="223" t="str">
        <f>(IF((VLOOKUP(Table10[[#This Row],[SKU]],'All Skus'!$A:$AC,2,FALSE))="Martin",(VLOOKUP(Table10[[#This Row],[SKU]],'All Skus'!$A:$AC,4,FALSE)),""))</f>
        <v>Power+Data Connector BBD Female</v>
      </c>
      <c r="D120" s="224" t="str">
        <f>(IF((VLOOKUP(Table10[[#This Row],[SKU]],'All Skus'!$A:$AC,2,FALSE))="Martin",(VLOOKUP(Table10[[#This Row],[SKU]],'All Skus'!$A:$AC,5,FALSE)),""))</f>
        <v>MAR-ACC</v>
      </c>
      <c r="E120" s="223">
        <f>(IF((VLOOKUP(Table10[[#This Row],[SKU]],'All Skus'!$A:$AC,2,FALSE))="Martin",(VLOOKUP(Table10[[#This Row],[SKU]],'All Skus'!$A:$AC,6,FALSE)),""))</f>
        <v>0</v>
      </c>
      <c r="F120" s="155">
        <f>(IF((VLOOKUP(Table10[[#This Row],[SKU]],'All Skus'!$A:$AC,2,FALSE))="Martin",(VLOOKUP(Table10[[#This Row],[SKU]],'All Skus'!$A:$AC,7,FALSE)),""))</f>
        <v>0</v>
      </c>
      <c r="G120" s="223" t="str">
        <f>(IF((VLOOKUP(Table10[[#This Row],[SKU]],'All Skus'!$A:$AC,2,FALSE))="Martin",(VLOOKUP(Table10[[#This Row],[SKU]],'All Skus'!$A:$AC,8,FALSE)),""))</f>
        <v>Power+Data Connector BBD Female</v>
      </c>
      <c r="H120" s="223" t="str">
        <f>(IF((VLOOKUP(Table10[[#This Row],[SKU]],'All Skus'!$A:$AC,2,FALSE))="Martin",(VLOOKUP(Table10[[#This Row],[SKU]],'All Skus'!$A:$AC,9,FALSE)),""))</f>
        <v>Power+Data Connector BBD Female</v>
      </c>
      <c r="I120" s="225">
        <f>(IF((VLOOKUP(Table10[[#This Row],[SKU]],'All Skus'!$A:$AC,2,FALSE))="Martin",(VLOOKUP(Table10[[#This Row],[SKU]],'All Skus'!$A:$AC,10,FALSE)),""))</f>
        <v>29.63</v>
      </c>
      <c r="J120" s="226">
        <f>(IF((VLOOKUP(Table10[[#This Row],[SKU]],'All Skus'!$A:$AC,2,FALSE))="Martin",(VLOOKUP(Table10[[#This Row],[SKU]],'All Skus'!$A:$AC,11,FALSE)),""))</f>
        <v>29.63</v>
      </c>
      <c r="K120" s="224">
        <f>(IF((VLOOKUP(Table10[[#This Row],[SKU]],'All Skus'!$A:$AC,2,FALSE))="Martin",(VLOOKUP(Table10[[#This Row],[SKU]],'All Skus'!$A:$AC,15,FALSE)),""))</f>
        <v>0</v>
      </c>
      <c r="L120" s="224">
        <f>(IF((VLOOKUP(Table10[[#This Row],[SKU]],'All Skus'!$A:$AC,2,FALSE))="Martin",(VLOOKUP(Table10[[#This Row],[SKU]],'All Skus'!$A:$AC,16,FALSE)),""))</f>
        <v>0</v>
      </c>
      <c r="M120" s="224">
        <f>(IF((VLOOKUP(Table10[[#This Row],[SKU]],'All Skus'!$A:$AC,2,FALSE))="Martin",(VLOOKUP(Table10[[#This Row],[SKU]],'All Skus'!$A:$AC,17,FALSE)),""))</f>
        <v>0</v>
      </c>
      <c r="N120" s="227">
        <f>(IF((VLOOKUP(Table10[[#This Row],[SKU]],'All Skus'!$A:$AC,2,FALSE))="Martin",(VLOOKUP(Table10[[#This Row],[SKU]],'All Skus'!$A:$AC,18,FALSE)),""))</f>
        <v>0</v>
      </c>
      <c r="O120" s="227">
        <f>(IF((VLOOKUP(Table10[[#This Row],[SKU]],'All Skus'!$A:$AC,2,FALSE))="Martin",(VLOOKUP(Table10[[#This Row],[SKU]],'All Skus'!$A:$AC,19,FALSE)),""))</f>
        <v>0</v>
      </c>
      <c r="P120" s="227">
        <f>(IF((VLOOKUP(Table10[[#This Row],[SKU]],'All Skus'!$A:$AC,2,FALSE))="Martin",(VLOOKUP(Table10[[#This Row],[SKU]],'All Skus'!$A:$AC,20,FALSE)),""))</f>
        <v>0</v>
      </c>
      <c r="Q120" s="227">
        <f>(IF((VLOOKUP(Table10[[#This Row],[SKU]],'All Skus'!$A:$AC,2,FALSE))="Martin",(VLOOKUP(Table10[[#This Row],[SKU]],'All Skus'!$A:$AC,21,FALSE)),""))</f>
        <v>0</v>
      </c>
      <c r="R120" s="224" t="str">
        <f>(IF((VLOOKUP(Table10[[#This Row],[SKU]],'All Skus'!$A:$AC,2,FALSE))="Martin",(VLOOKUP(Table10[[#This Row],[SKU]],'All Skus'!$A:$AC,22,FALSE)),""))</f>
        <v>CN</v>
      </c>
      <c r="S120" s="223" t="str">
        <f>(IF((VLOOKUP(Table10[[#This Row],[SKU]],'All Skus'!$A:$AC,2,FALSE))="Martin",(VLOOKUP(Table10[[#This Row],[SKU]],'All Skus'!$A:$AC,23,FALSE)),""))</f>
        <v>Non Compliant</v>
      </c>
      <c r="T120" s="212" t="str">
        <f>HYPERLINK((IF((VLOOKUP(Table10[[#This Row],[SKU]],'All Skus'!$A:$AC,2,FALSE))="Martin",(VLOOKUP(Table10[[#This Row],[SKU]],'All Skus'!$A:$AC,24,FALSE)),"")))</f>
        <v/>
      </c>
      <c r="U120" s="228">
        <v>118</v>
      </c>
    </row>
    <row r="121" spans="1:21" hidden="1">
      <c r="A121" s="114">
        <v>91616052</v>
      </c>
      <c r="B121" s="224" t="str">
        <f>(IF((VLOOKUP(Table10[[#This Row],[SKU]],'All Skus'!$A:$AC,2,FALSE))="Martin",(VLOOKUP(Table10[[#This Row],[SKU]],'All Skus'!$A:$AC,3,FALSE)),""))</f>
        <v>Accessories</v>
      </c>
      <c r="C121" s="223" t="str">
        <f>(IF((VLOOKUP(Table10[[#This Row],[SKU]],'All Skus'!$A:$AC,2,FALSE))="Martin",(VLOOKUP(Table10[[#This Row],[SKU]],'All Skus'!$A:$AC,4,FALSE)),""))</f>
        <v>Set of 10 caps for Connector BBD Female</v>
      </c>
      <c r="D121" s="224" t="str">
        <f>(IF((VLOOKUP(Table10[[#This Row],[SKU]],'All Skus'!$A:$AC,2,FALSE))="Martin",(VLOOKUP(Table10[[#This Row],[SKU]],'All Skus'!$A:$AC,5,FALSE)),""))</f>
        <v>MAR-ACC</v>
      </c>
      <c r="E121" s="223">
        <f>(IF((VLOOKUP(Table10[[#This Row],[SKU]],'All Skus'!$A:$AC,2,FALSE))="Martin",(VLOOKUP(Table10[[#This Row],[SKU]],'All Skus'!$A:$AC,6,FALSE)),""))</f>
        <v>0</v>
      </c>
      <c r="F121" s="155">
        <f>(IF((VLOOKUP(Table10[[#This Row],[SKU]],'All Skus'!$A:$AC,2,FALSE))="Martin",(VLOOKUP(Table10[[#This Row],[SKU]],'All Skus'!$A:$AC,7,FALSE)),""))</f>
        <v>0</v>
      </c>
      <c r="G121" s="223" t="str">
        <f>(IF((VLOOKUP(Table10[[#This Row],[SKU]],'All Skus'!$A:$AC,2,FALSE))="Martin",(VLOOKUP(Table10[[#This Row],[SKU]],'All Skus'!$A:$AC,8,FALSE)),""))</f>
        <v>Set of 10 caps for Connector BBD Female</v>
      </c>
      <c r="H121" s="223" t="str">
        <f>(IF((VLOOKUP(Table10[[#This Row],[SKU]],'All Skus'!$A:$AC,2,FALSE))="Martin",(VLOOKUP(Table10[[#This Row],[SKU]],'All Skus'!$A:$AC,9,FALSE)),""))</f>
        <v>Set of 10 caps for Connector BBD Female</v>
      </c>
      <c r="I121" s="225">
        <f>(IF((VLOOKUP(Table10[[#This Row],[SKU]],'All Skus'!$A:$AC,2,FALSE))="Martin",(VLOOKUP(Table10[[#This Row],[SKU]],'All Skus'!$A:$AC,10,FALSE)),""))</f>
        <v>16.05</v>
      </c>
      <c r="J121" s="226">
        <f>(IF((VLOOKUP(Table10[[#This Row],[SKU]],'All Skus'!$A:$AC,2,FALSE))="Martin",(VLOOKUP(Table10[[#This Row],[SKU]],'All Skus'!$A:$AC,11,FALSE)),""))</f>
        <v>16.05</v>
      </c>
      <c r="K121" s="224">
        <f>(IF((VLOOKUP(Table10[[#This Row],[SKU]],'All Skus'!$A:$AC,2,FALSE))="Martin",(VLOOKUP(Table10[[#This Row],[SKU]],'All Skus'!$A:$AC,15,FALSE)),""))</f>
        <v>0</v>
      </c>
      <c r="L121" s="224">
        <f>(IF((VLOOKUP(Table10[[#This Row],[SKU]],'All Skus'!$A:$AC,2,FALSE))="Martin",(VLOOKUP(Table10[[#This Row],[SKU]],'All Skus'!$A:$AC,16,FALSE)),""))</f>
        <v>0</v>
      </c>
      <c r="M121" s="224">
        <f>(IF((VLOOKUP(Table10[[#This Row],[SKU]],'All Skus'!$A:$AC,2,FALSE))="Martin",(VLOOKUP(Table10[[#This Row],[SKU]],'All Skus'!$A:$AC,17,FALSE)),""))</f>
        <v>0</v>
      </c>
      <c r="N121" s="227">
        <f>(IF((VLOOKUP(Table10[[#This Row],[SKU]],'All Skus'!$A:$AC,2,FALSE))="Martin",(VLOOKUP(Table10[[#This Row],[SKU]],'All Skus'!$A:$AC,18,FALSE)),""))</f>
        <v>0</v>
      </c>
      <c r="O121" s="227">
        <f>(IF((VLOOKUP(Table10[[#This Row],[SKU]],'All Skus'!$A:$AC,2,FALSE))="Martin",(VLOOKUP(Table10[[#This Row],[SKU]],'All Skus'!$A:$AC,19,FALSE)),""))</f>
        <v>0</v>
      </c>
      <c r="P121" s="227">
        <f>(IF((VLOOKUP(Table10[[#This Row],[SKU]],'All Skus'!$A:$AC,2,FALSE))="Martin",(VLOOKUP(Table10[[#This Row],[SKU]],'All Skus'!$A:$AC,20,FALSE)),""))</f>
        <v>0</v>
      </c>
      <c r="Q121" s="227">
        <f>(IF((VLOOKUP(Table10[[#This Row],[SKU]],'All Skus'!$A:$AC,2,FALSE))="Martin",(VLOOKUP(Table10[[#This Row],[SKU]],'All Skus'!$A:$AC,21,FALSE)),""))</f>
        <v>0</v>
      </c>
      <c r="R121" s="224" t="str">
        <f>(IF((VLOOKUP(Table10[[#This Row],[SKU]],'All Skus'!$A:$AC,2,FALSE))="Martin",(VLOOKUP(Table10[[#This Row],[SKU]],'All Skus'!$A:$AC,22,FALSE)),""))</f>
        <v>TW</v>
      </c>
      <c r="S121" s="223">
        <f>(IF((VLOOKUP(Table10[[#This Row],[SKU]],'All Skus'!$A:$AC,2,FALSE))="Martin",(VLOOKUP(Table10[[#This Row],[SKU]],'All Skus'!$A:$AC,23,FALSE)),""))</f>
        <v>0</v>
      </c>
      <c r="T121" s="212" t="str">
        <f>HYPERLINK((IF((VLOOKUP(Table10[[#This Row],[SKU]],'All Skus'!$A:$AC,2,FALSE))="Martin",(VLOOKUP(Table10[[#This Row],[SKU]],'All Skus'!$A:$AC,24,FALSE)),"")))</f>
        <v/>
      </c>
      <c r="U121" s="228">
        <v>119</v>
      </c>
    </row>
    <row r="122" spans="1:21" hidden="1">
      <c r="A122" s="111" t="s">
        <v>1979</v>
      </c>
      <c r="B122" s="224">
        <f>(IF((VLOOKUP(Table10[[#This Row],[SKU]],'All Skus'!$A:$AC,2,FALSE))="Martin",(VLOOKUP(Table10[[#This Row],[SKU]],'All Skus'!$A:$AC,3,FALSE)),""))</f>
        <v>0</v>
      </c>
      <c r="C122" s="223">
        <f>(IF((VLOOKUP(Table10[[#This Row],[SKU]],'All Skus'!$A:$AC,2,FALSE))="Martin",(VLOOKUP(Table10[[#This Row],[SKU]],'All Skus'!$A:$AC,4,FALSE)),""))</f>
        <v>0</v>
      </c>
      <c r="D122" s="224">
        <f>(IF((VLOOKUP(Table10[[#This Row],[SKU]],'All Skus'!$A:$AC,2,FALSE))="Martin",(VLOOKUP(Table10[[#This Row],[SKU]],'All Skus'!$A:$AC,5,FALSE)),""))</f>
        <v>0</v>
      </c>
      <c r="E122" s="223">
        <f>(IF((VLOOKUP(Table10[[#This Row],[SKU]],'All Skus'!$A:$AC,2,FALSE))="Martin",(VLOOKUP(Table10[[#This Row],[SKU]],'All Skus'!$A:$AC,6,FALSE)),""))</f>
        <v>0</v>
      </c>
      <c r="F122" s="155">
        <f>(IF((VLOOKUP(Table10[[#This Row],[SKU]],'All Skus'!$A:$AC,2,FALSE))="Martin",(VLOOKUP(Table10[[#This Row],[SKU]],'All Skus'!$A:$AC,7,FALSE)),""))</f>
        <v>0</v>
      </c>
      <c r="G122" s="223">
        <f>(IF((VLOOKUP(Table10[[#This Row],[SKU]],'All Skus'!$A:$AC,2,FALSE))="Martin",(VLOOKUP(Table10[[#This Row],[SKU]],'All Skus'!$A:$AC,8,FALSE)),""))</f>
        <v>0</v>
      </c>
      <c r="H122" s="223">
        <f>(IF((VLOOKUP(Table10[[#This Row],[SKU]],'All Skus'!$A:$AC,2,FALSE))="Martin",(VLOOKUP(Table10[[#This Row],[SKU]],'All Skus'!$A:$AC,9,FALSE)),""))</f>
        <v>0</v>
      </c>
      <c r="I122" s="225">
        <f>(IF((VLOOKUP(Table10[[#This Row],[SKU]],'All Skus'!$A:$AC,2,FALSE))="Martin",(VLOOKUP(Table10[[#This Row],[SKU]],'All Skus'!$A:$AC,10,FALSE)),""))</f>
        <v>0</v>
      </c>
      <c r="J122" s="226">
        <f>(IF((VLOOKUP(Table10[[#This Row],[SKU]],'All Skus'!$A:$AC,2,FALSE))="Martin",(VLOOKUP(Table10[[#This Row],[SKU]],'All Skus'!$A:$AC,11,FALSE)),""))</f>
        <v>0</v>
      </c>
      <c r="K122" s="224">
        <f>(IF((VLOOKUP(Table10[[#This Row],[SKU]],'All Skus'!$A:$AC,2,FALSE))="Martin",(VLOOKUP(Table10[[#This Row],[SKU]],'All Skus'!$A:$AC,15,FALSE)),""))</f>
        <v>0</v>
      </c>
      <c r="L122" s="224">
        <f>(IF((VLOOKUP(Table10[[#This Row],[SKU]],'All Skus'!$A:$AC,2,FALSE))="Martin",(VLOOKUP(Table10[[#This Row],[SKU]],'All Skus'!$A:$AC,16,FALSE)),""))</f>
        <v>0</v>
      </c>
      <c r="M122" s="224">
        <f>(IF((VLOOKUP(Table10[[#This Row],[SKU]],'All Skus'!$A:$AC,2,FALSE))="Martin",(VLOOKUP(Table10[[#This Row],[SKU]],'All Skus'!$A:$AC,17,FALSE)),""))</f>
        <v>0</v>
      </c>
      <c r="N122" s="227">
        <f>(IF((VLOOKUP(Table10[[#This Row],[SKU]],'All Skus'!$A:$AC,2,FALSE))="Martin",(VLOOKUP(Table10[[#This Row],[SKU]],'All Skus'!$A:$AC,18,FALSE)),""))</f>
        <v>0</v>
      </c>
      <c r="O122" s="227">
        <f>(IF((VLOOKUP(Table10[[#This Row],[SKU]],'All Skus'!$A:$AC,2,FALSE))="Martin",(VLOOKUP(Table10[[#This Row],[SKU]],'All Skus'!$A:$AC,19,FALSE)),""))</f>
        <v>0</v>
      </c>
      <c r="P122" s="227">
        <f>(IF((VLOOKUP(Table10[[#This Row],[SKU]],'All Skus'!$A:$AC,2,FALSE))="Martin",(VLOOKUP(Table10[[#This Row],[SKU]],'All Skus'!$A:$AC,20,FALSE)),""))</f>
        <v>0</v>
      </c>
      <c r="Q122" s="227">
        <f>(IF((VLOOKUP(Table10[[#This Row],[SKU]],'All Skus'!$A:$AC,2,FALSE))="Martin",(VLOOKUP(Table10[[#This Row],[SKU]],'All Skus'!$A:$AC,21,FALSE)),""))</f>
        <v>0</v>
      </c>
      <c r="R122" s="224">
        <f>(IF((VLOOKUP(Table10[[#This Row],[SKU]],'All Skus'!$A:$AC,2,FALSE))="Martin",(VLOOKUP(Table10[[#This Row],[SKU]],'All Skus'!$A:$AC,22,FALSE)),""))</f>
        <v>0</v>
      </c>
      <c r="S122" s="223">
        <f>(IF((VLOOKUP(Table10[[#This Row],[SKU]],'All Skus'!$A:$AC,2,FALSE))="Martin",(VLOOKUP(Table10[[#This Row],[SKU]],'All Skus'!$A:$AC,23,FALSE)),""))</f>
        <v>0</v>
      </c>
      <c r="T122" s="212" t="str">
        <f>HYPERLINK((IF((VLOOKUP(Table10[[#This Row],[SKU]],'All Skus'!$A:$AC,2,FALSE))="Martin",(VLOOKUP(Table10[[#This Row],[SKU]],'All Skus'!$A:$AC,24,FALSE)),"")))</f>
        <v/>
      </c>
      <c r="U122" s="228">
        <v>120</v>
      </c>
    </row>
    <row r="123" spans="1:21" hidden="1">
      <c r="A123" s="115" t="s">
        <v>1980</v>
      </c>
      <c r="B123" s="224">
        <f>(IF((VLOOKUP(Table10[[#This Row],[SKU]],'All Skus'!$A:$AC,2,FALSE))="Martin",(VLOOKUP(Table10[[#This Row],[SKU]],'All Skus'!$A:$AC,3,FALSE)),""))</f>
        <v>0</v>
      </c>
      <c r="C123" s="223">
        <f>(IF((VLOOKUP(Table10[[#This Row],[SKU]],'All Skus'!$A:$AC,2,FALSE))="Martin",(VLOOKUP(Table10[[#This Row],[SKU]],'All Skus'!$A:$AC,4,FALSE)),""))</f>
        <v>0</v>
      </c>
      <c r="D123" s="224">
        <f>(IF((VLOOKUP(Table10[[#This Row],[SKU]],'All Skus'!$A:$AC,2,FALSE))="Martin",(VLOOKUP(Table10[[#This Row],[SKU]],'All Skus'!$A:$AC,5,FALSE)),""))</f>
        <v>0</v>
      </c>
      <c r="E123" s="223">
        <f>(IF((VLOOKUP(Table10[[#This Row],[SKU]],'All Skus'!$A:$AC,2,FALSE))="Martin",(VLOOKUP(Table10[[#This Row],[SKU]],'All Skus'!$A:$AC,6,FALSE)),""))</f>
        <v>0</v>
      </c>
      <c r="F123" s="155">
        <f>(IF((VLOOKUP(Table10[[#This Row],[SKU]],'All Skus'!$A:$AC,2,FALSE))="Martin",(VLOOKUP(Table10[[#This Row],[SKU]],'All Skus'!$A:$AC,7,FALSE)),""))</f>
        <v>0</v>
      </c>
      <c r="G123" s="223">
        <f>(IF((VLOOKUP(Table10[[#This Row],[SKU]],'All Skus'!$A:$AC,2,FALSE))="Martin",(VLOOKUP(Table10[[#This Row],[SKU]],'All Skus'!$A:$AC,8,FALSE)),""))</f>
        <v>0</v>
      </c>
      <c r="H123" s="223">
        <f>(IF((VLOOKUP(Table10[[#This Row],[SKU]],'All Skus'!$A:$AC,2,FALSE))="Martin",(VLOOKUP(Table10[[#This Row],[SKU]],'All Skus'!$A:$AC,9,FALSE)),""))</f>
        <v>0</v>
      </c>
      <c r="I123" s="225">
        <f>(IF((VLOOKUP(Table10[[#This Row],[SKU]],'All Skus'!$A:$AC,2,FALSE))="Martin",(VLOOKUP(Table10[[#This Row],[SKU]],'All Skus'!$A:$AC,10,FALSE)),""))</f>
        <v>0</v>
      </c>
      <c r="J123" s="226">
        <f>(IF((VLOOKUP(Table10[[#This Row],[SKU]],'All Skus'!$A:$AC,2,FALSE))="Martin",(VLOOKUP(Table10[[#This Row],[SKU]],'All Skus'!$A:$AC,11,FALSE)),""))</f>
        <v>0</v>
      </c>
      <c r="K123" s="224">
        <f>(IF((VLOOKUP(Table10[[#This Row],[SKU]],'All Skus'!$A:$AC,2,FALSE))="Martin",(VLOOKUP(Table10[[#This Row],[SKU]],'All Skus'!$A:$AC,15,FALSE)),""))</f>
        <v>0</v>
      </c>
      <c r="L123" s="224">
        <f>(IF((VLOOKUP(Table10[[#This Row],[SKU]],'All Skus'!$A:$AC,2,FALSE))="Martin",(VLOOKUP(Table10[[#This Row],[SKU]],'All Skus'!$A:$AC,16,FALSE)),""))</f>
        <v>0</v>
      </c>
      <c r="M123" s="224">
        <f>(IF((VLOOKUP(Table10[[#This Row],[SKU]],'All Skus'!$A:$AC,2,FALSE))="Martin",(VLOOKUP(Table10[[#This Row],[SKU]],'All Skus'!$A:$AC,17,FALSE)),""))</f>
        <v>0</v>
      </c>
      <c r="N123" s="227">
        <f>(IF((VLOOKUP(Table10[[#This Row],[SKU]],'All Skus'!$A:$AC,2,FALSE))="Martin",(VLOOKUP(Table10[[#This Row],[SKU]],'All Skus'!$A:$AC,18,FALSE)),""))</f>
        <v>0</v>
      </c>
      <c r="O123" s="227">
        <f>(IF((VLOOKUP(Table10[[#This Row],[SKU]],'All Skus'!$A:$AC,2,FALSE))="Martin",(VLOOKUP(Table10[[#This Row],[SKU]],'All Skus'!$A:$AC,19,FALSE)),""))</f>
        <v>0</v>
      </c>
      <c r="P123" s="227">
        <f>(IF((VLOOKUP(Table10[[#This Row],[SKU]],'All Skus'!$A:$AC,2,FALSE))="Martin",(VLOOKUP(Table10[[#This Row],[SKU]],'All Skus'!$A:$AC,20,FALSE)),""))</f>
        <v>0</v>
      </c>
      <c r="Q123" s="227">
        <f>(IF((VLOOKUP(Table10[[#This Row],[SKU]],'All Skus'!$A:$AC,2,FALSE))="Martin",(VLOOKUP(Table10[[#This Row],[SKU]],'All Skus'!$A:$AC,21,FALSE)),""))</f>
        <v>0</v>
      </c>
      <c r="R123" s="224">
        <f>(IF((VLOOKUP(Table10[[#This Row],[SKU]],'All Skus'!$A:$AC,2,FALSE))="Martin",(VLOOKUP(Table10[[#This Row],[SKU]],'All Skus'!$A:$AC,22,FALSE)),""))</f>
        <v>0</v>
      </c>
      <c r="S123" s="223">
        <f>(IF((VLOOKUP(Table10[[#This Row],[SKU]],'All Skus'!$A:$AC,2,FALSE))="Martin",(VLOOKUP(Table10[[#This Row],[SKU]],'All Skus'!$A:$AC,23,FALSE)),""))</f>
        <v>0</v>
      </c>
      <c r="T123" s="212" t="str">
        <f>HYPERLINK((IF((VLOOKUP(Table10[[#This Row],[SKU]],'All Skus'!$A:$AC,2,FALSE))="Martin",(VLOOKUP(Table10[[#This Row],[SKU]],'All Skus'!$A:$AC,24,FALSE)),"")))</f>
        <v/>
      </c>
      <c r="U123" s="228">
        <v>121</v>
      </c>
    </row>
    <row r="124" spans="1:21">
      <c r="A124" s="112">
        <v>97120902</v>
      </c>
      <c r="B124" s="224" t="str">
        <f>(IF((VLOOKUP(Table10[[#This Row],[SKU]],'All Skus'!$A:$AC,2,FALSE))="Martin",(VLOOKUP(Table10[[#This Row],[SKU]],'All Skus'!$A:$AC,3,FALSE)),""))</f>
        <v>Atmospheric Effects</v>
      </c>
      <c r="C124" s="223" t="str">
        <f>(IF((VLOOKUP(Table10[[#This Row],[SKU]],'All Skus'!$A:$AC,2,FALSE))="Martin",(VLOOKUP(Table10[[#This Row],[SKU]],'All Skus'!$A:$AC,4,FALSE)),""))</f>
        <v>JEM Pro-Fog Fluid, Extra Quick Dissipating, 4x 5 l</v>
      </c>
      <c r="D124" s="224" t="str">
        <f>(IF((VLOOKUP(Table10[[#This Row],[SKU]],'All Skus'!$A:$AC,2,FALSE))="Martin",(VLOOKUP(Table10[[#This Row],[SKU]],'All Skus'!$A:$AC,5,FALSE)),""))</f>
        <v>MAR-FLUID</v>
      </c>
      <c r="E124" s="223">
        <f>(IF((VLOOKUP(Table10[[#This Row],[SKU]],'All Skus'!$A:$AC,2,FALSE))="Martin",(VLOOKUP(Table10[[#This Row],[SKU]],'All Skus'!$A:$AC,6,FALSE)),""))</f>
        <v>0</v>
      </c>
      <c r="F124" s="155">
        <f>(IF((VLOOKUP(Table10[[#This Row],[SKU]],'All Skus'!$A:$AC,2,FALSE))="Martin",(VLOOKUP(Table10[[#This Row],[SKU]],'All Skus'!$A:$AC,7,FALSE)),""))</f>
        <v>0</v>
      </c>
      <c r="G124" s="223" t="str">
        <f>(IF((VLOOKUP(Table10[[#This Row],[SKU]],'All Skus'!$A:$AC,2,FALSE))="Martin",(VLOOKUP(Table10[[#This Row],[SKU]],'All Skus'!$A:$AC,8,FALSE)),""))</f>
        <v>JEM Pro-Fog Fluid, Extra Quick Dissipating, 4x 5 l</v>
      </c>
      <c r="H124" s="223" t="str">
        <f>(IF((VLOOKUP(Table10[[#This Row],[SKU]],'All Skus'!$A:$AC,2,FALSE))="Martin",(VLOOKUP(Table10[[#This Row],[SKU]],'All Skus'!$A:$AC,9,FALSE)),""))</f>
        <v>JEM Pro-Fog Fluid, Extra Quick Dissipating, 4x 5 l</v>
      </c>
      <c r="I124" s="225">
        <f>(IF((VLOOKUP(Table10[[#This Row],[SKU]],'All Skus'!$A:$AC,2,FALSE))="Martin",(VLOOKUP(Table10[[#This Row],[SKU]],'All Skus'!$A:$AC,10,FALSE)),""))</f>
        <v>118.91</v>
      </c>
      <c r="J124" s="226">
        <f>(IF((VLOOKUP(Table10[[#This Row],[SKU]],'All Skus'!$A:$AC,2,FALSE))="Martin",(VLOOKUP(Table10[[#This Row],[SKU]],'All Skus'!$A:$AC,11,FALSE)),""))</f>
        <v>118.91</v>
      </c>
      <c r="K124" s="224">
        <f>(IF((VLOOKUP(Table10[[#This Row],[SKU]],'All Skus'!$A:$AC,2,FALSE))="Martin",(VLOOKUP(Table10[[#This Row],[SKU]],'All Skus'!$A:$AC,15,FALSE)),""))</f>
        <v>0</v>
      </c>
      <c r="L124" s="224">
        <f>(IF((VLOOKUP(Table10[[#This Row],[SKU]],'All Skus'!$A:$AC,2,FALSE))="Martin",(VLOOKUP(Table10[[#This Row],[SKU]],'All Skus'!$A:$AC,16,FALSE)),""))</f>
        <v>688705003245</v>
      </c>
      <c r="M124" s="224">
        <f>(IF((VLOOKUP(Table10[[#This Row],[SKU]],'All Skus'!$A:$AC,2,FALSE))="Martin",(VLOOKUP(Table10[[#This Row],[SKU]],'All Skus'!$A:$AC,17,FALSE)),""))</f>
        <v>0</v>
      </c>
      <c r="N124" s="227">
        <f>(IF((VLOOKUP(Table10[[#This Row],[SKU]],'All Skus'!$A:$AC,2,FALSE))="Martin",(VLOOKUP(Table10[[#This Row],[SKU]],'All Skus'!$A:$AC,18,FALSE)),""))</f>
        <v>0</v>
      </c>
      <c r="O124" s="227">
        <f>(IF((VLOOKUP(Table10[[#This Row],[SKU]],'All Skus'!$A:$AC,2,FALSE))="Martin",(VLOOKUP(Table10[[#This Row],[SKU]],'All Skus'!$A:$AC,19,FALSE)),""))</f>
        <v>11.5</v>
      </c>
      <c r="P124" s="227">
        <f>(IF((VLOOKUP(Table10[[#This Row],[SKU]],'All Skus'!$A:$AC,2,FALSE))="Martin",(VLOOKUP(Table10[[#This Row],[SKU]],'All Skus'!$A:$AC,20,FALSE)),""))</f>
        <v>0</v>
      </c>
      <c r="Q124" s="227">
        <f>(IF((VLOOKUP(Table10[[#This Row],[SKU]],'All Skus'!$A:$AC,2,FALSE))="Martin",(VLOOKUP(Table10[[#This Row],[SKU]],'All Skus'!$A:$AC,21,FALSE)),""))</f>
        <v>0</v>
      </c>
      <c r="R124" s="224" t="str">
        <f>(IF((VLOOKUP(Table10[[#This Row],[SKU]],'All Skus'!$A:$AC,2,FALSE))="Martin",(VLOOKUP(Table10[[#This Row],[SKU]],'All Skus'!$A:$AC,22,FALSE)),""))</f>
        <v>GB</v>
      </c>
      <c r="S124" s="223">
        <f>(IF((VLOOKUP(Table10[[#This Row],[SKU]],'All Skus'!$A:$AC,2,FALSE))="Martin",(VLOOKUP(Table10[[#This Row],[SKU]],'All Skus'!$A:$AC,23,FALSE)),""))</f>
        <v>0</v>
      </c>
      <c r="T124" s="212" t="str">
        <f>HYPERLINK((IF((VLOOKUP(Table10[[#This Row],[SKU]],'All Skus'!$A:$AC,2,FALSE))="Martin",(VLOOKUP(Table10[[#This Row],[SKU]],'All Skus'!$A:$AC,24,FALSE)),"")))</f>
        <v>http://www.martin.com/en-us/product-details/jem-pro-fog-fluid--extra-quick-dissipating</v>
      </c>
      <c r="U124" s="228">
        <v>122</v>
      </c>
    </row>
    <row r="125" spans="1:21">
      <c r="A125" s="112">
        <v>97120903</v>
      </c>
      <c r="B125" s="224" t="str">
        <f>(IF((VLOOKUP(Table10[[#This Row],[SKU]],'All Skus'!$A:$AC,2,FALSE))="Martin",(VLOOKUP(Table10[[#This Row],[SKU]],'All Skus'!$A:$AC,3,FALSE)),""))</f>
        <v>Atmospheric Effects</v>
      </c>
      <c r="C125" s="223" t="str">
        <f>(IF((VLOOKUP(Table10[[#This Row],[SKU]],'All Skus'!$A:$AC,2,FALSE))="Martin",(VLOOKUP(Table10[[#This Row],[SKU]],'All Skus'!$A:$AC,4,FALSE)),""))</f>
        <v>JEM Pro-Fog Fluid, Extra Quick Dissipating, 25 l</v>
      </c>
      <c r="D125" s="224" t="str">
        <f>(IF((VLOOKUP(Table10[[#This Row],[SKU]],'All Skus'!$A:$AC,2,FALSE))="Martin",(VLOOKUP(Table10[[#This Row],[SKU]],'All Skus'!$A:$AC,5,FALSE)),""))</f>
        <v>MAR-FLUID</v>
      </c>
      <c r="E125" s="223">
        <f>(IF((VLOOKUP(Table10[[#This Row],[SKU]],'All Skus'!$A:$AC,2,FALSE))="Martin",(VLOOKUP(Table10[[#This Row],[SKU]],'All Skus'!$A:$AC,6,FALSE)),""))</f>
        <v>0</v>
      </c>
      <c r="F125" s="155">
        <f>(IF((VLOOKUP(Table10[[#This Row],[SKU]],'All Skus'!$A:$AC,2,FALSE))="Martin",(VLOOKUP(Table10[[#This Row],[SKU]],'All Skus'!$A:$AC,7,FALSE)),""))</f>
        <v>0</v>
      </c>
      <c r="G125" s="223" t="str">
        <f>(IF((VLOOKUP(Table10[[#This Row],[SKU]],'All Skus'!$A:$AC,2,FALSE))="Martin",(VLOOKUP(Table10[[#This Row],[SKU]],'All Skus'!$A:$AC,8,FALSE)),""))</f>
        <v>JEM Pro-Fog Fluid, Extra Quick Dissipating, 25 l</v>
      </c>
      <c r="H125" s="223" t="str">
        <f>(IF((VLOOKUP(Table10[[#This Row],[SKU]],'All Skus'!$A:$AC,2,FALSE))="Martin",(VLOOKUP(Table10[[#This Row],[SKU]],'All Skus'!$A:$AC,9,FALSE)),""))</f>
        <v>JEM Pro-Fog Fluid, Extra Quick Dissipating, 25 l</v>
      </c>
      <c r="I125" s="225">
        <f>(IF((VLOOKUP(Table10[[#This Row],[SKU]],'All Skus'!$A:$AC,2,FALSE))="Martin",(VLOOKUP(Table10[[#This Row],[SKU]],'All Skus'!$A:$AC,10,FALSE)),""))</f>
        <v>132.12</v>
      </c>
      <c r="J125" s="226">
        <f>(IF((VLOOKUP(Table10[[#This Row],[SKU]],'All Skus'!$A:$AC,2,FALSE))="Martin",(VLOOKUP(Table10[[#This Row],[SKU]],'All Skus'!$A:$AC,11,FALSE)),""))</f>
        <v>132.12</v>
      </c>
      <c r="K125" s="224">
        <f>(IF((VLOOKUP(Table10[[#This Row],[SKU]],'All Skus'!$A:$AC,2,FALSE))="Martin",(VLOOKUP(Table10[[#This Row],[SKU]],'All Skus'!$A:$AC,15,FALSE)),""))</f>
        <v>0</v>
      </c>
      <c r="L125" s="224">
        <f>(IF((VLOOKUP(Table10[[#This Row],[SKU]],'All Skus'!$A:$AC,2,FALSE))="Martin",(VLOOKUP(Table10[[#This Row],[SKU]],'All Skus'!$A:$AC,16,FALSE)),""))</f>
        <v>688705003252</v>
      </c>
      <c r="M125" s="224">
        <f>(IF((VLOOKUP(Table10[[#This Row],[SKU]],'All Skus'!$A:$AC,2,FALSE))="Martin",(VLOOKUP(Table10[[#This Row],[SKU]],'All Skus'!$A:$AC,17,FALSE)),""))</f>
        <v>0</v>
      </c>
      <c r="N125" s="227">
        <f>(IF((VLOOKUP(Table10[[#This Row],[SKU]],'All Skus'!$A:$AC,2,FALSE))="Martin",(VLOOKUP(Table10[[#This Row],[SKU]],'All Skus'!$A:$AC,18,FALSE)),""))</f>
        <v>10.7</v>
      </c>
      <c r="O125" s="227">
        <f>(IF((VLOOKUP(Table10[[#This Row],[SKU]],'All Skus'!$A:$AC,2,FALSE))="Martin",(VLOOKUP(Table10[[#This Row],[SKU]],'All Skus'!$A:$AC,19,FALSE)),""))</f>
        <v>10.7</v>
      </c>
      <c r="P125" s="227">
        <f>(IF((VLOOKUP(Table10[[#This Row],[SKU]],'All Skus'!$A:$AC,2,FALSE))="Martin",(VLOOKUP(Table10[[#This Row],[SKU]],'All Skus'!$A:$AC,20,FALSE)),""))</f>
        <v>0</v>
      </c>
      <c r="Q125" s="227">
        <f>(IF((VLOOKUP(Table10[[#This Row],[SKU]],'All Skus'!$A:$AC,2,FALSE))="Martin",(VLOOKUP(Table10[[#This Row],[SKU]],'All Skus'!$A:$AC,21,FALSE)),""))</f>
        <v>0</v>
      </c>
      <c r="R125" s="224" t="str">
        <f>(IF((VLOOKUP(Table10[[#This Row],[SKU]],'All Skus'!$A:$AC,2,FALSE))="Martin",(VLOOKUP(Table10[[#This Row],[SKU]],'All Skus'!$A:$AC,22,FALSE)),""))</f>
        <v>GB</v>
      </c>
      <c r="S125" s="223">
        <f>(IF((VLOOKUP(Table10[[#This Row],[SKU]],'All Skus'!$A:$AC,2,FALSE))="Martin",(VLOOKUP(Table10[[#This Row],[SKU]],'All Skus'!$A:$AC,23,FALSE)),""))</f>
        <v>0</v>
      </c>
      <c r="T125" s="212" t="str">
        <f>HYPERLINK((IF((VLOOKUP(Table10[[#This Row],[SKU]],'All Skus'!$A:$AC,2,FALSE))="Martin",(VLOOKUP(Table10[[#This Row],[SKU]],'All Skus'!$A:$AC,24,FALSE)),"")))</f>
        <v>http://www.martin.com/en-us/product-details/jem-pro-fog-fluid--extra-quick-dissipating</v>
      </c>
      <c r="U125" s="228">
        <v>123</v>
      </c>
    </row>
    <row r="126" spans="1:21">
      <c r="A126" s="112">
        <v>97120904</v>
      </c>
      <c r="B126" s="224" t="str">
        <f>(IF((VLOOKUP(Table10[[#This Row],[SKU]],'All Skus'!$A:$AC,2,FALSE))="Martin",(VLOOKUP(Table10[[#This Row],[SKU]],'All Skus'!$A:$AC,3,FALSE)),""))</f>
        <v>Atmospheric Effects</v>
      </c>
      <c r="C126" s="223" t="str">
        <f>(IF((VLOOKUP(Table10[[#This Row],[SKU]],'All Skus'!$A:$AC,2,FALSE))="Martin",(VLOOKUP(Table10[[#This Row],[SKU]],'All Skus'!$A:$AC,4,FALSE)),""))</f>
        <v>JEM Pro-Fog Fluid, Extra Quick Dissipating, 220 l</v>
      </c>
      <c r="D126" s="224" t="str">
        <f>(IF((VLOOKUP(Table10[[#This Row],[SKU]],'All Skus'!$A:$AC,2,FALSE))="Martin",(VLOOKUP(Table10[[#This Row],[SKU]],'All Skus'!$A:$AC,5,FALSE)),""))</f>
        <v>MAR-FLUID</v>
      </c>
      <c r="E126" s="223">
        <f>(IF((VLOOKUP(Table10[[#This Row],[SKU]],'All Skus'!$A:$AC,2,FALSE))="Martin",(VLOOKUP(Table10[[#This Row],[SKU]],'All Skus'!$A:$AC,6,FALSE)),""))</f>
        <v>0</v>
      </c>
      <c r="F126" s="155">
        <f>(IF((VLOOKUP(Table10[[#This Row],[SKU]],'All Skus'!$A:$AC,2,FALSE))="Martin",(VLOOKUP(Table10[[#This Row],[SKU]],'All Skus'!$A:$AC,7,FALSE)),""))</f>
        <v>0</v>
      </c>
      <c r="G126" s="223" t="str">
        <f>(IF((VLOOKUP(Table10[[#This Row],[SKU]],'All Skus'!$A:$AC,2,FALSE))="Martin",(VLOOKUP(Table10[[#This Row],[SKU]],'All Skus'!$A:$AC,8,FALSE)),""))</f>
        <v>JEM Pro-Fog Fluid, Extra Quick Dissipating, 220 l</v>
      </c>
      <c r="H126" s="223" t="str">
        <f>(IF((VLOOKUP(Table10[[#This Row],[SKU]],'All Skus'!$A:$AC,2,FALSE))="Martin",(VLOOKUP(Table10[[#This Row],[SKU]],'All Skus'!$A:$AC,9,FALSE)),""))</f>
        <v>JEM Pro-Fog Fluid, Extra Quick Dissipating, 220 l</v>
      </c>
      <c r="I126" s="225">
        <f>(IF((VLOOKUP(Table10[[#This Row],[SKU]],'All Skus'!$A:$AC,2,FALSE))="Martin",(VLOOKUP(Table10[[#This Row],[SKU]],'All Skus'!$A:$AC,10,FALSE)),""))</f>
        <v>1027.58</v>
      </c>
      <c r="J126" s="226">
        <f>(IF((VLOOKUP(Table10[[#This Row],[SKU]],'All Skus'!$A:$AC,2,FALSE))="Martin",(VLOOKUP(Table10[[#This Row],[SKU]],'All Skus'!$A:$AC,11,FALSE)),""))</f>
        <v>1027.58</v>
      </c>
      <c r="K126" s="224">
        <f>(IF((VLOOKUP(Table10[[#This Row],[SKU]],'All Skus'!$A:$AC,2,FALSE))="Martin",(VLOOKUP(Table10[[#This Row],[SKU]],'All Skus'!$A:$AC,15,FALSE)),""))</f>
        <v>0</v>
      </c>
      <c r="L126" s="224">
        <f>(IF((VLOOKUP(Table10[[#This Row],[SKU]],'All Skus'!$A:$AC,2,FALSE))="Martin",(VLOOKUP(Table10[[#This Row],[SKU]],'All Skus'!$A:$AC,16,FALSE)),""))</f>
        <v>688705003269</v>
      </c>
      <c r="M126" s="224">
        <f>(IF((VLOOKUP(Table10[[#This Row],[SKU]],'All Skus'!$A:$AC,2,FALSE))="Martin",(VLOOKUP(Table10[[#This Row],[SKU]],'All Skus'!$A:$AC,17,FALSE)),""))</f>
        <v>0</v>
      </c>
      <c r="N126" s="227">
        <f>(IF((VLOOKUP(Table10[[#This Row],[SKU]],'All Skus'!$A:$AC,2,FALSE))="Martin",(VLOOKUP(Table10[[#This Row],[SKU]],'All Skus'!$A:$AC,18,FALSE)),""))</f>
        <v>23.7</v>
      </c>
      <c r="O126" s="227">
        <f>(IF((VLOOKUP(Table10[[#This Row],[SKU]],'All Skus'!$A:$AC,2,FALSE))="Martin",(VLOOKUP(Table10[[#This Row],[SKU]],'All Skus'!$A:$AC,19,FALSE)),""))</f>
        <v>23.7</v>
      </c>
      <c r="P126" s="227">
        <f>(IF((VLOOKUP(Table10[[#This Row],[SKU]],'All Skus'!$A:$AC,2,FALSE))="Martin",(VLOOKUP(Table10[[#This Row],[SKU]],'All Skus'!$A:$AC,20,FALSE)),""))</f>
        <v>0</v>
      </c>
      <c r="Q126" s="227">
        <f>(IF((VLOOKUP(Table10[[#This Row],[SKU]],'All Skus'!$A:$AC,2,FALSE))="Martin",(VLOOKUP(Table10[[#This Row],[SKU]],'All Skus'!$A:$AC,21,FALSE)),""))</f>
        <v>0</v>
      </c>
      <c r="R126" s="224" t="str">
        <f>(IF((VLOOKUP(Table10[[#This Row],[SKU]],'All Skus'!$A:$AC,2,FALSE))="Martin",(VLOOKUP(Table10[[#This Row],[SKU]],'All Skus'!$A:$AC,22,FALSE)),""))</f>
        <v>GB</v>
      </c>
      <c r="S126" s="223">
        <f>(IF((VLOOKUP(Table10[[#This Row],[SKU]],'All Skus'!$A:$AC,2,FALSE))="Martin",(VLOOKUP(Table10[[#This Row],[SKU]],'All Skus'!$A:$AC,23,FALSE)),""))</f>
        <v>0</v>
      </c>
      <c r="T126" s="212" t="str">
        <f>HYPERLINK((IF((VLOOKUP(Table10[[#This Row],[SKU]],'All Skus'!$A:$AC,2,FALSE))="Martin",(VLOOKUP(Table10[[#This Row],[SKU]],'All Skus'!$A:$AC,24,FALSE)),"")))</f>
        <v>http://www.martin.com/en-us/product-details/jem-pro-fog-fluid--extra-quick-dissipating</v>
      </c>
      <c r="U126" s="228">
        <v>124</v>
      </c>
    </row>
    <row r="127" spans="1:21" hidden="1">
      <c r="A127" s="115" t="s">
        <v>1981</v>
      </c>
      <c r="B127" s="224">
        <f>(IF((VLOOKUP(Table10[[#This Row],[SKU]],'All Skus'!$A:$AC,2,FALSE))="Martin",(VLOOKUP(Table10[[#This Row],[SKU]],'All Skus'!$A:$AC,3,FALSE)),""))</f>
        <v>0</v>
      </c>
      <c r="C127" s="223">
        <f>(IF((VLOOKUP(Table10[[#This Row],[SKU]],'All Skus'!$A:$AC,2,FALSE))="Martin",(VLOOKUP(Table10[[#This Row],[SKU]],'All Skus'!$A:$AC,4,FALSE)),""))</f>
        <v>0</v>
      </c>
      <c r="D127" s="224">
        <f>(IF((VLOOKUP(Table10[[#This Row],[SKU]],'All Skus'!$A:$AC,2,FALSE))="Martin",(VLOOKUP(Table10[[#This Row],[SKU]],'All Skus'!$A:$AC,5,FALSE)),""))</f>
        <v>0</v>
      </c>
      <c r="E127" s="223">
        <f>(IF((VLOOKUP(Table10[[#This Row],[SKU]],'All Skus'!$A:$AC,2,FALSE))="Martin",(VLOOKUP(Table10[[#This Row],[SKU]],'All Skus'!$A:$AC,6,FALSE)),""))</f>
        <v>0</v>
      </c>
      <c r="F127" s="155">
        <f>(IF((VLOOKUP(Table10[[#This Row],[SKU]],'All Skus'!$A:$AC,2,FALSE))="Martin",(VLOOKUP(Table10[[#This Row],[SKU]],'All Skus'!$A:$AC,7,FALSE)),""))</f>
        <v>0</v>
      </c>
      <c r="G127" s="223">
        <f>(IF((VLOOKUP(Table10[[#This Row],[SKU]],'All Skus'!$A:$AC,2,FALSE))="Martin",(VLOOKUP(Table10[[#This Row],[SKU]],'All Skus'!$A:$AC,8,FALSE)),""))</f>
        <v>0</v>
      </c>
      <c r="H127" s="223">
        <f>(IF((VLOOKUP(Table10[[#This Row],[SKU]],'All Skus'!$A:$AC,2,FALSE))="Martin",(VLOOKUP(Table10[[#This Row],[SKU]],'All Skus'!$A:$AC,9,FALSE)),""))</f>
        <v>0</v>
      </c>
      <c r="I127" s="225">
        <f>(IF((VLOOKUP(Table10[[#This Row],[SKU]],'All Skus'!$A:$AC,2,FALSE))="Martin",(VLOOKUP(Table10[[#This Row],[SKU]],'All Skus'!$A:$AC,10,FALSE)),""))</f>
        <v>0</v>
      </c>
      <c r="J127" s="226">
        <f>(IF((VLOOKUP(Table10[[#This Row],[SKU]],'All Skus'!$A:$AC,2,FALSE))="Martin",(VLOOKUP(Table10[[#This Row],[SKU]],'All Skus'!$A:$AC,11,FALSE)),""))</f>
        <v>0</v>
      </c>
      <c r="K127" s="224">
        <f>(IF((VLOOKUP(Table10[[#This Row],[SKU]],'All Skus'!$A:$AC,2,FALSE))="Martin",(VLOOKUP(Table10[[#This Row],[SKU]],'All Skus'!$A:$AC,15,FALSE)),""))</f>
        <v>0</v>
      </c>
      <c r="L127" s="224">
        <f>(IF((VLOOKUP(Table10[[#This Row],[SKU]],'All Skus'!$A:$AC,2,FALSE))="Martin",(VLOOKUP(Table10[[#This Row],[SKU]],'All Skus'!$A:$AC,16,FALSE)),""))</f>
        <v>0</v>
      </c>
      <c r="M127" s="224">
        <f>(IF((VLOOKUP(Table10[[#This Row],[SKU]],'All Skus'!$A:$AC,2,FALSE))="Martin",(VLOOKUP(Table10[[#This Row],[SKU]],'All Skus'!$A:$AC,17,FALSE)),""))</f>
        <v>0</v>
      </c>
      <c r="N127" s="227">
        <f>(IF((VLOOKUP(Table10[[#This Row],[SKU]],'All Skus'!$A:$AC,2,FALSE))="Martin",(VLOOKUP(Table10[[#This Row],[SKU]],'All Skus'!$A:$AC,18,FALSE)),""))</f>
        <v>0</v>
      </c>
      <c r="O127" s="227">
        <f>(IF((VLOOKUP(Table10[[#This Row],[SKU]],'All Skus'!$A:$AC,2,FALSE))="Martin",(VLOOKUP(Table10[[#This Row],[SKU]],'All Skus'!$A:$AC,19,FALSE)),""))</f>
        <v>0</v>
      </c>
      <c r="P127" s="227">
        <f>(IF((VLOOKUP(Table10[[#This Row],[SKU]],'All Skus'!$A:$AC,2,FALSE))="Martin",(VLOOKUP(Table10[[#This Row],[SKU]],'All Skus'!$A:$AC,20,FALSE)),""))</f>
        <v>0</v>
      </c>
      <c r="Q127" s="227">
        <f>(IF((VLOOKUP(Table10[[#This Row],[SKU]],'All Skus'!$A:$AC,2,FALSE))="Martin",(VLOOKUP(Table10[[#This Row],[SKU]],'All Skus'!$A:$AC,21,FALSE)),""))</f>
        <v>0</v>
      </c>
      <c r="R127" s="224">
        <f>(IF((VLOOKUP(Table10[[#This Row],[SKU]],'All Skus'!$A:$AC,2,FALSE))="Martin",(VLOOKUP(Table10[[#This Row],[SKU]],'All Skus'!$A:$AC,22,FALSE)),""))</f>
        <v>0</v>
      </c>
      <c r="S127" s="223">
        <f>(IF((VLOOKUP(Table10[[#This Row],[SKU]],'All Skus'!$A:$AC,2,FALSE))="Martin",(VLOOKUP(Table10[[#This Row],[SKU]],'All Skus'!$A:$AC,23,FALSE)),""))</f>
        <v>0</v>
      </c>
      <c r="T127" s="212" t="str">
        <f>HYPERLINK((IF((VLOOKUP(Table10[[#This Row],[SKU]],'All Skus'!$A:$AC,2,FALSE))="Martin",(VLOOKUP(Table10[[#This Row],[SKU]],'All Skus'!$A:$AC,24,FALSE)),"")))</f>
        <v/>
      </c>
      <c r="U127" s="228">
        <v>125</v>
      </c>
    </row>
    <row r="128" spans="1:21">
      <c r="A128" s="112">
        <v>97120910</v>
      </c>
      <c r="B128" s="224" t="str">
        <f>(IF((VLOOKUP(Table10[[#This Row],[SKU]],'All Skus'!$A:$AC,2,FALSE))="Martin",(VLOOKUP(Table10[[#This Row],[SKU]],'All Skus'!$A:$AC,3,FALSE)),""))</f>
        <v>Atmospheric Effects</v>
      </c>
      <c r="C128" s="223" t="str">
        <f>(IF((VLOOKUP(Table10[[#This Row],[SKU]],'All Skus'!$A:$AC,2,FALSE))="Martin",(VLOOKUP(Table10[[#This Row],[SKU]],'All Skus'!$A:$AC,4,FALSE)),""))</f>
        <v>JEM Pro-Fog Fluid, Quick Dissipating, 9.5 l</v>
      </c>
      <c r="D128" s="224" t="str">
        <f>(IF((VLOOKUP(Table10[[#This Row],[SKU]],'All Skus'!$A:$AC,2,FALSE))="Martin",(VLOOKUP(Table10[[#This Row],[SKU]],'All Skus'!$A:$AC,5,FALSE)),""))</f>
        <v>MAR-FLUID</v>
      </c>
      <c r="E128" s="223">
        <f>(IF((VLOOKUP(Table10[[#This Row],[SKU]],'All Skus'!$A:$AC,2,FALSE))="Martin",(VLOOKUP(Table10[[#This Row],[SKU]],'All Skus'!$A:$AC,6,FALSE)),""))</f>
        <v>0</v>
      </c>
      <c r="F128" s="155" t="str">
        <f>(IF((VLOOKUP(Table10[[#This Row],[SKU]],'All Skus'!$A:$AC,2,FALSE))="Martin",(VLOOKUP(Table10[[#This Row],[SKU]],'All Skus'!$A:$AC,7,FALSE)),""))</f>
        <v>EOL soon – very limited availability</v>
      </c>
      <c r="G128" s="223" t="str">
        <f>(IF((VLOOKUP(Table10[[#This Row],[SKU]],'All Skus'!$A:$AC,2,FALSE))="Martin",(VLOOKUP(Table10[[#This Row],[SKU]],'All Skus'!$A:$AC,8,FALSE)),""))</f>
        <v>JEM Pro-Fog Fluid, Quick Dissipating, 9.5 l</v>
      </c>
      <c r="H128" s="223" t="str">
        <f>(IF((VLOOKUP(Table10[[#This Row],[SKU]],'All Skus'!$A:$AC,2,FALSE))="Martin",(VLOOKUP(Table10[[#This Row],[SKU]],'All Skus'!$A:$AC,9,FALSE)),""))</f>
        <v>JEM Pro-Fog Fluid, Quick Dissipating, 9.5 l</v>
      </c>
      <c r="I128" s="225">
        <f>(IF((VLOOKUP(Table10[[#This Row],[SKU]],'All Skus'!$A:$AC,2,FALSE))="Martin",(VLOOKUP(Table10[[#This Row],[SKU]],'All Skus'!$A:$AC,10,FALSE)),""))</f>
        <v>92.04</v>
      </c>
      <c r="J128" s="226">
        <f>(IF((VLOOKUP(Table10[[#This Row],[SKU]],'All Skus'!$A:$AC,2,FALSE))="Martin",(VLOOKUP(Table10[[#This Row],[SKU]],'All Skus'!$A:$AC,11,FALSE)),""))</f>
        <v>92.04</v>
      </c>
      <c r="K128" s="224">
        <f>(IF((VLOOKUP(Table10[[#This Row],[SKU]],'All Skus'!$A:$AC,2,FALSE))="Martin",(VLOOKUP(Table10[[#This Row],[SKU]],'All Skus'!$A:$AC,15,FALSE)),""))</f>
        <v>0</v>
      </c>
      <c r="L128" s="224">
        <f>(IF((VLOOKUP(Table10[[#This Row],[SKU]],'All Skus'!$A:$AC,2,FALSE))="Martin",(VLOOKUP(Table10[[#This Row],[SKU]],'All Skus'!$A:$AC,16,FALSE)),""))</f>
        <v>688705003276</v>
      </c>
      <c r="M128" s="224">
        <f>(IF((VLOOKUP(Table10[[#This Row],[SKU]],'All Skus'!$A:$AC,2,FALSE))="Martin",(VLOOKUP(Table10[[#This Row],[SKU]],'All Skus'!$A:$AC,17,FALSE)),""))</f>
        <v>0</v>
      </c>
      <c r="N128" s="227">
        <f>(IF((VLOOKUP(Table10[[#This Row],[SKU]],'All Skus'!$A:$AC,2,FALSE))="Martin",(VLOOKUP(Table10[[#This Row],[SKU]],'All Skus'!$A:$AC,18,FALSE)),""))</f>
        <v>10.3</v>
      </c>
      <c r="O128" s="227">
        <f>(IF((VLOOKUP(Table10[[#This Row],[SKU]],'All Skus'!$A:$AC,2,FALSE))="Martin",(VLOOKUP(Table10[[#This Row],[SKU]],'All Skus'!$A:$AC,19,FALSE)),""))</f>
        <v>10.3</v>
      </c>
      <c r="P128" s="227">
        <f>(IF((VLOOKUP(Table10[[#This Row],[SKU]],'All Skus'!$A:$AC,2,FALSE))="Martin",(VLOOKUP(Table10[[#This Row],[SKU]],'All Skus'!$A:$AC,20,FALSE)),""))</f>
        <v>0</v>
      </c>
      <c r="Q128" s="227">
        <f>(IF((VLOOKUP(Table10[[#This Row],[SKU]],'All Skus'!$A:$AC,2,FALSE))="Martin",(VLOOKUP(Table10[[#This Row],[SKU]],'All Skus'!$A:$AC,21,FALSE)),""))</f>
        <v>0</v>
      </c>
      <c r="R128" s="224" t="str">
        <f>(IF((VLOOKUP(Table10[[#This Row],[SKU]],'All Skus'!$A:$AC,2,FALSE))="Martin",(VLOOKUP(Table10[[#This Row],[SKU]],'All Skus'!$A:$AC,22,FALSE)),""))</f>
        <v>GB</v>
      </c>
      <c r="S128" s="223">
        <f>(IF((VLOOKUP(Table10[[#This Row],[SKU]],'All Skus'!$A:$AC,2,FALSE))="Martin",(VLOOKUP(Table10[[#This Row],[SKU]],'All Skus'!$A:$AC,23,FALSE)),""))</f>
        <v>0</v>
      </c>
      <c r="T128" s="212" t="str">
        <f>HYPERLINK((IF((VLOOKUP(Table10[[#This Row],[SKU]],'All Skus'!$A:$AC,2,FALSE))="Martin",(VLOOKUP(Table10[[#This Row],[SKU]],'All Skus'!$A:$AC,24,FALSE)),"")))</f>
        <v/>
      </c>
      <c r="U128" s="228">
        <v>126</v>
      </c>
    </row>
    <row r="129" spans="1:21">
      <c r="A129" s="112">
        <v>97120912</v>
      </c>
      <c r="B129" s="224" t="str">
        <f>(IF((VLOOKUP(Table10[[#This Row],[SKU]],'All Skus'!$A:$AC,2,FALSE))="Martin",(VLOOKUP(Table10[[#This Row],[SKU]],'All Skus'!$A:$AC,3,FALSE)),""))</f>
        <v>Atmospheric Effects</v>
      </c>
      <c r="C129" s="223" t="str">
        <f>(IF((VLOOKUP(Table10[[#This Row],[SKU]],'All Skus'!$A:$AC,2,FALSE))="Martin",(VLOOKUP(Table10[[#This Row],[SKU]],'All Skus'!$A:$AC,4,FALSE)),""))</f>
        <v>JEM Pro-Fog Fluid, Quick Dissipating, 4x 5 l</v>
      </c>
      <c r="D129" s="224" t="str">
        <f>(IF((VLOOKUP(Table10[[#This Row],[SKU]],'All Skus'!$A:$AC,2,FALSE))="Martin",(VLOOKUP(Table10[[#This Row],[SKU]],'All Skus'!$A:$AC,5,FALSE)),""))</f>
        <v>MAR-FLUID</v>
      </c>
      <c r="E129" s="223">
        <f>(IF((VLOOKUP(Table10[[#This Row],[SKU]],'All Skus'!$A:$AC,2,FALSE))="Martin",(VLOOKUP(Table10[[#This Row],[SKU]],'All Skus'!$A:$AC,6,FALSE)),""))</f>
        <v>0</v>
      </c>
      <c r="F129" s="155">
        <f>(IF((VLOOKUP(Table10[[#This Row],[SKU]],'All Skus'!$A:$AC,2,FALSE))="Martin",(VLOOKUP(Table10[[#This Row],[SKU]],'All Skus'!$A:$AC,7,FALSE)),""))</f>
        <v>0</v>
      </c>
      <c r="G129" s="223" t="str">
        <f>(IF((VLOOKUP(Table10[[#This Row],[SKU]],'All Skus'!$A:$AC,2,FALSE))="Martin",(VLOOKUP(Table10[[#This Row],[SKU]],'All Skus'!$A:$AC,8,FALSE)),""))</f>
        <v>JEM Pro-Fog Fluid, Quick Dissipating, 4x 5 l</v>
      </c>
      <c r="H129" s="223" t="str">
        <f>(IF((VLOOKUP(Table10[[#This Row],[SKU]],'All Skus'!$A:$AC,2,FALSE))="Martin",(VLOOKUP(Table10[[#This Row],[SKU]],'All Skus'!$A:$AC,9,FALSE)),""))</f>
        <v>JEM Pro-Fog Fluid, Quick Dissipating, 4x 5 l</v>
      </c>
      <c r="I129" s="225">
        <f>(IF((VLOOKUP(Table10[[#This Row],[SKU]],'All Skus'!$A:$AC,2,FALSE))="Martin",(VLOOKUP(Table10[[#This Row],[SKU]],'All Skus'!$A:$AC,10,FALSE)),""))</f>
        <v>117.02</v>
      </c>
      <c r="J129" s="226">
        <f>(IF((VLOOKUP(Table10[[#This Row],[SKU]],'All Skus'!$A:$AC,2,FALSE))="Martin",(VLOOKUP(Table10[[#This Row],[SKU]],'All Skus'!$A:$AC,11,FALSE)),""))</f>
        <v>117.02</v>
      </c>
      <c r="K129" s="224">
        <f>(IF((VLOOKUP(Table10[[#This Row],[SKU]],'All Skus'!$A:$AC,2,FALSE))="Martin",(VLOOKUP(Table10[[#This Row],[SKU]],'All Skus'!$A:$AC,15,FALSE)),""))</f>
        <v>0</v>
      </c>
      <c r="L129" s="224">
        <f>(IF((VLOOKUP(Table10[[#This Row],[SKU]],'All Skus'!$A:$AC,2,FALSE))="Martin",(VLOOKUP(Table10[[#This Row],[SKU]],'All Skus'!$A:$AC,16,FALSE)),""))</f>
        <v>688705003290</v>
      </c>
      <c r="M129" s="224">
        <f>(IF((VLOOKUP(Table10[[#This Row],[SKU]],'All Skus'!$A:$AC,2,FALSE))="Martin",(VLOOKUP(Table10[[#This Row],[SKU]],'All Skus'!$A:$AC,17,FALSE)),""))</f>
        <v>0</v>
      </c>
      <c r="N129" s="227">
        <f>(IF((VLOOKUP(Table10[[#This Row],[SKU]],'All Skus'!$A:$AC,2,FALSE))="Martin",(VLOOKUP(Table10[[#This Row],[SKU]],'All Skus'!$A:$AC,18,FALSE)),""))</f>
        <v>0</v>
      </c>
      <c r="O129" s="227">
        <f>(IF((VLOOKUP(Table10[[#This Row],[SKU]],'All Skus'!$A:$AC,2,FALSE))="Martin",(VLOOKUP(Table10[[#This Row],[SKU]],'All Skus'!$A:$AC,19,FALSE)),""))</f>
        <v>11.5</v>
      </c>
      <c r="P129" s="227">
        <f>(IF((VLOOKUP(Table10[[#This Row],[SKU]],'All Skus'!$A:$AC,2,FALSE))="Martin",(VLOOKUP(Table10[[#This Row],[SKU]],'All Skus'!$A:$AC,20,FALSE)),""))</f>
        <v>0</v>
      </c>
      <c r="Q129" s="227">
        <f>(IF((VLOOKUP(Table10[[#This Row],[SKU]],'All Skus'!$A:$AC,2,FALSE))="Martin",(VLOOKUP(Table10[[#This Row],[SKU]],'All Skus'!$A:$AC,21,FALSE)),""))</f>
        <v>0</v>
      </c>
      <c r="R129" s="224" t="str">
        <f>(IF((VLOOKUP(Table10[[#This Row],[SKU]],'All Skus'!$A:$AC,2,FALSE))="Martin",(VLOOKUP(Table10[[#This Row],[SKU]],'All Skus'!$A:$AC,22,FALSE)),""))</f>
        <v>GB</v>
      </c>
      <c r="S129" s="223">
        <f>(IF((VLOOKUP(Table10[[#This Row],[SKU]],'All Skus'!$A:$AC,2,FALSE))="Martin",(VLOOKUP(Table10[[#This Row],[SKU]],'All Skus'!$A:$AC,23,FALSE)),""))</f>
        <v>0</v>
      </c>
      <c r="T129" s="212" t="str">
        <f>HYPERLINK((IF((VLOOKUP(Table10[[#This Row],[SKU]],'All Skus'!$A:$AC,2,FALSE))="Martin",(VLOOKUP(Table10[[#This Row],[SKU]],'All Skus'!$A:$AC,24,FALSE)),"")))</f>
        <v>http://www.martin.com/en-us/product-details/jem-pro-fog-fluid--quick-dissipating</v>
      </c>
      <c r="U129" s="228">
        <v>127</v>
      </c>
    </row>
    <row r="130" spans="1:21" hidden="1">
      <c r="A130" s="115" t="s">
        <v>1982</v>
      </c>
      <c r="B130" s="224">
        <f>(IF((VLOOKUP(Table10[[#This Row],[SKU]],'All Skus'!$A:$AC,2,FALSE))="Martin",(VLOOKUP(Table10[[#This Row],[SKU]],'All Skus'!$A:$AC,3,FALSE)),""))</f>
        <v>0</v>
      </c>
      <c r="C130" s="223">
        <f>(IF((VLOOKUP(Table10[[#This Row],[SKU]],'All Skus'!$A:$AC,2,FALSE))="Martin",(VLOOKUP(Table10[[#This Row],[SKU]],'All Skus'!$A:$AC,4,FALSE)),""))</f>
        <v>0</v>
      </c>
      <c r="D130" s="224">
        <f>(IF((VLOOKUP(Table10[[#This Row],[SKU]],'All Skus'!$A:$AC,2,FALSE))="Martin",(VLOOKUP(Table10[[#This Row],[SKU]],'All Skus'!$A:$AC,5,FALSE)),""))</f>
        <v>0</v>
      </c>
      <c r="E130" s="223">
        <f>(IF((VLOOKUP(Table10[[#This Row],[SKU]],'All Skus'!$A:$AC,2,FALSE))="Martin",(VLOOKUP(Table10[[#This Row],[SKU]],'All Skus'!$A:$AC,6,FALSE)),""))</f>
        <v>0</v>
      </c>
      <c r="F130" s="155">
        <f>(IF((VLOOKUP(Table10[[#This Row],[SKU]],'All Skus'!$A:$AC,2,FALSE))="Martin",(VLOOKUP(Table10[[#This Row],[SKU]],'All Skus'!$A:$AC,7,FALSE)),""))</f>
        <v>0</v>
      </c>
      <c r="G130" s="223">
        <f>(IF((VLOOKUP(Table10[[#This Row],[SKU]],'All Skus'!$A:$AC,2,FALSE))="Martin",(VLOOKUP(Table10[[#This Row],[SKU]],'All Skus'!$A:$AC,8,FALSE)),""))</f>
        <v>0</v>
      </c>
      <c r="H130" s="223">
        <f>(IF((VLOOKUP(Table10[[#This Row],[SKU]],'All Skus'!$A:$AC,2,FALSE))="Martin",(VLOOKUP(Table10[[#This Row],[SKU]],'All Skus'!$A:$AC,9,FALSE)),""))</f>
        <v>0</v>
      </c>
      <c r="I130" s="225">
        <f>(IF((VLOOKUP(Table10[[#This Row],[SKU]],'All Skus'!$A:$AC,2,FALSE))="Martin",(VLOOKUP(Table10[[#This Row],[SKU]],'All Skus'!$A:$AC,10,FALSE)),""))</f>
        <v>0</v>
      </c>
      <c r="J130" s="226">
        <f>(IF((VLOOKUP(Table10[[#This Row],[SKU]],'All Skus'!$A:$AC,2,FALSE))="Martin",(VLOOKUP(Table10[[#This Row],[SKU]],'All Skus'!$A:$AC,11,FALSE)),""))</f>
        <v>0</v>
      </c>
      <c r="K130" s="224">
        <f>(IF((VLOOKUP(Table10[[#This Row],[SKU]],'All Skus'!$A:$AC,2,FALSE))="Martin",(VLOOKUP(Table10[[#This Row],[SKU]],'All Skus'!$A:$AC,15,FALSE)),""))</f>
        <v>0</v>
      </c>
      <c r="L130" s="224">
        <f>(IF((VLOOKUP(Table10[[#This Row],[SKU]],'All Skus'!$A:$AC,2,FALSE))="Martin",(VLOOKUP(Table10[[#This Row],[SKU]],'All Skus'!$A:$AC,16,FALSE)),""))</f>
        <v>0</v>
      </c>
      <c r="M130" s="224">
        <f>(IF((VLOOKUP(Table10[[#This Row],[SKU]],'All Skus'!$A:$AC,2,FALSE))="Martin",(VLOOKUP(Table10[[#This Row],[SKU]],'All Skus'!$A:$AC,17,FALSE)),""))</f>
        <v>0</v>
      </c>
      <c r="N130" s="227">
        <f>(IF((VLOOKUP(Table10[[#This Row],[SKU]],'All Skus'!$A:$AC,2,FALSE))="Martin",(VLOOKUP(Table10[[#This Row],[SKU]],'All Skus'!$A:$AC,18,FALSE)),""))</f>
        <v>0</v>
      </c>
      <c r="O130" s="227">
        <f>(IF((VLOOKUP(Table10[[#This Row],[SKU]],'All Skus'!$A:$AC,2,FALSE))="Martin",(VLOOKUP(Table10[[#This Row],[SKU]],'All Skus'!$A:$AC,19,FALSE)),""))</f>
        <v>0</v>
      </c>
      <c r="P130" s="227">
        <f>(IF((VLOOKUP(Table10[[#This Row],[SKU]],'All Skus'!$A:$AC,2,FALSE))="Martin",(VLOOKUP(Table10[[#This Row],[SKU]],'All Skus'!$A:$AC,20,FALSE)),""))</f>
        <v>0</v>
      </c>
      <c r="Q130" s="227">
        <f>(IF((VLOOKUP(Table10[[#This Row],[SKU]],'All Skus'!$A:$AC,2,FALSE))="Martin",(VLOOKUP(Table10[[#This Row],[SKU]],'All Skus'!$A:$AC,21,FALSE)),""))</f>
        <v>0</v>
      </c>
      <c r="R130" s="224">
        <f>(IF((VLOOKUP(Table10[[#This Row],[SKU]],'All Skus'!$A:$AC,2,FALSE))="Martin",(VLOOKUP(Table10[[#This Row],[SKU]],'All Skus'!$A:$AC,22,FALSE)),""))</f>
        <v>0</v>
      </c>
      <c r="S130" s="223">
        <f>(IF((VLOOKUP(Table10[[#This Row],[SKU]],'All Skus'!$A:$AC,2,FALSE))="Martin",(VLOOKUP(Table10[[#This Row],[SKU]],'All Skus'!$A:$AC,23,FALSE)),""))</f>
        <v>0</v>
      </c>
      <c r="T130" s="212" t="str">
        <f>HYPERLINK((IF((VLOOKUP(Table10[[#This Row],[SKU]],'All Skus'!$A:$AC,2,FALSE))="Martin",(VLOOKUP(Table10[[#This Row],[SKU]],'All Skus'!$A:$AC,24,FALSE)),"")))</f>
        <v/>
      </c>
      <c r="U130" s="228">
        <v>128</v>
      </c>
    </row>
    <row r="131" spans="1:21">
      <c r="A131" s="112">
        <v>97120922</v>
      </c>
      <c r="B131" s="224" t="str">
        <f>(IF((VLOOKUP(Table10[[#This Row],[SKU]],'All Skus'!$A:$AC,2,FALSE))="Martin",(VLOOKUP(Table10[[#This Row],[SKU]],'All Skus'!$A:$AC,3,FALSE)),""))</f>
        <v>Atmospheric Effects</v>
      </c>
      <c r="C131" s="223" t="str">
        <f>(IF((VLOOKUP(Table10[[#This Row],[SKU]],'All Skus'!$A:$AC,2,FALSE))="Martin",(VLOOKUP(Table10[[#This Row],[SKU]],'All Skus'!$A:$AC,4,FALSE)),""))</f>
        <v>JEM Pro-Fog Fluid, 4x 5 l</v>
      </c>
      <c r="D131" s="224" t="str">
        <f>(IF((VLOOKUP(Table10[[#This Row],[SKU]],'All Skus'!$A:$AC,2,FALSE))="Martin",(VLOOKUP(Table10[[#This Row],[SKU]],'All Skus'!$A:$AC,5,FALSE)),""))</f>
        <v>MAR-FLUID</v>
      </c>
      <c r="E131" s="223">
        <f>(IF((VLOOKUP(Table10[[#This Row],[SKU]],'All Skus'!$A:$AC,2,FALSE))="Martin",(VLOOKUP(Table10[[#This Row],[SKU]],'All Skus'!$A:$AC,6,FALSE)),""))</f>
        <v>0</v>
      </c>
      <c r="F131" s="155">
        <f>(IF((VLOOKUP(Table10[[#This Row],[SKU]],'All Skus'!$A:$AC,2,FALSE))="Martin",(VLOOKUP(Table10[[#This Row],[SKU]],'All Skus'!$A:$AC,7,FALSE)),""))</f>
        <v>0</v>
      </c>
      <c r="G131" s="223" t="str">
        <f>(IF((VLOOKUP(Table10[[#This Row],[SKU]],'All Skus'!$A:$AC,2,FALSE))="Martin",(VLOOKUP(Table10[[#This Row],[SKU]],'All Skus'!$A:$AC,8,FALSE)),""))</f>
        <v>JEM Pro-Fog Fluid, 4x 5 l</v>
      </c>
      <c r="H131" s="223" t="str">
        <f>(IF((VLOOKUP(Table10[[#This Row],[SKU]],'All Skus'!$A:$AC,2,FALSE))="Martin",(VLOOKUP(Table10[[#This Row],[SKU]],'All Skus'!$A:$AC,9,FALSE)),""))</f>
        <v>JEM Pro-Fog Fluid, 4x 5 l</v>
      </c>
      <c r="I131" s="225">
        <f>(IF((VLOOKUP(Table10[[#This Row],[SKU]],'All Skus'!$A:$AC,2,FALSE))="Martin",(VLOOKUP(Table10[[#This Row],[SKU]],'All Skus'!$A:$AC,10,FALSE)),""))</f>
        <v>139.37</v>
      </c>
      <c r="J131" s="226">
        <f>(IF((VLOOKUP(Table10[[#This Row],[SKU]],'All Skus'!$A:$AC,2,FALSE))="Martin",(VLOOKUP(Table10[[#This Row],[SKU]],'All Skus'!$A:$AC,11,FALSE)),""))</f>
        <v>139.37</v>
      </c>
      <c r="K131" s="224">
        <f>(IF((VLOOKUP(Table10[[#This Row],[SKU]],'All Skus'!$A:$AC,2,FALSE))="Martin",(VLOOKUP(Table10[[#This Row],[SKU]],'All Skus'!$A:$AC,15,FALSE)),""))</f>
        <v>0</v>
      </c>
      <c r="L131" s="224">
        <f>(IF((VLOOKUP(Table10[[#This Row],[SKU]],'All Skus'!$A:$AC,2,FALSE))="Martin",(VLOOKUP(Table10[[#This Row],[SKU]],'All Skus'!$A:$AC,16,FALSE)),""))</f>
        <v>688705003344</v>
      </c>
      <c r="M131" s="224">
        <f>(IF((VLOOKUP(Table10[[#This Row],[SKU]],'All Skus'!$A:$AC,2,FALSE))="Martin",(VLOOKUP(Table10[[#This Row],[SKU]],'All Skus'!$A:$AC,17,FALSE)),""))</f>
        <v>0</v>
      </c>
      <c r="N131" s="227">
        <f>(IF((VLOOKUP(Table10[[#This Row],[SKU]],'All Skus'!$A:$AC,2,FALSE))="Martin",(VLOOKUP(Table10[[#This Row],[SKU]],'All Skus'!$A:$AC,18,FALSE)),""))</f>
        <v>0</v>
      </c>
      <c r="O131" s="227">
        <f>(IF((VLOOKUP(Table10[[#This Row],[SKU]],'All Skus'!$A:$AC,2,FALSE))="Martin",(VLOOKUP(Table10[[#This Row],[SKU]],'All Skus'!$A:$AC,19,FALSE)),""))</f>
        <v>11.5</v>
      </c>
      <c r="P131" s="227">
        <f>(IF((VLOOKUP(Table10[[#This Row],[SKU]],'All Skus'!$A:$AC,2,FALSE))="Martin",(VLOOKUP(Table10[[#This Row],[SKU]],'All Skus'!$A:$AC,20,FALSE)),""))</f>
        <v>0</v>
      </c>
      <c r="Q131" s="227">
        <f>(IF((VLOOKUP(Table10[[#This Row],[SKU]],'All Skus'!$A:$AC,2,FALSE))="Martin",(VLOOKUP(Table10[[#This Row],[SKU]],'All Skus'!$A:$AC,21,FALSE)),""))</f>
        <v>0</v>
      </c>
      <c r="R131" s="224" t="str">
        <f>(IF((VLOOKUP(Table10[[#This Row],[SKU]],'All Skus'!$A:$AC,2,FALSE))="Martin",(VLOOKUP(Table10[[#This Row],[SKU]],'All Skus'!$A:$AC,22,FALSE)),""))</f>
        <v>GB</v>
      </c>
      <c r="S131" s="223">
        <f>(IF((VLOOKUP(Table10[[#This Row],[SKU]],'All Skus'!$A:$AC,2,FALSE))="Martin",(VLOOKUP(Table10[[#This Row],[SKU]],'All Skus'!$A:$AC,23,FALSE)),""))</f>
        <v>0</v>
      </c>
      <c r="T131" s="212" t="str">
        <f>HYPERLINK((IF((VLOOKUP(Table10[[#This Row],[SKU]],'All Skus'!$A:$AC,2,FALSE))="Martin",(VLOOKUP(Table10[[#This Row],[SKU]],'All Skus'!$A:$AC,24,FALSE)),"")))</f>
        <v>http://www.martin.com/en-us/product-details/jem-pro-fog-fluid</v>
      </c>
      <c r="U131" s="228">
        <v>129</v>
      </c>
    </row>
    <row r="132" spans="1:21">
      <c r="A132" s="112">
        <v>97120923</v>
      </c>
      <c r="B132" s="224" t="str">
        <f>(IF((VLOOKUP(Table10[[#This Row],[SKU]],'All Skus'!$A:$AC,2,FALSE))="Martin",(VLOOKUP(Table10[[#This Row],[SKU]],'All Skus'!$A:$AC,3,FALSE)),""))</f>
        <v>Atmospheric Effects</v>
      </c>
      <c r="C132" s="223" t="str">
        <f>(IF((VLOOKUP(Table10[[#This Row],[SKU]],'All Skus'!$A:$AC,2,FALSE))="Martin",(VLOOKUP(Table10[[#This Row],[SKU]],'All Skus'!$A:$AC,4,FALSE)),""))</f>
        <v>JEM Pro-Fog Fluid, 25 l</v>
      </c>
      <c r="D132" s="224" t="str">
        <f>(IF((VLOOKUP(Table10[[#This Row],[SKU]],'All Skus'!$A:$AC,2,FALSE))="Martin",(VLOOKUP(Table10[[#This Row],[SKU]],'All Skus'!$A:$AC,5,FALSE)),""))</f>
        <v>MAR-FLUID</v>
      </c>
      <c r="E132" s="223">
        <f>(IF((VLOOKUP(Table10[[#This Row],[SKU]],'All Skus'!$A:$AC,2,FALSE))="Martin",(VLOOKUP(Table10[[#This Row],[SKU]],'All Skus'!$A:$AC,6,FALSE)),""))</f>
        <v>0</v>
      </c>
      <c r="F132" s="155">
        <f>(IF((VLOOKUP(Table10[[#This Row],[SKU]],'All Skus'!$A:$AC,2,FALSE))="Martin",(VLOOKUP(Table10[[#This Row],[SKU]],'All Skus'!$A:$AC,7,FALSE)),""))</f>
        <v>0</v>
      </c>
      <c r="G132" s="223" t="str">
        <f>(IF((VLOOKUP(Table10[[#This Row],[SKU]],'All Skus'!$A:$AC,2,FALSE))="Martin",(VLOOKUP(Table10[[#This Row],[SKU]],'All Skus'!$A:$AC,8,FALSE)),""))</f>
        <v>JEM Pro-Fog Fluid, 25 l</v>
      </c>
      <c r="H132" s="223" t="str">
        <f>(IF((VLOOKUP(Table10[[#This Row],[SKU]],'All Skus'!$A:$AC,2,FALSE))="Martin",(VLOOKUP(Table10[[#This Row],[SKU]],'All Skus'!$A:$AC,9,FALSE)),""))</f>
        <v>JEM Pro-Fog Fluid, 25 l</v>
      </c>
      <c r="I132" s="225">
        <f>(IF((VLOOKUP(Table10[[#This Row],[SKU]],'All Skus'!$A:$AC,2,FALSE))="Martin",(VLOOKUP(Table10[[#This Row],[SKU]],'All Skus'!$A:$AC,10,FALSE)),""))</f>
        <v>160.4</v>
      </c>
      <c r="J132" s="226">
        <f>(IF((VLOOKUP(Table10[[#This Row],[SKU]],'All Skus'!$A:$AC,2,FALSE))="Martin",(VLOOKUP(Table10[[#This Row],[SKU]],'All Skus'!$A:$AC,11,FALSE)),""))</f>
        <v>160.4</v>
      </c>
      <c r="K132" s="224">
        <f>(IF((VLOOKUP(Table10[[#This Row],[SKU]],'All Skus'!$A:$AC,2,FALSE))="Martin",(VLOOKUP(Table10[[#This Row],[SKU]],'All Skus'!$A:$AC,15,FALSE)),""))</f>
        <v>0</v>
      </c>
      <c r="L132" s="224">
        <f>(IF((VLOOKUP(Table10[[#This Row],[SKU]],'All Skus'!$A:$AC,2,FALSE))="Martin",(VLOOKUP(Table10[[#This Row],[SKU]],'All Skus'!$A:$AC,16,FALSE)),""))</f>
        <v>688705003351</v>
      </c>
      <c r="M132" s="224">
        <f>(IF((VLOOKUP(Table10[[#This Row],[SKU]],'All Skus'!$A:$AC,2,FALSE))="Martin",(VLOOKUP(Table10[[#This Row],[SKU]],'All Skus'!$A:$AC,17,FALSE)),""))</f>
        <v>0</v>
      </c>
      <c r="N132" s="227">
        <f>(IF((VLOOKUP(Table10[[#This Row],[SKU]],'All Skus'!$A:$AC,2,FALSE))="Martin",(VLOOKUP(Table10[[#This Row],[SKU]],'All Skus'!$A:$AC,18,FALSE)),""))</f>
        <v>10.7</v>
      </c>
      <c r="O132" s="227">
        <f>(IF((VLOOKUP(Table10[[#This Row],[SKU]],'All Skus'!$A:$AC,2,FALSE))="Martin",(VLOOKUP(Table10[[#This Row],[SKU]],'All Skus'!$A:$AC,19,FALSE)),""))</f>
        <v>10.7</v>
      </c>
      <c r="P132" s="227">
        <f>(IF((VLOOKUP(Table10[[#This Row],[SKU]],'All Skus'!$A:$AC,2,FALSE))="Martin",(VLOOKUP(Table10[[#This Row],[SKU]],'All Skus'!$A:$AC,20,FALSE)),""))</f>
        <v>0</v>
      </c>
      <c r="Q132" s="227">
        <f>(IF((VLOOKUP(Table10[[#This Row],[SKU]],'All Skus'!$A:$AC,2,FALSE))="Martin",(VLOOKUP(Table10[[#This Row],[SKU]],'All Skus'!$A:$AC,21,FALSE)),""))</f>
        <v>0</v>
      </c>
      <c r="R132" s="224" t="str">
        <f>(IF((VLOOKUP(Table10[[#This Row],[SKU]],'All Skus'!$A:$AC,2,FALSE))="Martin",(VLOOKUP(Table10[[#This Row],[SKU]],'All Skus'!$A:$AC,22,FALSE)),""))</f>
        <v>GB</v>
      </c>
      <c r="S132" s="223">
        <f>(IF((VLOOKUP(Table10[[#This Row],[SKU]],'All Skus'!$A:$AC,2,FALSE))="Martin",(VLOOKUP(Table10[[#This Row],[SKU]],'All Skus'!$A:$AC,23,FALSE)),""))</f>
        <v>0</v>
      </c>
      <c r="T132" s="212" t="str">
        <f>HYPERLINK((IF((VLOOKUP(Table10[[#This Row],[SKU]],'All Skus'!$A:$AC,2,FALSE))="Martin",(VLOOKUP(Table10[[#This Row],[SKU]],'All Skus'!$A:$AC,24,FALSE)),"")))</f>
        <v>http://www.martin.com/en-us/product-details/jem-pro-fog-fluid</v>
      </c>
      <c r="U132" s="228">
        <v>130</v>
      </c>
    </row>
    <row r="133" spans="1:21">
      <c r="A133" s="112">
        <v>97120924</v>
      </c>
      <c r="B133" s="224" t="str">
        <f>(IF((VLOOKUP(Table10[[#This Row],[SKU]],'All Skus'!$A:$AC,2,FALSE))="Martin",(VLOOKUP(Table10[[#This Row],[SKU]],'All Skus'!$A:$AC,3,FALSE)),""))</f>
        <v>Atmospheric Effects</v>
      </c>
      <c r="C133" s="223" t="str">
        <f>(IF((VLOOKUP(Table10[[#This Row],[SKU]],'All Skus'!$A:$AC,2,FALSE))="Martin",(VLOOKUP(Table10[[#This Row],[SKU]],'All Skus'!$A:$AC,4,FALSE)),""))</f>
        <v>JEM Pro-Fog Fluid, 220 l</v>
      </c>
      <c r="D133" s="224" t="str">
        <f>(IF((VLOOKUP(Table10[[#This Row],[SKU]],'All Skus'!$A:$AC,2,FALSE))="Martin",(VLOOKUP(Table10[[#This Row],[SKU]],'All Skus'!$A:$AC,5,FALSE)),""))</f>
        <v>MAR-FLUID</v>
      </c>
      <c r="E133" s="223">
        <f>(IF((VLOOKUP(Table10[[#This Row],[SKU]],'All Skus'!$A:$AC,2,FALSE))="Martin",(VLOOKUP(Table10[[#This Row],[SKU]],'All Skus'!$A:$AC,6,FALSE)),""))</f>
        <v>0</v>
      </c>
      <c r="F133" s="155">
        <f>(IF((VLOOKUP(Table10[[#This Row],[SKU]],'All Skus'!$A:$AC,2,FALSE))="Martin",(VLOOKUP(Table10[[#This Row],[SKU]],'All Skus'!$A:$AC,7,FALSE)),""))</f>
        <v>0</v>
      </c>
      <c r="G133" s="223" t="str">
        <f>(IF((VLOOKUP(Table10[[#This Row],[SKU]],'All Skus'!$A:$AC,2,FALSE))="Martin",(VLOOKUP(Table10[[#This Row],[SKU]],'All Skus'!$A:$AC,8,FALSE)),""))</f>
        <v>JEM Pro-Fog Fluid, 220 l</v>
      </c>
      <c r="H133" s="223" t="str">
        <f>(IF((VLOOKUP(Table10[[#This Row],[SKU]],'All Skus'!$A:$AC,2,FALSE))="Martin",(VLOOKUP(Table10[[#This Row],[SKU]],'All Skus'!$A:$AC,9,FALSE)),""))</f>
        <v>JEM Pro-Fog Fluid, 220 l</v>
      </c>
      <c r="I133" s="225">
        <f>(IF((VLOOKUP(Table10[[#This Row],[SKU]],'All Skus'!$A:$AC,2,FALSE))="Martin",(VLOOKUP(Table10[[#This Row],[SKU]],'All Skus'!$A:$AC,10,FALSE)),""))</f>
        <v>1288.5</v>
      </c>
      <c r="J133" s="226">
        <f>(IF((VLOOKUP(Table10[[#This Row],[SKU]],'All Skus'!$A:$AC,2,FALSE))="Martin",(VLOOKUP(Table10[[#This Row],[SKU]],'All Skus'!$A:$AC,11,FALSE)),""))</f>
        <v>1288.5</v>
      </c>
      <c r="K133" s="224">
        <f>(IF((VLOOKUP(Table10[[#This Row],[SKU]],'All Skus'!$A:$AC,2,FALSE))="Martin",(VLOOKUP(Table10[[#This Row],[SKU]],'All Skus'!$A:$AC,15,FALSE)),""))</f>
        <v>0</v>
      </c>
      <c r="L133" s="224">
        <f>(IF((VLOOKUP(Table10[[#This Row],[SKU]],'All Skus'!$A:$AC,2,FALSE))="Martin",(VLOOKUP(Table10[[#This Row],[SKU]],'All Skus'!$A:$AC,16,FALSE)),""))</f>
        <v>688705003368</v>
      </c>
      <c r="M133" s="224">
        <f>(IF((VLOOKUP(Table10[[#This Row],[SKU]],'All Skus'!$A:$AC,2,FALSE))="Martin",(VLOOKUP(Table10[[#This Row],[SKU]],'All Skus'!$A:$AC,17,FALSE)),""))</f>
        <v>0</v>
      </c>
      <c r="N133" s="227">
        <f>(IF((VLOOKUP(Table10[[#This Row],[SKU]],'All Skus'!$A:$AC,2,FALSE))="Martin",(VLOOKUP(Table10[[#This Row],[SKU]],'All Skus'!$A:$AC,18,FALSE)),""))</f>
        <v>23.7</v>
      </c>
      <c r="O133" s="227">
        <f>(IF((VLOOKUP(Table10[[#This Row],[SKU]],'All Skus'!$A:$AC,2,FALSE))="Martin",(VLOOKUP(Table10[[#This Row],[SKU]],'All Skus'!$A:$AC,19,FALSE)),""))</f>
        <v>23.7</v>
      </c>
      <c r="P133" s="227">
        <f>(IF((VLOOKUP(Table10[[#This Row],[SKU]],'All Skus'!$A:$AC,2,FALSE))="Martin",(VLOOKUP(Table10[[#This Row],[SKU]],'All Skus'!$A:$AC,20,FALSE)),""))</f>
        <v>0</v>
      </c>
      <c r="Q133" s="227">
        <f>(IF((VLOOKUP(Table10[[#This Row],[SKU]],'All Skus'!$A:$AC,2,FALSE))="Martin",(VLOOKUP(Table10[[#This Row],[SKU]],'All Skus'!$A:$AC,21,FALSE)),""))</f>
        <v>0</v>
      </c>
      <c r="R133" s="224" t="str">
        <f>(IF((VLOOKUP(Table10[[#This Row],[SKU]],'All Skus'!$A:$AC,2,FALSE))="Martin",(VLOOKUP(Table10[[#This Row],[SKU]],'All Skus'!$A:$AC,22,FALSE)),""))</f>
        <v>GB</v>
      </c>
      <c r="S133" s="223">
        <f>(IF((VLOOKUP(Table10[[#This Row],[SKU]],'All Skus'!$A:$AC,2,FALSE))="Martin",(VLOOKUP(Table10[[#This Row],[SKU]],'All Skus'!$A:$AC,23,FALSE)),""))</f>
        <v>0</v>
      </c>
      <c r="T133" s="212" t="str">
        <f>HYPERLINK((IF((VLOOKUP(Table10[[#This Row],[SKU]],'All Skus'!$A:$AC,2,FALSE))="Martin",(VLOOKUP(Table10[[#This Row],[SKU]],'All Skus'!$A:$AC,24,FALSE)),"")))</f>
        <v>http://www.martin.com/en-us/product-details/jem-pro-fog-fluid</v>
      </c>
      <c r="U133" s="228">
        <v>131</v>
      </c>
    </row>
    <row r="134" spans="1:21" hidden="1">
      <c r="A134" s="115" t="s">
        <v>1983</v>
      </c>
      <c r="B134" s="224">
        <f>(IF((VLOOKUP(Table10[[#This Row],[SKU]],'All Skus'!$A:$AC,2,FALSE))="Martin",(VLOOKUP(Table10[[#This Row],[SKU]],'All Skus'!$A:$AC,3,FALSE)),""))</f>
        <v>0</v>
      </c>
      <c r="C134" s="223">
        <f>(IF((VLOOKUP(Table10[[#This Row],[SKU]],'All Skus'!$A:$AC,2,FALSE))="Martin",(VLOOKUP(Table10[[#This Row],[SKU]],'All Skus'!$A:$AC,4,FALSE)),""))</f>
        <v>0</v>
      </c>
      <c r="D134" s="224">
        <f>(IF((VLOOKUP(Table10[[#This Row],[SKU]],'All Skus'!$A:$AC,2,FALSE))="Martin",(VLOOKUP(Table10[[#This Row],[SKU]],'All Skus'!$A:$AC,5,FALSE)),""))</f>
        <v>0</v>
      </c>
      <c r="E134" s="223">
        <f>(IF((VLOOKUP(Table10[[#This Row],[SKU]],'All Skus'!$A:$AC,2,FALSE))="Martin",(VLOOKUP(Table10[[#This Row],[SKU]],'All Skus'!$A:$AC,6,FALSE)),""))</f>
        <v>0</v>
      </c>
      <c r="F134" s="155">
        <f>(IF((VLOOKUP(Table10[[#This Row],[SKU]],'All Skus'!$A:$AC,2,FALSE))="Martin",(VLOOKUP(Table10[[#This Row],[SKU]],'All Skus'!$A:$AC,7,FALSE)),""))</f>
        <v>0</v>
      </c>
      <c r="G134" s="223">
        <f>(IF((VLOOKUP(Table10[[#This Row],[SKU]],'All Skus'!$A:$AC,2,FALSE))="Martin",(VLOOKUP(Table10[[#This Row],[SKU]],'All Skus'!$A:$AC,8,FALSE)),""))</f>
        <v>0</v>
      </c>
      <c r="H134" s="223">
        <f>(IF((VLOOKUP(Table10[[#This Row],[SKU]],'All Skus'!$A:$AC,2,FALSE))="Martin",(VLOOKUP(Table10[[#This Row],[SKU]],'All Skus'!$A:$AC,9,FALSE)),""))</f>
        <v>0</v>
      </c>
      <c r="I134" s="225">
        <f>(IF((VLOOKUP(Table10[[#This Row],[SKU]],'All Skus'!$A:$AC,2,FALSE))="Martin",(VLOOKUP(Table10[[#This Row],[SKU]],'All Skus'!$A:$AC,10,FALSE)),""))</f>
        <v>0</v>
      </c>
      <c r="J134" s="226">
        <f>(IF((VLOOKUP(Table10[[#This Row],[SKU]],'All Skus'!$A:$AC,2,FALSE))="Martin",(VLOOKUP(Table10[[#This Row],[SKU]],'All Skus'!$A:$AC,11,FALSE)),""))</f>
        <v>0</v>
      </c>
      <c r="K134" s="224">
        <f>(IF((VLOOKUP(Table10[[#This Row],[SKU]],'All Skus'!$A:$AC,2,FALSE))="Martin",(VLOOKUP(Table10[[#This Row],[SKU]],'All Skus'!$A:$AC,15,FALSE)),""))</f>
        <v>0</v>
      </c>
      <c r="L134" s="224">
        <f>(IF((VLOOKUP(Table10[[#This Row],[SKU]],'All Skus'!$A:$AC,2,FALSE))="Martin",(VLOOKUP(Table10[[#This Row],[SKU]],'All Skus'!$A:$AC,16,FALSE)),""))</f>
        <v>0</v>
      </c>
      <c r="M134" s="224">
        <f>(IF((VLOOKUP(Table10[[#This Row],[SKU]],'All Skus'!$A:$AC,2,FALSE))="Martin",(VLOOKUP(Table10[[#This Row],[SKU]],'All Skus'!$A:$AC,17,FALSE)),""))</f>
        <v>0</v>
      </c>
      <c r="N134" s="227">
        <f>(IF((VLOOKUP(Table10[[#This Row],[SKU]],'All Skus'!$A:$AC,2,FALSE))="Martin",(VLOOKUP(Table10[[#This Row],[SKU]],'All Skus'!$A:$AC,18,FALSE)),""))</f>
        <v>0</v>
      </c>
      <c r="O134" s="227">
        <f>(IF((VLOOKUP(Table10[[#This Row],[SKU]],'All Skus'!$A:$AC,2,FALSE))="Martin",(VLOOKUP(Table10[[#This Row],[SKU]],'All Skus'!$A:$AC,19,FALSE)),""))</f>
        <v>0</v>
      </c>
      <c r="P134" s="227">
        <f>(IF((VLOOKUP(Table10[[#This Row],[SKU]],'All Skus'!$A:$AC,2,FALSE))="Martin",(VLOOKUP(Table10[[#This Row],[SKU]],'All Skus'!$A:$AC,20,FALSE)),""))</f>
        <v>0</v>
      </c>
      <c r="Q134" s="227">
        <f>(IF((VLOOKUP(Table10[[#This Row],[SKU]],'All Skus'!$A:$AC,2,FALSE))="Martin",(VLOOKUP(Table10[[#This Row],[SKU]],'All Skus'!$A:$AC,21,FALSE)),""))</f>
        <v>0</v>
      </c>
      <c r="R134" s="224">
        <f>(IF((VLOOKUP(Table10[[#This Row],[SKU]],'All Skus'!$A:$AC,2,FALSE))="Martin",(VLOOKUP(Table10[[#This Row],[SKU]],'All Skus'!$A:$AC,22,FALSE)),""))</f>
        <v>0</v>
      </c>
      <c r="S134" s="223">
        <f>(IF((VLOOKUP(Table10[[#This Row],[SKU]],'All Skus'!$A:$AC,2,FALSE))="Martin",(VLOOKUP(Table10[[#This Row],[SKU]],'All Skus'!$A:$AC,23,FALSE)),""))</f>
        <v>0</v>
      </c>
      <c r="T134" s="212" t="str">
        <f>HYPERLINK((IF((VLOOKUP(Table10[[#This Row],[SKU]],'All Skus'!$A:$AC,2,FALSE))="Martin",(VLOOKUP(Table10[[#This Row],[SKU]],'All Skus'!$A:$AC,24,FALSE)),"")))</f>
        <v/>
      </c>
      <c r="U134" s="228">
        <v>132</v>
      </c>
    </row>
    <row r="135" spans="1:21">
      <c r="A135" s="112">
        <v>97120932</v>
      </c>
      <c r="B135" s="224" t="str">
        <f>(IF((VLOOKUP(Table10[[#This Row],[SKU]],'All Skus'!$A:$AC,2,FALSE))="Martin",(VLOOKUP(Table10[[#This Row],[SKU]],'All Skus'!$A:$AC,3,FALSE)),""))</f>
        <v>Atmospheric Effects</v>
      </c>
      <c r="C135" s="223" t="str">
        <f>(IF((VLOOKUP(Table10[[#This Row],[SKU]],'All Skus'!$A:$AC,2,FALSE))="Martin",(VLOOKUP(Table10[[#This Row],[SKU]],'All Skus'!$A:$AC,4,FALSE)),""))</f>
        <v xml:space="preserve">JEM Pro-Fog Fluid, High Density, 4x 5 l </v>
      </c>
      <c r="D135" s="224" t="str">
        <f>(IF((VLOOKUP(Table10[[#This Row],[SKU]],'All Skus'!$A:$AC,2,FALSE))="Martin",(VLOOKUP(Table10[[#This Row],[SKU]],'All Skus'!$A:$AC,5,FALSE)),""))</f>
        <v>MAR-FLUID</v>
      </c>
      <c r="E135" s="223">
        <f>(IF((VLOOKUP(Table10[[#This Row],[SKU]],'All Skus'!$A:$AC,2,FALSE))="Martin",(VLOOKUP(Table10[[#This Row],[SKU]],'All Skus'!$A:$AC,6,FALSE)),""))</f>
        <v>0</v>
      </c>
      <c r="F135" s="155">
        <f>(IF((VLOOKUP(Table10[[#This Row],[SKU]],'All Skus'!$A:$AC,2,FALSE))="Martin",(VLOOKUP(Table10[[#This Row],[SKU]],'All Skus'!$A:$AC,7,FALSE)),""))</f>
        <v>0</v>
      </c>
      <c r="G135" s="223" t="str">
        <f>(IF((VLOOKUP(Table10[[#This Row],[SKU]],'All Skus'!$A:$AC,2,FALSE))="Martin",(VLOOKUP(Table10[[#This Row],[SKU]],'All Skus'!$A:$AC,8,FALSE)),""))</f>
        <v xml:space="preserve">JEM Pro-Fog Fluid, High Density, 4x 5 l </v>
      </c>
      <c r="H135" s="223" t="str">
        <f>(IF((VLOOKUP(Table10[[#This Row],[SKU]],'All Skus'!$A:$AC,2,FALSE))="Martin",(VLOOKUP(Table10[[#This Row],[SKU]],'All Skus'!$A:$AC,9,FALSE)),""))</f>
        <v xml:space="preserve">JEM Pro-Fog Fluid, High Density, 4x 5 l </v>
      </c>
      <c r="I135" s="225">
        <f>(IF((VLOOKUP(Table10[[#This Row],[SKU]],'All Skus'!$A:$AC,2,FALSE))="Martin",(VLOOKUP(Table10[[#This Row],[SKU]],'All Skus'!$A:$AC,10,FALSE)),""))</f>
        <v>165.66</v>
      </c>
      <c r="J135" s="226">
        <f>(IF((VLOOKUP(Table10[[#This Row],[SKU]],'All Skus'!$A:$AC,2,FALSE))="Martin",(VLOOKUP(Table10[[#This Row],[SKU]],'All Skus'!$A:$AC,11,FALSE)),""))</f>
        <v>165.66</v>
      </c>
      <c r="K135" s="224">
        <f>(IF((VLOOKUP(Table10[[#This Row],[SKU]],'All Skus'!$A:$AC,2,FALSE))="Martin",(VLOOKUP(Table10[[#This Row],[SKU]],'All Skus'!$A:$AC,15,FALSE)),""))</f>
        <v>0</v>
      </c>
      <c r="L135" s="224">
        <f>(IF((VLOOKUP(Table10[[#This Row],[SKU]],'All Skus'!$A:$AC,2,FALSE))="Martin",(VLOOKUP(Table10[[#This Row],[SKU]],'All Skus'!$A:$AC,16,FALSE)),""))</f>
        <v>688705003399</v>
      </c>
      <c r="M135" s="224">
        <f>(IF((VLOOKUP(Table10[[#This Row],[SKU]],'All Skus'!$A:$AC,2,FALSE))="Martin",(VLOOKUP(Table10[[#This Row],[SKU]],'All Skus'!$A:$AC,17,FALSE)),""))</f>
        <v>0</v>
      </c>
      <c r="N135" s="227">
        <f>(IF((VLOOKUP(Table10[[#This Row],[SKU]],'All Skus'!$A:$AC,2,FALSE))="Martin",(VLOOKUP(Table10[[#This Row],[SKU]],'All Skus'!$A:$AC,18,FALSE)),""))</f>
        <v>0</v>
      </c>
      <c r="O135" s="227">
        <f>(IF((VLOOKUP(Table10[[#This Row],[SKU]],'All Skus'!$A:$AC,2,FALSE))="Martin",(VLOOKUP(Table10[[#This Row],[SKU]],'All Skus'!$A:$AC,19,FALSE)),""))</f>
        <v>11.5</v>
      </c>
      <c r="P135" s="227">
        <f>(IF((VLOOKUP(Table10[[#This Row],[SKU]],'All Skus'!$A:$AC,2,FALSE))="Martin",(VLOOKUP(Table10[[#This Row],[SKU]],'All Skus'!$A:$AC,20,FALSE)),""))</f>
        <v>0</v>
      </c>
      <c r="Q135" s="227">
        <f>(IF((VLOOKUP(Table10[[#This Row],[SKU]],'All Skus'!$A:$AC,2,FALSE))="Martin",(VLOOKUP(Table10[[#This Row],[SKU]],'All Skus'!$A:$AC,21,FALSE)),""))</f>
        <v>0</v>
      </c>
      <c r="R135" s="224" t="str">
        <f>(IF((VLOOKUP(Table10[[#This Row],[SKU]],'All Skus'!$A:$AC,2,FALSE))="Martin",(VLOOKUP(Table10[[#This Row],[SKU]],'All Skus'!$A:$AC,22,FALSE)),""))</f>
        <v>GB</v>
      </c>
      <c r="S135" s="223">
        <f>(IF((VLOOKUP(Table10[[#This Row],[SKU]],'All Skus'!$A:$AC,2,FALSE))="Martin",(VLOOKUP(Table10[[#This Row],[SKU]],'All Skus'!$A:$AC,23,FALSE)),""))</f>
        <v>0</v>
      </c>
      <c r="T135" s="212" t="str">
        <f>HYPERLINK((IF((VLOOKUP(Table10[[#This Row],[SKU]],'All Skus'!$A:$AC,2,FALSE))="Martin",(VLOOKUP(Table10[[#This Row],[SKU]],'All Skus'!$A:$AC,24,FALSE)),"")))</f>
        <v>http://www.martin.com/en-us/product-details/jem-pro-fog-fluid--high-density</v>
      </c>
      <c r="U135" s="228">
        <v>133</v>
      </c>
    </row>
    <row r="136" spans="1:21">
      <c r="A136" s="112">
        <v>97120934</v>
      </c>
      <c r="B136" s="224" t="str">
        <f>(IF((VLOOKUP(Table10[[#This Row],[SKU]],'All Skus'!$A:$AC,2,FALSE))="Martin",(VLOOKUP(Table10[[#This Row],[SKU]],'All Skus'!$A:$AC,3,FALSE)),""))</f>
        <v>Atmospheric Effects</v>
      </c>
      <c r="C136" s="223" t="str">
        <f>(IF((VLOOKUP(Table10[[#This Row],[SKU]],'All Skus'!$A:$AC,2,FALSE))="Martin",(VLOOKUP(Table10[[#This Row],[SKU]],'All Skus'!$A:$AC,4,FALSE)),""))</f>
        <v xml:space="preserve">JEM Pro-Fog Fluid, High Density, 220 l </v>
      </c>
      <c r="D136" s="224" t="str">
        <f>(IF((VLOOKUP(Table10[[#This Row],[SKU]],'All Skus'!$A:$AC,2,FALSE))="Martin",(VLOOKUP(Table10[[#This Row],[SKU]],'All Skus'!$A:$AC,5,FALSE)),""))</f>
        <v>MAR-FLUID</v>
      </c>
      <c r="E136" s="223">
        <f>(IF((VLOOKUP(Table10[[#This Row],[SKU]],'All Skus'!$A:$AC,2,FALSE))="Martin",(VLOOKUP(Table10[[#This Row],[SKU]],'All Skus'!$A:$AC,6,FALSE)),""))</f>
        <v>0</v>
      </c>
      <c r="F136" s="155">
        <f>(IF((VLOOKUP(Table10[[#This Row],[SKU]],'All Skus'!$A:$AC,2,FALSE))="Martin",(VLOOKUP(Table10[[#This Row],[SKU]],'All Skus'!$A:$AC,7,FALSE)),""))</f>
        <v>0</v>
      </c>
      <c r="G136" s="223" t="str">
        <f>(IF((VLOOKUP(Table10[[#This Row],[SKU]],'All Skus'!$A:$AC,2,FALSE))="Martin",(VLOOKUP(Table10[[#This Row],[SKU]],'All Skus'!$A:$AC,8,FALSE)),""))</f>
        <v xml:space="preserve">JEM Pro-Fog Fluid, High Density, 220 l </v>
      </c>
      <c r="H136" s="223" t="str">
        <f>(IF((VLOOKUP(Table10[[#This Row],[SKU]],'All Skus'!$A:$AC,2,FALSE))="Martin",(VLOOKUP(Table10[[#This Row],[SKU]],'All Skus'!$A:$AC,9,FALSE)),""))</f>
        <v xml:space="preserve">JEM Pro-Fog Fluid, High Density, 220 l </v>
      </c>
      <c r="I136" s="225">
        <f>(IF((VLOOKUP(Table10[[#This Row],[SKU]],'All Skus'!$A:$AC,2,FALSE))="Martin",(VLOOKUP(Table10[[#This Row],[SKU]],'All Skus'!$A:$AC,10,FALSE)),""))</f>
        <v>1573.81</v>
      </c>
      <c r="J136" s="226">
        <f>(IF((VLOOKUP(Table10[[#This Row],[SKU]],'All Skus'!$A:$AC,2,FALSE))="Martin",(VLOOKUP(Table10[[#This Row],[SKU]],'All Skus'!$A:$AC,11,FALSE)),""))</f>
        <v>1573.81</v>
      </c>
      <c r="K136" s="224">
        <f>(IF((VLOOKUP(Table10[[#This Row],[SKU]],'All Skus'!$A:$AC,2,FALSE))="Martin",(VLOOKUP(Table10[[#This Row],[SKU]],'All Skus'!$A:$AC,15,FALSE)),""))</f>
        <v>0</v>
      </c>
      <c r="L136" s="224">
        <f>(IF((VLOOKUP(Table10[[#This Row],[SKU]],'All Skus'!$A:$AC,2,FALSE))="Martin",(VLOOKUP(Table10[[#This Row],[SKU]],'All Skus'!$A:$AC,16,FALSE)),""))</f>
        <v>688705003412</v>
      </c>
      <c r="M136" s="224">
        <f>(IF((VLOOKUP(Table10[[#This Row],[SKU]],'All Skus'!$A:$AC,2,FALSE))="Martin",(VLOOKUP(Table10[[#This Row],[SKU]],'All Skus'!$A:$AC,17,FALSE)),""))</f>
        <v>0</v>
      </c>
      <c r="N136" s="227">
        <f>(IF((VLOOKUP(Table10[[#This Row],[SKU]],'All Skus'!$A:$AC,2,FALSE))="Martin",(VLOOKUP(Table10[[#This Row],[SKU]],'All Skus'!$A:$AC,18,FALSE)),""))</f>
        <v>23.7</v>
      </c>
      <c r="O136" s="227">
        <f>(IF((VLOOKUP(Table10[[#This Row],[SKU]],'All Skus'!$A:$AC,2,FALSE))="Martin",(VLOOKUP(Table10[[#This Row],[SKU]],'All Skus'!$A:$AC,19,FALSE)),""))</f>
        <v>23.7</v>
      </c>
      <c r="P136" s="227">
        <f>(IF((VLOOKUP(Table10[[#This Row],[SKU]],'All Skus'!$A:$AC,2,FALSE))="Martin",(VLOOKUP(Table10[[#This Row],[SKU]],'All Skus'!$A:$AC,20,FALSE)),""))</f>
        <v>0</v>
      </c>
      <c r="Q136" s="227">
        <f>(IF((VLOOKUP(Table10[[#This Row],[SKU]],'All Skus'!$A:$AC,2,FALSE))="Martin",(VLOOKUP(Table10[[#This Row],[SKU]],'All Skus'!$A:$AC,21,FALSE)),""))</f>
        <v>0</v>
      </c>
      <c r="R136" s="224" t="str">
        <f>(IF((VLOOKUP(Table10[[#This Row],[SKU]],'All Skus'!$A:$AC,2,FALSE))="Martin",(VLOOKUP(Table10[[#This Row],[SKU]],'All Skus'!$A:$AC,22,FALSE)),""))</f>
        <v>GB</v>
      </c>
      <c r="S136" s="223">
        <f>(IF((VLOOKUP(Table10[[#This Row],[SKU]],'All Skus'!$A:$AC,2,FALSE))="Martin",(VLOOKUP(Table10[[#This Row],[SKU]],'All Skus'!$A:$AC,23,FALSE)),""))</f>
        <v>0</v>
      </c>
      <c r="T136" s="212" t="str">
        <f>HYPERLINK((IF((VLOOKUP(Table10[[#This Row],[SKU]],'All Skus'!$A:$AC,2,FALSE))="Martin",(VLOOKUP(Table10[[#This Row],[SKU]],'All Skus'!$A:$AC,24,FALSE)),"")))</f>
        <v>http://www.martin.com/en-us/product-details/jem-pro-fog-fluid--high-density</v>
      </c>
      <c r="U136" s="228">
        <v>134</v>
      </c>
    </row>
    <row r="137" spans="1:21" hidden="1">
      <c r="A137" s="115" t="s">
        <v>1984</v>
      </c>
      <c r="B137" s="224">
        <f>(IF((VLOOKUP(Table10[[#This Row],[SKU]],'All Skus'!$A:$AC,2,FALSE))="Martin",(VLOOKUP(Table10[[#This Row],[SKU]],'All Skus'!$A:$AC,3,FALSE)),""))</f>
        <v>0</v>
      </c>
      <c r="C137" s="223">
        <f>(IF((VLOOKUP(Table10[[#This Row],[SKU]],'All Skus'!$A:$AC,2,FALSE))="Martin",(VLOOKUP(Table10[[#This Row],[SKU]],'All Skus'!$A:$AC,4,FALSE)),""))</f>
        <v>0</v>
      </c>
      <c r="D137" s="224">
        <f>(IF((VLOOKUP(Table10[[#This Row],[SKU]],'All Skus'!$A:$AC,2,FALSE))="Martin",(VLOOKUP(Table10[[#This Row],[SKU]],'All Skus'!$A:$AC,5,FALSE)),""))</f>
        <v>0</v>
      </c>
      <c r="E137" s="223">
        <f>(IF((VLOOKUP(Table10[[#This Row],[SKU]],'All Skus'!$A:$AC,2,FALSE))="Martin",(VLOOKUP(Table10[[#This Row],[SKU]],'All Skus'!$A:$AC,6,FALSE)),""))</f>
        <v>0</v>
      </c>
      <c r="F137" s="155">
        <f>(IF((VLOOKUP(Table10[[#This Row],[SKU]],'All Skus'!$A:$AC,2,FALSE))="Martin",(VLOOKUP(Table10[[#This Row],[SKU]],'All Skus'!$A:$AC,7,FALSE)),""))</f>
        <v>0</v>
      </c>
      <c r="G137" s="223">
        <f>(IF((VLOOKUP(Table10[[#This Row],[SKU]],'All Skus'!$A:$AC,2,FALSE))="Martin",(VLOOKUP(Table10[[#This Row],[SKU]],'All Skus'!$A:$AC,8,FALSE)),""))</f>
        <v>0</v>
      </c>
      <c r="H137" s="223">
        <f>(IF((VLOOKUP(Table10[[#This Row],[SKU]],'All Skus'!$A:$AC,2,FALSE))="Martin",(VLOOKUP(Table10[[#This Row],[SKU]],'All Skus'!$A:$AC,9,FALSE)),""))</f>
        <v>0</v>
      </c>
      <c r="I137" s="225">
        <f>(IF((VLOOKUP(Table10[[#This Row],[SKU]],'All Skus'!$A:$AC,2,FALSE))="Martin",(VLOOKUP(Table10[[#This Row],[SKU]],'All Skus'!$A:$AC,10,FALSE)),""))</f>
        <v>0</v>
      </c>
      <c r="J137" s="226">
        <f>(IF((VLOOKUP(Table10[[#This Row],[SKU]],'All Skus'!$A:$AC,2,FALSE))="Martin",(VLOOKUP(Table10[[#This Row],[SKU]],'All Skus'!$A:$AC,11,FALSE)),""))</f>
        <v>0</v>
      </c>
      <c r="K137" s="224">
        <f>(IF((VLOOKUP(Table10[[#This Row],[SKU]],'All Skus'!$A:$AC,2,FALSE))="Martin",(VLOOKUP(Table10[[#This Row],[SKU]],'All Skus'!$A:$AC,15,FALSE)),""))</f>
        <v>0</v>
      </c>
      <c r="L137" s="224">
        <f>(IF((VLOOKUP(Table10[[#This Row],[SKU]],'All Skus'!$A:$AC,2,FALSE))="Martin",(VLOOKUP(Table10[[#This Row],[SKU]],'All Skus'!$A:$AC,16,FALSE)),""))</f>
        <v>0</v>
      </c>
      <c r="M137" s="224">
        <f>(IF((VLOOKUP(Table10[[#This Row],[SKU]],'All Skus'!$A:$AC,2,FALSE))="Martin",(VLOOKUP(Table10[[#This Row],[SKU]],'All Skus'!$A:$AC,17,FALSE)),""))</f>
        <v>0</v>
      </c>
      <c r="N137" s="227">
        <f>(IF((VLOOKUP(Table10[[#This Row],[SKU]],'All Skus'!$A:$AC,2,FALSE))="Martin",(VLOOKUP(Table10[[#This Row],[SKU]],'All Skus'!$A:$AC,18,FALSE)),""))</f>
        <v>0</v>
      </c>
      <c r="O137" s="227">
        <f>(IF((VLOOKUP(Table10[[#This Row],[SKU]],'All Skus'!$A:$AC,2,FALSE))="Martin",(VLOOKUP(Table10[[#This Row],[SKU]],'All Skus'!$A:$AC,19,FALSE)),""))</f>
        <v>0</v>
      </c>
      <c r="P137" s="227">
        <f>(IF((VLOOKUP(Table10[[#This Row],[SKU]],'All Skus'!$A:$AC,2,FALSE))="Martin",(VLOOKUP(Table10[[#This Row],[SKU]],'All Skus'!$A:$AC,20,FALSE)),""))</f>
        <v>0</v>
      </c>
      <c r="Q137" s="227">
        <f>(IF((VLOOKUP(Table10[[#This Row],[SKU]],'All Skus'!$A:$AC,2,FALSE))="Martin",(VLOOKUP(Table10[[#This Row],[SKU]],'All Skus'!$A:$AC,21,FALSE)),""))</f>
        <v>0</v>
      </c>
      <c r="R137" s="224">
        <f>(IF((VLOOKUP(Table10[[#This Row],[SKU]],'All Skus'!$A:$AC,2,FALSE))="Martin",(VLOOKUP(Table10[[#This Row],[SKU]],'All Skus'!$A:$AC,22,FALSE)),""))</f>
        <v>0</v>
      </c>
      <c r="S137" s="223">
        <f>(IF((VLOOKUP(Table10[[#This Row],[SKU]],'All Skus'!$A:$AC,2,FALSE))="Martin",(VLOOKUP(Table10[[#This Row],[SKU]],'All Skus'!$A:$AC,23,FALSE)),""))</f>
        <v>0</v>
      </c>
      <c r="T137" s="212" t="str">
        <f>HYPERLINK((IF((VLOOKUP(Table10[[#This Row],[SKU]],'All Skus'!$A:$AC,2,FALSE))="Martin",(VLOOKUP(Table10[[#This Row],[SKU]],'All Skus'!$A:$AC,24,FALSE)),"")))</f>
        <v/>
      </c>
      <c r="U137" s="228">
        <v>135</v>
      </c>
    </row>
    <row r="138" spans="1:21">
      <c r="A138" s="112">
        <v>97120832</v>
      </c>
      <c r="B138" s="224" t="str">
        <f>(IF((VLOOKUP(Table10[[#This Row],[SKU]],'All Skus'!$A:$AC,2,FALSE))="Martin",(VLOOKUP(Table10[[#This Row],[SKU]],'All Skus'!$A:$AC,3,FALSE)),""))</f>
        <v>Atmospheric Effects</v>
      </c>
      <c r="C138" s="223" t="str">
        <f>(IF((VLOOKUP(Table10[[#This Row],[SKU]],'All Skus'!$A:$AC,2,FALSE))="Martin",(VLOOKUP(Table10[[#This Row],[SKU]],'All Skus'!$A:$AC,4,FALSE)),""))</f>
        <v>JEM Low-Fog Fluid, Quick Dissipating, 4x 5 l</v>
      </c>
      <c r="D138" s="224" t="str">
        <f>(IF((VLOOKUP(Table10[[#This Row],[SKU]],'All Skus'!$A:$AC,2,FALSE))="Martin",(VLOOKUP(Table10[[#This Row],[SKU]],'All Skus'!$A:$AC,5,FALSE)),""))</f>
        <v>MAR-FLUID</v>
      </c>
      <c r="E138" s="223">
        <f>(IF((VLOOKUP(Table10[[#This Row],[SKU]],'All Skus'!$A:$AC,2,FALSE))="Martin",(VLOOKUP(Table10[[#This Row],[SKU]],'All Skus'!$A:$AC,6,FALSE)),""))</f>
        <v>0</v>
      </c>
      <c r="F138" s="155">
        <f>(IF((VLOOKUP(Table10[[#This Row],[SKU]],'All Skus'!$A:$AC,2,FALSE))="Martin",(VLOOKUP(Table10[[#This Row],[SKU]],'All Skus'!$A:$AC,7,FALSE)),""))</f>
        <v>0</v>
      </c>
      <c r="G138" s="223" t="str">
        <f>(IF((VLOOKUP(Table10[[#This Row],[SKU]],'All Skus'!$A:$AC,2,FALSE))="Martin",(VLOOKUP(Table10[[#This Row],[SKU]],'All Skus'!$A:$AC,8,FALSE)),""))</f>
        <v>JEM Low-Fog Fluid, Quick Dissipating, 4x 5 l</v>
      </c>
      <c r="H138" s="223" t="str">
        <f>(IF((VLOOKUP(Table10[[#This Row],[SKU]],'All Skus'!$A:$AC,2,FALSE))="Martin",(VLOOKUP(Table10[[#This Row],[SKU]],'All Skus'!$A:$AC,9,FALSE)),""))</f>
        <v>JEM Low-Fog Fluid, Quick Dissipating, 4x 5 l</v>
      </c>
      <c r="I138" s="225">
        <f>(IF((VLOOKUP(Table10[[#This Row],[SKU]],'All Skus'!$A:$AC,2,FALSE))="Martin",(VLOOKUP(Table10[[#This Row],[SKU]],'All Skus'!$A:$AC,10,FALSE)),""))</f>
        <v>203.79</v>
      </c>
      <c r="J138" s="226">
        <f>(IF((VLOOKUP(Table10[[#This Row],[SKU]],'All Skus'!$A:$AC,2,FALSE))="Martin",(VLOOKUP(Table10[[#This Row],[SKU]],'All Skus'!$A:$AC,11,FALSE)),""))</f>
        <v>203.79</v>
      </c>
      <c r="K138" s="224">
        <f>(IF((VLOOKUP(Table10[[#This Row],[SKU]],'All Skus'!$A:$AC,2,FALSE))="Martin",(VLOOKUP(Table10[[#This Row],[SKU]],'All Skus'!$A:$AC,15,FALSE)),""))</f>
        <v>0</v>
      </c>
      <c r="L138" s="224">
        <f>(IF((VLOOKUP(Table10[[#This Row],[SKU]],'All Skus'!$A:$AC,2,FALSE))="Martin",(VLOOKUP(Table10[[#This Row],[SKU]],'All Skus'!$A:$AC,16,FALSE)),""))</f>
        <v>688705003429</v>
      </c>
      <c r="M138" s="224">
        <f>(IF((VLOOKUP(Table10[[#This Row],[SKU]],'All Skus'!$A:$AC,2,FALSE))="Martin",(VLOOKUP(Table10[[#This Row],[SKU]],'All Skus'!$A:$AC,17,FALSE)),""))</f>
        <v>0</v>
      </c>
      <c r="N138" s="227">
        <f>(IF((VLOOKUP(Table10[[#This Row],[SKU]],'All Skus'!$A:$AC,2,FALSE))="Martin",(VLOOKUP(Table10[[#This Row],[SKU]],'All Skus'!$A:$AC,18,FALSE)),""))</f>
        <v>0</v>
      </c>
      <c r="O138" s="227">
        <f>(IF((VLOOKUP(Table10[[#This Row],[SKU]],'All Skus'!$A:$AC,2,FALSE))="Martin",(VLOOKUP(Table10[[#This Row],[SKU]],'All Skus'!$A:$AC,19,FALSE)),""))</f>
        <v>11.5</v>
      </c>
      <c r="P138" s="227">
        <f>(IF((VLOOKUP(Table10[[#This Row],[SKU]],'All Skus'!$A:$AC,2,FALSE))="Martin",(VLOOKUP(Table10[[#This Row],[SKU]],'All Skus'!$A:$AC,20,FALSE)),""))</f>
        <v>0</v>
      </c>
      <c r="Q138" s="227">
        <f>(IF((VLOOKUP(Table10[[#This Row],[SKU]],'All Skus'!$A:$AC,2,FALSE))="Martin",(VLOOKUP(Table10[[#This Row],[SKU]],'All Skus'!$A:$AC,21,FALSE)),""))</f>
        <v>0</v>
      </c>
      <c r="R138" s="224" t="str">
        <f>(IF((VLOOKUP(Table10[[#This Row],[SKU]],'All Skus'!$A:$AC,2,FALSE))="Martin",(VLOOKUP(Table10[[#This Row],[SKU]],'All Skus'!$A:$AC,22,FALSE)),""))</f>
        <v>GB</v>
      </c>
      <c r="S138" s="223">
        <f>(IF((VLOOKUP(Table10[[#This Row],[SKU]],'All Skus'!$A:$AC,2,FALSE))="Martin",(VLOOKUP(Table10[[#This Row],[SKU]],'All Skus'!$A:$AC,23,FALSE)),""))</f>
        <v>0</v>
      </c>
      <c r="T138" s="212" t="str">
        <f>HYPERLINK((IF((VLOOKUP(Table10[[#This Row],[SKU]],'All Skus'!$A:$AC,2,FALSE))="Martin",(VLOOKUP(Table10[[#This Row],[SKU]],'All Skus'!$A:$AC,24,FALSE)),"")))</f>
        <v/>
      </c>
      <c r="U138" s="228">
        <v>136</v>
      </c>
    </row>
    <row r="139" spans="1:21" hidden="1">
      <c r="A139" s="115" t="s">
        <v>1985</v>
      </c>
      <c r="B139" s="224">
        <f>(IF((VLOOKUP(Table10[[#This Row],[SKU]],'All Skus'!$A:$AC,2,FALSE))="Martin",(VLOOKUP(Table10[[#This Row],[SKU]],'All Skus'!$A:$AC,3,FALSE)),""))</f>
        <v>0</v>
      </c>
      <c r="C139" s="223">
        <f>(IF((VLOOKUP(Table10[[#This Row],[SKU]],'All Skus'!$A:$AC,2,FALSE))="Martin",(VLOOKUP(Table10[[#This Row],[SKU]],'All Skus'!$A:$AC,4,FALSE)),""))</f>
        <v>0</v>
      </c>
      <c r="D139" s="224">
        <f>(IF((VLOOKUP(Table10[[#This Row],[SKU]],'All Skus'!$A:$AC,2,FALSE))="Martin",(VLOOKUP(Table10[[#This Row],[SKU]],'All Skus'!$A:$AC,5,FALSE)),""))</f>
        <v>0</v>
      </c>
      <c r="E139" s="223">
        <f>(IF((VLOOKUP(Table10[[#This Row],[SKU]],'All Skus'!$A:$AC,2,FALSE))="Martin",(VLOOKUP(Table10[[#This Row],[SKU]],'All Skus'!$A:$AC,6,FALSE)),""))</f>
        <v>0</v>
      </c>
      <c r="F139" s="155">
        <f>(IF((VLOOKUP(Table10[[#This Row],[SKU]],'All Skus'!$A:$AC,2,FALSE))="Martin",(VLOOKUP(Table10[[#This Row],[SKU]],'All Skus'!$A:$AC,7,FALSE)),""))</f>
        <v>0</v>
      </c>
      <c r="G139" s="223">
        <f>(IF((VLOOKUP(Table10[[#This Row],[SKU]],'All Skus'!$A:$AC,2,FALSE))="Martin",(VLOOKUP(Table10[[#This Row],[SKU]],'All Skus'!$A:$AC,8,FALSE)),""))</f>
        <v>0</v>
      </c>
      <c r="H139" s="223">
        <f>(IF((VLOOKUP(Table10[[#This Row],[SKU]],'All Skus'!$A:$AC,2,FALSE))="Martin",(VLOOKUP(Table10[[#This Row],[SKU]],'All Skus'!$A:$AC,9,FALSE)),""))</f>
        <v>0</v>
      </c>
      <c r="I139" s="225">
        <f>(IF((VLOOKUP(Table10[[#This Row],[SKU]],'All Skus'!$A:$AC,2,FALSE))="Martin",(VLOOKUP(Table10[[#This Row],[SKU]],'All Skus'!$A:$AC,10,FALSE)),""))</f>
        <v>0</v>
      </c>
      <c r="J139" s="226">
        <f>(IF((VLOOKUP(Table10[[#This Row],[SKU]],'All Skus'!$A:$AC,2,FALSE))="Martin",(VLOOKUP(Table10[[#This Row],[SKU]],'All Skus'!$A:$AC,11,FALSE)),""))</f>
        <v>0</v>
      </c>
      <c r="K139" s="224">
        <f>(IF((VLOOKUP(Table10[[#This Row],[SKU]],'All Skus'!$A:$AC,2,FALSE))="Martin",(VLOOKUP(Table10[[#This Row],[SKU]],'All Skus'!$A:$AC,15,FALSE)),""))</f>
        <v>0</v>
      </c>
      <c r="L139" s="224">
        <f>(IF((VLOOKUP(Table10[[#This Row],[SKU]],'All Skus'!$A:$AC,2,FALSE))="Martin",(VLOOKUP(Table10[[#This Row],[SKU]],'All Skus'!$A:$AC,16,FALSE)),""))</f>
        <v>0</v>
      </c>
      <c r="M139" s="224">
        <f>(IF((VLOOKUP(Table10[[#This Row],[SKU]],'All Skus'!$A:$AC,2,FALSE))="Martin",(VLOOKUP(Table10[[#This Row],[SKU]],'All Skus'!$A:$AC,17,FALSE)),""))</f>
        <v>0</v>
      </c>
      <c r="N139" s="227">
        <f>(IF((VLOOKUP(Table10[[#This Row],[SKU]],'All Skus'!$A:$AC,2,FALSE))="Martin",(VLOOKUP(Table10[[#This Row],[SKU]],'All Skus'!$A:$AC,18,FALSE)),""))</f>
        <v>0</v>
      </c>
      <c r="O139" s="227">
        <f>(IF((VLOOKUP(Table10[[#This Row],[SKU]],'All Skus'!$A:$AC,2,FALSE))="Martin",(VLOOKUP(Table10[[#This Row],[SKU]],'All Skus'!$A:$AC,19,FALSE)),""))</f>
        <v>0</v>
      </c>
      <c r="P139" s="227">
        <f>(IF((VLOOKUP(Table10[[#This Row],[SKU]],'All Skus'!$A:$AC,2,FALSE))="Martin",(VLOOKUP(Table10[[#This Row],[SKU]],'All Skus'!$A:$AC,20,FALSE)),""))</f>
        <v>0</v>
      </c>
      <c r="Q139" s="227">
        <f>(IF((VLOOKUP(Table10[[#This Row],[SKU]],'All Skus'!$A:$AC,2,FALSE))="Martin",(VLOOKUP(Table10[[#This Row],[SKU]],'All Skus'!$A:$AC,21,FALSE)),""))</f>
        <v>0</v>
      </c>
      <c r="R139" s="224">
        <f>(IF((VLOOKUP(Table10[[#This Row],[SKU]],'All Skus'!$A:$AC,2,FALSE))="Martin",(VLOOKUP(Table10[[#This Row],[SKU]],'All Skus'!$A:$AC,22,FALSE)),""))</f>
        <v>0</v>
      </c>
      <c r="S139" s="223">
        <f>(IF((VLOOKUP(Table10[[#This Row],[SKU]],'All Skus'!$A:$AC,2,FALSE))="Martin",(VLOOKUP(Table10[[#This Row],[SKU]],'All Skus'!$A:$AC,23,FALSE)),""))</f>
        <v>0</v>
      </c>
      <c r="T139" s="212" t="str">
        <f>HYPERLINK((IF((VLOOKUP(Table10[[#This Row],[SKU]],'All Skus'!$A:$AC,2,FALSE))="Martin",(VLOOKUP(Table10[[#This Row],[SKU]],'All Skus'!$A:$AC,24,FALSE)),"")))</f>
        <v/>
      </c>
      <c r="U139" s="228">
        <v>137</v>
      </c>
    </row>
    <row r="140" spans="1:21">
      <c r="A140" s="112">
        <v>97120842</v>
      </c>
      <c r="B140" s="224" t="str">
        <f>(IF((VLOOKUP(Table10[[#This Row],[SKU]],'All Skus'!$A:$AC,2,FALSE))="Martin",(VLOOKUP(Table10[[#This Row],[SKU]],'All Skus'!$A:$AC,3,FALSE)),""))</f>
        <v>Atmospheric Effects</v>
      </c>
      <c r="C140" s="223" t="str">
        <f>(IF((VLOOKUP(Table10[[#This Row],[SKU]],'All Skus'!$A:$AC,2,FALSE))="Martin",(VLOOKUP(Table10[[#This Row],[SKU]],'All Skus'!$A:$AC,4,FALSE)),""))</f>
        <v>JEM Low-Fog Fluid, 4x 5 l</v>
      </c>
      <c r="D140" s="224" t="str">
        <f>(IF((VLOOKUP(Table10[[#This Row],[SKU]],'All Skus'!$A:$AC,2,FALSE))="Martin",(VLOOKUP(Table10[[#This Row],[SKU]],'All Skus'!$A:$AC,5,FALSE)),""))</f>
        <v>MAR-FLUID</v>
      </c>
      <c r="E140" s="223">
        <f>(IF((VLOOKUP(Table10[[#This Row],[SKU]],'All Skus'!$A:$AC,2,FALSE))="Martin",(VLOOKUP(Table10[[#This Row],[SKU]],'All Skus'!$A:$AC,6,FALSE)),""))</f>
        <v>0</v>
      </c>
      <c r="F140" s="155">
        <f>(IF((VLOOKUP(Table10[[#This Row],[SKU]],'All Skus'!$A:$AC,2,FALSE))="Martin",(VLOOKUP(Table10[[#This Row],[SKU]],'All Skus'!$A:$AC,7,FALSE)),""))</f>
        <v>0</v>
      </c>
      <c r="G140" s="223" t="str">
        <f>(IF((VLOOKUP(Table10[[#This Row],[SKU]],'All Skus'!$A:$AC,2,FALSE))="Martin",(VLOOKUP(Table10[[#This Row],[SKU]],'All Skus'!$A:$AC,8,FALSE)),""))</f>
        <v>JEM Low-Fog Fluid, 4x 5 l</v>
      </c>
      <c r="H140" s="223" t="str">
        <f>(IF((VLOOKUP(Table10[[#This Row],[SKU]],'All Skus'!$A:$AC,2,FALSE))="Martin",(VLOOKUP(Table10[[#This Row],[SKU]],'All Skus'!$A:$AC,9,FALSE)),""))</f>
        <v>JEM Low-Fog Fluid, 4x 5 l</v>
      </c>
      <c r="I140" s="225">
        <f>(IF((VLOOKUP(Table10[[#This Row],[SKU]],'All Skus'!$A:$AC,2,FALSE))="Martin",(VLOOKUP(Table10[[#This Row],[SKU]],'All Skus'!$A:$AC,10,FALSE)),""))</f>
        <v>224.83</v>
      </c>
      <c r="J140" s="226">
        <f>(IF((VLOOKUP(Table10[[#This Row],[SKU]],'All Skus'!$A:$AC,2,FALSE))="Martin",(VLOOKUP(Table10[[#This Row],[SKU]],'All Skus'!$A:$AC,11,FALSE)),""))</f>
        <v>224.83</v>
      </c>
      <c r="K140" s="224">
        <f>(IF((VLOOKUP(Table10[[#This Row],[SKU]],'All Skus'!$A:$AC,2,FALSE))="Martin",(VLOOKUP(Table10[[#This Row],[SKU]],'All Skus'!$A:$AC,15,FALSE)),""))</f>
        <v>0</v>
      </c>
      <c r="L140" s="224">
        <f>(IF((VLOOKUP(Table10[[#This Row],[SKU]],'All Skus'!$A:$AC,2,FALSE))="Martin",(VLOOKUP(Table10[[#This Row],[SKU]],'All Skus'!$A:$AC,16,FALSE)),""))</f>
        <v>688705003450</v>
      </c>
      <c r="M140" s="224">
        <f>(IF((VLOOKUP(Table10[[#This Row],[SKU]],'All Skus'!$A:$AC,2,FALSE))="Martin",(VLOOKUP(Table10[[#This Row],[SKU]],'All Skus'!$A:$AC,17,FALSE)),""))</f>
        <v>0</v>
      </c>
      <c r="N140" s="227">
        <f>(IF((VLOOKUP(Table10[[#This Row],[SKU]],'All Skus'!$A:$AC,2,FALSE))="Martin",(VLOOKUP(Table10[[#This Row],[SKU]],'All Skus'!$A:$AC,18,FALSE)),""))</f>
        <v>0</v>
      </c>
      <c r="O140" s="227">
        <f>(IF((VLOOKUP(Table10[[#This Row],[SKU]],'All Skus'!$A:$AC,2,FALSE))="Martin",(VLOOKUP(Table10[[#This Row],[SKU]],'All Skus'!$A:$AC,19,FALSE)),""))</f>
        <v>11.5</v>
      </c>
      <c r="P140" s="227">
        <f>(IF((VLOOKUP(Table10[[#This Row],[SKU]],'All Skus'!$A:$AC,2,FALSE))="Martin",(VLOOKUP(Table10[[#This Row],[SKU]],'All Skus'!$A:$AC,20,FALSE)),""))</f>
        <v>0</v>
      </c>
      <c r="Q140" s="227">
        <f>(IF((VLOOKUP(Table10[[#This Row],[SKU]],'All Skus'!$A:$AC,2,FALSE))="Martin",(VLOOKUP(Table10[[#This Row],[SKU]],'All Skus'!$A:$AC,21,FALSE)),""))</f>
        <v>0</v>
      </c>
      <c r="R140" s="224" t="str">
        <f>(IF((VLOOKUP(Table10[[#This Row],[SKU]],'All Skus'!$A:$AC,2,FALSE))="Martin",(VLOOKUP(Table10[[#This Row],[SKU]],'All Skus'!$A:$AC,22,FALSE)),""))</f>
        <v>GB</v>
      </c>
      <c r="S140" s="223">
        <f>(IF((VLOOKUP(Table10[[#This Row],[SKU]],'All Skus'!$A:$AC,2,FALSE))="Martin",(VLOOKUP(Table10[[#This Row],[SKU]],'All Skus'!$A:$AC,23,FALSE)),""))</f>
        <v>0</v>
      </c>
      <c r="T140" s="212" t="str">
        <f>HYPERLINK((IF((VLOOKUP(Table10[[#This Row],[SKU]],'All Skus'!$A:$AC,2,FALSE))="Martin",(VLOOKUP(Table10[[#This Row],[SKU]],'All Skus'!$A:$AC,24,FALSE)),"")))</f>
        <v/>
      </c>
      <c r="U140" s="228">
        <v>138</v>
      </c>
    </row>
    <row r="141" spans="1:21">
      <c r="A141" s="112">
        <v>97120844</v>
      </c>
      <c r="B141" s="224" t="str">
        <f>(IF((VLOOKUP(Table10[[#This Row],[SKU]],'All Skus'!$A:$AC,2,FALSE))="Martin",(VLOOKUP(Table10[[#This Row],[SKU]],'All Skus'!$A:$AC,3,FALSE)),""))</f>
        <v>Atmospheric Effects</v>
      </c>
      <c r="C141" s="223" t="str">
        <f>(IF((VLOOKUP(Table10[[#This Row],[SKU]],'All Skus'!$A:$AC,2,FALSE))="Martin",(VLOOKUP(Table10[[#This Row],[SKU]],'All Skus'!$A:$AC,4,FALSE)),""))</f>
        <v>JEM Low-Fog Fluid, 220 l</v>
      </c>
      <c r="D141" s="224" t="str">
        <f>(IF((VLOOKUP(Table10[[#This Row],[SKU]],'All Skus'!$A:$AC,2,FALSE))="Martin",(VLOOKUP(Table10[[#This Row],[SKU]],'All Skus'!$A:$AC,5,FALSE)),""))</f>
        <v>MAR-FLUID</v>
      </c>
      <c r="E141" s="223">
        <f>(IF((VLOOKUP(Table10[[#This Row],[SKU]],'All Skus'!$A:$AC,2,FALSE))="Martin",(VLOOKUP(Table10[[#This Row],[SKU]],'All Skus'!$A:$AC,6,FALSE)),""))</f>
        <v>0</v>
      </c>
      <c r="F141" s="155">
        <f>(IF((VLOOKUP(Table10[[#This Row],[SKU]],'All Skus'!$A:$AC,2,FALSE))="Martin",(VLOOKUP(Table10[[#This Row],[SKU]],'All Skus'!$A:$AC,7,FALSE)),""))</f>
        <v>0</v>
      </c>
      <c r="G141" s="223" t="str">
        <f>(IF((VLOOKUP(Table10[[#This Row],[SKU]],'All Skus'!$A:$AC,2,FALSE))="Martin",(VLOOKUP(Table10[[#This Row],[SKU]],'All Skus'!$A:$AC,8,FALSE)),""))</f>
        <v>JEM Low-Fog Fluid, 220 l</v>
      </c>
      <c r="H141" s="223" t="str">
        <f>(IF((VLOOKUP(Table10[[#This Row],[SKU]],'All Skus'!$A:$AC,2,FALSE))="Martin",(VLOOKUP(Table10[[#This Row],[SKU]],'All Skus'!$A:$AC,9,FALSE)),""))</f>
        <v>JEM Low-Fog Fluid, 220 l</v>
      </c>
      <c r="I141" s="225">
        <f>(IF((VLOOKUP(Table10[[#This Row],[SKU]],'All Skus'!$A:$AC,2,FALSE))="Martin",(VLOOKUP(Table10[[#This Row],[SKU]],'All Skus'!$A:$AC,10,FALSE)),""))</f>
        <v>2243.04</v>
      </c>
      <c r="J141" s="226">
        <f>(IF((VLOOKUP(Table10[[#This Row],[SKU]],'All Skus'!$A:$AC,2,FALSE))="Martin",(VLOOKUP(Table10[[#This Row],[SKU]],'All Skus'!$A:$AC,11,FALSE)),""))</f>
        <v>2243.04</v>
      </c>
      <c r="K141" s="224">
        <f>(IF((VLOOKUP(Table10[[#This Row],[SKU]],'All Skus'!$A:$AC,2,FALSE))="Martin",(VLOOKUP(Table10[[#This Row],[SKU]],'All Skus'!$A:$AC,15,FALSE)),""))</f>
        <v>0</v>
      </c>
      <c r="L141" s="224">
        <f>(IF((VLOOKUP(Table10[[#This Row],[SKU]],'All Skus'!$A:$AC,2,FALSE))="Martin",(VLOOKUP(Table10[[#This Row],[SKU]],'All Skus'!$A:$AC,16,FALSE)),""))</f>
        <v>688705003474</v>
      </c>
      <c r="M141" s="224">
        <f>(IF((VLOOKUP(Table10[[#This Row],[SKU]],'All Skus'!$A:$AC,2,FALSE))="Martin",(VLOOKUP(Table10[[#This Row],[SKU]],'All Skus'!$A:$AC,17,FALSE)),""))</f>
        <v>0</v>
      </c>
      <c r="N141" s="227">
        <f>(IF((VLOOKUP(Table10[[#This Row],[SKU]],'All Skus'!$A:$AC,2,FALSE))="Martin",(VLOOKUP(Table10[[#This Row],[SKU]],'All Skus'!$A:$AC,18,FALSE)),""))</f>
        <v>23.7</v>
      </c>
      <c r="O141" s="227">
        <f>(IF((VLOOKUP(Table10[[#This Row],[SKU]],'All Skus'!$A:$AC,2,FALSE))="Martin",(VLOOKUP(Table10[[#This Row],[SKU]],'All Skus'!$A:$AC,19,FALSE)),""))</f>
        <v>23.7</v>
      </c>
      <c r="P141" s="227">
        <f>(IF((VLOOKUP(Table10[[#This Row],[SKU]],'All Skus'!$A:$AC,2,FALSE))="Martin",(VLOOKUP(Table10[[#This Row],[SKU]],'All Skus'!$A:$AC,20,FALSE)),""))</f>
        <v>0</v>
      </c>
      <c r="Q141" s="227">
        <f>(IF((VLOOKUP(Table10[[#This Row],[SKU]],'All Skus'!$A:$AC,2,FALSE))="Martin",(VLOOKUP(Table10[[#This Row],[SKU]],'All Skus'!$A:$AC,21,FALSE)),""))</f>
        <v>0</v>
      </c>
      <c r="R141" s="224" t="str">
        <f>(IF((VLOOKUP(Table10[[#This Row],[SKU]],'All Skus'!$A:$AC,2,FALSE))="Martin",(VLOOKUP(Table10[[#This Row],[SKU]],'All Skus'!$A:$AC,22,FALSE)),""))</f>
        <v>GB</v>
      </c>
      <c r="S141" s="223">
        <f>(IF((VLOOKUP(Table10[[#This Row],[SKU]],'All Skus'!$A:$AC,2,FALSE))="Martin",(VLOOKUP(Table10[[#This Row],[SKU]],'All Skus'!$A:$AC,23,FALSE)),""))</f>
        <v>0</v>
      </c>
      <c r="T141" s="212" t="str">
        <f>HYPERLINK((IF((VLOOKUP(Table10[[#This Row],[SKU]],'All Skus'!$A:$AC,2,FALSE))="Martin",(VLOOKUP(Table10[[#This Row],[SKU]],'All Skus'!$A:$AC,24,FALSE)),"")))</f>
        <v>http://www.martin.com/en-us/product-details/jem-low-fog-fluid</v>
      </c>
      <c r="U141" s="228">
        <v>139</v>
      </c>
    </row>
    <row r="142" spans="1:21" hidden="1">
      <c r="A142" s="115" t="s">
        <v>1986</v>
      </c>
      <c r="B142" s="224">
        <f>(IF((VLOOKUP(Table10[[#This Row],[SKU]],'All Skus'!$A:$AC,2,FALSE))="Martin",(VLOOKUP(Table10[[#This Row],[SKU]],'All Skus'!$A:$AC,3,FALSE)),""))</f>
        <v>0</v>
      </c>
      <c r="C142" s="223">
        <f>(IF((VLOOKUP(Table10[[#This Row],[SKU]],'All Skus'!$A:$AC,2,FALSE))="Martin",(VLOOKUP(Table10[[#This Row],[SKU]],'All Skus'!$A:$AC,4,FALSE)),""))</f>
        <v>0</v>
      </c>
      <c r="D142" s="224">
        <f>(IF((VLOOKUP(Table10[[#This Row],[SKU]],'All Skus'!$A:$AC,2,FALSE))="Martin",(VLOOKUP(Table10[[#This Row],[SKU]],'All Skus'!$A:$AC,5,FALSE)),""))</f>
        <v>0</v>
      </c>
      <c r="E142" s="223">
        <f>(IF((VLOOKUP(Table10[[#This Row],[SKU]],'All Skus'!$A:$AC,2,FALSE))="Martin",(VLOOKUP(Table10[[#This Row],[SKU]],'All Skus'!$A:$AC,6,FALSE)),""))</f>
        <v>0</v>
      </c>
      <c r="F142" s="155">
        <f>(IF((VLOOKUP(Table10[[#This Row],[SKU]],'All Skus'!$A:$AC,2,FALSE))="Martin",(VLOOKUP(Table10[[#This Row],[SKU]],'All Skus'!$A:$AC,7,FALSE)),""))</f>
        <v>0</v>
      </c>
      <c r="G142" s="223">
        <f>(IF((VLOOKUP(Table10[[#This Row],[SKU]],'All Skus'!$A:$AC,2,FALSE))="Martin",(VLOOKUP(Table10[[#This Row],[SKU]],'All Skus'!$A:$AC,8,FALSE)),""))</f>
        <v>0</v>
      </c>
      <c r="H142" s="223">
        <f>(IF((VLOOKUP(Table10[[#This Row],[SKU]],'All Skus'!$A:$AC,2,FALSE))="Martin",(VLOOKUP(Table10[[#This Row],[SKU]],'All Skus'!$A:$AC,9,FALSE)),""))</f>
        <v>0</v>
      </c>
      <c r="I142" s="225">
        <f>(IF((VLOOKUP(Table10[[#This Row],[SKU]],'All Skus'!$A:$AC,2,FALSE))="Martin",(VLOOKUP(Table10[[#This Row],[SKU]],'All Skus'!$A:$AC,10,FALSE)),""))</f>
        <v>0</v>
      </c>
      <c r="J142" s="226">
        <f>(IF((VLOOKUP(Table10[[#This Row],[SKU]],'All Skus'!$A:$AC,2,FALSE))="Martin",(VLOOKUP(Table10[[#This Row],[SKU]],'All Skus'!$A:$AC,11,FALSE)),""))</f>
        <v>0</v>
      </c>
      <c r="K142" s="224">
        <f>(IF((VLOOKUP(Table10[[#This Row],[SKU]],'All Skus'!$A:$AC,2,FALSE))="Martin",(VLOOKUP(Table10[[#This Row],[SKU]],'All Skus'!$A:$AC,15,FALSE)),""))</f>
        <v>0</v>
      </c>
      <c r="L142" s="224">
        <f>(IF((VLOOKUP(Table10[[#This Row],[SKU]],'All Skus'!$A:$AC,2,FALSE))="Martin",(VLOOKUP(Table10[[#This Row],[SKU]],'All Skus'!$A:$AC,16,FALSE)),""))</f>
        <v>0</v>
      </c>
      <c r="M142" s="224">
        <f>(IF((VLOOKUP(Table10[[#This Row],[SKU]],'All Skus'!$A:$AC,2,FALSE))="Martin",(VLOOKUP(Table10[[#This Row],[SKU]],'All Skus'!$A:$AC,17,FALSE)),""))</f>
        <v>0</v>
      </c>
      <c r="N142" s="227">
        <f>(IF((VLOOKUP(Table10[[#This Row],[SKU]],'All Skus'!$A:$AC,2,FALSE))="Martin",(VLOOKUP(Table10[[#This Row],[SKU]],'All Skus'!$A:$AC,18,FALSE)),""))</f>
        <v>0</v>
      </c>
      <c r="O142" s="227">
        <f>(IF((VLOOKUP(Table10[[#This Row],[SKU]],'All Skus'!$A:$AC,2,FALSE))="Martin",(VLOOKUP(Table10[[#This Row],[SKU]],'All Skus'!$A:$AC,19,FALSE)),""))</f>
        <v>0</v>
      </c>
      <c r="P142" s="227">
        <f>(IF((VLOOKUP(Table10[[#This Row],[SKU]],'All Skus'!$A:$AC,2,FALSE))="Martin",(VLOOKUP(Table10[[#This Row],[SKU]],'All Skus'!$A:$AC,20,FALSE)),""))</f>
        <v>0</v>
      </c>
      <c r="Q142" s="227">
        <f>(IF((VLOOKUP(Table10[[#This Row],[SKU]],'All Skus'!$A:$AC,2,FALSE))="Martin",(VLOOKUP(Table10[[#This Row],[SKU]],'All Skus'!$A:$AC,21,FALSE)),""))</f>
        <v>0</v>
      </c>
      <c r="R142" s="224">
        <f>(IF((VLOOKUP(Table10[[#This Row],[SKU]],'All Skus'!$A:$AC,2,FALSE))="Martin",(VLOOKUP(Table10[[#This Row],[SKU]],'All Skus'!$A:$AC,22,FALSE)),""))</f>
        <v>0</v>
      </c>
      <c r="S142" s="223">
        <f>(IF((VLOOKUP(Table10[[#This Row],[SKU]],'All Skus'!$A:$AC,2,FALSE))="Martin",(VLOOKUP(Table10[[#This Row],[SKU]],'All Skus'!$A:$AC,23,FALSE)),""))</f>
        <v>0</v>
      </c>
      <c r="T142" s="212" t="str">
        <f>HYPERLINK((IF((VLOOKUP(Table10[[#This Row],[SKU]],'All Skus'!$A:$AC,2,FALSE))="Martin",(VLOOKUP(Table10[[#This Row],[SKU]],'All Skus'!$A:$AC,24,FALSE)),"")))</f>
        <v/>
      </c>
      <c r="U142" s="228">
        <v>140</v>
      </c>
    </row>
    <row r="143" spans="1:21">
      <c r="A143" s="112">
        <v>97120852</v>
      </c>
      <c r="B143" s="224" t="str">
        <f>(IF((VLOOKUP(Table10[[#This Row],[SKU]],'All Skus'!$A:$AC,2,FALSE))="Martin",(VLOOKUP(Table10[[#This Row],[SKU]],'All Skus'!$A:$AC,3,FALSE)),""))</f>
        <v>Atmospheric Effects</v>
      </c>
      <c r="C143" s="223" t="str">
        <f>(IF((VLOOKUP(Table10[[#This Row],[SKU]],'All Skus'!$A:$AC,2,FALSE))="Martin",(VLOOKUP(Table10[[#This Row],[SKU]],'All Skus'!$A:$AC,4,FALSE)),""))</f>
        <v>JEM Low-Fog Fluid, High Density, 4x 5 l</v>
      </c>
      <c r="D143" s="224" t="str">
        <f>(IF((VLOOKUP(Table10[[#This Row],[SKU]],'All Skus'!$A:$AC,2,FALSE))="Martin",(VLOOKUP(Table10[[#This Row],[SKU]],'All Skus'!$A:$AC,5,FALSE)),""))</f>
        <v>MAR-FLUID</v>
      </c>
      <c r="E143" s="223">
        <f>(IF((VLOOKUP(Table10[[#This Row],[SKU]],'All Skus'!$A:$AC,2,FALSE))="Martin",(VLOOKUP(Table10[[#This Row],[SKU]],'All Skus'!$A:$AC,6,FALSE)),""))</f>
        <v>0</v>
      </c>
      <c r="F143" s="155">
        <f>(IF((VLOOKUP(Table10[[#This Row],[SKU]],'All Skus'!$A:$AC,2,FALSE))="Martin",(VLOOKUP(Table10[[#This Row],[SKU]],'All Skus'!$A:$AC,7,FALSE)),""))</f>
        <v>0</v>
      </c>
      <c r="G143" s="223" t="str">
        <f>(IF((VLOOKUP(Table10[[#This Row],[SKU]],'All Skus'!$A:$AC,2,FALSE))="Martin",(VLOOKUP(Table10[[#This Row],[SKU]],'All Skus'!$A:$AC,8,FALSE)),""))</f>
        <v>JEM Low-Fog Fluid, High Density, 4x 5 l</v>
      </c>
      <c r="H143" s="223" t="str">
        <f>(IF((VLOOKUP(Table10[[#This Row],[SKU]],'All Skus'!$A:$AC,2,FALSE))="Martin",(VLOOKUP(Table10[[#This Row],[SKU]],'All Skus'!$A:$AC,9,FALSE)),""))</f>
        <v>JEM Low-Fog Fluid, High Density, 4x 5 l</v>
      </c>
      <c r="I143" s="225">
        <f>(IF((VLOOKUP(Table10[[#This Row],[SKU]],'All Skus'!$A:$AC,2,FALSE))="Martin",(VLOOKUP(Table10[[#This Row],[SKU]],'All Skus'!$A:$AC,10,FALSE)),""))</f>
        <v>247.18</v>
      </c>
      <c r="J143" s="226">
        <f>(IF((VLOOKUP(Table10[[#This Row],[SKU]],'All Skus'!$A:$AC,2,FALSE))="Martin",(VLOOKUP(Table10[[#This Row],[SKU]],'All Skus'!$A:$AC,11,FALSE)),""))</f>
        <v>247.18</v>
      </c>
      <c r="K143" s="224">
        <f>(IF((VLOOKUP(Table10[[#This Row],[SKU]],'All Skus'!$A:$AC,2,FALSE))="Martin",(VLOOKUP(Table10[[#This Row],[SKU]],'All Skus'!$A:$AC,15,FALSE)),""))</f>
        <v>0</v>
      </c>
      <c r="L143" s="224">
        <f>(IF((VLOOKUP(Table10[[#This Row],[SKU]],'All Skus'!$A:$AC,2,FALSE))="Martin",(VLOOKUP(Table10[[#This Row],[SKU]],'All Skus'!$A:$AC,16,FALSE)),""))</f>
        <v>688705003481</v>
      </c>
      <c r="M143" s="224">
        <f>(IF((VLOOKUP(Table10[[#This Row],[SKU]],'All Skus'!$A:$AC,2,FALSE))="Martin",(VLOOKUP(Table10[[#This Row],[SKU]],'All Skus'!$A:$AC,17,FALSE)),""))</f>
        <v>0</v>
      </c>
      <c r="N143" s="227">
        <f>(IF((VLOOKUP(Table10[[#This Row],[SKU]],'All Skus'!$A:$AC,2,FALSE))="Martin",(VLOOKUP(Table10[[#This Row],[SKU]],'All Skus'!$A:$AC,18,FALSE)),""))</f>
        <v>0</v>
      </c>
      <c r="O143" s="227">
        <f>(IF((VLOOKUP(Table10[[#This Row],[SKU]],'All Skus'!$A:$AC,2,FALSE))="Martin",(VLOOKUP(Table10[[#This Row],[SKU]],'All Skus'!$A:$AC,19,FALSE)),""))</f>
        <v>11.5</v>
      </c>
      <c r="P143" s="227">
        <f>(IF((VLOOKUP(Table10[[#This Row],[SKU]],'All Skus'!$A:$AC,2,FALSE))="Martin",(VLOOKUP(Table10[[#This Row],[SKU]],'All Skus'!$A:$AC,20,FALSE)),""))</f>
        <v>0</v>
      </c>
      <c r="Q143" s="227">
        <f>(IF((VLOOKUP(Table10[[#This Row],[SKU]],'All Skus'!$A:$AC,2,FALSE))="Martin",(VLOOKUP(Table10[[#This Row],[SKU]],'All Skus'!$A:$AC,21,FALSE)),""))</f>
        <v>0</v>
      </c>
      <c r="R143" s="224" t="str">
        <f>(IF((VLOOKUP(Table10[[#This Row],[SKU]],'All Skus'!$A:$AC,2,FALSE))="Martin",(VLOOKUP(Table10[[#This Row],[SKU]],'All Skus'!$A:$AC,22,FALSE)),""))</f>
        <v>GB</v>
      </c>
      <c r="S143" s="223">
        <f>(IF((VLOOKUP(Table10[[#This Row],[SKU]],'All Skus'!$A:$AC,2,FALSE))="Martin",(VLOOKUP(Table10[[#This Row],[SKU]],'All Skus'!$A:$AC,23,FALSE)),""))</f>
        <v>0</v>
      </c>
      <c r="T143" s="212" t="str">
        <f>HYPERLINK((IF((VLOOKUP(Table10[[#This Row],[SKU]],'All Skus'!$A:$AC,2,FALSE))="Martin",(VLOOKUP(Table10[[#This Row],[SKU]],'All Skus'!$A:$AC,24,FALSE)),"")))</f>
        <v/>
      </c>
      <c r="U143" s="228">
        <v>141</v>
      </c>
    </row>
    <row r="144" spans="1:21">
      <c r="A144" s="112">
        <v>97120854</v>
      </c>
      <c r="B144" s="224" t="str">
        <f>(IF((VLOOKUP(Table10[[#This Row],[SKU]],'All Skus'!$A:$AC,2,FALSE))="Martin",(VLOOKUP(Table10[[#This Row],[SKU]],'All Skus'!$A:$AC,3,FALSE)),""))</f>
        <v>Atmospheric Effects</v>
      </c>
      <c r="C144" s="223" t="str">
        <f>(IF((VLOOKUP(Table10[[#This Row],[SKU]],'All Skus'!$A:$AC,2,FALSE))="Martin",(VLOOKUP(Table10[[#This Row],[SKU]],'All Skus'!$A:$AC,4,FALSE)),""))</f>
        <v>JEM Low-Fog Fluid, High Density, 220 l</v>
      </c>
      <c r="D144" s="224" t="str">
        <f>(IF((VLOOKUP(Table10[[#This Row],[SKU]],'All Skus'!$A:$AC,2,FALSE))="Martin",(VLOOKUP(Table10[[#This Row],[SKU]],'All Skus'!$A:$AC,5,FALSE)),""))</f>
        <v>MAR-FLUID</v>
      </c>
      <c r="E144" s="223">
        <f>(IF((VLOOKUP(Table10[[#This Row],[SKU]],'All Skus'!$A:$AC,2,FALSE))="Martin",(VLOOKUP(Table10[[#This Row],[SKU]],'All Skus'!$A:$AC,6,FALSE)),""))</f>
        <v>0</v>
      </c>
      <c r="F144" s="155">
        <f>(IF((VLOOKUP(Table10[[#This Row],[SKU]],'All Skus'!$A:$AC,2,FALSE))="Martin",(VLOOKUP(Table10[[#This Row],[SKU]],'All Skus'!$A:$AC,7,FALSE)),""))</f>
        <v>0</v>
      </c>
      <c r="G144" s="223" t="str">
        <f>(IF((VLOOKUP(Table10[[#This Row],[SKU]],'All Skus'!$A:$AC,2,FALSE))="Martin",(VLOOKUP(Table10[[#This Row],[SKU]],'All Skus'!$A:$AC,8,FALSE)),""))</f>
        <v>JEM Low-Fog Fluid, High Density, 220 l</v>
      </c>
      <c r="H144" s="223" t="str">
        <f>(IF((VLOOKUP(Table10[[#This Row],[SKU]],'All Skus'!$A:$AC,2,FALSE))="Martin",(VLOOKUP(Table10[[#This Row],[SKU]],'All Skus'!$A:$AC,9,FALSE)),""))</f>
        <v>JEM Low-Fog Fluid, High Density, 220 l</v>
      </c>
      <c r="I144" s="225">
        <f>(IF((VLOOKUP(Table10[[#This Row],[SKU]],'All Skus'!$A:$AC,2,FALSE))="Martin",(VLOOKUP(Table10[[#This Row],[SKU]],'All Skus'!$A:$AC,10,FALSE)),""))</f>
        <v>2478.39</v>
      </c>
      <c r="J144" s="226">
        <f>(IF((VLOOKUP(Table10[[#This Row],[SKU]],'All Skus'!$A:$AC,2,FALSE))="Martin",(VLOOKUP(Table10[[#This Row],[SKU]],'All Skus'!$A:$AC,11,FALSE)),""))</f>
        <v>2478.39</v>
      </c>
      <c r="K144" s="224">
        <f>(IF((VLOOKUP(Table10[[#This Row],[SKU]],'All Skus'!$A:$AC,2,FALSE))="Martin",(VLOOKUP(Table10[[#This Row],[SKU]],'All Skus'!$A:$AC,15,FALSE)),""))</f>
        <v>0</v>
      </c>
      <c r="L144" s="224">
        <f>(IF((VLOOKUP(Table10[[#This Row],[SKU]],'All Skus'!$A:$AC,2,FALSE))="Martin",(VLOOKUP(Table10[[#This Row],[SKU]],'All Skus'!$A:$AC,16,FALSE)),""))</f>
        <v>688705003504</v>
      </c>
      <c r="M144" s="224">
        <f>(IF((VLOOKUP(Table10[[#This Row],[SKU]],'All Skus'!$A:$AC,2,FALSE))="Martin",(VLOOKUP(Table10[[#This Row],[SKU]],'All Skus'!$A:$AC,17,FALSE)),""))</f>
        <v>0</v>
      </c>
      <c r="N144" s="227">
        <f>(IF((VLOOKUP(Table10[[#This Row],[SKU]],'All Skus'!$A:$AC,2,FALSE))="Martin",(VLOOKUP(Table10[[#This Row],[SKU]],'All Skus'!$A:$AC,18,FALSE)),""))</f>
        <v>23.7</v>
      </c>
      <c r="O144" s="227">
        <f>(IF((VLOOKUP(Table10[[#This Row],[SKU]],'All Skus'!$A:$AC,2,FALSE))="Martin",(VLOOKUP(Table10[[#This Row],[SKU]],'All Skus'!$A:$AC,19,FALSE)),""))</f>
        <v>23.7</v>
      </c>
      <c r="P144" s="227">
        <f>(IF((VLOOKUP(Table10[[#This Row],[SKU]],'All Skus'!$A:$AC,2,FALSE))="Martin",(VLOOKUP(Table10[[#This Row],[SKU]],'All Skus'!$A:$AC,20,FALSE)),""))</f>
        <v>0</v>
      </c>
      <c r="Q144" s="227">
        <f>(IF((VLOOKUP(Table10[[#This Row],[SKU]],'All Skus'!$A:$AC,2,FALSE))="Martin",(VLOOKUP(Table10[[#This Row],[SKU]],'All Skus'!$A:$AC,21,FALSE)),""))</f>
        <v>0</v>
      </c>
      <c r="R144" s="224" t="str">
        <f>(IF((VLOOKUP(Table10[[#This Row],[SKU]],'All Skus'!$A:$AC,2,FALSE))="Martin",(VLOOKUP(Table10[[#This Row],[SKU]],'All Skus'!$A:$AC,22,FALSE)),""))</f>
        <v>GB</v>
      </c>
      <c r="S144" s="223">
        <f>(IF((VLOOKUP(Table10[[#This Row],[SKU]],'All Skus'!$A:$AC,2,FALSE))="Martin",(VLOOKUP(Table10[[#This Row],[SKU]],'All Skus'!$A:$AC,23,FALSE)),""))</f>
        <v>0</v>
      </c>
      <c r="T144" s="212" t="str">
        <f>HYPERLINK((IF((VLOOKUP(Table10[[#This Row],[SKU]],'All Skus'!$A:$AC,2,FALSE))="Martin",(VLOOKUP(Table10[[#This Row],[SKU]],'All Skus'!$A:$AC,24,FALSE)),"")))</f>
        <v>http://www.martin.com/en-us/product-details/jem-low-fog-fluid--high-density</v>
      </c>
      <c r="U144" s="228">
        <v>142</v>
      </c>
    </row>
    <row r="145" spans="1:21" hidden="1">
      <c r="A145" s="115" t="s">
        <v>1987</v>
      </c>
      <c r="B145" s="224">
        <f>(IF((VLOOKUP(Table10[[#This Row],[SKU]],'All Skus'!$A:$AC,2,FALSE))="Martin",(VLOOKUP(Table10[[#This Row],[SKU]],'All Skus'!$A:$AC,3,FALSE)),""))</f>
        <v>0</v>
      </c>
      <c r="C145" s="223">
        <f>(IF((VLOOKUP(Table10[[#This Row],[SKU]],'All Skus'!$A:$AC,2,FALSE))="Martin",(VLOOKUP(Table10[[#This Row],[SKU]],'All Skus'!$A:$AC,4,FALSE)),""))</f>
        <v>0</v>
      </c>
      <c r="D145" s="224">
        <f>(IF((VLOOKUP(Table10[[#This Row],[SKU]],'All Skus'!$A:$AC,2,FALSE))="Martin",(VLOOKUP(Table10[[#This Row],[SKU]],'All Skus'!$A:$AC,5,FALSE)),""))</f>
        <v>0</v>
      </c>
      <c r="E145" s="223">
        <f>(IF((VLOOKUP(Table10[[#This Row],[SKU]],'All Skus'!$A:$AC,2,FALSE))="Martin",(VLOOKUP(Table10[[#This Row],[SKU]],'All Skus'!$A:$AC,6,FALSE)),""))</f>
        <v>0</v>
      </c>
      <c r="F145" s="155">
        <f>(IF((VLOOKUP(Table10[[#This Row],[SKU]],'All Skus'!$A:$AC,2,FALSE))="Martin",(VLOOKUP(Table10[[#This Row],[SKU]],'All Skus'!$A:$AC,7,FALSE)),""))</f>
        <v>0</v>
      </c>
      <c r="G145" s="223">
        <f>(IF((VLOOKUP(Table10[[#This Row],[SKU]],'All Skus'!$A:$AC,2,FALSE))="Martin",(VLOOKUP(Table10[[#This Row],[SKU]],'All Skus'!$A:$AC,8,FALSE)),""))</f>
        <v>0</v>
      </c>
      <c r="H145" s="223">
        <f>(IF((VLOOKUP(Table10[[#This Row],[SKU]],'All Skus'!$A:$AC,2,FALSE))="Martin",(VLOOKUP(Table10[[#This Row],[SKU]],'All Skus'!$A:$AC,9,FALSE)),""))</f>
        <v>0</v>
      </c>
      <c r="I145" s="225">
        <f>(IF((VLOOKUP(Table10[[#This Row],[SKU]],'All Skus'!$A:$AC,2,FALSE))="Martin",(VLOOKUP(Table10[[#This Row],[SKU]],'All Skus'!$A:$AC,10,FALSE)),""))</f>
        <v>0</v>
      </c>
      <c r="J145" s="226">
        <f>(IF((VLOOKUP(Table10[[#This Row],[SKU]],'All Skus'!$A:$AC,2,FALSE))="Martin",(VLOOKUP(Table10[[#This Row],[SKU]],'All Skus'!$A:$AC,11,FALSE)),""))</f>
        <v>0</v>
      </c>
      <c r="K145" s="224">
        <f>(IF((VLOOKUP(Table10[[#This Row],[SKU]],'All Skus'!$A:$AC,2,FALSE))="Martin",(VLOOKUP(Table10[[#This Row],[SKU]],'All Skus'!$A:$AC,15,FALSE)),""))</f>
        <v>0</v>
      </c>
      <c r="L145" s="224">
        <f>(IF((VLOOKUP(Table10[[#This Row],[SKU]],'All Skus'!$A:$AC,2,FALSE))="Martin",(VLOOKUP(Table10[[#This Row],[SKU]],'All Skus'!$A:$AC,16,FALSE)),""))</f>
        <v>0</v>
      </c>
      <c r="M145" s="224">
        <f>(IF((VLOOKUP(Table10[[#This Row],[SKU]],'All Skus'!$A:$AC,2,FALSE))="Martin",(VLOOKUP(Table10[[#This Row],[SKU]],'All Skus'!$A:$AC,17,FALSE)),""))</f>
        <v>0</v>
      </c>
      <c r="N145" s="227">
        <f>(IF((VLOOKUP(Table10[[#This Row],[SKU]],'All Skus'!$A:$AC,2,FALSE))="Martin",(VLOOKUP(Table10[[#This Row],[SKU]],'All Skus'!$A:$AC,18,FALSE)),""))</f>
        <v>0</v>
      </c>
      <c r="O145" s="227">
        <f>(IF((VLOOKUP(Table10[[#This Row],[SKU]],'All Skus'!$A:$AC,2,FALSE))="Martin",(VLOOKUP(Table10[[#This Row],[SKU]],'All Skus'!$A:$AC,19,FALSE)),""))</f>
        <v>0</v>
      </c>
      <c r="P145" s="227">
        <f>(IF((VLOOKUP(Table10[[#This Row],[SKU]],'All Skus'!$A:$AC,2,FALSE))="Martin",(VLOOKUP(Table10[[#This Row],[SKU]],'All Skus'!$A:$AC,20,FALSE)),""))</f>
        <v>0</v>
      </c>
      <c r="Q145" s="227">
        <f>(IF((VLOOKUP(Table10[[#This Row],[SKU]],'All Skus'!$A:$AC,2,FALSE))="Martin",(VLOOKUP(Table10[[#This Row],[SKU]],'All Skus'!$A:$AC,21,FALSE)),""))</f>
        <v>0</v>
      </c>
      <c r="R145" s="224">
        <f>(IF((VLOOKUP(Table10[[#This Row],[SKU]],'All Skus'!$A:$AC,2,FALSE))="Martin",(VLOOKUP(Table10[[#This Row],[SKU]],'All Skus'!$A:$AC,22,FALSE)),""))</f>
        <v>0</v>
      </c>
      <c r="S145" s="223">
        <f>(IF((VLOOKUP(Table10[[#This Row],[SKU]],'All Skus'!$A:$AC,2,FALSE))="Martin",(VLOOKUP(Table10[[#This Row],[SKU]],'All Skus'!$A:$AC,23,FALSE)),""))</f>
        <v>0</v>
      </c>
      <c r="T145" s="212" t="str">
        <f>HYPERLINK((IF((VLOOKUP(Table10[[#This Row],[SKU]],'All Skus'!$A:$AC,2,FALSE))="Martin",(VLOOKUP(Table10[[#This Row],[SKU]],'All Skus'!$A:$AC,24,FALSE)),"")))</f>
        <v/>
      </c>
      <c r="U145" s="228">
        <v>143</v>
      </c>
    </row>
    <row r="146" spans="1:21" hidden="1">
      <c r="A146" s="112">
        <v>97120073</v>
      </c>
      <c r="B146" s="224" t="str">
        <f>(IF((VLOOKUP(Table10[[#This Row],[SKU]],'All Skus'!$A:$AC,2,FALSE))="Martin",(VLOOKUP(Table10[[#This Row],[SKU]],'All Skus'!$A:$AC,3,FALSE)),""))</f>
        <v>Atmospheric Effects</v>
      </c>
      <c r="C146" s="223" t="str">
        <f>(IF((VLOOKUP(Table10[[#This Row],[SKU]],'All Skus'!$A:$AC,2,FALSE))="Martin",(VLOOKUP(Table10[[#This Row],[SKU]],'All Skus'!$A:$AC,4,FALSE)),""))</f>
        <v>RUSH &amp; THRILL Fog  Fluid, 4x 2.5 l</v>
      </c>
      <c r="D146" s="224" t="str">
        <f>(IF((VLOOKUP(Table10[[#This Row],[SKU]],'All Skus'!$A:$AC,2,FALSE))="Martin",(VLOOKUP(Table10[[#This Row],[SKU]],'All Skus'!$A:$AC,5,FALSE)),""))</f>
        <v>MAR-FLUID</v>
      </c>
      <c r="E146" s="223">
        <f>(IF((VLOOKUP(Table10[[#This Row],[SKU]],'All Skus'!$A:$AC,2,FALSE))="Martin",(VLOOKUP(Table10[[#This Row],[SKU]],'All Skus'!$A:$AC,6,FALSE)),""))</f>
        <v>0</v>
      </c>
      <c r="F146" s="155">
        <f>(IF((VLOOKUP(Table10[[#This Row],[SKU]],'All Skus'!$A:$AC,2,FALSE))="Martin",(VLOOKUP(Table10[[#This Row],[SKU]],'All Skus'!$A:$AC,7,FALSE)),""))</f>
        <v>0</v>
      </c>
      <c r="G146" s="223" t="str">
        <f>(IF((VLOOKUP(Table10[[#This Row],[SKU]],'All Skus'!$A:$AC,2,FALSE))="Martin",(VLOOKUP(Table10[[#This Row],[SKU]],'All Skus'!$A:$AC,8,FALSE)),""))</f>
        <v>RUSH &amp; THRILL Fog  Fluid, 4x 2.5 l</v>
      </c>
      <c r="H146" s="223" t="str">
        <f>(IF((VLOOKUP(Table10[[#This Row],[SKU]],'All Skus'!$A:$AC,2,FALSE))="Martin",(VLOOKUP(Table10[[#This Row],[SKU]],'All Skus'!$A:$AC,9,FALSE)),""))</f>
        <v>RUSH &amp; THRILL Fog  Fluid, 4x 2.5 l</v>
      </c>
      <c r="I146" s="225">
        <f>(IF((VLOOKUP(Table10[[#This Row],[SKU]],'All Skus'!$A:$AC,2,FALSE))="Martin",(VLOOKUP(Table10[[#This Row],[SKU]],'All Skus'!$A:$AC,10,FALSE)),""))</f>
        <v>74.94</v>
      </c>
      <c r="J146" s="226">
        <f>(IF((VLOOKUP(Table10[[#This Row],[SKU]],'All Skus'!$A:$AC,2,FALSE))="Martin",(VLOOKUP(Table10[[#This Row],[SKU]],'All Skus'!$A:$AC,11,FALSE)),""))</f>
        <v>74.94</v>
      </c>
      <c r="K146" s="224">
        <f>(IF((VLOOKUP(Table10[[#This Row],[SKU]],'All Skus'!$A:$AC,2,FALSE))="Martin",(VLOOKUP(Table10[[#This Row],[SKU]],'All Skus'!$A:$AC,15,FALSE)),""))</f>
        <v>0</v>
      </c>
      <c r="L146" s="224">
        <f>(IF((VLOOKUP(Table10[[#This Row],[SKU]],'All Skus'!$A:$AC,2,FALSE))="Martin",(VLOOKUP(Table10[[#This Row],[SKU]],'All Skus'!$A:$AC,16,FALSE)),""))</f>
        <v>688705002729</v>
      </c>
      <c r="M146" s="224">
        <f>(IF((VLOOKUP(Table10[[#This Row],[SKU]],'All Skus'!$A:$AC,2,FALSE))="Martin",(VLOOKUP(Table10[[#This Row],[SKU]],'All Skus'!$A:$AC,17,FALSE)),""))</f>
        <v>0</v>
      </c>
      <c r="N146" s="227">
        <f>(IF((VLOOKUP(Table10[[#This Row],[SKU]],'All Skus'!$A:$AC,2,FALSE))="Martin",(VLOOKUP(Table10[[#This Row],[SKU]],'All Skus'!$A:$AC,18,FALSE)),""))</f>
        <v>10.25</v>
      </c>
      <c r="O146" s="227">
        <f>(IF((VLOOKUP(Table10[[#This Row],[SKU]],'All Skus'!$A:$AC,2,FALSE))="Martin",(VLOOKUP(Table10[[#This Row],[SKU]],'All Skus'!$A:$AC,19,FALSE)),""))</f>
        <v>10.25</v>
      </c>
      <c r="P146" s="227">
        <f>(IF((VLOOKUP(Table10[[#This Row],[SKU]],'All Skus'!$A:$AC,2,FALSE))="Martin",(VLOOKUP(Table10[[#This Row],[SKU]],'All Skus'!$A:$AC,20,FALSE)),""))</f>
        <v>0</v>
      </c>
      <c r="Q146" s="227">
        <f>(IF((VLOOKUP(Table10[[#This Row],[SKU]],'All Skus'!$A:$AC,2,FALSE))="Martin",(VLOOKUP(Table10[[#This Row],[SKU]],'All Skus'!$A:$AC,21,FALSE)),""))</f>
        <v>0</v>
      </c>
      <c r="R146" s="224" t="str">
        <f>(IF((VLOOKUP(Table10[[#This Row],[SKU]],'All Skus'!$A:$AC,2,FALSE))="Martin",(VLOOKUP(Table10[[#This Row],[SKU]],'All Skus'!$A:$AC,22,FALSE)),""))</f>
        <v>GB</v>
      </c>
      <c r="S146" s="223">
        <f>(IF((VLOOKUP(Table10[[#This Row],[SKU]],'All Skus'!$A:$AC,2,FALSE))="Martin",(VLOOKUP(Table10[[#This Row],[SKU]],'All Skus'!$A:$AC,23,FALSE)),""))</f>
        <v>0</v>
      </c>
      <c r="T146" s="212" t="str">
        <f>HYPERLINK((IF((VLOOKUP(Table10[[#This Row],[SKU]],'All Skus'!$A:$AC,2,FALSE))="Martin",(VLOOKUP(Table10[[#This Row],[SKU]],'All Skus'!$A:$AC,24,FALSE)),"")))</f>
        <v/>
      </c>
      <c r="U146" s="228">
        <v>144</v>
      </c>
    </row>
    <row r="147" spans="1:21" hidden="1">
      <c r="A147" s="112">
        <v>97120074</v>
      </c>
      <c r="B147" s="224" t="str">
        <f>(IF((VLOOKUP(Table10[[#This Row],[SKU]],'All Skus'!$A:$AC,2,FALSE))="Martin",(VLOOKUP(Table10[[#This Row],[SKU]],'All Skus'!$A:$AC,3,FALSE)),""))</f>
        <v>Atmospheric Effects</v>
      </c>
      <c r="C147" s="223" t="str">
        <f>(IF((VLOOKUP(Table10[[#This Row],[SKU]],'All Skus'!$A:$AC,2,FALSE))="Martin",(VLOOKUP(Table10[[#This Row],[SKU]],'All Skus'!$A:$AC,4,FALSE)),""))</f>
        <v>RUSH &amp; THRILL Fog  Fluid, 4x 5 l</v>
      </c>
      <c r="D147" s="224" t="str">
        <f>(IF((VLOOKUP(Table10[[#This Row],[SKU]],'All Skus'!$A:$AC,2,FALSE))="Martin",(VLOOKUP(Table10[[#This Row],[SKU]],'All Skus'!$A:$AC,5,FALSE)),""))</f>
        <v>MAR-FLUID</v>
      </c>
      <c r="E147" s="223">
        <f>(IF((VLOOKUP(Table10[[#This Row],[SKU]],'All Skus'!$A:$AC,2,FALSE))="Martin",(VLOOKUP(Table10[[#This Row],[SKU]],'All Skus'!$A:$AC,6,FALSE)),""))</f>
        <v>0</v>
      </c>
      <c r="F147" s="155">
        <f>(IF((VLOOKUP(Table10[[#This Row],[SKU]],'All Skus'!$A:$AC,2,FALSE))="Martin",(VLOOKUP(Table10[[#This Row],[SKU]],'All Skus'!$A:$AC,7,FALSE)),""))</f>
        <v>0</v>
      </c>
      <c r="G147" s="223" t="str">
        <f>(IF((VLOOKUP(Table10[[#This Row],[SKU]],'All Skus'!$A:$AC,2,FALSE))="Martin",(VLOOKUP(Table10[[#This Row],[SKU]],'All Skus'!$A:$AC,8,FALSE)),""))</f>
        <v>RUSH &amp; THRILL Fog  Fluid, 4x 5 l</v>
      </c>
      <c r="H147" s="223" t="str">
        <f>(IF((VLOOKUP(Table10[[#This Row],[SKU]],'All Skus'!$A:$AC,2,FALSE))="Martin",(VLOOKUP(Table10[[#This Row],[SKU]],'All Skus'!$A:$AC,9,FALSE)),""))</f>
        <v>RUSH &amp; THRILL Fog  Fluid, 4x 5 l</v>
      </c>
      <c r="I147" s="225">
        <f>(IF((VLOOKUP(Table10[[#This Row],[SKU]],'All Skus'!$A:$AC,2,FALSE))="Martin",(VLOOKUP(Table10[[#This Row],[SKU]],'All Skus'!$A:$AC,10,FALSE)),""))</f>
        <v>136.74</v>
      </c>
      <c r="J147" s="226">
        <f>(IF((VLOOKUP(Table10[[#This Row],[SKU]],'All Skus'!$A:$AC,2,FALSE))="Martin",(VLOOKUP(Table10[[#This Row],[SKU]],'All Skus'!$A:$AC,11,FALSE)),""))</f>
        <v>136.74</v>
      </c>
      <c r="K147" s="224">
        <f>(IF((VLOOKUP(Table10[[#This Row],[SKU]],'All Skus'!$A:$AC,2,FALSE))="Martin",(VLOOKUP(Table10[[#This Row],[SKU]],'All Skus'!$A:$AC,15,FALSE)),""))</f>
        <v>0</v>
      </c>
      <c r="L147" s="224">
        <f>(IF((VLOOKUP(Table10[[#This Row],[SKU]],'All Skus'!$A:$AC,2,FALSE))="Martin",(VLOOKUP(Table10[[#This Row],[SKU]],'All Skus'!$A:$AC,16,FALSE)),""))</f>
        <v>688705002736</v>
      </c>
      <c r="M147" s="224">
        <f>(IF((VLOOKUP(Table10[[#This Row],[SKU]],'All Skus'!$A:$AC,2,FALSE))="Martin",(VLOOKUP(Table10[[#This Row],[SKU]],'All Skus'!$A:$AC,17,FALSE)),""))</f>
        <v>0</v>
      </c>
      <c r="N147" s="227">
        <f>(IF((VLOOKUP(Table10[[#This Row],[SKU]],'All Skus'!$A:$AC,2,FALSE))="Martin",(VLOOKUP(Table10[[#This Row],[SKU]],'All Skus'!$A:$AC,18,FALSE)),""))</f>
        <v>0</v>
      </c>
      <c r="O147" s="227">
        <f>(IF((VLOOKUP(Table10[[#This Row],[SKU]],'All Skus'!$A:$AC,2,FALSE))="Martin",(VLOOKUP(Table10[[#This Row],[SKU]],'All Skus'!$A:$AC,19,FALSE)),""))</f>
        <v>11.5</v>
      </c>
      <c r="P147" s="227">
        <f>(IF((VLOOKUP(Table10[[#This Row],[SKU]],'All Skus'!$A:$AC,2,FALSE))="Martin",(VLOOKUP(Table10[[#This Row],[SKU]],'All Skus'!$A:$AC,20,FALSE)),""))</f>
        <v>0</v>
      </c>
      <c r="Q147" s="227">
        <f>(IF((VLOOKUP(Table10[[#This Row],[SKU]],'All Skus'!$A:$AC,2,FALSE))="Martin",(VLOOKUP(Table10[[#This Row],[SKU]],'All Skus'!$A:$AC,21,FALSE)),""))</f>
        <v>0</v>
      </c>
      <c r="R147" s="224" t="str">
        <f>(IF((VLOOKUP(Table10[[#This Row],[SKU]],'All Skus'!$A:$AC,2,FALSE))="Martin",(VLOOKUP(Table10[[#This Row],[SKU]],'All Skus'!$A:$AC,22,FALSE)),""))</f>
        <v>GB</v>
      </c>
      <c r="S147" s="223">
        <f>(IF((VLOOKUP(Table10[[#This Row],[SKU]],'All Skus'!$A:$AC,2,FALSE))="Martin",(VLOOKUP(Table10[[#This Row],[SKU]],'All Skus'!$A:$AC,23,FALSE)),""))</f>
        <v>0</v>
      </c>
      <c r="T147" s="212" t="str">
        <f>HYPERLINK((IF((VLOOKUP(Table10[[#This Row],[SKU]],'All Skus'!$A:$AC,2,FALSE))="Martin",(VLOOKUP(Table10[[#This Row],[SKU]],'All Skus'!$A:$AC,24,FALSE)),"")))</f>
        <v>http://www.martin.com/en-us/product-details/rush-thrill-fog-fluid</v>
      </c>
      <c r="U147" s="228">
        <v>145</v>
      </c>
    </row>
    <row r="148" spans="1:21" hidden="1">
      <c r="A148" s="115" t="s">
        <v>1988</v>
      </c>
      <c r="B148" s="224">
        <f>(IF((VLOOKUP(Table10[[#This Row],[SKU]],'All Skus'!$A:$AC,2,FALSE))="Martin",(VLOOKUP(Table10[[#This Row],[SKU]],'All Skus'!$A:$AC,3,FALSE)),""))</f>
        <v>0</v>
      </c>
      <c r="C148" s="223">
        <f>(IF((VLOOKUP(Table10[[#This Row],[SKU]],'All Skus'!$A:$AC,2,FALSE))="Martin",(VLOOKUP(Table10[[#This Row],[SKU]],'All Skus'!$A:$AC,4,FALSE)),""))</f>
        <v>0</v>
      </c>
      <c r="D148" s="224">
        <f>(IF((VLOOKUP(Table10[[#This Row],[SKU]],'All Skus'!$A:$AC,2,FALSE))="Martin",(VLOOKUP(Table10[[#This Row],[SKU]],'All Skus'!$A:$AC,5,FALSE)),""))</f>
        <v>0</v>
      </c>
      <c r="E148" s="223">
        <f>(IF((VLOOKUP(Table10[[#This Row],[SKU]],'All Skus'!$A:$AC,2,FALSE))="Martin",(VLOOKUP(Table10[[#This Row],[SKU]],'All Skus'!$A:$AC,6,FALSE)),""))</f>
        <v>0</v>
      </c>
      <c r="F148" s="155">
        <f>(IF((VLOOKUP(Table10[[#This Row],[SKU]],'All Skus'!$A:$AC,2,FALSE))="Martin",(VLOOKUP(Table10[[#This Row],[SKU]],'All Skus'!$A:$AC,7,FALSE)),""))</f>
        <v>0</v>
      </c>
      <c r="G148" s="223">
        <f>(IF((VLOOKUP(Table10[[#This Row],[SKU]],'All Skus'!$A:$AC,2,FALSE))="Martin",(VLOOKUP(Table10[[#This Row],[SKU]],'All Skus'!$A:$AC,8,FALSE)),""))</f>
        <v>0</v>
      </c>
      <c r="H148" s="223">
        <f>(IF((VLOOKUP(Table10[[#This Row],[SKU]],'All Skus'!$A:$AC,2,FALSE))="Martin",(VLOOKUP(Table10[[#This Row],[SKU]],'All Skus'!$A:$AC,9,FALSE)),""))</f>
        <v>0</v>
      </c>
      <c r="I148" s="225">
        <f>(IF((VLOOKUP(Table10[[#This Row],[SKU]],'All Skus'!$A:$AC,2,FALSE))="Martin",(VLOOKUP(Table10[[#This Row],[SKU]],'All Skus'!$A:$AC,10,FALSE)),""))</f>
        <v>0</v>
      </c>
      <c r="J148" s="226">
        <f>(IF((VLOOKUP(Table10[[#This Row],[SKU]],'All Skus'!$A:$AC,2,FALSE))="Martin",(VLOOKUP(Table10[[#This Row],[SKU]],'All Skus'!$A:$AC,11,FALSE)),""))</f>
        <v>0</v>
      </c>
      <c r="K148" s="224">
        <f>(IF((VLOOKUP(Table10[[#This Row],[SKU]],'All Skus'!$A:$AC,2,FALSE))="Martin",(VLOOKUP(Table10[[#This Row],[SKU]],'All Skus'!$A:$AC,15,FALSE)),""))</f>
        <v>0</v>
      </c>
      <c r="L148" s="224">
        <f>(IF((VLOOKUP(Table10[[#This Row],[SKU]],'All Skus'!$A:$AC,2,FALSE))="Martin",(VLOOKUP(Table10[[#This Row],[SKU]],'All Skus'!$A:$AC,16,FALSE)),""))</f>
        <v>0</v>
      </c>
      <c r="M148" s="224">
        <f>(IF((VLOOKUP(Table10[[#This Row],[SKU]],'All Skus'!$A:$AC,2,FALSE))="Martin",(VLOOKUP(Table10[[#This Row],[SKU]],'All Skus'!$A:$AC,17,FALSE)),""))</f>
        <v>0</v>
      </c>
      <c r="N148" s="227">
        <f>(IF((VLOOKUP(Table10[[#This Row],[SKU]],'All Skus'!$A:$AC,2,FALSE))="Martin",(VLOOKUP(Table10[[#This Row],[SKU]],'All Skus'!$A:$AC,18,FALSE)),""))</f>
        <v>0</v>
      </c>
      <c r="O148" s="227">
        <f>(IF((VLOOKUP(Table10[[#This Row],[SKU]],'All Skus'!$A:$AC,2,FALSE))="Martin",(VLOOKUP(Table10[[#This Row],[SKU]],'All Skus'!$A:$AC,19,FALSE)),""))</f>
        <v>0</v>
      </c>
      <c r="P148" s="227">
        <f>(IF((VLOOKUP(Table10[[#This Row],[SKU]],'All Skus'!$A:$AC,2,FALSE))="Martin",(VLOOKUP(Table10[[#This Row],[SKU]],'All Skus'!$A:$AC,20,FALSE)),""))</f>
        <v>0</v>
      </c>
      <c r="Q148" s="227">
        <f>(IF((VLOOKUP(Table10[[#This Row],[SKU]],'All Skus'!$A:$AC,2,FALSE))="Martin",(VLOOKUP(Table10[[#This Row],[SKU]],'All Skus'!$A:$AC,21,FALSE)),""))</f>
        <v>0</v>
      </c>
      <c r="R148" s="224">
        <f>(IF((VLOOKUP(Table10[[#This Row],[SKU]],'All Skus'!$A:$AC,2,FALSE))="Martin",(VLOOKUP(Table10[[#This Row],[SKU]],'All Skus'!$A:$AC,22,FALSE)),""))</f>
        <v>0</v>
      </c>
      <c r="S148" s="223">
        <f>(IF((VLOOKUP(Table10[[#This Row],[SKU]],'All Skus'!$A:$AC,2,FALSE))="Martin",(VLOOKUP(Table10[[#This Row],[SKU]],'All Skus'!$A:$AC,23,FALSE)),""))</f>
        <v>0</v>
      </c>
      <c r="T148" s="212" t="str">
        <f>HYPERLINK((IF((VLOOKUP(Table10[[#This Row],[SKU]],'All Skus'!$A:$AC,2,FALSE))="Martin",(VLOOKUP(Table10[[#This Row],[SKU]],'All Skus'!$A:$AC,24,FALSE)),"")))</f>
        <v/>
      </c>
      <c r="U148" s="228">
        <v>146</v>
      </c>
    </row>
    <row r="149" spans="1:21" hidden="1">
      <c r="A149" s="112">
        <v>97120425</v>
      </c>
      <c r="B149" s="224" t="str">
        <f>(IF((VLOOKUP(Table10[[#This Row],[SKU]],'All Skus'!$A:$AC,2,FALSE))="Martin",(VLOOKUP(Table10[[#This Row],[SKU]],'All Skus'!$A:$AC,3,FALSE)),""))</f>
        <v>Atmospheric Effects</v>
      </c>
      <c r="C149" s="223" t="str">
        <f>(IF((VLOOKUP(Table10[[#This Row],[SKU]],'All Skus'!$A:$AC,2,FALSE))="Martin",(VLOOKUP(Table10[[#This Row],[SKU]],'All Skus'!$A:$AC,4,FALSE)),""))</f>
        <v>RUSH &amp; THRILL Haze Fluid, 4x 2.5 l</v>
      </c>
      <c r="D149" s="224" t="str">
        <f>(IF((VLOOKUP(Table10[[#This Row],[SKU]],'All Skus'!$A:$AC,2,FALSE))="Martin",(VLOOKUP(Table10[[#This Row],[SKU]],'All Skus'!$A:$AC,5,FALSE)),""))</f>
        <v>MAR-FLUID</v>
      </c>
      <c r="E149" s="223">
        <f>(IF((VLOOKUP(Table10[[#This Row],[SKU]],'All Skus'!$A:$AC,2,FALSE))="Martin",(VLOOKUP(Table10[[#This Row],[SKU]],'All Skus'!$A:$AC,6,FALSE)),""))</f>
        <v>0</v>
      </c>
      <c r="F149" s="155">
        <f>(IF((VLOOKUP(Table10[[#This Row],[SKU]],'All Skus'!$A:$AC,2,FALSE))="Martin",(VLOOKUP(Table10[[#This Row],[SKU]],'All Skus'!$A:$AC,7,FALSE)),""))</f>
        <v>0</v>
      </c>
      <c r="G149" s="223" t="str">
        <f>(IF((VLOOKUP(Table10[[#This Row],[SKU]],'All Skus'!$A:$AC,2,FALSE))="Martin",(VLOOKUP(Table10[[#This Row],[SKU]],'All Skus'!$A:$AC,8,FALSE)),""))</f>
        <v>RUSH &amp; THRILL Haze Fluid, 4x 2.5 l</v>
      </c>
      <c r="H149" s="223" t="str">
        <f>(IF((VLOOKUP(Table10[[#This Row],[SKU]],'All Skus'!$A:$AC,2,FALSE))="Martin",(VLOOKUP(Table10[[#This Row],[SKU]],'All Skus'!$A:$AC,9,FALSE)),""))</f>
        <v>RUSH &amp; THRILL Haze Fluid, 4x 2.5 l</v>
      </c>
      <c r="I149" s="225">
        <f>(IF((VLOOKUP(Table10[[#This Row],[SKU]],'All Skus'!$A:$AC,2,FALSE))="Martin",(VLOOKUP(Table10[[#This Row],[SKU]],'All Skus'!$A:$AC,10,FALSE)),""))</f>
        <v>57.85</v>
      </c>
      <c r="J149" s="226">
        <f>(IF((VLOOKUP(Table10[[#This Row],[SKU]],'All Skus'!$A:$AC,2,FALSE))="Martin",(VLOOKUP(Table10[[#This Row],[SKU]],'All Skus'!$A:$AC,11,FALSE)),""))</f>
        <v>57.85</v>
      </c>
      <c r="K149" s="224">
        <f>(IF((VLOOKUP(Table10[[#This Row],[SKU]],'All Skus'!$A:$AC,2,FALSE))="Martin",(VLOOKUP(Table10[[#This Row],[SKU]],'All Skus'!$A:$AC,15,FALSE)),""))</f>
        <v>0</v>
      </c>
      <c r="L149" s="224">
        <f>(IF((VLOOKUP(Table10[[#This Row],[SKU]],'All Skus'!$A:$AC,2,FALSE))="Martin",(VLOOKUP(Table10[[#This Row],[SKU]],'All Skus'!$A:$AC,16,FALSE)),""))</f>
        <v>688705002767</v>
      </c>
      <c r="M149" s="224">
        <f>(IF((VLOOKUP(Table10[[#This Row],[SKU]],'All Skus'!$A:$AC,2,FALSE))="Martin",(VLOOKUP(Table10[[#This Row],[SKU]],'All Skus'!$A:$AC,17,FALSE)),""))</f>
        <v>0</v>
      </c>
      <c r="N149" s="227">
        <f>(IF((VLOOKUP(Table10[[#This Row],[SKU]],'All Skus'!$A:$AC,2,FALSE))="Martin",(VLOOKUP(Table10[[#This Row],[SKU]],'All Skus'!$A:$AC,18,FALSE)),""))</f>
        <v>10.25</v>
      </c>
      <c r="O149" s="227">
        <f>(IF((VLOOKUP(Table10[[#This Row],[SKU]],'All Skus'!$A:$AC,2,FALSE))="Martin",(VLOOKUP(Table10[[#This Row],[SKU]],'All Skus'!$A:$AC,19,FALSE)),""))</f>
        <v>10.25</v>
      </c>
      <c r="P149" s="227">
        <f>(IF((VLOOKUP(Table10[[#This Row],[SKU]],'All Skus'!$A:$AC,2,FALSE))="Martin",(VLOOKUP(Table10[[#This Row],[SKU]],'All Skus'!$A:$AC,20,FALSE)),""))</f>
        <v>0</v>
      </c>
      <c r="Q149" s="227">
        <f>(IF((VLOOKUP(Table10[[#This Row],[SKU]],'All Skus'!$A:$AC,2,FALSE))="Martin",(VLOOKUP(Table10[[#This Row],[SKU]],'All Skus'!$A:$AC,21,FALSE)),""))</f>
        <v>0</v>
      </c>
      <c r="R149" s="224" t="str">
        <f>(IF((VLOOKUP(Table10[[#This Row],[SKU]],'All Skus'!$A:$AC,2,FALSE))="Martin",(VLOOKUP(Table10[[#This Row],[SKU]],'All Skus'!$A:$AC,22,FALSE)),""))</f>
        <v>GB</v>
      </c>
      <c r="S149" s="223">
        <f>(IF((VLOOKUP(Table10[[#This Row],[SKU]],'All Skus'!$A:$AC,2,FALSE))="Martin",(VLOOKUP(Table10[[#This Row],[SKU]],'All Skus'!$A:$AC,23,FALSE)),""))</f>
        <v>0</v>
      </c>
      <c r="T149" s="212" t="str">
        <f>HYPERLINK((IF((VLOOKUP(Table10[[#This Row],[SKU]],'All Skus'!$A:$AC,2,FALSE))="Martin",(VLOOKUP(Table10[[#This Row],[SKU]],'All Skus'!$A:$AC,24,FALSE)),"")))</f>
        <v/>
      </c>
      <c r="U149" s="228">
        <v>147</v>
      </c>
    </row>
    <row r="150" spans="1:21" hidden="1">
      <c r="A150" s="112">
        <v>97120426</v>
      </c>
      <c r="B150" s="224" t="str">
        <f>(IF((VLOOKUP(Table10[[#This Row],[SKU]],'All Skus'!$A:$AC,2,FALSE))="Martin",(VLOOKUP(Table10[[#This Row],[SKU]],'All Skus'!$A:$AC,3,FALSE)),""))</f>
        <v>Atmospheric Effects</v>
      </c>
      <c r="C150" s="223" t="str">
        <f>(IF((VLOOKUP(Table10[[#This Row],[SKU]],'All Skus'!$A:$AC,2,FALSE))="Martin",(VLOOKUP(Table10[[#This Row],[SKU]],'All Skus'!$A:$AC,4,FALSE)),""))</f>
        <v>RUSH &amp; THRILL Haze Fluid,  4x 5 l</v>
      </c>
      <c r="D150" s="224" t="str">
        <f>(IF((VLOOKUP(Table10[[#This Row],[SKU]],'All Skus'!$A:$AC,2,FALSE))="Martin",(VLOOKUP(Table10[[#This Row],[SKU]],'All Skus'!$A:$AC,5,FALSE)),""))</f>
        <v>MAR-FLUID</v>
      </c>
      <c r="E150" s="223">
        <f>(IF((VLOOKUP(Table10[[#This Row],[SKU]],'All Skus'!$A:$AC,2,FALSE))="Martin",(VLOOKUP(Table10[[#This Row],[SKU]],'All Skus'!$A:$AC,6,FALSE)),""))</f>
        <v>0</v>
      </c>
      <c r="F150" s="155">
        <f>(IF((VLOOKUP(Table10[[#This Row],[SKU]],'All Skus'!$A:$AC,2,FALSE))="Martin",(VLOOKUP(Table10[[#This Row],[SKU]],'All Skus'!$A:$AC,7,FALSE)),""))</f>
        <v>0</v>
      </c>
      <c r="G150" s="223" t="str">
        <f>(IF((VLOOKUP(Table10[[#This Row],[SKU]],'All Skus'!$A:$AC,2,FALSE))="Martin",(VLOOKUP(Table10[[#This Row],[SKU]],'All Skus'!$A:$AC,8,FALSE)),""))</f>
        <v>RUSH &amp; THRILL Haze Fluid,  4x 5 l</v>
      </c>
      <c r="H150" s="223" t="str">
        <f>(IF((VLOOKUP(Table10[[#This Row],[SKU]],'All Skus'!$A:$AC,2,FALSE))="Martin",(VLOOKUP(Table10[[#This Row],[SKU]],'All Skus'!$A:$AC,9,FALSE)),""))</f>
        <v>RUSH &amp; THRILL Haze Fluid,  4x 5 l</v>
      </c>
      <c r="I150" s="225">
        <f>(IF((VLOOKUP(Table10[[#This Row],[SKU]],'All Skus'!$A:$AC,2,FALSE))="Martin",(VLOOKUP(Table10[[#This Row],[SKU]],'All Skus'!$A:$AC,10,FALSE)),""))</f>
        <v>110.44</v>
      </c>
      <c r="J150" s="226">
        <f>(IF((VLOOKUP(Table10[[#This Row],[SKU]],'All Skus'!$A:$AC,2,FALSE))="Martin",(VLOOKUP(Table10[[#This Row],[SKU]],'All Skus'!$A:$AC,11,FALSE)),""))</f>
        <v>110.44</v>
      </c>
      <c r="K150" s="224">
        <f>(IF((VLOOKUP(Table10[[#This Row],[SKU]],'All Skus'!$A:$AC,2,FALSE))="Martin",(VLOOKUP(Table10[[#This Row],[SKU]],'All Skus'!$A:$AC,15,FALSE)),""))</f>
        <v>0</v>
      </c>
      <c r="L150" s="224">
        <f>(IF((VLOOKUP(Table10[[#This Row],[SKU]],'All Skus'!$A:$AC,2,FALSE))="Martin",(VLOOKUP(Table10[[#This Row],[SKU]],'All Skus'!$A:$AC,16,FALSE)),""))</f>
        <v>688705002774</v>
      </c>
      <c r="M150" s="224">
        <f>(IF((VLOOKUP(Table10[[#This Row],[SKU]],'All Skus'!$A:$AC,2,FALSE))="Martin",(VLOOKUP(Table10[[#This Row],[SKU]],'All Skus'!$A:$AC,17,FALSE)),""))</f>
        <v>0</v>
      </c>
      <c r="N150" s="227">
        <f>(IF((VLOOKUP(Table10[[#This Row],[SKU]],'All Skus'!$A:$AC,2,FALSE))="Martin",(VLOOKUP(Table10[[#This Row],[SKU]],'All Skus'!$A:$AC,18,FALSE)),""))</f>
        <v>0</v>
      </c>
      <c r="O150" s="227">
        <f>(IF((VLOOKUP(Table10[[#This Row],[SKU]],'All Skus'!$A:$AC,2,FALSE))="Martin",(VLOOKUP(Table10[[#This Row],[SKU]],'All Skus'!$A:$AC,19,FALSE)),""))</f>
        <v>11.5</v>
      </c>
      <c r="P150" s="227">
        <f>(IF((VLOOKUP(Table10[[#This Row],[SKU]],'All Skus'!$A:$AC,2,FALSE))="Martin",(VLOOKUP(Table10[[#This Row],[SKU]],'All Skus'!$A:$AC,20,FALSE)),""))</f>
        <v>0</v>
      </c>
      <c r="Q150" s="227">
        <f>(IF((VLOOKUP(Table10[[#This Row],[SKU]],'All Skus'!$A:$AC,2,FALSE))="Martin",(VLOOKUP(Table10[[#This Row],[SKU]],'All Skus'!$A:$AC,21,FALSE)),""))</f>
        <v>0</v>
      </c>
      <c r="R150" s="224" t="str">
        <f>(IF((VLOOKUP(Table10[[#This Row],[SKU]],'All Skus'!$A:$AC,2,FALSE))="Martin",(VLOOKUP(Table10[[#This Row],[SKU]],'All Skus'!$A:$AC,22,FALSE)),""))</f>
        <v>GB</v>
      </c>
      <c r="S150" s="223">
        <f>(IF((VLOOKUP(Table10[[#This Row],[SKU]],'All Skus'!$A:$AC,2,FALSE))="Martin",(VLOOKUP(Table10[[#This Row],[SKU]],'All Skus'!$A:$AC,23,FALSE)),""))</f>
        <v>0</v>
      </c>
      <c r="T150" s="212" t="str">
        <f>HYPERLINK((IF((VLOOKUP(Table10[[#This Row],[SKU]],'All Skus'!$A:$AC,2,FALSE))="Martin",(VLOOKUP(Table10[[#This Row],[SKU]],'All Skus'!$A:$AC,24,FALSE)),"")))</f>
        <v>http://www.martin.com/en-us/product-details/rush-thrill-haze-fluid</v>
      </c>
      <c r="U150" s="228">
        <v>148</v>
      </c>
    </row>
    <row r="151" spans="1:21" hidden="1">
      <c r="A151" s="115" t="s">
        <v>1989</v>
      </c>
      <c r="B151" s="224">
        <f>(IF((VLOOKUP(Table10[[#This Row],[SKU]],'All Skus'!$A:$AC,2,FALSE))="Martin",(VLOOKUP(Table10[[#This Row],[SKU]],'All Skus'!$A:$AC,3,FALSE)),""))</f>
        <v>0</v>
      </c>
      <c r="C151" s="223">
        <f>(IF((VLOOKUP(Table10[[#This Row],[SKU]],'All Skus'!$A:$AC,2,FALSE))="Martin",(VLOOKUP(Table10[[#This Row],[SKU]],'All Skus'!$A:$AC,4,FALSE)),""))</f>
        <v>0</v>
      </c>
      <c r="D151" s="224">
        <f>(IF((VLOOKUP(Table10[[#This Row],[SKU]],'All Skus'!$A:$AC,2,FALSE))="Martin",(VLOOKUP(Table10[[#This Row],[SKU]],'All Skus'!$A:$AC,5,FALSE)),""))</f>
        <v>0</v>
      </c>
      <c r="E151" s="223">
        <f>(IF((VLOOKUP(Table10[[#This Row],[SKU]],'All Skus'!$A:$AC,2,FALSE))="Martin",(VLOOKUP(Table10[[#This Row],[SKU]],'All Skus'!$A:$AC,6,FALSE)),""))</f>
        <v>0</v>
      </c>
      <c r="F151" s="155">
        <f>(IF((VLOOKUP(Table10[[#This Row],[SKU]],'All Skus'!$A:$AC,2,FALSE))="Martin",(VLOOKUP(Table10[[#This Row],[SKU]],'All Skus'!$A:$AC,7,FALSE)),""))</f>
        <v>0</v>
      </c>
      <c r="G151" s="223">
        <f>(IF((VLOOKUP(Table10[[#This Row],[SKU]],'All Skus'!$A:$AC,2,FALSE))="Martin",(VLOOKUP(Table10[[#This Row],[SKU]],'All Skus'!$A:$AC,8,FALSE)),""))</f>
        <v>0</v>
      </c>
      <c r="H151" s="223">
        <f>(IF((VLOOKUP(Table10[[#This Row],[SKU]],'All Skus'!$A:$AC,2,FALSE))="Martin",(VLOOKUP(Table10[[#This Row],[SKU]],'All Skus'!$A:$AC,9,FALSE)),""))</f>
        <v>0</v>
      </c>
      <c r="I151" s="225">
        <f>(IF((VLOOKUP(Table10[[#This Row],[SKU]],'All Skus'!$A:$AC,2,FALSE))="Martin",(VLOOKUP(Table10[[#This Row],[SKU]],'All Skus'!$A:$AC,10,FALSE)),""))</f>
        <v>0</v>
      </c>
      <c r="J151" s="226">
        <f>(IF((VLOOKUP(Table10[[#This Row],[SKU]],'All Skus'!$A:$AC,2,FALSE))="Martin",(VLOOKUP(Table10[[#This Row],[SKU]],'All Skus'!$A:$AC,11,FALSE)),""))</f>
        <v>0</v>
      </c>
      <c r="K151" s="224">
        <f>(IF((VLOOKUP(Table10[[#This Row],[SKU]],'All Skus'!$A:$AC,2,FALSE))="Martin",(VLOOKUP(Table10[[#This Row],[SKU]],'All Skus'!$A:$AC,15,FALSE)),""))</f>
        <v>0</v>
      </c>
      <c r="L151" s="224">
        <f>(IF((VLOOKUP(Table10[[#This Row],[SKU]],'All Skus'!$A:$AC,2,FALSE))="Martin",(VLOOKUP(Table10[[#This Row],[SKU]],'All Skus'!$A:$AC,16,FALSE)),""))</f>
        <v>0</v>
      </c>
      <c r="M151" s="224">
        <f>(IF((VLOOKUP(Table10[[#This Row],[SKU]],'All Skus'!$A:$AC,2,FALSE))="Martin",(VLOOKUP(Table10[[#This Row],[SKU]],'All Skus'!$A:$AC,17,FALSE)),""))</f>
        <v>0</v>
      </c>
      <c r="N151" s="227">
        <f>(IF((VLOOKUP(Table10[[#This Row],[SKU]],'All Skus'!$A:$AC,2,FALSE))="Martin",(VLOOKUP(Table10[[#This Row],[SKU]],'All Skus'!$A:$AC,18,FALSE)),""))</f>
        <v>0</v>
      </c>
      <c r="O151" s="227">
        <f>(IF((VLOOKUP(Table10[[#This Row],[SKU]],'All Skus'!$A:$AC,2,FALSE))="Martin",(VLOOKUP(Table10[[#This Row],[SKU]],'All Skus'!$A:$AC,19,FALSE)),""))</f>
        <v>0</v>
      </c>
      <c r="P151" s="227">
        <f>(IF((VLOOKUP(Table10[[#This Row],[SKU]],'All Skus'!$A:$AC,2,FALSE))="Martin",(VLOOKUP(Table10[[#This Row],[SKU]],'All Skus'!$A:$AC,20,FALSE)),""))</f>
        <v>0</v>
      </c>
      <c r="Q151" s="227">
        <f>(IF((VLOOKUP(Table10[[#This Row],[SKU]],'All Skus'!$A:$AC,2,FALSE))="Martin",(VLOOKUP(Table10[[#This Row],[SKU]],'All Skus'!$A:$AC,21,FALSE)),""))</f>
        <v>0</v>
      </c>
      <c r="R151" s="224">
        <f>(IF((VLOOKUP(Table10[[#This Row],[SKU]],'All Skus'!$A:$AC,2,FALSE))="Martin",(VLOOKUP(Table10[[#This Row],[SKU]],'All Skus'!$A:$AC,22,FALSE)),""))</f>
        <v>0</v>
      </c>
      <c r="S151" s="223">
        <f>(IF((VLOOKUP(Table10[[#This Row],[SKU]],'All Skus'!$A:$AC,2,FALSE))="Martin",(VLOOKUP(Table10[[#This Row],[SKU]],'All Skus'!$A:$AC,23,FALSE)),""))</f>
        <v>0</v>
      </c>
      <c r="T151" s="212" t="str">
        <f>HYPERLINK((IF((VLOOKUP(Table10[[#This Row],[SKU]],'All Skus'!$A:$AC,2,FALSE))="Martin",(VLOOKUP(Table10[[#This Row],[SKU]],'All Skus'!$A:$AC,24,FALSE)),"")))</f>
        <v/>
      </c>
      <c r="U151" s="228">
        <v>149</v>
      </c>
    </row>
    <row r="152" spans="1:21" hidden="1">
      <c r="A152" s="112">
        <v>97120070</v>
      </c>
      <c r="B152" s="224" t="str">
        <f>(IF((VLOOKUP(Table10[[#This Row],[SKU]],'All Skus'!$A:$AC,2,FALSE))="Martin",(VLOOKUP(Table10[[#This Row],[SKU]],'All Skus'!$A:$AC,3,FALSE)),""))</f>
        <v>Atmospheric Effects</v>
      </c>
      <c r="C152" s="223" t="str">
        <f>(IF((VLOOKUP(Table10[[#This Row],[SKU]],'All Skus'!$A:$AC,2,FALSE))="Martin",(VLOOKUP(Table10[[#This Row],[SKU]],'All Skus'!$A:$AC,4,FALSE)),""))</f>
        <v xml:space="preserve">RUSH Club Smoke Dual Fluid, 4x 5  l </v>
      </c>
      <c r="D152" s="224" t="str">
        <f>(IF((VLOOKUP(Table10[[#This Row],[SKU]],'All Skus'!$A:$AC,2,FALSE))="Martin",(VLOOKUP(Table10[[#This Row],[SKU]],'All Skus'!$A:$AC,5,FALSE)),""))</f>
        <v>MAR-FLUID</v>
      </c>
      <c r="E152" s="223">
        <f>(IF((VLOOKUP(Table10[[#This Row],[SKU]],'All Skus'!$A:$AC,2,FALSE))="Martin",(VLOOKUP(Table10[[#This Row],[SKU]],'All Skus'!$A:$AC,6,FALSE)),""))</f>
        <v>0</v>
      </c>
      <c r="F152" s="155">
        <f>(IF((VLOOKUP(Table10[[#This Row],[SKU]],'All Skus'!$A:$AC,2,FALSE))="Martin",(VLOOKUP(Table10[[#This Row],[SKU]],'All Skus'!$A:$AC,7,FALSE)),""))</f>
        <v>0</v>
      </c>
      <c r="G152" s="223" t="str">
        <f>(IF((VLOOKUP(Table10[[#This Row],[SKU]],'All Skus'!$A:$AC,2,FALSE))="Martin",(VLOOKUP(Table10[[#This Row],[SKU]],'All Skus'!$A:$AC,8,FALSE)),""))</f>
        <v xml:space="preserve">RUSH Club Smoke Dual Fluid, 4x 5  l </v>
      </c>
      <c r="H152" s="223" t="str">
        <f>(IF((VLOOKUP(Table10[[#This Row],[SKU]],'All Skus'!$A:$AC,2,FALSE))="Martin",(VLOOKUP(Table10[[#This Row],[SKU]],'All Skus'!$A:$AC,9,FALSE)),""))</f>
        <v xml:space="preserve">RUSH Club Smoke Dual Fluid, 4x 5  l </v>
      </c>
      <c r="I152" s="225">
        <f>(IF((VLOOKUP(Table10[[#This Row],[SKU]],'All Skus'!$A:$AC,2,FALSE))="Martin",(VLOOKUP(Table10[[#This Row],[SKU]],'All Skus'!$A:$AC,10,FALSE)),""))</f>
        <v>93.35</v>
      </c>
      <c r="J152" s="226">
        <f>(IF((VLOOKUP(Table10[[#This Row],[SKU]],'All Skus'!$A:$AC,2,FALSE))="Martin",(VLOOKUP(Table10[[#This Row],[SKU]],'All Skus'!$A:$AC,11,FALSE)),""))</f>
        <v>93.35</v>
      </c>
      <c r="K152" s="224">
        <f>(IF((VLOOKUP(Table10[[#This Row],[SKU]],'All Skus'!$A:$AC,2,FALSE))="Martin",(VLOOKUP(Table10[[#This Row],[SKU]],'All Skus'!$A:$AC,15,FALSE)),""))</f>
        <v>0</v>
      </c>
      <c r="L152" s="224">
        <f>(IF((VLOOKUP(Table10[[#This Row],[SKU]],'All Skus'!$A:$AC,2,FALSE))="Martin",(VLOOKUP(Table10[[#This Row],[SKU]],'All Skus'!$A:$AC,16,FALSE)),""))</f>
        <v>688705002699</v>
      </c>
      <c r="M152" s="224">
        <f>(IF((VLOOKUP(Table10[[#This Row],[SKU]],'All Skus'!$A:$AC,2,FALSE))="Martin",(VLOOKUP(Table10[[#This Row],[SKU]],'All Skus'!$A:$AC,17,FALSE)),""))</f>
        <v>0</v>
      </c>
      <c r="N152" s="227">
        <f>(IF((VLOOKUP(Table10[[#This Row],[SKU]],'All Skus'!$A:$AC,2,FALSE))="Martin",(VLOOKUP(Table10[[#This Row],[SKU]],'All Skus'!$A:$AC,18,FALSE)),""))</f>
        <v>0</v>
      </c>
      <c r="O152" s="227">
        <f>(IF((VLOOKUP(Table10[[#This Row],[SKU]],'All Skus'!$A:$AC,2,FALSE))="Martin",(VLOOKUP(Table10[[#This Row],[SKU]],'All Skus'!$A:$AC,19,FALSE)),""))</f>
        <v>11.5</v>
      </c>
      <c r="P152" s="227">
        <f>(IF((VLOOKUP(Table10[[#This Row],[SKU]],'All Skus'!$A:$AC,2,FALSE))="Martin",(VLOOKUP(Table10[[#This Row],[SKU]],'All Skus'!$A:$AC,20,FALSE)),""))</f>
        <v>0</v>
      </c>
      <c r="Q152" s="227">
        <f>(IF((VLOOKUP(Table10[[#This Row],[SKU]],'All Skus'!$A:$AC,2,FALSE))="Martin",(VLOOKUP(Table10[[#This Row],[SKU]],'All Skus'!$A:$AC,21,FALSE)),""))</f>
        <v>0</v>
      </c>
      <c r="R152" s="224" t="str">
        <f>(IF((VLOOKUP(Table10[[#This Row],[SKU]],'All Skus'!$A:$AC,2,FALSE))="Martin",(VLOOKUP(Table10[[#This Row],[SKU]],'All Skus'!$A:$AC,22,FALSE)),""))</f>
        <v>GB</v>
      </c>
      <c r="S152" s="223">
        <f>(IF((VLOOKUP(Table10[[#This Row],[SKU]],'All Skus'!$A:$AC,2,FALSE))="Martin",(VLOOKUP(Table10[[#This Row],[SKU]],'All Skus'!$A:$AC,23,FALSE)),""))</f>
        <v>0</v>
      </c>
      <c r="T152" s="212" t="str">
        <f>HYPERLINK((IF((VLOOKUP(Table10[[#This Row],[SKU]],'All Skus'!$A:$AC,2,FALSE))="Martin",(VLOOKUP(Table10[[#This Row],[SKU]],'All Skus'!$A:$AC,24,FALSE)),"")))</f>
        <v/>
      </c>
      <c r="U152" s="228">
        <v>150</v>
      </c>
    </row>
    <row r="153" spans="1:21" hidden="1">
      <c r="A153" s="112">
        <v>97120071</v>
      </c>
      <c r="B153" s="224" t="str">
        <f>(IF((VLOOKUP(Table10[[#This Row],[SKU]],'All Skus'!$A:$AC,2,FALSE))="Martin",(VLOOKUP(Table10[[#This Row],[SKU]],'All Skus'!$A:$AC,3,FALSE)),""))</f>
        <v>Atmospheric Effects</v>
      </c>
      <c r="C153" s="223" t="str">
        <f>(IF((VLOOKUP(Table10[[#This Row],[SKU]],'All Skus'!$A:$AC,2,FALSE))="Martin",(VLOOKUP(Table10[[#This Row],[SKU]],'All Skus'!$A:$AC,4,FALSE)),""))</f>
        <v>RUSH Club Smoke Dual Fluid, 25 l</v>
      </c>
      <c r="D153" s="224" t="str">
        <f>(IF((VLOOKUP(Table10[[#This Row],[SKU]],'All Skus'!$A:$AC,2,FALSE))="Martin",(VLOOKUP(Table10[[#This Row],[SKU]],'All Skus'!$A:$AC,5,FALSE)),""))</f>
        <v>MAR-FLUID</v>
      </c>
      <c r="E153" s="223">
        <f>(IF((VLOOKUP(Table10[[#This Row],[SKU]],'All Skus'!$A:$AC,2,FALSE))="Martin",(VLOOKUP(Table10[[#This Row],[SKU]],'All Skus'!$A:$AC,6,FALSE)),""))</f>
        <v>0</v>
      </c>
      <c r="F153" s="155">
        <f>(IF((VLOOKUP(Table10[[#This Row],[SKU]],'All Skus'!$A:$AC,2,FALSE))="Martin",(VLOOKUP(Table10[[#This Row],[SKU]],'All Skus'!$A:$AC,7,FALSE)),""))</f>
        <v>0</v>
      </c>
      <c r="G153" s="223" t="str">
        <f>(IF((VLOOKUP(Table10[[#This Row],[SKU]],'All Skus'!$A:$AC,2,FALSE))="Martin",(VLOOKUP(Table10[[#This Row],[SKU]],'All Skus'!$A:$AC,8,FALSE)),""))</f>
        <v>RUSH Club Smoke Dual Fluid, 25 l</v>
      </c>
      <c r="H153" s="223" t="str">
        <f>(IF((VLOOKUP(Table10[[#This Row],[SKU]],'All Skus'!$A:$AC,2,FALSE))="Martin",(VLOOKUP(Table10[[#This Row],[SKU]],'All Skus'!$A:$AC,9,FALSE)),""))</f>
        <v>RUSH Club Smoke Dual Fluid, 25 l</v>
      </c>
      <c r="I153" s="225">
        <f>(IF((VLOOKUP(Table10[[#This Row],[SKU]],'All Skus'!$A:$AC,2,FALSE))="Martin",(VLOOKUP(Table10[[#This Row],[SKU]],'All Skus'!$A:$AC,10,FALSE)),""))</f>
        <v>109.13</v>
      </c>
      <c r="J153" s="226">
        <f>(IF((VLOOKUP(Table10[[#This Row],[SKU]],'All Skus'!$A:$AC,2,FALSE))="Martin",(VLOOKUP(Table10[[#This Row],[SKU]],'All Skus'!$A:$AC,11,FALSE)),""))</f>
        <v>109.13</v>
      </c>
      <c r="K153" s="224">
        <f>(IF((VLOOKUP(Table10[[#This Row],[SKU]],'All Skus'!$A:$AC,2,FALSE))="Martin",(VLOOKUP(Table10[[#This Row],[SKU]],'All Skus'!$A:$AC,15,FALSE)),""))</f>
        <v>0</v>
      </c>
      <c r="L153" s="224">
        <f>(IF((VLOOKUP(Table10[[#This Row],[SKU]],'All Skus'!$A:$AC,2,FALSE))="Martin",(VLOOKUP(Table10[[#This Row],[SKU]],'All Skus'!$A:$AC,16,FALSE)),""))</f>
        <v>688705002705</v>
      </c>
      <c r="M153" s="224">
        <f>(IF((VLOOKUP(Table10[[#This Row],[SKU]],'All Skus'!$A:$AC,2,FALSE))="Martin",(VLOOKUP(Table10[[#This Row],[SKU]],'All Skus'!$A:$AC,17,FALSE)),""))</f>
        <v>0</v>
      </c>
      <c r="N153" s="227">
        <f>(IF((VLOOKUP(Table10[[#This Row],[SKU]],'All Skus'!$A:$AC,2,FALSE))="Martin",(VLOOKUP(Table10[[#This Row],[SKU]],'All Skus'!$A:$AC,18,FALSE)),""))</f>
        <v>10.7</v>
      </c>
      <c r="O153" s="227">
        <f>(IF((VLOOKUP(Table10[[#This Row],[SKU]],'All Skus'!$A:$AC,2,FALSE))="Martin",(VLOOKUP(Table10[[#This Row],[SKU]],'All Skus'!$A:$AC,19,FALSE)),""))</f>
        <v>10.7</v>
      </c>
      <c r="P153" s="227">
        <f>(IF((VLOOKUP(Table10[[#This Row],[SKU]],'All Skus'!$A:$AC,2,FALSE))="Martin",(VLOOKUP(Table10[[#This Row],[SKU]],'All Skus'!$A:$AC,20,FALSE)),""))</f>
        <v>0</v>
      </c>
      <c r="Q153" s="227">
        <f>(IF((VLOOKUP(Table10[[#This Row],[SKU]],'All Skus'!$A:$AC,2,FALSE))="Martin",(VLOOKUP(Table10[[#This Row],[SKU]],'All Skus'!$A:$AC,21,FALSE)),""))</f>
        <v>0</v>
      </c>
      <c r="R153" s="224" t="str">
        <f>(IF((VLOOKUP(Table10[[#This Row],[SKU]],'All Skus'!$A:$AC,2,FALSE))="Martin",(VLOOKUP(Table10[[#This Row],[SKU]],'All Skus'!$A:$AC,22,FALSE)),""))</f>
        <v>GB</v>
      </c>
      <c r="S153" s="223">
        <f>(IF((VLOOKUP(Table10[[#This Row],[SKU]],'All Skus'!$A:$AC,2,FALSE))="Martin",(VLOOKUP(Table10[[#This Row],[SKU]],'All Skus'!$A:$AC,23,FALSE)),""))</f>
        <v>0</v>
      </c>
      <c r="T153" s="212" t="str">
        <f>HYPERLINK((IF((VLOOKUP(Table10[[#This Row],[SKU]],'All Skus'!$A:$AC,2,FALSE))="Martin",(VLOOKUP(Table10[[#This Row],[SKU]],'All Skus'!$A:$AC,24,FALSE)),"")))</f>
        <v>http://www.martin.com/en-us/product-details/rush-club-smoke-dual-fluid-1</v>
      </c>
      <c r="U153" s="228">
        <v>151</v>
      </c>
    </row>
    <row r="154" spans="1:21" hidden="1">
      <c r="A154" s="112">
        <v>97120072</v>
      </c>
      <c r="B154" s="224" t="str">
        <f>(IF((VLOOKUP(Table10[[#This Row],[SKU]],'All Skus'!$A:$AC,2,FALSE))="Martin",(VLOOKUP(Table10[[#This Row],[SKU]],'All Skus'!$A:$AC,3,FALSE)),""))</f>
        <v>Atmospheric Effects</v>
      </c>
      <c r="C154" s="223" t="str">
        <f>(IF((VLOOKUP(Table10[[#This Row],[SKU]],'All Skus'!$A:$AC,2,FALSE))="Martin",(VLOOKUP(Table10[[#This Row],[SKU]],'All Skus'!$A:$AC,4,FALSE)),""))</f>
        <v>RUSH Club Smoke Dual Fluid, 220 l</v>
      </c>
      <c r="D154" s="224" t="str">
        <f>(IF((VLOOKUP(Table10[[#This Row],[SKU]],'All Skus'!$A:$AC,2,FALSE))="Martin",(VLOOKUP(Table10[[#This Row],[SKU]],'All Skus'!$A:$AC,5,FALSE)),""))</f>
        <v>MAR-FLUID</v>
      </c>
      <c r="E154" s="223">
        <f>(IF((VLOOKUP(Table10[[#This Row],[SKU]],'All Skus'!$A:$AC,2,FALSE))="Martin",(VLOOKUP(Table10[[#This Row],[SKU]],'All Skus'!$A:$AC,6,FALSE)),""))</f>
        <v>0</v>
      </c>
      <c r="F154" s="155">
        <f>(IF((VLOOKUP(Table10[[#This Row],[SKU]],'All Skus'!$A:$AC,2,FALSE))="Martin",(VLOOKUP(Table10[[#This Row],[SKU]],'All Skus'!$A:$AC,7,FALSE)),""))</f>
        <v>0</v>
      </c>
      <c r="G154" s="223" t="str">
        <f>(IF((VLOOKUP(Table10[[#This Row],[SKU]],'All Skus'!$A:$AC,2,FALSE))="Martin",(VLOOKUP(Table10[[#This Row],[SKU]],'All Skus'!$A:$AC,8,FALSE)),""))</f>
        <v>RUSH Club Smoke Dual Fluid, 220 l</v>
      </c>
      <c r="H154" s="223" t="str">
        <f>(IF((VLOOKUP(Table10[[#This Row],[SKU]],'All Skus'!$A:$AC,2,FALSE))="Martin",(VLOOKUP(Table10[[#This Row],[SKU]],'All Skus'!$A:$AC,9,FALSE)),""))</f>
        <v>RUSH Club Smoke Dual Fluid, 220 l</v>
      </c>
      <c r="I154" s="225">
        <f>(IF((VLOOKUP(Table10[[#This Row],[SKU]],'All Skus'!$A:$AC,2,FALSE))="Martin",(VLOOKUP(Table10[[#This Row],[SKU]],'All Skus'!$A:$AC,10,FALSE)),""))</f>
        <v>887.49</v>
      </c>
      <c r="J154" s="226">
        <f>(IF((VLOOKUP(Table10[[#This Row],[SKU]],'All Skus'!$A:$AC,2,FALSE))="Martin",(VLOOKUP(Table10[[#This Row],[SKU]],'All Skus'!$A:$AC,11,FALSE)),""))</f>
        <v>887.49</v>
      </c>
      <c r="K154" s="224">
        <f>(IF((VLOOKUP(Table10[[#This Row],[SKU]],'All Skus'!$A:$AC,2,FALSE))="Martin",(VLOOKUP(Table10[[#This Row],[SKU]],'All Skus'!$A:$AC,15,FALSE)),""))</f>
        <v>0</v>
      </c>
      <c r="L154" s="224">
        <f>(IF((VLOOKUP(Table10[[#This Row],[SKU]],'All Skus'!$A:$AC,2,FALSE))="Martin",(VLOOKUP(Table10[[#This Row],[SKU]],'All Skus'!$A:$AC,16,FALSE)),""))</f>
        <v>688705002712</v>
      </c>
      <c r="M154" s="224">
        <f>(IF((VLOOKUP(Table10[[#This Row],[SKU]],'All Skus'!$A:$AC,2,FALSE))="Martin",(VLOOKUP(Table10[[#This Row],[SKU]],'All Skus'!$A:$AC,17,FALSE)),""))</f>
        <v>0</v>
      </c>
      <c r="N154" s="227">
        <f>(IF((VLOOKUP(Table10[[#This Row],[SKU]],'All Skus'!$A:$AC,2,FALSE))="Martin",(VLOOKUP(Table10[[#This Row],[SKU]],'All Skus'!$A:$AC,18,FALSE)),""))</f>
        <v>23.7</v>
      </c>
      <c r="O154" s="227">
        <f>(IF((VLOOKUP(Table10[[#This Row],[SKU]],'All Skus'!$A:$AC,2,FALSE))="Martin",(VLOOKUP(Table10[[#This Row],[SKU]],'All Skus'!$A:$AC,19,FALSE)),""))</f>
        <v>23.7</v>
      </c>
      <c r="P154" s="227">
        <f>(IF((VLOOKUP(Table10[[#This Row],[SKU]],'All Skus'!$A:$AC,2,FALSE))="Martin",(VLOOKUP(Table10[[#This Row],[SKU]],'All Skus'!$A:$AC,20,FALSE)),""))</f>
        <v>0</v>
      </c>
      <c r="Q154" s="227">
        <f>(IF((VLOOKUP(Table10[[#This Row],[SKU]],'All Skus'!$A:$AC,2,FALSE))="Martin",(VLOOKUP(Table10[[#This Row],[SKU]],'All Skus'!$A:$AC,21,FALSE)),""))</f>
        <v>0</v>
      </c>
      <c r="R154" s="224" t="str">
        <f>(IF((VLOOKUP(Table10[[#This Row],[SKU]],'All Skus'!$A:$AC,2,FALSE))="Martin",(VLOOKUP(Table10[[#This Row],[SKU]],'All Skus'!$A:$AC,22,FALSE)),""))</f>
        <v>GB</v>
      </c>
      <c r="S154" s="223">
        <f>(IF((VLOOKUP(Table10[[#This Row],[SKU]],'All Skus'!$A:$AC,2,FALSE))="Martin",(VLOOKUP(Table10[[#This Row],[SKU]],'All Skus'!$A:$AC,23,FALSE)),""))</f>
        <v>0</v>
      </c>
      <c r="T154" s="212" t="str">
        <f>HYPERLINK((IF((VLOOKUP(Table10[[#This Row],[SKU]],'All Skus'!$A:$AC,2,FALSE))="Martin",(VLOOKUP(Table10[[#This Row],[SKU]],'All Skus'!$A:$AC,24,FALSE)),"")))</f>
        <v>http://www.martin.com/en-us/product-details/rush-club-smoke-dual-fluid-1</v>
      </c>
      <c r="U154" s="228">
        <v>152</v>
      </c>
    </row>
    <row r="155" spans="1:21" hidden="1">
      <c r="A155" s="115" t="s">
        <v>1990</v>
      </c>
      <c r="B155" s="224">
        <f>(IF((VLOOKUP(Table10[[#This Row],[SKU]],'All Skus'!$A:$AC,2,FALSE))="Martin",(VLOOKUP(Table10[[#This Row],[SKU]],'All Skus'!$A:$AC,3,FALSE)),""))</f>
        <v>0</v>
      </c>
      <c r="C155" s="223">
        <f>(IF((VLOOKUP(Table10[[#This Row],[SKU]],'All Skus'!$A:$AC,2,FALSE))="Martin",(VLOOKUP(Table10[[#This Row],[SKU]],'All Skus'!$A:$AC,4,FALSE)),""))</f>
        <v>0</v>
      </c>
      <c r="D155" s="224">
        <f>(IF((VLOOKUP(Table10[[#This Row],[SKU]],'All Skus'!$A:$AC,2,FALSE))="Martin",(VLOOKUP(Table10[[#This Row],[SKU]],'All Skus'!$A:$AC,5,FALSE)),""))</f>
        <v>0</v>
      </c>
      <c r="E155" s="223">
        <f>(IF((VLOOKUP(Table10[[#This Row],[SKU]],'All Skus'!$A:$AC,2,FALSE))="Martin",(VLOOKUP(Table10[[#This Row],[SKU]],'All Skus'!$A:$AC,6,FALSE)),""))</f>
        <v>0</v>
      </c>
      <c r="F155" s="155">
        <f>(IF((VLOOKUP(Table10[[#This Row],[SKU]],'All Skus'!$A:$AC,2,FALSE))="Martin",(VLOOKUP(Table10[[#This Row],[SKU]],'All Skus'!$A:$AC,7,FALSE)),""))</f>
        <v>0</v>
      </c>
      <c r="G155" s="223">
        <f>(IF((VLOOKUP(Table10[[#This Row],[SKU]],'All Skus'!$A:$AC,2,FALSE))="Martin",(VLOOKUP(Table10[[#This Row],[SKU]],'All Skus'!$A:$AC,8,FALSE)),""))</f>
        <v>0</v>
      </c>
      <c r="H155" s="223">
        <f>(IF((VLOOKUP(Table10[[#This Row],[SKU]],'All Skus'!$A:$AC,2,FALSE))="Martin",(VLOOKUP(Table10[[#This Row],[SKU]],'All Skus'!$A:$AC,9,FALSE)),""))</f>
        <v>0</v>
      </c>
      <c r="I155" s="225">
        <f>(IF((VLOOKUP(Table10[[#This Row],[SKU]],'All Skus'!$A:$AC,2,FALSE))="Martin",(VLOOKUP(Table10[[#This Row],[SKU]],'All Skus'!$A:$AC,10,FALSE)),""))</f>
        <v>0</v>
      </c>
      <c r="J155" s="226">
        <f>(IF((VLOOKUP(Table10[[#This Row],[SKU]],'All Skus'!$A:$AC,2,FALSE))="Martin",(VLOOKUP(Table10[[#This Row],[SKU]],'All Skus'!$A:$AC,11,FALSE)),""))</f>
        <v>0</v>
      </c>
      <c r="K155" s="224">
        <f>(IF((VLOOKUP(Table10[[#This Row],[SKU]],'All Skus'!$A:$AC,2,FALSE))="Martin",(VLOOKUP(Table10[[#This Row],[SKU]],'All Skus'!$A:$AC,15,FALSE)),""))</f>
        <v>0</v>
      </c>
      <c r="L155" s="224">
        <f>(IF((VLOOKUP(Table10[[#This Row],[SKU]],'All Skus'!$A:$AC,2,FALSE))="Martin",(VLOOKUP(Table10[[#This Row],[SKU]],'All Skus'!$A:$AC,16,FALSE)),""))</f>
        <v>0</v>
      </c>
      <c r="M155" s="224">
        <f>(IF((VLOOKUP(Table10[[#This Row],[SKU]],'All Skus'!$A:$AC,2,FALSE))="Martin",(VLOOKUP(Table10[[#This Row],[SKU]],'All Skus'!$A:$AC,17,FALSE)),""))</f>
        <v>0</v>
      </c>
      <c r="N155" s="227">
        <f>(IF((VLOOKUP(Table10[[#This Row],[SKU]],'All Skus'!$A:$AC,2,FALSE))="Martin",(VLOOKUP(Table10[[#This Row],[SKU]],'All Skus'!$A:$AC,18,FALSE)),""))</f>
        <v>0</v>
      </c>
      <c r="O155" s="227">
        <f>(IF((VLOOKUP(Table10[[#This Row],[SKU]],'All Skus'!$A:$AC,2,FALSE))="Martin",(VLOOKUP(Table10[[#This Row],[SKU]],'All Skus'!$A:$AC,19,FALSE)),""))</f>
        <v>0</v>
      </c>
      <c r="P155" s="227">
        <f>(IF((VLOOKUP(Table10[[#This Row],[SKU]],'All Skus'!$A:$AC,2,FALSE))="Martin",(VLOOKUP(Table10[[#This Row],[SKU]],'All Skus'!$A:$AC,20,FALSE)),""))</f>
        <v>0</v>
      </c>
      <c r="Q155" s="227">
        <f>(IF((VLOOKUP(Table10[[#This Row],[SKU]],'All Skus'!$A:$AC,2,FALSE))="Martin",(VLOOKUP(Table10[[#This Row],[SKU]],'All Skus'!$A:$AC,21,FALSE)),""))</f>
        <v>0</v>
      </c>
      <c r="R155" s="224">
        <f>(IF((VLOOKUP(Table10[[#This Row],[SKU]],'All Skus'!$A:$AC,2,FALSE))="Martin",(VLOOKUP(Table10[[#This Row],[SKU]],'All Skus'!$A:$AC,22,FALSE)),""))</f>
        <v>0</v>
      </c>
      <c r="S155" s="223">
        <f>(IF((VLOOKUP(Table10[[#This Row],[SKU]],'All Skus'!$A:$AC,2,FALSE))="Martin",(VLOOKUP(Table10[[#This Row],[SKU]],'All Skus'!$A:$AC,23,FALSE)),""))</f>
        <v>0</v>
      </c>
      <c r="T155" s="212" t="str">
        <f>HYPERLINK((IF((VLOOKUP(Table10[[#This Row],[SKU]],'All Skus'!$A:$AC,2,FALSE))="Martin",(VLOOKUP(Table10[[#This Row],[SKU]],'All Skus'!$A:$AC,24,FALSE)),"")))</f>
        <v/>
      </c>
      <c r="U155" s="228">
        <v>153</v>
      </c>
    </row>
    <row r="156" spans="1:21">
      <c r="A156" s="112">
        <v>97120407</v>
      </c>
      <c r="B156" s="224" t="str">
        <f>(IF((VLOOKUP(Table10[[#This Row],[SKU]],'All Skus'!$A:$AC,2,FALSE))="Martin",(VLOOKUP(Table10[[#This Row],[SKU]],'All Skus'!$A:$AC,3,FALSE)),""))</f>
        <v>Atmospheric Effects</v>
      </c>
      <c r="C156" s="223" t="str">
        <f>(IF((VLOOKUP(Table10[[#This Row],[SKU]],'All Skus'!$A:$AC,2,FALSE))="Martin",(VLOOKUP(Table10[[#This Row],[SKU]],'All Skus'!$A:$AC,4,FALSE)),""))</f>
        <v>JEM K1 Haze Fluid,  4x 2.5 l</v>
      </c>
      <c r="D156" s="224" t="str">
        <f>(IF((VLOOKUP(Table10[[#This Row],[SKU]],'All Skus'!$A:$AC,2,FALSE))="Martin",(VLOOKUP(Table10[[#This Row],[SKU]],'All Skus'!$A:$AC,5,FALSE)),""))</f>
        <v>MAR-FLUID</v>
      </c>
      <c r="E156" s="223">
        <f>(IF((VLOOKUP(Table10[[#This Row],[SKU]],'All Skus'!$A:$AC,2,FALSE))="Martin",(VLOOKUP(Table10[[#This Row],[SKU]],'All Skus'!$A:$AC,6,FALSE)),""))</f>
        <v>0</v>
      </c>
      <c r="F156" s="155">
        <f>(IF((VLOOKUP(Table10[[#This Row],[SKU]],'All Skus'!$A:$AC,2,FALSE))="Martin",(VLOOKUP(Table10[[#This Row],[SKU]],'All Skus'!$A:$AC,7,FALSE)),""))</f>
        <v>0</v>
      </c>
      <c r="G156" s="223" t="str">
        <f>(IF((VLOOKUP(Table10[[#This Row],[SKU]],'All Skus'!$A:$AC,2,FALSE))="Martin",(VLOOKUP(Table10[[#This Row],[SKU]],'All Skus'!$A:$AC,8,FALSE)),""))</f>
        <v>JEM K1 Haze Fluid,  4x 2.5 l</v>
      </c>
      <c r="H156" s="223" t="str">
        <f>(IF((VLOOKUP(Table10[[#This Row],[SKU]],'All Skus'!$A:$AC,2,FALSE))="Martin",(VLOOKUP(Table10[[#This Row],[SKU]],'All Skus'!$A:$AC,9,FALSE)),""))</f>
        <v>JEM K1 Haze Fluid,  4x 2.5 l</v>
      </c>
      <c r="I156" s="225">
        <f>(IF((VLOOKUP(Table10[[#This Row],[SKU]],'All Skus'!$A:$AC,2,FALSE))="Martin",(VLOOKUP(Table10[[#This Row],[SKU]],'All Skus'!$A:$AC,10,FALSE)),""))</f>
        <v>160.4</v>
      </c>
      <c r="J156" s="226">
        <f>(IF((VLOOKUP(Table10[[#This Row],[SKU]],'All Skus'!$A:$AC,2,FALSE))="Martin",(VLOOKUP(Table10[[#This Row],[SKU]],'All Skus'!$A:$AC,11,FALSE)),""))</f>
        <v>160.4</v>
      </c>
      <c r="K156" s="224">
        <f>(IF((VLOOKUP(Table10[[#This Row],[SKU]],'All Skus'!$A:$AC,2,FALSE))="Martin",(VLOOKUP(Table10[[#This Row],[SKU]],'All Skus'!$A:$AC,15,FALSE)),""))</f>
        <v>0</v>
      </c>
      <c r="L156" s="224">
        <f>(IF((VLOOKUP(Table10[[#This Row],[SKU]],'All Skus'!$A:$AC,2,FALSE))="Martin",(VLOOKUP(Table10[[#This Row],[SKU]],'All Skus'!$A:$AC,16,FALSE)),""))</f>
        <v>688705003146</v>
      </c>
      <c r="M156" s="224">
        <f>(IF((VLOOKUP(Table10[[#This Row],[SKU]],'All Skus'!$A:$AC,2,FALSE))="Martin",(VLOOKUP(Table10[[#This Row],[SKU]],'All Skus'!$A:$AC,17,FALSE)),""))</f>
        <v>0</v>
      </c>
      <c r="N156" s="227">
        <f>(IF((VLOOKUP(Table10[[#This Row],[SKU]],'All Skus'!$A:$AC,2,FALSE))="Martin",(VLOOKUP(Table10[[#This Row],[SKU]],'All Skus'!$A:$AC,18,FALSE)),""))</f>
        <v>10.25</v>
      </c>
      <c r="O156" s="227">
        <f>(IF((VLOOKUP(Table10[[#This Row],[SKU]],'All Skus'!$A:$AC,2,FALSE))="Martin",(VLOOKUP(Table10[[#This Row],[SKU]],'All Skus'!$A:$AC,19,FALSE)),""))</f>
        <v>10.25</v>
      </c>
      <c r="P156" s="227">
        <f>(IF((VLOOKUP(Table10[[#This Row],[SKU]],'All Skus'!$A:$AC,2,FALSE))="Martin",(VLOOKUP(Table10[[#This Row],[SKU]],'All Skus'!$A:$AC,20,FALSE)),""))</f>
        <v>0</v>
      </c>
      <c r="Q156" s="227">
        <f>(IF((VLOOKUP(Table10[[#This Row],[SKU]],'All Skus'!$A:$AC,2,FALSE))="Martin",(VLOOKUP(Table10[[#This Row],[SKU]],'All Skus'!$A:$AC,21,FALSE)),""))</f>
        <v>0</v>
      </c>
      <c r="R156" s="224" t="str">
        <f>(IF((VLOOKUP(Table10[[#This Row],[SKU]],'All Skus'!$A:$AC,2,FALSE))="Martin",(VLOOKUP(Table10[[#This Row],[SKU]],'All Skus'!$A:$AC,22,FALSE)),""))</f>
        <v>GB</v>
      </c>
      <c r="S156" s="223">
        <f>(IF((VLOOKUP(Table10[[#This Row],[SKU]],'All Skus'!$A:$AC,2,FALSE))="Martin",(VLOOKUP(Table10[[#This Row],[SKU]],'All Skus'!$A:$AC,23,FALSE)),""))</f>
        <v>0</v>
      </c>
      <c r="T156" s="212" t="str">
        <f>HYPERLINK((IF((VLOOKUP(Table10[[#This Row],[SKU]],'All Skus'!$A:$AC,2,FALSE))="Martin",(VLOOKUP(Table10[[#This Row],[SKU]],'All Skus'!$A:$AC,24,FALSE)),"")))</f>
        <v/>
      </c>
      <c r="U156" s="228">
        <v>154</v>
      </c>
    </row>
    <row r="157" spans="1:21">
      <c r="A157" s="112">
        <v>97120412</v>
      </c>
      <c r="B157" s="224" t="str">
        <f>(IF((VLOOKUP(Table10[[#This Row],[SKU]],'All Skus'!$A:$AC,2,FALSE))="Martin",(VLOOKUP(Table10[[#This Row],[SKU]],'All Skus'!$A:$AC,3,FALSE)),""))</f>
        <v>Atmospheric Effects</v>
      </c>
      <c r="C157" s="223" t="str">
        <f>(IF((VLOOKUP(Table10[[#This Row],[SKU]],'All Skus'!$A:$AC,2,FALSE))="Martin",(VLOOKUP(Table10[[#This Row],[SKU]],'All Skus'!$A:$AC,4,FALSE)),""))</f>
        <v>JEM K1 Haze Fluid,  220  l</v>
      </c>
      <c r="D157" s="224" t="str">
        <f>(IF((VLOOKUP(Table10[[#This Row],[SKU]],'All Skus'!$A:$AC,2,FALSE))="Martin",(VLOOKUP(Table10[[#This Row],[SKU]],'All Skus'!$A:$AC,5,FALSE)),""))</f>
        <v>MAR-FLUID</v>
      </c>
      <c r="E157" s="223">
        <f>(IF((VLOOKUP(Table10[[#This Row],[SKU]],'All Skus'!$A:$AC,2,FALSE))="Martin",(VLOOKUP(Table10[[#This Row],[SKU]],'All Skus'!$A:$AC,6,FALSE)),""))</f>
        <v>0</v>
      </c>
      <c r="F157" s="155">
        <f>(IF((VLOOKUP(Table10[[#This Row],[SKU]],'All Skus'!$A:$AC,2,FALSE))="Martin",(VLOOKUP(Table10[[#This Row],[SKU]],'All Skus'!$A:$AC,7,FALSE)),""))</f>
        <v>0</v>
      </c>
      <c r="G157" s="223" t="str">
        <f>(IF((VLOOKUP(Table10[[#This Row],[SKU]],'All Skus'!$A:$AC,2,FALSE))="Martin",(VLOOKUP(Table10[[#This Row],[SKU]],'All Skus'!$A:$AC,8,FALSE)),""))</f>
        <v>JEM K1 Haze Fluid,  220  l</v>
      </c>
      <c r="H157" s="223" t="str">
        <f>(IF((VLOOKUP(Table10[[#This Row],[SKU]],'All Skus'!$A:$AC,2,FALSE))="Martin",(VLOOKUP(Table10[[#This Row],[SKU]],'All Skus'!$A:$AC,9,FALSE)),""))</f>
        <v>JEM K1 Haze Fluid,  220  l</v>
      </c>
      <c r="I157" s="225">
        <f>(IF((VLOOKUP(Table10[[#This Row],[SKU]],'All Skus'!$A:$AC,2,FALSE))="Martin",(VLOOKUP(Table10[[#This Row],[SKU]],'All Skus'!$A:$AC,10,FALSE)),""))</f>
        <v>2429.7399999999998</v>
      </c>
      <c r="J157" s="226">
        <f>(IF((VLOOKUP(Table10[[#This Row],[SKU]],'All Skus'!$A:$AC,2,FALSE))="Martin",(VLOOKUP(Table10[[#This Row],[SKU]],'All Skus'!$A:$AC,11,FALSE)),""))</f>
        <v>2429.7399999999998</v>
      </c>
      <c r="K157" s="224">
        <f>(IF((VLOOKUP(Table10[[#This Row],[SKU]],'All Skus'!$A:$AC,2,FALSE))="Martin",(VLOOKUP(Table10[[#This Row],[SKU]],'All Skus'!$A:$AC,15,FALSE)),""))</f>
        <v>0</v>
      </c>
      <c r="L157" s="224">
        <f>(IF((VLOOKUP(Table10[[#This Row],[SKU]],'All Skus'!$A:$AC,2,FALSE))="Martin",(VLOOKUP(Table10[[#This Row],[SKU]],'All Skus'!$A:$AC,16,FALSE)),""))</f>
        <v>688705003153</v>
      </c>
      <c r="M157" s="224">
        <f>(IF((VLOOKUP(Table10[[#This Row],[SKU]],'All Skus'!$A:$AC,2,FALSE))="Martin",(VLOOKUP(Table10[[#This Row],[SKU]],'All Skus'!$A:$AC,17,FALSE)),""))</f>
        <v>0</v>
      </c>
      <c r="N157" s="227">
        <f>(IF((VLOOKUP(Table10[[#This Row],[SKU]],'All Skus'!$A:$AC,2,FALSE))="Martin",(VLOOKUP(Table10[[#This Row],[SKU]],'All Skus'!$A:$AC,18,FALSE)),""))</f>
        <v>23.7</v>
      </c>
      <c r="O157" s="227">
        <f>(IF((VLOOKUP(Table10[[#This Row],[SKU]],'All Skus'!$A:$AC,2,FALSE))="Martin",(VLOOKUP(Table10[[#This Row],[SKU]],'All Skus'!$A:$AC,19,FALSE)),""))</f>
        <v>23.7</v>
      </c>
      <c r="P157" s="227">
        <f>(IF((VLOOKUP(Table10[[#This Row],[SKU]],'All Skus'!$A:$AC,2,FALSE))="Martin",(VLOOKUP(Table10[[#This Row],[SKU]],'All Skus'!$A:$AC,20,FALSE)),""))</f>
        <v>0</v>
      </c>
      <c r="Q157" s="227">
        <f>(IF((VLOOKUP(Table10[[#This Row],[SKU]],'All Skus'!$A:$AC,2,FALSE))="Martin",(VLOOKUP(Table10[[#This Row],[SKU]],'All Skus'!$A:$AC,21,FALSE)),""))</f>
        <v>0</v>
      </c>
      <c r="R157" s="224" t="str">
        <f>(IF((VLOOKUP(Table10[[#This Row],[SKU]],'All Skus'!$A:$AC,2,FALSE))="Martin",(VLOOKUP(Table10[[#This Row],[SKU]],'All Skus'!$A:$AC,22,FALSE)),""))</f>
        <v>GB</v>
      </c>
      <c r="S157" s="223">
        <f>(IF((VLOOKUP(Table10[[#This Row],[SKU]],'All Skus'!$A:$AC,2,FALSE))="Martin",(VLOOKUP(Table10[[#This Row],[SKU]],'All Skus'!$A:$AC,23,FALSE)),""))</f>
        <v>0</v>
      </c>
      <c r="T157" s="212" t="str">
        <f>HYPERLINK((IF((VLOOKUP(Table10[[#This Row],[SKU]],'All Skus'!$A:$AC,2,FALSE))="Martin",(VLOOKUP(Table10[[#This Row],[SKU]],'All Skus'!$A:$AC,24,FALSE)),"")))</f>
        <v>http://www.martin.com/en-us/product-details/jem-k1-haze-fluid</v>
      </c>
      <c r="U157" s="228">
        <v>155</v>
      </c>
    </row>
    <row r="158" spans="1:21" hidden="1">
      <c r="A158" s="115" t="s">
        <v>1991</v>
      </c>
      <c r="B158" s="224">
        <f>(IF((VLOOKUP(Table10[[#This Row],[SKU]],'All Skus'!$A:$AC,2,FALSE))="Martin",(VLOOKUP(Table10[[#This Row],[SKU]],'All Skus'!$A:$AC,3,FALSE)),""))</f>
        <v>0</v>
      </c>
      <c r="C158" s="223">
        <f>(IF((VLOOKUP(Table10[[#This Row],[SKU]],'All Skus'!$A:$AC,2,FALSE))="Martin",(VLOOKUP(Table10[[#This Row],[SKU]],'All Skus'!$A:$AC,4,FALSE)),""))</f>
        <v>0</v>
      </c>
      <c r="D158" s="224">
        <f>(IF((VLOOKUP(Table10[[#This Row],[SKU]],'All Skus'!$A:$AC,2,FALSE))="Martin",(VLOOKUP(Table10[[#This Row],[SKU]],'All Skus'!$A:$AC,5,FALSE)),""))</f>
        <v>0</v>
      </c>
      <c r="E158" s="223">
        <f>(IF((VLOOKUP(Table10[[#This Row],[SKU]],'All Skus'!$A:$AC,2,FALSE))="Martin",(VLOOKUP(Table10[[#This Row],[SKU]],'All Skus'!$A:$AC,6,FALSE)),""))</f>
        <v>0</v>
      </c>
      <c r="F158" s="155">
        <f>(IF((VLOOKUP(Table10[[#This Row],[SKU]],'All Skus'!$A:$AC,2,FALSE))="Martin",(VLOOKUP(Table10[[#This Row],[SKU]],'All Skus'!$A:$AC,7,FALSE)),""))</f>
        <v>0</v>
      </c>
      <c r="G158" s="223">
        <f>(IF((VLOOKUP(Table10[[#This Row],[SKU]],'All Skus'!$A:$AC,2,FALSE))="Martin",(VLOOKUP(Table10[[#This Row],[SKU]],'All Skus'!$A:$AC,8,FALSE)),""))</f>
        <v>0</v>
      </c>
      <c r="H158" s="223">
        <f>(IF((VLOOKUP(Table10[[#This Row],[SKU]],'All Skus'!$A:$AC,2,FALSE))="Martin",(VLOOKUP(Table10[[#This Row],[SKU]],'All Skus'!$A:$AC,9,FALSE)),""))</f>
        <v>0</v>
      </c>
      <c r="I158" s="225">
        <f>(IF((VLOOKUP(Table10[[#This Row],[SKU]],'All Skus'!$A:$AC,2,FALSE))="Martin",(VLOOKUP(Table10[[#This Row],[SKU]],'All Skus'!$A:$AC,10,FALSE)),""))</f>
        <v>0</v>
      </c>
      <c r="J158" s="226">
        <f>(IF((VLOOKUP(Table10[[#This Row],[SKU]],'All Skus'!$A:$AC,2,FALSE))="Martin",(VLOOKUP(Table10[[#This Row],[SKU]],'All Skus'!$A:$AC,11,FALSE)),""))</f>
        <v>0</v>
      </c>
      <c r="K158" s="224">
        <f>(IF((VLOOKUP(Table10[[#This Row],[SKU]],'All Skus'!$A:$AC,2,FALSE))="Martin",(VLOOKUP(Table10[[#This Row],[SKU]],'All Skus'!$A:$AC,15,FALSE)),""))</f>
        <v>0</v>
      </c>
      <c r="L158" s="224">
        <f>(IF((VLOOKUP(Table10[[#This Row],[SKU]],'All Skus'!$A:$AC,2,FALSE))="Martin",(VLOOKUP(Table10[[#This Row],[SKU]],'All Skus'!$A:$AC,16,FALSE)),""))</f>
        <v>0</v>
      </c>
      <c r="M158" s="224">
        <f>(IF((VLOOKUP(Table10[[#This Row],[SKU]],'All Skus'!$A:$AC,2,FALSE))="Martin",(VLOOKUP(Table10[[#This Row],[SKU]],'All Skus'!$A:$AC,17,FALSE)),""))</f>
        <v>0</v>
      </c>
      <c r="N158" s="227">
        <f>(IF((VLOOKUP(Table10[[#This Row],[SKU]],'All Skus'!$A:$AC,2,FALSE))="Martin",(VLOOKUP(Table10[[#This Row],[SKU]],'All Skus'!$A:$AC,18,FALSE)),""))</f>
        <v>0</v>
      </c>
      <c r="O158" s="227">
        <f>(IF((VLOOKUP(Table10[[#This Row],[SKU]],'All Skus'!$A:$AC,2,FALSE))="Martin",(VLOOKUP(Table10[[#This Row],[SKU]],'All Skus'!$A:$AC,19,FALSE)),""))</f>
        <v>0</v>
      </c>
      <c r="P158" s="227">
        <f>(IF((VLOOKUP(Table10[[#This Row],[SKU]],'All Skus'!$A:$AC,2,FALSE))="Martin",(VLOOKUP(Table10[[#This Row],[SKU]],'All Skus'!$A:$AC,20,FALSE)),""))</f>
        <v>0</v>
      </c>
      <c r="Q158" s="227">
        <f>(IF((VLOOKUP(Table10[[#This Row],[SKU]],'All Skus'!$A:$AC,2,FALSE))="Martin",(VLOOKUP(Table10[[#This Row],[SKU]],'All Skus'!$A:$AC,21,FALSE)),""))</f>
        <v>0</v>
      </c>
      <c r="R158" s="224">
        <f>(IF((VLOOKUP(Table10[[#This Row],[SKU]],'All Skus'!$A:$AC,2,FALSE))="Martin",(VLOOKUP(Table10[[#This Row],[SKU]],'All Skus'!$A:$AC,22,FALSE)),""))</f>
        <v>0</v>
      </c>
      <c r="S158" s="223">
        <f>(IF((VLOOKUP(Table10[[#This Row],[SKU]],'All Skus'!$A:$AC,2,FALSE))="Martin",(VLOOKUP(Table10[[#This Row],[SKU]],'All Skus'!$A:$AC,23,FALSE)),""))</f>
        <v>0</v>
      </c>
      <c r="T158" s="212" t="str">
        <f>HYPERLINK((IF((VLOOKUP(Table10[[#This Row],[SKU]],'All Skus'!$A:$AC,2,FALSE))="Martin",(VLOOKUP(Table10[[#This Row],[SKU]],'All Skus'!$A:$AC,24,FALSE)),"")))</f>
        <v/>
      </c>
      <c r="U158" s="228">
        <v>156</v>
      </c>
    </row>
    <row r="159" spans="1:21">
      <c r="A159" s="112">
        <v>97120413</v>
      </c>
      <c r="B159" s="224" t="str">
        <f>(IF((VLOOKUP(Table10[[#This Row],[SKU]],'All Skus'!$A:$AC,2,FALSE))="Martin",(VLOOKUP(Table10[[#This Row],[SKU]],'All Skus'!$A:$AC,3,FALSE)),""))</f>
        <v>Atmospheric Effects</v>
      </c>
      <c r="C159" s="223" t="str">
        <f>(IF((VLOOKUP(Table10[[#This Row],[SKU]],'All Skus'!$A:$AC,2,FALSE))="Martin",(VLOOKUP(Table10[[#This Row],[SKU]],'All Skus'!$A:$AC,4,FALSE)),""))</f>
        <v>JEM C-Plus Haze Fluid, 4x 2.5 l</v>
      </c>
      <c r="D159" s="224" t="str">
        <f>(IF((VLOOKUP(Table10[[#This Row],[SKU]],'All Skus'!$A:$AC,2,FALSE))="Martin",(VLOOKUP(Table10[[#This Row],[SKU]],'All Skus'!$A:$AC,5,FALSE)),""))</f>
        <v>MAR-FLUID</v>
      </c>
      <c r="E159" s="223">
        <f>(IF((VLOOKUP(Table10[[#This Row],[SKU]],'All Skus'!$A:$AC,2,FALSE))="Martin",(VLOOKUP(Table10[[#This Row],[SKU]],'All Skus'!$A:$AC,6,FALSE)),""))</f>
        <v>0</v>
      </c>
      <c r="F159" s="155">
        <f>(IF((VLOOKUP(Table10[[#This Row],[SKU]],'All Skus'!$A:$AC,2,FALSE))="Martin",(VLOOKUP(Table10[[#This Row],[SKU]],'All Skus'!$A:$AC,7,FALSE)),""))</f>
        <v>0</v>
      </c>
      <c r="G159" s="223" t="str">
        <f>(IF((VLOOKUP(Table10[[#This Row],[SKU]],'All Skus'!$A:$AC,2,FALSE))="Martin",(VLOOKUP(Table10[[#This Row],[SKU]],'All Skus'!$A:$AC,8,FALSE)),""))</f>
        <v>JEM C-Plus Haze Fluid, 4x 2.5 l</v>
      </c>
      <c r="H159" s="223" t="str">
        <f>(IF((VLOOKUP(Table10[[#This Row],[SKU]],'All Skus'!$A:$AC,2,FALSE))="Martin",(VLOOKUP(Table10[[#This Row],[SKU]],'All Skus'!$A:$AC,9,FALSE)),""))</f>
        <v>JEM C-Plus Haze Fluid, 4x 2.5 l</v>
      </c>
      <c r="I159" s="225">
        <f>(IF((VLOOKUP(Table10[[#This Row],[SKU]],'All Skus'!$A:$AC,2,FALSE))="Martin",(VLOOKUP(Table10[[#This Row],[SKU]],'All Skus'!$A:$AC,10,FALSE)),""))</f>
        <v>181.44</v>
      </c>
      <c r="J159" s="226">
        <f>(IF((VLOOKUP(Table10[[#This Row],[SKU]],'All Skus'!$A:$AC,2,FALSE))="Martin",(VLOOKUP(Table10[[#This Row],[SKU]],'All Skus'!$A:$AC,11,FALSE)),""))</f>
        <v>181.44</v>
      </c>
      <c r="K159" s="224">
        <f>(IF((VLOOKUP(Table10[[#This Row],[SKU]],'All Skus'!$A:$AC,2,FALSE))="Martin",(VLOOKUP(Table10[[#This Row],[SKU]],'All Skus'!$A:$AC,15,FALSE)),""))</f>
        <v>0</v>
      </c>
      <c r="L159" s="224">
        <f>(IF((VLOOKUP(Table10[[#This Row],[SKU]],'All Skus'!$A:$AC,2,FALSE))="Martin",(VLOOKUP(Table10[[#This Row],[SKU]],'All Skus'!$A:$AC,16,FALSE)),""))</f>
        <v>688705003184</v>
      </c>
      <c r="M159" s="224">
        <f>(IF((VLOOKUP(Table10[[#This Row],[SKU]],'All Skus'!$A:$AC,2,FALSE))="Martin",(VLOOKUP(Table10[[#This Row],[SKU]],'All Skus'!$A:$AC,17,FALSE)),""))</f>
        <v>0</v>
      </c>
      <c r="N159" s="227">
        <f>(IF((VLOOKUP(Table10[[#This Row],[SKU]],'All Skus'!$A:$AC,2,FALSE))="Martin",(VLOOKUP(Table10[[#This Row],[SKU]],'All Skus'!$A:$AC,18,FALSE)),""))</f>
        <v>10.25</v>
      </c>
      <c r="O159" s="227">
        <f>(IF((VLOOKUP(Table10[[#This Row],[SKU]],'All Skus'!$A:$AC,2,FALSE))="Martin",(VLOOKUP(Table10[[#This Row],[SKU]],'All Skus'!$A:$AC,19,FALSE)),""))</f>
        <v>10.25</v>
      </c>
      <c r="P159" s="227">
        <f>(IF((VLOOKUP(Table10[[#This Row],[SKU]],'All Skus'!$A:$AC,2,FALSE))="Martin",(VLOOKUP(Table10[[#This Row],[SKU]],'All Skus'!$A:$AC,20,FALSE)),""))</f>
        <v>0</v>
      </c>
      <c r="Q159" s="227">
        <f>(IF((VLOOKUP(Table10[[#This Row],[SKU]],'All Skus'!$A:$AC,2,FALSE))="Martin",(VLOOKUP(Table10[[#This Row],[SKU]],'All Skus'!$A:$AC,21,FALSE)),""))</f>
        <v>0</v>
      </c>
      <c r="R159" s="224" t="str">
        <f>(IF((VLOOKUP(Table10[[#This Row],[SKU]],'All Skus'!$A:$AC,2,FALSE))="Martin",(VLOOKUP(Table10[[#This Row],[SKU]],'All Skus'!$A:$AC,22,FALSE)),""))</f>
        <v>GB</v>
      </c>
      <c r="S159" s="223">
        <f>(IF((VLOOKUP(Table10[[#This Row],[SKU]],'All Skus'!$A:$AC,2,FALSE))="Martin",(VLOOKUP(Table10[[#This Row],[SKU]],'All Skus'!$A:$AC,23,FALSE)),""))</f>
        <v>0</v>
      </c>
      <c r="T159" s="212" t="str">
        <f>HYPERLINK((IF((VLOOKUP(Table10[[#This Row],[SKU]],'All Skus'!$A:$AC,2,FALSE))="Martin",(VLOOKUP(Table10[[#This Row],[SKU]],'All Skus'!$A:$AC,24,FALSE)),"")))</f>
        <v/>
      </c>
      <c r="U159" s="228">
        <v>157</v>
      </c>
    </row>
    <row r="160" spans="1:21">
      <c r="A160" s="112">
        <v>97120421</v>
      </c>
      <c r="B160" s="224" t="str">
        <f>(IF((VLOOKUP(Table10[[#This Row],[SKU]],'All Skus'!$A:$AC,2,FALSE))="Martin",(VLOOKUP(Table10[[#This Row],[SKU]],'All Skus'!$A:$AC,3,FALSE)),""))</f>
        <v>Atmospheric Effects</v>
      </c>
      <c r="C160" s="223" t="str">
        <f>(IF((VLOOKUP(Table10[[#This Row],[SKU]],'All Skus'!$A:$AC,2,FALSE))="Martin",(VLOOKUP(Table10[[#This Row],[SKU]],'All Skus'!$A:$AC,4,FALSE)),""))</f>
        <v xml:space="preserve">JEM C-Plus Haze Fluid, 4x 5 l </v>
      </c>
      <c r="D160" s="224" t="str">
        <f>(IF((VLOOKUP(Table10[[#This Row],[SKU]],'All Skus'!$A:$AC,2,FALSE))="Martin",(VLOOKUP(Table10[[#This Row],[SKU]],'All Skus'!$A:$AC,5,FALSE)),""))</f>
        <v>MAR-FLUID</v>
      </c>
      <c r="E160" s="223">
        <f>(IF((VLOOKUP(Table10[[#This Row],[SKU]],'All Skus'!$A:$AC,2,FALSE))="Martin",(VLOOKUP(Table10[[#This Row],[SKU]],'All Skus'!$A:$AC,6,FALSE)),""))</f>
        <v>0</v>
      </c>
      <c r="F160" s="155">
        <f>(IF((VLOOKUP(Table10[[#This Row],[SKU]],'All Skus'!$A:$AC,2,FALSE))="Martin",(VLOOKUP(Table10[[#This Row],[SKU]],'All Skus'!$A:$AC,7,FALSE)),""))</f>
        <v>0</v>
      </c>
      <c r="G160" s="223" t="str">
        <f>(IF((VLOOKUP(Table10[[#This Row],[SKU]],'All Skus'!$A:$AC,2,FALSE))="Martin",(VLOOKUP(Table10[[#This Row],[SKU]],'All Skus'!$A:$AC,8,FALSE)),""))</f>
        <v xml:space="preserve">JEM C-Plus Haze Fluid, 4x 5 l </v>
      </c>
      <c r="H160" s="223" t="str">
        <f>(IF((VLOOKUP(Table10[[#This Row],[SKU]],'All Skus'!$A:$AC,2,FALSE))="Martin",(VLOOKUP(Table10[[#This Row],[SKU]],'All Skus'!$A:$AC,9,FALSE)),""))</f>
        <v xml:space="preserve">JEM C-Plus Haze Fluid, 4x 5 l </v>
      </c>
      <c r="I160" s="225">
        <f>(IF((VLOOKUP(Table10[[#This Row],[SKU]],'All Skus'!$A:$AC,2,FALSE))="Martin",(VLOOKUP(Table10[[#This Row],[SKU]],'All Skus'!$A:$AC,10,FALSE)),""))</f>
        <v>335.27</v>
      </c>
      <c r="J160" s="226">
        <f>(IF((VLOOKUP(Table10[[#This Row],[SKU]],'All Skus'!$A:$AC,2,FALSE))="Martin",(VLOOKUP(Table10[[#This Row],[SKU]],'All Skus'!$A:$AC,11,FALSE)),""))</f>
        <v>335.27</v>
      </c>
      <c r="K160" s="224">
        <f>(IF((VLOOKUP(Table10[[#This Row],[SKU]],'All Skus'!$A:$AC,2,FALSE))="Martin",(VLOOKUP(Table10[[#This Row],[SKU]],'All Skus'!$A:$AC,15,FALSE)),""))</f>
        <v>0</v>
      </c>
      <c r="L160" s="224">
        <f>(IF((VLOOKUP(Table10[[#This Row],[SKU]],'All Skus'!$A:$AC,2,FALSE))="Martin",(VLOOKUP(Table10[[#This Row],[SKU]],'All Skus'!$A:$AC,16,FALSE)),""))</f>
        <v>688705003191</v>
      </c>
      <c r="M160" s="224">
        <f>(IF((VLOOKUP(Table10[[#This Row],[SKU]],'All Skus'!$A:$AC,2,FALSE))="Martin",(VLOOKUP(Table10[[#This Row],[SKU]],'All Skus'!$A:$AC,17,FALSE)),""))</f>
        <v>0</v>
      </c>
      <c r="N160" s="227">
        <f>(IF((VLOOKUP(Table10[[#This Row],[SKU]],'All Skus'!$A:$AC,2,FALSE))="Martin",(VLOOKUP(Table10[[#This Row],[SKU]],'All Skus'!$A:$AC,18,FALSE)),""))</f>
        <v>0</v>
      </c>
      <c r="O160" s="227">
        <f>(IF((VLOOKUP(Table10[[#This Row],[SKU]],'All Skus'!$A:$AC,2,FALSE))="Martin",(VLOOKUP(Table10[[#This Row],[SKU]],'All Skus'!$A:$AC,19,FALSE)),""))</f>
        <v>11.5</v>
      </c>
      <c r="P160" s="227">
        <f>(IF((VLOOKUP(Table10[[#This Row],[SKU]],'All Skus'!$A:$AC,2,FALSE))="Martin",(VLOOKUP(Table10[[#This Row],[SKU]],'All Skus'!$A:$AC,20,FALSE)),""))</f>
        <v>0</v>
      </c>
      <c r="Q160" s="227">
        <f>(IF((VLOOKUP(Table10[[#This Row],[SKU]],'All Skus'!$A:$AC,2,FALSE))="Martin",(VLOOKUP(Table10[[#This Row],[SKU]],'All Skus'!$A:$AC,21,FALSE)),""))</f>
        <v>0</v>
      </c>
      <c r="R160" s="224" t="str">
        <f>(IF((VLOOKUP(Table10[[#This Row],[SKU]],'All Skus'!$A:$AC,2,FALSE))="Martin",(VLOOKUP(Table10[[#This Row],[SKU]],'All Skus'!$A:$AC,22,FALSE)),""))</f>
        <v>GB</v>
      </c>
      <c r="S160" s="223">
        <f>(IF((VLOOKUP(Table10[[#This Row],[SKU]],'All Skus'!$A:$AC,2,FALSE))="Martin",(VLOOKUP(Table10[[#This Row],[SKU]],'All Skus'!$A:$AC,23,FALSE)),""))</f>
        <v>0</v>
      </c>
      <c r="T160" s="212" t="str">
        <f>HYPERLINK((IF((VLOOKUP(Table10[[#This Row],[SKU]],'All Skus'!$A:$AC,2,FALSE))="Martin",(VLOOKUP(Table10[[#This Row],[SKU]],'All Skus'!$A:$AC,24,FALSE)),"")))</f>
        <v>http://www.martin.com/en-us/product-details/jem-c-plus-haze-fluid</v>
      </c>
      <c r="U160" s="228">
        <v>158</v>
      </c>
    </row>
    <row r="161" spans="1:21">
      <c r="A161" s="112">
        <v>97120423</v>
      </c>
      <c r="B161" s="224" t="str">
        <f>(IF((VLOOKUP(Table10[[#This Row],[SKU]],'All Skus'!$A:$AC,2,FALSE))="Martin",(VLOOKUP(Table10[[#This Row],[SKU]],'All Skus'!$A:$AC,3,FALSE)),""))</f>
        <v>Atmospheric Effects</v>
      </c>
      <c r="C161" s="223" t="str">
        <f>(IF((VLOOKUP(Table10[[#This Row],[SKU]],'All Skus'!$A:$AC,2,FALSE))="Martin",(VLOOKUP(Table10[[#This Row],[SKU]],'All Skus'!$A:$AC,4,FALSE)),""))</f>
        <v>JEM C-Plus Haze Fluid, 25 l</v>
      </c>
      <c r="D161" s="224" t="str">
        <f>(IF((VLOOKUP(Table10[[#This Row],[SKU]],'All Skus'!$A:$AC,2,FALSE))="Martin",(VLOOKUP(Table10[[#This Row],[SKU]],'All Skus'!$A:$AC,5,FALSE)),""))</f>
        <v>MAR-FLUID</v>
      </c>
      <c r="E161" s="223">
        <f>(IF((VLOOKUP(Table10[[#This Row],[SKU]],'All Skus'!$A:$AC,2,FALSE))="Martin",(VLOOKUP(Table10[[#This Row],[SKU]],'All Skus'!$A:$AC,6,FALSE)),""))</f>
        <v>0</v>
      </c>
      <c r="F161" s="155">
        <f>(IF((VLOOKUP(Table10[[#This Row],[SKU]],'All Skus'!$A:$AC,2,FALSE))="Martin",(VLOOKUP(Table10[[#This Row],[SKU]],'All Skus'!$A:$AC,7,FALSE)),""))</f>
        <v>0</v>
      </c>
      <c r="G161" s="223" t="str">
        <f>(IF((VLOOKUP(Table10[[#This Row],[SKU]],'All Skus'!$A:$AC,2,FALSE))="Martin",(VLOOKUP(Table10[[#This Row],[SKU]],'All Skus'!$A:$AC,8,FALSE)),""))</f>
        <v>JEM C-Plus Haze Fluid, 25 l</v>
      </c>
      <c r="H161" s="223" t="str">
        <f>(IF((VLOOKUP(Table10[[#This Row],[SKU]],'All Skus'!$A:$AC,2,FALSE))="Martin",(VLOOKUP(Table10[[#This Row],[SKU]],'All Skus'!$A:$AC,9,FALSE)),""))</f>
        <v>JEM C-Plus Haze Fluid, 25 l</v>
      </c>
      <c r="I161" s="225">
        <f>(IF((VLOOKUP(Table10[[#This Row],[SKU]],'All Skus'!$A:$AC,2,FALSE))="Martin",(VLOOKUP(Table10[[#This Row],[SKU]],'All Skus'!$A:$AC,10,FALSE)),""))</f>
        <v>391.81</v>
      </c>
      <c r="J161" s="226">
        <f>(IF((VLOOKUP(Table10[[#This Row],[SKU]],'All Skus'!$A:$AC,2,FALSE))="Martin",(VLOOKUP(Table10[[#This Row],[SKU]],'All Skus'!$A:$AC,11,FALSE)),""))</f>
        <v>391.81</v>
      </c>
      <c r="K161" s="224">
        <f>(IF((VLOOKUP(Table10[[#This Row],[SKU]],'All Skus'!$A:$AC,2,FALSE))="Martin",(VLOOKUP(Table10[[#This Row],[SKU]],'All Skus'!$A:$AC,15,FALSE)),""))</f>
        <v>0</v>
      </c>
      <c r="L161" s="224">
        <f>(IF((VLOOKUP(Table10[[#This Row],[SKU]],'All Skus'!$A:$AC,2,FALSE))="Martin",(VLOOKUP(Table10[[#This Row],[SKU]],'All Skus'!$A:$AC,16,FALSE)),""))</f>
        <v>688705003214</v>
      </c>
      <c r="M161" s="224">
        <f>(IF((VLOOKUP(Table10[[#This Row],[SKU]],'All Skus'!$A:$AC,2,FALSE))="Martin",(VLOOKUP(Table10[[#This Row],[SKU]],'All Skus'!$A:$AC,17,FALSE)),""))</f>
        <v>0</v>
      </c>
      <c r="N161" s="227">
        <f>(IF((VLOOKUP(Table10[[#This Row],[SKU]],'All Skus'!$A:$AC,2,FALSE))="Martin",(VLOOKUP(Table10[[#This Row],[SKU]],'All Skus'!$A:$AC,18,FALSE)),""))</f>
        <v>10.7</v>
      </c>
      <c r="O161" s="227">
        <f>(IF((VLOOKUP(Table10[[#This Row],[SKU]],'All Skus'!$A:$AC,2,FALSE))="Martin",(VLOOKUP(Table10[[#This Row],[SKU]],'All Skus'!$A:$AC,19,FALSE)),""))</f>
        <v>10.7</v>
      </c>
      <c r="P161" s="227">
        <f>(IF((VLOOKUP(Table10[[#This Row],[SKU]],'All Skus'!$A:$AC,2,FALSE))="Martin",(VLOOKUP(Table10[[#This Row],[SKU]],'All Skus'!$A:$AC,20,FALSE)),""))</f>
        <v>0</v>
      </c>
      <c r="Q161" s="227">
        <f>(IF((VLOOKUP(Table10[[#This Row],[SKU]],'All Skus'!$A:$AC,2,FALSE))="Martin",(VLOOKUP(Table10[[#This Row],[SKU]],'All Skus'!$A:$AC,21,FALSE)),""))</f>
        <v>0</v>
      </c>
      <c r="R161" s="224" t="str">
        <f>(IF((VLOOKUP(Table10[[#This Row],[SKU]],'All Skus'!$A:$AC,2,FALSE))="Martin",(VLOOKUP(Table10[[#This Row],[SKU]],'All Skus'!$A:$AC,22,FALSE)),""))</f>
        <v>GB</v>
      </c>
      <c r="S161" s="223">
        <f>(IF((VLOOKUP(Table10[[#This Row],[SKU]],'All Skus'!$A:$AC,2,FALSE))="Martin",(VLOOKUP(Table10[[#This Row],[SKU]],'All Skus'!$A:$AC,23,FALSE)),""))</f>
        <v>0</v>
      </c>
      <c r="T161" s="212" t="str">
        <f>HYPERLINK((IF((VLOOKUP(Table10[[#This Row],[SKU]],'All Skus'!$A:$AC,2,FALSE))="Martin",(VLOOKUP(Table10[[#This Row],[SKU]],'All Skus'!$A:$AC,24,FALSE)),"")))</f>
        <v>http://www.martin.com/en-us/product-details/jem-c-plus-haze-fluid</v>
      </c>
      <c r="U161" s="228">
        <v>159</v>
      </c>
    </row>
    <row r="162" spans="1:21" hidden="1">
      <c r="A162" s="115" t="s">
        <v>1992</v>
      </c>
      <c r="B162" s="224">
        <f>(IF((VLOOKUP(Table10[[#This Row],[SKU]],'All Skus'!$A:$AC,2,FALSE))="Martin",(VLOOKUP(Table10[[#This Row],[SKU]],'All Skus'!$A:$AC,3,FALSE)),""))</f>
        <v>0</v>
      </c>
      <c r="C162" s="223">
        <f>(IF((VLOOKUP(Table10[[#This Row],[SKU]],'All Skus'!$A:$AC,2,FALSE))="Martin",(VLOOKUP(Table10[[#This Row],[SKU]],'All Skus'!$A:$AC,4,FALSE)),""))</f>
        <v>0</v>
      </c>
      <c r="D162" s="224">
        <f>(IF((VLOOKUP(Table10[[#This Row],[SKU]],'All Skus'!$A:$AC,2,FALSE))="Martin",(VLOOKUP(Table10[[#This Row],[SKU]],'All Skus'!$A:$AC,5,FALSE)),""))</f>
        <v>0</v>
      </c>
      <c r="E162" s="223">
        <f>(IF((VLOOKUP(Table10[[#This Row],[SKU]],'All Skus'!$A:$AC,2,FALSE))="Martin",(VLOOKUP(Table10[[#This Row],[SKU]],'All Skus'!$A:$AC,6,FALSE)),""))</f>
        <v>0</v>
      </c>
      <c r="F162" s="155">
        <f>(IF((VLOOKUP(Table10[[#This Row],[SKU]],'All Skus'!$A:$AC,2,FALSE))="Martin",(VLOOKUP(Table10[[#This Row],[SKU]],'All Skus'!$A:$AC,7,FALSE)),""))</f>
        <v>0</v>
      </c>
      <c r="G162" s="223">
        <f>(IF((VLOOKUP(Table10[[#This Row],[SKU]],'All Skus'!$A:$AC,2,FALSE))="Martin",(VLOOKUP(Table10[[#This Row],[SKU]],'All Skus'!$A:$AC,8,FALSE)),""))</f>
        <v>0</v>
      </c>
      <c r="H162" s="223">
        <f>(IF((VLOOKUP(Table10[[#This Row],[SKU]],'All Skus'!$A:$AC,2,FALSE))="Martin",(VLOOKUP(Table10[[#This Row],[SKU]],'All Skus'!$A:$AC,9,FALSE)),""))</f>
        <v>0</v>
      </c>
      <c r="I162" s="225">
        <f>(IF((VLOOKUP(Table10[[#This Row],[SKU]],'All Skus'!$A:$AC,2,FALSE))="Martin",(VLOOKUP(Table10[[#This Row],[SKU]],'All Skus'!$A:$AC,10,FALSE)),""))</f>
        <v>0</v>
      </c>
      <c r="J162" s="226">
        <f>(IF((VLOOKUP(Table10[[#This Row],[SKU]],'All Skus'!$A:$AC,2,FALSE))="Martin",(VLOOKUP(Table10[[#This Row],[SKU]],'All Skus'!$A:$AC,11,FALSE)),""))</f>
        <v>0</v>
      </c>
      <c r="K162" s="224">
        <f>(IF((VLOOKUP(Table10[[#This Row],[SKU]],'All Skus'!$A:$AC,2,FALSE))="Martin",(VLOOKUP(Table10[[#This Row],[SKU]],'All Skus'!$A:$AC,15,FALSE)),""))</f>
        <v>0</v>
      </c>
      <c r="L162" s="224">
        <f>(IF((VLOOKUP(Table10[[#This Row],[SKU]],'All Skus'!$A:$AC,2,FALSE))="Martin",(VLOOKUP(Table10[[#This Row],[SKU]],'All Skus'!$A:$AC,16,FALSE)),""))</f>
        <v>0</v>
      </c>
      <c r="M162" s="224">
        <f>(IF((VLOOKUP(Table10[[#This Row],[SKU]],'All Skus'!$A:$AC,2,FALSE))="Martin",(VLOOKUP(Table10[[#This Row],[SKU]],'All Skus'!$A:$AC,17,FALSE)),""))</f>
        <v>0</v>
      </c>
      <c r="N162" s="227">
        <f>(IF((VLOOKUP(Table10[[#This Row],[SKU]],'All Skus'!$A:$AC,2,FALSE))="Martin",(VLOOKUP(Table10[[#This Row],[SKU]],'All Skus'!$A:$AC,18,FALSE)),""))</f>
        <v>0</v>
      </c>
      <c r="O162" s="227">
        <f>(IF((VLOOKUP(Table10[[#This Row],[SKU]],'All Skus'!$A:$AC,2,FALSE))="Martin",(VLOOKUP(Table10[[#This Row],[SKU]],'All Skus'!$A:$AC,19,FALSE)),""))</f>
        <v>0</v>
      </c>
      <c r="P162" s="227">
        <f>(IF((VLOOKUP(Table10[[#This Row],[SKU]],'All Skus'!$A:$AC,2,FALSE))="Martin",(VLOOKUP(Table10[[#This Row],[SKU]],'All Skus'!$A:$AC,20,FALSE)),""))</f>
        <v>0</v>
      </c>
      <c r="Q162" s="227">
        <f>(IF((VLOOKUP(Table10[[#This Row],[SKU]],'All Skus'!$A:$AC,2,FALSE))="Martin",(VLOOKUP(Table10[[#This Row],[SKU]],'All Skus'!$A:$AC,21,FALSE)),""))</f>
        <v>0</v>
      </c>
      <c r="R162" s="224">
        <f>(IF((VLOOKUP(Table10[[#This Row],[SKU]],'All Skus'!$A:$AC,2,FALSE))="Martin",(VLOOKUP(Table10[[#This Row],[SKU]],'All Skus'!$A:$AC,22,FALSE)),""))</f>
        <v>0</v>
      </c>
      <c r="S162" s="223">
        <f>(IF((VLOOKUP(Table10[[#This Row],[SKU]],'All Skus'!$A:$AC,2,FALSE))="Martin",(VLOOKUP(Table10[[#This Row],[SKU]],'All Skus'!$A:$AC,23,FALSE)),""))</f>
        <v>0</v>
      </c>
      <c r="T162" s="212" t="str">
        <f>HYPERLINK((IF((VLOOKUP(Table10[[#This Row],[SKU]],'All Skus'!$A:$AC,2,FALSE))="Martin",(VLOOKUP(Table10[[#This Row],[SKU]],'All Skus'!$A:$AC,24,FALSE)),"")))</f>
        <v/>
      </c>
      <c r="U162" s="228">
        <v>160</v>
      </c>
    </row>
    <row r="163" spans="1:21" hidden="1">
      <c r="A163" s="115" t="s">
        <v>1993</v>
      </c>
      <c r="B163" s="224">
        <f>(IF((VLOOKUP(Table10[[#This Row],[SKU]],'All Skus'!$A:$AC,2,FALSE))="Martin",(VLOOKUP(Table10[[#This Row],[SKU]],'All Skus'!$A:$AC,3,FALSE)),""))</f>
        <v>0</v>
      </c>
      <c r="C163" s="223">
        <f>(IF((VLOOKUP(Table10[[#This Row],[SKU]],'All Skus'!$A:$AC,2,FALSE))="Martin",(VLOOKUP(Table10[[#This Row],[SKU]],'All Skus'!$A:$AC,4,FALSE)),""))</f>
        <v>0</v>
      </c>
      <c r="D163" s="224">
        <f>(IF((VLOOKUP(Table10[[#This Row],[SKU]],'All Skus'!$A:$AC,2,FALSE))="Martin",(VLOOKUP(Table10[[#This Row],[SKU]],'All Skus'!$A:$AC,5,FALSE)),""))</f>
        <v>0</v>
      </c>
      <c r="E163" s="223">
        <f>(IF((VLOOKUP(Table10[[#This Row],[SKU]],'All Skus'!$A:$AC,2,FALSE))="Martin",(VLOOKUP(Table10[[#This Row],[SKU]],'All Skus'!$A:$AC,6,FALSE)),""))</f>
        <v>0</v>
      </c>
      <c r="F163" s="155">
        <f>(IF((VLOOKUP(Table10[[#This Row],[SKU]],'All Skus'!$A:$AC,2,FALSE))="Martin",(VLOOKUP(Table10[[#This Row],[SKU]],'All Skus'!$A:$AC,7,FALSE)),""))</f>
        <v>0</v>
      </c>
      <c r="G163" s="223">
        <f>(IF((VLOOKUP(Table10[[#This Row],[SKU]],'All Skus'!$A:$AC,2,FALSE))="Martin",(VLOOKUP(Table10[[#This Row],[SKU]],'All Skus'!$A:$AC,8,FALSE)),""))</f>
        <v>0</v>
      </c>
      <c r="H163" s="223">
        <f>(IF((VLOOKUP(Table10[[#This Row],[SKU]],'All Skus'!$A:$AC,2,FALSE))="Martin",(VLOOKUP(Table10[[#This Row],[SKU]],'All Skus'!$A:$AC,9,FALSE)),""))</f>
        <v>0</v>
      </c>
      <c r="I163" s="225">
        <f>(IF((VLOOKUP(Table10[[#This Row],[SKU]],'All Skus'!$A:$AC,2,FALSE))="Martin",(VLOOKUP(Table10[[#This Row],[SKU]],'All Skus'!$A:$AC,10,FALSE)),""))</f>
        <v>0</v>
      </c>
      <c r="J163" s="226">
        <f>(IF((VLOOKUP(Table10[[#This Row],[SKU]],'All Skus'!$A:$AC,2,FALSE))="Martin",(VLOOKUP(Table10[[#This Row],[SKU]],'All Skus'!$A:$AC,11,FALSE)),""))</f>
        <v>0</v>
      </c>
      <c r="K163" s="224">
        <f>(IF((VLOOKUP(Table10[[#This Row],[SKU]],'All Skus'!$A:$AC,2,FALSE))="Martin",(VLOOKUP(Table10[[#This Row],[SKU]],'All Skus'!$A:$AC,15,FALSE)),""))</f>
        <v>0</v>
      </c>
      <c r="L163" s="224">
        <f>(IF((VLOOKUP(Table10[[#This Row],[SKU]],'All Skus'!$A:$AC,2,FALSE))="Martin",(VLOOKUP(Table10[[#This Row],[SKU]],'All Skus'!$A:$AC,16,FALSE)),""))</f>
        <v>0</v>
      </c>
      <c r="M163" s="224">
        <f>(IF((VLOOKUP(Table10[[#This Row],[SKU]],'All Skus'!$A:$AC,2,FALSE))="Martin",(VLOOKUP(Table10[[#This Row],[SKU]],'All Skus'!$A:$AC,17,FALSE)),""))</f>
        <v>0</v>
      </c>
      <c r="N163" s="227">
        <f>(IF((VLOOKUP(Table10[[#This Row],[SKU]],'All Skus'!$A:$AC,2,FALSE))="Martin",(VLOOKUP(Table10[[#This Row],[SKU]],'All Skus'!$A:$AC,18,FALSE)),""))</f>
        <v>0</v>
      </c>
      <c r="O163" s="227">
        <f>(IF((VLOOKUP(Table10[[#This Row],[SKU]],'All Skus'!$A:$AC,2,FALSE))="Martin",(VLOOKUP(Table10[[#This Row],[SKU]],'All Skus'!$A:$AC,19,FALSE)),""))</f>
        <v>0</v>
      </c>
      <c r="P163" s="227">
        <f>(IF((VLOOKUP(Table10[[#This Row],[SKU]],'All Skus'!$A:$AC,2,FALSE))="Martin",(VLOOKUP(Table10[[#This Row],[SKU]],'All Skus'!$A:$AC,20,FALSE)),""))</f>
        <v>0</v>
      </c>
      <c r="Q163" s="227">
        <f>(IF((VLOOKUP(Table10[[#This Row],[SKU]],'All Skus'!$A:$AC,2,FALSE))="Martin",(VLOOKUP(Table10[[#This Row],[SKU]],'All Skus'!$A:$AC,21,FALSE)),""))</f>
        <v>0</v>
      </c>
      <c r="R163" s="224">
        <f>(IF((VLOOKUP(Table10[[#This Row],[SKU]],'All Skus'!$A:$AC,2,FALSE))="Martin",(VLOOKUP(Table10[[#This Row],[SKU]],'All Skus'!$A:$AC,22,FALSE)),""))</f>
        <v>0</v>
      </c>
      <c r="S163" s="223">
        <f>(IF((VLOOKUP(Table10[[#This Row],[SKU]],'All Skus'!$A:$AC,2,FALSE))="Martin",(VLOOKUP(Table10[[#This Row],[SKU]],'All Skus'!$A:$AC,23,FALSE)),""))</f>
        <v>0</v>
      </c>
      <c r="T163" s="212" t="str">
        <f>HYPERLINK((IF((VLOOKUP(Table10[[#This Row],[SKU]],'All Skus'!$A:$AC,2,FALSE))="Martin",(VLOOKUP(Table10[[#This Row],[SKU]],'All Skus'!$A:$AC,24,FALSE)),"")))</f>
        <v/>
      </c>
      <c r="U163" s="228">
        <v>161</v>
      </c>
    </row>
    <row r="164" spans="1:21" hidden="1">
      <c r="A164" s="112">
        <v>97122013</v>
      </c>
      <c r="B164" s="224" t="str">
        <f>(IF((VLOOKUP(Table10[[#This Row],[SKU]],'All Skus'!$A:$AC,2,FALSE))="Martin",(VLOOKUP(Table10[[#This Row],[SKU]],'All Skus'!$A:$AC,3,FALSE)),""))</f>
        <v>Atmospheric Effects</v>
      </c>
      <c r="C164" s="223" t="str">
        <f>(IF((VLOOKUP(Table10[[#This Row],[SKU]],'All Skus'!$A:$AC,2,FALSE))="Martin",(VLOOKUP(Table10[[#This Row],[SKU]],'All Skus'!$A:$AC,4,FALSE)),""))</f>
        <v>Martin Pro-Clean and Storage Fluid, 4 x 2.5 l</v>
      </c>
      <c r="D164" s="224" t="str">
        <f>(IF((VLOOKUP(Table10[[#This Row],[SKU]],'All Skus'!$A:$AC,2,FALSE))="Martin",(VLOOKUP(Table10[[#This Row],[SKU]],'All Skus'!$A:$AC,5,FALSE)),""))</f>
        <v>MAR-FLUID</v>
      </c>
      <c r="E164" s="223">
        <f>(IF((VLOOKUP(Table10[[#This Row],[SKU]],'All Skus'!$A:$AC,2,FALSE))="Martin",(VLOOKUP(Table10[[#This Row],[SKU]],'All Skus'!$A:$AC,6,FALSE)),""))</f>
        <v>0</v>
      </c>
      <c r="F164" s="155">
        <f>(IF((VLOOKUP(Table10[[#This Row],[SKU]],'All Skus'!$A:$AC,2,FALSE))="Martin",(VLOOKUP(Table10[[#This Row],[SKU]],'All Skus'!$A:$AC,7,FALSE)),""))</f>
        <v>0</v>
      </c>
      <c r="G164" s="223" t="str">
        <f>(IF((VLOOKUP(Table10[[#This Row],[SKU]],'All Skus'!$A:$AC,2,FALSE))="Martin",(VLOOKUP(Table10[[#This Row],[SKU]],'All Skus'!$A:$AC,8,FALSE)),""))</f>
        <v>Martin Pro-Clean and Storage Fluid, 4 x 2.5 l</v>
      </c>
      <c r="H164" s="223" t="str">
        <f>(IF((VLOOKUP(Table10[[#This Row],[SKU]],'All Skus'!$A:$AC,2,FALSE))="Martin",(VLOOKUP(Table10[[#This Row],[SKU]],'All Skus'!$A:$AC,9,FALSE)),""))</f>
        <v>Martin Pro-Clean and Storage Fluid, 4 x 2.5 l</v>
      </c>
      <c r="I164" s="225">
        <f>(IF((VLOOKUP(Table10[[#This Row],[SKU]],'All Skus'!$A:$AC,2,FALSE))="Martin",(VLOOKUP(Table10[[#This Row],[SKU]],'All Skus'!$A:$AC,10,FALSE)),""))</f>
        <v>48.65</v>
      </c>
      <c r="J164" s="226">
        <f>(IF((VLOOKUP(Table10[[#This Row],[SKU]],'All Skus'!$A:$AC,2,FALSE))="Martin",(VLOOKUP(Table10[[#This Row],[SKU]],'All Skus'!$A:$AC,11,FALSE)),""))</f>
        <v>48.65</v>
      </c>
      <c r="K164" s="224">
        <f>(IF((VLOOKUP(Table10[[#This Row],[SKU]],'All Skus'!$A:$AC,2,FALSE))="Martin",(VLOOKUP(Table10[[#This Row],[SKU]],'All Skus'!$A:$AC,15,FALSE)),""))</f>
        <v>0</v>
      </c>
      <c r="L164" s="224">
        <f>(IF((VLOOKUP(Table10[[#This Row],[SKU]],'All Skus'!$A:$AC,2,FALSE))="Martin",(VLOOKUP(Table10[[#This Row],[SKU]],'All Skus'!$A:$AC,16,FALSE)),""))</f>
        <v>688705003511</v>
      </c>
      <c r="M164" s="224">
        <f>(IF((VLOOKUP(Table10[[#This Row],[SKU]],'All Skus'!$A:$AC,2,FALSE))="Martin",(VLOOKUP(Table10[[#This Row],[SKU]],'All Skus'!$A:$AC,17,FALSE)),""))</f>
        <v>0</v>
      </c>
      <c r="N164" s="227">
        <f>(IF((VLOOKUP(Table10[[#This Row],[SKU]],'All Skus'!$A:$AC,2,FALSE))="Martin",(VLOOKUP(Table10[[#This Row],[SKU]],'All Skus'!$A:$AC,18,FALSE)),""))</f>
        <v>10.25</v>
      </c>
      <c r="O164" s="227">
        <f>(IF((VLOOKUP(Table10[[#This Row],[SKU]],'All Skus'!$A:$AC,2,FALSE))="Martin",(VLOOKUP(Table10[[#This Row],[SKU]],'All Skus'!$A:$AC,19,FALSE)),""))</f>
        <v>10.25</v>
      </c>
      <c r="P164" s="227">
        <f>(IF((VLOOKUP(Table10[[#This Row],[SKU]],'All Skus'!$A:$AC,2,FALSE))="Martin",(VLOOKUP(Table10[[#This Row],[SKU]],'All Skus'!$A:$AC,20,FALSE)),""))</f>
        <v>0</v>
      </c>
      <c r="Q164" s="227">
        <f>(IF((VLOOKUP(Table10[[#This Row],[SKU]],'All Skus'!$A:$AC,2,FALSE))="Martin",(VLOOKUP(Table10[[#This Row],[SKU]],'All Skus'!$A:$AC,21,FALSE)),""))</f>
        <v>0</v>
      </c>
      <c r="R164" s="224" t="str">
        <f>(IF((VLOOKUP(Table10[[#This Row],[SKU]],'All Skus'!$A:$AC,2,FALSE))="Martin",(VLOOKUP(Table10[[#This Row],[SKU]],'All Skus'!$A:$AC,22,FALSE)),""))</f>
        <v>GB</v>
      </c>
      <c r="S164" s="223">
        <f>(IF((VLOOKUP(Table10[[#This Row],[SKU]],'All Skus'!$A:$AC,2,FALSE))="Martin",(VLOOKUP(Table10[[#This Row],[SKU]],'All Skus'!$A:$AC,23,FALSE)),""))</f>
        <v>0</v>
      </c>
      <c r="T164" s="212" t="str">
        <f>HYPERLINK((IF((VLOOKUP(Table10[[#This Row],[SKU]],'All Skus'!$A:$AC,2,FALSE))="Martin",(VLOOKUP(Table10[[#This Row],[SKU]],'All Skus'!$A:$AC,24,FALSE)),"")))</f>
        <v/>
      </c>
      <c r="U164" s="228">
        <v>162</v>
      </c>
    </row>
    <row r="165" spans="1:21" hidden="1">
      <c r="A165" s="115" t="s">
        <v>1994</v>
      </c>
      <c r="B165" s="224">
        <f>(IF((VLOOKUP(Table10[[#This Row],[SKU]],'All Skus'!$A:$AC,2,FALSE))="Martin",(VLOOKUP(Table10[[#This Row],[SKU]],'All Skus'!$A:$AC,3,FALSE)),""))</f>
        <v>0</v>
      </c>
      <c r="C165" s="223">
        <f>(IF((VLOOKUP(Table10[[#This Row],[SKU]],'All Skus'!$A:$AC,2,FALSE))="Martin",(VLOOKUP(Table10[[#This Row],[SKU]],'All Skus'!$A:$AC,4,FALSE)),""))</f>
        <v>0</v>
      </c>
      <c r="D165" s="224">
        <f>(IF((VLOOKUP(Table10[[#This Row],[SKU]],'All Skus'!$A:$AC,2,FALSE))="Martin",(VLOOKUP(Table10[[#This Row],[SKU]],'All Skus'!$A:$AC,5,FALSE)),""))</f>
        <v>0</v>
      </c>
      <c r="E165" s="223">
        <f>(IF((VLOOKUP(Table10[[#This Row],[SKU]],'All Skus'!$A:$AC,2,FALSE))="Martin",(VLOOKUP(Table10[[#This Row],[SKU]],'All Skus'!$A:$AC,6,FALSE)),""))</f>
        <v>0</v>
      </c>
      <c r="F165" s="155">
        <f>(IF((VLOOKUP(Table10[[#This Row],[SKU]],'All Skus'!$A:$AC,2,FALSE))="Martin",(VLOOKUP(Table10[[#This Row],[SKU]],'All Skus'!$A:$AC,7,FALSE)),""))</f>
        <v>0</v>
      </c>
      <c r="G165" s="223">
        <f>(IF((VLOOKUP(Table10[[#This Row],[SKU]],'All Skus'!$A:$AC,2,FALSE))="Martin",(VLOOKUP(Table10[[#This Row],[SKU]],'All Skus'!$A:$AC,8,FALSE)),""))</f>
        <v>0</v>
      </c>
      <c r="H165" s="223">
        <f>(IF((VLOOKUP(Table10[[#This Row],[SKU]],'All Skus'!$A:$AC,2,FALSE))="Martin",(VLOOKUP(Table10[[#This Row],[SKU]],'All Skus'!$A:$AC,9,FALSE)),""))</f>
        <v>0</v>
      </c>
      <c r="I165" s="225">
        <f>(IF((VLOOKUP(Table10[[#This Row],[SKU]],'All Skus'!$A:$AC,2,FALSE))="Martin",(VLOOKUP(Table10[[#This Row],[SKU]],'All Skus'!$A:$AC,10,FALSE)),""))</f>
        <v>0</v>
      </c>
      <c r="J165" s="226">
        <f>(IF((VLOOKUP(Table10[[#This Row],[SKU]],'All Skus'!$A:$AC,2,FALSE))="Martin",(VLOOKUP(Table10[[#This Row],[SKU]],'All Skus'!$A:$AC,11,FALSE)),""))</f>
        <v>0</v>
      </c>
      <c r="K165" s="224">
        <f>(IF((VLOOKUP(Table10[[#This Row],[SKU]],'All Skus'!$A:$AC,2,FALSE))="Martin",(VLOOKUP(Table10[[#This Row],[SKU]],'All Skus'!$A:$AC,15,FALSE)),""))</f>
        <v>0</v>
      </c>
      <c r="L165" s="224">
        <f>(IF((VLOOKUP(Table10[[#This Row],[SKU]],'All Skus'!$A:$AC,2,FALSE))="Martin",(VLOOKUP(Table10[[#This Row],[SKU]],'All Skus'!$A:$AC,16,FALSE)),""))</f>
        <v>0</v>
      </c>
      <c r="M165" s="224">
        <f>(IF((VLOOKUP(Table10[[#This Row],[SKU]],'All Skus'!$A:$AC,2,FALSE))="Martin",(VLOOKUP(Table10[[#This Row],[SKU]],'All Skus'!$A:$AC,17,FALSE)),""))</f>
        <v>0</v>
      </c>
      <c r="N165" s="227">
        <f>(IF((VLOOKUP(Table10[[#This Row],[SKU]],'All Skus'!$A:$AC,2,FALSE))="Martin",(VLOOKUP(Table10[[#This Row],[SKU]],'All Skus'!$A:$AC,18,FALSE)),""))</f>
        <v>0</v>
      </c>
      <c r="O165" s="227">
        <f>(IF((VLOOKUP(Table10[[#This Row],[SKU]],'All Skus'!$A:$AC,2,FALSE))="Martin",(VLOOKUP(Table10[[#This Row],[SKU]],'All Skus'!$A:$AC,19,FALSE)),""))</f>
        <v>0</v>
      </c>
      <c r="P165" s="227">
        <f>(IF((VLOOKUP(Table10[[#This Row],[SKU]],'All Skus'!$A:$AC,2,FALSE))="Martin",(VLOOKUP(Table10[[#This Row],[SKU]],'All Skus'!$A:$AC,20,FALSE)),""))</f>
        <v>0</v>
      </c>
      <c r="Q165" s="227">
        <f>(IF((VLOOKUP(Table10[[#This Row],[SKU]],'All Skus'!$A:$AC,2,FALSE))="Martin",(VLOOKUP(Table10[[#This Row],[SKU]],'All Skus'!$A:$AC,21,FALSE)),""))</f>
        <v>0</v>
      </c>
      <c r="R165" s="224">
        <f>(IF((VLOOKUP(Table10[[#This Row],[SKU]],'All Skus'!$A:$AC,2,FALSE))="Martin",(VLOOKUP(Table10[[#This Row],[SKU]],'All Skus'!$A:$AC,22,FALSE)),""))</f>
        <v>0</v>
      </c>
      <c r="S165" s="223">
        <f>(IF((VLOOKUP(Table10[[#This Row],[SKU]],'All Skus'!$A:$AC,2,FALSE))="Martin",(VLOOKUP(Table10[[#This Row],[SKU]],'All Skus'!$A:$AC,23,FALSE)),""))</f>
        <v>0</v>
      </c>
      <c r="T165" s="212" t="str">
        <f>HYPERLINK((IF((VLOOKUP(Table10[[#This Row],[SKU]],'All Skus'!$A:$AC,2,FALSE))="Martin",(VLOOKUP(Table10[[#This Row],[SKU]],'All Skus'!$A:$AC,24,FALSE)),"")))</f>
        <v/>
      </c>
      <c r="U165" s="228">
        <v>163</v>
      </c>
    </row>
    <row r="166" spans="1:21" hidden="1">
      <c r="A166" s="112">
        <v>97120040</v>
      </c>
      <c r="B166" s="224" t="str">
        <f>(IF((VLOOKUP(Table10[[#This Row],[SKU]],'All Skus'!$A:$AC,2,FALSE))="Martin",(VLOOKUP(Table10[[#This Row],[SKU]],'All Skus'!$A:$AC,3,FALSE)),""))</f>
        <v>Atmospheric Effects</v>
      </c>
      <c r="C166" s="223" t="str">
        <f>(IF((VLOOKUP(Table10[[#This Row],[SKU]],'All Skus'!$A:$AC,2,FALSE))="Martin",(VLOOKUP(Table10[[#This Row],[SKU]],'All Skus'!$A:$AC,4,FALSE)),""))</f>
        <v>Pro Smoke High-Dens (SP) 4x5L</v>
      </c>
      <c r="D166" s="224" t="str">
        <f>(IF((VLOOKUP(Table10[[#This Row],[SKU]],'All Skus'!$A:$AC,2,FALSE))="Martin",(VLOOKUP(Table10[[#This Row],[SKU]],'All Skus'!$A:$AC,5,FALSE)),""))</f>
        <v>MAR-FLUID</v>
      </c>
      <c r="E166" s="223">
        <f>(IF((VLOOKUP(Table10[[#This Row],[SKU]],'All Skus'!$A:$AC,2,FALSE))="Martin",(VLOOKUP(Table10[[#This Row],[SKU]],'All Skus'!$A:$AC,6,FALSE)),""))</f>
        <v>0</v>
      </c>
      <c r="F166" s="155">
        <f>(IF((VLOOKUP(Table10[[#This Row],[SKU]],'All Skus'!$A:$AC,2,FALSE))="Martin",(VLOOKUP(Table10[[#This Row],[SKU]],'All Skus'!$A:$AC,7,FALSE)),""))</f>
        <v>0</v>
      </c>
      <c r="G166" s="223" t="str">
        <f>(IF((VLOOKUP(Table10[[#This Row],[SKU]],'All Skus'!$A:$AC,2,FALSE))="Martin",(VLOOKUP(Table10[[#This Row],[SKU]],'All Skus'!$A:$AC,8,FALSE)),""))</f>
        <v>Pro Smoke High-Dens (SP) 4x5L</v>
      </c>
      <c r="H166" s="223" t="str">
        <f>(IF((VLOOKUP(Table10[[#This Row],[SKU]],'All Skus'!$A:$AC,2,FALSE))="Martin",(VLOOKUP(Table10[[#This Row],[SKU]],'All Skus'!$A:$AC,9,FALSE)),""))</f>
        <v>Pro Smoke High-Dens (SP) 4x5L</v>
      </c>
      <c r="I166" s="225">
        <f>(IF((VLOOKUP(Table10[[#This Row],[SKU]],'All Skus'!$A:$AC,2,FALSE))="Martin",(VLOOKUP(Table10[[#This Row],[SKU]],'All Skus'!$A:$AC,10,FALSE)),""))</f>
        <v>256</v>
      </c>
      <c r="J166" s="226">
        <f>(IF((VLOOKUP(Table10[[#This Row],[SKU]],'All Skus'!$A:$AC,2,FALSE))="Martin",(VLOOKUP(Table10[[#This Row],[SKU]],'All Skus'!$A:$AC,11,FALSE)),""))</f>
        <v>256</v>
      </c>
      <c r="K166" s="224">
        <f>(IF((VLOOKUP(Table10[[#This Row],[SKU]],'All Skus'!$A:$AC,2,FALSE))="Martin",(VLOOKUP(Table10[[#This Row],[SKU]],'All Skus'!$A:$AC,15,FALSE)),""))</f>
        <v>0</v>
      </c>
      <c r="L166" s="224">
        <f>(IF((VLOOKUP(Table10[[#This Row],[SKU]],'All Skus'!$A:$AC,2,FALSE))="Martin",(VLOOKUP(Table10[[#This Row],[SKU]],'All Skus'!$A:$AC,16,FALSE)),""))</f>
        <v>5706681201266</v>
      </c>
      <c r="M166" s="224">
        <f>(IF((VLOOKUP(Table10[[#This Row],[SKU]],'All Skus'!$A:$AC,2,FALSE))="Martin",(VLOOKUP(Table10[[#This Row],[SKU]],'All Skus'!$A:$AC,17,FALSE)),""))</f>
        <v>0</v>
      </c>
      <c r="N166" s="227">
        <f>(IF((VLOOKUP(Table10[[#This Row],[SKU]],'All Skus'!$A:$AC,2,FALSE))="Martin",(VLOOKUP(Table10[[#This Row],[SKU]],'All Skus'!$A:$AC,18,FALSE)),""))</f>
        <v>0</v>
      </c>
      <c r="O166" s="227">
        <f>(IF((VLOOKUP(Table10[[#This Row],[SKU]],'All Skus'!$A:$AC,2,FALSE))="Martin",(VLOOKUP(Table10[[#This Row],[SKU]],'All Skus'!$A:$AC,19,FALSE)),""))</f>
        <v>11.5</v>
      </c>
      <c r="P166" s="227">
        <f>(IF((VLOOKUP(Table10[[#This Row],[SKU]],'All Skus'!$A:$AC,2,FALSE))="Martin",(VLOOKUP(Table10[[#This Row],[SKU]],'All Skus'!$A:$AC,20,FALSE)),""))</f>
        <v>0</v>
      </c>
      <c r="Q166" s="227">
        <f>(IF((VLOOKUP(Table10[[#This Row],[SKU]],'All Skus'!$A:$AC,2,FALSE))="Martin",(VLOOKUP(Table10[[#This Row],[SKU]],'All Skus'!$A:$AC,21,FALSE)),""))</f>
        <v>0</v>
      </c>
      <c r="R166" s="224" t="str">
        <f>(IF((VLOOKUP(Table10[[#This Row],[SKU]],'All Skus'!$A:$AC,2,FALSE))="Martin",(VLOOKUP(Table10[[#This Row],[SKU]],'All Skus'!$A:$AC,22,FALSE)),""))</f>
        <v>GB</v>
      </c>
      <c r="S166" s="223">
        <f>(IF((VLOOKUP(Table10[[#This Row],[SKU]],'All Skus'!$A:$AC,2,FALSE))="Martin",(VLOOKUP(Table10[[#This Row],[SKU]],'All Skus'!$A:$AC,23,FALSE)),""))</f>
        <v>0</v>
      </c>
      <c r="T166" s="212" t="str">
        <f>HYPERLINK((IF((VLOOKUP(Table10[[#This Row],[SKU]],'All Skus'!$A:$AC,2,FALSE))="Martin",(VLOOKUP(Table10[[#This Row],[SKU]],'All Skus'!$A:$AC,24,FALSE)),"")))</f>
        <v/>
      </c>
      <c r="U166" s="228">
        <v>164</v>
      </c>
    </row>
    <row r="167" spans="1:21" hidden="1">
      <c r="A167" s="115" t="s">
        <v>1995</v>
      </c>
      <c r="B167" s="224">
        <f>(IF((VLOOKUP(Table10[[#This Row],[SKU]],'All Skus'!$A:$AC,2,FALSE))="Martin",(VLOOKUP(Table10[[#This Row],[SKU]],'All Skus'!$A:$AC,3,FALSE)),""))</f>
        <v>0</v>
      </c>
      <c r="C167" s="223">
        <f>(IF((VLOOKUP(Table10[[#This Row],[SKU]],'All Skus'!$A:$AC,2,FALSE))="Martin",(VLOOKUP(Table10[[#This Row],[SKU]],'All Skus'!$A:$AC,4,FALSE)),""))</f>
        <v>0</v>
      </c>
      <c r="D167" s="224">
        <f>(IF((VLOOKUP(Table10[[#This Row],[SKU]],'All Skus'!$A:$AC,2,FALSE))="Martin",(VLOOKUP(Table10[[#This Row],[SKU]],'All Skus'!$A:$AC,5,FALSE)),""))</f>
        <v>0</v>
      </c>
      <c r="E167" s="223">
        <f>(IF((VLOOKUP(Table10[[#This Row],[SKU]],'All Skus'!$A:$AC,2,FALSE))="Martin",(VLOOKUP(Table10[[#This Row],[SKU]],'All Skus'!$A:$AC,6,FALSE)),""))</f>
        <v>0</v>
      </c>
      <c r="F167" s="155">
        <f>(IF((VLOOKUP(Table10[[#This Row],[SKU]],'All Skus'!$A:$AC,2,FALSE))="Martin",(VLOOKUP(Table10[[#This Row],[SKU]],'All Skus'!$A:$AC,7,FALSE)),""))</f>
        <v>0</v>
      </c>
      <c r="G167" s="223">
        <f>(IF((VLOOKUP(Table10[[#This Row],[SKU]],'All Skus'!$A:$AC,2,FALSE))="Martin",(VLOOKUP(Table10[[#This Row],[SKU]],'All Skus'!$A:$AC,8,FALSE)),""))</f>
        <v>0</v>
      </c>
      <c r="H167" s="223">
        <f>(IF((VLOOKUP(Table10[[#This Row],[SKU]],'All Skus'!$A:$AC,2,FALSE))="Martin",(VLOOKUP(Table10[[#This Row],[SKU]],'All Skus'!$A:$AC,9,FALSE)),""))</f>
        <v>0</v>
      </c>
      <c r="I167" s="225">
        <f>(IF((VLOOKUP(Table10[[#This Row],[SKU]],'All Skus'!$A:$AC,2,FALSE))="Martin",(VLOOKUP(Table10[[#This Row],[SKU]],'All Skus'!$A:$AC,10,FALSE)),""))</f>
        <v>0</v>
      </c>
      <c r="J167" s="226">
        <f>(IF((VLOOKUP(Table10[[#This Row],[SKU]],'All Skus'!$A:$AC,2,FALSE))="Martin",(VLOOKUP(Table10[[#This Row],[SKU]],'All Skus'!$A:$AC,11,FALSE)),""))</f>
        <v>0</v>
      </c>
      <c r="K167" s="224">
        <f>(IF((VLOOKUP(Table10[[#This Row],[SKU]],'All Skus'!$A:$AC,2,FALSE))="Martin",(VLOOKUP(Table10[[#This Row],[SKU]],'All Skus'!$A:$AC,15,FALSE)),""))</f>
        <v>0</v>
      </c>
      <c r="L167" s="224">
        <f>(IF((VLOOKUP(Table10[[#This Row],[SKU]],'All Skus'!$A:$AC,2,FALSE))="Martin",(VLOOKUP(Table10[[#This Row],[SKU]],'All Skus'!$A:$AC,16,FALSE)),""))</f>
        <v>0</v>
      </c>
      <c r="M167" s="224">
        <f>(IF((VLOOKUP(Table10[[#This Row],[SKU]],'All Skus'!$A:$AC,2,FALSE))="Martin",(VLOOKUP(Table10[[#This Row],[SKU]],'All Skus'!$A:$AC,17,FALSE)),""))</f>
        <v>0</v>
      </c>
      <c r="N167" s="227">
        <f>(IF((VLOOKUP(Table10[[#This Row],[SKU]],'All Skus'!$A:$AC,2,FALSE))="Martin",(VLOOKUP(Table10[[#This Row],[SKU]],'All Skus'!$A:$AC,18,FALSE)),""))</f>
        <v>0</v>
      </c>
      <c r="O167" s="227">
        <f>(IF((VLOOKUP(Table10[[#This Row],[SKU]],'All Skus'!$A:$AC,2,FALSE))="Martin",(VLOOKUP(Table10[[#This Row],[SKU]],'All Skus'!$A:$AC,19,FALSE)),""))</f>
        <v>0</v>
      </c>
      <c r="P167" s="227">
        <f>(IF((VLOOKUP(Table10[[#This Row],[SKU]],'All Skus'!$A:$AC,2,FALSE))="Martin",(VLOOKUP(Table10[[#This Row],[SKU]],'All Skus'!$A:$AC,20,FALSE)),""))</f>
        <v>0</v>
      </c>
      <c r="Q167" s="227">
        <f>(IF((VLOOKUP(Table10[[#This Row],[SKU]],'All Skus'!$A:$AC,2,FALSE))="Martin",(VLOOKUP(Table10[[#This Row],[SKU]],'All Skus'!$A:$AC,21,FALSE)),""))</f>
        <v>0</v>
      </c>
      <c r="R167" s="224">
        <f>(IF((VLOOKUP(Table10[[#This Row],[SKU]],'All Skus'!$A:$AC,2,FALSE))="Martin",(VLOOKUP(Table10[[#This Row],[SKU]],'All Skus'!$A:$AC,22,FALSE)),""))</f>
        <v>0</v>
      </c>
      <c r="S167" s="223">
        <f>(IF((VLOOKUP(Table10[[#This Row],[SKU]],'All Skus'!$A:$AC,2,FALSE))="Martin",(VLOOKUP(Table10[[#This Row],[SKU]],'All Skus'!$A:$AC,23,FALSE)),""))</f>
        <v>0</v>
      </c>
      <c r="T167" s="212" t="str">
        <f>HYPERLINK((IF((VLOOKUP(Table10[[#This Row],[SKU]],'All Skus'!$A:$AC,2,FALSE))="Martin",(VLOOKUP(Table10[[#This Row],[SKU]],'All Skus'!$A:$AC,24,FALSE)),"")))</f>
        <v/>
      </c>
      <c r="U167" s="228">
        <v>165</v>
      </c>
    </row>
    <row r="168" spans="1:21" hidden="1">
      <c r="A168" s="115" t="s">
        <v>1996</v>
      </c>
      <c r="B168" s="224">
        <f>(IF((VLOOKUP(Table10[[#This Row],[SKU]],'All Skus'!$A:$AC,2,FALSE))="Martin",(VLOOKUP(Table10[[#This Row],[SKU]],'All Skus'!$A:$AC,3,FALSE)),""))</f>
        <v>0</v>
      </c>
      <c r="C168" s="223">
        <f>(IF((VLOOKUP(Table10[[#This Row],[SKU]],'All Skus'!$A:$AC,2,FALSE))="Martin",(VLOOKUP(Table10[[#This Row],[SKU]],'All Skus'!$A:$AC,4,FALSE)),""))</f>
        <v>0</v>
      </c>
      <c r="D168" s="224">
        <f>(IF((VLOOKUP(Table10[[#This Row],[SKU]],'All Skus'!$A:$AC,2,FALSE))="Martin",(VLOOKUP(Table10[[#This Row],[SKU]],'All Skus'!$A:$AC,5,FALSE)),""))</f>
        <v>0</v>
      </c>
      <c r="E168" s="223">
        <f>(IF((VLOOKUP(Table10[[#This Row],[SKU]],'All Skus'!$A:$AC,2,FALSE))="Martin",(VLOOKUP(Table10[[#This Row],[SKU]],'All Skus'!$A:$AC,6,FALSE)),""))</f>
        <v>0</v>
      </c>
      <c r="F168" s="155">
        <f>(IF((VLOOKUP(Table10[[#This Row],[SKU]],'All Skus'!$A:$AC,2,FALSE))="Martin",(VLOOKUP(Table10[[#This Row],[SKU]],'All Skus'!$A:$AC,7,FALSE)),""))</f>
        <v>0</v>
      </c>
      <c r="G168" s="223">
        <f>(IF((VLOOKUP(Table10[[#This Row],[SKU]],'All Skus'!$A:$AC,2,FALSE))="Martin",(VLOOKUP(Table10[[#This Row],[SKU]],'All Skus'!$A:$AC,8,FALSE)),""))</f>
        <v>0</v>
      </c>
      <c r="H168" s="223">
        <f>(IF((VLOOKUP(Table10[[#This Row],[SKU]],'All Skus'!$A:$AC,2,FALSE))="Martin",(VLOOKUP(Table10[[#This Row],[SKU]],'All Skus'!$A:$AC,9,FALSE)),""))</f>
        <v>0</v>
      </c>
      <c r="I168" s="225">
        <f>(IF((VLOOKUP(Table10[[#This Row],[SKU]],'All Skus'!$A:$AC,2,FALSE))="Martin",(VLOOKUP(Table10[[#This Row],[SKU]],'All Skus'!$A:$AC,10,FALSE)),""))</f>
        <v>0</v>
      </c>
      <c r="J168" s="226">
        <f>(IF((VLOOKUP(Table10[[#This Row],[SKU]],'All Skus'!$A:$AC,2,FALSE))="Martin",(VLOOKUP(Table10[[#This Row],[SKU]],'All Skus'!$A:$AC,11,FALSE)),""))</f>
        <v>0</v>
      </c>
      <c r="K168" s="224">
        <f>(IF((VLOOKUP(Table10[[#This Row],[SKU]],'All Skus'!$A:$AC,2,FALSE))="Martin",(VLOOKUP(Table10[[#This Row],[SKU]],'All Skus'!$A:$AC,15,FALSE)),""))</f>
        <v>0</v>
      </c>
      <c r="L168" s="224">
        <f>(IF((VLOOKUP(Table10[[#This Row],[SKU]],'All Skus'!$A:$AC,2,FALSE))="Martin",(VLOOKUP(Table10[[#This Row],[SKU]],'All Skus'!$A:$AC,16,FALSE)),""))</f>
        <v>0</v>
      </c>
      <c r="M168" s="224">
        <f>(IF((VLOOKUP(Table10[[#This Row],[SKU]],'All Skus'!$A:$AC,2,FALSE))="Martin",(VLOOKUP(Table10[[#This Row],[SKU]],'All Skus'!$A:$AC,17,FALSE)),""))</f>
        <v>0</v>
      </c>
      <c r="N168" s="227">
        <f>(IF((VLOOKUP(Table10[[#This Row],[SKU]],'All Skus'!$A:$AC,2,FALSE))="Martin",(VLOOKUP(Table10[[#This Row],[SKU]],'All Skus'!$A:$AC,18,FALSE)),""))</f>
        <v>0</v>
      </c>
      <c r="O168" s="227">
        <f>(IF((VLOOKUP(Table10[[#This Row],[SKU]],'All Skus'!$A:$AC,2,FALSE))="Martin",(VLOOKUP(Table10[[#This Row],[SKU]],'All Skus'!$A:$AC,19,FALSE)),""))</f>
        <v>0</v>
      </c>
      <c r="P168" s="227">
        <f>(IF((VLOOKUP(Table10[[#This Row],[SKU]],'All Skus'!$A:$AC,2,FALSE))="Martin",(VLOOKUP(Table10[[#This Row],[SKU]],'All Skus'!$A:$AC,20,FALSE)),""))</f>
        <v>0</v>
      </c>
      <c r="Q168" s="227">
        <f>(IF((VLOOKUP(Table10[[#This Row],[SKU]],'All Skus'!$A:$AC,2,FALSE))="Martin",(VLOOKUP(Table10[[#This Row],[SKU]],'All Skus'!$A:$AC,21,FALSE)),""))</f>
        <v>0</v>
      </c>
      <c r="R168" s="224">
        <f>(IF((VLOOKUP(Table10[[#This Row],[SKU]],'All Skus'!$A:$AC,2,FALSE))="Martin",(VLOOKUP(Table10[[#This Row],[SKU]],'All Skus'!$A:$AC,22,FALSE)),""))</f>
        <v>0</v>
      </c>
      <c r="S168" s="223">
        <f>(IF((VLOOKUP(Table10[[#This Row],[SKU]],'All Skus'!$A:$AC,2,FALSE))="Martin",(VLOOKUP(Table10[[#This Row],[SKU]],'All Skus'!$A:$AC,23,FALSE)),""))</f>
        <v>0</v>
      </c>
      <c r="T168" s="212" t="str">
        <f>HYPERLINK((IF((VLOOKUP(Table10[[#This Row],[SKU]],'All Skus'!$A:$AC,2,FALSE))="Martin",(VLOOKUP(Table10[[#This Row],[SKU]],'All Skus'!$A:$AC,24,FALSE)),"")))</f>
        <v/>
      </c>
      <c r="U168" s="228">
        <v>166</v>
      </c>
    </row>
    <row r="169" spans="1:21" hidden="1">
      <c r="A169" s="111" t="s">
        <v>1997</v>
      </c>
      <c r="B169" s="224">
        <f>(IF((VLOOKUP(Table10[[#This Row],[SKU]],'All Skus'!$A:$AC,2,FALSE))="Martin",(VLOOKUP(Table10[[#This Row],[SKU]],'All Skus'!$A:$AC,3,FALSE)),""))</f>
        <v>0</v>
      </c>
      <c r="C169" s="223">
        <f>(IF((VLOOKUP(Table10[[#This Row],[SKU]],'All Skus'!$A:$AC,2,FALSE))="Martin",(VLOOKUP(Table10[[#This Row],[SKU]],'All Skus'!$A:$AC,4,FALSE)),""))</f>
        <v>0</v>
      </c>
      <c r="D169" s="224">
        <f>(IF((VLOOKUP(Table10[[#This Row],[SKU]],'All Skus'!$A:$AC,2,FALSE))="Martin",(VLOOKUP(Table10[[#This Row],[SKU]],'All Skus'!$A:$AC,5,FALSE)),""))</f>
        <v>0</v>
      </c>
      <c r="E169" s="223">
        <f>(IF((VLOOKUP(Table10[[#This Row],[SKU]],'All Skus'!$A:$AC,2,FALSE))="Martin",(VLOOKUP(Table10[[#This Row],[SKU]],'All Skus'!$A:$AC,6,FALSE)),""))</f>
        <v>0</v>
      </c>
      <c r="F169" s="155">
        <f>(IF((VLOOKUP(Table10[[#This Row],[SKU]],'All Skus'!$A:$AC,2,FALSE))="Martin",(VLOOKUP(Table10[[#This Row],[SKU]],'All Skus'!$A:$AC,7,FALSE)),""))</f>
        <v>0</v>
      </c>
      <c r="G169" s="223">
        <f>(IF((VLOOKUP(Table10[[#This Row],[SKU]],'All Skus'!$A:$AC,2,FALSE))="Martin",(VLOOKUP(Table10[[#This Row],[SKU]],'All Skus'!$A:$AC,8,FALSE)),""))</f>
        <v>0</v>
      </c>
      <c r="H169" s="223">
        <f>(IF((VLOOKUP(Table10[[#This Row],[SKU]],'All Skus'!$A:$AC,2,FALSE))="Martin",(VLOOKUP(Table10[[#This Row],[SKU]],'All Skus'!$A:$AC,9,FALSE)),""))</f>
        <v>0</v>
      </c>
      <c r="I169" s="225">
        <f>(IF((VLOOKUP(Table10[[#This Row],[SKU]],'All Skus'!$A:$AC,2,FALSE))="Martin",(VLOOKUP(Table10[[#This Row],[SKU]],'All Skus'!$A:$AC,10,FALSE)),""))</f>
        <v>0</v>
      </c>
      <c r="J169" s="226">
        <f>(IF((VLOOKUP(Table10[[#This Row],[SKU]],'All Skus'!$A:$AC,2,FALSE))="Martin",(VLOOKUP(Table10[[#This Row],[SKU]],'All Skus'!$A:$AC,11,FALSE)),""))</f>
        <v>0</v>
      </c>
      <c r="K169" s="224">
        <f>(IF((VLOOKUP(Table10[[#This Row],[SKU]],'All Skus'!$A:$AC,2,FALSE))="Martin",(VLOOKUP(Table10[[#This Row],[SKU]],'All Skus'!$A:$AC,15,FALSE)),""))</f>
        <v>0</v>
      </c>
      <c r="L169" s="224">
        <f>(IF((VLOOKUP(Table10[[#This Row],[SKU]],'All Skus'!$A:$AC,2,FALSE))="Martin",(VLOOKUP(Table10[[#This Row],[SKU]],'All Skus'!$A:$AC,16,FALSE)),""))</f>
        <v>0</v>
      </c>
      <c r="M169" s="224">
        <f>(IF((VLOOKUP(Table10[[#This Row],[SKU]],'All Skus'!$A:$AC,2,FALSE))="Martin",(VLOOKUP(Table10[[#This Row],[SKU]],'All Skus'!$A:$AC,17,FALSE)),""))</f>
        <v>0</v>
      </c>
      <c r="N169" s="227">
        <f>(IF((VLOOKUP(Table10[[#This Row],[SKU]],'All Skus'!$A:$AC,2,FALSE))="Martin",(VLOOKUP(Table10[[#This Row],[SKU]],'All Skus'!$A:$AC,18,FALSE)),""))</f>
        <v>0</v>
      </c>
      <c r="O169" s="227">
        <f>(IF((VLOOKUP(Table10[[#This Row],[SKU]],'All Skus'!$A:$AC,2,FALSE))="Martin",(VLOOKUP(Table10[[#This Row],[SKU]],'All Skus'!$A:$AC,19,FALSE)),""))</f>
        <v>0</v>
      </c>
      <c r="P169" s="227">
        <f>(IF((VLOOKUP(Table10[[#This Row],[SKU]],'All Skus'!$A:$AC,2,FALSE))="Martin",(VLOOKUP(Table10[[#This Row],[SKU]],'All Skus'!$A:$AC,20,FALSE)),""))</f>
        <v>0</v>
      </c>
      <c r="Q169" s="227">
        <f>(IF((VLOOKUP(Table10[[#This Row],[SKU]],'All Skus'!$A:$AC,2,FALSE))="Martin",(VLOOKUP(Table10[[#This Row],[SKU]],'All Skus'!$A:$AC,21,FALSE)),""))</f>
        <v>0</v>
      </c>
      <c r="R169" s="224">
        <f>(IF((VLOOKUP(Table10[[#This Row],[SKU]],'All Skus'!$A:$AC,2,FALSE))="Martin",(VLOOKUP(Table10[[#This Row],[SKU]],'All Skus'!$A:$AC,22,FALSE)),""))</f>
        <v>0</v>
      </c>
      <c r="S169" s="223">
        <f>(IF((VLOOKUP(Table10[[#This Row],[SKU]],'All Skus'!$A:$AC,2,FALSE))="Martin",(VLOOKUP(Table10[[#This Row],[SKU]],'All Skus'!$A:$AC,23,FALSE)),""))</f>
        <v>0</v>
      </c>
      <c r="T169" s="212" t="str">
        <f>HYPERLINK((IF((VLOOKUP(Table10[[#This Row],[SKU]],'All Skus'!$A:$AC,2,FALSE))="Martin",(VLOOKUP(Table10[[#This Row],[SKU]],'All Skus'!$A:$AC,24,FALSE)),"")))</f>
        <v/>
      </c>
      <c r="U169" s="228">
        <v>167</v>
      </c>
    </row>
    <row r="170" spans="1:21" hidden="1">
      <c r="A170" s="115" t="s">
        <v>1998</v>
      </c>
      <c r="B170" s="224">
        <f>(IF((VLOOKUP(Table10[[#This Row],[SKU]],'All Skus'!$A:$AC,2,FALSE))="Martin",(VLOOKUP(Table10[[#This Row],[SKU]],'All Skus'!$A:$AC,3,FALSE)),""))</f>
        <v>0</v>
      </c>
      <c r="C170" s="223">
        <f>(IF((VLOOKUP(Table10[[#This Row],[SKU]],'All Skus'!$A:$AC,2,FALSE))="Martin",(VLOOKUP(Table10[[#This Row],[SKU]],'All Skus'!$A:$AC,4,FALSE)),""))</f>
        <v>0</v>
      </c>
      <c r="D170" s="224">
        <f>(IF((VLOOKUP(Table10[[#This Row],[SKU]],'All Skus'!$A:$AC,2,FALSE))="Martin",(VLOOKUP(Table10[[#This Row],[SKU]],'All Skus'!$A:$AC,5,FALSE)),""))</f>
        <v>0</v>
      </c>
      <c r="E170" s="223">
        <f>(IF((VLOOKUP(Table10[[#This Row],[SKU]],'All Skus'!$A:$AC,2,FALSE))="Martin",(VLOOKUP(Table10[[#This Row],[SKU]],'All Skus'!$A:$AC,6,FALSE)),""))</f>
        <v>0</v>
      </c>
      <c r="F170" s="155">
        <f>(IF((VLOOKUP(Table10[[#This Row],[SKU]],'All Skus'!$A:$AC,2,FALSE))="Martin",(VLOOKUP(Table10[[#This Row],[SKU]],'All Skus'!$A:$AC,7,FALSE)),""))</f>
        <v>0</v>
      </c>
      <c r="G170" s="223">
        <f>(IF((VLOOKUP(Table10[[#This Row],[SKU]],'All Skus'!$A:$AC,2,FALSE))="Martin",(VLOOKUP(Table10[[#This Row],[SKU]],'All Skus'!$A:$AC,8,FALSE)),""))</f>
        <v>0</v>
      </c>
      <c r="H170" s="223">
        <f>(IF((VLOOKUP(Table10[[#This Row],[SKU]],'All Skus'!$A:$AC,2,FALSE))="Martin",(VLOOKUP(Table10[[#This Row],[SKU]],'All Skus'!$A:$AC,9,FALSE)),""))</f>
        <v>0</v>
      </c>
      <c r="I170" s="225">
        <f>(IF((VLOOKUP(Table10[[#This Row],[SKU]],'All Skus'!$A:$AC,2,FALSE))="Martin",(VLOOKUP(Table10[[#This Row],[SKU]],'All Skus'!$A:$AC,10,FALSE)),""))</f>
        <v>0</v>
      </c>
      <c r="J170" s="226">
        <f>(IF((VLOOKUP(Table10[[#This Row],[SKU]],'All Skus'!$A:$AC,2,FALSE))="Martin",(VLOOKUP(Table10[[#This Row],[SKU]],'All Skus'!$A:$AC,11,FALSE)),""))</f>
        <v>0</v>
      </c>
      <c r="K170" s="224">
        <f>(IF((VLOOKUP(Table10[[#This Row],[SKU]],'All Skus'!$A:$AC,2,FALSE))="Martin",(VLOOKUP(Table10[[#This Row],[SKU]],'All Skus'!$A:$AC,15,FALSE)),""))</f>
        <v>0</v>
      </c>
      <c r="L170" s="224">
        <f>(IF((VLOOKUP(Table10[[#This Row],[SKU]],'All Skus'!$A:$AC,2,FALSE))="Martin",(VLOOKUP(Table10[[#This Row],[SKU]],'All Skus'!$A:$AC,16,FALSE)),""))</f>
        <v>0</v>
      </c>
      <c r="M170" s="224">
        <f>(IF((VLOOKUP(Table10[[#This Row],[SKU]],'All Skus'!$A:$AC,2,FALSE))="Martin",(VLOOKUP(Table10[[#This Row],[SKU]],'All Skus'!$A:$AC,17,FALSE)),""))</f>
        <v>0</v>
      </c>
      <c r="N170" s="227">
        <f>(IF((VLOOKUP(Table10[[#This Row],[SKU]],'All Skus'!$A:$AC,2,FALSE))="Martin",(VLOOKUP(Table10[[#This Row],[SKU]],'All Skus'!$A:$AC,18,FALSE)),""))</f>
        <v>0</v>
      </c>
      <c r="O170" s="227">
        <f>(IF((VLOOKUP(Table10[[#This Row],[SKU]],'All Skus'!$A:$AC,2,FALSE))="Martin",(VLOOKUP(Table10[[#This Row],[SKU]],'All Skus'!$A:$AC,19,FALSE)),""))</f>
        <v>0</v>
      </c>
      <c r="P170" s="227">
        <f>(IF((VLOOKUP(Table10[[#This Row],[SKU]],'All Skus'!$A:$AC,2,FALSE))="Martin",(VLOOKUP(Table10[[#This Row],[SKU]],'All Skus'!$A:$AC,20,FALSE)),""))</f>
        <v>0</v>
      </c>
      <c r="Q170" s="227">
        <f>(IF((VLOOKUP(Table10[[#This Row],[SKU]],'All Skus'!$A:$AC,2,FALSE))="Martin",(VLOOKUP(Table10[[#This Row],[SKU]],'All Skus'!$A:$AC,21,FALSE)),""))</f>
        <v>0</v>
      </c>
      <c r="R170" s="224">
        <f>(IF((VLOOKUP(Table10[[#This Row],[SKU]],'All Skus'!$A:$AC,2,FALSE))="Martin",(VLOOKUP(Table10[[#This Row],[SKU]],'All Skus'!$A:$AC,22,FALSE)),""))</f>
        <v>0</v>
      </c>
      <c r="S170" s="223">
        <f>(IF((VLOOKUP(Table10[[#This Row],[SKU]],'All Skus'!$A:$AC,2,FALSE))="Martin",(VLOOKUP(Table10[[#This Row],[SKU]],'All Skus'!$A:$AC,23,FALSE)),""))</f>
        <v>0</v>
      </c>
      <c r="T170" s="212" t="str">
        <f>HYPERLINK((IF((VLOOKUP(Table10[[#This Row],[SKU]],'All Skus'!$A:$AC,2,FALSE))="Martin",(VLOOKUP(Table10[[#This Row],[SKU]],'All Skus'!$A:$AC,24,FALSE)),"")))</f>
        <v/>
      </c>
      <c r="U170" s="228">
        <v>168</v>
      </c>
    </row>
    <row r="171" spans="1:21" hidden="1">
      <c r="A171" s="112" t="s">
        <v>1999</v>
      </c>
      <c r="B171" s="224" t="str">
        <f>(IF((VLOOKUP(Table10[[#This Row],[SKU]],'All Skus'!$A:$AC,2,FALSE))="Martin",(VLOOKUP(Table10[[#This Row],[SKU]],'All Skus'!$A:$AC,3,FALSE)),""))</f>
        <v>Effect Lights</v>
      </c>
      <c r="C171" s="223" t="str">
        <f>(IF((VLOOKUP(Table10[[#This Row],[SKU]],'All Skus'!$A:$AC,2,FALSE))="Martin",(VLOOKUP(Table10[[#This Row],[SKU]],'All Skus'!$A:$AC,4,FALSE)),""))</f>
        <v>Atomic 3000 LED</v>
      </c>
      <c r="D171" s="224" t="str">
        <f>(IF((VLOOKUP(Table10[[#This Row],[SKU]],'All Skus'!$A:$AC,2,FALSE))="Martin",(VLOOKUP(Table10[[#This Row],[SKU]],'All Skus'!$A:$AC,5,FALSE)),""))</f>
        <v>MEF-ATOMI</v>
      </c>
      <c r="E171" s="223">
        <f>(IF((VLOOKUP(Table10[[#This Row],[SKU]],'All Skus'!$A:$AC,2,FALSE))="Martin",(VLOOKUP(Table10[[#This Row],[SKU]],'All Skus'!$A:$AC,6,FALSE)),""))</f>
        <v>0</v>
      </c>
      <c r="F171" s="155">
        <f>(IF((VLOOKUP(Table10[[#This Row],[SKU]],'All Skus'!$A:$AC,2,FALSE))="Martin",(VLOOKUP(Table10[[#This Row],[SKU]],'All Skus'!$A:$AC,7,FALSE)),""))</f>
        <v>0</v>
      </c>
      <c r="G171" s="223" t="str">
        <f>(IF((VLOOKUP(Table10[[#This Row],[SKU]],'All Skus'!$A:$AC,2,FALSE))="Martin",(VLOOKUP(Table10[[#This Row],[SKU]],'All Skus'!$A:$AC,8,FALSE)),""))</f>
        <v>Atomic 3000 LED</v>
      </c>
      <c r="H171" s="223" t="str">
        <f>(IF((VLOOKUP(Table10[[#This Row],[SKU]],'All Skus'!$A:$AC,2,FALSE))="Martin",(VLOOKUP(Table10[[#This Row],[SKU]],'All Skus'!$A:$AC,9,FALSE)),""))</f>
        <v>Atomic 3000 LED</v>
      </c>
      <c r="I171" s="225">
        <f>(IF((VLOOKUP(Table10[[#This Row],[SKU]],'All Skus'!$A:$AC,2,FALSE))="Martin",(VLOOKUP(Table10[[#This Row],[SKU]],'All Skus'!$A:$AC,10,FALSE)),""))</f>
        <v>4506.8900000000003</v>
      </c>
      <c r="J171" s="226">
        <f>(IF((VLOOKUP(Table10[[#This Row],[SKU]],'All Skus'!$A:$AC,2,FALSE))="Martin",(VLOOKUP(Table10[[#This Row],[SKU]],'All Skus'!$A:$AC,11,FALSE)),""))</f>
        <v>4506.8900000000003</v>
      </c>
      <c r="K171" s="224">
        <f>(IF((VLOOKUP(Table10[[#This Row],[SKU]],'All Skus'!$A:$AC,2,FALSE))="Martin",(VLOOKUP(Table10[[#This Row],[SKU]],'All Skus'!$A:$AC,15,FALSE)),""))</f>
        <v>17.2</v>
      </c>
      <c r="L171" s="224">
        <f>(IF((VLOOKUP(Table10[[#This Row],[SKU]],'All Skus'!$A:$AC,2,FALSE))="Martin",(VLOOKUP(Table10[[#This Row],[SKU]],'All Skus'!$A:$AC,16,FALSE)),""))</f>
        <v>688705007434</v>
      </c>
      <c r="M171" s="224">
        <f>(IF((VLOOKUP(Table10[[#This Row],[SKU]],'All Skus'!$A:$AC,2,FALSE))="Martin",(VLOOKUP(Table10[[#This Row],[SKU]],'All Skus'!$A:$AC,17,FALSE)),""))</f>
        <v>0</v>
      </c>
      <c r="N171" s="227">
        <f>(IF((VLOOKUP(Table10[[#This Row],[SKU]],'All Skus'!$A:$AC,2,FALSE))="Martin",(VLOOKUP(Table10[[#This Row],[SKU]],'All Skus'!$A:$AC,18,FALSE)),""))</f>
        <v>0</v>
      </c>
      <c r="O171" s="227">
        <f>(IF((VLOOKUP(Table10[[#This Row],[SKU]],'All Skus'!$A:$AC,2,FALSE))="Martin",(VLOOKUP(Table10[[#This Row],[SKU]],'All Skus'!$A:$AC,19,FALSE)),""))</f>
        <v>0</v>
      </c>
      <c r="P171" s="227">
        <f>(IF((VLOOKUP(Table10[[#This Row],[SKU]],'All Skus'!$A:$AC,2,FALSE))="Martin",(VLOOKUP(Table10[[#This Row],[SKU]],'All Skus'!$A:$AC,20,FALSE)),""))</f>
        <v>0</v>
      </c>
      <c r="Q171" s="227">
        <f>(IF((VLOOKUP(Table10[[#This Row],[SKU]],'All Skus'!$A:$AC,2,FALSE))="Martin",(VLOOKUP(Table10[[#This Row],[SKU]],'All Skus'!$A:$AC,21,FALSE)),""))</f>
        <v>0</v>
      </c>
      <c r="R171" s="224" t="str">
        <f>(IF((VLOOKUP(Table10[[#This Row],[SKU]],'All Skus'!$A:$AC,2,FALSE))="Martin",(VLOOKUP(Table10[[#This Row],[SKU]],'All Skus'!$A:$AC,22,FALSE)),""))</f>
        <v>HU</v>
      </c>
      <c r="S171" s="223">
        <f>(IF((VLOOKUP(Table10[[#This Row],[SKU]],'All Skus'!$A:$AC,2,FALSE))="Martin",(VLOOKUP(Table10[[#This Row],[SKU]],'All Skus'!$A:$AC,23,FALSE)),""))</f>
        <v>16.8</v>
      </c>
      <c r="T171" s="212" t="str">
        <f>HYPERLINK((IF((VLOOKUP(Table10[[#This Row],[SKU]],'All Skus'!$A:$AC,2,FALSE))="Martin",(VLOOKUP(Table10[[#This Row],[SKU]],'All Skus'!$A:$AC,24,FALSE)),"")))</f>
        <v/>
      </c>
      <c r="U171" s="228">
        <v>169</v>
      </c>
    </row>
    <row r="172" spans="1:21" hidden="1">
      <c r="A172" s="115" t="s">
        <v>2000</v>
      </c>
      <c r="B172" s="224">
        <f>(IF((VLOOKUP(Table10[[#This Row],[SKU]],'All Skus'!$A:$AC,2,FALSE))="Martin",(VLOOKUP(Table10[[#This Row],[SKU]],'All Skus'!$A:$AC,3,FALSE)),""))</f>
        <v>0</v>
      </c>
      <c r="C172" s="223">
        <f>(IF((VLOOKUP(Table10[[#This Row],[SKU]],'All Skus'!$A:$AC,2,FALSE))="Martin",(VLOOKUP(Table10[[#This Row],[SKU]],'All Skus'!$A:$AC,4,FALSE)),""))</f>
        <v>0</v>
      </c>
      <c r="D172" s="224">
        <f>(IF((VLOOKUP(Table10[[#This Row],[SKU]],'All Skus'!$A:$AC,2,FALSE))="Martin",(VLOOKUP(Table10[[#This Row],[SKU]],'All Skus'!$A:$AC,5,FALSE)),""))</f>
        <v>0</v>
      </c>
      <c r="E172" s="223">
        <f>(IF((VLOOKUP(Table10[[#This Row],[SKU]],'All Skus'!$A:$AC,2,FALSE))="Martin",(VLOOKUP(Table10[[#This Row],[SKU]],'All Skus'!$A:$AC,6,FALSE)),""))</f>
        <v>0</v>
      </c>
      <c r="F172" s="155">
        <f>(IF((VLOOKUP(Table10[[#This Row],[SKU]],'All Skus'!$A:$AC,2,FALSE))="Martin",(VLOOKUP(Table10[[#This Row],[SKU]],'All Skus'!$A:$AC,7,FALSE)),""))</f>
        <v>0</v>
      </c>
      <c r="G172" s="223">
        <f>(IF((VLOOKUP(Table10[[#This Row],[SKU]],'All Skus'!$A:$AC,2,FALSE))="Martin",(VLOOKUP(Table10[[#This Row],[SKU]],'All Skus'!$A:$AC,8,FALSE)),""))</f>
        <v>0</v>
      </c>
      <c r="H172" s="223">
        <f>(IF((VLOOKUP(Table10[[#This Row],[SKU]],'All Skus'!$A:$AC,2,FALSE))="Martin",(VLOOKUP(Table10[[#This Row],[SKU]],'All Skus'!$A:$AC,9,FALSE)),""))</f>
        <v>0</v>
      </c>
      <c r="I172" s="225">
        <f>(IF((VLOOKUP(Table10[[#This Row],[SKU]],'All Skus'!$A:$AC,2,FALSE))="Martin",(VLOOKUP(Table10[[#This Row],[SKU]],'All Skus'!$A:$AC,10,FALSE)),""))</f>
        <v>0</v>
      </c>
      <c r="J172" s="226">
        <f>(IF((VLOOKUP(Table10[[#This Row],[SKU]],'All Skus'!$A:$AC,2,FALSE))="Martin",(VLOOKUP(Table10[[#This Row],[SKU]],'All Skus'!$A:$AC,11,FALSE)),""))</f>
        <v>0</v>
      </c>
      <c r="K172" s="224">
        <f>(IF((VLOOKUP(Table10[[#This Row],[SKU]],'All Skus'!$A:$AC,2,FALSE))="Martin",(VLOOKUP(Table10[[#This Row],[SKU]],'All Skus'!$A:$AC,15,FALSE)),""))</f>
        <v>0</v>
      </c>
      <c r="L172" s="224">
        <f>(IF((VLOOKUP(Table10[[#This Row],[SKU]],'All Skus'!$A:$AC,2,FALSE))="Martin",(VLOOKUP(Table10[[#This Row],[SKU]],'All Skus'!$A:$AC,16,FALSE)),""))</f>
        <v>0</v>
      </c>
      <c r="M172" s="224">
        <f>(IF((VLOOKUP(Table10[[#This Row],[SKU]],'All Skus'!$A:$AC,2,FALSE))="Martin",(VLOOKUP(Table10[[#This Row],[SKU]],'All Skus'!$A:$AC,17,FALSE)),""))</f>
        <v>0</v>
      </c>
      <c r="N172" s="227">
        <f>(IF((VLOOKUP(Table10[[#This Row],[SKU]],'All Skus'!$A:$AC,2,FALSE))="Martin",(VLOOKUP(Table10[[#This Row],[SKU]],'All Skus'!$A:$AC,18,FALSE)),""))</f>
        <v>0</v>
      </c>
      <c r="O172" s="227">
        <f>(IF((VLOOKUP(Table10[[#This Row],[SKU]],'All Skus'!$A:$AC,2,FALSE))="Martin",(VLOOKUP(Table10[[#This Row],[SKU]],'All Skus'!$A:$AC,19,FALSE)),""))</f>
        <v>0</v>
      </c>
      <c r="P172" s="227">
        <f>(IF((VLOOKUP(Table10[[#This Row],[SKU]],'All Skus'!$A:$AC,2,FALSE))="Martin",(VLOOKUP(Table10[[#This Row],[SKU]],'All Skus'!$A:$AC,20,FALSE)),""))</f>
        <v>0</v>
      </c>
      <c r="Q172" s="227">
        <f>(IF((VLOOKUP(Table10[[#This Row],[SKU]],'All Skus'!$A:$AC,2,FALSE))="Martin",(VLOOKUP(Table10[[#This Row],[SKU]],'All Skus'!$A:$AC,21,FALSE)),""))</f>
        <v>0</v>
      </c>
      <c r="R172" s="224">
        <f>(IF((VLOOKUP(Table10[[#This Row],[SKU]],'All Skus'!$A:$AC,2,FALSE))="Martin",(VLOOKUP(Table10[[#This Row],[SKU]],'All Skus'!$A:$AC,22,FALSE)),""))</f>
        <v>0</v>
      </c>
      <c r="S172" s="223">
        <f>(IF((VLOOKUP(Table10[[#This Row],[SKU]],'All Skus'!$A:$AC,2,FALSE))="Martin",(VLOOKUP(Table10[[#This Row],[SKU]],'All Skus'!$A:$AC,23,FALSE)),""))</f>
        <v>0</v>
      </c>
      <c r="T172" s="212" t="str">
        <f>HYPERLINK((IF((VLOOKUP(Table10[[#This Row],[SKU]],'All Skus'!$A:$AC,2,FALSE))="Martin",(VLOOKUP(Table10[[#This Row],[SKU]],'All Skus'!$A:$AC,24,FALSE)),"")))</f>
        <v/>
      </c>
      <c r="U172" s="228">
        <v>170</v>
      </c>
    </row>
    <row r="173" spans="1:21" hidden="1">
      <c r="A173" s="115" t="s">
        <v>2001</v>
      </c>
      <c r="B173" s="224">
        <f>(IF((VLOOKUP(Table10[[#This Row],[SKU]],'All Skus'!$A:$AC,2,FALSE))="Martin",(VLOOKUP(Table10[[#This Row],[SKU]],'All Skus'!$A:$AC,3,FALSE)),""))</f>
        <v>0</v>
      </c>
      <c r="C173" s="223">
        <f>(IF((VLOOKUP(Table10[[#This Row],[SKU]],'All Skus'!$A:$AC,2,FALSE))="Martin",(VLOOKUP(Table10[[#This Row],[SKU]],'All Skus'!$A:$AC,4,FALSE)),""))</f>
        <v>0</v>
      </c>
      <c r="D173" s="224">
        <f>(IF((VLOOKUP(Table10[[#This Row],[SKU]],'All Skus'!$A:$AC,2,FALSE))="Martin",(VLOOKUP(Table10[[#This Row],[SKU]],'All Skus'!$A:$AC,5,FALSE)),""))</f>
        <v>0</v>
      </c>
      <c r="E173" s="223">
        <f>(IF((VLOOKUP(Table10[[#This Row],[SKU]],'All Skus'!$A:$AC,2,FALSE))="Martin",(VLOOKUP(Table10[[#This Row],[SKU]],'All Skus'!$A:$AC,6,FALSE)),""))</f>
        <v>0</v>
      </c>
      <c r="F173" s="155">
        <f>(IF((VLOOKUP(Table10[[#This Row],[SKU]],'All Skus'!$A:$AC,2,FALSE))="Martin",(VLOOKUP(Table10[[#This Row],[SKU]],'All Skus'!$A:$AC,7,FALSE)),""))</f>
        <v>0</v>
      </c>
      <c r="G173" s="223">
        <f>(IF((VLOOKUP(Table10[[#This Row],[SKU]],'All Skus'!$A:$AC,2,FALSE))="Martin",(VLOOKUP(Table10[[#This Row],[SKU]],'All Skus'!$A:$AC,8,FALSE)),""))</f>
        <v>0</v>
      </c>
      <c r="H173" s="223">
        <f>(IF((VLOOKUP(Table10[[#This Row],[SKU]],'All Skus'!$A:$AC,2,FALSE))="Martin",(VLOOKUP(Table10[[#This Row],[SKU]],'All Skus'!$A:$AC,9,FALSE)),""))</f>
        <v>0</v>
      </c>
      <c r="I173" s="225">
        <f>(IF((VLOOKUP(Table10[[#This Row],[SKU]],'All Skus'!$A:$AC,2,FALSE))="Martin",(VLOOKUP(Table10[[#This Row],[SKU]],'All Skus'!$A:$AC,10,FALSE)),""))</f>
        <v>0</v>
      </c>
      <c r="J173" s="226">
        <f>(IF((VLOOKUP(Table10[[#This Row],[SKU]],'All Skus'!$A:$AC,2,FALSE))="Martin",(VLOOKUP(Table10[[#This Row],[SKU]],'All Skus'!$A:$AC,11,FALSE)),""))</f>
        <v>0</v>
      </c>
      <c r="K173" s="224">
        <f>(IF((VLOOKUP(Table10[[#This Row],[SKU]],'All Skus'!$A:$AC,2,FALSE))="Martin",(VLOOKUP(Table10[[#This Row],[SKU]],'All Skus'!$A:$AC,15,FALSE)),""))</f>
        <v>0</v>
      </c>
      <c r="L173" s="224">
        <f>(IF((VLOOKUP(Table10[[#This Row],[SKU]],'All Skus'!$A:$AC,2,FALSE))="Martin",(VLOOKUP(Table10[[#This Row],[SKU]],'All Skus'!$A:$AC,16,FALSE)),""))</f>
        <v>0</v>
      </c>
      <c r="M173" s="224">
        <f>(IF((VLOOKUP(Table10[[#This Row],[SKU]],'All Skus'!$A:$AC,2,FALSE))="Martin",(VLOOKUP(Table10[[#This Row],[SKU]],'All Skus'!$A:$AC,17,FALSE)),""))</f>
        <v>0</v>
      </c>
      <c r="N173" s="227">
        <f>(IF((VLOOKUP(Table10[[#This Row],[SKU]],'All Skus'!$A:$AC,2,FALSE))="Martin",(VLOOKUP(Table10[[#This Row],[SKU]],'All Skus'!$A:$AC,18,FALSE)),""))</f>
        <v>0</v>
      </c>
      <c r="O173" s="227">
        <f>(IF((VLOOKUP(Table10[[#This Row],[SKU]],'All Skus'!$A:$AC,2,FALSE))="Martin",(VLOOKUP(Table10[[#This Row],[SKU]],'All Skus'!$A:$AC,19,FALSE)),""))</f>
        <v>0</v>
      </c>
      <c r="P173" s="227">
        <f>(IF((VLOOKUP(Table10[[#This Row],[SKU]],'All Skus'!$A:$AC,2,FALSE))="Martin",(VLOOKUP(Table10[[#This Row],[SKU]],'All Skus'!$A:$AC,20,FALSE)),""))</f>
        <v>0</v>
      </c>
      <c r="Q173" s="227">
        <f>(IF((VLOOKUP(Table10[[#This Row],[SKU]],'All Skus'!$A:$AC,2,FALSE))="Martin",(VLOOKUP(Table10[[#This Row],[SKU]],'All Skus'!$A:$AC,21,FALSE)),""))</f>
        <v>0</v>
      </c>
      <c r="R173" s="224">
        <f>(IF((VLOOKUP(Table10[[#This Row],[SKU]],'All Skus'!$A:$AC,2,FALSE))="Martin",(VLOOKUP(Table10[[#This Row],[SKU]],'All Skus'!$A:$AC,22,FALSE)),""))</f>
        <v>0</v>
      </c>
      <c r="S173" s="223">
        <f>(IF((VLOOKUP(Table10[[#This Row],[SKU]],'All Skus'!$A:$AC,2,FALSE))="Martin",(VLOOKUP(Table10[[#This Row],[SKU]],'All Skus'!$A:$AC,23,FALSE)),""))</f>
        <v>0</v>
      </c>
      <c r="T173" s="212" t="str">
        <f>HYPERLINK((IF((VLOOKUP(Table10[[#This Row],[SKU]],'All Skus'!$A:$AC,2,FALSE))="Martin",(VLOOKUP(Table10[[#This Row],[SKU]],'All Skus'!$A:$AC,24,FALSE)),"")))</f>
        <v/>
      </c>
      <c r="U173" s="228">
        <v>171</v>
      </c>
    </row>
    <row r="174" spans="1:21" hidden="1">
      <c r="A174" s="111" t="s">
        <v>2002</v>
      </c>
      <c r="B174" s="224">
        <f>(IF((VLOOKUP(Table10[[#This Row],[SKU]],'All Skus'!$A:$AC,2,FALSE))="Martin",(VLOOKUP(Table10[[#This Row],[SKU]],'All Skus'!$A:$AC,3,FALSE)),""))</f>
        <v>0</v>
      </c>
      <c r="C174" s="223">
        <f>(IF((VLOOKUP(Table10[[#This Row],[SKU]],'All Skus'!$A:$AC,2,FALSE))="Martin",(VLOOKUP(Table10[[#This Row],[SKU]],'All Skus'!$A:$AC,4,FALSE)),""))</f>
        <v>0</v>
      </c>
      <c r="D174" s="224">
        <f>(IF((VLOOKUP(Table10[[#This Row],[SKU]],'All Skus'!$A:$AC,2,FALSE))="Martin",(VLOOKUP(Table10[[#This Row],[SKU]],'All Skus'!$A:$AC,5,FALSE)),""))</f>
        <v>0</v>
      </c>
      <c r="E174" s="223">
        <f>(IF((VLOOKUP(Table10[[#This Row],[SKU]],'All Skus'!$A:$AC,2,FALSE))="Martin",(VLOOKUP(Table10[[#This Row],[SKU]],'All Skus'!$A:$AC,6,FALSE)),""))</f>
        <v>0</v>
      </c>
      <c r="F174" s="155">
        <f>(IF((VLOOKUP(Table10[[#This Row],[SKU]],'All Skus'!$A:$AC,2,FALSE))="Martin",(VLOOKUP(Table10[[#This Row],[SKU]],'All Skus'!$A:$AC,7,FALSE)),""))</f>
        <v>0</v>
      </c>
      <c r="G174" s="223">
        <f>(IF((VLOOKUP(Table10[[#This Row],[SKU]],'All Skus'!$A:$AC,2,FALSE))="Martin",(VLOOKUP(Table10[[#This Row],[SKU]],'All Skus'!$A:$AC,8,FALSE)),""))</f>
        <v>0</v>
      </c>
      <c r="H174" s="223">
        <f>(IF((VLOOKUP(Table10[[#This Row],[SKU]],'All Skus'!$A:$AC,2,FALSE))="Martin",(VLOOKUP(Table10[[#This Row],[SKU]],'All Skus'!$A:$AC,9,FALSE)),""))</f>
        <v>0</v>
      </c>
      <c r="I174" s="225">
        <f>(IF((VLOOKUP(Table10[[#This Row],[SKU]],'All Skus'!$A:$AC,2,FALSE))="Martin",(VLOOKUP(Table10[[#This Row],[SKU]],'All Skus'!$A:$AC,10,FALSE)),""))</f>
        <v>0</v>
      </c>
      <c r="J174" s="226">
        <f>(IF((VLOOKUP(Table10[[#This Row],[SKU]],'All Skus'!$A:$AC,2,FALSE))="Martin",(VLOOKUP(Table10[[#This Row],[SKU]],'All Skus'!$A:$AC,11,FALSE)),""))</f>
        <v>0</v>
      </c>
      <c r="K174" s="224">
        <f>(IF((VLOOKUP(Table10[[#This Row],[SKU]],'All Skus'!$A:$AC,2,FALSE))="Martin",(VLOOKUP(Table10[[#This Row],[SKU]],'All Skus'!$A:$AC,15,FALSE)),""))</f>
        <v>0</v>
      </c>
      <c r="L174" s="224">
        <f>(IF((VLOOKUP(Table10[[#This Row],[SKU]],'All Skus'!$A:$AC,2,FALSE))="Martin",(VLOOKUP(Table10[[#This Row],[SKU]],'All Skus'!$A:$AC,16,FALSE)),""))</f>
        <v>0</v>
      </c>
      <c r="M174" s="224">
        <f>(IF((VLOOKUP(Table10[[#This Row],[SKU]],'All Skus'!$A:$AC,2,FALSE))="Martin",(VLOOKUP(Table10[[#This Row],[SKU]],'All Skus'!$A:$AC,17,FALSE)),""))</f>
        <v>0</v>
      </c>
      <c r="N174" s="227">
        <f>(IF((VLOOKUP(Table10[[#This Row],[SKU]],'All Skus'!$A:$AC,2,FALSE))="Martin",(VLOOKUP(Table10[[#This Row],[SKU]],'All Skus'!$A:$AC,18,FALSE)),""))</f>
        <v>0</v>
      </c>
      <c r="O174" s="227">
        <f>(IF((VLOOKUP(Table10[[#This Row],[SKU]],'All Skus'!$A:$AC,2,FALSE))="Martin",(VLOOKUP(Table10[[#This Row],[SKU]],'All Skus'!$A:$AC,19,FALSE)),""))</f>
        <v>0</v>
      </c>
      <c r="P174" s="227">
        <f>(IF((VLOOKUP(Table10[[#This Row],[SKU]],'All Skus'!$A:$AC,2,FALSE))="Martin",(VLOOKUP(Table10[[#This Row],[SKU]],'All Skus'!$A:$AC,20,FALSE)),""))</f>
        <v>0</v>
      </c>
      <c r="Q174" s="227">
        <f>(IF((VLOOKUP(Table10[[#This Row],[SKU]],'All Skus'!$A:$AC,2,FALSE))="Martin",(VLOOKUP(Table10[[#This Row],[SKU]],'All Skus'!$A:$AC,21,FALSE)),""))</f>
        <v>0</v>
      </c>
      <c r="R174" s="224">
        <f>(IF((VLOOKUP(Table10[[#This Row],[SKU]],'All Skus'!$A:$AC,2,FALSE))="Martin",(VLOOKUP(Table10[[#This Row],[SKU]],'All Skus'!$A:$AC,22,FALSE)),""))</f>
        <v>0</v>
      </c>
      <c r="S174" s="223">
        <f>(IF((VLOOKUP(Table10[[#This Row],[SKU]],'All Skus'!$A:$AC,2,FALSE))="Martin",(VLOOKUP(Table10[[#This Row],[SKU]],'All Skus'!$A:$AC,23,FALSE)),""))</f>
        <v>0</v>
      </c>
      <c r="T174" s="212" t="str">
        <f>HYPERLINK((IF((VLOOKUP(Table10[[#This Row],[SKU]],'All Skus'!$A:$AC,2,FALSE))="Martin",(VLOOKUP(Table10[[#This Row],[SKU]],'All Skus'!$A:$AC,24,FALSE)),"")))</f>
        <v/>
      </c>
      <c r="U174" s="228">
        <v>172</v>
      </c>
    </row>
    <row r="175" spans="1:21" hidden="1">
      <c r="A175" s="115" t="s">
        <v>2003</v>
      </c>
      <c r="B175" s="224">
        <f>(IF((VLOOKUP(Table10[[#This Row],[SKU]],'All Skus'!$A:$AC,2,FALSE))="Martin",(VLOOKUP(Table10[[#This Row],[SKU]],'All Skus'!$A:$AC,3,FALSE)),""))</f>
        <v>0</v>
      </c>
      <c r="C175" s="223">
        <f>(IF((VLOOKUP(Table10[[#This Row],[SKU]],'All Skus'!$A:$AC,2,FALSE))="Martin",(VLOOKUP(Table10[[#This Row],[SKU]],'All Skus'!$A:$AC,4,FALSE)),""))</f>
        <v>0</v>
      </c>
      <c r="D175" s="224">
        <f>(IF((VLOOKUP(Table10[[#This Row],[SKU]],'All Skus'!$A:$AC,2,FALSE))="Martin",(VLOOKUP(Table10[[#This Row],[SKU]],'All Skus'!$A:$AC,5,FALSE)),""))</f>
        <v>0</v>
      </c>
      <c r="E175" s="223">
        <f>(IF((VLOOKUP(Table10[[#This Row],[SKU]],'All Skus'!$A:$AC,2,FALSE))="Martin",(VLOOKUP(Table10[[#This Row],[SKU]],'All Skus'!$A:$AC,6,FALSE)),""))</f>
        <v>0</v>
      </c>
      <c r="F175" s="155">
        <f>(IF((VLOOKUP(Table10[[#This Row],[SKU]],'All Skus'!$A:$AC,2,FALSE))="Martin",(VLOOKUP(Table10[[#This Row],[SKU]],'All Skus'!$A:$AC,7,FALSE)),""))</f>
        <v>0</v>
      </c>
      <c r="G175" s="223">
        <f>(IF((VLOOKUP(Table10[[#This Row],[SKU]],'All Skus'!$A:$AC,2,FALSE))="Martin",(VLOOKUP(Table10[[#This Row],[SKU]],'All Skus'!$A:$AC,8,FALSE)),""))</f>
        <v>0</v>
      </c>
      <c r="H175" s="223">
        <f>(IF((VLOOKUP(Table10[[#This Row],[SKU]],'All Skus'!$A:$AC,2,FALSE))="Martin",(VLOOKUP(Table10[[#This Row],[SKU]],'All Skus'!$A:$AC,9,FALSE)),""))</f>
        <v>0</v>
      </c>
      <c r="I175" s="225">
        <f>(IF((VLOOKUP(Table10[[#This Row],[SKU]],'All Skus'!$A:$AC,2,FALSE))="Martin",(VLOOKUP(Table10[[#This Row],[SKU]],'All Skus'!$A:$AC,10,FALSE)),""))</f>
        <v>0</v>
      </c>
      <c r="J175" s="226">
        <f>(IF((VLOOKUP(Table10[[#This Row],[SKU]],'All Skus'!$A:$AC,2,FALSE))="Martin",(VLOOKUP(Table10[[#This Row],[SKU]],'All Skus'!$A:$AC,11,FALSE)),""))</f>
        <v>0</v>
      </c>
      <c r="K175" s="224">
        <f>(IF((VLOOKUP(Table10[[#This Row],[SKU]],'All Skus'!$A:$AC,2,FALSE))="Martin",(VLOOKUP(Table10[[#This Row],[SKU]],'All Skus'!$A:$AC,15,FALSE)),""))</f>
        <v>0</v>
      </c>
      <c r="L175" s="224">
        <f>(IF((VLOOKUP(Table10[[#This Row],[SKU]],'All Skus'!$A:$AC,2,FALSE))="Martin",(VLOOKUP(Table10[[#This Row],[SKU]],'All Skus'!$A:$AC,16,FALSE)),""))</f>
        <v>0</v>
      </c>
      <c r="M175" s="224">
        <f>(IF((VLOOKUP(Table10[[#This Row],[SKU]],'All Skus'!$A:$AC,2,FALSE))="Martin",(VLOOKUP(Table10[[#This Row],[SKU]],'All Skus'!$A:$AC,17,FALSE)),""))</f>
        <v>0</v>
      </c>
      <c r="N175" s="227">
        <f>(IF((VLOOKUP(Table10[[#This Row],[SKU]],'All Skus'!$A:$AC,2,FALSE))="Martin",(VLOOKUP(Table10[[#This Row],[SKU]],'All Skus'!$A:$AC,18,FALSE)),""))</f>
        <v>0</v>
      </c>
      <c r="O175" s="227">
        <f>(IF((VLOOKUP(Table10[[#This Row],[SKU]],'All Skus'!$A:$AC,2,FALSE))="Martin",(VLOOKUP(Table10[[#This Row],[SKU]],'All Skus'!$A:$AC,19,FALSE)),""))</f>
        <v>0</v>
      </c>
      <c r="P175" s="227">
        <f>(IF((VLOOKUP(Table10[[#This Row],[SKU]],'All Skus'!$A:$AC,2,FALSE))="Martin",(VLOOKUP(Table10[[#This Row],[SKU]],'All Skus'!$A:$AC,20,FALSE)),""))</f>
        <v>0</v>
      </c>
      <c r="Q175" s="227">
        <f>(IF((VLOOKUP(Table10[[#This Row],[SKU]],'All Skus'!$A:$AC,2,FALSE))="Martin",(VLOOKUP(Table10[[#This Row],[SKU]],'All Skus'!$A:$AC,21,FALSE)),""))</f>
        <v>0</v>
      </c>
      <c r="R175" s="224">
        <f>(IF((VLOOKUP(Table10[[#This Row],[SKU]],'All Skus'!$A:$AC,2,FALSE))="Martin",(VLOOKUP(Table10[[#This Row],[SKU]],'All Skus'!$A:$AC,22,FALSE)),""))</f>
        <v>0</v>
      </c>
      <c r="S175" s="223">
        <f>(IF((VLOOKUP(Table10[[#This Row],[SKU]],'All Skus'!$A:$AC,2,FALSE))="Martin",(VLOOKUP(Table10[[#This Row],[SKU]],'All Skus'!$A:$AC,23,FALSE)),""))</f>
        <v>0</v>
      </c>
      <c r="T175" s="212" t="str">
        <f>HYPERLINK((IF((VLOOKUP(Table10[[#This Row],[SKU]],'All Skus'!$A:$AC,2,FALSE))="Martin",(VLOOKUP(Table10[[#This Row],[SKU]],'All Skus'!$A:$AC,24,FALSE)),"")))</f>
        <v/>
      </c>
      <c r="U175" s="228">
        <v>173</v>
      </c>
    </row>
    <row r="176" spans="1:21" hidden="1">
      <c r="A176" s="90" t="s">
        <v>2004</v>
      </c>
      <c r="B176" s="224" t="str">
        <f>(IF((VLOOKUP(Table10[[#This Row],[SKU]],'All Skus'!$A:$AC,2,FALSE))="Martin",(VLOOKUP(Table10[[#This Row],[SKU]],'All Skus'!$A:$AC,3,FALSE)),""))</f>
        <v>Static Lights</v>
      </c>
      <c r="C176" s="223" t="str">
        <f>(IF((VLOOKUP(Table10[[#This Row],[SKU]],'All Skus'!$A:$AC,2,FALSE))="Martin",(VLOOKUP(Table10[[#This Row],[SKU]],'All Skus'!$A:$AC,4,FALSE)),""))</f>
        <v>MARTIN ELP PAR</v>
      </c>
      <c r="D176" s="224" t="str">
        <f>(IF((VLOOKUP(Table10[[#This Row],[SKU]],'All Skus'!$A:$AC,2,FALSE))="Martin",(VLOOKUP(Table10[[#This Row],[SKU]],'All Skus'!$A:$AC,5,FALSE)),""))</f>
        <v>MAR-ELP</v>
      </c>
      <c r="E176" s="223">
        <f>(IF((VLOOKUP(Table10[[#This Row],[SKU]],'All Skus'!$A:$AC,2,FALSE))="Martin",(VLOOKUP(Table10[[#This Row],[SKU]],'All Skus'!$A:$AC,6,FALSE)),""))</f>
        <v>0</v>
      </c>
      <c r="F176" s="155">
        <f>(IF((VLOOKUP(Table10[[#This Row],[SKU]],'All Skus'!$A:$AC,2,FALSE))="Martin",(VLOOKUP(Table10[[#This Row],[SKU]],'All Skus'!$A:$AC,7,FALSE)),""))</f>
        <v>0</v>
      </c>
      <c r="G176" s="223" t="str">
        <f>(IF((VLOOKUP(Table10[[#This Row],[SKU]],'All Skus'!$A:$AC,2,FALSE))="Martin",(VLOOKUP(Table10[[#This Row],[SKU]],'All Skus'!$A:$AC,8,FALSE)),""))</f>
        <v>MARTIN ELP PAR</v>
      </c>
      <c r="H176" s="223" t="str">
        <f>(IF((VLOOKUP(Table10[[#This Row],[SKU]],'All Skus'!$A:$AC,2,FALSE))="Martin",(VLOOKUP(Table10[[#This Row],[SKU]],'All Skus'!$A:$AC,9,FALSE)),""))</f>
        <v>MARTIN ELP PAR</v>
      </c>
      <c r="I176" s="225">
        <f>(IF((VLOOKUP(Table10[[#This Row],[SKU]],'All Skus'!$A:$AC,2,FALSE))="Martin",(VLOOKUP(Table10[[#This Row],[SKU]],'All Skus'!$A:$AC,10,FALSE)),""))</f>
        <v>1642.85</v>
      </c>
      <c r="J176" s="226">
        <f>(IF((VLOOKUP(Table10[[#This Row],[SKU]],'All Skus'!$A:$AC,2,FALSE))="Martin",(VLOOKUP(Table10[[#This Row],[SKU]],'All Skus'!$A:$AC,11,FALSE)),""))</f>
        <v>1642.85</v>
      </c>
      <c r="K176" s="224">
        <f>(IF((VLOOKUP(Table10[[#This Row],[SKU]],'All Skus'!$A:$AC,2,FALSE))="Martin",(VLOOKUP(Table10[[#This Row],[SKU]],'All Skus'!$A:$AC,15,FALSE)),""))</f>
        <v>0</v>
      </c>
      <c r="L176" s="224">
        <f>(IF((VLOOKUP(Table10[[#This Row],[SKU]],'All Skus'!$A:$AC,2,FALSE))="Martin",(VLOOKUP(Table10[[#This Row],[SKU]],'All Skus'!$A:$AC,16,FALSE)),""))</f>
        <v>688705008004</v>
      </c>
      <c r="M176" s="224">
        <f>(IF((VLOOKUP(Table10[[#This Row],[SKU]],'All Skus'!$A:$AC,2,FALSE))="Martin",(VLOOKUP(Table10[[#This Row],[SKU]],'All Skus'!$A:$AC,17,FALSE)),""))</f>
        <v>0</v>
      </c>
      <c r="N176" s="227">
        <f>(IF((VLOOKUP(Table10[[#This Row],[SKU]],'All Skus'!$A:$AC,2,FALSE))="Martin",(VLOOKUP(Table10[[#This Row],[SKU]],'All Skus'!$A:$AC,18,FALSE)),""))</f>
        <v>0</v>
      </c>
      <c r="O176" s="227">
        <f>(IF((VLOOKUP(Table10[[#This Row],[SKU]],'All Skus'!$A:$AC,2,FALSE))="Martin",(VLOOKUP(Table10[[#This Row],[SKU]],'All Skus'!$A:$AC,19,FALSE)),""))</f>
        <v>0</v>
      </c>
      <c r="P176" s="227">
        <f>(IF((VLOOKUP(Table10[[#This Row],[SKU]],'All Skus'!$A:$AC,2,FALSE))="Martin",(VLOOKUP(Table10[[#This Row],[SKU]],'All Skus'!$A:$AC,20,FALSE)),""))</f>
        <v>0</v>
      </c>
      <c r="Q176" s="227">
        <f>(IF((VLOOKUP(Table10[[#This Row],[SKU]],'All Skus'!$A:$AC,2,FALSE))="Martin",(VLOOKUP(Table10[[#This Row],[SKU]],'All Skus'!$A:$AC,21,FALSE)),""))</f>
        <v>0</v>
      </c>
      <c r="R176" s="224" t="str">
        <f>(IF((VLOOKUP(Table10[[#This Row],[SKU]],'All Skus'!$A:$AC,2,FALSE))="Martin",(VLOOKUP(Table10[[#This Row],[SKU]],'All Skus'!$A:$AC,22,FALSE)),""))</f>
        <v>CN</v>
      </c>
      <c r="S176" s="223">
        <f>(IF((VLOOKUP(Table10[[#This Row],[SKU]],'All Skus'!$A:$AC,2,FALSE))="Martin",(VLOOKUP(Table10[[#This Row],[SKU]],'All Skus'!$A:$AC,23,FALSE)),""))</f>
        <v>0</v>
      </c>
      <c r="T176" s="212" t="str">
        <f>HYPERLINK((IF((VLOOKUP(Table10[[#This Row],[SKU]],'All Skus'!$A:$AC,2,FALSE))="Martin",(VLOOKUP(Table10[[#This Row],[SKU]],'All Skus'!$A:$AC,24,FALSE)),"")))</f>
        <v/>
      </c>
      <c r="U176" s="228">
        <v>174</v>
      </c>
    </row>
    <row r="177" spans="1:21" hidden="1">
      <c r="A177" s="230" t="s">
        <v>2005</v>
      </c>
      <c r="B177" s="224" t="str">
        <f>(IF((VLOOKUP(Table10[[#This Row],[SKU]],'All Skus'!$A:$AC,2,FALSE))="Martin",(VLOOKUP(Table10[[#This Row],[SKU]],'All Skus'!$A:$AC,3,FALSE)),""))</f>
        <v>Static Lights</v>
      </c>
      <c r="C177" s="223" t="str">
        <f>(IF((VLOOKUP(Table10[[#This Row],[SKU]],'All Skus'!$A:$AC,2,FALSE))="Martin",(VLOOKUP(Table10[[#This Row],[SKU]],'All Skus'!$A:$AC,4,FALSE)),""))</f>
        <v>MARTIN ELP PAR - WHITE</v>
      </c>
      <c r="D177" s="224" t="str">
        <f>(IF((VLOOKUP(Table10[[#This Row],[SKU]],'All Skus'!$A:$AC,2,FALSE))="Martin",(VLOOKUP(Table10[[#This Row],[SKU]],'All Skus'!$A:$AC,5,FALSE)),""))</f>
        <v>MAR-ELP</v>
      </c>
      <c r="E177" s="223">
        <f>(IF((VLOOKUP(Table10[[#This Row],[SKU]],'All Skus'!$A:$AC,2,FALSE))="Martin",(VLOOKUP(Table10[[#This Row],[SKU]],'All Skus'!$A:$AC,6,FALSE)),""))</f>
        <v>0</v>
      </c>
      <c r="F177" s="155" t="str">
        <f>(IF((VLOOKUP(Table10[[#This Row],[SKU]],'All Skus'!$A:$AC,2,FALSE))="Martin",(VLOOKUP(Table10[[#This Row],[SKU]],'All Skus'!$A:$AC,7,FALSE)),""))</f>
        <v xml:space="preserve">NEW SKU </v>
      </c>
      <c r="G177" s="223" t="str">
        <f>(IF((VLOOKUP(Table10[[#This Row],[SKU]],'All Skus'!$A:$AC,2,FALSE))="Martin",(VLOOKUP(Table10[[#This Row],[SKU]],'All Skus'!$A:$AC,8,FALSE)),""))</f>
        <v>MARTIN ELP PAR</v>
      </c>
      <c r="H177" s="223" t="str">
        <f>(IF((VLOOKUP(Table10[[#This Row],[SKU]],'All Skus'!$A:$AC,2,FALSE))="Martin",(VLOOKUP(Table10[[#This Row],[SKU]],'All Skus'!$A:$AC,9,FALSE)),""))</f>
        <v>MARTIN ELP PAR</v>
      </c>
      <c r="I177" s="225">
        <f>(IF((VLOOKUP(Table10[[#This Row],[SKU]],'All Skus'!$A:$AC,2,FALSE))="Martin",(VLOOKUP(Table10[[#This Row],[SKU]],'All Skus'!$A:$AC,10,FALSE)),""))</f>
        <v>1807.65</v>
      </c>
      <c r="J177" s="226">
        <f>(IF((VLOOKUP(Table10[[#This Row],[SKU]],'All Skus'!$A:$AC,2,FALSE))="Martin",(VLOOKUP(Table10[[#This Row],[SKU]],'All Skus'!$A:$AC,11,FALSE)),""))</f>
        <v>1807.65</v>
      </c>
      <c r="K177" s="224">
        <f>(IF((VLOOKUP(Table10[[#This Row],[SKU]],'All Skus'!$A:$AC,2,FALSE))="Martin",(VLOOKUP(Table10[[#This Row],[SKU]],'All Skus'!$A:$AC,15,FALSE)),""))</f>
        <v>0</v>
      </c>
      <c r="L177" s="224">
        <f>(IF((VLOOKUP(Table10[[#This Row],[SKU]],'All Skus'!$A:$AC,2,FALSE))="Martin",(VLOOKUP(Table10[[#This Row],[SKU]],'All Skus'!$A:$AC,16,FALSE)),""))</f>
        <v>688705009919</v>
      </c>
      <c r="M177" s="224">
        <f>(IF((VLOOKUP(Table10[[#This Row],[SKU]],'All Skus'!$A:$AC,2,FALSE))="Martin",(VLOOKUP(Table10[[#This Row],[SKU]],'All Skus'!$A:$AC,17,FALSE)),""))</f>
        <v>0</v>
      </c>
      <c r="N177" s="227">
        <f>(IF((VLOOKUP(Table10[[#This Row],[SKU]],'All Skus'!$A:$AC,2,FALSE))="Martin",(VLOOKUP(Table10[[#This Row],[SKU]],'All Skus'!$A:$AC,18,FALSE)),""))</f>
        <v>0</v>
      </c>
      <c r="O177" s="227">
        <f>(IF((VLOOKUP(Table10[[#This Row],[SKU]],'All Skus'!$A:$AC,2,FALSE))="Martin",(VLOOKUP(Table10[[#This Row],[SKU]],'All Skus'!$A:$AC,19,FALSE)),""))</f>
        <v>0</v>
      </c>
      <c r="P177" s="227">
        <f>(IF((VLOOKUP(Table10[[#This Row],[SKU]],'All Skus'!$A:$AC,2,FALSE))="Martin",(VLOOKUP(Table10[[#This Row],[SKU]],'All Skus'!$A:$AC,20,FALSE)),""))</f>
        <v>0</v>
      </c>
      <c r="Q177" s="227">
        <f>(IF((VLOOKUP(Table10[[#This Row],[SKU]],'All Skus'!$A:$AC,2,FALSE))="Martin",(VLOOKUP(Table10[[#This Row],[SKU]],'All Skus'!$A:$AC,21,FALSE)),""))</f>
        <v>0</v>
      </c>
      <c r="R177" s="224" t="str">
        <f>(IF((VLOOKUP(Table10[[#This Row],[SKU]],'All Skus'!$A:$AC,2,FALSE))="Martin",(VLOOKUP(Table10[[#This Row],[SKU]],'All Skus'!$A:$AC,22,FALSE)),""))</f>
        <v>CN</v>
      </c>
      <c r="S177" s="223">
        <f>(IF((VLOOKUP(Table10[[#This Row],[SKU]],'All Skus'!$A:$AC,2,FALSE))="Martin",(VLOOKUP(Table10[[#This Row],[SKU]],'All Skus'!$A:$AC,23,FALSE)),""))</f>
        <v>0</v>
      </c>
      <c r="T177" s="212" t="str">
        <f>HYPERLINK((IF((VLOOKUP(Table10[[#This Row],[SKU]],'All Skus'!$A:$AC,2,FALSE))="Martin",(VLOOKUP(Table10[[#This Row],[SKU]],'All Skus'!$A:$AC,24,FALSE)),"")))</f>
        <v/>
      </c>
      <c r="U177" s="228">
        <v>175</v>
      </c>
    </row>
    <row r="178" spans="1:21" hidden="1">
      <c r="A178" s="115" t="s">
        <v>2006</v>
      </c>
      <c r="B178" s="224">
        <f>(IF((VLOOKUP(Table10[[#This Row],[SKU]],'All Skus'!$A:$AC,2,FALSE))="Martin",(VLOOKUP(Table10[[#This Row],[SKU]],'All Skus'!$A:$AC,3,FALSE)),""))</f>
        <v>0</v>
      </c>
      <c r="C178" s="223">
        <f>(IF((VLOOKUP(Table10[[#This Row],[SKU]],'All Skus'!$A:$AC,2,FALSE))="Martin",(VLOOKUP(Table10[[#This Row],[SKU]],'All Skus'!$A:$AC,4,FALSE)),""))</f>
        <v>0</v>
      </c>
      <c r="D178" s="224">
        <f>(IF((VLOOKUP(Table10[[#This Row],[SKU]],'All Skus'!$A:$AC,2,FALSE))="Martin",(VLOOKUP(Table10[[#This Row],[SKU]],'All Skus'!$A:$AC,5,FALSE)),""))</f>
        <v>0</v>
      </c>
      <c r="E178" s="223">
        <f>(IF((VLOOKUP(Table10[[#This Row],[SKU]],'All Skus'!$A:$AC,2,FALSE))="Martin",(VLOOKUP(Table10[[#This Row],[SKU]],'All Skus'!$A:$AC,6,FALSE)),""))</f>
        <v>0</v>
      </c>
      <c r="F178" s="155">
        <f>(IF((VLOOKUP(Table10[[#This Row],[SKU]],'All Skus'!$A:$AC,2,FALSE))="Martin",(VLOOKUP(Table10[[#This Row],[SKU]],'All Skus'!$A:$AC,7,FALSE)),""))</f>
        <v>0</v>
      </c>
      <c r="G178" s="223">
        <f>(IF((VLOOKUP(Table10[[#This Row],[SKU]],'All Skus'!$A:$AC,2,FALSE))="Martin",(VLOOKUP(Table10[[#This Row],[SKU]],'All Skus'!$A:$AC,8,FALSE)),""))</f>
        <v>0</v>
      </c>
      <c r="H178" s="223">
        <f>(IF((VLOOKUP(Table10[[#This Row],[SKU]],'All Skus'!$A:$AC,2,FALSE))="Martin",(VLOOKUP(Table10[[#This Row],[SKU]],'All Skus'!$A:$AC,9,FALSE)),""))</f>
        <v>0</v>
      </c>
      <c r="I178" s="225">
        <f>(IF((VLOOKUP(Table10[[#This Row],[SKU]],'All Skus'!$A:$AC,2,FALSE))="Martin",(VLOOKUP(Table10[[#This Row],[SKU]],'All Skus'!$A:$AC,10,FALSE)),""))</f>
        <v>0</v>
      </c>
      <c r="J178" s="226">
        <f>(IF((VLOOKUP(Table10[[#This Row],[SKU]],'All Skus'!$A:$AC,2,FALSE))="Martin",(VLOOKUP(Table10[[#This Row],[SKU]],'All Skus'!$A:$AC,11,FALSE)),""))</f>
        <v>0</v>
      </c>
      <c r="K178" s="224">
        <f>(IF((VLOOKUP(Table10[[#This Row],[SKU]],'All Skus'!$A:$AC,2,FALSE))="Martin",(VLOOKUP(Table10[[#This Row],[SKU]],'All Skus'!$A:$AC,15,FALSE)),""))</f>
        <v>0</v>
      </c>
      <c r="L178" s="224">
        <f>(IF((VLOOKUP(Table10[[#This Row],[SKU]],'All Skus'!$A:$AC,2,FALSE))="Martin",(VLOOKUP(Table10[[#This Row],[SKU]],'All Skus'!$A:$AC,16,FALSE)),""))</f>
        <v>0</v>
      </c>
      <c r="M178" s="224">
        <f>(IF((VLOOKUP(Table10[[#This Row],[SKU]],'All Skus'!$A:$AC,2,FALSE))="Martin",(VLOOKUP(Table10[[#This Row],[SKU]],'All Skus'!$A:$AC,17,FALSE)),""))</f>
        <v>0</v>
      </c>
      <c r="N178" s="227">
        <f>(IF((VLOOKUP(Table10[[#This Row],[SKU]],'All Skus'!$A:$AC,2,FALSE))="Martin",(VLOOKUP(Table10[[#This Row],[SKU]],'All Skus'!$A:$AC,18,FALSE)),""))</f>
        <v>0</v>
      </c>
      <c r="O178" s="227">
        <f>(IF((VLOOKUP(Table10[[#This Row],[SKU]],'All Skus'!$A:$AC,2,FALSE))="Martin",(VLOOKUP(Table10[[#This Row],[SKU]],'All Skus'!$A:$AC,19,FALSE)),""))</f>
        <v>0</v>
      </c>
      <c r="P178" s="227">
        <f>(IF((VLOOKUP(Table10[[#This Row],[SKU]],'All Skus'!$A:$AC,2,FALSE))="Martin",(VLOOKUP(Table10[[#This Row],[SKU]],'All Skus'!$A:$AC,20,FALSE)),""))</f>
        <v>0</v>
      </c>
      <c r="Q178" s="227">
        <f>(IF((VLOOKUP(Table10[[#This Row],[SKU]],'All Skus'!$A:$AC,2,FALSE))="Martin",(VLOOKUP(Table10[[#This Row],[SKU]],'All Skus'!$A:$AC,21,FALSE)),""))</f>
        <v>0</v>
      </c>
      <c r="R178" s="224">
        <f>(IF((VLOOKUP(Table10[[#This Row],[SKU]],'All Skus'!$A:$AC,2,FALSE))="Martin",(VLOOKUP(Table10[[#This Row],[SKU]],'All Skus'!$A:$AC,22,FALSE)),""))</f>
        <v>0</v>
      </c>
      <c r="S178" s="223">
        <f>(IF((VLOOKUP(Table10[[#This Row],[SKU]],'All Skus'!$A:$AC,2,FALSE))="Martin",(VLOOKUP(Table10[[#This Row],[SKU]],'All Skus'!$A:$AC,23,FALSE)),""))</f>
        <v>0</v>
      </c>
      <c r="T178" s="212" t="str">
        <f>HYPERLINK((IF((VLOOKUP(Table10[[#This Row],[SKU]],'All Skus'!$A:$AC,2,FALSE))="Martin",(VLOOKUP(Table10[[#This Row],[SKU]],'All Skus'!$A:$AC,24,FALSE)),"")))</f>
        <v/>
      </c>
      <c r="U178" s="228">
        <v>176</v>
      </c>
    </row>
    <row r="179" spans="1:21" hidden="1">
      <c r="A179" s="115" t="s">
        <v>2007</v>
      </c>
      <c r="B179" s="224" t="str">
        <f>(IF((VLOOKUP(Table10[[#This Row],[SKU]],'All Skus'!$A:$AC,2,FALSE))="Martin",(VLOOKUP(Table10[[#This Row],[SKU]],'All Skus'!$A:$AC,3,FALSE)),""))</f>
        <v>Static Lights</v>
      </c>
      <c r="C179" s="223" t="str">
        <f>(IF((VLOOKUP(Table10[[#This Row],[SKU]],'All Skus'!$A:$AC,2,FALSE))="Martin",(VLOOKUP(Table10[[#This Row],[SKU]],'All Skus'!$A:$AC,4,FALSE)),""))</f>
        <v>MARTIN ELP PAR IP</v>
      </c>
      <c r="D179" s="224" t="str">
        <f>(IF((VLOOKUP(Table10[[#This Row],[SKU]],'All Skus'!$A:$AC,2,FALSE))="Martin",(VLOOKUP(Table10[[#This Row],[SKU]],'All Skus'!$A:$AC,5,FALSE)),""))</f>
        <v>MAR-ELP</v>
      </c>
      <c r="E179" s="223">
        <f>(IF((VLOOKUP(Table10[[#This Row],[SKU]],'All Skus'!$A:$AC,2,FALSE))="Martin",(VLOOKUP(Table10[[#This Row],[SKU]],'All Skus'!$A:$AC,6,FALSE)),""))</f>
        <v>0</v>
      </c>
      <c r="F179" s="155" t="str">
        <f>(IF((VLOOKUP(Table10[[#This Row],[SKU]],'All Skus'!$A:$AC,2,FALSE))="Martin",(VLOOKUP(Table10[[#This Row],[SKU]],'All Skus'!$A:$AC,7,FALSE)),""))</f>
        <v>NEW SKU - Limited stock expected from late February.</v>
      </c>
      <c r="G179" s="223" t="str">
        <f>(IF((VLOOKUP(Table10[[#This Row],[SKU]],'All Skus'!$A:$AC,2,FALSE))="Martin",(VLOOKUP(Table10[[#This Row],[SKU]],'All Skus'!$A:$AC,8,FALSE)),""))</f>
        <v>MARTIN ELP PAR IP</v>
      </c>
      <c r="H179" s="223" t="str">
        <f>(IF((VLOOKUP(Table10[[#This Row],[SKU]],'All Skus'!$A:$AC,2,FALSE))="Martin",(VLOOKUP(Table10[[#This Row],[SKU]],'All Skus'!$A:$AC,9,FALSE)),""))</f>
        <v>MARTIN ELP PAR IP</v>
      </c>
      <c r="I179" s="225">
        <f>(IF((VLOOKUP(Table10[[#This Row],[SKU]],'All Skus'!$A:$AC,2,FALSE))="Martin",(VLOOKUP(Table10[[#This Row],[SKU]],'All Skus'!$A:$AC,10,FALSE)),""))</f>
        <v>1905.5</v>
      </c>
      <c r="J179" s="226">
        <f>(IF((VLOOKUP(Table10[[#This Row],[SKU]],'All Skus'!$A:$AC,2,FALSE))="Martin",(VLOOKUP(Table10[[#This Row],[SKU]],'All Skus'!$A:$AC,11,FALSE)),""))</f>
        <v>1905.5</v>
      </c>
      <c r="K179" s="224">
        <f>(IF((VLOOKUP(Table10[[#This Row],[SKU]],'All Skus'!$A:$AC,2,FALSE))="Martin",(VLOOKUP(Table10[[#This Row],[SKU]],'All Skus'!$A:$AC,15,FALSE)),""))</f>
        <v>0</v>
      </c>
      <c r="L179" s="224">
        <f>(IF((VLOOKUP(Table10[[#This Row],[SKU]],'All Skus'!$A:$AC,2,FALSE))="Martin",(VLOOKUP(Table10[[#This Row],[SKU]],'All Skus'!$A:$AC,16,FALSE)),""))</f>
        <v>688705008011</v>
      </c>
      <c r="M179" s="224">
        <f>(IF((VLOOKUP(Table10[[#This Row],[SKU]],'All Skus'!$A:$AC,2,FALSE))="Martin",(VLOOKUP(Table10[[#This Row],[SKU]],'All Skus'!$A:$AC,17,FALSE)),""))</f>
        <v>0</v>
      </c>
      <c r="N179" s="227">
        <f>(IF((VLOOKUP(Table10[[#This Row],[SKU]],'All Skus'!$A:$AC,2,FALSE))="Martin",(VLOOKUP(Table10[[#This Row],[SKU]],'All Skus'!$A:$AC,18,FALSE)),""))</f>
        <v>0</v>
      </c>
      <c r="O179" s="227">
        <f>(IF((VLOOKUP(Table10[[#This Row],[SKU]],'All Skus'!$A:$AC,2,FALSE))="Martin",(VLOOKUP(Table10[[#This Row],[SKU]],'All Skus'!$A:$AC,19,FALSE)),""))</f>
        <v>0</v>
      </c>
      <c r="P179" s="227">
        <f>(IF((VLOOKUP(Table10[[#This Row],[SKU]],'All Skus'!$A:$AC,2,FALSE))="Martin",(VLOOKUP(Table10[[#This Row],[SKU]],'All Skus'!$A:$AC,20,FALSE)),""))</f>
        <v>0</v>
      </c>
      <c r="Q179" s="227">
        <f>(IF((VLOOKUP(Table10[[#This Row],[SKU]],'All Skus'!$A:$AC,2,FALSE))="Martin",(VLOOKUP(Table10[[#This Row],[SKU]],'All Skus'!$A:$AC,21,FALSE)),""))</f>
        <v>0</v>
      </c>
      <c r="R179" s="224" t="str">
        <f>(IF((VLOOKUP(Table10[[#This Row],[SKU]],'All Skus'!$A:$AC,2,FALSE))="Martin",(VLOOKUP(Table10[[#This Row],[SKU]],'All Skus'!$A:$AC,22,FALSE)),""))</f>
        <v>CN</v>
      </c>
      <c r="S179" s="223">
        <f>(IF((VLOOKUP(Table10[[#This Row],[SKU]],'All Skus'!$A:$AC,2,FALSE))="Martin",(VLOOKUP(Table10[[#This Row],[SKU]],'All Skus'!$A:$AC,23,FALSE)),""))</f>
        <v>0</v>
      </c>
      <c r="T179" s="212" t="str">
        <f>HYPERLINK((IF((VLOOKUP(Table10[[#This Row],[SKU]],'All Skus'!$A:$AC,2,FALSE))="Martin",(VLOOKUP(Table10[[#This Row],[SKU]],'All Skus'!$A:$AC,24,FALSE)),"")))</f>
        <v>https://www.martin.com/en/products/elp-par-ip</v>
      </c>
      <c r="U179" s="228">
        <v>177</v>
      </c>
    </row>
    <row r="180" spans="1:21" hidden="1">
      <c r="A180" s="115" t="s">
        <v>2008</v>
      </c>
      <c r="B180" s="224" t="str">
        <f>(IF((VLOOKUP(Table10[[#This Row],[SKU]],'All Skus'!$A:$AC,2,FALSE))="Martin",(VLOOKUP(Table10[[#This Row],[SKU]],'All Skus'!$A:$AC,3,FALSE)),""))</f>
        <v>Static Lights</v>
      </c>
      <c r="C180" s="223" t="str">
        <f>(IF((VLOOKUP(Table10[[#This Row],[SKU]],'All Skus'!$A:$AC,2,FALSE))="Martin",(VLOOKUP(Table10[[#This Row],[SKU]],'All Skus'!$A:$AC,4,FALSE)),""))</f>
        <v>MARTIN ELP PAR IP - WHITE</v>
      </c>
      <c r="D180" s="224" t="str">
        <f>(IF((VLOOKUP(Table10[[#This Row],[SKU]],'All Skus'!$A:$AC,2,FALSE))="Martin",(VLOOKUP(Table10[[#This Row],[SKU]],'All Skus'!$A:$AC,5,FALSE)),""))</f>
        <v>MAR-ELP</v>
      </c>
      <c r="E180" s="223">
        <f>(IF((VLOOKUP(Table10[[#This Row],[SKU]],'All Skus'!$A:$AC,2,FALSE))="Martin",(VLOOKUP(Table10[[#This Row],[SKU]],'All Skus'!$A:$AC,6,FALSE)),""))</f>
        <v>0</v>
      </c>
      <c r="F180" s="155" t="str">
        <f>(IF((VLOOKUP(Table10[[#This Row],[SKU]],'All Skus'!$A:$AC,2,FALSE))="Martin",(VLOOKUP(Table10[[#This Row],[SKU]],'All Skus'!$A:$AC,7,FALSE)),""))</f>
        <v xml:space="preserve">NEW SKU </v>
      </c>
      <c r="G180" s="223" t="str">
        <f>(IF((VLOOKUP(Table10[[#This Row],[SKU]],'All Skus'!$A:$AC,2,FALSE))="Martin",(VLOOKUP(Table10[[#This Row],[SKU]],'All Skus'!$A:$AC,8,FALSE)),""))</f>
        <v>MARTIN ELP PAR IP</v>
      </c>
      <c r="H180" s="223" t="str">
        <f>(IF((VLOOKUP(Table10[[#This Row],[SKU]],'All Skus'!$A:$AC,2,FALSE))="Martin",(VLOOKUP(Table10[[#This Row],[SKU]],'All Skus'!$A:$AC,9,FALSE)),""))</f>
        <v>MARTIN ELP PAR IP</v>
      </c>
      <c r="I180" s="225">
        <f>(IF((VLOOKUP(Table10[[#This Row],[SKU]],'All Skus'!$A:$AC,2,FALSE))="Martin",(VLOOKUP(Table10[[#This Row],[SKU]],'All Skus'!$A:$AC,10,FALSE)),""))</f>
        <v>2096.0500000000002</v>
      </c>
      <c r="J180" s="226">
        <f>(IF((VLOOKUP(Table10[[#This Row],[SKU]],'All Skus'!$A:$AC,2,FALSE))="Martin",(VLOOKUP(Table10[[#This Row],[SKU]],'All Skus'!$A:$AC,11,FALSE)),""))</f>
        <v>2096.0500000000002</v>
      </c>
      <c r="K180" s="224">
        <f>(IF((VLOOKUP(Table10[[#This Row],[SKU]],'All Skus'!$A:$AC,2,FALSE))="Martin",(VLOOKUP(Table10[[#This Row],[SKU]],'All Skus'!$A:$AC,15,FALSE)),""))</f>
        <v>0</v>
      </c>
      <c r="L180" s="224">
        <f>(IF((VLOOKUP(Table10[[#This Row],[SKU]],'All Skus'!$A:$AC,2,FALSE))="Martin",(VLOOKUP(Table10[[#This Row],[SKU]],'All Skus'!$A:$AC,16,FALSE)),""))</f>
        <v>688705009902</v>
      </c>
      <c r="M180" s="224">
        <f>(IF((VLOOKUP(Table10[[#This Row],[SKU]],'All Skus'!$A:$AC,2,FALSE))="Martin",(VLOOKUP(Table10[[#This Row],[SKU]],'All Skus'!$A:$AC,17,FALSE)),""))</f>
        <v>0</v>
      </c>
      <c r="N180" s="227">
        <f>(IF((VLOOKUP(Table10[[#This Row],[SKU]],'All Skus'!$A:$AC,2,FALSE))="Martin",(VLOOKUP(Table10[[#This Row],[SKU]],'All Skus'!$A:$AC,18,FALSE)),""))</f>
        <v>0</v>
      </c>
      <c r="O180" s="227">
        <f>(IF((VLOOKUP(Table10[[#This Row],[SKU]],'All Skus'!$A:$AC,2,FALSE))="Martin",(VLOOKUP(Table10[[#This Row],[SKU]],'All Skus'!$A:$AC,19,FALSE)),""))</f>
        <v>0</v>
      </c>
      <c r="P180" s="227">
        <f>(IF((VLOOKUP(Table10[[#This Row],[SKU]],'All Skus'!$A:$AC,2,FALSE))="Martin",(VLOOKUP(Table10[[#This Row],[SKU]],'All Skus'!$A:$AC,20,FALSE)),""))</f>
        <v>0</v>
      </c>
      <c r="Q180" s="227">
        <f>(IF((VLOOKUP(Table10[[#This Row],[SKU]],'All Skus'!$A:$AC,2,FALSE))="Martin",(VLOOKUP(Table10[[#This Row],[SKU]],'All Skus'!$A:$AC,21,FALSE)),""))</f>
        <v>0</v>
      </c>
      <c r="R180" s="224" t="str">
        <f>(IF((VLOOKUP(Table10[[#This Row],[SKU]],'All Skus'!$A:$AC,2,FALSE))="Martin",(VLOOKUP(Table10[[#This Row],[SKU]],'All Skus'!$A:$AC,22,FALSE)),""))</f>
        <v>CN</v>
      </c>
      <c r="S180" s="223">
        <f>(IF((VLOOKUP(Table10[[#This Row],[SKU]],'All Skus'!$A:$AC,2,FALSE))="Martin",(VLOOKUP(Table10[[#This Row],[SKU]],'All Skus'!$A:$AC,23,FALSE)),""))</f>
        <v>0</v>
      </c>
      <c r="T180" s="212" t="str">
        <f>HYPERLINK((IF((VLOOKUP(Table10[[#This Row],[SKU]],'All Skus'!$A:$AC,2,FALSE))="Martin",(VLOOKUP(Table10[[#This Row],[SKU]],'All Skus'!$A:$AC,24,FALSE)),"")))</f>
        <v>https://www.martin.com/en/products/elp-par-ip</v>
      </c>
      <c r="U180" s="228">
        <v>178</v>
      </c>
    </row>
    <row r="181" spans="1:21" hidden="1">
      <c r="A181" s="111" t="s">
        <v>2009</v>
      </c>
      <c r="B181" s="224">
        <f>(IF((VLOOKUP(Table10[[#This Row],[SKU]],'All Skus'!$A:$AC,2,FALSE))="Martin",(VLOOKUP(Table10[[#This Row],[SKU]],'All Skus'!$A:$AC,3,FALSE)),""))</f>
        <v>0</v>
      </c>
      <c r="C181" s="223">
        <f>(IF((VLOOKUP(Table10[[#This Row],[SKU]],'All Skus'!$A:$AC,2,FALSE))="Martin",(VLOOKUP(Table10[[#This Row],[SKU]],'All Skus'!$A:$AC,4,FALSE)),""))</f>
        <v>0</v>
      </c>
      <c r="D181" s="224">
        <f>(IF((VLOOKUP(Table10[[#This Row],[SKU]],'All Skus'!$A:$AC,2,FALSE))="Martin",(VLOOKUP(Table10[[#This Row],[SKU]],'All Skus'!$A:$AC,5,FALSE)),""))</f>
        <v>0</v>
      </c>
      <c r="E181" s="223">
        <f>(IF((VLOOKUP(Table10[[#This Row],[SKU]],'All Skus'!$A:$AC,2,FALSE))="Martin",(VLOOKUP(Table10[[#This Row],[SKU]],'All Skus'!$A:$AC,6,FALSE)),""))</f>
        <v>0</v>
      </c>
      <c r="F181" s="155">
        <f>(IF((VLOOKUP(Table10[[#This Row],[SKU]],'All Skus'!$A:$AC,2,FALSE))="Martin",(VLOOKUP(Table10[[#This Row],[SKU]],'All Skus'!$A:$AC,7,FALSE)),""))</f>
        <v>0</v>
      </c>
      <c r="G181" s="223">
        <f>(IF((VLOOKUP(Table10[[#This Row],[SKU]],'All Skus'!$A:$AC,2,FALSE))="Martin",(VLOOKUP(Table10[[#This Row],[SKU]],'All Skus'!$A:$AC,8,FALSE)),""))</f>
        <v>0</v>
      </c>
      <c r="H181" s="223">
        <f>(IF((VLOOKUP(Table10[[#This Row],[SKU]],'All Skus'!$A:$AC,2,FALSE))="Martin",(VLOOKUP(Table10[[#This Row],[SKU]],'All Skus'!$A:$AC,9,FALSE)),""))</f>
        <v>0</v>
      </c>
      <c r="I181" s="225">
        <f>(IF((VLOOKUP(Table10[[#This Row],[SKU]],'All Skus'!$A:$AC,2,FALSE))="Martin",(VLOOKUP(Table10[[#This Row],[SKU]],'All Skus'!$A:$AC,10,FALSE)),""))</f>
        <v>0</v>
      </c>
      <c r="J181" s="226">
        <f>(IF((VLOOKUP(Table10[[#This Row],[SKU]],'All Skus'!$A:$AC,2,FALSE))="Martin",(VLOOKUP(Table10[[#This Row],[SKU]],'All Skus'!$A:$AC,11,FALSE)),""))</f>
        <v>0</v>
      </c>
      <c r="K181" s="224">
        <f>(IF((VLOOKUP(Table10[[#This Row],[SKU]],'All Skus'!$A:$AC,2,FALSE))="Martin",(VLOOKUP(Table10[[#This Row],[SKU]],'All Skus'!$A:$AC,15,FALSE)),""))</f>
        <v>0</v>
      </c>
      <c r="L181" s="224">
        <f>(IF((VLOOKUP(Table10[[#This Row],[SKU]],'All Skus'!$A:$AC,2,FALSE))="Martin",(VLOOKUP(Table10[[#This Row],[SKU]],'All Skus'!$A:$AC,16,FALSE)),""))</f>
        <v>0</v>
      </c>
      <c r="M181" s="224">
        <f>(IF((VLOOKUP(Table10[[#This Row],[SKU]],'All Skus'!$A:$AC,2,FALSE))="Martin",(VLOOKUP(Table10[[#This Row],[SKU]],'All Skus'!$A:$AC,17,FALSE)),""))</f>
        <v>0</v>
      </c>
      <c r="N181" s="227">
        <f>(IF((VLOOKUP(Table10[[#This Row],[SKU]],'All Skus'!$A:$AC,2,FALSE))="Martin",(VLOOKUP(Table10[[#This Row],[SKU]],'All Skus'!$A:$AC,18,FALSE)),""))</f>
        <v>0</v>
      </c>
      <c r="O181" s="227">
        <f>(IF((VLOOKUP(Table10[[#This Row],[SKU]],'All Skus'!$A:$AC,2,FALSE))="Martin",(VLOOKUP(Table10[[#This Row],[SKU]],'All Skus'!$A:$AC,19,FALSE)),""))</f>
        <v>0</v>
      </c>
      <c r="P181" s="227">
        <f>(IF((VLOOKUP(Table10[[#This Row],[SKU]],'All Skus'!$A:$AC,2,FALSE))="Martin",(VLOOKUP(Table10[[#This Row],[SKU]],'All Skus'!$A:$AC,20,FALSE)),""))</f>
        <v>0</v>
      </c>
      <c r="Q181" s="227">
        <f>(IF((VLOOKUP(Table10[[#This Row],[SKU]],'All Skus'!$A:$AC,2,FALSE))="Martin",(VLOOKUP(Table10[[#This Row],[SKU]],'All Skus'!$A:$AC,21,FALSE)),""))</f>
        <v>0</v>
      </c>
      <c r="R181" s="224">
        <f>(IF((VLOOKUP(Table10[[#This Row],[SKU]],'All Skus'!$A:$AC,2,FALSE))="Martin",(VLOOKUP(Table10[[#This Row],[SKU]],'All Skus'!$A:$AC,22,FALSE)),""))</f>
        <v>0</v>
      </c>
      <c r="S181" s="223">
        <f>(IF((VLOOKUP(Table10[[#This Row],[SKU]],'All Skus'!$A:$AC,2,FALSE))="Martin",(VLOOKUP(Table10[[#This Row],[SKU]],'All Skus'!$A:$AC,23,FALSE)),""))</f>
        <v>0</v>
      </c>
      <c r="T181" s="212" t="str">
        <f>HYPERLINK((IF((VLOOKUP(Table10[[#This Row],[SKU]],'All Skus'!$A:$AC,2,FALSE))="Martin",(VLOOKUP(Table10[[#This Row],[SKU]],'All Skus'!$A:$AC,24,FALSE)),"")))</f>
        <v/>
      </c>
      <c r="U181" s="228">
        <v>179</v>
      </c>
    </row>
    <row r="182" spans="1:21" hidden="1">
      <c r="A182" s="115" t="s">
        <v>2010</v>
      </c>
      <c r="B182" s="224">
        <f>(IF((VLOOKUP(Table10[[#This Row],[SKU]],'All Skus'!$A:$AC,2,FALSE))="Martin",(VLOOKUP(Table10[[#This Row],[SKU]],'All Skus'!$A:$AC,3,FALSE)),""))</f>
        <v>0</v>
      </c>
      <c r="C182" s="223">
        <f>(IF((VLOOKUP(Table10[[#This Row],[SKU]],'All Skus'!$A:$AC,2,FALSE))="Martin",(VLOOKUP(Table10[[#This Row],[SKU]],'All Skus'!$A:$AC,4,FALSE)),""))</f>
        <v>0</v>
      </c>
      <c r="D182" s="224">
        <f>(IF((VLOOKUP(Table10[[#This Row],[SKU]],'All Skus'!$A:$AC,2,FALSE))="Martin",(VLOOKUP(Table10[[#This Row],[SKU]],'All Skus'!$A:$AC,5,FALSE)),""))</f>
        <v>0</v>
      </c>
      <c r="E182" s="223">
        <f>(IF((VLOOKUP(Table10[[#This Row],[SKU]],'All Skus'!$A:$AC,2,FALSE))="Martin",(VLOOKUP(Table10[[#This Row],[SKU]],'All Skus'!$A:$AC,6,FALSE)),""))</f>
        <v>0</v>
      </c>
      <c r="F182" s="155">
        <f>(IF((VLOOKUP(Table10[[#This Row],[SKU]],'All Skus'!$A:$AC,2,FALSE))="Martin",(VLOOKUP(Table10[[#This Row],[SKU]],'All Skus'!$A:$AC,7,FALSE)),""))</f>
        <v>0</v>
      </c>
      <c r="G182" s="223">
        <f>(IF((VLOOKUP(Table10[[#This Row],[SKU]],'All Skus'!$A:$AC,2,FALSE))="Martin",(VLOOKUP(Table10[[#This Row],[SKU]],'All Skus'!$A:$AC,8,FALSE)),""))</f>
        <v>0</v>
      </c>
      <c r="H182" s="223">
        <f>(IF((VLOOKUP(Table10[[#This Row],[SKU]],'All Skus'!$A:$AC,2,FALSE))="Martin",(VLOOKUP(Table10[[#This Row],[SKU]],'All Skus'!$A:$AC,9,FALSE)),""))</f>
        <v>0</v>
      </c>
      <c r="I182" s="225">
        <f>(IF((VLOOKUP(Table10[[#This Row],[SKU]],'All Skus'!$A:$AC,2,FALSE))="Martin",(VLOOKUP(Table10[[#This Row],[SKU]],'All Skus'!$A:$AC,10,FALSE)),""))</f>
        <v>0</v>
      </c>
      <c r="J182" s="226">
        <f>(IF((VLOOKUP(Table10[[#This Row],[SKU]],'All Skus'!$A:$AC,2,FALSE))="Martin",(VLOOKUP(Table10[[#This Row],[SKU]],'All Skus'!$A:$AC,11,FALSE)),""))</f>
        <v>0</v>
      </c>
      <c r="K182" s="224">
        <f>(IF((VLOOKUP(Table10[[#This Row],[SKU]],'All Skus'!$A:$AC,2,FALSE))="Martin",(VLOOKUP(Table10[[#This Row],[SKU]],'All Skus'!$A:$AC,15,FALSE)),""))</f>
        <v>0</v>
      </c>
      <c r="L182" s="224">
        <f>(IF((VLOOKUP(Table10[[#This Row],[SKU]],'All Skus'!$A:$AC,2,FALSE))="Martin",(VLOOKUP(Table10[[#This Row],[SKU]],'All Skus'!$A:$AC,16,FALSE)),""))</f>
        <v>0</v>
      </c>
      <c r="M182" s="224">
        <f>(IF((VLOOKUP(Table10[[#This Row],[SKU]],'All Skus'!$A:$AC,2,FALSE))="Martin",(VLOOKUP(Table10[[#This Row],[SKU]],'All Skus'!$A:$AC,17,FALSE)),""))</f>
        <v>0</v>
      </c>
      <c r="N182" s="227">
        <f>(IF((VLOOKUP(Table10[[#This Row],[SKU]],'All Skus'!$A:$AC,2,FALSE))="Martin",(VLOOKUP(Table10[[#This Row],[SKU]],'All Skus'!$A:$AC,18,FALSE)),""))</f>
        <v>0</v>
      </c>
      <c r="O182" s="227">
        <f>(IF((VLOOKUP(Table10[[#This Row],[SKU]],'All Skus'!$A:$AC,2,FALSE))="Martin",(VLOOKUP(Table10[[#This Row],[SKU]],'All Skus'!$A:$AC,19,FALSE)),""))</f>
        <v>0</v>
      </c>
      <c r="P182" s="227">
        <f>(IF((VLOOKUP(Table10[[#This Row],[SKU]],'All Skus'!$A:$AC,2,FALSE))="Martin",(VLOOKUP(Table10[[#This Row],[SKU]],'All Skus'!$A:$AC,20,FALSE)),""))</f>
        <v>0</v>
      </c>
      <c r="Q182" s="227">
        <f>(IF((VLOOKUP(Table10[[#This Row],[SKU]],'All Skus'!$A:$AC,2,FALSE))="Martin",(VLOOKUP(Table10[[#This Row],[SKU]],'All Skus'!$A:$AC,21,FALSE)),""))</f>
        <v>0</v>
      </c>
      <c r="R182" s="224">
        <f>(IF((VLOOKUP(Table10[[#This Row],[SKU]],'All Skus'!$A:$AC,2,FALSE))="Martin",(VLOOKUP(Table10[[#This Row],[SKU]],'All Skus'!$A:$AC,22,FALSE)),""))</f>
        <v>0</v>
      </c>
      <c r="S182" s="223">
        <f>(IF((VLOOKUP(Table10[[#This Row],[SKU]],'All Skus'!$A:$AC,2,FALSE))="Martin",(VLOOKUP(Table10[[#This Row],[SKU]],'All Skus'!$A:$AC,23,FALSE)),""))</f>
        <v>0</v>
      </c>
      <c r="T182" s="212" t="str">
        <f>HYPERLINK((IF((VLOOKUP(Table10[[#This Row],[SKU]],'All Skus'!$A:$AC,2,FALSE))="Martin",(VLOOKUP(Table10[[#This Row],[SKU]],'All Skus'!$A:$AC,24,FALSE)),"")))</f>
        <v/>
      </c>
      <c r="U182" s="228">
        <v>180</v>
      </c>
    </row>
    <row r="183" spans="1:21" hidden="1">
      <c r="A183" s="90">
        <v>9045107780</v>
      </c>
      <c r="B183" s="224" t="str">
        <f>(IF((VLOOKUP(Table10[[#This Row],[SKU]],'All Skus'!$A:$AC,2,FALSE))="Martin",(VLOOKUP(Table10[[#This Row],[SKU]],'All Skus'!$A:$AC,3,FALSE)),""))</f>
        <v>Static Lights</v>
      </c>
      <c r="C183" s="223" t="str">
        <f>(IF((VLOOKUP(Table10[[#This Row],[SKU]],'All Skus'!$A:$AC,2,FALSE))="Martin",(VLOOKUP(Table10[[#This Row],[SKU]],'All Skus'!$A:$AC,4,FALSE)),""))</f>
        <v>MARTIN ELP CL Body</v>
      </c>
      <c r="D183" s="224" t="str">
        <f>(IF((VLOOKUP(Table10[[#This Row],[SKU]],'All Skus'!$A:$AC,2,FALSE))="Martin",(VLOOKUP(Table10[[#This Row],[SKU]],'All Skus'!$A:$AC,5,FALSE)),""))</f>
        <v>MAR-ELP</v>
      </c>
      <c r="E183" s="223">
        <f>(IF((VLOOKUP(Table10[[#This Row],[SKU]],'All Skus'!$A:$AC,2,FALSE))="Martin",(VLOOKUP(Table10[[#This Row],[SKU]],'All Skus'!$A:$AC,6,FALSE)),""))</f>
        <v>0</v>
      </c>
      <c r="F183" s="155">
        <f>(IF((VLOOKUP(Table10[[#This Row],[SKU]],'All Skus'!$A:$AC,2,FALSE))="Martin",(VLOOKUP(Table10[[#This Row],[SKU]],'All Skus'!$A:$AC,7,FALSE)),""))</f>
        <v>0</v>
      </c>
      <c r="G183" s="223" t="str">
        <f>(IF((VLOOKUP(Table10[[#This Row],[SKU]],'All Skus'!$A:$AC,2,FALSE))="Martin",(VLOOKUP(Table10[[#This Row],[SKU]],'All Skus'!$A:$AC,8,FALSE)),""))</f>
        <v>MARTIN ELP CL Body</v>
      </c>
      <c r="H183" s="223" t="str">
        <f>(IF((VLOOKUP(Table10[[#This Row],[SKU]],'All Skus'!$A:$AC,2,FALSE))="Martin",(VLOOKUP(Table10[[#This Row],[SKU]],'All Skus'!$A:$AC,9,FALSE)),""))</f>
        <v>MARTIN ELP CL Body</v>
      </c>
      <c r="I183" s="225">
        <f>(IF((VLOOKUP(Table10[[#This Row],[SKU]],'All Skus'!$A:$AC,2,FALSE))="Martin",(VLOOKUP(Table10[[#This Row],[SKU]],'All Skus'!$A:$AC,10,FALSE)),""))</f>
        <v>2574.48</v>
      </c>
      <c r="J183" s="226">
        <f>(IF((VLOOKUP(Table10[[#This Row],[SKU]],'All Skus'!$A:$AC,2,FALSE))="Martin",(VLOOKUP(Table10[[#This Row],[SKU]],'All Skus'!$A:$AC,11,FALSE)),""))</f>
        <v>2574.48</v>
      </c>
      <c r="K183" s="224">
        <f>(IF((VLOOKUP(Table10[[#This Row],[SKU]],'All Skus'!$A:$AC,2,FALSE))="Martin",(VLOOKUP(Table10[[#This Row],[SKU]],'All Skus'!$A:$AC,15,FALSE)),""))</f>
        <v>0</v>
      </c>
      <c r="L183" s="224">
        <f>(IF((VLOOKUP(Table10[[#This Row],[SKU]],'All Skus'!$A:$AC,2,FALSE))="Martin",(VLOOKUP(Table10[[#This Row],[SKU]],'All Skus'!$A:$AC,16,FALSE)),""))</f>
        <v>688705005171</v>
      </c>
      <c r="M183" s="224">
        <f>(IF((VLOOKUP(Table10[[#This Row],[SKU]],'All Skus'!$A:$AC,2,FALSE))="Martin",(VLOOKUP(Table10[[#This Row],[SKU]],'All Skus'!$A:$AC,17,FALSE)),""))</f>
        <v>0</v>
      </c>
      <c r="N183" s="227">
        <f>(IF((VLOOKUP(Table10[[#This Row],[SKU]],'All Skus'!$A:$AC,2,FALSE))="Martin",(VLOOKUP(Table10[[#This Row],[SKU]],'All Skus'!$A:$AC,18,FALSE)),""))</f>
        <v>24.8</v>
      </c>
      <c r="O183" s="227">
        <f>(IF((VLOOKUP(Table10[[#This Row],[SKU]],'All Skus'!$A:$AC,2,FALSE))="Martin",(VLOOKUP(Table10[[#This Row],[SKU]],'All Skus'!$A:$AC,19,FALSE)),""))</f>
        <v>13</v>
      </c>
      <c r="P183" s="227">
        <f>(IF((VLOOKUP(Table10[[#This Row],[SKU]],'All Skus'!$A:$AC,2,FALSE))="Martin",(VLOOKUP(Table10[[#This Row],[SKU]],'All Skus'!$A:$AC,20,FALSE)),""))</f>
        <v>0</v>
      </c>
      <c r="Q183" s="227">
        <f>(IF((VLOOKUP(Table10[[#This Row],[SKU]],'All Skus'!$A:$AC,2,FALSE))="Martin",(VLOOKUP(Table10[[#This Row],[SKU]],'All Skus'!$A:$AC,21,FALSE)),""))</f>
        <v>0</v>
      </c>
      <c r="R183" s="224" t="str">
        <f>(IF((VLOOKUP(Table10[[#This Row],[SKU]],'All Skus'!$A:$AC,2,FALSE))="Martin",(VLOOKUP(Table10[[#This Row],[SKU]],'All Skus'!$A:$AC,22,FALSE)),""))</f>
        <v>CN</v>
      </c>
      <c r="S183" s="223" t="str">
        <f>(IF((VLOOKUP(Table10[[#This Row],[SKU]],'All Skus'!$A:$AC,2,FALSE))="Martin",(VLOOKUP(Table10[[#This Row],[SKU]],'All Skus'!$A:$AC,23,FALSE)),""))</f>
        <v>Non Compliant</v>
      </c>
      <c r="T183" s="212" t="str">
        <f>HYPERLINK((IF((VLOOKUP(Table10[[#This Row],[SKU]],'All Skus'!$A:$AC,2,FALSE))="Martin",(VLOOKUP(Table10[[#This Row],[SKU]],'All Skus'!$A:$AC,24,FALSE)),"")))</f>
        <v>https://www.martin.com/en/product_families/elp</v>
      </c>
      <c r="U183" s="228">
        <v>181</v>
      </c>
    </row>
    <row r="184" spans="1:21" hidden="1">
      <c r="A184" s="229">
        <v>9045115164</v>
      </c>
      <c r="B184" s="224" t="str">
        <f>(IF((VLOOKUP(Table10[[#This Row],[SKU]],'All Skus'!$A:$AC,2,FALSE))="Martin",(VLOOKUP(Table10[[#This Row],[SKU]],'All Skus'!$A:$AC,3,FALSE)),""))</f>
        <v>Static Lights</v>
      </c>
      <c r="C184" s="223" t="str">
        <f>(IF((VLOOKUP(Table10[[#This Row],[SKU]],'All Skus'!$A:$AC,2,FALSE))="Martin",(VLOOKUP(Table10[[#This Row],[SKU]],'All Skus'!$A:$AC,4,FALSE)),""))</f>
        <v>MARTIN ELP CL Body WHITE</v>
      </c>
      <c r="D184" s="224" t="str">
        <f>(IF((VLOOKUP(Table10[[#This Row],[SKU]],'All Skus'!$A:$AC,2,FALSE))="Martin",(VLOOKUP(Table10[[#This Row],[SKU]],'All Skus'!$A:$AC,5,FALSE)),""))</f>
        <v>MAR-ELP</v>
      </c>
      <c r="E184" s="223">
        <f>(IF((VLOOKUP(Table10[[#This Row],[SKU]],'All Skus'!$A:$AC,2,FALSE))="Martin",(VLOOKUP(Table10[[#This Row],[SKU]],'All Skus'!$A:$AC,6,FALSE)),""))</f>
        <v>0</v>
      </c>
      <c r="F184" s="155">
        <f>(IF((VLOOKUP(Table10[[#This Row],[SKU]],'All Skus'!$A:$AC,2,FALSE))="Martin",(VLOOKUP(Table10[[#This Row],[SKU]],'All Skus'!$A:$AC,7,FALSE)),""))</f>
        <v>0</v>
      </c>
      <c r="G184" s="223" t="str">
        <f>(IF((VLOOKUP(Table10[[#This Row],[SKU]],'All Skus'!$A:$AC,2,FALSE))="Martin",(VLOOKUP(Table10[[#This Row],[SKU]],'All Skus'!$A:$AC,8,FALSE)),""))</f>
        <v>MARTIN ELP CL Body WHITE</v>
      </c>
      <c r="H184" s="223" t="str">
        <f>(IF((VLOOKUP(Table10[[#This Row],[SKU]],'All Skus'!$A:$AC,2,FALSE))="Martin",(VLOOKUP(Table10[[#This Row],[SKU]],'All Skus'!$A:$AC,9,FALSE)),""))</f>
        <v>MARTIN ELP CL Body WHITE</v>
      </c>
      <c r="I184" s="225">
        <f>(IF((VLOOKUP(Table10[[#This Row],[SKU]],'All Skus'!$A:$AC,2,FALSE))="Martin",(VLOOKUP(Table10[[#This Row],[SKU]],'All Skus'!$A:$AC,10,FALSE)),""))</f>
        <v>2759.7</v>
      </c>
      <c r="J184" s="226">
        <f>(IF((VLOOKUP(Table10[[#This Row],[SKU]],'All Skus'!$A:$AC,2,FALSE))="Martin",(VLOOKUP(Table10[[#This Row],[SKU]],'All Skus'!$A:$AC,11,FALSE)),""))</f>
        <v>2759.7</v>
      </c>
      <c r="K184" s="224">
        <f>(IF((VLOOKUP(Table10[[#This Row],[SKU]],'All Skus'!$A:$AC,2,FALSE))="Martin",(VLOOKUP(Table10[[#This Row],[SKU]],'All Skus'!$A:$AC,15,FALSE)),""))</f>
        <v>0</v>
      </c>
      <c r="L184" s="224">
        <f>(IF((VLOOKUP(Table10[[#This Row],[SKU]],'All Skus'!$A:$AC,2,FALSE))="Martin",(VLOOKUP(Table10[[#This Row],[SKU]],'All Skus'!$A:$AC,16,FALSE)),""))</f>
        <v>688705005591</v>
      </c>
      <c r="M184" s="224">
        <f>(IF((VLOOKUP(Table10[[#This Row],[SKU]],'All Skus'!$A:$AC,2,FALSE))="Martin",(VLOOKUP(Table10[[#This Row],[SKU]],'All Skus'!$A:$AC,17,FALSE)),""))</f>
        <v>0</v>
      </c>
      <c r="N184" s="227">
        <f>(IF((VLOOKUP(Table10[[#This Row],[SKU]],'All Skus'!$A:$AC,2,FALSE))="Martin",(VLOOKUP(Table10[[#This Row],[SKU]],'All Skus'!$A:$AC,18,FALSE)),""))</f>
        <v>0</v>
      </c>
      <c r="O184" s="227">
        <f>(IF((VLOOKUP(Table10[[#This Row],[SKU]],'All Skus'!$A:$AC,2,FALSE))="Martin",(VLOOKUP(Table10[[#This Row],[SKU]],'All Skus'!$A:$AC,19,FALSE)),""))</f>
        <v>0</v>
      </c>
      <c r="P184" s="227">
        <f>(IF((VLOOKUP(Table10[[#This Row],[SKU]],'All Skus'!$A:$AC,2,FALSE))="Martin",(VLOOKUP(Table10[[#This Row],[SKU]],'All Skus'!$A:$AC,20,FALSE)),""))</f>
        <v>0</v>
      </c>
      <c r="Q184" s="227">
        <f>(IF((VLOOKUP(Table10[[#This Row],[SKU]],'All Skus'!$A:$AC,2,FALSE))="Martin",(VLOOKUP(Table10[[#This Row],[SKU]],'All Skus'!$A:$AC,21,FALSE)),""))</f>
        <v>0</v>
      </c>
      <c r="R184" s="224" t="str">
        <f>(IF((VLOOKUP(Table10[[#This Row],[SKU]],'All Skus'!$A:$AC,2,FALSE))="Martin",(VLOOKUP(Table10[[#This Row],[SKU]],'All Skus'!$A:$AC,22,FALSE)),""))</f>
        <v>CN</v>
      </c>
      <c r="S184" s="223">
        <f>(IF((VLOOKUP(Table10[[#This Row],[SKU]],'All Skus'!$A:$AC,2,FALSE))="Martin",(VLOOKUP(Table10[[#This Row],[SKU]],'All Skus'!$A:$AC,23,FALSE)),""))</f>
        <v>0</v>
      </c>
      <c r="T184" s="212" t="str">
        <f>HYPERLINK((IF((VLOOKUP(Table10[[#This Row],[SKU]],'All Skus'!$A:$AC,2,FALSE))="Martin",(VLOOKUP(Table10[[#This Row],[SKU]],'All Skus'!$A:$AC,24,FALSE)),"")))</f>
        <v>https://www.martin.com/en/product_families/elp</v>
      </c>
      <c r="U184" s="228">
        <v>182</v>
      </c>
    </row>
    <row r="185" spans="1:21" hidden="1">
      <c r="A185" s="115" t="s">
        <v>2011</v>
      </c>
      <c r="B185" s="224">
        <f>(IF((VLOOKUP(Table10[[#This Row],[SKU]],'All Skus'!$A:$AC,2,FALSE))="Martin",(VLOOKUP(Table10[[#This Row],[SKU]],'All Skus'!$A:$AC,3,FALSE)),""))</f>
        <v>0</v>
      </c>
      <c r="C185" s="223">
        <f>(IF((VLOOKUP(Table10[[#This Row],[SKU]],'All Skus'!$A:$AC,2,FALSE))="Martin",(VLOOKUP(Table10[[#This Row],[SKU]],'All Skus'!$A:$AC,4,FALSE)),""))</f>
        <v>0</v>
      </c>
      <c r="D185" s="224">
        <f>(IF((VLOOKUP(Table10[[#This Row],[SKU]],'All Skus'!$A:$AC,2,FALSE))="Martin",(VLOOKUP(Table10[[#This Row],[SKU]],'All Skus'!$A:$AC,5,FALSE)),""))</f>
        <v>0</v>
      </c>
      <c r="E185" s="223">
        <f>(IF((VLOOKUP(Table10[[#This Row],[SKU]],'All Skus'!$A:$AC,2,FALSE))="Martin",(VLOOKUP(Table10[[#This Row],[SKU]],'All Skus'!$A:$AC,6,FALSE)),""))</f>
        <v>0</v>
      </c>
      <c r="F185" s="155">
        <f>(IF((VLOOKUP(Table10[[#This Row],[SKU]],'All Skus'!$A:$AC,2,FALSE))="Martin",(VLOOKUP(Table10[[#This Row],[SKU]],'All Skus'!$A:$AC,7,FALSE)),""))</f>
        <v>0</v>
      </c>
      <c r="G185" s="223">
        <f>(IF((VLOOKUP(Table10[[#This Row],[SKU]],'All Skus'!$A:$AC,2,FALSE))="Martin",(VLOOKUP(Table10[[#This Row],[SKU]],'All Skus'!$A:$AC,8,FALSE)),""))</f>
        <v>0</v>
      </c>
      <c r="H185" s="223">
        <f>(IF((VLOOKUP(Table10[[#This Row],[SKU]],'All Skus'!$A:$AC,2,FALSE))="Martin",(VLOOKUP(Table10[[#This Row],[SKU]],'All Skus'!$A:$AC,9,FALSE)),""))</f>
        <v>0</v>
      </c>
      <c r="I185" s="225">
        <f>(IF((VLOOKUP(Table10[[#This Row],[SKU]],'All Skus'!$A:$AC,2,FALSE))="Martin",(VLOOKUP(Table10[[#This Row],[SKU]],'All Skus'!$A:$AC,10,FALSE)),""))</f>
        <v>0</v>
      </c>
      <c r="J185" s="226">
        <f>(IF((VLOOKUP(Table10[[#This Row],[SKU]],'All Skus'!$A:$AC,2,FALSE))="Martin",(VLOOKUP(Table10[[#This Row],[SKU]],'All Skus'!$A:$AC,11,FALSE)),""))</f>
        <v>0</v>
      </c>
      <c r="K185" s="224">
        <f>(IF((VLOOKUP(Table10[[#This Row],[SKU]],'All Skus'!$A:$AC,2,FALSE))="Martin",(VLOOKUP(Table10[[#This Row],[SKU]],'All Skus'!$A:$AC,15,FALSE)),""))</f>
        <v>0</v>
      </c>
      <c r="L185" s="224">
        <f>(IF((VLOOKUP(Table10[[#This Row],[SKU]],'All Skus'!$A:$AC,2,FALSE))="Martin",(VLOOKUP(Table10[[#This Row],[SKU]],'All Skus'!$A:$AC,16,FALSE)),""))</f>
        <v>0</v>
      </c>
      <c r="M185" s="224">
        <f>(IF((VLOOKUP(Table10[[#This Row],[SKU]],'All Skus'!$A:$AC,2,FALSE))="Martin",(VLOOKUP(Table10[[#This Row],[SKU]],'All Skus'!$A:$AC,17,FALSE)),""))</f>
        <v>0</v>
      </c>
      <c r="N185" s="227">
        <f>(IF((VLOOKUP(Table10[[#This Row],[SKU]],'All Skus'!$A:$AC,2,FALSE))="Martin",(VLOOKUP(Table10[[#This Row],[SKU]],'All Skus'!$A:$AC,18,FALSE)),""))</f>
        <v>0</v>
      </c>
      <c r="O185" s="227">
        <f>(IF((VLOOKUP(Table10[[#This Row],[SKU]],'All Skus'!$A:$AC,2,FALSE))="Martin",(VLOOKUP(Table10[[#This Row],[SKU]],'All Skus'!$A:$AC,19,FALSE)),""))</f>
        <v>0</v>
      </c>
      <c r="P185" s="227">
        <f>(IF((VLOOKUP(Table10[[#This Row],[SKU]],'All Skus'!$A:$AC,2,FALSE))="Martin",(VLOOKUP(Table10[[#This Row],[SKU]],'All Skus'!$A:$AC,20,FALSE)),""))</f>
        <v>0</v>
      </c>
      <c r="Q185" s="227">
        <f>(IF((VLOOKUP(Table10[[#This Row],[SKU]],'All Skus'!$A:$AC,2,FALSE))="Martin",(VLOOKUP(Table10[[#This Row],[SKU]],'All Skus'!$A:$AC,21,FALSE)),""))</f>
        <v>0</v>
      </c>
      <c r="R185" s="224">
        <f>(IF((VLOOKUP(Table10[[#This Row],[SKU]],'All Skus'!$A:$AC,2,FALSE))="Martin",(VLOOKUP(Table10[[#This Row],[SKU]],'All Skus'!$A:$AC,22,FALSE)),""))</f>
        <v>0</v>
      </c>
      <c r="S185" s="223">
        <f>(IF((VLOOKUP(Table10[[#This Row],[SKU]],'All Skus'!$A:$AC,2,FALSE))="Martin",(VLOOKUP(Table10[[#This Row],[SKU]],'All Skus'!$A:$AC,23,FALSE)),""))</f>
        <v>0</v>
      </c>
      <c r="T185" s="212" t="str">
        <f>HYPERLINK((IF((VLOOKUP(Table10[[#This Row],[SKU]],'All Skus'!$A:$AC,2,FALSE))="Martin",(VLOOKUP(Table10[[#This Row],[SKU]],'All Skus'!$A:$AC,24,FALSE)),"")))</f>
        <v/>
      </c>
      <c r="U185" s="228">
        <v>183</v>
      </c>
    </row>
    <row r="186" spans="1:21" hidden="1">
      <c r="A186" s="229">
        <v>9045122814</v>
      </c>
      <c r="B186" s="224" t="str">
        <f>(IF((VLOOKUP(Table10[[#This Row],[SKU]],'All Skus'!$A:$AC,2,FALSE))="Martin",(VLOOKUP(Table10[[#This Row],[SKU]],'All Skus'!$A:$AC,3,FALSE)),""))</f>
        <v>Static Lights</v>
      </c>
      <c r="C186" s="223" t="str">
        <f>(IF((VLOOKUP(Table10[[#This Row],[SKU]],'All Skus'!$A:$AC,2,FALSE))="Martin",(VLOOKUP(Table10[[#This Row],[SKU]],'All Skus'!$A:$AC,4,FALSE)),""))</f>
        <v>MARTIN ELP CL IP Body</v>
      </c>
      <c r="D186" s="224" t="str">
        <f>(IF((VLOOKUP(Table10[[#This Row],[SKU]],'All Skus'!$A:$AC,2,FALSE))="Martin",(VLOOKUP(Table10[[#This Row],[SKU]],'All Skus'!$A:$AC,5,FALSE)),""))</f>
        <v>MAR-ELP</v>
      </c>
      <c r="E186" s="223">
        <f>(IF((VLOOKUP(Table10[[#This Row],[SKU]],'All Skus'!$A:$AC,2,FALSE))="Martin",(VLOOKUP(Table10[[#This Row],[SKU]],'All Skus'!$A:$AC,6,FALSE)),""))</f>
        <v>0</v>
      </c>
      <c r="F186" s="155">
        <f>(IF((VLOOKUP(Table10[[#This Row],[SKU]],'All Skus'!$A:$AC,2,FALSE))="Martin",(VLOOKUP(Table10[[#This Row],[SKU]],'All Skus'!$A:$AC,7,FALSE)),""))</f>
        <v>0</v>
      </c>
      <c r="G186" s="223" t="str">
        <f>(IF((VLOOKUP(Table10[[#This Row],[SKU]],'All Skus'!$A:$AC,2,FALSE))="Martin",(VLOOKUP(Table10[[#This Row],[SKU]],'All Skus'!$A:$AC,8,FALSE)),""))</f>
        <v>MARTIN ELP CL IP Body</v>
      </c>
      <c r="H186" s="223" t="str">
        <f>(IF((VLOOKUP(Table10[[#This Row],[SKU]],'All Skus'!$A:$AC,2,FALSE))="Martin",(VLOOKUP(Table10[[#This Row],[SKU]],'All Skus'!$A:$AC,9,FALSE)),""))</f>
        <v>MARTIN ELP CL IP Body</v>
      </c>
      <c r="I186" s="225">
        <f>(IF((VLOOKUP(Table10[[#This Row],[SKU]],'All Skus'!$A:$AC,2,FALSE))="Martin",(VLOOKUP(Table10[[#This Row],[SKU]],'All Skus'!$A:$AC,10,FALSE)),""))</f>
        <v>3025.17</v>
      </c>
      <c r="J186" s="226">
        <f>(IF((VLOOKUP(Table10[[#This Row],[SKU]],'All Skus'!$A:$AC,2,FALSE))="Martin",(VLOOKUP(Table10[[#This Row],[SKU]],'All Skus'!$A:$AC,11,FALSE)),""))</f>
        <v>3025.17</v>
      </c>
      <c r="K186" s="224">
        <f>(IF((VLOOKUP(Table10[[#This Row],[SKU]],'All Skus'!$A:$AC,2,FALSE))="Martin",(VLOOKUP(Table10[[#This Row],[SKU]],'All Skus'!$A:$AC,15,FALSE)),""))</f>
        <v>0</v>
      </c>
      <c r="L186" s="224">
        <f>(IF((VLOOKUP(Table10[[#This Row],[SKU]],'All Skus'!$A:$AC,2,FALSE))="Martin",(VLOOKUP(Table10[[#This Row],[SKU]],'All Skus'!$A:$AC,16,FALSE)),""))</f>
        <v>688705006345</v>
      </c>
      <c r="M186" s="224">
        <f>(IF((VLOOKUP(Table10[[#This Row],[SKU]],'All Skus'!$A:$AC,2,FALSE))="Martin",(VLOOKUP(Table10[[#This Row],[SKU]],'All Skus'!$A:$AC,17,FALSE)),""))</f>
        <v>0</v>
      </c>
      <c r="N186" s="227">
        <f>(IF((VLOOKUP(Table10[[#This Row],[SKU]],'All Skus'!$A:$AC,2,FALSE))="Martin",(VLOOKUP(Table10[[#This Row],[SKU]],'All Skus'!$A:$AC,18,FALSE)),""))</f>
        <v>0</v>
      </c>
      <c r="O186" s="227">
        <f>(IF((VLOOKUP(Table10[[#This Row],[SKU]],'All Skus'!$A:$AC,2,FALSE))="Martin",(VLOOKUP(Table10[[#This Row],[SKU]],'All Skus'!$A:$AC,19,FALSE)),""))</f>
        <v>0</v>
      </c>
      <c r="P186" s="227">
        <f>(IF((VLOOKUP(Table10[[#This Row],[SKU]],'All Skus'!$A:$AC,2,FALSE))="Martin",(VLOOKUP(Table10[[#This Row],[SKU]],'All Skus'!$A:$AC,20,FALSE)),""))</f>
        <v>0</v>
      </c>
      <c r="Q186" s="227">
        <f>(IF((VLOOKUP(Table10[[#This Row],[SKU]],'All Skus'!$A:$AC,2,FALSE))="Martin",(VLOOKUP(Table10[[#This Row],[SKU]],'All Skus'!$A:$AC,21,FALSE)),""))</f>
        <v>0</v>
      </c>
      <c r="R186" s="224" t="str">
        <f>(IF((VLOOKUP(Table10[[#This Row],[SKU]],'All Skus'!$A:$AC,2,FALSE))="Martin",(VLOOKUP(Table10[[#This Row],[SKU]],'All Skus'!$A:$AC,22,FALSE)),""))</f>
        <v>CN</v>
      </c>
      <c r="S186" s="223">
        <f>(IF((VLOOKUP(Table10[[#This Row],[SKU]],'All Skus'!$A:$AC,2,FALSE))="Martin",(VLOOKUP(Table10[[#This Row],[SKU]],'All Skus'!$A:$AC,23,FALSE)),""))</f>
        <v>0</v>
      </c>
      <c r="T186" s="212" t="str">
        <f>HYPERLINK((IF((VLOOKUP(Table10[[#This Row],[SKU]],'All Skus'!$A:$AC,2,FALSE))="Martin",(VLOOKUP(Table10[[#This Row],[SKU]],'All Skus'!$A:$AC,24,FALSE)),"")))</f>
        <v/>
      </c>
      <c r="U186" s="228">
        <v>184</v>
      </c>
    </row>
    <row r="187" spans="1:21" hidden="1">
      <c r="A187" s="229">
        <v>9045122816</v>
      </c>
      <c r="B187" s="224" t="str">
        <f>(IF((VLOOKUP(Table10[[#This Row],[SKU]],'All Skus'!$A:$AC,2,FALSE))="Martin",(VLOOKUP(Table10[[#This Row],[SKU]],'All Skus'!$A:$AC,3,FALSE)),""))</f>
        <v>Static Lights</v>
      </c>
      <c r="C187" s="223" t="str">
        <f>(IF((VLOOKUP(Table10[[#This Row],[SKU]],'All Skus'!$A:$AC,2,FALSE))="Martin",(VLOOKUP(Table10[[#This Row],[SKU]],'All Skus'!$A:$AC,4,FALSE)),""))</f>
        <v>MARTIN ELP CL IP Body WHITE</v>
      </c>
      <c r="D187" s="224" t="str">
        <f>(IF((VLOOKUP(Table10[[#This Row],[SKU]],'All Skus'!$A:$AC,2,FALSE))="Martin",(VLOOKUP(Table10[[#This Row],[SKU]],'All Skus'!$A:$AC,5,FALSE)),""))</f>
        <v>MAR-ELP</v>
      </c>
      <c r="E187" s="223">
        <f>(IF((VLOOKUP(Table10[[#This Row],[SKU]],'All Skus'!$A:$AC,2,FALSE))="Martin",(VLOOKUP(Table10[[#This Row],[SKU]],'All Skus'!$A:$AC,6,FALSE)),""))</f>
        <v>0</v>
      </c>
      <c r="F187" s="155">
        <f>(IF((VLOOKUP(Table10[[#This Row],[SKU]],'All Skus'!$A:$AC,2,FALSE))="Martin",(VLOOKUP(Table10[[#This Row],[SKU]],'All Skus'!$A:$AC,7,FALSE)),""))</f>
        <v>0</v>
      </c>
      <c r="G187" s="223" t="str">
        <f>(IF((VLOOKUP(Table10[[#This Row],[SKU]],'All Skus'!$A:$AC,2,FALSE))="Martin",(VLOOKUP(Table10[[#This Row],[SKU]],'All Skus'!$A:$AC,8,FALSE)),""))</f>
        <v>MARTIN ELP CL IP Body WHITE</v>
      </c>
      <c r="H187" s="223" t="str">
        <f>(IF((VLOOKUP(Table10[[#This Row],[SKU]],'All Skus'!$A:$AC,2,FALSE))="Martin",(VLOOKUP(Table10[[#This Row],[SKU]],'All Skus'!$A:$AC,9,FALSE)),""))</f>
        <v>MARTIN ELP CL IP Body WHITE</v>
      </c>
      <c r="I187" s="225">
        <f>(IF((VLOOKUP(Table10[[#This Row],[SKU]],'All Skus'!$A:$AC,2,FALSE))="Martin",(VLOOKUP(Table10[[#This Row],[SKU]],'All Skus'!$A:$AC,10,FALSE)),""))</f>
        <v>3210.39</v>
      </c>
      <c r="J187" s="226">
        <f>(IF((VLOOKUP(Table10[[#This Row],[SKU]],'All Skus'!$A:$AC,2,FALSE))="Martin",(VLOOKUP(Table10[[#This Row],[SKU]],'All Skus'!$A:$AC,11,FALSE)),""))</f>
        <v>3210.39</v>
      </c>
      <c r="K187" s="224">
        <f>(IF((VLOOKUP(Table10[[#This Row],[SKU]],'All Skus'!$A:$AC,2,FALSE))="Martin",(VLOOKUP(Table10[[#This Row],[SKU]],'All Skus'!$A:$AC,15,FALSE)),""))</f>
        <v>0</v>
      </c>
      <c r="L187" s="224">
        <f>(IF((VLOOKUP(Table10[[#This Row],[SKU]],'All Skus'!$A:$AC,2,FALSE))="Martin",(VLOOKUP(Table10[[#This Row],[SKU]],'All Skus'!$A:$AC,16,FALSE)),""))</f>
        <v>688705006369</v>
      </c>
      <c r="M187" s="224">
        <f>(IF((VLOOKUP(Table10[[#This Row],[SKU]],'All Skus'!$A:$AC,2,FALSE))="Martin",(VLOOKUP(Table10[[#This Row],[SKU]],'All Skus'!$A:$AC,17,FALSE)),""))</f>
        <v>0</v>
      </c>
      <c r="N187" s="227">
        <f>(IF((VLOOKUP(Table10[[#This Row],[SKU]],'All Skus'!$A:$AC,2,FALSE))="Martin",(VLOOKUP(Table10[[#This Row],[SKU]],'All Skus'!$A:$AC,18,FALSE)),""))</f>
        <v>0</v>
      </c>
      <c r="O187" s="227">
        <f>(IF((VLOOKUP(Table10[[#This Row],[SKU]],'All Skus'!$A:$AC,2,FALSE))="Martin",(VLOOKUP(Table10[[#This Row],[SKU]],'All Skus'!$A:$AC,19,FALSE)),""))</f>
        <v>0</v>
      </c>
      <c r="P187" s="227">
        <f>(IF((VLOOKUP(Table10[[#This Row],[SKU]],'All Skus'!$A:$AC,2,FALSE))="Martin",(VLOOKUP(Table10[[#This Row],[SKU]],'All Skus'!$A:$AC,20,FALSE)),""))</f>
        <v>0</v>
      </c>
      <c r="Q187" s="227">
        <f>(IF((VLOOKUP(Table10[[#This Row],[SKU]],'All Skus'!$A:$AC,2,FALSE))="Martin",(VLOOKUP(Table10[[#This Row],[SKU]],'All Skus'!$A:$AC,21,FALSE)),""))</f>
        <v>0</v>
      </c>
      <c r="R187" s="224" t="str">
        <f>(IF((VLOOKUP(Table10[[#This Row],[SKU]],'All Skus'!$A:$AC,2,FALSE))="Martin",(VLOOKUP(Table10[[#This Row],[SKU]],'All Skus'!$A:$AC,22,FALSE)),""))</f>
        <v>CN</v>
      </c>
      <c r="S187" s="223">
        <f>(IF((VLOOKUP(Table10[[#This Row],[SKU]],'All Skus'!$A:$AC,2,FALSE))="Martin",(VLOOKUP(Table10[[#This Row],[SKU]],'All Skus'!$A:$AC,23,FALSE)),""))</f>
        <v>0</v>
      </c>
      <c r="T187" s="212" t="str">
        <f>HYPERLINK((IF((VLOOKUP(Table10[[#This Row],[SKU]],'All Skus'!$A:$AC,2,FALSE))="Martin",(VLOOKUP(Table10[[#This Row],[SKU]],'All Skus'!$A:$AC,24,FALSE)),"")))</f>
        <v/>
      </c>
      <c r="U187" s="228">
        <v>185</v>
      </c>
    </row>
    <row r="188" spans="1:21" hidden="1">
      <c r="A188" s="115" t="s">
        <v>2012</v>
      </c>
      <c r="B188" s="224">
        <f>(IF((VLOOKUP(Table10[[#This Row],[SKU]],'All Skus'!$A:$AC,2,FALSE))="Martin",(VLOOKUP(Table10[[#This Row],[SKU]],'All Skus'!$A:$AC,3,FALSE)),""))</f>
        <v>0</v>
      </c>
      <c r="C188" s="223">
        <f>(IF((VLOOKUP(Table10[[#This Row],[SKU]],'All Skus'!$A:$AC,2,FALSE))="Martin",(VLOOKUP(Table10[[#This Row],[SKU]],'All Skus'!$A:$AC,4,FALSE)),""))</f>
        <v>0</v>
      </c>
      <c r="D188" s="224">
        <f>(IF((VLOOKUP(Table10[[#This Row],[SKU]],'All Skus'!$A:$AC,2,FALSE))="Martin",(VLOOKUP(Table10[[#This Row],[SKU]],'All Skus'!$A:$AC,5,FALSE)),""))</f>
        <v>0</v>
      </c>
      <c r="E188" s="223">
        <f>(IF((VLOOKUP(Table10[[#This Row],[SKU]],'All Skus'!$A:$AC,2,FALSE))="Martin",(VLOOKUP(Table10[[#This Row],[SKU]],'All Skus'!$A:$AC,6,FALSE)),""))</f>
        <v>0</v>
      </c>
      <c r="F188" s="155">
        <f>(IF((VLOOKUP(Table10[[#This Row],[SKU]],'All Skus'!$A:$AC,2,FALSE))="Martin",(VLOOKUP(Table10[[#This Row],[SKU]],'All Skus'!$A:$AC,7,FALSE)),""))</f>
        <v>0</v>
      </c>
      <c r="G188" s="223">
        <f>(IF((VLOOKUP(Table10[[#This Row],[SKU]],'All Skus'!$A:$AC,2,FALSE))="Martin",(VLOOKUP(Table10[[#This Row],[SKU]],'All Skus'!$A:$AC,8,FALSE)),""))</f>
        <v>0</v>
      </c>
      <c r="H188" s="223">
        <f>(IF((VLOOKUP(Table10[[#This Row],[SKU]],'All Skus'!$A:$AC,2,FALSE))="Martin",(VLOOKUP(Table10[[#This Row],[SKU]],'All Skus'!$A:$AC,9,FALSE)),""))</f>
        <v>0</v>
      </c>
      <c r="I188" s="225">
        <f>(IF((VLOOKUP(Table10[[#This Row],[SKU]],'All Skus'!$A:$AC,2,FALSE))="Martin",(VLOOKUP(Table10[[#This Row],[SKU]],'All Skus'!$A:$AC,10,FALSE)),""))</f>
        <v>0</v>
      </c>
      <c r="J188" s="226">
        <f>(IF((VLOOKUP(Table10[[#This Row],[SKU]],'All Skus'!$A:$AC,2,FALSE))="Martin",(VLOOKUP(Table10[[#This Row],[SKU]],'All Skus'!$A:$AC,11,FALSE)),""))</f>
        <v>0</v>
      </c>
      <c r="K188" s="224">
        <f>(IF((VLOOKUP(Table10[[#This Row],[SKU]],'All Skus'!$A:$AC,2,FALSE))="Martin",(VLOOKUP(Table10[[#This Row],[SKU]],'All Skus'!$A:$AC,15,FALSE)),""))</f>
        <v>0</v>
      </c>
      <c r="L188" s="224">
        <f>(IF((VLOOKUP(Table10[[#This Row],[SKU]],'All Skus'!$A:$AC,2,FALSE))="Martin",(VLOOKUP(Table10[[#This Row],[SKU]],'All Skus'!$A:$AC,16,FALSE)),""))</f>
        <v>0</v>
      </c>
      <c r="M188" s="224">
        <f>(IF((VLOOKUP(Table10[[#This Row],[SKU]],'All Skus'!$A:$AC,2,FALSE))="Martin",(VLOOKUP(Table10[[#This Row],[SKU]],'All Skus'!$A:$AC,17,FALSE)),""))</f>
        <v>0</v>
      </c>
      <c r="N188" s="227">
        <f>(IF((VLOOKUP(Table10[[#This Row],[SKU]],'All Skus'!$A:$AC,2,FALSE))="Martin",(VLOOKUP(Table10[[#This Row],[SKU]],'All Skus'!$A:$AC,18,FALSE)),""))</f>
        <v>0</v>
      </c>
      <c r="O188" s="227">
        <f>(IF((VLOOKUP(Table10[[#This Row],[SKU]],'All Skus'!$A:$AC,2,FALSE))="Martin",(VLOOKUP(Table10[[#This Row],[SKU]],'All Skus'!$A:$AC,19,FALSE)),""))</f>
        <v>0</v>
      </c>
      <c r="P188" s="227">
        <f>(IF((VLOOKUP(Table10[[#This Row],[SKU]],'All Skus'!$A:$AC,2,FALSE))="Martin",(VLOOKUP(Table10[[#This Row],[SKU]],'All Skus'!$A:$AC,20,FALSE)),""))</f>
        <v>0</v>
      </c>
      <c r="Q188" s="227">
        <f>(IF((VLOOKUP(Table10[[#This Row],[SKU]],'All Skus'!$A:$AC,2,FALSE))="Martin",(VLOOKUP(Table10[[#This Row],[SKU]],'All Skus'!$A:$AC,21,FALSE)),""))</f>
        <v>0</v>
      </c>
      <c r="R188" s="224">
        <f>(IF((VLOOKUP(Table10[[#This Row],[SKU]],'All Skus'!$A:$AC,2,FALSE))="Martin",(VLOOKUP(Table10[[#This Row],[SKU]],'All Skus'!$A:$AC,22,FALSE)),""))</f>
        <v>0</v>
      </c>
      <c r="S188" s="223">
        <f>(IF((VLOOKUP(Table10[[#This Row],[SKU]],'All Skus'!$A:$AC,2,FALSE))="Martin",(VLOOKUP(Table10[[#This Row],[SKU]],'All Skus'!$A:$AC,23,FALSE)),""))</f>
        <v>0</v>
      </c>
      <c r="T188" s="212" t="str">
        <f>HYPERLINK((IF((VLOOKUP(Table10[[#This Row],[SKU]],'All Skus'!$A:$AC,2,FALSE))="Martin",(VLOOKUP(Table10[[#This Row],[SKU]],'All Skus'!$A:$AC,24,FALSE)),"")))</f>
        <v/>
      </c>
      <c r="U188" s="228">
        <v>186</v>
      </c>
    </row>
    <row r="189" spans="1:21" hidden="1">
      <c r="A189" s="90">
        <v>9045107781</v>
      </c>
      <c r="B189" s="224" t="str">
        <f>(IF((VLOOKUP(Table10[[#This Row],[SKU]],'All Skus'!$A:$AC,2,FALSE))="Martin",(VLOOKUP(Table10[[#This Row],[SKU]],'All Skus'!$A:$AC,3,FALSE)),""))</f>
        <v>Static Lights</v>
      </c>
      <c r="C189" s="223" t="str">
        <f>(IF((VLOOKUP(Table10[[#This Row],[SKU]],'All Skus'!$A:$AC,2,FALSE))="Martin",(VLOOKUP(Table10[[#This Row],[SKU]],'All Skus'!$A:$AC,4,FALSE)),""))</f>
        <v>MARTIN ELP WW</v>
      </c>
      <c r="D189" s="224" t="str">
        <f>(IF((VLOOKUP(Table10[[#This Row],[SKU]],'All Skus'!$A:$AC,2,FALSE))="Martin",(VLOOKUP(Table10[[#This Row],[SKU]],'All Skus'!$A:$AC,5,FALSE)),""))</f>
        <v>MAR-ELP</v>
      </c>
      <c r="E189" s="223">
        <f>(IF((VLOOKUP(Table10[[#This Row],[SKU]],'All Skus'!$A:$AC,2,FALSE))="Martin",(VLOOKUP(Table10[[#This Row],[SKU]],'All Skus'!$A:$AC,6,FALSE)),""))</f>
        <v>0</v>
      </c>
      <c r="F189" s="155">
        <f>(IF((VLOOKUP(Table10[[#This Row],[SKU]],'All Skus'!$A:$AC,2,FALSE))="Martin",(VLOOKUP(Table10[[#This Row],[SKU]],'All Skus'!$A:$AC,7,FALSE)),""))</f>
        <v>0</v>
      </c>
      <c r="G189" s="223" t="str">
        <f>(IF((VLOOKUP(Table10[[#This Row],[SKU]],'All Skus'!$A:$AC,2,FALSE))="Martin",(VLOOKUP(Table10[[#This Row],[SKU]],'All Skus'!$A:$AC,8,FALSE)),""))</f>
        <v>MARTIN ELP WW</v>
      </c>
      <c r="H189" s="223" t="str">
        <f>(IF((VLOOKUP(Table10[[#This Row],[SKU]],'All Skus'!$A:$AC,2,FALSE))="Martin",(VLOOKUP(Table10[[#This Row],[SKU]],'All Skus'!$A:$AC,9,FALSE)),""))</f>
        <v>MARTIN ELP WW</v>
      </c>
      <c r="I189" s="225">
        <f>(IF((VLOOKUP(Table10[[#This Row],[SKU]],'All Skus'!$A:$AC,2,FALSE))="Martin",(VLOOKUP(Table10[[#This Row],[SKU]],'All Skus'!$A:$AC,10,FALSE)),""))</f>
        <v>2080.58</v>
      </c>
      <c r="J189" s="226">
        <f>(IF((VLOOKUP(Table10[[#This Row],[SKU]],'All Skus'!$A:$AC,2,FALSE))="Martin",(VLOOKUP(Table10[[#This Row],[SKU]],'All Skus'!$A:$AC,11,FALSE)),""))</f>
        <v>2080.58</v>
      </c>
      <c r="K189" s="224">
        <f>(IF((VLOOKUP(Table10[[#This Row],[SKU]],'All Skus'!$A:$AC,2,FALSE))="Martin",(VLOOKUP(Table10[[#This Row],[SKU]],'All Skus'!$A:$AC,15,FALSE)),""))</f>
        <v>0</v>
      </c>
      <c r="L189" s="224">
        <f>(IF((VLOOKUP(Table10[[#This Row],[SKU]],'All Skus'!$A:$AC,2,FALSE))="Martin",(VLOOKUP(Table10[[#This Row],[SKU]],'All Skus'!$A:$AC,16,FALSE)),""))</f>
        <v>688705005188</v>
      </c>
      <c r="M189" s="224">
        <f>(IF((VLOOKUP(Table10[[#This Row],[SKU]],'All Skus'!$A:$AC,2,FALSE))="Martin",(VLOOKUP(Table10[[#This Row],[SKU]],'All Skus'!$A:$AC,17,FALSE)),""))</f>
        <v>0</v>
      </c>
      <c r="N189" s="227">
        <f>(IF((VLOOKUP(Table10[[#This Row],[SKU]],'All Skus'!$A:$AC,2,FALSE))="Martin",(VLOOKUP(Table10[[#This Row],[SKU]],'All Skus'!$A:$AC,18,FALSE)),""))</f>
        <v>24.8</v>
      </c>
      <c r="O189" s="227">
        <f>(IF((VLOOKUP(Table10[[#This Row],[SKU]],'All Skus'!$A:$AC,2,FALSE))="Martin",(VLOOKUP(Table10[[#This Row],[SKU]],'All Skus'!$A:$AC,19,FALSE)),""))</f>
        <v>13</v>
      </c>
      <c r="P189" s="227">
        <f>(IF((VLOOKUP(Table10[[#This Row],[SKU]],'All Skus'!$A:$AC,2,FALSE))="Martin",(VLOOKUP(Table10[[#This Row],[SKU]],'All Skus'!$A:$AC,20,FALSE)),""))</f>
        <v>0</v>
      </c>
      <c r="Q189" s="227">
        <f>(IF((VLOOKUP(Table10[[#This Row],[SKU]],'All Skus'!$A:$AC,2,FALSE))="Martin",(VLOOKUP(Table10[[#This Row],[SKU]],'All Skus'!$A:$AC,21,FALSE)),""))</f>
        <v>0</v>
      </c>
      <c r="R189" s="224" t="str">
        <f>(IF((VLOOKUP(Table10[[#This Row],[SKU]],'All Skus'!$A:$AC,2,FALSE))="Martin",(VLOOKUP(Table10[[#This Row],[SKU]],'All Skus'!$A:$AC,22,FALSE)),""))</f>
        <v>CN</v>
      </c>
      <c r="S189" s="223">
        <f>(IF((VLOOKUP(Table10[[#This Row],[SKU]],'All Skus'!$A:$AC,2,FALSE))="Martin",(VLOOKUP(Table10[[#This Row],[SKU]],'All Skus'!$A:$AC,23,FALSE)),""))</f>
        <v>0</v>
      </c>
      <c r="T189" s="212" t="str">
        <f>HYPERLINK((IF((VLOOKUP(Table10[[#This Row],[SKU]],'All Skus'!$A:$AC,2,FALSE))="Martin",(VLOOKUP(Table10[[#This Row],[SKU]],'All Skus'!$A:$AC,24,FALSE)),"")))</f>
        <v/>
      </c>
      <c r="U189" s="228">
        <v>187</v>
      </c>
    </row>
    <row r="190" spans="1:21" hidden="1">
      <c r="A190" s="229">
        <v>9045115165</v>
      </c>
      <c r="B190" s="224" t="str">
        <f>(IF((VLOOKUP(Table10[[#This Row],[SKU]],'All Skus'!$A:$AC,2,FALSE))="Martin",(VLOOKUP(Table10[[#This Row],[SKU]],'All Skus'!$A:$AC,3,FALSE)),""))</f>
        <v>Static Lights</v>
      </c>
      <c r="C190" s="223" t="str">
        <f>(IF((VLOOKUP(Table10[[#This Row],[SKU]],'All Skus'!$A:$AC,2,FALSE))="Martin",(VLOOKUP(Table10[[#This Row],[SKU]],'All Skus'!$A:$AC,4,FALSE)),""))</f>
        <v>MARTIN ELP WW Body WHITE</v>
      </c>
      <c r="D190" s="224" t="str">
        <f>(IF((VLOOKUP(Table10[[#This Row],[SKU]],'All Skus'!$A:$AC,2,FALSE))="Martin",(VLOOKUP(Table10[[#This Row],[SKU]],'All Skus'!$A:$AC,5,FALSE)),""))</f>
        <v>MAR-ELP</v>
      </c>
      <c r="E190" s="223">
        <f>(IF((VLOOKUP(Table10[[#This Row],[SKU]],'All Skus'!$A:$AC,2,FALSE))="Martin",(VLOOKUP(Table10[[#This Row],[SKU]],'All Skus'!$A:$AC,6,FALSE)),""))</f>
        <v>0</v>
      </c>
      <c r="F190" s="155">
        <f>(IF((VLOOKUP(Table10[[#This Row],[SKU]],'All Skus'!$A:$AC,2,FALSE))="Martin",(VLOOKUP(Table10[[#This Row],[SKU]],'All Skus'!$A:$AC,7,FALSE)),""))</f>
        <v>0</v>
      </c>
      <c r="G190" s="223" t="str">
        <f>(IF((VLOOKUP(Table10[[#This Row],[SKU]],'All Skus'!$A:$AC,2,FALSE))="Martin",(VLOOKUP(Table10[[#This Row],[SKU]],'All Skus'!$A:$AC,8,FALSE)),""))</f>
        <v>MARTIN ELP WW Body WHITE</v>
      </c>
      <c r="H190" s="223" t="str">
        <f>(IF((VLOOKUP(Table10[[#This Row],[SKU]],'All Skus'!$A:$AC,2,FALSE))="Martin",(VLOOKUP(Table10[[#This Row],[SKU]],'All Skus'!$A:$AC,9,FALSE)),""))</f>
        <v>MARTIN ELP WW Body WHITE</v>
      </c>
      <c r="I190" s="225">
        <f>(IF((VLOOKUP(Table10[[#This Row],[SKU]],'All Skus'!$A:$AC,2,FALSE))="Martin",(VLOOKUP(Table10[[#This Row],[SKU]],'All Skus'!$A:$AC,10,FALSE)),""))</f>
        <v>2265.79</v>
      </c>
      <c r="J190" s="226">
        <f>(IF((VLOOKUP(Table10[[#This Row],[SKU]],'All Skus'!$A:$AC,2,FALSE))="Martin",(VLOOKUP(Table10[[#This Row],[SKU]],'All Skus'!$A:$AC,11,FALSE)),""))</f>
        <v>2265.79</v>
      </c>
      <c r="K190" s="224">
        <f>(IF((VLOOKUP(Table10[[#This Row],[SKU]],'All Skus'!$A:$AC,2,FALSE))="Martin",(VLOOKUP(Table10[[#This Row],[SKU]],'All Skus'!$A:$AC,15,FALSE)),""))</f>
        <v>0</v>
      </c>
      <c r="L190" s="224">
        <f>(IF((VLOOKUP(Table10[[#This Row],[SKU]],'All Skus'!$A:$AC,2,FALSE))="Martin",(VLOOKUP(Table10[[#This Row],[SKU]],'All Skus'!$A:$AC,16,FALSE)),""))</f>
        <v>688705005546</v>
      </c>
      <c r="M190" s="224">
        <f>(IF((VLOOKUP(Table10[[#This Row],[SKU]],'All Skus'!$A:$AC,2,FALSE))="Martin",(VLOOKUP(Table10[[#This Row],[SKU]],'All Skus'!$A:$AC,17,FALSE)),""))</f>
        <v>0</v>
      </c>
      <c r="N190" s="227">
        <f>(IF((VLOOKUP(Table10[[#This Row],[SKU]],'All Skus'!$A:$AC,2,FALSE))="Martin",(VLOOKUP(Table10[[#This Row],[SKU]],'All Skus'!$A:$AC,18,FALSE)),""))</f>
        <v>0</v>
      </c>
      <c r="O190" s="227">
        <f>(IF((VLOOKUP(Table10[[#This Row],[SKU]],'All Skus'!$A:$AC,2,FALSE))="Martin",(VLOOKUP(Table10[[#This Row],[SKU]],'All Skus'!$A:$AC,19,FALSE)),""))</f>
        <v>0</v>
      </c>
      <c r="P190" s="227">
        <f>(IF((VLOOKUP(Table10[[#This Row],[SKU]],'All Skus'!$A:$AC,2,FALSE))="Martin",(VLOOKUP(Table10[[#This Row],[SKU]],'All Skus'!$A:$AC,20,FALSE)),""))</f>
        <v>0</v>
      </c>
      <c r="Q190" s="227">
        <f>(IF((VLOOKUP(Table10[[#This Row],[SKU]],'All Skus'!$A:$AC,2,FALSE))="Martin",(VLOOKUP(Table10[[#This Row],[SKU]],'All Skus'!$A:$AC,21,FALSE)),""))</f>
        <v>0</v>
      </c>
      <c r="R190" s="224" t="str">
        <f>(IF((VLOOKUP(Table10[[#This Row],[SKU]],'All Skus'!$A:$AC,2,FALSE))="Martin",(VLOOKUP(Table10[[#This Row],[SKU]],'All Skus'!$A:$AC,22,FALSE)),""))</f>
        <v>CN</v>
      </c>
      <c r="S190" s="223" t="str">
        <f>(IF((VLOOKUP(Table10[[#This Row],[SKU]],'All Skus'!$A:$AC,2,FALSE))="Martin",(VLOOKUP(Table10[[#This Row],[SKU]],'All Skus'!$A:$AC,23,FALSE)),""))</f>
        <v>Non Compliant</v>
      </c>
      <c r="T190" s="212" t="str">
        <f>HYPERLINK((IF((VLOOKUP(Table10[[#This Row],[SKU]],'All Skus'!$A:$AC,2,FALSE))="Martin",(VLOOKUP(Table10[[#This Row],[SKU]],'All Skus'!$A:$AC,24,FALSE)),"")))</f>
        <v>https://www.martin.com/en/product_families/elp</v>
      </c>
      <c r="U190" s="228">
        <v>188</v>
      </c>
    </row>
    <row r="191" spans="1:21" hidden="1">
      <c r="A191" s="115" t="s">
        <v>2013</v>
      </c>
      <c r="B191" s="224">
        <f>(IF((VLOOKUP(Table10[[#This Row],[SKU]],'All Skus'!$A:$AC,2,FALSE))="Martin",(VLOOKUP(Table10[[#This Row],[SKU]],'All Skus'!$A:$AC,3,FALSE)),""))</f>
        <v>0</v>
      </c>
      <c r="C191" s="223">
        <f>(IF((VLOOKUP(Table10[[#This Row],[SKU]],'All Skus'!$A:$AC,2,FALSE))="Martin",(VLOOKUP(Table10[[#This Row],[SKU]],'All Skus'!$A:$AC,4,FALSE)),""))</f>
        <v>0</v>
      </c>
      <c r="D191" s="224">
        <f>(IF((VLOOKUP(Table10[[#This Row],[SKU]],'All Skus'!$A:$AC,2,FALSE))="Martin",(VLOOKUP(Table10[[#This Row],[SKU]],'All Skus'!$A:$AC,5,FALSE)),""))</f>
        <v>0</v>
      </c>
      <c r="E191" s="223">
        <f>(IF((VLOOKUP(Table10[[#This Row],[SKU]],'All Skus'!$A:$AC,2,FALSE))="Martin",(VLOOKUP(Table10[[#This Row],[SKU]],'All Skus'!$A:$AC,6,FALSE)),""))</f>
        <v>0</v>
      </c>
      <c r="F191" s="155">
        <f>(IF((VLOOKUP(Table10[[#This Row],[SKU]],'All Skus'!$A:$AC,2,FALSE))="Martin",(VLOOKUP(Table10[[#This Row],[SKU]],'All Skus'!$A:$AC,7,FALSE)),""))</f>
        <v>0</v>
      </c>
      <c r="G191" s="223">
        <f>(IF((VLOOKUP(Table10[[#This Row],[SKU]],'All Skus'!$A:$AC,2,FALSE))="Martin",(VLOOKUP(Table10[[#This Row],[SKU]],'All Skus'!$A:$AC,8,FALSE)),""))</f>
        <v>0</v>
      </c>
      <c r="H191" s="223">
        <f>(IF((VLOOKUP(Table10[[#This Row],[SKU]],'All Skus'!$A:$AC,2,FALSE))="Martin",(VLOOKUP(Table10[[#This Row],[SKU]],'All Skus'!$A:$AC,9,FALSE)),""))</f>
        <v>0</v>
      </c>
      <c r="I191" s="225">
        <f>(IF((VLOOKUP(Table10[[#This Row],[SKU]],'All Skus'!$A:$AC,2,FALSE))="Martin",(VLOOKUP(Table10[[#This Row],[SKU]],'All Skus'!$A:$AC,10,FALSE)),""))</f>
        <v>0</v>
      </c>
      <c r="J191" s="226">
        <f>(IF((VLOOKUP(Table10[[#This Row],[SKU]],'All Skus'!$A:$AC,2,FALSE))="Martin",(VLOOKUP(Table10[[#This Row],[SKU]],'All Skus'!$A:$AC,11,FALSE)),""))</f>
        <v>0</v>
      </c>
      <c r="K191" s="224">
        <f>(IF((VLOOKUP(Table10[[#This Row],[SKU]],'All Skus'!$A:$AC,2,FALSE))="Martin",(VLOOKUP(Table10[[#This Row],[SKU]],'All Skus'!$A:$AC,15,FALSE)),""))</f>
        <v>0</v>
      </c>
      <c r="L191" s="224">
        <f>(IF((VLOOKUP(Table10[[#This Row],[SKU]],'All Skus'!$A:$AC,2,FALSE))="Martin",(VLOOKUP(Table10[[#This Row],[SKU]],'All Skus'!$A:$AC,16,FALSE)),""))</f>
        <v>0</v>
      </c>
      <c r="M191" s="224">
        <f>(IF((VLOOKUP(Table10[[#This Row],[SKU]],'All Skus'!$A:$AC,2,FALSE))="Martin",(VLOOKUP(Table10[[#This Row],[SKU]],'All Skus'!$A:$AC,17,FALSE)),""))</f>
        <v>0</v>
      </c>
      <c r="N191" s="227">
        <f>(IF((VLOOKUP(Table10[[#This Row],[SKU]],'All Skus'!$A:$AC,2,FALSE))="Martin",(VLOOKUP(Table10[[#This Row],[SKU]],'All Skus'!$A:$AC,18,FALSE)),""))</f>
        <v>0</v>
      </c>
      <c r="O191" s="227">
        <f>(IF((VLOOKUP(Table10[[#This Row],[SKU]],'All Skus'!$A:$AC,2,FALSE))="Martin",(VLOOKUP(Table10[[#This Row],[SKU]],'All Skus'!$A:$AC,19,FALSE)),""))</f>
        <v>0</v>
      </c>
      <c r="P191" s="227">
        <f>(IF((VLOOKUP(Table10[[#This Row],[SKU]],'All Skus'!$A:$AC,2,FALSE))="Martin",(VLOOKUP(Table10[[#This Row],[SKU]],'All Skus'!$A:$AC,20,FALSE)),""))</f>
        <v>0</v>
      </c>
      <c r="Q191" s="227">
        <f>(IF((VLOOKUP(Table10[[#This Row],[SKU]],'All Skus'!$A:$AC,2,FALSE))="Martin",(VLOOKUP(Table10[[#This Row],[SKU]],'All Skus'!$A:$AC,21,FALSE)),""))</f>
        <v>0</v>
      </c>
      <c r="R191" s="224">
        <f>(IF((VLOOKUP(Table10[[#This Row],[SKU]],'All Skus'!$A:$AC,2,FALSE))="Martin",(VLOOKUP(Table10[[#This Row],[SKU]],'All Skus'!$A:$AC,22,FALSE)),""))</f>
        <v>0</v>
      </c>
      <c r="S191" s="223">
        <f>(IF((VLOOKUP(Table10[[#This Row],[SKU]],'All Skus'!$A:$AC,2,FALSE))="Martin",(VLOOKUP(Table10[[#This Row],[SKU]],'All Skus'!$A:$AC,23,FALSE)),""))</f>
        <v>0</v>
      </c>
      <c r="T191" s="212" t="str">
        <f>HYPERLINK((IF((VLOOKUP(Table10[[#This Row],[SKU]],'All Skus'!$A:$AC,2,FALSE))="Martin",(VLOOKUP(Table10[[#This Row],[SKU]],'All Skus'!$A:$AC,24,FALSE)),"")))</f>
        <v/>
      </c>
      <c r="U191" s="228">
        <v>189</v>
      </c>
    </row>
    <row r="192" spans="1:21" hidden="1">
      <c r="A192" s="229">
        <v>9045122813</v>
      </c>
      <c r="B192" s="224" t="str">
        <f>(IF((VLOOKUP(Table10[[#This Row],[SKU]],'All Skus'!$A:$AC,2,FALSE))="Martin",(VLOOKUP(Table10[[#This Row],[SKU]],'All Skus'!$A:$AC,3,FALSE)),""))</f>
        <v>Static Lights</v>
      </c>
      <c r="C192" s="223" t="str">
        <f>(IF((VLOOKUP(Table10[[#This Row],[SKU]],'All Skus'!$A:$AC,2,FALSE))="Martin",(VLOOKUP(Table10[[#This Row],[SKU]],'All Skus'!$A:$AC,4,FALSE)),""))</f>
        <v>MARTIN ELP WW IP Body</v>
      </c>
      <c r="D192" s="224" t="str">
        <f>(IF((VLOOKUP(Table10[[#This Row],[SKU]],'All Skus'!$A:$AC,2,FALSE))="Martin",(VLOOKUP(Table10[[#This Row],[SKU]],'All Skus'!$A:$AC,5,FALSE)),""))</f>
        <v>MAR-ELP</v>
      </c>
      <c r="E192" s="223">
        <f>(IF((VLOOKUP(Table10[[#This Row],[SKU]],'All Skus'!$A:$AC,2,FALSE))="Martin",(VLOOKUP(Table10[[#This Row],[SKU]],'All Skus'!$A:$AC,6,FALSE)),""))</f>
        <v>0</v>
      </c>
      <c r="F192" s="155">
        <f>(IF((VLOOKUP(Table10[[#This Row],[SKU]],'All Skus'!$A:$AC,2,FALSE))="Martin",(VLOOKUP(Table10[[#This Row],[SKU]],'All Skus'!$A:$AC,7,FALSE)),""))</f>
        <v>0</v>
      </c>
      <c r="G192" s="223" t="str">
        <f>(IF((VLOOKUP(Table10[[#This Row],[SKU]],'All Skus'!$A:$AC,2,FALSE))="Martin",(VLOOKUP(Table10[[#This Row],[SKU]],'All Skus'!$A:$AC,8,FALSE)),""))</f>
        <v>MARTIN ELP WW IP Body</v>
      </c>
      <c r="H192" s="223" t="str">
        <f>(IF((VLOOKUP(Table10[[#This Row],[SKU]],'All Skus'!$A:$AC,2,FALSE))="Martin",(VLOOKUP(Table10[[#This Row],[SKU]],'All Skus'!$A:$AC,9,FALSE)),""))</f>
        <v>MARTIN ELP WW IP Body</v>
      </c>
      <c r="I192" s="225">
        <f>(IF((VLOOKUP(Table10[[#This Row],[SKU]],'All Skus'!$A:$AC,2,FALSE))="Martin",(VLOOKUP(Table10[[#This Row],[SKU]],'All Skus'!$A:$AC,10,FALSE)),""))</f>
        <v>2531.27</v>
      </c>
      <c r="J192" s="226">
        <f>(IF((VLOOKUP(Table10[[#This Row],[SKU]],'All Skus'!$A:$AC,2,FALSE))="Martin",(VLOOKUP(Table10[[#This Row],[SKU]],'All Skus'!$A:$AC,11,FALSE)),""))</f>
        <v>2531.27</v>
      </c>
      <c r="K192" s="224">
        <f>(IF((VLOOKUP(Table10[[#This Row],[SKU]],'All Skus'!$A:$AC,2,FALSE))="Martin",(VLOOKUP(Table10[[#This Row],[SKU]],'All Skus'!$A:$AC,15,FALSE)),""))</f>
        <v>0</v>
      </c>
      <c r="L192" s="224">
        <f>(IF((VLOOKUP(Table10[[#This Row],[SKU]],'All Skus'!$A:$AC,2,FALSE))="Martin",(VLOOKUP(Table10[[#This Row],[SKU]],'All Skus'!$A:$AC,16,FALSE)),""))</f>
        <v>688705006338</v>
      </c>
      <c r="M192" s="224">
        <f>(IF((VLOOKUP(Table10[[#This Row],[SKU]],'All Skus'!$A:$AC,2,FALSE))="Martin",(VLOOKUP(Table10[[#This Row],[SKU]],'All Skus'!$A:$AC,17,FALSE)),""))</f>
        <v>0</v>
      </c>
      <c r="N192" s="227">
        <f>(IF((VLOOKUP(Table10[[#This Row],[SKU]],'All Skus'!$A:$AC,2,FALSE))="Martin",(VLOOKUP(Table10[[#This Row],[SKU]],'All Skus'!$A:$AC,18,FALSE)),""))</f>
        <v>0</v>
      </c>
      <c r="O192" s="227">
        <f>(IF((VLOOKUP(Table10[[#This Row],[SKU]],'All Skus'!$A:$AC,2,FALSE))="Martin",(VLOOKUP(Table10[[#This Row],[SKU]],'All Skus'!$A:$AC,19,FALSE)),""))</f>
        <v>0</v>
      </c>
      <c r="P192" s="227">
        <f>(IF((VLOOKUP(Table10[[#This Row],[SKU]],'All Skus'!$A:$AC,2,FALSE))="Martin",(VLOOKUP(Table10[[#This Row],[SKU]],'All Skus'!$A:$AC,20,FALSE)),""))</f>
        <v>0</v>
      </c>
      <c r="Q192" s="227">
        <f>(IF((VLOOKUP(Table10[[#This Row],[SKU]],'All Skus'!$A:$AC,2,FALSE))="Martin",(VLOOKUP(Table10[[#This Row],[SKU]],'All Skus'!$A:$AC,21,FALSE)),""))</f>
        <v>0</v>
      </c>
      <c r="R192" s="224" t="str">
        <f>(IF((VLOOKUP(Table10[[#This Row],[SKU]],'All Skus'!$A:$AC,2,FALSE))="Martin",(VLOOKUP(Table10[[#This Row],[SKU]],'All Skus'!$A:$AC,22,FALSE)),""))</f>
        <v>CN</v>
      </c>
      <c r="S192" s="223">
        <f>(IF((VLOOKUP(Table10[[#This Row],[SKU]],'All Skus'!$A:$AC,2,FALSE))="Martin",(VLOOKUP(Table10[[#This Row],[SKU]],'All Skus'!$A:$AC,23,FALSE)),""))</f>
        <v>0</v>
      </c>
      <c r="T192" s="212" t="str">
        <f>HYPERLINK((IF((VLOOKUP(Table10[[#This Row],[SKU]],'All Skus'!$A:$AC,2,FALSE))="Martin",(VLOOKUP(Table10[[#This Row],[SKU]],'All Skus'!$A:$AC,24,FALSE)),"")))</f>
        <v/>
      </c>
      <c r="U192" s="228">
        <v>190</v>
      </c>
    </row>
    <row r="193" spans="1:21" hidden="1">
      <c r="A193" s="229">
        <v>9045122815</v>
      </c>
      <c r="B193" s="224" t="str">
        <f>(IF((VLOOKUP(Table10[[#This Row],[SKU]],'All Skus'!$A:$AC,2,FALSE))="Martin",(VLOOKUP(Table10[[#This Row],[SKU]],'All Skus'!$A:$AC,3,FALSE)),""))</f>
        <v>Static Lights</v>
      </c>
      <c r="C193" s="223" t="str">
        <f>(IF((VLOOKUP(Table10[[#This Row],[SKU]],'All Skus'!$A:$AC,2,FALSE))="Martin",(VLOOKUP(Table10[[#This Row],[SKU]],'All Skus'!$A:$AC,4,FALSE)),""))</f>
        <v>MARTIN ELP WW IP Body WHITE</v>
      </c>
      <c r="D193" s="224" t="str">
        <f>(IF((VLOOKUP(Table10[[#This Row],[SKU]],'All Skus'!$A:$AC,2,FALSE))="Martin",(VLOOKUP(Table10[[#This Row],[SKU]],'All Skus'!$A:$AC,5,FALSE)),""))</f>
        <v>MAR-ELP</v>
      </c>
      <c r="E193" s="223">
        <f>(IF((VLOOKUP(Table10[[#This Row],[SKU]],'All Skus'!$A:$AC,2,FALSE))="Martin",(VLOOKUP(Table10[[#This Row],[SKU]],'All Skus'!$A:$AC,6,FALSE)),""))</f>
        <v>0</v>
      </c>
      <c r="F193" s="155">
        <f>(IF((VLOOKUP(Table10[[#This Row],[SKU]],'All Skus'!$A:$AC,2,FALSE))="Martin",(VLOOKUP(Table10[[#This Row],[SKU]],'All Skus'!$A:$AC,7,FALSE)),""))</f>
        <v>0</v>
      </c>
      <c r="G193" s="223" t="str">
        <f>(IF((VLOOKUP(Table10[[#This Row],[SKU]],'All Skus'!$A:$AC,2,FALSE))="Martin",(VLOOKUP(Table10[[#This Row],[SKU]],'All Skus'!$A:$AC,8,FALSE)),""))</f>
        <v>MARTIN ELP WW IP Body WHITE</v>
      </c>
      <c r="H193" s="223" t="str">
        <f>(IF((VLOOKUP(Table10[[#This Row],[SKU]],'All Skus'!$A:$AC,2,FALSE))="Martin",(VLOOKUP(Table10[[#This Row],[SKU]],'All Skus'!$A:$AC,9,FALSE)),""))</f>
        <v>MARTIN ELP WW IP Body WHITE</v>
      </c>
      <c r="I193" s="225">
        <f>(IF((VLOOKUP(Table10[[#This Row],[SKU]],'All Skus'!$A:$AC,2,FALSE))="Martin",(VLOOKUP(Table10[[#This Row],[SKU]],'All Skus'!$A:$AC,10,FALSE)),""))</f>
        <v>2716.48</v>
      </c>
      <c r="J193" s="226">
        <f>(IF((VLOOKUP(Table10[[#This Row],[SKU]],'All Skus'!$A:$AC,2,FALSE))="Martin",(VLOOKUP(Table10[[#This Row],[SKU]],'All Skus'!$A:$AC,11,FALSE)),""))</f>
        <v>2716.48</v>
      </c>
      <c r="K193" s="224">
        <f>(IF((VLOOKUP(Table10[[#This Row],[SKU]],'All Skus'!$A:$AC,2,FALSE))="Martin",(VLOOKUP(Table10[[#This Row],[SKU]],'All Skus'!$A:$AC,15,FALSE)),""))</f>
        <v>0</v>
      </c>
      <c r="L193" s="224">
        <f>(IF((VLOOKUP(Table10[[#This Row],[SKU]],'All Skus'!$A:$AC,2,FALSE))="Martin",(VLOOKUP(Table10[[#This Row],[SKU]],'All Skus'!$A:$AC,16,FALSE)),""))</f>
        <v>688705006352</v>
      </c>
      <c r="M193" s="224">
        <f>(IF((VLOOKUP(Table10[[#This Row],[SKU]],'All Skus'!$A:$AC,2,FALSE))="Martin",(VLOOKUP(Table10[[#This Row],[SKU]],'All Skus'!$A:$AC,17,FALSE)),""))</f>
        <v>0</v>
      </c>
      <c r="N193" s="227">
        <f>(IF((VLOOKUP(Table10[[#This Row],[SKU]],'All Skus'!$A:$AC,2,FALSE))="Martin",(VLOOKUP(Table10[[#This Row],[SKU]],'All Skus'!$A:$AC,18,FALSE)),""))</f>
        <v>0</v>
      </c>
      <c r="O193" s="227">
        <f>(IF((VLOOKUP(Table10[[#This Row],[SKU]],'All Skus'!$A:$AC,2,FALSE))="Martin",(VLOOKUP(Table10[[#This Row],[SKU]],'All Skus'!$A:$AC,19,FALSE)),""))</f>
        <v>0</v>
      </c>
      <c r="P193" s="227">
        <f>(IF((VLOOKUP(Table10[[#This Row],[SKU]],'All Skus'!$A:$AC,2,FALSE))="Martin",(VLOOKUP(Table10[[#This Row],[SKU]],'All Skus'!$A:$AC,20,FALSE)),""))</f>
        <v>0</v>
      </c>
      <c r="Q193" s="227">
        <f>(IF((VLOOKUP(Table10[[#This Row],[SKU]],'All Skus'!$A:$AC,2,FALSE))="Martin",(VLOOKUP(Table10[[#This Row],[SKU]],'All Skus'!$A:$AC,21,FALSE)),""))</f>
        <v>0</v>
      </c>
      <c r="R193" s="224" t="str">
        <f>(IF((VLOOKUP(Table10[[#This Row],[SKU]],'All Skus'!$A:$AC,2,FALSE))="Martin",(VLOOKUP(Table10[[#This Row],[SKU]],'All Skus'!$A:$AC,22,FALSE)),""))</f>
        <v>CN</v>
      </c>
      <c r="S193" s="223">
        <f>(IF((VLOOKUP(Table10[[#This Row],[SKU]],'All Skus'!$A:$AC,2,FALSE))="Martin",(VLOOKUP(Table10[[#This Row],[SKU]],'All Skus'!$A:$AC,23,FALSE)),""))</f>
        <v>0</v>
      </c>
      <c r="T193" s="212" t="str">
        <f>HYPERLINK((IF((VLOOKUP(Table10[[#This Row],[SKU]],'All Skus'!$A:$AC,2,FALSE))="Martin",(VLOOKUP(Table10[[#This Row],[SKU]],'All Skus'!$A:$AC,24,FALSE)),"")))</f>
        <v/>
      </c>
      <c r="U193" s="228">
        <v>191</v>
      </c>
    </row>
    <row r="194" spans="1:21" hidden="1">
      <c r="A194" s="115" t="s">
        <v>2014</v>
      </c>
      <c r="B194" s="224">
        <f>(IF((VLOOKUP(Table10[[#This Row],[SKU]],'All Skus'!$A:$AC,2,FALSE))="Martin",(VLOOKUP(Table10[[#This Row],[SKU]],'All Skus'!$A:$AC,3,FALSE)),""))</f>
        <v>0</v>
      </c>
      <c r="C194" s="223">
        <f>(IF((VLOOKUP(Table10[[#This Row],[SKU]],'All Skus'!$A:$AC,2,FALSE))="Martin",(VLOOKUP(Table10[[#This Row],[SKU]],'All Skus'!$A:$AC,4,FALSE)),""))</f>
        <v>0</v>
      </c>
      <c r="D194" s="224">
        <f>(IF((VLOOKUP(Table10[[#This Row],[SKU]],'All Skus'!$A:$AC,2,FALSE))="Martin",(VLOOKUP(Table10[[#This Row],[SKU]],'All Skus'!$A:$AC,5,FALSE)),""))</f>
        <v>0</v>
      </c>
      <c r="E194" s="223">
        <f>(IF((VLOOKUP(Table10[[#This Row],[SKU]],'All Skus'!$A:$AC,2,FALSE))="Martin",(VLOOKUP(Table10[[#This Row],[SKU]],'All Skus'!$A:$AC,6,FALSE)),""))</f>
        <v>0</v>
      </c>
      <c r="F194" s="155">
        <f>(IF((VLOOKUP(Table10[[#This Row],[SKU]],'All Skus'!$A:$AC,2,FALSE))="Martin",(VLOOKUP(Table10[[#This Row],[SKU]],'All Skus'!$A:$AC,7,FALSE)),""))</f>
        <v>0</v>
      </c>
      <c r="G194" s="223">
        <f>(IF((VLOOKUP(Table10[[#This Row],[SKU]],'All Skus'!$A:$AC,2,FALSE))="Martin",(VLOOKUP(Table10[[#This Row],[SKU]],'All Skus'!$A:$AC,8,FALSE)),""))</f>
        <v>0</v>
      </c>
      <c r="H194" s="223">
        <f>(IF((VLOOKUP(Table10[[#This Row],[SKU]],'All Skus'!$A:$AC,2,FALSE))="Martin",(VLOOKUP(Table10[[#This Row],[SKU]],'All Skus'!$A:$AC,9,FALSE)),""))</f>
        <v>0</v>
      </c>
      <c r="I194" s="225">
        <f>(IF((VLOOKUP(Table10[[#This Row],[SKU]],'All Skus'!$A:$AC,2,FALSE))="Martin",(VLOOKUP(Table10[[#This Row],[SKU]],'All Skus'!$A:$AC,10,FALSE)),""))</f>
        <v>0</v>
      </c>
      <c r="J194" s="226">
        <f>(IF((VLOOKUP(Table10[[#This Row],[SKU]],'All Skus'!$A:$AC,2,FALSE))="Martin",(VLOOKUP(Table10[[#This Row],[SKU]],'All Skus'!$A:$AC,11,FALSE)),""))</f>
        <v>0</v>
      </c>
      <c r="K194" s="224">
        <f>(IF((VLOOKUP(Table10[[#This Row],[SKU]],'All Skus'!$A:$AC,2,FALSE))="Martin",(VLOOKUP(Table10[[#This Row],[SKU]],'All Skus'!$A:$AC,15,FALSE)),""))</f>
        <v>0</v>
      </c>
      <c r="L194" s="224">
        <f>(IF((VLOOKUP(Table10[[#This Row],[SKU]],'All Skus'!$A:$AC,2,FALSE))="Martin",(VLOOKUP(Table10[[#This Row],[SKU]],'All Skus'!$A:$AC,16,FALSE)),""))</f>
        <v>0</v>
      </c>
      <c r="M194" s="224">
        <f>(IF((VLOOKUP(Table10[[#This Row],[SKU]],'All Skus'!$A:$AC,2,FALSE))="Martin",(VLOOKUP(Table10[[#This Row],[SKU]],'All Skus'!$A:$AC,17,FALSE)),""))</f>
        <v>0</v>
      </c>
      <c r="N194" s="227">
        <f>(IF((VLOOKUP(Table10[[#This Row],[SKU]],'All Skus'!$A:$AC,2,FALSE))="Martin",(VLOOKUP(Table10[[#This Row],[SKU]],'All Skus'!$A:$AC,18,FALSE)),""))</f>
        <v>0</v>
      </c>
      <c r="O194" s="227">
        <f>(IF((VLOOKUP(Table10[[#This Row],[SKU]],'All Skus'!$A:$AC,2,FALSE))="Martin",(VLOOKUP(Table10[[#This Row],[SKU]],'All Skus'!$A:$AC,19,FALSE)),""))</f>
        <v>0</v>
      </c>
      <c r="P194" s="227">
        <f>(IF((VLOOKUP(Table10[[#This Row],[SKU]],'All Skus'!$A:$AC,2,FALSE))="Martin",(VLOOKUP(Table10[[#This Row],[SKU]],'All Skus'!$A:$AC,20,FALSE)),""))</f>
        <v>0</v>
      </c>
      <c r="Q194" s="227">
        <f>(IF((VLOOKUP(Table10[[#This Row],[SKU]],'All Skus'!$A:$AC,2,FALSE))="Martin",(VLOOKUP(Table10[[#This Row],[SKU]],'All Skus'!$A:$AC,21,FALSE)),""))</f>
        <v>0</v>
      </c>
      <c r="R194" s="224">
        <f>(IF((VLOOKUP(Table10[[#This Row],[SKU]],'All Skus'!$A:$AC,2,FALSE))="Martin",(VLOOKUP(Table10[[#This Row],[SKU]],'All Skus'!$A:$AC,22,FALSE)),""))</f>
        <v>0</v>
      </c>
      <c r="S194" s="223">
        <f>(IF((VLOOKUP(Table10[[#This Row],[SKU]],'All Skus'!$A:$AC,2,FALSE))="Martin",(VLOOKUP(Table10[[#This Row],[SKU]],'All Skus'!$A:$AC,23,FALSE)),""))</f>
        <v>0</v>
      </c>
      <c r="T194" s="212" t="str">
        <f>HYPERLINK((IF((VLOOKUP(Table10[[#This Row],[SKU]],'All Skus'!$A:$AC,2,FALSE))="Martin",(VLOOKUP(Table10[[#This Row],[SKU]],'All Skus'!$A:$AC,24,FALSE)),"")))</f>
        <v/>
      </c>
      <c r="U194" s="228">
        <v>192</v>
      </c>
    </row>
    <row r="195" spans="1:21" hidden="1">
      <c r="A195" s="90">
        <v>9045107782</v>
      </c>
      <c r="B195" s="224" t="str">
        <f>(IF((VLOOKUP(Table10[[#This Row],[SKU]],'All Skus'!$A:$AC,2,FALSE))="Martin",(VLOOKUP(Table10[[#This Row],[SKU]],'All Skus'!$A:$AC,3,FALSE)),""))</f>
        <v>Static Lights</v>
      </c>
      <c r="C195" s="223" t="str">
        <f>(IF((VLOOKUP(Table10[[#This Row],[SKU]],'All Skus'!$A:$AC,2,FALSE))="Martin",(VLOOKUP(Table10[[#This Row],[SKU]],'All Skus'!$A:$AC,4,FALSE)),""))</f>
        <v>MARTIN ELP 19° LENS TUBE</v>
      </c>
      <c r="D195" s="224" t="str">
        <f>(IF((VLOOKUP(Table10[[#This Row],[SKU]],'All Skus'!$A:$AC,2,FALSE))="Martin",(VLOOKUP(Table10[[#This Row],[SKU]],'All Skus'!$A:$AC,5,FALSE)),""))</f>
        <v>MAR-ELP</v>
      </c>
      <c r="E195" s="223">
        <f>(IF((VLOOKUP(Table10[[#This Row],[SKU]],'All Skus'!$A:$AC,2,FALSE))="Martin",(VLOOKUP(Table10[[#This Row],[SKU]],'All Skus'!$A:$AC,6,FALSE)),""))</f>
        <v>0</v>
      </c>
      <c r="F195" s="155">
        <f>(IF((VLOOKUP(Table10[[#This Row],[SKU]],'All Skus'!$A:$AC,2,FALSE))="Martin",(VLOOKUP(Table10[[#This Row],[SKU]],'All Skus'!$A:$AC,7,FALSE)),""))</f>
        <v>0</v>
      </c>
      <c r="G195" s="223" t="str">
        <f>(IF((VLOOKUP(Table10[[#This Row],[SKU]],'All Skus'!$A:$AC,2,FALSE))="Martin",(VLOOKUP(Table10[[#This Row],[SKU]],'All Skus'!$A:$AC,8,FALSE)),""))</f>
        <v>MARTIN ELP 19° LENS TUBE</v>
      </c>
      <c r="H195" s="223" t="str">
        <f>(IF((VLOOKUP(Table10[[#This Row],[SKU]],'All Skus'!$A:$AC,2,FALSE))="Martin",(VLOOKUP(Table10[[#This Row],[SKU]],'All Skus'!$A:$AC,9,FALSE)),""))</f>
        <v>MARTIN ELP 19° LENS TUBE</v>
      </c>
      <c r="I195" s="225">
        <f>(IF((VLOOKUP(Table10[[#This Row],[SKU]],'All Skus'!$A:$AC,2,FALSE))="Martin",(VLOOKUP(Table10[[#This Row],[SKU]],'All Skus'!$A:$AC,10,FALSE)),""))</f>
        <v>429.7</v>
      </c>
      <c r="J195" s="226">
        <f>(IF((VLOOKUP(Table10[[#This Row],[SKU]],'All Skus'!$A:$AC,2,FALSE))="Martin",(VLOOKUP(Table10[[#This Row],[SKU]],'All Skus'!$A:$AC,11,FALSE)),""))</f>
        <v>429.7</v>
      </c>
      <c r="K195" s="224">
        <f>(IF((VLOOKUP(Table10[[#This Row],[SKU]],'All Skus'!$A:$AC,2,FALSE))="Martin",(VLOOKUP(Table10[[#This Row],[SKU]],'All Skus'!$A:$AC,15,FALSE)),""))</f>
        <v>0</v>
      </c>
      <c r="L195" s="224">
        <f>(IF((VLOOKUP(Table10[[#This Row],[SKU]],'All Skus'!$A:$AC,2,FALSE))="Martin",(VLOOKUP(Table10[[#This Row],[SKU]],'All Skus'!$A:$AC,16,FALSE)),""))</f>
        <v>688705005195</v>
      </c>
      <c r="M195" s="224">
        <f>(IF((VLOOKUP(Table10[[#This Row],[SKU]],'All Skus'!$A:$AC,2,FALSE))="Martin",(VLOOKUP(Table10[[#This Row],[SKU]],'All Skus'!$A:$AC,17,FALSE)),""))</f>
        <v>0</v>
      </c>
      <c r="N195" s="227">
        <f>(IF((VLOOKUP(Table10[[#This Row],[SKU]],'All Skus'!$A:$AC,2,FALSE))="Martin",(VLOOKUP(Table10[[#This Row],[SKU]],'All Skus'!$A:$AC,18,FALSE)),""))</f>
        <v>11.8</v>
      </c>
      <c r="O195" s="227">
        <f>(IF((VLOOKUP(Table10[[#This Row],[SKU]],'All Skus'!$A:$AC,2,FALSE))="Martin",(VLOOKUP(Table10[[#This Row],[SKU]],'All Skus'!$A:$AC,19,FALSE)),""))</f>
        <v>8.6</v>
      </c>
      <c r="P195" s="227">
        <f>(IF((VLOOKUP(Table10[[#This Row],[SKU]],'All Skus'!$A:$AC,2,FALSE))="Martin",(VLOOKUP(Table10[[#This Row],[SKU]],'All Skus'!$A:$AC,20,FALSE)),""))</f>
        <v>0</v>
      </c>
      <c r="Q195" s="227">
        <f>(IF((VLOOKUP(Table10[[#This Row],[SKU]],'All Skus'!$A:$AC,2,FALSE))="Martin",(VLOOKUP(Table10[[#This Row],[SKU]],'All Skus'!$A:$AC,21,FALSE)),""))</f>
        <v>0</v>
      </c>
      <c r="R195" s="224" t="str">
        <f>(IF((VLOOKUP(Table10[[#This Row],[SKU]],'All Skus'!$A:$AC,2,FALSE))="Martin",(VLOOKUP(Table10[[#This Row],[SKU]],'All Skus'!$A:$AC,22,FALSE)),""))</f>
        <v>CN</v>
      </c>
      <c r="S195" s="223">
        <f>(IF((VLOOKUP(Table10[[#This Row],[SKU]],'All Skus'!$A:$AC,2,FALSE))="Martin",(VLOOKUP(Table10[[#This Row],[SKU]],'All Skus'!$A:$AC,23,FALSE)),""))</f>
        <v>0</v>
      </c>
      <c r="T195" s="212" t="str">
        <f>HYPERLINK((IF((VLOOKUP(Table10[[#This Row],[SKU]],'All Skus'!$A:$AC,2,FALSE))="Martin",(VLOOKUP(Table10[[#This Row],[SKU]],'All Skus'!$A:$AC,24,FALSE)),"")))</f>
        <v>https://www.martin.com/en/product_families/elp</v>
      </c>
      <c r="U195" s="228">
        <v>193</v>
      </c>
    </row>
    <row r="196" spans="1:21" hidden="1">
      <c r="A196" s="90">
        <v>9045107783</v>
      </c>
      <c r="B196" s="224" t="str">
        <f>(IF((VLOOKUP(Table10[[#This Row],[SKU]],'All Skus'!$A:$AC,2,FALSE))="Martin",(VLOOKUP(Table10[[#This Row],[SKU]],'All Skus'!$A:$AC,3,FALSE)),""))</f>
        <v>Static Lights</v>
      </c>
      <c r="C196" s="223" t="str">
        <f>(IF((VLOOKUP(Table10[[#This Row],[SKU]],'All Skus'!$A:$AC,2,FALSE))="Martin",(VLOOKUP(Table10[[#This Row],[SKU]],'All Skus'!$A:$AC,4,FALSE)),""))</f>
        <v>MARTIN ELP 26° LENS TUBE</v>
      </c>
      <c r="D196" s="224" t="str">
        <f>(IF((VLOOKUP(Table10[[#This Row],[SKU]],'All Skus'!$A:$AC,2,FALSE))="Martin",(VLOOKUP(Table10[[#This Row],[SKU]],'All Skus'!$A:$AC,5,FALSE)),""))</f>
        <v>MAR-ELP</v>
      </c>
      <c r="E196" s="223">
        <f>(IF((VLOOKUP(Table10[[#This Row],[SKU]],'All Skus'!$A:$AC,2,FALSE))="Martin",(VLOOKUP(Table10[[#This Row],[SKU]],'All Skus'!$A:$AC,6,FALSE)),""))</f>
        <v>0</v>
      </c>
      <c r="F196" s="155">
        <f>(IF((VLOOKUP(Table10[[#This Row],[SKU]],'All Skus'!$A:$AC,2,FALSE))="Martin",(VLOOKUP(Table10[[#This Row],[SKU]],'All Skus'!$A:$AC,7,FALSE)),""))</f>
        <v>0</v>
      </c>
      <c r="G196" s="223" t="str">
        <f>(IF((VLOOKUP(Table10[[#This Row],[SKU]],'All Skus'!$A:$AC,2,FALSE))="Martin",(VLOOKUP(Table10[[#This Row],[SKU]],'All Skus'!$A:$AC,8,FALSE)),""))</f>
        <v>MARTIN ELP 26° LENS TUBE</v>
      </c>
      <c r="H196" s="223" t="str">
        <f>(IF((VLOOKUP(Table10[[#This Row],[SKU]],'All Skus'!$A:$AC,2,FALSE))="Martin",(VLOOKUP(Table10[[#This Row],[SKU]],'All Skus'!$A:$AC,9,FALSE)),""))</f>
        <v>MARTIN ELP 26° LENS TUBE</v>
      </c>
      <c r="I196" s="225">
        <f>(IF((VLOOKUP(Table10[[#This Row],[SKU]],'All Skus'!$A:$AC,2,FALSE))="Martin",(VLOOKUP(Table10[[#This Row],[SKU]],'All Skus'!$A:$AC,10,FALSE)),""))</f>
        <v>429.7</v>
      </c>
      <c r="J196" s="226">
        <f>(IF((VLOOKUP(Table10[[#This Row],[SKU]],'All Skus'!$A:$AC,2,FALSE))="Martin",(VLOOKUP(Table10[[#This Row],[SKU]],'All Skus'!$A:$AC,11,FALSE)),""))</f>
        <v>429.7</v>
      </c>
      <c r="K196" s="224">
        <f>(IF((VLOOKUP(Table10[[#This Row],[SKU]],'All Skus'!$A:$AC,2,FALSE))="Martin",(VLOOKUP(Table10[[#This Row],[SKU]],'All Skus'!$A:$AC,15,FALSE)),""))</f>
        <v>0</v>
      </c>
      <c r="L196" s="224">
        <f>(IF((VLOOKUP(Table10[[#This Row],[SKU]],'All Skus'!$A:$AC,2,FALSE))="Martin",(VLOOKUP(Table10[[#This Row],[SKU]],'All Skus'!$A:$AC,16,FALSE)),""))</f>
        <v>688705005201</v>
      </c>
      <c r="M196" s="224">
        <f>(IF((VLOOKUP(Table10[[#This Row],[SKU]],'All Skus'!$A:$AC,2,FALSE))="Martin",(VLOOKUP(Table10[[#This Row],[SKU]],'All Skus'!$A:$AC,17,FALSE)),""))</f>
        <v>0</v>
      </c>
      <c r="N196" s="227">
        <f>(IF((VLOOKUP(Table10[[#This Row],[SKU]],'All Skus'!$A:$AC,2,FALSE))="Martin",(VLOOKUP(Table10[[#This Row],[SKU]],'All Skus'!$A:$AC,18,FALSE)),""))</f>
        <v>11.8</v>
      </c>
      <c r="O196" s="227">
        <f>(IF((VLOOKUP(Table10[[#This Row],[SKU]],'All Skus'!$A:$AC,2,FALSE))="Martin",(VLOOKUP(Table10[[#This Row],[SKU]],'All Skus'!$A:$AC,19,FALSE)),""))</f>
        <v>8.6</v>
      </c>
      <c r="P196" s="227">
        <f>(IF((VLOOKUP(Table10[[#This Row],[SKU]],'All Skus'!$A:$AC,2,FALSE))="Martin",(VLOOKUP(Table10[[#This Row],[SKU]],'All Skus'!$A:$AC,20,FALSE)),""))</f>
        <v>0</v>
      </c>
      <c r="Q196" s="227">
        <f>(IF((VLOOKUP(Table10[[#This Row],[SKU]],'All Skus'!$A:$AC,2,FALSE))="Martin",(VLOOKUP(Table10[[#This Row],[SKU]],'All Skus'!$A:$AC,21,FALSE)),""))</f>
        <v>0</v>
      </c>
      <c r="R196" s="224" t="str">
        <f>(IF((VLOOKUP(Table10[[#This Row],[SKU]],'All Skus'!$A:$AC,2,FALSE))="Martin",(VLOOKUP(Table10[[#This Row],[SKU]],'All Skus'!$A:$AC,22,FALSE)),""))</f>
        <v>CN</v>
      </c>
      <c r="S196" s="223">
        <f>(IF((VLOOKUP(Table10[[#This Row],[SKU]],'All Skus'!$A:$AC,2,FALSE))="Martin",(VLOOKUP(Table10[[#This Row],[SKU]],'All Skus'!$A:$AC,23,FALSE)),""))</f>
        <v>0</v>
      </c>
      <c r="T196" s="212" t="str">
        <f>HYPERLINK((IF((VLOOKUP(Table10[[#This Row],[SKU]],'All Skus'!$A:$AC,2,FALSE))="Martin",(VLOOKUP(Table10[[#This Row],[SKU]],'All Skus'!$A:$AC,24,FALSE)),"")))</f>
        <v>https://www.martin.com/en/product_families/elp</v>
      </c>
      <c r="U196" s="228">
        <v>194</v>
      </c>
    </row>
    <row r="197" spans="1:21" hidden="1">
      <c r="A197" s="90">
        <v>9045107784</v>
      </c>
      <c r="B197" s="224" t="str">
        <f>(IF((VLOOKUP(Table10[[#This Row],[SKU]],'All Skus'!$A:$AC,2,FALSE))="Martin",(VLOOKUP(Table10[[#This Row],[SKU]],'All Skus'!$A:$AC,3,FALSE)),""))</f>
        <v>Static Lights</v>
      </c>
      <c r="C197" s="223" t="str">
        <f>(IF((VLOOKUP(Table10[[#This Row],[SKU]],'All Skus'!$A:$AC,2,FALSE))="Martin",(VLOOKUP(Table10[[#This Row],[SKU]],'All Skus'!$A:$AC,4,FALSE)),""))</f>
        <v>MARTIN ELP 36° LENS TUBE</v>
      </c>
      <c r="D197" s="224" t="str">
        <f>(IF((VLOOKUP(Table10[[#This Row],[SKU]],'All Skus'!$A:$AC,2,FALSE))="Martin",(VLOOKUP(Table10[[#This Row],[SKU]],'All Skus'!$A:$AC,5,FALSE)),""))</f>
        <v>MAR-ELP</v>
      </c>
      <c r="E197" s="223">
        <f>(IF((VLOOKUP(Table10[[#This Row],[SKU]],'All Skus'!$A:$AC,2,FALSE))="Martin",(VLOOKUP(Table10[[#This Row],[SKU]],'All Skus'!$A:$AC,6,FALSE)),""))</f>
        <v>0</v>
      </c>
      <c r="F197" s="155">
        <f>(IF((VLOOKUP(Table10[[#This Row],[SKU]],'All Skus'!$A:$AC,2,FALSE))="Martin",(VLOOKUP(Table10[[#This Row],[SKU]],'All Skus'!$A:$AC,7,FALSE)),""))</f>
        <v>0</v>
      </c>
      <c r="G197" s="223" t="str">
        <f>(IF((VLOOKUP(Table10[[#This Row],[SKU]],'All Skus'!$A:$AC,2,FALSE))="Martin",(VLOOKUP(Table10[[#This Row],[SKU]],'All Skus'!$A:$AC,8,FALSE)),""))</f>
        <v>MARTIN ELP 36° LENS TUBE</v>
      </c>
      <c r="H197" s="223" t="str">
        <f>(IF((VLOOKUP(Table10[[#This Row],[SKU]],'All Skus'!$A:$AC,2,FALSE))="Martin",(VLOOKUP(Table10[[#This Row],[SKU]],'All Skus'!$A:$AC,9,FALSE)),""))</f>
        <v>MARTIN ELP 36° LENS TUBE</v>
      </c>
      <c r="I197" s="225">
        <f>(IF((VLOOKUP(Table10[[#This Row],[SKU]],'All Skus'!$A:$AC,2,FALSE))="Martin",(VLOOKUP(Table10[[#This Row],[SKU]],'All Skus'!$A:$AC,10,FALSE)),""))</f>
        <v>429.7</v>
      </c>
      <c r="J197" s="226">
        <f>(IF((VLOOKUP(Table10[[#This Row],[SKU]],'All Skus'!$A:$AC,2,FALSE))="Martin",(VLOOKUP(Table10[[#This Row],[SKU]],'All Skus'!$A:$AC,11,FALSE)),""))</f>
        <v>429.7</v>
      </c>
      <c r="K197" s="224">
        <f>(IF((VLOOKUP(Table10[[#This Row],[SKU]],'All Skus'!$A:$AC,2,FALSE))="Martin",(VLOOKUP(Table10[[#This Row],[SKU]],'All Skus'!$A:$AC,15,FALSE)),""))</f>
        <v>0</v>
      </c>
      <c r="L197" s="224">
        <f>(IF((VLOOKUP(Table10[[#This Row],[SKU]],'All Skus'!$A:$AC,2,FALSE))="Martin",(VLOOKUP(Table10[[#This Row],[SKU]],'All Skus'!$A:$AC,16,FALSE)),""))</f>
        <v>688705005218</v>
      </c>
      <c r="M197" s="224">
        <f>(IF((VLOOKUP(Table10[[#This Row],[SKU]],'All Skus'!$A:$AC,2,FALSE))="Martin",(VLOOKUP(Table10[[#This Row],[SKU]],'All Skus'!$A:$AC,17,FALSE)),""))</f>
        <v>0</v>
      </c>
      <c r="N197" s="227">
        <f>(IF((VLOOKUP(Table10[[#This Row],[SKU]],'All Skus'!$A:$AC,2,FALSE))="Martin",(VLOOKUP(Table10[[#This Row],[SKU]],'All Skus'!$A:$AC,18,FALSE)),""))</f>
        <v>11.8</v>
      </c>
      <c r="O197" s="227">
        <f>(IF((VLOOKUP(Table10[[#This Row],[SKU]],'All Skus'!$A:$AC,2,FALSE))="Martin",(VLOOKUP(Table10[[#This Row],[SKU]],'All Skus'!$A:$AC,19,FALSE)),""))</f>
        <v>8.6</v>
      </c>
      <c r="P197" s="227">
        <f>(IF((VLOOKUP(Table10[[#This Row],[SKU]],'All Skus'!$A:$AC,2,FALSE))="Martin",(VLOOKUP(Table10[[#This Row],[SKU]],'All Skus'!$A:$AC,20,FALSE)),""))</f>
        <v>0</v>
      </c>
      <c r="Q197" s="227">
        <f>(IF((VLOOKUP(Table10[[#This Row],[SKU]],'All Skus'!$A:$AC,2,FALSE))="Martin",(VLOOKUP(Table10[[#This Row],[SKU]],'All Skus'!$A:$AC,21,FALSE)),""))</f>
        <v>0</v>
      </c>
      <c r="R197" s="224" t="str">
        <f>(IF((VLOOKUP(Table10[[#This Row],[SKU]],'All Skus'!$A:$AC,2,FALSE))="Martin",(VLOOKUP(Table10[[#This Row],[SKU]],'All Skus'!$A:$AC,22,FALSE)),""))</f>
        <v>CN</v>
      </c>
      <c r="S197" s="223" t="str">
        <f>(IF((VLOOKUP(Table10[[#This Row],[SKU]],'All Skus'!$A:$AC,2,FALSE))="Martin",(VLOOKUP(Table10[[#This Row],[SKU]],'All Skus'!$A:$AC,23,FALSE)),""))</f>
        <v>Non Compliant</v>
      </c>
      <c r="T197" s="212" t="str">
        <f>HYPERLINK((IF((VLOOKUP(Table10[[#This Row],[SKU]],'All Skus'!$A:$AC,2,FALSE))="Martin",(VLOOKUP(Table10[[#This Row],[SKU]],'All Skus'!$A:$AC,24,FALSE)),"")))</f>
        <v>https://www.martin.com/en/product_families/elp</v>
      </c>
      <c r="U197" s="228">
        <v>195</v>
      </c>
    </row>
    <row r="198" spans="1:21" hidden="1">
      <c r="A198" s="90">
        <v>9045107785</v>
      </c>
      <c r="B198" s="224" t="str">
        <f>(IF((VLOOKUP(Table10[[#This Row],[SKU]],'All Skus'!$A:$AC,2,FALSE))="Martin",(VLOOKUP(Table10[[#This Row],[SKU]],'All Skus'!$A:$AC,3,FALSE)),""))</f>
        <v>Static Lights</v>
      </c>
      <c r="C198" s="223" t="str">
        <f>(IF((VLOOKUP(Table10[[#This Row],[SKU]],'All Skus'!$A:$AC,2,FALSE))="Martin",(VLOOKUP(Table10[[#This Row],[SKU]],'All Skus'!$A:$AC,4,FALSE)),""))</f>
        <v>MARTIN ELP 50° LENS TUBE</v>
      </c>
      <c r="D198" s="224" t="str">
        <f>(IF((VLOOKUP(Table10[[#This Row],[SKU]],'All Skus'!$A:$AC,2,FALSE))="Martin",(VLOOKUP(Table10[[#This Row],[SKU]],'All Skus'!$A:$AC,5,FALSE)),""))</f>
        <v>MAR-ELP</v>
      </c>
      <c r="E198" s="223">
        <f>(IF((VLOOKUP(Table10[[#This Row],[SKU]],'All Skus'!$A:$AC,2,FALSE))="Martin",(VLOOKUP(Table10[[#This Row],[SKU]],'All Skus'!$A:$AC,6,FALSE)),""))</f>
        <v>0</v>
      </c>
      <c r="F198" s="155">
        <f>(IF((VLOOKUP(Table10[[#This Row],[SKU]],'All Skus'!$A:$AC,2,FALSE))="Martin",(VLOOKUP(Table10[[#This Row],[SKU]],'All Skus'!$A:$AC,7,FALSE)),""))</f>
        <v>0</v>
      </c>
      <c r="G198" s="223" t="str">
        <f>(IF((VLOOKUP(Table10[[#This Row],[SKU]],'All Skus'!$A:$AC,2,FALSE))="Martin",(VLOOKUP(Table10[[#This Row],[SKU]],'All Skus'!$A:$AC,8,FALSE)),""))</f>
        <v>MARTIN ELP 50° LENS TUBE</v>
      </c>
      <c r="H198" s="223" t="str">
        <f>(IF((VLOOKUP(Table10[[#This Row],[SKU]],'All Skus'!$A:$AC,2,FALSE))="Martin",(VLOOKUP(Table10[[#This Row],[SKU]],'All Skus'!$A:$AC,9,FALSE)),""))</f>
        <v>MARTIN ELP 50° LENS TUBE</v>
      </c>
      <c r="I198" s="225">
        <f>(IF((VLOOKUP(Table10[[#This Row],[SKU]],'All Skus'!$A:$AC,2,FALSE))="Martin",(VLOOKUP(Table10[[#This Row],[SKU]],'All Skus'!$A:$AC,10,FALSE)),""))</f>
        <v>429.7</v>
      </c>
      <c r="J198" s="226">
        <f>(IF((VLOOKUP(Table10[[#This Row],[SKU]],'All Skus'!$A:$AC,2,FALSE))="Martin",(VLOOKUP(Table10[[#This Row],[SKU]],'All Skus'!$A:$AC,11,FALSE)),""))</f>
        <v>429.7</v>
      </c>
      <c r="K198" s="224">
        <f>(IF((VLOOKUP(Table10[[#This Row],[SKU]],'All Skus'!$A:$AC,2,FALSE))="Martin",(VLOOKUP(Table10[[#This Row],[SKU]],'All Skus'!$A:$AC,15,FALSE)),""))</f>
        <v>0</v>
      </c>
      <c r="L198" s="224">
        <f>(IF((VLOOKUP(Table10[[#This Row],[SKU]],'All Skus'!$A:$AC,2,FALSE))="Martin",(VLOOKUP(Table10[[#This Row],[SKU]],'All Skus'!$A:$AC,16,FALSE)),""))</f>
        <v>688705005225</v>
      </c>
      <c r="M198" s="224">
        <f>(IF((VLOOKUP(Table10[[#This Row],[SKU]],'All Skus'!$A:$AC,2,FALSE))="Martin",(VLOOKUP(Table10[[#This Row],[SKU]],'All Skus'!$A:$AC,17,FALSE)),""))</f>
        <v>0</v>
      </c>
      <c r="N198" s="227">
        <f>(IF((VLOOKUP(Table10[[#This Row],[SKU]],'All Skus'!$A:$AC,2,FALSE))="Martin",(VLOOKUP(Table10[[#This Row],[SKU]],'All Skus'!$A:$AC,18,FALSE)),""))</f>
        <v>11.8</v>
      </c>
      <c r="O198" s="227">
        <f>(IF((VLOOKUP(Table10[[#This Row],[SKU]],'All Skus'!$A:$AC,2,FALSE))="Martin",(VLOOKUP(Table10[[#This Row],[SKU]],'All Skus'!$A:$AC,19,FALSE)),""))</f>
        <v>8.6</v>
      </c>
      <c r="P198" s="227">
        <f>(IF((VLOOKUP(Table10[[#This Row],[SKU]],'All Skus'!$A:$AC,2,FALSE))="Martin",(VLOOKUP(Table10[[#This Row],[SKU]],'All Skus'!$A:$AC,20,FALSE)),""))</f>
        <v>0</v>
      </c>
      <c r="Q198" s="227">
        <f>(IF((VLOOKUP(Table10[[#This Row],[SKU]],'All Skus'!$A:$AC,2,FALSE))="Martin",(VLOOKUP(Table10[[#This Row],[SKU]],'All Skus'!$A:$AC,21,FALSE)),""))</f>
        <v>0</v>
      </c>
      <c r="R198" s="224" t="str">
        <f>(IF((VLOOKUP(Table10[[#This Row],[SKU]],'All Skus'!$A:$AC,2,FALSE))="Martin",(VLOOKUP(Table10[[#This Row],[SKU]],'All Skus'!$A:$AC,22,FALSE)),""))</f>
        <v>CN</v>
      </c>
      <c r="S198" s="223" t="str">
        <f>(IF((VLOOKUP(Table10[[#This Row],[SKU]],'All Skus'!$A:$AC,2,FALSE))="Martin",(VLOOKUP(Table10[[#This Row],[SKU]],'All Skus'!$A:$AC,23,FALSE)),""))</f>
        <v>Non Compliant</v>
      </c>
      <c r="T198" s="212" t="str">
        <f>HYPERLINK((IF((VLOOKUP(Table10[[#This Row],[SKU]],'All Skus'!$A:$AC,2,FALSE))="Martin",(VLOOKUP(Table10[[#This Row],[SKU]],'All Skus'!$A:$AC,24,FALSE)),"")))</f>
        <v>https://www.martin.com/en/product_families/elp</v>
      </c>
      <c r="U198" s="228">
        <v>196</v>
      </c>
    </row>
    <row r="199" spans="1:21" hidden="1">
      <c r="A199" s="229">
        <v>9045115166</v>
      </c>
      <c r="B199" s="224" t="str">
        <f>(IF((VLOOKUP(Table10[[#This Row],[SKU]],'All Skus'!$A:$AC,2,FALSE))="Martin",(VLOOKUP(Table10[[#This Row],[SKU]],'All Skus'!$A:$AC,3,FALSE)),""))</f>
        <v>Static Lights</v>
      </c>
      <c r="C199" s="223" t="str">
        <f>(IF((VLOOKUP(Table10[[#This Row],[SKU]],'All Skus'!$A:$AC,2,FALSE))="Martin",(VLOOKUP(Table10[[#This Row],[SKU]],'All Skus'!$A:$AC,4,FALSE)),""))</f>
        <v>MARTIN ELP 19° LENS TUBE WHITE</v>
      </c>
      <c r="D199" s="224" t="str">
        <f>(IF((VLOOKUP(Table10[[#This Row],[SKU]],'All Skus'!$A:$AC,2,FALSE))="Martin",(VLOOKUP(Table10[[#This Row],[SKU]],'All Skus'!$A:$AC,5,FALSE)),""))</f>
        <v>MAR-ELP</v>
      </c>
      <c r="E199" s="223">
        <f>(IF((VLOOKUP(Table10[[#This Row],[SKU]],'All Skus'!$A:$AC,2,FALSE))="Martin",(VLOOKUP(Table10[[#This Row],[SKU]],'All Skus'!$A:$AC,6,FALSE)),""))</f>
        <v>0</v>
      </c>
      <c r="F199" s="155">
        <f>(IF((VLOOKUP(Table10[[#This Row],[SKU]],'All Skus'!$A:$AC,2,FALSE))="Martin",(VLOOKUP(Table10[[#This Row],[SKU]],'All Skus'!$A:$AC,7,FALSE)),""))</f>
        <v>0</v>
      </c>
      <c r="G199" s="223" t="str">
        <f>(IF((VLOOKUP(Table10[[#This Row],[SKU]],'All Skus'!$A:$AC,2,FALSE))="Martin",(VLOOKUP(Table10[[#This Row],[SKU]],'All Skus'!$A:$AC,8,FALSE)),""))</f>
        <v>MARTIN ELP 19° LENS TUBE WHITE</v>
      </c>
      <c r="H199" s="223" t="str">
        <f>(IF((VLOOKUP(Table10[[#This Row],[SKU]],'All Skus'!$A:$AC,2,FALSE))="Martin",(VLOOKUP(Table10[[#This Row],[SKU]],'All Skus'!$A:$AC,9,FALSE)),""))</f>
        <v>MARTIN ELP 19° LENS TUBE WHITE</v>
      </c>
      <c r="I199" s="225">
        <f>(IF((VLOOKUP(Table10[[#This Row],[SKU]],'All Skus'!$A:$AC,2,FALSE))="Martin",(VLOOKUP(Table10[[#This Row],[SKU]],'All Skus'!$A:$AC,10,FALSE)),""))</f>
        <v>456.86</v>
      </c>
      <c r="J199" s="226">
        <f>(IF((VLOOKUP(Table10[[#This Row],[SKU]],'All Skus'!$A:$AC,2,FALSE))="Martin",(VLOOKUP(Table10[[#This Row],[SKU]],'All Skus'!$A:$AC,11,FALSE)),""))</f>
        <v>456.86</v>
      </c>
      <c r="K199" s="224">
        <f>(IF((VLOOKUP(Table10[[#This Row],[SKU]],'All Skus'!$A:$AC,2,FALSE))="Martin",(VLOOKUP(Table10[[#This Row],[SKU]],'All Skus'!$A:$AC,15,FALSE)),""))</f>
        <v>0</v>
      </c>
      <c r="L199" s="224">
        <f>(IF((VLOOKUP(Table10[[#This Row],[SKU]],'All Skus'!$A:$AC,2,FALSE))="Martin",(VLOOKUP(Table10[[#This Row],[SKU]],'All Skus'!$A:$AC,16,FALSE)),""))</f>
        <v>688705005560</v>
      </c>
      <c r="M199" s="224">
        <f>(IF((VLOOKUP(Table10[[#This Row],[SKU]],'All Skus'!$A:$AC,2,FALSE))="Martin",(VLOOKUP(Table10[[#This Row],[SKU]],'All Skus'!$A:$AC,17,FALSE)),""))</f>
        <v>0</v>
      </c>
      <c r="N199" s="227">
        <f>(IF((VLOOKUP(Table10[[#This Row],[SKU]],'All Skus'!$A:$AC,2,FALSE))="Martin",(VLOOKUP(Table10[[#This Row],[SKU]],'All Skus'!$A:$AC,18,FALSE)),""))</f>
        <v>0</v>
      </c>
      <c r="O199" s="227">
        <f>(IF((VLOOKUP(Table10[[#This Row],[SKU]],'All Skus'!$A:$AC,2,FALSE))="Martin",(VLOOKUP(Table10[[#This Row],[SKU]],'All Skus'!$A:$AC,19,FALSE)),""))</f>
        <v>0</v>
      </c>
      <c r="P199" s="227">
        <f>(IF((VLOOKUP(Table10[[#This Row],[SKU]],'All Skus'!$A:$AC,2,FALSE))="Martin",(VLOOKUP(Table10[[#This Row],[SKU]],'All Skus'!$A:$AC,20,FALSE)),""))</f>
        <v>0</v>
      </c>
      <c r="Q199" s="227">
        <f>(IF((VLOOKUP(Table10[[#This Row],[SKU]],'All Skus'!$A:$AC,2,FALSE))="Martin",(VLOOKUP(Table10[[#This Row],[SKU]],'All Skus'!$A:$AC,21,FALSE)),""))</f>
        <v>0</v>
      </c>
      <c r="R199" s="224" t="str">
        <f>(IF((VLOOKUP(Table10[[#This Row],[SKU]],'All Skus'!$A:$AC,2,FALSE))="Martin",(VLOOKUP(Table10[[#This Row],[SKU]],'All Skus'!$A:$AC,22,FALSE)),""))</f>
        <v>CN</v>
      </c>
      <c r="S199" s="223">
        <f>(IF((VLOOKUP(Table10[[#This Row],[SKU]],'All Skus'!$A:$AC,2,FALSE))="Martin",(VLOOKUP(Table10[[#This Row],[SKU]],'All Skus'!$A:$AC,23,FALSE)),""))</f>
        <v>0</v>
      </c>
      <c r="T199" s="212" t="str">
        <f>HYPERLINK((IF((VLOOKUP(Table10[[#This Row],[SKU]],'All Skus'!$A:$AC,2,FALSE))="Martin",(VLOOKUP(Table10[[#This Row],[SKU]],'All Skus'!$A:$AC,24,FALSE)),"")))</f>
        <v>https://www.martin.com/en/product_families/elp</v>
      </c>
      <c r="U199" s="228">
        <v>197</v>
      </c>
    </row>
    <row r="200" spans="1:21" hidden="1">
      <c r="A200" s="229">
        <v>9045115167</v>
      </c>
      <c r="B200" s="224" t="str">
        <f>(IF((VLOOKUP(Table10[[#This Row],[SKU]],'All Skus'!$A:$AC,2,FALSE))="Martin",(VLOOKUP(Table10[[#This Row],[SKU]],'All Skus'!$A:$AC,3,FALSE)),""))</f>
        <v>Static Lights</v>
      </c>
      <c r="C200" s="223" t="str">
        <f>(IF((VLOOKUP(Table10[[#This Row],[SKU]],'All Skus'!$A:$AC,2,FALSE))="Martin",(VLOOKUP(Table10[[#This Row],[SKU]],'All Skus'!$A:$AC,4,FALSE)),""))</f>
        <v>MARTIN ELP 26° LENS TUBE WHITE</v>
      </c>
      <c r="D200" s="224" t="str">
        <f>(IF((VLOOKUP(Table10[[#This Row],[SKU]],'All Skus'!$A:$AC,2,FALSE))="Martin",(VLOOKUP(Table10[[#This Row],[SKU]],'All Skus'!$A:$AC,5,FALSE)),""))</f>
        <v>MAR-ELP</v>
      </c>
      <c r="E200" s="223">
        <f>(IF((VLOOKUP(Table10[[#This Row],[SKU]],'All Skus'!$A:$AC,2,FALSE))="Martin",(VLOOKUP(Table10[[#This Row],[SKU]],'All Skus'!$A:$AC,6,FALSE)),""))</f>
        <v>0</v>
      </c>
      <c r="F200" s="155">
        <f>(IF((VLOOKUP(Table10[[#This Row],[SKU]],'All Skus'!$A:$AC,2,FALSE))="Martin",(VLOOKUP(Table10[[#This Row],[SKU]],'All Skus'!$A:$AC,7,FALSE)),""))</f>
        <v>0</v>
      </c>
      <c r="G200" s="223" t="str">
        <f>(IF((VLOOKUP(Table10[[#This Row],[SKU]],'All Skus'!$A:$AC,2,FALSE))="Martin",(VLOOKUP(Table10[[#This Row],[SKU]],'All Skus'!$A:$AC,8,FALSE)),""))</f>
        <v>MARTIN ELP 26° LENS TUBE WHITE</v>
      </c>
      <c r="H200" s="223" t="str">
        <f>(IF((VLOOKUP(Table10[[#This Row],[SKU]],'All Skus'!$A:$AC,2,FALSE))="Martin",(VLOOKUP(Table10[[#This Row],[SKU]],'All Skus'!$A:$AC,9,FALSE)),""))</f>
        <v>MARTIN ELP 26° LENS TUBE WHITE</v>
      </c>
      <c r="I200" s="225">
        <f>(IF((VLOOKUP(Table10[[#This Row],[SKU]],'All Skus'!$A:$AC,2,FALSE))="Martin",(VLOOKUP(Table10[[#This Row],[SKU]],'All Skus'!$A:$AC,10,FALSE)),""))</f>
        <v>456.86</v>
      </c>
      <c r="J200" s="226">
        <f>(IF((VLOOKUP(Table10[[#This Row],[SKU]],'All Skus'!$A:$AC,2,FALSE))="Martin",(VLOOKUP(Table10[[#This Row],[SKU]],'All Skus'!$A:$AC,11,FALSE)),""))</f>
        <v>456.86</v>
      </c>
      <c r="K200" s="224">
        <f>(IF((VLOOKUP(Table10[[#This Row],[SKU]],'All Skus'!$A:$AC,2,FALSE))="Martin",(VLOOKUP(Table10[[#This Row],[SKU]],'All Skus'!$A:$AC,15,FALSE)),""))</f>
        <v>0</v>
      </c>
      <c r="L200" s="224">
        <f>(IF((VLOOKUP(Table10[[#This Row],[SKU]],'All Skus'!$A:$AC,2,FALSE))="Martin",(VLOOKUP(Table10[[#This Row],[SKU]],'All Skus'!$A:$AC,16,FALSE)),""))</f>
        <v>688705005553</v>
      </c>
      <c r="M200" s="224">
        <f>(IF((VLOOKUP(Table10[[#This Row],[SKU]],'All Skus'!$A:$AC,2,FALSE))="Martin",(VLOOKUP(Table10[[#This Row],[SKU]],'All Skus'!$A:$AC,17,FALSE)),""))</f>
        <v>0</v>
      </c>
      <c r="N200" s="227">
        <f>(IF((VLOOKUP(Table10[[#This Row],[SKU]],'All Skus'!$A:$AC,2,FALSE))="Martin",(VLOOKUP(Table10[[#This Row],[SKU]],'All Skus'!$A:$AC,18,FALSE)),""))</f>
        <v>0</v>
      </c>
      <c r="O200" s="227">
        <f>(IF((VLOOKUP(Table10[[#This Row],[SKU]],'All Skus'!$A:$AC,2,FALSE))="Martin",(VLOOKUP(Table10[[#This Row],[SKU]],'All Skus'!$A:$AC,19,FALSE)),""))</f>
        <v>0</v>
      </c>
      <c r="P200" s="227">
        <f>(IF((VLOOKUP(Table10[[#This Row],[SKU]],'All Skus'!$A:$AC,2,FALSE))="Martin",(VLOOKUP(Table10[[#This Row],[SKU]],'All Skus'!$A:$AC,20,FALSE)),""))</f>
        <v>0</v>
      </c>
      <c r="Q200" s="227">
        <f>(IF((VLOOKUP(Table10[[#This Row],[SKU]],'All Skus'!$A:$AC,2,FALSE))="Martin",(VLOOKUP(Table10[[#This Row],[SKU]],'All Skus'!$A:$AC,21,FALSE)),""))</f>
        <v>0</v>
      </c>
      <c r="R200" s="224" t="str">
        <f>(IF((VLOOKUP(Table10[[#This Row],[SKU]],'All Skus'!$A:$AC,2,FALSE))="Martin",(VLOOKUP(Table10[[#This Row],[SKU]],'All Skus'!$A:$AC,22,FALSE)),""))</f>
        <v>CN</v>
      </c>
      <c r="S200" s="223" t="str">
        <f>(IF((VLOOKUP(Table10[[#This Row],[SKU]],'All Skus'!$A:$AC,2,FALSE))="Martin",(VLOOKUP(Table10[[#This Row],[SKU]],'All Skus'!$A:$AC,23,FALSE)),""))</f>
        <v>Non Compliant</v>
      </c>
      <c r="T200" s="212" t="str">
        <f>HYPERLINK((IF((VLOOKUP(Table10[[#This Row],[SKU]],'All Skus'!$A:$AC,2,FALSE))="Martin",(VLOOKUP(Table10[[#This Row],[SKU]],'All Skus'!$A:$AC,24,FALSE)),"")))</f>
        <v>https://www.martin.com/en/product_families/elp</v>
      </c>
      <c r="U200" s="228">
        <v>198</v>
      </c>
    </row>
    <row r="201" spans="1:21" hidden="1">
      <c r="A201" s="229">
        <v>9045115168</v>
      </c>
      <c r="B201" s="224" t="str">
        <f>(IF((VLOOKUP(Table10[[#This Row],[SKU]],'All Skus'!$A:$AC,2,FALSE))="Martin",(VLOOKUP(Table10[[#This Row],[SKU]],'All Skus'!$A:$AC,3,FALSE)),""))</f>
        <v>Static Lights</v>
      </c>
      <c r="C201" s="223" t="str">
        <f>(IF((VLOOKUP(Table10[[#This Row],[SKU]],'All Skus'!$A:$AC,2,FALSE))="Martin",(VLOOKUP(Table10[[#This Row],[SKU]],'All Skus'!$A:$AC,4,FALSE)),""))</f>
        <v>MARTIN ELP 36° LENS TUBE WHITE</v>
      </c>
      <c r="D201" s="224" t="str">
        <f>(IF((VLOOKUP(Table10[[#This Row],[SKU]],'All Skus'!$A:$AC,2,FALSE))="Martin",(VLOOKUP(Table10[[#This Row],[SKU]],'All Skus'!$A:$AC,5,FALSE)),""))</f>
        <v>MAR-ELP</v>
      </c>
      <c r="E201" s="223">
        <f>(IF((VLOOKUP(Table10[[#This Row],[SKU]],'All Skus'!$A:$AC,2,FALSE))="Martin",(VLOOKUP(Table10[[#This Row],[SKU]],'All Skus'!$A:$AC,6,FALSE)),""))</f>
        <v>0</v>
      </c>
      <c r="F201" s="155">
        <f>(IF((VLOOKUP(Table10[[#This Row],[SKU]],'All Skus'!$A:$AC,2,FALSE))="Martin",(VLOOKUP(Table10[[#This Row],[SKU]],'All Skus'!$A:$AC,7,FALSE)),""))</f>
        <v>0</v>
      </c>
      <c r="G201" s="223" t="str">
        <f>(IF((VLOOKUP(Table10[[#This Row],[SKU]],'All Skus'!$A:$AC,2,FALSE))="Martin",(VLOOKUP(Table10[[#This Row],[SKU]],'All Skus'!$A:$AC,8,FALSE)),""))</f>
        <v>MARTIN ELP 36° LENS TUBE WHITE</v>
      </c>
      <c r="H201" s="223" t="str">
        <f>(IF((VLOOKUP(Table10[[#This Row],[SKU]],'All Skus'!$A:$AC,2,FALSE))="Martin",(VLOOKUP(Table10[[#This Row],[SKU]],'All Skus'!$A:$AC,9,FALSE)),""))</f>
        <v>MARTIN ELP 36° LENS TUBE WHITE</v>
      </c>
      <c r="I201" s="225">
        <f>(IF((VLOOKUP(Table10[[#This Row],[SKU]],'All Skus'!$A:$AC,2,FALSE))="Martin",(VLOOKUP(Table10[[#This Row],[SKU]],'All Skus'!$A:$AC,10,FALSE)),""))</f>
        <v>456.86</v>
      </c>
      <c r="J201" s="226">
        <f>(IF((VLOOKUP(Table10[[#This Row],[SKU]],'All Skus'!$A:$AC,2,FALSE))="Martin",(VLOOKUP(Table10[[#This Row],[SKU]],'All Skus'!$A:$AC,11,FALSE)),""))</f>
        <v>456.86</v>
      </c>
      <c r="K201" s="224">
        <f>(IF((VLOOKUP(Table10[[#This Row],[SKU]],'All Skus'!$A:$AC,2,FALSE))="Martin",(VLOOKUP(Table10[[#This Row],[SKU]],'All Skus'!$A:$AC,15,FALSE)),""))</f>
        <v>0</v>
      </c>
      <c r="L201" s="224">
        <f>(IF((VLOOKUP(Table10[[#This Row],[SKU]],'All Skus'!$A:$AC,2,FALSE))="Martin",(VLOOKUP(Table10[[#This Row],[SKU]],'All Skus'!$A:$AC,16,FALSE)),""))</f>
        <v>688705005584</v>
      </c>
      <c r="M201" s="224">
        <f>(IF((VLOOKUP(Table10[[#This Row],[SKU]],'All Skus'!$A:$AC,2,FALSE))="Martin",(VLOOKUP(Table10[[#This Row],[SKU]],'All Skus'!$A:$AC,17,FALSE)),""))</f>
        <v>0</v>
      </c>
      <c r="N201" s="227">
        <f>(IF((VLOOKUP(Table10[[#This Row],[SKU]],'All Skus'!$A:$AC,2,FALSE))="Martin",(VLOOKUP(Table10[[#This Row],[SKU]],'All Skus'!$A:$AC,18,FALSE)),""))</f>
        <v>0</v>
      </c>
      <c r="O201" s="227">
        <f>(IF((VLOOKUP(Table10[[#This Row],[SKU]],'All Skus'!$A:$AC,2,FALSE))="Martin",(VLOOKUP(Table10[[#This Row],[SKU]],'All Skus'!$A:$AC,19,FALSE)),""))</f>
        <v>0</v>
      </c>
      <c r="P201" s="227">
        <f>(IF((VLOOKUP(Table10[[#This Row],[SKU]],'All Skus'!$A:$AC,2,FALSE))="Martin",(VLOOKUP(Table10[[#This Row],[SKU]],'All Skus'!$A:$AC,20,FALSE)),""))</f>
        <v>0</v>
      </c>
      <c r="Q201" s="227">
        <f>(IF((VLOOKUP(Table10[[#This Row],[SKU]],'All Skus'!$A:$AC,2,FALSE))="Martin",(VLOOKUP(Table10[[#This Row],[SKU]],'All Skus'!$A:$AC,21,FALSE)),""))</f>
        <v>0</v>
      </c>
      <c r="R201" s="224" t="str">
        <f>(IF((VLOOKUP(Table10[[#This Row],[SKU]],'All Skus'!$A:$AC,2,FALSE))="Martin",(VLOOKUP(Table10[[#This Row],[SKU]],'All Skus'!$A:$AC,22,FALSE)),""))</f>
        <v>CN</v>
      </c>
      <c r="S201" s="223" t="str">
        <f>(IF((VLOOKUP(Table10[[#This Row],[SKU]],'All Skus'!$A:$AC,2,FALSE))="Martin",(VLOOKUP(Table10[[#This Row],[SKU]],'All Skus'!$A:$AC,23,FALSE)),""))</f>
        <v>Non Compliant</v>
      </c>
      <c r="T201" s="212" t="str">
        <f>HYPERLINK((IF((VLOOKUP(Table10[[#This Row],[SKU]],'All Skus'!$A:$AC,2,FALSE))="Martin",(VLOOKUP(Table10[[#This Row],[SKU]],'All Skus'!$A:$AC,24,FALSE)),"")))</f>
        <v>https://www.martin.com/en/product_families/elp</v>
      </c>
      <c r="U201" s="228">
        <v>199</v>
      </c>
    </row>
    <row r="202" spans="1:21" hidden="1">
      <c r="A202" s="229">
        <v>9045115170</v>
      </c>
      <c r="B202" s="224" t="str">
        <f>(IF((VLOOKUP(Table10[[#This Row],[SKU]],'All Skus'!$A:$AC,2,FALSE))="Martin",(VLOOKUP(Table10[[#This Row],[SKU]],'All Skus'!$A:$AC,3,FALSE)),""))</f>
        <v>Static Lights</v>
      </c>
      <c r="C202" s="223" t="str">
        <f>(IF((VLOOKUP(Table10[[#This Row],[SKU]],'All Skus'!$A:$AC,2,FALSE))="Martin",(VLOOKUP(Table10[[#This Row],[SKU]],'All Skus'!$A:$AC,4,FALSE)),""))</f>
        <v>MARTIN ELP 50° LENS TUBE WHITE</v>
      </c>
      <c r="D202" s="224" t="str">
        <f>(IF((VLOOKUP(Table10[[#This Row],[SKU]],'All Skus'!$A:$AC,2,FALSE))="Martin",(VLOOKUP(Table10[[#This Row],[SKU]],'All Skus'!$A:$AC,5,FALSE)),""))</f>
        <v>MAR-ELP</v>
      </c>
      <c r="E202" s="223">
        <f>(IF((VLOOKUP(Table10[[#This Row],[SKU]],'All Skus'!$A:$AC,2,FALSE))="Martin",(VLOOKUP(Table10[[#This Row],[SKU]],'All Skus'!$A:$AC,6,FALSE)),""))</f>
        <v>0</v>
      </c>
      <c r="F202" s="155">
        <f>(IF((VLOOKUP(Table10[[#This Row],[SKU]],'All Skus'!$A:$AC,2,FALSE))="Martin",(VLOOKUP(Table10[[#This Row],[SKU]],'All Skus'!$A:$AC,7,FALSE)),""))</f>
        <v>0</v>
      </c>
      <c r="G202" s="223" t="str">
        <f>(IF((VLOOKUP(Table10[[#This Row],[SKU]],'All Skus'!$A:$AC,2,FALSE))="Martin",(VLOOKUP(Table10[[#This Row],[SKU]],'All Skus'!$A:$AC,8,FALSE)),""))</f>
        <v>MARTIN ELP 50° LENS TUBE WHITE</v>
      </c>
      <c r="H202" s="223" t="str">
        <f>(IF((VLOOKUP(Table10[[#This Row],[SKU]],'All Skus'!$A:$AC,2,FALSE))="Martin",(VLOOKUP(Table10[[#This Row],[SKU]],'All Skus'!$A:$AC,9,FALSE)),""))</f>
        <v>MARTIN ELP 50° LENS TUBE WHITE</v>
      </c>
      <c r="I202" s="225">
        <f>(IF((VLOOKUP(Table10[[#This Row],[SKU]],'All Skus'!$A:$AC,2,FALSE))="Martin",(VLOOKUP(Table10[[#This Row],[SKU]],'All Skus'!$A:$AC,10,FALSE)),""))</f>
        <v>456.86</v>
      </c>
      <c r="J202" s="226">
        <f>(IF((VLOOKUP(Table10[[#This Row],[SKU]],'All Skus'!$A:$AC,2,FALSE))="Martin",(VLOOKUP(Table10[[#This Row],[SKU]],'All Skus'!$A:$AC,11,FALSE)),""))</f>
        <v>456.86</v>
      </c>
      <c r="K202" s="224">
        <f>(IF((VLOOKUP(Table10[[#This Row],[SKU]],'All Skus'!$A:$AC,2,FALSE))="Martin",(VLOOKUP(Table10[[#This Row],[SKU]],'All Skus'!$A:$AC,15,FALSE)),""))</f>
        <v>0</v>
      </c>
      <c r="L202" s="224">
        <f>(IF((VLOOKUP(Table10[[#This Row],[SKU]],'All Skus'!$A:$AC,2,FALSE))="Martin",(VLOOKUP(Table10[[#This Row],[SKU]],'All Skus'!$A:$AC,16,FALSE)),""))</f>
        <v>688705005577</v>
      </c>
      <c r="M202" s="224">
        <f>(IF((VLOOKUP(Table10[[#This Row],[SKU]],'All Skus'!$A:$AC,2,FALSE))="Martin",(VLOOKUP(Table10[[#This Row],[SKU]],'All Skus'!$A:$AC,17,FALSE)),""))</f>
        <v>0</v>
      </c>
      <c r="N202" s="227">
        <f>(IF((VLOOKUP(Table10[[#This Row],[SKU]],'All Skus'!$A:$AC,2,FALSE))="Martin",(VLOOKUP(Table10[[#This Row],[SKU]],'All Skus'!$A:$AC,18,FALSE)),""))</f>
        <v>0</v>
      </c>
      <c r="O202" s="227">
        <f>(IF((VLOOKUP(Table10[[#This Row],[SKU]],'All Skus'!$A:$AC,2,FALSE))="Martin",(VLOOKUP(Table10[[#This Row],[SKU]],'All Skus'!$A:$AC,19,FALSE)),""))</f>
        <v>0</v>
      </c>
      <c r="P202" s="227">
        <f>(IF((VLOOKUP(Table10[[#This Row],[SKU]],'All Skus'!$A:$AC,2,FALSE))="Martin",(VLOOKUP(Table10[[#This Row],[SKU]],'All Skus'!$A:$AC,20,FALSE)),""))</f>
        <v>0</v>
      </c>
      <c r="Q202" s="227">
        <f>(IF((VLOOKUP(Table10[[#This Row],[SKU]],'All Skus'!$A:$AC,2,FALSE))="Martin",(VLOOKUP(Table10[[#This Row],[SKU]],'All Skus'!$A:$AC,21,FALSE)),""))</f>
        <v>0</v>
      </c>
      <c r="R202" s="224" t="str">
        <f>(IF((VLOOKUP(Table10[[#This Row],[SKU]],'All Skus'!$A:$AC,2,FALSE))="Martin",(VLOOKUP(Table10[[#This Row],[SKU]],'All Skus'!$A:$AC,22,FALSE)),""))</f>
        <v>CN</v>
      </c>
      <c r="S202" s="223" t="str">
        <f>(IF((VLOOKUP(Table10[[#This Row],[SKU]],'All Skus'!$A:$AC,2,FALSE))="Martin",(VLOOKUP(Table10[[#This Row],[SKU]],'All Skus'!$A:$AC,23,FALSE)),""))</f>
        <v>Non Compliant</v>
      </c>
      <c r="T202" s="212" t="str">
        <f>HYPERLINK((IF((VLOOKUP(Table10[[#This Row],[SKU]],'All Skus'!$A:$AC,2,FALSE))="Martin",(VLOOKUP(Table10[[#This Row],[SKU]],'All Skus'!$A:$AC,24,FALSE)),"")))</f>
        <v>https://www.martin.com/en/product_families/elp</v>
      </c>
      <c r="U202" s="228">
        <v>200</v>
      </c>
    </row>
    <row r="203" spans="1:21" hidden="1">
      <c r="A203" s="229">
        <v>9045121618</v>
      </c>
      <c r="B203" s="224" t="str">
        <f>(IF((VLOOKUP(Table10[[#This Row],[SKU]],'All Skus'!$A:$AC,2,FALSE))="Martin",(VLOOKUP(Table10[[#This Row],[SKU]],'All Skus'!$A:$AC,3,FALSE)),""))</f>
        <v>Static Lights</v>
      </c>
      <c r="C203" s="223" t="str">
        <f>(IF((VLOOKUP(Table10[[#This Row],[SKU]],'All Skus'!$A:$AC,2,FALSE))="Martin",(VLOOKUP(Table10[[#This Row],[SKU]],'All Skus'!$A:$AC,4,FALSE)),""))</f>
        <v>MARTIN ELP 15° - 30° ZOOM LENS</v>
      </c>
      <c r="D203" s="224" t="str">
        <f>(IF((VLOOKUP(Table10[[#This Row],[SKU]],'All Skus'!$A:$AC,2,FALSE))="Martin",(VLOOKUP(Table10[[#This Row],[SKU]],'All Skus'!$A:$AC,5,FALSE)),""))</f>
        <v>MAR-ELP</v>
      </c>
      <c r="E203" s="223">
        <f>(IF((VLOOKUP(Table10[[#This Row],[SKU]],'All Skus'!$A:$AC,2,FALSE))="Martin",(VLOOKUP(Table10[[#This Row],[SKU]],'All Skus'!$A:$AC,6,FALSE)),""))</f>
        <v>0</v>
      </c>
      <c r="F203" s="155">
        <f>(IF((VLOOKUP(Table10[[#This Row],[SKU]],'All Skus'!$A:$AC,2,FALSE))="Martin",(VLOOKUP(Table10[[#This Row],[SKU]],'All Skus'!$A:$AC,7,FALSE)),""))</f>
        <v>0</v>
      </c>
      <c r="G203" s="223" t="str">
        <f>(IF((VLOOKUP(Table10[[#This Row],[SKU]],'All Skus'!$A:$AC,2,FALSE))="Martin",(VLOOKUP(Table10[[#This Row],[SKU]],'All Skus'!$A:$AC,8,FALSE)),""))</f>
        <v>MARTIN ELP 15° - 30° ZOOM LENS</v>
      </c>
      <c r="H203" s="223" t="str">
        <f>(IF((VLOOKUP(Table10[[#This Row],[SKU]],'All Skus'!$A:$AC,2,FALSE))="Martin",(VLOOKUP(Table10[[#This Row],[SKU]],'All Skus'!$A:$AC,9,FALSE)),""))</f>
        <v>MARTIN ELP 15° - 30° ZOOM LENS</v>
      </c>
      <c r="I203" s="225">
        <f>(IF((VLOOKUP(Table10[[#This Row],[SKU]],'All Skus'!$A:$AC,2,FALSE))="Martin",(VLOOKUP(Table10[[#This Row],[SKU]],'All Skus'!$A:$AC,10,FALSE)),""))</f>
        <v>819.88</v>
      </c>
      <c r="J203" s="226">
        <f>(IF((VLOOKUP(Table10[[#This Row],[SKU]],'All Skus'!$A:$AC,2,FALSE))="Martin",(VLOOKUP(Table10[[#This Row],[SKU]],'All Skus'!$A:$AC,11,FALSE)),""))</f>
        <v>819.88</v>
      </c>
      <c r="K203" s="224">
        <f>(IF((VLOOKUP(Table10[[#This Row],[SKU]],'All Skus'!$A:$AC,2,FALSE))="Martin",(VLOOKUP(Table10[[#This Row],[SKU]],'All Skus'!$A:$AC,15,FALSE)),""))</f>
        <v>0</v>
      </c>
      <c r="L203" s="224">
        <f>(IF((VLOOKUP(Table10[[#This Row],[SKU]],'All Skus'!$A:$AC,2,FALSE))="Martin",(VLOOKUP(Table10[[#This Row],[SKU]],'All Skus'!$A:$AC,16,FALSE)),""))</f>
        <v>688705006222</v>
      </c>
      <c r="M203" s="224">
        <f>(IF((VLOOKUP(Table10[[#This Row],[SKU]],'All Skus'!$A:$AC,2,FALSE))="Martin",(VLOOKUP(Table10[[#This Row],[SKU]],'All Skus'!$A:$AC,17,FALSE)),""))</f>
        <v>0</v>
      </c>
      <c r="N203" s="227">
        <f>(IF((VLOOKUP(Table10[[#This Row],[SKU]],'All Skus'!$A:$AC,2,FALSE))="Martin",(VLOOKUP(Table10[[#This Row],[SKU]],'All Skus'!$A:$AC,18,FALSE)),""))</f>
        <v>0</v>
      </c>
      <c r="O203" s="227">
        <f>(IF((VLOOKUP(Table10[[#This Row],[SKU]],'All Skus'!$A:$AC,2,FALSE))="Martin",(VLOOKUP(Table10[[#This Row],[SKU]],'All Skus'!$A:$AC,19,FALSE)),""))</f>
        <v>0</v>
      </c>
      <c r="P203" s="227">
        <f>(IF((VLOOKUP(Table10[[#This Row],[SKU]],'All Skus'!$A:$AC,2,FALSE))="Martin",(VLOOKUP(Table10[[#This Row],[SKU]],'All Skus'!$A:$AC,20,FALSE)),""))</f>
        <v>0</v>
      </c>
      <c r="Q203" s="227">
        <f>(IF((VLOOKUP(Table10[[#This Row],[SKU]],'All Skus'!$A:$AC,2,FALSE))="Martin",(VLOOKUP(Table10[[#This Row],[SKU]],'All Skus'!$A:$AC,21,FALSE)),""))</f>
        <v>0</v>
      </c>
      <c r="R203" s="224" t="str">
        <f>(IF((VLOOKUP(Table10[[#This Row],[SKU]],'All Skus'!$A:$AC,2,FALSE))="Martin",(VLOOKUP(Table10[[#This Row],[SKU]],'All Skus'!$A:$AC,22,FALSE)),""))</f>
        <v>CN</v>
      </c>
      <c r="S203" s="223">
        <f>(IF((VLOOKUP(Table10[[#This Row],[SKU]],'All Skus'!$A:$AC,2,FALSE))="Martin",(VLOOKUP(Table10[[#This Row],[SKU]],'All Skus'!$A:$AC,23,FALSE)),""))</f>
        <v>0</v>
      </c>
      <c r="T203" s="212" t="str">
        <f>HYPERLINK((IF((VLOOKUP(Table10[[#This Row],[SKU]],'All Skus'!$A:$AC,2,FALSE))="Martin",(VLOOKUP(Table10[[#This Row],[SKU]],'All Skus'!$A:$AC,24,FALSE)),"")))</f>
        <v/>
      </c>
      <c r="U203" s="228">
        <v>201</v>
      </c>
    </row>
    <row r="204" spans="1:21" hidden="1">
      <c r="A204" s="229">
        <v>9045121619</v>
      </c>
      <c r="B204" s="224" t="str">
        <f>(IF((VLOOKUP(Table10[[#This Row],[SKU]],'All Skus'!$A:$AC,2,FALSE))="Martin",(VLOOKUP(Table10[[#This Row],[SKU]],'All Skus'!$A:$AC,3,FALSE)),""))</f>
        <v>Static Lights</v>
      </c>
      <c r="C204" s="223" t="str">
        <f>(IF((VLOOKUP(Table10[[#This Row],[SKU]],'All Skus'!$A:$AC,2,FALSE))="Martin",(VLOOKUP(Table10[[#This Row],[SKU]],'All Skus'!$A:$AC,4,FALSE)),""))</f>
        <v>MARTIN ELP 25° - 50° ZOOM LENS</v>
      </c>
      <c r="D204" s="224" t="str">
        <f>(IF((VLOOKUP(Table10[[#This Row],[SKU]],'All Skus'!$A:$AC,2,FALSE))="Martin",(VLOOKUP(Table10[[#This Row],[SKU]],'All Skus'!$A:$AC,5,FALSE)),""))</f>
        <v>MAR-ELP</v>
      </c>
      <c r="E204" s="223">
        <f>(IF((VLOOKUP(Table10[[#This Row],[SKU]],'All Skus'!$A:$AC,2,FALSE))="Martin",(VLOOKUP(Table10[[#This Row],[SKU]],'All Skus'!$A:$AC,6,FALSE)),""))</f>
        <v>0</v>
      </c>
      <c r="F204" s="155">
        <f>(IF((VLOOKUP(Table10[[#This Row],[SKU]],'All Skus'!$A:$AC,2,FALSE))="Martin",(VLOOKUP(Table10[[#This Row],[SKU]],'All Skus'!$A:$AC,7,FALSE)),""))</f>
        <v>0</v>
      </c>
      <c r="G204" s="223" t="str">
        <f>(IF((VLOOKUP(Table10[[#This Row],[SKU]],'All Skus'!$A:$AC,2,FALSE))="Martin",(VLOOKUP(Table10[[#This Row],[SKU]],'All Skus'!$A:$AC,8,FALSE)),""))</f>
        <v>MARTIN ELP 25° - 50° ZOOM LENS</v>
      </c>
      <c r="H204" s="223" t="str">
        <f>(IF((VLOOKUP(Table10[[#This Row],[SKU]],'All Skus'!$A:$AC,2,FALSE))="Martin",(VLOOKUP(Table10[[#This Row],[SKU]],'All Skus'!$A:$AC,9,FALSE)),""))</f>
        <v>MARTIN ELP 25° - 50° ZOOM LENS</v>
      </c>
      <c r="I204" s="225">
        <f>(IF((VLOOKUP(Table10[[#This Row],[SKU]],'All Skus'!$A:$AC,2,FALSE))="Martin",(VLOOKUP(Table10[[#This Row],[SKU]],'All Skus'!$A:$AC,10,FALSE)),""))</f>
        <v>819.88</v>
      </c>
      <c r="J204" s="226">
        <f>(IF((VLOOKUP(Table10[[#This Row],[SKU]],'All Skus'!$A:$AC,2,FALSE))="Martin",(VLOOKUP(Table10[[#This Row],[SKU]],'All Skus'!$A:$AC,11,FALSE)),""))</f>
        <v>819.88</v>
      </c>
      <c r="K204" s="224">
        <f>(IF((VLOOKUP(Table10[[#This Row],[SKU]],'All Skus'!$A:$AC,2,FALSE))="Martin",(VLOOKUP(Table10[[#This Row],[SKU]],'All Skus'!$A:$AC,15,FALSE)),""))</f>
        <v>0</v>
      </c>
      <c r="L204" s="224">
        <f>(IF((VLOOKUP(Table10[[#This Row],[SKU]],'All Skus'!$A:$AC,2,FALSE))="Martin",(VLOOKUP(Table10[[#This Row],[SKU]],'All Skus'!$A:$AC,16,FALSE)),""))</f>
        <v>688705006239</v>
      </c>
      <c r="M204" s="224">
        <f>(IF((VLOOKUP(Table10[[#This Row],[SKU]],'All Skus'!$A:$AC,2,FALSE))="Martin",(VLOOKUP(Table10[[#This Row],[SKU]],'All Skus'!$A:$AC,17,FALSE)),""))</f>
        <v>0</v>
      </c>
      <c r="N204" s="227">
        <f>(IF((VLOOKUP(Table10[[#This Row],[SKU]],'All Skus'!$A:$AC,2,FALSE))="Martin",(VLOOKUP(Table10[[#This Row],[SKU]],'All Skus'!$A:$AC,18,FALSE)),""))</f>
        <v>0</v>
      </c>
      <c r="O204" s="227">
        <f>(IF((VLOOKUP(Table10[[#This Row],[SKU]],'All Skus'!$A:$AC,2,FALSE))="Martin",(VLOOKUP(Table10[[#This Row],[SKU]],'All Skus'!$A:$AC,19,FALSE)),""))</f>
        <v>0</v>
      </c>
      <c r="P204" s="227">
        <f>(IF((VLOOKUP(Table10[[#This Row],[SKU]],'All Skus'!$A:$AC,2,FALSE))="Martin",(VLOOKUP(Table10[[#This Row],[SKU]],'All Skus'!$A:$AC,20,FALSE)),""))</f>
        <v>0</v>
      </c>
      <c r="Q204" s="227">
        <f>(IF((VLOOKUP(Table10[[#This Row],[SKU]],'All Skus'!$A:$AC,2,FALSE))="Martin",(VLOOKUP(Table10[[#This Row],[SKU]],'All Skus'!$A:$AC,21,FALSE)),""))</f>
        <v>0</v>
      </c>
      <c r="R204" s="224" t="str">
        <f>(IF((VLOOKUP(Table10[[#This Row],[SKU]],'All Skus'!$A:$AC,2,FALSE))="Martin",(VLOOKUP(Table10[[#This Row],[SKU]],'All Skus'!$A:$AC,22,FALSE)),""))</f>
        <v>CN</v>
      </c>
      <c r="S204" s="223">
        <f>(IF((VLOOKUP(Table10[[#This Row],[SKU]],'All Skus'!$A:$AC,2,FALSE))="Martin",(VLOOKUP(Table10[[#This Row],[SKU]],'All Skus'!$A:$AC,23,FALSE)),""))</f>
        <v>0</v>
      </c>
      <c r="T204" s="212" t="str">
        <f>HYPERLINK((IF((VLOOKUP(Table10[[#This Row],[SKU]],'All Skus'!$A:$AC,2,FALSE))="Martin",(VLOOKUP(Table10[[#This Row],[SKU]],'All Skus'!$A:$AC,24,FALSE)),"")))</f>
        <v/>
      </c>
      <c r="U204" s="228">
        <v>202</v>
      </c>
    </row>
    <row r="205" spans="1:21" hidden="1">
      <c r="A205" s="229">
        <v>9045122108</v>
      </c>
      <c r="B205" s="224" t="str">
        <f>(IF((VLOOKUP(Table10[[#This Row],[SKU]],'All Skus'!$A:$AC,2,FALSE))="Martin",(VLOOKUP(Table10[[#This Row],[SKU]],'All Skus'!$A:$AC,3,FALSE)),""))</f>
        <v>Static Lights</v>
      </c>
      <c r="C205" s="223" t="str">
        <f>(IF((VLOOKUP(Table10[[#This Row],[SKU]],'All Skus'!$A:$AC,2,FALSE))="Martin",(VLOOKUP(Table10[[#This Row],[SKU]],'All Skus'!$A:$AC,4,FALSE)),""))</f>
        <v>MARTIN ELP 15° - 30° ZOOM LENS WHITE</v>
      </c>
      <c r="D205" s="224" t="str">
        <f>(IF((VLOOKUP(Table10[[#This Row],[SKU]],'All Skus'!$A:$AC,2,FALSE))="Martin",(VLOOKUP(Table10[[#This Row],[SKU]],'All Skus'!$A:$AC,5,FALSE)),""))</f>
        <v>MAR-ELP</v>
      </c>
      <c r="E205" s="223">
        <f>(IF((VLOOKUP(Table10[[#This Row],[SKU]],'All Skus'!$A:$AC,2,FALSE))="Martin",(VLOOKUP(Table10[[#This Row],[SKU]],'All Skus'!$A:$AC,6,FALSE)),""))</f>
        <v>0</v>
      </c>
      <c r="F205" s="155">
        <f>(IF((VLOOKUP(Table10[[#This Row],[SKU]],'All Skus'!$A:$AC,2,FALSE))="Martin",(VLOOKUP(Table10[[#This Row],[SKU]],'All Skus'!$A:$AC,7,FALSE)),""))</f>
        <v>0</v>
      </c>
      <c r="G205" s="223" t="str">
        <f>(IF((VLOOKUP(Table10[[#This Row],[SKU]],'All Skus'!$A:$AC,2,FALSE))="Martin",(VLOOKUP(Table10[[#This Row],[SKU]],'All Skus'!$A:$AC,8,FALSE)),""))</f>
        <v>MARTIN ELP 15° - 30° ZOOM LENS WHITE</v>
      </c>
      <c r="H205" s="223" t="str">
        <f>(IF((VLOOKUP(Table10[[#This Row],[SKU]],'All Skus'!$A:$AC,2,FALSE))="Martin",(VLOOKUP(Table10[[#This Row],[SKU]],'All Skus'!$A:$AC,9,FALSE)),""))</f>
        <v>MARTIN ELP 15° - 30° ZOOM LENS WHITE</v>
      </c>
      <c r="I205" s="225">
        <f>(IF((VLOOKUP(Table10[[#This Row],[SKU]],'All Skus'!$A:$AC,2,FALSE))="Martin",(VLOOKUP(Table10[[#This Row],[SKU]],'All Skus'!$A:$AC,10,FALSE)),""))</f>
        <v>871.74</v>
      </c>
      <c r="J205" s="226">
        <f>(IF((VLOOKUP(Table10[[#This Row],[SKU]],'All Skus'!$A:$AC,2,FALSE))="Martin",(VLOOKUP(Table10[[#This Row],[SKU]],'All Skus'!$A:$AC,11,FALSE)),""))</f>
        <v>871.74</v>
      </c>
      <c r="K205" s="224">
        <f>(IF((VLOOKUP(Table10[[#This Row],[SKU]],'All Skus'!$A:$AC,2,FALSE))="Martin",(VLOOKUP(Table10[[#This Row],[SKU]],'All Skus'!$A:$AC,15,FALSE)),""))</f>
        <v>0</v>
      </c>
      <c r="L205" s="224">
        <f>(IF((VLOOKUP(Table10[[#This Row],[SKU]],'All Skus'!$A:$AC,2,FALSE))="Martin",(VLOOKUP(Table10[[#This Row],[SKU]],'All Skus'!$A:$AC,16,FALSE)),""))</f>
        <v>688705006246</v>
      </c>
      <c r="M205" s="224">
        <f>(IF((VLOOKUP(Table10[[#This Row],[SKU]],'All Skus'!$A:$AC,2,FALSE))="Martin",(VLOOKUP(Table10[[#This Row],[SKU]],'All Skus'!$A:$AC,17,FALSE)),""))</f>
        <v>0</v>
      </c>
      <c r="N205" s="227">
        <f>(IF((VLOOKUP(Table10[[#This Row],[SKU]],'All Skus'!$A:$AC,2,FALSE))="Martin",(VLOOKUP(Table10[[#This Row],[SKU]],'All Skus'!$A:$AC,18,FALSE)),""))</f>
        <v>0</v>
      </c>
      <c r="O205" s="227">
        <f>(IF((VLOOKUP(Table10[[#This Row],[SKU]],'All Skus'!$A:$AC,2,FALSE))="Martin",(VLOOKUP(Table10[[#This Row],[SKU]],'All Skus'!$A:$AC,19,FALSE)),""))</f>
        <v>0</v>
      </c>
      <c r="P205" s="227">
        <f>(IF((VLOOKUP(Table10[[#This Row],[SKU]],'All Skus'!$A:$AC,2,FALSE))="Martin",(VLOOKUP(Table10[[#This Row],[SKU]],'All Skus'!$A:$AC,20,FALSE)),""))</f>
        <v>0</v>
      </c>
      <c r="Q205" s="227">
        <f>(IF((VLOOKUP(Table10[[#This Row],[SKU]],'All Skus'!$A:$AC,2,FALSE))="Martin",(VLOOKUP(Table10[[#This Row],[SKU]],'All Skus'!$A:$AC,21,FALSE)),""))</f>
        <v>0</v>
      </c>
      <c r="R205" s="224" t="str">
        <f>(IF((VLOOKUP(Table10[[#This Row],[SKU]],'All Skus'!$A:$AC,2,FALSE))="Martin",(VLOOKUP(Table10[[#This Row],[SKU]],'All Skus'!$A:$AC,22,FALSE)),""))</f>
        <v>CN</v>
      </c>
      <c r="S205" s="223">
        <f>(IF((VLOOKUP(Table10[[#This Row],[SKU]],'All Skus'!$A:$AC,2,FALSE))="Martin",(VLOOKUP(Table10[[#This Row],[SKU]],'All Skus'!$A:$AC,23,FALSE)),""))</f>
        <v>0</v>
      </c>
      <c r="T205" s="212" t="str">
        <f>HYPERLINK((IF((VLOOKUP(Table10[[#This Row],[SKU]],'All Skus'!$A:$AC,2,FALSE))="Martin",(VLOOKUP(Table10[[#This Row],[SKU]],'All Skus'!$A:$AC,24,FALSE)),"")))</f>
        <v/>
      </c>
      <c r="U205" s="228">
        <v>203</v>
      </c>
    </row>
    <row r="206" spans="1:21" hidden="1">
      <c r="A206" s="229">
        <v>9045122109</v>
      </c>
      <c r="B206" s="224" t="str">
        <f>(IF((VLOOKUP(Table10[[#This Row],[SKU]],'All Skus'!$A:$AC,2,FALSE))="Martin",(VLOOKUP(Table10[[#This Row],[SKU]],'All Skus'!$A:$AC,3,FALSE)),""))</f>
        <v>Static Lights</v>
      </c>
      <c r="C206" s="223" t="str">
        <f>(IF((VLOOKUP(Table10[[#This Row],[SKU]],'All Skus'!$A:$AC,2,FALSE))="Martin",(VLOOKUP(Table10[[#This Row],[SKU]],'All Skus'!$A:$AC,4,FALSE)),""))</f>
        <v>MARTIN ELP 25° - 50° ZOOM LENS WHITE</v>
      </c>
      <c r="D206" s="224" t="str">
        <f>(IF((VLOOKUP(Table10[[#This Row],[SKU]],'All Skus'!$A:$AC,2,FALSE))="Martin",(VLOOKUP(Table10[[#This Row],[SKU]],'All Skus'!$A:$AC,5,FALSE)),""))</f>
        <v>MAR-ELP</v>
      </c>
      <c r="E206" s="223">
        <f>(IF((VLOOKUP(Table10[[#This Row],[SKU]],'All Skus'!$A:$AC,2,FALSE))="Martin",(VLOOKUP(Table10[[#This Row],[SKU]],'All Skus'!$A:$AC,6,FALSE)),""))</f>
        <v>0</v>
      </c>
      <c r="F206" s="155">
        <f>(IF((VLOOKUP(Table10[[#This Row],[SKU]],'All Skus'!$A:$AC,2,FALSE))="Martin",(VLOOKUP(Table10[[#This Row],[SKU]],'All Skus'!$A:$AC,7,FALSE)),""))</f>
        <v>0</v>
      </c>
      <c r="G206" s="223" t="str">
        <f>(IF((VLOOKUP(Table10[[#This Row],[SKU]],'All Skus'!$A:$AC,2,FALSE))="Martin",(VLOOKUP(Table10[[#This Row],[SKU]],'All Skus'!$A:$AC,8,FALSE)),""))</f>
        <v>MARTIN ELP 25° - 50° ZOOM LENS WHITE</v>
      </c>
      <c r="H206" s="223" t="str">
        <f>(IF((VLOOKUP(Table10[[#This Row],[SKU]],'All Skus'!$A:$AC,2,FALSE))="Martin",(VLOOKUP(Table10[[#This Row],[SKU]],'All Skus'!$A:$AC,9,FALSE)),""))</f>
        <v>MARTIN ELP 25° - 50° ZOOM LENS WHITE</v>
      </c>
      <c r="I206" s="225">
        <f>(IF((VLOOKUP(Table10[[#This Row],[SKU]],'All Skus'!$A:$AC,2,FALSE))="Martin",(VLOOKUP(Table10[[#This Row],[SKU]],'All Skus'!$A:$AC,10,FALSE)),""))</f>
        <v>871.74</v>
      </c>
      <c r="J206" s="226">
        <f>(IF((VLOOKUP(Table10[[#This Row],[SKU]],'All Skus'!$A:$AC,2,FALSE))="Martin",(VLOOKUP(Table10[[#This Row],[SKU]],'All Skus'!$A:$AC,11,FALSE)),""))</f>
        <v>871.74</v>
      </c>
      <c r="K206" s="224">
        <f>(IF((VLOOKUP(Table10[[#This Row],[SKU]],'All Skus'!$A:$AC,2,FALSE))="Martin",(VLOOKUP(Table10[[#This Row],[SKU]],'All Skus'!$A:$AC,15,FALSE)),""))</f>
        <v>0</v>
      </c>
      <c r="L206" s="224">
        <f>(IF((VLOOKUP(Table10[[#This Row],[SKU]],'All Skus'!$A:$AC,2,FALSE))="Martin",(VLOOKUP(Table10[[#This Row],[SKU]],'All Skus'!$A:$AC,16,FALSE)),""))</f>
        <v>688705006253</v>
      </c>
      <c r="M206" s="224">
        <f>(IF((VLOOKUP(Table10[[#This Row],[SKU]],'All Skus'!$A:$AC,2,FALSE))="Martin",(VLOOKUP(Table10[[#This Row],[SKU]],'All Skus'!$A:$AC,17,FALSE)),""))</f>
        <v>0</v>
      </c>
      <c r="N206" s="227">
        <f>(IF((VLOOKUP(Table10[[#This Row],[SKU]],'All Skus'!$A:$AC,2,FALSE))="Martin",(VLOOKUP(Table10[[#This Row],[SKU]],'All Skus'!$A:$AC,18,FALSE)),""))</f>
        <v>0</v>
      </c>
      <c r="O206" s="227">
        <f>(IF((VLOOKUP(Table10[[#This Row],[SKU]],'All Skus'!$A:$AC,2,FALSE))="Martin",(VLOOKUP(Table10[[#This Row],[SKU]],'All Skus'!$A:$AC,19,FALSE)),""))</f>
        <v>0</v>
      </c>
      <c r="P206" s="227">
        <f>(IF((VLOOKUP(Table10[[#This Row],[SKU]],'All Skus'!$A:$AC,2,FALSE))="Martin",(VLOOKUP(Table10[[#This Row],[SKU]],'All Skus'!$A:$AC,20,FALSE)),""))</f>
        <v>0</v>
      </c>
      <c r="Q206" s="227">
        <f>(IF((VLOOKUP(Table10[[#This Row],[SKU]],'All Skus'!$A:$AC,2,FALSE))="Martin",(VLOOKUP(Table10[[#This Row],[SKU]],'All Skus'!$A:$AC,21,FALSE)),""))</f>
        <v>0</v>
      </c>
      <c r="R206" s="224" t="str">
        <f>(IF((VLOOKUP(Table10[[#This Row],[SKU]],'All Skus'!$A:$AC,2,FALSE))="Martin",(VLOOKUP(Table10[[#This Row],[SKU]],'All Skus'!$A:$AC,22,FALSE)),""))</f>
        <v>CN</v>
      </c>
      <c r="S206" s="223">
        <f>(IF((VLOOKUP(Table10[[#This Row],[SKU]],'All Skus'!$A:$AC,2,FALSE))="Martin",(VLOOKUP(Table10[[#This Row],[SKU]],'All Skus'!$A:$AC,23,FALSE)),""))</f>
        <v>0</v>
      </c>
      <c r="T206" s="212" t="str">
        <f>HYPERLINK((IF((VLOOKUP(Table10[[#This Row],[SKU]],'All Skus'!$A:$AC,2,FALSE))="Martin",(VLOOKUP(Table10[[#This Row],[SKU]],'All Skus'!$A:$AC,24,FALSE)),"")))</f>
        <v/>
      </c>
      <c r="U206" s="228">
        <v>204</v>
      </c>
    </row>
    <row r="207" spans="1:21" hidden="1">
      <c r="A207" s="115" t="s">
        <v>2015</v>
      </c>
      <c r="B207" s="224">
        <f>(IF((VLOOKUP(Table10[[#This Row],[SKU]],'All Skus'!$A:$AC,2,FALSE))="Martin",(VLOOKUP(Table10[[#This Row],[SKU]],'All Skus'!$A:$AC,3,FALSE)),""))</f>
        <v>0</v>
      </c>
      <c r="C207" s="223">
        <f>(IF((VLOOKUP(Table10[[#This Row],[SKU]],'All Skus'!$A:$AC,2,FALSE))="Martin",(VLOOKUP(Table10[[#This Row],[SKU]],'All Skus'!$A:$AC,4,FALSE)),""))</f>
        <v>0</v>
      </c>
      <c r="D207" s="224">
        <f>(IF((VLOOKUP(Table10[[#This Row],[SKU]],'All Skus'!$A:$AC,2,FALSE))="Martin",(VLOOKUP(Table10[[#This Row],[SKU]],'All Skus'!$A:$AC,5,FALSE)),""))</f>
        <v>0</v>
      </c>
      <c r="E207" s="223">
        <f>(IF((VLOOKUP(Table10[[#This Row],[SKU]],'All Skus'!$A:$AC,2,FALSE))="Martin",(VLOOKUP(Table10[[#This Row],[SKU]],'All Skus'!$A:$AC,6,FALSE)),""))</f>
        <v>0</v>
      </c>
      <c r="F207" s="155">
        <f>(IF((VLOOKUP(Table10[[#This Row],[SKU]],'All Skus'!$A:$AC,2,FALSE))="Martin",(VLOOKUP(Table10[[#This Row],[SKU]],'All Skus'!$A:$AC,7,FALSE)),""))</f>
        <v>0</v>
      </c>
      <c r="G207" s="223">
        <f>(IF((VLOOKUP(Table10[[#This Row],[SKU]],'All Skus'!$A:$AC,2,FALSE))="Martin",(VLOOKUP(Table10[[#This Row],[SKU]],'All Skus'!$A:$AC,8,FALSE)),""))</f>
        <v>0</v>
      </c>
      <c r="H207" s="223">
        <f>(IF((VLOOKUP(Table10[[#This Row],[SKU]],'All Skus'!$A:$AC,2,FALSE))="Martin",(VLOOKUP(Table10[[#This Row],[SKU]],'All Skus'!$A:$AC,9,FALSE)),""))</f>
        <v>0</v>
      </c>
      <c r="I207" s="225">
        <f>(IF((VLOOKUP(Table10[[#This Row],[SKU]],'All Skus'!$A:$AC,2,FALSE))="Martin",(VLOOKUP(Table10[[#This Row],[SKU]],'All Skus'!$A:$AC,10,FALSE)),""))</f>
        <v>0</v>
      </c>
      <c r="J207" s="226">
        <f>(IF((VLOOKUP(Table10[[#This Row],[SKU]],'All Skus'!$A:$AC,2,FALSE))="Martin",(VLOOKUP(Table10[[#This Row],[SKU]],'All Skus'!$A:$AC,11,FALSE)),""))</f>
        <v>0</v>
      </c>
      <c r="K207" s="224">
        <f>(IF((VLOOKUP(Table10[[#This Row],[SKU]],'All Skus'!$A:$AC,2,FALSE))="Martin",(VLOOKUP(Table10[[#This Row],[SKU]],'All Skus'!$A:$AC,15,FALSE)),""))</f>
        <v>0</v>
      </c>
      <c r="L207" s="224">
        <f>(IF((VLOOKUP(Table10[[#This Row],[SKU]],'All Skus'!$A:$AC,2,FALSE))="Martin",(VLOOKUP(Table10[[#This Row],[SKU]],'All Skus'!$A:$AC,16,FALSE)),""))</f>
        <v>0</v>
      </c>
      <c r="M207" s="224">
        <f>(IF((VLOOKUP(Table10[[#This Row],[SKU]],'All Skus'!$A:$AC,2,FALSE))="Martin",(VLOOKUP(Table10[[#This Row],[SKU]],'All Skus'!$A:$AC,17,FALSE)),""))</f>
        <v>0</v>
      </c>
      <c r="N207" s="227">
        <f>(IF((VLOOKUP(Table10[[#This Row],[SKU]],'All Skus'!$A:$AC,2,FALSE))="Martin",(VLOOKUP(Table10[[#This Row],[SKU]],'All Skus'!$A:$AC,18,FALSE)),""))</f>
        <v>0</v>
      </c>
      <c r="O207" s="227">
        <f>(IF((VLOOKUP(Table10[[#This Row],[SKU]],'All Skus'!$A:$AC,2,FALSE))="Martin",(VLOOKUP(Table10[[#This Row],[SKU]],'All Skus'!$A:$AC,19,FALSE)),""))</f>
        <v>0</v>
      </c>
      <c r="P207" s="227">
        <f>(IF((VLOOKUP(Table10[[#This Row],[SKU]],'All Skus'!$A:$AC,2,FALSE))="Martin",(VLOOKUP(Table10[[#This Row],[SKU]],'All Skus'!$A:$AC,20,FALSE)),""))</f>
        <v>0</v>
      </c>
      <c r="Q207" s="227">
        <f>(IF((VLOOKUP(Table10[[#This Row],[SKU]],'All Skus'!$A:$AC,2,FALSE))="Martin",(VLOOKUP(Table10[[#This Row],[SKU]],'All Skus'!$A:$AC,21,FALSE)),""))</f>
        <v>0</v>
      </c>
      <c r="R207" s="224">
        <f>(IF((VLOOKUP(Table10[[#This Row],[SKU]],'All Skus'!$A:$AC,2,FALSE))="Martin",(VLOOKUP(Table10[[#This Row],[SKU]],'All Skus'!$A:$AC,22,FALSE)),""))</f>
        <v>0</v>
      </c>
      <c r="S207" s="223">
        <f>(IF((VLOOKUP(Table10[[#This Row],[SKU]],'All Skus'!$A:$AC,2,FALSE))="Martin",(VLOOKUP(Table10[[#This Row],[SKU]],'All Skus'!$A:$AC,23,FALSE)),""))</f>
        <v>0</v>
      </c>
      <c r="T207" s="212" t="str">
        <f>HYPERLINK((IF((VLOOKUP(Table10[[#This Row],[SKU]],'All Skus'!$A:$AC,2,FALSE))="Martin",(VLOOKUP(Table10[[#This Row],[SKU]],'All Skus'!$A:$AC,24,FALSE)),"")))</f>
        <v/>
      </c>
      <c r="U207" s="228">
        <v>205</v>
      </c>
    </row>
    <row r="208" spans="1:21" hidden="1">
      <c r="A208" s="111" t="s">
        <v>2016</v>
      </c>
      <c r="B208" s="224">
        <f>(IF((VLOOKUP(Table10[[#This Row],[SKU]],'All Skus'!$A:$AC,2,FALSE))="Martin",(VLOOKUP(Table10[[#This Row],[SKU]],'All Skus'!$A:$AC,3,FALSE)),""))</f>
        <v>0</v>
      </c>
      <c r="C208" s="223">
        <f>(IF((VLOOKUP(Table10[[#This Row],[SKU]],'All Skus'!$A:$AC,2,FALSE))="Martin",(VLOOKUP(Table10[[#This Row],[SKU]],'All Skus'!$A:$AC,4,FALSE)),""))</f>
        <v>0</v>
      </c>
      <c r="D208" s="224">
        <f>(IF((VLOOKUP(Table10[[#This Row],[SKU]],'All Skus'!$A:$AC,2,FALSE))="Martin",(VLOOKUP(Table10[[#This Row],[SKU]],'All Skus'!$A:$AC,5,FALSE)),""))</f>
        <v>0</v>
      </c>
      <c r="E208" s="223">
        <f>(IF((VLOOKUP(Table10[[#This Row],[SKU]],'All Skus'!$A:$AC,2,FALSE))="Martin",(VLOOKUP(Table10[[#This Row],[SKU]],'All Skus'!$A:$AC,6,FALSE)),""))</f>
        <v>0</v>
      </c>
      <c r="F208" s="155">
        <f>(IF((VLOOKUP(Table10[[#This Row],[SKU]],'All Skus'!$A:$AC,2,FALSE))="Martin",(VLOOKUP(Table10[[#This Row],[SKU]],'All Skus'!$A:$AC,7,FALSE)),""))</f>
        <v>0</v>
      </c>
      <c r="G208" s="223">
        <f>(IF((VLOOKUP(Table10[[#This Row],[SKU]],'All Skus'!$A:$AC,2,FALSE))="Martin",(VLOOKUP(Table10[[#This Row],[SKU]],'All Skus'!$A:$AC,8,FALSE)),""))</f>
        <v>0</v>
      </c>
      <c r="H208" s="223">
        <f>(IF((VLOOKUP(Table10[[#This Row],[SKU]],'All Skus'!$A:$AC,2,FALSE))="Martin",(VLOOKUP(Table10[[#This Row],[SKU]],'All Skus'!$A:$AC,9,FALSE)),""))</f>
        <v>0</v>
      </c>
      <c r="I208" s="225">
        <f>(IF((VLOOKUP(Table10[[#This Row],[SKU]],'All Skus'!$A:$AC,2,FALSE))="Martin",(VLOOKUP(Table10[[#This Row],[SKU]],'All Skus'!$A:$AC,10,FALSE)),""))</f>
        <v>0</v>
      </c>
      <c r="J208" s="226">
        <f>(IF((VLOOKUP(Table10[[#This Row],[SKU]],'All Skus'!$A:$AC,2,FALSE))="Martin",(VLOOKUP(Table10[[#This Row],[SKU]],'All Skus'!$A:$AC,11,FALSE)),""))</f>
        <v>0</v>
      </c>
      <c r="K208" s="224">
        <f>(IF((VLOOKUP(Table10[[#This Row],[SKU]],'All Skus'!$A:$AC,2,FALSE))="Martin",(VLOOKUP(Table10[[#This Row],[SKU]],'All Skus'!$A:$AC,15,FALSE)),""))</f>
        <v>0</v>
      </c>
      <c r="L208" s="224">
        <f>(IF((VLOOKUP(Table10[[#This Row],[SKU]],'All Skus'!$A:$AC,2,FALSE))="Martin",(VLOOKUP(Table10[[#This Row],[SKU]],'All Skus'!$A:$AC,16,FALSE)),""))</f>
        <v>0</v>
      </c>
      <c r="M208" s="224">
        <f>(IF((VLOOKUP(Table10[[#This Row],[SKU]],'All Skus'!$A:$AC,2,FALSE))="Martin",(VLOOKUP(Table10[[#This Row],[SKU]],'All Skus'!$A:$AC,17,FALSE)),""))</f>
        <v>0</v>
      </c>
      <c r="N208" s="227">
        <f>(IF((VLOOKUP(Table10[[#This Row],[SKU]],'All Skus'!$A:$AC,2,FALSE))="Martin",(VLOOKUP(Table10[[#This Row],[SKU]],'All Skus'!$A:$AC,18,FALSE)),""))</f>
        <v>0</v>
      </c>
      <c r="O208" s="227">
        <f>(IF((VLOOKUP(Table10[[#This Row],[SKU]],'All Skus'!$A:$AC,2,FALSE))="Martin",(VLOOKUP(Table10[[#This Row],[SKU]],'All Skus'!$A:$AC,19,FALSE)),""))</f>
        <v>0</v>
      </c>
      <c r="P208" s="227">
        <f>(IF((VLOOKUP(Table10[[#This Row],[SKU]],'All Skus'!$A:$AC,2,FALSE))="Martin",(VLOOKUP(Table10[[#This Row],[SKU]],'All Skus'!$A:$AC,20,FALSE)),""))</f>
        <v>0</v>
      </c>
      <c r="Q208" s="227">
        <f>(IF((VLOOKUP(Table10[[#This Row],[SKU]],'All Skus'!$A:$AC,2,FALSE))="Martin",(VLOOKUP(Table10[[#This Row],[SKU]],'All Skus'!$A:$AC,21,FALSE)),""))</f>
        <v>0</v>
      </c>
      <c r="R208" s="224">
        <f>(IF((VLOOKUP(Table10[[#This Row],[SKU]],'All Skus'!$A:$AC,2,FALSE))="Martin",(VLOOKUP(Table10[[#This Row],[SKU]],'All Skus'!$A:$AC,22,FALSE)),""))</f>
        <v>0</v>
      </c>
      <c r="S208" s="223">
        <f>(IF((VLOOKUP(Table10[[#This Row],[SKU]],'All Skus'!$A:$AC,2,FALSE))="Martin",(VLOOKUP(Table10[[#This Row],[SKU]],'All Skus'!$A:$AC,23,FALSE)),""))</f>
        <v>0</v>
      </c>
      <c r="T208" s="212" t="str">
        <f>HYPERLINK((IF((VLOOKUP(Table10[[#This Row],[SKU]],'All Skus'!$A:$AC,2,FALSE))="Martin",(VLOOKUP(Table10[[#This Row],[SKU]],'All Skus'!$A:$AC,24,FALSE)),"")))</f>
        <v/>
      </c>
      <c r="U208" s="228">
        <v>206</v>
      </c>
    </row>
    <row r="209" spans="1:21" hidden="1">
      <c r="A209" s="115" t="s">
        <v>2017</v>
      </c>
      <c r="B209" s="224">
        <f>(IF((VLOOKUP(Table10[[#This Row],[SKU]],'All Skus'!$A:$AC,2,FALSE))="Martin",(VLOOKUP(Table10[[#This Row],[SKU]],'All Skus'!$A:$AC,3,FALSE)),""))</f>
        <v>0</v>
      </c>
      <c r="C209" s="223">
        <f>(IF((VLOOKUP(Table10[[#This Row],[SKU]],'All Skus'!$A:$AC,2,FALSE))="Martin",(VLOOKUP(Table10[[#This Row],[SKU]],'All Skus'!$A:$AC,4,FALSE)),""))</f>
        <v>0</v>
      </c>
      <c r="D209" s="224">
        <f>(IF((VLOOKUP(Table10[[#This Row],[SKU]],'All Skus'!$A:$AC,2,FALSE))="Martin",(VLOOKUP(Table10[[#This Row],[SKU]],'All Skus'!$A:$AC,5,FALSE)),""))</f>
        <v>0</v>
      </c>
      <c r="E209" s="223">
        <f>(IF((VLOOKUP(Table10[[#This Row],[SKU]],'All Skus'!$A:$AC,2,FALSE))="Martin",(VLOOKUP(Table10[[#This Row],[SKU]],'All Skus'!$A:$AC,6,FALSE)),""))</f>
        <v>0</v>
      </c>
      <c r="F209" s="155">
        <f>(IF((VLOOKUP(Table10[[#This Row],[SKU]],'All Skus'!$A:$AC,2,FALSE))="Martin",(VLOOKUP(Table10[[#This Row],[SKU]],'All Skus'!$A:$AC,7,FALSE)),""))</f>
        <v>0</v>
      </c>
      <c r="G209" s="223">
        <f>(IF((VLOOKUP(Table10[[#This Row],[SKU]],'All Skus'!$A:$AC,2,FALSE))="Martin",(VLOOKUP(Table10[[#This Row],[SKU]],'All Skus'!$A:$AC,8,FALSE)),""))</f>
        <v>0</v>
      </c>
      <c r="H209" s="223">
        <f>(IF((VLOOKUP(Table10[[#This Row],[SKU]],'All Skus'!$A:$AC,2,FALSE))="Martin",(VLOOKUP(Table10[[#This Row],[SKU]],'All Skus'!$A:$AC,9,FALSE)),""))</f>
        <v>0</v>
      </c>
      <c r="I209" s="225">
        <f>(IF((VLOOKUP(Table10[[#This Row],[SKU]],'All Skus'!$A:$AC,2,FALSE))="Martin",(VLOOKUP(Table10[[#This Row],[SKU]],'All Skus'!$A:$AC,10,FALSE)),""))</f>
        <v>0</v>
      </c>
      <c r="J209" s="226">
        <f>(IF((VLOOKUP(Table10[[#This Row],[SKU]],'All Skus'!$A:$AC,2,FALSE))="Martin",(VLOOKUP(Table10[[#This Row],[SKU]],'All Skus'!$A:$AC,11,FALSE)),""))</f>
        <v>0</v>
      </c>
      <c r="K209" s="224">
        <f>(IF((VLOOKUP(Table10[[#This Row],[SKU]],'All Skus'!$A:$AC,2,FALSE))="Martin",(VLOOKUP(Table10[[#This Row],[SKU]],'All Skus'!$A:$AC,15,FALSE)),""))</f>
        <v>0</v>
      </c>
      <c r="L209" s="224">
        <f>(IF((VLOOKUP(Table10[[#This Row],[SKU]],'All Skus'!$A:$AC,2,FALSE))="Martin",(VLOOKUP(Table10[[#This Row],[SKU]],'All Skus'!$A:$AC,16,FALSE)),""))</f>
        <v>0</v>
      </c>
      <c r="M209" s="224">
        <f>(IF((VLOOKUP(Table10[[#This Row],[SKU]],'All Skus'!$A:$AC,2,FALSE))="Martin",(VLOOKUP(Table10[[#This Row],[SKU]],'All Skus'!$A:$AC,17,FALSE)),""))</f>
        <v>0</v>
      </c>
      <c r="N209" s="227">
        <f>(IF((VLOOKUP(Table10[[#This Row],[SKU]],'All Skus'!$A:$AC,2,FALSE))="Martin",(VLOOKUP(Table10[[#This Row],[SKU]],'All Skus'!$A:$AC,18,FALSE)),""))</f>
        <v>0</v>
      </c>
      <c r="O209" s="227">
        <f>(IF((VLOOKUP(Table10[[#This Row],[SKU]],'All Skus'!$A:$AC,2,FALSE))="Martin",(VLOOKUP(Table10[[#This Row],[SKU]],'All Skus'!$A:$AC,19,FALSE)),""))</f>
        <v>0</v>
      </c>
      <c r="P209" s="227">
        <f>(IF((VLOOKUP(Table10[[#This Row],[SKU]],'All Skus'!$A:$AC,2,FALSE))="Martin",(VLOOKUP(Table10[[#This Row],[SKU]],'All Skus'!$A:$AC,20,FALSE)),""))</f>
        <v>0</v>
      </c>
      <c r="Q209" s="227">
        <f>(IF((VLOOKUP(Table10[[#This Row],[SKU]],'All Skus'!$A:$AC,2,FALSE))="Martin",(VLOOKUP(Table10[[#This Row],[SKU]],'All Skus'!$A:$AC,21,FALSE)),""))</f>
        <v>0</v>
      </c>
      <c r="R209" s="224">
        <f>(IF((VLOOKUP(Table10[[#This Row],[SKU]],'All Skus'!$A:$AC,2,FALSE))="Martin",(VLOOKUP(Table10[[#This Row],[SKU]],'All Skus'!$A:$AC,22,FALSE)),""))</f>
        <v>0</v>
      </c>
      <c r="S209" s="223">
        <f>(IF((VLOOKUP(Table10[[#This Row],[SKU]],'All Skus'!$A:$AC,2,FALSE))="Martin",(VLOOKUP(Table10[[#This Row],[SKU]],'All Skus'!$A:$AC,23,FALSE)),""))</f>
        <v>0</v>
      </c>
      <c r="T209" s="212" t="str">
        <f>HYPERLINK((IF((VLOOKUP(Table10[[#This Row],[SKU]],'All Skus'!$A:$AC,2,FALSE))="Martin",(VLOOKUP(Table10[[#This Row],[SKU]],'All Skus'!$A:$AC,24,FALSE)),"")))</f>
        <v/>
      </c>
      <c r="U209" s="228">
        <v>207</v>
      </c>
    </row>
    <row r="210" spans="1:21" hidden="1">
      <c r="A210" s="116" t="s">
        <v>2018</v>
      </c>
      <c r="B210" s="224" t="str">
        <f>(IF((VLOOKUP(Table10[[#This Row],[SKU]],'All Skus'!$A:$AC,2,FALSE))="Martin",(VLOOKUP(Table10[[#This Row],[SKU]],'All Skus'!$A:$AC,3,FALSE)),""))</f>
        <v>Static Lights</v>
      </c>
      <c r="C210" s="223" t="str">
        <f>(IF((VLOOKUP(Table10[[#This Row],[SKU]],'All Skus'!$A:$AC,2,FALSE))="Martin",(VLOOKUP(Table10[[#This Row],[SKU]],'All Skus'!$A:$AC,4,FALSE)),""))</f>
        <v>MARTIN ERA 150 WASH</v>
      </c>
      <c r="D210" s="224" t="str">
        <f>(IF((VLOOKUP(Table10[[#This Row],[SKU]],'All Skus'!$A:$AC,2,FALSE))="Martin",(VLOOKUP(Table10[[#This Row],[SKU]],'All Skus'!$A:$AC,5,FALSE)),""))</f>
        <v>MAR-ERA</v>
      </c>
      <c r="E210" s="223">
        <f>(IF((VLOOKUP(Table10[[#This Row],[SKU]],'All Skus'!$A:$AC,2,FALSE))="Martin",(VLOOKUP(Table10[[#This Row],[SKU]],'All Skus'!$A:$AC,6,FALSE)),""))</f>
        <v>0</v>
      </c>
      <c r="F210" s="155">
        <f>(IF((VLOOKUP(Table10[[#This Row],[SKU]],'All Skus'!$A:$AC,2,FALSE))="Martin",(VLOOKUP(Table10[[#This Row],[SKU]],'All Skus'!$A:$AC,7,FALSE)),""))</f>
        <v>0</v>
      </c>
      <c r="G210" s="223" t="str">
        <f>(IF((VLOOKUP(Table10[[#This Row],[SKU]],'All Skus'!$A:$AC,2,FALSE))="Martin",(VLOOKUP(Table10[[#This Row],[SKU]],'All Skus'!$A:$AC,8,FALSE)),""))</f>
        <v>MARTIN ERA 150 WASH</v>
      </c>
      <c r="H210" s="223" t="str">
        <f>(IF((VLOOKUP(Table10[[#This Row],[SKU]],'All Skus'!$A:$AC,2,FALSE))="Martin",(VLOOKUP(Table10[[#This Row],[SKU]],'All Skus'!$A:$AC,9,FALSE)),""))</f>
        <v>MARTIN ERA 150 WASH</v>
      </c>
      <c r="I210" s="225">
        <f>(IF((VLOOKUP(Table10[[#This Row],[SKU]],'All Skus'!$A:$AC,2,FALSE))="Martin",(VLOOKUP(Table10[[#This Row],[SKU]],'All Skus'!$A:$AC,10,FALSE)),""))</f>
        <v>2214.5</v>
      </c>
      <c r="J210" s="226">
        <f>(IF((VLOOKUP(Table10[[#This Row],[SKU]],'All Skus'!$A:$AC,2,FALSE))="Martin",(VLOOKUP(Table10[[#This Row],[SKU]],'All Skus'!$A:$AC,11,FALSE)),""))</f>
        <v>2214.5</v>
      </c>
      <c r="K210" s="224">
        <f>(IF((VLOOKUP(Table10[[#This Row],[SKU]],'All Skus'!$A:$AC,2,FALSE))="Martin",(VLOOKUP(Table10[[#This Row],[SKU]],'All Skus'!$A:$AC,15,FALSE)),""))</f>
        <v>0</v>
      </c>
      <c r="L210" s="224">
        <f>(IF((VLOOKUP(Table10[[#This Row],[SKU]],'All Skus'!$A:$AC,2,FALSE))="Martin",(VLOOKUP(Table10[[#This Row],[SKU]],'All Skus'!$A:$AC,16,FALSE)),""))</f>
        <v>688705007991</v>
      </c>
      <c r="M210" s="224">
        <f>(IF((VLOOKUP(Table10[[#This Row],[SKU]],'All Skus'!$A:$AC,2,FALSE))="Martin",(VLOOKUP(Table10[[#This Row],[SKU]],'All Skus'!$A:$AC,17,FALSE)),""))</f>
        <v>0</v>
      </c>
      <c r="N210" s="227">
        <f>(IF((VLOOKUP(Table10[[#This Row],[SKU]],'All Skus'!$A:$AC,2,FALSE))="Martin",(VLOOKUP(Table10[[#This Row],[SKU]],'All Skus'!$A:$AC,18,FALSE)),""))</f>
        <v>0</v>
      </c>
      <c r="O210" s="227">
        <f>(IF((VLOOKUP(Table10[[#This Row],[SKU]],'All Skus'!$A:$AC,2,FALSE))="Martin",(VLOOKUP(Table10[[#This Row],[SKU]],'All Skus'!$A:$AC,19,FALSE)),""))</f>
        <v>0</v>
      </c>
      <c r="P210" s="227">
        <f>(IF((VLOOKUP(Table10[[#This Row],[SKU]],'All Skus'!$A:$AC,2,FALSE))="Martin",(VLOOKUP(Table10[[#This Row],[SKU]],'All Skus'!$A:$AC,20,FALSE)),""))</f>
        <v>0</v>
      </c>
      <c r="Q210" s="227">
        <f>(IF((VLOOKUP(Table10[[#This Row],[SKU]],'All Skus'!$A:$AC,2,FALSE))="Martin",(VLOOKUP(Table10[[#This Row],[SKU]],'All Skus'!$A:$AC,21,FALSE)),""))</f>
        <v>0</v>
      </c>
      <c r="R210" s="224" t="str">
        <f>(IF((VLOOKUP(Table10[[#This Row],[SKU]],'All Skus'!$A:$AC,2,FALSE))="Martin",(VLOOKUP(Table10[[#This Row],[SKU]],'All Skus'!$A:$AC,22,FALSE)),""))</f>
        <v>CN</v>
      </c>
      <c r="S210" s="223">
        <f>(IF((VLOOKUP(Table10[[#This Row],[SKU]],'All Skus'!$A:$AC,2,FALSE))="Martin",(VLOOKUP(Table10[[#This Row],[SKU]],'All Skus'!$A:$AC,23,FALSE)),""))</f>
        <v>0</v>
      </c>
      <c r="T210" s="212" t="str">
        <f>HYPERLINK((IF((VLOOKUP(Table10[[#This Row],[SKU]],'All Skus'!$A:$AC,2,FALSE))="Martin",(VLOOKUP(Table10[[#This Row],[SKU]],'All Skus'!$A:$AC,24,FALSE)),"")))</f>
        <v/>
      </c>
      <c r="U210" s="228">
        <v>208</v>
      </c>
    </row>
    <row r="211" spans="1:21" hidden="1">
      <c r="A211" s="117" t="s">
        <v>2019</v>
      </c>
      <c r="B211" s="224" t="str">
        <f>(IF((VLOOKUP(Table10[[#This Row],[SKU]],'All Skus'!$A:$AC,2,FALSE))="Martin",(VLOOKUP(Table10[[#This Row],[SKU]],'All Skus'!$A:$AC,3,FALSE)),""))</f>
        <v>Static Lights</v>
      </c>
      <c r="C211" s="223" t="str">
        <f>(IF((VLOOKUP(Table10[[#This Row],[SKU]],'All Skus'!$A:$AC,2,FALSE))="Martin",(VLOOKUP(Table10[[#This Row],[SKU]],'All Skus'!$A:$AC,4,FALSE)),""))</f>
        <v>MARTIN ERA 150 WASH - WHITE</v>
      </c>
      <c r="D211" s="224" t="str">
        <f>(IF((VLOOKUP(Table10[[#This Row],[SKU]],'All Skus'!$A:$AC,2,FALSE))="Martin",(VLOOKUP(Table10[[#This Row],[SKU]],'All Skus'!$A:$AC,5,FALSE)),""))</f>
        <v>MAR-ERA</v>
      </c>
      <c r="E211" s="223">
        <f>(IF((VLOOKUP(Table10[[#This Row],[SKU]],'All Skus'!$A:$AC,2,FALSE))="Martin",(VLOOKUP(Table10[[#This Row],[SKU]],'All Skus'!$A:$AC,6,FALSE)),""))</f>
        <v>0</v>
      </c>
      <c r="F211" s="155" t="str">
        <f>(IF((VLOOKUP(Table10[[#This Row],[SKU]],'All Skus'!$A:$AC,2,FALSE))="Martin",(VLOOKUP(Table10[[#This Row],[SKU]],'All Skus'!$A:$AC,7,FALSE)),""))</f>
        <v>NEW SKU</v>
      </c>
      <c r="G211" s="223" t="str">
        <f>(IF((VLOOKUP(Table10[[#This Row],[SKU]],'All Skus'!$A:$AC,2,FALSE))="Martin",(VLOOKUP(Table10[[#This Row],[SKU]],'All Skus'!$A:$AC,8,FALSE)),""))</f>
        <v>MARTIN ERA 150 WASH - WHITE</v>
      </c>
      <c r="H211" s="223" t="str">
        <f>(IF((VLOOKUP(Table10[[#This Row],[SKU]],'All Skus'!$A:$AC,2,FALSE))="Martin",(VLOOKUP(Table10[[#This Row],[SKU]],'All Skus'!$A:$AC,9,FALSE)),""))</f>
        <v>MARTIN ERA 150 WASH</v>
      </c>
      <c r="I211" s="225">
        <f>(IF((VLOOKUP(Table10[[#This Row],[SKU]],'All Skus'!$A:$AC,2,FALSE))="Martin",(VLOOKUP(Table10[[#This Row],[SKU]],'All Skus'!$A:$AC,10,FALSE)),""))</f>
        <v>2384.4499999999998</v>
      </c>
      <c r="J211" s="226">
        <f>(IF((VLOOKUP(Table10[[#This Row],[SKU]],'All Skus'!$A:$AC,2,FALSE))="Martin",(VLOOKUP(Table10[[#This Row],[SKU]],'All Skus'!$A:$AC,11,FALSE)),""))</f>
        <v>2384.4499999999998</v>
      </c>
      <c r="K211" s="224">
        <f>(IF((VLOOKUP(Table10[[#This Row],[SKU]],'All Skus'!$A:$AC,2,FALSE))="Martin",(VLOOKUP(Table10[[#This Row],[SKU]],'All Skus'!$A:$AC,15,FALSE)),""))</f>
        <v>0</v>
      </c>
      <c r="L211" s="224">
        <f>(IF((VLOOKUP(Table10[[#This Row],[SKU]],'All Skus'!$A:$AC,2,FALSE))="Martin",(VLOOKUP(Table10[[#This Row],[SKU]],'All Skus'!$A:$AC,16,FALSE)),""))</f>
        <v>688705009896</v>
      </c>
      <c r="M211" s="224">
        <f>(IF((VLOOKUP(Table10[[#This Row],[SKU]],'All Skus'!$A:$AC,2,FALSE))="Martin",(VLOOKUP(Table10[[#This Row],[SKU]],'All Skus'!$A:$AC,17,FALSE)),""))</f>
        <v>0</v>
      </c>
      <c r="N211" s="227">
        <f>(IF((VLOOKUP(Table10[[#This Row],[SKU]],'All Skus'!$A:$AC,2,FALSE))="Martin",(VLOOKUP(Table10[[#This Row],[SKU]],'All Skus'!$A:$AC,18,FALSE)),""))</f>
        <v>0</v>
      </c>
      <c r="O211" s="227">
        <f>(IF((VLOOKUP(Table10[[#This Row],[SKU]],'All Skus'!$A:$AC,2,FALSE))="Martin",(VLOOKUP(Table10[[#This Row],[SKU]],'All Skus'!$A:$AC,19,FALSE)),""))</f>
        <v>0</v>
      </c>
      <c r="P211" s="227">
        <f>(IF((VLOOKUP(Table10[[#This Row],[SKU]],'All Skus'!$A:$AC,2,FALSE))="Martin",(VLOOKUP(Table10[[#This Row],[SKU]],'All Skus'!$A:$AC,20,FALSE)),""))</f>
        <v>0</v>
      </c>
      <c r="Q211" s="227">
        <f>(IF((VLOOKUP(Table10[[#This Row],[SKU]],'All Skus'!$A:$AC,2,FALSE))="Martin",(VLOOKUP(Table10[[#This Row],[SKU]],'All Skus'!$A:$AC,21,FALSE)),""))</f>
        <v>0</v>
      </c>
      <c r="R211" s="224" t="str">
        <f>(IF((VLOOKUP(Table10[[#This Row],[SKU]],'All Skus'!$A:$AC,2,FALSE))="Martin",(VLOOKUP(Table10[[#This Row],[SKU]],'All Skus'!$A:$AC,22,FALSE)),""))</f>
        <v>CN</v>
      </c>
      <c r="S211" s="223">
        <f>(IF((VLOOKUP(Table10[[#This Row],[SKU]],'All Skus'!$A:$AC,2,FALSE))="Martin",(VLOOKUP(Table10[[#This Row],[SKU]],'All Skus'!$A:$AC,23,FALSE)),""))</f>
        <v>0</v>
      </c>
      <c r="T211" s="212" t="str">
        <f>HYPERLINK((IF((VLOOKUP(Table10[[#This Row],[SKU]],'All Skus'!$A:$AC,2,FALSE))="Martin",(VLOOKUP(Table10[[#This Row],[SKU]],'All Skus'!$A:$AC,24,FALSE)),"")))</f>
        <v/>
      </c>
      <c r="U211" s="228">
        <v>209</v>
      </c>
    </row>
    <row r="212" spans="1:21" hidden="1">
      <c r="A212" s="111" t="s">
        <v>2020</v>
      </c>
      <c r="B212" s="224">
        <f>(IF((VLOOKUP(Table10[[#This Row],[SKU]],'All Skus'!$A:$AC,2,FALSE))="Martin",(VLOOKUP(Table10[[#This Row],[SKU]],'All Skus'!$A:$AC,3,FALSE)),""))</f>
        <v>0</v>
      </c>
      <c r="C212" s="223">
        <f>(IF((VLOOKUP(Table10[[#This Row],[SKU]],'All Skus'!$A:$AC,2,FALSE))="Martin",(VLOOKUP(Table10[[#This Row],[SKU]],'All Skus'!$A:$AC,4,FALSE)),""))</f>
        <v>0</v>
      </c>
      <c r="D212" s="224">
        <f>(IF((VLOOKUP(Table10[[#This Row],[SKU]],'All Skus'!$A:$AC,2,FALSE))="Martin",(VLOOKUP(Table10[[#This Row],[SKU]],'All Skus'!$A:$AC,5,FALSE)),""))</f>
        <v>0</v>
      </c>
      <c r="E212" s="223">
        <f>(IF((VLOOKUP(Table10[[#This Row],[SKU]],'All Skus'!$A:$AC,2,FALSE))="Martin",(VLOOKUP(Table10[[#This Row],[SKU]],'All Skus'!$A:$AC,6,FALSE)),""))</f>
        <v>0</v>
      </c>
      <c r="F212" s="155">
        <f>(IF((VLOOKUP(Table10[[#This Row],[SKU]],'All Skus'!$A:$AC,2,FALSE))="Martin",(VLOOKUP(Table10[[#This Row],[SKU]],'All Skus'!$A:$AC,7,FALSE)),""))</f>
        <v>0</v>
      </c>
      <c r="G212" s="223">
        <f>(IF((VLOOKUP(Table10[[#This Row],[SKU]],'All Skus'!$A:$AC,2,FALSE))="Martin",(VLOOKUP(Table10[[#This Row],[SKU]],'All Skus'!$A:$AC,8,FALSE)),""))</f>
        <v>0</v>
      </c>
      <c r="H212" s="223">
        <f>(IF((VLOOKUP(Table10[[#This Row],[SKU]],'All Skus'!$A:$AC,2,FALSE))="Martin",(VLOOKUP(Table10[[#This Row],[SKU]],'All Skus'!$A:$AC,9,FALSE)),""))</f>
        <v>0</v>
      </c>
      <c r="I212" s="225">
        <f>(IF((VLOOKUP(Table10[[#This Row],[SKU]],'All Skus'!$A:$AC,2,FALSE))="Martin",(VLOOKUP(Table10[[#This Row],[SKU]],'All Skus'!$A:$AC,10,FALSE)),""))</f>
        <v>0</v>
      </c>
      <c r="J212" s="226">
        <f>(IF((VLOOKUP(Table10[[#This Row],[SKU]],'All Skus'!$A:$AC,2,FALSE))="Martin",(VLOOKUP(Table10[[#This Row],[SKU]],'All Skus'!$A:$AC,11,FALSE)),""))</f>
        <v>0</v>
      </c>
      <c r="K212" s="224">
        <f>(IF((VLOOKUP(Table10[[#This Row],[SKU]],'All Skus'!$A:$AC,2,FALSE))="Martin",(VLOOKUP(Table10[[#This Row],[SKU]],'All Skus'!$A:$AC,15,FALSE)),""))</f>
        <v>0</v>
      </c>
      <c r="L212" s="224">
        <f>(IF((VLOOKUP(Table10[[#This Row],[SKU]],'All Skus'!$A:$AC,2,FALSE))="Martin",(VLOOKUP(Table10[[#This Row],[SKU]],'All Skus'!$A:$AC,16,FALSE)),""))</f>
        <v>0</v>
      </c>
      <c r="M212" s="224">
        <f>(IF((VLOOKUP(Table10[[#This Row],[SKU]],'All Skus'!$A:$AC,2,FALSE))="Martin",(VLOOKUP(Table10[[#This Row],[SKU]],'All Skus'!$A:$AC,17,FALSE)),""))</f>
        <v>0</v>
      </c>
      <c r="N212" s="227">
        <f>(IF((VLOOKUP(Table10[[#This Row],[SKU]],'All Skus'!$A:$AC,2,FALSE))="Martin",(VLOOKUP(Table10[[#This Row],[SKU]],'All Skus'!$A:$AC,18,FALSE)),""))</f>
        <v>0</v>
      </c>
      <c r="O212" s="227">
        <f>(IF((VLOOKUP(Table10[[#This Row],[SKU]],'All Skus'!$A:$AC,2,FALSE))="Martin",(VLOOKUP(Table10[[#This Row],[SKU]],'All Skus'!$A:$AC,19,FALSE)),""))</f>
        <v>0</v>
      </c>
      <c r="P212" s="227">
        <f>(IF((VLOOKUP(Table10[[#This Row],[SKU]],'All Skus'!$A:$AC,2,FALSE))="Martin",(VLOOKUP(Table10[[#This Row],[SKU]],'All Skus'!$A:$AC,20,FALSE)),""))</f>
        <v>0</v>
      </c>
      <c r="Q212" s="227">
        <f>(IF((VLOOKUP(Table10[[#This Row],[SKU]],'All Skus'!$A:$AC,2,FALSE))="Martin",(VLOOKUP(Table10[[#This Row],[SKU]],'All Skus'!$A:$AC,21,FALSE)),""))</f>
        <v>0</v>
      </c>
      <c r="R212" s="224">
        <f>(IF((VLOOKUP(Table10[[#This Row],[SKU]],'All Skus'!$A:$AC,2,FALSE))="Martin",(VLOOKUP(Table10[[#This Row],[SKU]],'All Skus'!$A:$AC,22,FALSE)),""))</f>
        <v>0</v>
      </c>
      <c r="S212" s="223">
        <f>(IF((VLOOKUP(Table10[[#This Row],[SKU]],'All Skus'!$A:$AC,2,FALSE))="Martin",(VLOOKUP(Table10[[#This Row],[SKU]],'All Skus'!$A:$AC,23,FALSE)),""))</f>
        <v>0</v>
      </c>
      <c r="T212" s="212" t="str">
        <f>HYPERLINK((IF((VLOOKUP(Table10[[#This Row],[SKU]],'All Skus'!$A:$AC,2,FALSE))="Martin",(VLOOKUP(Table10[[#This Row],[SKU]],'All Skus'!$A:$AC,24,FALSE)),"")))</f>
        <v/>
      </c>
      <c r="U212" s="228">
        <v>210</v>
      </c>
    </row>
    <row r="213" spans="1:21" hidden="1">
      <c r="A213" s="115" t="s">
        <v>2021</v>
      </c>
      <c r="B213" s="224">
        <f>(IF((VLOOKUP(Table10[[#This Row],[SKU]],'All Skus'!$A:$AC,2,FALSE))="Martin",(VLOOKUP(Table10[[#This Row],[SKU]],'All Skus'!$A:$AC,3,FALSE)),""))</f>
        <v>0</v>
      </c>
      <c r="C213" s="223">
        <f>(IF((VLOOKUP(Table10[[#This Row],[SKU]],'All Skus'!$A:$AC,2,FALSE))="Martin",(VLOOKUP(Table10[[#This Row],[SKU]],'All Skus'!$A:$AC,4,FALSE)),""))</f>
        <v>0</v>
      </c>
      <c r="D213" s="224">
        <f>(IF((VLOOKUP(Table10[[#This Row],[SKU]],'All Skus'!$A:$AC,2,FALSE))="Martin",(VLOOKUP(Table10[[#This Row],[SKU]],'All Skus'!$A:$AC,5,FALSE)),""))</f>
        <v>0</v>
      </c>
      <c r="E213" s="223">
        <f>(IF((VLOOKUP(Table10[[#This Row],[SKU]],'All Skus'!$A:$AC,2,FALSE))="Martin",(VLOOKUP(Table10[[#This Row],[SKU]],'All Skus'!$A:$AC,6,FALSE)),""))</f>
        <v>0</v>
      </c>
      <c r="F213" s="155">
        <f>(IF((VLOOKUP(Table10[[#This Row],[SKU]],'All Skus'!$A:$AC,2,FALSE))="Martin",(VLOOKUP(Table10[[#This Row],[SKU]],'All Skus'!$A:$AC,7,FALSE)),""))</f>
        <v>0</v>
      </c>
      <c r="G213" s="223">
        <f>(IF((VLOOKUP(Table10[[#This Row],[SKU]],'All Skus'!$A:$AC,2,FALSE))="Martin",(VLOOKUP(Table10[[#This Row],[SKU]],'All Skus'!$A:$AC,8,FALSE)),""))</f>
        <v>0</v>
      </c>
      <c r="H213" s="223">
        <f>(IF((VLOOKUP(Table10[[#This Row],[SKU]],'All Skus'!$A:$AC,2,FALSE))="Martin",(VLOOKUP(Table10[[#This Row],[SKU]],'All Skus'!$A:$AC,9,FALSE)),""))</f>
        <v>0</v>
      </c>
      <c r="I213" s="225">
        <f>(IF((VLOOKUP(Table10[[#This Row],[SKU]],'All Skus'!$A:$AC,2,FALSE))="Martin",(VLOOKUP(Table10[[#This Row],[SKU]],'All Skus'!$A:$AC,10,FALSE)),""))</f>
        <v>0</v>
      </c>
      <c r="J213" s="226">
        <f>(IF((VLOOKUP(Table10[[#This Row],[SKU]],'All Skus'!$A:$AC,2,FALSE))="Martin",(VLOOKUP(Table10[[#This Row],[SKU]],'All Skus'!$A:$AC,11,FALSE)),""))</f>
        <v>0</v>
      </c>
      <c r="K213" s="224">
        <f>(IF((VLOOKUP(Table10[[#This Row],[SKU]],'All Skus'!$A:$AC,2,FALSE))="Martin",(VLOOKUP(Table10[[#This Row],[SKU]],'All Skus'!$A:$AC,15,FALSE)),""))</f>
        <v>0</v>
      </c>
      <c r="L213" s="224">
        <f>(IF((VLOOKUP(Table10[[#This Row],[SKU]],'All Skus'!$A:$AC,2,FALSE))="Martin",(VLOOKUP(Table10[[#This Row],[SKU]],'All Skus'!$A:$AC,16,FALSE)),""))</f>
        <v>0</v>
      </c>
      <c r="M213" s="224">
        <f>(IF((VLOOKUP(Table10[[#This Row],[SKU]],'All Skus'!$A:$AC,2,FALSE))="Martin",(VLOOKUP(Table10[[#This Row],[SKU]],'All Skus'!$A:$AC,17,FALSE)),""))</f>
        <v>0</v>
      </c>
      <c r="N213" s="227">
        <f>(IF((VLOOKUP(Table10[[#This Row],[SKU]],'All Skus'!$A:$AC,2,FALSE))="Martin",(VLOOKUP(Table10[[#This Row],[SKU]],'All Skus'!$A:$AC,18,FALSE)),""))</f>
        <v>0</v>
      </c>
      <c r="O213" s="227">
        <f>(IF((VLOOKUP(Table10[[#This Row],[SKU]],'All Skus'!$A:$AC,2,FALSE))="Martin",(VLOOKUP(Table10[[#This Row],[SKU]],'All Skus'!$A:$AC,19,FALSE)),""))</f>
        <v>0</v>
      </c>
      <c r="P213" s="227">
        <f>(IF((VLOOKUP(Table10[[#This Row],[SKU]],'All Skus'!$A:$AC,2,FALSE))="Martin",(VLOOKUP(Table10[[#This Row],[SKU]],'All Skus'!$A:$AC,20,FALSE)),""))</f>
        <v>0</v>
      </c>
      <c r="Q213" s="227">
        <f>(IF((VLOOKUP(Table10[[#This Row],[SKU]],'All Skus'!$A:$AC,2,FALSE))="Martin",(VLOOKUP(Table10[[#This Row],[SKU]],'All Skus'!$A:$AC,21,FALSE)),""))</f>
        <v>0</v>
      </c>
      <c r="R213" s="224">
        <f>(IF((VLOOKUP(Table10[[#This Row],[SKU]],'All Skus'!$A:$AC,2,FALSE))="Martin",(VLOOKUP(Table10[[#This Row],[SKU]],'All Skus'!$A:$AC,22,FALSE)),""))</f>
        <v>0</v>
      </c>
      <c r="S213" s="223">
        <f>(IF((VLOOKUP(Table10[[#This Row],[SKU]],'All Skus'!$A:$AC,2,FALSE))="Martin",(VLOOKUP(Table10[[#This Row],[SKU]],'All Skus'!$A:$AC,23,FALSE)),""))</f>
        <v>0</v>
      </c>
      <c r="T213" s="212" t="str">
        <f>HYPERLINK((IF((VLOOKUP(Table10[[#This Row],[SKU]],'All Skus'!$A:$AC,2,FALSE))="Martin",(VLOOKUP(Table10[[#This Row],[SKU]],'All Skus'!$A:$AC,24,FALSE)),"")))</f>
        <v/>
      </c>
      <c r="U213" s="228">
        <v>211</v>
      </c>
    </row>
    <row r="214" spans="1:21" hidden="1">
      <c r="A214" s="116">
        <v>9025109547</v>
      </c>
      <c r="B214" s="224" t="str">
        <f>(IF((VLOOKUP(Table10[[#This Row],[SKU]],'All Skus'!$A:$AC,2,FALSE))="Martin",(VLOOKUP(Table10[[#This Row],[SKU]],'All Skus'!$A:$AC,3,FALSE)),""))</f>
        <v>ERA</v>
      </c>
      <c r="C214" s="223" t="str">
        <f>(IF((VLOOKUP(Table10[[#This Row],[SKU]],'All Skus'!$A:$AC,2,FALSE))="Martin",(VLOOKUP(Table10[[#This Row],[SKU]],'All Skus'!$A:$AC,4,FALSE)),""))</f>
        <v>MARTIN ERA 300 PROFILE</v>
      </c>
      <c r="D214" s="224" t="str">
        <f>(IF((VLOOKUP(Table10[[#This Row],[SKU]],'All Skus'!$A:$AC,2,FALSE))="Martin",(VLOOKUP(Table10[[#This Row],[SKU]],'All Skus'!$A:$AC,5,FALSE)),""))</f>
        <v>MAR-ERA</v>
      </c>
      <c r="E214" s="223">
        <f>(IF((VLOOKUP(Table10[[#This Row],[SKU]],'All Skus'!$A:$AC,2,FALSE))="Martin",(VLOOKUP(Table10[[#This Row],[SKU]],'All Skus'!$A:$AC,6,FALSE)),""))</f>
        <v>0</v>
      </c>
      <c r="F214" s="155">
        <f>(IF((VLOOKUP(Table10[[#This Row],[SKU]],'All Skus'!$A:$AC,2,FALSE))="Martin",(VLOOKUP(Table10[[#This Row],[SKU]],'All Skus'!$A:$AC,7,FALSE)),""))</f>
        <v>0</v>
      </c>
      <c r="G214" s="223" t="str">
        <f>(IF((VLOOKUP(Table10[[#This Row],[SKU]],'All Skus'!$A:$AC,2,FALSE))="Martin",(VLOOKUP(Table10[[#This Row],[SKU]],'All Skus'!$A:$AC,8,FALSE)),""))</f>
        <v>MARTIN ERA 300 PROFILE</v>
      </c>
      <c r="H214" s="223" t="str">
        <f>(IF((VLOOKUP(Table10[[#This Row],[SKU]],'All Skus'!$A:$AC,2,FALSE))="Martin",(VLOOKUP(Table10[[#This Row],[SKU]],'All Skus'!$A:$AC,9,FALSE)),""))</f>
        <v>MARTIN ERA 300 PROFILE</v>
      </c>
      <c r="I214" s="225">
        <f>(IF((VLOOKUP(Table10[[#This Row],[SKU]],'All Skus'!$A:$AC,2,FALSE))="Martin",(VLOOKUP(Table10[[#This Row],[SKU]],'All Skus'!$A:$AC,10,FALSE)),""))</f>
        <v>5482.35</v>
      </c>
      <c r="J214" s="226">
        <f>(IF((VLOOKUP(Table10[[#This Row],[SKU]],'All Skus'!$A:$AC,2,FALSE))="Martin",(VLOOKUP(Table10[[#This Row],[SKU]],'All Skus'!$A:$AC,11,FALSE)),""))</f>
        <v>5482.35</v>
      </c>
      <c r="K214" s="224">
        <f>(IF((VLOOKUP(Table10[[#This Row],[SKU]],'All Skus'!$A:$AC,2,FALSE))="Martin",(VLOOKUP(Table10[[#This Row],[SKU]],'All Skus'!$A:$AC,15,FALSE)),""))</f>
        <v>0</v>
      </c>
      <c r="L214" s="224">
        <f>(IF((VLOOKUP(Table10[[#This Row],[SKU]],'All Skus'!$A:$AC,2,FALSE))="Martin",(VLOOKUP(Table10[[#This Row],[SKU]],'All Skus'!$A:$AC,16,FALSE)),""))</f>
        <v>688705005393</v>
      </c>
      <c r="M214" s="224">
        <f>(IF((VLOOKUP(Table10[[#This Row],[SKU]],'All Skus'!$A:$AC,2,FALSE))="Martin",(VLOOKUP(Table10[[#This Row],[SKU]],'All Skus'!$A:$AC,17,FALSE)),""))</f>
        <v>0</v>
      </c>
      <c r="N214" s="227">
        <f>(IF((VLOOKUP(Table10[[#This Row],[SKU]],'All Skus'!$A:$AC,2,FALSE))="Martin",(VLOOKUP(Table10[[#This Row],[SKU]],'All Skus'!$A:$AC,18,FALSE)),""))</f>
        <v>0</v>
      </c>
      <c r="O214" s="227">
        <f>(IF((VLOOKUP(Table10[[#This Row],[SKU]],'All Skus'!$A:$AC,2,FALSE))="Martin",(VLOOKUP(Table10[[#This Row],[SKU]],'All Skus'!$A:$AC,19,FALSE)),""))</f>
        <v>0</v>
      </c>
      <c r="P214" s="227">
        <f>(IF((VLOOKUP(Table10[[#This Row],[SKU]],'All Skus'!$A:$AC,2,FALSE))="Martin",(VLOOKUP(Table10[[#This Row],[SKU]],'All Skus'!$A:$AC,20,FALSE)),""))</f>
        <v>0</v>
      </c>
      <c r="Q214" s="227">
        <f>(IF((VLOOKUP(Table10[[#This Row],[SKU]],'All Skus'!$A:$AC,2,FALSE))="Martin",(VLOOKUP(Table10[[#This Row],[SKU]],'All Skus'!$A:$AC,21,FALSE)),""))</f>
        <v>0</v>
      </c>
      <c r="R214" s="224" t="str">
        <f>(IF((VLOOKUP(Table10[[#This Row],[SKU]],'All Skus'!$A:$AC,2,FALSE))="Martin",(VLOOKUP(Table10[[#This Row],[SKU]],'All Skus'!$A:$AC,22,FALSE)),""))</f>
        <v>CN</v>
      </c>
      <c r="S214" s="223" t="str">
        <f>(IF((VLOOKUP(Table10[[#This Row],[SKU]],'All Skus'!$A:$AC,2,FALSE))="Martin",(VLOOKUP(Table10[[#This Row],[SKU]],'All Skus'!$A:$AC,23,FALSE)),""))</f>
        <v>Non Compliant</v>
      </c>
      <c r="T214" s="212" t="str">
        <f>HYPERLINK((IF((VLOOKUP(Table10[[#This Row],[SKU]],'All Skus'!$A:$AC,2,FALSE))="Martin",(VLOOKUP(Table10[[#This Row],[SKU]],'All Skus'!$A:$AC,24,FALSE)),"")))</f>
        <v>https://www.martin.com/en/products/era-300-profile</v>
      </c>
      <c r="U214" s="228">
        <v>212</v>
      </c>
    </row>
    <row r="215" spans="1:21" hidden="1">
      <c r="A215" s="116">
        <v>9025109886</v>
      </c>
      <c r="B215" s="224" t="str">
        <f>(IF((VLOOKUP(Table10[[#This Row],[SKU]],'All Skus'!$A:$AC,2,FALSE))="Martin",(VLOOKUP(Table10[[#This Row],[SKU]],'All Skus'!$A:$AC,3,FALSE)),""))</f>
        <v>ERA</v>
      </c>
      <c r="C215" s="223" t="str">
        <f>(IF((VLOOKUP(Table10[[#This Row],[SKU]],'All Skus'!$A:$AC,2,FALSE))="Martin",(VLOOKUP(Table10[[#This Row],[SKU]],'All Skus'!$A:$AC,4,FALSE)),""))</f>
        <v>MARTIN ERA 300 PROFILE WHITE</v>
      </c>
      <c r="D215" s="224" t="str">
        <f>(IF((VLOOKUP(Table10[[#This Row],[SKU]],'All Skus'!$A:$AC,2,FALSE))="Martin",(VLOOKUP(Table10[[#This Row],[SKU]],'All Skus'!$A:$AC,5,FALSE)),""))</f>
        <v>MAR-ERA</v>
      </c>
      <c r="E215" s="223">
        <f>(IF((VLOOKUP(Table10[[#This Row],[SKU]],'All Skus'!$A:$AC,2,FALSE))="Martin",(VLOOKUP(Table10[[#This Row],[SKU]],'All Skus'!$A:$AC,6,FALSE)),""))</f>
        <v>0</v>
      </c>
      <c r="F215" s="155">
        <f>(IF((VLOOKUP(Table10[[#This Row],[SKU]],'All Skus'!$A:$AC,2,FALSE))="Martin",(VLOOKUP(Table10[[#This Row],[SKU]],'All Skus'!$A:$AC,7,FALSE)),""))</f>
        <v>0</v>
      </c>
      <c r="G215" s="223" t="str">
        <f>(IF((VLOOKUP(Table10[[#This Row],[SKU]],'All Skus'!$A:$AC,2,FALSE))="Martin",(VLOOKUP(Table10[[#This Row],[SKU]],'All Skus'!$A:$AC,8,FALSE)),""))</f>
        <v>MARTIN ERA 300 PROFILE WHITE</v>
      </c>
      <c r="H215" s="223" t="str">
        <f>(IF((VLOOKUP(Table10[[#This Row],[SKU]],'All Skus'!$A:$AC,2,FALSE))="Martin",(VLOOKUP(Table10[[#This Row],[SKU]],'All Skus'!$A:$AC,9,FALSE)),""))</f>
        <v>MARTIN ERA 300 PROFILE WHITE</v>
      </c>
      <c r="I215" s="225">
        <f>(IF((VLOOKUP(Table10[[#This Row],[SKU]],'All Skus'!$A:$AC,2,FALSE))="Martin",(VLOOKUP(Table10[[#This Row],[SKU]],'All Skus'!$A:$AC,10,FALSE)),""))</f>
        <v>6247.91</v>
      </c>
      <c r="J215" s="226">
        <f>(IF((VLOOKUP(Table10[[#This Row],[SKU]],'All Skus'!$A:$AC,2,FALSE))="Martin",(VLOOKUP(Table10[[#This Row],[SKU]],'All Skus'!$A:$AC,11,FALSE)),""))</f>
        <v>6247.91</v>
      </c>
      <c r="K215" s="224">
        <f>(IF((VLOOKUP(Table10[[#This Row],[SKU]],'All Skus'!$A:$AC,2,FALSE))="Martin",(VLOOKUP(Table10[[#This Row],[SKU]],'All Skus'!$A:$AC,15,FALSE)),""))</f>
        <v>0</v>
      </c>
      <c r="L215" s="224">
        <f>(IF((VLOOKUP(Table10[[#This Row],[SKU]],'All Skus'!$A:$AC,2,FALSE))="Martin",(VLOOKUP(Table10[[#This Row],[SKU]],'All Skus'!$A:$AC,16,FALSE)),""))</f>
        <v>688705005478</v>
      </c>
      <c r="M215" s="224">
        <f>(IF((VLOOKUP(Table10[[#This Row],[SKU]],'All Skus'!$A:$AC,2,FALSE))="Martin",(VLOOKUP(Table10[[#This Row],[SKU]],'All Skus'!$A:$AC,17,FALSE)),""))</f>
        <v>0</v>
      </c>
      <c r="N215" s="227">
        <f>(IF((VLOOKUP(Table10[[#This Row],[SKU]],'All Skus'!$A:$AC,2,FALSE))="Martin",(VLOOKUP(Table10[[#This Row],[SKU]],'All Skus'!$A:$AC,18,FALSE)),""))</f>
        <v>0</v>
      </c>
      <c r="O215" s="227">
        <f>(IF((VLOOKUP(Table10[[#This Row],[SKU]],'All Skus'!$A:$AC,2,FALSE))="Martin",(VLOOKUP(Table10[[#This Row],[SKU]],'All Skus'!$A:$AC,19,FALSE)),""))</f>
        <v>0</v>
      </c>
      <c r="P215" s="227">
        <f>(IF((VLOOKUP(Table10[[#This Row],[SKU]],'All Skus'!$A:$AC,2,FALSE))="Martin",(VLOOKUP(Table10[[#This Row],[SKU]],'All Skus'!$A:$AC,20,FALSE)),""))</f>
        <v>0</v>
      </c>
      <c r="Q215" s="227">
        <f>(IF((VLOOKUP(Table10[[#This Row],[SKU]],'All Skus'!$A:$AC,2,FALSE))="Martin",(VLOOKUP(Table10[[#This Row],[SKU]],'All Skus'!$A:$AC,21,FALSE)),""))</f>
        <v>0</v>
      </c>
      <c r="R215" s="224" t="str">
        <f>(IF((VLOOKUP(Table10[[#This Row],[SKU]],'All Skus'!$A:$AC,2,FALSE))="Martin",(VLOOKUP(Table10[[#This Row],[SKU]],'All Skus'!$A:$AC,22,FALSE)),""))</f>
        <v>CN</v>
      </c>
      <c r="S215" s="223" t="str">
        <f>(IF((VLOOKUP(Table10[[#This Row],[SKU]],'All Skus'!$A:$AC,2,FALSE))="Martin",(VLOOKUP(Table10[[#This Row],[SKU]],'All Skus'!$A:$AC,23,FALSE)),""))</f>
        <v>Non Compliant</v>
      </c>
      <c r="T215" s="212" t="str">
        <f>HYPERLINK((IF((VLOOKUP(Table10[[#This Row],[SKU]],'All Skus'!$A:$AC,2,FALSE))="Martin",(VLOOKUP(Table10[[#This Row],[SKU]],'All Skus'!$A:$AC,24,FALSE)),"")))</f>
        <v>https://www.martin.com/en/products/era-300-profile</v>
      </c>
      <c r="U215" s="228">
        <v>213</v>
      </c>
    </row>
    <row r="216" spans="1:21" hidden="1">
      <c r="A216" s="111" t="s">
        <v>2022</v>
      </c>
      <c r="B216" s="224">
        <f>(IF((VLOOKUP(Table10[[#This Row],[SKU]],'All Skus'!$A:$AC,2,FALSE))="Martin",(VLOOKUP(Table10[[#This Row],[SKU]],'All Skus'!$A:$AC,3,FALSE)),""))</f>
        <v>0</v>
      </c>
      <c r="C216" s="223">
        <f>(IF((VLOOKUP(Table10[[#This Row],[SKU]],'All Skus'!$A:$AC,2,FALSE))="Martin",(VLOOKUP(Table10[[#This Row],[SKU]],'All Skus'!$A:$AC,4,FALSE)),""))</f>
        <v>0</v>
      </c>
      <c r="D216" s="224">
        <f>(IF((VLOOKUP(Table10[[#This Row],[SKU]],'All Skus'!$A:$AC,2,FALSE))="Martin",(VLOOKUP(Table10[[#This Row],[SKU]],'All Skus'!$A:$AC,5,FALSE)),""))</f>
        <v>0</v>
      </c>
      <c r="E216" s="223">
        <f>(IF((VLOOKUP(Table10[[#This Row],[SKU]],'All Skus'!$A:$AC,2,FALSE))="Martin",(VLOOKUP(Table10[[#This Row],[SKU]],'All Skus'!$A:$AC,6,FALSE)),""))</f>
        <v>0</v>
      </c>
      <c r="F216" s="155">
        <f>(IF((VLOOKUP(Table10[[#This Row],[SKU]],'All Skus'!$A:$AC,2,FALSE))="Martin",(VLOOKUP(Table10[[#This Row],[SKU]],'All Skus'!$A:$AC,7,FALSE)),""))</f>
        <v>0</v>
      </c>
      <c r="G216" s="223">
        <f>(IF((VLOOKUP(Table10[[#This Row],[SKU]],'All Skus'!$A:$AC,2,FALSE))="Martin",(VLOOKUP(Table10[[#This Row],[SKU]],'All Skus'!$A:$AC,8,FALSE)),""))</f>
        <v>0</v>
      </c>
      <c r="H216" s="223">
        <f>(IF((VLOOKUP(Table10[[#This Row],[SKU]],'All Skus'!$A:$AC,2,FALSE))="Martin",(VLOOKUP(Table10[[#This Row],[SKU]],'All Skus'!$A:$AC,9,FALSE)),""))</f>
        <v>0</v>
      </c>
      <c r="I216" s="225">
        <f>(IF((VLOOKUP(Table10[[#This Row],[SKU]],'All Skus'!$A:$AC,2,FALSE))="Martin",(VLOOKUP(Table10[[#This Row],[SKU]],'All Skus'!$A:$AC,10,FALSE)),""))</f>
        <v>0</v>
      </c>
      <c r="J216" s="226">
        <f>(IF((VLOOKUP(Table10[[#This Row],[SKU]],'All Skus'!$A:$AC,2,FALSE))="Martin",(VLOOKUP(Table10[[#This Row],[SKU]],'All Skus'!$A:$AC,11,FALSE)),""))</f>
        <v>0</v>
      </c>
      <c r="K216" s="224">
        <f>(IF((VLOOKUP(Table10[[#This Row],[SKU]],'All Skus'!$A:$AC,2,FALSE))="Martin",(VLOOKUP(Table10[[#This Row],[SKU]],'All Skus'!$A:$AC,15,FALSE)),""))</f>
        <v>0</v>
      </c>
      <c r="L216" s="224">
        <f>(IF((VLOOKUP(Table10[[#This Row],[SKU]],'All Skus'!$A:$AC,2,FALSE))="Martin",(VLOOKUP(Table10[[#This Row],[SKU]],'All Skus'!$A:$AC,16,FALSE)),""))</f>
        <v>0</v>
      </c>
      <c r="M216" s="224">
        <f>(IF((VLOOKUP(Table10[[#This Row],[SKU]],'All Skus'!$A:$AC,2,FALSE))="Martin",(VLOOKUP(Table10[[#This Row],[SKU]],'All Skus'!$A:$AC,17,FALSE)),""))</f>
        <v>0</v>
      </c>
      <c r="N216" s="227">
        <f>(IF((VLOOKUP(Table10[[#This Row],[SKU]],'All Skus'!$A:$AC,2,FALSE))="Martin",(VLOOKUP(Table10[[#This Row],[SKU]],'All Skus'!$A:$AC,18,FALSE)),""))</f>
        <v>0</v>
      </c>
      <c r="O216" s="227">
        <f>(IF((VLOOKUP(Table10[[#This Row],[SKU]],'All Skus'!$A:$AC,2,FALSE))="Martin",(VLOOKUP(Table10[[#This Row],[SKU]],'All Skus'!$A:$AC,19,FALSE)),""))</f>
        <v>0</v>
      </c>
      <c r="P216" s="227">
        <f>(IF((VLOOKUP(Table10[[#This Row],[SKU]],'All Skus'!$A:$AC,2,FALSE))="Martin",(VLOOKUP(Table10[[#This Row],[SKU]],'All Skus'!$A:$AC,20,FALSE)),""))</f>
        <v>0</v>
      </c>
      <c r="Q216" s="227">
        <f>(IF((VLOOKUP(Table10[[#This Row],[SKU]],'All Skus'!$A:$AC,2,FALSE))="Martin",(VLOOKUP(Table10[[#This Row],[SKU]],'All Skus'!$A:$AC,21,FALSE)),""))</f>
        <v>0</v>
      </c>
      <c r="R216" s="224">
        <f>(IF((VLOOKUP(Table10[[#This Row],[SKU]],'All Skus'!$A:$AC,2,FALSE))="Martin",(VLOOKUP(Table10[[#This Row],[SKU]],'All Skus'!$A:$AC,22,FALSE)),""))</f>
        <v>0</v>
      </c>
      <c r="S216" s="223">
        <f>(IF((VLOOKUP(Table10[[#This Row],[SKU]],'All Skus'!$A:$AC,2,FALSE))="Martin",(VLOOKUP(Table10[[#This Row],[SKU]],'All Skus'!$A:$AC,23,FALSE)),""))</f>
        <v>0</v>
      </c>
      <c r="T216" s="212" t="str">
        <f>HYPERLINK((IF((VLOOKUP(Table10[[#This Row],[SKU]],'All Skus'!$A:$AC,2,FALSE))="Martin",(VLOOKUP(Table10[[#This Row],[SKU]],'All Skus'!$A:$AC,24,FALSE)),"")))</f>
        <v/>
      </c>
      <c r="U216" s="228">
        <v>214</v>
      </c>
    </row>
    <row r="217" spans="1:21" hidden="1">
      <c r="A217" s="115" t="s">
        <v>2023</v>
      </c>
      <c r="B217" s="224">
        <f>(IF((VLOOKUP(Table10[[#This Row],[SKU]],'All Skus'!$A:$AC,2,FALSE))="Martin",(VLOOKUP(Table10[[#This Row],[SKU]],'All Skus'!$A:$AC,3,FALSE)),""))</f>
        <v>0</v>
      </c>
      <c r="C217" s="223">
        <f>(IF((VLOOKUP(Table10[[#This Row],[SKU]],'All Skus'!$A:$AC,2,FALSE))="Martin",(VLOOKUP(Table10[[#This Row],[SKU]],'All Skus'!$A:$AC,4,FALSE)),""))</f>
        <v>0</v>
      </c>
      <c r="D217" s="224">
        <f>(IF((VLOOKUP(Table10[[#This Row],[SKU]],'All Skus'!$A:$AC,2,FALSE))="Martin",(VLOOKUP(Table10[[#This Row],[SKU]],'All Skus'!$A:$AC,5,FALSE)),""))</f>
        <v>0</v>
      </c>
      <c r="E217" s="223">
        <f>(IF((VLOOKUP(Table10[[#This Row],[SKU]],'All Skus'!$A:$AC,2,FALSE))="Martin",(VLOOKUP(Table10[[#This Row],[SKU]],'All Skus'!$A:$AC,6,FALSE)),""))</f>
        <v>0</v>
      </c>
      <c r="F217" s="155">
        <f>(IF((VLOOKUP(Table10[[#This Row],[SKU]],'All Skus'!$A:$AC,2,FALSE))="Martin",(VLOOKUP(Table10[[#This Row],[SKU]],'All Skus'!$A:$AC,7,FALSE)),""))</f>
        <v>0</v>
      </c>
      <c r="G217" s="223">
        <f>(IF((VLOOKUP(Table10[[#This Row],[SKU]],'All Skus'!$A:$AC,2,FALSE))="Martin",(VLOOKUP(Table10[[#This Row],[SKU]],'All Skus'!$A:$AC,8,FALSE)),""))</f>
        <v>0</v>
      </c>
      <c r="H217" s="223">
        <f>(IF((VLOOKUP(Table10[[#This Row],[SKU]],'All Skus'!$A:$AC,2,FALSE))="Martin",(VLOOKUP(Table10[[#This Row],[SKU]],'All Skus'!$A:$AC,9,FALSE)),""))</f>
        <v>0</v>
      </c>
      <c r="I217" s="225">
        <f>(IF((VLOOKUP(Table10[[#This Row],[SKU]],'All Skus'!$A:$AC,2,FALSE))="Martin",(VLOOKUP(Table10[[#This Row],[SKU]],'All Skus'!$A:$AC,10,FALSE)),""))</f>
        <v>0</v>
      </c>
      <c r="J217" s="226">
        <f>(IF((VLOOKUP(Table10[[#This Row],[SKU]],'All Skus'!$A:$AC,2,FALSE))="Martin",(VLOOKUP(Table10[[#This Row],[SKU]],'All Skus'!$A:$AC,11,FALSE)),""))</f>
        <v>0</v>
      </c>
      <c r="K217" s="224">
        <f>(IF((VLOOKUP(Table10[[#This Row],[SKU]],'All Skus'!$A:$AC,2,FALSE))="Martin",(VLOOKUP(Table10[[#This Row],[SKU]],'All Skus'!$A:$AC,15,FALSE)),""))</f>
        <v>0</v>
      </c>
      <c r="L217" s="224">
        <f>(IF((VLOOKUP(Table10[[#This Row],[SKU]],'All Skus'!$A:$AC,2,FALSE))="Martin",(VLOOKUP(Table10[[#This Row],[SKU]],'All Skus'!$A:$AC,16,FALSE)),""))</f>
        <v>0</v>
      </c>
      <c r="M217" s="224">
        <f>(IF((VLOOKUP(Table10[[#This Row],[SKU]],'All Skus'!$A:$AC,2,FALSE))="Martin",(VLOOKUP(Table10[[#This Row],[SKU]],'All Skus'!$A:$AC,17,FALSE)),""))</f>
        <v>0</v>
      </c>
      <c r="N217" s="227">
        <f>(IF((VLOOKUP(Table10[[#This Row],[SKU]],'All Skus'!$A:$AC,2,FALSE))="Martin",(VLOOKUP(Table10[[#This Row],[SKU]],'All Skus'!$A:$AC,18,FALSE)),""))</f>
        <v>0</v>
      </c>
      <c r="O217" s="227">
        <f>(IF((VLOOKUP(Table10[[#This Row],[SKU]],'All Skus'!$A:$AC,2,FALSE))="Martin",(VLOOKUP(Table10[[#This Row],[SKU]],'All Skus'!$A:$AC,19,FALSE)),""))</f>
        <v>0</v>
      </c>
      <c r="P217" s="227">
        <f>(IF((VLOOKUP(Table10[[#This Row],[SKU]],'All Skus'!$A:$AC,2,FALSE))="Martin",(VLOOKUP(Table10[[#This Row],[SKU]],'All Skus'!$A:$AC,20,FALSE)),""))</f>
        <v>0</v>
      </c>
      <c r="Q217" s="227">
        <f>(IF((VLOOKUP(Table10[[#This Row],[SKU]],'All Skus'!$A:$AC,2,FALSE))="Martin",(VLOOKUP(Table10[[#This Row],[SKU]],'All Skus'!$A:$AC,21,FALSE)),""))</f>
        <v>0</v>
      </c>
      <c r="R217" s="224">
        <f>(IF((VLOOKUP(Table10[[#This Row],[SKU]],'All Skus'!$A:$AC,2,FALSE))="Martin",(VLOOKUP(Table10[[#This Row],[SKU]],'All Skus'!$A:$AC,22,FALSE)),""))</f>
        <v>0</v>
      </c>
      <c r="S217" s="223">
        <f>(IF((VLOOKUP(Table10[[#This Row],[SKU]],'All Skus'!$A:$AC,2,FALSE))="Martin",(VLOOKUP(Table10[[#This Row],[SKU]],'All Skus'!$A:$AC,23,FALSE)),""))</f>
        <v>0</v>
      </c>
      <c r="T217" s="212" t="str">
        <f>HYPERLINK((IF((VLOOKUP(Table10[[#This Row],[SKU]],'All Skus'!$A:$AC,2,FALSE))="Martin",(VLOOKUP(Table10[[#This Row],[SKU]],'All Skus'!$A:$AC,24,FALSE)),"")))</f>
        <v/>
      </c>
      <c r="U217" s="228">
        <v>215</v>
      </c>
    </row>
    <row r="218" spans="1:21" hidden="1">
      <c r="A218" s="116">
        <v>9025121796</v>
      </c>
      <c r="B218" s="224" t="str">
        <f>(IF((VLOOKUP(Table10[[#This Row],[SKU]],'All Skus'!$A:$AC,2,FALSE))="Martin",(VLOOKUP(Table10[[#This Row],[SKU]],'All Skus'!$A:$AC,3,FALSE)),""))</f>
        <v>ERA</v>
      </c>
      <c r="C218" s="223" t="str">
        <f>(IF((VLOOKUP(Table10[[#This Row],[SKU]],'All Skus'!$A:$AC,2,FALSE))="Martin",(VLOOKUP(Table10[[#This Row],[SKU]],'All Skus'!$A:$AC,4,FALSE)),""))</f>
        <v>Martin ERA 400 Performance CLD</v>
      </c>
      <c r="D218" s="224" t="str">
        <f>(IF((VLOOKUP(Table10[[#This Row],[SKU]],'All Skus'!$A:$AC,2,FALSE))="Martin",(VLOOKUP(Table10[[#This Row],[SKU]],'All Skus'!$A:$AC,5,FALSE)),""))</f>
        <v>MAR-ERA</v>
      </c>
      <c r="E218" s="223">
        <f>(IF((VLOOKUP(Table10[[#This Row],[SKU]],'All Skus'!$A:$AC,2,FALSE))="Martin",(VLOOKUP(Table10[[#This Row],[SKU]],'All Skus'!$A:$AC,6,FALSE)),""))</f>
        <v>0</v>
      </c>
      <c r="F218" s="155">
        <f>(IF((VLOOKUP(Table10[[#This Row],[SKU]],'All Skus'!$A:$AC,2,FALSE))="Martin",(VLOOKUP(Table10[[#This Row],[SKU]],'All Skus'!$A:$AC,7,FALSE)),""))</f>
        <v>0</v>
      </c>
      <c r="G218" s="223" t="str">
        <f>(IF((VLOOKUP(Table10[[#This Row],[SKU]],'All Skus'!$A:$AC,2,FALSE))="Martin",(VLOOKUP(Table10[[#This Row],[SKU]],'All Skus'!$A:$AC,8,FALSE)),""))</f>
        <v>Martin ERA 400 Performance CLD</v>
      </c>
      <c r="H218" s="223" t="str">
        <f>(IF((VLOOKUP(Table10[[#This Row],[SKU]],'All Skus'!$A:$AC,2,FALSE))="Martin",(VLOOKUP(Table10[[#This Row],[SKU]],'All Skus'!$A:$AC,9,FALSE)),""))</f>
        <v>Martin ERA 400 Performance CLD</v>
      </c>
      <c r="I218" s="225">
        <f>(IF((VLOOKUP(Table10[[#This Row],[SKU]],'All Skus'!$A:$AC,2,FALSE))="Martin",(VLOOKUP(Table10[[#This Row],[SKU]],'All Skus'!$A:$AC,10,FALSE)),""))</f>
        <v>7630.84</v>
      </c>
      <c r="J218" s="226">
        <f>(IF((VLOOKUP(Table10[[#This Row],[SKU]],'All Skus'!$A:$AC,2,FALSE))="Martin",(VLOOKUP(Table10[[#This Row],[SKU]],'All Skus'!$A:$AC,11,FALSE)),""))</f>
        <v>7630.84</v>
      </c>
      <c r="K218" s="224">
        <f>(IF((VLOOKUP(Table10[[#This Row],[SKU]],'All Skus'!$A:$AC,2,FALSE))="Martin",(VLOOKUP(Table10[[#This Row],[SKU]],'All Skus'!$A:$AC,15,FALSE)),""))</f>
        <v>0</v>
      </c>
      <c r="L218" s="224">
        <f>(IF((VLOOKUP(Table10[[#This Row],[SKU]],'All Skus'!$A:$AC,2,FALSE))="Martin",(VLOOKUP(Table10[[#This Row],[SKU]],'All Skus'!$A:$AC,16,FALSE)),""))</f>
        <v>688705006048</v>
      </c>
      <c r="M218" s="224">
        <f>(IF((VLOOKUP(Table10[[#This Row],[SKU]],'All Skus'!$A:$AC,2,FALSE))="Martin",(VLOOKUP(Table10[[#This Row],[SKU]],'All Skus'!$A:$AC,17,FALSE)),""))</f>
        <v>0</v>
      </c>
      <c r="N218" s="227">
        <f>(IF((VLOOKUP(Table10[[#This Row],[SKU]],'All Skus'!$A:$AC,2,FALSE))="Martin",(VLOOKUP(Table10[[#This Row],[SKU]],'All Skus'!$A:$AC,18,FALSE)),""))</f>
        <v>0</v>
      </c>
      <c r="O218" s="227">
        <f>(IF((VLOOKUP(Table10[[#This Row],[SKU]],'All Skus'!$A:$AC,2,FALSE))="Martin",(VLOOKUP(Table10[[#This Row],[SKU]],'All Skus'!$A:$AC,19,FALSE)),""))</f>
        <v>0</v>
      </c>
      <c r="P218" s="227">
        <f>(IF((VLOOKUP(Table10[[#This Row],[SKU]],'All Skus'!$A:$AC,2,FALSE))="Martin",(VLOOKUP(Table10[[#This Row],[SKU]],'All Skus'!$A:$AC,20,FALSE)),""))</f>
        <v>0</v>
      </c>
      <c r="Q218" s="227">
        <f>(IF((VLOOKUP(Table10[[#This Row],[SKU]],'All Skus'!$A:$AC,2,FALSE))="Martin",(VLOOKUP(Table10[[#This Row],[SKU]],'All Skus'!$A:$AC,21,FALSE)),""))</f>
        <v>0</v>
      </c>
      <c r="R218" s="224" t="str">
        <f>(IF((VLOOKUP(Table10[[#This Row],[SKU]],'All Skus'!$A:$AC,2,FALSE))="Martin",(VLOOKUP(Table10[[#This Row],[SKU]],'All Skus'!$A:$AC,22,FALSE)),""))</f>
        <v>CN</v>
      </c>
      <c r="S218" s="223">
        <f>(IF((VLOOKUP(Table10[[#This Row],[SKU]],'All Skus'!$A:$AC,2,FALSE))="Martin",(VLOOKUP(Table10[[#This Row],[SKU]],'All Skus'!$A:$AC,23,FALSE)),""))</f>
        <v>0</v>
      </c>
      <c r="T218" s="212" t="str">
        <f>HYPERLINK((IF((VLOOKUP(Table10[[#This Row],[SKU]],'All Skus'!$A:$AC,2,FALSE))="Martin",(VLOOKUP(Table10[[#This Row],[SKU]],'All Skus'!$A:$AC,24,FALSE)),"")))</f>
        <v>https://www.martin.com/en/products/era-400-performance-cld</v>
      </c>
      <c r="U218" s="228">
        <v>216</v>
      </c>
    </row>
    <row r="219" spans="1:21" ht="21.75" hidden="1" customHeight="1">
      <c r="A219" s="115" t="s">
        <v>2024</v>
      </c>
      <c r="B219" s="224">
        <f>(IF((VLOOKUP(Table10[[#This Row],[SKU]],'All Skus'!$A:$AC,2,FALSE))="Martin",(VLOOKUP(Table10[[#This Row],[SKU]],'All Skus'!$A:$AC,3,FALSE)),""))</f>
        <v>0</v>
      </c>
      <c r="C219" s="223">
        <f>(IF((VLOOKUP(Table10[[#This Row],[SKU]],'All Skus'!$A:$AC,2,FALSE))="Martin",(VLOOKUP(Table10[[#This Row],[SKU]],'All Skus'!$A:$AC,4,FALSE)),""))</f>
        <v>0</v>
      </c>
      <c r="D219" s="224">
        <f>(IF((VLOOKUP(Table10[[#This Row],[SKU]],'All Skus'!$A:$AC,2,FALSE))="Martin",(VLOOKUP(Table10[[#This Row],[SKU]],'All Skus'!$A:$AC,5,FALSE)),""))</f>
        <v>0</v>
      </c>
      <c r="E219" s="223">
        <f>(IF((VLOOKUP(Table10[[#This Row],[SKU]],'All Skus'!$A:$AC,2,FALSE))="Martin",(VLOOKUP(Table10[[#This Row],[SKU]],'All Skus'!$A:$AC,6,FALSE)),""))</f>
        <v>0</v>
      </c>
      <c r="F219" s="155">
        <f>(IF((VLOOKUP(Table10[[#This Row],[SKU]],'All Skus'!$A:$AC,2,FALSE))="Martin",(VLOOKUP(Table10[[#This Row],[SKU]],'All Skus'!$A:$AC,7,FALSE)),""))</f>
        <v>0</v>
      </c>
      <c r="G219" s="223">
        <f>(IF((VLOOKUP(Table10[[#This Row],[SKU]],'All Skus'!$A:$AC,2,FALSE))="Martin",(VLOOKUP(Table10[[#This Row],[SKU]],'All Skus'!$A:$AC,8,FALSE)),""))</f>
        <v>0</v>
      </c>
      <c r="H219" s="223">
        <f>(IF((VLOOKUP(Table10[[#This Row],[SKU]],'All Skus'!$A:$AC,2,FALSE))="Martin",(VLOOKUP(Table10[[#This Row],[SKU]],'All Skus'!$A:$AC,9,FALSE)),""))</f>
        <v>0</v>
      </c>
      <c r="I219" s="225">
        <f>(IF((VLOOKUP(Table10[[#This Row],[SKU]],'All Skus'!$A:$AC,2,FALSE))="Martin",(VLOOKUP(Table10[[#This Row],[SKU]],'All Skus'!$A:$AC,10,FALSE)),""))</f>
        <v>0</v>
      </c>
      <c r="J219" s="226">
        <f>(IF((VLOOKUP(Table10[[#This Row],[SKU]],'All Skus'!$A:$AC,2,FALSE))="Martin",(VLOOKUP(Table10[[#This Row],[SKU]],'All Skus'!$A:$AC,11,FALSE)),""))</f>
        <v>0</v>
      </c>
      <c r="K219" s="224">
        <f>(IF((VLOOKUP(Table10[[#This Row],[SKU]],'All Skus'!$A:$AC,2,FALSE))="Martin",(VLOOKUP(Table10[[#This Row],[SKU]],'All Skus'!$A:$AC,15,FALSE)),""))</f>
        <v>0</v>
      </c>
      <c r="L219" s="224">
        <f>(IF((VLOOKUP(Table10[[#This Row],[SKU]],'All Skus'!$A:$AC,2,FALSE))="Martin",(VLOOKUP(Table10[[#This Row],[SKU]],'All Skus'!$A:$AC,16,FALSE)),""))</f>
        <v>0</v>
      </c>
      <c r="M219" s="224">
        <f>(IF((VLOOKUP(Table10[[#This Row],[SKU]],'All Skus'!$A:$AC,2,FALSE))="Martin",(VLOOKUP(Table10[[#This Row],[SKU]],'All Skus'!$A:$AC,17,FALSE)),""))</f>
        <v>0</v>
      </c>
      <c r="N219" s="227">
        <f>(IF((VLOOKUP(Table10[[#This Row],[SKU]],'All Skus'!$A:$AC,2,FALSE))="Martin",(VLOOKUP(Table10[[#This Row],[SKU]],'All Skus'!$A:$AC,18,FALSE)),""))</f>
        <v>0</v>
      </c>
      <c r="O219" s="227">
        <f>(IF((VLOOKUP(Table10[[#This Row],[SKU]],'All Skus'!$A:$AC,2,FALSE))="Martin",(VLOOKUP(Table10[[#This Row],[SKU]],'All Skus'!$A:$AC,19,FALSE)),""))</f>
        <v>0</v>
      </c>
      <c r="P219" s="227">
        <f>(IF((VLOOKUP(Table10[[#This Row],[SKU]],'All Skus'!$A:$AC,2,FALSE))="Martin",(VLOOKUP(Table10[[#This Row],[SKU]],'All Skus'!$A:$AC,20,FALSE)),""))</f>
        <v>0</v>
      </c>
      <c r="Q219" s="227">
        <f>(IF((VLOOKUP(Table10[[#This Row],[SKU]],'All Skus'!$A:$AC,2,FALSE))="Martin",(VLOOKUP(Table10[[#This Row],[SKU]],'All Skus'!$A:$AC,21,FALSE)),""))</f>
        <v>0</v>
      </c>
      <c r="R219" s="224">
        <f>(IF((VLOOKUP(Table10[[#This Row],[SKU]],'All Skus'!$A:$AC,2,FALSE))="Martin",(VLOOKUP(Table10[[#This Row],[SKU]],'All Skus'!$A:$AC,22,FALSE)),""))</f>
        <v>0</v>
      </c>
      <c r="S219" s="223">
        <f>(IF((VLOOKUP(Table10[[#This Row],[SKU]],'All Skus'!$A:$AC,2,FALSE))="Martin",(VLOOKUP(Table10[[#This Row],[SKU]],'All Skus'!$A:$AC,23,FALSE)),""))</f>
        <v>0</v>
      </c>
      <c r="T219" s="212" t="str">
        <f>HYPERLINK((IF((VLOOKUP(Table10[[#This Row],[SKU]],'All Skus'!$A:$AC,2,FALSE))="Martin",(VLOOKUP(Table10[[#This Row],[SKU]],'All Skus'!$A:$AC,24,FALSE)),"")))</f>
        <v/>
      </c>
      <c r="U219" s="228">
        <v>217</v>
      </c>
    </row>
    <row r="220" spans="1:21" ht="15" hidden="1" customHeight="1">
      <c r="A220" s="115" t="s">
        <v>2025</v>
      </c>
      <c r="B220" s="224">
        <f>(IF((VLOOKUP(Table10[[#This Row],[SKU]],'All Skus'!$A:$AC,2,FALSE))="Martin",(VLOOKUP(Table10[[#This Row],[SKU]],'All Skus'!$A:$AC,3,FALSE)),""))</f>
        <v>0</v>
      </c>
      <c r="C220" s="223">
        <f>(IF((VLOOKUP(Table10[[#This Row],[SKU]],'All Skus'!$A:$AC,2,FALSE))="Martin",(VLOOKUP(Table10[[#This Row],[SKU]],'All Skus'!$A:$AC,4,FALSE)),""))</f>
        <v>0</v>
      </c>
      <c r="D220" s="224">
        <f>(IF((VLOOKUP(Table10[[#This Row],[SKU]],'All Skus'!$A:$AC,2,FALSE))="Martin",(VLOOKUP(Table10[[#This Row],[SKU]],'All Skus'!$A:$AC,5,FALSE)),""))</f>
        <v>0</v>
      </c>
      <c r="E220" s="223">
        <f>(IF((VLOOKUP(Table10[[#This Row],[SKU]],'All Skus'!$A:$AC,2,FALSE))="Martin",(VLOOKUP(Table10[[#This Row],[SKU]],'All Skus'!$A:$AC,6,FALSE)),""))</f>
        <v>0</v>
      </c>
      <c r="F220" s="155">
        <f>(IF((VLOOKUP(Table10[[#This Row],[SKU]],'All Skus'!$A:$AC,2,FALSE))="Martin",(VLOOKUP(Table10[[#This Row],[SKU]],'All Skus'!$A:$AC,7,FALSE)),""))</f>
        <v>0</v>
      </c>
      <c r="G220" s="223">
        <f>(IF((VLOOKUP(Table10[[#This Row],[SKU]],'All Skus'!$A:$AC,2,FALSE))="Martin",(VLOOKUP(Table10[[#This Row],[SKU]],'All Skus'!$A:$AC,8,FALSE)),""))</f>
        <v>0</v>
      </c>
      <c r="H220" s="223">
        <f>(IF((VLOOKUP(Table10[[#This Row],[SKU]],'All Skus'!$A:$AC,2,FALSE))="Martin",(VLOOKUP(Table10[[#This Row],[SKU]],'All Skus'!$A:$AC,9,FALSE)),""))</f>
        <v>0</v>
      </c>
      <c r="I220" s="225">
        <f>(IF((VLOOKUP(Table10[[#This Row],[SKU]],'All Skus'!$A:$AC,2,FALSE))="Martin",(VLOOKUP(Table10[[#This Row],[SKU]],'All Skus'!$A:$AC,10,FALSE)),""))</f>
        <v>0</v>
      </c>
      <c r="J220" s="226">
        <f>(IF((VLOOKUP(Table10[[#This Row],[SKU]],'All Skus'!$A:$AC,2,FALSE))="Martin",(VLOOKUP(Table10[[#This Row],[SKU]],'All Skus'!$A:$AC,11,FALSE)),""))</f>
        <v>0</v>
      </c>
      <c r="K220" s="224">
        <f>(IF((VLOOKUP(Table10[[#This Row],[SKU]],'All Skus'!$A:$AC,2,FALSE))="Martin",(VLOOKUP(Table10[[#This Row],[SKU]],'All Skus'!$A:$AC,15,FALSE)),""))</f>
        <v>0</v>
      </c>
      <c r="L220" s="224">
        <f>(IF((VLOOKUP(Table10[[#This Row],[SKU]],'All Skus'!$A:$AC,2,FALSE))="Martin",(VLOOKUP(Table10[[#This Row],[SKU]],'All Skus'!$A:$AC,16,FALSE)),""))</f>
        <v>0</v>
      </c>
      <c r="M220" s="224">
        <f>(IF((VLOOKUP(Table10[[#This Row],[SKU]],'All Skus'!$A:$AC,2,FALSE))="Martin",(VLOOKUP(Table10[[#This Row],[SKU]],'All Skus'!$A:$AC,17,FALSE)),""))</f>
        <v>0</v>
      </c>
      <c r="N220" s="227">
        <f>(IF((VLOOKUP(Table10[[#This Row],[SKU]],'All Skus'!$A:$AC,2,FALSE))="Martin",(VLOOKUP(Table10[[#This Row],[SKU]],'All Skus'!$A:$AC,18,FALSE)),""))</f>
        <v>0</v>
      </c>
      <c r="O220" s="227">
        <f>(IF((VLOOKUP(Table10[[#This Row],[SKU]],'All Skus'!$A:$AC,2,FALSE))="Martin",(VLOOKUP(Table10[[#This Row],[SKU]],'All Skus'!$A:$AC,19,FALSE)),""))</f>
        <v>0</v>
      </c>
      <c r="P220" s="227">
        <f>(IF((VLOOKUP(Table10[[#This Row],[SKU]],'All Skus'!$A:$AC,2,FALSE))="Martin",(VLOOKUP(Table10[[#This Row],[SKU]],'All Skus'!$A:$AC,20,FALSE)),""))</f>
        <v>0</v>
      </c>
      <c r="Q220" s="227">
        <f>(IF((VLOOKUP(Table10[[#This Row],[SKU]],'All Skus'!$A:$AC,2,FALSE))="Martin",(VLOOKUP(Table10[[#This Row],[SKU]],'All Skus'!$A:$AC,21,FALSE)),""))</f>
        <v>0</v>
      </c>
      <c r="R220" s="224">
        <f>(IF((VLOOKUP(Table10[[#This Row],[SKU]],'All Skus'!$A:$AC,2,FALSE))="Martin",(VLOOKUP(Table10[[#This Row],[SKU]],'All Skus'!$A:$AC,22,FALSE)),""))</f>
        <v>0</v>
      </c>
      <c r="S220" s="223">
        <f>(IF((VLOOKUP(Table10[[#This Row],[SKU]],'All Skus'!$A:$AC,2,FALSE))="Martin",(VLOOKUP(Table10[[#This Row],[SKU]],'All Skus'!$A:$AC,23,FALSE)),""))</f>
        <v>0</v>
      </c>
      <c r="T220" s="212" t="str">
        <f>HYPERLINK((IF((VLOOKUP(Table10[[#This Row],[SKU]],'All Skus'!$A:$AC,2,FALSE))="Martin",(VLOOKUP(Table10[[#This Row],[SKU]],'All Skus'!$A:$AC,24,FALSE)),"")))</f>
        <v/>
      </c>
      <c r="U220" s="228">
        <v>218</v>
      </c>
    </row>
    <row r="221" spans="1:21" ht="15" hidden="1" customHeight="1">
      <c r="A221" s="116">
        <v>91511217</v>
      </c>
      <c r="B221" s="224" t="str">
        <f>(IF((VLOOKUP(Table10[[#This Row],[SKU]],'All Skus'!$A:$AC,2,FALSE))="Martin",(VLOOKUP(Table10[[#This Row],[SKU]],'All Skus'!$A:$AC,3,FALSE)),""))</f>
        <v>ERA</v>
      </c>
      <c r="C221" s="223" t="str">
        <f>(IF((VLOOKUP(Table10[[#This Row],[SKU]],'All Skus'!$A:$AC,2,FALSE))="Martin",(VLOOKUP(Table10[[#This Row],[SKU]],'All Skus'!$A:$AC,4,FALSE)),""))</f>
        <v>Flightcase for 2 x ERA 400</v>
      </c>
      <c r="D221" s="224" t="str">
        <f>(IF((VLOOKUP(Table10[[#This Row],[SKU]],'All Skus'!$A:$AC,2,FALSE))="Martin",(VLOOKUP(Table10[[#This Row],[SKU]],'All Skus'!$A:$AC,5,FALSE)),""))</f>
        <v>MAR-ERA</v>
      </c>
      <c r="E221" s="223">
        <f>(IF((VLOOKUP(Table10[[#This Row],[SKU]],'All Skus'!$A:$AC,2,FALSE))="Martin",(VLOOKUP(Table10[[#This Row],[SKU]],'All Skus'!$A:$AC,6,FALSE)),""))</f>
        <v>0</v>
      </c>
      <c r="F221" s="155">
        <f>(IF((VLOOKUP(Table10[[#This Row],[SKU]],'All Skus'!$A:$AC,2,FALSE))="Martin",(VLOOKUP(Table10[[#This Row],[SKU]],'All Skus'!$A:$AC,7,FALSE)),""))</f>
        <v>0</v>
      </c>
      <c r="G221" s="223" t="str">
        <f>(IF((VLOOKUP(Table10[[#This Row],[SKU]],'All Skus'!$A:$AC,2,FALSE))="Martin",(VLOOKUP(Table10[[#This Row],[SKU]],'All Skus'!$A:$AC,8,FALSE)),""))</f>
        <v>Flightcase for 2 x ERA 400</v>
      </c>
      <c r="H221" s="223" t="str">
        <f>(IF((VLOOKUP(Table10[[#This Row],[SKU]],'All Skus'!$A:$AC,2,FALSE))="Martin",(VLOOKUP(Table10[[#This Row],[SKU]],'All Skus'!$A:$AC,9,FALSE)),""))</f>
        <v>Flightcase for 2 x ERA 400</v>
      </c>
      <c r="I221" s="225">
        <f>(IF((VLOOKUP(Table10[[#This Row],[SKU]],'All Skus'!$A:$AC,2,FALSE))="Martin",(VLOOKUP(Table10[[#This Row],[SKU]],'All Skus'!$A:$AC,10,FALSE)),""))</f>
        <v>2226.2800000000002</v>
      </c>
      <c r="J221" s="226">
        <f>(IF((VLOOKUP(Table10[[#This Row],[SKU]],'All Skus'!$A:$AC,2,FALSE))="Martin",(VLOOKUP(Table10[[#This Row],[SKU]],'All Skus'!$A:$AC,11,FALSE)),""))</f>
        <v>2226.2800000000002</v>
      </c>
      <c r="K221" s="224">
        <f>(IF((VLOOKUP(Table10[[#This Row],[SKU]],'All Skus'!$A:$AC,2,FALSE))="Martin",(VLOOKUP(Table10[[#This Row],[SKU]],'All Skus'!$A:$AC,15,FALSE)),""))</f>
        <v>0</v>
      </c>
      <c r="L221" s="224">
        <f>(IF((VLOOKUP(Table10[[#This Row],[SKU]],'All Skus'!$A:$AC,2,FALSE))="Martin",(VLOOKUP(Table10[[#This Row],[SKU]],'All Skus'!$A:$AC,16,FALSE)),""))</f>
        <v>688705006031</v>
      </c>
      <c r="M221" s="224">
        <f>(IF((VLOOKUP(Table10[[#This Row],[SKU]],'All Skus'!$A:$AC,2,FALSE))="Martin",(VLOOKUP(Table10[[#This Row],[SKU]],'All Skus'!$A:$AC,17,FALSE)),""))</f>
        <v>0</v>
      </c>
      <c r="N221" s="227">
        <f>(IF((VLOOKUP(Table10[[#This Row],[SKU]],'All Skus'!$A:$AC,2,FALSE))="Martin",(VLOOKUP(Table10[[#This Row],[SKU]],'All Skus'!$A:$AC,18,FALSE)),""))</f>
        <v>0</v>
      </c>
      <c r="O221" s="227">
        <f>(IF((VLOOKUP(Table10[[#This Row],[SKU]],'All Skus'!$A:$AC,2,FALSE))="Martin",(VLOOKUP(Table10[[#This Row],[SKU]],'All Skus'!$A:$AC,19,FALSE)),""))</f>
        <v>0</v>
      </c>
      <c r="P221" s="227">
        <f>(IF((VLOOKUP(Table10[[#This Row],[SKU]],'All Skus'!$A:$AC,2,FALSE))="Martin",(VLOOKUP(Table10[[#This Row],[SKU]],'All Skus'!$A:$AC,20,FALSE)),""))</f>
        <v>0</v>
      </c>
      <c r="Q221" s="227">
        <f>(IF((VLOOKUP(Table10[[#This Row],[SKU]],'All Skus'!$A:$AC,2,FALSE))="Martin",(VLOOKUP(Table10[[#This Row],[SKU]],'All Skus'!$A:$AC,21,FALSE)),""))</f>
        <v>0</v>
      </c>
      <c r="R221" s="224" t="str">
        <f>(IF((VLOOKUP(Table10[[#This Row],[SKU]],'All Skus'!$A:$AC,2,FALSE))="Martin",(VLOOKUP(Table10[[#This Row],[SKU]],'All Skus'!$A:$AC,22,FALSE)),""))</f>
        <v>DE</v>
      </c>
      <c r="S221" s="223">
        <f>(IF((VLOOKUP(Table10[[#This Row],[SKU]],'All Skus'!$A:$AC,2,FALSE))="Martin",(VLOOKUP(Table10[[#This Row],[SKU]],'All Skus'!$A:$AC,23,FALSE)),""))</f>
        <v>0</v>
      </c>
      <c r="T221" s="212" t="str">
        <f>HYPERLINK((IF((VLOOKUP(Table10[[#This Row],[SKU]],'All Skus'!$A:$AC,2,FALSE))="Martin",(VLOOKUP(Table10[[#This Row],[SKU]],'All Skus'!$A:$AC,24,FALSE)),"")))</f>
        <v/>
      </c>
      <c r="U221" s="228">
        <v>219</v>
      </c>
    </row>
    <row r="222" spans="1:21" ht="15" hidden="1" customHeight="1">
      <c r="A222" s="111" t="s">
        <v>2026</v>
      </c>
      <c r="B222" s="224">
        <f>(IF((VLOOKUP(Table10[[#This Row],[SKU]],'All Skus'!$A:$AC,2,FALSE))="Martin",(VLOOKUP(Table10[[#This Row],[SKU]],'All Skus'!$A:$AC,3,FALSE)),""))</f>
        <v>0</v>
      </c>
      <c r="C222" s="223">
        <f>(IF((VLOOKUP(Table10[[#This Row],[SKU]],'All Skus'!$A:$AC,2,FALSE))="Martin",(VLOOKUP(Table10[[#This Row],[SKU]],'All Skus'!$A:$AC,4,FALSE)),""))</f>
        <v>0</v>
      </c>
      <c r="D222" s="224">
        <f>(IF((VLOOKUP(Table10[[#This Row],[SKU]],'All Skus'!$A:$AC,2,FALSE))="Martin",(VLOOKUP(Table10[[#This Row],[SKU]],'All Skus'!$A:$AC,5,FALSE)),""))</f>
        <v>0</v>
      </c>
      <c r="E222" s="223">
        <f>(IF((VLOOKUP(Table10[[#This Row],[SKU]],'All Skus'!$A:$AC,2,FALSE))="Martin",(VLOOKUP(Table10[[#This Row],[SKU]],'All Skus'!$A:$AC,6,FALSE)),""))</f>
        <v>0</v>
      </c>
      <c r="F222" s="155">
        <f>(IF((VLOOKUP(Table10[[#This Row],[SKU]],'All Skus'!$A:$AC,2,FALSE))="Martin",(VLOOKUP(Table10[[#This Row],[SKU]],'All Skus'!$A:$AC,7,FALSE)),""))</f>
        <v>0</v>
      </c>
      <c r="G222" s="223">
        <f>(IF((VLOOKUP(Table10[[#This Row],[SKU]],'All Skus'!$A:$AC,2,FALSE))="Martin",(VLOOKUP(Table10[[#This Row],[SKU]],'All Skus'!$A:$AC,8,FALSE)),""))</f>
        <v>0</v>
      </c>
      <c r="H222" s="223">
        <f>(IF((VLOOKUP(Table10[[#This Row],[SKU]],'All Skus'!$A:$AC,2,FALSE))="Martin",(VLOOKUP(Table10[[#This Row],[SKU]],'All Skus'!$A:$AC,9,FALSE)),""))</f>
        <v>0</v>
      </c>
      <c r="I222" s="225">
        <f>(IF((VLOOKUP(Table10[[#This Row],[SKU]],'All Skus'!$A:$AC,2,FALSE))="Martin",(VLOOKUP(Table10[[#This Row],[SKU]],'All Skus'!$A:$AC,10,FALSE)),""))</f>
        <v>0</v>
      </c>
      <c r="J222" s="226">
        <f>(IF((VLOOKUP(Table10[[#This Row],[SKU]],'All Skus'!$A:$AC,2,FALSE))="Martin",(VLOOKUP(Table10[[#This Row],[SKU]],'All Skus'!$A:$AC,11,FALSE)),""))</f>
        <v>0</v>
      </c>
      <c r="K222" s="224">
        <f>(IF((VLOOKUP(Table10[[#This Row],[SKU]],'All Skus'!$A:$AC,2,FALSE))="Martin",(VLOOKUP(Table10[[#This Row],[SKU]],'All Skus'!$A:$AC,15,FALSE)),""))</f>
        <v>0</v>
      </c>
      <c r="L222" s="224">
        <f>(IF((VLOOKUP(Table10[[#This Row],[SKU]],'All Skus'!$A:$AC,2,FALSE))="Martin",(VLOOKUP(Table10[[#This Row],[SKU]],'All Skus'!$A:$AC,16,FALSE)),""))</f>
        <v>0</v>
      </c>
      <c r="M222" s="224">
        <f>(IF((VLOOKUP(Table10[[#This Row],[SKU]],'All Skus'!$A:$AC,2,FALSE))="Martin",(VLOOKUP(Table10[[#This Row],[SKU]],'All Skus'!$A:$AC,17,FALSE)),""))</f>
        <v>0</v>
      </c>
      <c r="N222" s="227">
        <f>(IF((VLOOKUP(Table10[[#This Row],[SKU]],'All Skus'!$A:$AC,2,FALSE))="Martin",(VLOOKUP(Table10[[#This Row],[SKU]],'All Skus'!$A:$AC,18,FALSE)),""))</f>
        <v>0</v>
      </c>
      <c r="O222" s="227">
        <f>(IF((VLOOKUP(Table10[[#This Row],[SKU]],'All Skus'!$A:$AC,2,FALSE))="Martin",(VLOOKUP(Table10[[#This Row],[SKU]],'All Skus'!$A:$AC,19,FALSE)),""))</f>
        <v>0</v>
      </c>
      <c r="P222" s="227">
        <f>(IF((VLOOKUP(Table10[[#This Row],[SKU]],'All Skus'!$A:$AC,2,FALSE))="Martin",(VLOOKUP(Table10[[#This Row],[SKU]],'All Skus'!$A:$AC,20,FALSE)),""))</f>
        <v>0</v>
      </c>
      <c r="Q222" s="227">
        <f>(IF((VLOOKUP(Table10[[#This Row],[SKU]],'All Skus'!$A:$AC,2,FALSE))="Martin",(VLOOKUP(Table10[[#This Row],[SKU]],'All Skus'!$A:$AC,21,FALSE)),""))</f>
        <v>0</v>
      </c>
      <c r="R222" s="224">
        <f>(IF((VLOOKUP(Table10[[#This Row],[SKU]],'All Skus'!$A:$AC,2,FALSE))="Martin",(VLOOKUP(Table10[[#This Row],[SKU]],'All Skus'!$A:$AC,22,FALSE)),""))</f>
        <v>0</v>
      </c>
      <c r="S222" s="223">
        <f>(IF((VLOOKUP(Table10[[#This Row],[SKU]],'All Skus'!$A:$AC,2,FALSE))="Martin",(VLOOKUP(Table10[[#This Row],[SKU]],'All Skus'!$A:$AC,23,FALSE)),""))</f>
        <v>0</v>
      </c>
      <c r="T222" s="212" t="str">
        <f>HYPERLINK((IF((VLOOKUP(Table10[[#This Row],[SKU]],'All Skus'!$A:$AC,2,FALSE))="Martin",(VLOOKUP(Table10[[#This Row],[SKU]],'All Skus'!$A:$AC,24,FALSE)),"")))</f>
        <v/>
      </c>
      <c r="U222" s="228">
        <v>220</v>
      </c>
    </row>
    <row r="223" spans="1:21" ht="15" hidden="1" customHeight="1">
      <c r="A223" s="115" t="s">
        <v>2027</v>
      </c>
      <c r="B223" s="224">
        <f>(IF((VLOOKUP(Table10[[#This Row],[SKU]],'All Skus'!$A:$AC,2,FALSE))="Martin",(VLOOKUP(Table10[[#This Row],[SKU]],'All Skus'!$A:$AC,3,FALSE)),""))</f>
        <v>0</v>
      </c>
      <c r="C223" s="223">
        <f>(IF((VLOOKUP(Table10[[#This Row],[SKU]],'All Skus'!$A:$AC,2,FALSE))="Martin",(VLOOKUP(Table10[[#This Row],[SKU]],'All Skus'!$A:$AC,4,FALSE)),""))</f>
        <v>0</v>
      </c>
      <c r="D223" s="224">
        <f>(IF((VLOOKUP(Table10[[#This Row],[SKU]],'All Skus'!$A:$AC,2,FALSE))="Martin",(VLOOKUP(Table10[[#This Row],[SKU]],'All Skus'!$A:$AC,5,FALSE)),""))</f>
        <v>0</v>
      </c>
      <c r="E223" s="223">
        <f>(IF((VLOOKUP(Table10[[#This Row],[SKU]],'All Skus'!$A:$AC,2,FALSE))="Martin",(VLOOKUP(Table10[[#This Row],[SKU]],'All Skus'!$A:$AC,6,FALSE)),""))</f>
        <v>0</v>
      </c>
      <c r="F223" s="155">
        <f>(IF((VLOOKUP(Table10[[#This Row],[SKU]],'All Skus'!$A:$AC,2,FALSE))="Martin",(VLOOKUP(Table10[[#This Row],[SKU]],'All Skus'!$A:$AC,7,FALSE)),""))</f>
        <v>0</v>
      </c>
      <c r="G223" s="223">
        <f>(IF((VLOOKUP(Table10[[#This Row],[SKU]],'All Skus'!$A:$AC,2,FALSE))="Martin",(VLOOKUP(Table10[[#This Row],[SKU]],'All Skus'!$A:$AC,8,FALSE)),""))</f>
        <v>0</v>
      </c>
      <c r="H223" s="223">
        <f>(IF((VLOOKUP(Table10[[#This Row],[SKU]],'All Skus'!$A:$AC,2,FALSE))="Martin",(VLOOKUP(Table10[[#This Row],[SKU]],'All Skus'!$A:$AC,9,FALSE)),""))</f>
        <v>0</v>
      </c>
      <c r="I223" s="225">
        <f>(IF((VLOOKUP(Table10[[#This Row],[SKU]],'All Skus'!$A:$AC,2,FALSE))="Martin",(VLOOKUP(Table10[[#This Row],[SKU]],'All Skus'!$A:$AC,10,FALSE)),""))</f>
        <v>0</v>
      </c>
      <c r="J223" s="226">
        <f>(IF((VLOOKUP(Table10[[#This Row],[SKU]],'All Skus'!$A:$AC,2,FALSE))="Martin",(VLOOKUP(Table10[[#This Row],[SKU]],'All Skus'!$A:$AC,11,FALSE)),""))</f>
        <v>0</v>
      </c>
      <c r="K223" s="224">
        <f>(IF((VLOOKUP(Table10[[#This Row],[SKU]],'All Skus'!$A:$AC,2,FALSE))="Martin",(VLOOKUP(Table10[[#This Row],[SKU]],'All Skus'!$A:$AC,15,FALSE)),""))</f>
        <v>0</v>
      </c>
      <c r="L223" s="224">
        <f>(IF((VLOOKUP(Table10[[#This Row],[SKU]],'All Skus'!$A:$AC,2,FALSE))="Martin",(VLOOKUP(Table10[[#This Row],[SKU]],'All Skus'!$A:$AC,16,FALSE)),""))</f>
        <v>0</v>
      </c>
      <c r="M223" s="224">
        <f>(IF((VLOOKUP(Table10[[#This Row],[SKU]],'All Skus'!$A:$AC,2,FALSE))="Martin",(VLOOKUP(Table10[[#This Row],[SKU]],'All Skus'!$A:$AC,17,FALSE)),""))</f>
        <v>0</v>
      </c>
      <c r="N223" s="227">
        <f>(IF((VLOOKUP(Table10[[#This Row],[SKU]],'All Skus'!$A:$AC,2,FALSE))="Martin",(VLOOKUP(Table10[[#This Row],[SKU]],'All Skus'!$A:$AC,18,FALSE)),""))</f>
        <v>0</v>
      </c>
      <c r="O223" s="227">
        <f>(IF((VLOOKUP(Table10[[#This Row],[SKU]],'All Skus'!$A:$AC,2,FALSE))="Martin",(VLOOKUP(Table10[[#This Row],[SKU]],'All Skus'!$A:$AC,19,FALSE)),""))</f>
        <v>0</v>
      </c>
      <c r="P223" s="227">
        <f>(IF((VLOOKUP(Table10[[#This Row],[SKU]],'All Skus'!$A:$AC,2,FALSE))="Martin",(VLOOKUP(Table10[[#This Row],[SKU]],'All Skus'!$A:$AC,20,FALSE)),""))</f>
        <v>0</v>
      </c>
      <c r="Q223" s="227">
        <f>(IF((VLOOKUP(Table10[[#This Row],[SKU]],'All Skus'!$A:$AC,2,FALSE))="Martin",(VLOOKUP(Table10[[#This Row],[SKU]],'All Skus'!$A:$AC,21,FALSE)),""))</f>
        <v>0</v>
      </c>
      <c r="R223" s="224">
        <f>(IF((VLOOKUP(Table10[[#This Row],[SKU]],'All Skus'!$A:$AC,2,FALSE))="Martin",(VLOOKUP(Table10[[#This Row],[SKU]],'All Skus'!$A:$AC,22,FALSE)),""))</f>
        <v>0</v>
      </c>
      <c r="S223" s="223">
        <f>(IF((VLOOKUP(Table10[[#This Row],[SKU]],'All Skus'!$A:$AC,2,FALSE))="Martin",(VLOOKUP(Table10[[#This Row],[SKU]],'All Skus'!$A:$AC,23,FALSE)),""))</f>
        <v>0</v>
      </c>
      <c r="T223" s="212" t="str">
        <f>HYPERLINK((IF((VLOOKUP(Table10[[#This Row],[SKU]],'All Skus'!$A:$AC,2,FALSE))="Martin",(VLOOKUP(Table10[[#This Row],[SKU]],'All Skus'!$A:$AC,24,FALSE)),"")))</f>
        <v/>
      </c>
      <c r="U223" s="228">
        <v>221</v>
      </c>
    </row>
    <row r="224" spans="1:21" ht="15" hidden="1" customHeight="1">
      <c r="A224" s="90">
        <v>9025122049</v>
      </c>
      <c r="B224" s="224" t="str">
        <f>(IF((VLOOKUP(Table10[[#This Row],[SKU]],'All Skus'!$A:$AC,2,FALSE))="Martin",(VLOOKUP(Table10[[#This Row],[SKU]],'All Skus'!$A:$AC,3,FALSE)),""))</f>
        <v>ERA</v>
      </c>
      <c r="C224" s="223" t="str">
        <f>(IF((VLOOKUP(Table10[[#This Row],[SKU]],'All Skus'!$A:$AC,2,FALSE))="Martin",(VLOOKUP(Table10[[#This Row],[SKU]],'All Skus'!$A:$AC,4,FALSE)),""))</f>
        <v>Martin ERA 600 Performance</v>
      </c>
      <c r="D224" s="224" t="str">
        <f>(IF((VLOOKUP(Table10[[#This Row],[SKU]],'All Skus'!$A:$AC,2,FALSE))="Martin",(VLOOKUP(Table10[[#This Row],[SKU]],'All Skus'!$A:$AC,5,FALSE)),""))</f>
        <v>MAR-ERA</v>
      </c>
      <c r="E224" s="223">
        <f>(IF((VLOOKUP(Table10[[#This Row],[SKU]],'All Skus'!$A:$AC,2,FALSE))="Martin",(VLOOKUP(Table10[[#This Row],[SKU]],'All Skus'!$A:$AC,6,FALSE)),""))</f>
        <v>0</v>
      </c>
      <c r="F224" s="155">
        <f>(IF((VLOOKUP(Table10[[#This Row],[SKU]],'All Skus'!$A:$AC,2,FALSE))="Martin",(VLOOKUP(Table10[[#This Row],[SKU]],'All Skus'!$A:$AC,7,FALSE)),""))</f>
        <v>0</v>
      </c>
      <c r="G224" s="223" t="str">
        <f>(IF((VLOOKUP(Table10[[#This Row],[SKU]],'All Skus'!$A:$AC,2,FALSE))="Martin",(VLOOKUP(Table10[[#This Row],[SKU]],'All Skus'!$A:$AC,8,FALSE)),""))</f>
        <v>Martin ERA 600 Performance</v>
      </c>
      <c r="H224" s="223" t="str">
        <f>(IF((VLOOKUP(Table10[[#This Row],[SKU]],'All Skus'!$A:$AC,2,FALSE))="Martin",(VLOOKUP(Table10[[#This Row],[SKU]],'All Skus'!$A:$AC,9,FALSE)),""))</f>
        <v>Martin ERA 600 Performance</v>
      </c>
      <c r="I224" s="225">
        <f>(IF((VLOOKUP(Table10[[#This Row],[SKU]],'All Skus'!$A:$AC,2,FALSE))="Martin",(VLOOKUP(Table10[[#This Row],[SKU]],'All Skus'!$A:$AC,10,FALSE)),""))</f>
        <v>12082.17</v>
      </c>
      <c r="J224" s="226">
        <f>(IF((VLOOKUP(Table10[[#This Row],[SKU]],'All Skus'!$A:$AC,2,FALSE))="Martin",(VLOOKUP(Table10[[#This Row],[SKU]],'All Skus'!$A:$AC,11,FALSE)),""))</f>
        <v>12082.17</v>
      </c>
      <c r="K224" s="224">
        <f>(IF((VLOOKUP(Table10[[#This Row],[SKU]],'All Skus'!$A:$AC,2,FALSE))="Martin",(VLOOKUP(Table10[[#This Row],[SKU]],'All Skus'!$A:$AC,15,FALSE)),""))</f>
        <v>0</v>
      </c>
      <c r="L224" s="224">
        <f>(IF((VLOOKUP(Table10[[#This Row],[SKU]],'All Skus'!$A:$AC,2,FALSE))="Martin",(VLOOKUP(Table10[[#This Row],[SKU]],'All Skus'!$A:$AC,16,FALSE)),""))</f>
        <v>688705006116</v>
      </c>
      <c r="M224" s="224">
        <f>(IF((VLOOKUP(Table10[[#This Row],[SKU]],'All Skus'!$A:$AC,2,FALSE))="Martin",(VLOOKUP(Table10[[#This Row],[SKU]],'All Skus'!$A:$AC,17,FALSE)),""))</f>
        <v>0</v>
      </c>
      <c r="N224" s="227">
        <f>(IF((VLOOKUP(Table10[[#This Row],[SKU]],'All Skus'!$A:$AC,2,FALSE))="Martin",(VLOOKUP(Table10[[#This Row],[SKU]],'All Skus'!$A:$AC,18,FALSE)),""))</f>
        <v>0</v>
      </c>
      <c r="O224" s="227">
        <f>(IF((VLOOKUP(Table10[[#This Row],[SKU]],'All Skus'!$A:$AC,2,FALSE))="Martin",(VLOOKUP(Table10[[#This Row],[SKU]],'All Skus'!$A:$AC,19,FALSE)),""))</f>
        <v>0</v>
      </c>
      <c r="P224" s="227">
        <f>(IF((VLOOKUP(Table10[[#This Row],[SKU]],'All Skus'!$A:$AC,2,FALSE))="Martin",(VLOOKUP(Table10[[#This Row],[SKU]],'All Skus'!$A:$AC,20,FALSE)),""))</f>
        <v>0</v>
      </c>
      <c r="Q224" s="227">
        <f>(IF((VLOOKUP(Table10[[#This Row],[SKU]],'All Skus'!$A:$AC,2,FALSE))="Martin",(VLOOKUP(Table10[[#This Row],[SKU]],'All Skus'!$A:$AC,21,FALSE)),""))</f>
        <v>0</v>
      </c>
      <c r="R224" s="224" t="str">
        <f>(IF((VLOOKUP(Table10[[#This Row],[SKU]],'All Skus'!$A:$AC,2,FALSE))="Martin",(VLOOKUP(Table10[[#This Row],[SKU]],'All Skus'!$A:$AC,22,FALSE)),""))</f>
        <v>CN</v>
      </c>
      <c r="S224" s="223">
        <f>(IF((VLOOKUP(Table10[[#This Row],[SKU]],'All Skus'!$A:$AC,2,FALSE))="Martin",(VLOOKUP(Table10[[#This Row],[SKU]],'All Skus'!$A:$AC,23,FALSE)),""))</f>
        <v>0</v>
      </c>
      <c r="T224" s="212" t="str">
        <f>HYPERLINK((IF((VLOOKUP(Table10[[#This Row],[SKU]],'All Skus'!$A:$AC,2,FALSE))="Martin",(VLOOKUP(Table10[[#This Row],[SKU]],'All Skus'!$A:$AC,24,FALSE)),"")))</f>
        <v>https://www.martin.com/en/products/era-600-performance</v>
      </c>
      <c r="U224" s="228">
        <v>222</v>
      </c>
    </row>
    <row r="225" spans="1:21" ht="15" hidden="1" customHeight="1">
      <c r="A225" s="90">
        <v>9025122050</v>
      </c>
      <c r="B225" s="224" t="str">
        <f>(IF((VLOOKUP(Table10[[#This Row],[SKU]],'All Skus'!$A:$AC,2,FALSE))="Martin",(VLOOKUP(Table10[[#This Row],[SKU]],'All Skus'!$A:$AC,3,FALSE)),""))</f>
        <v>ERA</v>
      </c>
      <c r="C225" s="223" t="str">
        <f>(IF((VLOOKUP(Table10[[#This Row],[SKU]],'All Skus'!$A:$AC,2,FALSE))="Martin",(VLOOKUP(Table10[[#This Row],[SKU]],'All Skus'!$A:$AC,4,FALSE)),""))</f>
        <v>Martin ERA 600 Performance WHITE</v>
      </c>
      <c r="D225" s="224" t="str">
        <f>(IF((VLOOKUP(Table10[[#This Row],[SKU]],'All Skus'!$A:$AC,2,FALSE))="Martin",(VLOOKUP(Table10[[#This Row],[SKU]],'All Skus'!$A:$AC,5,FALSE)),""))</f>
        <v>MAR-ERA</v>
      </c>
      <c r="E225" s="223">
        <f>(IF((VLOOKUP(Table10[[#This Row],[SKU]],'All Skus'!$A:$AC,2,FALSE))="Martin",(VLOOKUP(Table10[[#This Row],[SKU]],'All Skus'!$A:$AC,6,FALSE)),""))</f>
        <v>0</v>
      </c>
      <c r="F225" s="155">
        <f>(IF((VLOOKUP(Table10[[#This Row],[SKU]],'All Skus'!$A:$AC,2,FALSE))="Martin",(VLOOKUP(Table10[[#This Row],[SKU]],'All Skus'!$A:$AC,7,FALSE)),""))</f>
        <v>0</v>
      </c>
      <c r="G225" s="223" t="str">
        <f>(IF((VLOOKUP(Table10[[#This Row],[SKU]],'All Skus'!$A:$AC,2,FALSE))="Martin",(VLOOKUP(Table10[[#This Row],[SKU]],'All Skus'!$A:$AC,8,FALSE)),""))</f>
        <v>Martin ERA 600 Performance WHITE</v>
      </c>
      <c r="H225" s="223" t="str">
        <f>(IF((VLOOKUP(Table10[[#This Row],[SKU]],'All Skus'!$A:$AC,2,FALSE))="Martin",(VLOOKUP(Table10[[#This Row],[SKU]],'All Skus'!$A:$AC,9,FALSE)),""))</f>
        <v>Martin ERA 600 Performance WHITE</v>
      </c>
      <c r="I225" s="225">
        <f>(IF((VLOOKUP(Table10[[#This Row],[SKU]],'All Skus'!$A:$AC,2,FALSE))="Martin",(VLOOKUP(Table10[[#This Row],[SKU]],'All Skus'!$A:$AC,10,FALSE)),""))</f>
        <v>13353.97</v>
      </c>
      <c r="J225" s="226">
        <f>(IF((VLOOKUP(Table10[[#This Row],[SKU]],'All Skus'!$A:$AC,2,FALSE))="Martin",(VLOOKUP(Table10[[#This Row],[SKU]],'All Skus'!$A:$AC,11,FALSE)),""))</f>
        <v>13353.97</v>
      </c>
      <c r="K225" s="224">
        <f>(IF((VLOOKUP(Table10[[#This Row],[SKU]],'All Skus'!$A:$AC,2,FALSE))="Martin",(VLOOKUP(Table10[[#This Row],[SKU]],'All Skus'!$A:$AC,15,FALSE)),""))</f>
        <v>0</v>
      </c>
      <c r="L225" s="224">
        <f>(IF((VLOOKUP(Table10[[#This Row],[SKU]],'All Skus'!$A:$AC,2,FALSE))="Martin",(VLOOKUP(Table10[[#This Row],[SKU]],'All Skus'!$A:$AC,16,FALSE)),""))</f>
        <v>688705006109</v>
      </c>
      <c r="M225" s="224">
        <f>(IF((VLOOKUP(Table10[[#This Row],[SKU]],'All Skus'!$A:$AC,2,FALSE))="Martin",(VLOOKUP(Table10[[#This Row],[SKU]],'All Skus'!$A:$AC,17,FALSE)),""))</f>
        <v>0</v>
      </c>
      <c r="N225" s="227">
        <f>(IF((VLOOKUP(Table10[[#This Row],[SKU]],'All Skus'!$A:$AC,2,FALSE))="Martin",(VLOOKUP(Table10[[#This Row],[SKU]],'All Skus'!$A:$AC,18,FALSE)),""))</f>
        <v>0</v>
      </c>
      <c r="O225" s="227">
        <f>(IF((VLOOKUP(Table10[[#This Row],[SKU]],'All Skus'!$A:$AC,2,FALSE))="Martin",(VLOOKUP(Table10[[#This Row],[SKU]],'All Skus'!$A:$AC,19,FALSE)),""))</f>
        <v>0</v>
      </c>
      <c r="P225" s="227">
        <f>(IF((VLOOKUP(Table10[[#This Row],[SKU]],'All Skus'!$A:$AC,2,FALSE))="Martin",(VLOOKUP(Table10[[#This Row],[SKU]],'All Skus'!$A:$AC,20,FALSE)),""))</f>
        <v>0</v>
      </c>
      <c r="Q225" s="227">
        <f>(IF((VLOOKUP(Table10[[#This Row],[SKU]],'All Skus'!$A:$AC,2,FALSE))="Martin",(VLOOKUP(Table10[[#This Row],[SKU]],'All Skus'!$A:$AC,21,FALSE)),""))</f>
        <v>0</v>
      </c>
      <c r="R225" s="224" t="str">
        <f>(IF((VLOOKUP(Table10[[#This Row],[SKU]],'All Skus'!$A:$AC,2,FALSE))="Martin",(VLOOKUP(Table10[[#This Row],[SKU]],'All Skus'!$A:$AC,22,FALSE)),""))</f>
        <v>CN</v>
      </c>
      <c r="S225" s="223">
        <f>(IF((VLOOKUP(Table10[[#This Row],[SKU]],'All Skus'!$A:$AC,2,FALSE))="Martin",(VLOOKUP(Table10[[#This Row],[SKU]],'All Skus'!$A:$AC,23,FALSE)),""))</f>
        <v>0</v>
      </c>
      <c r="T225" s="212" t="str">
        <f>HYPERLINK((IF((VLOOKUP(Table10[[#This Row],[SKU]],'All Skus'!$A:$AC,2,FALSE))="Martin",(VLOOKUP(Table10[[#This Row],[SKU]],'All Skus'!$A:$AC,24,FALSE)),"")))</f>
        <v>https://www.martin.com/en/products/era-800-performance</v>
      </c>
      <c r="U225" s="228">
        <v>223</v>
      </c>
    </row>
    <row r="226" spans="1:21" ht="15" hidden="1" customHeight="1">
      <c r="A226" s="230" t="s">
        <v>2028</v>
      </c>
      <c r="B226" s="224">
        <f>(IF((VLOOKUP(Table10[[#This Row],[SKU]],'All Skus'!$A:$AC,2,FALSE))="Martin",(VLOOKUP(Table10[[#This Row],[SKU]],'All Skus'!$A:$AC,3,FALSE)),""))</f>
        <v>0</v>
      </c>
      <c r="C226" s="223">
        <f>(IF((VLOOKUP(Table10[[#This Row],[SKU]],'All Skus'!$A:$AC,2,FALSE))="Martin",(VLOOKUP(Table10[[#This Row],[SKU]],'All Skus'!$A:$AC,4,FALSE)),""))</f>
        <v>0</v>
      </c>
      <c r="D226" s="224">
        <f>(IF((VLOOKUP(Table10[[#This Row],[SKU]],'All Skus'!$A:$AC,2,FALSE))="Martin",(VLOOKUP(Table10[[#This Row],[SKU]],'All Skus'!$A:$AC,5,FALSE)),""))</f>
        <v>0</v>
      </c>
      <c r="E226" s="223">
        <f>(IF((VLOOKUP(Table10[[#This Row],[SKU]],'All Skus'!$A:$AC,2,FALSE))="Martin",(VLOOKUP(Table10[[#This Row],[SKU]],'All Skus'!$A:$AC,6,FALSE)),""))</f>
        <v>0</v>
      </c>
      <c r="F226" s="155">
        <f>(IF((VLOOKUP(Table10[[#This Row],[SKU]],'All Skus'!$A:$AC,2,FALSE))="Martin",(VLOOKUP(Table10[[#This Row],[SKU]],'All Skus'!$A:$AC,7,FALSE)),""))</f>
        <v>0</v>
      </c>
      <c r="G226" s="223">
        <f>(IF((VLOOKUP(Table10[[#This Row],[SKU]],'All Skus'!$A:$AC,2,FALSE))="Martin",(VLOOKUP(Table10[[#This Row],[SKU]],'All Skus'!$A:$AC,8,FALSE)),""))</f>
        <v>0</v>
      </c>
      <c r="H226" s="223">
        <f>(IF((VLOOKUP(Table10[[#This Row],[SKU]],'All Skus'!$A:$AC,2,FALSE))="Martin",(VLOOKUP(Table10[[#This Row],[SKU]],'All Skus'!$A:$AC,9,FALSE)),""))</f>
        <v>0</v>
      </c>
      <c r="I226" s="225">
        <f>(IF((VLOOKUP(Table10[[#This Row],[SKU]],'All Skus'!$A:$AC,2,FALSE))="Martin",(VLOOKUP(Table10[[#This Row],[SKU]],'All Skus'!$A:$AC,10,FALSE)),""))</f>
        <v>0</v>
      </c>
      <c r="J226" s="226">
        <f>(IF((VLOOKUP(Table10[[#This Row],[SKU]],'All Skus'!$A:$AC,2,FALSE))="Martin",(VLOOKUP(Table10[[#This Row],[SKU]],'All Skus'!$A:$AC,11,FALSE)),""))</f>
        <v>0</v>
      </c>
      <c r="K226" s="224">
        <f>(IF((VLOOKUP(Table10[[#This Row],[SKU]],'All Skus'!$A:$AC,2,FALSE))="Martin",(VLOOKUP(Table10[[#This Row],[SKU]],'All Skus'!$A:$AC,15,FALSE)),""))</f>
        <v>0</v>
      </c>
      <c r="L226" s="224">
        <f>(IF((VLOOKUP(Table10[[#This Row],[SKU]],'All Skus'!$A:$AC,2,FALSE))="Martin",(VLOOKUP(Table10[[#This Row],[SKU]],'All Skus'!$A:$AC,16,FALSE)),""))</f>
        <v>0</v>
      </c>
      <c r="M226" s="224">
        <f>(IF((VLOOKUP(Table10[[#This Row],[SKU]],'All Skus'!$A:$AC,2,FALSE))="Martin",(VLOOKUP(Table10[[#This Row],[SKU]],'All Skus'!$A:$AC,17,FALSE)),""))</f>
        <v>0</v>
      </c>
      <c r="N226" s="227">
        <f>(IF((VLOOKUP(Table10[[#This Row],[SKU]],'All Skus'!$A:$AC,2,FALSE))="Martin",(VLOOKUP(Table10[[#This Row],[SKU]],'All Skus'!$A:$AC,18,FALSE)),""))</f>
        <v>0</v>
      </c>
      <c r="O226" s="227">
        <f>(IF((VLOOKUP(Table10[[#This Row],[SKU]],'All Skus'!$A:$AC,2,FALSE))="Martin",(VLOOKUP(Table10[[#This Row],[SKU]],'All Skus'!$A:$AC,19,FALSE)),""))</f>
        <v>0</v>
      </c>
      <c r="P226" s="227">
        <f>(IF((VLOOKUP(Table10[[#This Row],[SKU]],'All Skus'!$A:$AC,2,FALSE))="Martin",(VLOOKUP(Table10[[#This Row],[SKU]],'All Skus'!$A:$AC,20,FALSE)),""))</f>
        <v>0</v>
      </c>
      <c r="Q226" s="227">
        <f>(IF((VLOOKUP(Table10[[#This Row],[SKU]],'All Skus'!$A:$AC,2,FALSE))="Martin",(VLOOKUP(Table10[[#This Row],[SKU]],'All Skus'!$A:$AC,21,FALSE)),""))</f>
        <v>0</v>
      </c>
      <c r="R226" s="224">
        <f>(IF((VLOOKUP(Table10[[#This Row],[SKU]],'All Skus'!$A:$AC,2,FALSE))="Martin",(VLOOKUP(Table10[[#This Row],[SKU]],'All Skus'!$A:$AC,22,FALSE)),""))</f>
        <v>0</v>
      </c>
      <c r="S226" s="223">
        <f>(IF((VLOOKUP(Table10[[#This Row],[SKU]],'All Skus'!$A:$AC,2,FALSE))="Martin",(VLOOKUP(Table10[[#This Row],[SKU]],'All Skus'!$A:$AC,23,FALSE)),""))</f>
        <v>0</v>
      </c>
      <c r="T226" s="212" t="str">
        <f>HYPERLINK((IF((VLOOKUP(Table10[[#This Row],[SKU]],'All Skus'!$A:$AC,2,FALSE))="Martin",(VLOOKUP(Table10[[#This Row],[SKU]],'All Skus'!$A:$AC,24,FALSE)),"")))</f>
        <v/>
      </c>
      <c r="U226" s="228">
        <v>224</v>
      </c>
    </row>
    <row r="227" spans="1:21" ht="15" hidden="1" customHeight="1">
      <c r="A227" s="90">
        <v>9025123579</v>
      </c>
      <c r="B227" s="224" t="str">
        <f>(IF((VLOOKUP(Table10[[#This Row],[SKU]],'All Skus'!$A:$AC,2,FALSE))="Martin",(VLOOKUP(Table10[[#This Row],[SKU]],'All Skus'!$A:$AC,3,FALSE)),""))</f>
        <v>ERA</v>
      </c>
      <c r="C227" s="223" t="str">
        <f>(IF((VLOOKUP(Table10[[#This Row],[SKU]],'All Skus'!$A:$AC,2,FALSE))="Martin",(VLOOKUP(Table10[[#This Row],[SKU]],'All Skus'!$A:$AC,4,FALSE)),""))</f>
        <v>Martin ERA 600 Profile</v>
      </c>
      <c r="D227" s="224" t="str">
        <f>(IF((VLOOKUP(Table10[[#This Row],[SKU]],'All Skus'!$A:$AC,2,FALSE))="Martin",(VLOOKUP(Table10[[#This Row],[SKU]],'All Skus'!$A:$AC,5,FALSE)),""))</f>
        <v>MAR-ERA</v>
      </c>
      <c r="E227" s="223">
        <f>(IF((VLOOKUP(Table10[[#This Row],[SKU]],'All Skus'!$A:$AC,2,FALSE))="Martin",(VLOOKUP(Table10[[#This Row],[SKU]],'All Skus'!$A:$AC,6,FALSE)),""))</f>
        <v>0</v>
      </c>
      <c r="F227" s="155">
        <f>(IF((VLOOKUP(Table10[[#This Row],[SKU]],'All Skus'!$A:$AC,2,FALSE))="Martin",(VLOOKUP(Table10[[#This Row],[SKU]],'All Skus'!$A:$AC,7,FALSE)),""))</f>
        <v>0</v>
      </c>
      <c r="G227" s="223" t="str">
        <f>(IF((VLOOKUP(Table10[[#This Row],[SKU]],'All Skus'!$A:$AC,2,FALSE))="Martin",(VLOOKUP(Table10[[#This Row],[SKU]],'All Skus'!$A:$AC,8,FALSE)),""))</f>
        <v>Martin ERA 600 Profile</v>
      </c>
      <c r="H227" s="223" t="str">
        <f>(IF((VLOOKUP(Table10[[#This Row],[SKU]],'All Skus'!$A:$AC,2,FALSE))="Martin",(VLOOKUP(Table10[[#This Row],[SKU]],'All Skus'!$A:$AC,9,FALSE)),""))</f>
        <v>Martin ERA 600 Profile</v>
      </c>
      <c r="I227" s="225">
        <f>(IF((VLOOKUP(Table10[[#This Row],[SKU]],'All Skus'!$A:$AC,2,FALSE))="Martin",(VLOOKUP(Table10[[#This Row],[SKU]],'All Skus'!$A:$AC,10,FALSE)),""))</f>
        <v>10865.92</v>
      </c>
      <c r="J227" s="226">
        <f>(IF((VLOOKUP(Table10[[#This Row],[SKU]],'All Skus'!$A:$AC,2,FALSE))="Martin",(VLOOKUP(Table10[[#This Row],[SKU]],'All Skus'!$A:$AC,11,FALSE)),""))</f>
        <v>10865.92</v>
      </c>
      <c r="K227" s="224">
        <f>(IF((VLOOKUP(Table10[[#This Row],[SKU]],'All Skus'!$A:$AC,2,FALSE))="Martin",(VLOOKUP(Table10[[#This Row],[SKU]],'All Skus'!$A:$AC,15,FALSE)),""))</f>
        <v>0</v>
      </c>
      <c r="L227" s="224">
        <f>(IF((VLOOKUP(Table10[[#This Row],[SKU]],'All Skus'!$A:$AC,2,FALSE))="Martin",(VLOOKUP(Table10[[#This Row],[SKU]],'All Skus'!$A:$AC,16,FALSE)),""))</f>
        <v>688705007298</v>
      </c>
      <c r="M227" s="224">
        <f>(IF((VLOOKUP(Table10[[#This Row],[SKU]],'All Skus'!$A:$AC,2,FALSE))="Martin",(VLOOKUP(Table10[[#This Row],[SKU]],'All Skus'!$A:$AC,17,FALSE)),""))</f>
        <v>0</v>
      </c>
      <c r="N227" s="227">
        <f>(IF((VLOOKUP(Table10[[#This Row],[SKU]],'All Skus'!$A:$AC,2,FALSE))="Martin",(VLOOKUP(Table10[[#This Row],[SKU]],'All Skus'!$A:$AC,18,FALSE)),""))</f>
        <v>0</v>
      </c>
      <c r="O227" s="227">
        <f>(IF((VLOOKUP(Table10[[#This Row],[SKU]],'All Skus'!$A:$AC,2,FALSE))="Martin",(VLOOKUP(Table10[[#This Row],[SKU]],'All Skus'!$A:$AC,19,FALSE)),""))</f>
        <v>0</v>
      </c>
      <c r="P227" s="227">
        <f>(IF((VLOOKUP(Table10[[#This Row],[SKU]],'All Skus'!$A:$AC,2,FALSE))="Martin",(VLOOKUP(Table10[[#This Row],[SKU]],'All Skus'!$A:$AC,20,FALSE)),""))</f>
        <v>0</v>
      </c>
      <c r="Q227" s="227">
        <f>(IF((VLOOKUP(Table10[[#This Row],[SKU]],'All Skus'!$A:$AC,2,FALSE))="Martin",(VLOOKUP(Table10[[#This Row],[SKU]],'All Skus'!$A:$AC,21,FALSE)),""))</f>
        <v>0</v>
      </c>
      <c r="R227" s="224" t="str">
        <f>(IF((VLOOKUP(Table10[[#This Row],[SKU]],'All Skus'!$A:$AC,2,FALSE))="Martin",(VLOOKUP(Table10[[#This Row],[SKU]],'All Skus'!$A:$AC,22,FALSE)),""))</f>
        <v>CN</v>
      </c>
      <c r="S227" s="223">
        <f>(IF((VLOOKUP(Table10[[#This Row],[SKU]],'All Skus'!$A:$AC,2,FALSE))="Martin",(VLOOKUP(Table10[[#This Row],[SKU]],'All Skus'!$A:$AC,23,FALSE)),""))</f>
        <v>0</v>
      </c>
      <c r="T227" s="212" t="str">
        <f>HYPERLINK((IF((VLOOKUP(Table10[[#This Row],[SKU]],'All Skus'!$A:$AC,2,FALSE))="Martin",(VLOOKUP(Table10[[#This Row],[SKU]],'All Skus'!$A:$AC,24,FALSE)),"")))</f>
        <v>https://www.martin.com/en/products/era-600-profile</v>
      </c>
      <c r="U227" s="228">
        <v>225</v>
      </c>
    </row>
    <row r="228" spans="1:21" ht="15" hidden="1" customHeight="1">
      <c r="A228" s="90">
        <v>9025123580</v>
      </c>
      <c r="B228" s="224" t="str">
        <f>(IF((VLOOKUP(Table10[[#This Row],[SKU]],'All Skus'!$A:$AC,2,FALSE))="Martin",(VLOOKUP(Table10[[#This Row],[SKU]],'All Skus'!$A:$AC,3,FALSE)),""))</f>
        <v>ERA</v>
      </c>
      <c r="C228" s="223" t="str">
        <f>(IF((VLOOKUP(Table10[[#This Row],[SKU]],'All Skus'!$A:$AC,2,FALSE))="Martin",(VLOOKUP(Table10[[#This Row],[SKU]],'All Skus'!$A:$AC,4,FALSE)),""))</f>
        <v>Martin ERA 600 Profile WHITE</v>
      </c>
      <c r="D228" s="224" t="str">
        <f>(IF((VLOOKUP(Table10[[#This Row],[SKU]],'All Skus'!$A:$AC,2,FALSE))="Martin",(VLOOKUP(Table10[[#This Row],[SKU]],'All Skus'!$A:$AC,5,FALSE)),""))</f>
        <v>MAR-ERA</v>
      </c>
      <c r="E228" s="223">
        <f>(IF((VLOOKUP(Table10[[#This Row],[SKU]],'All Skus'!$A:$AC,2,FALSE))="Martin",(VLOOKUP(Table10[[#This Row],[SKU]],'All Skus'!$A:$AC,6,FALSE)),""))</f>
        <v>0</v>
      </c>
      <c r="F228" s="155">
        <f>(IF((VLOOKUP(Table10[[#This Row],[SKU]],'All Skus'!$A:$AC,2,FALSE))="Martin",(VLOOKUP(Table10[[#This Row],[SKU]],'All Skus'!$A:$AC,7,FALSE)),""))</f>
        <v>0</v>
      </c>
      <c r="G228" s="223" t="str">
        <f>(IF((VLOOKUP(Table10[[#This Row],[SKU]],'All Skus'!$A:$AC,2,FALSE))="Martin",(VLOOKUP(Table10[[#This Row],[SKU]],'All Skus'!$A:$AC,8,FALSE)),""))</f>
        <v>Martin ERA 600 Profile WHITE</v>
      </c>
      <c r="H228" s="223" t="str">
        <f>(IF((VLOOKUP(Table10[[#This Row],[SKU]],'All Skus'!$A:$AC,2,FALSE))="Martin",(VLOOKUP(Table10[[#This Row],[SKU]],'All Skus'!$A:$AC,9,FALSE)),""))</f>
        <v>Martin ERA 600 Profile WHITE</v>
      </c>
      <c r="I228" s="225">
        <f>(IF((VLOOKUP(Table10[[#This Row],[SKU]],'All Skus'!$A:$AC,2,FALSE))="Martin",(VLOOKUP(Table10[[#This Row],[SKU]],'All Skus'!$A:$AC,10,FALSE)),""))</f>
        <v>12162.43</v>
      </c>
      <c r="J228" s="226">
        <f>(IF((VLOOKUP(Table10[[#This Row],[SKU]],'All Skus'!$A:$AC,2,FALSE))="Martin",(VLOOKUP(Table10[[#This Row],[SKU]],'All Skus'!$A:$AC,11,FALSE)),""))</f>
        <v>12162.43</v>
      </c>
      <c r="K228" s="224">
        <f>(IF((VLOOKUP(Table10[[#This Row],[SKU]],'All Skus'!$A:$AC,2,FALSE))="Martin",(VLOOKUP(Table10[[#This Row],[SKU]],'All Skus'!$A:$AC,15,FALSE)),""))</f>
        <v>0</v>
      </c>
      <c r="L228" s="224">
        <f>(IF((VLOOKUP(Table10[[#This Row],[SKU]],'All Skus'!$A:$AC,2,FALSE))="Martin",(VLOOKUP(Table10[[#This Row],[SKU]],'All Skus'!$A:$AC,16,FALSE)),""))</f>
        <v>688705007281</v>
      </c>
      <c r="M228" s="224">
        <f>(IF((VLOOKUP(Table10[[#This Row],[SKU]],'All Skus'!$A:$AC,2,FALSE))="Martin",(VLOOKUP(Table10[[#This Row],[SKU]],'All Skus'!$A:$AC,17,FALSE)),""))</f>
        <v>0</v>
      </c>
      <c r="N228" s="227">
        <f>(IF((VLOOKUP(Table10[[#This Row],[SKU]],'All Skus'!$A:$AC,2,FALSE))="Martin",(VLOOKUP(Table10[[#This Row],[SKU]],'All Skus'!$A:$AC,18,FALSE)),""))</f>
        <v>0</v>
      </c>
      <c r="O228" s="227">
        <f>(IF((VLOOKUP(Table10[[#This Row],[SKU]],'All Skus'!$A:$AC,2,FALSE))="Martin",(VLOOKUP(Table10[[#This Row],[SKU]],'All Skus'!$A:$AC,19,FALSE)),""))</f>
        <v>0</v>
      </c>
      <c r="P228" s="227">
        <f>(IF((VLOOKUP(Table10[[#This Row],[SKU]],'All Skus'!$A:$AC,2,FALSE))="Martin",(VLOOKUP(Table10[[#This Row],[SKU]],'All Skus'!$A:$AC,20,FALSE)),""))</f>
        <v>0</v>
      </c>
      <c r="Q228" s="227">
        <f>(IF((VLOOKUP(Table10[[#This Row],[SKU]],'All Skus'!$A:$AC,2,FALSE))="Martin",(VLOOKUP(Table10[[#This Row],[SKU]],'All Skus'!$A:$AC,21,FALSE)),""))</f>
        <v>0</v>
      </c>
      <c r="R228" s="224" t="str">
        <f>(IF((VLOOKUP(Table10[[#This Row],[SKU]],'All Skus'!$A:$AC,2,FALSE))="Martin",(VLOOKUP(Table10[[#This Row],[SKU]],'All Skus'!$A:$AC,22,FALSE)),""))</f>
        <v>CN</v>
      </c>
      <c r="S228" s="223">
        <f>(IF((VLOOKUP(Table10[[#This Row],[SKU]],'All Skus'!$A:$AC,2,FALSE))="Martin",(VLOOKUP(Table10[[#This Row],[SKU]],'All Skus'!$A:$AC,23,FALSE)),""))</f>
        <v>0</v>
      </c>
      <c r="T228" s="212" t="str">
        <f>HYPERLINK((IF((VLOOKUP(Table10[[#This Row],[SKU]],'All Skus'!$A:$AC,2,FALSE))="Martin",(VLOOKUP(Table10[[#This Row],[SKU]],'All Skus'!$A:$AC,24,FALSE)),"")))</f>
        <v>https://www.martin.com/en/products/era-600-profile</v>
      </c>
      <c r="U228" s="228">
        <v>226</v>
      </c>
    </row>
    <row r="229" spans="1:21" ht="15" hidden="1" customHeight="1">
      <c r="A229" s="115" t="s">
        <v>2029</v>
      </c>
      <c r="B229" s="224">
        <f>(IF((VLOOKUP(Table10[[#This Row],[SKU]],'All Skus'!$A:$AC,2,FALSE))="Martin",(VLOOKUP(Table10[[#This Row],[SKU]],'All Skus'!$A:$AC,3,FALSE)),""))</f>
        <v>0</v>
      </c>
      <c r="C229" s="223">
        <f>(IF((VLOOKUP(Table10[[#This Row],[SKU]],'All Skus'!$A:$AC,2,FALSE))="Martin",(VLOOKUP(Table10[[#This Row],[SKU]],'All Skus'!$A:$AC,4,FALSE)),""))</f>
        <v>0</v>
      </c>
      <c r="D229" s="224">
        <f>(IF((VLOOKUP(Table10[[#This Row],[SKU]],'All Skus'!$A:$AC,2,FALSE))="Martin",(VLOOKUP(Table10[[#This Row],[SKU]],'All Skus'!$A:$AC,5,FALSE)),""))</f>
        <v>0</v>
      </c>
      <c r="E229" s="223">
        <f>(IF((VLOOKUP(Table10[[#This Row],[SKU]],'All Skus'!$A:$AC,2,FALSE))="Martin",(VLOOKUP(Table10[[#This Row],[SKU]],'All Skus'!$A:$AC,6,FALSE)),""))</f>
        <v>0</v>
      </c>
      <c r="F229" s="155">
        <f>(IF((VLOOKUP(Table10[[#This Row],[SKU]],'All Skus'!$A:$AC,2,FALSE))="Martin",(VLOOKUP(Table10[[#This Row],[SKU]],'All Skus'!$A:$AC,7,FALSE)),""))</f>
        <v>0</v>
      </c>
      <c r="G229" s="223">
        <f>(IF((VLOOKUP(Table10[[#This Row],[SKU]],'All Skus'!$A:$AC,2,FALSE))="Martin",(VLOOKUP(Table10[[#This Row],[SKU]],'All Skus'!$A:$AC,8,FALSE)),""))</f>
        <v>0</v>
      </c>
      <c r="H229" s="223">
        <f>(IF((VLOOKUP(Table10[[#This Row],[SKU]],'All Skus'!$A:$AC,2,FALSE))="Martin",(VLOOKUP(Table10[[#This Row],[SKU]],'All Skus'!$A:$AC,9,FALSE)),""))</f>
        <v>0</v>
      </c>
      <c r="I229" s="225">
        <f>(IF((VLOOKUP(Table10[[#This Row],[SKU]],'All Skus'!$A:$AC,2,FALSE))="Martin",(VLOOKUP(Table10[[#This Row],[SKU]],'All Skus'!$A:$AC,10,FALSE)),""))</f>
        <v>0</v>
      </c>
      <c r="J229" s="226">
        <f>(IF((VLOOKUP(Table10[[#This Row],[SKU]],'All Skus'!$A:$AC,2,FALSE))="Martin",(VLOOKUP(Table10[[#This Row],[SKU]],'All Skus'!$A:$AC,11,FALSE)),""))</f>
        <v>0</v>
      </c>
      <c r="K229" s="224">
        <f>(IF((VLOOKUP(Table10[[#This Row],[SKU]],'All Skus'!$A:$AC,2,FALSE))="Martin",(VLOOKUP(Table10[[#This Row],[SKU]],'All Skus'!$A:$AC,15,FALSE)),""))</f>
        <v>0</v>
      </c>
      <c r="L229" s="224">
        <f>(IF((VLOOKUP(Table10[[#This Row],[SKU]],'All Skus'!$A:$AC,2,FALSE))="Martin",(VLOOKUP(Table10[[#This Row],[SKU]],'All Skus'!$A:$AC,16,FALSE)),""))</f>
        <v>0</v>
      </c>
      <c r="M229" s="224">
        <f>(IF((VLOOKUP(Table10[[#This Row],[SKU]],'All Skus'!$A:$AC,2,FALSE))="Martin",(VLOOKUP(Table10[[#This Row],[SKU]],'All Skus'!$A:$AC,17,FALSE)),""))</f>
        <v>0</v>
      </c>
      <c r="N229" s="227">
        <f>(IF((VLOOKUP(Table10[[#This Row],[SKU]],'All Skus'!$A:$AC,2,FALSE))="Martin",(VLOOKUP(Table10[[#This Row],[SKU]],'All Skus'!$A:$AC,18,FALSE)),""))</f>
        <v>0</v>
      </c>
      <c r="O229" s="227">
        <f>(IF((VLOOKUP(Table10[[#This Row],[SKU]],'All Skus'!$A:$AC,2,FALSE))="Martin",(VLOOKUP(Table10[[#This Row],[SKU]],'All Skus'!$A:$AC,19,FALSE)),""))</f>
        <v>0</v>
      </c>
      <c r="P229" s="227">
        <f>(IF((VLOOKUP(Table10[[#This Row],[SKU]],'All Skus'!$A:$AC,2,FALSE))="Martin",(VLOOKUP(Table10[[#This Row],[SKU]],'All Skus'!$A:$AC,20,FALSE)),""))</f>
        <v>0</v>
      </c>
      <c r="Q229" s="227">
        <f>(IF((VLOOKUP(Table10[[#This Row],[SKU]],'All Skus'!$A:$AC,2,FALSE))="Martin",(VLOOKUP(Table10[[#This Row],[SKU]],'All Skus'!$A:$AC,21,FALSE)),""))</f>
        <v>0</v>
      </c>
      <c r="R229" s="224">
        <f>(IF((VLOOKUP(Table10[[#This Row],[SKU]],'All Skus'!$A:$AC,2,FALSE))="Martin",(VLOOKUP(Table10[[#This Row],[SKU]],'All Skus'!$A:$AC,22,FALSE)),""))</f>
        <v>0</v>
      </c>
      <c r="S229" s="223">
        <f>(IF((VLOOKUP(Table10[[#This Row],[SKU]],'All Skus'!$A:$AC,2,FALSE))="Martin",(VLOOKUP(Table10[[#This Row],[SKU]],'All Skus'!$A:$AC,23,FALSE)),""))</f>
        <v>0</v>
      </c>
      <c r="T229" s="212" t="str">
        <f>HYPERLINK((IF((VLOOKUP(Table10[[#This Row],[SKU]],'All Skus'!$A:$AC,2,FALSE))="Martin",(VLOOKUP(Table10[[#This Row],[SKU]],'All Skus'!$A:$AC,24,FALSE)),"")))</f>
        <v/>
      </c>
      <c r="U229" s="228">
        <v>227</v>
      </c>
    </row>
    <row r="230" spans="1:21" ht="15" hidden="1" customHeight="1">
      <c r="A230" s="231">
        <v>91512205</v>
      </c>
      <c r="B230" s="224" t="str">
        <f>(IF((VLOOKUP(Table10[[#This Row],[SKU]],'All Skus'!$A:$AC,2,FALSE))="Martin",(VLOOKUP(Table10[[#This Row],[SKU]],'All Skus'!$A:$AC,3,FALSE)),""))</f>
        <v>ERA</v>
      </c>
      <c r="C230" s="223" t="str">
        <f>(IF((VLOOKUP(Table10[[#This Row],[SKU]],'All Skus'!$A:$AC,2,FALSE))="Martin",(VLOOKUP(Table10[[#This Row],[SKU]],'All Skus'!$A:$AC,4,FALSE)),""))</f>
        <v>Flightcase for 2 x ERA 600</v>
      </c>
      <c r="D230" s="224" t="str">
        <f>(IF((VLOOKUP(Table10[[#This Row],[SKU]],'All Skus'!$A:$AC,2,FALSE))="Martin",(VLOOKUP(Table10[[#This Row],[SKU]],'All Skus'!$A:$AC,5,FALSE)),""))</f>
        <v>MAR-ERA</v>
      </c>
      <c r="E230" s="223">
        <f>(IF((VLOOKUP(Table10[[#This Row],[SKU]],'All Skus'!$A:$AC,2,FALSE))="Martin",(VLOOKUP(Table10[[#This Row],[SKU]],'All Skus'!$A:$AC,6,FALSE)),""))</f>
        <v>0</v>
      </c>
      <c r="F230" s="155">
        <f>(IF((VLOOKUP(Table10[[#This Row],[SKU]],'All Skus'!$A:$AC,2,FALSE))="Martin",(VLOOKUP(Table10[[#This Row],[SKU]],'All Skus'!$A:$AC,7,FALSE)),""))</f>
        <v>0</v>
      </c>
      <c r="G230" s="223" t="str">
        <f>(IF((VLOOKUP(Table10[[#This Row],[SKU]],'All Skus'!$A:$AC,2,FALSE))="Martin",(VLOOKUP(Table10[[#This Row],[SKU]],'All Skus'!$A:$AC,8,FALSE)),""))</f>
        <v>Flightcase for 2 x ERA 600</v>
      </c>
      <c r="H230" s="223" t="str">
        <f>(IF((VLOOKUP(Table10[[#This Row],[SKU]],'All Skus'!$A:$AC,2,FALSE))="Martin",(VLOOKUP(Table10[[#This Row],[SKU]],'All Skus'!$A:$AC,9,FALSE)),""))</f>
        <v>Flightcase for 2 x ERA 600</v>
      </c>
      <c r="I230" s="225">
        <f>(IF((VLOOKUP(Table10[[#This Row],[SKU]],'All Skus'!$A:$AC,2,FALSE))="Martin",(VLOOKUP(Table10[[#This Row],[SKU]],'All Skus'!$A:$AC,10,FALSE)),""))</f>
        <v>2797.98</v>
      </c>
      <c r="J230" s="226">
        <f>(IF((VLOOKUP(Table10[[#This Row],[SKU]],'All Skus'!$A:$AC,2,FALSE))="Martin",(VLOOKUP(Table10[[#This Row],[SKU]],'All Skus'!$A:$AC,11,FALSE)),""))</f>
        <v>2797.98</v>
      </c>
      <c r="K230" s="224">
        <f>(IF((VLOOKUP(Table10[[#This Row],[SKU]],'All Skus'!$A:$AC,2,FALSE))="Martin",(VLOOKUP(Table10[[#This Row],[SKU]],'All Skus'!$A:$AC,15,FALSE)),""))</f>
        <v>0</v>
      </c>
      <c r="L230" s="224">
        <f>(IF((VLOOKUP(Table10[[#This Row],[SKU]],'All Skus'!$A:$AC,2,FALSE))="Martin",(VLOOKUP(Table10[[#This Row],[SKU]],'All Skus'!$A:$AC,16,FALSE)),""))</f>
        <v>688705006093</v>
      </c>
      <c r="M230" s="224">
        <f>(IF((VLOOKUP(Table10[[#This Row],[SKU]],'All Skus'!$A:$AC,2,FALSE))="Martin",(VLOOKUP(Table10[[#This Row],[SKU]],'All Skus'!$A:$AC,17,FALSE)),""))</f>
        <v>0</v>
      </c>
      <c r="N230" s="227">
        <f>(IF((VLOOKUP(Table10[[#This Row],[SKU]],'All Skus'!$A:$AC,2,FALSE))="Martin",(VLOOKUP(Table10[[#This Row],[SKU]],'All Skus'!$A:$AC,18,FALSE)),""))</f>
        <v>0</v>
      </c>
      <c r="O230" s="227">
        <f>(IF((VLOOKUP(Table10[[#This Row],[SKU]],'All Skus'!$A:$AC,2,FALSE))="Martin",(VLOOKUP(Table10[[#This Row],[SKU]],'All Skus'!$A:$AC,19,FALSE)),""))</f>
        <v>0</v>
      </c>
      <c r="P230" s="227">
        <f>(IF((VLOOKUP(Table10[[#This Row],[SKU]],'All Skus'!$A:$AC,2,FALSE))="Martin",(VLOOKUP(Table10[[#This Row],[SKU]],'All Skus'!$A:$AC,20,FALSE)),""))</f>
        <v>0</v>
      </c>
      <c r="Q230" s="227">
        <f>(IF((VLOOKUP(Table10[[#This Row],[SKU]],'All Skus'!$A:$AC,2,FALSE))="Martin",(VLOOKUP(Table10[[#This Row],[SKU]],'All Skus'!$A:$AC,21,FALSE)),""))</f>
        <v>0</v>
      </c>
      <c r="R230" s="224" t="str">
        <f>(IF((VLOOKUP(Table10[[#This Row],[SKU]],'All Skus'!$A:$AC,2,FALSE))="Martin",(VLOOKUP(Table10[[#This Row],[SKU]],'All Skus'!$A:$AC,22,FALSE)),""))</f>
        <v>DE</v>
      </c>
      <c r="S230" s="223">
        <f>(IF((VLOOKUP(Table10[[#This Row],[SKU]],'All Skus'!$A:$AC,2,FALSE))="Martin",(VLOOKUP(Table10[[#This Row],[SKU]],'All Skus'!$A:$AC,23,FALSE)),""))</f>
        <v>0</v>
      </c>
      <c r="T230" s="212" t="str">
        <f>HYPERLINK((IF((VLOOKUP(Table10[[#This Row],[SKU]],'All Skus'!$A:$AC,2,FALSE))="Martin",(VLOOKUP(Table10[[#This Row],[SKU]],'All Skus'!$A:$AC,24,FALSE)),"")))</f>
        <v>https://www.martin.com/en/site_elements/martin-era-600-flightcase</v>
      </c>
      <c r="U230" s="228">
        <v>228</v>
      </c>
    </row>
    <row r="231" spans="1:21" ht="15" hidden="1" customHeight="1">
      <c r="A231" s="231" t="s">
        <v>2030</v>
      </c>
      <c r="B231" s="224" t="str">
        <f>(IF((VLOOKUP(Table10[[#This Row],[SKU]],'All Skus'!$A:$AC,2,FALSE))="Martin",(VLOOKUP(Table10[[#This Row],[SKU]],'All Skus'!$A:$AC,3,FALSE)),""))</f>
        <v>ERA</v>
      </c>
      <c r="C231" s="223" t="str">
        <f>(IF((VLOOKUP(Table10[[#This Row],[SKU]],'All Skus'!$A:$AC,2,FALSE))="Martin",(VLOOKUP(Table10[[#This Row],[SKU]],'All Skus'!$A:$AC,4,FALSE)),""))</f>
        <v>ERA 600 CRI Boost Filter</v>
      </c>
      <c r="D231" s="224" t="str">
        <f>(IF((VLOOKUP(Table10[[#This Row],[SKU]],'All Skus'!$A:$AC,2,FALSE))="Martin",(VLOOKUP(Table10[[#This Row],[SKU]],'All Skus'!$A:$AC,5,FALSE)),""))</f>
        <v>MAR-ERA</v>
      </c>
      <c r="E231" s="223">
        <f>(IF((VLOOKUP(Table10[[#This Row],[SKU]],'All Skus'!$A:$AC,2,FALSE))="Martin",(VLOOKUP(Table10[[#This Row],[SKU]],'All Skus'!$A:$AC,6,FALSE)),""))</f>
        <v>0</v>
      </c>
      <c r="F231" s="155">
        <f>(IF((VLOOKUP(Table10[[#This Row],[SKU]],'All Skus'!$A:$AC,2,FALSE))="Martin",(VLOOKUP(Table10[[#This Row],[SKU]],'All Skus'!$A:$AC,7,FALSE)),""))</f>
        <v>0</v>
      </c>
      <c r="G231" s="223" t="str">
        <f>(IF((VLOOKUP(Table10[[#This Row],[SKU]],'All Skus'!$A:$AC,2,FALSE))="Martin",(VLOOKUP(Table10[[#This Row],[SKU]],'All Skus'!$A:$AC,8,FALSE)),""))</f>
        <v>ERA 600 CRI Boost Filter</v>
      </c>
      <c r="H231" s="223" t="str">
        <f>(IF((VLOOKUP(Table10[[#This Row],[SKU]],'All Skus'!$A:$AC,2,FALSE))="Martin",(VLOOKUP(Table10[[#This Row],[SKU]],'All Skus'!$A:$AC,9,FALSE)),""))</f>
        <v>ERA 600 CRI Boost Filter</v>
      </c>
      <c r="I231" s="225">
        <f>(IF((VLOOKUP(Table10[[#This Row],[SKU]],'All Skus'!$A:$AC,2,FALSE))="Martin",(VLOOKUP(Table10[[#This Row],[SKU]],'All Skus'!$A:$AC,10,FALSE)),""))</f>
        <v>92.61</v>
      </c>
      <c r="J231" s="226">
        <f>(IF((VLOOKUP(Table10[[#This Row],[SKU]],'All Skus'!$A:$AC,2,FALSE))="Martin",(VLOOKUP(Table10[[#This Row],[SKU]],'All Skus'!$A:$AC,11,FALSE)),""))</f>
        <v>92.61</v>
      </c>
      <c r="K231" s="224">
        <f>(IF((VLOOKUP(Table10[[#This Row],[SKU]],'All Skus'!$A:$AC,2,FALSE))="Martin",(VLOOKUP(Table10[[#This Row],[SKU]],'All Skus'!$A:$AC,15,FALSE)),""))</f>
        <v>0</v>
      </c>
      <c r="L231" s="224">
        <f>(IF((VLOOKUP(Table10[[#This Row],[SKU]],'All Skus'!$A:$AC,2,FALSE))="Martin",(VLOOKUP(Table10[[#This Row],[SKU]],'All Skus'!$A:$AC,16,FALSE)),""))</f>
        <v>688705007250</v>
      </c>
      <c r="M231" s="224">
        <f>(IF((VLOOKUP(Table10[[#This Row],[SKU]],'All Skus'!$A:$AC,2,FALSE))="Martin",(VLOOKUP(Table10[[#This Row],[SKU]],'All Skus'!$A:$AC,17,FALSE)),""))</f>
        <v>0</v>
      </c>
      <c r="N231" s="227">
        <f>(IF((VLOOKUP(Table10[[#This Row],[SKU]],'All Skus'!$A:$AC,2,FALSE))="Martin",(VLOOKUP(Table10[[#This Row],[SKU]],'All Skus'!$A:$AC,18,FALSE)),""))</f>
        <v>0</v>
      </c>
      <c r="O231" s="227">
        <f>(IF((VLOOKUP(Table10[[#This Row],[SKU]],'All Skus'!$A:$AC,2,FALSE))="Martin",(VLOOKUP(Table10[[#This Row],[SKU]],'All Skus'!$A:$AC,19,FALSE)),""))</f>
        <v>0</v>
      </c>
      <c r="P231" s="227">
        <f>(IF((VLOOKUP(Table10[[#This Row],[SKU]],'All Skus'!$A:$AC,2,FALSE))="Martin",(VLOOKUP(Table10[[#This Row],[SKU]],'All Skus'!$A:$AC,20,FALSE)),""))</f>
        <v>0</v>
      </c>
      <c r="Q231" s="227">
        <f>(IF((VLOOKUP(Table10[[#This Row],[SKU]],'All Skus'!$A:$AC,2,FALSE))="Martin",(VLOOKUP(Table10[[#This Row],[SKU]],'All Skus'!$A:$AC,21,FALSE)),""))</f>
        <v>0</v>
      </c>
      <c r="R231" s="224" t="str">
        <f>(IF((VLOOKUP(Table10[[#This Row],[SKU]],'All Skus'!$A:$AC,2,FALSE))="Martin",(VLOOKUP(Table10[[#This Row],[SKU]],'All Skus'!$A:$AC,22,FALSE)),""))</f>
        <v>ZZ</v>
      </c>
      <c r="S231" s="223">
        <f>(IF((VLOOKUP(Table10[[#This Row],[SKU]],'All Skus'!$A:$AC,2,FALSE))="Martin",(VLOOKUP(Table10[[#This Row],[SKU]],'All Skus'!$A:$AC,23,FALSE)),""))</f>
        <v>0</v>
      </c>
      <c r="T231" s="212" t="str">
        <f>HYPERLINK((IF((VLOOKUP(Table10[[#This Row],[SKU]],'All Skus'!$A:$AC,2,FALSE))="Martin",(VLOOKUP(Table10[[#This Row],[SKU]],'All Skus'!$A:$AC,24,FALSE)),"")))</f>
        <v/>
      </c>
      <c r="U231" s="228">
        <v>229</v>
      </c>
    </row>
    <row r="232" spans="1:21" ht="15" hidden="1" customHeight="1">
      <c r="A232" s="111" t="s">
        <v>2031</v>
      </c>
      <c r="B232" s="224">
        <f>(IF((VLOOKUP(Table10[[#This Row],[SKU]],'All Skus'!$A:$AC,2,FALSE))="Martin",(VLOOKUP(Table10[[#This Row],[SKU]],'All Skus'!$A:$AC,3,FALSE)),""))</f>
        <v>0</v>
      </c>
      <c r="C232" s="223">
        <f>(IF((VLOOKUP(Table10[[#This Row],[SKU]],'All Skus'!$A:$AC,2,FALSE))="Martin",(VLOOKUP(Table10[[#This Row],[SKU]],'All Skus'!$A:$AC,4,FALSE)),""))</f>
        <v>0</v>
      </c>
      <c r="D232" s="224">
        <f>(IF((VLOOKUP(Table10[[#This Row],[SKU]],'All Skus'!$A:$AC,2,FALSE))="Martin",(VLOOKUP(Table10[[#This Row],[SKU]],'All Skus'!$A:$AC,5,FALSE)),""))</f>
        <v>0</v>
      </c>
      <c r="E232" s="223">
        <f>(IF((VLOOKUP(Table10[[#This Row],[SKU]],'All Skus'!$A:$AC,2,FALSE))="Martin",(VLOOKUP(Table10[[#This Row],[SKU]],'All Skus'!$A:$AC,6,FALSE)),""))</f>
        <v>0</v>
      </c>
      <c r="F232" s="155">
        <f>(IF((VLOOKUP(Table10[[#This Row],[SKU]],'All Skus'!$A:$AC,2,FALSE))="Martin",(VLOOKUP(Table10[[#This Row],[SKU]],'All Skus'!$A:$AC,7,FALSE)),""))</f>
        <v>0</v>
      </c>
      <c r="G232" s="223">
        <f>(IF((VLOOKUP(Table10[[#This Row],[SKU]],'All Skus'!$A:$AC,2,FALSE))="Martin",(VLOOKUP(Table10[[#This Row],[SKU]],'All Skus'!$A:$AC,8,FALSE)),""))</f>
        <v>0</v>
      </c>
      <c r="H232" s="223">
        <f>(IF((VLOOKUP(Table10[[#This Row],[SKU]],'All Skus'!$A:$AC,2,FALSE))="Martin",(VLOOKUP(Table10[[#This Row],[SKU]],'All Skus'!$A:$AC,9,FALSE)),""))</f>
        <v>0</v>
      </c>
      <c r="I232" s="225">
        <f>(IF((VLOOKUP(Table10[[#This Row],[SKU]],'All Skus'!$A:$AC,2,FALSE))="Martin",(VLOOKUP(Table10[[#This Row],[SKU]],'All Skus'!$A:$AC,10,FALSE)),""))</f>
        <v>0</v>
      </c>
      <c r="J232" s="226">
        <f>(IF((VLOOKUP(Table10[[#This Row],[SKU]],'All Skus'!$A:$AC,2,FALSE))="Martin",(VLOOKUP(Table10[[#This Row],[SKU]],'All Skus'!$A:$AC,11,FALSE)),""))</f>
        <v>0</v>
      </c>
      <c r="K232" s="224">
        <f>(IF((VLOOKUP(Table10[[#This Row],[SKU]],'All Skus'!$A:$AC,2,FALSE))="Martin",(VLOOKUP(Table10[[#This Row],[SKU]],'All Skus'!$A:$AC,15,FALSE)),""))</f>
        <v>0</v>
      </c>
      <c r="L232" s="224">
        <f>(IF((VLOOKUP(Table10[[#This Row],[SKU]],'All Skus'!$A:$AC,2,FALSE))="Martin",(VLOOKUP(Table10[[#This Row],[SKU]],'All Skus'!$A:$AC,16,FALSE)),""))</f>
        <v>0</v>
      </c>
      <c r="M232" s="224">
        <f>(IF((VLOOKUP(Table10[[#This Row],[SKU]],'All Skus'!$A:$AC,2,FALSE))="Martin",(VLOOKUP(Table10[[#This Row],[SKU]],'All Skus'!$A:$AC,17,FALSE)),""))</f>
        <v>0</v>
      </c>
      <c r="N232" s="227">
        <f>(IF((VLOOKUP(Table10[[#This Row],[SKU]],'All Skus'!$A:$AC,2,FALSE))="Martin",(VLOOKUP(Table10[[#This Row],[SKU]],'All Skus'!$A:$AC,18,FALSE)),""))</f>
        <v>0</v>
      </c>
      <c r="O232" s="227">
        <f>(IF((VLOOKUP(Table10[[#This Row],[SKU]],'All Skus'!$A:$AC,2,FALSE))="Martin",(VLOOKUP(Table10[[#This Row],[SKU]],'All Skus'!$A:$AC,19,FALSE)),""))</f>
        <v>0</v>
      </c>
      <c r="P232" s="227">
        <f>(IF((VLOOKUP(Table10[[#This Row],[SKU]],'All Skus'!$A:$AC,2,FALSE))="Martin",(VLOOKUP(Table10[[#This Row],[SKU]],'All Skus'!$A:$AC,20,FALSE)),""))</f>
        <v>0</v>
      </c>
      <c r="Q232" s="227">
        <f>(IF((VLOOKUP(Table10[[#This Row],[SKU]],'All Skus'!$A:$AC,2,FALSE))="Martin",(VLOOKUP(Table10[[#This Row],[SKU]],'All Skus'!$A:$AC,21,FALSE)),""))</f>
        <v>0</v>
      </c>
      <c r="R232" s="224">
        <f>(IF((VLOOKUP(Table10[[#This Row],[SKU]],'All Skus'!$A:$AC,2,FALSE))="Martin",(VLOOKUP(Table10[[#This Row],[SKU]],'All Skus'!$A:$AC,22,FALSE)),""))</f>
        <v>0</v>
      </c>
      <c r="S232" s="223">
        <f>(IF((VLOOKUP(Table10[[#This Row],[SKU]],'All Skus'!$A:$AC,2,FALSE))="Martin",(VLOOKUP(Table10[[#This Row],[SKU]],'All Skus'!$A:$AC,23,FALSE)),""))</f>
        <v>0</v>
      </c>
      <c r="T232" s="212" t="str">
        <f>HYPERLINK((IF((VLOOKUP(Table10[[#This Row],[SKU]],'All Skus'!$A:$AC,2,FALSE))="Martin",(VLOOKUP(Table10[[#This Row],[SKU]],'All Skus'!$A:$AC,24,FALSE)),"")))</f>
        <v/>
      </c>
      <c r="U232" s="228">
        <v>230</v>
      </c>
    </row>
    <row r="233" spans="1:21" ht="15" hidden="1" customHeight="1">
      <c r="A233" s="115" t="s">
        <v>2032</v>
      </c>
      <c r="B233" s="224">
        <f>(IF((VLOOKUP(Table10[[#This Row],[SKU]],'All Skus'!$A:$AC,2,FALSE))="Martin",(VLOOKUP(Table10[[#This Row],[SKU]],'All Skus'!$A:$AC,3,FALSE)),""))</f>
        <v>0</v>
      </c>
      <c r="C233" s="223">
        <f>(IF((VLOOKUP(Table10[[#This Row],[SKU]],'All Skus'!$A:$AC,2,FALSE))="Martin",(VLOOKUP(Table10[[#This Row],[SKU]],'All Skus'!$A:$AC,4,FALSE)),""))</f>
        <v>0</v>
      </c>
      <c r="D233" s="224">
        <f>(IF((VLOOKUP(Table10[[#This Row],[SKU]],'All Skus'!$A:$AC,2,FALSE))="Martin",(VLOOKUP(Table10[[#This Row],[SKU]],'All Skus'!$A:$AC,5,FALSE)),""))</f>
        <v>0</v>
      </c>
      <c r="E233" s="223">
        <f>(IF((VLOOKUP(Table10[[#This Row],[SKU]],'All Skus'!$A:$AC,2,FALSE))="Martin",(VLOOKUP(Table10[[#This Row],[SKU]],'All Skus'!$A:$AC,6,FALSE)),""))</f>
        <v>0</v>
      </c>
      <c r="F233" s="155">
        <f>(IF((VLOOKUP(Table10[[#This Row],[SKU]],'All Skus'!$A:$AC,2,FALSE))="Martin",(VLOOKUP(Table10[[#This Row],[SKU]],'All Skus'!$A:$AC,7,FALSE)),""))</f>
        <v>0</v>
      </c>
      <c r="G233" s="223">
        <f>(IF((VLOOKUP(Table10[[#This Row],[SKU]],'All Skus'!$A:$AC,2,FALSE))="Martin",(VLOOKUP(Table10[[#This Row],[SKU]],'All Skus'!$A:$AC,8,FALSE)),""))</f>
        <v>0</v>
      </c>
      <c r="H233" s="223">
        <f>(IF((VLOOKUP(Table10[[#This Row],[SKU]],'All Skus'!$A:$AC,2,FALSE))="Martin",(VLOOKUP(Table10[[#This Row],[SKU]],'All Skus'!$A:$AC,9,FALSE)),""))</f>
        <v>0</v>
      </c>
      <c r="I233" s="225">
        <f>(IF((VLOOKUP(Table10[[#This Row],[SKU]],'All Skus'!$A:$AC,2,FALSE))="Martin",(VLOOKUP(Table10[[#This Row],[SKU]],'All Skus'!$A:$AC,10,FALSE)),""))</f>
        <v>0</v>
      </c>
      <c r="J233" s="226">
        <f>(IF((VLOOKUP(Table10[[#This Row],[SKU]],'All Skus'!$A:$AC,2,FALSE))="Martin",(VLOOKUP(Table10[[#This Row],[SKU]],'All Skus'!$A:$AC,11,FALSE)),""))</f>
        <v>0</v>
      </c>
      <c r="K233" s="224">
        <f>(IF((VLOOKUP(Table10[[#This Row],[SKU]],'All Skus'!$A:$AC,2,FALSE))="Martin",(VLOOKUP(Table10[[#This Row],[SKU]],'All Skus'!$A:$AC,15,FALSE)),""))</f>
        <v>0</v>
      </c>
      <c r="L233" s="224">
        <f>(IF((VLOOKUP(Table10[[#This Row],[SKU]],'All Skus'!$A:$AC,2,FALSE))="Martin",(VLOOKUP(Table10[[#This Row],[SKU]],'All Skus'!$A:$AC,16,FALSE)),""))</f>
        <v>0</v>
      </c>
      <c r="M233" s="224">
        <f>(IF((VLOOKUP(Table10[[#This Row],[SKU]],'All Skus'!$A:$AC,2,FALSE))="Martin",(VLOOKUP(Table10[[#This Row],[SKU]],'All Skus'!$A:$AC,17,FALSE)),""))</f>
        <v>0</v>
      </c>
      <c r="N233" s="227">
        <f>(IF((VLOOKUP(Table10[[#This Row],[SKU]],'All Skus'!$A:$AC,2,FALSE))="Martin",(VLOOKUP(Table10[[#This Row],[SKU]],'All Skus'!$A:$AC,18,FALSE)),""))</f>
        <v>0</v>
      </c>
      <c r="O233" s="227">
        <f>(IF((VLOOKUP(Table10[[#This Row],[SKU]],'All Skus'!$A:$AC,2,FALSE))="Martin",(VLOOKUP(Table10[[#This Row],[SKU]],'All Skus'!$A:$AC,19,FALSE)),""))</f>
        <v>0</v>
      </c>
      <c r="P233" s="227">
        <f>(IF((VLOOKUP(Table10[[#This Row],[SKU]],'All Skus'!$A:$AC,2,FALSE))="Martin",(VLOOKUP(Table10[[#This Row],[SKU]],'All Skus'!$A:$AC,20,FALSE)),""))</f>
        <v>0</v>
      </c>
      <c r="Q233" s="227">
        <f>(IF((VLOOKUP(Table10[[#This Row],[SKU]],'All Skus'!$A:$AC,2,FALSE))="Martin",(VLOOKUP(Table10[[#This Row],[SKU]],'All Skus'!$A:$AC,21,FALSE)),""))</f>
        <v>0</v>
      </c>
      <c r="R233" s="224">
        <f>(IF((VLOOKUP(Table10[[#This Row],[SKU]],'All Skus'!$A:$AC,2,FALSE))="Martin",(VLOOKUP(Table10[[#This Row],[SKU]],'All Skus'!$A:$AC,22,FALSE)),""))</f>
        <v>0</v>
      </c>
      <c r="S233" s="223">
        <f>(IF((VLOOKUP(Table10[[#This Row],[SKU]],'All Skus'!$A:$AC,2,FALSE))="Martin",(VLOOKUP(Table10[[#This Row],[SKU]],'All Skus'!$A:$AC,23,FALSE)),""))</f>
        <v>0</v>
      </c>
      <c r="T233" s="212" t="str">
        <f>HYPERLINK((IF((VLOOKUP(Table10[[#This Row],[SKU]],'All Skus'!$A:$AC,2,FALSE))="Martin",(VLOOKUP(Table10[[#This Row],[SKU]],'All Skus'!$A:$AC,24,FALSE)),"")))</f>
        <v/>
      </c>
      <c r="U233" s="228">
        <v>231</v>
      </c>
    </row>
    <row r="234" spans="1:21" ht="15" hidden="1" customHeight="1">
      <c r="A234" s="116">
        <v>9025122052</v>
      </c>
      <c r="B234" s="224" t="str">
        <f>(IF((VLOOKUP(Table10[[#This Row],[SKU]],'All Skus'!$A:$AC,2,FALSE))="Martin",(VLOOKUP(Table10[[#This Row],[SKU]],'All Skus'!$A:$AC,3,FALSE)),""))</f>
        <v>ERA</v>
      </c>
      <c r="C234" s="223" t="str">
        <f>(IF((VLOOKUP(Table10[[#This Row],[SKU]],'All Skus'!$A:$AC,2,FALSE))="Martin",(VLOOKUP(Table10[[#This Row],[SKU]],'All Skus'!$A:$AC,4,FALSE)),""))</f>
        <v>Martin ERA 800 Performance</v>
      </c>
      <c r="D234" s="224" t="str">
        <f>(IF((VLOOKUP(Table10[[#This Row],[SKU]],'All Skus'!$A:$AC,2,FALSE))="Martin",(VLOOKUP(Table10[[#This Row],[SKU]],'All Skus'!$A:$AC,5,FALSE)),""))</f>
        <v>MAR-ERA</v>
      </c>
      <c r="E234" s="223">
        <f>(IF((VLOOKUP(Table10[[#This Row],[SKU]],'All Skus'!$A:$AC,2,FALSE))="Martin",(VLOOKUP(Table10[[#This Row],[SKU]],'All Skus'!$A:$AC,6,FALSE)),""))</f>
        <v>0</v>
      </c>
      <c r="F234" s="155">
        <f>(IF((VLOOKUP(Table10[[#This Row],[SKU]],'All Skus'!$A:$AC,2,FALSE))="Martin",(VLOOKUP(Table10[[#This Row],[SKU]],'All Skus'!$A:$AC,7,FALSE)),""))</f>
        <v>0</v>
      </c>
      <c r="G234" s="223" t="str">
        <f>(IF((VLOOKUP(Table10[[#This Row],[SKU]],'All Skus'!$A:$AC,2,FALSE))="Martin",(VLOOKUP(Table10[[#This Row],[SKU]],'All Skus'!$A:$AC,8,FALSE)),""))</f>
        <v>Martin ERA 800 Performance</v>
      </c>
      <c r="H234" s="223" t="str">
        <f>(IF((VLOOKUP(Table10[[#This Row],[SKU]],'All Skus'!$A:$AC,2,FALSE))="Martin",(VLOOKUP(Table10[[#This Row],[SKU]],'All Skus'!$A:$AC,9,FALSE)),""))</f>
        <v>Martin ERA 800 Performance</v>
      </c>
      <c r="I234" s="225">
        <f>(IF((VLOOKUP(Table10[[#This Row],[SKU]],'All Skus'!$A:$AC,2,FALSE))="Martin",(VLOOKUP(Table10[[#This Row],[SKU]],'All Skus'!$A:$AC,10,FALSE)),""))</f>
        <v>16406.310000000001</v>
      </c>
      <c r="J234" s="226">
        <f>(IF((VLOOKUP(Table10[[#This Row],[SKU]],'All Skus'!$A:$AC,2,FALSE))="Martin",(VLOOKUP(Table10[[#This Row],[SKU]],'All Skus'!$A:$AC,11,FALSE)),""))</f>
        <v>16406.310000000001</v>
      </c>
      <c r="K234" s="224">
        <f>(IF((VLOOKUP(Table10[[#This Row],[SKU]],'All Skus'!$A:$AC,2,FALSE))="Martin",(VLOOKUP(Table10[[#This Row],[SKU]],'All Skus'!$A:$AC,15,FALSE)),""))</f>
        <v>0</v>
      </c>
      <c r="L234" s="224">
        <f>(IF((VLOOKUP(Table10[[#This Row],[SKU]],'All Skus'!$A:$AC,2,FALSE))="Martin",(VLOOKUP(Table10[[#This Row],[SKU]],'All Skus'!$A:$AC,16,FALSE)),""))</f>
        <v>688705006123</v>
      </c>
      <c r="M234" s="224">
        <f>(IF((VLOOKUP(Table10[[#This Row],[SKU]],'All Skus'!$A:$AC,2,FALSE))="Martin",(VLOOKUP(Table10[[#This Row],[SKU]],'All Skus'!$A:$AC,17,FALSE)),""))</f>
        <v>0</v>
      </c>
      <c r="N234" s="227">
        <f>(IF((VLOOKUP(Table10[[#This Row],[SKU]],'All Skus'!$A:$AC,2,FALSE))="Martin",(VLOOKUP(Table10[[#This Row],[SKU]],'All Skus'!$A:$AC,18,FALSE)),""))</f>
        <v>0</v>
      </c>
      <c r="O234" s="227">
        <f>(IF((VLOOKUP(Table10[[#This Row],[SKU]],'All Skus'!$A:$AC,2,FALSE))="Martin",(VLOOKUP(Table10[[#This Row],[SKU]],'All Skus'!$A:$AC,19,FALSE)),""))</f>
        <v>0</v>
      </c>
      <c r="P234" s="227">
        <f>(IF((VLOOKUP(Table10[[#This Row],[SKU]],'All Skus'!$A:$AC,2,FALSE))="Martin",(VLOOKUP(Table10[[#This Row],[SKU]],'All Skus'!$A:$AC,20,FALSE)),""))</f>
        <v>0</v>
      </c>
      <c r="Q234" s="227">
        <f>(IF((VLOOKUP(Table10[[#This Row],[SKU]],'All Skus'!$A:$AC,2,FALSE))="Martin",(VLOOKUP(Table10[[#This Row],[SKU]],'All Skus'!$A:$AC,21,FALSE)),""))</f>
        <v>0</v>
      </c>
      <c r="R234" s="224" t="str">
        <f>(IF((VLOOKUP(Table10[[#This Row],[SKU]],'All Skus'!$A:$AC,2,FALSE))="Martin",(VLOOKUP(Table10[[#This Row],[SKU]],'All Skus'!$A:$AC,22,FALSE)),""))</f>
        <v>CN</v>
      </c>
      <c r="S234" s="223">
        <f>(IF((VLOOKUP(Table10[[#This Row],[SKU]],'All Skus'!$A:$AC,2,FALSE))="Martin",(VLOOKUP(Table10[[#This Row],[SKU]],'All Skus'!$A:$AC,23,FALSE)),""))</f>
        <v>0</v>
      </c>
      <c r="T234" s="212" t="str">
        <f>HYPERLINK((IF((VLOOKUP(Table10[[#This Row],[SKU]],'All Skus'!$A:$AC,2,FALSE))="Martin",(VLOOKUP(Table10[[#This Row],[SKU]],'All Skus'!$A:$AC,24,FALSE)),"")))</f>
        <v>https://www.martin.com/en/products/era-800-performance</v>
      </c>
      <c r="U234" s="228">
        <v>232</v>
      </c>
    </row>
    <row r="235" spans="1:21" ht="15" hidden="1" customHeight="1">
      <c r="A235" s="116">
        <v>9025122053</v>
      </c>
      <c r="B235" s="224" t="str">
        <f>(IF((VLOOKUP(Table10[[#This Row],[SKU]],'All Skus'!$A:$AC,2,FALSE))="Martin",(VLOOKUP(Table10[[#This Row],[SKU]],'All Skus'!$A:$AC,3,FALSE)),""))</f>
        <v>ERA</v>
      </c>
      <c r="C235" s="223" t="str">
        <f>(IF((VLOOKUP(Table10[[#This Row],[SKU]],'All Skus'!$A:$AC,2,FALSE))="Martin",(VLOOKUP(Table10[[#This Row],[SKU]],'All Skus'!$A:$AC,4,FALSE)),""))</f>
        <v>Martin ERA 800 Performance WHITE</v>
      </c>
      <c r="D235" s="224" t="str">
        <f>(IF((VLOOKUP(Table10[[#This Row],[SKU]],'All Skus'!$A:$AC,2,FALSE))="Martin",(VLOOKUP(Table10[[#This Row],[SKU]],'All Skus'!$A:$AC,5,FALSE)),""))</f>
        <v>MAR-ERA</v>
      </c>
      <c r="E235" s="223">
        <f>(IF((VLOOKUP(Table10[[#This Row],[SKU]],'All Skus'!$A:$AC,2,FALSE))="Martin",(VLOOKUP(Table10[[#This Row],[SKU]],'All Skus'!$A:$AC,6,FALSE)),""))</f>
        <v>0</v>
      </c>
      <c r="F235" s="155">
        <f>(IF((VLOOKUP(Table10[[#This Row],[SKU]],'All Skus'!$A:$AC,2,FALSE))="Martin",(VLOOKUP(Table10[[#This Row],[SKU]],'All Skus'!$A:$AC,7,FALSE)),""))</f>
        <v>0</v>
      </c>
      <c r="G235" s="223" t="str">
        <f>(IF((VLOOKUP(Table10[[#This Row],[SKU]],'All Skus'!$A:$AC,2,FALSE))="Martin",(VLOOKUP(Table10[[#This Row],[SKU]],'All Skus'!$A:$AC,8,FALSE)),""))</f>
        <v>Martin ERA 800 Performance WHITE</v>
      </c>
      <c r="H235" s="223" t="str">
        <f>(IF((VLOOKUP(Table10[[#This Row],[SKU]],'All Skus'!$A:$AC,2,FALSE))="Martin",(VLOOKUP(Table10[[#This Row],[SKU]],'All Skus'!$A:$AC,9,FALSE)),""))</f>
        <v>Martin ERA 800 Performance WHITE</v>
      </c>
      <c r="I235" s="225">
        <f>(IF((VLOOKUP(Table10[[#This Row],[SKU]],'All Skus'!$A:$AC,2,FALSE))="Martin",(VLOOKUP(Table10[[#This Row],[SKU]],'All Skus'!$A:$AC,10,FALSE)),""))</f>
        <v>17805.3</v>
      </c>
      <c r="J235" s="226">
        <f>(IF((VLOOKUP(Table10[[#This Row],[SKU]],'All Skus'!$A:$AC,2,FALSE))="Martin",(VLOOKUP(Table10[[#This Row],[SKU]],'All Skus'!$A:$AC,11,FALSE)),""))</f>
        <v>17805.3</v>
      </c>
      <c r="K235" s="224">
        <f>(IF((VLOOKUP(Table10[[#This Row],[SKU]],'All Skus'!$A:$AC,2,FALSE))="Martin",(VLOOKUP(Table10[[#This Row],[SKU]],'All Skus'!$A:$AC,15,FALSE)),""))</f>
        <v>0</v>
      </c>
      <c r="L235" s="224">
        <f>(IF((VLOOKUP(Table10[[#This Row],[SKU]],'All Skus'!$A:$AC,2,FALSE))="Martin",(VLOOKUP(Table10[[#This Row],[SKU]],'All Skus'!$A:$AC,16,FALSE)),""))</f>
        <v>688705006130</v>
      </c>
      <c r="M235" s="224">
        <f>(IF((VLOOKUP(Table10[[#This Row],[SKU]],'All Skus'!$A:$AC,2,FALSE))="Martin",(VLOOKUP(Table10[[#This Row],[SKU]],'All Skus'!$A:$AC,17,FALSE)),""))</f>
        <v>0</v>
      </c>
      <c r="N235" s="227">
        <f>(IF((VLOOKUP(Table10[[#This Row],[SKU]],'All Skus'!$A:$AC,2,FALSE))="Martin",(VLOOKUP(Table10[[#This Row],[SKU]],'All Skus'!$A:$AC,18,FALSE)),""))</f>
        <v>0</v>
      </c>
      <c r="O235" s="227">
        <f>(IF((VLOOKUP(Table10[[#This Row],[SKU]],'All Skus'!$A:$AC,2,FALSE))="Martin",(VLOOKUP(Table10[[#This Row],[SKU]],'All Skus'!$A:$AC,19,FALSE)),""))</f>
        <v>0</v>
      </c>
      <c r="P235" s="227">
        <f>(IF((VLOOKUP(Table10[[#This Row],[SKU]],'All Skus'!$A:$AC,2,FALSE))="Martin",(VLOOKUP(Table10[[#This Row],[SKU]],'All Skus'!$A:$AC,20,FALSE)),""))</f>
        <v>0</v>
      </c>
      <c r="Q235" s="227">
        <f>(IF((VLOOKUP(Table10[[#This Row],[SKU]],'All Skus'!$A:$AC,2,FALSE))="Martin",(VLOOKUP(Table10[[#This Row],[SKU]],'All Skus'!$A:$AC,21,FALSE)),""))</f>
        <v>0</v>
      </c>
      <c r="R235" s="224" t="str">
        <f>(IF((VLOOKUP(Table10[[#This Row],[SKU]],'All Skus'!$A:$AC,2,FALSE))="Martin",(VLOOKUP(Table10[[#This Row],[SKU]],'All Skus'!$A:$AC,22,FALSE)),""))</f>
        <v>CN</v>
      </c>
      <c r="S235" s="223">
        <f>(IF((VLOOKUP(Table10[[#This Row],[SKU]],'All Skus'!$A:$AC,2,FALSE))="Martin",(VLOOKUP(Table10[[#This Row],[SKU]],'All Skus'!$A:$AC,23,FALSE)),""))</f>
        <v>0</v>
      </c>
      <c r="T235" s="212" t="str">
        <f>HYPERLINK((IF((VLOOKUP(Table10[[#This Row],[SKU]],'All Skus'!$A:$AC,2,FALSE))="Martin",(VLOOKUP(Table10[[#This Row],[SKU]],'All Skus'!$A:$AC,24,FALSE)),"")))</f>
        <v>https://www.martin.com/en/products/era-800-performance</v>
      </c>
      <c r="U235" s="228">
        <v>233</v>
      </c>
    </row>
    <row r="236" spans="1:21" ht="15" hidden="1" customHeight="1">
      <c r="A236" s="115" t="s">
        <v>2033</v>
      </c>
      <c r="B236" s="224">
        <f>(IF((VLOOKUP(Table10[[#This Row],[SKU]],'All Skus'!$A:$AC,2,FALSE))="Martin",(VLOOKUP(Table10[[#This Row],[SKU]],'All Skus'!$A:$AC,3,FALSE)),""))</f>
        <v>0</v>
      </c>
      <c r="C236" s="223">
        <f>(IF((VLOOKUP(Table10[[#This Row],[SKU]],'All Skus'!$A:$AC,2,FALSE))="Martin",(VLOOKUP(Table10[[#This Row],[SKU]],'All Skus'!$A:$AC,4,FALSE)),""))</f>
        <v>0</v>
      </c>
      <c r="D236" s="224">
        <f>(IF((VLOOKUP(Table10[[#This Row],[SKU]],'All Skus'!$A:$AC,2,FALSE))="Martin",(VLOOKUP(Table10[[#This Row],[SKU]],'All Skus'!$A:$AC,5,FALSE)),""))</f>
        <v>0</v>
      </c>
      <c r="E236" s="223">
        <f>(IF((VLOOKUP(Table10[[#This Row],[SKU]],'All Skus'!$A:$AC,2,FALSE))="Martin",(VLOOKUP(Table10[[#This Row],[SKU]],'All Skus'!$A:$AC,6,FALSE)),""))</f>
        <v>0</v>
      </c>
      <c r="F236" s="155">
        <f>(IF((VLOOKUP(Table10[[#This Row],[SKU]],'All Skus'!$A:$AC,2,FALSE))="Martin",(VLOOKUP(Table10[[#This Row],[SKU]],'All Skus'!$A:$AC,7,FALSE)),""))</f>
        <v>0</v>
      </c>
      <c r="G236" s="223">
        <f>(IF((VLOOKUP(Table10[[#This Row],[SKU]],'All Skus'!$A:$AC,2,FALSE))="Martin",(VLOOKUP(Table10[[#This Row],[SKU]],'All Skus'!$A:$AC,8,FALSE)),""))</f>
        <v>0</v>
      </c>
      <c r="H236" s="223">
        <f>(IF((VLOOKUP(Table10[[#This Row],[SKU]],'All Skus'!$A:$AC,2,FALSE))="Martin",(VLOOKUP(Table10[[#This Row],[SKU]],'All Skus'!$A:$AC,9,FALSE)),""))</f>
        <v>0</v>
      </c>
      <c r="I236" s="225">
        <f>(IF((VLOOKUP(Table10[[#This Row],[SKU]],'All Skus'!$A:$AC,2,FALSE))="Martin",(VLOOKUP(Table10[[#This Row],[SKU]],'All Skus'!$A:$AC,10,FALSE)),""))</f>
        <v>0</v>
      </c>
      <c r="J236" s="226">
        <f>(IF((VLOOKUP(Table10[[#This Row],[SKU]],'All Skus'!$A:$AC,2,FALSE))="Martin",(VLOOKUP(Table10[[#This Row],[SKU]],'All Skus'!$A:$AC,11,FALSE)),""))</f>
        <v>0</v>
      </c>
      <c r="K236" s="224">
        <f>(IF((VLOOKUP(Table10[[#This Row],[SKU]],'All Skus'!$A:$AC,2,FALSE))="Martin",(VLOOKUP(Table10[[#This Row],[SKU]],'All Skus'!$A:$AC,15,FALSE)),""))</f>
        <v>0</v>
      </c>
      <c r="L236" s="224">
        <f>(IF((VLOOKUP(Table10[[#This Row],[SKU]],'All Skus'!$A:$AC,2,FALSE))="Martin",(VLOOKUP(Table10[[#This Row],[SKU]],'All Skus'!$A:$AC,16,FALSE)),""))</f>
        <v>0</v>
      </c>
      <c r="M236" s="224">
        <f>(IF((VLOOKUP(Table10[[#This Row],[SKU]],'All Skus'!$A:$AC,2,FALSE))="Martin",(VLOOKUP(Table10[[#This Row],[SKU]],'All Skus'!$A:$AC,17,FALSE)),""))</f>
        <v>0</v>
      </c>
      <c r="N236" s="227">
        <f>(IF((VLOOKUP(Table10[[#This Row],[SKU]],'All Skus'!$A:$AC,2,FALSE))="Martin",(VLOOKUP(Table10[[#This Row],[SKU]],'All Skus'!$A:$AC,18,FALSE)),""))</f>
        <v>0</v>
      </c>
      <c r="O236" s="227">
        <f>(IF((VLOOKUP(Table10[[#This Row],[SKU]],'All Skus'!$A:$AC,2,FALSE))="Martin",(VLOOKUP(Table10[[#This Row],[SKU]],'All Skus'!$A:$AC,19,FALSE)),""))</f>
        <v>0</v>
      </c>
      <c r="P236" s="227">
        <f>(IF((VLOOKUP(Table10[[#This Row],[SKU]],'All Skus'!$A:$AC,2,FALSE))="Martin",(VLOOKUP(Table10[[#This Row],[SKU]],'All Skus'!$A:$AC,20,FALSE)),""))</f>
        <v>0</v>
      </c>
      <c r="Q236" s="227">
        <f>(IF((VLOOKUP(Table10[[#This Row],[SKU]],'All Skus'!$A:$AC,2,FALSE))="Martin",(VLOOKUP(Table10[[#This Row],[SKU]],'All Skus'!$A:$AC,21,FALSE)),""))</f>
        <v>0</v>
      </c>
      <c r="R236" s="224">
        <f>(IF((VLOOKUP(Table10[[#This Row],[SKU]],'All Skus'!$A:$AC,2,FALSE))="Martin",(VLOOKUP(Table10[[#This Row],[SKU]],'All Skus'!$A:$AC,22,FALSE)),""))</f>
        <v>0</v>
      </c>
      <c r="S236" s="223">
        <f>(IF((VLOOKUP(Table10[[#This Row],[SKU]],'All Skus'!$A:$AC,2,FALSE))="Martin",(VLOOKUP(Table10[[#This Row],[SKU]],'All Skus'!$A:$AC,23,FALSE)),""))</f>
        <v>0</v>
      </c>
      <c r="T236" s="212" t="str">
        <f>HYPERLINK((IF((VLOOKUP(Table10[[#This Row],[SKU]],'All Skus'!$A:$AC,2,FALSE))="Martin",(VLOOKUP(Table10[[#This Row],[SKU]],'All Skus'!$A:$AC,24,FALSE)),"")))</f>
        <v/>
      </c>
      <c r="U236" s="228">
        <v>234</v>
      </c>
    </row>
    <row r="237" spans="1:21" ht="15" hidden="1" customHeight="1">
      <c r="A237" s="116">
        <v>9025123581</v>
      </c>
      <c r="B237" s="224" t="str">
        <f>(IF((VLOOKUP(Table10[[#This Row],[SKU]],'All Skus'!$A:$AC,2,FALSE))="Martin",(VLOOKUP(Table10[[#This Row],[SKU]],'All Skus'!$A:$AC,3,FALSE)),""))</f>
        <v>ERA</v>
      </c>
      <c r="C237" s="223" t="str">
        <f>(IF((VLOOKUP(Table10[[#This Row],[SKU]],'All Skus'!$A:$AC,2,FALSE))="Martin",(VLOOKUP(Table10[[#This Row],[SKU]],'All Skus'!$A:$AC,4,FALSE)),""))</f>
        <v>Martin ERA 800 Profile</v>
      </c>
      <c r="D237" s="224" t="str">
        <f>(IF((VLOOKUP(Table10[[#This Row],[SKU]],'All Skus'!$A:$AC,2,FALSE))="Martin",(VLOOKUP(Table10[[#This Row],[SKU]],'All Skus'!$A:$AC,5,FALSE)),""))</f>
        <v>MAR-ERA</v>
      </c>
      <c r="E237" s="223">
        <f>(IF((VLOOKUP(Table10[[#This Row],[SKU]],'All Skus'!$A:$AC,2,FALSE))="Martin",(VLOOKUP(Table10[[#This Row],[SKU]],'All Skus'!$A:$AC,6,FALSE)),""))</f>
        <v>0</v>
      </c>
      <c r="F237" s="155">
        <f>(IF((VLOOKUP(Table10[[#This Row],[SKU]],'All Skus'!$A:$AC,2,FALSE))="Martin",(VLOOKUP(Table10[[#This Row],[SKU]],'All Skus'!$A:$AC,7,FALSE)),""))</f>
        <v>0</v>
      </c>
      <c r="G237" s="223" t="str">
        <f>(IF((VLOOKUP(Table10[[#This Row],[SKU]],'All Skus'!$A:$AC,2,FALSE))="Martin",(VLOOKUP(Table10[[#This Row],[SKU]],'All Skus'!$A:$AC,8,FALSE)),""))</f>
        <v>Martin ERA 800 Profile</v>
      </c>
      <c r="H237" s="223" t="str">
        <f>(IF((VLOOKUP(Table10[[#This Row],[SKU]],'All Skus'!$A:$AC,2,FALSE))="Martin",(VLOOKUP(Table10[[#This Row],[SKU]],'All Skus'!$A:$AC,9,FALSE)),""))</f>
        <v>Martin ERA 800 Profile</v>
      </c>
      <c r="I237" s="225">
        <f>(IF((VLOOKUP(Table10[[#This Row],[SKU]],'All Skus'!$A:$AC,2,FALSE))="Martin",(VLOOKUP(Table10[[#This Row],[SKU]],'All Skus'!$A:$AC,10,FALSE)),""))</f>
        <v>14755.43</v>
      </c>
      <c r="J237" s="226">
        <f>(IF((VLOOKUP(Table10[[#This Row],[SKU]],'All Skus'!$A:$AC,2,FALSE))="Martin",(VLOOKUP(Table10[[#This Row],[SKU]],'All Skus'!$A:$AC,11,FALSE)),""))</f>
        <v>14755.43</v>
      </c>
      <c r="K237" s="224">
        <f>(IF((VLOOKUP(Table10[[#This Row],[SKU]],'All Skus'!$A:$AC,2,FALSE))="Martin",(VLOOKUP(Table10[[#This Row],[SKU]],'All Skus'!$A:$AC,15,FALSE)),""))</f>
        <v>0</v>
      </c>
      <c r="L237" s="224">
        <f>(IF((VLOOKUP(Table10[[#This Row],[SKU]],'All Skus'!$A:$AC,2,FALSE))="Martin",(VLOOKUP(Table10[[#This Row],[SKU]],'All Skus'!$A:$AC,16,FALSE)),""))</f>
        <v>688705007274</v>
      </c>
      <c r="M237" s="224">
        <f>(IF((VLOOKUP(Table10[[#This Row],[SKU]],'All Skus'!$A:$AC,2,FALSE))="Martin",(VLOOKUP(Table10[[#This Row],[SKU]],'All Skus'!$A:$AC,17,FALSE)),""))</f>
        <v>0</v>
      </c>
      <c r="N237" s="227">
        <f>(IF((VLOOKUP(Table10[[#This Row],[SKU]],'All Skus'!$A:$AC,2,FALSE))="Martin",(VLOOKUP(Table10[[#This Row],[SKU]],'All Skus'!$A:$AC,18,FALSE)),""))</f>
        <v>0</v>
      </c>
      <c r="O237" s="227">
        <f>(IF((VLOOKUP(Table10[[#This Row],[SKU]],'All Skus'!$A:$AC,2,FALSE))="Martin",(VLOOKUP(Table10[[#This Row],[SKU]],'All Skus'!$A:$AC,19,FALSE)),""))</f>
        <v>0</v>
      </c>
      <c r="P237" s="227">
        <f>(IF((VLOOKUP(Table10[[#This Row],[SKU]],'All Skus'!$A:$AC,2,FALSE))="Martin",(VLOOKUP(Table10[[#This Row],[SKU]],'All Skus'!$A:$AC,20,FALSE)),""))</f>
        <v>0</v>
      </c>
      <c r="Q237" s="227">
        <f>(IF((VLOOKUP(Table10[[#This Row],[SKU]],'All Skus'!$A:$AC,2,FALSE))="Martin",(VLOOKUP(Table10[[#This Row],[SKU]],'All Skus'!$A:$AC,21,FALSE)),""))</f>
        <v>0</v>
      </c>
      <c r="R237" s="224" t="str">
        <f>(IF((VLOOKUP(Table10[[#This Row],[SKU]],'All Skus'!$A:$AC,2,FALSE))="Martin",(VLOOKUP(Table10[[#This Row],[SKU]],'All Skus'!$A:$AC,22,FALSE)),""))</f>
        <v>CN</v>
      </c>
      <c r="S237" s="223">
        <f>(IF((VLOOKUP(Table10[[#This Row],[SKU]],'All Skus'!$A:$AC,2,FALSE))="Martin",(VLOOKUP(Table10[[#This Row],[SKU]],'All Skus'!$A:$AC,23,FALSE)),""))</f>
        <v>0</v>
      </c>
      <c r="T237" s="212" t="str">
        <f>HYPERLINK((IF((VLOOKUP(Table10[[#This Row],[SKU]],'All Skus'!$A:$AC,2,FALSE))="Martin",(VLOOKUP(Table10[[#This Row],[SKU]],'All Skus'!$A:$AC,24,FALSE)),"")))</f>
        <v>https://www.martin.com/en/products/era-800-profile</v>
      </c>
      <c r="U237" s="228">
        <v>235</v>
      </c>
    </row>
    <row r="238" spans="1:21" ht="15" hidden="1" customHeight="1">
      <c r="A238" s="116">
        <v>9025123582</v>
      </c>
      <c r="B238" s="224">
        <f>(IF((VLOOKUP(Table10[[#This Row],[SKU]],'All Skus'!$A:$AC,2,FALSE))="Martin",(VLOOKUP(Table10[[#This Row],[SKU]],'All Skus'!$A:$AC,3,FALSE)),""))</f>
        <v>0</v>
      </c>
      <c r="C238" s="223" t="str">
        <f>(IF((VLOOKUP(Table10[[#This Row],[SKU]],'All Skus'!$A:$AC,2,FALSE))="Martin",(VLOOKUP(Table10[[#This Row],[SKU]],'All Skus'!$A:$AC,4,FALSE)),""))</f>
        <v>Martin ERA 800 Profile WHITE</v>
      </c>
      <c r="D238" s="224" t="str">
        <f>(IF((VLOOKUP(Table10[[#This Row],[SKU]],'All Skus'!$A:$AC,2,FALSE))="Martin",(VLOOKUP(Table10[[#This Row],[SKU]],'All Skus'!$A:$AC,5,FALSE)),""))</f>
        <v>MAR-ERA</v>
      </c>
      <c r="E238" s="223">
        <f>(IF((VLOOKUP(Table10[[#This Row],[SKU]],'All Skus'!$A:$AC,2,FALSE))="Martin",(VLOOKUP(Table10[[#This Row],[SKU]],'All Skus'!$A:$AC,6,FALSE)),""))</f>
        <v>0</v>
      </c>
      <c r="F238" s="155">
        <f>(IF((VLOOKUP(Table10[[#This Row],[SKU]],'All Skus'!$A:$AC,2,FALSE))="Martin",(VLOOKUP(Table10[[#This Row],[SKU]],'All Skus'!$A:$AC,7,FALSE)),""))</f>
        <v>0</v>
      </c>
      <c r="G238" s="223" t="str">
        <f>(IF((VLOOKUP(Table10[[#This Row],[SKU]],'All Skus'!$A:$AC,2,FALSE))="Martin",(VLOOKUP(Table10[[#This Row],[SKU]],'All Skus'!$A:$AC,8,FALSE)),""))</f>
        <v>Martin ERA 800 Profile WHITE</v>
      </c>
      <c r="H238" s="223" t="str">
        <f>(IF((VLOOKUP(Table10[[#This Row],[SKU]],'All Skus'!$A:$AC,2,FALSE))="Martin",(VLOOKUP(Table10[[#This Row],[SKU]],'All Skus'!$A:$AC,9,FALSE)),""))</f>
        <v>Martin ERA 800 Profile WHITE</v>
      </c>
      <c r="I238" s="225">
        <f>(IF((VLOOKUP(Table10[[#This Row],[SKU]],'All Skus'!$A:$AC,2,FALSE))="Martin",(VLOOKUP(Table10[[#This Row],[SKU]],'All Skus'!$A:$AC,10,FALSE)),""))</f>
        <v>16156.89</v>
      </c>
      <c r="J238" s="226">
        <f>(IF((VLOOKUP(Table10[[#This Row],[SKU]],'All Skus'!$A:$AC,2,FALSE))="Martin",(VLOOKUP(Table10[[#This Row],[SKU]],'All Skus'!$A:$AC,11,FALSE)),""))</f>
        <v>16156.89</v>
      </c>
      <c r="K238" s="224">
        <f>(IF((VLOOKUP(Table10[[#This Row],[SKU]],'All Skus'!$A:$AC,2,FALSE))="Martin",(VLOOKUP(Table10[[#This Row],[SKU]],'All Skus'!$A:$AC,15,FALSE)),""))</f>
        <v>0</v>
      </c>
      <c r="L238" s="224">
        <f>(IF((VLOOKUP(Table10[[#This Row],[SKU]],'All Skus'!$A:$AC,2,FALSE))="Martin",(VLOOKUP(Table10[[#This Row],[SKU]],'All Skus'!$A:$AC,16,FALSE)),""))</f>
        <v>0</v>
      </c>
      <c r="M238" s="224">
        <f>(IF((VLOOKUP(Table10[[#This Row],[SKU]],'All Skus'!$A:$AC,2,FALSE))="Martin",(VLOOKUP(Table10[[#This Row],[SKU]],'All Skus'!$A:$AC,17,FALSE)),""))</f>
        <v>0</v>
      </c>
      <c r="N238" s="227">
        <f>(IF((VLOOKUP(Table10[[#This Row],[SKU]],'All Skus'!$A:$AC,2,FALSE))="Martin",(VLOOKUP(Table10[[#This Row],[SKU]],'All Skus'!$A:$AC,18,FALSE)),""))</f>
        <v>0</v>
      </c>
      <c r="O238" s="227">
        <f>(IF((VLOOKUP(Table10[[#This Row],[SKU]],'All Skus'!$A:$AC,2,FALSE))="Martin",(VLOOKUP(Table10[[#This Row],[SKU]],'All Skus'!$A:$AC,19,FALSE)),""))</f>
        <v>0</v>
      </c>
      <c r="P238" s="227">
        <f>(IF((VLOOKUP(Table10[[#This Row],[SKU]],'All Skus'!$A:$AC,2,FALSE))="Martin",(VLOOKUP(Table10[[#This Row],[SKU]],'All Skus'!$A:$AC,20,FALSE)),""))</f>
        <v>0</v>
      </c>
      <c r="Q238" s="227">
        <f>(IF((VLOOKUP(Table10[[#This Row],[SKU]],'All Skus'!$A:$AC,2,FALSE))="Martin",(VLOOKUP(Table10[[#This Row],[SKU]],'All Skus'!$A:$AC,21,FALSE)),""))</f>
        <v>0</v>
      </c>
      <c r="R238" s="224">
        <f>(IF((VLOOKUP(Table10[[#This Row],[SKU]],'All Skus'!$A:$AC,2,FALSE))="Martin",(VLOOKUP(Table10[[#This Row],[SKU]],'All Skus'!$A:$AC,22,FALSE)),""))</f>
        <v>0</v>
      </c>
      <c r="S238" s="223">
        <f>(IF((VLOOKUP(Table10[[#This Row],[SKU]],'All Skus'!$A:$AC,2,FALSE))="Martin",(VLOOKUP(Table10[[#This Row],[SKU]],'All Skus'!$A:$AC,23,FALSE)),""))</f>
        <v>0</v>
      </c>
      <c r="T238" s="212" t="str">
        <f>HYPERLINK((IF((VLOOKUP(Table10[[#This Row],[SKU]],'All Skus'!$A:$AC,2,FALSE))="Martin",(VLOOKUP(Table10[[#This Row],[SKU]],'All Skus'!$A:$AC,24,FALSE)),"")))</f>
        <v/>
      </c>
      <c r="U238" s="228">
        <v>236</v>
      </c>
    </row>
    <row r="239" spans="1:21" ht="15" hidden="1" customHeight="1">
      <c r="A239" s="115" t="s">
        <v>2034</v>
      </c>
      <c r="B239" s="224">
        <f>(IF((VLOOKUP(Table10[[#This Row],[SKU]],'All Skus'!$A:$AC,2,FALSE))="Martin",(VLOOKUP(Table10[[#This Row],[SKU]],'All Skus'!$A:$AC,3,FALSE)),""))</f>
        <v>0</v>
      </c>
      <c r="C239" s="223">
        <f>(IF((VLOOKUP(Table10[[#This Row],[SKU]],'All Skus'!$A:$AC,2,FALSE))="Martin",(VLOOKUP(Table10[[#This Row],[SKU]],'All Skus'!$A:$AC,4,FALSE)),""))</f>
        <v>0</v>
      </c>
      <c r="D239" s="224">
        <f>(IF((VLOOKUP(Table10[[#This Row],[SKU]],'All Skus'!$A:$AC,2,FALSE))="Martin",(VLOOKUP(Table10[[#This Row],[SKU]],'All Skus'!$A:$AC,5,FALSE)),""))</f>
        <v>0</v>
      </c>
      <c r="E239" s="223">
        <f>(IF((VLOOKUP(Table10[[#This Row],[SKU]],'All Skus'!$A:$AC,2,FALSE))="Martin",(VLOOKUP(Table10[[#This Row],[SKU]],'All Skus'!$A:$AC,6,FALSE)),""))</f>
        <v>0</v>
      </c>
      <c r="F239" s="155">
        <f>(IF((VLOOKUP(Table10[[#This Row],[SKU]],'All Skus'!$A:$AC,2,FALSE))="Martin",(VLOOKUP(Table10[[#This Row],[SKU]],'All Skus'!$A:$AC,7,FALSE)),""))</f>
        <v>0</v>
      </c>
      <c r="G239" s="223">
        <f>(IF((VLOOKUP(Table10[[#This Row],[SKU]],'All Skus'!$A:$AC,2,FALSE))="Martin",(VLOOKUP(Table10[[#This Row],[SKU]],'All Skus'!$A:$AC,8,FALSE)),""))</f>
        <v>0</v>
      </c>
      <c r="H239" s="223">
        <f>(IF((VLOOKUP(Table10[[#This Row],[SKU]],'All Skus'!$A:$AC,2,FALSE))="Martin",(VLOOKUP(Table10[[#This Row],[SKU]],'All Skus'!$A:$AC,9,FALSE)),""))</f>
        <v>0</v>
      </c>
      <c r="I239" s="225">
        <f>(IF((VLOOKUP(Table10[[#This Row],[SKU]],'All Skus'!$A:$AC,2,FALSE))="Martin",(VLOOKUP(Table10[[#This Row],[SKU]],'All Skus'!$A:$AC,10,FALSE)),""))</f>
        <v>0</v>
      </c>
      <c r="J239" s="226">
        <f>(IF((VLOOKUP(Table10[[#This Row],[SKU]],'All Skus'!$A:$AC,2,FALSE))="Martin",(VLOOKUP(Table10[[#This Row],[SKU]],'All Skus'!$A:$AC,11,FALSE)),""))</f>
        <v>0</v>
      </c>
      <c r="K239" s="224">
        <f>(IF((VLOOKUP(Table10[[#This Row],[SKU]],'All Skus'!$A:$AC,2,FALSE))="Martin",(VLOOKUP(Table10[[#This Row],[SKU]],'All Skus'!$A:$AC,15,FALSE)),""))</f>
        <v>0</v>
      </c>
      <c r="L239" s="224">
        <f>(IF((VLOOKUP(Table10[[#This Row],[SKU]],'All Skus'!$A:$AC,2,FALSE))="Martin",(VLOOKUP(Table10[[#This Row],[SKU]],'All Skus'!$A:$AC,16,FALSE)),""))</f>
        <v>0</v>
      </c>
      <c r="M239" s="224">
        <f>(IF((VLOOKUP(Table10[[#This Row],[SKU]],'All Skus'!$A:$AC,2,FALSE))="Martin",(VLOOKUP(Table10[[#This Row],[SKU]],'All Skus'!$A:$AC,17,FALSE)),""))</f>
        <v>0</v>
      </c>
      <c r="N239" s="227">
        <f>(IF((VLOOKUP(Table10[[#This Row],[SKU]],'All Skus'!$A:$AC,2,FALSE))="Martin",(VLOOKUP(Table10[[#This Row],[SKU]],'All Skus'!$A:$AC,18,FALSE)),""))</f>
        <v>0</v>
      </c>
      <c r="O239" s="227">
        <f>(IF((VLOOKUP(Table10[[#This Row],[SKU]],'All Skus'!$A:$AC,2,FALSE))="Martin",(VLOOKUP(Table10[[#This Row],[SKU]],'All Skus'!$A:$AC,19,FALSE)),""))</f>
        <v>0</v>
      </c>
      <c r="P239" s="227">
        <f>(IF((VLOOKUP(Table10[[#This Row],[SKU]],'All Skus'!$A:$AC,2,FALSE))="Martin",(VLOOKUP(Table10[[#This Row],[SKU]],'All Skus'!$A:$AC,20,FALSE)),""))</f>
        <v>0</v>
      </c>
      <c r="Q239" s="227">
        <f>(IF((VLOOKUP(Table10[[#This Row],[SKU]],'All Skus'!$A:$AC,2,FALSE))="Martin",(VLOOKUP(Table10[[#This Row],[SKU]],'All Skus'!$A:$AC,21,FALSE)),""))</f>
        <v>0</v>
      </c>
      <c r="R239" s="224">
        <f>(IF((VLOOKUP(Table10[[#This Row],[SKU]],'All Skus'!$A:$AC,2,FALSE))="Martin",(VLOOKUP(Table10[[#This Row],[SKU]],'All Skus'!$A:$AC,22,FALSE)),""))</f>
        <v>0</v>
      </c>
      <c r="S239" s="223">
        <f>(IF((VLOOKUP(Table10[[#This Row],[SKU]],'All Skus'!$A:$AC,2,FALSE))="Martin",(VLOOKUP(Table10[[#This Row],[SKU]],'All Skus'!$A:$AC,23,FALSE)),""))</f>
        <v>0</v>
      </c>
      <c r="T239" s="212" t="str">
        <f>HYPERLINK((IF((VLOOKUP(Table10[[#This Row],[SKU]],'All Skus'!$A:$AC,2,FALSE))="Martin",(VLOOKUP(Table10[[#This Row],[SKU]],'All Skus'!$A:$AC,24,FALSE)),"")))</f>
        <v/>
      </c>
      <c r="U239" s="228">
        <v>237</v>
      </c>
    </row>
    <row r="240" spans="1:21" ht="15" hidden="1" customHeight="1">
      <c r="A240" s="116">
        <v>91512255</v>
      </c>
      <c r="B240" s="224" t="str">
        <f>(IF((VLOOKUP(Table10[[#This Row],[SKU]],'All Skus'!$A:$AC,2,FALSE))="Martin",(VLOOKUP(Table10[[#This Row],[SKU]],'All Skus'!$A:$AC,3,FALSE)),""))</f>
        <v>ERA</v>
      </c>
      <c r="C240" s="223" t="str">
        <f>(IF((VLOOKUP(Table10[[#This Row],[SKU]],'All Skus'!$A:$AC,2,FALSE))="Martin",(VLOOKUP(Table10[[#This Row],[SKU]],'All Skus'!$A:$AC,4,FALSE)),""))</f>
        <v>Flightcase for 2 x ERA 800</v>
      </c>
      <c r="D240" s="224" t="str">
        <f>(IF((VLOOKUP(Table10[[#This Row],[SKU]],'All Skus'!$A:$AC,2,FALSE))="Martin",(VLOOKUP(Table10[[#This Row],[SKU]],'All Skus'!$A:$AC,5,FALSE)),""))</f>
        <v>MAR-ERA</v>
      </c>
      <c r="E240" s="223">
        <f>(IF((VLOOKUP(Table10[[#This Row],[SKU]],'All Skus'!$A:$AC,2,FALSE))="Martin",(VLOOKUP(Table10[[#This Row],[SKU]],'All Skus'!$A:$AC,6,FALSE)),""))</f>
        <v>0</v>
      </c>
      <c r="F240" s="155">
        <f>(IF((VLOOKUP(Table10[[#This Row],[SKU]],'All Skus'!$A:$AC,2,FALSE))="Martin",(VLOOKUP(Table10[[#This Row],[SKU]],'All Skus'!$A:$AC,7,FALSE)),""))</f>
        <v>0</v>
      </c>
      <c r="G240" s="223" t="str">
        <f>(IF((VLOOKUP(Table10[[#This Row],[SKU]],'All Skus'!$A:$AC,2,FALSE))="Martin",(VLOOKUP(Table10[[#This Row],[SKU]],'All Skus'!$A:$AC,8,FALSE)),""))</f>
        <v>Flightcase for 2 x ERA 800</v>
      </c>
      <c r="H240" s="223" t="str">
        <f>(IF((VLOOKUP(Table10[[#This Row],[SKU]],'All Skus'!$A:$AC,2,FALSE))="Martin",(VLOOKUP(Table10[[#This Row],[SKU]],'All Skus'!$A:$AC,9,FALSE)),""))</f>
        <v>Flightcase for 2 x ERA 800</v>
      </c>
      <c r="I240" s="225">
        <f>(IF((VLOOKUP(Table10[[#This Row],[SKU]],'All Skus'!$A:$AC,2,FALSE))="Martin",(VLOOKUP(Table10[[#This Row],[SKU]],'All Skus'!$A:$AC,10,FALSE)),""))</f>
        <v>2925.16</v>
      </c>
      <c r="J240" s="226">
        <f>(IF((VLOOKUP(Table10[[#This Row],[SKU]],'All Skus'!$A:$AC,2,FALSE))="Martin",(VLOOKUP(Table10[[#This Row],[SKU]],'All Skus'!$A:$AC,11,FALSE)),""))</f>
        <v>2925.16</v>
      </c>
      <c r="K240" s="224">
        <f>(IF((VLOOKUP(Table10[[#This Row],[SKU]],'All Skus'!$A:$AC,2,FALSE))="Martin",(VLOOKUP(Table10[[#This Row],[SKU]],'All Skus'!$A:$AC,15,FALSE)),""))</f>
        <v>0</v>
      </c>
      <c r="L240" s="224">
        <f>(IF((VLOOKUP(Table10[[#This Row],[SKU]],'All Skus'!$A:$AC,2,FALSE))="Martin",(VLOOKUP(Table10[[#This Row],[SKU]],'All Skus'!$A:$AC,16,FALSE)),""))</f>
        <v>688705006147</v>
      </c>
      <c r="M240" s="224">
        <f>(IF((VLOOKUP(Table10[[#This Row],[SKU]],'All Skus'!$A:$AC,2,FALSE))="Martin",(VLOOKUP(Table10[[#This Row],[SKU]],'All Skus'!$A:$AC,17,FALSE)),""))</f>
        <v>0</v>
      </c>
      <c r="N240" s="227">
        <f>(IF((VLOOKUP(Table10[[#This Row],[SKU]],'All Skus'!$A:$AC,2,FALSE))="Martin",(VLOOKUP(Table10[[#This Row],[SKU]],'All Skus'!$A:$AC,18,FALSE)),""))</f>
        <v>0</v>
      </c>
      <c r="O240" s="227">
        <f>(IF((VLOOKUP(Table10[[#This Row],[SKU]],'All Skus'!$A:$AC,2,FALSE))="Martin",(VLOOKUP(Table10[[#This Row],[SKU]],'All Skus'!$A:$AC,19,FALSE)),""))</f>
        <v>0</v>
      </c>
      <c r="P240" s="227">
        <f>(IF((VLOOKUP(Table10[[#This Row],[SKU]],'All Skus'!$A:$AC,2,FALSE))="Martin",(VLOOKUP(Table10[[#This Row],[SKU]],'All Skus'!$A:$AC,20,FALSE)),""))</f>
        <v>0</v>
      </c>
      <c r="Q240" s="227">
        <f>(IF((VLOOKUP(Table10[[#This Row],[SKU]],'All Skus'!$A:$AC,2,FALSE))="Martin",(VLOOKUP(Table10[[#This Row],[SKU]],'All Skus'!$A:$AC,21,FALSE)),""))</f>
        <v>0</v>
      </c>
      <c r="R240" s="224" t="str">
        <f>(IF((VLOOKUP(Table10[[#This Row],[SKU]],'All Skus'!$A:$AC,2,FALSE))="Martin",(VLOOKUP(Table10[[#This Row],[SKU]],'All Skus'!$A:$AC,22,FALSE)),""))</f>
        <v>DE</v>
      </c>
      <c r="S240" s="223">
        <f>(IF((VLOOKUP(Table10[[#This Row],[SKU]],'All Skus'!$A:$AC,2,FALSE))="Martin",(VLOOKUP(Table10[[#This Row],[SKU]],'All Skus'!$A:$AC,23,FALSE)),""))</f>
        <v>0</v>
      </c>
      <c r="T240" s="212" t="str">
        <f>HYPERLINK((IF((VLOOKUP(Table10[[#This Row],[SKU]],'All Skus'!$A:$AC,2,FALSE))="Martin",(VLOOKUP(Table10[[#This Row],[SKU]],'All Skus'!$A:$AC,24,FALSE)),"")))</f>
        <v>https://www.martin.com/en/site_elements/martin-era-600-flightcase</v>
      </c>
      <c r="U240" s="228">
        <v>238</v>
      </c>
    </row>
    <row r="241" spans="1:21" ht="15" hidden="1" customHeight="1">
      <c r="A241" s="116" t="s">
        <v>2035</v>
      </c>
      <c r="B241" s="224" t="str">
        <f>(IF((VLOOKUP(Table10[[#This Row],[SKU]],'All Skus'!$A:$AC,2,FALSE))="Martin",(VLOOKUP(Table10[[#This Row],[SKU]],'All Skus'!$A:$AC,3,FALSE)),""))</f>
        <v>ERA</v>
      </c>
      <c r="C241" s="223" t="str">
        <f>(IF((VLOOKUP(Table10[[#This Row],[SKU]],'All Skus'!$A:$AC,2,FALSE))="Martin",(VLOOKUP(Table10[[#This Row],[SKU]],'All Skus'!$A:$AC,4,FALSE)),""))</f>
        <v>ERA 800 CRI Boost Filter</v>
      </c>
      <c r="D241" s="224" t="str">
        <f>(IF((VLOOKUP(Table10[[#This Row],[SKU]],'All Skus'!$A:$AC,2,FALSE))="Martin",(VLOOKUP(Table10[[#This Row],[SKU]],'All Skus'!$A:$AC,5,FALSE)),""))</f>
        <v>MAR-ERA</v>
      </c>
      <c r="E241" s="223">
        <f>(IF((VLOOKUP(Table10[[#This Row],[SKU]],'All Skus'!$A:$AC,2,FALSE))="Martin",(VLOOKUP(Table10[[#This Row],[SKU]],'All Skus'!$A:$AC,6,FALSE)),""))</f>
        <v>0</v>
      </c>
      <c r="F241" s="155">
        <f>(IF((VLOOKUP(Table10[[#This Row],[SKU]],'All Skus'!$A:$AC,2,FALSE))="Martin",(VLOOKUP(Table10[[#This Row],[SKU]],'All Skus'!$A:$AC,7,FALSE)),""))</f>
        <v>0</v>
      </c>
      <c r="G241" s="223" t="str">
        <f>(IF((VLOOKUP(Table10[[#This Row],[SKU]],'All Skus'!$A:$AC,2,FALSE))="Martin",(VLOOKUP(Table10[[#This Row],[SKU]],'All Skus'!$A:$AC,8,FALSE)),""))</f>
        <v>ERA 800 CRI Boost Filter</v>
      </c>
      <c r="H241" s="223" t="str">
        <f>(IF((VLOOKUP(Table10[[#This Row],[SKU]],'All Skus'!$A:$AC,2,FALSE))="Martin",(VLOOKUP(Table10[[#This Row],[SKU]],'All Skus'!$A:$AC,9,FALSE)),""))</f>
        <v>ERA 800 CRI Boost Filter</v>
      </c>
      <c r="I241" s="225">
        <f>(IF((VLOOKUP(Table10[[#This Row],[SKU]],'All Skus'!$A:$AC,2,FALSE))="Martin",(VLOOKUP(Table10[[#This Row],[SKU]],'All Skus'!$A:$AC,10,FALSE)),""))</f>
        <v>104.95</v>
      </c>
      <c r="J241" s="226">
        <f>(IF((VLOOKUP(Table10[[#This Row],[SKU]],'All Skus'!$A:$AC,2,FALSE))="Martin",(VLOOKUP(Table10[[#This Row],[SKU]],'All Skus'!$A:$AC,11,FALSE)),""))</f>
        <v>104.95</v>
      </c>
      <c r="K241" s="224">
        <f>(IF((VLOOKUP(Table10[[#This Row],[SKU]],'All Skus'!$A:$AC,2,FALSE))="Martin",(VLOOKUP(Table10[[#This Row],[SKU]],'All Skus'!$A:$AC,15,FALSE)),""))</f>
        <v>0</v>
      </c>
      <c r="L241" s="224">
        <f>(IF((VLOOKUP(Table10[[#This Row],[SKU]],'All Skus'!$A:$AC,2,FALSE))="Martin",(VLOOKUP(Table10[[#This Row],[SKU]],'All Skus'!$A:$AC,16,FALSE)),""))</f>
        <v>688705007212</v>
      </c>
      <c r="M241" s="224">
        <f>(IF((VLOOKUP(Table10[[#This Row],[SKU]],'All Skus'!$A:$AC,2,FALSE))="Martin",(VLOOKUP(Table10[[#This Row],[SKU]],'All Skus'!$A:$AC,17,FALSE)),""))</f>
        <v>0</v>
      </c>
      <c r="N241" s="227">
        <f>(IF((VLOOKUP(Table10[[#This Row],[SKU]],'All Skus'!$A:$AC,2,FALSE))="Martin",(VLOOKUP(Table10[[#This Row],[SKU]],'All Skus'!$A:$AC,18,FALSE)),""))</f>
        <v>0</v>
      </c>
      <c r="O241" s="227">
        <f>(IF((VLOOKUP(Table10[[#This Row],[SKU]],'All Skus'!$A:$AC,2,FALSE))="Martin",(VLOOKUP(Table10[[#This Row],[SKU]],'All Skus'!$A:$AC,19,FALSE)),""))</f>
        <v>0</v>
      </c>
      <c r="P241" s="227">
        <f>(IF((VLOOKUP(Table10[[#This Row],[SKU]],'All Skus'!$A:$AC,2,FALSE))="Martin",(VLOOKUP(Table10[[#This Row],[SKU]],'All Skus'!$A:$AC,20,FALSE)),""))</f>
        <v>0</v>
      </c>
      <c r="Q241" s="227">
        <f>(IF((VLOOKUP(Table10[[#This Row],[SKU]],'All Skus'!$A:$AC,2,FALSE))="Martin",(VLOOKUP(Table10[[#This Row],[SKU]],'All Skus'!$A:$AC,21,FALSE)),""))</f>
        <v>0</v>
      </c>
      <c r="R241" s="224">
        <f>(IF((VLOOKUP(Table10[[#This Row],[SKU]],'All Skus'!$A:$AC,2,FALSE))="Martin",(VLOOKUP(Table10[[#This Row],[SKU]],'All Skus'!$A:$AC,22,FALSE)),""))</f>
        <v>0</v>
      </c>
      <c r="S241" s="223">
        <f>(IF((VLOOKUP(Table10[[#This Row],[SKU]],'All Skus'!$A:$AC,2,FALSE))="Martin",(VLOOKUP(Table10[[#This Row],[SKU]],'All Skus'!$A:$AC,23,FALSE)),""))</f>
        <v>0</v>
      </c>
      <c r="T241" s="212" t="str">
        <f>HYPERLINK((IF((VLOOKUP(Table10[[#This Row],[SKU]],'All Skus'!$A:$AC,2,FALSE))="Martin",(VLOOKUP(Table10[[#This Row],[SKU]],'All Skus'!$A:$AC,24,FALSE)),"")))</f>
        <v/>
      </c>
      <c r="U241" s="228">
        <v>239</v>
      </c>
    </row>
    <row r="242" spans="1:21" ht="15" hidden="1" customHeight="1">
      <c r="A242" s="115" t="s">
        <v>2036</v>
      </c>
      <c r="B242" s="224">
        <f>(IF((VLOOKUP(Table10[[#This Row],[SKU]],'All Skus'!$A:$AC,2,FALSE))="Martin",(VLOOKUP(Table10[[#This Row],[SKU]],'All Skus'!$A:$AC,3,FALSE)),""))</f>
        <v>0</v>
      </c>
      <c r="C242" s="223">
        <f>(IF((VLOOKUP(Table10[[#This Row],[SKU]],'All Skus'!$A:$AC,2,FALSE))="Martin",(VLOOKUP(Table10[[#This Row],[SKU]],'All Skus'!$A:$AC,4,FALSE)),""))</f>
        <v>0</v>
      </c>
      <c r="D242" s="224">
        <f>(IF((VLOOKUP(Table10[[#This Row],[SKU]],'All Skus'!$A:$AC,2,FALSE))="Martin",(VLOOKUP(Table10[[#This Row],[SKU]],'All Skus'!$A:$AC,5,FALSE)),""))</f>
        <v>0</v>
      </c>
      <c r="E242" s="223">
        <f>(IF((VLOOKUP(Table10[[#This Row],[SKU]],'All Skus'!$A:$AC,2,FALSE))="Martin",(VLOOKUP(Table10[[#This Row],[SKU]],'All Skus'!$A:$AC,6,FALSE)),""))</f>
        <v>0</v>
      </c>
      <c r="F242" s="155">
        <f>(IF((VLOOKUP(Table10[[#This Row],[SKU]],'All Skus'!$A:$AC,2,FALSE))="Martin",(VLOOKUP(Table10[[#This Row],[SKU]],'All Skus'!$A:$AC,7,FALSE)),""))</f>
        <v>0</v>
      </c>
      <c r="G242" s="223">
        <f>(IF((VLOOKUP(Table10[[#This Row],[SKU]],'All Skus'!$A:$AC,2,FALSE))="Martin",(VLOOKUP(Table10[[#This Row],[SKU]],'All Skus'!$A:$AC,8,FALSE)),""))</f>
        <v>0</v>
      </c>
      <c r="H242" s="223">
        <f>(IF((VLOOKUP(Table10[[#This Row],[SKU]],'All Skus'!$A:$AC,2,FALSE))="Martin",(VLOOKUP(Table10[[#This Row],[SKU]],'All Skus'!$A:$AC,9,FALSE)),""))</f>
        <v>0</v>
      </c>
      <c r="I242" s="225">
        <f>(IF((VLOOKUP(Table10[[#This Row],[SKU]],'All Skus'!$A:$AC,2,FALSE))="Martin",(VLOOKUP(Table10[[#This Row],[SKU]],'All Skus'!$A:$AC,10,FALSE)),""))</f>
        <v>0</v>
      </c>
      <c r="J242" s="226">
        <f>(IF((VLOOKUP(Table10[[#This Row],[SKU]],'All Skus'!$A:$AC,2,FALSE))="Martin",(VLOOKUP(Table10[[#This Row],[SKU]],'All Skus'!$A:$AC,11,FALSE)),""))</f>
        <v>0</v>
      </c>
      <c r="K242" s="224">
        <f>(IF((VLOOKUP(Table10[[#This Row],[SKU]],'All Skus'!$A:$AC,2,FALSE))="Martin",(VLOOKUP(Table10[[#This Row],[SKU]],'All Skus'!$A:$AC,15,FALSE)),""))</f>
        <v>0</v>
      </c>
      <c r="L242" s="224">
        <f>(IF((VLOOKUP(Table10[[#This Row],[SKU]],'All Skus'!$A:$AC,2,FALSE))="Martin",(VLOOKUP(Table10[[#This Row],[SKU]],'All Skus'!$A:$AC,16,FALSE)),""))</f>
        <v>0</v>
      </c>
      <c r="M242" s="224">
        <f>(IF((VLOOKUP(Table10[[#This Row],[SKU]],'All Skus'!$A:$AC,2,FALSE))="Martin",(VLOOKUP(Table10[[#This Row],[SKU]],'All Skus'!$A:$AC,17,FALSE)),""))</f>
        <v>0</v>
      </c>
      <c r="N242" s="227">
        <f>(IF((VLOOKUP(Table10[[#This Row],[SKU]],'All Skus'!$A:$AC,2,FALSE))="Martin",(VLOOKUP(Table10[[#This Row],[SKU]],'All Skus'!$A:$AC,18,FALSE)),""))</f>
        <v>0</v>
      </c>
      <c r="O242" s="227">
        <f>(IF((VLOOKUP(Table10[[#This Row],[SKU]],'All Skus'!$A:$AC,2,FALSE))="Martin",(VLOOKUP(Table10[[#This Row],[SKU]],'All Skus'!$A:$AC,19,FALSE)),""))</f>
        <v>0</v>
      </c>
      <c r="P242" s="227">
        <f>(IF((VLOOKUP(Table10[[#This Row],[SKU]],'All Skus'!$A:$AC,2,FALSE))="Martin",(VLOOKUP(Table10[[#This Row],[SKU]],'All Skus'!$A:$AC,20,FALSE)),""))</f>
        <v>0</v>
      </c>
      <c r="Q242" s="227">
        <f>(IF((VLOOKUP(Table10[[#This Row],[SKU]],'All Skus'!$A:$AC,2,FALSE))="Martin",(VLOOKUP(Table10[[#This Row],[SKU]],'All Skus'!$A:$AC,21,FALSE)),""))</f>
        <v>0</v>
      </c>
      <c r="R242" s="224">
        <f>(IF((VLOOKUP(Table10[[#This Row],[SKU]],'All Skus'!$A:$AC,2,FALSE))="Martin",(VLOOKUP(Table10[[#This Row],[SKU]],'All Skus'!$A:$AC,22,FALSE)),""))</f>
        <v>0</v>
      </c>
      <c r="S242" s="223">
        <f>(IF((VLOOKUP(Table10[[#This Row],[SKU]],'All Skus'!$A:$AC,2,FALSE))="Martin",(VLOOKUP(Table10[[#This Row],[SKU]],'All Skus'!$A:$AC,23,FALSE)),""))</f>
        <v>0</v>
      </c>
      <c r="T242" s="212" t="str">
        <f>HYPERLINK((IF((VLOOKUP(Table10[[#This Row],[SKU]],'All Skus'!$A:$AC,2,FALSE))="Martin",(VLOOKUP(Table10[[#This Row],[SKU]],'All Skus'!$A:$AC,24,FALSE)),"")))</f>
        <v/>
      </c>
      <c r="U242" s="228">
        <v>240</v>
      </c>
    </row>
    <row r="243" spans="1:21" ht="15" hidden="1" customHeight="1">
      <c r="A243" s="111" t="s">
        <v>2037</v>
      </c>
      <c r="B243" s="224">
        <f>(IF((VLOOKUP(Table10[[#This Row],[SKU]],'All Skus'!$A:$AC,2,FALSE))="Martin",(VLOOKUP(Table10[[#This Row],[SKU]],'All Skus'!$A:$AC,3,FALSE)),""))</f>
        <v>0</v>
      </c>
      <c r="C243" s="223">
        <f>(IF((VLOOKUP(Table10[[#This Row],[SKU]],'All Skus'!$A:$AC,2,FALSE))="Martin",(VLOOKUP(Table10[[#This Row],[SKU]],'All Skus'!$A:$AC,4,FALSE)),""))</f>
        <v>0</v>
      </c>
      <c r="D243" s="224">
        <f>(IF((VLOOKUP(Table10[[#This Row],[SKU]],'All Skus'!$A:$AC,2,FALSE))="Martin",(VLOOKUP(Table10[[#This Row],[SKU]],'All Skus'!$A:$AC,5,FALSE)),""))</f>
        <v>0</v>
      </c>
      <c r="E243" s="223">
        <f>(IF((VLOOKUP(Table10[[#This Row],[SKU]],'All Skus'!$A:$AC,2,FALSE))="Martin",(VLOOKUP(Table10[[#This Row],[SKU]],'All Skus'!$A:$AC,6,FALSE)),""))</f>
        <v>0</v>
      </c>
      <c r="F243" s="155">
        <f>(IF((VLOOKUP(Table10[[#This Row],[SKU]],'All Skus'!$A:$AC,2,FALSE))="Martin",(VLOOKUP(Table10[[#This Row],[SKU]],'All Skus'!$A:$AC,7,FALSE)),""))</f>
        <v>0</v>
      </c>
      <c r="G243" s="223">
        <f>(IF((VLOOKUP(Table10[[#This Row],[SKU]],'All Skus'!$A:$AC,2,FALSE))="Martin",(VLOOKUP(Table10[[#This Row],[SKU]],'All Skus'!$A:$AC,8,FALSE)),""))</f>
        <v>0</v>
      </c>
      <c r="H243" s="223">
        <f>(IF((VLOOKUP(Table10[[#This Row],[SKU]],'All Skus'!$A:$AC,2,FALSE))="Martin",(VLOOKUP(Table10[[#This Row],[SKU]],'All Skus'!$A:$AC,9,FALSE)),""))</f>
        <v>0</v>
      </c>
      <c r="I243" s="225">
        <f>(IF((VLOOKUP(Table10[[#This Row],[SKU]],'All Skus'!$A:$AC,2,FALSE))="Martin",(VLOOKUP(Table10[[#This Row],[SKU]],'All Skus'!$A:$AC,10,FALSE)),""))</f>
        <v>0</v>
      </c>
      <c r="J243" s="226">
        <f>(IF((VLOOKUP(Table10[[#This Row],[SKU]],'All Skus'!$A:$AC,2,FALSE))="Martin",(VLOOKUP(Table10[[#This Row],[SKU]],'All Skus'!$A:$AC,11,FALSE)),""))</f>
        <v>0</v>
      </c>
      <c r="K243" s="224">
        <f>(IF((VLOOKUP(Table10[[#This Row],[SKU]],'All Skus'!$A:$AC,2,FALSE))="Martin",(VLOOKUP(Table10[[#This Row],[SKU]],'All Skus'!$A:$AC,15,FALSE)),""))</f>
        <v>0</v>
      </c>
      <c r="L243" s="224">
        <f>(IF((VLOOKUP(Table10[[#This Row],[SKU]],'All Skus'!$A:$AC,2,FALSE))="Martin",(VLOOKUP(Table10[[#This Row],[SKU]],'All Skus'!$A:$AC,16,FALSE)),""))</f>
        <v>0</v>
      </c>
      <c r="M243" s="224">
        <f>(IF((VLOOKUP(Table10[[#This Row],[SKU]],'All Skus'!$A:$AC,2,FALSE))="Martin",(VLOOKUP(Table10[[#This Row],[SKU]],'All Skus'!$A:$AC,17,FALSE)),""))</f>
        <v>0</v>
      </c>
      <c r="N243" s="227">
        <f>(IF((VLOOKUP(Table10[[#This Row],[SKU]],'All Skus'!$A:$AC,2,FALSE))="Martin",(VLOOKUP(Table10[[#This Row],[SKU]],'All Skus'!$A:$AC,18,FALSE)),""))</f>
        <v>0</v>
      </c>
      <c r="O243" s="227">
        <f>(IF((VLOOKUP(Table10[[#This Row],[SKU]],'All Skus'!$A:$AC,2,FALSE))="Martin",(VLOOKUP(Table10[[#This Row],[SKU]],'All Skus'!$A:$AC,19,FALSE)),""))</f>
        <v>0</v>
      </c>
      <c r="P243" s="227">
        <f>(IF((VLOOKUP(Table10[[#This Row],[SKU]],'All Skus'!$A:$AC,2,FALSE))="Martin",(VLOOKUP(Table10[[#This Row],[SKU]],'All Skus'!$A:$AC,20,FALSE)),""))</f>
        <v>0</v>
      </c>
      <c r="Q243" s="227">
        <f>(IF((VLOOKUP(Table10[[#This Row],[SKU]],'All Skus'!$A:$AC,2,FALSE))="Martin",(VLOOKUP(Table10[[#This Row],[SKU]],'All Skus'!$A:$AC,21,FALSE)),""))</f>
        <v>0</v>
      </c>
      <c r="R243" s="224">
        <f>(IF((VLOOKUP(Table10[[#This Row],[SKU]],'All Skus'!$A:$AC,2,FALSE))="Martin",(VLOOKUP(Table10[[#This Row],[SKU]],'All Skus'!$A:$AC,22,FALSE)),""))</f>
        <v>0</v>
      </c>
      <c r="S243" s="223">
        <f>(IF((VLOOKUP(Table10[[#This Row],[SKU]],'All Skus'!$A:$AC,2,FALSE))="Martin",(VLOOKUP(Table10[[#This Row],[SKU]],'All Skus'!$A:$AC,23,FALSE)),""))</f>
        <v>0</v>
      </c>
      <c r="T243" s="212" t="str">
        <f>HYPERLINK((IF((VLOOKUP(Table10[[#This Row],[SKU]],'All Skus'!$A:$AC,2,FALSE))="Martin",(VLOOKUP(Table10[[#This Row],[SKU]],'All Skus'!$A:$AC,24,FALSE)),"")))</f>
        <v/>
      </c>
      <c r="U243" s="228">
        <v>241</v>
      </c>
    </row>
    <row r="244" spans="1:21" ht="15" hidden="1" customHeight="1">
      <c r="A244" s="115" t="s">
        <v>2038</v>
      </c>
      <c r="B244" s="224">
        <f>(IF((VLOOKUP(Table10[[#This Row],[SKU]],'All Skus'!$A:$AC,2,FALSE))="Martin",(VLOOKUP(Table10[[#This Row],[SKU]],'All Skus'!$A:$AC,3,FALSE)),""))</f>
        <v>0</v>
      </c>
      <c r="C244" s="223">
        <f>(IF((VLOOKUP(Table10[[#This Row],[SKU]],'All Skus'!$A:$AC,2,FALSE))="Martin",(VLOOKUP(Table10[[#This Row],[SKU]],'All Skus'!$A:$AC,4,FALSE)),""))</f>
        <v>0</v>
      </c>
      <c r="D244" s="224">
        <f>(IF((VLOOKUP(Table10[[#This Row],[SKU]],'All Skus'!$A:$AC,2,FALSE))="Martin",(VLOOKUP(Table10[[#This Row],[SKU]],'All Skus'!$A:$AC,5,FALSE)),""))</f>
        <v>0</v>
      </c>
      <c r="E244" s="223">
        <f>(IF((VLOOKUP(Table10[[#This Row],[SKU]],'All Skus'!$A:$AC,2,FALSE))="Martin",(VLOOKUP(Table10[[#This Row],[SKU]],'All Skus'!$A:$AC,6,FALSE)),""))</f>
        <v>0</v>
      </c>
      <c r="F244" s="155">
        <f>(IF((VLOOKUP(Table10[[#This Row],[SKU]],'All Skus'!$A:$AC,2,FALSE))="Martin",(VLOOKUP(Table10[[#This Row],[SKU]],'All Skus'!$A:$AC,7,FALSE)),""))</f>
        <v>0</v>
      </c>
      <c r="G244" s="223">
        <f>(IF((VLOOKUP(Table10[[#This Row],[SKU]],'All Skus'!$A:$AC,2,FALSE))="Martin",(VLOOKUP(Table10[[#This Row],[SKU]],'All Skus'!$A:$AC,8,FALSE)),""))</f>
        <v>0</v>
      </c>
      <c r="H244" s="223">
        <f>(IF((VLOOKUP(Table10[[#This Row],[SKU]],'All Skus'!$A:$AC,2,FALSE))="Martin",(VLOOKUP(Table10[[#This Row],[SKU]],'All Skus'!$A:$AC,9,FALSE)),""))</f>
        <v>0</v>
      </c>
      <c r="I244" s="225">
        <f>(IF((VLOOKUP(Table10[[#This Row],[SKU]],'All Skus'!$A:$AC,2,FALSE))="Martin",(VLOOKUP(Table10[[#This Row],[SKU]],'All Skus'!$A:$AC,10,FALSE)),""))</f>
        <v>0</v>
      </c>
      <c r="J244" s="226">
        <f>(IF((VLOOKUP(Table10[[#This Row],[SKU]],'All Skus'!$A:$AC,2,FALSE))="Martin",(VLOOKUP(Table10[[#This Row],[SKU]],'All Skus'!$A:$AC,11,FALSE)),""))</f>
        <v>0</v>
      </c>
      <c r="K244" s="224">
        <f>(IF((VLOOKUP(Table10[[#This Row],[SKU]],'All Skus'!$A:$AC,2,FALSE))="Martin",(VLOOKUP(Table10[[#This Row],[SKU]],'All Skus'!$A:$AC,15,FALSE)),""))</f>
        <v>0</v>
      </c>
      <c r="L244" s="224">
        <f>(IF((VLOOKUP(Table10[[#This Row],[SKU]],'All Skus'!$A:$AC,2,FALSE))="Martin",(VLOOKUP(Table10[[#This Row],[SKU]],'All Skus'!$A:$AC,16,FALSE)),""))</f>
        <v>0</v>
      </c>
      <c r="M244" s="224">
        <f>(IF((VLOOKUP(Table10[[#This Row],[SKU]],'All Skus'!$A:$AC,2,FALSE))="Martin",(VLOOKUP(Table10[[#This Row],[SKU]],'All Skus'!$A:$AC,17,FALSE)),""))</f>
        <v>0</v>
      </c>
      <c r="N244" s="227">
        <f>(IF((VLOOKUP(Table10[[#This Row],[SKU]],'All Skus'!$A:$AC,2,FALSE))="Martin",(VLOOKUP(Table10[[#This Row],[SKU]],'All Skus'!$A:$AC,18,FALSE)),""))</f>
        <v>0</v>
      </c>
      <c r="O244" s="227">
        <f>(IF((VLOOKUP(Table10[[#This Row],[SKU]],'All Skus'!$A:$AC,2,FALSE))="Martin",(VLOOKUP(Table10[[#This Row],[SKU]],'All Skus'!$A:$AC,19,FALSE)),""))</f>
        <v>0</v>
      </c>
      <c r="P244" s="227">
        <f>(IF((VLOOKUP(Table10[[#This Row],[SKU]],'All Skus'!$A:$AC,2,FALSE))="Martin",(VLOOKUP(Table10[[#This Row],[SKU]],'All Skus'!$A:$AC,20,FALSE)),""))</f>
        <v>0</v>
      </c>
      <c r="Q244" s="227">
        <f>(IF((VLOOKUP(Table10[[#This Row],[SKU]],'All Skus'!$A:$AC,2,FALSE))="Martin",(VLOOKUP(Table10[[#This Row],[SKU]],'All Skus'!$A:$AC,21,FALSE)),""))</f>
        <v>0</v>
      </c>
      <c r="R244" s="224">
        <f>(IF((VLOOKUP(Table10[[#This Row],[SKU]],'All Skus'!$A:$AC,2,FALSE))="Martin",(VLOOKUP(Table10[[#This Row],[SKU]],'All Skus'!$A:$AC,22,FALSE)),""))</f>
        <v>0</v>
      </c>
      <c r="S244" s="223">
        <f>(IF((VLOOKUP(Table10[[#This Row],[SKU]],'All Skus'!$A:$AC,2,FALSE))="Martin",(VLOOKUP(Table10[[#This Row],[SKU]],'All Skus'!$A:$AC,23,FALSE)),""))</f>
        <v>0</v>
      </c>
      <c r="T244" s="212" t="str">
        <f>HYPERLINK((IF((VLOOKUP(Table10[[#This Row],[SKU]],'All Skus'!$A:$AC,2,FALSE))="Martin",(VLOOKUP(Table10[[#This Row],[SKU]],'All Skus'!$A:$AC,24,FALSE)),"")))</f>
        <v/>
      </c>
      <c r="U244" s="228">
        <v>242</v>
      </c>
    </row>
    <row r="245" spans="1:21" ht="15" hidden="1" customHeight="1">
      <c r="A245" s="90" t="s">
        <v>2039</v>
      </c>
      <c r="B245" s="224" t="str">
        <f>(IF((VLOOKUP(Table10[[#This Row],[SKU]],'All Skus'!$A:$AC,2,FALSE))="Martin",(VLOOKUP(Table10[[#This Row],[SKU]],'All Skus'!$A:$AC,3,FALSE)),""))</f>
        <v>Linear</v>
      </c>
      <c r="C245" s="223" t="str">
        <f>(IF((VLOOKUP(Table10[[#This Row],[SKU]],'All Skus'!$A:$AC,2,FALSE))="Martin",(VLOOKUP(Table10[[#This Row],[SKU]],'All Skus'!$A:$AC,4,FALSE)),""))</f>
        <v>EXT DOT-HP, CL FRONT, RGB, ALU</v>
      </c>
      <c r="D245" s="224" t="str">
        <f>(IF((VLOOKUP(Table10[[#This Row],[SKU]],'All Skus'!$A:$AC,2,FALSE))="Martin",(VLOOKUP(Table10[[#This Row],[SKU]],'All Skus'!$A:$AC,5,FALSE)),""))</f>
        <v>EXT-CREAT</v>
      </c>
      <c r="E245" s="223">
        <f>(IF((VLOOKUP(Table10[[#This Row],[SKU]],'All Skus'!$A:$AC,2,FALSE))="Martin",(VLOOKUP(Table10[[#This Row],[SKU]],'All Skus'!$A:$AC,6,FALSE)),""))</f>
        <v>0</v>
      </c>
      <c r="F245" s="155">
        <f>(IF((VLOOKUP(Table10[[#This Row],[SKU]],'All Skus'!$A:$AC,2,FALSE))="Martin",(VLOOKUP(Table10[[#This Row],[SKU]],'All Skus'!$A:$AC,7,FALSE)),""))</f>
        <v>0</v>
      </c>
      <c r="G245" s="223" t="str">
        <f>(IF((VLOOKUP(Table10[[#This Row],[SKU]],'All Skus'!$A:$AC,2,FALSE))="Martin",(VLOOKUP(Table10[[#This Row],[SKU]],'All Skus'!$A:$AC,8,FALSE)),""))</f>
        <v>EXT DOT-HP, CL FRONT, RGB, ALU</v>
      </c>
      <c r="H245" s="223" t="str">
        <f>(IF((VLOOKUP(Table10[[#This Row],[SKU]],'All Skus'!$A:$AC,2,FALSE))="Martin",(VLOOKUP(Table10[[#This Row],[SKU]],'All Skus'!$A:$AC,9,FALSE)),""))</f>
        <v>EXT DOT-HP, CL FRONT, RGB, ALU</v>
      </c>
      <c r="I245" s="225">
        <f>(IF((VLOOKUP(Table10[[#This Row],[SKU]],'All Skus'!$A:$AC,2,FALSE))="Martin",(VLOOKUP(Table10[[#This Row],[SKU]],'All Skus'!$A:$AC,10,FALSE)),""))</f>
        <v>424.76</v>
      </c>
      <c r="J245" s="226">
        <f>(IF((VLOOKUP(Table10[[#This Row],[SKU]],'All Skus'!$A:$AC,2,FALSE))="Martin",(VLOOKUP(Table10[[#This Row],[SKU]],'All Skus'!$A:$AC,11,FALSE)),""))</f>
        <v>424.76</v>
      </c>
      <c r="K245" s="224">
        <f>(IF((VLOOKUP(Table10[[#This Row],[SKU]],'All Skus'!$A:$AC,2,FALSE))="Martin",(VLOOKUP(Table10[[#This Row],[SKU]],'All Skus'!$A:$AC,15,FALSE)),""))</f>
        <v>0</v>
      </c>
      <c r="L245" s="224">
        <f>(IF((VLOOKUP(Table10[[#This Row],[SKU]],'All Skus'!$A:$AC,2,FALSE))="Martin",(VLOOKUP(Table10[[#This Row],[SKU]],'All Skus'!$A:$AC,16,FALSE)),""))</f>
        <v>0</v>
      </c>
      <c r="M245" s="224">
        <f>(IF((VLOOKUP(Table10[[#This Row],[SKU]],'All Skus'!$A:$AC,2,FALSE))="Martin",(VLOOKUP(Table10[[#This Row],[SKU]],'All Skus'!$A:$AC,17,FALSE)),""))</f>
        <v>0</v>
      </c>
      <c r="N245" s="227">
        <f>(IF((VLOOKUP(Table10[[#This Row],[SKU]],'All Skus'!$A:$AC,2,FALSE))="Martin",(VLOOKUP(Table10[[#This Row],[SKU]],'All Skus'!$A:$AC,18,FALSE)),""))</f>
        <v>0</v>
      </c>
      <c r="O245" s="227">
        <f>(IF((VLOOKUP(Table10[[#This Row],[SKU]],'All Skus'!$A:$AC,2,FALSE))="Martin",(VLOOKUP(Table10[[#This Row],[SKU]],'All Skus'!$A:$AC,19,FALSE)),""))</f>
        <v>0</v>
      </c>
      <c r="P245" s="227">
        <f>(IF((VLOOKUP(Table10[[#This Row],[SKU]],'All Skus'!$A:$AC,2,FALSE))="Martin",(VLOOKUP(Table10[[#This Row],[SKU]],'All Skus'!$A:$AC,20,FALSE)),""))</f>
        <v>0</v>
      </c>
      <c r="Q245" s="227">
        <f>(IF((VLOOKUP(Table10[[#This Row],[SKU]],'All Skus'!$A:$AC,2,FALSE))="Martin",(VLOOKUP(Table10[[#This Row],[SKU]],'All Skus'!$A:$AC,21,FALSE)),""))</f>
        <v>0</v>
      </c>
      <c r="R245" s="224" t="str">
        <f>(IF((VLOOKUP(Table10[[#This Row],[SKU]],'All Skus'!$A:$AC,2,FALSE))="Martin",(VLOOKUP(Table10[[#This Row],[SKU]],'All Skus'!$A:$AC,22,FALSE)),""))</f>
        <v>HU</v>
      </c>
      <c r="S245" s="223">
        <f>(IF((VLOOKUP(Table10[[#This Row],[SKU]],'All Skus'!$A:$AC,2,FALSE))="Martin",(VLOOKUP(Table10[[#This Row],[SKU]],'All Skus'!$A:$AC,23,FALSE)),""))</f>
        <v>0</v>
      </c>
      <c r="T245" s="212" t="str">
        <f>HYPERLINK((IF((VLOOKUP(Table10[[#This Row],[SKU]],'All Skus'!$A:$AC,2,FALSE))="Martin",(VLOOKUP(Table10[[#This Row],[SKU]],'All Skus'!$A:$AC,24,FALSE)),"")))</f>
        <v>https://www.martin.com/en/products/exterior-dot-hp</v>
      </c>
      <c r="U245" s="228">
        <v>243</v>
      </c>
    </row>
    <row r="246" spans="1:21" ht="15" hidden="1" customHeight="1">
      <c r="A246" s="90" t="s">
        <v>2040</v>
      </c>
      <c r="B246" s="224" t="str">
        <f>(IF((VLOOKUP(Table10[[#This Row],[SKU]],'All Skus'!$A:$AC,2,FALSE))="Martin",(VLOOKUP(Table10[[#This Row],[SKU]],'All Skus'!$A:$AC,3,FALSE)),""))</f>
        <v>Linear</v>
      </c>
      <c r="C246" s="223" t="str">
        <f>(IF((VLOOKUP(Table10[[#This Row],[SKU]],'All Skus'!$A:$AC,2,FALSE))="Martin",(VLOOKUP(Table10[[#This Row],[SKU]],'All Skus'!$A:$AC,4,FALSE)),""))</f>
        <v>EXTERIOR DOT-HP,DIFFUSED DOME,RGB,ALU</v>
      </c>
      <c r="D246" s="224" t="str">
        <f>(IF((VLOOKUP(Table10[[#This Row],[SKU]],'All Skus'!$A:$AC,2,FALSE))="Martin",(VLOOKUP(Table10[[#This Row],[SKU]],'All Skus'!$A:$AC,5,FALSE)),""))</f>
        <v>EXT-CREAT</v>
      </c>
      <c r="E246" s="223">
        <f>(IF((VLOOKUP(Table10[[#This Row],[SKU]],'All Skus'!$A:$AC,2,FALSE))="Martin",(VLOOKUP(Table10[[#This Row],[SKU]],'All Skus'!$A:$AC,6,FALSE)),""))</f>
        <v>0</v>
      </c>
      <c r="F246" s="155">
        <f>(IF((VLOOKUP(Table10[[#This Row],[SKU]],'All Skus'!$A:$AC,2,FALSE))="Martin",(VLOOKUP(Table10[[#This Row],[SKU]],'All Skus'!$A:$AC,7,FALSE)),""))</f>
        <v>0</v>
      </c>
      <c r="G246" s="223" t="str">
        <f>(IF((VLOOKUP(Table10[[#This Row],[SKU]],'All Skus'!$A:$AC,2,FALSE))="Martin",(VLOOKUP(Table10[[#This Row],[SKU]],'All Skus'!$A:$AC,8,FALSE)),""))</f>
        <v>EXTERIOR DOT-HP,DIFFUSED DOME,RGB,ALU</v>
      </c>
      <c r="H246" s="223" t="str">
        <f>(IF((VLOOKUP(Table10[[#This Row],[SKU]],'All Skus'!$A:$AC,2,FALSE))="Martin",(VLOOKUP(Table10[[#This Row],[SKU]],'All Skus'!$A:$AC,9,FALSE)),""))</f>
        <v>EXTERIOR DOT-HP,DIFFUSED DOME,RGB,ALU</v>
      </c>
      <c r="I246" s="225">
        <f>(IF((VLOOKUP(Table10[[#This Row],[SKU]],'All Skus'!$A:$AC,2,FALSE))="Martin",(VLOOKUP(Table10[[#This Row],[SKU]],'All Skus'!$A:$AC,10,FALSE)),""))</f>
        <v>424.76</v>
      </c>
      <c r="J246" s="226">
        <f>(IF((VLOOKUP(Table10[[#This Row],[SKU]],'All Skus'!$A:$AC,2,FALSE))="Martin",(VLOOKUP(Table10[[#This Row],[SKU]],'All Skus'!$A:$AC,11,FALSE)),""))</f>
        <v>424.76</v>
      </c>
      <c r="K246" s="224">
        <f>(IF((VLOOKUP(Table10[[#This Row],[SKU]],'All Skus'!$A:$AC,2,FALSE))="Martin",(VLOOKUP(Table10[[#This Row],[SKU]],'All Skus'!$A:$AC,15,FALSE)),""))</f>
        <v>0</v>
      </c>
      <c r="L246" s="224">
        <f>(IF((VLOOKUP(Table10[[#This Row],[SKU]],'All Skus'!$A:$AC,2,FALSE))="Martin",(VLOOKUP(Table10[[#This Row],[SKU]],'All Skus'!$A:$AC,16,FALSE)),""))</f>
        <v>0</v>
      </c>
      <c r="M246" s="224">
        <f>(IF((VLOOKUP(Table10[[#This Row],[SKU]],'All Skus'!$A:$AC,2,FALSE))="Martin",(VLOOKUP(Table10[[#This Row],[SKU]],'All Skus'!$A:$AC,17,FALSE)),""))</f>
        <v>0</v>
      </c>
      <c r="N246" s="227">
        <f>(IF((VLOOKUP(Table10[[#This Row],[SKU]],'All Skus'!$A:$AC,2,FALSE))="Martin",(VLOOKUP(Table10[[#This Row],[SKU]],'All Skus'!$A:$AC,18,FALSE)),""))</f>
        <v>0</v>
      </c>
      <c r="O246" s="227">
        <f>(IF((VLOOKUP(Table10[[#This Row],[SKU]],'All Skus'!$A:$AC,2,FALSE))="Martin",(VLOOKUP(Table10[[#This Row],[SKU]],'All Skus'!$A:$AC,19,FALSE)),""))</f>
        <v>0</v>
      </c>
      <c r="P246" s="227">
        <f>(IF((VLOOKUP(Table10[[#This Row],[SKU]],'All Skus'!$A:$AC,2,FALSE))="Martin",(VLOOKUP(Table10[[#This Row],[SKU]],'All Skus'!$A:$AC,20,FALSE)),""))</f>
        <v>0</v>
      </c>
      <c r="Q246" s="227">
        <f>(IF((VLOOKUP(Table10[[#This Row],[SKU]],'All Skus'!$A:$AC,2,FALSE))="Martin",(VLOOKUP(Table10[[#This Row],[SKU]],'All Skus'!$A:$AC,21,FALSE)),""))</f>
        <v>0</v>
      </c>
      <c r="R246" s="224" t="str">
        <f>(IF((VLOOKUP(Table10[[#This Row],[SKU]],'All Skus'!$A:$AC,2,FALSE))="Martin",(VLOOKUP(Table10[[#This Row],[SKU]],'All Skus'!$A:$AC,22,FALSE)),""))</f>
        <v>HU</v>
      </c>
      <c r="S246" s="223">
        <f>(IF((VLOOKUP(Table10[[#This Row],[SKU]],'All Skus'!$A:$AC,2,FALSE))="Martin",(VLOOKUP(Table10[[#This Row],[SKU]],'All Skus'!$A:$AC,23,FALSE)),""))</f>
        <v>0</v>
      </c>
      <c r="T246" s="212" t="str">
        <f>HYPERLINK((IF((VLOOKUP(Table10[[#This Row],[SKU]],'All Skus'!$A:$AC,2,FALSE))="Martin",(VLOOKUP(Table10[[#This Row],[SKU]],'All Skus'!$A:$AC,24,FALSE)),"")))</f>
        <v>http://www.martin.com/en-us/product-details/exterior-dot-hp</v>
      </c>
      <c r="U246" s="228">
        <v>244</v>
      </c>
    </row>
    <row r="247" spans="1:21" ht="15" hidden="1" customHeight="1">
      <c r="A247" s="112" t="s">
        <v>2041</v>
      </c>
      <c r="B247" s="224" t="str">
        <f>(IF((VLOOKUP(Table10[[#This Row],[SKU]],'All Skus'!$A:$AC,2,FALSE))="Martin",(VLOOKUP(Table10[[#This Row],[SKU]],'All Skus'!$A:$AC,3,FALSE)),""))</f>
        <v>Linear</v>
      </c>
      <c r="C247" s="223" t="str">
        <f>(IF((VLOOKUP(Table10[[#This Row],[SKU]],'All Skus'!$A:$AC,2,FALSE))="Martin",(VLOOKUP(Table10[[#This Row],[SKU]],'All Skus'!$A:$AC,4,FALSE)),""))</f>
        <v>Exterior Dot-HP, Directional, RGB, alu</v>
      </c>
      <c r="D247" s="224" t="str">
        <f>(IF((VLOOKUP(Table10[[#This Row],[SKU]],'All Skus'!$A:$AC,2,FALSE))="Martin",(VLOOKUP(Table10[[#This Row],[SKU]],'All Skus'!$A:$AC,5,FALSE)),""))</f>
        <v>EXT-CREAT</v>
      </c>
      <c r="E247" s="223">
        <f>(IF((VLOOKUP(Table10[[#This Row],[SKU]],'All Skus'!$A:$AC,2,FALSE))="Martin",(VLOOKUP(Table10[[#This Row],[SKU]],'All Skus'!$A:$AC,6,FALSE)),""))</f>
        <v>0</v>
      </c>
      <c r="F247" s="155">
        <f>(IF((VLOOKUP(Table10[[#This Row],[SKU]],'All Skus'!$A:$AC,2,FALSE))="Martin",(VLOOKUP(Table10[[#This Row],[SKU]],'All Skus'!$A:$AC,7,FALSE)),""))</f>
        <v>0</v>
      </c>
      <c r="G247" s="223" t="str">
        <f>(IF((VLOOKUP(Table10[[#This Row],[SKU]],'All Skus'!$A:$AC,2,FALSE))="Martin",(VLOOKUP(Table10[[#This Row],[SKU]],'All Skus'!$A:$AC,8,FALSE)),""))</f>
        <v>Exterior Dot-HP, Directional, RGB, alu</v>
      </c>
      <c r="H247" s="223" t="str">
        <f>(IF((VLOOKUP(Table10[[#This Row],[SKU]],'All Skus'!$A:$AC,2,FALSE))="Martin",(VLOOKUP(Table10[[#This Row],[SKU]],'All Skus'!$A:$AC,9,FALSE)),""))</f>
        <v>Exterior Dot-HP, Directional, RGB, alu</v>
      </c>
      <c r="I247" s="225">
        <f>(IF((VLOOKUP(Table10[[#This Row],[SKU]],'All Skus'!$A:$AC,2,FALSE))="Martin",(VLOOKUP(Table10[[#This Row],[SKU]],'All Skus'!$A:$AC,10,FALSE)),""))</f>
        <v>467.98</v>
      </c>
      <c r="J247" s="226">
        <f>(IF((VLOOKUP(Table10[[#This Row],[SKU]],'All Skus'!$A:$AC,2,FALSE))="Martin",(VLOOKUP(Table10[[#This Row],[SKU]],'All Skus'!$A:$AC,11,FALSE)),""))</f>
        <v>467.98</v>
      </c>
      <c r="K247" s="224">
        <f>(IF((VLOOKUP(Table10[[#This Row],[SKU]],'All Skus'!$A:$AC,2,FALSE))="Martin",(VLOOKUP(Table10[[#This Row],[SKU]],'All Skus'!$A:$AC,15,FALSE)),""))</f>
        <v>0</v>
      </c>
      <c r="L247" s="224">
        <f>(IF((VLOOKUP(Table10[[#This Row],[SKU]],'All Skus'!$A:$AC,2,FALSE))="Martin",(VLOOKUP(Table10[[#This Row],[SKU]],'All Skus'!$A:$AC,16,FALSE)),""))</f>
        <v>0</v>
      </c>
      <c r="M247" s="224">
        <f>(IF((VLOOKUP(Table10[[#This Row],[SKU]],'All Skus'!$A:$AC,2,FALSE))="Martin",(VLOOKUP(Table10[[#This Row],[SKU]],'All Skus'!$A:$AC,17,FALSE)),""))</f>
        <v>0</v>
      </c>
      <c r="N247" s="227">
        <f>(IF((VLOOKUP(Table10[[#This Row],[SKU]],'All Skus'!$A:$AC,2,FALSE))="Martin",(VLOOKUP(Table10[[#This Row],[SKU]],'All Skus'!$A:$AC,18,FALSE)),""))</f>
        <v>0</v>
      </c>
      <c r="O247" s="227">
        <f>(IF((VLOOKUP(Table10[[#This Row],[SKU]],'All Skus'!$A:$AC,2,FALSE))="Martin",(VLOOKUP(Table10[[#This Row],[SKU]],'All Skus'!$A:$AC,19,FALSE)),""))</f>
        <v>0</v>
      </c>
      <c r="P247" s="227">
        <f>(IF((VLOOKUP(Table10[[#This Row],[SKU]],'All Skus'!$A:$AC,2,FALSE))="Martin",(VLOOKUP(Table10[[#This Row],[SKU]],'All Skus'!$A:$AC,20,FALSE)),""))</f>
        <v>0</v>
      </c>
      <c r="Q247" s="227">
        <f>(IF((VLOOKUP(Table10[[#This Row],[SKU]],'All Skus'!$A:$AC,2,FALSE))="Martin",(VLOOKUP(Table10[[#This Row],[SKU]],'All Skus'!$A:$AC,21,FALSE)),""))</f>
        <v>0</v>
      </c>
      <c r="R247" s="224" t="str">
        <f>(IF((VLOOKUP(Table10[[#This Row],[SKU]],'All Skus'!$A:$AC,2,FALSE))="Martin",(VLOOKUP(Table10[[#This Row],[SKU]],'All Skus'!$A:$AC,22,FALSE)),""))</f>
        <v>HU</v>
      </c>
      <c r="S247" s="223">
        <f>(IF((VLOOKUP(Table10[[#This Row],[SKU]],'All Skus'!$A:$AC,2,FALSE))="Martin",(VLOOKUP(Table10[[#This Row],[SKU]],'All Skus'!$A:$AC,23,FALSE)),""))</f>
        <v>0</v>
      </c>
      <c r="T247" s="212" t="str">
        <f>HYPERLINK((IF((VLOOKUP(Table10[[#This Row],[SKU]],'All Skus'!$A:$AC,2,FALSE))="Martin",(VLOOKUP(Table10[[#This Row],[SKU]],'All Skus'!$A:$AC,24,FALSE)),"")))</f>
        <v/>
      </c>
      <c r="U247" s="228">
        <v>245</v>
      </c>
    </row>
    <row r="248" spans="1:21" ht="15" hidden="1" customHeight="1">
      <c r="A248" s="90" t="s">
        <v>2042</v>
      </c>
      <c r="B248" s="224" t="str">
        <f>(IF((VLOOKUP(Table10[[#This Row],[SKU]],'All Skus'!$A:$AC,2,FALSE))="Martin",(VLOOKUP(Table10[[#This Row],[SKU]],'All Skus'!$A:$AC,3,FALSE)),""))</f>
        <v>Linear</v>
      </c>
      <c r="C248" s="223" t="str">
        <f>(IF((VLOOKUP(Table10[[#This Row],[SKU]],'All Skus'!$A:$AC,2,FALSE))="Martin",(VLOOKUP(Table10[[#This Row],[SKU]],'All Skus'!$A:$AC,4,FALSE)),""))</f>
        <v>EXT DOT-HP, CL FRONT, CW, ALU</v>
      </c>
      <c r="D248" s="224" t="str">
        <f>(IF((VLOOKUP(Table10[[#This Row],[SKU]],'All Skus'!$A:$AC,2,FALSE))="Martin",(VLOOKUP(Table10[[#This Row],[SKU]],'All Skus'!$A:$AC,5,FALSE)),""))</f>
        <v>EXT-CREAT</v>
      </c>
      <c r="E248" s="223">
        <f>(IF((VLOOKUP(Table10[[#This Row],[SKU]],'All Skus'!$A:$AC,2,FALSE))="Martin",(VLOOKUP(Table10[[#This Row],[SKU]],'All Skus'!$A:$AC,6,FALSE)),""))</f>
        <v>0</v>
      </c>
      <c r="F248" s="155">
        <f>(IF((VLOOKUP(Table10[[#This Row],[SKU]],'All Skus'!$A:$AC,2,FALSE))="Martin",(VLOOKUP(Table10[[#This Row],[SKU]],'All Skus'!$A:$AC,7,FALSE)),""))</f>
        <v>0</v>
      </c>
      <c r="G248" s="223" t="str">
        <f>(IF((VLOOKUP(Table10[[#This Row],[SKU]],'All Skus'!$A:$AC,2,FALSE))="Martin",(VLOOKUP(Table10[[#This Row],[SKU]],'All Skus'!$A:$AC,8,FALSE)),""))</f>
        <v>EXT DOT-HP, CL FRONT, CW, ALU</v>
      </c>
      <c r="H248" s="223" t="str">
        <f>(IF((VLOOKUP(Table10[[#This Row],[SKU]],'All Skus'!$A:$AC,2,FALSE))="Martin",(VLOOKUP(Table10[[#This Row],[SKU]],'All Skus'!$A:$AC,9,FALSE)),""))</f>
        <v>EXT DOT-HP, CL FRONT, CW, ALU</v>
      </c>
      <c r="I248" s="225">
        <f>(IF((VLOOKUP(Table10[[#This Row],[SKU]],'All Skus'!$A:$AC,2,FALSE))="Martin",(VLOOKUP(Table10[[#This Row],[SKU]],'All Skus'!$A:$AC,10,FALSE)),""))</f>
        <v>424.76</v>
      </c>
      <c r="J248" s="226">
        <f>(IF((VLOOKUP(Table10[[#This Row],[SKU]],'All Skus'!$A:$AC,2,FALSE))="Martin",(VLOOKUP(Table10[[#This Row],[SKU]],'All Skus'!$A:$AC,11,FALSE)),""))</f>
        <v>424.76</v>
      </c>
      <c r="K248" s="224">
        <f>(IF((VLOOKUP(Table10[[#This Row],[SKU]],'All Skus'!$A:$AC,2,FALSE))="Martin",(VLOOKUP(Table10[[#This Row],[SKU]],'All Skus'!$A:$AC,15,FALSE)),""))</f>
        <v>0</v>
      </c>
      <c r="L248" s="224">
        <f>(IF((VLOOKUP(Table10[[#This Row],[SKU]],'All Skus'!$A:$AC,2,FALSE))="Martin",(VLOOKUP(Table10[[#This Row],[SKU]],'All Skus'!$A:$AC,16,FALSE)),""))</f>
        <v>0</v>
      </c>
      <c r="M248" s="224">
        <f>(IF((VLOOKUP(Table10[[#This Row],[SKU]],'All Skus'!$A:$AC,2,FALSE))="Martin",(VLOOKUP(Table10[[#This Row],[SKU]],'All Skus'!$A:$AC,17,FALSE)),""))</f>
        <v>0</v>
      </c>
      <c r="N248" s="227">
        <f>(IF((VLOOKUP(Table10[[#This Row],[SKU]],'All Skus'!$A:$AC,2,FALSE))="Martin",(VLOOKUP(Table10[[#This Row],[SKU]],'All Skus'!$A:$AC,18,FALSE)),""))</f>
        <v>0</v>
      </c>
      <c r="O248" s="227">
        <f>(IF((VLOOKUP(Table10[[#This Row],[SKU]],'All Skus'!$A:$AC,2,FALSE))="Martin",(VLOOKUP(Table10[[#This Row],[SKU]],'All Skus'!$A:$AC,19,FALSE)),""))</f>
        <v>0</v>
      </c>
      <c r="P248" s="227">
        <f>(IF((VLOOKUP(Table10[[#This Row],[SKU]],'All Skus'!$A:$AC,2,FALSE))="Martin",(VLOOKUP(Table10[[#This Row],[SKU]],'All Skus'!$A:$AC,20,FALSE)),""))</f>
        <v>0</v>
      </c>
      <c r="Q248" s="227">
        <f>(IF((VLOOKUP(Table10[[#This Row],[SKU]],'All Skus'!$A:$AC,2,FALSE))="Martin",(VLOOKUP(Table10[[#This Row],[SKU]],'All Skus'!$A:$AC,21,FALSE)),""))</f>
        <v>0</v>
      </c>
      <c r="R248" s="224" t="str">
        <f>(IF((VLOOKUP(Table10[[#This Row],[SKU]],'All Skus'!$A:$AC,2,FALSE))="Martin",(VLOOKUP(Table10[[#This Row],[SKU]],'All Skus'!$A:$AC,22,FALSE)),""))</f>
        <v>HU</v>
      </c>
      <c r="S248" s="223">
        <f>(IF((VLOOKUP(Table10[[#This Row],[SKU]],'All Skus'!$A:$AC,2,FALSE))="Martin",(VLOOKUP(Table10[[#This Row],[SKU]],'All Skus'!$A:$AC,23,FALSE)),""))</f>
        <v>0</v>
      </c>
      <c r="T248" s="212" t="str">
        <f>HYPERLINK((IF((VLOOKUP(Table10[[#This Row],[SKU]],'All Skus'!$A:$AC,2,FALSE))="Martin",(VLOOKUP(Table10[[#This Row],[SKU]],'All Skus'!$A:$AC,24,FALSE)),"")))</f>
        <v>https://www.martin.com/en/products/exterior-dot-hp</v>
      </c>
      <c r="U248" s="228">
        <v>246</v>
      </c>
    </row>
    <row r="249" spans="1:21" ht="15" hidden="1" customHeight="1">
      <c r="A249" s="90" t="s">
        <v>2043</v>
      </c>
      <c r="B249" s="224" t="str">
        <f>(IF((VLOOKUP(Table10[[#This Row],[SKU]],'All Skus'!$A:$AC,2,FALSE))="Martin",(VLOOKUP(Table10[[#This Row],[SKU]],'All Skus'!$A:$AC,3,FALSE)),""))</f>
        <v>Linear</v>
      </c>
      <c r="C249" s="223" t="str">
        <f>(IF((VLOOKUP(Table10[[#This Row],[SKU]],'All Skus'!$A:$AC,2,FALSE))="Martin",(VLOOKUP(Table10[[#This Row],[SKU]],'All Skus'!$A:$AC,4,FALSE)),""))</f>
        <v>EXT DOT-HP, DOME, CW, ALU</v>
      </c>
      <c r="D249" s="224" t="str">
        <f>(IF((VLOOKUP(Table10[[#This Row],[SKU]],'All Skus'!$A:$AC,2,FALSE))="Martin",(VLOOKUP(Table10[[#This Row],[SKU]],'All Skus'!$A:$AC,5,FALSE)),""))</f>
        <v>EXT-CREAT</v>
      </c>
      <c r="E249" s="223">
        <f>(IF((VLOOKUP(Table10[[#This Row],[SKU]],'All Skus'!$A:$AC,2,FALSE))="Martin",(VLOOKUP(Table10[[#This Row],[SKU]],'All Skus'!$A:$AC,6,FALSE)),""))</f>
        <v>0</v>
      </c>
      <c r="F249" s="155">
        <f>(IF((VLOOKUP(Table10[[#This Row],[SKU]],'All Skus'!$A:$AC,2,FALSE))="Martin",(VLOOKUP(Table10[[#This Row],[SKU]],'All Skus'!$A:$AC,7,FALSE)),""))</f>
        <v>0</v>
      </c>
      <c r="G249" s="223" t="str">
        <f>(IF((VLOOKUP(Table10[[#This Row],[SKU]],'All Skus'!$A:$AC,2,FALSE))="Martin",(VLOOKUP(Table10[[#This Row],[SKU]],'All Skus'!$A:$AC,8,FALSE)),""))</f>
        <v>EXT DOT-HP, DOME, CW, ALU</v>
      </c>
      <c r="H249" s="223" t="str">
        <f>(IF((VLOOKUP(Table10[[#This Row],[SKU]],'All Skus'!$A:$AC,2,FALSE))="Martin",(VLOOKUP(Table10[[#This Row],[SKU]],'All Skus'!$A:$AC,9,FALSE)),""))</f>
        <v>EXT DOT-HP, DOME, CW, ALU</v>
      </c>
      <c r="I249" s="225">
        <f>(IF((VLOOKUP(Table10[[#This Row],[SKU]],'All Skus'!$A:$AC,2,FALSE))="Martin",(VLOOKUP(Table10[[#This Row],[SKU]],'All Skus'!$A:$AC,10,FALSE)),""))</f>
        <v>424.76</v>
      </c>
      <c r="J249" s="226">
        <f>(IF((VLOOKUP(Table10[[#This Row],[SKU]],'All Skus'!$A:$AC,2,FALSE))="Martin",(VLOOKUP(Table10[[#This Row],[SKU]],'All Skus'!$A:$AC,11,FALSE)),""))</f>
        <v>424.76</v>
      </c>
      <c r="K249" s="224">
        <f>(IF((VLOOKUP(Table10[[#This Row],[SKU]],'All Skus'!$A:$AC,2,FALSE))="Martin",(VLOOKUP(Table10[[#This Row],[SKU]],'All Skus'!$A:$AC,15,FALSE)),""))</f>
        <v>0</v>
      </c>
      <c r="L249" s="224">
        <f>(IF((VLOOKUP(Table10[[#This Row],[SKU]],'All Skus'!$A:$AC,2,FALSE))="Martin",(VLOOKUP(Table10[[#This Row],[SKU]],'All Skus'!$A:$AC,16,FALSE)),""))</f>
        <v>0</v>
      </c>
      <c r="M249" s="224">
        <f>(IF((VLOOKUP(Table10[[#This Row],[SKU]],'All Skus'!$A:$AC,2,FALSE))="Martin",(VLOOKUP(Table10[[#This Row],[SKU]],'All Skus'!$A:$AC,17,FALSE)),""))</f>
        <v>0</v>
      </c>
      <c r="N249" s="227">
        <f>(IF((VLOOKUP(Table10[[#This Row],[SKU]],'All Skus'!$A:$AC,2,FALSE))="Martin",(VLOOKUP(Table10[[#This Row],[SKU]],'All Skus'!$A:$AC,18,FALSE)),""))</f>
        <v>0</v>
      </c>
      <c r="O249" s="227">
        <f>(IF((VLOOKUP(Table10[[#This Row],[SKU]],'All Skus'!$A:$AC,2,FALSE))="Martin",(VLOOKUP(Table10[[#This Row],[SKU]],'All Skus'!$A:$AC,19,FALSE)),""))</f>
        <v>0</v>
      </c>
      <c r="P249" s="227">
        <f>(IF((VLOOKUP(Table10[[#This Row],[SKU]],'All Skus'!$A:$AC,2,FALSE))="Martin",(VLOOKUP(Table10[[#This Row],[SKU]],'All Skus'!$A:$AC,20,FALSE)),""))</f>
        <v>0</v>
      </c>
      <c r="Q249" s="227">
        <f>(IF((VLOOKUP(Table10[[#This Row],[SKU]],'All Skus'!$A:$AC,2,FALSE))="Martin",(VLOOKUP(Table10[[#This Row],[SKU]],'All Skus'!$A:$AC,21,FALSE)),""))</f>
        <v>0</v>
      </c>
      <c r="R249" s="224" t="str">
        <f>(IF((VLOOKUP(Table10[[#This Row],[SKU]],'All Skus'!$A:$AC,2,FALSE))="Martin",(VLOOKUP(Table10[[#This Row],[SKU]],'All Skus'!$A:$AC,22,FALSE)),""))</f>
        <v>HU</v>
      </c>
      <c r="S249" s="223">
        <f>(IF((VLOOKUP(Table10[[#This Row],[SKU]],'All Skus'!$A:$AC,2,FALSE))="Martin",(VLOOKUP(Table10[[#This Row],[SKU]],'All Skus'!$A:$AC,23,FALSE)),""))</f>
        <v>0</v>
      </c>
      <c r="T249" s="212" t="str">
        <f>HYPERLINK((IF((VLOOKUP(Table10[[#This Row],[SKU]],'All Skus'!$A:$AC,2,FALSE))="Martin",(VLOOKUP(Table10[[#This Row],[SKU]],'All Skus'!$A:$AC,24,FALSE)),"")))</f>
        <v>https://www.martin.com/en/products/exterior-dot-hp</v>
      </c>
      <c r="U249" s="228">
        <v>247</v>
      </c>
    </row>
    <row r="250" spans="1:21" ht="15" hidden="1" customHeight="1">
      <c r="A250" s="90" t="s">
        <v>2044</v>
      </c>
      <c r="B250" s="224" t="str">
        <f>(IF((VLOOKUP(Table10[[#This Row],[SKU]],'All Skus'!$A:$AC,2,FALSE))="Martin",(VLOOKUP(Table10[[#This Row],[SKU]],'All Skus'!$A:$AC,3,FALSE)),""))</f>
        <v>Linear</v>
      </c>
      <c r="C250" s="223" t="str">
        <f>(IF((VLOOKUP(Table10[[#This Row],[SKU]],'All Skus'!$A:$AC,2,FALSE))="Martin",(VLOOKUP(Table10[[#This Row],[SKU]],'All Skus'!$A:$AC,4,FALSE)),""))</f>
        <v>EXT DOT-HP, DIR, CW, ALU</v>
      </c>
      <c r="D250" s="224" t="str">
        <f>(IF((VLOOKUP(Table10[[#This Row],[SKU]],'All Skus'!$A:$AC,2,FALSE))="Martin",(VLOOKUP(Table10[[#This Row],[SKU]],'All Skus'!$A:$AC,5,FALSE)),""))</f>
        <v>EXT-CREAT</v>
      </c>
      <c r="E250" s="223">
        <f>(IF((VLOOKUP(Table10[[#This Row],[SKU]],'All Skus'!$A:$AC,2,FALSE))="Martin",(VLOOKUP(Table10[[#This Row],[SKU]],'All Skus'!$A:$AC,6,FALSE)),""))</f>
        <v>0</v>
      </c>
      <c r="F250" s="155">
        <f>(IF((VLOOKUP(Table10[[#This Row],[SKU]],'All Skus'!$A:$AC,2,FALSE))="Martin",(VLOOKUP(Table10[[#This Row],[SKU]],'All Skus'!$A:$AC,7,FALSE)),""))</f>
        <v>0</v>
      </c>
      <c r="G250" s="223" t="str">
        <f>(IF((VLOOKUP(Table10[[#This Row],[SKU]],'All Skus'!$A:$AC,2,FALSE))="Martin",(VLOOKUP(Table10[[#This Row],[SKU]],'All Skus'!$A:$AC,8,FALSE)),""))</f>
        <v>EXT DOT-HP, DIR, CW, ALU</v>
      </c>
      <c r="H250" s="223" t="str">
        <f>(IF((VLOOKUP(Table10[[#This Row],[SKU]],'All Skus'!$A:$AC,2,FALSE))="Martin",(VLOOKUP(Table10[[#This Row],[SKU]],'All Skus'!$A:$AC,9,FALSE)),""))</f>
        <v>EXT DOT-HP, DIR, CW, ALU</v>
      </c>
      <c r="I250" s="225">
        <f>(IF((VLOOKUP(Table10[[#This Row],[SKU]],'All Skus'!$A:$AC,2,FALSE))="Martin",(VLOOKUP(Table10[[#This Row],[SKU]],'All Skus'!$A:$AC,10,FALSE)),""))</f>
        <v>467.98</v>
      </c>
      <c r="J250" s="226">
        <f>(IF((VLOOKUP(Table10[[#This Row],[SKU]],'All Skus'!$A:$AC,2,FALSE))="Martin",(VLOOKUP(Table10[[#This Row],[SKU]],'All Skus'!$A:$AC,11,FALSE)),""))</f>
        <v>467.98</v>
      </c>
      <c r="K250" s="224">
        <f>(IF((VLOOKUP(Table10[[#This Row],[SKU]],'All Skus'!$A:$AC,2,FALSE))="Martin",(VLOOKUP(Table10[[#This Row],[SKU]],'All Skus'!$A:$AC,15,FALSE)),""))</f>
        <v>0</v>
      </c>
      <c r="L250" s="224">
        <f>(IF((VLOOKUP(Table10[[#This Row],[SKU]],'All Skus'!$A:$AC,2,FALSE))="Martin",(VLOOKUP(Table10[[#This Row],[SKU]],'All Skus'!$A:$AC,16,FALSE)),""))</f>
        <v>0</v>
      </c>
      <c r="M250" s="224">
        <f>(IF((VLOOKUP(Table10[[#This Row],[SKU]],'All Skus'!$A:$AC,2,FALSE))="Martin",(VLOOKUP(Table10[[#This Row],[SKU]],'All Skus'!$A:$AC,17,FALSE)),""))</f>
        <v>0</v>
      </c>
      <c r="N250" s="227">
        <f>(IF((VLOOKUP(Table10[[#This Row],[SKU]],'All Skus'!$A:$AC,2,FALSE))="Martin",(VLOOKUP(Table10[[#This Row],[SKU]],'All Skus'!$A:$AC,18,FALSE)),""))</f>
        <v>0</v>
      </c>
      <c r="O250" s="227">
        <f>(IF((VLOOKUP(Table10[[#This Row],[SKU]],'All Skus'!$A:$AC,2,FALSE))="Martin",(VLOOKUP(Table10[[#This Row],[SKU]],'All Skus'!$A:$AC,19,FALSE)),""))</f>
        <v>0</v>
      </c>
      <c r="P250" s="227">
        <f>(IF((VLOOKUP(Table10[[#This Row],[SKU]],'All Skus'!$A:$AC,2,FALSE))="Martin",(VLOOKUP(Table10[[#This Row],[SKU]],'All Skus'!$A:$AC,20,FALSE)),""))</f>
        <v>0</v>
      </c>
      <c r="Q250" s="227">
        <f>(IF((VLOOKUP(Table10[[#This Row],[SKU]],'All Skus'!$A:$AC,2,FALSE))="Martin",(VLOOKUP(Table10[[#This Row],[SKU]],'All Skus'!$A:$AC,21,FALSE)),""))</f>
        <v>0</v>
      </c>
      <c r="R250" s="224" t="str">
        <f>(IF((VLOOKUP(Table10[[#This Row],[SKU]],'All Skus'!$A:$AC,2,FALSE))="Martin",(VLOOKUP(Table10[[#This Row],[SKU]],'All Skus'!$A:$AC,22,FALSE)),""))</f>
        <v>HU</v>
      </c>
      <c r="S250" s="223">
        <f>(IF((VLOOKUP(Table10[[#This Row],[SKU]],'All Skus'!$A:$AC,2,FALSE))="Martin",(VLOOKUP(Table10[[#This Row],[SKU]],'All Skus'!$A:$AC,23,FALSE)),""))</f>
        <v>0</v>
      </c>
      <c r="T250" s="212" t="str">
        <f>HYPERLINK((IF((VLOOKUP(Table10[[#This Row],[SKU]],'All Skus'!$A:$AC,2,FALSE))="Martin",(VLOOKUP(Table10[[#This Row],[SKU]],'All Skus'!$A:$AC,24,FALSE)),"")))</f>
        <v>https://www.martin.com/en/products/exterior-dot-hp</v>
      </c>
      <c r="U250" s="228">
        <v>248</v>
      </c>
    </row>
    <row r="251" spans="1:21" ht="15" hidden="1" customHeight="1">
      <c r="A251" s="115" t="s">
        <v>2045</v>
      </c>
      <c r="B251" s="224">
        <f>(IF((VLOOKUP(Table10[[#This Row],[SKU]],'All Skus'!$A:$AC,2,FALSE))="Martin",(VLOOKUP(Table10[[#This Row],[SKU]],'All Skus'!$A:$AC,3,FALSE)),""))</f>
        <v>0</v>
      </c>
      <c r="C251" s="223">
        <f>(IF((VLOOKUP(Table10[[#This Row],[SKU]],'All Skus'!$A:$AC,2,FALSE))="Martin",(VLOOKUP(Table10[[#This Row],[SKU]],'All Skus'!$A:$AC,4,FALSE)),""))</f>
        <v>0</v>
      </c>
      <c r="D251" s="224">
        <f>(IF((VLOOKUP(Table10[[#This Row],[SKU]],'All Skus'!$A:$AC,2,FALSE))="Martin",(VLOOKUP(Table10[[#This Row],[SKU]],'All Skus'!$A:$AC,5,FALSE)),""))</f>
        <v>0</v>
      </c>
      <c r="E251" s="223">
        <f>(IF((VLOOKUP(Table10[[#This Row],[SKU]],'All Skus'!$A:$AC,2,FALSE))="Martin",(VLOOKUP(Table10[[#This Row],[SKU]],'All Skus'!$A:$AC,6,FALSE)),""))</f>
        <v>0</v>
      </c>
      <c r="F251" s="155">
        <f>(IF((VLOOKUP(Table10[[#This Row],[SKU]],'All Skus'!$A:$AC,2,FALSE))="Martin",(VLOOKUP(Table10[[#This Row],[SKU]],'All Skus'!$A:$AC,7,FALSE)),""))</f>
        <v>0</v>
      </c>
      <c r="G251" s="223">
        <f>(IF((VLOOKUP(Table10[[#This Row],[SKU]],'All Skus'!$A:$AC,2,FALSE))="Martin",(VLOOKUP(Table10[[#This Row],[SKU]],'All Skus'!$A:$AC,8,FALSE)),""))</f>
        <v>0</v>
      </c>
      <c r="H251" s="223">
        <f>(IF((VLOOKUP(Table10[[#This Row],[SKU]],'All Skus'!$A:$AC,2,FALSE))="Martin",(VLOOKUP(Table10[[#This Row],[SKU]],'All Skus'!$A:$AC,9,FALSE)),""))</f>
        <v>0</v>
      </c>
      <c r="I251" s="225">
        <f>(IF((VLOOKUP(Table10[[#This Row],[SKU]],'All Skus'!$A:$AC,2,FALSE))="Martin",(VLOOKUP(Table10[[#This Row],[SKU]],'All Skus'!$A:$AC,10,FALSE)),""))</f>
        <v>0</v>
      </c>
      <c r="J251" s="226">
        <f>(IF((VLOOKUP(Table10[[#This Row],[SKU]],'All Skus'!$A:$AC,2,FALSE))="Martin",(VLOOKUP(Table10[[#This Row],[SKU]],'All Skus'!$A:$AC,11,FALSE)),""))</f>
        <v>0</v>
      </c>
      <c r="K251" s="224">
        <f>(IF((VLOOKUP(Table10[[#This Row],[SKU]],'All Skus'!$A:$AC,2,FALSE))="Martin",(VLOOKUP(Table10[[#This Row],[SKU]],'All Skus'!$A:$AC,15,FALSE)),""))</f>
        <v>0</v>
      </c>
      <c r="L251" s="224">
        <f>(IF((VLOOKUP(Table10[[#This Row],[SKU]],'All Skus'!$A:$AC,2,FALSE))="Martin",(VLOOKUP(Table10[[#This Row],[SKU]],'All Skus'!$A:$AC,16,FALSE)),""))</f>
        <v>0</v>
      </c>
      <c r="M251" s="224">
        <f>(IF((VLOOKUP(Table10[[#This Row],[SKU]],'All Skus'!$A:$AC,2,FALSE))="Martin",(VLOOKUP(Table10[[#This Row],[SKU]],'All Skus'!$A:$AC,17,FALSE)),""))</f>
        <v>0</v>
      </c>
      <c r="N251" s="227">
        <f>(IF((VLOOKUP(Table10[[#This Row],[SKU]],'All Skus'!$A:$AC,2,FALSE))="Martin",(VLOOKUP(Table10[[#This Row],[SKU]],'All Skus'!$A:$AC,18,FALSE)),""))</f>
        <v>0</v>
      </c>
      <c r="O251" s="227">
        <f>(IF((VLOOKUP(Table10[[#This Row],[SKU]],'All Skus'!$A:$AC,2,FALSE))="Martin",(VLOOKUP(Table10[[#This Row],[SKU]],'All Skus'!$A:$AC,19,FALSE)),""))</f>
        <v>0</v>
      </c>
      <c r="P251" s="227">
        <f>(IF((VLOOKUP(Table10[[#This Row],[SKU]],'All Skus'!$A:$AC,2,FALSE))="Martin",(VLOOKUP(Table10[[#This Row],[SKU]],'All Skus'!$A:$AC,20,FALSE)),""))</f>
        <v>0</v>
      </c>
      <c r="Q251" s="227">
        <f>(IF((VLOOKUP(Table10[[#This Row],[SKU]],'All Skus'!$A:$AC,2,FALSE))="Martin",(VLOOKUP(Table10[[#This Row],[SKU]],'All Skus'!$A:$AC,21,FALSE)),""))</f>
        <v>0</v>
      </c>
      <c r="R251" s="224">
        <f>(IF((VLOOKUP(Table10[[#This Row],[SKU]],'All Skus'!$A:$AC,2,FALSE))="Martin",(VLOOKUP(Table10[[#This Row],[SKU]],'All Skus'!$A:$AC,22,FALSE)),""))</f>
        <v>0</v>
      </c>
      <c r="S251" s="223">
        <f>(IF((VLOOKUP(Table10[[#This Row],[SKU]],'All Skus'!$A:$AC,2,FALSE))="Martin",(VLOOKUP(Table10[[#This Row],[SKU]],'All Skus'!$A:$AC,23,FALSE)),""))</f>
        <v>0</v>
      </c>
      <c r="T251" s="212" t="str">
        <f>HYPERLINK((IF((VLOOKUP(Table10[[#This Row],[SKU]],'All Skus'!$A:$AC,2,FALSE))="Martin",(VLOOKUP(Table10[[#This Row],[SKU]],'All Skus'!$A:$AC,24,FALSE)),"")))</f>
        <v/>
      </c>
      <c r="U251" s="228">
        <v>249</v>
      </c>
    </row>
    <row r="252" spans="1:21" ht="15" hidden="1" customHeight="1">
      <c r="A252" s="90">
        <v>91606020</v>
      </c>
      <c r="B252" s="224" t="str">
        <f>(IF((VLOOKUP(Table10[[#This Row],[SKU]],'All Skus'!$A:$AC,2,FALSE))="Martin",(VLOOKUP(Table10[[#This Row],[SKU]],'All Skus'!$A:$AC,3,FALSE)),""))</f>
        <v>Linear</v>
      </c>
      <c r="C252" s="223" t="str">
        <f>(IF((VLOOKUP(Table10[[#This Row],[SKU]],'All Skus'!$A:$AC,2,FALSE))="Martin",(VLOOKUP(Table10[[#This Row],[SKU]],'All Skus'!$A:$AC,4,FALSE)),""))</f>
        <v>Bracket with Flanges dot-hp</v>
      </c>
      <c r="D252" s="224" t="str">
        <f>(IF((VLOOKUP(Table10[[#This Row],[SKU]],'All Skus'!$A:$AC,2,FALSE))="Martin",(VLOOKUP(Table10[[#This Row],[SKU]],'All Skus'!$A:$AC,5,FALSE)),""))</f>
        <v>EXT-CREAT</v>
      </c>
      <c r="E252" s="223">
        <f>(IF((VLOOKUP(Table10[[#This Row],[SKU]],'All Skus'!$A:$AC,2,FALSE))="Martin",(VLOOKUP(Table10[[#This Row],[SKU]],'All Skus'!$A:$AC,6,FALSE)),""))</f>
        <v>0</v>
      </c>
      <c r="F252" s="155">
        <f>(IF((VLOOKUP(Table10[[#This Row],[SKU]],'All Skus'!$A:$AC,2,FALSE))="Martin",(VLOOKUP(Table10[[#This Row],[SKU]],'All Skus'!$A:$AC,7,FALSE)),""))</f>
        <v>0</v>
      </c>
      <c r="G252" s="223" t="str">
        <f>(IF((VLOOKUP(Table10[[#This Row],[SKU]],'All Skus'!$A:$AC,2,FALSE))="Martin",(VLOOKUP(Table10[[#This Row],[SKU]],'All Skus'!$A:$AC,8,FALSE)),""))</f>
        <v>Bracket with Flanges dot-hp</v>
      </c>
      <c r="H252" s="223" t="str">
        <f>(IF((VLOOKUP(Table10[[#This Row],[SKU]],'All Skus'!$A:$AC,2,FALSE))="Martin",(VLOOKUP(Table10[[#This Row],[SKU]],'All Skus'!$A:$AC,9,FALSE)),""))</f>
        <v>Bracket with Flanges dot-hp</v>
      </c>
      <c r="I252" s="225">
        <f>(IF((VLOOKUP(Table10[[#This Row],[SKU]],'All Skus'!$A:$AC,2,FALSE))="Martin",(VLOOKUP(Table10[[#This Row],[SKU]],'All Skus'!$A:$AC,10,FALSE)),""))</f>
        <v>127.18</v>
      </c>
      <c r="J252" s="226">
        <f>(IF((VLOOKUP(Table10[[#This Row],[SKU]],'All Skus'!$A:$AC,2,FALSE))="Martin",(VLOOKUP(Table10[[#This Row],[SKU]],'All Skus'!$A:$AC,11,FALSE)),""))</f>
        <v>127.18</v>
      </c>
      <c r="K252" s="224">
        <f>(IF((VLOOKUP(Table10[[#This Row],[SKU]],'All Skus'!$A:$AC,2,FALSE))="Martin",(VLOOKUP(Table10[[#This Row],[SKU]],'All Skus'!$A:$AC,15,FALSE)),""))</f>
        <v>0</v>
      </c>
      <c r="L252" s="224">
        <f>(IF((VLOOKUP(Table10[[#This Row],[SKU]],'All Skus'!$A:$AC,2,FALSE))="Martin",(VLOOKUP(Table10[[#This Row],[SKU]],'All Skus'!$A:$AC,16,FALSE)),""))</f>
        <v>0</v>
      </c>
      <c r="M252" s="224">
        <f>(IF((VLOOKUP(Table10[[#This Row],[SKU]],'All Skus'!$A:$AC,2,FALSE))="Martin",(VLOOKUP(Table10[[#This Row],[SKU]],'All Skus'!$A:$AC,17,FALSE)),""))</f>
        <v>0</v>
      </c>
      <c r="N252" s="227">
        <f>(IF((VLOOKUP(Table10[[#This Row],[SKU]],'All Skus'!$A:$AC,2,FALSE))="Martin",(VLOOKUP(Table10[[#This Row],[SKU]],'All Skus'!$A:$AC,18,FALSE)),""))</f>
        <v>0</v>
      </c>
      <c r="O252" s="227">
        <f>(IF((VLOOKUP(Table10[[#This Row],[SKU]],'All Skus'!$A:$AC,2,FALSE))="Martin",(VLOOKUP(Table10[[#This Row],[SKU]],'All Skus'!$A:$AC,19,FALSE)),""))</f>
        <v>0</v>
      </c>
      <c r="P252" s="227">
        <f>(IF((VLOOKUP(Table10[[#This Row],[SKU]],'All Skus'!$A:$AC,2,FALSE))="Martin",(VLOOKUP(Table10[[#This Row],[SKU]],'All Skus'!$A:$AC,20,FALSE)),""))</f>
        <v>0</v>
      </c>
      <c r="Q252" s="227">
        <f>(IF((VLOOKUP(Table10[[#This Row],[SKU]],'All Skus'!$A:$AC,2,FALSE))="Martin",(VLOOKUP(Table10[[#This Row],[SKU]],'All Skus'!$A:$AC,21,FALSE)),""))</f>
        <v>0</v>
      </c>
      <c r="R252" s="224" t="str">
        <f>(IF((VLOOKUP(Table10[[#This Row],[SKU]],'All Skus'!$A:$AC,2,FALSE))="Martin",(VLOOKUP(Table10[[#This Row],[SKU]],'All Skus'!$A:$AC,22,FALSE)),""))</f>
        <v>HU</v>
      </c>
      <c r="S252" s="223">
        <f>(IF((VLOOKUP(Table10[[#This Row],[SKU]],'All Skus'!$A:$AC,2,FALSE))="Martin",(VLOOKUP(Table10[[#This Row],[SKU]],'All Skus'!$A:$AC,23,FALSE)),""))</f>
        <v>0</v>
      </c>
      <c r="T252" s="212" t="str">
        <f>HYPERLINK((IF((VLOOKUP(Table10[[#This Row],[SKU]],'All Skus'!$A:$AC,2,FALSE))="Martin",(VLOOKUP(Table10[[#This Row],[SKU]],'All Skus'!$A:$AC,24,FALSE)),"")))</f>
        <v>https://www.martin.com/en/products/vc-dot-1</v>
      </c>
      <c r="U252" s="228">
        <v>250</v>
      </c>
    </row>
    <row r="253" spans="1:21" ht="15" hidden="1" customHeight="1">
      <c r="A253" s="90">
        <v>91606021</v>
      </c>
      <c r="B253" s="224" t="str">
        <f>(IF((VLOOKUP(Table10[[#This Row],[SKU]],'All Skus'!$A:$AC,2,FALSE))="Martin",(VLOOKUP(Table10[[#This Row],[SKU]],'All Skus'!$A:$AC,3,FALSE)),""))</f>
        <v>Linear</v>
      </c>
      <c r="C253" s="223" t="str">
        <f>(IF((VLOOKUP(Table10[[#This Row],[SKU]],'All Skus'!$A:$AC,2,FALSE))="Martin",(VLOOKUP(Table10[[#This Row],[SKU]],'All Skus'!$A:$AC,4,FALSE)),""))</f>
        <v>BRACKET FOR MOUNTING PROFILE, EXT DOT-HP</v>
      </c>
      <c r="D253" s="224" t="str">
        <f>(IF((VLOOKUP(Table10[[#This Row],[SKU]],'All Skus'!$A:$AC,2,FALSE))="Martin",(VLOOKUP(Table10[[#This Row],[SKU]],'All Skus'!$A:$AC,5,FALSE)),""))</f>
        <v>EXT-CREAT</v>
      </c>
      <c r="E253" s="223">
        <f>(IF((VLOOKUP(Table10[[#This Row],[SKU]],'All Skus'!$A:$AC,2,FALSE))="Martin",(VLOOKUP(Table10[[#This Row],[SKU]],'All Skus'!$A:$AC,6,FALSE)),""))</f>
        <v>0</v>
      </c>
      <c r="F253" s="155">
        <f>(IF((VLOOKUP(Table10[[#This Row],[SKU]],'All Skus'!$A:$AC,2,FALSE))="Martin",(VLOOKUP(Table10[[#This Row],[SKU]],'All Skus'!$A:$AC,7,FALSE)),""))</f>
        <v>0</v>
      </c>
      <c r="G253" s="223" t="str">
        <f>(IF((VLOOKUP(Table10[[#This Row],[SKU]],'All Skus'!$A:$AC,2,FALSE))="Martin",(VLOOKUP(Table10[[#This Row],[SKU]],'All Skus'!$A:$AC,8,FALSE)),""))</f>
        <v>BRACKET FOR MOUNTING PROFILE, EXT DOT-HP</v>
      </c>
      <c r="H253" s="223" t="str">
        <f>(IF((VLOOKUP(Table10[[#This Row],[SKU]],'All Skus'!$A:$AC,2,FALSE))="Martin",(VLOOKUP(Table10[[#This Row],[SKU]],'All Skus'!$A:$AC,9,FALSE)),""))</f>
        <v>BRACKET FOR MOUNTING PROFILE, EXT DOT-HP</v>
      </c>
      <c r="I253" s="225">
        <f>(IF((VLOOKUP(Table10[[#This Row],[SKU]],'All Skus'!$A:$AC,2,FALSE))="Martin",(VLOOKUP(Table10[[#This Row],[SKU]],'All Skus'!$A:$AC,10,FALSE)),""))</f>
        <v>40.75</v>
      </c>
      <c r="J253" s="226">
        <f>(IF((VLOOKUP(Table10[[#This Row],[SKU]],'All Skus'!$A:$AC,2,FALSE))="Martin",(VLOOKUP(Table10[[#This Row],[SKU]],'All Skus'!$A:$AC,11,FALSE)),""))</f>
        <v>40.75</v>
      </c>
      <c r="K253" s="224">
        <f>(IF((VLOOKUP(Table10[[#This Row],[SKU]],'All Skus'!$A:$AC,2,FALSE))="Martin",(VLOOKUP(Table10[[#This Row],[SKU]],'All Skus'!$A:$AC,15,FALSE)),""))</f>
        <v>0</v>
      </c>
      <c r="L253" s="224">
        <f>(IF((VLOOKUP(Table10[[#This Row],[SKU]],'All Skus'!$A:$AC,2,FALSE))="Martin",(VLOOKUP(Table10[[#This Row],[SKU]],'All Skus'!$A:$AC,16,FALSE)),""))</f>
        <v>0</v>
      </c>
      <c r="M253" s="224">
        <f>(IF((VLOOKUP(Table10[[#This Row],[SKU]],'All Skus'!$A:$AC,2,FALSE))="Martin",(VLOOKUP(Table10[[#This Row],[SKU]],'All Skus'!$A:$AC,17,FALSE)),""))</f>
        <v>0</v>
      </c>
      <c r="N253" s="227">
        <f>(IF((VLOOKUP(Table10[[#This Row],[SKU]],'All Skus'!$A:$AC,2,FALSE))="Martin",(VLOOKUP(Table10[[#This Row],[SKU]],'All Skus'!$A:$AC,18,FALSE)),""))</f>
        <v>0</v>
      </c>
      <c r="O253" s="227">
        <f>(IF((VLOOKUP(Table10[[#This Row],[SKU]],'All Skus'!$A:$AC,2,FALSE))="Martin",(VLOOKUP(Table10[[#This Row],[SKU]],'All Skus'!$A:$AC,19,FALSE)),""))</f>
        <v>0</v>
      </c>
      <c r="P253" s="227">
        <f>(IF((VLOOKUP(Table10[[#This Row],[SKU]],'All Skus'!$A:$AC,2,FALSE))="Martin",(VLOOKUP(Table10[[#This Row],[SKU]],'All Skus'!$A:$AC,20,FALSE)),""))</f>
        <v>0</v>
      </c>
      <c r="Q253" s="227">
        <f>(IF((VLOOKUP(Table10[[#This Row],[SKU]],'All Skus'!$A:$AC,2,FALSE))="Martin",(VLOOKUP(Table10[[#This Row],[SKU]],'All Skus'!$A:$AC,21,FALSE)),""))</f>
        <v>0</v>
      </c>
      <c r="R253" s="224" t="str">
        <f>(IF((VLOOKUP(Table10[[#This Row],[SKU]],'All Skus'!$A:$AC,2,FALSE))="Martin",(VLOOKUP(Table10[[#This Row],[SKU]],'All Skus'!$A:$AC,22,FALSE)),""))</f>
        <v>CN</v>
      </c>
      <c r="S253" s="223">
        <f>(IF((VLOOKUP(Table10[[#This Row],[SKU]],'All Skus'!$A:$AC,2,FALSE))="Martin",(VLOOKUP(Table10[[#This Row],[SKU]],'All Skus'!$A:$AC,23,FALSE)),""))</f>
        <v>0</v>
      </c>
      <c r="T253" s="212" t="str">
        <f>HYPERLINK((IF((VLOOKUP(Table10[[#This Row],[SKU]],'All Skus'!$A:$AC,2,FALSE))="Martin",(VLOOKUP(Table10[[#This Row],[SKU]],'All Skus'!$A:$AC,24,FALSE)),"")))</f>
        <v>https://www.martin.com/en/products/vc-dot-1</v>
      </c>
      <c r="U253" s="228">
        <v>251</v>
      </c>
    </row>
    <row r="254" spans="1:21" ht="15" hidden="1" customHeight="1">
      <c r="A254" s="111" t="s">
        <v>2046</v>
      </c>
      <c r="B254" s="224">
        <f>(IF((VLOOKUP(Table10[[#This Row],[SKU]],'All Skus'!$A:$AC,2,FALSE))="Martin",(VLOOKUP(Table10[[#This Row],[SKU]],'All Skus'!$A:$AC,3,FALSE)),""))</f>
        <v>0</v>
      </c>
      <c r="C254" s="223">
        <f>(IF((VLOOKUP(Table10[[#This Row],[SKU]],'All Skus'!$A:$AC,2,FALSE))="Martin",(VLOOKUP(Table10[[#This Row],[SKU]],'All Skus'!$A:$AC,4,FALSE)),""))</f>
        <v>0</v>
      </c>
      <c r="D254" s="224">
        <f>(IF((VLOOKUP(Table10[[#This Row],[SKU]],'All Skus'!$A:$AC,2,FALSE))="Martin",(VLOOKUP(Table10[[#This Row],[SKU]],'All Skus'!$A:$AC,5,FALSE)),""))</f>
        <v>0</v>
      </c>
      <c r="E254" s="223">
        <f>(IF((VLOOKUP(Table10[[#This Row],[SKU]],'All Skus'!$A:$AC,2,FALSE))="Martin",(VLOOKUP(Table10[[#This Row],[SKU]],'All Skus'!$A:$AC,6,FALSE)),""))</f>
        <v>0</v>
      </c>
      <c r="F254" s="155">
        <f>(IF((VLOOKUP(Table10[[#This Row],[SKU]],'All Skus'!$A:$AC,2,FALSE))="Martin",(VLOOKUP(Table10[[#This Row],[SKU]],'All Skus'!$A:$AC,7,FALSE)),""))</f>
        <v>0</v>
      </c>
      <c r="G254" s="223">
        <f>(IF((VLOOKUP(Table10[[#This Row],[SKU]],'All Skus'!$A:$AC,2,FALSE))="Martin",(VLOOKUP(Table10[[#This Row],[SKU]],'All Skus'!$A:$AC,8,FALSE)),""))</f>
        <v>0</v>
      </c>
      <c r="H254" s="223">
        <f>(IF((VLOOKUP(Table10[[#This Row],[SKU]],'All Skus'!$A:$AC,2,FALSE))="Martin",(VLOOKUP(Table10[[#This Row],[SKU]],'All Skus'!$A:$AC,9,FALSE)),""))</f>
        <v>0</v>
      </c>
      <c r="I254" s="225">
        <f>(IF((VLOOKUP(Table10[[#This Row],[SKU]],'All Skus'!$A:$AC,2,FALSE))="Martin",(VLOOKUP(Table10[[#This Row],[SKU]],'All Skus'!$A:$AC,10,FALSE)),""))</f>
        <v>0</v>
      </c>
      <c r="J254" s="226">
        <f>(IF((VLOOKUP(Table10[[#This Row],[SKU]],'All Skus'!$A:$AC,2,FALSE))="Martin",(VLOOKUP(Table10[[#This Row],[SKU]],'All Skus'!$A:$AC,11,FALSE)),""))</f>
        <v>0</v>
      </c>
      <c r="K254" s="224">
        <f>(IF((VLOOKUP(Table10[[#This Row],[SKU]],'All Skus'!$A:$AC,2,FALSE))="Martin",(VLOOKUP(Table10[[#This Row],[SKU]],'All Skus'!$A:$AC,15,FALSE)),""))</f>
        <v>0</v>
      </c>
      <c r="L254" s="224">
        <f>(IF((VLOOKUP(Table10[[#This Row],[SKU]],'All Skus'!$A:$AC,2,FALSE))="Martin",(VLOOKUP(Table10[[#This Row],[SKU]],'All Skus'!$A:$AC,16,FALSE)),""))</f>
        <v>0</v>
      </c>
      <c r="M254" s="224">
        <f>(IF((VLOOKUP(Table10[[#This Row],[SKU]],'All Skus'!$A:$AC,2,FALSE))="Martin",(VLOOKUP(Table10[[#This Row],[SKU]],'All Skus'!$A:$AC,17,FALSE)),""))</f>
        <v>0</v>
      </c>
      <c r="N254" s="227">
        <f>(IF((VLOOKUP(Table10[[#This Row],[SKU]],'All Skus'!$A:$AC,2,FALSE))="Martin",(VLOOKUP(Table10[[#This Row],[SKU]],'All Skus'!$A:$AC,18,FALSE)),""))</f>
        <v>0</v>
      </c>
      <c r="O254" s="227">
        <f>(IF((VLOOKUP(Table10[[#This Row],[SKU]],'All Skus'!$A:$AC,2,FALSE))="Martin",(VLOOKUP(Table10[[#This Row],[SKU]],'All Skus'!$A:$AC,19,FALSE)),""))</f>
        <v>0</v>
      </c>
      <c r="P254" s="227">
        <f>(IF((VLOOKUP(Table10[[#This Row],[SKU]],'All Skus'!$A:$AC,2,FALSE))="Martin",(VLOOKUP(Table10[[#This Row],[SKU]],'All Skus'!$A:$AC,20,FALSE)),""))</f>
        <v>0</v>
      </c>
      <c r="Q254" s="227">
        <f>(IF((VLOOKUP(Table10[[#This Row],[SKU]],'All Skus'!$A:$AC,2,FALSE))="Martin",(VLOOKUP(Table10[[#This Row],[SKU]],'All Skus'!$A:$AC,21,FALSE)),""))</f>
        <v>0</v>
      </c>
      <c r="R254" s="224">
        <f>(IF((VLOOKUP(Table10[[#This Row],[SKU]],'All Skus'!$A:$AC,2,FALSE))="Martin",(VLOOKUP(Table10[[#This Row],[SKU]],'All Skus'!$A:$AC,22,FALSE)),""))</f>
        <v>0</v>
      </c>
      <c r="S254" s="223">
        <f>(IF((VLOOKUP(Table10[[#This Row],[SKU]],'All Skus'!$A:$AC,2,FALSE))="Martin",(VLOOKUP(Table10[[#This Row],[SKU]],'All Skus'!$A:$AC,23,FALSE)),""))</f>
        <v>0</v>
      </c>
      <c r="T254" s="212" t="str">
        <f>HYPERLINK((IF((VLOOKUP(Table10[[#This Row],[SKU]],'All Skus'!$A:$AC,2,FALSE))="Martin",(VLOOKUP(Table10[[#This Row],[SKU]],'All Skus'!$A:$AC,24,FALSE)),"")))</f>
        <v/>
      </c>
      <c r="U254" s="228">
        <v>252</v>
      </c>
    </row>
    <row r="255" spans="1:21" ht="15" hidden="1" customHeight="1">
      <c r="A255" s="232" t="s">
        <v>2047</v>
      </c>
      <c r="B255" s="224" t="str">
        <f>(IF((VLOOKUP(Table10[[#This Row],[SKU]],'All Skus'!$A:$AC,2,FALSE))="Martin",(VLOOKUP(Table10[[#This Row],[SKU]],'All Skus'!$A:$AC,3,FALSE)),""))</f>
        <v>Exterior Linear Pro-Graze, QUAD, 1ft</v>
      </c>
      <c r="C255" s="223">
        <f>(IF((VLOOKUP(Table10[[#This Row],[SKU]],'All Skus'!$A:$AC,2,FALSE))="Martin",(VLOOKUP(Table10[[#This Row],[SKU]],'All Skus'!$A:$AC,4,FALSE)),""))</f>
        <v>0</v>
      </c>
      <c r="D255" s="224" t="str">
        <f>(IF((VLOOKUP(Table10[[#This Row],[SKU]],'All Skus'!$A:$AC,2,FALSE))="Martin",(VLOOKUP(Table10[[#This Row],[SKU]],'All Skus'!$A:$AC,5,FALSE)),""))</f>
        <v>EXT-LIN</v>
      </c>
      <c r="E255" s="223">
        <f>(IF((VLOOKUP(Table10[[#This Row],[SKU]],'All Skus'!$A:$AC,2,FALSE))="Martin",(VLOOKUP(Table10[[#This Row],[SKU]],'All Skus'!$A:$AC,6,FALSE)),""))</f>
        <v>0</v>
      </c>
      <c r="F255" s="155">
        <f>(IF((VLOOKUP(Table10[[#This Row],[SKU]],'All Skus'!$A:$AC,2,FALSE))="Martin",(VLOOKUP(Table10[[#This Row],[SKU]],'All Skus'!$A:$AC,7,FALSE)),""))</f>
        <v>0</v>
      </c>
      <c r="G255" s="223" t="str">
        <f>(IF((VLOOKUP(Table10[[#This Row],[SKU]],'All Skus'!$A:$AC,2,FALSE))="Martin",(VLOOKUP(Table10[[#This Row],[SKU]],'All Skus'!$A:$AC,8,FALSE)),""))</f>
        <v>Exterior Linear Pro-Graze, QUAD, 1ft</v>
      </c>
      <c r="H255" s="223" t="str">
        <f>(IF((VLOOKUP(Table10[[#This Row],[SKU]],'All Skus'!$A:$AC,2,FALSE))="Martin",(VLOOKUP(Table10[[#This Row],[SKU]],'All Skus'!$A:$AC,9,FALSE)),""))</f>
        <v>Exterior Linear Pro-Graze, QUAD, 1ft</v>
      </c>
      <c r="I255" s="225">
        <f>(IF((VLOOKUP(Table10[[#This Row],[SKU]],'All Skus'!$A:$AC,2,FALSE))="Martin",(VLOOKUP(Table10[[#This Row],[SKU]],'All Skus'!$A:$AC,10,FALSE)),""))</f>
        <v>509.85</v>
      </c>
      <c r="J255" s="226">
        <f>(IF((VLOOKUP(Table10[[#This Row],[SKU]],'All Skus'!$A:$AC,2,FALSE))="Martin",(VLOOKUP(Table10[[#This Row],[SKU]],'All Skus'!$A:$AC,11,FALSE)),""))</f>
        <v>509.85</v>
      </c>
      <c r="K255" s="224">
        <f>(IF((VLOOKUP(Table10[[#This Row],[SKU]],'All Skus'!$A:$AC,2,FALSE))="Martin",(VLOOKUP(Table10[[#This Row],[SKU]],'All Skus'!$A:$AC,15,FALSE)),""))</f>
        <v>0</v>
      </c>
      <c r="L255" s="224">
        <f>(IF((VLOOKUP(Table10[[#This Row],[SKU]],'All Skus'!$A:$AC,2,FALSE))="Martin",(VLOOKUP(Table10[[#This Row],[SKU]],'All Skus'!$A:$AC,16,FALSE)),""))</f>
        <v>688705008448</v>
      </c>
      <c r="M255" s="224">
        <f>(IF((VLOOKUP(Table10[[#This Row],[SKU]],'All Skus'!$A:$AC,2,FALSE))="Martin",(VLOOKUP(Table10[[#This Row],[SKU]],'All Skus'!$A:$AC,17,FALSE)),""))</f>
        <v>0</v>
      </c>
      <c r="N255" s="227">
        <f>(IF((VLOOKUP(Table10[[#This Row],[SKU]],'All Skus'!$A:$AC,2,FALSE))="Martin",(VLOOKUP(Table10[[#This Row],[SKU]],'All Skus'!$A:$AC,18,FALSE)),""))</f>
        <v>0</v>
      </c>
      <c r="O255" s="227">
        <f>(IF((VLOOKUP(Table10[[#This Row],[SKU]],'All Skus'!$A:$AC,2,FALSE))="Martin",(VLOOKUP(Table10[[#This Row],[SKU]],'All Skus'!$A:$AC,19,FALSE)),""))</f>
        <v>0</v>
      </c>
      <c r="P255" s="227">
        <f>(IF((VLOOKUP(Table10[[#This Row],[SKU]],'All Skus'!$A:$AC,2,FALSE))="Martin",(VLOOKUP(Table10[[#This Row],[SKU]],'All Skus'!$A:$AC,20,FALSE)),""))</f>
        <v>0</v>
      </c>
      <c r="Q255" s="227">
        <f>(IF((VLOOKUP(Table10[[#This Row],[SKU]],'All Skus'!$A:$AC,2,FALSE))="Martin",(VLOOKUP(Table10[[#This Row],[SKU]],'All Skus'!$A:$AC,21,FALSE)),""))</f>
        <v>0</v>
      </c>
      <c r="R255" s="224">
        <f>(IF((VLOOKUP(Table10[[#This Row],[SKU]],'All Skus'!$A:$AC,2,FALSE))="Martin",(VLOOKUP(Table10[[#This Row],[SKU]],'All Skus'!$A:$AC,22,FALSE)),""))</f>
        <v>0</v>
      </c>
      <c r="S255" s="223">
        <f>(IF((VLOOKUP(Table10[[#This Row],[SKU]],'All Skus'!$A:$AC,2,FALSE))="Martin",(VLOOKUP(Table10[[#This Row],[SKU]],'All Skus'!$A:$AC,23,FALSE)),""))</f>
        <v>0</v>
      </c>
      <c r="T255" s="212" t="str">
        <f>HYPERLINK((IF((VLOOKUP(Table10[[#This Row],[SKU]],'All Skus'!$A:$AC,2,FALSE))="Martin",(VLOOKUP(Table10[[#This Row],[SKU]],'All Skus'!$A:$AC,24,FALSE)),"")))</f>
        <v/>
      </c>
      <c r="U255" s="228">
        <v>253</v>
      </c>
    </row>
    <row r="256" spans="1:21" ht="15" hidden="1" customHeight="1">
      <c r="A256" s="232" t="s">
        <v>2048</v>
      </c>
      <c r="B256" s="224" t="str">
        <f>(IF((VLOOKUP(Table10[[#This Row],[SKU]],'All Skus'!$A:$AC,2,FALSE))="Martin",(VLOOKUP(Table10[[#This Row],[SKU]],'All Skus'!$A:$AC,3,FALSE)),""))</f>
        <v>Exterior Linear Pro-Graze, QUAD, 4ft</v>
      </c>
      <c r="C256" s="223">
        <f>(IF((VLOOKUP(Table10[[#This Row],[SKU]],'All Skus'!$A:$AC,2,FALSE))="Martin",(VLOOKUP(Table10[[#This Row],[SKU]],'All Skus'!$A:$AC,4,FALSE)),""))</f>
        <v>0</v>
      </c>
      <c r="D256" s="224" t="str">
        <f>(IF((VLOOKUP(Table10[[#This Row],[SKU]],'All Skus'!$A:$AC,2,FALSE))="Martin",(VLOOKUP(Table10[[#This Row],[SKU]],'All Skus'!$A:$AC,5,FALSE)),""))</f>
        <v>EXT-LIN</v>
      </c>
      <c r="E256" s="223">
        <f>(IF((VLOOKUP(Table10[[#This Row],[SKU]],'All Skus'!$A:$AC,2,FALSE))="Martin",(VLOOKUP(Table10[[#This Row],[SKU]],'All Skus'!$A:$AC,6,FALSE)),""))</f>
        <v>0</v>
      </c>
      <c r="F256" s="155">
        <f>(IF((VLOOKUP(Table10[[#This Row],[SKU]],'All Skus'!$A:$AC,2,FALSE))="Martin",(VLOOKUP(Table10[[#This Row],[SKU]],'All Skus'!$A:$AC,7,FALSE)),""))</f>
        <v>0</v>
      </c>
      <c r="G256" s="223" t="str">
        <f>(IF((VLOOKUP(Table10[[#This Row],[SKU]],'All Skus'!$A:$AC,2,FALSE))="Martin",(VLOOKUP(Table10[[#This Row],[SKU]],'All Skus'!$A:$AC,8,FALSE)),""))</f>
        <v>Exterior Linear Pro-Graze, QUAD, 4ft</v>
      </c>
      <c r="H256" s="223" t="str">
        <f>(IF((VLOOKUP(Table10[[#This Row],[SKU]],'All Skus'!$A:$AC,2,FALSE))="Martin",(VLOOKUP(Table10[[#This Row],[SKU]],'All Skus'!$A:$AC,9,FALSE)),""))</f>
        <v>Exterior Linear Pro-Graze, QUAD, 4ft</v>
      </c>
      <c r="I256" s="225">
        <f>(IF((VLOOKUP(Table10[[#This Row],[SKU]],'All Skus'!$A:$AC,2,FALSE))="Martin",(VLOOKUP(Table10[[#This Row],[SKU]],'All Skus'!$A:$AC,10,FALSE)),""))</f>
        <v>1282.3499999999999</v>
      </c>
      <c r="J256" s="226">
        <f>(IF((VLOOKUP(Table10[[#This Row],[SKU]],'All Skus'!$A:$AC,2,FALSE))="Martin",(VLOOKUP(Table10[[#This Row],[SKU]],'All Skus'!$A:$AC,11,FALSE)),""))</f>
        <v>1282.3499999999999</v>
      </c>
      <c r="K256" s="224">
        <f>(IF((VLOOKUP(Table10[[#This Row],[SKU]],'All Skus'!$A:$AC,2,FALSE))="Martin",(VLOOKUP(Table10[[#This Row],[SKU]],'All Skus'!$A:$AC,15,FALSE)),""))</f>
        <v>0</v>
      </c>
      <c r="L256" s="224">
        <f>(IF((VLOOKUP(Table10[[#This Row],[SKU]],'All Skus'!$A:$AC,2,FALSE))="Martin",(VLOOKUP(Table10[[#This Row],[SKU]],'All Skus'!$A:$AC,16,FALSE)),""))</f>
        <v>688705008479</v>
      </c>
      <c r="M256" s="224">
        <f>(IF((VLOOKUP(Table10[[#This Row],[SKU]],'All Skus'!$A:$AC,2,FALSE))="Martin",(VLOOKUP(Table10[[#This Row],[SKU]],'All Skus'!$A:$AC,17,FALSE)),""))</f>
        <v>0</v>
      </c>
      <c r="N256" s="227">
        <f>(IF((VLOOKUP(Table10[[#This Row],[SKU]],'All Skus'!$A:$AC,2,FALSE))="Martin",(VLOOKUP(Table10[[#This Row],[SKU]],'All Skus'!$A:$AC,18,FALSE)),""))</f>
        <v>0</v>
      </c>
      <c r="O256" s="227">
        <f>(IF((VLOOKUP(Table10[[#This Row],[SKU]],'All Skus'!$A:$AC,2,FALSE))="Martin",(VLOOKUP(Table10[[#This Row],[SKU]],'All Skus'!$A:$AC,19,FALSE)),""))</f>
        <v>0</v>
      </c>
      <c r="P256" s="227">
        <f>(IF((VLOOKUP(Table10[[#This Row],[SKU]],'All Skus'!$A:$AC,2,FALSE))="Martin",(VLOOKUP(Table10[[#This Row],[SKU]],'All Skus'!$A:$AC,20,FALSE)),""))</f>
        <v>0</v>
      </c>
      <c r="Q256" s="227">
        <f>(IF((VLOOKUP(Table10[[#This Row],[SKU]],'All Skus'!$A:$AC,2,FALSE))="Martin",(VLOOKUP(Table10[[#This Row],[SKU]],'All Skus'!$A:$AC,21,FALSE)),""))</f>
        <v>0</v>
      </c>
      <c r="R256" s="224">
        <f>(IF((VLOOKUP(Table10[[#This Row],[SKU]],'All Skus'!$A:$AC,2,FALSE))="Martin",(VLOOKUP(Table10[[#This Row],[SKU]],'All Skus'!$A:$AC,22,FALSE)),""))</f>
        <v>0</v>
      </c>
      <c r="S256" s="223">
        <f>(IF((VLOOKUP(Table10[[#This Row],[SKU]],'All Skus'!$A:$AC,2,FALSE))="Martin",(VLOOKUP(Table10[[#This Row],[SKU]],'All Skus'!$A:$AC,23,FALSE)),""))</f>
        <v>0</v>
      </c>
      <c r="T256" s="212" t="str">
        <f>HYPERLINK((IF((VLOOKUP(Table10[[#This Row],[SKU]],'All Skus'!$A:$AC,2,FALSE))="Martin",(VLOOKUP(Table10[[#This Row],[SKU]],'All Skus'!$A:$AC,24,FALSE)),"")))</f>
        <v/>
      </c>
      <c r="U256" s="228">
        <v>254</v>
      </c>
    </row>
    <row r="257" spans="1:21" ht="15" hidden="1" customHeight="1">
      <c r="A257" s="115" t="s">
        <v>2049</v>
      </c>
      <c r="B257" s="224">
        <f>(IF((VLOOKUP(Table10[[#This Row],[SKU]],'All Skus'!$A:$AC,2,FALSE))="Martin",(VLOOKUP(Table10[[#This Row],[SKU]],'All Skus'!$A:$AC,3,FALSE)),""))</f>
        <v>0</v>
      </c>
      <c r="C257" s="223">
        <f>(IF((VLOOKUP(Table10[[#This Row],[SKU]],'All Skus'!$A:$AC,2,FALSE))="Martin",(VLOOKUP(Table10[[#This Row],[SKU]],'All Skus'!$A:$AC,4,FALSE)),""))</f>
        <v>0</v>
      </c>
      <c r="D257" s="224" t="str">
        <f>(IF((VLOOKUP(Table10[[#This Row],[SKU]],'All Skus'!$A:$AC,2,FALSE))="Martin",(VLOOKUP(Table10[[#This Row],[SKU]],'All Skus'!$A:$AC,5,FALSE)),""))</f>
        <v>EXT-LIN</v>
      </c>
      <c r="E257" s="223">
        <f>(IF((VLOOKUP(Table10[[#This Row],[SKU]],'All Skus'!$A:$AC,2,FALSE))="Martin",(VLOOKUP(Table10[[#This Row],[SKU]],'All Skus'!$A:$AC,6,FALSE)),""))</f>
        <v>0</v>
      </c>
      <c r="F257" s="155">
        <f>(IF((VLOOKUP(Table10[[#This Row],[SKU]],'All Skus'!$A:$AC,2,FALSE))="Martin",(VLOOKUP(Table10[[#This Row],[SKU]],'All Skus'!$A:$AC,7,FALSE)),""))</f>
        <v>0</v>
      </c>
      <c r="G257" s="223">
        <f>(IF((VLOOKUP(Table10[[#This Row],[SKU]],'All Skus'!$A:$AC,2,FALSE))="Martin",(VLOOKUP(Table10[[#This Row],[SKU]],'All Skus'!$A:$AC,8,FALSE)),""))</f>
        <v>0</v>
      </c>
      <c r="H257" s="223">
        <f>(IF((VLOOKUP(Table10[[#This Row],[SKU]],'All Skus'!$A:$AC,2,FALSE))="Martin",(VLOOKUP(Table10[[#This Row],[SKU]],'All Skus'!$A:$AC,9,FALSE)),""))</f>
        <v>0</v>
      </c>
      <c r="I257" s="225">
        <f>(IF((VLOOKUP(Table10[[#This Row],[SKU]],'All Skus'!$A:$AC,2,FALSE))="Martin",(VLOOKUP(Table10[[#This Row],[SKU]],'All Skus'!$A:$AC,10,FALSE)),""))</f>
        <v>0</v>
      </c>
      <c r="J257" s="226">
        <f>(IF((VLOOKUP(Table10[[#This Row],[SKU]],'All Skus'!$A:$AC,2,FALSE))="Martin",(VLOOKUP(Table10[[#This Row],[SKU]],'All Skus'!$A:$AC,11,FALSE)),""))</f>
        <v>0</v>
      </c>
      <c r="K257" s="224">
        <f>(IF((VLOOKUP(Table10[[#This Row],[SKU]],'All Skus'!$A:$AC,2,FALSE))="Martin",(VLOOKUP(Table10[[#This Row],[SKU]],'All Skus'!$A:$AC,15,FALSE)),""))</f>
        <v>0</v>
      </c>
      <c r="L257" s="224">
        <f>(IF((VLOOKUP(Table10[[#This Row],[SKU]],'All Skus'!$A:$AC,2,FALSE))="Martin",(VLOOKUP(Table10[[#This Row],[SKU]],'All Skus'!$A:$AC,16,FALSE)),""))</f>
        <v>0</v>
      </c>
      <c r="M257" s="224">
        <f>(IF((VLOOKUP(Table10[[#This Row],[SKU]],'All Skus'!$A:$AC,2,FALSE))="Martin",(VLOOKUP(Table10[[#This Row],[SKU]],'All Skus'!$A:$AC,17,FALSE)),""))</f>
        <v>0</v>
      </c>
      <c r="N257" s="227">
        <f>(IF((VLOOKUP(Table10[[#This Row],[SKU]],'All Skus'!$A:$AC,2,FALSE))="Martin",(VLOOKUP(Table10[[#This Row],[SKU]],'All Skus'!$A:$AC,18,FALSE)),""))</f>
        <v>0</v>
      </c>
      <c r="O257" s="227">
        <f>(IF((VLOOKUP(Table10[[#This Row],[SKU]],'All Skus'!$A:$AC,2,FALSE))="Martin",(VLOOKUP(Table10[[#This Row],[SKU]],'All Skus'!$A:$AC,19,FALSE)),""))</f>
        <v>0</v>
      </c>
      <c r="P257" s="227">
        <f>(IF((VLOOKUP(Table10[[#This Row],[SKU]],'All Skus'!$A:$AC,2,FALSE))="Martin",(VLOOKUP(Table10[[#This Row],[SKU]],'All Skus'!$A:$AC,20,FALSE)),""))</f>
        <v>0</v>
      </c>
      <c r="Q257" s="227">
        <f>(IF((VLOOKUP(Table10[[#This Row],[SKU]],'All Skus'!$A:$AC,2,FALSE))="Martin",(VLOOKUP(Table10[[#This Row],[SKU]],'All Skus'!$A:$AC,21,FALSE)),""))</f>
        <v>0</v>
      </c>
      <c r="R257" s="224">
        <f>(IF((VLOOKUP(Table10[[#This Row],[SKU]],'All Skus'!$A:$AC,2,FALSE))="Martin",(VLOOKUP(Table10[[#This Row],[SKU]],'All Skus'!$A:$AC,22,FALSE)),""))</f>
        <v>0</v>
      </c>
      <c r="S257" s="223">
        <f>(IF((VLOOKUP(Table10[[#This Row],[SKU]],'All Skus'!$A:$AC,2,FALSE))="Martin",(VLOOKUP(Table10[[#This Row],[SKU]],'All Skus'!$A:$AC,23,FALSE)),""))</f>
        <v>0</v>
      </c>
      <c r="T257" s="212" t="str">
        <f>HYPERLINK((IF((VLOOKUP(Table10[[#This Row],[SKU]],'All Skus'!$A:$AC,2,FALSE))="Martin",(VLOOKUP(Table10[[#This Row],[SKU]],'All Skus'!$A:$AC,24,FALSE)),"")))</f>
        <v/>
      </c>
      <c r="U257" s="228">
        <v>255</v>
      </c>
    </row>
    <row r="258" spans="1:21" hidden="1">
      <c r="A258" s="232" t="s">
        <v>2050</v>
      </c>
      <c r="B258" s="224" t="str">
        <f>(IF((VLOOKUP(Table10[[#This Row],[SKU]],'All Skus'!$A:$AC,2,FALSE))="Martin",(VLOOKUP(Table10[[#This Row],[SKU]],'All Skus'!$A:$AC,3,FALSE)),""))</f>
        <v>Exterior Linear Pro-Cove, QUAD, 1ft</v>
      </c>
      <c r="C258" s="223">
        <f>(IF((VLOOKUP(Table10[[#This Row],[SKU]],'All Skus'!$A:$AC,2,FALSE))="Martin",(VLOOKUP(Table10[[#This Row],[SKU]],'All Skus'!$A:$AC,4,FALSE)),""))</f>
        <v>0</v>
      </c>
      <c r="D258" s="224" t="str">
        <f>(IF((VLOOKUP(Table10[[#This Row],[SKU]],'All Skus'!$A:$AC,2,FALSE))="Martin",(VLOOKUP(Table10[[#This Row],[SKU]],'All Skus'!$A:$AC,5,FALSE)),""))</f>
        <v>EXT-LIN</v>
      </c>
      <c r="E258" s="223">
        <f>(IF((VLOOKUP(Table10[[#This Row],[SKU]],'All Skus'!$A:$AC,2,FALSE))="Martin",(VLOOKUP(Table10[[#This Row],[SKU]],'All Skus'!$A:$AC,6,FALSE)),""))</f>
        <v>0</v>
      </c>
      <c r="F258" s="155">
        <f>(IF((VLOOKUP(Table10[[#This Row],[SKU]],'All Skus'!$A:$AC,2,FALSE))="Martin",(VLOOKUP(Table10[[#This Row],[SKU]],'All Skus'!$A:$AC,7,FALSE)),""))</f>
        <v>0</v>
      </c>
      <c r="G258" s="223" t="str">
        <f>(IF((VLOOKUP(Table10[[#This Row],[SKU]],'All Skus'!$A:$AC,2,FALSE))="Martin",(VLOOKUP(Table10[[#This Row],[SKU]],'All Skus'!$A:$AC,8,FALSE)),""))</f>
        <v>Exterior Linear Pro-Cove, QUAD, 1ft</v>
      </c>
      <c r="H258" s="223" t="str">
        <f>(IF((VLOOKUP(Table10[[#This Row],[SKU]],'All Skus'!$A:$AC,2,FALSE))="Martin",(VLOOKUP(Table10[[#This Row],[SKU]],'All Skus'!$A:$AC,9,FALSE)),""))</f>
        <v>Exterior Linear Pro-Cove, QUAD, 1ft</v>
      </c>
      <c r="I258" s="225">
        <f>(IF((VLOOKUP(Table10[[#This Row],[SKU]],'All Skus'!$A:$AC,2,FALSE))="Martin",(VLOOKUP(Table10[[#This Row],[SKU]],'All Skus'!$A:$AC,10,FALSE)),""))</f>
        <v>509.85</v>
      </c>
      <c r="J258" s="226">
        <f>(IF((VLOOKUP(Table10[[#This Row],[SKU]],'All Skus'!$A:$AC,2,FALSE))="Martin",(VLOOKUP(Table10[[#This Row],[SKU]],'All Skus'!$A:$AC,11,FALSE)),""))</f>
        <v>509.85</v>
      </c>
      <c r="K258" s="224">
        <f>(IF((VLOOKUP(Table10[[#This Row],[SKU]],'All Skus'!$A:$AC,2,FALSE))="Martin",(VLOOKUP(Table10[[#This Row],[SKU]],'All Skus'!$A:$AC,15,FALSE)),""))</f>
        <v>0</v>
      </c>
      <c r="L258" s="224">
        <f>(IF((VLOOKUP(Table10[[#This Row],[SKU]],'All Skus'!$A:$AC,2,FALSE))="Martin",(VLOOKUP(Table10[[#This Row],[SKU]],'All Skus'!$A:$AC,16,FALSE)),""))</f>
        <v>688705008455</v>
      </c>
      <c r="M258" s="224">
        <f>(IF((VLOOKUP(Table10[[#This Row],[SKU]],'All Skus'!$A:$AC,2,FALSE))="Martin",(VLOOKUP(Table10[[#This Row],[SKU]],'All Skus'!$A:$AC,17,FALSE)),""))</f>
        <v>0</v>
      </c>
      <c r="N258" s="227">
        <f>(IF((VLOOKUP(Table10[[#This Row],[SKU]],'All Skus'!$A:$AC,2,FALSE))="Martin",(VLOOKUP(Table10[[#This Row],[SKU]],'All Skus'!$A:$AC,18,FALSE)),""))</f>
        <v>0</v>
      </c>
      <c r="O258" s="227">
        <f>(IF((VLOOKUP(Table10[[#This Row],[SKU]],'All Skus'!$A:$AC,2,FALSE))="Martin",(VLOOKUP(Table10[[#This Row],[SKU]],'All Skus'!$A:$AC,19,FALSE)),""))</f>
        <v>0</v>
      </c>
      <c r="P258" s="227">
        <f>(IF((VLOOKUP(Table10[[#This Row],[SKU]],'All Skus'!$A:$AC,2,FALSE))="Martin",(VLOOKUP(Table10[[#This Row],[SKU]],'All Skus'!$A:$AC,20,FALSE)),""))</f>
        <v>0</v>
      </c>
      <c r="Q258" s="227">
        <f>(IF((VLOOKUP(Table10[[#This Row],[SKU]],'All Skus'!$A:$AC,2,FALSE))="Martin",(VLOOKUP(Table10[[#This Row],[SKU]],'All Skus'!$A:$AC,21,FALSE)),""))</f>
        <v>0</v>
      </c>
      <c r="R258" s="224">
        <f>(IF((VLOOKUP(Table10[[#This Row],[SKU]],'All Skus'!$A:$AC,2,FALSE))="Martin",(VLOOKUP(Table10[[#This Row],[SKU]],'All Skus'!$A:$AC,22,FALSE)),""))</f>
        <v>0</v>
      </c>
      <c r="S258" s="223">
        <f>(IF((VLOOKUP(Table10[[#This Row],[SKU]],'All Skus'!$A:$AC,2,FALSE))="Martin",(VLOOKUP(Table10[[#This Row],[SKU]],'All Skus'!$A:$AC,23,FALSE)),""))</f>
        <v>0</v>
      </c>
      <c r="T258" s="212" t="str">
        <f>HYPERLINK((IF((VLOOKUP(Table10[[#This Row],[SKU]],'All Skus'!$A:$AC,2,FALSE))="Martin",(VLOOKUP(Table10[[#This Row],[SKU]],'All Skus'!$A:$AC,24,FALSE)),"")))</f>
        <v/>
      </c>
      <c r="U258" s="228">
        <v>256</v>
      </c>
    </row>
    <row r="259" spans="1:21" hidden="1">
      <c r="A259" s="232" t="s">
        <v>2051</v>
      </c>
      <c r="B259" s="224" t="str">
        <f>(IF((VLOOKUP(Table10[[#This Row],[SKU]],'All Skus'!$A:$AC,2,FALSE))="Martin",(VLOOKUP(Table10[[#This Row],[SKU]],'All Skus'!$A:$AC,3,FALSE)),""))</f>
        <v>Exterior Linear Pro-Cove, QUAD, 4ft</v>
      </c>
      <c r="C259" s="223">
        <f>(IF((VLOOKUP(Table10[[#This Row],[SKU]],'All Skus'!$A:$AC,2,FALSE))="Martin",(VLOOKUP(Table10[[#This Row],[SKU]],'All Skus'!$A:$AC,4,FALSE)),""))</f>
        <v>0</v>
      </c>
      <c r="D259" s="224" t="str">
        <f>(IF((VLOOKUP(Table10[[#This Row],[SKU]],'All Skus'!$A:$AC,2,FALSE))="Martin",(VLOOKUP(Table10[[#This Row],[SKU]],'All Skus'!$A:$AC,5,FALSE)),""))</f>
        <v>EXT-LIN</v>
      </c>
      <c r="E259" s="223">
        <f>(IF((VLOOKUP(Table10[[#This Row],[SKU]],'All Skus'!$A:$AC,2,FALSE))="Martin",(VLOOKUP(Table10[[#This Row],[SKU]],'All Skus'!$A:$AC,6,FALSE)),""))</f>
        <v>0</v>
      </c>
      <c r="F259" s="155">
        <f>(IF((VLOOKUP(Table10[[#This Row],[SKU]],'All Skus'!$A:$AC,2,FALSE))="Martin",(VLOOKUP(Table10[[#This Row],[SKU]],'All Skus'!$A:$AC,7,FALSE)),""))</f>
        <v>0</v>
      </c>
      <c r="G259" s="223" t="str">
        <f>(IF((VLOOKUP(Table10[[#This Row],[SKU]],'All Skus'!$A:$AC,2,FALSE))="Martin",(VLOOKUP(Table10[[#This Row],[SKU]],'All Skus'!$A:$AC,8,FALSE)),""))</f>
        <v>Exterior Linear Pro-Cove, QUAD, 4ft</v>
      </c>
      <c r="H259" s="223" t="str">
        <f>(IF((VLOOKUP(Table10[[#This Row],[SKU]],'All Skus'!$A:$AC,2,FALSE))="Martin",(VLOOKUP(Table10[[#This Row],[SKU]],'All Skus'!$A:$AC,9,FALSE)),""))</f>
        <v>Exterior Linear Pro-Cove, QUAD, 4ft</v>
      </c>
      <c r="I259" s="225">
        <f>(IF((VLOOKUP(Table10[[#This Row],[SKU]],'All Skus'!$A:$AC,2,FALSE))="Martin",(VLOOKUP(Table10[[#This Row],[SKU]],'All Skus'!$A:$AC,10,FALSE)),""))</f>
        <v>1282.3499999999999</v>
      </c>
      <c r="J259" s="226">
        <f>(IF((VLOOKUP(Table10[[#This Row],[SKU]],'All Skus'!$A:$AC,2,FALSE))="Martin",(VLOOKUP(Table10[[#This Row],[SKU]],'All Skus'!$A:$AC,11,FALSE)),""))</f>
        <v>1282.3499999999999</v>
      </c>
      <c r="K259" s="224">
        <f>(IF((VLOOKUP(Table10[[#This Row],[SKU]],'All Skus'!$A:$AC,2,FALSE))="Martin",(VLOOKUP(Table10[[#This Row],[SKU]],'All Skus'!$A:$AC,15,FALSE)),""))</f>
        <v>0</v>
      </c>
      <c r="L259" s="224">
        <f>(IF((VLOOKUP(Table10[[#This Row],[SKU]],'All Skus'!$A:$AC,2,FALSE))="Martin",(VLOOKUP(Table10[[#This Row],[SKU]],'All Skus'!$A:$AC,16,FALSE)),""))</f>
        <v>688705008486</v>
      </c>
      <c r="M259" s="224">
        <f>(IF((VLOOKUP(Table10[[#This Row],[SKU]],'All Skus'!$A:$AC,2,FALSE))="Martin",(VLOOKUP(Table10[[#This Row],[SKU]],'All Skus'!$A:$AC,17,FALSE)),""))</f>
        <v>0</v>
      </c>
      <c r="N259" s="227">
        <f>(IF((VLOOKUP(Table10[[#This Row],[SKU]],'All Skus'!$A:$AC,2,FALSE))="Martin",(VLOOKUP(Table10[[#This Row],[SKU]],'All Skus'!$A:$AC,18,FALSE)),""))</f>
        <v>0</v>
      </c>
      <c r="O259" s="227">
        <f>(IF((VLOOKUP(Table10[[#This Row],[SKU]],'All Skus'!$A:$AC,2,FALSE))="Martin",(VLOOKUP(Table10[[#This Row],[SKU]],'All Skus'!$A:$AC,19,FALSE)),""))</f>
        <v>0</v>
      </c>
      <c r="P259" s="227">
        <f>(IF((VLOOKUP(Table10[[#This Row],[SKU]],'All Skus'!$A:$AC,2,FALSE))="Martin",(VLOOKUP(Table10[[#This Row],[SKU]],'All Skus'!$A:$AC,20,FALSE)),""))</f>
        <v>0</v>
      </c>
      <c r="Q259" s="227">
        <f>(IF((VLOOKUP(Table10[[#This Row],[SKU]],'All Skus'!$A:$AC,2,FALSE))="Martin",(VLOOKUP(Table10[[#This Row],[SKU]],'All Skus'!$A:$AC,21,FALSE)),""))</f>
        <v>0</v>
      </c>
      <c r="R259" s="224">
        <f>(IF((VLOOKUP(Table10[[#This Row],[SKU]],'All Skus'!$A:$AC,2,FALSE))="Martin",(VLOOKUP(Table10[[#This Row],[SKU]],'All Skus'!$A:$AC,22,FALSE)),""))</f>
        <v>0</v>
      </c>
      <c r="S259" s="223">
        <f>(IF((VLOOKUP(Table10[[#This Row],[SKU]],'All Skus'!$A:$AC,2,FALSE))="Martin",(VLOOKUP(Table10[[#This Row],[SKU]],'All Skus'!$A:$AC,23,FALSE)),""))</f>
        <v>0</v>
      </c>
      <c r="T259" s="212" t="str">
        <f>HYPERLINK((IF((VLOOKUP(Table10[[#This Row],[SKU]],'All Skus'!$A:$AC,2,FALSE))="Martin",(VLOOKUP(Table10[[#This Row],[SKU]],'All Skus'!$A:$AC,24,FALSE)),"")))</f>
        <v/>
      </c>
      <c r="U259" s="228">
        <v>257</v>
      </c>
    </row>
    <row r="260" spans="1:21" hidden="1">
      <c r="A260" s="115" t="s">
        <v>2052</v>
      </c>
      <c r="B260" s="224">
        <f>(IF((VLOOKUP(Table10[[#This Row],[SKU]],'All Skus'!$A:$AC,2,FALSE))="Martin",(VLOOKUP(Table10[[#This Row],[SKU]],'All Skus'!$A:$AC,3,FALSE)),""))</f>
        <v>0</v>
      </c>
      <c r="C260" s="223">
        <f>(IF((VLOOKUP(Table10[[#This Row],[SKU]],'All Skus'!$A:$AC,2,FALSE))="Martin",(VLOOKUP(Table10[[#This Row],[SKU]],'All Skus'!$A:$AC,4,FALSE)),""))</f>
        <v>0</v>
      </c>
      <c r="D260" s="224" t="str">
        <f>(IF((VLOOKUP(Table10[[#This Row],[SKU]],'All Skus'!$A:$AC,2,FALSE))="Martin",(VLOOKUP(Table10[[#This Row],[SKU]],'All Skus'!$A:$AC,5,FALSE)),""))</f>
        <v>EXT-LIN</v>
      </c>
      <c r="E260" s="223">
        <f>(IF((VLOOKUP(Table10[[#This Row],[SKU]],'All Skus'!$A:$AC,2,FALSE))="Martin",(VLOOKUP(Table10[[#This Row],[SKU]],'All Skus'!$A:$AC,6,FALSE)),""))</f>
        <v>0</v>
      </c>
      <c r="F260" s="155">
        <f>(IF((VLOOKUP(Table10[[#This Row],[SKU]],'All Skus'!$A:$AC,2,FALSE))="Martin",(VLOOKUP(Table10[[#This Row],[SKU]],'All Skus'!$A:$AC,7,FALSE)),""))</f>
        <v>0</v>
      </c>
      <c r="G260" s="223">
        <f>(IF((VLOOKUP(Table10[[#This Row],[SKU]],'All Skus'!$A:$AC,2,FALSE))="Martin",(VLOOKUP(Table10[[#This Row],[SKU]],'All Skus'!$A:$AC,8,FALSE)),""))</f>
        <v>0</v>
      </c>
      <c r="H260" s="223">
        <f>(IF((VLOOKUP(Table10[[#This Row],[SKU]],'All Skus'!$A:$AC,2,FALSE))="Martin",(VLOOKUP(Table10[[#This Row],[SKU]],'All Skus'!$A:$AC,9,FALSE)),""))</f>
        <v>0</v>
      </c>
      <c r="I260" s="225">
        <f>(IF((VLOOKUP(Table10[[#This Row],[SKU]],'All Skus'!$A:$AC,2,FALSE))="Martin",(VLOOKUP(Table10[[#This Row],[SKU]],'All Skus'!$A:$AC,10,FALSE)),""))</f>
        <v>0</v>
      </c>
      <c r="J260" s="226">
        <f>(IF((VLOOKUP(Table10[[#This Row],[SKU]],'All Skus'!$A:$AC,2,FALSE))="Martin",(VLOOKUP(Table10[[#This Row],[SKU]],'All Skus'!$A:$AC,11,FALSE)),""))</f>
        <v>0</v>
      </c>
      <c r="K260" s="224">
        <f>(IF((VLOOKUP(Table10[[#This Row],[SKU]],'All Skus'!$A:$AC,2,FALSE))="Martin",(VLOOKUP(Table10[[#This Row],[SKU]],'All Skus'!$A:$AC,15,FALSE)),""))</f>
        <v>0</v>
      </c>
      <c r="L260" s="224">
        <f>(IF((VLOOKUP(Table10[[#This Row],[SKU]],'All Skus'!$A:$AC,2,FALSE))="Martin",(VLOOKUP(Table10[[#This Row],[SKU]],'All Skus'!$A:$AC,16,FALSE)),""))</f>
        <v>0</v>
      </c>
      <c r="M260" s="224">
        <f>(IF((VLOOKUP(Table10[[#This Row],[SKU]],'All Skus'!$A:$AC,2,FALSE))="Martin",(VLOOKUP(Table10[[#This Row],[SKU]],'All Skus'!$A:$AC,17,FALSE)),""))</f>
        <v>0</v>
      </c>
      <c r="N260" s="227">
        <f>(IF((VLOOKUP(Table10[[#This Row],[SKU]],'All Skus'!$A:$AC,2,FALSE))="Martin",(VLOOKUP(Table10[[#This Row],[SKU]],'All Skus'!$A:$AC,18,FALSE)),""))</f>
        <v>0</v>
      </c>
      <c r="O260" s="227">
        <f>(IF((VLOOKUP(Table10[[#This Row],[SKU]],'All Skus'!$A:$AC,2,FALSE))="Martin",(VLOOKUP(Table10[[#This Row],[SKU]],'All Skus'!$A:$AC,19,FALSE)),""))</f>
        <v>0</v>
      </c>
      <c r="P260" s="227">
        <f>(IF((VLOOKUP(Table10[[#This Row],[SKU]],'All Skus'!$A:$AC,2,FALSE))="Martin",(VLOOKUP(Table10[[#This Row],[SKU]],'All Skus'!$A:$AC,20,FALSE)),""))</f>
        <v>0</v>
      </c>
      <c r="Q260" s="227">
        <f>(IF((VLOOKUP(Table10[[#This Row],[SKU]],'All Skus'!$A:$AC,2,FALSE))="Martin",(VLOOKUP(Table10[[#This Row],[SKU]],'All Skus'!$A:$AC,21,FALSE)),""))</f>
        <v>0</v>
      </c>
      <c r="R260" s="224">
        <f>(IF((VLOOKUP(Table10[[#This Row],[SKU]],'All Skus'!$A:$AC,2,FALSE))="Martin",(VLOOKUP(Table10[[#This Row],[SKU]],'All Skus'!$A:$AC,22,FALSE)),""))</f>
        <v>0</v>
      </c>
      <c r="S260" s="223">
        <f>(IF((VLOOKUP(Table10[[#This Row],[SKU]],'All Skus'!$A:$AC,2,FALSE))="Martin",(VLOOKUP(Table10[[#This Row],[SKU]],'All Skus'!$A:$AC,23,FALSE)),""))</f>
        <v>0</v>
      </c>
      <c r="T260" s="212" t="str">
        <f>HYPERLINK((IF((VLOOKUP(Table10[[#This Row],[SKU]],'All Skus'!$A:$AC,2,FALSE))="Martin",(VLOOKUP(Table10[[#This Row],[SKU]],'All Skus'!$A:$AC,24,FALSE)),"")))</f>
        <v/>
      </c>
      <c r="U260" s="228">
        <v>258</v>
      </c>
    </row>
    <row r="261" spans="1:21" hidden="1">
      <c r="A261" s="232" t="s">
        <v>2053</v>
      </c>
      <c r="B261" s="224" t="str">
        <f>(IF((VLOOKUP(Table10[[#This Row],[SKU]],'All Skus'!$A:$AC,2,FALSE))="Martin",(VLOOKUP(Table10[[#This Row],[SKU]],'All Skus'!$A:$AC,3,FALSE)),""))</f>
        <v>Exterior Linear Pro-DV, QUAD, 1ft</v>
      </c>
      <c r="C261" s="223">
        <f>(IF((VLOOKUP(Table10[[#This Row],[SKU]],'All Skus'!$A:$AC,2,FALSE))="Martin",(VLOOKUP(Table10[[#This Row],[SKU]],'All Skus'!$A:$AC,4,FALSE)),""))</f>
        <v>0</v>
      </c>
      <c r="D261" s="224" t="str">
        <f>(IF((VLOOKUP(Table10[[#This Row],[SKU]],'All Skus'!$A:$AC,2,FALSE))="Martin",(VLOOKUP(Table10[[#This Row],[SKU]],'All Skus'!$A:$AC,5,FALSE)),""))</f>
        <v>EXT-LIN</v>
      </c>
      <c r="E261" s="223">
        <f>(IF((VLOOKUP(Table10[[#This Row],[SKU]],'All Skus'!$A:$AC,2,FALSE))="Martin",(VLOOKUP(Table10[[#This Row],[SKU]],'All Skus'!$A:$AC,6,FALSE)),""))</f>
        <v>0</v>
      </c>
      <c r="F261" s="155">
        <f>(IF((VLOOKUP(Table10[[#This Row],[SKU]],'All Skus'!$A:$AC,2,FALSE))="Martin",(VLOOKUP(Table10[[#This Row],[SKU]],'All Skus'!$A:$AC,7,FALSE)),""))</f>
        <v>0</v>
      </c>
      <c r="G261" s="223" t="str">
        <f>(IF((VLOOKUP(Table10[[#This Row],[SKU]],'All Skus'!$A:$AC,2,FALSE))="Martin",(VLOOKUP(Table10[[#This Row],[SKU]],'All Skus'!$A:$AC,8,FALSE)),""))</f>
        <v>Exterior Linear Pro-DV, QUAD, 1ft</v>
      </c>
      <c r="H261" s="223" t="str">
        <f>(IF((VLOOKUP(Table10[[#This Row],[SKU]],'All Skus'!$A:$AC,2,FALSE))="Martin",(VLOOKUP(Table10[[#This Row],[SKU]],'All Skus'!$A:$AC,9,FALSE)),""))</f>
        <v>Exterior Linear Pro-DV, QUAD, 1ft</v>
      </c>
      <c r="I261" s="225">
        <f>(IF((VLOOKUP(Table10[[#This Row],[SKU]],'All Skus'!$A:$AC,2,FALSE))="Martin",(VLOOKUP(Table10[[#This Row],[SKU]],'All Skus'!$A:$AC,10,FALSE)),""))</f>
        <v>509.85</v>
      </c>
      <c r="J261" s="226">
        <f>(IF((VLOOKUP(Table10[[#This Row],[SKU]],'All Skus'!$A:$AC,2,FALSE))="Martin",(VLOOKUP(Table10[[#This Row],[SKU]],'All Skus'!$A:$AC,11,FALSE)),""))</f>
        <v>509.85</v>
      </c>
      <c r="K261" s="224">
        <f>(IF((VLOOKUP(Table10[[#This Row],[SKU]],'All Skus'!$A:$AC,2,FALSE))="Martin",(VLOOKUP(Table10[[#This Row],[SKU]],'All Skus'!$A:$AC,15,FALSE)),""))</f>
        <v>0</v>
      </c>
      <c r="L261" s="224">
        <f>(IF((VLOOKUP(Table10[[#This Row],[SKU]],'All Skus'!$A:$AC,2,FALSE))="Martin",(VLOOKUP(Table10[[#This Row],[SKU]],'All Skus'!$A:$AC,16,FALSE)),""))</f>
        <v>688705008462</v>
      </c>
      <c r="M261" s="224">
        <f>(IF((VLOOKUP(Table10[[#This Row],[SKU]],'All Skus'!$A:$AC,2,FALSE))="Martin",(VLOOKUP(Table10[[#This Row],[SKU]],'All Skus'!$A:$AC,17,FALSE)),""))</f>
        <v>0</v>
      </c>
      <c r="N261" s="227">
        <f>(IF((VLOOKUP(Table10[[#This Row],[SKU]],'All Skus'!$A:$AC,2,FALSE))="Martin",(VLOOKUP(Table10[[#This Row],[SKU]],'All Skus'!$A:$AC,18,FALSE)),""))</f>
        <v>0</v>
      </c>
      <c r="O261" s="227">
        <f>(IF((VLOOKUP(Table10[[#This Row],[SKU]],'All Skus'!$A:$AC,2,FALSE))="Martin",(VLOOKUP(Table10[[#This Row],[SKU]],'All Skus'!$A:$AC,19,FALSE)),""))</f>
        <v>0</v>
      </c>
      <c r="P261" s="227">
        <f>(IF((VLOOKUP(Table10[[#This Row],[SKU]],'All Skus'!$A:$AC,2,FALSE))="Martin",(VLOOKUP(Table10[[#This Row],[SKU]],'All Skus'!$A:$AC,20,FALSE)),""))</f>
        <v>0</v>
      </c>
      <c r="Q261" s="227">
        <f>(IF((VLOOKUP(Table10[[#This Row],[SKU]],'All Skus'!$A:$AC,2,FALSE))="Martin",(VLOOKUP(Table10[[#This Row],[SKU]],'All Skus'!$A:$AC,21,FALSE)),""))</f>
        <v>0</v>
      </c>
      <c r="R261" s="224">
        <f>(IF((VLOOKUP(Table10[[#This Row],[SKU]],'All Skus'!$A:$AC,2,FALSE))="Martin",(VLOOKUP(Table10[[#This Row],[SKU]],'All Skus'!$A:$AC,22,FALSE)),""))</f>
        <v>0</v>
      </c>
      <c r="S261" s="223">
        <f>(IF((VLOOKUP(Table10[[#This Row],[SKU]],'All Skus'!$A:$AC,2,FALSE))="Martin",(VLOOKUP(Table10[[#This Row],[SKU]],'All Skus'!$A:$AC,23,FALSE)),""))</f>
        <v>0</v>
      </c>
      <c r="T261" s="212" t="str">
        <f>HYPERLINK((IF((VLOOKUP(Table10[[#This Row],[SKU]],'All Skus'!$A:$AC,2,FALSE))="Martin",(VLOOKUP(Table10[[#This Row],[SKU]],'All Skus'!$A:$AC,24,FALSE)),"")))</f>
        <v/>
      </c>
      <c r="U261" s="228">
        <v>259</v>
      </c>
    </row>
    <row r="262" spans="1:21" hidden="1">
      <c r="A262" s="232" t="s">
        <v>2054</v>
      </c>
      <c r="B262" s="224" t="str">
        <f>(IF((VLOOKUP(Table10[[#This Row],[SKU]],'All Skus'!$A:$AC,2,FALSE))="Martin",(VLOOKUP(Table10[[#This Row],[SKU]],'All Skus'!$A:$AC,3,FALSE)),""))</f>
        <v>Exterior Linear Pro-DV, QUAD, 4ft</v>
      </c>
      <c r="C262" s="223">
        <f>(IF((VLOOKUP(Table10[[#This Row],[SKU]],'All Skus'!$A:$AC,2,FALSE))="Martin",(VLOOKUP(Table10[[#This Row],[SKU]],'All Skus'!$A:$AC,4,FALSE)),""))</f>
        <v>0</v>
      </c>
      <c r="D262" s="224" t="str">
        <f>(IF((VLOOKUP(Table10[[#This Row],[SKU]],'All Skus'!$A:$AC,2,FALSE))="Martin",(VLOOKUP(Table10[[#This Row],[SKU]],'All Skus'!$A:$AC,5,FALSE)),""))</f>
        <v>EXT-LIN</v>
      </c>
      <c r="E262" s="223">
        <f>(IF((VLOOKUP(Table10[[#This Row],[SKU]],'All Skus'!$A:$AC,2,FALSE))="Martin",(VLOOKUP(Table10[[#This Row],[SKU]],'All Skus'!$A:$AC,6,FALSE)),""))</f>
        <v>0</v>
      </c>
      <c r="F262" s="155">
        <f>(IF((VLOOKUP(Table10[[#This Row],[SKU]],'All Skus'!$A:$AC,2,FALSE))="Martin",(VLOOKUP(Table10[[#This Row],[SKU]],'All Skus'!$A:$AC,7,FALSE)),""))</f>
        <v>0</v>
      </c>
      <c r="G262" s="223" t="str">
        <f>(IF((VLOOKUP(Table10[[#This Row],[SKU]],'All Skus'!$A:$AC,2,FALSE))="Martin",(VLOOKUP(Table10[[#This Row],[SKU]],'All Skus'!$A:$AC,8,FALSE)),""))</f>
        <v>Exterior Linear Pro-DV, QUAD, 4ft</v>
      </c>
      <c r="H262" s="223" t="str">
        <f>(IF((VLOOKUP(Table10[[#This Row],[SKU]],'All Skus'!$A:$AC,2,FALSE))="Martin",(VLOOKUP(Table10[[#This Row],[SKU]],'All Skus'!$A:$AC,9,FALSE)),""))</f>
        <v>Exterior Linear Pro-DV, QUAD, 4ft</v>
      </c>
      <c r="I262" s="225">
        <f>(IF((VLOOKUP(Table10[[#This Row],[SKU]],'All Skus'!$A:$AC,2,FALSE))="Martin",(VLOOKUP(Table10[[#This Row],[SKU]],'All Skus'!$A:$AC,10,FALSE)),""))</f>
        <v>1282.3499999999999</v>
      </c>
      <c r="J262" s="226">
        <f>(IF((VLOOKUP(Table10[[#This Row],[SKU]],'All Skus'!$A:$AC,2,FALSE))="Martin",(VLOOKUP(Table10[[#This Row],[SKU]],'All Skus'!$A:$AC,11,FALSE)),""))</f>
        <v>1282.3499999999999</v>
      </c>
      <c r="K262" s="224">
        <f>(IF((VLOOKUP(Table10[[#This Row],[SKU]],'All Skus'!$A:$AC,2,FALSE))="Martin",(VLOOKUP(Table10[[#This Row],[SKU]],'All Skus'!$A:$AC,15,FALSE)),""))</f>
        <v>0</v>
      </c>
      <c r="L262" s="224">
        <f>(IF((VLOOKUP(Table10[[#This Row],[SKU]],'All Skus'!$A:$AC,2,FALSE))="Martin",(VLOOKUP(Table10[[#This Row],[SKU]],'All Skus'!$A:$AC,16,FALSE)),""))</f>
        <v>688705008493</v>
      </c>
      <c r="M262" s="224">
        <f>(IF((VLOOKUP(Table10[[#This Row],[SKU]],'All Skus'!$A:$AC,2,FALSE))="Martin",(VLOOKUP(Table10[[#This Row],[SKU]],'All Skus'!$A:$AC,17,FALSE)),""))</f>
        <v>0</v>
      </c>
      <c r="N262" s="227">
        <f>(IF((VLOOKUP(Table10[[#This Row],[SKU]],'All Skus'!$A:$AC,2,FALSE))="Martin",(VLOOKUP(Table10[[#This Row],[SKU]],'All Skus'!$A:$AC,18,FALSE)),""))</f>
        <v>0</v>
      </c>
      <c r="O262" s="227">
        <f>(IF((VLOOKUP(Table10[[#This Row],[SKU]],'All Skus'!$A:$AC,2,FALSE))="Martin",(VLOOKUP(Table10[[#This Row],[SKU]],'All Skus'!$A:$AC,19,FALSE)),""))</f>
        <v>0</v>
      </c>
      <c r="P262" s="227">
        <f>(IF((VLOOKUP(Table10[[#This Row],[SKU]],'All Skus'!$A:$AC,2,FALSE))="Martin",(VLOOKUP(Table10[[#This Row],[SKU]],'All Skus'!$A:$AC,20,FALSE)),""))</f>
        <v>0</v>
      </c>
      <c r="Q262" s="227">
        <f>(IF((VLOOKUP(Table10[[#This Row],[SKU]],'All Skus'!$A:$AC,2,FALSE))="Martin",(VLOOKUP(Table10[[#This Row],[SKU]],'All Skus'!$A:$AC,21,FALSE)),""))</f>
        <v>0</v>
      </c>
      <c r="R262" s="224">
        <f>(IF((VLOOKUP(Table10[[#This Row],[SKU]],'All Skus'!$A:$AC,2,FALSE))="Martin",(VLOOKUP(Table10[[#This Row],[SKU]],'All Skus'!$A:$AC,22,FALSE)),""))</f>
        <v>0</v>
      </c>
      <c r="S262" s="223">
        <f>(IF((VLOOKUP(Table10[[#This Row],[SKU]],'All Skus'!$A:$AC,2,FALSE))="Martin",(VLOOKUP(Table10[[#This Row],[SKU]],'All Skus'!$A:$AC,23,FALSE)),""))</f>
        <v>0</v>
      </c>
      <c r="T262" s="212" t="str">
        <f>HYPERLINK((IF((VLOOKUP(Table10[[#This Row],[SKU]],'All Skus'!$A:$AC,2,FALSE))="Martin",(VLOOKUP(Table10[[#This Row],[SKU]],'All Skus'!$A:$AC,24,FALSE)),"")))</f>
        <v/>
      </c>
      <c r="U262" s="228">
        <v>260</v>
      </c>
    </row>
    <row r="263" spans="1:21" hidden="1">
      <c r="A263" s="115" t="s">
        <v>2055</v>
      </c>
      <c r="B263" s="224">
        <f>(IF((VLOOKUP(Table10[[#This Row],[SKU]],'All Skus'!$A:$AC,2,FALSE))="Martin",(VLOOKUP(Table10[[#This Row],[SKU]],'All Skus'!$A:$AC,3,FALSE)),""))</f>
        <v>0</v>
      </c>
      <c r="C263" s="223">
        <f>(IF((VLOOKUP(Table10[[#This Row],[SKU]],'All Skus'!$A:$AC,2,FALSE))="Martin",(VLOOKUP(Table10[[#This Row],[SKU]],'All Skus'!$A:$AC,4,FALSE)),""))</f>
        <v>0</v>
      </c>
      <c r="D263" s="224" t="str">
        <f>(IF((VLOOKUP(Table10[[#This Row],[SKU]],'All Skus'!$A:$AC,2,FALSE))="Martin",(VLOOKUP(Table10[[#This Row],[SKU]],'All Skus'!$A:$AC,5,FALSE)),""))</f>
        <v>EXT-LIN</v>
      </c>
      <c r="E263" s="223">
        <f>(IF((VLOOKUP(Table10[[#This Row],[SKU]],'All Skus'!$A:$AC,2,FALSE))="Martin",(VLOOKUP(Table10[[#This Row],[SKU]],'All Skus'!$A:$AC,6,FALSE)),""))</f>
        <v>0</v>
      </c>
      <c r="F263" s="155">
        <f>(IF((VLOOKUP(Table10[[#This Row],[SKU]],'All Skus'!$A:$AC,2,FALSE))="Martin",(VLOOKUP(Table10[[#This Row],[SKU]],'All Skus'!$A:$AC,7,FALSE)),""))</f>
        <v>0</v>
      </c>
      <c r="G263" s="223">
        <f>(IF((VLOOKUP(Table10[[#This Row],[SKU]],'All Skus'!$A:$AC,2,FALSE))="Martin",(VLOOKUP(Table10[[#This Row],[SKU]],'All Skus'!$A:$AC,8,FALSE)),""))</f>
        <v>0</v>
      </c>
      <c r="H263" s="223">
        <f>(IF((VLOOKUP(Table10[[#This Row],[SKU]],'All Skus'!$A:$AC,2,FALSE))="Martin",(VLOOKUP(Table10[[#This Row],[SKU]],'All Skus'!$A:$AC,9,FALSE)),""))</f>
        <v>0</v>
      </c>
      <c r="I263" s="225">
        <f>(IF((VLOOKUP(Table10[[#This Row],[SKU]],'All Skus'!$A:$AC,2,FALSE))="Martin",(VLOOKUP(Table10[[#This Row],[SKU]],'All Skus'!$A:$AC,10,FALSE)),""))</f>
        <v>0</v>
      </c>
      <c r="J263" s="226">
        <f>(IF((VLOOKUP(Table10[[#This Row],[SKU]],'All Skus'!$A:$AC,2,FALSE))="Martin",(VLOOKUP(Table10[[#This Row],[SKU]],'All Skus'!$A:$AC,11,FALSE)),""))</f>
        <v>0</v>
      </c>
      <c r="K263" s="224">
        <f>(IF((VLOOKUP(Table10[[#This Row],[SKU]],'All Skus'!$A:$AC,2,FALSE))="Martin",(VLOOKUP(Table10[[#This Row],[SKU]],'All Skus'!$A:$AC,15,FALSE)),""))</f>
        <v>0</v>
      </c>
      <c r="L263" s="224">
        <f>(IF((VLOOKUP(Table10[[#This Row],[SKU]],'All Skus'!$A:$AC,2,FALSE))="Martin",(VLOOKUP(Table10[[#This Row],[SKU]],'All Skus'!$A:$AC,16,FALSE)),""))</f>
        <v>0</v>
      </c>
      <c r="M263" s="224">
        <f>(IF((VLOOKUP(Table10[[#This Row],[SKU]],'All Skus'!$A:$AC,2,FALSE))="Martin",(VLOOKUP(Table10[[#This Row],[SKU]],'All Skus'!$A:$AC,17,FALSE)),""))</f>
        <v>0</v>
      </c>
      <c r="N263" s="227">
        <f>(IF((VLOOKUP(Table10[[#This Row],[SKU]],'All Skus'!$A:$AC,2,FALSE))="Martin",(VLOOKUP(Table10[[#This Row],[SKU]],'All Skus'!$A:$AC,18,FALSE)),""))</f>
        <v>0</v>
      </c>
      <c r="O263" s="227">
        <f>(IF((VLOOKUP(Table10[[#This Row],[SKU]],'All Skus'!$A:$AC,2,FALSE))="Martin",(VLOOKUP(Table10[[#This Row],[SKU]],'All Skus'!$A:$AC,19,FALSE)),""))</f>
        <v>0</v>
      </c>
      <c r="P263" s="227">
        <f>(IF((VLOOKUP(Table10[[#This Row],[SKU]],'All Skus'!$A:$AC,2,FALSE))="Martin",(VLOOKUP(Table10[[#This Row],[SKU]],'All Skus'!$A:$AC,20,FALSE)),""))</f>
        <v>0</v>
      </c>
      <c r="Q263" s="227">
        <f>(IF((VLOOKUP(Table10[[#This Row],[SKU]],'All Skus'!$A:$AC,2,FALSE))="Martin",(VLOOKUP(Table10[[#This Row],[SKU]],'All Skus'!$A:$AC,21,FALSE)),""))</f>
        <v>0</v>
      </c>
      <c r="R263" s="224">
        <f>(IF((VLOOKUP(Table10[[#This Row],[SKU]],'All Skus'!$A:$AC,2,FALSE))="Martin",(VLOOKUP(Table10[[#This Row],[SKU]],'All Skus'!$A:$AC,22,FALSE)),""))</f>
        <v>0</v>
      </c>
      <c r="S263" s="223">
        <f>(IF((VLOOKUP(Table10[[#This Row],[SKU]],'All Skus'!$A:$AC,2,FALSE))="Martin",(VLOOKUP(Table10[[#This Row],[SKU]],'All Skus'!$A:$AC,23,FALSE)),""))</f>
        <v>0</v>
      </c>
      <c r="T263" s="212" t="str">
        <f>HYPERLINK((IF((VLOOKUP(Table10[[#This Row],[SKU]],'All Skus'!$A:$AC,2,FALSE))="Martin",(VLOOKUP(Table10[[#This Row],[SKU]],'All Skus'!$A:$AC,24,FALSE)),"")))</f>
        <v/>
      </c>
      <c r="U263" s="228">
        <v>261</v>
      </c>
    </row>
    <row r="264" spans="1:21" hidden="1">
      <c r="A264" s="232" t="s">
        <v>2056</v>
      </c>
      <c r="B264" s="224" t="str">
        <f>(IF((VLOOKUP(Table10[[#This Row],[SKU]],'All Skus'!$A:$AC,2,FALSE))="Martin",(VLOOKUP(Table10[[#This Row],[SKU]],'All Skus'!$A:$AC,3,FALSE)),""))</f>
        <v>Exterior Linear Pro-Graze, CTC, 1ft</v>
      </c>
      <c r="C264" s="223">
        <f>(IF((VLOOKUP(Table10[[#This Row],[SKU]],'All Skus'!$A:$AC,2,FALSE))="Martin",(VLOOKUP(Table10[[#This Row],[SKU]],'All Skus'!$A:$AC,4,FALSE)),""))</f>
        <v>0</v>
      </c>
      <c r="D264" s="224" t="str">
        <f>(IF((VLOOKUP(Table10[[#This Row],[SKU]],'All Skus'!$A:$AC,2,FALSE))="Martin",(VLOOKUP(Table10[[#This Row],[SKU]],'All Skus'!$A:$AC,5,FALSE)),""))</f>
        <v>EXT-LIN</v>
      </c>
      <c r="E264" s="223">
        <f>(IF((VLOOKUP(Table10[[#This Row],[SKU]],'All Skus'!$A:$AC,2,FALSE))="Martin",(VLOOKUP(Table10[[#This Row],[SKU]],'All Skus'!$A:$AC,6,FALSE)),""))</f>
        <v>0</v>
      </c>
      <c r="F264" s="155">
        <f>(IF((VLOOKUP(Table10[[#This Row],[SKU]],'All Skus'!$A:$AC,2,FALSE))="Martin",(VLOOKUP(Table10[[#This Row],[SKU]],'All Skus'!$A:$AC,7,FALSE)),""))</f>
        <v>0</v>
      </c>
      <c r="G264" s="223" t="str">
        <f>(IF((VLOOKUP(Table10[[#This Row],[SKU]],'All Skus'!$A:$AC,2,FALSE))="Martin",(VLOOKUP(Table10[[#This Row],[SKU]],'All Skus'!$A:$AC,8,FALSE)),""))</f>
        <v>Exterior Linear Pro-Graze, CTC, 1ft</v>
      </c>
      <c r="H264" s="223" t="str">
        <f>(IF((VLOOKUP(Table10[[#This Row],[SKU]],'All Skus'!$A:$AC,2,FALSE))="Martin",(VLOOKUP(Table10[[#This Row],[SKU]],'All Skus'!$A:$AC,9,FALSE)),""))</f>
        <v>Exterior Linear Pro-Graze, CTC, 1ft</v>
      </c>
      <c r="I264" s="225">
        <f>(IF((VLOOKUP(Table10[[#This Row],[SKU]],'All Skus'!$A:$AC,2,FALSE))="Martin",(VLOOKUP(Table10[[#This Row],[SKU]],'All Skus'!$A:$AC,10,FALSE)),""))</f>
        <v>509.85</v>
      </c>
      <c r="J264" s="226">
        <f>(IF((VLOOKUP(Table10[[#This Row],[SKU]],'All Skus'!$A:$AC,2,FALSE))="Martin",(VLOOKUP(Table10[[#This Row],[SKU]],'All Skus'!$A:$AC,11,FALSE)),""))</f>
        <v>509.85</v>
      </c>
      <c r="K264" s="224">
        <f>(IF((VLOOKUP(Table10[[#This Row],[SKU]],'All Skus'!$A:$AC,2,FALSE))="Martin",(VLOOKUP(Table10[[#This Row],[SKU]],'All Skus'!$A:$AC,15,FALSE)),""))</f>
        <v>0</v>
      </c>
      <c r="L264" s="224">
        <f>(IF((VLOOKUP(Table10[[#This Row],[SKU]],'All Skus'!$A:$AC,2,FALSE))="Martin",(VLOOKUP(Table10[[#This Row],[SKU]],'All Skus'!$A:$AC,16,FALSE)),""))</f>
        <v>688705008509</v>
      </c>
      <c r="M264" s="224">
        <f>(IF((VLOOKUP(Table10[[#This Row],[SKU]],'All Skus'!$A:$AC,2,FALSE))="Martin",(VLOOKUP(Table10[[#This Row],[SKU]],'All Skus'!$A:$AC,17,FALSE)),""))</f>
        <v>0</v>
      </c>
      <c r="N264" s="227">
        <f>(IF((VLOOKUP(Table10[[#This Row],[SKU]],'All Skus'!$A:$AC,2,FALSE))="Martin",(VLOOKUP(Table10[[#This Row],[SKU]],'All Skus'!$A:$AC,18,FALSE)),""))</f>
        <v>0</v>
      </c>
      <c r="O264" s="227">
        <f>(IF((VLOOKUP(Table10[[#This Row],[SKU]],'All Skus'!$A:$AC,2,FALSE))="Martin",(VLOOKUP(Table10[[#This Row],[SKU]],'All Skus'!$A:$AC,19,FALSE)),""))</f>
        <v>0</v>
      </c>
      <c r="P264" s="227">
        <f>(IF((VLOOKUP(Table10[[#This Row],[SKU]],'All Skus'!$A:$AC,2,FALSE))="Martin",(VLOOKUP(Table10[[#This Row],[SKU]],'All Skus'!$A:$AC,20,FALSE)),""))</f>
        <v>0</v>
      </c>
      <c r="Q264" s="227">
        <f>(IF((VLOOKUP(Table10[[#This Row],[SKU]],'All Skus'!$A:$AC,2,FALSE))="Martin",(VLOOKUP(Table10[[#This Row],[SKU]],'All Skus'!$A:$AC,21,FALSE)),""))</f>
        <v>0</v>
      </c>
      <c r="R264" s="224">
        <f>(IF((VLOOKUP(Table10[[#This Row],[SKU]],'All Skus'!$A:$AC,2,FALSE))="Martin",(VLOOKUP(Table10[[#This Row],[SKU]],'All Skus'!$A:$AC,22,FALSE)),""))</f>
        <v>0</v>
      </c>
      <c r="S264" s="223">
        <f>(IF((VLOOKUP(Table10[[#This Row],[SKU]],'All Skus'!$A:$AC,2,FALSE))="Martin",(VLOOKUP(Table10[[#This Row],[SKU]],'All Skus'!$A:$AC,23,FALSE)),""))</f>
        <v>0</v>
      </c>
      <c r="T264" s="212" t="str">
        <f>HYPERLINK((IF((VLOOKUP(Table10[[#This Row],[SKU]],'All Skus'!$A:$AC,2,FALSE))="Martin",(VLOOKUP(Table10[[#This Row],[SKU]],'All Skus'!$A:$AC,24,FALSE)),"")))</f>
        <v/>
      </c>
      <c r="U264" s="228">
        <v>262</v>
      </c>
    </row>
    <row r="265" spans="1:21" hidden="1">
      <c r="A265" s="232" t="s">
        <v>2057</v>
      </c>
      <c r="B265" s="224" t="str">
        <f>(IF((VLOOKUP(Table10[[#This Row],[SKU]],'All Skus'!$A:$AC,2,FALSE))="Martin",(VLOOKUP(Table10[[#This Row],[SKU]],'All Skus'!$A:$AC,3,FALSE)),""))</f>
        <v>Exterior Linear Pro-Graze, CTC, 4ft</v>
      </c>
      <c r="C265" s="223">
        <f>(IF((VLOOKUP(Table10[[#This Row],[SKU]],'All Skus'!$A:$AC,2,FALSE))="Martin",(VLOOKUP(Table10[[#This Row],[SKU]],'All Skus'!$A:$AC,4,FALSE)),""))</f>
        <v>0</v>
      </c>
      <c r="D265" s="224" t="str">
        <f>(IF((VLOOKUP(Table10[[#This Row],[SKU]],'All Skus'!$A:$AC,2,FALSE))="Martin",(VLOOKUP(Table10[[#This Row],[SKU]],'All Skus'!$A:$AC,5,FALSE)),""))</f>
        <v>EXT-LIN</v>
      </c>
      <c r="E265" s="223">
        <f>(IF((VLOOKUP(Table10[[#This Row],[SKU]],'All Skus'!$A:$AC,2,FALSE))="Martin",(VLOOKUP(Table10[[#This Row],[SKU]],'All Skus'!$A:$AC,6,FALSE)),""))</f>
        <v>0</v>
      </c>
      <c r="F265" s="155">
        <f>(IF((VLOOKUP(Table10[[#This Row],[SKU]],'All Skus'!$A:$AC,2,FALSE))="Martin",(VLOOKUP(Table10[[#This Row],[SKU]],'All Skus'!$A:$AC,7,FALSE)),""))</f>
        <v>0</v>
      </c>
      <c r="G265" s="223" t="str">
        <f>(IF((VLOOKUP(Table10[[#This Row],[SKU]],'All Skus'!$A:$AC,2,FALSE))="Martin",(VLOOKUP(Table10[[#This Row],[SKU]],'All Skus'!$A:$AC,8,FALSE)),""))</f>
        <v>Exterior Linear Pro-Graze, CTC, 4ft</v>
      </c>
      <c r="H265" s="223" t="str">
        <f>(IF((VLOOKUP(Table10[[#This Row],[SKU]],'All Skus'!$A:$AC,2,FALSE))="Martin",(VLOOKUP(Table10[[#This Row],[SKU]],'All Skus'!$A:$AC,9,FALSE)),""))</f>
        <v>Exterior Linear Pro-Graze, CTC, 4ft</v>
      </c>
      <c r="I265" s="225">
        <f>(IF((VLOOKUP(Table10[[#This Row],[SKU]],'All Skus'!$A:$AC,2,FALSE))="Martin",(VLOOKUP(Table10[[#This Row],[SKU]],'All Skus'!$A:$AC,10,FALSE)),""))</f>
        <v>1282.3499999999999</v>
      </c>
      <c r="J265" s="226">
        <f>(IF((VLOOKUP(Table10[[#This Row],[SKU]],'All Skus'!$A:$AC,2,FALSE))="Martin",(VLOOKUP(Table10[[#This Row],[SKU]],'All Skus'!$A:$AC,11,FALSE)),""))</f>
        <v>1282.3499999999999</v>
      </c>
      <c r="K265" s="224">
        <f>(IF((VLOOKUP(Table10[[#This Row],[SKU]],'All Skus'!$A:$AC,2,FALSE))="Martin",(VLOOKUP(Table10[[#This Row],[SKU]],'All Skus'!$A:$AC,15,FALSE)),""))</f>
        <v>0</v>
      </c>
      <c r="L265" s="224">
        <f>(IF((VLOOKUP(Table10[[#This Row],[SKU]],'All Skus'!$A:$AC,2,FALSE))="Martin",(VLOOKUP(Table10[[#This Row],[SKU]],'All Skus'!$A:$AC,16,FALSE)),""))</f>
        <v>688705008523</v>
      </c>
      <c r="M265" s="224">
        <f>(IF((VLOOKUP(Table10[[#This Row],[SKU]],'All Skus'!$A:$AC,2,FALSE))="Martin",(VLOOKUP(Table10[[#This Row],[SKU]],'All Skus'!$A:$AC,17,FALSE)),""))</f>
        <v>0</v>
      </c>
      <c r="N265" s="227">
        <f>(IF((VLOOKUP(Table10[[#This Row],[SKU]],'All Skus'!$A:$AC,2,FALSE))="Martin",(VLOOKUP(Table10[[#This Row],[SKU]],'All Skus'!$A:$AC,18,FALSE)),""))</f>
        <v>0</v>
      </c>
      <c r="O265" s="227">
        <f>(IF((VLOOKUP(Table10[[#This Row],[SKU]],'All Skus'!$A:$AC,2,FALSE))="Martin",(VLOOKUP(Table10[[#This Row],[SKU]],'All Skus'!$A:$AC,19,FALSE)),""))</f>
        <v>0</v>
      </c>
      <c r="P265" s="227">
        <f>(IF((VLOOKUP(Table10[[#This Row],[SKU]],'All Skus'!$A:$AC,2,FALSE))="Martin",(VLOOKUP(Table10[[#This Row],[SKU]],'All Skus'!$A:$AC,20,FALSE)),""))</f>
        <v>0</v>
      </c>
      <c r="Q265" s="227">
        <f>(IF((VLOOKUP(Table10[[#This Row],[SKU]],'All Skus'!$A:$AC,2,FALSE))="Martin",(VLOOKUP(Table10[[#This Row],[SKU]],'All Skus'!$A:$AC,21,FALSE)),""))</f>
        <v>0</v>
      </c>
      <c r="R265" s="224">
        <f>(IF((VLOOKUP(Table10[[#This Row],[SKU]],'All Skus'!$A:$AC,2,FALSE))="Martin",(VLOOKUP(Table10[[#This Row],[SKU]],'All Skus'!$A:$AC,22,FALSE)),""))</f>
        <v>0</v>
      </c>
      <c r="S265" s="223">
        <f>(IF((VLOOKUP(Table10[[#This Row],[SKU]],'All Skus'!$A:$AC,2,FALSE))="Martin",(VLOOKUP(Table10[[#This Row],[SKU]],'All Skus'!$A:$AC,23,FALSE)),""))</f>
        <v>0</v>
      </c>
      <c r="T265" s="212" t="str">
        <f>HYPERLINK((IF((VLOOKUP(Table10[[#This Row],[SKU]],'All Skus'!$A:$AC,2,FALSE))="Martin",(VLOOKUP(Table10[[#This Row],[SKU]],'All Skus'!$A:$AC,24,FALSE)),"")))</f>
        <v/>
      </c>
      <c r="U265" s="228">
        <v>263</v>
      </c>
    </row>
    <row r="266" spans="1:21" hidden="1">
      <c r="A266" s="115" t="s">
        <v>2058</v>
      </c>
      <c r="B266" s="224">
        <f>(IF((VLOOKUP(Table10[[#This Row],[SKU]],'All Skus'!$A:$AC,2,FALSE))="Martin",(VLOOKUP(Table10[[#This Row],[SKU]],'All Skus'!$A:$AC,3,FALSE)),""))</f>
        <v>0</v>
      </c>
      <c r="C266" s="223">
        <f>(IF((VLOOKUP(Table10[[#This Row],[SKU]],'All Skus'!$A:$AC,2,FALSE))="Martin",(VLOOKUP(Table10[[#This Row],[SKU]],'All Skus'!$A:$AC,4,FALSE)),""))</f>
        <v>0</v>
      </c>
      <c r="D266" s="224" t="str">
        <f>(IF((VLOOKUP(Table10[[#This Row],[SKU]],'All Skus'!$A:$AC,2,FALSE))="Martin",(VLOOKUP(Table10[[#This Row],[SKU]],'All Skus'!$A:$AC,5,FALSE)),""))</f>
        <v>EXT-LIN</v>
      </c>
      <c r="E266" s="223">
        <f>(IF((VLOOKUP(Table10[[#This Row],[SKU]],'All Skus'!$A:$AC,2,FALSE))="Martin",(VLOOKUP(Table10[[#This Row],[SKU]],'All Skus'!$A:$AC,6,FALSE)),""))</f>
        <v>0</v>
      </c>
      <c r="F266" s="155">
        <f>(IF((VLOOKUP(Table10[[#This Row],[SKU]],'All Skus'!$A:$AC,2,FALSE))="Martin",(VLOOKUP(Table10[[#This Row],[SKU]],'All Skus'!$A:$AC,7,FALSE)),""))</f>
        <v>0</v>
      </c>
      <c r="G266" s="223">
        <f>(IF((VLOOKUP(Table10[[#This Row],[SKU]],'All Skus'!$A:$AC,2,FALSE))="Martin",(VLOOKUP(Table10[[#This Row],[SKU]],'All Skus'!$A:$AC,8,FALSE)),""))</f>
        <v>0</v>
      </c>
      <c r="H266" s="223">
        <f>(IF((VLOOKUP(Table10[[#This Row],[SKU]],'All Skus'!$A:$AC,2,FALSE))="Martin",(VLOOKUP(Table10[[#This Row],[SKU]],'All Skus'!$A:$AC,9,FALSE)),""))</f>
        <v>0</v>
      </c>
      <c r="I266" s="225">
        <f>(IF((VLOOKUP(Table10[[#This Row],[SKU]],'All Skus'!$A:$AC,2,FALSE))="Martin",(VLOOKUP(Table10[[#This Row],[SKU]],'All Skus'!$A:$AC,10,FALSE)),""))</f>
        <v>0</v>
      </c>
      <c r="J266" s="226">
        <f>(IF((VLOOKUP(Table10[[#This Row],[SKU]],'All Skus'!$A:$AC,2,FALSE))="Martin",(VLOOKUP(Table10[[#This Row],[SKU]],'All Skus'!$A:$AC,11,FALSE)),""))</f>
        <v>0</v>
      </c>
      <c r="K266" s="224">
        <f>(IF((VLOOKUP(Table10[[#This Row],[SKU]],'All Skus'!$A:$AC,2,FALSE))="Martin",(VLOOKUP(Table10[[#This Row],[SKU]],'All Skus'!$A:$AC,15,FALSE)),""))</f>
        <v>0</v>
      </c>
      <c r="L266" s="224">
        <f>(IF((VLOOKUP(Table10[[#This Row],[SKU]],'All Skus'!$A:$AC,2,FALSE))="Martin",(VLOOKUP(Table10[[#This Row],[SKU]],'All Skus'!$A:$AC,16,FALSE)),""))</f>
        <v>0</v>
      </c>
      <c r="M266" s="224">
        <f>(IF((VLOOKUP(Table10[[#This Row],[SKU]],'All Skus'!$A:$AC,2,FALSE))="Martin",(VLOOKUP(Table10[[#This Row],[SKU]],'All Skus'!$A:$AC,17,FALSE)),""))</f>
        <v>0</v>
      </c>
      <c r="N266" s="227">
        <f>(IF((VLOOKUP(Table10[[#This Row],[SKU]],'All Skus'!$A:$AC,2,FALSE))="Martin",(VLOOKUP(Table10[[#This Row],[SKU]],'All Skus'!$A:$AC,18,FALSE)),""))</f>
        <v>0</v>
      </c>
      <c r="O266" s="227">
        <f>(IF((VLOOKUP(Table10[[#This Row],[SKU]],'All Skus'!$A:$AC,2,FALSE))="Martin",(VLOOKUP(Table10[[#This Row],[SKU]],'All Skus'!$A:$AC,19,FALSE)),""))</f>
        <v>0</v>
      </c>
      <c r="P266" s="227">
        <f>(IF((VLOOKUP(Table10[[#This Row],[SKU]],'All Skus'!$A:$AC,2,FALSE))="Martin",(VLOOKUP(Table10[[#This Row],[SKU]],'All Skus'!$A:$AC,20,FALSE)),""))</f>
        <v>0</v>
      </c>
      <c r="Q266" s="227">
        <f>(IF((VLOOKUP(Table10[[#This Row],[SKU]],'All Skus'!$A:$AC,2,FALSE))="Martin",(VLOOKUP(Table10[[#This Row],[SKU]],'All Skus'!$A:$AC,21,FALSE)),""))</f>
        <v>0</v>
      </c>
      <c r="R266" s="224">
        <f>(IF((VLOOKUP(Table10[[#This Row],[SKU]],'All Skus'!$A:$AC,2,FALSE))="Martin",(VLOOKUP(Table10[[#This Row],[SKU]],'All Skus'!$A:$AC,22,FALSE)),""))</f>
        <v>0</v>
      </c>
      <c r="S266" s="223">
        <f>(IF((VLOOKUP(Table10[[#This Row],[SKU]],'All Skus'!$A:$AC,2,FALSE))="Martin",(VLOOKUP(Table10[[#This Row],[SKU]],'All Skus'!$A:$AC,23,FALSE)),""))</f>
        <v>0</v>
      </c>
      <c r="T266" s="212" t="str">
        <f>HYPERLINK((IF((VLOOKUP(Table10[[#This Row],[SKU]],'All Skus'!$A:$AC,2,FALSE))="Martin",(VLOOKUP(Table10[[#This Row],[SKU]],'All Skus'!$A:$AC,24,FALSE)),"")))</f>
        <v/>
      </c>
      <c r="U266" s="228">
        <v>264</v>
      </c>
    </row>
    <row r="267" spans="1:21" hidden="1">
      <c r="A267" s="232" t="s">
        <v>2059</v>
      </c>
      <c r="B267" s="224" t="str">
        <f>(IF((VLOOKUP(Table10[[#This Row],[SKU]],'All Skus'!$A:$AC,2,FALSE))="Martin",(VLOOKUP(Table10[[#This Row],[SKU]],'All Skus'!$A:$AC,3,FALSE)),""))</f>
        <v>Exterior Linear Pro-Cove, CTC, 1ft</v>
      </c>
      <c r="C267" s="223">
        <f>(IF((VLOOKUP(Table10[[#This Row],[SKU]],'All Skus'!$A:$AC,2,FALSE))="Martin",(VLOOKUP(Table10[[#This Row],[SKU]],'All Skus'!$A:$AC,4,FALSE)),""))</f>
        <v>0</v>
      </c>
      <c r="D267" s="224" t="str">
        <f>(IF((VLOOKUP(Table10[[#This Row],[SKU]],'All Skus'!$A:$AC,2,FALSE))="Martin",(VLOOKUP(Table10[[#This Row],[SKU]],'All Skus'!$A:$AC,5,FALSE)),""))</f>
        <v>EXT-LIN</v>
      </c>
      <c r="E267" s="223">
        <f>(IF((VLOOKUP(Table10[[#This Row],[SKU]],'All Skus'!$A:$AC,2,FALSE))="Martin",(VLOOKUP(Table10[[#This Row],[SKU]],'All Skus'!$A:$AC,6,FALSE)),""))</f>
        <v>0</v>
      </c>
      <c r="F267" s="155">
        <f>(IF((VLOOKUP(Table10[[#This Row],[SKU]],'All Skus'!$A:$AC,2,FALSE))="Martin",(VLOOKUP(Table10[[#This Row],[SKU]],'All Skus'!$A:$AC,7,FALSE)),""))</f>
        <v>0</v>
      </c>
      <c r="G267" s="223" t="str">
        <f>(IF((VLOOKUP(Table10[[#This Row],[SKU]],'All Skus'!$A:$AC,2,FALSE))="Martin",(VLOOKUP(Table10[[#This Row],[SKU]],'All Skus'!$A:$AC,8,FALSE)),""))</f>
        <v>Exterior Linear Pro-Cove, CTC, 1ft</v>
      </c>
      <c r="H267" s="223" t="str">
        <f>(IF((VLOOKUP(Table10[[#This Row],[SKU]],'All Skus'!$A:$AC,2,FALSE))="Martin",(VLOOKUP(Table10[[#This Row],[SKU]],'All Skus'!$A:$AC,9,FALSE)),""))</f>
        <v>Exterior Linear Pro-Cove, CTC, 1ft</v>
      </c>
      <c r="I267" s="225">
        <f>(IF((VLOOKUP(Table10[[#This Row],[SKU]],'All Skus'!$A:$AC,2,FALSE))="Martin",(VLOOKUP(Table10[[#This Row],[SKU]],'All Skus'!$A:$AC,10,FALSE)),""))</f>
        <v>509.85</v>
      </c>
      <c r="J267" s="226">
        <f>(IF((VLOOKUP(Table10[[#This Row],[SKU]],'All Skus'!$A:$AC,2,FALSE))="Martin",(VLOOKUP(Table10[[#This Row],[SKU]],'All Skus'!$A:$AC,11,FALSE)),""))</f>
        <v>509.85</v>
      </c>
      <c r="K267" s="224">
        <f>(IF((VLOOKUP(Table10[[#This Row],[SKU]],'All Skus'!$A:$AC,2,FALSE))="Martin",(VLOOKUP(Table10[[#This Row],[SKU]],'All Skus'!$A:$AC,15,FALSE)),""))</f>
        <v>0</v>
      </c>
      <c r="L267" s="224">
        <f>(IF((VLOOKUP(Table10[[#This Row],[SKU]],'All Skus'!$A:$AC,2,FALSE))="Martin",(VLOOKUP(Table10[[#This Row],[SKU]],'All Skus'!$A:$AC,16,FALSE)),""))</f>
        <v>688705008516</v>
      </c>
      <c r="M267" s="224">
        <f>(IF((VLOOKUP(Table10[[#This Row],[SKU]],'All Skus'!$A:$AC,2,FALSE))="Martin",(VLOOKUP(Table10[[#This Row],[SKU]],'All Skus'!$A:$AC,17,FALSE)),""))</f>
        <v>0</v>
      </c>
      <c r="N267" s="227">
        <f>(IF((VLOOKUP(Table10[[#This Row],[SKU]],'All Skus'!$A:$AC,2,FALSE))="Martin",(VLOOKUP(Table10[[#This Row],[SKU]],'All Skus'!$A:$AC,18,FALSE)),""))</f>
        <v>0</v>
      </c>
      <c r="O267" s="227">
        <f>(IF((VLOOKUP(Table10[[#This Row],[SKU]],'All Skus'!$A:$AC,2,FALSE))="Martin",(VLOOKUP(Table10[[#This Row],[SKU]],'All Skus'!$A:$AC,19,FALSE)),""))</f>
        <v>0</v>
      </c>
      <c r="P267" s="227">
        <f>(IF((VLOOKUP(Table10[[#This Row],[SKU]],'All Skus'!$A:$AC,2,FALSE))="Martin",(VLOOKUP(Table10[[#This Row],[SKU]],'All Skus'!$A:$AC,20,FALSE)),""))</f>
        <v>0</v>
      </c>
      <c r="Q267" s="227">
        <f>(IF((VLOOKUP(Table10[[#This Row],[SKU]],'All Skus'!$A:$AC,2,FALSE))="Martin",(VLOOKUP(Table10[[#This Row],[SKU]],'All Skus'!$A:$AC,21,FALSE)),""))</f>
        <v>0</v>
      </c>
      <c r="R267" s="224">
        <f>(IF((VLOOKUP(Table10[[#This Row],[SKU]],'All Skus'!$A:$AC,2,FALSE))="Martin",(VLOOKUP(Table10[[#This Row],[SKU]],'All Skus'!$A:$AC,22,FALSE)),""))</f>
        <v>0</v>
      </c>
      <c r="S267" s="223">
        <f>(IF((VLOOKUP(Table10[[#This Row],[SKU]],'All Skus'!$A:$AC,2,FALSE))="Martin",(VLOOKUP(Table10[[#This Row],[SKU]],'All Skus'!$A:$AC,23,FALSE)),""))</f>
        <v>0</v>
      </c>
      <c r="T267" s="212" t="str">
        <f>HYPERLINK((IF((VLOOKUP(Table10[[#This Row],[SKU]],'All Skus'!$A:$AC,2,FALSE))="Martin",(VLOOKUP(Table10[[#This Row],[SKU]],'All Skus'!$A:$AC,24,FALSE)),"")))</f>
        <v/>
      </c>
      <c r="U267" s="228">
        <v>265</v>
      </c>
    </row>
    <row r="268" spans="1:21" hidden="1">
      <c r="A268" s="232" t="s">
        <v>2060</v>
      </c>
      <c r="B268" s="224" t="str">
        <f>(IF((VLOOKUP(Table10[[#This Row],[SKU]],'All Skus'!$A:$AC,2,FALSE))="Martin",(VLOOKUP(Table10[[#This Row],[SKU]],'All Skus'!$A:$AC,3,FALSE)),""))</f>
        <v>Exterior Linear Pro-Cove, CTC, 4ft</v>
      </c>
      <c r="C268" s="223">
        <f>(IF((VLOOKUP(Table10[[#This Row],[SKU]],'All Skus'!$A:$AC,2,FALSE))="Martin",(VLOOKUP(Table10[[#This Row],[SKU]],'All Skus'!$A:$AC,4,FALSE)),""))</f>
        <v>0</v>
      </c>
      <c r="D268" s="224" t="str">
        <f>(IF((VLOOKUP(Table10[[#This Row],[SKU]],'All Skus'!$A:$AC,2,FALSE))="Martin",(VLOOKUP(Table10[[#This Row],[SKU]],'All Skus'!$A:$AC,5,FALSE)),""))</f>
        <v>EXT-LIN</v>
      </c>
      <c r="E268" s="223">
        <f>(IF((VLOOKUP(Table10[[#This Row],[SKU]],'All Skus'!$A:$AC,2,FALSE))="Martin",(VLOOKUP(Table10[[#This Row],[SKU]],'All Skus'!$A:$AC,6,FALSE)),""))</f>
        <v>0</v>
      </c>
      <c r="F268" s="155">
        <f>(IF((VLOOKUP(Table10[[#This Row],[SKU]],'All Skus'!$A:$AC,2,FALSE))="Martin",(VLOOKUP(Table10[[#This Row],[SKU]],'All Skus'!$A:$AC,7,FALSE)),""))</f>
        <v>0</v>
      </c>
      <c r="G268" s="223" t="str">
        <f>(IF((VLOOKUP(Table10[[#This Row],[SKU]],'All Skus'!$A:$AC,2,FALSE))="Martin",(VLOOKUP(Table10[[#This Row],[SKU]],'All Skus'!$A:$AC,8,FALSE)),""))</f>
        <v>Exterior Linear Pro-Cove, CTC, 4ft</v>
      </c>
      <c r="H268" s="223" t="str">
        <f>(IF((VLOOKUP(Table10[[#This Row],[SKU]],'All Skus'!$A:$AC,2,FALSE))="Martin",(VLOOKUP(Table10[[#This Row],[SKU]],'All Skus'!$A:$AC,9,FALSE)),""))</f>
        <v>Exterior Linear Pro-Cove, CTC, 4ft</v>
      </c>
      <c r="I268" s="225">
        <f>(IF((VLOOKUP(Table10[[#This Row],[SKU]],'All Skus'!$A:$AC,2,FALSE))="Martin",(VLOOKUP(Table10[[#This Row],[SKU]],'All Skus'!$A:$AC,10,FALSE)),""))</f>
        <v>1282.3499999999999</v>
      </c>
      <c r="J268" s="226">
        <f>(IF((VLOOKUP(Table10[[#This Row],[SKU]],'All Skus'!$A:$AC,2,FALSE))="Martin",(VLOOKUP(Table10[[#This Row],[SKU]],'All Skus'!$A:$AC,11,FALSE)),""))</f>
        <v>1282.3499999999999</v>
      </c>
      <c r="K268" s="224">
        <f>(IF((VLOOKUP(Table10[[#This Row],[SKU]],'All Skus'!$A:$AC,2,FALSE))="Martin",(VLOOKUP(Table10[[#This Row],[SKU]],'All Skus'!$A:$AC,15,FALSE)),""))</f>
        <v>0</v>
      </c>
      <c r="L268" s="224">
        <f>(IF((VLOOKUP(Table10[[#This Row],[SKU]],'All Skus'!$A:$AC,2,FALSE))="Martin",(VLOOKUP(Table10[[#This Row],[SKU]],'All Skus'!$A:$AC,16,FALSE)),""))</f>
        <v>688705008530</v>
      </c>
      <c r="M268" s="224">
        <f>(IF((VLOOKUP(Table10[[#This Row],[SKU]],'All Skus'!$A:$AC,2,FALSE))="Martin",(VLOOKUP(Table10[[#This Row],[SKU]],'All Skus'!$A:$AC,17,FALSE)),""))</f>
        <v>0</v>
      </c>
      <c r="N268" s="227">
        <f>(IF((VLOOKUP(Table10[[#This Row],[SKU]],'All Skus'!$A:$AC,2,FALSE))="Martin",(VLOOKUP(Table10[[#This Row],[SKU]],'All Skus'!$A:$AC,18,FALSE)),""))</f>
        <v>0</v>
      </c>
      <c r="O268" s="227">
        <f>(IF((VLOOKUP(Table10[[#This Row],[SKU]],'All Skus'!$A:$AC,2,FALSE))="Martin",(VLOOKUP(Table10[[#This Row],[SKU]],'All Skus'!$A:$AC,19,FALSE)),""))</f>
        <v>0</v>
      </c>
      <c r="P268" s="227">
        <f>(IF((VLOOKUP(Table10[[#This Row],[SKU]],'All Skus'!$A:$AC,2,FALSE))="Martin",(VLOOKUP(Table10[[#This Row],[SKU]],'All Skus'!$A:$AC,20,FALSE)),""))</f>
        <v>0</v>
      </c>
      <c r="Q268" s="227">
        <f>(IF((VLOOKUP(Table10[[#This Row],[SKU]],'All Skus'!$A:$AC,2,FALSE))="Martin",(VLOOKUP(Table10[[#This Row],[SKU]],'All Skus'!$A:$AC,21,FALSE)),""))</f>
        <v>0</v>
      </c>
      <c r="R268" s="224">
        <f>(IF((VLOOKUP(Table10[[#This Row],[SKU]],'All Skus'!$A:$AC,2,FALSE))="Martin",(VLOOKUP(Table10[[#This Row],[SKU]],'All Skus'!$A:$AC,22,FALSE)),""))</f>
        <v>0</v>
      </c>
      <c r="S268" s="223">
        <f>(IF((VLOOKUP(Table10[[#This Row],[SKU]],'All Skus'!$A:$AC,2,FALSE))="Martin",(VLOOKUP(Table10[[#This Row],[SKU]],'All Skus'!$A:$AC,23,FALSE)),""))</f>
        <v>0</v>
      </c>
      <c r="T268" s="212" t="str">
        <f>HYPERLINK((IF((VLOOKUP(Table10[[#This Row],[SKU]],'All Skus'!$A:$AC,2,FALSE))="Martin",(VLOOKUP(Table10[[#This Row],[SKU]],'All Skus'!$A:$AC,24,FALSE)),"")))</f>
        <v/>
      </c>
      <c r="U268" s="228">
        <v>266</v>
      </c>
    </row>
    <row r="269" spans="1:21" hidden="1">
      <c r="A269" s="230" t="s">
        <v>2061</v>
      </c>
      <c r="B269" s="224">
        <f>(IF((VLOOKUP(Table10[[#This Row],[SKU]],'All Skus'!$A:$AC,2,FALSE))="Martin",(VLOOKUP(Table10[[#This Row],[SKU]],'All Skus'!$A:$AC,3,FALSE)),""))</f>
        <v>0</v>
      </c>
      <c r="C269" s="223">
        <f>(IF((VLOOKUP(Table10[[#This Row],[SKU]],'All Skus'!$A:$AC,2,FALSE))="Martin",(VLOOKUP(Table10[[#This Row],[SKU]],'All Skus'!$A:$AC,4,FALSE)),""))</f>
        <v>0</v>
      </c>
      <c r="D269" s="224" t="str">
        <f>(IF((VLOOKUP(Table10[[#This Row],[SKU]],'All Skus'!$A:$AC,2,FALSE))="Martin",(VLOOKUP(Table10[[#This Row],[SKU]],'All Skus'!$A:$AC,5,FALSE)),""))</f>
        <v>EXT-LIN</v>
      </c>
      <c r="E269" s="223">
        <f>(IF((VLOOKUP(Table10[[#This Row],[SKU]],'All Skus'!$A:$AC,2,FALSE))="Martin",(VLOOKUP(Table10[[#This Row],[SKU]],'All Skus'!$A:$AC,6,FALSE)),""))</f>
        <v>0</v>
      </c>
      <c r="F269" s="155">
        <f>(IF((VLOOKUP(Table10[[#This Row],[SKU]],'All Skus'!$A:$AC,2,FALSE))="Martin",(VLOOKUP(Table10[[#This Row],[SKU]],'All Skus'!$A:$AC,7,FALSE)),""))</f>
        <v>0</v>
      </c>
      <c r="G269" s="223">
        <f>(IF((VLOOKUP(Table10[[#This Row],[SKU]],'All Skus'!$A:$AC,2,FALSE))="Martin",(VLOOKUP(Table10[[#This Row],[SKU]],'All Skus'!$A:$AC,8,FALSE)),""))</f>
        <v>0</v>
      </c>
      <c r="H269" s="223">
        <f>(IF((VLOOKUP(Table10[[#This Row],[SKU]],'All Skus'!$A:$AC,2,FALSE))="Martin",(VLOOKUP(Table10[[#This Row],[SKU]],'All Skus'!$A:$AC,9,FALSE)),""))</f>
        <v>0</v>
      </c>
      <c r="I269" s="225">
        <f>(IF((VLOOKUP(Table10[[#This Row],[SKU]],'All Skus'!$A:$AC,2,FALSE))="Martin",(VLOOKUP(Table10[[#This Row],[SKU]],'All Skus'!$A:$AC,10,FALSE)),""))</f>
        <v>0</v>
      </c>
      <c r="J269" s="226">
        <f>(IF((VLOOKUP(Table10[[#This Row],[SKU]],'All Skus'!$A:$AC,2,FALSE))="Martin",(VLOOKUP(Table10[[#This Row],[SKU]],'All Skus'!$A:$AC,11,FALSE)),""))</f>
        <v>0</v>
      </c>
      <c r="K269" s="224">
        <f>(IF((VLOOKUP(Table10[[#This Row],[SKU]],'All Skus'!$A:$AC,2,FALSE))="Martin",(VLOOKUP(Table10[[#This Row],[SKU]],'All Skus'!$A:$AC,15,FALSE)),""))</f>
        <v>0</v>
      </c>
      <c r="L269" s="224">
        <f>(IF((VLOOKUP(Table10[[#This Row],[SKU]],'All Skus'!$A:$AC,2,FALSE))="Martin",(VLOOKUP(Table10[[#This Row],[SKU]],'All Skus'!$A:$AC,16,FALSE)),""))</f>
        <v>0</v>
      </c>
      <c r="M269" s="224">
        <f>(IF((VLOOKUP(Table10[[#This Row],[SKU]],'All Skus'!$A:$AC,2,FALSE))="Martin",(VLOOKUP(Table10[[#This Row],[SKU]],'All Skus'!$A:$AC,17,FALSE)),""))</f>
        <v>0</v>
      </c>
      <c r="N269" s="227">
        <f>(IF((VLOOKUP(Table10[[#This Row],[SKU]],'All Skus'!$A:$AC,2,FALSE))="Martin",(VLOOKUP(Table10[[#This Row],[SKU]],'All Skus'!$A:$AC,18,FALSE)),""))</f>
        <v>0</v>
      </c>
      <c r="O269" s="227">
        <f>(IF((VLOOKUP(Table10[[#This Row],[SKU]],'All Skus'!$A:$AC,2,FALSE))="Martin",(VLOOKUP(Table10[[#This Row],[SKU]],'All Skus'!$A:$AC,19,FALSE)),""))</f>
        <v>0</v>
      </c>
      <c r="P269" s="227">
        <f>(IF((VLOOKUP(Table10[[#This Row],[SKU]],'All Skus'!$A:$AC,2,FALSE))="Martin",(VLOOKUP(Table10[[#This Row],[SKU]],'All Skus'!$A:$AC,20,FALSE)),""))</f>
        <v>0</v>
      </c>
      <c r="Q269" s="227">
        <f>(IF((VLOOKUP(Table10[[#This Row],[SKU]],'All Skus'!$A:$AC,2,FALSE))="Martin",(VLOOKUP(Table10[[#This Row],[SKU]],'All Skus'!$A:$AC,21,FALSE)),""))</f>
        <v>0</v>
      </c>
      <c r="R269" s="224">
        <f>(IF((VLOOKUP(Table10[[#This Row],[SKU]],'All Skus'!$A:$AC,2,FALSE))="Martin",(VLOOKUP(Table10[[#This Row],[SKU]],'All Skus'!$A:$AC,22,FALSE)),""))</f>
        <v>0</v>
      </c>
      <c r="S269" s="223">
        <f>(IF((VLOOKUP(Table10[[#This Row],[SKU]],'All Skus'!$A:$AC,2,FALSE))="Martin",(VLOOKUP(Table10[[#This Row],[SKU]],'All Skus'!$A:$AC,23,FALSE)),""))</f>
        <v>0</v>
      </c>
      <c r="T269" s="212" t="str">
        <f>HYPERLINK((IF((VLOOKUP(Table10[[#This Row],[SKU]],'All Skus'!$A:$AC,2,FALSE))="Martin",(VLOOKUP(Table10[[#This Row],[SKU]],'All Skus'!$A:$AC,24,FALSE)),"")))</f>
        <v/>
      </c>
      <c r="U269" s="228">
        <v>267</v>
      </c>
    </row>
    <row r="270" spans="1:21" hidden="1">
      <c r="A270" s="232" t="s">
        <v>2062</v>
      </c>
      <c r="B270" s="224" t="str">
        <f>(IF((VLOOKUP(Table10[[#This Row],[SKU]],'All Skus'!$A:$AC,2,FALSE))="Martin",(VLOOKUP(Table10[[#This Row],[SKU]],'All Skus'!$A:$AC,3,FALSE)),""))</f>
        <v>Adjustable bracket , EL Pro, 10 pcs</v>
      </c>
      <c r="C270" s="223">
        <f>(IF((VLOOKUP(Table10[[#This Row],[SKU]],'All Skus'!$A:$AC,2,FALSE))="Martin",(VLOOKUP(Table10[[#This Row],[SKU]],'All Skus'!$A:$AC,4,FALSE)),""))</f>
        <v>0</v>
      </c>
      <c r="D270" s="224" t="str">
        <f>(IF((VLOOKUP(Table10[[#This Row],[SKU]],'All Skus'!$A:$AC,2,FALSE))="Martin",(VLOOKUP(Table10[[#This Row],[SKU]],'All Skus'!$A:$AC,5,FALSE)),""))</f>
        <v>EXT-LIN</v>
      </c>
      <c r="E270" s="223">
        <f>(IF((VLOOKUP(Table10[[#This Row],[SKU]],'All Skus'!$A:$AC,2,FALSE))="Martin",(VLOOKUP(Table10[[#This Row],[SKU]],'All Skus'!$A:$AC,6,FALSE)),""))</f>
        <v>0</v>
      </c>
      <c r="F270" s="155">
        <f>(IF((VLOOKUP(Table10[[#This Row],[SKU]],'All Skus'!$A:$AC,2,FALSE))="Martin",(VLOOKUP(Table10[[#This Row],[SKU]],'All Skus'!$A:$AC,7,FALSE)),""))</f>
        <v>0</v>
      </c>
      <c r="G270" s="223" t="str">
        <f>(IF((VLOOKUP(Table10[[#This Row],[SKU]],'All Skus'!$A:$AC,2,FALSE))="Martin",(VLOOKUP(Table10[[#This Row],[SKU]],'All Skus'!$A:$AC,8,FALSE)),""))</f>
        <v>Adjustable bracket , EL Pro, 10 pcs</v>
      </c>
      <c r="H270" s="223" t="str">
        <f>(IF((VLOOKUP(Table10[[#This Row],[SKU]],'All Skus'!$A:$AC,2,FALSE))="Martin",(VLOOKUP(Table10[[#This Row],[SKU]],'All Skus'!$A:$AC,9,FALSE)),""))</f>
        <v>Adjustable bracket , EL Pro, 10 pcs</v>
      </c>
      <c r="I270" s="225">
        <f>(IF((VLOOKUP(Table10[[#This Row],[SKU]],'All Skus'!$A:$AC,2,FALSE))="Martin",(VLOOKUP(Table10[[#This Row],[SKU]],'All Skus'!$A:$AC,10,FALSE)),""))</f>
        <v>257.5</v>
      </c>
      <c r="J270" s="226">
        <f>(IF((VLOOKUP(Table10[[#This Row],[SKU]],'All Skus'!$A:$AC,2,FALSE))="Martin",(VLOOKUP(Table10[[#This Row],[SKU]],'All Skus'!$A:$AC,11,FALSE)),""))</f>
        <v>257.5</v>
      </c>
      <c r="K270" s="224">
        <f>(IF((VLOOKUP(Table10[[#This Row],[SKU]],'All Skus'!$A:$AC,2,FALSE))="Martin",(VLOOKUP(Table10[[#This Row],[SKU]],'All Skus'!$A:$AC,15,FALSE)),""))</f>
        <v>0</v>
      </c>
      <c r="L270" s="224">
        <f>(IF((VLOOKUP(Table10[[#This Row],[SKU]],'All Skus'!$A:$AC,2,FALSE))="Martin",(VLOOKUP(Table10[[#This Row],[SKU]],'All Skus'!$A:$AC,16,FALSE)),""))</f>
        <v>688705008592</v>
      </c>
      <c r="M270" s="224">
        <f>(IF((VLOOKUP(Table10[[#This Row],[SKU]],'All Skus'!$A:$AC,2,FALSE))="Martin",(VLOOKUP(Table10[[#This Row],[SKU]],'All Skus'!$A:$AC,17,FALSE)),""))</f>
        <v>0</v>
      </c>
      <c r="N270" s="227">
        <f>(IF((VLOOKUP(Table10[[#This Row],[SKU]],'All Skus'!$A:$AC,2,FALSE))="Martin",(VLOOKUP(Table10[[#This Row],[SKU]],'All Skus'!$A:$AC,18,FALSE)),""))</f>
        <v>0</v>
      </c>
      <c r="O270" s="227">
        <f>(IF((VLOOKUP(Table10[[#This Row],[SKU]],'All Skus'!$A:$AC,2,FALSE))="Martin",(VLOOKUP(Table10[[#This Row],[SKU]],'All Skus'!$A:$AC,19,FALSE)),""))</f>
        <v>0</v>
      </c>
      <c r="P270" s="227">
        <f>(IF((VLOOKUP(Table10[[#This Row],[SKU]],'All Skus'!$A:$AC,2,FALSE))="Martin",(VLOOKUP(Table10[[#This Row],[SKU]],'All Skus'!$A:$AC,20,FALSE)),""))</f>
        <v>0</v>
      </c>
      <c r="Q270" s="227">
        <f>(IF((VLOOKUP(Table10[[#This Row],[SKU]],'All Skus'!$A:$AC,2,FALSE))="Martin",(VLOOKUP(Table10[[#This Row],[SKU]],'All Skus'!$A:$AC,21,FALSE)),""))</f>
        <v>0</v>
      </c>
      <c r="R270" s="224">
        <f>(IF((VLOOKUP(Table10[[#This Row],[SKU]],'All Skus'!$A:$AC,2,FALSE))="Martin",(VLOOKUP(Table10[[#This Row],[SKU]],'All Skus'!$A:$AC,22,FALSE)),""))</f>
        <v>0</v>
      </c>
      <c r="S270" s="223">
        <f>(IF((VLOOKUP(Table10[[#This Row],[SKU]],'All Skus'!$A:$AC,2,FALSE))="Martin",(VLOOKUP(Table10[[#This Row],[SKU]],'All Skus'!$A:$AC,23,FALSE)),""))</f>
        <v>0</v>
      </c>
      <c r="T270" s="212" t="str">
        <f>HYPERLINK((IF((VLOOKUP(Table10[[#This Row],[SKU]],'All Skus'!$A:$AC,2,FALSE))="Martin",(VLOOKUP(Table10[[#This Row],[SKU]],'All Skus'!$A:$AC,24,FALSE)),"")))</f>
        <v/>
      </c>
      <c r="U270" s="228">
        <v>268</v>
      </c>
    </row>
    <row r="271" spans="1:21" hidden="1">
      <c r="A271" s="232" t="s">
        <v>2063</v>
      </c>
      <c r="B271" s="224" t="str">
        <f>(IF((VLOOKUP(Table10[[#This Row],[SKU]],'All Skus'!$A:$AC,2,FALSE))="Martin",(VLOOKUP(Table10[[#This Row],[SKU]],'All Skus'!$A:$AC,3,FALSE)),""))</f>
        <v>Flange bracket, EL Pro, 10 pcs</v>
      </c>
      <c r="C271" s="223">
        <f>(IF((VLOOKUP(Table10[[#This Row],[SKU]],'All Skus'!$A:$AC,2,FALSE))="Martin",(VLOOKUP(Table10[[#This Row],[SKU]],'All Skus'!$A:$AC,4,FALSE)),""))</f>
        <v>0</v>
      </c>
      <c r="D271" s="224" t="str">
        <f>(IF((VLOOKUP(Table10[[#This Row],[SKU]],'All Skus'!$A:$AC,2,FALSE))="Martin",(VLOOKUP(Table10[[#This Row],[SKU]],'All Skus'!$A:$AC,5,FALSE)),""))</f>
        <v>EXT-LIN</v>
      </c>
      <c r="E271" s="223">
        <f>(IF((VLOOKUP(Table10[[#This Row],[SKU]],'All Skus'!$A:$AC,2,FALSE))="Martin",(VLOOKUP(Table10[[#This Row],[SKU]],'All Skus'!$A:$AC,6,FALSE)),""))</f>
        <v>0</v>
      </c>
      <c r="F271" s="155">
        <f>(IF((VLOOKUP(Table10[[#This Row],[SKU]],'All Skus'!$A:$AC,2,FALSE))="Martin",(VLOOKUP(Table10[[#This Row],[SKU]],'All Skus'!$A:$AC,7,FALSE)),""))</f>
        <v>0</v>
      </c>
      <c r="G271" s="223" t="str">
        <f>(IF((VLOOKUP(Table10[[#This Row],[SKU]],'All Skus'!$A:$AC,2,FALSE))="Martin",(VLOOKUP(Table10[[#This Row],[SKU]],'All Skus'!$A:$AC,8,FALSE)),""))</f>
        <v>Flange bracket, EL Pro, 10 pcs</v>
      </c>
      <c r="H271" s="223" t="str">
        <f>(IF((VLOOKUP(Table10[[#This Row],[SKU]],'All Skus'!$A:$AC,2,FALSE))="Martin",(VLOOKUP(Table10[[#This Row],[SKU]],'All Skus'!$A:$AC,9,FALSE)),""))</f>
        <v>Flange bracket, EL Pro, 10 pcs</v>
      </c>
      <c r="I271" s="225">
        <f>(IF((VLOOKUP(Table10[[#This Row],[SKU]],'All Skus'!$A:$AC,2,FALSE))="Martin",(VLOOKUP(Table10[[#This Row],[SKU]],'All Skus'!$A:$AC,10,FALSE)),""))</f>
        <v>123.6</v>
      </c>
      <c r="J271" s="226">
        <f>(IF((VLOOKUP(Table10[[#This Row],[SKU]],'All Skus'!$A:$AC,2,FALSE))="Martin",(VLOOKUP(Table10[[#This Row],[SKU]],'All Skus'!$A:$AC,11,FALSE)),""))</f>
        <v>123.6</v>
      </c>
      <c r="K271" s="224">
        <f>(IF((VLOOKUP(Table10[[#This Row],[SKU]],'All Skus'!$A:$AC,2,FALSE))="Martin",(VLOOKUP(Table10[[#This Row],[SKU]],'All Skus'!$A:$AC,15,FALSE)),""))</f>
        <v>0</v>
      </c>
      <c r="L271" s="224">
        <f>(IF((VLOOKUP(Table10[[#This Row],[SKU]],'All Skus'!$A:$AC,2,FALSE))="Martin",(VLOOKUP(Table10[[#This Row],[SKU]],'All Skus'!$A:$AC,16,FALSE)),""))</f>
        <v>688705008608</v>
      </c>
      <c r="M271" s="224">
        <f>(IF((VLOOKUP(Table10[[#This Row],[SKU]],'All Skus'!$A:$AC,2,FALSE))="Martin",(VLOOKUP(Table10[[#This Row],[SKU]],'All Skus'!$A:$AC,17,FALSE)),""))</f>
        <v>0</v>
      </c>
      <c r="N271" s="227">
        <f>(IF((VLOOKUP(Table10[[#This Row],[SKU]],'All Skus'!$A:$AC,2,FALSE))="Martin",(VLOOKUP(Table10[[#This Row],[SKU]],'All Skus'!$A:$AC,18,FALSE)),""))</f>
        <v>0</v>
      </c>
      <c r="O271" s="227">
        <f>(IF((VLOOKUP(Table10[[#This Row],[SKU]],'All Skus'!$A:$AC,2,FALSE))="Martin",(VLOOKUP(Table10[[#This Row],[SKU]],'All Skus'!$A:$AC,19,FALSE)),""))</f>
        <v>0</v>
      </c>
      <c r="P271" s="227">
        <f>(IF((VLOOKUP(Table10[[#This Row],[SKU]],'All Skus'!$A:$AC,2,FALSE))="Martin",(VLOOKUP(Table10[[#This Row],[SKU]],'All Skus'!$A:$AC,20,FALSE)),""))</f>
        <v>0</v>
      </c>
      <c r="Q271" s="227">
        <f>(IF((VLOOKUP(Table10[[#This Row],[SKU]],'All Skus'!$A:$AC,2,FALSE))="Martin",(VLOOKUP(Table10[[#This Row],[SKU]],'All Skus'!$A:$AC,21,FALSE)),""))</f>
        <v>0</v>
      </c>
      <c r="R271" s="224">
        <f>(IF((VLOOKUP(Table10[[#This Row],[SKU]],'All Skus'!$A:$AC,2,FALSE))="Martin",(VLOOKUP(Table10[[#This Row],[SKU]],'All Skus'!$A:$AC,22,FALSE)),""))</f>
        <v>0</v>
      </c>
      <c r="S271" s="223">
        <f>(IF((VLOOKUP(Table10[[#This Row],[SKU]],'All Skus'!$A:$AC,2,FALSE))="Martin",(VLOOKUP(Table10[[#This Row],[SKU]],'All Skus'!$A:$AC,23,FALSE)),""))</f>
        <v>0</v>
      </c>
      <c r="T271" s="212" t="str">
        <f>HYPERLINK((IF((VLOOKUP(Table10[[#This Row],[SKU]],'All Skus'!$A:$AC,2,FALSE))="Martin",(VLOOKUP(Table10[[#This Row],[SKU]],'All Skus'!$A:$AC,24,FALSE)),"")))</f>
        <v/>
      </c>
      <c r="U271" s="228">
        <v>269</v>
      </c>
    </row>
    <row r="272" spans="1:21" hidden="1">
      <c r="A272" s="232" t="s">
        <v>2064</v>
      </c>
      <c r="B272" s="224" t="str">
        <f>(IF((VLOOKUP(Table10[[#This Row],[SKU]],'All Skus'!$A:$AC,2,FALSE))="Martin",(VLOOKUP(Table10[[#This Row],[SKU]],'All Skus'!$A:$AC,3,FALSE)),""))</f>
        <v>Quick mount bracket, EL Pro, 10 pcs</v>
      </c>
      <c r="C272" s="223">
        <f>(IF((VLOOKUP(Table10[[#This Row],[SKU]],'All Skus'!$A:$AC,2,FALSE))="Martin",(VLOOKUP(Table10[[#This Row],[SKU]],'All Skus'!$A:$AC,4,FALSE)),""))</f>
        <v>0</v>
      </c>
      <c r="D272" s="224" t="str">
        <f>(IF((VLOOKUP(Table10[[#This Row],[SKU]],'All Skus'!$A:$AC,2,FALSE))="Martin",(VLOOKUP(Table10[[#This Row],[SKU]],'All Skus'!$A:$AC,5,FALSE)),""))</f>
        <v>EXT-LIN</v>
      </c>
      <c r="E272" s="223">
        <f>(IF((VLOOKUP(Table10[[#This Row],[SKU]],'All Skus'!$A:$AC,2,FALSE))="Martin",(VLOOKUP(Table10[[#This Row],[SKU]],'All Skus'!$A:$AC,6,FALSE)),""))</f>
        <v>0</v>
      </c>
      <c r="F272" s="155">
        <f>(IF((VLOOKUP(Table10[[#This Row],[SKU]],'All Skus'!$A:$AC,2,FALSE))="Martin",(VLOOKUP(Table10[[#This Row],[SKU]],'All Skus'!$A:$AC,7,FALSE)),""))</f>
        <v>0</v>
      </c>
      <c r="G272" s="223" t="str">
        <f>(IF((VLOOKUP(Table10[[#This Row],[SKU]],'All Skus'!$A:$AC,2,FALSE))="Martin",(VLOOKUP(Table10[[#This Row],[SKU]],'All Skus'!$A:$AC,8,FALSE)),""))</f>
        <v>Quick mount bracket, EL Pro, 10 pcs</v>
      </c>
      <c r="H272" s="223" t="str">
        <f>(IF((VLOOKUP(Table10[[#This Row],[SKU]],'All Skus'!$A:$AC,2,FALSE))="Martin",(VLOOKUP(Table10[[#This Row],[SKU]],'All Skus'!$A:$AC,9,FALSE)),""))</f>
        <v>Quick mount bracket, EL Pro, 10 pcs</v>
      </c>
      <c r="I272" s="225">
        <f>(IF((VLOOKUP(Table10[[#This Row],[SKU]],'All Skus'!$A:$AC,2,FALSE))="Martin",(VLOOKUP(Table10[[#This Row],[SKU]],'All Skus'!$A:$AC,10,FALSE)),""))</f>
        <v>257.5</v>
      </c>
      <c r="J272" s="226">
        <f>(IF((VLOOKUP(Table10[[#This Row],[SKU]],'All Skus'!$A:$AC,2,FALSE))="Martin",(VLOOKUP(Table10[[#This Row],[SKU]],'All Skus'!$A:$AC,11,FALSE)),""))</f>
        <v>257.5</v>
      </c>
      <c r="K272" s="224">
        <f>(IF((VLOOKUP(Table10[[#This Row],[SKU]],'All Skus'!$A:$AC,2,FALSE))="Martin",(VLOOKUP(Table10[[#This Row],[SKU]],'All Skus'!$A:$AC,15,FALSE)),""))</f>
        <v>0</v>
      </c>
      <c r="L272" s="224">
        <f>(IF((VLOOKUP(Table10[[#This Row],[SKU]],'All Skus'!$A:$AC,2,FALSE))="Martin",(VLOOKUP(Table10[[#This Row],[SKU]],'All Skus'!$A:$AC,16,FALSE)),""))</f>
        <v>688705008615</v>
      </c>
      <c r="M272" s="224">
        <f>(IF((VLOOKUP(Table10[[#This Row],[SKU]],'All Skus'!$A:$AC,2,FALSE))="Martin",(VLOOKUP(Table10[[#This Row],[SKU]],'All Skus'!$A:$AC,17,FALSE)),""))</f>
        <v>0</v>
      </c>
      <c r="N272" s="227">
        <f>(IF((VLOOKUP(Table10[[#This Row],[SKU]],'All Skus'!$A:$AC,2,FALSE))="Martin",(VLOOKUP(Table10[[#This Row],[SKU]],'All Skus'!$A:$AC,18,FALSE)),""))</f>
        <v>0</v>
      </c>
      <c r="O272" s="227">
        <f>(IF((VLOOKUP(Table10[[#This Row],[SKU]],'All Skus'!$A:$AC,2,FALSE))="Martin",(VLOOKUP(Table10[[#This Row],[SKU]],'All Skus'!$A:$AC,19,FALSE)),""))</f>
        <v>0</v>
      </c>
      <c r="P272" s="227">
        <f>(IF((VLOOKUP(Table10[[#This Row],[SKU]],'All Skus'!$A:$AC,2,FALSE))="Martin",(VLOOKUP(Table10[[#This Row],[SKU]],'All Skus'!$A:$AC,20,FALSE)),""))</f>
        <v>0</v>
      </c>
      <c r="Q272" s="227">
        <f>(IF((VLOOKUP(Table10[[#This Row],[SKU]],'All Skus'!$A:$AC,2,FALSE))="Martin",(VLOOKUP(Table10[[#This Row],[SKU]],'All Skus'!$A:$AC,21,FALSE)),""))</f>
        <v>0</v>
      </c>
      <c r="R272" s="224">
        <f>(IF((VLOOKUP(Table10[[#This Row],[SKU]],'All Skus'!$A:$AC,2,FALSE))="Martin",(VLOOKUP(Table10[[#This Row],[SKU]],'All Skus'!$A:$AC,22,FALSE)),""))</f>
        <v>0</v>
      </c>
      <c r="S272" s="223">
        <f>(IF((VLOOKUP(Table10[[#This Row],[SKU]],'All Skus'!$A:$AC,2,FALSE))="Martin",(VLOOKUP(Table10[[#This Row],[SKU]],'All Skus'!$A:$AC,23,FALSE)),""))</f>
        <v>0</v>
      </c>
      <c r="T272" s="212" t="str">
        <f>HYPERLINK((IF((VLOOKUP(Table10[[#This Row],[SKU]],'All Skus'!$A:$AC,2,FALSE))="Martin",(VLOOKUP(Table10[[#This Row],[SKU]],'All Skus'!$A:$AC,24,FALSE)),"")))</f>
        <v/>
      </c>
      <c r="U272" s="228">
        <v>270</v>
      </c>
    </row>
    <row r="273" spans="1:21" hidden="1">
      <c r="A273" s="230" t="s">
        <v>2065</v>
      </c>
      <c r="B273" s="224">
        <f>(IF((VLOOKUP(Table10[[#This Row],[SKU]],'All Skus'!$A:$AC,2,FALSE))="Martin",(VLOOKUP(Table10[[#This Row],[SKU]],'All Skus'!$A:$AC,3,FALSE)),""))</f>
        <v>0</v>
      </c>
      <c r="C273" s="223">
        <f>(IF((VLOOKUP(Table10[[#This Row],[SKU]],'All Skus'!$A:$AC,2,FALSE))="Martin",(VLOOKUP(Table10[[#This Row],[SKU]],'All Skus'!$A:$AC,4,FALSE)),""))</f>
        <v>0</v>
      </c>
      <c r="D273" s="224" t="str">
        <f>(IF((VLOOKUP(Table10[[#This Row],[SKU]],'All Skus'!$A:$AC,2,FALSE))="Martin",(VLOOKUP(Table10[[#This Row],[SKU]],'All Skus'!$A:$AC,5,FALSE)),""))</f>
        <v>EXT-LIN</v>
      </c>
      <c r="E273" s="223">
        <f>(IF((VLOOKUP(Table10[[#This Row],[SKU]],'All Skus'!$A:$AC,2,FALSE))="Martin",(VLOOKUP(Table10[[#This Row],[SKU]],'All Skus'!$A:$AC,6,FALSE)),""))</f>
        <v>0</v>
      </c>
      <c r="F273" s="155">
        <f>(IF((VLOOKUP(Table10[[#This Row],[SKU]],'All Skus'!$A:$AC,2,FALSE))="Martin",(VLOOKUP(Table10[[#This Row],[SKU]],'All Skus'!$A:$AC,7,FALSE)),""))</f>
        <v>0</v>
      </c>
      <c r="G273" s="223">
        <f>(IF((VLOOKUP(Table10[[#This Row],[SKU]],'All Skus'!$A:$AC,2,FALSE))="Martin",(VLOOKUP(Table10[[#This Row],[SKU]],'All Skus'!$A:$AC,8,FALSE)),""))</f>
        <v>0</v>
      </c>
      <c r="H273" s="223">
        <f>(IF((VLOOKUP(Table10[[#This Row],[SKU]],'All Skus'!$A:$AC,2,FALSE))="Martin",(VLOOKUP(Table10[[#This Row],[SKU]],'All Skus'!$A:$AC,9,FALSE)),""))</f>
        <v>0</v>
      </c>
      <c r="I273" s="225">
        <f>(IF((VLOOKUP(Table10[[#This Row],[SKU]],'All Skus'!$A:$AC,2,FALSE))="Martin",(VLOOKUP(Table10[[#This Row],[SKU]],'All Skus'!$A:$AC,10,FALSE)),""))</f>
        <v>0</v>
      </c>
      <c r="J273" s="226">
        <f>(IF((VLOOKUP(Table10[[#This Row],[SKU]],'All Skus'!$A:$AC,2,FALSE))="Martin",(VLOOKUP(Table10[[#This Row],[SKU]],'All Skus'!$A:$AC,11,FALSE)),""))</f>
        <v>0</v>
      </c>
      <c r="K273" s="224">
        <f>(IF((VLOOKUP(Table10[[#This Row],[SKU]],'All Skus'!$A:$AC,2,FALSE))="Martin",(VLOOKUP(Table10[[#This Row],[SKU]],'All Skus'!$A:$AC,15,FALSE)),""))</f>
        <v>0</v>
      </c>
      <c r="L273" s="224">
        <f>(IF((VLOOKUP(Table10[[#This Row],[SKU]],'All Skus'!$A:$AC,2,FALSE))="Martin",(VLOOKUP(Table10[[#This Row],[SKU]],'All Skus'!$A:$AC,16,FALSE)),""))</f>
        <v>0</v>
      </c>
      <c r="M273" s="224">
        <f>(IF((VLOOKUP(Table10[[#This Row],[SKU]],'All Skus'!$A:$AC,2,FALSE))="Martin",(VLOOKUP(Table10[[#This Row],[SKU]],'All Skus'!$A:$AC,17,FALSE)),""))</f>
        <v>0</v>
      </c>
      <c r="N273" s="227">
        <f>(IF((VLOOKUP(Table10[[#This Row],[SKU]],'All Skus'!$A:$AC,2,FALSE))="Martin",(VLOOKUP(Table10[[#This Row],[SKU]],'All Skus'!$A:$AC,18,FALSE)),""))</f>
        <v>0</v>
      </c>
      <c r="O273" s="227">
        <f>(IF((VLOOKUP(Table10[[#This Row],[SKU]],'All Skus'!$A:$AC,2,FALSE))="Martin",(VLOOKUP(Table10[[#This Row],[SKU]],'All Skus'!$A:$AC,19,FALSE)),""))</f>
        <v>0</v>
      </c>
      <c r="P273" s="227">
        <f>(IF((VLOOKUP(Table10[[#This Row],[SKU]],'All Skus'!$A:$AC,2,FALSE))="Martin",(VLOOKUP(Table10[[#This Row],[SKU]],'All Skus'!$A:$AC,20,FALSE)),""))</f>
        <v>0</v>
      </c>
      <c r="Q273" s="227">
        <f>(IF((VLOOKUP(Table10[[#This Row],[SKU]],'All Skus'!$A:$AC,2,FALSE))="Martin",(VLOOKUP(Table10[[#This Row],[SKU]],'All Skus'!$A:$AC,21,FALSE)),""))</f>
        <v>0</v>
      </c>
      <c r="R273" s="224">
        <f>(IF((VLOOKUP(Table10[[#This Row],[SKU]],'All Skus'!$A:$AC,2,FALSE))="Martin",(VLOOKUP(Table10[[#This Row],[SKU]],'All Skus'!$A:$AC,22,FALSE)),""))</f>
        <v>0</v>
      </c>
      <c r="S273" s="223">
        <f>(IF((VLOOKUP(Table10[[#This Row],[SKU]],'All Skus'!$A:$AC,2,FALSE))="Martin",(VLOOKUP(Table10[[#This Row],[SKU]],'All Skus'!$A:$AC,23,FALSE)),""))</f>
        <v>0</v>
      </c>
      <c r="T273" s="212" t="str">
        <f>HYPERLINK((IF((VLOOKUP(Table10[[#This Row],[SKU]],'All Skus'!$A:$AC,2,FALSE))="Martin",(VLOOKUP(Table10[[#This Row],[SKU]],'All Skus'!$A:$AC,24,FALSE)),"")))</f>
        <v/>
      </c>
      <c r="U273" s="228">
        <v>271</v>
      </c>
    </row>
    <row r="274" spans="1:21" hidden="1">
      <c r="A274" s="232" t="s">
        <v>2066</v>
      </c>
      <c r="B274" s="224" t="str">
        <f>(IF((VLOOKUP(Table10[[#This Row],[SKU]],'All Skus'!$A:$AC,2,FALSE))="Martin",(VLOOKUP(Table10[[#This Row],[SKU]],'All Skus'!$A:$AC,3,FALSE)),""))</f>
        <v xml:space="preserve">Asymm diffuser Wide, EL Pro, 4ft </v>
      </c>
      <c r="C274" s="223">
        <f>(IF((VLOOKUP(Table10[[#This Row],[SKU]],'All Skus'!$A:$AC,2,FALSE))="Martin",(VLOOKUP(Table10[[#This Row],[SKU]],'All Skus'!$A:$AC,4,FALSE)),""))</f>
        <v>0</v>
      </c>
      <c r="D274" s="224" t="str">
        <f>(IF((VLOOKUP(Table10[[#This Row],[SKU]],'All Skus'!$A:$AC,2,FALSE))="Martin",(VLOOKUP(Table10[[#This Row],[SKU]],'All Skus'!$A:$AC,5,FALSE)),""))</f>
        <v>EXT-LIN</v>
      </c>
      <c r="E274" s="223">
        <f>(IF((VLOOKUP(Table10[[#This Row],[SKU]],'All Skus'!$A:$AC,2,FALSE))="Martin",(VLOOKUP(Table10[[#This Row],[SKU]],'All Skus'!$A:$AC,6,FALSE)),""))</f>
        <v>0</v>
      </c>
      <c r="F274" s="155">
        <f>(IF((VLOOKUP(Table10[[#This Row],[SKU]],'All Skus'!$A:$AC,2,FALSE))="Martin",(VLOOKUP(Table10[[#This Row],[SKU]],'All Skus'!$A:$AC,7,FALSE)),""))</f>
        <v>0</v>
      </c>
      <c r="G274" s="223" t="str">
        <f>(IF((VLOOKUP(Table10[[#This Row],[SKU]],'All Skus'!$A:$AC,2,FALSE))="Martin",(VLOOKUP(Table10[[#This Row],[SKU]],'All Skus'!$A:$AC,8,FALSE)),""))</f>
        <v xml:space="preserve">Asymm diffuser Wide, EL Pro, 4ft </v>
      </c>
      <c r="H274" s="223" t="str">
        <f>(IF((VLOOKUP(Table10[[#This Row],[SKU]],'All Skus'!$A:$AC,2,FALSE))="Martin",(VLOOKUP(Table10[[#This Row],[SKU]],'All Skus'!$A:$AC,9,FALSE)),""))</f>
        <v xml:space="preserve">Asymm diffuser Wide, EL Pro, 4ft </v>
      </c>
      <c r="I274" s="225">
        <f>(IF((VLOOKUP(Table10[[#This Row],[SKU]],'All Skus'!$A:$AC,2,FALSE))="Martin",(VLOOKUP(Table10[[#This Row],[SKU]],'All Skus'!$A:$AC,10,FALSE)),""))</f>
        <v>51.5</v>
      </c>
      <c r="J274" s="226">
        <f>(IF((VLOOKUP(Table10[[#This Row],[SKU]],'All Skus'!$A:$AC,2,FALSE))="Martin",(VLOOKUP(Table10[[#This Row],[SKU]],'All Skus'!$A:$AC,11,FALSE)),""))</f>
        <v>51.5</v>
      </c>
      <c r="K274" s="224">
        <f>(IF((VLOOKUP(Table10[[#This Row],[SKU]],'All Skus'!$A:$AC,2,FALSE))="Martin",(VLOOKUP(Table10[[#This Row],[SKU]],'All Skus'!$A:$AC,15,FALSE)),""))</f>
        <v>0</v>
      </c>
      <c r="L274" s="224">
        <f>(IF((VLOOKUP(Table10[[#This Row],[SKU]],'All Skus'!$A:$AC,2,FALSE))="Martin",(VLOOKUP(Table10[[#This Row],[SKU]],'All Skus'!$A:$AC,16,FALSE)),""))</f>
        <v>688705008547</v>
      </c>
      <c r="M274" s="224">
        <f>(IF((VLOOKUP(Table10[[#This Row],[SKU]],'All Skus'!$A:$AC,2,FALSE))="Martin",(VLOOKUP(Table10[[#This Row],[SKU]],'All Skus'!$A:$AC,17,FALSE)),""))</f>
        <v>0</v>
      </c>
      <c r="N274" s="227">
        <f>(IF((VLOOKUP(Table10[[#This Row],[SKU]],'All Skus'!$A:$AC,2,FALSE))="Martin",(VLOOKUP(Table10[[#This Row],[SKU]],'All Skus'!$A:$AC,18,FALSE)),""))</f>
        <v>0</v>
      </c>
      <c r="O274" s="227">
        <f>(IF((VLOOKUP(Table10[[#This Row],[SKU]],'All Skus'!$A:$AC,2,FALSE))="Martin",(VLOOKUP(Table10[[#This Row],[SKU]],'All Skus'!$A:$AC,19,FALSE)),""))</f>
        <v>0</v>
      </c>
      <c r="P274" s="227">
        <f>(IF((VLOOKUP(Table10[[#This Row],[SKU]],'All Skus'!$A:$AC,2,FALSE))="Martin",(VLOOKUP(Table10[[#This Row],[SKU]],'All Skus'!$A:$AC,20,FALSE)),""))</f>
        <v>0</v>
      </c>
      <c r="Q274" s="227">
        <f>(IF((VLOOKUP(Table10[[#This Row],[SKU]],'All Skus'!$A:$AC,2,FALSE))="Martin",(VLOOKUP(Table10[[#This Row],[SKU]],'All Skus'!$A:$AC,21,FALSE)),""))</f>
        <v>0</v>
      </c>
      <c r="R274" s="224">
        <f>(IF((VLOOKUP(Table10[[#This Row],[SKU]],'All Skus'!$A:$AC,2,FALSE))="Martin",(VLOOKUP(Table10[[#This Row],[SKU]],'All Skus'!$A:$AC,22,FALSE)),""))</f>
        <v>0</v>
      </c>
      <c r="S274" s="223">
        <f>(IF((VLOOKUP(Table10[[#This Row],[SKU]],'All Skus'!$A:$AC,2,FALSE))="Martin",(VLOOKUP(Table10[[#This Row],[SKU]],'All Skus'!$A:$AC,23,FALSE)),""))</f>
        <v>0</v>
      </c>
      <c r="T274" s="212" t="str">
        <f>HYPERLINK((IF((VLOOKUP(Table10[[#This Row],[SKU]],'All Skus'!$A:$AC,2,FALSE))="Martin",(VLOOKUP(Table10[[#This Row],[SKU]],'All Skus'!$A:$AC,24,FALSE)),"")))</f>
        <v/>
      </c>
      <c r="U274" s="228">
        <v>272</v>
      </c>
    </row>
    <row r="275" spans="1:21" hidden="1">
      <c r="A275" s="232" t="s">
        <v>2067</v>
      </c>
      <c r="B275" s="224" t="str">
        <f>(IF((VLOOKUP(Table10[[#This Row],[SKU]],'All Skus'!$A:$AC,2,FALSE))="Martin",(VLOOKUP(Table10[[#This Row],[SKU]],'All Skus'!$A:$AC,3,FALSE)),""))</f>
        <v xml:space="preserve">Asymm diffuser Narrow, EL Pro, 4ft </v>
      </c>
      <c r="C275" s="223">
        <f>(IF((VLOOKUP(Table10[[#This Row],[SKU]],'All Skus'!$A:$AC,2,FALSE))="Martin",(VLOOKUP(Table10[[#This Row],[SKU]],'All Skus'!$A:$AC,4,FALSE)),""))</f>
        <v>0</v>
      </c>
      <c r="D275" s="224" t="str">
        <f>(IF((VLOOKUP(Table10[[#This Row],[SKU]],'All Skus'!$A:$AC,2,FALSE))="Martin",(VLOOKUP(Table10[[#This Row],[SKU]],'All Skus'!$A:$AC,5,FALSE)),""))</f>
        <v>EXT-LIN</v>
      </c>
      <c r="E275" s="223">
        <f>(IF((VLOOKUP(Table10[[#This Row],[SKU]],'All Skus'!$A:$AC,2,FALSE))="Martin",(VLOOKUP(Table10[[#This Row],[SKU]],'All Skus'!$A:$AC,6,FALSE)),""))</f>
        <v>0</v>
      </c>
      <c r="F275" s="155">
        <f>(IF((VLOOKUP(Table10[[#This Row],[SKU]],'All Skus'!$A:$AC,2,FALSE))="Martin",(VLOOKUP(Table10[[#This Row],[SKU]],'All Skus'!$A:$AC,7,FALSE)),""))</f>
        <v>0</v>
      </c>
      <c r="G275" s="223" t="str">
        <f>(IF((VLOOKUP(Table10[[#This Row],[SKU]],'All Skus'!$A:$AC,2,FALSE))="Martin",(VLOOKUP(Table10[[#This Row],[SKU]],'All Skus'!$A:$AC,8,FALSE)),""))</f>
        <v xml:space="preserve">Asymm diffuser Narrow, EL Pro, 4ft </v>
      </c>
      <c r="H275" s="223" t="str">
        <f>(IF((VLOOKUP(Table10[[#This Row],[SKU]],'All Skus'!$A:$AC,2,FALSE))="Martin",(VLOOKUP(Table10[[#This Row],[SKU]],'All Skus'!$A:$AC,9,FALSE)),""))</f>
        <v xml:space="preserve">Asymm diffuser Narrow, EL Pro, 4ft </v>
      </c>
      <c r="I275" s="225">
        <f>(IF((VLOOKUP(Table10[[#This Row],[SKU]],'All Skus'!$A:$AC,2,FALSE))="Martin",(VLOOKUP(Table10[[#This Row],[SKU]],'All Skus'!$A:$AC,10,FALSE)),""))</f>
        <v>51.5</v>
      </c>
      <c r="J275" s="226">
        <f>(IF((VLOOKUP(Table10[[#This Row],[SKU]],'All Skus'!$A:$AC,2,FALSE))="Martin",(VLOOKUP(Table10[[#This Row],[SKU]],'All Skus'!$A:$AC,11,FALSE)),""))</f>
        <v>51.5</v>
      </c>
      <c r="K275" s="224">
        <f>(IF((VLOOKUP(Table10[[#This Row],[SKU]],'All Skus'!$A:$AC,2,FALSE))="Martin",(VLOOKUP(Table10[[#This Row],[SKU]],'All Skus'!$A:$AC,15,FALSE)),""))</f>
        <v>0</v>
      </c>
      <c r="L275" s="224">
        <f>(IF((VLOOKUP(Table10[[#This Row],[SKU]],'All Skus'!$A:$AC,2,FALSE))="Martin",(VLOOKUP(Table10[[#This Row],[SKU]],'All Skus'!$A:$AC,16,FALSE)),""))</f>
        <v>688705008554</v>
      </c>
      <c r="M275" s="224">
        <f>(IF((VLOOKUP(Table10[[#This Row],[SKU]],'All Skus'!$A:$AC,2,FALSE))="Martin",(VLOOKUP(Table10[[#This Row],[SKU]],'All Skus'!$A:$AC,17,FALSE)),""))</f>
        <v>0</v>
      </c>
      <c r="N275" s="227">
        <f>(IF((VLOOKUP(Table10[[#This Row],[SKU]],'All Skus'!$A:$AC,2,FALSE))="Martin",(VLOOKUP(Table10[[#This Row],[SKU]],'All Skus'!$A:$AC,18,FALSE)),""))</f>
        <v>0</v>
      </c>
      <c r="O275" s="227">
        <f>(IF((VLOOKUP(Table10[[#This Row],[SKU]],'All Skus'!$A:$AC,2,FALSE))="Martin",(VLOOKUP(Table10[[#This Row],[SKU]],'All Skus'!$A:$AC,19,FALSE)),""))</f>
        <v>0</v>
      </c>
      <c r="P275" s="227">
        <f>(IF((VLOOKUP(Table10[[#This Row],[SKU]],'All Skus'!$A:$AC,2,FALSE))="Martin",(VLOOKUP(Table10[[#This Row],[SKU]],'All Skus'!$A:$AC,20,FALSE)),""))</f>
        <v>0</v>
      </c>
      <c r="Q275" s="227">
        <f>(IF((VLOOKUP(Table10[[#This Row],[SKU]],'All Skus'!$A:$AC,2,FALSE))="Martin",(VLOOKUP(Table10[[#This Row],[SKU]],'All Skus'!$A:$AC,21,FALSE)),""))</f>
        <v>0</v>
      </c>
      <c r="R275" s="224">
        <f>(IF((VLOOKUP(Table10[[#This Row],[SKU]],'All Skus'!$A:$AC,2,FALSE))="Martin",(VLOOKUP(Table10[[#This Row],[SKU]],'All Skus'!$A:$AC,22,FALSE)),""))</f>
        <v>0</v>
      </c>
      <c r="S275" s="223">
        <f>(IF((VLOOKUP(Table10[[#This Row],[SKU]],'All Skus'!$A:$AC,2,FALSE))="Martin",(VLOOKUP(Table10[[#This Row],[SKU]],'All Skus'!$A:$AC,23,FALSE)),""))</f>
        <v>0</v>
      </c>
      <c r="T275" s="212" t="str">
        <f>HYPERLINK((IF((VLOOKUP(Table10[[#This Row],[SKU]],'All Skus'!$A:$AC,2,FALSE))="Martin",(VLOOKUP(Table10[[#This Row],[SKU]],'All Skus'!$A:$AC,24,FALSE)),"")))</f>
        <v/>
      </c>
      <c r="U275" s="228">
        <v>273</v>
      </c>
    </row>
    <row r="276" spans="1:21" hidden="1">
      <c r="A276" s="115" t="s">
        <v>2068</v>
      </c>
      <c r="B276" s="224">
        <f>(IF((VLOOKUP(Table10[[#This Row],[SKU]],'All Skus'!$A:$AC,2,FALSE))="Martin",(VLOOKUP(Table10[[#This Row],[SKU]],'All Skus'!$A:$AC,3,FALSE)),""))</f>
        <v>0</v>
      </c>
      <c r="C276" s="223">
        <f>(IF((VLOOKUP(Table10[[#This Row],[SKU]],'All Skus'!$A:$AC,2,FALSE))="Martin",(VLOOKUP(Table10[[#This Row],[SKU]],'All Skus'!$A:$AC,4,FALSE)),""))</f>
        <v>0</v>
      </c>
      <c r="D276" s="224" t="str">
        <f>(IF((VLOOKUP(Table10[[#This Row],[SKU]],'All Skus'!$A:$AC,2,FALSE))="Martin",(VLOOKUP(Table10[[#This Row],[SKU]],'All Skus'!$A:$AC,5,FALSE)),""))</f>
        <v>EXT-LIN</v>
      </c>
      <c r="E276" s="223">
        <f>(IF((VLOOKUP(Table10[[#This Row],[SKU]],'All Skus'!$A:$AC,2,FALSE))="Martin",(VLOOKUP(Table10[[#This Row],[SKU]],'All Skus'!$A:$AC,6,FALSE)),""))</f>
        <v>0</v>
      </c>
      <c r="F276" s="155">
        <f>(IF((VLOOKUP(Table10[[#This Row],[SKU]],'All Skus'!$A:$AC,2,FALSE))="Martin",(VLOOKUP(Table10[[#This Row],[SKU]],'All Skus'!$A:$AC,7,FALSE)),""))</f>
        <v>0</v>
      </c>
      <c r="G276" s="223">
        <f>(IF((VLOOKUP(Table10[[#This Row],[SKU]],'All Skus'!$A:$AC,2,FALSE))="Martin",(VLOOKUP(Table10[[#This Row],[SKU]],'All Skus'!$A:$AC,8,FALSE)),""))</f>
        <v>0</v>
      </c>
      <c r="H276" s="223">
        <f>(IF((VLOOKUP(Table10[[#This Row],[SKU]],'All Skus'!$A:$AC,2,FALSE))="Martin",(VLOOKUP(Table10[[#This Row],[SKU]],'All Skus'!$A:$AC,9,FALSE)),""))</f>
        <v>0</v>
      </c>
      <c r="I276" s="225">
        <f>(IF((VLOOKUP(Table10[[#This Row],[SKU]],'All Skus'!$A:$AC,2,FALSE))="Martin",(VLOOKUP(Table10[[#This Row],[SKU]],'All Skus'!$A:$AC,10,FALSE)),""))</f>
        <v>0</v>
      </c>
      <c r="J276" s="226">
        <f>(IF((VLOOKUP(Table10[[#This Row],[SKU]],'All Skus'!$A:$AC,2,FALSE))="Martin",(VLOOKUP(Table10[[#This Row],[SKU]],'All Skus'!$A:$AC,11,FALSE)),""))</f>
        <v>0</v>
      </c>
      <c r="K276" s="224">
        <f>(IF((VLOOKUP(Table10[[#This Row],[SKU]],'All Skus'!$A:$AC,2,FALSE))="Martin",(VLOOKUP(Table10[[#This Row],[SKU]],'All Skus'!$A:$AC,15,FALSE)),""))</f>
        <v>0</v>
      </c>
      <c r="L276" s="224">
        <f>(IF((VLOOKUP(Table10[[#This Row],[SKU]],'All Skus'!$A:$AC,2,FALSE))="Martin",(VLOOKUP(Table10[[#This Row],[SKU]],'All Skus'!$A:$AC,16,FALSE)),""))</f>
        <v>0</v>
      </c>
      <c r="M276" s="224">
        <f>(IF((VLOOKUP(Table10[[#This Row],[SKU]],'All Skus'!$A:$AC,2,FALSE))="Martin",(VLOOKUP(Table10[[#This Row],[SKU]],'All Skus'!$A:$AC,17,FALSE)),""))</f>
        <v>0</v>
      </c>
      <c r="N276" s="227">
        <f>(IF((VLOOKUP(Table10[[#This Row],[SKU]],'All Skus'!$A:$AC,2,FALSE))="Martin",(VLOOKUP(Table10[[#This Row],[SKU]],'All Skus'!$A:$AC,18,FALSE)),""))</f>
        <v>0</v>
      </c>
      <c r="O276" s="227">
        <f>(IF((VLOOKUP(Table10[[#This Row],[SKU]],'All Skus'!$A:$AC,2,FALSE))="Martin",(VLOOKUP(Table10[[#This Row],[SKU]],'All Skus'!$A:$AC,19,FALSE)),""))</f>
        <v>0</v>
      </c>
      <c r="P276" s="227">
        <f>(IF((VLOOKUP(Table10[[#This Row],[SKU]],'All Skus'!$A:$AC,2,FALSE))="Martin",(VLOOKUP(Table10[[#This Row],[SKU]],'All Skus'!$A:$AC,20,FALSE)),""))</f>
        <v>0</v>
      </c>
      <c r="Q276" s="227">
        <f>(IF((VLOOKUP(Table10[[#This Row],[SKU]],'All Skus'!$A:$AC,2,FALSE))="Martin",(VLOOKUP(Table10[[#This Row],[SKU]],'All Skus'!$A:$AC,21,FALSE)),""))</f>
        <v>0</v>
      </c>
      <c r="R276" s="224">
        <f>(IF((VLOOKUP(Table10[[#This Row],[SKU]],'All Skus'!$A:$AC,2,FALSE))="Martin",(VLOOKUP(Table10[[#This Row],[SKU]],'All Skus'!$A:$AC,22,FALSE)),""))</f>
        <v>0</v>
      </c>
      <c r="S276" s="223">
        <f>(IF((VLOOKUP(Table10[[#This Row],[SKU]],'All Skus'!$A:$AC,2,FALSE))="Martin",(VLOOKUP(Table10[[#This Row],[SKU]],'All Skus'!$A:$AC,23,FALSE)),""))</f>
        <v>0</v>
      </c>
      <c r="T276" s="212" t="str">
        <f>HYPERLINK((IF((VLOOKUP(Table10[[#This Row],[SKU]],'All Skus'!$A:$AC,2,FALSE))="Martin",(VLOOKUP(Table10[[#This Row],[SKU]],'All Skus'!$A:$AC,24,FALSE)),"")))</f>
        <v/>
      </c>
      <c r="U276" s="228">
        <v>274</v>
      </c>
    </row>
    <row r="277" spans="1:21" hidden="1">
      <c r="A277" s="232" t="s">
        <v>2069</v>
      </c>
      <c r="B277" s="224" t="str">
        <f>(IF((VLOOKUP(Table10[[#This Row],[SKU]],'All Skus'!$A:$AC,2,FALSE))="Martin",(VLOOKUP(Table10[[#This Row],[SKU]],'All Skus'!$A:$AC,3,FALSE)),""))</f>
        <v>Glare shield, EL Pro, 1ft, set of 4</v>
      </c>
      <c r="C277" s="223">
        <f>(IF((VLOOKUP(Table10[[#This Row],[SKU]],'All Skus'!$A:$AC,2,FALSE))="Martin",(VLOOKUP(Table10[[#This Row],[SKU]],'All Skus'!$A:$AC,4,FALSE)),""))</f>
        <v>0</v>
      </c>
      <c r="D277" s="224" t="str">
        <f>(IF((VLOOKUP(Table10[[#This Row],[SKU]],'All Skus'!$A:$AC,2,FALSE))="Martin",(VLOOKUP(Table10[[#This Row],[SKU]],'All Skus'!$A:$AC,5,FALSE)),""))</f>
        <v>EXT-LIN</v>
      </c>
      <c r="E277" s="223">
        <f>(IF((VLOOKUP(Table10[[#This Row],[SKU]],'All Skus'!$A:$AC,2,FALSE))="Martin",(VLOOKUP(Table10[[#This Row],[SKU]],'All Skus'!$A:$AC,6,FALSE)),""))</f>
        <v>0</v>
      </c>
      <c r="F277" s="155">
        <f>(IF((VLOOKUP(Table10[[#This Row],[SKU]],'All Skus'!$A:$AC,2,FALSE))="Martin",(VLOOKUP(Table10[[#This Row],[SKU]],'All Skus'!$A:$AC,7,FALSE)),""))</f>
        <v>0</v>
      </c>
      <c r="G277" s="223" t="str">
        <f>(IF((VLOOKUP(Table10[[#This Row],[SKU]],'All Skus'!$A:$AC,2,FALSE))="Martin",(VLOOKUP(Table10[[#This Row],[SKU]],'All Skus'!$A:$AC,8,FALSE)),""))</f>
        <v>Glare shield, EL Pro, 1ft, set of 4</v>
      </c>
      <c r="H277" s="223" t="str">
        <f>(IF((VLOOKUP(Table10[[#This Row],[SKU]],'All Skus'!$A:$AC,2,FALSE))="Martin",(VLOOKUP(Table10[[#This Row],[SKU]],'All Skus'!$A:$AC,9,FALSE)),""))</f>
        <v>Glare shield, EL Pro, 1ft, set of 4</v>
      </c>
      <c r="I277" s="225">
        <f>(IF((VLOOKUP(Table10[[#This Row],[SKU]],'All Skus'!$A:$AC,2,FALSE))="Martin",(VLOOKUP(Table10[[#This Row],[SKU]],'All Skus'!$A:$AC,10,FALSE)),""))</f>
        <v>77.25</v>
      </c>
      <c r="J277" s="226">
        <f>(IF((VLOOKUP(Table10[[#This Row],[SKU]],'All Skus'!$A:$AC,2,FALSE))="Martin",(VLOOKUP(Table10[[#This Row],[SKU]],'All Skus'!$A:$AC,11,FALSE)),""))</f>
        <v>77.25</v>
      </c>
      <c r="K277" s="224">
        <f>(IF((VLOOKUP(Table10[[#This Row],[SKU]],'All Skus'!$A:$AC,2,FALSE))="Martin",(VLOOKUP(Table10[[#This Row],[SKU]],'All Skus'!$A:$AC,15,FALSE)),""))</f>
        <v>0</v>
      </c>
      <c r="L277" s="224">
        <f>(IF((VLOOKUP(Table10[[#This Row],[SKU]],'All Skus'!$A:$AC,2,FALSE))="Martin",(VLOOKUP(Table10[[#This Row],[SKU]],'All Skus'!$A:$AC,16,FALSE)),""))</f>
        <v>688705008561</v>
      </c>
      <c r="M277" s="224">
        <f>(IF((VLOOKUP(Table10[[#This Row],[SKU]],'All Skus'!$A:$AC,2,FALSE))="Martin",(VLOOKUP(Table10[[#This Row],[SKU]],'All Skus'!$A:$AC,17,FALSE)),""))</f>
        <v>0</v>
      </c>
      <c r="N277" s="227">
        <f>(IF((VLOOKUP(Table10[[#This Row],[SKU]],'All Skus'!$A:$AC,2,FALSE))="Martin",(VLOOKUP(Table10[[#This Row],[SKU]],'All Skus'!$A:$AC,18,FALSE)),""))</f>
        <v>0</v>
      </c>
      <c r="O277" s="227">
        <f>(IF((VLOOKUP(Table10[[#This Row],[SKU]],'All Skus'!$A:$AC,2,FALSE))="Martin",(VLOOKUP(Table10[[#This Row],[SKU]],'All Skus'!$A:$AC,19,FALSE)),""))</f>
        <v>0</v>
      </c>
      <c r="P277" s="227">
        <f>(IF((VLOOKUP(Table10[[#This Row],[SKU]],'All Skus'!$A:$AC,2,FALSE))="Martin",(VLOOKUP(Table10[[#This Row],[SKU]],'All Skus'!$A:$AC,20,FALSE)),""))</f>
        <v>0</v>
      </c>
      <c r="Q277" s="227">
        <f>(IF((VLOOKUP(Table10[[#This Row],[SKU]],'All Skus'!$A:$AC,2,FALSE))="Martin",(VLOOKUP(Table10[[#This Row],[SKU]],'All Skus'!$A:$AC,21,FALSE)),""))</f>
        <v>0</v>
      </c>
      <c r="R277" s="224">
        <f>(IF((VLOOKUP(Table10[[#This Row],[SKU]],'All Skus'!$A:$AC,2,FALSE))="Martin",(VLOOKUP(Table10[[#This Row],[SKU]],'All Skus'!$A:$AC,22,FALSE)),""))</f>
        <v>0</v>
      </c>
      <c r="S277" s="223">
        <f>(IF((VLOOKUP(Table10[[#This Row],[SKU]],'All Skus'!$A:$AC,2,FALSE))="Martin",(VLOOKUP(Table10[[#This Row],[SKU]],'All Skus'!$A:$AC,23,FALSE)),""))</f>
        <v>0</v>
      </c>
      <c r="T277" s="212" t="str">
        <f>HYPERLINK((IF((VLOOKUP(Table10[[#This Row],[SKU]],'All Skus'!$A:$AC,2,FALSE))="Martin",(VLOOKUP(Table10[[#This Row],[SKU]],'All Skus'!$A:$AC,24,FALSE)),"")))</f>
        <v/>
      </c>
      <c r="U277" s="228">
        <v>275</v>
      </c>
    </row>
    <row r="278" spans="1:21" hidden="1">
      <c r="A278" s="232" t="s">
        <v>2070</v>
      </c>
      <c r="B278" s="224" t="str">
        <f>(IF((VLOOKUP(Table10[[#This Row],[SKU]],'All Skus'!$A:$AC,2,FALSE))="Martin",(VLOOKUP(Table10[[#This Row],[SKU]],'All Skus'!$A:$AC,3,FALSE)),""))</f>
        <v>Glare shield, EL Pro, 4ft, set of 4</v>
      </c>
      <c r="C278" s="223">
        <f>(IF((VLOOKUP(Table10[[#This Row],[SKU]],'All Skus'!$A:$AC,2,FALSE))="Martin",(VLOOKUP(Table10[[#This Row],[SKU]],'All Skus'!$A:$AC,4,FALSE)),""))</f>
        <v>0</v>
      </c>
      <c r="D278" s="224" t="str">
        <f>(IF((VLOOKUP(Table10[[#This Row],[SKU]],'All Skus'!$A:$AC,2,FALSE))="Martin",(VLOOKUP(Table10[[#This Row],[SKU]],'All Skus'!$A:$AC,5,FALSE)),""))</f>
        <v>EXT-LIN</v>
      </c>
      <c r="E278" s="223">
        <f>(IF((VLOOKUP(Table10[[#This Row],[SKU]],'All Skus'!$A:$AC,2,FALSE))="Martin",(VLOOKUP(Table10[[#This Row],[SKU]],'All Skus'!$A:$AC,6,FALSE)),""))</f>
        <v>0</v>
      </c>
      <c r="F278" s="155">
        <f>(IF((VLOOKUP(Table10[[#This Row],[SKU]],'All Skus'!$A:$AC,2,FALSE))="Martin",(VLOOKUP(Table10[[#This Row],[SKU]],'All Skus'!$A:$AC,7,FALSE)),""))</f>
        <v>0</v>
      </c>
      <c r="G278" s="223" t="str">
        <f>(IF((VLOOKUP(Table10[[#This Row],[SKU]],'All Skus'!$A:$AC,2,FALSE))="Martin",(VLOOKUP(Table10[[#This Row],[SKU]],'All Skus'!$A:$AC,8,FALSE)),""))</f>
        <v>Glare shield, EL Pro, 4ft, set of 4</v>
      </c>
      <c r="H278" s="223" t="str">
        <f>(IF((VLOOKUP(Table10[[#This Row],[SKU]],'All Skus'!$A:$AC,2,FALSE))="Martin",(VLOOKUP(Table10[[#This Row],[SKU]],'All Skus'!$A:$AC,9,FALSE)),""))</f>
        <v>Glare shield, EL Pro, 4ft, set of 4</v>
      </c>
      <c r="I278" s="225">
        <f>(IF((VLOOKUP(Table10[[#This Row],[SKU]],'All Skus'!$A:$AC,2,FALSE))="Martin",(VLOOKUP(Table10[[#This Row],[SKU]],'All Skus'!$A:$AC,10,FALSE)),""))</f>
        <v>169.95</v>
      </c>
      <c r="J278" s="226">
        <f>(IF((VLOOKUP(Table10[[#This Row],[SKU]],'All Skus'!$A:$AC,2,FALSE))="Martin",(VLOOKUP(Table10[[#This Row],[SKU]],'All Skus'!$A:$AC,11,FALSE)),""))</f>
        <v>169.95</v>
      </c>
      <c r="K278" s="224">
        <f>(IF((VLOOKUP(Table10[[#This Row],[SKU]],'All Skus'!$A:$AC,2,FALSE))="Martin",(VLOOKUP(Table10[[#This Row],[SKU]],'All Skus'!$A:$AC,15,FALSE)),""))</f>
        <v>0</v>
      </c>
      <c r="L278" s="224">
        <f>(IF((VLOOKUP(Table10[[#This Row],[SKU]],'All Skus'!$A:$AC,2,FALSE))="Martin",(VLOOKUP(Table10[[#This Row],[SKU]],'All Skus'!$A:$AC,16,FALSE)),""))</f>
        <v>688705008578</v>
      </c>
      <c r="M278" s="224">
        <f>(IF((VLOOKUP(Table10[[#This Row],[SKU]],'All Skus'!$A:$AC,2,FALSE))="Martin",(VLOOKUP(Table10[[#This Row],[SKU]],'All Skus'!$A:$AC,17,FALSE)),""))</f>
        <v>0</v>
      </c>
      <c r="N278" s="227">
        <f>(IF((VLOOKUP(Table10[[#This Row],[SKU]],'All Skus'!$A:$AC,2,FALSE))="Martin",(VLOOKUP(Table10[[#This Row],[SKU]],'All Skus'!$A:$AC,18,FALSE)),""))</f>
        <v>0</v>
      </c>
      <c r="O278" s="227">
        <f>(IF((VLOOKUP(Table10[[#This Row],[SKU]],'All Skus'!$A:$AC,2,FALSE))="Martin",(VLOOKUP(Table10[[#This Row],[SKU]],'All Skus'!$A:$AC,19,FALSE)),""))</f>
        <v>0</v>
      </c>
      <c r="P278" s="227">
        <f>(IF((VLOOKUP(Table10[[#This Row],[SKU]],'All Skus'!$A:$AC,2,FALSE))="Martin",(VLOOKUP(Table10[[#This Row],[SKU]],'All Skus'!$A:$AC,20,FALSE)),""))</f>
        <v>0</v>
      </c>
      <c r="Q278" s="227">
        <f>(IF((VLOOKUP(Table10[[#This Row],[SKU]],'All Skus'!$A:$AC,2,FALSE))="Martin",(VLOOKUP(Table10[[#This Row],[SKU]],'All Skus'!$A:$AC,21,FALSE)),""))</f>
        <v>0</v>
      </c>
      <c r="R278" s="224">
        <f>(IF((VLOOKUP(Table10[[#This Row],[SKU]],'All Skus'!$A:$AC,2,FALSE))="Martin",(VLOOKUP(Table10[[#This Row],[SKU]],'All Skus'!$A:$AC,22,FALSE)),""))</f>
        <v>0</v>
      </c>
      <c r="S278" s="223">
        <f>(IF((VLOOKUP(Table10[[#This Row],[SKU]],'All Skus'!$A:$AC,2,FALSE))="Martin",(VLOOKUP(Table10[[#This Row],[SKU]],'All Skus'!$A:$AC,23,FALSE)),""))</f>
        <v>0</v>
      </c>
      <c r="T278" s="212" t="str">
        <f>HYPERLINK((IF((VLOOKUP(Table10[[#This Row],[SKU]],'All Skus'!$A:$AC,2,FALSE))="Martin",(VLOOKUP(Table10[[#This Row],[SKU]],'All Skus'!$A:$AC,24,FALSE)),"")))</f>
        <v/>
      </c>
      <c r="U278" s="228">
        <v>276</v>
      </c>
    </row>
    <row r="279" spans="1:21" hidden="1">
      <c r="A279" s="115" t="s">
        <v>2071</v>
      </c>
      <c r="B279" s="224">
        <f>(IF((VLOOKUP(Table10[[#This Row],[SKU]],'All Skus'!$A:$AC,2,FALSE))="Martin",(VLOOKUP(Table10[[#This Row],[SKU]],'All Skus'!$A:$AC,3,FALSE)),""))</f>
        <v>0</v>
      </c>
      <c r="C279" s="223">
        <f>(IF((VLOOKUP(Table10[[#This Row],[SKU]],'All Skus'!$A:$AC,2,FALSE))="Martin",(VLOOKUP(Table10[[#This Row],[SKU]],'All Skus'!$A:$AC,4,FALSE)),""))</f>
        <v>0</v>
      </c>
      <c r="D279" s="224" t="str">
        <f>(IF((VLOOKUP(Table10[[#This Row],[SKU]],'All Skus'!$A:$AC,2,FALSE))="Martin",(VLOOKUP(Table10[[#This Row],[SKU]],'All Skus'!$A:$AC,5,FALSE)),""))</f>
        <v>EXT-LIN</v>
      </c>
      <c r="E279" s="223">
        <f>(IF((VLOOKUP(Table10[[#This Row],[SKU]],'All Skus'!$A:$AC,2,FALSE))="Martin",(VLOOKUP(Table10[[#This Row],[SKU]],'All Skus'!$A:$AC,6,FALSE)),""))</f>
        <v>0</v>
      </c>
      <c r="F279" s="155">
        <f>(IF((VLOOKUP(Table10[[#This Row],[SKU]],'All Skus'!$A:$AC,2,FALSE))="Martin",(VLOOKUP(Table10[[#This Row],[SKU]],'All Skus'!$A:$AC,7,FALSE)),""))</f>
        <v>0</v>
      </c>
      <c r="G279" s="223">
        <f>(IF((VLOOKUP(Table10[[#This Row],[SKU]],'All Skus'!$A:$AC,2,FALSE))="Martin",(VLOOKUP(Table10[[#This Row],[SKU]],'All Skus'!$A:$AC,8,FALSE)),""))</f>
        <v>0</v>
      </c>
      <c r="H279" s="223">
        <f>(IF((VLOOKUP(Table10[[#This Row],[SKU]],'All Skus'!$A:$AC,2,FALSE))="Martin",(VLOOKUP(Table10[[#This Row],[SKU]],'All Skus'!$A:$AC,9,FALSE)),""))</f>
        <v>0</v>
      </c>
      <c r="I279" s="225">
        <f>(IF((VLOOKUP(Table10[[#This Row],[SKU]],'All Skus'!$A:$AC,2,FALSE))="Martin",(VLOOKUP(Table10[[#This Row],[SKU]],'All Skus'!$A:$AC,10,FALSE)),""))</f>
        <v>0</v>
      </c>
      <c r="J279" s="226">
        <f>(IF((VLOOKUP(Table10[[#This Row],[SKU]],'All Skus'!$A:$AC,2,FALSE))="Martin",(VLOOKUP(Table10[[#This Row],[SKU]],'All Skus'!$A:$AC,11,FALSE)),""))</f>
        <v>0</v>
      </c>
      <c r="K279" s="224">
        <f>(IF((VLOOKUP(Table10[[#This Row],[SKU]],'All Skus'!$A:$AC,2,FALSE))="Martin",(VLOOKUP(Table10[[#This Row],[SKU]],'All Skus'!$A:$AC,15,FALSE)),""))</f>
        <v>0</v>
      </c>
      <c r="L279" s="224">
        <f>(IF((VLOOKUP(Table10[[#This Row],[SKU]],'All Skus'!$A:$AC,2,FALSE))="Martin",(VLOOKUP(Table10[[#This Row],[SKU]],'All Skus'!$A:$AC,16,FALSE)),""))</f>
        <v>0</v>
      </c>
      <c r="M279" s="224">
        <f>(IF((VLOOKUP(Table10[[#This Row],[SKU]],'All Skus'!$A:$AC,2,FALSE))="Martin",(VLOOKUP(Table10[[#This Row],[SKU]],'All Skus'!$A:$AC,17,FALSE)),""))</f>
        <v>0</v>
      </c>
      <c r="N279" s="227">
        <f>(IF((VLOOKUP(Table10[[#This Row],[SKU]],'All Skus'!$A:$AC,2,FALSE))="Martin",(VLOOKUP(Table10[[#This Row],[SKU]],'All Skus'!$A:$AC,18,FALSE)),""))</f>
        <v>0</v>
      </c>
      <c r="O279" s="227">
        <f>(IF((VLOOKUP(Table10[[#This Row],[SKU]],'All Skus'!$A:$AC,2,FALSE))="Martin",(VLOOKUP(Table10[[#This Row],[SKU]],'All Skus'!$A:$AC,19,FALSE)),""))</f>
        <v>0</v>
      </c>
      <c r="P279" s="227">
        <f>(IF((VLOOKUP(Table10[[#This Row],[SKU]],'All Skus'!$A:$AC,2,FALSE))="Martin",(VLOOKUP(Table10[[#This Row],[SKU]],'All Skus'!$A:$AC,20,FALSE)),""))</f>
        <v>0</v>
      </c>
      <c r="Q279" s="227">
        <f>(IF((VLOOKUP(Table10[[#This Row],[SKU]],'All Skus'!$A:$AC,2,FALSE))="Martin",(VLOOKUP(Table10[[#This Row],[SKU]],'All Skus'!$A:$AC,21,FALSE)),""))</f>
        <v>0</v>
      </c>
      <c r="R279" s="224">
        <f>(IF((VLOOKUP(Table10[[#This Row],[SKU]],'All Skus'!$A:$AC,2,FALSE))="Martin",(VLOOKUP(Table10[[#This Row],[SKU]],'All Skus'!$A:$AC,22,FALSE)),""))</f>
        <v>0</v>
      </c>
      <c r="S279" s="223">
        <f>(IF((VLOOKUP(Table10[[#This Row],[SKU]],'All Skus'!$A:$AC,2,FALSE))="Martin",(VLOOKUP(Table10[[#This Row],[SKU]],'All Skus'!$A:$AC,23,FALSE)),""))</f>
        <v>0</v>
      </c>
      <c r="T279" s="212" t="str">
        <f>HYPERLINK((IF((VLOOKUP(Table10[[#This Row],[SKU]],'All Skus'!$A:$AC,2,FALSE))="Martin",(VLOOKUP(Table10[[#This Row],[SKU]],'All Skus'!$A:$AC,24,FALSE)),"")))</f>
        <v/>
      </c>
      <c r="U279" s="228">
        <v>277</v>
      </c>
    </row>
    <row r="280" spans="1:21" hidden="1">
      <c r="A280" s="232" t="s">
        <v>2072</v>
      </c>
      <c r="B280" s="224" t="str">
        <f>(IF((VLOOKUP(Table10[[#This Row],[SKU]],'All Skus'!$A:$AC,2,FALSE))="Martin",(VLOOKUP(Table10[[#This Row],[SKU]],'All Skus'!$A:$AC,3,FALSE)),""))</f>
        <v>Louvre, EL Pro, CTC, 1ft, set of 4</v>
      </c>
      <c r="C280" s="223">
        <f>(IF((VLOOKUP(Table10[[#This Row],[SKU]],'All Skus'!$A:$AC,2,FALSE))="Martin",(VLOOKUP(Table10[[#This Row],[SKU]],'All Skus'!$A:$AC,4,FALSE)),""))</f>
        <v>0</v>
      </c>
      <c r="D280" s="224" t="str">
        <f>(IF((VLOOKUP(Table10[[#This Row],[SKU]],'All Skus'!$A:$AC,2,FALSE))="Martin",(VLOOKUP(Table10[[#This Row],[SKU]],'All Skus'!$A:$AC,5,FALSE)),""))</f>
        <v>EXT-LIN</v>
      </c>
      <c r="E280" s="223">
        <f>(IF((VLOOKUP(Table10[[#This Row],[SKU]],'All Skus'!$A:$AC,2,FALSE))="Martin",(VLOOKUP(Table10[[#This Row],[SKU]],'All Skus'!$A:$AC,6,FALSE)),""))</f>
        <v>0</v>
      </c>
      <c r="F280" s="155">
        <f>(IF((VLOOKUP(Table10[[#This Row],[SKU]],'All Skus'!$A:$AC,2,FALSE))="Martin",(VLOOKUP(Table10[[#This Row],[SKU]],'All Skus'!$A:$AC,7,FALSE)),""))</f>
        <v>0</v>
      </c>
      <c r="G280" s="223" t="str">
        <f>(IF((VLOOKUP(Table10[[#This Row],[SKU]],'All Skus'!$A:$AC,2,FALSE))="Martin",(VLOOKUP(Table10[[#This Row],[SKU]],'All Skus'!$A:$AC,8,FALSE)),""))</f>
        <v>Louvre, EL Pro, CTC, 1ft, set of 4</v>
      </c>
      <c r="H280" s="223" t="str">
        <f>(IF((VLOOKUP(Table10[[#This Row],[SKU]],'All Skus'!$A:$AC,2,FALSE))="Martin",(VLOOKUP(Table10[[#This Row],[SKU]],'All Skus'!$A:$AC,9,FALSE)),""))</f>
        <v>Louvre, EL Pro, CTC, 1ft, set of 4</v>
      </c>
      <c r="I280" s="225">
        <f>(IF((VLOOKUP(Table10[[#This Row],[SKU]],'All Skus'!$A:$AC,2,FALSE))="Martin",(VLOOKUP(Table10[[#This Row],[SKU]],'All Skus'!$A:$AC,10,FALSE)),""))</f>
        <v>231.75</v>
      </c>
      <c r="J280" s="226">
        <f>(IF((VLOOKUP(Table10[[#This Row],[SKU]],'All Skus'!$A:$AC,2,FALSE))="Martin",(VLOOKUP(Table10[[#This Row],[SKU]],'All Skus'!$A:$AC,11,FALSE)),""))</f>
        <v>231.75</v>
      </c>
      <c r="K280" s="224">
        <f>(IF((VLOOKUP(Table10[[#This Row],[SKU]],'All Skus'!$A:$AC,2,FALSE))="Martin",(VLOOKUP(Table10[[#This Row],[SKU]],'All Skus'!$A:$AC,15,FALSE)),""))</f>
        <v>0</v>
      </c>
      <c r="L280" s="224">
        <f>(IF((VLOOKUP(Table10[[#This Row],[SKU]],'All Skus'!$A:$AC,2,FALSE))="Martin",(VLOOKUP(Table10[[#This Row],[SKU]],'All Skus'!$A:$AC,16,FALSE)),""))</f>
        <v>688705009858</v>
      </c>
      <c r="M280" s="224">
        <f>(IF((VLOOKUP(Table10[[#This Row],[SKU]],'All Skus'!$A:$AC,2,FALSE))="Martin",(VLOOKUP(Table10[[#This Row],[SKU]],'All Skus'!$A:$AC,17,FALSE)),""))</f>
        <v>0</v>
      </c>
      <c r="N280" s="227">
        <f>(IF((VLOOKUP(Table10[[#This Row],[SKU]],'All Skus'!$A:$AC,2,FALSE))="Martin",(VLOOKUP(Table10[[#This Row],[SKU]],'All Skus'!$A:$AC,18,FALSE)),""))</f>
        <v>0</v>
      </c>
      <c r="O280" s="227">
        <f>(IF((VLOOKUP(Table10[[#This Row],[SKU]],'All Skus'!$A:$AC,2,FALSE))="Martin",(VLOOKUP(Table10[[#This Row],[SKU]],'All Skus'!$A:$AC,19,FALSE)),""))</f>
        <v>0</v>
      </c>
      <c r="P280" s="227">
        <f>(IF((VLOOKUP(Table10[[#This Row],[SKU]],'All Skus'!$A:$AC,2,FALSE))="Martin",(VLOOKUP(Table10[[#This Row],[SKU]],'All Skus'!$A:$AC,20,FALSE)),""))</f>
        <v>0</v>
      </c>
      <c r="Q280" s="227">
        <f>(IF((VLOOKUP(Table10[[#This Row],[SKU]],'All Skus'!$A:$AC,2,FALSE))="Martin",(VLOOKUP(Table10[[#This Row],[SKU]],'All Skus'!$A:$AC,21,FALSE)),""))</f>
        <v>0</v>
      </c>
      <c r="R280" s="224">
        <f>(IF((VLOOKUP(Table10[[#This Row],[SKU]],'All Skus'!$A:$AC,2,FALSE))="Martin",(VLOOKUP(Table10[[#This Row],[SKU]],'All Skus'!$A:$AC,22,FALSE)),""))</f>
        <v>0</v>
      </c>
      <c r="S280" s="223">
        <f>(IF((VLOOKUP(Table10[[#This Row],[SKU]],'All Skus'!$A:$AC,2,FALSE))="Martin",(VLOOKUP(Table10[[#This Row],[SKU]],'All Skus'!$A:$AC,23,FALSE)),""))</f>
        <v>0</v>
      </c>
      <c r="T280" s="212" t="str">
        <f>HYPERLINK((IF((VLOOKUP(Table10[[#This Row],[SKU]],'All Skus'!$A:$AC,2,FALSE))="Martin",(VLOOKUP(Table10[[#This Row],[SKU]],'All Skus'!$A:$AC,24,FALSE)),"")))</f>
        <v/>
      </c>
      <c r="U280" s="228">
        <v>278</v>
      </c>
    </row>
    <row r="281" spans="1:21" hidden="1">
      <c r="A281" s="232" t="s">
        <v>2073</v>
      </c>
      <c r="B281" s="224" t="str">
        <f>(IF((VLOOKUP(Table10[[#This Row],[SKU]],'All Skus'!$A:$AC,2,FALSE))="Martin",(VLOOKUP(Table10[[#This Row],[SKU]],'All Skus'!$A:$AC,3,FALSE)),""))</f>
        <v>Louvre, EL Pro, QUAD, 1ft set of 4</v>
      </c>
      <c r="C281" s="223">
        <f>(IF((VLOOKUP(Table10[[#This Row],[SKU]],'All Skus'!$A:$AC,2,FALSE))="Martin",(VLOOKUP(Table10[[#This Row],[SKU]],'All Skus'!$A:$AC,4,FALSE)),""))</f>
        <v>0</v>
      </c>
      <c r="D281" s="224" t="str">
        <f>(IF((VLOOKUP(Table10[[#This Row],[SKU]],'All Skus'!$A:$AC,2,FALSE))="Martin",(VLOOKUP(Table10[[#This Row],[SKU]],'All Skus'!$A:$AC,5,FALSE)),""))</f>
        <v>EXT-LIN</v>
      </c>
      <c r="E281" s="223">
        <f>(IF((VLOOKUP(Table10[[#This Row],[SKU]],'All Skus'!$A:$AC,2,FALSE))="Martin",(VLOOKUP(Table10[[#This Row],[SKU]],'All Skus'!$A:$AC,6,FALSE)),""))</f>
        <v>0</v>
      </c>
      <c r="F281" s="155">
        <f>(IF((VLOOKUP(Table10[[#This Row],[SKU]],'All Skus'!$A:$AC,2,FALSE))="Martin",(VLOOKUP(Table10[[#This Row],[SKU]],'All Skus'!$A:$AC,7,FALSE)),""))</f>
        <v>0</v>
      </c>
      <c r="G281" s="223" t="str">
        <f>(IF((VLOOKUP(Table10[[#This Row],[SKU]],'All Skus'!$A:$AC,2,FALSE))="Martin",(VLOOKUP(Table10[[#This Row],[SKU]],'All Skus'!$A:$AC,8,FALSE)),""))</f>
        <v>Louvre, EL Pro, QUAD, 1ft set of 4</v>
      </c>
      <c r="H281" s="223" t="str">
        <f>(IF((VLOOKUP(Table10[[#This Row],[SKU]],'All Skus'!$A:$AC,2,FALSE))="Martin",(VLOOKUP(Table10[[#This Row],[SKU]],'All Skus'!$A:$AC,9,FALSE)),""))</f>
        <v>Louvre, EL Pro, QUAD, 1ft set of 4</v>
      </c>
      <c r="I281" s="225">
        <f>(IF((VLOOKUP(Table10[[#This Row],[SKU]],'All Skus'!$A:$AC,2,FALSE))="Martin",(VLOOKUP(Table10[[#This Row],[SKU]],'All Skus'!$A:$AC,10,FALSE)),""))</f>
        <v>231.75</v>
      </c>
      <c r="J281" s="226">
        <f>(IF((VLOOKUP(Table10[[#This Row],[SKU]],'All Skus'!$A:$AC,2,FALSE))="Martin",(VLOOKUP(Table10[[#This Row],[SKU]],'All Skus'!$A:$AC,11,FALSE)),""))</f>
        <v>231.75</v>
      </c>
      <c r="K281" s="224">
        <f>(IF((VLOOKUP(Table10[[#This Row],[SKU]],'All Skus'!$A:$AC,2,FALSE))="Martin",(VLOOKUP(Table10[[#This Row],[SKU]],'All Skus'!$A:$AC,15,FALSE)),""))</f>
        <v>0</v>
      </c>
      <c r="L281" s="224">
        <f>(IF((VLOOKUP(Table10[[#This Row],[SKU]],'All Skus'!$A:$AC,2,FALSE))="Martin",(VLOOKUP(Table10[[#This Row],[SKU]],'All Skus'!$A:$AC,16,FALSE)),""))</f>
        <v>688705008585</v>
      </c>
      <c r="M281" s="224">
        <f>(IF((VLOOKUP(Table10[[#This Row],[SKU]],'All Skus'!$A:$AC,2,FALSE))="Martin",(VLOOKUP(Table10[[#This Row],[SKU]],'All Skus'!$A:$AC,17,FALSE)),""))</f>
        <v>0</v>
      </c>
      <c r="N281" s="227">
        <f>(IF((VLOOKUP(Table10[[#This Row],[SKU]],'All Skus'!$A:$AC,2,FALSE))="Martin",(VLOOKUP(Table10[[#This Row],[SKU]],'All Skus'!$A:$AC,18,FALSE)),""))</f>
        <v>0</v>
      </c>
      <c r="O281" s="227">
        <f>(IF((VLOOKUP(Table10[[#This Row],[SKU]],'All Skus'!$A:$AC,2,FALSE))="Martin",(VLOOKUP(Table10[[#This Row],[SKU]],'All Skus'!$A:$AC,19,FALSE)),""))</f>
        <v>0</v>
      </c>
      <c r="P281" s="227">
        <f>(IF((VLOOKUP(Table10[[#This Row],[SKU]],'All Skus'!$A:$AC,2,FALSE))="Martin",(VLOOKUP(Table10[[#This Row],[SKU]],'All Skus'!$A:$AC,20,FALSE)),""))</f>
        <v>0</v>
      </c>
      <c r="Q281" s="227">
        <f>(IF((VLOOKUP(Table10[[#This Row],[SKU]],'All Skus'!$A:$AC,2,FALSE))="Martin",(VLOOKUP(Table10[[#This Row],[SKU]],'All Skus'!$A:$AC,21,FALSE)),""))</f>
        <v>0</v>
      </c>
      <c r="R281" s="224">
        <f>(IF((VLOOKUP(Table10[[#This Row],[SKU]],'All Skus'!$A:$AC,2,FALSE))="Martin",(VLOOKUP(Table10[[#This Row],[SKU]],'All Skus'!$A:$AC,22,FALSE)),""))</f>
        <v>0</v>
      </c>
      <c r="S281" s="223">
        <f>(IF((VLOOKUP(Table10[[#This Row],[SKU]],'All Skus'!$A:$AC,2,FALSE))="Martin",(VLOOKUP(Table10[[#This Row],[SKU]],'All Skus'!$A:$AC,23,FALSE)),""))</f>
        <v>0</v>
      </c>
      <c r="T281" s="212" t="str">
        <f>HYPERLINK((IF((VLOOKUP(Table10[[#This Row],[SKU]],'All Skus'!$A:$AC,2,FALSE))="Martin",(VLOOKUP(Table10[[#This Row],[SKU]],'All Skus'!$A:$AC,24,FALSE)),"")))</f>
        <v/>
      </c>
      <c r="U281" s="228">
        <v>279</v>
      </c>
    </row>
    <row r="282" spans="1:21" hidden="1">
      <c r="A282" s="230" t="s">
        <v>2074</v>
      </c>
      <c r="B282" s="224">
        <f>(IF((VLOOKUP(Table10[[#This Row],[SKU]],'All Skus'!$A:$AC,2,FALSE))="Martin",(VLOOKUP(Table10[[#This Row],[SKU]],'All Skus'!$A:$AC,3,FALSE)),""))</f>
        <v>0</v>
      </c>
      <c r="C282" s="223">
        <f>(IF((VLOOKUP(Table10[[#This Row],[SKU]],'All Skus'!$A:$AC,2,FALSE))="Martin",(VLOOKUP(Table10[[#This Row],[SKU]],'All Skus'!$A:$AC,4,FALSE)),""))</f>
        <v>0</v>
      </c>
      <c r="D282" s="224" t="str">
        <f>(IF((VLOOKUP(Table10[[#This Row],[SKU]],'All Skus'!$A:$AC,2,FALSE))="Martin",(VLOOKUP(Table10[[#This Row],[SKU]],'All Skus'!$A:$AC,5,FALSE)),""))</f>
        <v>EXT-LIN</v>
      </c>
      <c r="E282" s="223">
        <f>(IF((VLOOKUP(Table10[[#This Row],[SKU]],'All Skus'!$A:$AC,2,FALSE))="Martin",(VLOOKUP(Table10[[#This Row],[SKU]],'All Skus'!$A:$AC,6,FALSE)),""))</f>
        <v>0</v>
      </c>
      <c r="F282" s="155">
        <f>(IF((VLOOKUP(Table10[[#This Row],[SKU]],'All Skus'!$A:$AC,2,FALSE))="Martin",(VLOOKUP(Table10[[#This Row],[SKU]],'All Skus'!$A:$AC,7,FALSE)),""))</f>
        <v>0</v>
      </c>
      <c r="G282" s="223">
        <f>(IF((VLOOKUP(Table10[[#This Row],[SKU]],'All Skus'!$A:$AC,2,FALSE))="Martin",(VLOOKUP(Table10[[#This Row],[SKU]],'All Skus'!$A:$AC,8,FALSE)),""))</f>
        <v>0</v>
      </c>
      <c r="H282" s="223">
        <f>(IF((VLOOKUP(Table10[[#This Row],[SKU]],'All Skus'!$A:$AC,2,FALSE))="Martin",(VLOOKUP(Table10[[#This Row],[SKU]],'All Skus'!$A:$AC,9,FALSE)),""))</f>
        <v>0</v>
      </c>
      <c r="I282" s="225">
        <f>(IF((VLOOKUP(Table10[[#This Row],[SKU]],'All Skus'!$A:$AC,2,FALSE))="Martin",(VLOOKUP(Table10[[#This Row],[SKU]],'All Skus'!$A:$AC,10,FALSE)),""))</f>
        <v>0</v>
      </c>
      <c r="J282" s="226">
        <f>(IF((VLOOKUP(Table10[[#This Row],[SKU]],'All Skus'!$A:$AC,2,FALSE))="Martin",(VLOOKUP(Table10[[#This Row],[SKU]],'All Skus'!$A:$AC,11,FALSE)),""))</f>
        <v>0</v>
      </c>
      <c r="K282" s="224">
        <f>(IF((VLOOKUP(Table10[[#This Row],[SKU]],'All Skus'!$A:$AC,2,FALSE))="Martin",(VLOOKUP(Table10[[#This Row],[SKU]],'All Skus'!$A:$AC,15,FALSE)),""))</f>
        <v>0</v>
      </c>
      <c r="L282" s="224">
        <f>(IF((VLOOKUP(Table10[[#This Row],[SKU]],'All Skus'!$A:$AC,2,FALSE))="Martin",(VLOOKUP(Table10[[#This Row],[SKU]],'All Skus'!$A:$AC,16,FALSE)),""))</f>
        <v>0</v>
      </c>
      <c r="M282" s="224">
        <f>(IF((VLOOKUP(Table10[[#This Row],[SKU]],'All Skus'!$A:$AC,2,FALSE))="Martin",(VLOOKUP(Table10[[#This Row],[SKU]],'All Skus'!$A:$AC,17,FALSE)),""))</f>
        <v>0</v>
      </c>
      <c r="N282" s="227">
        <f>(IF((VLOOKUP(Table10[[#This Row],[SKU]],'All Skus'!$A:$AC,2,FALSE))="Martin",(VLOOKUP(Table10[[#This Row],[SKU]],'All Skus'!$A:$AC,18,FALSE)),""))</f>
        <v>0</v>
      </c>
      <c r="O282" s="227">
        <f>(IF((VLOOKUP(Table10[[#This Row],[SKU]],'All Skus'!$A:$AC,2,FALSE))="Martin",(VLOOKUP(Table10[[#This Row],[SKU]],'All Skus'!$A:$AC,19,FALSE)),""))</f>
        <v>0</v>
      </c>
      <c r="P282" s="227">
        <f>(IF((VLOOKUP(Table10[[#This Row],[SKU]],'All Skus'!$A:$AC,2,FALSE))="Martin",(VLOOKUP(Table10[[#This Row],[SKU]],'All Skus'!$A:$AC,20,FALSE)),""))</f>
        <v>0</v>
      </c>
      <c r="Q282" s="227">
        <f>(IF((VLOOKUP(Table10[[#This Row],[SKU]],'All Skus'!$A:$AC,2,FALSE))="Martin",(VLOOKUP(Table10[[#This Row],[SKU]],'All Skus'!$A:$AC,21,FALSE)),""))</f>
        <v>0</v>
      </c>
      <c r="R282" s="224">
        <f>(IF((VLOOKUP(Table10[[#This Row],[SKU]],'All Skus'!$A:$AC,2,FALSE))="Martin",(VLOOKUP(Table10[[#This Row],[SKU]],'All Skus'!$A:$AC,22,FALSE)),""))</f>
        <v>0</v>
      </c>
      <c r="S282" s="223">
        <f>(IF((VLOOKUP(Table10[[#This Row],[SKU]],'All Skus'!$A:$AC,2,FALSE))="Martin",(VLOOKUP(Table10[[#This Row],[SKU]],'All Skus'!$A:$AC,23,FALSE)),""))</f>
        <v>0</v>
      </c>
      <c r="T282" s="212" t="str">
        <f>HYPERLINK((IF((VLOOKUP(Table10[[#This Row],[SKU]],'All Skus'!$A:$AC,2,FALSE))="Martin",(VLOOKUP(Table10[[#This Row],[SKU]],'All Skus'!$A:$AC,24,FALSE)),"")))</f>
        <v/>
      </c>
      <c r="U282" s="228">
        <v>280</v>
      </c>
    </row>
    <row r="283" spans="1:21" hidden="1">
      <c r="A283" s="232" t="s">
        <v>2075</v>
      </c>
      <c r="B283" s="224" t="str">
        <f>(IF((VLOOKUP(Table10[[#This Row],[SKU]],'All Skus'!$A:$AC,2,FALSE))="Martin",(VLOOKUP(Table10[[#This Row],[SKU]],'All Skus'!$A:$AC,3,FALSE)),""))</f>
        <v>Junction Box Power DMX to PD</v>
      </c>
      <c r="C283" s="223">
        <f>(IF((VLOOKUP(Table10[[#This Row],[SKU]],'All Skus'!$A:$AC,2,FALSE))="Martin",(VLOOKUP(Table10[[#This Row],[SKU]],'All Skus'!$A:$AC,4,FALSE)),""))</f>
        <v>0</v>
      </c>
      <c r="D283" s="224" t="str">
        <f>(IF((VLOOKUP(Table10[[#This Row],[SKU]],'All Skus'!$A:$AC,2,FALSE))="Martin",(VLOOKUP(Table10[[#This Row],[SKU]],'All Skus'!$A:$AC,5,FALSE)),""))</f>
        <v>EXT-LIN</v>
      </c>
      <c r="E283" s="223">
        <f>(IF((VLOOKUP(Table10[[#This Row],[SKU]],'All Skus'!$A:$AC,2,FALSE))="Martin",(VLOOKUP(Table10[[#This Row],[SKU]],'All Skus'!$A:$AC,6,FALSE)),""))</f>
        <v>0</v>
      </c>
      <c r="F283" s="155">
        <f>(IF((VLOOKUP(Table10[[#This Row],[SKU]],'All Skus'!$A:$AC,2,FALSE))="Martin",(VLOOKUP(Table10[[#This Row],[SKU]],'All Skus'!$A:$AC,7,FALSE)),""))</f>
        <v>0</v>
      </c>
      <c r="G283" s="223" t="str">
        <f>(IF((VLOOKUP(Table10[[#This Row],[SKU]],'All Skus'!$A:$AC,2,FALSE))="Martin",(VLOOKUP(Table10[[#This Row],[SKU]],'All Skus'!$A:$AC,8,FALSE)),""))</f>
        <v>Junction Box Power DMX to PD</v>
      </c>
      <c r="H283" s="223" t="str">
        <f>(IF((VLOOKUP(Table10[[#This Row],[SKU]],'All Skus'!$A:$AC,2,FALSE))="Martin",(VLOOKUP(Table10[[#This Row],[SKU]],'All Skus'!$A:$AC,9,FALSE)),""))</f>
        <v>Junction Box Power DMX to PD</v>
      </c>
      <c r="I283" s="225">
        <f>(IF((VLOOKUP(Table10[[#This Row],[SKU]],'All Skus'!$A:$AC,2,FALSE))="Martin",(VLOOKUP(Table10[[#This Row],[SKU]],'All Skus'!$A:$AC,10,FALSE)),""))</f>
        <v>97.85</v>
      </c>
      <c r="J283" s="226">
        <f>(IF((VLOOKUP(Table10[[#This Row],[SKU]],'All Skus'!$A:$AC,2,FALSE))="Martin",(VLOOKUP(Table10[[#This Row],[SKU]],'All Skus'!$A:$AC,11,FALSE)),""))</f>
        <v>97.85</v>
      </c>
      <c r="K283" s="224">
        <f>(IF((VLOOKUP(Table10[[#This Row],[SKU]],'All Skus'!$A:$AC,2,FALSE))="Martin",(VLOOKUP(Table10[[#This Row],[SKU]],'All Skus'!$A:$AC,15,FALSE)),""))</f>
        <v>0</v>
      </c>
      <c r="L283" s="224">
        <f>(IF((VLOOKUP(Table10[[#This Row],[SKU]],'All Skus'!$A:$AC,2,FALSE))="Martin",(VLOOKUP(Table10[[#This Row],[SKU]],'All Skus'!$A:$AC,16,FALSE)),""))</f>
        <v>688705008622</v>
      </c>
      <c r="M283" s="224">
        <f>(IF((VLOOKUP(Table10[[#This Row],[SKU]],'All Skus'!$A:$AC,2,FALSE))="Martin",(VLOOKUP(Table10[[#This Row],[SKU]],'All Skus'!$A:$AC,17,FALSE)),""))</f>
        <v>0</v>
      </c>
      <c r="N283" s="227">
        <f>(IF((VLOOKUP(Table10[[#This Row],[SKU]],'All Skus'!$A:$AC,2,FALSE))="Martin",(VLOOKUP(Table10[[#This Row],[SKU]],'All Skus'!$A:$AC,18,FALSE)),""))</f>
        <v>0</v>
      </c>
      <c r="O283" s="227">
        <f>(IF((VLOOKUP(Table10[[#This Row],[SKU]],'All Skus'!$A:$AC,2,FALSE))="Martin",(VLOOKUP(Table10[[#This Row],[SKU]],'All Skus'!$A:$AC,19,FALSE)),""))</f>
        <v>0</v>
      </c>
      <c r="P283" s="227">
        <f>(IF((VLOOKUP(Table10[[#This Row],[SKU]],'All Skus'!$A:$AC,2,FALSE))="Martin",(VLOOKUP(Table10[[#This Row],[SKU]],'All Skus'!$A:$AC,20,FALSE)),""))</f>
        <v>0</v>
      </c>
      <c r="Q283" s="227">
        <f>(IF((VLOOKUP(Table10[[#This Row],[SKU]],'All Skus'!$A:$AC,2,FALSE))="Martin",(VLOOKUP(Table10[[#This Row],[SKU]],'All Skus'!$A:$AC,21,FALSE)),""))</f>
        <v>0</v>
      </c>
      <c r="R283" s="224">
        <f>(IF((VLOOKUP(Table10[[#This Row],[SKU]],'All Skus'!$A:$AC,2,FALSE))="Martin",(VLOOKUP(Table10[[#This Row],[SKU]],'All Skus'!$A:$AC,22,FALSE)),""))</f>
        <v>0</v>
      </c>
      <c r="S283" s="223">
        <f>(IF((VLOOKUP(Table10[[#This Row],[SKU]],'All Skus'!$A:$AC,2,FALSE))="Martin",(VLOOKUP(Table10[[#This Row],[SKU]],'All Skus'!$A:$AC,23,FALSE)),""))</f>
        <v>0</v>
      </c>
      <c r="T283" s="212" t="str">
        <f>HYPERLINK((IF((VLOOKUP(Table10[[#This Row],[SKU]],'All Skus'!$A:$AC,2,FALSE))="Martin",(VLOOKUP(Table10[[#This Row],[SKU]],'All Skus'!$A:$AC,24,FALSE)),"")))</f>
        <v/>
      </c>
      <c r="U283" s="228">
        <v>281</v>
      </c>
    </row>
    <row r="284" spans="1:21" hidden="1">
      <c r="A284" s="232" t="s">
        <v>2076</v>
      </c>
      <c r="B284" s="224" t="str">
        <f>(IF((VLOOKUP(Table10[[#This Row],[SKU]],'All Skus'!$A:$AC,2,FALSE))="Martin",(VLOOKUP(Table10[[#This Row],[SKU]],'All Skus'!$A:$AC,3,FALSE)),""))</f>
        <v>Power DMX Cable PD PD 0.2M US</v>
      </c>
      <c r="C284" s="223">
        <f>(IF((VLOOKUP(Table10[[#This Row],[SKU]],'All Skus'!$A:$AC,2,FALSE))="Martin",(VLOOKUP(Table10[[#This Row],[SKU]],'All Skus'!$A:$AC,4,FALSE)),""))</f>
        <v>0</v>
      </c>
      <c r="D284" s="224" t="str">
        <f>(IF((VLOOKUP(Table10[[#This Row],[SKU]],'All Skus'!$A:$AC,2,FALSE))="Martin",(VLOOKUP(Table10[[#This Row],[SKU]],'All Skus'!$A:$AC,5,FALSE)),""))</f>
        <v>EXT-LIN</v>
      </c>
      <c r="E284" s="223">
        <f>(IF((VLOOKUP(Table10[[#This Row],[SKU]],'All Skus'!$A:$AC,2,FALSE))="Martin",(VLOOKUP(Table10[[#This Row],[SKU]],'All Skus'!$A:$AC,6,FALSE)),""))</f>
        <v>0</v>
      </c>
      <c r="F284" s="155">
        <f>(IF((VLOOKUP(Table10[[#This Row],[SKU]],'All Skus'!$A:$AC,2,FALSE))="Martin",(VLOOKUP(Table10[[#This Row],[SKU]],'All Skus'!$A:$AC,7,FALSE)),""))</f>
        <v>0</v>
      </c>
      <c r="G284" s="223" t="str">
        <f>(IF((VLOOKUP(Table10[[#This Row],[SKU]],'All Skus'!$A:$AC,2,FALSE))="Martin",(VLOOKUP(Table10[[#This Row],[SKU]],'All Skus'!$A:$AC,8,FALSE)),""))</f>
        <v>Power DMX Cable PD PD 0.2M US</v>
      </c>
      <c r="H284" s="223" t="str">
        <f>(IF((VLOOKUP(Table10[[#This Row],[SKU]],'All Skus'!$A:$AC,2,FALSE))="Martin",(VLOOKUP(Table10[[#This Row],[SKU]],'All Skus'!$A:$AC,9,FALSE)),""))</f>
        <v>Power DMX Cable PD PD 0.2M US</v>
      </c>
      <c r="I284" s="225">
        <f>(IF((VLOOKUP(Table10[[#This Row],[SKU]],'All Skus'!$A:$AC,2,FALSE))="Martin",(VLOOKUP(Table10[[#This Row],[SKU]],'All Skus'!$A:$AC,10,FALSE)),""))</f>
        <v>44.29</v>
      </c>
      <c r="J284" s="226">
        <f>(IF((VLOOKUP(Table10[[#This Row],[SKU]],'All Skus'!$A:$AC,2,FALSE))="Martin",(VLOOKUP(Table10[[#This Row],[SKU]],'All Skus'!$A:$AC,11,FALSE)),""))</f>
        <v>44.29</v>
      </c>
      <c r="K284" s="224">
        <f>(IF((VLOOKUP(Table10[[#This Row],[SKU]],'All Skus'!$A:$AC,2,FALSE))="Martin",(VLOOKUP(Table10[[#This Row],[SKU]],'All Skus'!$A:$AC,15,FALSE)),""))</f>
        <v>0</v>
      </c>
      <c r="L284" s="224">
        <f>(IF((VLOOKUP(Table10[[#This Row],[SKU]],'All Skus'!$A:$AC,2,FALSE))="Martin",(VLOOKUP(Table10[[#This Row],[SKU]],'All Skus'!$A:$AC,16,FALSE)),""))</f>
        <v>688705008707</v>
      </c>
      <c r="M284" s="224">
        <f>(IF((VLOOKUP(Table10[[#This Row],[SKU]],'All Skus'!$A:$AC,2,FALSE))="Martin",(VLOOKUP(Table10[[#This Row],[SKU]],'All Skus'!$A:$AC,17,FALSE)),""))</f>
        <v>0</v>
      </c>
      <c r="N284" s="227">
        <f>(IF((VLOOKUP(Table10[[#This Row],[SKU]],'All Skus'!$A:$AC,2,FALSE))="Martin",(VLOOKUP(Table10[[#This Row],[SKU]],'All Skus'!$A:$AC,18,FALSE)),""))</f>
        <v>0</v>
      </c>
      <c r="O284" s="227">
        <f>(IF((VLOOKUP(Table10[[#This Row],[SKU]],'All Skus'!$A:$AC,2,FALSE))="Martin",(VLOOKUP(Table10[[#This Row],[SKU]],'All Skus'!$A:$AC,19,FALSE)),""))</f>
        <v>0</v>
      </c>
      <c r="P284" s="227">
        <f>(IF((VLOOKUP(Table10[[#This Row],[SKU]],'All Skus'!$A:$AC,2,FALSE))="Martin",(VLOOKUP(Table10[[#This Row],[SKU]],'All Skus'!$A:$AC,20,FALSE)),""))</f>
        <v>0</v>
      </c>
      <c r="Q284" s="227">
        <f>(IF((VLOOKUP(Table10[[#This Row],[SKU]],'All Skus'!$A:$AC,2,FALSE))="Martin",(VLOOKUP(Table10[[#This Row],[SKU]],'All Skus'!$A:$AC,21,FALSE)),""))</f>
        <v>0</v>
      </c>
      <c r="R284" s="224">
        <f>(IF((VLOOKUP(Table10[[#This Row],[SKU]],'All Skus'!$A:$AC,2,FALSE))="Martin",(VLOOKUP(Table10[[#This Row],[SKU]],'All Skus'!$A:$AC,22,FALSE)),""))</f>
        <v>0</v>
      </c>
      <c r="S284" s="223">
        <f>(IF((VLOOKUP(Table10[[#This Row],[SKU]],'All Skus'!$A:$AC,2,FALSE))="Martin",(VLOOKUP(Table10[[#This Row],[SKU]],'All Skus'!$A:$AC,23,FALSE)),""))</f>
        <v>0</v>
      </c>
      <c r="T284" s="212" t="str">
        <f>HYPERLINK((IF((VLOOKUP(Table10[[#This Row],[SKU]],'All Skus'!$A:$AC,2,FALSE))="Martin",(VLOOKUP(Table10[[#This Row],[SKU]],'All Skus'!$A:$AC,24,FALSE)),"")))</f>
        <v/>
      </c>
      <c r="U284" s="228">
        <v>282</v>
      </c>
    </row>
    <row r="285" spans="1:21" hidden="1">
      <c r="A285" s="232" t="s">
        <v>2077</v>
      </c>
      <c r="B285" s="224" t="str">
        <f>(IF((VLOOKUP(Table10[[#This Row],[SKU]],'All Skus'!$A:$AC,2,FALSE))="Martin",(VLOOKUP(Table10[[#This Row],[SKU]],'All Skus'!$A:$AC,3,FALSE)),""))</f>
        <v>Power DMX Cable PD PD 1M US</v>
      </c>
      <c r="C285" s="223">
        <f>(IF((VLOOKUP(Table10[[#This Row],[SKU]],'All Skus'!$A:$AC,2,FALSE))="Martin",(VLOOKUP(Table10[[#This Row],[SKU]],'All Skus'!$A:$AC,4,FALSE)),""))</f>
        <v>0</v>
      </c>
      <c r="D285" s="224" t="str">
        <f>(IF((VLOOKUP(Table10[[#This Row],[SKU]],'All Skus'!$A:$AC,2,FALSE))="Martin",(VLOOKUP(Table10[[#This Row],[SKU]],'All Skus'!$A:$AC,5,FALSE)),""))</f>
        <v>EXT-LIN</v>
      </c>
      <c r="E285" s="223">
        <f>(IF((VLOOKUP(Table10[[#This Row],[SKU]],'All Skus'!$A:$AC,2,FALSE))="Martin",(VLOOKUP(Table10[[#This Row],[SKU]],'All Skus'!$A:$AC,6,FALSE)),""))</f>
        <v>0</v>
      </c>
      <c r="F285" s="155">
        <f>(IF((VLOOKUP(Table10[[#This Row],[SKU]],'All Skus'!$A:$AC,2,FALSE))="Martin",(VLOOKUP(Table10[[#This Row],[SKU]],'All Skus'!$A:$AC,7,FALSE)),""))</f>
        <v>0</v>
      </c>
      <c r="G285" s="223" t="str">
        <f>(IF((VLOOKUP(Table10[[#This Row],[SKU]],'All Skus'!$A:$AC,2,FALSE))="Martin",(VLOOKUP(Table10[[#This Row],[SKU]],'All Skus'!$A:$AC,8,FALSE)),""))</f>
        <v>Power DMX Cable PD PD 1M US</v>
      </c>
      <c r="H285" s="223" t="str">
        <f>(IF((VLOOKUP(Table10[[#This Row],[SKU]],'All Skus'!$A:$AC,2,FALSE))="Martin",(VLOOKUP(Table10[[#This Row],[SKU]],'All Skus'!$A:$AC,9,FALSE)),""))</f>
        <v>Power DMX Cable PD PD 1M US</v>
      </c>
      <c r="I285" s="225">
        <f>(IF((VLOOKUP(Table10[[#This Row],[SKU]],'All Skus'!$A:$AC,2,FALSE))="Martin",(VLOOKUP(Table10[[#This Row],[SKU]],'All Skus'!$A:$AC,10,FALSE)),""))</f>
        <v>57.68</v>
      </c>
      <c r="J285" s="226">
        <f>(IF((VLOOKUP(Table10[[#This Row],[SKU]],'All Skus'!$A:$AC,2,FALSE))="Martin",(VLOOKUP(Table10[[#This Row],[SKU]],'All Skus'!$A:$AC,11,FALSE)),""))</f>
        <v>57.68</v>
      </c>
      <c r="K285" s="224">
        <f>(IF((VLOOKUP(Table10[[#This Row],[SKU]],'All Skus'!$A:$AC,2,FALSE))="Martin",(VLOOKUP(Table10[[#This Row],[SKU]],'All Skus'!$A:$AC,15,FALSE)),""))</f>
        <v>0</v>
      </c>
      <c r="L285" s="224">
        <f>(IF((VLOOKUP(Table10[[#This Row],[SKU]],'All Skus'!$A:$AC,2,FALSE))="Martin",(VLOOKUP(Table10[[#This Row],[SKU]],'All Skus'!$A:$AC,16,FALSE)),""))</f>
        <v>688705008714</v>
      </c>
      <c r="M285" s="224">
        <f>(IF((VLOOKUP(Table10[[#This Row],[SKU]],'All Skus'!$A:$AC,2,FALSE))="Martin",(VLOOKUP(Table10[[#This Row],[SKU]],'All Skus'!$A:$AC,17,FALSE)),""))</f>
        <v>0</v>
      </c>
      <c r="N285" s="227">
        <f>(IF((VLOOKUP(Table10[[#This Row],[SKU]],'All Skus'!$A:$AC,2,FALSE))="Martin",(VLOOKUP(Table10[[#This Row],[SKU]],'All Skus'!$A:$AC,18,FALSE)),""))</f>
        <v>0</v>
      </c>
      <c r="O285" s="227">
        <f>(IF((VLOOKUP(Table10[[#This Row],[SKU]],'All Skus'!$A:$AC,2,FALSE))="Martin",(VLOOKUP(Table10[[#This Row],[SKU]],'All Skus'!$A:$AC,19,FALSE)),""))</f>
        <v>0</v>
      </c>
      <c r="P285" s="227">
        <f>(IF((VLOOKUP(Table10[[#This Row],[SKU]],'All Skus'!$A:$AC,2,FALSE))="Martin",(VLOOKUP(Table10[[#This Row],[SKU]],'All Skus'!$A:$AC,20,FALSE)),""))</f>
        <v>0</v>
      </c>
      <c r="Q285" s="227">
        <f>(IF((VLOOKUP(Table10[[#This Row],[SKU]],'All Skus'!$A:$AC,2,FALSE))="Martin",(VLOOKUP(Table10[[#This Row],[SKU]],'All Skus'!$A:$AC,21,FALSE)),""))</f>
        <v>0</v>
      </c>
      <c r="R285" s="224">
        <f>(IF((VLOOKUP(Table10[[#This Row],[SKU]],'All Skus'!$A:$AC,2,FALSE))="Martin",(VLOOKUP(Table10[[#This Row],[SKU]],'All Skus'!$A:$AC,22,FALSE)),""))</f>
        <v>0</v>
      </c>
      <c r="S285" s="223">
        <f>(IF((VLOOKUP(Table10[[#This Row],[SKU]],'All Skus'!$A:$AC,2,FALSE))="Martin",(VLOOKUP(Table10[[#This Row],[SKU]],'All Skus'!$A:$AC,23,FALSE)),""))</f>
        <v>0</v>
      </c>
      <c r="T285" s="212" t="str">
        <f>HYPERLINK((IF((VLOOKUP(Table10[[#This Row],[SKU]],'All Skus'!$A:$AC,2,FALSE))="Martin",(VLOOKUP(Table10[[#This Row],[SKU]],'All Skus'!$A:$AC,24,FALSE)),"")))</f>
        <v/>
      </c>
      <c r="U285" s="228">
        <v>283</v>
      </c>
    </row>
    <row r="286" spans="1:21" hidden="1">
      <c r="A286" s="232" t="s">
        <v>2078</v>
      </c>
      <c r="B286" s="224" t="str">
        <f>(IF((VLOOKUP(Table10[[#This Row],[SKU]],'All Skus'!$A:$AC,2,FALSE))="Martin",(VLOOKUP(Table10[[#This Row],[SKU]],'All Skus'!$A:$AC,3,FALSE)),""))</f>
        <v>Power DMX Cable PD PD 2.5M US</v>
      </c>
      <c r="C286" s="223">
        <f>(IF((VLOOKUP(Table10[[#This Row],[SKU]],'All Skus'!$A:$AC,2,FALSE))="Martin",(VLOOKUP(Table10[[#This Row],[SKU]],'All Skus'!$A:$AC,4,FALSE)),""))</f>
        <v>0</v>
      </c>
      <c r="D286" s="224" t="str">
        <f>(IF((VLOOKUP(Table10[[#This Row],[SKU]],'All Skus'!$A:$AC,2,FALSE))="Martin",(VLOOKUP(Table10[[#This Row],[SKU]],'All Skus'!$A:$AC,5,FALSE)),""))</f>
        <v>EXT-LIN</v>
      </c>
      <c r="E286" s="223">
        <f>(IF((VLOOKUP(Table10[[#This Row],[SKU]],'All Skus'!$A:$AC,2,FALSE))="Martin",(VLOOKUP(Table10[[#This Row],[SKU]],'All Skus'!$A:$AC,6,FALSE)),""))</f>
        <v>0</v>
      </c>
      <c r="F286" s="155">
        <f>(IF((VLOOKUP(Table10[[#This Row],[SKU]],'All Skus'!$A:$AC,2,FALSE))="Martin",(VLOOKUP(Table10[[#This Row],[SKU]],'All Skus'!$A:$AC,7,FALSE)),""))</f>
        <v>0</v>
      </c>
      <c r="G286" s="223" t="str">
        <f>(IF((VLOOKUP(Table10[[#This Row],[SKU]],'All Skus'!$A:$AC,2,FALSE))="Martin",(VLOOKUP(Table10[[#This Row],[SKU]],'All Skus'!$A:$AC,8,FALSE)),""))</f>
        <v>Power DMX Cable PD PD 2.5M US</v>
      </c>
      <c r="H286" s="223" t="str">
        <f>(IF((VLOOKUP(Table10[[#This Row],[SKU]],'All Skus'!$A:$AC,2,FALSE))="Martin",(VLOOKUP(Table10[[#This Row],[SKU]],'All Skus'!$A:$AC,9,FALSE)),""))</f>
        <v>Power DMX Cable PD PD 2.5M US</v>
      </c>
      <c r="I286" s="225">
        <f>(IF((VLOOKUP(Table10[[#This Row],[SKU]],'All Skus'!$A:$AC,2,FALSE))="Martin",(VLOOKUP(Table10[[#This Row],[SKU]],'All Skus'!$A:$AC,10,FALSE)),""))</f>
        <v>87.55</v>
      </c>
      <c r="J286" s="226">
        <f>(IF((VLOOKUP(Table10[[#This Row],[SKU]],'All Skus'!$A:$AC,2,FALSE))="Martin",(VLOOKUP(Table10[[#This Row],[SKU]],'All Skus'!$A:$AC,11,FALSE)),""))</f>
        <v>87.55</v>
      </c>
      <c r="K286" s="224">
        <f>(IF((VLOOKUP(Table10[[#This Row],[SKU]],'All Skus'!$A:$AC,2,FALSE))="Martin",(VLOOKUP(Table10[[#This Row],[SKU]],'All Skus'!$A:$AC,15,FALSE)),""))</f>
        <v>0</v>
      </c>
      <c r="L286" s="224">
        <f>(IF((VLOOKUP(Table10[[#This Row],[SKU]],'All Skus'!$A:$AC,2,FALSE))="Martin",(VLOOKUP(Table10[[#This Row],[SKU]],'All Skus'!$A:$AC,16,FALSE)),""))</f>
        <v>688705008721</v>
      </c>
      <c r="M286" s="224">
        <f>(IF((VLOOKUP(Table10[[#This Row],[SKU]],'All Skus'!$A:$AC,2,FALSE))="Martin",(VLOOKUP(Table10[[#This Row],[SKU]],'All Skus'!$A:$AC,17,FALSE)),""))</f>
        <v>0</v>
      </c>
      <c r="N286" s="227">
        <f>(IF((VLOOKUP(Table10[[#This Row],[SKU]],'All Skus'!$A:$AC,2,FALSE))="Martin",(VLOOKUP(Table10[[#This Row],[SKU]],'All Skus'!$A:$AC,18,FALSE)),""))</f>
        <v>0</v>
      </c>
      <c r="O286" s="227">
        <f>(IF((VLOOKUP(Table10[[#This Row],[SKU]],'All Skus'!$A:$AC,2,FALSE))="Martin",(VLOOKUP(Table10[[#This Row],[SKU]],'All Skus'!$A:$AC,19,FALSE)),""))</f>
        <v>0</v>
      </c>
      <c r="P286" s="227">
        <f>(IF((VLOOKUP(Table10[[#This Row],[SKU]],'All Skus'!$A:$AC,2,FALSE))="Martin",(VLOOKUP(Table10[[#This Row],[SKU]],'All Skus'!$A:$AC,20,FALSE)),""))</f>
        <v>0</v>
      </c>
      <c r="Q286" s="227">
        <f>(IF((VLOOKUP(Table10[[#This Row],[SKU]],'All Skus'!$A:$AC,2,FALSE))="Martin",(VLOOKUP(Table10[[#This Row],[SKU]],'All Skus'!$A:$AC,21,FALSE)),""))</f>
        <v>0</v>
      </c>
      <c r="R286" s="224">
        <f>(IF((VLOOKUP(Table10[[#This Row],[SKU]],'All Skus'!$A:$AC,2,FALSE))="Martin",(VLOOKUP(Table10[[#This Row],[SKU]],'All Skus'!$A:$AC,22,FALSE)),""))</f>
        <v>0</v>
      </c>
      <c r="S286" s="223">
        <f>(IF((VLOOKUP(Table10[[#This Row],[SKU]],'All Skus'!$A:$AC,2,FALSE))="Martin",(VLOOKUP(Table10[[#This Row],[SKU]],'All Skus'!$A:$AC,23,FALSE)),""))</f>
        <v>0</v>
      </c>
      <c r="T286" s="212" t="str">
        <f>HYPERLINK((IF((VLOOKUP(Table10[[#This Row],[SKU]],'All Skus'!$A:$AC,2,FALSE))="Martin",(VLOOKUP(Table10[[#This Row],[SKU]],'All Skus'!$A:$AC,24,FALSE)),"")))</f>
        <v/>
      </c>
      <c r="U286" s="228">
        <v>284</v>
      </c>
    </row>
    <row r="287" spans="1:21" hidden="1">
      <c r="A287" s="232" t="s">
        <v>2079</v>
      </c>
      <c r="B287" s="224" t="str">
        <f>(IF((VLOOKUP(Table10[[#This Row],[SKU]],'All Skus'!$A:$AC,2,FALSE))="Martin",(VLOOKUP(Table10[[#This Row],[SKU]],'All Skus'!$A:$AC,3,FALSE)),""))</f>
        <v>Power DMX Cable PD PD 5M US</v>
      </c>
      <c r="C287" s="223">
        <f>(IF((VLOOKUP(Table10[[#This Row],[SKU]],'All Skus'!$A:$AC,2,FALSE))="Martin",(VLOOKUP(Table10[[#This Row],[SKU]],'All Skus'!$A:$AC,4,FALSE)),""))</f>
        <v>0</v>
      </c>
      <c r="D287" s="224" t="str">
        <f>(IF((VLOOKUP(Table10[[#This Row],[SKU]],'All Skus'!$A:$AC,2,FALSE))="Martin",(VLOOKUP(Table10[[#This Row],[SKU]],'All Skus'!$A:$AC,5,FALSE)),""))</f>
        <v>EXT-LIN</v>
      </c>
      <c r="E287" s="223">
        <f>(IF((VLOOKUP(Table10[[#This Row],[SKU]],'All Skus'!$A:$AC,2,FALSE))="Martin",(VLOOKUP(Table10[[#This Row],[SKU]],'All Skus'!$A:$AC,6,FALSE)),""))</f>
        <v>0</v>
      </c>
      <c r="F287" s="155">
        <f>(IF((VLOOKUP(Table10[[#This Row],[SKU]],'All Skus'!$A:$AC,2,FALSE))="Martin",(VLOOKUP(Table10[[#This Row],[SKU]],'All Skus'!$A:$AC,7,FALSE)),""))</f>
        <v>0</v>
      </c>
      <c r="G287" s="223" t="str">
        <f>(IF((VLOOKUP(Table10[[#This Row],[SKU]],'All Skus'!$A:$AC,2,FALSE))="Martin",(VLOOKUP(Table10[[#This Row],[SKU]],'All Skus'!$A:$AC,8,FALSE)),""))</f>
        <v>Power DMX Cable PD PD 5M US</v>
      </c>
      <c r="H287" s="223" t="str">
        <f>(IF((VLOOKUP(Table10[[#This Row],[SKU]],'All Skus'!$A:$AC,2,FALSE))="Martin",(VLOOKUP(Table10[[#This Row],[SKU]],'All Skus'!$A:$AC,9,FALSE)),""))</f>
        <v>Power DMX Cable PD PD 5M US</v>
      </c>
      <c r="I287" s="225">
        <f>(IF((VLOOKUP(Table10[[#This Row],[SKU]],'All Skus'!$A:$AC,2,FALSE))="Martin",(VLOOKUP(Table10[[#This Row],[SKU]],'All Skus'!$A:$AC,10,FALSE)),""))</f>
        <v>127.72</v>
      </c>
      <c r="J287" s="226">
        <f>(IF((VLOOKUP(Table10[[#This Row],[SKU]],'All Skus'!$A:$AC,2,FALSE))="Martin",(VLOOKUP(Table10[[#This Row],[SKU]],'All Skus'!$A:$AC,11,FALSE)),""))</f>
        <v>127.72</v>
      </c>
      <c r="K287" s="224">
        <f>(IF((VLOOKUP(Table10[[#This Row],[SKU]],'All Skus'!$A:$AC,2,FALSE))="Martin",(VLOOKUP(Table10[[#This Row],[SKU]],'All Skus'!$A:$AC,15,FALSE)),""))</f>
        <v>0</v>
      </c>
      <c r="L287" s="224">
        <f>(IF((VLOOKUP(Table10[[#This Row],[SKU]],'All Skus'!$A:$AC,2,FALSE))="Martin",(VLOOKUP(Table10[[#This Row],[SKU]],'All Skus'!$A:$AC,16,FALSE)),""))</f>
        <v>688705008738</v>
      </c>
      <c r="M287" s="224">
        <f>(IF((VLOOKUP(Table10[[#This Row],[SKU]],'All Skus'!$A:$AC,2,FALSE))="Martin",(VLOOKUP(Table10[[#This Row],[SKU]],'All Skus'!$A:$AC,17,FALSE)),""))</f>
        <v>0</v>
      </c>
      <c r="N287" s="227">
        <f>(IF((VLOOKUP(Table10[[#This Row],[SKU]],'All Skus'!$A:$AC,2,FALSE))="Martin",(VLOOKUP(Table10[[#This Row],[SKU]],'All Skus'!$A:$AC,18,FALSE)),""))</f>
        <v>0</v>
      </c>
      <c r="O287" s="227">
        <f>(IF((VLOOKUP(Table10[[#This Row],[SKU]],'All Skus'!$A:$AC,2,FALSE))="Martin",(VLOOKUP(Table10[[#This Row],[SKU]],'All Skus'!$A:$AC,19,FALSE)),""))</f>
        <v>0</v>
      </c>
      <c r="P287" s="227">
        <f>(IF((VLOOKUP(Table10[[#This Row],[SKU]],'All Skus'!$A:$AC,2,FALSE))="Martin",(VLOOKUP(Table10[[#This Row],[SKU]],'All Skus'!$A:$AC,20,FALSE)),""))</f>
        <v>0</v>
      </c>
      <c r="Q287" s="227">
        <f>(IF((VLOOKUP(Table10[[#This Row],[SKU]],'All Skus'!$A:$AC,2,FALSE))="Martin",(VLOOKUP(Table10[[#This Row],[SKU]],'All Skus'!$A:$AC,21,FALSE)),""))</f>
        <v>0</v>
      </c>
      <c r="R287" s="224">
        <f>(IF((VLOOKUP(Table10[[#This Row],[SKU]],'All Skus'!$A:$AC,2,FALSE))="Martin",(VLOOKUP(Table10[[#This Row],[SKU]],'All Skus'!$A:$AC,22,FALSE)),""))</f>
        <v>0</v>
      </c>
      <c r="S287" s="223">
        <f>(IF((VLOOKUP(Table10[[#This Row],[SKU]],'All Skus'!$A:$AC,2,FALSE))="Martin",(VLOOKUP(Table10[[#This Row],[SKU]],'All Skus'!$A:$AC,23,FALSE)),""))</f>
        <v>0</v>
      </c>
      <c r="T287" s="212" t="str">
        <f>HYPERLINK((IF((VLOOKUP(Table10[[#This Row],[SKU]],'All Skus'!$A:$AC,2,FALSE))="Martin",(VLOOKUP(Table10[[#This Row],[SKU]],'All Skus'!$A:$AC,24,FALSE)),"")))</f>
        <v/>
      </c>
      <c r="U287" s="228">
        <v>285</v>
      </c>
    </row>
    <row r="288" spans="1:21" hidden="1">
      <c r="A288" s="232" t="s">
        <v>2080</v>
      </c>
      <c r="B288" s="224" t="str">
        <f>(IF((VLOOKUP(Table10[[#This Row],[SKU]],'All Skus'!$A:$AC,2,FALSE))="Martin",(VLOOKUP(Table10[[#This Row],[SKU]],'All Skus'!$A:$AC,3,FALSE)),""))</f>
        <v>Power DMX Cable PD PD 10M US</v>
      </c>
      <c r="C288" s="223">
        <f>(IF((VLOOKUP(Table10[[#This Row],[SKU]],'All Skus'!$A:$AC,2,FALSE))="Martin",(VLOOKUP(Table10[[#This Row],[SKU]],'All Skus'!$A:$AC,4,FALSE)),""))</f>
        <v>0</v>
      </c>
      <c r="D288" s="224" t="str">
        <f>(IF((VLOOKUP(Table10[[#This Row],[SKU]],'All Skus'!$A:$AC,2,FALSE))="Martin",(VLOOKUP(Table10[[#This Row],[SKU]],'All Skus'!$A:$AC,5,FALSE)),""))</f>
        <v>EXT-LIN</v>
      </c>
      <c r="E288" s="223">
        <f>(IF((VLOOKUP(Table10[[#This Row],[SKU]],'All Skus'!$A:$AC,2,FALSE))="Martin",(VLOOKUP(Table10[[#This Row],[SKU]],'All Skus'!$A:$AC,6,FALSE)),""))</f>
        <v>0</v>
      </c>
      <c r="F288" s="155">
        <f>(IF((VLOOKUP(Table10[[#This Row],[SKU]],'All Skus'!$A:$AC,2,FALSE))="Martin",(VLOOKUP(Table10[[#This Row],[SKU]],'All Skus'!$A:$AC,7,FALSE)),""))</f>
        <v>0</v>
      </c>
      <c r="G288" s="223" t="str">
        <f>(IF((VLOOKUP(Table10[[#This Row],[SKU]],'All Skus'!$A:$AC,2,FALSE))="Martin",(VLOOKUP(Table10[[#This Row],[SKU]],'All Skus'!$A:$AC,8,FALSE)),""))</f>
        <v>Power DMX Cable PD PD 10M US</v>
      </c>
      <c r="H288" s="223" t="str">
        <f>(IF((VLOOKUP(Table10[[#This Row],[SKU]],'All Skus'!$A:$AC,2,FALSE))="Martin",(VLOOKUP(Table10[[#This Row],[SKU]],'All Skus'!$A:$AC,9,FALSE)),""))</f>
        <v>Power DMX Cable PD PD 10M US</v>
      </c>
      <c r="I288" s="225">
        <f>(IF((VLOOKUP(Table10[[#This Row],[SKU]],'All Skus'!$A:$AC,2,FALSE))="Martin",(VLOOKUP(Table10[[#This Row],[SKU]],'All Skus'!$A:$AC,10,FALSE)),""))</f>
        <v>216.3</v>
      </c>
      <c r="J288" s="226">
        <f>(IF((VLOOKUP(Table10[[#This Row],[SKU]],'All Skus'!$A:$AC,2,FALSE))="Martin",(VLOOKUP(Table10[[#This Row],[SKU]],'All Skus'!$A:$AC,11,FALSE)),""))</f>
        <v>216.3</v>
      </c>
      <c r="K288" s="224">
        <f>(IF((VLOOKUP(Table10[[#This Row],[SKU]],'All Skus'!$A:$AC,2,FALSE))="Martin",(VLOOKUP(Table10[[#This Row],[SKU]],'All Skus'!$A:$AC,15,FALSE)),""))</f>
        <v>0</v>
      </c>
      <c r="L288" s="224">
        <f>(IF((VLOOKUP(Table10[[#This Row],[SKU]],'All Skus'!$A:$AC,2,FALSE))="Martin",(VLOOKUP(Table10[[#This Row],[SKU]],'All Skus'!$A:$AC,16,FALSE)),""))</f>
        <v>688705008745</v>
      </c>
      <c r="M288" s="224">
        <f>(IF((VLOOKUP(Table10[[#This Row],[SKU]],'All Skus'!$A:$AC,2,FALSE))="Martin",(VLOOKUP(Table10[[#This Row],[SKU]],'All Skus'!$A:$AC,17,FALSE)),""))</f>
        <v>0</v>
      </c>
      <c r="N288" s="227">
        <f>(IF((VLOOKUP(Table10[[#This Row],[SKU]],'All Skus'!$A:$AC,2,FALSE))="Martin",(VLOOKUP(Table10[[#This Row],[SKU]],'All Skus'!$A:$AC,18,FALSE)),""))</f>
        <v>0</v>
      </c>
      <c r="O288" s="227">
        <f>(IF((VLOOKUP(Table10[[#This Row],[SKU]],'All Skus'!$A:$AC,2,FALSE))="Martin",(VLOOKUP(Table10[[#This Row],[SKU]],'All Skus'!$A:$AC,19,FALSE)),""))</f>
        <v>0</v>
      </c>
      <c r="P288" s="227">
        <f>(IF((VLOOKUP(Table10[[#This Row],[SKU]],'All Skus'!$A:$AC,2,FALSE))="Martin",(VLOOKUP(Table10[[#This Row],[SKU]],'All Skus'!$A:$AC,20,FALSE)),""))</f>
        <v>0</v>
      </c>
      <c r="Q288" s="227">
        <f>(IF((VLOOKUP(Table10[[#This Row],[SKU]],'All Skus'!$A:$AC,2,FALSE))="Martin",(VLOOKUP(Table10[[#This Row],[SKU]],'All Skus'!$A:$AC,21,FALSE)),""))</f>
        <v>0</v>
      </c>
      <c r="R288" s="224">
        <f>(IF((VLOOKUP(Table10[[#This Row],[SKU]],'All Skus'!$A:$AC,2,FALSE))="Martin",(VLOOKUP(Table10[[#This Row],[SKU]],'All Skus'!$A:$AC,22,FALSE)),""))</f>
        <v>0</v>
      </c>
      <c r="S288" s="223">
        <f>(IF((VLOOKUP(Table10[[#This Row],[SKU]],'All Skus'!$A:$AC,2,FALSE))="Martin",(VLOOKUP(Table10[[#This Row],[SKU]],'All Skus'!$A:$AC,23,FALSE)),""))</f>
        <v>0</v>
      </c>
      <c r="T288" s="212" t="str">
        <f>HYPERLINK((IF((VLOOKUP(Table10[[#This Row],[SKU]],'All Skus'!$A:$AC,2,FALSE))="Martin",(VLOOKUP(Table10[[#This Row],[SKU]],'All Skus'!$A:$AC,24,FALSE)),"")))</f>
        <v/>
      </c>
      <c r="U288" s="228">
        <v>286</v>
      </c>
    </row>
    <row r="289" spans="1:21" hidden="1">
      <c r="A289" s="232" t="s">
        <v>2081</v>
      </c>
      <c r="B289" s="224" t="str">
        <f>(IF((VLOOKUP(Table10[[#This Row],[SKU]],'All Skus'!$A:$AC,2,FALSE))="Martin",(VLOOKUP(Table10[[#This Row],[SKU]],'All Skus'!$A:$AC,3,FALSE)),""))</f>
        <v>Power DMX Cable 100M ROLL US</v>
      </c>
      <c r="C289" s="223">
        <f>(IF((VLOOKUP(Table10[[#This Row],[SKU]],'All Skus'!$A:$AC,2,FALSE))="Martin",(VLOOKUP(Table10[[#This Row],[SKU]],'All Skus'!$A:$AC,4,FALSE)),""))</f>
        <v>0</v>
      </c>
      <c r="D289" s="224" t="str">
        <f>(IF((VLOOKUP(Table10[[#This Row],[SKU]],'All Skus'!$A:$AC,2,FALSE))="Martin",(VLOOKUP(Table10[[#This Row],[SKU]],'All Skus'!$A:$AC,5,FALSE)),""))</f>
        <v>EXT-LIN</v>
      </c>
      <c r="E289" s="223">
        <f>(IF((VLOOKUP(Table10[[#This Row],[SKU]],'All Skus'!$A:$AC,2,FALSE))="Martin",(VLOOKUP(Table10[[#This Row],[SKU]],'All Skus'!$A:$AC,6,FALSE)),""))</f>
        <v>0</v>
      </c>
      <c r="F289" s="155">
        <f>(IF((VLOOKUP(Table10[[#This Row],[SKU]],'All Skus'!$A:$AC,2,FALSE))="Martin",(VLOOKUP(Table10[[#This Row],[SKU]],'All Skus'!$A:$AC,7,FALSE)),""))</f>
        <v>0</v>
      </c>
      <c r="G289" s="223" t="str">
        <f>(IF((VLOOKUP(Table10[[#This Row],[SKU]],'All Skus'!$A:$AC,2,FALSE))="Martin",(VLOOKUP(Table10[[#This Row],[SKU]],'All Skus'!$A:$AC,8,FALSE)),""))</f>
        <v>Power DMX Cable 100M ROLL US</v>
      </c>
      <c r="H289" s="223" t="str">
        <f>(IF((VLOOKUP(Table10[[#This Row],[SKU]],'All Skus'!$A:$AC,2,FALSE))="Martin",(VLOOKUP(Table10[[#This Row],[SKU]],'All Skus'!$A:$AC,9,FALSE)),""))</f>
        <v>Power DMX Cable 100M ROLL US</v>
      </c>
      <c r="I289" s="225">
        <f>(IF((VLOOKUP(Table10[[#This Row],[SKU]],'All Skus'!$A:$AC,2,FALSE))="Martin",(VLOOKUP(Table10[[#This Row],[SKU]],'All Skus'!$A:$AC,10,FALSE)),""))</f>
        <v>1854</v>
      </c>
      <c r="J289" s="226">
        <f>(IF((VLOOKUP(Table10[[#This Row],[SKU]],'All Skus'!$A:$AC,2,FALSE))="Martin",(VLOOKUP(Table10[[#This Row],[SKU]],'All Skus'!$A:$AC,11,FALSE)),""))</f>
        <v>1854</v>
      </c>
      <c r="K289" s="224">
        <f>(IF((VLOOKUP(Table10[[#This Row],[SKU]],'All Skus'!$A:$AC,2,FALSE))="Martin",(VLOOKUP(Table10[[#This Row],[SKU]],'All Skus'!$A:$AC,15,FALSE)),""))</f>
        <v>0</v>
      </c>
      <c r="L289" s="224">
        <f>(IF((VLOOKUP(Table10[[#This Row],[SKU]],'All Skus'!$A:$AC,2,FALSE))="Martin",(VLOOKUP(Table10[[#This Row],[SKU]],'All Skus'!$A:$AC,16,FALSE)),""))</f>
        <v>688705008769</v>
      </c>
      <c r="M289" s="224">
        <f>(IF((VLOOKUP(Table10[[#This Row],[SKU]],'All Skus'!$A:$AC,2,FALSE))="Martin",(VLOOKUP(Table10[[#This Row],[SKU]],'All Skus'!$A:$AC,17,FALSE)),""))</f>
        <v>0</v>
      </c>
      <c r="N289" s="227">
        <f>(IF((VLOOKUP(Table10[[#This Row],[SKU]],'All Skus'!$A:$AC,2,FALSE))="Martin",(VLOOKUP(Table10[[#This Row],[SKU]],'All Skus'!$A:$AC,18,FALSE)),""))</f>
        <v>0</v>
      </c>
      <c r="O289" s="227">
        <f>(IF((VLOOKUP(Table10[[#This Row],[SKU]],'All Skus'!$A:$AC,2,FALSE))="Martin",(VLOOKUP(Table10[[#This Row],[SKU]],'All Skus'!$A:$AC,19,FALSE)),""))</f>
        <v>0</v>
      </c>
      <c r="P289" s="227">
        <f>(IF((VLOOKUP(Table10[[#This Row],[SKU]],'All Skus'!$A:$AC,2,FALSE))="Martin",(VLOOKUP(Table10[[#This Row],[SKU]],'All Skus'!$A:$AC,20,FALSE)),""))</f>
        <v>0</v>
      </c>
      <c r="Q289" s="227">
        <f>(IF((VLOOKUP(Table10[[#This Row],[SKU]],'All Skus'!$A:$AC,2,FALSE))="Martin",(VLOOKUP(Table10[[#This Row],[SKU]],'All Skus'!$A:$AC,21,FALSE)),""))</f>
        <v>0</v>
      </c>
      <c r="R289" s="224">
        <f>(IF((VLOOKUP(Table10[[#This Row],[SKU]],'All Skus'!$A:$AC,2,FALSE))="Martin",(VLOOKUP(Table10[[#This Row],[SKU]],'All Skus'!$A:$AC,22,FALSE)),""))</f>
        <v>0</v>
      </c>
      <c r="S289" s="223">
        <f>(IF((VLOOKUP(Table10[[#This Row],[SKU]],'All Skus'!$A:$AC,2,FALSE))="Martin",(VLOOKUP(Table10[[#This Row],[SKU]],'All Skus'!$A:$AC,23,FALSE)),""))</f>
        <v>0</v>
      </c>
      <c r="T289" s="212" t="str">
        <f>HYPERLINK((IF((VLOOKUP(Table10[[#This Row],[SKU]],'All Skus'!$A:$AC,2,FALSE))="Martin",(VLOOKUP(Table10[[#This Row],[SKU]],'All Skus'!$A:$AC,24,FALSE)),"")))</f>
        <v/>
      </c>
      <c r="U289" s="228">
        <v>287</v>
      </c>
    </row>
    <row r="290" spans="1:21" hidden="1">
      <c r="A290" s="232" t="s">
        <v>2082</v>
      </c>
      <c r="B290" s="224" t="str">
        <f>(IF((VLOOKUP(Table10[[#This Row],[SKU]],'All Skus'!$A:$AC,2,FALSE))="Martin",(VLOOKUP(Table10[[#This Row],[SKU]],'All Skus'!$A:$AC,3,FALSE)),""))</f>
        <v>End Termination Cap PD</v>
      </c>
      <c r="C290" s="223">
        <f>(IF((VLOOKUP(Table10[[#This Row],[SKU]],'All Skus'!$A:$AC,2,FALSE))="Martin",(VLOOKUP(Table10[[#This Row],[SKU]],'All Skus'!$A:$AC,4,FALSE)),""))</f>
        <v>0</v>
      </c>
      <c r="D290" s="224" t="str">
        <f>(IF((VLOOKUP(Table10[[#This Row],[SKU]],'All Skus'!$A:$AC,2,FALSE))="Martin",(VLOOKUP(Table10[[#This Row],[SKU]],'All Skus'!$A:$AC,5,FALSE)),""))</f>
        <v>EXT-LIN</v>
      </c>
      <c r="E290" s="223">
        <f>(IF((VLOOKUP(Table10[[#This Row],[SKU]],'All Skus'!$A:$AC,2,FALSE))="Martin",(VLOOKUP(Table10[[#This Row],[SKU]],'All Skus'!$A:$AC,6,FALSE)),""))</f>
        <v>0</v>
      </c>
      <c r="F290" s="155">
        <f>(IF((VLOOKUP(Table10[[#This Row],[SKU]],'All Skus'!$A:$AC,2,FALSE))="Martin",(VLOOKUP(Table10[[#This Row],[SKU]],'All Skus'!$A:$AC,7,FALSE)),""))</f>
        <v>0</v>
      </c>
      <c r="G290" s="223" t="str">
        <f>(IF((VLOOKUP(Table10[[#This Row],[SKU]],'All Skus'!$A:$AC,2,FALSE))="Martin",(VLOOKUP(Table10[[#This Row],[SKU]],'All Skus'!$A:$AC,8,FALSE)),""))</f>
        <v>End Termination Cap PD</v>
      </c>
      <c r="H290" s="223" t="str">
        <f>(IF((VLOOKUP(Table10[[#This Row],[SKU]],'All Skus'!$A:$AC,2,FALSE))="Martin",(VLOOKUP(Table10[[#This Row],[SKU]],'All Skus'!$A:$AC,9,FALSE)),""))</f>
        <v>End Termination Cap PD</v>
      </c>
      <c r="I290" s="225">
        <f>(IF((VLOOKUP(Table10[[#This Row],[SKU]],'All Skus'!$A:$AC,2,FALSE))="Martin",(VLOOKUP(Table10[[#This Row],[SKU]],'All Skus'!$A:$AC,10,FALSE)),""))</f>
        <v>28.84</v>
      </c>
      <c r="J290" s="226">
        <f>(IF((VLOOKUP(Table10[[#This Row],[SKU]],'All Skus'!$A:$AC,2,FALSE))="Martin",(VLOOKUP(Table10[[#This Row],[SKU]],'All Skus'!$A:$AC,11,FALSE)),""))</f>
        <v>28.84</v>
      </c>
      <c r="K290" s="224">
        <f>(IF((VLOOKUP(Table10[[#This Row],[SKU]],'All Skus'!$A:$AC,2,FALSE))="Martin",(VLOOKUP(Table10[[#This Row],[SKU]],'All Skus'!$A:$AC,15,FALSE)),""))</f>
        <v>0</v>
      </c>
      <c r="L290" s="224">
        <f>(IF((VLOOKUP(Table10[[#This Row],[SKU]],'All Skus'!$A:$AC,2,FALSE))="Martin",(VLOOKUP(Table10[[#This Row],[SKU]],'All Skus'!$A:$AC,16,FALSE)),""))</f>
        <v>688705008752</v>
      </c>
      <c r="M290" s="224">
        <f>(IF((VLOOKUP(Table10[[#This Row],[SKU]],'All Skus'!$A:$AC,2,FALSE))="Martin",(VLOOKUP(Table10[[#This Row],[SKU]],'All Skus'!$A:$AC,17,FALSE)),""))</f>
        <v>0</v>
      </c>
      <c r="N290" s="227">
        <f>(IF((VLOOKUP(Table10[[#This Row],[SKU]],'All Skus'!$A:$AC,2,FALSE))="Martin",(VLOOKUP(Table10[[#This Row],[SKU]],'All Skus'!$A:$AC,18,FALSE)),""))</f>
        <v>0</v>
      </c>
      <c r="O290" s="227">
        <f>(IF((VLOOKUP(Table10[[#This Row],[SKU]],'All Skus'!$A:$AC,2,FALSE))="Martin",(VLOOKUP(Table10[[#This Row],[SKU]],'All Skus'!$A:$AC,19,FALSE)),""))</f>
        <v>0</v>
      </c>
      <c r="P290" s="227">
        <f>(IF((VLOOKUP(Table10[[#This Row],[SKU]],'All Skus'!$A:$AC,2,FALSE))="Martin",(VLOOKUP(Table10[[#This Row],[SKU]],'All Skus'!$A:$AC,20,FALSE)),""))</f>
        <v>0</v>
      </c>
      <c r="Q290" s="227">
        <f>(IF((VLOOKUP(Table10[[#This Row],[SKU]],'All Skus'!$A:$AC,2,FALSE))="Martin",(VLOOKUP(Table10[[#This Row],[SKU]],'All Skus'!$A:$AC,21,FALSE)),""))</f>
        <v>0</v>
      </c>
      <c r="R290" s="224">
        <f>(IF((VLOOKUP(Table10[[#This Row],[SKU]],'All Skus'!$A:$AC,2,FALSE))="Martin",(VLOOKUP(Table10[[#This Row],[SKU]],'All Skus'!$A:$AC,22,FALSE)),""))</f>
        <v>0</v>
      </c>
      <c r="S290" s="223">
        <f>(IF((VLOOKUP(Table10[[#This Row],[SKU]],'All Skus'!$A:$AC,2,FALSE))="Martin",(VLOOKUP(Table10[[#This Row],[SKU]],'All Skus'!$A:$AC,23,FALSE)),""))</f>
        <v>0</v>
      </c>
      <c r="T290" s="212" t="str">
        <f>HYPERLINK((IF((VLOOKUP(Table10[[#This Row],[SKU]],'All Skus'!$A:$AC,2,FALSE))="Martin",(VLOOKUP(Table10[[#This Row],[SKU]],'All Skus'!$A:$AC,24,FALSE)),"")))</f>
        <v/>
      </c>
      <c r="U290" s="228">
        <v>288</v>
      </c>
    </row>
    <row r="291" spans="1:21" hidden="1">
      <c r="A291" s="232" t="s">
        <v>2083</v>
      </c>
      <c r="B291" s="224" t="str">
        <f>(IF((VLOOKUP(Table10[[#This Row],[SKU]],'All Skus'!$A:$AC,2,FALSE))="Martin",(VLOOKUP(Table10[[#This Row],[SKU]],'All Skus'!$A:$AC,3,FALSE)),""))</f>
        <v>Field installable connector PD female</v>
      </c>
      <c r="C291" s="223">
        <f>(IF((VLOOKUP(Table10[[#This Row],[SKU]],'All Skus'!$A:$AC,2,FALSE))="Martin",(VLOOKUP(Table10[[#This Row],[SKU]],'All Skus'!$A:$AC,4,FALSE)),""))</f>
        <v>0</v>
      </c>
      <c r="D291" s="224" t="str">
        <f>(IF((VLOOKUP(Table10[[#This Row],[SKU]],'All Skus'!$A:$AC,2,FALSE))="Martin",(VLOOKUP(Table10[[#This Row],[SKU]],'All Skus'!$A:$AC,5,FALSE)),""))</f>
        <v>EXT-LIN</v>
      </c>
      <c r="E291" s="223">
        <f>(IF((VLOOKUP(Table10[[#This Row],[SKU]],'All Skus'!$A:$AC,2,FALSE))="Martin",(VLOOKUP(Table10[[#This Row],[SKU]],'All Skus'!$A:$AC,6,FALSE)),""))</f>
        <v>0</v>
      </c>
      <c r="F291" s="155">
        <f>(IF((VLOOKUP(Table10[[#This Row],[SKU]],'All Skus'!$A:$AC,2,FALSE))="Martin",(VLOOKUP(Table10[[#This Row],[SKU]],'All Skus'!$A:$AC,7,FALSE)),""))</f>
        <v>0</v>
      </c>
      <c r="G291" s="223" t="str">
        <f>(IF((VLOOKUP(Table10[[#This Row],[SKU]],'All Skus'!$A:$AC,2,FALSE))="Martin",(VLOOKUP(Table10[[#This Row],[SKU]],'All Skus'!$A:$AC,8,FALSE)),""))</f>
        <v>Field installable connector PD female</v>
      </c>
      <c r="H291" s="223" t="str">
        <f>(IF((VLOOKUP(Table10[[#This Row],[SKU]],'All Skus'!$A:$AC,2,FALSE))="Martin",(VLOOKUP(Table10[[#This Row],[SKU]],'All Skus'!$A:$AC,9,FALSE)),""))</f>
        <v>Field installable connector PD female</v>
      </c>
      <c r="I291" s="225">
        <f>(IF((VLOOKUP(Table10[[#This Row],[SKU]],'All Skus'!$A:$AC,2,FALSE))="Martin",(VLOOKUP(Table10[[#This Row],[SKU]],'All Skus'!$A:$AC,10,FALSE)),""))</f>
        <v>35.020000000000003</v>
      </c>
      <c r="J291" s="226">
        <f>(IF((VLOOKUP(Table10[[#This Row],[SKU]],'All Skus'!$A:$AC,2,FALSE))="Martin",(VLOOKUP(Table10[[#This Row],[SKU]],'All Skus'!$A:$AC,11,FALSE)),""))</f>
        <v>35.020000000000003</v>
      </c>
      <c r="K291" s="224">
        <f>(IF((VLOOKUP(Table10[[#This Row],[SKU]],'All Skus'!$A:$AC,2,FALSE))="Martin",(VLOOKUP(Table10[[#This Row],[SKU]],'All Skus'!$A:$AC,15,FALSE)),""))</f>
        <v>0</v>
      </c>
      <c r="L291" s="224">
        <f>(IF((VLOOKUP(Table10[[#This Row],[SKU]],'All Skus'!$A:$AC,2,FALSE))="Martin",(VLOOKUP(Table10[[#This Row],[SKU]],'All Skus'!$A:$AC,16,FALSE)),""))</f>
        <v>688705008776</v>
      </c>
      <c r="M291" s="224">
        <f>(IF((VLOOKUP(Table10[[#This Row],[SKU]],'All Skus'!$A:$AC,2,FALSE))="Martin",(VLOOKUP(Table10[[#This Row],[SKU]],'All Skus'!$A:$AC,17,FALSE)),""))</f>
        <v>0</v>
      </c>
      <c r="N291" s="227">
        <f>(IF((VLOOKUP(Table10[[#This Row],[SKU]],'All Skus'!$A:$AC,2,FALSE))="Martin",(VLOOKUP(Table10[[#This Row],[SKU]],'All Skus'!$A:$AC,18,FALSE)),""))</f>
        <v>0</v>
      </c>
      <c r="O291" s="227">
        <f>(IF((VLOOKUP(Table10[[#This Row],[SKU]],'All Skus'!$A:$AC,2,FALSE))="Martin",(VLOOKUP(Table10[[#This Row],[SKU]],'All Skus'!$A:$AC,19,FALSE)),""))</f>
        <v>0</v>
      </c>
      <c r="P291" s="227">
        <f>(IF((VLOOKUP(Table10[[#This Row],[SKU]],'All Skus'!$A:$AC,2,FALSE))="Martin",(VLOOKUP(Table10[[#This Row],[SKU]],'All Skus'!$A:$AC,20,FALSE)),""))</f>
        <v>0</v>
      </c>
      <c r="Q291" s="227">
        <f>(IF((VLOOKUP(Table10[[#This Row],[SKU]],'All Skus'!$A:$AC,2,FALSE))="Martin",(VLOOKUP(Table10[[#This Row],[SKU]],'All Skus'!$A:$AC,21,FALSE)),""))</f>
        <v>0</v>
      </c>
      <c r="R291" s="224">
        <f>(IF((VLOOKUP(Table10[[#This Row],[SKU]],'All Skus'!$A:$AC,2,FALSE))="Martin",(VLOOKUP(Table10[[#This Row],[SKU]],'All Skus'!$A:$AC,22,FALSE)),""))</f>
        <v>0</v>
      </c>
      <c r="S291" s="223">
        <f>(IF((VLOOKUP(Table10[[#This Row],[SKU]],'All Skus'!$A:$AC,2,FALSE))="Martin",(VLOOKUP(Table10[[#This Row],[SKU]],'All Skus'!$A:$AC,23,FALSE)),""))</f>
        <v>0</v>
      </c>
      <c r="T291" s="212" t="str">
        <f>HYPERLINK((IF((VLOOKUP(Table10[[#This Row],[SKU]],'All Skus'!$A:$AC,2,FALSE))="Martin",(VLOOKUP(Table10[[#This Row],[SKU]],'All Skus'!$A:$AC,24,FALSE)),"")))</f>
        <v/>
      </c>
      <c r="U291" s="228">
        <v>289</v>
      </c>
    </row>
    <row r="292" spans="1:21" hidden="1">
      <c r="A292" s="232" t="s">
        <v>2084</v>
      </c>
      <c r="B292" s="224" t="str">
        <f>(IF((VLOOKUP(Table10[[#This Row],[SKU]],'All Skus'!$A:$AC,2,FALSE))="Martin",(VLOOKUP(Table10[[#This Row],[SKU]],'All Skus'!$A:$AC,3,FALSE)),""))</f>
        <v>Field installable connector PD male</v>
      </c>
      <c r="C292" s="223">
        <f>(IF((VLOOKUP(Table10[[#This Row],[SKU]],'All Skus'!$A:$AC,2,FALSE))="Martin",(VLOOKUP(Table10[[#This Row],[SKU]],'All Skus'!$A:$AC,4,FALSE)),""))</f>
        <v>0</v>
      </c>
      <c r="D292" s="224" t="str">
        <f>(IF((VLOOKUP(Table10[[#This Row],[SKU]],'All Skus'!$A:$AC,2,FALSE))="Martin",(VLOOKUP(Table10[[#This Row],[SKU]],'All Skus'!$A:$AC,5,FALSE)),""))</f>
        <v>EXT-LIN</v>
      </c>
      <c r="E292" s="223">
        <f>(IF((VLOOKUP(Table10[[#This Row],[SKU]],'All Skus'!$A:$AC,2,FALSE))="Martin",(VLOOKUP(Table10[[#This Row],[SKU]],'All Skus'!$A:$AC,6,FALSE)),""))</f>
        <v>0</v>
      </c>
      <c r="F292" s="155">
        <f>(IF((VLOOKUP(Table10[[#This Row],[SKU]],'All Skus'!$A:$AC,2,FALSE))="Martin",(VLOOKUP(Table10[[#This Row],[SKU]],'All Skus'!$A:$AC,7,FALSE)),""))</f>
        <v>0</v>
      </c>
      <c r="G292" s="223" t="str">
        <f>(IF((VLOOKUP(Table10[[#This Row],[SKU]],'All Skus'!$A:$AC,2,FALSE))="Martin",(VLOOKUP(Table10[[#This Row],[SKU]],'All Skus'!$A:$AC,8,FALSE)),""))</f>
        <v>Field installable connector PD male</v>
      </c>
      <c r="H292" s="223" t="str">
        <f>(IF((VLOOKUP(Table10[[#This Row],[SKU]],'All Skus'!$A:$AC,2,FALSE))="Martin",(VLOOKUP(Table10[[#This Row],[SKU]],'All Skus'!$A:$AC,9,FALSE)),""))</f>
        <v>Field installable connector PD male</v>
      </c>
      <c r="I292" s="225">
        <f>(IF((VLOOKUP(Table10[[#This Row],[SKU]],'All Skus'!$A:$AC,2,FALSE))="Martin",(VLOOKUP(Table10[[#This Row],[SKU]],'All Skus'!$A:$AC,10,FALSE)),""))</f>
        <v>35.020000000000003</v>
      </c>
      <c r="J292" s="226">
        <f>(IF((VLOOKUP(Table10[[#This Row],[SKU]],'All Skus'!$A:$AC,2,FALSE))="Martin",(VLOOKUP(Table10[[#This Row],[SKU]],'All Skus'!$A:$AC,11,FALSE)),""))</f>
        <v>35.020000000000003</v>
      </c>
      <c r="K292" s="224">
        <f>(IF((VLOOKUP(Table10[[#This Row],[SKU]],'All Skus'!$A:$AC,2,FALSE))="Martin",(VLOOKUP(Table10[[#This Row],[SKU]],'All Skus'!$A:$AC,15,FALSE)),""))</f>
        <v>0</v>
      </c>
      <c r="L292" s="224">
        <f>(IF((VLOOKUP(Table10[[#This Row],[SKU]],'All Skus'!$A:$AC,2,FALSE))="Martin",(VLOOKUP(Table10[[#This Row],[SKU]],'All Skus'!$A:$AC,16,FALSE)),""))</f>
        <v>688705008783</v>
      </c>
      <c r="M292" s="224">
        <f>(IF((VLOOKUP(Table10[[#This Row],[SKU]],'All Skus'!$A:$AC,2,FALSE))="Martin",(VLOOKUP(Table10[[#This Row],[SKU]],'All Skus'!$A:$AC,17,FALSE)),""))</f>
        <v>0</v>
      </c>
      <c r="N292" s="227">
        <f>(IF((VLOOKUP(Table10[[#This Row],[SKU]],'All Skus'!$A:$AC,2,FALSE))="Martin",(VLOOKUP(Table10[[#This Row],[SKU]],'All Skus'!$A:$AC,18,FALSE)),""))</f>
        <v>0</v>
      </c>
      <c r="O292" s="227">
        <f>(IF((VLOOKUP(Table10[[#This Row],[SKU]],'All Skus'!$A:$AC,2,FALSE))="Martin",(VLOOKUP(Table10[[#This Row],[SKU]],'All Skus'!$A:$AC,19,FALSE)),""))</f>
        <v>0</v>
      </c>
      <c r="P292" s="227">
        <f>(IF((VLOOKUP(Table10[[#This Row],[SKU]],'All Skus'!$A:$AC,2,FALSE))="Martin",(VLOOKUP(Table10[[#This Row],[SKU]],'All Skus'!$A:$AC,20,FALSE)),""))</f>
        <v>0</v>
      </c>
      <c r="Q292" s="227">
        <f>(IF((VLOOKUP(Table10[[#This Row],[SKU]],'All Skus'!$A:$AC,2,FALSE))="Martin",(VLOOKUP(Table10[[#This Row],[SKU]],'All Skus'!$A:$AC,21,FALSE)),""))</f>
        <v>0</v>
      </c>
      <c r="R292" s="224">
        <f>(IF((VLOOKUP(Table10[[#This Row],[SKU]],'All Skus'!$A:$AC,2,FALSE))="Martin",(VLOOKUP(Table10[[#This Row],[SKU]],'All Skus'!$A:$AC,22,FALSE)),""))</f>
        <v>0</v>
      </c>
      <c r="S292" s="223">
        <f>(IF((VLOOKUP(Table10[[#This Row],[SKU]],'All Skus'!$A:$AC,2,FALSE))="Martin",(VLOOKUP(Table10[[#This Row],[SKU]],'All Skus'!$A:$AC,23,FALSE)),""))</f>
        <v>0</v>
      </c>
      <c r="T292" s="212" t="str">
        <f>HYPERLINK((IF((VLOOKUP(Table10[[#This Row],[SKU]],'All Skus'!$A:$AC,2,FALSE))="Martin",(VLOOKUP(Table10[[#This Row],[SKU]],'All Skus'!$A:$AC,24,FALSE)),"")))</f>
        <v/>
      </c>
      <c r="U292" s="228">
        <v>290</v>
      </c>
    </row>
    <row r="293" spans="1:21" hidden="1">
      <c r="A293" s="111" t="s">
        <v>2085</v>
      </c>
      <c r="B293" s="224">
        <f>(IF((VLOOKUP(Table10[[#This Row],[SKU]],'All Skus'!$A:$AC,2,FALSE))="Martin",(VLOOKUP(Table10[[#This Row],[SKU]],'All Skus'!$A:$AC,3,FALSE)),""))</f>
        <v>0</v>
      </c>
      <c r="C293" s="223">
        <f>(IF((VLOOKUP(Table10[[#This Row],[SKU]],'All Skus'!$A:$AC,2,FALSE))="Martin",(VLOOKUP(Table10[[#This Row],[SKU]],'All Skus'!$A:$AC,4,FALSE)),""))</f>
        <v>0</v>
      </c>
      <c r="D293" s="224">
        <f>(IF((VLOOKUP(Table10[[#This Row],[SKU]],'All Skus'!$A:$AC,2,FALSE))="Martin",(VLOOKUP(Table10[[#This Row],[SKU]],'All Skus'!$A:$AC,5,FALSE)),""))</f>
        <v>0</v>
      </c>
      <c r="E293" s="223">
        <f>(IF((VLOOKUP(Table10[[#This Row],[SKU]],'All Skus'!$A:$AC,2,FALSE))="Martin",(VLOOKUP(Table10[[#This Row],[SKU]],'All Skus'!$A:$AC,6,FALSE)),""))</f>
        <v>0</v>
      </c>
      <c r="F293" s="155">
        <f>(IF((VLOOKUP(Table10[[#This Row],[SKU]],'All Skus'!$A:$AC,2,FALSE))="Martin",(VLOOKUP(Table10[[#This Row],[SKU]],'All Skus'!$A:$AC,7,FALSE)),""))</f>
        <v>0</v>
      </c>
      <c r="G293" s="223">
        <f>(IF((VLOOKUP(Table10[[#This Row],[SKU]],'All Skus'!$A:$AC,2,FALSE))="Martin",(VLOOKUP(Table10[[#This Row],[SKU]],'All Skus'!$A:$AC,8,FALSE)),""))</f>
        <v>0</v>
      </c>
      <c r="H293" s="223">
        <f>(IF((VLOOKUP(Table10[[#This Row],[SKU]],'All Skus'!$A:$AC,2,FALSE))="Martin",(VLOOKUP(Table10[[#This Row],[SKU]],'All Skus'!$A:$AC,9,FALSE)),""))</f>
        <v>0</v>
      </c>
      <c r="I293" s="225">
        <f>(IF((VLOOKUP(Table10[[#This Row],[SKU]],'All Skus'!$A:$AC,2,FALSE))="Martin",(VLOOKUP(Table10[[#This Row],[SKU]],'All Skus'!$A:$AC,10,FALSE)),""))</f>
        <v>0</v>
      </c>
      <c r="J293" s="226">
        <f>(IF((VLOOKUP(Table10[[#This Row],[SKU]],'All Skus'!$A:$AC,2,FALSE))="Martin",(VLOOKUP(Table10[[#This Row],[SKU]],'All Skus'!$A:$AC,11,FALSE)),""))</f>
        <v>0</v>
      </c>
      <c r="K293" s="224">
        <f>(IF((VLOOKUP(Table10[[#This Row],[SKU]],'All Skus'!$A:$AC,2,FALSE))="Martin",(VLOOKUP(Table10[[#This Row],[SKU]],'All Skus'!$A:$AC,15,FALSE)),""))</f>
        <v>0</v>
      </c>
      <c r="L293" s="224">
        <f>(IF((VLOOKUP(Table10[[#This Row],[SKU]],'All Skus'!$A:$AC,2,FALSE))="Martin",(VLOOKUP(Table10[[#This Row],[SKU]],'All Skus'!$A:$AC,16,FALSE)),""))</f>
        <v>0</v>
      </c>
      <c r="M293" s="224">
        <f>(IF((VLOOKUP(Table10[[#This Row],[SKU]],'All Skus'!$A:$AC,2,FALSE))="Martin",(VLOOKUP(Table10[[#This Row],[SKU]],'All Skus'!$A:$AC,17,FALSE)),""))</f>
        <v>0</v>
      </c>
      <c r="N293" s="227">
        <f>(IF((VLOOKUP(Table10[[#This Row],[SKU]],'All Skus'!$A:$AC,2,FALSE))="Martin",(VLOOKUP(Table10[[#This Row],[SKU]],'All Skus'!$A:$AC,18,FALSE)),""))</f>
        <v>0</v>
      </c>
      <c r="O293" s="227">
        <f>(IF((VLOOKUP(Table10[[#This Row],[SKU]],'All Skus'!$A:$AC,2,FALSE))="Martin",(VLOOKUP(Table10[[#This Row],[SKU]],'All Skus'!$A:$AC,19,FALSE)),""))</f>
        <v>0</v>
      </c>
      <c r="P293" s="227">
        <f>(IF((VLOOKUP(Table10[[#This Row],[SKU]],'All Skus'!$A:$AC,2,FALSE))="Martin",(VLOOKUP(Table10[[#This Row],[SKU]],'All Skus'!$A:$AC,20,FALSE)),""))</f>
        <v>0</v>
      </c>
      <c r="Q293" s="227">
        <f>(IF((VLOOKUP(Table10[[#This Row],[SKU]],'All Skus'!$A:$AC,2,FALSE))="Martin",(VLOOKUP(Table10[[#This Row],[SKU]],'All Skus'!$A:$AC,21,FALSE)),""))</f>
        <v>0</v>
      </c>
      <c r="R293" s="224">
        <f>(IF((VLOOKUP(Table10[[#This Row],[SKU]],'All Skus'!$A:$AC,2,FALSE))="Martin",(VLOOKUP(Table10[[#This Row],[SKU]],'All Skus'!$A:$AC,22,FALSE)),""))</f>
        <v>0</v>
      </c>
      <c r="S293" s="223">
        <f>(IF((VLOOKUP(Table10[[#This Row],[SKU]],'All Skus'!$A:$AC,2,FALSE))="Martin",(VLOOKUP(Table10[[#This Row],[SKU]],'All Skus'!$A:$AC,23,FALSE)),""))</f>
        <v>0</v>
      </c>
      <c r="T293" s="212" t="str">
        <f>HYPERLINK((IF((VLOOKUP(Table10[[#This Row],[SKU]],'All Skus'!$A:$AC,2,FALSE))="Martin",(VLOOKUP(Table10[[#This Row],[SKU]],'All Skus'!$A:$AC,24,FALSE)),"")))</f>
        <v/>
      </c>
      <c r="U293" s="228">
        <v>291</v>
      </c>
    </row>
    <row r="294" spans="1:21" hidden="1">
      <c r="A294" s="115" t="s">
        <v>2086</v>
      </c>
      <c r="B294" s="224">
        <f>(IF((VLOOKUP(Table10[[#This Row],[SKU]],'All Skus'!$A:$AC,2,FALSE))="Martin",(VLOOKUP(Table10[[#This Row],[SKU]],'All Skus'!$A:$AC,3,FALSE)),""))</f>
        <v>0</v>
      </c>
      <c r="C294" s="223">
        <f>(IF((VLOOKUP(Table10[[#This Row],[SKU]],'All Skus'!$A:$AC,2,FALSE))="Martin",(VLOOKUP(Table10[[#This Row],[SKU]],'All Skus'!$A:$AC,4,FALSE)),""))</f>
        <v>0</v>
      </c>
      <c r="D294" s="224">
        <f>(IF((VLOOKUP(Table10[[#This Row],[SKU]],'All Skus'!$A:$AC,2,FALSE))="Martin",(VLOOKUP(Table10[[#This Row],[SKU]],'All Skus'!$A:$AC,5,FALSE)),""))</f>
        <v>0</v>
      </c>
      <c r="E294" s="223">
        <f>(IF((VLOOKUP(Table10[[#This Row],[SKU]],'All Skus'!$A:$AC,2,FALSE))="Martin",(VLOOKUP(Table10[[#This Row],[SKU]],'All Skus'!$A:$AC,6,FALSE)),""))</f>
        <v>0</v>
      </c>
      <c r="F294" s="155">
        <f>(IF((VLOOKUP(Table10[[#This Row],[SKU]],'All Skus'!$A:$AC,2,FALSE))="Martin",(VLOOKUP(Table10[[#This Row],[SKU]],'All Skus'!$A:$AC,7,FALSE)),""))</f>
        <v>0</v>
      </c>
      <c r="G294" s="223">
        <f>(IF((VLOOKUP(Table10[[#This Row],[SKU]],'All Skus'!$A:$AC,2,FALSE))="Martin",(VLOOKUP(Table10[[#This Row],[SKU]],'All Skus'!$A:$AC,8,FALSE)),""))</f>
        <v>0</v>
      </c>
      <c r="H294" s="223">
        <f>(IF((VLOOKUP(Table10[[#This Row],[SKU]],'All Skus'!$A:$AC,2,FALSE))="Martin",(VLOOKUP(Table10[[#This Row],[SKU]],'All Skus'!$A:$AC,9,FALSE)),""))</f>
        <v>0</v>
      </c>
      <c r="I294" s="225">
        <f>(IF((VLOOKUP(Table10[[#This Row],[SKU]],'All Skus'!$A:$AC,2,FALSE))="Martin",(VLOOKUP(Table10[[#This Row],[SKU]],'All Skus'!$A:$AC,10,FALSE)),""))</f>
        <v>0</v>
      </c>
      <c r="J294" s="226">
        <f>(IF((VLOOKUP(Table10[[#This Row],[SKU]],'All Skus'!$A:$AC,2,FALSE))="Martin",(VLOOKUP(Table10[[#This Row],[SKU]],'All Skus'!$A:$AC,11,FALSE)),""))</f>
        <v>0</v>
      </c>
      <c r="K294" s="224">
        <f>(IF((VLOOKUP(Table10[[#This Row],[SKU]],'All Skus'!$A:$AC,2,FALSE))="Martin",(VLOOKUP(Table10[[#This Row],[SKU]],'All Skus'!$A:$AC,15,FALSE)),""))</f>
        <v>0</v>
      </c>
      <c r="L294" s="224">
        <f>(IF((VLOOKUP(Table10[[#This Row],[SKU]],'All Skus'!$A:$AC,2,FALSE))="Martin",(VLOOKUP(Table10[[#This Row],[SKU]],'All Skus'!$A:$AC,16,FALSE)),""))</f>
        <v>0</v>
      </c>
      <c r="M294" s="224">
        <f>(IF((VLOOKUP(Table10[[#This Row],[SKU]],'All Skus'!$A:$AC,2,FALSE))="Martin",(VLOOKUP(Table10[[#This Row],[SKU]],'All Skus'!$A:$AC,17,FALSE)),""))</f>
        <v>0</v>
      </c>
      <c r="N294" s="227">
        <f>(IF((VLOOKUP(Table10[[#This Row],[SKU]],'All Skus'!$A:$AC,2,FALSE))="Martin",(VLOOKUP(Table10[[#This Row],[SKU]],'All Skus'!$A:$AC,18,FALSE)),""))</f>
        <v>0</v>
      </c>
      <c r="O294" s="227">
        <f>(IF((VLOOKUP(Table10[[#This Row],[SKU]],'All Skus'!$A:$AC,2,FALSE))="Martin",(VLOOKUP(Table10[[#This Row],[SKU]],'All Skus'!$A:$AC,19,FALSE)),""))</f>
        <v>0</v>
      </c>
      <c r="P294" s="227">
        <f>(IF((VLOOKUP(Table10[[#This Row],[SKU]],'All Skus'!$A:$AC,2,FALSE))="Martin",(VLOOKUP(Table10[[#This Row],[SKU]],'All Skus'!$A:$AC,20,FALSE)),""))</f>
        <v>0</v>
      </c>
      <c r="Q294" s="227">
        <f>(IF((VLOOKUP(Table10[[#This Row],[SKU]],'All Skus'!$A:$AC,2,FALSE))="Martin",(VLOOKUP(Table10[[#This Row],[SKU]],'All Skus'!$A:$AC,21,FALSE)),""))</f>
        <v>0</v>
      </c>
      <c r="R294" s="224">
        <f>(IF((VLOOKUP(Table10[[#This Row],[SKU]],'All Skus'!$A:$AC,2,FALSE))="Martin",(VLOOKUP(Table10[[#This Row],[SKU]],'All Skus'!$A:$AC,22,FALSE)),""))</f>
        <v>0</v>
      </c>
      <c r="S294" s="223">
        <f>(IF((VLOOKUP(Table10[[#This Row],[SKU]],'All Skus'!$A:$AC,2,FALSE))="Martin",(VLOOKUP(Table10[[#This Row],[SKU]],'All Skus'!$A:$AC,23,FALSE)),""))</f>
        <v>0</v>
      </c>
      <c r="T294" s="212" t="str">
        <f>HYPERLINK((IF((VLOOKUP(Table10[[#This Row],[SKU]],'All Skus'!$A:$AC,2,FALSE))="Martin",(VLOOKUP(Table10[[#This Row],[SKU]],'All Skus'!$A:$AC,24,FALSE)),"")))</f>
        <v/>
      </c>
      <c r="U294" s="228">
        <v>292</v>
      </c>
    </row>
    <row r="295" spans="1:21" hidden="1">
      <c r="A295" s="115" t="s">
        <v>2087</v>
      </c>
      <c r="B295" s="224">
        <f>(IF((VLOOKUP(Table10[[#This Row],[SKU]],'All Skus'!$A:$AC,2,FALSE))="Martin",(VLOOKUP(Table10[[#This Row],[SKU]],'All Skus'!$A:$AC,3,FALSE)),""))</f>
        <v>0</v>
      </c>
      <c r="C295" s="223">
        <f>(IF((VLOOKUP(Table10[[#This Row],[SKU]],'All Skus'!$A:$AC,2,FALSE))="Martin",(VLOOKUP(Table10[[#This Row],[SKU]],'All Skus'!$A:$AC,4,FALSE)),""))</f>
        <v>0</v>
      </c>
      <c r="D295" s="224">
        <f>(IF((VLOOKUP(Table10[[#This Row],[SKU]],'All Skus'!$A:$AC,2,FALSE))="Martin",(VLOOKUP(Table10[[#This Row],[SKU]],'All Skus'!$A:$AC,5,FALSE)),""))</f>
        <v>0</v>
      </c>
      <c r="E295" s="223">
        <f>(IF((VLOOKUP(Table10[[#This Row],[SKU]],'All Skus'!$A:$AC,2,FALSE))="Martin",(VLOOKUP(Table10[[#This Row],[SKU]],'All Skus'!$A:$AC,6,FALSE)),""))</f>
        <v>0</v>
      </c>
      <c r="F295" s="155">
        <f>(IF((VLOOKUP(Table10[[#This Row],[SKU]],'All Skus'!$A:$AC,2,FALSE))="Martin",(VLOOKUP(Table10[[#This Row],[SKU]],'All Skus'!$A:$AC,7,FALSE)),""))</f>
        <v>0</v>
      </c>
      <c r="G295" s="223">
        <f>(IF((VLOOKUP(Table10[[#This Row],[SKU]],'All Skus'!$A:$AC,2,FALSE))="Martin",(VLOOKUP(Table10[[#This Row],[SKU]],'All Skus'!$A:$AC,8,FALSE)),""))</f>
        <v>0</v>
      </c>
      <c r="H295" s="223">
        <f>(IF((VLOOKUP(Table10[[#This Row],[SKU]],'All Skus'!$A:$AC,2,FALSE))="Martin",(VLOOKUP(Table10[[#This Row],[SKU]],'All Skus'!$A:$AC,9,FALSE)),""))</f>
        <v>0</v>
      </c>
      <c r="I295" s="225">
        <f>(IF((VLOOKUP(Table10[[#This Row],[SKU]],'All Skus'!$A:$AC,2,FALSE))="Martin",(VLOOKUP(Table10[[#This Row],[SKU]],'All Skus'!$A:$AC,10,FALSE)),""))</f>
        <v>0</v>
      </c>
      <c r="J295" s="226">
        <f>(IF((VLOOKUP(Table10[[#This Row],[SKU]],'All Skus'!$A:$AC,2,FALSE))="Martin",(VLOOKUP(Table10[[#This Row],[SKU]],'All Skus'!$A:$AC,11,FALSE)),""))</f>
        <v>0</v>
      </c>
      <c r="K295" s="224">
        <f>(IF((VLOOKUP(Table10[[#This Row],[SKU]],'All Skus'!$A:$AC,2,FALSE))="Martin",(VLOOKUP(Table10[[#This Row],[SKU]],'All Skus'!$A:$AC,15,FALSE)),""))</f>
        <v>0</v>
      </c>
      <c r="L295" s="224">
        <f>(IF((VLOOKUP(Table10[[#This Row],[SKU]],'All Skus'!$A:$AC,2,FALSE))="Martin",(VLOOKUP(Table10[[#This Row],[SKU]],'All Skus'!$A:$AC,16,FALSE)),""))</f>
        <v>0</v>
      </c>
      <c r="M295" s="224">
        <f>(IF((VLOOKUP(Table10[[#This Row],[SKU]],'All Skus'!$A:$AC,2,FALSE))="Martin",(VLOOKUP(Table10[[#This Row],[SKU]],'All Skus'!$A:$AC,17,FALSE)),""))</f>
        <v>0</v>
      </c>
      <c r="N295" s="227">
        <f>(IF((VLOOKUP(Table10[[#This Row],[SKU]],'All Skus'!$A:$AC,2,FALSE))="Martin",(VLOOKUP(Table10[[#This Row],[SKU]],'All Skus'!$A:$AC,18,FALSE)),""))</f>
        <v>0</v>
      </c>
      <c r="O295" s="227">
        <f>(IF((VLOOKUP(Table10[[#This Row],[SKU]],'All Skus'!$A:$AC,2,FALSE))="Martin",(VLOOKUP(Table10[[#This Row],[SKU]],'All Skus'!$A:$AC,19,FALSE)),""))</f>
        <v>0</v>
      </c>
      <c r="P295" s="227">
        <f>(IF((VLOOKUP(Table10[[#This Row],[SKU]],'All Skus'!$A:$AC,2,FALSE))="Martin",(VLOOKUP(Table10[[#This Row],[SKU]],'All Skus'!$A:$AC,20,FALSE)),""))</f>
        <v>0</v>
      </c>
      <c r="Q295" s="227">
        <f>(IF((VLOOKUP(Table10[[#This Row],[SKU]],'All Skus'!$A:$AC,2,FALSE))="Martin",(VLOOKUP(Table10[[#This Row],[SKU]],'All Skus'!$A:$AC,21,FALSE)),""))</f>
        <v>0</v>
      </c>
      <c r="R295" s="224">
        <f>(IF((VLOOKUP(Table10[[#This Row],[SKU]],'All Skus'!$A:$AC,2,FALSE))="Martin",(VLOOKUP(Table10[[#This Row],[SKU]],'All Skus'!$A:$AC,22,FALSE)),""))</f>
        <v>0</v>
      </c>
      <c r="S295" s="223">
        <f>(IF((VLOOKUP(Table10[[#This Row],[SKU]],'All Skus'!$A:$AC,2,FALSE))="Martin",(VLOOKUP(Table10[[#This Row],[SKU]],'All Skus'!$A:$AC,23,FALSE)),""))</f>
        <v>0</v>
      </c>
      <c r="T295" s="212" t="str">
        <f>HYPERLINK((IF((VLOOKUP(Table10[[#This Row],[SKU]],'All Skus'!$A:$AC,2,FALSE))="Martin",(VLOOKUP(Table10[[#This Row],[SKU]],'All Skus'!$A:$AC,24,FALSE)),"")))</f>
        <v/>
      </c>
      <c r="U295" s="228">
        <v>293</v>
      </c>
    </row>
    <row r="296" spans="1:21" hidden="1">
      <c r="A296" s="115" t="s">
        <v>2088</v>
      </c>
      <c r="B296" s="224">
        <f>(IF((VLOOKUP(Table10[[#This Row],[SKU]],'All Skus'!$A:$AC,2,FALSE))="Martin",(VLOOKUP(Table10[[#This Row],[SKU]],'All Skus'!$A:$AC,3,FALSE)),""))</f>
        <v>0</v>
      </c>
      <c r="C296" s="223">
        <f>(IF((VLOOKUP(Table10[[#This Row],[SKU]],'All Skus'!$A:$AC,2,FALSE))="Martin",(VLOOKUP(Table10[[#This Row],[SKU]],'All Skus'!$A:$AC,4,FALSE)),""))</f>
        <v>0</v>
      </c>
      <c r="D296" s="224">
        <f>(IF((VLOOKUP(Table10[[#This Row],[SKU]],'All Skus'!$A:$AC,2,FALSE))="Martin",(VLOOKUP(Table10[[#This Row],[SKU]],'All Skus'!$A:$AC,5,FALSE)),""))</f>
        <v>0</v>
      </c>
      <c r="E296" s="223">
        <f>(IF((VLOOKUP(Table10[[#This Row],[SKU]],'All Skus'!$A:$AC,2,FALSE))="Martin",(VLOOKUP(Table10[[#This Row],[SKU]],'All Skus'!$A:$AC,6,FALSE)),""))</f>
        <v>0</v>
      </c>
      <c r="F296" s="155">
        <f>(IF((VLOOKUP(Table10[[#This Row],[SKU]],'All Skus'!$A:$AC,2,FALSE))="Martin",(VLOOKUP(Table10[[#This Row],[SKU]],'All Skus'!$A:$AC,7,FALSE)),""))</f>
        <v>0</v>
      </c>
      <c r="G296" s="223">
        <f>(IF((VLOOKUP(Table10[[#This Row],[SKU]],'All Skus'!$A:$AC,2,FALSE))="Martin",(VLOOKUP(Table10[[#This Row],[SKU]],'All Skus'!$A:$AC,8,FALSE)),""))</f>
        <v>0</v>
      </c>
      <c r="H296" s="223">
        <f>(IF((VLOOKUP(Table10[[#This Row],[SKU]],'All Skus'!$A:$AC,2,FALSE))="Martin",(VLOOKUP(Table10[[#This Row],[SKU]],'All Skus'!$A:$AC,9,FALSE)),""))</f>
        <v>0</v>
      </c>
      <c r="I296" s="225">
        <f>(IF((VLOOKUP(Table10[[#This Row],[SKU]],'All Skus'!$A:$AC,2,FALSE))="Martin",(VLOOKUP(Table10[[#This Row],[SKU]],'All Skus'!$A:$AC,10,FALSE)),""))</f>
        <v>0</v>
      </c>
      <c r="J296" s="226">
        <f>(IF((VLOOKUP(Table10[[#This Row],[SKU]],'All Skus'!$A:$AC,2,FALSE))="Martin",(VLOOKUP(Table10[[#This Row],[SKU]],'All Skus'!$A:$AC,11,FALSE)),""))</f>
        <v>0</v>
      </c>
      <c r="K296" s="224">
        <f>(IF((VLOOKUP(Table10[[#This Row],[SKU]],'All Skus'!$A:$AC,2,FALSE))="Martin",(VLOOKUP(Table10[[#This Row],[SKU]],'All Skus'!$A:$AC,15,FALSE)),""))</f>
        <v>0</v>
      </c>
      <c r="L296" s="224">
        <f>(IF((VLOOKUP(Table10[[#This Row],[SKU]],'All Skus'!$A:$AC,2,FALSE))="Martin",(VLOOKUP(Table10[[#This Row],[SKU]],'All Skus'!$A:$AC,16,FALSE)),""))</f>
        <v>0</v>
      </c>
      <c r="M296" s="224">
        <f>(IF((VLOOKUP(Table10[[#This Row],[SKU]],'All Skus'!$A:$AC,2,FALSE))="Martin",(VLOOKUP(Table10[[#This Row],[SKU]],'All Skus'!$A:$AC,17,FALSE)),""))</f>
        <v>0</v>
      </c>
      <c r="N296" s="227">
        <f>(IF((VLOOKUP(Table10[[#This Row],[SKU]],'All Skus'!$A:$AC,2,FALSE))="Martin",(VLOOKUP(Table10[[#This Row],[SKU]],'All Skus'!$A:$AC,18,FALSE)),""))</f>
        <v>0</v>
      </c>
      <c r="O296" s="227">
        <f>(IF((VLOOKUP(Table10[[#This Row],[SKU]],'All Skus'!$A:$AC,2,FALSE))="Martin",(VLOOKUP(Table10[[#This Row],[SKU]],'All Skus'!$A:$AC,19,FALSE)),""))</f>
        <v>0</v>
      </c>
      <c r="P296" s="227">
        <f>(IF((VLOOKUP(Table10[[#This Row],[SKU]],'All Skus'!$A:$AC,2,FALSE))="Martin",(VLOOKUP(Table10[[#This Row],[SKU]],'All Skus'!$A:$AC,20,FALSE)),""))</f>
        <v>0</v>
      </c>
      <c r="Q296" s="227">
        <f>(IF((VLOOKUP(Table10[[#This Row],[SKU]],'All Skus'!$A:$AC,2,FALSE))="Martin",(VLOOKUP(Table10[[#This Row],[SKU]],'All Skus'!$A:$AC,21,FALSE)),""))</f>
        <v>0</v>
      </c>
      <c r="R296" s="224">
        <f>(IF((VLOOKUP(Table10[[#This Row],[SKU]],'All Skus'!$A:$AC,2,FALSE))="Martin",(VLOOKUP(Table10[[#This Row],[SKU]],'All Skus'!$A:$AC,22,FALSE)),""))</f>
        <v>0</v>
      </c>
      <c r="S296" s="223">
        <f>(IF((VLOOKUP(Table10[[#This Row],[SKU]],'All Skus'!$A:$AC,2,FALSE))="Martin",(VLOOKUP(Table10[[#This Row],[SKU]],'All Skus'!$A:$AC,23,FALSE)),""))</f>
        <v>0</v>
      </c>
      <c r="T296" s="212" t="str">
        <f>HYPERLINK((IF((VLOOKUP(Table10[[#This Row],[SKU]],'All Skus'!$A:$AC,2,FALSE))="Martin",(VLOOKUP(Table10[[#This Row],[SKU]],'All Skus'!$A:$AC,24,FALSE)),"")))</f>
        <v/>
      </c>
      <c r="U296" s="228">
        <v>294</v>
      </c>
    </row>
    <row r="297" spans="1:21" hidden="1">
      <c r="A297" s="115" t="s">
        <v>2091</v>
      </c>
      <c r="B297" s="224">
        <f>(IF((VLOOKUP(Table10[[#This Row],[SKU]],'All Skus'!$A:$AC,2,FALSE))="Martin",(VLOOKUP(Table10[[#This Row],[SKU]],'All Skus'!$A:$AC,3,FALSE)),""))</f>
        <v>0</v>
      </c>
      <c r="C297" s="223">
        <f>(IF((VLOOKUP(Table10[[#This Row],[SKU]],'All Skus'!$A:$AC,2,FALSE))="Martin",(VLOOKUP(Table10[[#This Row],[SKU]],'All Skus'!$A:$AC,4,FALSE)),""))</f>
        <v>0</v>
      </c>
      <c r="D297" s="224">
        <f>(IF((VLOOKUP(Table10[[#This Row],[SKU]],'All Skus'!$A:$AC,2,FALSE))="Martin",(VLOOKUP(Table10[[#This Row],[SKU]],'All Skus'!$A:$AC,5,FALSE)),""))</f>
        <v>0</v>
      </c>
      <c r="E297" s="223">
        <f>(IF((VLOOKUP(Table10[[#This Row],[SKU]],'All Skus'!$A:$AC,2,FALSE))="Martin",(VLOOKUP(Table10[[#This Row],[SKU]],'All Skus'!$A:$AC,6,FALSE)),""))</f>
        <v>0</v>
      </c>
      <c r="F297" s="155">
        <f>(IF((VLOOKUP(Table10[[#This Row],[SKU]],'All Skus'!$A:$AC,2,FALSE))="Martin",(VLOOKUP(Table10[[#This Row],[SKU]],'All Skus'!$A:$AC,7,FALSE)),""))</f>
        <v>0</v>
      </c>
      <c r="G297" s="223">
        <f>(IF((VLOOKUP(Table10[[#This Row],[SKU]],'All Skus'!$A:$AC,2,FALSE))="Martin",(VLOOKUP(Table10[[#This Row],[SKU]],'All Skus'!$A:$AC,8,FALSE)),""))</f>
        <v>0</v>
      </c>
      <c r="H297" s="223">
        <f>(IF((VLOOKUP(Table10[[#This Row],[SKU]],'All Skus'!$A:$AC,2,FALSE))="Martin",(VLOOKUP(Table10[[#This Row],[SKU]],'All Skus'!$A:$AC,9,FALSE)),""))</f>
        <v>0</v>
      </c>
      <c r="I297" s="225">
        <f>(IF((VLOOKUP(Table10[[#This Row],[SKU]],'All Skus'!$A:$AC,2,FALSE))="Martin",(VLOOKUP(Table10[[#This Row],[SKU]],'All Skus'!$A:$AC,10,FALSE)),""))</f>
        <v>0</v>
      </c>
      <c r="J297" s="226">
        <f>(IF((VLOOKUP(Table10[[#This Row],[SKU]],'All Skus'!$A:$AC,2,FALSE))="Martin",(VLOOKUP(Table10[[#This Row],[SKU]],'All Skus'!$A:$AC,11,FALSE)),""))</f>
        <v>0</v>
      </c>
      <c r="K297" s="224">
        <f>(IF((VLOOKUP(Table10[[#This Row],[SKU]],'All Skus'!$A:$AC,2,FALSE))="Martin",(VLOOKUP(Table10[[#This Row],[SKU]],'All Skus'!$A:$AC,15,FALSE)),""))</f>
        <v>0</v>
      </c>
      <c r="L297" s="224">
        <f>(IF((VLOOKUP(Table10[[#This Row],[SKU]],'All Skus'!$A:$AC,2,FALSE))="Martin",(VLOOKUP(Table10[[#This Row],[SKU]],'All Skus'!$A:$AC,16,FALSE)),""))</f>
        <v>0</v>
      </c>
      <c r="M297" s="224">
        <f>(IF((VLOOKUP(Table10[[#This Row],[SKU]],'All Skus'!$A:$AC,2,FALSE))="Martin",(VLOOKUP(Table10[[#This Row],[SKU]],'All Skus'!$A:$AC,17,FALSE)),""))</f>
        <v>0</v>
      </c>
      <c r="N297" s="227">
        <f>(IF((VLOOKUP(Table10[[#This Row],[SKU]],'All Skus'!$A:$AC,2,FALSE))="Martin",(VLOOKUP(Table10[[#This Row],[SKU]],'All Skus'!$A:$AC,18,FALSE)),""))</f>
        <v>0</v>
      </c>
      <c r="O297" s="227">
        <f>(IF((VLOOKUP(Table10[[#This Row],[SKU]],'All Skus'!$A:$AC,2,FALSE))="Martin",(VLOOKUP(Table10[[#This Row],[SKU]],'All Skus'!$A:$AC,19,FALSE)),""))</f>
        <v>0</v>
      </c>
      <c r="P297" s="227">
        <f>(IF((VLOOKUP(Table10[[#This Row],[SKU]],'All Skus'!$A:$AC,2,FALSE))="Martin",(VLOOKUP(Table10[[#This Row],[SKU]],'All Skus'!$A:$AC,20,FALSE)),""))</f>
        <v>0</v>
      </c>
      <c r="Q297" s="227">
        <f>(IF((VLOOKUP(Table10[[#This Row],[SKU]],'All Skus'!$A:$AC,2,FALSE))="Martin",(VLOOKUP(Table10[[#This Row],[SKU]],'All Skus'!$A:$AC,21,FALSE)),""))</f>
        <v>0</v>
      </c>
      <c r="R297" s="224">
        <f>(IF((VLOOKUP(Table10[[#This Row],[SKU]],'All Skus'!$A:$AC,2,FALSE))="Martin",(VLOOKUP(Table10[[#This Row],[SKU]],'All Skus'!$A:$AC,22,FALSE)),""))</f>
        <v>0</v>
      </c>
      <c r="S297" s="223">
        <f>(IF((VLOOKUP(Table10[[#This Row],[SKU]],'All Skus'!$A:$AC,2,FALSE))="Martin",(VLOOKUP(Table10[[#This Row],[SKU]],'All Skus'!$A:$AC,23,FALSE)),""))</f>
        <v>0</v>
      </c>
      <c r="T297" s="212" t="str">
        <f>HYPERLINK((IF((VLOOKUP(Table10[[#This Row],[SKU]],'All Skus'!$A:$AC,2,FALSE))="Martin",(VLOOKUP(Table10[[#This Row],[SKU]],'All Skus'!$A:$AC,24,FALSE)),"")))</f>
        <v/>
      </c>
      <c r="U297" s="228">
        <v>295</v>
      </c>
    </row>
    <row r="298" spans="1:21" hidden="1">
      <c r="A298" s="112" t="s">
        <v>2092</v>
      </c>
      <c r="B298" s="224">
        <f>(IF((VLOOKUP(Table10[[#This Row],[SKU]],'All Skus'!$A:$AC,2,FALSE))="Martin",(VLOOKUP(Table10[[#This Row],[SKU]],'All Skus'!$A:$AC,3,FALSE)),""))</f>
        <v>0</v>
      </c>
      <c r="C298" s="223" t="str">
        <f>(IF((VLOOKUP(Table10[[#This Row],[SKU]],'All Skus'!$A:$AC,2,FALSE))="Martin",(VLOOKUP(Table10[[#This Row],[SKU]],'All Skus'!$A:$AC,4,FALSE)),""))</f>
        <v>EXTERIOR LINEAR 310 GRAZE, NAR, QUAD</v>
      </c>
      <c r="D298" s="224" t="str">
        <f>(IF((VLOOKUP(Table10[[#This Row],[SKU]],'All Skus'!$A:$AC,2,FALSE))="Martin",(VLOOKUP(Table10[[#This Row],[SKU]],'All Skus'!$A:$AC,5,FALSE)),""))</f>
        <v>EXT-LIN</v>
      </c>
      <c r="E298" s="223">
        <f>(IF((VLOOKUP(Table10[[#This Row],[SKU]],'All Skus'!$A:$AC,2,FALSE))="Martin",(VLOOKUP(Table10[[#This Row],[SKU]],'All Skus'!$A:$AC,6,FALSE)),""))</f>
        <v>0</v>
      </c>
      <c r="F298" s="155" t="str">
        <f>(IF((VLOOKUP(Table10[[#This Row],[SKU]],'All Skus'!$A:$AC,2,FALSE))="Martin",(VLOOKUP(Table10[[#This Row],[SKU]],'All Skus'!$A:$AC,7,FALSE)),""))</f>
        <v>EOL pre-notice - not recommend to specify for 2025 projects - please specify Exterior Linear Pro</v>
      </c>
      <c r="G298" s="223" t="str">
        <f>(IF((VLOOKUP(Table10[[#This Row],[SKU]],'All Skus'!$A:$AC,2,FALSE))="Martin",(VLOOKUP(Table10[[#This Row],[SKU]],'All Skus'!$A:$AC,8,FALSE)),""))</f>
        <v>EXTERIOR LINEAR 310 GRAZE, NAR, QUAD</v>
      </c>
      <c r="H298" s="223" t="str">
        <f>(IF((VLOOKUP(Table10[[#This Row],[SKU]],'All Skus'!$A:$AC,2,FALSE))="Martin",(VLOOKUP(Table10[[#This Row],[SKU]],'All Skus'!$A:$AC,9,FALSE)),""))</f>
        <v>EXTERIOR LINEAR 310 GRAZE, NAR, QUAD</v>
      </c>
      <c r="I298" s="225">
        <f>(IF((VLOOKUP(Table10[[#This Row],[SKU]],'All Skus'!$A:$AC,2,FALSE))="Martin",(VLOOKUP(Table10[[#This Row],[SKU]],'All Skus'!$A:$AC,10,FALSE)),""))</f>
        <v>680.35</v>
      </c>
      <c r="J298" s="226">
        <f>(IF((VLOOKUP(Table10[[#This Row],[SKU]],'All Skus'!$A:$AC,2,FALSE))="Martin",(VLOOKUP(Table10[[#This Row],[SKU]],'All Skus'!$A:$AC,11,FALSE)),""))</f>
        <v>680.35</v>
      </c>
      <c r="K298" s="224">
        <f>(IF((VLOOKUP(Table10[[#This Row],[SKU]],'All Skus'!$A:$AC,2,FALSE))="Martin",(VLOOKUP(Table10[[#This Row],[SKU]],'All Skus'!$A:$AC,15,FALSE)),""))</f>
        <v>0</v>
      </c>
      <c r="L298" s="224">
        <f>(IF((VLOOKUP(Table10[[#This Row],[SKU]],'All Skus'!$A:$AC,2,FALSE))="Martin",(VLOOKUP(Table10[[#This Row],[SKU]],'All Skus'!$A:$AC,16,FALSE)),""))</f>
        <v>688705008288</v>
      </c>
      <c r="M298" s="224">
        <f>(IF((VLOOKUP(Table10[[#This Row],[SKU]],'All Skus'!$A:$AC,2,FALSE))="Martin",(VLOOKUP(Table10[[#This Row],[SKU]],'All Skus'!$A:$AC,17,FALSE)),""))</f>
        <v>0</v>
      </c>
      <c r="N298" s="227">
        <f>(IF((VLOOKUP(Table10[[#This Row],[SKU]],'All Skus'!$A:$AC,2,FALSE))="Martin",(VLOOKUP(Table10[[#This Row],[SKU]],'All Skus'!$A:$AC,18,FALSE)),""))</f>
        <v>0</v>
      </c>
      <c r="O298" s="227">
        <f>(IF((VLOOKUP(Table10[[#This Row],[SKU]],'All Skus'!$A:$AC,2,FALSE))="Martin",(VLOOKUP(Table10[[#This Row],[SKU]],'All Skus'!$A:$AC,19,FALSE)),""))</f>
        <v>0</v>
      </c>
      <c r="P298" s="227">
        <f>(IF((VLOOKUP(Table10[[#This Row],[SKU]],'All Skus'!$A:$AC,2,FALSE))="Martin",(VLOOKUP(Table10[[#This Row],[SKU]],'All Skus'!$A:$AC,20,FALSE)),""))</f>
        <v>0</v>
      </c>
      <c r="Q298" s="227">
        <f>(IF((VLOOKUP(Table10[[#This Row],[SKU]],'All Skus'!$A:$AC,2,FALSE))="Martin",(VLOOKUP(Table10[[#This Row],[SKU]],'All Skus'!$A:$AC,21,FALSE)),""))</f>
        <v>0</v>
      </c>
      <c r="R298" s="224">
        <f>(IF((VLOOKUP(Table10[[#This Row],[SKU]],'All Skus'!$A:$AC,2,FALSE))="Martin",(VLOOKUP(Table10[[#This Row],[SKU]],'All Skus'!$A:$AC,22,FALSE)),""))</f>
        <v>0</v>
      </c>
      <c r="S298" s="223">
        <f>(IF((VLOOKUP(Table10[[#This Row],[SKU]],'All Skus'!$A:$AC,2,FALSE))="Martin",(VLOOKUP(Table10[[#This Row],[SKU]],'All Skus'!$A:$AC,23,FALSE)),""))</f>
        <v>0</v>
      </c>
      <c r="T298" s="212" t="str">
        <f>HYPERLINK((IF((VLOOKUP(Table10[[#This Row],[SKU]],'All Skus'!$A:$AC,2,FALSE))="Martin",(VLOOKUP(Table10[[#This Row],[SKU]],'All Skus'!$A:$AC,24,FALSE)),"")))</f>
        <v/>
      </c>
      <c r="U298" s="228">
        <v>296</v>
      </c>
    </row>
    <row r="299" spans="1:21" hidden="1">
      <c r="A299" s="112" t="s">
        <v>2093</v>
      </c>
      <c r="B299" s="224">
        <f>(IF((VLOOKUP(Table10[[#This Row],[SKU]],'All Skus'!$A:$AC,2,FALSE))="Martin",(VLOOKUP(Table10[[#This Row],[SKU]],'All Skus'!$A:$AC,3,FALSE)),""))</f>
        <v>0</v>
      </c>
      <c r="C299" s="223" t="str">
        <f>(IF((VLOOKUP(Table10[[#This Row],[SKU]],'All Skus'!$A:$AC,2,FALSE))="Martin",(VLOOKUP(Table10[[#This Row],[SKU]],'All Skus'!$A:$AC,4,FALSE)),""))</f>
        <v>EXTERIOR LINEAR 310 GRAZE, WIDE, QUAD</v>
      </c>
      <c r="D299" s="224" t="str">
        <f>(IF((VLOOKUP(Table10[[#This Row],[SKU]],'All Skus'!$A:$AC,2,FALSE))="Martin",(VLOOKUP(Table10[[#This Row],[SKU]],'All Skus'!$A:$AC,5,FALSE)),""))</f>
        <v>EXT-LIN</v>
      </c>
      <c r="E299" s="223">
        <f>(IF((VLOOKUP(Table10[[#This Row],[SKU]],'All Skus'!$A:$AC,2,FALSE))="Martin",(VLOOKUP(Table10[[#This Row],[SKU]],'All Skus'!$A:$AC,6,FALSE)),""))</f>
        <v>0</v>
      </c>
      <c r="F299" s="155" t="str">
        <f>(IF((VLOOKUP(Table10[[#This Row],[SKU]],'All Skus'!$A:$AC,2,FALSE))="Martin",(VLOOKUP(Table10[[#This Row],[SKU]],'All Skus'!$A:$AC,7,FALSE)),""))</f>
        <v>EOL pre-notice - not recommend to specify for 2025 projects - please specify Exterior Linear Pro</v>
      </c>
      <c r="G299" s="223" t="str">
        <f>(IF((VLOOKUP(Table10[[#This Row],[SKU]],'All Skus'!$A:$AC,2,FALSE))="Martin",(VLOOKUP(Table10[[#This Row],[SKU]],'All Skus'!$A:$AC,8,FALSE)),""))</f>
        <v>EXTERIOR LINEAR 310 GRAZE, WIDE, QUAD</v>
      </c>
      <c r="H299" s="223" t="str">
        <f>(IF((VLOOKUP(Table10[[#This Row],[SKU]],'All Skus'!$A:$AC,2,FALSE))="Martin",(VLOOKUP(Table10[[#This Row],[SKU]],'All Skus'!$A:$AC,9,FALSE)),""))</f>
        <v>EXTERIOR LINEAR 310 GRAZE, WIDE, QUAD</v>
      </c>
      <c r="I299" s="225">
        <f>(IF((VLOOKUP(Table10[[#This Row],[SKU]],'All Skus'!$A:$AC,2,FALSE))="Martin",(VLOOKUP(Table10[[#This Row],[SKU]],'All Skus'!$A:$AC,10,FALSE)),""))</f>
        <v>680.35</v>
      </c>
      <c r="J299" s="226">
        <f>(IF((VLOOKUP(Table10[[#This Row],[SKU]],'All Skus'!$A:$AC,2,FALSE))="Martin",(VLOOKUP(Table10[[#This Row],[SKU]],'All Skus'!$A:$AC,11,FALSE)),""))</f>
        <v>680.35</v>
      </c>
      <c r="K299" s="224">
        <f>(IF((VLOOKUP(Table10[[#This Row],[SKU]],'All Skus'!$A:$AC,2,FALSE))="Martin",(VLOOKUP(Table10[[#This Row],[SKU]],'All Skus'!$A:$AC,15,FALSE)),""))</f>
        <v>0</v>
      </c>
      <c r="L299" s="224">
        <f>(IF((VLOOKUP(Table10[[#This Row],[SKU]],'All Skus'!$A:$AC,2,FALSE))="Martin",(VLOOKUP(Table10[[#This Row],[SKU]],'All Skus'!$A:$AC,16,FALSE)),""))</f>
        <v>688705008295</v>
      </c>
      <c r="M299" s="224">
        <f>(IF((VLOOKUP(Table10[[#This Row],[SKU]],'All Skus'!$A:$AC,2,FALSE))="Martin",(VLOOKUP(Table10[[#This Row],[SKU]],'All Skus'!$A:$AC,17,FALSE)),""))</f>
        <v>0</v>
      </c>
      <c r="N299" s="227">
        <f>(IF((VLOOKUP(Table10[[#This Row],[SKU]],'All Skus'!$A:$AC,2,FALSE))="Martin",(VLOOKUP(Table10[[#This Row],[SKU]],'All Skus'!$A:$AC,18,FALSE)),""))</f>
        <v>0</v>
      </c>
      <c r="O299" s="227">
        <f>(IF((VLOOKUP(Table10[[#This Row],[SKU]],'All Skus'!$A:$AC,2,FALSE))="Martin",(VLOOKUP(Table10[[#This Row],[SKU]],'All Skus'!$A:$AC,19,FALSE)),""))</f>
        <v>0</v>
      </c>
      <c r="P299" s="227">
        <f>(IF((VLOOKUP(Table10[[#This Row],[SKU]],'All Skus'!$A:$AC,2,FALSE))="Martin",(VLOOKUP(Table10[[#This Row],[SKU]],'All Skus'!$A:$AC,20,FALSE)),""))</f>
        <v>0</v>
      </c>
      <c r="Q299" s="227">
        <f>(IF((VLOOKUP(Table10[[#This Row],[SKU]],'All Skus'!$A:$AC,2,FALSE))="Martin",(VLOOKUP(Table10[[#This Row],[SKU]],'All Skus'!$A:$AC,21,FALSE)),""))</f>
        <v>0</v>
      </c>
      <c r="R299" s="224">
        <f>(IF((VLOOKUP(Table10[[#This Row],[SKU]],'All Skus'!$A:$AC,2,FALSE))="Martin",(VLOOKUP(Table10[[#This Row],[SKU]],'All Skus'!$A:$AC,22,FALSE)),""))</f>
        <v>0</v>
      </c>
      <c r="S299" s="223">
        <f>(IF((VLOOKUP(Table10[[#This Row],[SKU]],'All Skus'!$A:$AC,2,FALSE))="Martin",(VLOOKUP(Table10[[#This Row],[SKU]],'All Skus'!$A:$AC,23,FALSE)),""))</f>
        <v>0</v>
      </c>
      <c r="T299" s="212" t="str">
        <f>HYPERLINK((IF((VLOOKUP(Table10[[#This Row],[SKU]],'All Skus'!$A:$AC,2,FALSE))="Martin",(VLOOKUP(Table10[[#This Row],[SKU]],'All Skus'!$A:$AC,24,FALSE)),"")))</f>
        <v/>
      </c>
      <c r="U299" s="228">
        <v>297</v>
      </c>
    </row>
    <row r="300" spans="1:21" hidden="1">
      <c r="A300" s="112" t="s">
        <v>2094</v>
      </c>
      <c r="B300" s="224">
        <f>(IF((VLOOKUP(Table10[[#This Row],[SKU]],'All Skus'!$A:$AC,2,FALSE))="Martin",(VLOOKUP(Table10[[#This Row],[SKU]],'All Skus'!$A:$AC,3,FALSE)),""))</f>
        <v>0</v>
      </c>
      <c r="C300" s="223" t="str">
        <f>(IF((VLOOKUP(Table10[[#This Row],[SKU]],'All Skus'!$A:$AC,2,FALSE))="Martin",(VLOOKUP(Table10[[#This Row],[SKU]],'All Skus'!$A:$AC,4,FALSE)),""))</f>
        <v>EXTERIOR LINEAR 310 GRAZE, ASSYM, QUAD</v>
      </c>
      <c r="D300" s="224" t="str">
        <f>(IF((VLOOKUP(Table10[[#This Row],[SKU]],'All Skus'!$A:$AC,2,FALSE))="Martin",(VLOOKUP(Table10[[#This Row],[SKU]],'All Skus'!$A:$AC,5,FALSE)),""))</f>
        <v>EXT-LIN</v>
      </c>
      <c r="E300" s="223">
        <f>(IF((VLOOKUP(Table10[[#This Row],[SKU]],'All Skus'!$A:$AC,2,FALSE))="Martin",(VLOOKUP(Table10[[#This Row],[SKU]],'All Skus'!$A:$AC,6,FALSE)),""))</f>
        <v>0</v>
      </c>
      <c r="F300" s="155" t="str">
        <f>(IF((VLOOKUP(Table10[[#This Row],[SKU]],'All Skus'!$A:$AC,2,FALSE))="Martin",(VLOOKUP(Table10[[#This Row],[SKU]],'All Skus'!$A:$AC,7,FALSE)),""))</f>
        <v>EOL pre-notice - not recommend to specify for 2025 projects - please specify Exterior Linear Pro</v>
      </c>
      <c r="G300" s="223" t="str">
        <f>(IF((VLOOKUP(Table10[[#This Row],[SKU]],'All Skus'!$A:$AC,2,FALSE))="Martin",(VLOOKUP(Table10[[#This Row],[SKU]],'All Skus'!$A:$AC,8,FALSE)),""))</f>
        <v>EXTERIOR LINEAR 310 GRAZE, ASSYM, QUAD</v>
      </c>
      <c r="H300" s="223" t="str">
        <f>(IF((VLOOKUP(Table10[[#This Row],[SKU]],'All Skus'!$A:$AC,2,FALSE))="Martin",(VLOOKUP(Table10[[#This Row],[SKU]],'All Skus'!$A:$AC,9,FALSE)),""))</f>
        <v>EXTERIOR LINEAR 310 GRAZE, ASSYM, QUAD</v>
      </c>
      <c r="I300" s="225">
        <f>(IF((VLOOKUP(Table10[[#This Row],[SKU]],'All Skus'!$A:$AC,2,FALSE))="Martin",(VLOOKUP(Table10[[#This Row],[SKU]],'All Skus'!$A:$AC,10,FALSE)),""))</f>
        <v>680.35</v>
      </c>
      <c r="J300" s="226">
        <f>(IF((VLOOKUP(Table10[[#This Row],[SKU]],'All Skus'!$A:$AC,2,FALSE))="Martin",(VLOOKUP(Table10[[#This Row],[SKU]],'All Skus'!$A:$AC,11,FALSE)),""))</f>
        <v>680.35</v>
      </c>
      <c r="K300" s="224">
        <f>(IF((VLOOKUP(Table10[[#This Row],[SKU]],'All Skus'!$A:$AC,2,FALSE))="Martin",(VLOOKUP(Table10[[#This Row],[SKU]],'All Skus'!$A:$AC,15,FALSE)),""))</f>
        <v>0</v>
      </c>
      <c r="L300" s="224">
        <f>(IF((VLOOKUP(Table10[[#This Row],[SKU]],'All Skus'!$A:$AC,2,FALSE))="Martin",(VLOOKUP(Table10[[#This Row],[SKU]],'All Skus'!$A:$AC,16,FALSE)),""))</f>
        <v>688705008240</v>
      </c>
      <c r="M300" s="224">
        <f>(IF((VLOOKUP(Table10[[#This Row],[SKU]],'All Skus'!$A:$AC,2,FALSE))="Martin",(VLOOKUP(Table10[[#This Row],[SKU]],'All Skus'!$A:$AC,17,FALSE)),""))</f>
        <v>0</v>
      </c>
      <c r="N300" s="227">
        <f>(IF((VLOOKUP(Table10[[#This Row],[SKU]],'All Skus'!$A:$AC,2,FALSE))="Martin",(VLOOKUP(Table10[[#This Row],[SKU]],'All Skus'!$A:$AC,18,FALSE)),""))</f>
        <v>0</v>
      </c>
      <c r="O300" s="227">
        <f>(IF((VLOOKUP(Table10[[#This Row],[SKU]],'All Skus'!$A:$AC,2,FALSE))="Martin",(VLOOKUP(Table10[[#This Row],[SKU]],'All Skus'!$A:$AC,19,FALSE)),""))</f>
        <v>0</v>
      </c>
      <c r="P300" s="227">
        <f>(IF((VLOOKUP(Table10[[#This Row],[SKU]],'All Skus'!$A:$AC,2,FALSE))="Martin",(VLOOKUP(Table10[[#This Row],[SKU]],'All Skus'!$A:$AC,20,FALSE)),""))</f>
        <v>0</v>
      </c>
      <c r="Q300" s="227">
        <f>(IF((VLOOKUP(Table10[[#This Row],[SKU]],'All Skus'!$A:$AC,2,FALSE))="Martin",(VLOOKUP(Table10[[#This Row],[SKU]],'All Skus'!$A:$AC,21,FALSE)),""))</f>
        <v>0</v>
      </c>
      <c r="R300" s="224">
        <f>(IF((VLOOKUP(Table10[[#This Row],[SKU]],'All Skus'!$A:$AC,2,FALSE))="Martin",(VLOOKUP(Table10[[#This Row],[SKU]],'All Skus'!$A:$AC,22,FALSE)),""))</f>
        <v>0</v>
      </c>
      <c r="S300" s="223">
        <f>(IF((VLOOKUP(Table10[[#This Row],[SKU]],'All Skus'!$A:$AC,2,FALSE))="Martin",(VLOOKUP(Table10[[#This Row],[SKU]],'All Skus'!$A:$AC,23,FALSE)),""))</f>
        <v>0</v>
      </c>
      <c r="T300" s="212" t="str">
        <f>HYPERLINK((IF((VLOOKUP(Table10[[#This Row],[SKU]],'All Skus'!$A:$AC,2,FALSE))="Martin",(VLOOKUP(Table10[[#This Row],[SKU]],'All Skus'!$A:$AC,24,FALSE)),"")))</f>
        <v/>
      </c>
      <c r="U300" s="228">
        <v>298</v>
      </c>
    </row>
    <row r="301" spans="1:21" hidden="1">
      <c r="A301" s="112" t="s">
        <v>2095</v>
      </c>
      <c r="B301" s="224">
        <f>(IF((VLOOKUP(Table10[[#This Row],[SKU]],'All Skus'!$A:$AC,2,FALSE))="Martin",(VLOOKUP(Table10[[#This Row],[SKU]],'All Skus'!$A:$AC,3,FALSE)),""))</f>
        <v>0</v>
      </c>
      <c r="C301" s="223" t="str">
        <f>(IF((VLOOKUP(Table10[[#This Row],[SKU]],'All Skus'!$A:$AC,2,FALSE))="Martin",(VLOOKUP(Table10[[#This Row],[SKU]],'All Skus'!$A:$AC,4,FALSE)),""))</f>
        <v>EXTERIOR LINEAR 1210 GRAZE, NAR, QUAD</v>
      </c>
      <c r="D301" s="224" t="str">
        <f>(IF((VLOOKUP(Table10[[#This Row],[SKU]],'All Skus'!$A:$AC,2,FALSE))="Martin",(VLOOKUP(Table10[[#This Row],[SKU]],'All Skus'!$A:$AC,5,FALSE)),""))</f>
        <v>EXT-LIN</v>
      </c>
      <c r="E301" s="223">
        <f>(IF((VLOOKUP(Table10[[#This Row],[SKU]],'All Skus'!$A:$AC,2,FALSE))="Martin",(VLOOKUP(Table10[[#This Row],[SKU]],'All Skus'!$A:$AC,6,FALSE)),""))</f>
        <v>0</v>
      </c>
      <c r="F301" s="155" t="str">
        <f>(IF((VLOOKUP(Table10[[#This Row],[SKU]],'All Skus'!$A:$AC,2,FALSE))="Martin",(VLOOKUP(Table10[[#This Row],[SKU]],'All Skus'!$A:$AC,7,FALSE)),""))</f>
        <v>EOL pre-notice - not recommend to specify for 2025 projects - please specify Exterior Linear Pro</v>
      </c>
      <c r="G301" s="223" t="str">
        <f>(IF((VLOOKUP(Table10[[#This Row],[SKU]],'All Skus'!$A:$AC,2,FALSE))="Martin",(VLOOKUP(Table10[[#This Row],[SKU]],'All Skus'!$A:$AC,8,FALSE)),""))</f>
        <v>EXTERIOR LINEAR 1210 GRAZE, NAR, QUAD</v>
      </c>
      <c r="H301" s="223" t="str">
        <f>(IF((VLOOKUP(Table10[[#This Row],[SKU]],'All Skus'!$A:$AC,2,FALSE))="Martin",(VLOOKUP(Table10[[#This Row],[SKU]],'All Skus'!$A:$AC,9,FALSE)),""))</f>
        <v>EXTERIOR LINEAR 1210 GRAZE, NAR, QUAD</v>
      </c>
      <c r="I301" s="225">
        <f>(IF((VLOOKUP(Table10[[#This Row],[SKU]],'All Skus'!$A:$AC,2,FALSE))="Martin",(VLOOKUP(Table10[[#This Row],[SKU]],'All Skus'!$A:$AC,10,FALSE)),""))</f>
        <v>1910.18</v>
      </c>
      <c r="J301" s="226">
        <f>(IF((VLOOKUP(Table10[[#This Row],[SKU]],'All Skus'!$A:$AC,2,FALSE))="Martin",(VLOOKUP(Table10[[#This Row],[SKU]],'All Skus'!$A:$AC,11,FALSE)),""))</f>
        <v>1910.18</v>
      </c>
      <c r="K301" s="224">
        <f>(IF((VLOOKUP(Table10[[#This Row],[SKU]],'All Skus'!$A:$AC,2,FALSE))="Martin",(VLOOKUP(Table10[[#This Row],[SKU]],'All Skus'!$A:$AC,15,FALSE)),""))</f>
        <v>0</v>
      </c>
      <c r="L301" s="224">
        <f>(IF((VLOOKUP(Table10[[#This Row],[SKU]],'All Skus'!$A:$AC,2,FALSE))="Martin",(VLOOKUP(Table10[[#This Row],[SKU]],'All Skus'!$A:$AC,16,FALSE)),""))</f>
        <v>688705008257</v>
      </c>
      <c r="M301" s="224">
        <f>(IF((VLOOKUP(Table10[[#This Row],[SKU]],'All Skus'!$A:$AC,2,FALSE))="Martin",(VLOOKUP(Table10[[#This Row],[SKU]],'All Skus'!$A:$AC,17,FALSE)),""))</f>
        <v>0</v>
      </c>
      <c r="N301" s="227">
        <f>(IF((VLOOKUP(Table10[[#This Row],[SKU]],'All Skus'!$A:$AC,2,FALSE))="Martin",(VLOOKUP(Table10[[#This Row],[SKU]],'All Skus'!$A:$AC,18,FALSE)),""))</f>
        <v>0</v>
      </c>
      <c r="O301" s="227">
        <f>(IF((VLOOKUP(Table10[[#This Row],[SKU]],'All Skus'!$A:$AC,2,FALSE))="Martin",(VLOOKUP(Table10[[#This Row],[SKU]],'All Skus'!$A:$AC,19,FALSE)),""))</f>
        <v>0</v>
      </c>
      <c r="P301" s="227">
        <f>(IF((VLOOKUP(Table10[[#This Row],[SKU]],'All Skus'!$A:$AC,2,FALSE))="Martin",(VLOOKUP(Table10[[#This Row],[SKU]],'All Skus'!$A:$AC,20,FALSE)),""))</f>
        <v>0</v>
      </c>
      <c r="Q301" s="227">
        <f>(IF((VLOOKUP(Table10[[#This Row],[SKU]],'All Skus'!$A:$AC,2,FALSE))="Martin",(VLOOKUP(Table10[[#This Row],[SKU]],'All Skus'!$A:$AC,21,FALSE)),""))</f>
        <v>0</v>
      </c>
      <c r="R301" s="224">
        <f>(IF((VLOOKUP(Table10[[#This Row],[SKU]],'All Skus'!$A:$AC,2,FALSE))="Martin",(VLOOKUP(Table10[[#This Row],[SKU]],'All Skus'!$A:$AC,22,FALSE)),""))</f>
        <v>0</v>
      </c>
      <c r="S301" s="223">
        <f>(IF((VLOOKUP(Table10[[#This Row],[SKU]],'All Skus'!$A:$AC,2,FALSE))="Martin",(VLOOKUP(Table10[[#This Row],[SKU]],'All Skus'!$A:$AC,23,FALSE)),""))</f>
        <v>0</v>
      </c>
      <c r="T301" s="212" t="str">
        <f>HYPERLINK((IF((VLOOKUP(Table10[[#This Row],[SKU]],'All Skus'!$A:$AC,2,FALSE))="Martin",(VLOOKUP(Table10[[#This Row],[SKU]],'All Skus'!$A:$AC,24,FALSE)),"")))</f>
        <v/>
      </c>
      <c r="U301" s="228">
        <v>299</v>
      </c>
    </row>
    <row r="302" spans="1:21" hidden="1">
      <c r="A302" s="112" t="s">
        <v>2096</v>
      </c>
      <c r="B302" s="224">
        <f>(IF((VLOOKUP(Table10[[#This Row],[SKU]],'All Skus'!$A:$AC,2,FALSE))="Martin",(VLOOKUP(Table10[[#This Row],[SKU]],'All Skus'!$A:$AC,3,FALSE)),""))</f>
        <v>0</v>
      </c>
      <c r="C302" s="223" t="str">
        <f>(IF((VLOOKUP(Table10[[#This Row],[SKU]],'All Skus'!$A:$AC,2,FALSE))="Martin",(VLOOKUP(Table10[[#This Row],[SKU]],'All Skus'!$A:$AC,4,FALSE)),""))</f>
        <v>EXTERIOR LINEAR 1210 GRAZE, WIDE, QUAD</v>
      </c>
      <c r="D302" s="224" t="str">
        <f>(IF((VLOOKUP(Table10[[#This Row],[SKU]],'All Skus'!$A:$AC,2,FALSE))="Martin",(VLOOKUP(Table10[[#This Row],[SKU]],'All Skus'!$A:$AC,5,FALSE)),""))</f>
        <v>EXT-LIN</v>
      </c>
      <c r="E302" s="223">
        <f>(IF((VLOOKUP(Table10[[#This Row],[SKU]],'All Skus'!$A:$AC,2,FALSE))="Martin",(VLOOKUP(Table10[[#This Row],[SKU]],'All Skus'!$A:$AC,6,FALSE)),""))</f>
        <v>0</v>
      </c>
      <c r="F302" s="155" t="str">
        <f>(IF((VLOOKUP(Table10[[#This Row],[SKU]],'All Skus'!$A:$AC,2,FALSE))="Martin",(VLOOKUP(Table10[[#This Row],[SKU]],'All Skus'!$A:$AC,7,FALSE)),""))</f>
        <v>EOL pre-notice - not recommend to specify for 2025 projects - please specify Exterior Linear Pro</v>
      </c>
      <c r="G302" s="223" t="str">
        <f>(IF((VLOOKUP(Table10[[#This Row],[SKU]],'All Skus'!$A:$AC,2,FALSE))="Martin",(VLOOKUP(Table10[[#This Row],[SKU]],'All Skus'!$A:$AC,8,FALSE)),""))</f>
        <v>EXTERIOR LINEAR 1210 GRAZE, WIDE, QUAD</v>
      </c>
      <c r="H302" s="223" t="str">
        <f>(IF((VLOOKUP(Table10[[#This Row],[SKU]],'All Skus'!$A:$AC,2,FALSE))="Martin",(VLOOKUP(Table10[[#This Row],[SKU]],'All Skus'!$A:$AC,9,FALSE)),""))</f>
        <v>EXTERIOR LINEAR 1210 GRAZE, WIDE, QUAD</v>
      </c>
      <c r="I302" s="225">
        <f>(IF((VLOOKUP(Table10[[#This Row],[SKU]],'All Skus'!$A:$AC,2,FALSE))="Martin",(VLOOKUP(Table10[[#This Row],[SKU]],'All Skus'!$A:$AC,10,FALSE)),""))</f>
        <v>1910.18</v>
      </c>
      <c r="J302" s="226">
        <f>(IF((VLOOKUP(Table10[[#This Row],[SKU]],'All Skus'!$A:$AC,2,FALSE))="Martin",(VLOOKUP(Table10[[#This Row],[SKU]],'All Skus'!$A:$AC,11,FALSE)),""))</f>
        <v>1910.18</v>
      </c>
      <c r="K302" s="224">
        <f>(IF((VLOOKUP(Table10[[#This Row],[SKU]],'All Skus'!$A:$AC,2,FALSE))="Martin",(VLOOKUP(Table10[[#This Row],[SKU]],'All Skus'!$A:$AC,15,FALSE)),""))</f>
        <v>0</v>
      </c>
      <c r="L302" s="224">
        <f>(IF((VLOOKUP(Table10[[#This Row],[SKU]],'All Skus'!$A:$AC,2,FALSE))="Martin",(VLOOKUP(Table10[[#This Row],[SKU]],'All Skus'!$A:$AC,16,FALSE)),""))</f>
        <v>688705008233</v>
      </c>
      <c r="M302" s="224">
        <f>(IF((VLOOKUP(Table10[[#This Row],[SKU]],'All Skus'!$A:$AC,2,FALSE))="Martin",(VLOOKUP(Table10[[#This Row],[SKU]],'All Skus'!$A:$AC,17,FALSE)),""))</f>
        <v>0</v>
      </c>
      <c r="N302" s="227">
        <f>(IF((VLOOKUP(Table10[[#This Row],[SKU]],'All Skus'!$A:$AC,2,FALSE))="Martin",(VLOOKUP(Table10[[#This Row],[SKU]],'All Skus'!$A:$AC,18,FALSE)),""))</f>
        <v>0</v>
      </c>
      <c r="O302" s="227">
        <f>(IF((VLOOKUP(Table10[[#This Row],[SKU]],'All Skus'!$A:$AC,2,FALSE))="Martin",(VLOOKUP(Table10[[#This Row],[SKU]],'All Skus'!$A:$AC,19,FALSE)),""))</f>
        <v>0</v>
      </c>
      <c r="P302" s="227">
        <f>(IF((VLOOKUP(Table10[[#This Row],[SKU]],'All Skus'!$A:$AC,2,FALSE))="Martin",(VLOOKUP(Table10[[#This Row],[SKU]],'All Skus'!$A:$AC,20,FALSE)),""))</f>
        <v>0</v>
      </c>
      <c r="Q302" s="227">
        <f>(IF((VLOOKUP(Table10[[#This Row],[SKU]],'All Skus'!$A:$AC,2,FALSE))="Martin",(VLOOKUP(Table10[[#This Row],[SKU]],'All Skus'!$A:$AC,21,FALSE)),""))</f>
        <v>0</v>
      </c>
      <c r="R302" s="224">
        <f>(IF((VLOOKUP(Table10[[#This Row],[SKU]],'All Skus'!$A:$AC,2,FALSE))="Martin",(VLOOKUP(Table10[[#This Row],[SKU]],'All Skus'!$A:$AC,22,FALSE)),""))</f>
        <v>0</v>
      </c>
      <c r="S302" s="223">
        <f>(IF((VLOOKUP(Table10[[#This Row],[SKU]],'All Skus'!$A:$AC,2,FALSE))="Martin",(VLOOKUP(Table10[[#This Row],[SKU]],'All Skus'!$A:$AC,23,FALSE)),""))</f>
        <v>0</v>
      </c>
      <c r="T302" s="212" t="str">
        <f>HYPERLINK((IF((VLOOKUP(Table10[[#This Row],[SKU]],'All Skus'!$A:$AC,2,FALSE))="Martin",(VLOOKUP(Table10[[#This Row],[SKU]],'All Skus'!$A:$AC,24,FALSE)),"")))</f>
        <v/>
      </c>
      <c r="U302" s="228">
        <v>300</v>
      </c>
    </row>
    <row r="303" spans="1:21" hidden="1">
      <c r="A303" s="112" t="s">
        <v>2097</v>
      </c>
      <c r="B303" s="224">
        <f>(IF((VLOOKUP(Table10[[#This Row],[SKU]],'All Skus'!$A:$AC,2,FALSE))="Martin",(VLOOKUP(Table10[[#This Row],[SKU]],'All Skus'!$A:$AC,3,FALSE)),""))</f>
        <v>0</v>
      </c>
      <c r="C303" s="223" t="str">
        <f>(IF((VLOOKUP(Table10[[#This Row],[SKU]],'All Skus'!$A:$AC,2,FALSE))="Martin",(VLOOKUP(Table10[[#This Row],[SKU]],'All Skus'!$A:$AC,4,FALSE)),""))</f>
        <v>EXTERIOR LINEAR 1210 GRAZE, ASSYM, QUAD</v>
      </c>
      <c r="D303" s="224" t="str">
        <f>(IF((VLOOKUP(Table10[[#This Row],[SKU]],'All Skus'!$A:$AC,2,FALSE))="Martin",(VLOOKUP(Table10[[#This Row],[SKU]],'All Skus'!$A:$AC,5,FALSE)),""))</f>
        <v>EXT-LIN</v>
      </c>
      <c r="E303" s="223">
        <f>(IF((VLOOKUP(Table10[[#This Row],[SKU]],'All Skus'!$A:$AC,2,FALSE))="Martin",(VLOOKUP(Table10[[#This Row],[SKU]],'All Skus'!$A:$AC,6,FALSE)),""))</f>
        <v>0</v>
      </c>
      <c r="F303" s="155" t="str">
        <f>(IF((VLOOKUP(Table10[[#This Row],[SKU]],'All Skus'!$A:$AC,2,FALSE))="Martin",(VLOOKUP(Table10[[#This Row],[SKU]],'All Skus'!$A:$AC,7,FALSE)),""))</f>
        <v>EOL pre-notice - not recommend to specify for 2025 projects - please specify Exterior Linear Pro</v>
      </c>
      <c r="G303" s="223" t="str">
        <f>(IF((VLOOKUP(Table10[[#This Row],[SKU]],'All Skus'!$A:$AC,2,FALSE))="Martin",(VLOOKUP(Table10[[#This Row],[SKU]],'All Skus'!$A:$AC,8,FALSE)),""))</f>
        <v>EXTERIOR LINEAR 1210 GRAZE, ASSYM, QUAD</v>
      </c>
      <c r="H303" s="223" t="str">
        <f>(IF((VLOOKUP(Table10[[#This Row],[SKU]],'All Skus'!$A:$AC,2,FALSE))="Martin",(VLOOKUP(Table10[[#This Row],[SKU]],'All Skus'!$A:$AC,9,FALSE)),""))</f>
        <v>EXTERIOR LINEAR 1210 GRAZE, ASSYM, QUAD</v>
      </c>
      <c r="I303" s="225">
        <f>(IF((VLOOKUP(Table10[[#This Row],[SKU]],'All Skus'!$A:$AC,2,FALSE))="Martin",(VLOOKUP(Table10[[#This Row],[SKU]],'All Skus'!$A:$AC,10,FALSE)),""))</f>
        <v>1910.18</v>
      </c>
      <c r="J303" s="226">
        <f>(IF((VLOOKUP(Table10[[#This Row],[SKU]],'All Skus'!$A:$AC,2,FALSE))="Martin",(VLOOKUP(Table10[[#This Row],[SKU]],'All Skus'!$A:$AC,11,FALSE)),""))</f>
        <v>1910.18</v>
      </c>
      <c r="K303" s="224">
        <f>(IF((VLOOKUP(Table10[[#This Row],[SKU]],'All Skus'!$A:$AC,2,FALSE))="Martin",(VLOOKUP(Table10[[#This Row],[SKU]],'All Skus'!$A:$AC,15,FALSE)),""))</f>
        <v>0</v>
      </c>
      <c r="L303" s="224">
        <f>(IF((VLOOKUP(Table10[[#This Row],[SKU]],'All Skus'!$A:$AC,2,FALSE))="Martin",(VLOOKUP(Table10[[#This Row],[SKU]],'All Skus'!$A:$AC,16,FALSE)),""))</f>
        <v>688705008226</v>
      </c>
      <c r="M303" s="224">
        <f>(IF((VLOOKUP(Table10[[#This Row],[SKU]],'All Skus'!$A:$AC,2,FALSE))="Martin",(VLOOKUP(Table10[[#This Row],[SKU]],'All Skus'!$A:$AC,17,FALSE)),""))</f>
        <v>0</v>
      </c>
      <c r="N303" s="227">
        <f>(IF((VLOOKUP(Table10[[#This Row],[SKU]],'All Skus'!$A:$AC,2,FALSE))="Martin",(VLOOKUP(Table10[[#This Row],[SKU]],'All Skus'!$A:$AC,18,FALSE)),""))</f>
        <v>0</v>
      </c>
      <c r="O303" s="227">
        <f>(IF((VLOOKUP(Table10[[#This Row],[SKU]],'All Skus'!$A:$AC,2,FALSE))="Martin",(VLOOKUP(Table10[[#This Row],[SKU]],'All Skus'!$A:$AC,19,FALSE)),""))</f>
        <v>0</v>
      </c>
      <c r="P303" s="227">
        <f>(IF((VLOOKUP(Table10[[#This Row],[SKU]],'All Skus'!$A:$AC,2,FALSE))="Martin",(VLOOKUP(Table10[[#This Row],[SKU]],'All Skus'!$A:$AC,20,FALSE)),""))</f>
        <v>0</v>
      </c>
      <c r="Q303" s="227">
        <f>(IF((VLOOKUP(Table10[[#This Row],[SKU]],'All Skus'!$A:$AC,2,FALSE))="Martin",(VLOOKUP(Table10[[#This Row],[SKU]],'All Skus'!$A:$AC,21,FALSE)),""))</f>
        <v>0</v>
      </c>
      <c r="R303" s="224">
        <f>(IF((VLOOKUP(Table10[[#This Row],[SKU]],'All Skus'!$A:$AC,2,FALSE))="Martin",(VLOOKUP(Table10[[#This Row],[SKU]],'All Skus'!$A:$AC,22,FALSE)),""))</f>
        <v>0</v>
      </c>
      <c r="S303" s="223">
        <f>(IF((VLOOKUP(Table10[[#This Row],[SKU]],'All Skus'!$A:$AC,2,FALSE))="Martin",(VLOOKUP(Table10[[#This Row],[SKU]],'All Skus'!$A:$AC,23,FALSE)),""))</f>
        <v>0</v>
      </c>
      <c r="T303" s="212" t="str">
        <f>HYPERLINK((IF((VLOOKUP(Table10[[#This Row],[SKU]],'All Skus'!$A:$AC,2,FALSE))="Martin",(VLOOKUP(Table10[[#This Row],[SKU]],'All Skus'!$A:$AC,24,FALSE)),"")))</f>
        <v/>
      </c>
      <c r="U303" s="228">
        <v>301</v>
      </c>
    </row>
    <row r="304" spans="1:21" hidden="1">
      <c r="A304" s="115" t="s">
        <v>2098</v>
      </c>
      <c r="B304" s="224">
        <f>(IF((VLOOKUP(Table10[[#This Row],[SKU]],'All Skus'!$A:$AC,2,FALSE))="Martin",(VLOOKUP(Table10[[#This Row],[SKU]],'All Skus'!$A:$AC,3,FALSE)),""))</f>
        <v>0</v>
      </c>
      <c r="C304" s="223">
        <f>(IF((VLOOKUP(Table10[[#This Row],[SKU]],'All Skus'!$A:$AC,2,FALSE))="Martin",(VLOOKUP(Table10[[#This Row],[SKU]],'All Skus'!$A:$AC,4,FALSE)),""))</f>
        <v>0</v>
      </c>
      <c r="D304" s="224">
        <f>(IF((VLOOKUP(Table10[[#This Row],[SKU]],'All Skus'!$A:$AC,2,FALSE))="Martin",(VLOOKUP(Table10[[#This Row],[SKU]],'All Skus'!$A:$AC,5,FALSE)),""))</f>
        <v>0</v>
      </c>
      <c r="E304" s="223">
        <f>(IF((VLOOKUP(Table10[[#This Row],[SKU]],'All Skus'!$A:$AC,2,FALSE))="Martin",(VLOOKUP(Table10[[#This Row],[SKU]],'All Skus'!$A:$AC,6,FALSE)),""))</f>
        <v>0</v>
      </c>
      <c r="F304" s="155">
        <f>(IF((VLOOKUP(Table10[[#This Row],[SKU]],'All Skus'!$A:$AC,2,FALSE))="Martin",(VLOOKUP(Table10[[#This Row],[SKU]],'All Skus'!$A:$AC,7,FALSE)),""))</f>
        <v>0</v>
      </c>
      <c r="G304" s="223">
        <f>(IF((VLOOKUP(Table10[[#This Row],[SKU]],'All Skus'!$A:$AC,2,FALSE))="Martin",(VLOOKUP(Table10[[#This Row],[SKU]],'All Skus'!$A:$AC,8,FALSE)),""))</f>
        <v>0</v>
      </c>
      <c r="H304" s="223">
        <f>(IF((VLOOKUP(Table10[[#This Row],[SKU]],'All Skus'!$A:$AC,2,FALSE))="Martin",(VLOOKUP(Table10[[#This Row],[SKU]],'All Skus'!$A:$AC,9,FALSE)),""))</f>
        <v>0</v>
      </c>
      <c r="I304" s="225">
        <f>(IF((VLOOKUP(Table10[[#This Row],[SKU]],'All Skus'!$A:$AC,2,FALSE))="Martin",(VLOOKUP(Table10[[#This Row],[SKU]],'All Skus'!$A:$AC,10,FALSE)),""))</f>
        <v>0</v>
      </c>
      <c r="J304" s="226">
        <f>(IF((VLOOKUP(Table10[[#This Row],[SKU]],'All Skus'!$A:$AC,2,FALSE))="Martin",(VLOOKUP(Table10[[#This Row],[SKU]],'All Skus'!$A:$AC,11,FALSE)),""))</f>
        <v>0</v>
      </c>
      <c r="K304" s="224">
        <f>(IF((VLOOKUP(Table10[[#This Row],[SKU]],'All Skus'!$A:$AC,2,FALSE))="Martin",(VLOOKUP(Table10[[#This Row],[SKU]],'All Skus'!$A:$AC,15,FALSE)),""))</f>
        <v>0</v>
      </c>
      <c r="L304" s="224">
        <f>(IF((VLOOKUP(Table10[[#This Row],[SKU]],'All Skus'!$A:$AC,2,FALSE))="Martin",(VLOOKUP(Table10[[#This Row],[SKU]],'All Skus'!$A:$AC,16,FALSE)),""))</f>
        <v>0</v>
      </c>
      <c r="M304" s="224">
        <f>(IF((VLOOKUP(Table10[[#This Row],[SKU]],'All Skus'!$A:$AC,2,FALSE))="Martin",(VLOOKUP(Table10[[#This Row],[SKU]],'All Skus'!$A:$AC,17,FALSE)),""))</f>
        <v>0</v>
      </c>
      <c r="N304" s="227">
        <f>(IF((VLOOKUP(Table10[[#This Row],[SKU]],'All Skus'!$A:$AC,2,FALSE))="Martin",(VLOOKUP(Table10[[#This Row],[SKU]],'All Skus'!$A:$AC,18,FALSE)),""))</f>
        <v>0</v>
      </c>
      <c r="O304" s="227">
        <f>(IF((VLOOKUP(Table10[[#This Row],[SKU]],'All Skus'!$A:$AC,2,FALSE))="Martin",(VLOOKUP(Table10[[#This Row],[SKU]],'All Skus'!$A:$AC,19,FALSE)),""))</f>
        <v>0</v>
      </c>
      <c r="P304" s="227">
        <f>(IF((VLOOKUP(Table10[[#This Row],[SKU]],'All Skus'!$A:$AC,2,FALSE))="Martin",(VLOOKUP(Table10[[#This Row],[SKU]],'All Skus'!$A:$AC,20,FALSE)),""))</f>
        <v>0</v>
      </c>
      <c r="Q304" s="227">
        <f>(IF((VLOOKUP(Table10[[#This Row],[SKU]],'All Skus'!$A:$AC,2,FALSE))="Martin",(VLOOKUP(Table10[[#This Row],[SKU]],'All Skus'!$A:$AC,21,FALSE)),""))</f>
        <v>0</v>
      </c>
      <c r="R304" s="224">
        <f>(IF((VLOOKUP(Table10[[#This Row],[SKU]],'All Skus'!$A:$AC,2,FALSE))="Martin",(VLOOKUP(Table10[[#This Row],[SKU]],'All Skus'!$A:$AC,22,FALSE)),""))</f>
        <v>0</v>
      </c>
      <c r="S304" s="223">
        <f>(IF((VLOOKUP(Table10[[#This Row],[SKU]],'All Skus'!$A:$AC,2,FALSE))="Martin",(VLOOKUP(Table10[[#This Row],[SKU]],'All Skus'!$A:$AC,23,FALSE)),""))</f>
        <v>0</v>
      </c>
      <c r="T304" s="212" t="str">
        <f>HYPERLINK((IF((VLOOKUP(Table10[[#This Row],[SKU]],'All Skus'!$A:$AC,2,FALSE))="Martin",(VLOOKUP(Table10[[#This Row],[SKU]],'All Skus'!$A:$AC,24,FALSE)),"")))</f>
        <v/>
      </c>
      <c r="U304" s="228">
        <v>302</v>
      </c>
    </row>
    <row r="305" spans="1:21" hidden="1">
      <c r="A305" s="115" t="s">
        <v>2099</v>
      </c>
      <c r="B305" s="224">
        <f>(IF((VLOOKUP(Table10[[#This Row],[SKU]],'All Skus'!$A:$AC,2,FALSE))="Martin",(VLOOKUP(Table10[[#This Row],[SKU]],'All Skus'!$A:$AC,3,FALSE)),""))</f>
        <v>0</v>
      </c>
      <c r="C305" s="223">
        <f>(IF((VLOOKUP(Table10[[#This Row],[SKU]],'All Skus'!$A:$AC,2,FALSE))="Martin",(VLOOKUP(Table10[[#This Row],[SKU]],'All Skus'!$A:$AC,4,FALSE)),""))</f>
        <v>0</v>
      </c>
      <c r="D305" s="224">
        <f>(IF((VLOOKUP(Table10[[#This Row],[SKU]],'All Skus'!$A:$AC,2,FALSE))="Martin",(VLOOKUP(Table10[[#This Row],[SKU]],'All Skus'!$A:$AC,5,FALSE)),""))</f>
        <v>0</v>
      </c>
      <c r="E305" s="223">
        <f>(IF((VLOOKUP(Table10[[#This Row],[SKU]],'All Skus'!$A:$AC,2,FALSE))="Martin",(VLOOKUP(Table10[[#This Row],[SKU]],'All Skus'!$A:$AC,6,FALSE)),""))</f>
        <v>0</v>
      </c>
      <c r="F305" s="155">
        <f>(IF((VLOOKUP(Table10[[#This Row],[SKU]],'All Skus'!$A:$AC,2,FALSE))="Martin",(VLOOKUP(Table10[[#This Row],[SKU]],'All Skus'!$A:$AC,7,FALSE)),""))</f>
        <v>0</v>
      </c>
      <c r="G305" s="223">
        <f>(IF((VLOOKUP(Table10[[#This Row],[SKU]],'All Skus'!$A:$AC,2,FALSE))="Martin",(VLOOKUP(Table10[[#This Row],[SKU]],'All Skus'!$A:$AC,8,FALSE)),""))</f>
        <v>0</v>
      </c>
      <c r="H305" s="223">
        <f>(IF((VLOOKUP(Table10[[#This Row],[SKU]],'All Skus'!$A:$AC,2,FALSE))="Martin",(VLOOKUP(Table10[[#This Row],[SKU]],'All Skus'!$A:$AC,9,FALSE)),""))</f>
        <v>0</v>
      </c>
      <c r="I305" s="225">
        <f>(IF((VLOOKUP(Table10[[#This Row],[SKU]],'All Skus'!$A:$AC,2,FALSE))="Martin",(VLOOKUP(Table10[[#This Row],[SKU]],'All Skus'!$A:$AC,10,FALSE)),""))</f>
        <v>0</v>
      </c>
      <c r="J305" s="226">
        <f>(IF((VLOOKUP(Table10[[#This Row],[SKU]],'All Skus'!$A:$AC,2,FALSE))="Martin",(VLOOKUP(Table10[[#This Row],[SKU]],'All Skus'!$A:$AC,11,FALSE)),""))</f>
        <v>0</v>
      </c>
      <c r="K305" s="224">
        <f>(IF((VLOOKUP(Table10[[#This Row],[SKU]],'All Skus'!$A:$AC,2,FALSE))="Martin",(VLOOKUP(Table10[[#This Row],[SKU]],'All Skus'!$A:$AC,15,FALSE)),""))</f>
        <v>0</v>
      </c>
      <c r="L305" s="224">
        <f>(IF((VLOOKUP(Table10[[#This Row],[SKU]],'All Skus'!$A:$AC,2,FALSE))="Martin",(VLOOKUP(Table10[[#This Row],[SKU]],'All Skus'!$A:$AC,16,FALSE)),""))</f>
        <v>0</v>
      </c>
      <c r="M305" s="224">
        <f>(IF((VLOOKUP(Table10[[#This Row],[SKU]],'All Skus'!$A:$AC,2,FALSE))="Martin",(VLOOKUP(Table10[[#This Row],[SKU]],'All Skus'!$A:$AC,17,FALSE)),""))</f>
        <v>0</v>
      </c>
      <c r="N305" s="227">
        <f>(IF((VLOOKUP(Table10[[#This Row],[SKU]],'All Skus'!$A:$AC,2,FALSE))="Martin",(VLOOKUP(Table10[[#This Row],[SKU]],'All Skus'!$A:$AC,18,FALSE)),""))</f>
        <v>0</v>
      </c>
      <c r="O305" s="227">
        <f>(IF((VLOOKUP(Table10[[#This Row],[SKU]],'All Skus'!$A:$AC,2,FALSE))="Martin",(VLOOKUP(Table10[[#This Row],[SKU]],'All Skus'!$A:$AC,19,FALSE)),""))</f>
        <v>0</v>
      </c>
      <c r="P305" s="227">
        <f>(IF((VLOOKUP(Table10[[#This Row],[SKU]],'All Skus'!$A:$AC,2,FALSE))="Martin",(VLOOKUP(Table10[[#This Row],[SKU]],'All Skus'!$A:$AC,20,FALSE)),""))</f>
        <v>0</v>
      </c>
      <c r="Q305" s="227">
        <f>(IF((VLOOKUP(Table10[[#This Row],[SKU]],'All Skus'!$A:$AC,2,FALSE))="Martin",(VLOOKUP(Table10[[#This Row],[SKU]],'All Skus'!$A:$AC,21,FALSE)),""))</f>
        <v>0</v>
      </c>
      <c r="R305" s="224">
        <f>(IF((VLOOKUP(Table10[[#This Row],[SKU]],'All Skus'!$A:$AC,2,FALSE))="Martin",(VLOOKUP(Table10[[#This Row],[SKU]],'All Skus'!$A:$AC,22,FALSE)),""))</f>
        <v>0</v>
      </c>
      <c r="S305" s="223">
        <f>(IF((VLOOKUP(Table10[[#This Row],[SKU]],'All Skus'!$A:$AC,2,FALSE))="Martin",(VLOOKUP(Table10[[#This Row],[SKU]],'All Skus'!$A:$AC,23,FALSE)),""))</f>
        <v>0</v>
      </c>
      <c r="T305" s="212" t="str">
        <f>HYPERLINK((IF((VLOOKUP(Table10[[#This Row],[SKU]],'All Skus'!$A:$AC,2,FALSE))="Martin",(VLOOKUP(Table10[[#This Row],[SKU]],'All Skus'!$A:$AC,24,FALSE)),"")))</f>
        <v/>
      </c>
      <c r="U305" s="228">
        <v>303</v>
      </c>
    </row>
    <row r="306" spans="1:21" hidden="1">
      <c r="A306" s="115" t="s">
        <v>2100</v>
      </c>
      <c r="B306" s="224">
        <f>(IF((VLOOKUP(Table10[[#This Row],[SKU]],'All Skus'!$A:$AC,2,FALSE))="Martin",(VLOOKUP(Table10[[#This Row],[SKU]],'All Skus'!$A:$AC,3,FALSE)),""))</f>
        <v>0</v>
      </c>
      <c r="C306" s="223">
        <f>(IF((VLOOKUP(Table10[[#This Row],[SKU]],'All Skus'!$A:$AC,2,FALSE))="Martin",(VLOOKUP(Table10[[#This Row],[SKU]],'All Skus'!$A:$AC,4,FALSE)),""))</f>
        <v>0</v>
      </c>
      <c r="D306" s="224">
        <f>(IF((VLOOKUP(Table10[[#This Row],[SKU]],'All Skus'!$A:$AC,2,FALSE))="Martin",(VLOOKUP(Table10[[#This Row],[SKU]],'All Skus'!$A:$AC,5,FALSE)),""))</f>
        <v>0</v>
      </c>
      <c r="E306" s="223">
        <f>(IF((VLOOKUP(Table10[[#This Row],[SKU]],'All Skus'!$A:$AC,2,FALSE))="Martin",(VLOOKUP(Table10[[#This Row],[SKU]],'All Skus'!$A:$AC,6,FALSE)),""))</f>
        <v>0</v>
      </c>
      <c r="F306" s="155">
        <f>(IF((VLOOKUP(Table10[[#This Row],[SKU]],'All Skus'!$A:$AC,2,FALSE))="Martin",(VLOOKUP(Table10[[#This Row],[SKU]],'All Skus'!$A:$AC,7,FALSE)),""))</f>
        <v>0</v>
      </c>
      <c r="G306" s="223">
        <f>(IF((VLOOKUP(Table10[[#This Row],[SKU]],'All Skus'!$A:$AC,2,FALSE))="Martin",(VLOOKUP(Table10[[#This Row],[SKU]],'All Skus'!$A:$AC,8,FALSE)),""))</f>
        <v>0</v>
      </c>
      <c r="H306" s="223">
        <f>(IF((VLOOKUP(Table10[[#This Row],[SKU]],'All Skus'!$A:$AC,2,FALSE))="Martin",(VLOOKUP(Table10[[#This Row],[SKU]],'All Skus'!$A:$AC,9,FALSE)),""))</f>
        <v>0</v>
      </c>
      <c r="I306" s="225">
        <f>(IF((VLOOKUP(Table10[[#This Row],[SKU]],'All Skus'!$A:$AC,2,FALSE))="Martin",(VLOOKUP(Table10[[#This Row],[SKU]],'All Skus'!$A:$AC,10,FALSE)),""))</f>
        <v>0</v>
      </c>
      <c r="J306" s="226">
        <f>(IF((VLOOKUP(Table10[[#This Row],[SKU]],'All Skus'!$A:$AC,2,FALSE))="Martin",(VLOOKUP(Table10[[#This Row],[SKU]],'All Skus'!$A:$AC,11,FALSE)),""))</f>
        <v>0</v>
      </c>
      <c r="K306" s="224">
        <f>(IF((VLOOKUP(Table10[[#This Row],[SKU]],'All Skus'!$A:$AC,2,FALSE))="Martin",(VLOOKUP(Table10[[#This Row],[SKU]],'All Skus'!$A:$AC,15,FALSE)),""))</f>
        <v>0</v>
      </c>
      <c r="L306" s="224">
        <f>(IF((VLOOKUP(Table10[[#This Row],[SKU]],'All Skus'!$A:$AC,2,FALSE))="Martin",(VLOOKUP(Table10[[#This Row],[SKU]],'All Skus'!$A:$AC,16,FALSE)),""))</f>
        <v>0</v>
      </c>
      <c r="M306" s="224">
        <f>(IF((VLOOKUP(Table10[[#This Row],[SKU]],'All Skus'!$A:$AC,2,FALSE))="Martin",(VLOOKUP(Table10[[#This Row],[SKU]],'All Skus'!$A:$AC,17,FALSE)),""))</f>
        <v>0</v>
      </c>
      <c r="N306" s="227">
        <f>(IF((VLOOKUP(Table10[[#This Row],[SKU]],'All Skus'!$A:$AC,2,FALSE))="Martin",(VLOOKUP(Table10[[#This Row],[SKU]],'All Skus'!$A:$AC,18,FALSE)),""))</f>
        <v>0</v>
      </c>
      <c r="O306" s="227">
        <f>(IF((VLOOKUP(Table10[[#This Row],[SKU]],'All Skus'!$A:$AC,2,FALSE))="Martin",(VLOOKUP(Table10[[#This Row],[SKU]],'All Skus'!$A:$AC,19,FALSE)),""))</f>
        <v>0</v>
      </c>
      <c r="P306" s="227">
        <f>(IF((VLOOKUP(Table10[[#This Row],[SKU]],'All Skus'!$A:$AC,2,FALSE))="Martin",(VLOOKUP(Table10[[#This Row],[SKU]],'All Skus'!$A:$AC,20,FALSE)),""))</f>
        <v>0</v>
      </c>
      <c r="Q306" s="227">
        <f>(IF((VLOOKUP(Table10[[#This Row],[SKU]],'All Skus'!$A:$AC,2,FALSE))="Martin",(VLOOKUP(Table10[[#This Row],[SKU]],'All Skus'!$A:$AC,21,FALSE)),""))</f>
        <v>0</v>
      </c>
      <c r="R306" s="224">
        <f>(IF((VLOOKUP(Table10[[#This Row],[SKU]],'All Skus'!$A:$AC,2,FALSE))="Martin",(VLOOKUP(Table10[[#This Row],[SKU]],'All Skus'!$A:$AC,22,FALSE)),""))</f>
        <v>0</v>
      </c>
      <c r="S306" s="223">
        <f>(IF((VLOOKUP(Table10[[#This Row],[SKU]],'All Skus'!$A:$AC,2,FALSE))="Martin",(VLOOKUP(Table10[[#This Row],[SKU]],'All Skus'!$A:$AC,23,FALSE)),""))</f>
        <v>0</v>
      </c>
      <c r="T306" s="212" t="str">
        <f>HYPERLINK((IF((VLOOKUP(Table10[[#This Row],[SKU]],'All Skus'!$A:$AC,2,FALSE))="Martin",(VLOOKUP(Table10[[#This Row],[SKU]],'All Skus'!$A:$AC,24,FALSE)),"")))</f>
        <v/>
      </c>
      <c r="U306" s="228">
        <v>304</v>
      </c>
    </row>
    <row r="307" spans="1:21" hidden="1">
      <c r="A307" s="112">
        <v>91611752</v>
      </c>
      <c r="B307" s="224">
        <f>(IF((VLOOKUP(Table10[[#This Row],[SKU]],'All Skus'!$A:$AC,2,FALSE))="Martin",(VLOOKUP(Table10[[#This Row],[SKU]],'All Skus'!$A:$AC,3,FALSE)),""))</f>
        <v>0</v>
      </c>
      <c r="C307" s="223" t="str">
        <f>(IF((VLOOKUP(Table10[[#This Row],[SKU]],'All Skus'!$A:$AC,2,FALSE))="Martin",(VLOOKUP(Table10[[#This Row],[SKU]],'All Skus'!$A:$AC,4,FALSE)),""))</f>
        <v xml:space="preserve">Glareshield EL300, SET OF 4 </v>
      </c>
      <c r="D307" s="224" t="str">
        <f>(IF((VLOOKUP(Table10[[#This Row],[SKU]],'All Skus'!$A:$AC,2,FALSE))="Martin",(VLOOKUP(Table10[[#This Row],[SKU]],'All Skus'!$A:$AC,5,FALSE)),""))</f>
        <v>EXT-LIN</v>
      </c>
      <c r="E307" s="223">
        <f>(IF((VLOOKUP(Table10[[#This Row],[SKU]],'All Skus'!$A:$AC,2,FALSE))="Martin",(VLOOKUP(Table10[[#This Row],[SKU]],'All Skus'!$A:$AC,6,FALSE)),""))</f>
        <v>0</v>
      </c>
      <c r="F307" s="155" t="str">
        <f>(IF((VLOOKUP(Table10[[#This Row],[SKU]],'All Skus'!$A:$AC,2,FALSE))="Martin",(VLOOKUP(Table10[[#This Row],[SKU]],'All Skus'!$A:$AC,7,FALSE)),""))</f>
        <v>EOL pre-notice - not recommend to specify for 2025 projects - please specify Exterior Linear Pro</v>
      </c>
      <c r="G307" s="223" t="str">
        <f>(IF((VLOOKUP(Table10[[#This Row],[SKU]],'All Skus'!$A:$AC,2,FALSE))="Martin",(VLOOKUP(Table10[[#This Row],[SKU]],'All Skus'!$A:$AC,8,FALSE)),""))</f>
        <v xml:space="preserve">Glareshield EL300, SET OF 4 </v>
      </c>
      <c r="H307" s="223" t="str">
        <f>(IF((VLOOKUP(Table10[[#This Row],[SKU]],'All Skus'!$A:$AC,2,FALSE))="Martin",(VLOOKUP(Table10[[#This Row],[SKU]],'All Skus'!$A:$AC,9,FALSE)),""))</f>
        <v xml:space="preserve">Glareshield EL300, SET OF 4 </v>
      </c>
      <c r="I307" s="225">
        <f>(IF((VLOOKUP(Table10[[#This Row],[SKU]],'All Skus'!$A:$AC,2,FALSE))="Martin",(VLOOKUP(Table10[[#This Row],[SKU]],'All Skus'!$A:$AC,10,FALSE)),""))</f>
        <v>95.08</v>
      </c>
      <c r="J307" s="226">
        <f>(IF((VLOOKUP(Table10[[#This Row],[SKU]],'All Skus'!$A:$AC,2,FALSE))="Martin",(VLOOKUP(Table10[[#This Row],[SKU]],'All Skus'!$A:$AC,11,FALSE)),""))</f>
        <v>95.08</v>
      </c>
      <c r="K307" s="224">
        <f>(IF((VLOOKUP(Table10[[#This Row],[SKU]],'All Skus'!$A:$AC,2,FALSE))="Martin",(VLOOKUP(Table10[[#This Row],[SKU]],'All Skus'!$A:$AC,15,FALSE)),""))</f>
        <v>0</v>
      </c>
      <c r="L307" s="224">
        <f>(IF((VLOOKUP(Table10[[#This Row],[SKU]],'All Skus'!$A:$AC,2,FALSE))="Martin",(VLOOKUP(Table10[[#This Row],[SKU]],'All Skus'!$A:$AC,16,FALSE)),""))</f>
        <v>0</v>
      </c>
      <c r="M307" s="224">
        <f>(IF((VLOOKUP(Table10[[#This Row],[SKU]],'All Skus'!$A:$AC,2,FALSE))="Martin",(VLOOKUP(Table10[[#This Row],[SKU]],'All Skus'!$A:$AC,17,FALSE)),""))</f>
        <v>0</v>
      </c>
      <c r="N307" s="227">
        <f>(IF((VLOOKUP(Table10[[#This Row],[SKU]],'All Skus'!$A:$AC,2,FALSE))="Martin",(VLOOKUP(Table10[[#This Row],[SKU]],'All Skus'!$A:$AC,18,FALSE)),""))</f>
        <v>0</v>
      </c>
      <c r="O307" s="227">
        <f>(IF((VLOOKUP(Table10[[#This Row],[SKU]],'All Skus'!$A:$AC,2,FALSE))="Martin",(VLOOKUP(Table10[[#This Row],[SKU]],'All Skus'!$A:$AC,19,FALSE)),""))</f>
        <v>0</v>
      </c>
      <c r="P307" s="227">
        <f>(IF((VLOOKUP(Table10[[#This Row],[SKU]],'All Skus'!$A:$AC,2,FALSE))="Martin",(VLOOKUP(Table10[[#This Row],[SKU]],'All Skus'!$A:$AC,20,FALSE)),""))</f>
        <v>0</v>
      </c>
      <c r="Q307" s="227">
        <f>(IF((VLOOKUP(Table10[[#This Row],[SKU]],'All Skus'!$A:$AC,2,FALSE))="Martin",(VLOOKUP(Table10[[#This Row],[SKU]],'All Skus'!$A:$AC,21,FALSE)),""))</f>
        <v>0</v>
      </c>
      <c r="R307" s="224">
        <f>(IF((VLOOKUP(Table10[[#This Row],[SKU]],'All Skus'!$A:$AC,2,FALSE))="Martin",(VLOOKUP(Table10[[#This Row],[SKU]],'All Skus'!$A:$AC,22,FALSE)),""))</f>
        <v>0</v>
      </c>
      <c r="S307" s="223">
        <f>(IF((VLOOKUP(Table10[[#This Row],[SKU]],'All Skus'!$A:$AC,2,FALSE))="Martin",(VLOOKUP(Table10[[#This Row],[SKU]],'All Skus'!$A:$AC,23,FALSE)),""))</f>
        <v>0</v>
      </c>
      <c r="T307" s="212" t="str">
        <f>HYPERLINK((IF((VLOOKUP(Table10[[#This Row],[SKU]],'All Skus'!$A:$AC,2,FALSE))="Martin",(VLOOKUP(Table10[[#This Row],[SKU]],'All Skus'!$A:$AC,24,FALSE)),"")))</f>
        <v/>
      </c>
      <c r="U307" s="228">
        <v>305</v>
      </c>
    </row>
    <row r="308" spans="1:21" hidden="1">
      <c r="A308" s="112">
        <v>91611753</v>
      </c>
      <c r="B308" s="224">
        <f>(IF((VLOOKUP(Table10[[#This Row],[SKU]],'All Skus'!$A:$AC,2,FALSE))="Martin",(VLOOKUP(Table10[[#This Row],[SKU]],'All Skus'!$A:$AC,3,FALSE)),""))</f>
        <v>0</v>
      </c>
      <c r="C308" s="223" t="str">
        <f>(IF((VLOOKUP(Table10[[#This Row],[SKU]],'All Skus'!$A:$AC,2,FALSE))="Martin",(VLOOKUP(Table10[[#This Row],[SKU]],'All Skus'!$A:$AC,4,FALSE)),""))</f>
        <v xml:space="preserve">Glareshield EL1200, SET OF 4 </v>
      </c>
      <c r="D308" s="224" t="str">
        <f>(IF((VLOOKUP(Table10[[#This Row],[SKU]],'All Skus'!$A:$AC,2,FALSE))="Martin",(VLOOKUP(Table10[[#This Row],[SKU]],'All Skus'!$A:$AC,5,FALSE)),""))</f>
        <v>EXT-LIN</v>
      </c>
      <c r="E308" s="223">
        <f>(IF((VLOOKUP(Table10[[#This Row],[SKU]],'All Skus'!$A:$AC,2,FALSE))="Martin",(VLOOKUP(Table10[[#This Row],[SKU]],'All Skus'!$A:$AC,6,FALSE)),""))</f>
        <v>0</v>
      </c>
      <c r="F308" s="155" t="str">
        <f>(IF((VLOOKUP(Table10[[#This Row],[SKU]],'All Skus'!$A:$AC,2,FALSE))="Martin",(VLOOKUP(Table10[[#This Row],[SKU]],'All Skus'!$A:$AC,7,FALSE)),""))</f>
        <v>EOL pre-notice - not recommend to specify for 2025 projects - please specify Exterior Linear Pro</v>
      </c>
      <c r="G308" s="223" t="str">
        <f>(IF((VLOOKUP(Table10[[#This Row],[SKU]],'All Skus'!$A:$AC,2,FALSE))="Martin",(VLOOKUP(Table10[[#This Row],[SKU]],'All Skus'!$A:$AC,8,FALSE)),""))</f>
        <v xml:space="preserve">Glareshield EL1200, SET OF 4 </v>
      </c>
      <c r="H308" s="223" t="str">
        <f>(IF((VLOOKUP(Table10[[#This Row],[SKU]],'All Skus'!$A:$AC,2,FALSE))="Martin",(VLOOKUP(Table10[[#This Row],[SKU]],'All Skus'!$A:$AC,9,FALSE)),""))</f>
        <v xml:space="preserve">Glareshield EL1200, SET OF 4 </v>
      </c>
      <c r="I308" s="225">
        <f>(IF((VLOOKUP(Table10[[#This Row],[SKU]],'All Skus'!$A:$AC,2,FALSE))="Martin",(VLOOKUP(Table10[[#This Row],[SKU]],'All Skus'!$A:$AC,10,FALSE)),""))</f>
        <v>164.22</v>
      </c>
      <c r="J308" s="226">
        <f>(IF((VLOOKUP(Table10[[#This Row],[SKU]],'All Skus'!$A:$AC,2,FALSE))="Martin",(VLOOKUP(Table10[[#This Row],[SKU]],'All Skus'!$A:$AC,11,FALSE)),""))</f>
        <v>164.22</v>
      </c>
      <c r="K308" s="224">
        <f>(IF((VLOOKUP(Table10[[#This Row],[SKU]],'All Skus'!$A:$AC,2,FALSE))="Martin",(VLOOKUP(Table10[[#This Row],[SKU]],'All Skus'!$A:$AC,15,FALSE)),""))</f>
        <v>0</v>
      </c>
      <c r="L308" s="224">
        <f>(IF((VLOOKUP(Table10[[#This Row],[SKU]],'All Skus'!$A:$AC,2,FALSE))="Martin",(VLOOKUP(Table10[[#This Row],[SKU]],'All Skus'!$A:$AC,16,FALSE)),""))</f>
        <v>0</v>
      </c>
      <c r="M308" s="224">
        <f>(IF((VLOOKUP(Table10[[#This Row],[SKU]],'All Skus'!$A:$AC,2,FALSE))="Martin",(VLOOKUP(Table10[[#This Row],[SKU]],'All Skus'!$A:$AC,17,FALSE)),""))</f>
        <v>0</v>
      </c>
      <c r="N308" s="227">
        <f>(IF((VLOOKUP(Table10[[#This Row],[SKU]],'All Skus'!$A:$AC,2,FALSE))="Martin",(VLOOKUP(Table10[[#This Row],[SKU]],'All Skus'!$A:$AC,18,FALSE)),""))</f>
        <v>0</v>
      </c>
      <c r="O308" s="227">
        <f>(IF((VLOOKUP(Table10[[#This Row],[SKU]],'All Skus'!$A:$AC,2,FALSE))="Martin",(VLOOKUP(Table10[[#This Row],[SKU]],'All Skus'!$A:$AC,19,FALSE)),""))</f>
        <v>0</v>
      </c>
      <c r="P308" s="227">
        <f>(IF((VLOOKUP(Table10[[#This Row],[SKU]],'All Skus'!$A:$AC,2,FALSE))="Martin",(VLOOKUP(Table10[[#This Row],[SKU]],'All Skus'!$A:$AC,20,FALSE)),""))</f>
        <v>0</v>
      </c>
      <c r="Q308" s="227">
        <f>(IF((VLOOKUP(Table10[[#This Row],[SKU]],'All Skus'!$A:$AC,2,FALSE))="Martin",(VLOOKUP(Table10[[#This Row],[SKU]],'All Skus'!$A:$AC,21,FALSE)),""))</f>
        <v>0</v>
      </c>
      <c r="R308" s="224">
        <f>(IF((VLOOKUP(Table10[[#This Row],[SKU]],'All Skus'!$A:$AC,2,FALSE))="Martin",(VLOOKUP(Table10[[#This Row],[SKU]],'All Skus'!$A:$AC,22,FALSE)),""))</f>
        <v>0</v>
      </c>
      <c r="S308" s="223">
        <f>(IF((VLOOKUP(Table10[[#This Row],[SKU]],'All Skus'!$A:$AC,2,FALSE))="Martin",(VLOOKUP(Table10[[#This Row],[SKU]],'All Skus'!$A:$AC,23,FALSE)),""))</f>
        <v>0</v>
      </c>
      <c r="T308" s="212" t="str">
        <f>HYPERLINK((IF((VLOOKUP(Table10[[#This Row],[SKU]],'All Skus'!$A:$AC,2,FALSE))="Martin",(VLOOKUP(Table10[[#This Row],[SKU]],'All Skus'!$A:$AC,24,FALSE)),"")))</f>
        <v/>
      </c>
      <c r="U308" s="228">
        <v>306</v>
      </c>
    </row>
    <row r="309" spans="1:21" hidden="1">
      <c r="A309" s="115" t="s">
        <v>2101</v>
      </c>
      <c r="B309" s="224">
        <f>(IF((VLOOKUP(Table10[[#This Row],[SKU]],'All Skus'!$A:$AC,2,FALSE))="Martin",(VLOOKUP(Table10[[#This Row],[SKU]],'All Skus'!$A:$AC,3,FALSE)),""))</f>
        <v>0</v>
      </c>
      <c r="C309" s="223">
        <f>(IF((VLOOKUP(Table10[[#This Row],[SKU]],'All Skus'!$A:$AC,2,FALSE))="Martin",(VLOOKUP(Table10[[#This Row],[SKU]],'All Skus'!$A:$AC,4,FALSE)),""))</f>
        <v>0</v>
      </c>
      <c r="D309" s="224">
        <f>(IF((VLOOKUP(Table10[[#This Row],[SKU]],'All Skus'!$A:$AC,2,FALSE))="Martin",(VLOOKUP(Table10[[#This Row],[SKU]],'All Skus'!$A:$AC,5,FALSE)),""))</f>
        <v>0</v>
      </c>
      <c r="E309" s="223">
        <f>(IF((VLOOKUP(Table10[[#This Row],[SKU]],'All Skus'!$A:$AC,2,FALSE))="Martin",(VLOOKUP(Table10[[#This Row],[SKU]],'All Skus'!$A:$AC,6,FALSE)),""))</f>
        <v>0</v>
      </c>
      <c r="F309" s="155">
        <f>(IF((VLOOKUP(Table10[[#This Row],[SKU]],'All Skus'!$A:$AC,2,FALSE))="Martin",(VLOOKUP(Table10[[#This Row],[SKU]],'All Skus'!$A:$AC,7,FALSE)),""))</f>
        <v>0</v>
      </c>
      <c r="G309" s="223">
        <f>(IF((VLOOKUP(Table10[[#This Row],[SKU]],'All Skus'!$A:$AC,2,FALSE))="Martin",(VLOOKUP(Table10[[#This Row],[SKU]],'All Skus'!$A:$AC,8,FALSE)),""))</f>
        <v>0</v>
      </c>
      <c r="H309" s="223">
        <f>(IF((VLOOKUP(Table10[[#This Row],[SKU]],'All Skus'!$A:$AC,2,FALSE))="Martin",(VLOOKUP(Table10[[#This Row],[SKU]],'All Skus'!$A:$AC,9,FALSE)),""))</f>
        <v>0</v>
      </c>
      <c r="I309" s="225">
        <f>(IF((VLOOKUP(Table10[[#This Row],[SKU]],'All Skus'!$A:$AC,2,FALSE))="Martin",(VLOOKUP(Table10[[#This Row],[SKU]],'All Skus'!$A:$AC,10,FALSE)),""))</f>
        <v>0</v>
      </c>
      <c r="J309" s="226">
        <f>(IF((VLOOKUP(Table10[[#This Row],[SKU]],'All Skus'!$A:$AC,2,FALSE))="Martin",(VLOOKUP(Table10[[#This Row],[SKU]],'All Skus'!$A:$AC,11,FALSE)),""))</f>
        <v>0</v>
      </c>
      <c r="K309" s="224">
        <f>(IF((VLOOKUP(Table10[[#This Row],[SKU]],'All Skus'!$A:$AC,2,FALSE))="Martin",(VLOOKUP(Table10[[#This Row],[SKU]],'All Skus'!$A:$AC,15,FALSE)),""))</f>
        <v>0</v>
      </c>
      <c r="L309" s="224">
        <f>(IF((VLOOKUP(Table10[[#This Row],[SKU]],'All Skus'!$A:$AC,2,FALSE))="Martin",(VLOOKUP(Table10[[#This Row],[SKU]],'All Skus'!$A:$AC,16,FALSE)),""))</f>
        <v>0</v>
      </c>
      <c r="M309" s="224">
        <f>(IF((VLOOKUP(Table10[[#This Row],[SKU]],'All Skus'!$A:$AC,2,FALSE))="Martin",(VLOOKUP(Table10[[#This Row],[SKU]],'All Skus'!$A:$AC,17,FALSE)),""))</f>
        <v>0</v>
      </c>
      <c r="N309" s="227">
        <f>(IF((VLOOKUP(Table10[[#This Row],[SKU]],'All Skus'!$A:$AC,2,FALSE))="Martin",(VLOOKUP(Table10[[#This Row],[SKU]],'All Skus'!$A:$AC,18,FALSE)),""))</f>
        <v>0</v>
      </c>
      <c r="O309" s="227">
        <f>(IF((VLOOKUP(Table10[[#This Row],[SKU]],'All Skus'!$A:$AC,2,FALSE))="Martin",(VLOOKUP(Table10[[#This Row],[SKU]],'All Skus'!$A:$AC,19,FALSE)),""))</f>
        <v>0</v>
      </c>
      <c r="P309" s="227">
        <f>(IF((VLOOKUP(Table10[[#This Row],[SKU]],'All Skus'!$A:$AC,2,FALSE))="Martin",(VLOOKUP(Table10[[#This Row],[SKU]],'All Skus'!$A:$AC,20,FALSE)),""))</f>
        <v>0</v>
      </c>
      <c r="Q309" s="227">
        <f>(IF((VLOOKUP(Table10[[#This Row],[SKU]],'All Skus'!$A:$AC,2,FALSE))="Martin",(VLOOKUP(Table10[[#This Row],[SKU]],'All Skus'!$A:$AC,21,FALSE)),""))</f>
        <v>0</v>
      </c>
      <c r="R309" s="224">
        <f>(IF((VLOOKUP(Table10[[#This Row],[SKU]],'All Skus'!$A:$AC,2,FALSE))="Martin",(VLOOKUP(Table10[[#This Row],[SKU]],'All Skus'!$A:$AC,22,FALSE)),""))</f>
        <v>0</v>
      </c>
      <c r="S309" s="223">
        <f>(IF((VLOOKUP(Table10[[#This Row],[SKU]],'All Skus'!$A:$AC,2,FALSE))="Martin",(VLOOKUP(Table10[[#This Row],[SKU]],'All Skus'!$A:$AC,23,FALSE)),""))</f>
        <v>0</v>
      </c>
      <c r="T309" s="212" t="str">
        <f>HYPERLINK((IF((VLOOKUP(Table10[[#This Row],[SKU]],'All Skus'!$A:$AC,2,FALSE))="Martin",(VLOOKUP(Table10[[#This Row],[SKU]],'All Skus'!$A:$AC,24,FALSE)),"")))</f>
        <v/>
      </c>
      <c r="U309" s="228">
        <v>307</v>
      </c>
    </row>
    <row r="310" spans="1:21" hidden="1">
      <c r="A310" s="112">
        <v>91611850</v>
      </c>
      <c r="B310" s="224" t="str">
        <f>(IF((VLOOKUP(Table10[[#This Row],[SKU]],'All Skus'!$A:$AC,2,FALSE))="Martin",(VLOOKUP(Table10[[#This Row],[SKU]],'All Skus'!$A:$AC,3,FALSE)),""))</f>
        <v>Linear</v>
      </c>
      <c r="C310" s="223" t="str">
        <f>(IF((VLOOKUP(Table10[[#This Row],[SKU]],'All Skus'!$A:$AC,2,FALSE))="Martin",(VLOOKUP(Table10[[#This Row],[SKU]],'All Skus'!$A:$AC,4,FALSE)),""))</f>
        <v>Exterior Linear 310/1210 QUAD Graze Louvre, set of 4</v>
      </c>
      <c r="D310" s="224" t="str">
        <f>(IF((VLOOKUP(Table10[[#This Row],[SKU]],'All Skus'!$A:$AC,2,FALSE))="Martin",(VLOOKUP(Table10[[#This Row],[SKU]],'All Skus'!$A:$AC,5,FALSE)),""))</f>
        <v>EXT-LIN</v>
      </c>
      <c r="E310" s="223">
        <f>(IF((VLOOKUP(Table10[[#This Row],[SKU]],'All Skus'!$A:$AC,2,FALSE))="Martin",(VLOOKUP(Table10[[#This Row],[SKU]],'All Skus'!$A:$AC,6,FALSE)),""))</f>
        <v>0</v>
      </c>
      <c r="F310" s="155" t="str">
        <f>(IF((VLOOKUP(Table10[[#This Row],[SKU]],'All Skus'!$A:$AC,2,FALSE))="Martin",(VLOOKUP(Table10[[#This Row],[SKU]],'All Skus'!$A:$AC,7,FALSE)),""))</f>
        <v>EOL pre-notice - not recommend to specify for 2025 projects - please specify Exterior Linear Pro</v>
      </c>
      <c r="G310" s="223" t="str">
        <f>(IF((VLOOKUP(Table10[[#This Row],[SKU]],'All Skus'!$A:$AC,2,FALSE))="Martin",(VLOOKUP(Table10[[#This Row],[SKU]],'All Skus'!$A:$AC,8,FALSE)),""))</f>
        <v>Exterior Linear 310/1210 QUAD Graze Louvre, set of 4</v>
      </c>
      <c r="H310" s="223" t="str">
        <f>(IF((VLOOKUP(Table10[[#This Row],[SKU]],'All Skus'!$A:$AC,2,FALSE))="Martin",(VLOOKUP(Table10[[#This Row],[SKU]],'All Skus'!$A:$AC,9,FALSE)),""))</f>
        <v>Exterior Linear 310/1210 QUAD Graze Louvre, set of 4</v>
      </c>
      <c r="I310" s="225">
        <f>(IF((VLOOKUP(Table10[[#This Row],[SKU]],'All Skus'!$A:$AC,2,FALSE))="Martin",(VLOOKUP(Table10[[#This Row],[SKU]],'All Skus'!$A:$AC,10,FALSE)),""))</f>
        <v>234.61</v>
      </c>
      <c r="J310" s="226">
        <f>(IF((VLOOKUP(Table10[[#This Row],[SKU]],'All Skus'!$A:$AC,2,FALSE))="Martin",(VLOOKUP(Table10[[#This Row],[SKU]],'All Skus'!$A:$AC,11,FALSE)),""))</f>
        <v>234.61</v>
      </c>
      <c r="K310" s="224">
        <f>(IF((VLOOKUP(Table10[[#This Row],[SKU]],'All Skus'!$A:$AC,2,FALSE))="Martin",(VLOOKUP(Table10[[#This Row],[SKU]],'All Skus'!$A:$AC,15,FALSE)),""))</f>
        <v>0</v>
      </c>
      <c r="L310" s="224">
        <f>(IF((VLOOKUP(Table10[[#This Row],[SKU]],'All Skus'!$A:$AC,2,FALSE))="Martin",(VLOOKUP(Table10[[#This Row],[SKU]],'All Skus'!$A:$AC,16,FALSE)),""))</f>
        <v>688705001937</v>
      </c>
      <c r="M310" s="224">
        <f>(IF((VLOOKUP(Table10[[#This Row],[SKU]],'All Skus'!$A:$AC,2,FALSE))="Martin",(VLOOKUP(Table10[[#This Row],[SKU]],'All Skus'!$A:$AC,17,FALSE)),""))</f>
        <v>0</v>
      </c>
      <c r="N310" s="227">
        <f>(IF((VLOOKUP(Table10[[#This Row],[SKU]],'All Skus'!$A:$AC,2,FALSE))="Martin",(VLOOKUP(Table10[[#This Row],[SKU]],'All Skus'!$A:$AC,18,FALSE)),""))</f>
        <v>0</v>
      </c>
      <c r="O310" s="227">
        <f>(IF((VLOOKUP(Table10[[#This Row],[SKU]],'All Skus'!$A:$AC,2,FALSE))="Martin",(VLOOKUP(Table10[[#This Row],[SKU]],'All Skus'!$A:$AC,19,FALSE)),""))</f>
        <v>0</v>
      </c>
      <c r="P310" s="227">
        <f>(IF((VLOOKUP(Table10[[#This Row],[SKU]],'All Skus'!$A:$AC,2,FALSE))="Martin",(VLOOKUP(Table10[[#This Row],[SKU]],'All Skus'!$A:$AC,20,FALSE)),""))</f>
        <v>0</v>
      </c>
      <c r="Q310" s="227">
        <f>(IF((VLOOKUP(Table10[[#This Row],[SKU]],'All Skus'!$A:$AC,2,FALSE))="Martin",(VLOOKUP(Table10[[#This Row],[SKU]],'All Skus'!$A:$AC,21,FALSE)),""))</f>
        <v>0</v>
      </c>
      <c r="R310" s="224" t="str">
        <f>(IF((VLOOKUP(Table10[[#This Row],[SKU]],'All Skus'!$A:$AC,2,FALSE))="Martin",(VLOOKUP(Table10[[#This Row],[SKU]],'All Skus'!$A:$AC,22,FALSE)),""))</f>
        <v>CN</v>
      </c>
      <c r="S310" s="223" t="str">
        <f>(IF((VLOOKUP(Table10[[#This Row],[SKU]],'All Skus'!$A:$AC,2,FALSE))="Martin",(VLOOKUP(Table10[[#This Row],[SKU]],'All Skus'!$A:$AC,23,FALSE)),""))</f>
        <v>Non Compliant</v>
      </c>
      <c r="T310" s="212" t="str">
        <f>HYPERLINK((IF((VLOOKUP(Table10[[#This Row],[SKU]],'All Skus'!$A:$AC,2,FALSE))="Martin",(VLOOKUP(Table10[[#This Row],[SKU]],'All Skus'!$A:$AC,24,FALSE)),"")))</f>
        <v>https://www.martin.com/en/products/exterior-linear-rgbw-graze</v>
      </c>
      <c r="U310" s="228">
        <v>308</v>
      </c>
    </row>
    <row r="311" spans="1:21" hidden="1">
      <c r="A311" s="115" t="s">
        <v>2102</v>
      </c>
      <c r="B311" s="224">
        <f>(IF((VLOOKUP(Table10[[#This Row],[SKU]],'All Skus'!$A:$AC,2,FALSE))="Martin",(VLOOKUP(Table10[[#This Row],[SKU]],'All Skus'!$A:$AC,3,FALSE)),""))</f>
        <v>0</v>
      </c>
      <c r="C311" s="223">
        <f>(IF((VLOOKUP(Table10[[#This Row],[SKU]],'All Skus'!$A:$AC,2,FALSE))="Martin",(VLOOKUP(Table10[[#This Row],[SKU]],'All Skus'!$A:$AC,4,FALSE)),""))</f>
        <v>0</v>
      </c>
      <c r="D311" s="224">
        <f>(IF((VLOOKUP(Table10[[#This Row],[SKU]],'All Skus'!$A:$AC,2,FALSE))="Martin",(VLOOKUP(Table10[[#This Row],[SKU]],'All Skus'!$A:$AC,5,FALSE)),""))</f>
        <v>0</v>
      </c>
      <c r="E311" s="223">
        <f>(IF((VLOOKUP(Table10[[#This Row],[SKU]],'All Skus'!$A:$AC,2,FALSE))="Martin",(VLOOKUP(Table10[[#This Row],[SKU]],'All Skus'!$A:$AC,6,FALSE)),""))</f>
        <v>0</v>
      </c>
      <c r="F311" s="155">
        <f>(IF((VLOOKUP(Table10[[#This Row],[SKU]],'All Skus'!$A:$AC,2,FALSE))="Martin",(VLOOKUP(Table10[[#This Row],[SKU]],'All Skus'!$A:$AC,7,FALSE)),""))</f>
        <v>0</v>
      </c>
      <c r="G311" s="223">
        <f>(IF((VLOOKUP(Table10[[#This Row],[SKU]],'All Skus'!$A:$AC,2,FALSE))="Martin",(VLOOKUP(Table10[[#This Row],[SKU]],'All Skus'!$A:$AC,8,FALSE)),""))</f>
        <v>0</v>
      </c>
      <c r="H311" s="223">
        <f>(IF((VLOOKUP(Table10[[#This Row],[SKU]],'All Skus'!$A:$AC,2,FALSE))="Martin",(VLOOKUP(Table10[[#This Row],[SKU]],'All Skus'!$A:$AC,9,FALSE)),""))</f>
        <v>0</v>
      </c>
      <c r="I311" s="225">
        <f>(IF((VLOOKUP(Table10[[#This Row],[SKU]],'All Skus'!$A:$AC,2,FALSE))="Martin",(VLOOKUP(Table10[[#This Row],[SKU]],'All Skus'!$A:$AC,10,FALSE)),""))</f>
        <v>0</v>
      </c>
      <c r="J311" s="226">
        <f>(IF((VLOOKUP(Table10[[#This Row],[SKU]],'All Skus'!$A:$AC,2,FALSE))="Martin",(VLOOKUP(Table10[[#This Row],[SKU]],'All Skus'!$A:$AC,11,FALSE)),""))</f>
        <v>0</v>
      </c>
      <c r="K311" s="224">
        <f>(IF((VLOOKUP(Table10[[#This Row],[SKU]],'All Skus'!$A:$AC,2,FALSE))="Martin",(VLOOKUP(Table10[[#This Row],[SKU]],'All Skus'!$A:$AC,15,FALSE)),""))</f>
        <v>0</v>
      </c>
      <c r="L311" s="224">
        <f>(IF((VLOOKUP(Table10[[#This Row],[SKU]],'All Skus'!$A:$AC,2,FALSE))="Martin",(VLOOKUP(Table10[[#This Row],[SKU]],'All Skus'!$A:$AC,16,FALSE)),""))</f>
        <v>0</v>
      </c>
      <c r="M311" s="224">
        <f>(IF((VLOOKUP(Table10[[#This Row],[SKU]],'All Skus'!$A:$AC,2,FALSE))="Martin",(VLOOKUP(Table10[[#This Row],[SKU]],'All Skus'!$A:$AC,17,FALSE)),""))</f>
        <v>0</v>
      </c>
      <c r="N311" s="227">
        <f>(IF((VLOOKUP(Table10[[#This Row],[SKU]],'All Skus'!$A:$AC,2,FALSE))="Martin",(VLOOKUP(Table10[[#This Row],[SKU]],'All Skus'!$A:$AC,18,FALSE)),""))</f>
        <v>0</v>
      </c>
      <c r="O311" s="227">
        <f>(IF((VLOOKUP(Table10[[#This Row],[SKU]],'All Skus'!$A:$AC,2,FALSE))="Martin",(VLOOKUP(Table10[[#This Row],[SKU]],'All Skus'!$A:$AC,19,FALSE)),""))</f>
        <v>0</v>
      </c>
      <c r="P311" s="227">
        <f>(IF((VLOOKUP(Table10[[#This Row],[SKU]],'All Skus'!$A:$AC,2,FALSE))="Martin",(VLOOKUP(Table10[[#This Row],[SKU]],'All Skus'!$A:$AC,20,FALSE)),""))</f>
        <v>0</v>
      </c>
      <c r="Q311" s="227">
        <f>(IF((VLOOKUP(Table10[[#This Row],[SKU]],'All Skus'!$A:$AC,2,FALSE))="Martin",(VLOOKUP(Table10[[#This Row],[SKU]],'All Skus'!$A:$AC,21,FALSE)),""))</f>
        <v>0</v>
      </c>
      <c r="R311" s="224">
        <f>(IF((VLOOKUP(Table10[[#This Row],[SKU]],'All Skus'!$A:$AC,2,FALSE))="Martin",(VLOOKUP(Table10[[#This Row],[SKU]],'All Skus'!$A:$AC,22,FALSE)),""))</f>
        <v>0</v>
      </c>
      <c r="S311" s="223">
        <f>(IF((VLOOKUP(Table10[[#This Row],[SKU]],'All Skus'!$A:$AC,2,FALSE))="Martin",(VLOOKUP(Table10[[#This Row],[SKU]],'All Skus'!$A:$AC,23,FALSE)),""))</f>
        <v>0</v>
      </c>
      <c r="T311" s="212" t="str">
        <f>HYPERLINK((IF((VLOOKUP(Table10[[#This Row],[SKU]],'All Skus'!$A:$AC,2,FALSE))="Martin",(VLOOKUP(Table10[[#This Row],[SKU]],'All Skus'!$A:$AC,24,FALSE)),"")))</f>
        <v/>
      </c>
      <c r="U311" s="228">
        <v>309</v>
      </c>
    </row>
    <row r="312" spans="1:21" hidden="1">
      <c r="A312" s="112">
        <v>91611754</v>
      </c>
      <c r="B312" s="224" t="str">
        <f>(IF((VLOOKUP(Table10[[#This Row],[SKU]],'All Skus'!$A:$AC,2,FALSE))="Martin",(VLOOKUP(Table10[[#This Row],[SKU]],'All Skus'!$A:$AC,3,FALSE)),""))</f>
        <v>Linear</v>
      </c>
      <c r="C312" s="223" t="str">
        <f>(IF((VLOOKUP(Table10[[#This Row],[SKU]],'All Skus'!$A:$AC,2,FALSE))="Martin",(VLOOKUP(Table10[[#This Row],[SKU]],'All Skus'!$A:$AC,4,FALSE)),""))</f>
        <v xml:space="preserve">Leader cable, 2m, EU </v>
      </c>
      <c r="D312" s="224" t="str">
        <f>(IF((VLOOKUP(Table10[[#This Row],[SKU]],'All Skus'!$A:$AC,2,FALSE))="Martin",(VLOOKUP(Table10[[#This Row],[SKU]],'All Skus'!$A:$AC,5,FALSE)),""))</f>
        <v>EXT-LIN</v>
      </c>
      <c r="E312" s="223">
        <f>(IF((VLOOKUP(Table10[[#This Row],[SKU]],'All Skus'!$A:$AC,2,FALSE))="Martin",(VLOOKUP(Table10[[#This Row],[SKU]],'All Skus'!$A:$AC,6,FALSE)),""))</f>
        <v>0</v>
      </c>
      <c r="F312" s="155" t="str">
        <f>(IF((VLOOKUP(Table10[[#This Row],[SKU]],'All Skus'!$A:$AC,2,FALSE))="Martin",(VLOOKUP(Table10[[#This Row],[SKU]],'All Skus'!$A:$AC,7,FALSE)),""))</f>
        <v>EOL pre-notice - not recommend to specify for 2025 projects - please specify Exterior Linear Pro</v>
      </c>
      <c r="G312" s="223" t="str">
        <f>(IF((VLOOKUP(Table10[[#This Row],[SKU]],'All Skus'!$A:$AC,2,FALSE))="Martin",(VLOOKUP(Table10[[#This Row],[SKU]],'All Skus'!$A:$AC,8,FALSE)),""))</f>
        <v xml:space="preserve">Leader cable, 2m, EU </v>
      </c>
      <c r="H312" s="223" t="str">
        <f>(IF((VLOOKUP(Table10[[#This Row],[SKU]],'All Skus'!$A:$AC,2,FALSE))="Martin",(VLOOKUP(Table10[[#This Row],[SKU]],'All Skus'!$A:$AC,9,FALSE)),""))</f>
        <v xml:space="preserve">Leader cable, 2m, EU </v>
      </c>
      <c r="I312" s="225">
        <f>(IF((VLOOKUP(Table10[[#This Row],[SKU]],'All Skus'!$A:$AC,2,FALSE))="Martin",(VLOOKUP(Table10[[#This Row],[SKU]],'All Skus'!$A:$AC,10,FALSE)),""))</f>
        <v>54.33</v>
      </c>
      <c r="J312" s="226">
        <f>(IF((VLOOKUP(Table10[[#This Row],[SKU]],'All Skus'!$A:$AC,2,FALSE))="Martin",(VLOOKUP(Table10[[#This Row],[SKU]],'All Skus'!$A:$AC,11,FALSE)),""))</f>
        <v>54.33</v>
      </c>
      <c r="K312" s="224">
        <f>(IF((VLOOKUP(Table10[[#This Row],[SKU]],'All Skus'!$A:$AC,2,FALSE))="Martin",(VLOOKUP(Table10[[#This Row],[SKU]],'All Skus'!$A:$AC,15,FALSE)),""))</f>
        <v>0</v>
      </c>
      <c r="L312" s="224">
        <f>(IF((VLOOKUP(Table10[[#This Row],[SKU]],'All Skus'!$A:$AC,2,FALSE))="Martin",(VLOOKUP(Table10[[#This Row],[SKU]],'All Skus'!$A:$AC,16,FALSE)),""))</f>
        <v>0</v>
      </c>
      <c r="M312" s="224">
        <f>(IF((VLOOKUP(Table10[[#This Row],[SKU]],'All Skus'!$A:$AC,2,FALSE))="Martin",(VLOOKUP(Table10[[#This Row],[SKU]],'All Skus'!$A:$AC,17,FALSE)),""))</f>
        <v>0</v>
      </c>
      <c r="N312" s="227">
        <f>(IF((VLOOKUP(Table10[[#This Row],[SKU]],'All Skus'!$A:$AC,2,FALSE))="Martin",(VLOOKUP(Table10[[#This Row],[SKU]],'All Skus'!$A:$AC,18,FALSE)),""))</f>
        <v>0</v>
      </c>
      <c r="O312" s="227">
        <f>(IF((VLOOKUP(Table10[[#This Row],[SKU]],'All Skus'!$A:$AC,2,FALSE))="Martin",(VLOOKUP(Table10[[#This Row],[SKU]],'All Skus'!$A:$AC,19,FALSE)),""))</f>
        <v>0</v>
      </c>
      <c r="P312" s="227">
        <f>(IF((VLOOKUP(Table10[[#This Row],[SKU]],'All Skus'!$A:$AC,2,FALSE))="Martin",(VLOOKUP(Table10[[#This Row],[SKU]],'All Skus'!$A:$AC,20,FALSE)),""))</f>
        <v>0</v>
      </c>
      <c r="Q312" s="227">
        <f>(IF((VLOOKUP(Table10[[#This Row],[SKU]],'All Skus'!$A:$AC,2,FALSE))="Martin",(VLOOKUP(Table10[[#This Row],[SKU]],'All Skus'!$A:$AC,21,FALSE)),""))</f>
        <v>0</v>
      </c>
      <c r="R312" s="224" t="str">
        <f>(IF((VLOOKUP(Table10[[#This Row],[SKU]],'All Skus'!$A:$AC,2,FALSE))="Martin",(VLOOKUP(Table10[[#This Row],[SKU]],'All Skus'!$A:$AC,22,FALSE)),""))</f>
        <v>CN</v>
      </c>
      <c r="S312" s="223" t="str">
        <f>(IF((VLOOKUP(Table10[[#This Row],[SKU]],'All Skus'!$A:$AC,2,FALSE))="Martin",(VLOOKUP(Table10[[#This Row],[SKU]],'All Skus'!$A:$AC,23,FALSE)),""))</f>
        <v>Non Compliant</v>
      </c>
      <c r="T312" s="212" t="str">
        <f>HYPERLINK((IF((VLOOKUP(Table10[[#This Row],[SKU]],'All Skus'!$A:$AC,2,FALSE))="Martin",(VLOOKUP(Table10[[#This Row],[SKU]],'All Skus'!$A:$AC,24,FALSE)),"")))</f>
        <v>http://www.martin.com/en-us/product-details/exterior-linear-cove-series</v>
      </c>
      <c r="U312" s="228">
        <v>310</v>
      </c>
    </row>
    <row r="313" spans="1:21" hidden="1">
      <c r="A313" s="112">
        <v>91611755</v>
      </c>
      <c r="B313" s="224" t="str">
        <f>(IF((VLOOKUP(Table10[[#This Row],[SKU]],'All Skus'!$A:$AC,2,FALSE))="Martin",(VLOOKUP(Table10[[#This Row],[SKU]],'All Skus'!$A:$AC,3,FALSE)),""))</f>
        <v>Linear</v>
      </c>
      <c r="C313" s="223" t="str">
        <f>(IF((VLOOKUP(Table10[[#This Row],[SKU]],'All Skus'!$A:$AC,2,FALSE))="Martin",(VLOOKUP(Table10[[#This Row],[SKU]],'All Skus'!$A:$AC,4,FALSE)),""))</f>
        <v xml:space="preserve">Leader cable, 2m, US </v>
      </c>
      <c r="D313" s="224" t="str">
        <f>(IF((VLOOKUP(Table10[[#This Row],[SKU]],'All Skus'!$A:$AC,2,FALSE))="Martin",(VLOOKUP(Table10[[#This Row],[SKU]],'All Skus'!$A:$AC,5,FALSE)),""))</f>
        <v>EXT-LIN</v>
      </c>
      <c r="E313" s="223">
        <f>(IF((VLOOKUP(Table10[[#This Row],[SKU]],'All Skus'!$A:$AC,2,FALSE))="Martin",(VLOOKUP(Table10[[#This Row],[SKU]],'All Skus'!$A:$AC,6,FALSE)),""))</f>
        <v>0</v>
      </c>
      <c r="F313" s="155" t="str">
        <f>(IF((VLOOKUP(Table10[[#This Row],[SKU]],'All Skus'!$A:$AC,2,FALSE))="Martin",(VLOOKUP(Table10[[#This Row],[SKU]],'All Skus'!$A:$AC,7,FALSE)),""))</f>
        <v>EOL pre-notice - not recommend to specify for 2025 projects - please specify Exterior Linear Pro</v>
      </c>
      <c r="G313" s="223" t="str">
        <f>(IF((VLOOKUP(Table10[[#This Row],[SKU]],'All Skus'!$A:$AC,2,FALSE))="Martin",(VLOOKUP(Table10[[#This Row],[SKU]],'All Skus'!$A:$AC,8,FALSE)),""))</f>
        <v xml:space="preserve">Leader cable, 2m, US </v>
      </c>
      <c r="H313" s="223" t="str">
        <f>(IF((VLOOKUP(Table10[[#This Row],[SKU]],'All Skus'!$A:$AC,2,FALSE))="Martin",(VLOOKUP(Table10[[#This Row],[SKU]],'All Skus'!$A:$AC,9,FALSE)),""))</f>
        <v xml:space="preserve">Leader cable, 2m, US </v>
      </c>
      <c r="I313" s="225">
        <f>(IF((VLOOKUP(Table10[[#This Row],[SKU]],'All Skus'!$A:$AC,2,FALSE))="Martin",(VLOOKUP(Table10[[#This Row],[SKU]],'All Skus'!$A:$AC,10,FALSE)),""))</f>
        <v>54.33</v>
      </c>
      <c r="J313" s="226">
        <f>(IF((VLOOKUP(Table10[[#This Row],[SKU]],'All Skus'!$A:$AC,2,FALSE))="Martin",(VLOOKUP(Table10[[#This Row],[SKU]],'All Skus'!$A:$AC,11,FALSE)),""))</f>
        <v>54.33</v>
      </c>
      <c r="K313" s="224">
        <f>(IF((VLOOKUP(Table10[[#This Row],[SKU]],'All Skus'!$A:$AC,2,FALSE))="Martin",(VLOOKUP(Table10[[#This Row],[SKU]],'All Skus'!$A:$AC,15,FALSE)),""))</f>
        <v>0</v>
      </c>
      <c r="L313" s="224">
        <f>(IF((VLOOKUP(Table10[[#This Row],[SKU]],'All Skus'!$A:$AC,2,FALSE))="Martin",(VLOOKUP(Table10[[#This Row],[SKU]],'All Skus'!$A:$AC,16,FALSE)),""))</f>
        <v>0</v>
      </c>
      <c r="M313" s="224">
        <f>(IF((VLOOKUP(Table10[[#This Row],[SKU]],'All Skus'!$A:$AC,2,FALSE))="Martin",(VLOOKUP(Table10[[#This Row],[SKU]],'All Skus'!$A:$AC,17,FALSE)),""))</f>
        <v>0</v>
      </c>
      <c r="N313" s="227">
        <f>(IF((VLOOKUP(Table10[[#This Row],[SKU]],'All Skus'!$A:$AC,2,FALSE))="Martin",(VLOOKUP(Table10[[#This Row],[SKU]],'All Skus'!$A:$AC,18,FALSE)),""))</f>
        <v>0</v>
      </c>
      <c r="O313" s="227">
        <f>(IF((VLOOKUP(Table10[[#This Row],[SKU]],'All Skus'!$A:$AC,2,FALSE))="Martin",(VLOOKUP(Table10[[#This Row],[SKU]],'All Skus'!$A:$AC,19,FALSE)),""))</f>
        <v>0</v>
      </c>
      <c r="P313" s="227">
        <f>(IF((VLOOKUP(Table10[[#This Row],[SKU]],'All Skus'!$A:$AC,2,FALSE))="Martin",(VLOOKUP(Table10[[#This Row],[SKU]],'All Skus'!$A:$AC,20,FALSE)),""))</f>
        <v>0</v>
      </c>
      <c r="Q313" s="227">
        <f>(IF((VLOOKUP(Table10[[#This Row],[SKU]],'All Skus'!$A:$AC,2,FALSE))="Martin",(VLOOKUP(Table10[[#This Row],[SKU]],'All Skus'!$A:$AC,21,FALSE)),""))</f>
        <v>0</v>
      </c>
      <c r="R313" s="224" t="str">
        <f>(IF((VLOOKUP(Table10[[#This Row],[SKU]],'All Skus'!$A:$AC,2,FALSE))="Martin",(VLOOKUP(Table10[[#This Row],[SKU]],'All Skus'!$A:$AC,22,FALSE)),""))</f>
        <v>CN</v>
      </c>
      <c r="S313" s="223" t="str">
        <f>(IF((VLOOKUP(Table10[[#This Row],[SKU]],'All Skus'!$A:$AC,2,FALSE))="Martin",(VLOOKUP(Table10[[#This Row],[SKU]],'All Skus'!$A:$AC,23,FALSE)),""))</f>
        <v>Non Compliant</v>
      </c>
      <c r="T313" s="212" t="str">
        <f>HYPERLINK((IF((VLOOKUP(Table10[[#This Row],[SKU]],'All Skus'!$A:$AC,2,FALSE))="Martin",(VLOOKUP(Table10[[#This Row],[SKU]],'All Skus'!$A:$AC,24,FALSE)),"")))</f>
        <v>http://www.martin.com/en-us/product-details/exterior-linear-cove-series</v>
      </c>
      <c r="U313" s="228">
        <v>311</v>
      </c>
    </row>
    <row r="314" spans="1:21" hidden="1">
      <c r="A314" s="112">
        <v>91611156</v>
      </c>
      <c r="B314" s="224" t="str">
        <f>(IF((VLOOKUP(Table10[[#This Row],[SKU]],'All Skus'!$A:$AC,2,FALSE))="Martin",(VLOOKUP(Table10[[#This Row],[SKU]],'All Skus'!$A:$AC,3,FALSE)),""))</f>
        <v>Linear</v>
      </c>
      <c r="C314" s="223" t="str">
        <f>(IF((VLOOKUP(Table10[[#This Row],[SKU]],'All Skus'!$A:$AC,2,FALSE))="Martin",(VLOOKUP(Table10[[#This Row],[SKU]],'All Skus'!$A:$AC,4,FALSE)),""))</f>
        <v xml:space="preserve">Leader cable, 10m, EU </v>
      </c>
      <c r="D314" s="224" t="str">
        <f>(IF((VLOOKUP(Table10[[#This Row],[SKU]],'All Skus'!$A:$AC,2,FALSE))="Martin",(VLOOKUP(Table10[[#This Row],[SKU]],'All Skus'!$A:$AC,5,FALSE)),""))</f>
        <v>EXT-LIN</v>
      </c>
      <c r="E314" s="223">
        <f>(IF((VLOOKUP(Table10[[#This Row],[SKU]],'All Skus'!$A:$AC,2,FALSE))="Martin",(VLOOKUP(Table10[[#This Row],[SKU]],'All Skus'!$A:$AC,6,FALSE)),""))</f>
        <v>0</v>
      </c>
      <c r="F314" s="155" t="str">
        <f>(IF((VLOOKUP(Table10[[#This Row],[SKU]],'All Skus'!$A:$AC,2,FALSE))="Martin",(VLOOKUP(Table10[[#This Row],[SKU]],'All Skus'!$A:$AC,7,FALSE)),""))</f>
        <v>EOL pre-notice - not recommend to specify for 2025 projects - please specify Exterior Linear Pro</v>
      </c>
      <c r="G314" s="223" t="str">
        <f>(IF((VLOOKUP(Table10[[#This Row],[SKU]],'All Skus'!$A:$AC,2,FALSE))="Martin",(VLOOKUP(Table10[[#This Row],[SKU]],'All Skus'!$A:$AC,8,FALSE)),""))</f>
        <v xml:space="preserve">Leader cable, 10m, EU </v>
      </c>
      <c r="H314" s="223" t="str">
        <f>(IF((VLOOKUP(Table10[[#This Row],[SKU]],'All Skus'!$A:$AC,2,FALSE))="Martin",(VLOOKUP(Table10[[#This Row],[SKU]],'All Skus'!$A:$AC,9,FALSE)),""))</f>
        <v xml:space="preserve">Leader cable, 10m, EU </v>
      </c>
      <c r="I314" s="225">
        <f>(IF((VLOOKUP(Table10[[#This Row],[SKU]],'All Skus'!$A:$AC,2,FALSE))="Martin",(VLOOKUP(Table10[[#This Row],[SKU]],'All Skus'!$A:$AC,10,FALSE)),""))</f>
        <v>179.04</v>
      </c>
      <c r="J314" s="226">
        <f>(IF((VLOOKUP(Table10[[#This Row],[SKU]],'All Skus'!$A:$AC,2,FALSE))="Martin",(VLOOKUP(Table10[[#This Row],[SKU]],'All Skus'!$A:$AC,11,FALSE)),""))</f>
        <v>179.04</v>
      </c>
      <c r="K314" s="224">
        <f>(IF((VLOOKUP(Table10[[#This Row],[SKU]],'All Skus'!$A:$AC,2,FALSE))="Martin",(VLOOKUP(Table10[[#This Row],[SKU]],'All Skus'!$A:$AC,15,FALSE)),""))</f>
        <v>0</v>
      </c>
      <c r="L314" s="224">
        <f>(IF((VLOOKUP(Table10[[#This Row],[SKU]],'All Skus'!$A:$AC,2,FALSE))="Martin",(VLOOKUP(Table10[[#This Row],[SKU]],'All Skus'!$A:$AC,16,FALSE)),""))</f>
        <v>0</v>
      </c>
      <c r="M314" s="224">
        <f>(IF((VLOOKUP(Table10[[#This Row],[SKU]],'All Skus'!$A:$AC,2,FALSE))="Martin",(VLOOKUP(Table10[[#This Row],[SKU]],'All Skus'!$A:$AC,17,FALSE)),""))</f>
        <v>0</v>
      </c>
      <c r="N314" s="227">
        <f>(IF((VLOOKUP(Table10[[#This Row],[SKU]],'All Skus'!$A:$AC,2,FALSE))="Martin",(VLOOKUP(Table10[[#This Row],[SKU]],'All Skus'!$A:$AC,18,FALSE)),""))</f>
        <v>0</v>
      </c>
      <c r="O314" s="227">
        <f>(IF((VLOOKUP(Table10[[#This Row],[SKU]],'All Skus'!$A:$AC,2,FALSE))="Martin",(VLOOKUP(Table10[[#This Row],[SKU]],'All Skus'!$A:$AC,19,FALSE)),""))</f>
        <v>0</v>
      </c>
      <c r="P314" s="227">
        <f>(IF((VLOOKUP(Table10[[#This Row],[SKU]],'All Skus'!$A:$AC,2,FALSE))="Martin",(VLOOKUP(Table10[[#This Row],[SKU]],'All Skus'!$A:$AC,20,FALSE)),""))</f>
        <v>0</v>
      </c>
      <c r="Q314" s="227">
        <f>(IF((VLOOKUP(Table10[[#This Row],[SKU]],'All Skus'!$A:$AC,2,FALSE))="Martin",(VLOOKUP(Table10[[#This Row],[SKU]],'All Skus'!$A:$AC,21,FALSE)),""))</f>
        <v>0</v>
      </c>
      <c r="R314" s="224" t="str">
        <f>(IF((VLOOKUP(Table10[[#This Row],[SKU]],'All Skus'!$A:$AC,2,FALSE))="Martin",(VLOOKUP(Table10[[#This Row],[SKU]],'All Skus'!$A:$AC,22,FALSE)),""))</f>
        <v>CN</v>
      </c>
      <c r="S314" s="223" t="str">
        <f>(IF((VLOOKUP(Table10[[#This Row],[SKU]],'All Skus'!$A:$AC,2,FALSE))="Martin",(VLOOKUP(Table10[[#This Row],[SKU]],'All Skus'!$A:$AC,23,FALSE)),""))</f>
        <v>Non Compliant</v>
      </c>
      <c r="T314" s="212" t="str">
        <f>HYPERLINK((IF((VLOOKUP(Table10[[#This Row],[SKU]],'All Skus'!$A:$AC,2,FALSE))="Martin",(VLOOKUP(Table10[[#This Row],[SKU]],'All Skus'!$A:$AC,24,FALSE)),"")))</f>
        <v>http://www.martin.com/en-us/product-details/exterior-linear-cove-series</v>
      </c>
      <c r="U314" s="228">
        <v>312</v>
      </c>
    </row>
    <row r="315" spans="1:21" hidden="1">
      <c r="A315" s="112">
        <v>91611157</v>
      </c>
      <c r="B315" s="224" t="str">
        <f>(IF((VLOOKUP(Table10[[#This Row],[SKU]],'All Skus'!$A:$AC,2,FALSE))="Martin",(VLOOKUP(Table10[[#This Row],[SKU]],'All Skus'!$A:$AC,3,FALSE)),""))</f>
        <v>Linear</v>
      </c>
      <c r="C315" s="223" t="str">
        <f>(IF((VLOOKUP(Table10[[#This Row],[SKU]],'All Skus'!$A:$AC,2,FALSE))="Martin",(VLOOKUP(Table10[[#This Row],[SKU]],'All Skus'!$A:$AC,4,FALSE)),""))</f>
        <v xml:space="preserve">Leader cable, 10m, US </v>
      </c>
      <c r="D315" s="224" t="str">
        <f>(IF((VLOOKUP(Table10[[#This Row],[SKU]],'All Skus'!$A:$AC,2,FALSE))="Martin",(VLOOKUP(Table10[[#This Row],[SKU]],'All Skus'!$A:$AC,5,FALSE)),""))</f>
        <v>EXT-LIN</v>
      </c>
      <c r="E315" s="223">
        <f>(IF((VLOOKUP(Table10[[#This Row],[SKU]],'All Skus'!$A:$AC,2,FALSE))="Martin",(VLOOKUP(Table10[[#This Row],[SKU]],'All Skus'!$A:$AC,6,FALSE)),""))</f>
        <v>0</v>
      </c>
      <c r="F315" s="155" t="str">
        <f>(IF((VLOOKUP(Table10[[#This Row],[SKU]],'All Skus'!$A:$AC,2,FALSE))="Martin",(VLOOKUP(Table10[[#This Row],[SKU]],'All Skus'!$A:$AC,7,FALSE)),""))</f>
        <v>EOL pre-notice - not recommend to specify for 2025 projects - please specify Exterior Linear Pro</v>
      </c>
      <c r="G315" s="223" t="str">
        <f>(IF((VLOOKUP(Table10[[#This Row],[SKU]],'All Skus'!$A:$AC,2,FALSE))="Martin",(VLOOKUP(Table10[[#This Row],[SKU]],'All Skus'!$A:$AC,8,FALSE)),""))</f>
        <v xml:space="preserve">Leader cable, 10m, US </v>
      </c>
      <c r="H315" s="223" t="str">
        <f>(IF((VLOOKUP(Table10[[#This Row],[SKU]],'All Skus'!$A:$AC,2,FALSE))="Martin",(VLOOKUP(Table10[[#This Row],[SKU]],'All Skus'!$A:$AC,9,FALSE)),""))</f>
        <v xml:space="preserve">Leader cable, 10m, US </v>
      </c>
      <c r="I315" s="225">
        <f>(IF((VLOOKUP(Table10[[#This Row],[SKU]],'All Skus'!$A:$AC,2,FALSE))="Martin",(VLOOKUP(Table10[[#This Row],[SKU]],'All Skus'!$A:$AC,10,FALSE)),""))</f>
        <v>179.04</v>
      </c>
      <c r="J315" s="226">
        <f>(IF((VLOOKUP(Table10[[#This Row],[SKU]],'All Skus'!$A:$AC,2,FALSE))="Martin",(VLOOKUP(Table10[[#This Row],[SKU]],'All Skus'!$A:$AC,11,FALSE)),""))</f>
        <v>179.04</v>
      </c>
      <c r="K315" s="224">
        <f>(IF((VLOOKUP(Table10[[#This Row],[SKU]],'All Skus'!$A:$AC,2,FALSE))="Martin",(VLOOKUP(Table10[[#This Row],[SKU]],'All Skus'!$A:$AC,15,FALSE)),""))</f>
        <v>0</v>
      </c>
      <c r="L315" s="224">
        <f>(IF((VLOOKUP(Table10[[#This Row],[SKU]],'All Skus'!$A:$AC,2,FALSE))="Martin",(VLOOKUP(Table10[[#This Row],[SKU]],'All Skus'!$A:$AC,16,FALSE)),""))</f>
        <v>0</v>
      </c>
      <c r="M315" s="224">
        <f>(IF((VLOOKUP(Table10[[#This Row],[SKU]],'All Skus'!$A:$AC,2,FALSE))="Martin",(VLOOKUP(Table10[[#This Row],[SKU]],'All Skus'!$A:$AC,17,FALSE)),""))</f>
        <v>0</v>
      </c>
      <c r="N315" s="227">
        <f>(IF((VLOOKUP(Table10[[#This Row],[SKU]],'All Skus'!$A:$AC,2,FALSE))="Martin",(VLOOKUP(Table10[[#This Row],[SKU]],'All Skus'!$A:$AC,18,FALSE)),""))</f>
        <v>0</v>
      </c>
      <c r="O315" s="227">
        <f>(IF((VLOOKUP(Table10[[#This Row],[SKU]],'All Skus'!$A:$AC,2,FALSE))="Martin",(VLOOKUP(Table10[[#This Row],[SKU]],'All Skus'!$A:$AC,19,FALSE)),""))</f>
        <v>0</v>
      </c>
      <c r="P315" s="227">
        <f>(IF((VLOOKUP(Table10[[#This Row],[SKU]],'All Skus'!$A:$AC,2,FALSE))="Martin",(VLOOKUP(Table10[[#This Row],[SKU]],'All Skus'!$A:$AC,20,FALSE)),""))</f>
        <v>0</v>
      </c>
      <c r="Q315" s="227">
        <f>(IF((VLOOKUP(Table10[[#This Row],[SKU]],'All Skus'!$A:$AC,2,FALSE))="Martin",(VLOOKUP(Table10[[#This Row],[SKU]],'All Skus'!$A:$AC,21,FALSE)),""))</f>
        <v>0</v>
      </c>
      <c r="R315" s="224" t="str">
        <f>(IF((VLOOKUP(Table10[[#This Row],[SKU]],'All Skus'!$A:$AC,2,FALSE))="Martin",(VLOOKUP(Table10[[#This Row],[SKU]],'All Skus'!$A:$AC,22,FALSE)),""))</f>
        <v>CN</v>
      </c>
      <c r="S315" s="223" t="str">
        <f>(IF((VLOOKUP(Table10[[#This Row],[SKU]],'All Skus'!$A:$AC,2,FALSE))="Martin",(VLOOKUP(Table10[[#This Row],[SKU]],'All Skus'!$A:$AC,23,FALSE)),""))</f>
        <v>Non Compliant</v>
      </c>
      <c r="T315" s="212" t="str">
        <f>HYPERLINK((IF((VLOOKUP(Table10[[#This Row],[SKU]],'All Skus'!$A:$AC,2,FALSE))="Martin",(VLOOKUP(Table10[[#This Row],[SKU]],'All Skus'!$A:$AC,24,FALSE)),"")))</f>
        <v>http://www.martin.com/en-us/product-details/exterior-linear-cove-series</v>
      </c>
      <c r="U315" s="228">
        <v>313</v>
      </c>
    </row>
    <row r="316" spans="1:21" hidden="1">
      <c r="A316" s="112">
        <v>91611758</v>
      </c>
      <c r="B316" s="224" t="str">
        <f>(IF((VLOOKUP(Table10[[#This Row],[SKU]],'All Skus'!$A:$AC,2,FALSE))="Martin",(VLOOKUP(Table10[[#This Row],[SKU]],'All Skus'!$A:$AC,3,FALSE)),""))</f>
        <v>Linear</v>
      </c>
      <c r="C316" s="223" t="str">
        <f>(IF((VLOOKUP(Table10[[#This Row],[SKU]],'All Skus'!$A:$AC,2,FALSE))="Martin",(VLOOKUP(Table10[[#This Row],[SKU]],'All Skus'!$A:$AC,4,FALSE)),""))</f>
        <v xml:space="preserve">CONNECTOR CABLE, 0,2M, EU </v>
      </c>
      <c r="D316" s="224" t="str">
        <f>(IF((VLOOKUP(Table10[[#This Row],[SKU]],'All Skus'!$A:$AC,2,FALSE))="Martin",(VLOOKUP(Table10[[#This Row],[SKU]],'All Skus'!$A:$AC,5,FALSE)),""))</f>
        <v>EXT-LIN</v>
      </c>
      <c r="E316" s="223">
        <f>(IF((VLOOKUP(Table10[[#This Row],[SKU]],'All Skus'!$A:$AC,2,FALSE))="Martin",(VLOOKUP(Table10[[#This Row],[SKU]],'All Skus'!$A:$AC,6,FALSE)),""))</f>
        <v>0</v>
      </c>
      <c r="F316" s="155" t="str">
        <f>(IF((VLOOKUP(Table10[[#This Row],[SKU]],'All Skus'!$A:$AC,2,FALSE))="Martin",(VLOOKUP(Table10[[#This Row],[SKU]],'All Skus'!$A:$AC,7,FALSE)),""))</f>
        <v>EOL pre-notice - not recommend to specify for 2025 projects - please specify Exterior Linear Pro</v>
      </c>
      <c r="G316" s="223" t="str">
        <f>(IF((VLOOKUP(Table10[[#This Row],[SKU]],'All Skus'!$A:$AC,2,FALSE))="Martin",(VLOOKUP(Table10[[#This Row],[SKU]],'All Skus'!$A:$AC,8,FALSE)),""))</f>
        <v xml:space="preserve">CONNECTOR CABLE, 0,2M, EU </v>
      </c>
      <c r="H316" s="223" t="str">
        <f>(IF((VLOOKUP(Table10[[#This Row],[SKU]],'All Skus'!$A:$AC,2,FALSE))="Martin",(VLOOKUP(Table10[[#This Row],[SKU]],'All Skus'!$A:$AC,9,FALSE)),""))</f>
        <v xml:space="preserve">CONNECTOR CABLE, 0,2M, EU </v>
      </c>
      <c r="I316" s="225">
        <f>(IF((VLOOKUP(Table10[[#This Row],[SKU]],'All Skus'!$A:$AC,2,FALSE))="Martin",(VLOOKUP(Table10[[#This Row],[SKU]],'All Skus'!$A:$AC,10,FALSE)),""))</f>
        <v>50.63</v>
      </c>
      <c r="J316" s="226">
        <f>(IF((VLOOKUP(Table10[[#This Row],[SKU]],'All Skus'!$A:$AC,2,FALSE))="Martin",(VLOOKUP(Table10[[#This Row],[SKU]],'All Skus'!$A:$AC,11,FALSE)),""))</f>
        <v>50.63</v>
      </c>
      <c r="K316" s="224">
        <f>(IF((VLOOKUP(Table10[[#This Row],[SKU]],'All Skus'!$A:$AC,2,FALSE))="Martin",(VLOOKUP(Table10[[#This Row],[SKU]],'All Skus'!$A:$AC,15,FALSE)),""))</f>
        <v>0</v>
      </c>
      <c r="L316" s="224">
        <f>(IF((VLOOKUP(Table10[[#This Row],[SKU]],'All Skus'!$A:$AC,2,FALSE))="Martin",(VLOOKUP(Table10[[#This Row],[SKU]],'All Skus'!$A:$AC,16,FALSE)),""))</f>
        <v>0</v>
      </c>
      <c r="M316" s="224">
        <f>(IF((VLOOKUP(Table10[[#This Row],[SKU]],'All Skus'!$A:$AC,2,FALSE))="Martin",(VLOOKUP(Table10[[#This Row],[SKU]],'All Skus'!$A:$AC,17,FALSE)),""))</f>
        <v>0</v>
      </c>
      <c r="N316" s="227">
        <f>(IF((VLOOKUP(Table10[[#This Row],[SKU]],'All Skus'!$A:$AC,2,FALSE))="Martin",(VLOOKUP(Table10[[#This Row],[SKU]],'All Skus'!$A:$AC,18,FALSE)),""))</f>
        <v>0</v>
      </c>
      <c r="O316" s="227">
        <f>(IF((VLOOKUP(Table10[[#This Row],[SKU]],'All Skus'!$A:$AC,2,FALSE))="Martin",(VLOOKUP(Table10[[#This Row],[SKU]],'All Skus'!$A:$AC,19,FALSE)),""))</f>
        <v>0</v>
      </c>
      <c r="P316" s="227">
        <f>(IF((VLOOKUP(Table10[[#This Row],[SKU]],'All Skus'!$A:$AC,2,FALSE))="Martin",(VLOOKUP(Table10[[#This Row],[SKU]],'All Skus'!$A:$AC,20,FALSE)),""))</f>
        <v>0</v>
      </c>
      <c r="Q316" s="227">
        <f>(IF((VLOOKUP(Table10[[#This Row],[SKU]],'All Skus'!$A:$AC,2,FALSE))="Martin",(VLOOKUP(Table10[[#This Row],[SKU]],'All Skus'!$A:$AC,21,FALSE)),""))</f>
        <v>0</v>
      </c>
      <c r="R316" s="224" t="str">
        <f>(IF((VLOOKUP(Table10[[#This Row],[SKU]],'All Skus'!$A:$AC,2,FALSE))="Martin",(VLOOKUP(Table10[[#This Row],[SKU]],'All Skus'!$A:$AC,22,FALSE)),""))</f>
        <v>CN</v>
      </c>
      <c r="S316" s="223" t="str">
        <f>(IF((VLOOKUP(Table10[[#This Row],[SKU]],'All Skus'!$A:$AC,2,FALSE))="Martin",(VLOOKUP(Table10[[#This Row],[SKU]],'All Skus'!$A:$AC,23,FALSE)),""))</f>
        <v>Non Compliant</v>
      </c>
      <c r="T316" s="212" t="str">
        <f>HYPERLINK((IF((VLOOKUP(Table10[[#This Row],[SKU]],'All Skus'!$A:$AC,2,FALSE))="Martin",(VLOOKUP(Table10[[#This Row],[SKU]],'All Skus'!$A:$AC,24,FALSE)),"")))</f>
        <v>http://www.martin.com/en-us/product-details/exterior-linear-cove-series</v>
      </c>
      <c r="U316" s="228">
        <v>314</v>
      </c>
    </row>
    <row r="317" spans="1:21" hidden="1">
      <c r="A317" s="112">
        <v>91611759</v>
      </c>
      <c r="B317" s="224" t="str">
        <f>(IF((VLOOKUP(Table10[[#This Row],[SKU]],'All Skus'!$A:$AC,2,FALSE))="Martin",(VLOOKUP(Table10[[#This Row],[SKU]],'All Skus'!$A:$AC,3,FALSE)),""))</f>
        <v>Linear</v>
      </c>
      <c r="C317" s="223" t="str">
        <f>(IF((VLOOKUP(Table10[[#This Row],[SKU]],'All Skus'!$A:$AC,2,FALSE))="Martin",(VLOOKUP(Table10[[#This Row],[SKU]],'All Skus'!$A:$AC,4,FALSE)),""))</f>
        <v>CONNECTOR CABLE, 0,2M, US</v>
      </c>
      <c r="D317" s="224" t="str">
        <f>(IF((VLOOKUP(Table10[[#This Row],[SKU]],'All Skus'!$A:$AC,2,FALSE))="Martin",(VLOOKUP(Table10[[#This Row],[SKU]],'All Skus'!$A:$AC,5,FALSE)),""))</f>
        <v>EXT-LIN</v>
      </c>
      <c r="E317" s="223">
        <f>(IF((VLOOKUP(Table10[[#This Row],[SKU]],'All Skus'!$A:$AC,2,FALSE))="Martin",(VLOOKUP(Table10[[#This Row],[SKU]],'All Skus'!$A:$AC,6,FALSE)),""))</f>
        <v>0</v>
      </c>
      <c r="F317" s="155" t="str">
        <f>(IF((VLOOKUP(Table10[[#This Row],[SKU]],'All Skus'!$A:$AC,2,FALSE))="Martin",(VLOOKUP(Table10[[#This Row],[SKU]],'All Skus'!$A:$AC,7,FALSE)),""))</f>
        <v>EOL pre-notice - not recommend to specify for 2025 projects - please specify Exterior Linear Pro</v>
      </c>
      <c r="G317" s="223" t="str">
        <f>(IF((VLOOKUP(Table10[[#This Row],[SKU]],'All Skus'!$A:$AC,2,FALSE))="Martin",(VLOOKUP(Table10[[#This Row],[SKU]],'All Skus'!$A:$AC,8,FALSE)),""))</f>
        <v>CONNECTOR CABLE, 0,2M, US</v>
      </c>
      <c r="H317" s="223" t="str">
        <f>(IF((VLOOKUP(Table10[[#This Row],[SKU]],'All Skus'!$A:$AC,2,FALSE))="Martin",(VLOOKUP(Table10[[#This Row],[SKU]],'All Skus'!$A:$AC,9,FALSE)),""))</f>
        <v>CONNECTOR CABLE, 0,2M, US</v>
      </c>
      <c r="I317" s="225">
        <f>(IF((VLOOKUP(Table10[[#This Row],[SKU]],'All Skus'!$A:$AC,2,FALSE))="Martin",(VLOOKUP(Table10[[#This Row],[SKU]],'All Skus'!$A:$AC,10,FALSE)),""))</f>
        <v>50.63</v>
      </c>
      <c r="J317" s="226">
        <f>(IF((VLOOKUP(Table10[[#This Row],[SKU]],'All Skus'!$A:$AC,2,FALSE))="Martin",(VLOOKUP(Table10[[#This Row],[SKU]],'All Skus'!$A:$AC,11,FALSE)),""))</f>
        <v>50.63</v>
      </c>
      <c r="K317" s="224">
        <f>(IF((VLOOKUP(Table10[[#This Row],[SKU]],'All Skus'!$A:$AC,2,FALSE))="Martin",(VLOOKUP(Table10[[#This Row],[SKU]],'All Skus'!$A:$AC,15,FALSE)),""))</f>
        <v>0</v>
      </c>
      <c r="L317" s="224">
        <f>(IF((VLOOKUP(Table10[[#This Row],[SKU]],'All Skus'!$A:$AC,2,FALSE))="Martin",(VLOOKUP(Table10[[#This Row],[SKU]],'All Skus'!$A:$AC,16,FALSE)),""))</f>
        <v>0</v>
      </c>
      <c r="M317" s="224">
        <f>(IF((VLOOKUP(Table10[[#This Row],[SKU]],'All Skus'!$A:$AC,2,FALSE))="Martin",(VLOOKUP(Table10[[#This Row],[SKU]],'All Skus'!$A:$AC,17,FALSE)),""))</f>
        <v>0</v>
      </c>
      <c r="N317" s="227">
        <f>(IF((VLOOKUP(Table10[[#This Row],[SKU]],'All Skus'!$A:$AC,2,FALSE))="Martin",(VLOOKUP(Table10[[#This Row],[SKU]],'All Skus'!$A:$AC,18,FALSE)),""))</f>
        <v>0</v>
      </c>
      <c r="O317" s="227">
        <f>(IF((VLOOKUP(Table10[[#This Row],[SKU]],'All Skus'!$A:$AC,2,FALSE))="Martin",(VLOOKUP(Table10[[#This Row],[SKU]],'All Skus'!$A:$AC,19,FALSE)),""))</f>
        <v>0</v>
      </c>
      <c r="P317" s="227">
        <f>(IF((VLOOKUP(Table10[[#This Row],[SKU]],'All Skus'!$A:$AC,2,FALSE))="Martin",(VLOOKUP(Table10[[#This Row],[SKU]],'All Skus'!$A:$AC,20,FALSE)),""))</f>
        <v>0</v>
      </c>
      <c r="Q317" s="227">
        <f>(IF((VLOOKUP(Table10[[#This Row],[SKU]],'All Skus'!$A:$AC,2,FALSE))="Martin",(VLOOKUP(Table10[[#This Row],[SKU]],'All Skus'!$A:$AC,21,FALSE)),""))</f>
        <v>0</v>
      </c>
      <c r="R317" s="224" t="str">
        <f>(IF((VLOOKUP(Table10[[#This Row],[SKU]],'All Skus'!$A:$AC,2,FALSE))="Martin",(VLOOKUP(Table10[[#This Row],[SKU]],'All Skus'!$A:$AC,22,FALSE)),""))</f>
        <v>CN</v>
      </c>
      <c r="S317" s="223" t="str">
        <f>(IF((VLOOKUP(Table10[[#This Row],[SKU]],'All Skus'!$A:$AC,2,FALSE))="Martin",(VLOOKUP(Table10[[#This Row],[SKU]],'All Skus'!$A:$AC,23,FALSE)),""))</f>
        <v>Non Compliant</v>
      </c>
      <c r="T317" s="212" t="str">
        <f>HYPERLINK((IF((VLOOKUP(Table10[[#This Row],[SKU]],'All Skus'!$A:$AC,2,FALSE))="Martin",(VLOOKUP(Table10[[#This Row],[SKU]],'All Skus'!$A:$AC,24,FALSE)),"")))</f>
        <v>http://www.martin.com/en-us/product-details/exterior-linear-cove-series</v>
      </c>
      <c r="U317" s="228">
        <v>315</v>
      </c>
    </row>
    <row r="318" spans="1:21" hidden="1">
      <c r="A318" s="112">
        <v>91611760</v>
      </c>
      <c r="B318" s="224" t="str">
        <f>(IF((VLOOKUP(Table10[[#This Row],[SKU]],'All Skus'!$A:$AC,2,FALSE))="Martin",(VLOOKUP(Table10[[#This Row],[SKU]],'All Skus'!$A:$AC,3,FALSE)),""))</f>
        <v>Linear</v>
      </c>
      <c r="C318" s="223" t="str">
        <f>(IF((VLOOKUP(Table10[[#This Row],[SKU]],'All Skus'!$A:$AC,2,FALSE))="Martin",(VLOOKUP(Table10[[#This Row],[SKU]],'All Skus'!$A:$AC,4,FALSE)),""))</f>
        <v xml:space="preserve">CONNECTOR CABLE, 1M, EU </v>
      </c>
      <c r="D318" s="224" t="str">
        <f>(IF((VLOOKUP(Table10[[#This Row],[SKU]],'All Skus'!$A:$AC,2,FALSE))="Martin",(VLOOKUP(Table10[[#This Row],[SKU]],'All Skus'!$A:$AC,5,FALSE)),""))</f>
        <v>EXT-LIN</v>
      </c>
      <c r="E318" s="223">
        <f>(IF((VLOOKUP(Table10[[#This Row],[SKU]],'All Skus'!$A:$AC,2,FALSE))="Martin",(VLOOKUP(Table10[[#This Row],[SKU]],'All Skus'!$A:$AC,6,FALSE)),""))</f>
        <v>0</v>
      </c>
      <c r="F318" s="155" t="str">
        <f>(IF((VLOOKUP(Table10[[#This Row],[SKU]],'All Skus'!$A:$AC,2,FALSE))="Martin",(VLOOKUP(Table10[[#This Row],[SKU]],'All Skus'!$A:$AC,7,FALSE)),""))</f>
        <v>EOL pre-notice - not recommend to specify for 2025 projects - please specify Exterior Linear Pro</v>
      </c>
      <c r="G318" s="223" t="str">
        <f>(IF((VLOOKUP(Table10[[#This Row],[SKU]],'All Skus'!$A:$AC,2,FALSE))="Martin",(VLOOKUP(Table10[[#This Row],[SKU]],'All Skus'!$A:$AC,8,FALSE)),""))</f>
        <v xml:space="preserve">CONNECTOR CABLE, 1M, EU </v>
      </c>
      <c r="H318" s="223" t="str">
        <f>(IF((VLOOKUP(Table10[[#This Row],[SKU]],'All Skus'!$A:$AC,2,FALSE))="Martin",(VLOOKUP(Table10[[#This Row],[SKU]],'All Skus'!$A:$AC,9,FALSE)),""))</f>
        <v xml:space="preserve">CONNECTOR CABLE, 1M, EU </v>
      </c>
      <c r="I318" s="225">
        <f>(IF((VLOOKUP(Table10[[#This Row],[SKU]],'All Skus'!$A:$AC,2,FALSE))="Martin",(VLOOKUP(Table10[[#This Row],[SKU]],'All Skus'!$A:$AC,10,FALSE)),""))</f>
        <v>65.44</v>
      </c>
      <c r="J318" s="226">
        <f>(IF((VLOOKUP(Table10[[#This Row],[SKU]],'All Skus'!$A:$AC,2,FALSE))="Martin",(VLOOKUP(Table10[[#This Row],[SKU]],'All Skus'!$A:$AC,11,FALSE)),""))</f>
        <v>65.44</v>
      </c>
      <c r="K318" s="224">
        <f>(IF((VLOOKUP(Table10[[#This Row],[SKU]],'All Skus'!$A:$AC,2,FALSE))="Martin",(VLOOKUP(Table10[[#This Row],[SKU]],'All Skus'!$A:$AC,15,FALSE)),""))</f>
        <v>0</v>
      </c>
      <c r="L318" s="224">
        <f>(IF((VLOOKUP(Table10[[#This Row],[SKU]],'All Skus'!$A:$AC,2,FALSE))="Martin",(VLOOKUP(Table10[[#This Row],[SKU]],'All Skus'!$A:$AC,16,FALSE)),""))</f>
        <v>0</v>
      </c>
      <c r="M318" s="224">
        <f>(IF((VLOOKUP(Table10[[#This Row],[SKU]],'All Skus'!$A:$AC,2,FALSE))="Martin",(VLOOKUP(Table10[[#This Row],[SKU]],'All Skus'!$A:$AC,17,FALSE)),""))</f>
        <v>0</v>
      </c>
      <c r="N318" s="227">
        <f>(IF((VLOOKUP(Table10[[#This Row],[SKU]],'All Skus'!$A:$AC,2,FALSE))="Martin",(VLOOKUP(Table10[[#This Row],[SKU]],'All Skus'!$A:$AC,18,FALSE)),""))</f>
        <v>0</v>
      </c>
      <c r="O318" s="227">
        <f>(IF((VLOOKUP(Table10[[#This Row],[SKU]],'All Skus'!$A:$AC,2,FALSE))="Martin",(VLOOKUP(Table10[[#This Row],[SKU]],'All Skus'!$A:$AC,19,FALSE)),""))</f>
        <v>0</v>
      </c>
      <c r="P318" s="227">
        <f>(IF((VLOOKUP(Table10[[#This Row],[SKU]],'All Skus'!$A:$AC,2,FALSE))="Martin",(VLOOKUP(Table10[[#This Row],[SKU]],'All Skus'!$A:$AC,20,FALSE)),""))</f>
        <v>0</v>
      </c>
      <c r="Q318" s="227">
        <f>(IF((VLOOKUP(Table10[[#This Row],[SKU]],'All Skus'!$A:$AC,2,FALSE))="Martin",(VLOOKUP(Table10[[#This Row],[SKU]],'All Skus'!$A:$AC,21,FALSE)),""))</f>
        <v>0</v>
      </c>
      <c r="R318" s="224" t="str">
        <f>(IF((VLOOKUP(Table10[[#This Row],[SKU]],'All Skus'!$A:$AC,2,FALSE))="Martin",(VLOOKUP(Table10[[#This Row],[SKU]],'All Skus'!$A:$AC,22,FALSE)),""))</f>
        <v>CN</v>
      </c>
      <c r="S318" s="223" t="str">
        <f>(IF((VLOOKUP(Table10[[#This Row],[SKU]],'All Skus'!$A:$AC,2,FALSE))="Martin",(VLOOKUP(Table10[[#This Row],[SKU]],'All Skus'!$A:$AC,23,FALSE)),""))</f>
        <v>Non Compliant</v>
      </c>
      <c r="T318" s="212" t="str">
        <f>HYPERLINK((IF((VLOOKUP(Table10[[#This Row],[SKU]],'All Skus'!$A:$AC,2,FALSE))="Martin",(VLOOKUP(Table10[[#This Row],[SKU]],'All Skus'!$A:$AC,24,FALSE)),"")))</f>
        <v>http://www.martin.com/en-us/product-details/exterior-linear-cove-series</v>
      </c>
      <c r="U318" s="228">
        <v>316</v>
      </c>
    </row>
    <row r="319" spans="1:21" hidden="1">
      <c r="A319" s="112">
        <v>91611761</v>
      </c>
      <c r="B319" s="224" t="str">
        <f>(IF((VLOOKUP(Table10[[#This Row],[SKU]],'All Skus'!$A:$AC,2,FALSE))="Martin",(VLOOKUP(Table10[[#This Row],[SKU]],'All Skus'!$A:$AC,3,FALSE)),""))</f>
        <v>Linear</v>
      </c>
      <c r="C319" s="223" t="str">
        <f>(IF((VLOOKUP(Table10[[#This Row],[SKU]],'All Skus'!$A:$AC,2,FALSE))="Martin",(VLOOKUP(Table10[[#This Row],[SKU]],'All Skus'!$A:$AC,4,FALSE)),""))</f>
        <v xml:space="preserve">CONNECTOR CABLE, 1M, US </v>
      </c>
      <c r="D319" s="224" t="str">
        <f>(IF((VLOOKUP(Table10[[#This Row],[SKU]],'All Skus'!$A:$AC,2,FALSE))="Martin",(VLOOKUP(Table10[[#This Row],[SKU]],'All Skus'!$A:$AC,5,FALSE)),""))</f>
        <v>EXT-LIN</v>
      </c>
      <c r="E319" s="223">
        <f>(IF((VLOOKUP(Table10[[#This Row],[SKU]],'All Skus'!$A:$AC,2,FALSE))="Martin",(VLOOKUP(Table10[[#This Row],[SKU]],'All Skus'!$A:$AC,6,FALSE)),""))</f>
        <v>0</v>
      </c>
      <c r="F319" s="155" t="str">
        <f>(IF((VLOOKUP(Table10[[#This Row],[SKU]],'All Skus'!$A:$AC,2,FALSE))="Martin",(VLOOKUP(Table10[[#This Row],[SKU]],'All Skus'!$A:$AC,7,FALSE)),""))</f>
        <v>EOL pre-notice - not recommend to specify for 2025 projects - please specify Exterior Linear Pro</v>
      </c>
      <c r="G319" s="223" t="str">
        <f>(IF((VLOOKUP(Table10[[#This Row],[SKU]],'All Skus'!$A:$AC,2,FALSE))="Martin",(VLOOKUP(Table10[[#This Row],[SKU]],'All Skus'!$A:$AC,8,FALSE)),""))</f>
        <v xml:space="preserve">CONNECTOR CABLE, 1M, US </v>
      </c>
      <c r="H319" s="223" t="str">
        <f>(IF((VLOOKUP(Table10[[#This Row],[SKU]],'All Skus'!$A:$AC,2,FALSE))="Martin",(VLOOKUP(Table10[[#This Row],[SKU]],'All Skus'!$A:$AC,9,FALSE)),""))</f>
        <v xml:space="preserve">CONNECTOR CABLE, 1M, US </v>
      </c>
      <c r="I319" s="225">
        <f>(IF((VLOOKUP(Table10[[#This Row],[SKU]],'All Skus'!$A:$AC,2,FALSE))="Martin",(VLOOKUP(Table10[[#This Row],[SKU]],'All Skus'!$A:$AC,10,FALSE)),""))</f>
        <v>65.44</v>
      </c>
      <c r="J319" s="226">
        <f>(IF((VLOOKUP(Table10[[#This Row],[SKU]],'All Skus'!$A:$AC,2,FALSE))="Martin",(VLOOKUP(Table10[[#This Row],[SKU]],'All Skus'!$A:$AC,11,FALSE)),""))</f>
        <v>65.44</v>
      </c>
      <c r="K319" s="224">
        <f>(IF((VLOOKUP(Table10[[#This Row],[SKU]],'All Skus'!$A:$AC,2,FALSE))="Martin",(VLOOKUP(Table10[[#This Row],[SKU]],'All Skus'!$A:$AC,15,FALSE)),""))</f>
        <v>0</v>
      </c>
      <c r="L319" s="224">
        <f>(IF((VLOOKUP(Table10[[#This Row],[SKU]],'All Skus'!$A:$AC,2,FALSE))="Martin",(VLOOKUP(Table10[[#This Row],[SKU]],'All Skus'!$A:$AC,16,FALSE)),""))</f>
        <v>0</v>
      </c>
      <c r="M319" s="224">
        <f>(IF((VLOOKUP(Table10[[#This Row],[SKU]],'All Skus'!$A:$AC,2,FALSE))="Martin",(VLOOKUP(Table10[[#This Row],[SKU]],'All Skus'!$A:$AC,17,FALSE)),""))</f>
        <v>0</v>
      </c>
      <c r="N319" s="227">
        <f>(IF((VLOOKUP(Table10[[#This Row],[SKU]],'All Skus'!$A:$AC,2,FALSE))="Martin",(VLOOKUP(Table10[[#This Row],[SKU]],'All Skus'!$A:$AC,18,FALSE)),""))</f>
        <v>0</v>
      </c>
      <c r="O319" s="227">
        <f>(IF((VLOOKUP(Table10[[#This Row],[SKU]],'All Skus'!$A:$AC,2,FALSE))="Martin",(VLOOKUP(Table10[[#This Row],[SKU]],'All Skus'!$A:$AC,19,FALSE)),""))</f>
        <v>0</v>
      </c>
      <c r="P319" s="227">
        <f>(IF((VLOOKUP(Table10[[#This Row],[SKU]],'All Skus'!$A:$AC,2,FALSE))="Martin",(VLOOKUP(Table10[[#This Row],[SKU]],'All Skus'!$A:$AC,20,FALSE)),""))</f>
        <v>0</v>
      </c>
      <c r="Q319" s="227">
        <f>(IF((VLOOKUP(Table10[[#This Row],[SKU]],'All Skus'!$A:$AC,2,FALSE))="Martin",(VLOOKUP(Table10[[#This Row],[SKU]],'All Skus'!$A:$AC,21,FALSE)),""))</f>
        <v>0</v>
      </c>
      <c r="R319" s="224" t="str">
        <f>(IF((VLOOKUP(Table10[[#This Row],[SKU]],'All Skus'!$A:$AC,2,FALSE))="Martin",(VLOOKUP(Table10[[#This Row],[SKU]],'All Skus'!$A:$AC,22,FALSE)),""))</f>
        <v>CN</v>
      </c>
      <c r="S319" s="223" t="str">
        <f>(IF((VLOOKUP(Table10[[#This Row],[SKU]],'All Skus'!$A:$AC,2,FALSE))="Martin",(VLOOKUP(Table10[[#This Row],[SKU]],'All Skus'!$A:$AC,23,FALSE)),""))</f>
        <v>Non Compliant</v>
      </c>
      <c r="T319" s="212" t="str">
        <f>HYPERLINK((IF((VLOOKUP(Table10[[#This Row],[SKU]],'All Skus'!$A:$AC,2,FALSE))="Martin",(VLOOKUP(Table10[[#This Row],[SKU]],'All Skus'!$A:$AC,24,FALSE)),"")))</f>
        <v>http://www.martin.com/en-us/product-details/exterior-linear-cove-series</v>
      </c>
      <c r="U319" s="228">
        <v>317</v>
      </c>
    </row>
    <row r="320" spans="1:21" hidden="1">
      <c r="A320" s="112">
        <v>91611762</v>
      </c>
      <c r="B320" s="224" t="str">
        <f>(IF((VLOOKUP(Table10[[#This Row],[SKU]],'All Skus'!$A:$AC,2,FALSE))="Martin",(VLOOKUP(Table10[[#This Row],[SKU]],'All Skus'!$A:$AC,3,FALSE)),""))</f>
        <v>Linear</v>
      </c>
      <c r="C320" s="223" t="str">
        <f>(IF((VLOOKUP(Table10[[#This Row],[SKU]],'All Skus'!$A:$AC,2,FALSE))="Martin",(VLOOKUP(Table10[[#This Row],[SKU]],'All Skus'!$A:$AC,4,FALSE)),""))</f>
        <v xml:space="preserve">CONNECTOR CABLE, 5M, EU </v>
      </c>
      <c r="D320" s="224" t="str">
        <f>(IF((VLOOKUP(Table10[[#This Row],[SKU]],'All Skus'!$A:$AC,2,FALSE))="Martin",(VLOOKUP(Table10[[#This Row],[SKU]],'All Skus'!$A:$AC,5,FALSE)),""))</f>
        <v>EXT-LIN</v>
      </c>
      <c r="E320" s="223">
        <f>(IF((VLOOKUP(Table10[[#This Row],[SKU]],'All Skus'!$A:$AC,2,FALSE))="Martin",(VLOOKUP(Table10[[#This Row],[SKU]],'All Skus'!$A:$AC,6,FALSE)),""))</f>
        <v>0</v>
      </c>
      <c r="F320" s="155" t="str">
        <f>(IF((VLOOKUP(Table10[[#This Row],[SKU]],'All Skus'!$A:$AC,2,FALSE))="Martin",(VLOOKUP(Table10[[#This Row],[SKU]],'All Skus'!$A:$AC,7,FALSE)),""))</f>
        <v>EOL pre-notice - not recommend to specify for 2025 projects - please specify Exterior Linear Pro</v>
      </c>
      <c r="G320" s="223" t="str">
        <f>(IF((VLOOKUP(Table10[[#This Row],[SKU]],'All Skus'!$A:$AC,2,FALSE))="Martin",(VLOOKUP(Table10[[#This Row],[SKU]],'All Skus'!$A:$AC,8,FALSE)),""))</f>
        <v xml:space="preserve">CONNECTOR CABLE, 5M, EU </v>
      </c>
      <c r="H320" s="223" t="str">
        <f>(IF((VLOOKUP(Table10[[#This Row],[SKU]],'All Skus'!$A:$AC,2,FALSE))="Martin",(VLOOKUP(Table10[[#This Row],[SKU]],'All Skus'!$A:$AC,9,FALSE)),""))</f>
        <v xml:space="preserve">CONNECTOR CABLE, 5M, EU </v>
      </c>
      <c r="I320" s="225">
        <f>(IF((VLOOKUP(Table10[[#This Row],[SKU]],'All Skus'!$A:$AC,2,FALSE))="Martin",(VLOOKUP(Table10[[#This Row],[SKU]],'All Skus'!$A:$AC,10,FALSE)),""))</f>
        <v>122.24</v>
      </c>
      <c r="J320" s="226">
        <f>(IF((VLOOKUP(Table10[[#This Row],[SKU]],'All Skus'!$A:$AC,2,FALSE))="Martin",(VLOOKUP(Table10[[#This Row],[SKU]],'All Skus'!$A:$AC,11,FALSE)),""))</f>
        <v>122.24</v>
      </c>
      <c r="K320" s="224">
        <f>(IF((VLOOKUP(Table10[[#This Row],[SKU]],'All Skus'!$A:$AC,2,FALSE))="Martin",(VLOOKUP(Table10[[#This Row],[SKU]],'All Skus'!$A:$AC,15,FALSE)),""))</f>
        <v>0</v>
      </c>
      <c r="L320" s="224">
        <f>(IF((VLOOKUP(Table10[[#This Row],[SKU]],'All Skus'!$A:$AC,2,FALSE))="Martin",(VLOOKUP(Table10[[#This Row],[SKU]],'All Skus'!$A:$AC,16,FALSE)),""))</f>
        <v>0</v>
      </c>
      <c r="M320" s="224">
        <f>(IF((VLOOKUP(Table10[[#This Row],[SKU]],'All Skus'!$A:$AC,2,FALSE))="Martin",(VLOOKUP(Table10[[#This Row],[SKU]],'All Skus'!$A:$AC,17,FALSE)),""))</f>
        <v>0</v>
      </c>
      <c r="N320" s="227">
        <f>(IF((VLOOKUP(Table10[[#This Row],[SKU]],'All Skus'!$A:$AC,2,FALSE))="Martin",(VLOOKUP(Table10[[#This Row],[SKU]],'All Skus'!$A:$AC,18,FALSE)),""))</f>
        <v>0</v>
      </c>
      <c r="O320" s="227">
        <f>(IF((VLOOKUP(Table10[[#This Row],[SKU]],'All Skus'!$A:$AC,2,FALSE))="Martin",(VLOOKUP(Table10[[#This Row],[SKU]],'All Skus'!$A:$AC,19,FALSE)),""))</f>
        <v>0</v>
      </c>
      <c r="P320" s="227">
        <f>(IF((VLOOKUP(Table10[[#This Row],[SKU]],'All Skus'!$A:$AC,2,FALSE))="Martin",(VLOOKUP(Table10[[#This Row],[SKU]],'All Skus'!$A:$AC,20,FALSE)),""))</f>
        <v>0</v>
      </c>
      <c r="Q320" s="227">
        <f>(IF((VLOOKUP(Table10[[#This Row],[SKU]],'All Skus'!$A:$AC,2,FALSE))="Martin",(VLOOKUP(Table10[[#This Row],[SKU]],'All Skus'!$A:$AC,21,FALSE)),""))</f>
        <v>0</v>
      </c>
      <c r="R320" s="224" t="str">
        <f>(IF((VLOOKUP(Table10[[#This Row],[SKU]],'All Skus'!$A:$AC,2,FALSE))="Martin",(VLOOKUP(Table10[[#This Row],[SKU]],'All Skus'!$A:$AC,22,FALSE)),""))</f>
        <v>CN</v>
      </c>
      <c r="S320" s="223" t="str">
        <f>(IF((VLOOKUP(Table10[[#This Row],[SKU]],'All Skus'!$A:$AC,2,FALSE))="Martin",(VLOOKUP(Table10[[#This Row],[SKU]],'All Skus'!$A:$AC,23,FALSE)),""))</f>
        <v>Non Compliant</v>
      </c>
      <c r="T320" s="212" t="str">
        <f>HYPERLINK((IF((VLOOKUP(Table10[[#This Row],[SKU]],'All Skus'!$A:$AC,2,FALSE))="Martin",(VLOOKUP(Table10[[#This Row],[SKU]],'All Skus'!$A:$AC,24,FALSE)),"")))</f>
        <v>http://www.martin.com/en-us/product-details/exterior-linear-cove-series</v>
      </c>
      <c r="U320" s="228">
        <v>318</v>
      </c>
    </row>
    <row r="321" spans="1:21" hidden="1">
      <c r="A321" s="112">
        <v>91611763</v>
      </c>
      <c r="B321" s="224" t="str">
        <f>(IF((VLOOKUP(Table10[[#This Row],[SKU]],'All Skus'!$A:$AC,2,FALSE))="Martin",(VLOOKUP(Table10[[#This Row],[SKU]],'All Skus'!$A:$AC,3,FALSE)),""))</f>
        <v>Linear</v>
      </c>
      <c r="C321" s="223" t="str">
        <f>(IF((VLOOKUP(Table10[[#This Row],[SKU]],'All Skus'!$A:$AC,2,FALSE))="Martin",(VLOOKUP(Table10[[#This Row],[SKU]],'All Skus'!$A:$AC,4,FALSE)),""))</f>
        <v xml:space="preserve">CONNECTOR CABLE, 5M, US </v>
      </c>
      <c r="D321" s="224" t="str">
        <f>(IF((VLOOKUP(Table10[[#This Row],[SKU]],'All Skus'!$A:$AC,2,FALSE))="Martin",(VLOOKUP(Table10[[#This Row],[SKU]],'All Skus'!$A:$AC,5,FALSE)),""))</f>
        <v>EXT-LIN</v>
      </c>
      <c r="E321" s="223">
        <f>(IF((VLOOKUP(Table10[[#This Row],[SKU]],'All Skus'!$A:$AC,2,FALSE))="Martin",(VLOOKUP(Table10[[#This Row],[SKU]],'All Skus'!$A:$AC,6,FALSE)),""))</f>
        <v>0</v>
      </c>
      <c r="F321" s="155" t="str">
        <f>(IF((VLOOKUP(Table10[[#This Row],[SKU]],'All Skus'!$A:$AC,2,FALSE))="Martin",(VLOOKUP(Table10[[#This Row],[SKU]],'All Skus'!$A:$AC,7,FALSE)),""))</f>
        <v>EOL pre-notice - not recommend to specify for 2025 projects - please specify Exterior Linear Pro</v>
      </c>
      <c r="G321" s="223" t="str">
        <f>(IF((VLOOKUP(Table10[[#This Row],[SKU]],'All Skus'!$A:$AC,2,FALSE))="Martin",(VLOOKUP(Table10[[#This Row],[SKU]],'All Skus'!$A:$AC,8,FALSE)),""))</f>
        <v xml:space="preserve">CONNECTOR CABLE, 5M, US </v>
      </c>
      <c r="H321" s="223" t="str">
        <f>(IF((VLOOKUP(Table10[[#This Row],[SKU]],'All Skus'!$A:$AC,2,FALSE))="Martin",(VLOOKUP(Table10[[#This Row],[SKU]],'All Skus'!$A:$AC,9,FALSE)),""))</f>
        <v xml:space="preserve">CONNECTOR CABLE, 5M, US </v>
      </c>
      <c r="I321" s="225">
        <f>(IF((VLOOKUP(Table10[[#This Row],[SKU]],'All Skus'!$A:$AC,2,FALSE))="Martin",(VLOOKUP(Table10[[#This Row],[SKU]],'All Skus'!$A:$AC,10,FALSE)),""))</f>
        <v>122.24</v>
      </c>
      <c r="J321" s="226">
        <f>(IF((VLOOKUP(Table10[[#This Row],[SKU]],'All Skus'!$A:$AC,2,FALSE))="Martin",(VLOOKUP(Table10[[#This Row],[SKU]],'All Skus'!$A:$AC,11,FALSE)),""))</f>
        <v>122.24</v>
      </c>
      <c r="K321" s="224">
        <f>(IF((VLOOKUP(Table10[[#This Row],[SKU]],'All Skus'!$A:$AC,2,FALSE))="Martin",(VLOOKUP(Table10[[#This Row],[SKU]],'All Skus'!$A:$AC,15,FALSE)),""))</f>
        <v>0</v>
      </c>
      <c r="L321" s="224">
        <f>(IF((VLOOKUP(Table10[[#This Row],[SKU]],'All Skus'!$A:$AC,2,FALSE))="Martin",(VLOOKUP(Table10[[#This Row],[SKU]],'All Skus'!$A:$AC,16,FALSE)),""))</f>
        <v>0</v>
      </c>
      <c r="M321" s="224">
        <f>(IF((VLOOKUP(Table10[[#This Row],[SKU]],'All Skus'!$A:$AC,2,FALSE))="Martin",(VLOOKUP(Table10[[#This Row],[SKU]],'All Skus'!$A:$AC,17,FALSE)),""))</f>
        <v>0</v>
      </c>
      <c r="N321" s="227">
        <f>(IF((VLOOKUP(Table10[[#This Row],[SKU]],'All Skus'!$A:$AC,2,FALSE))="Martin",(VLOOKUP(Table10[[#This Row],[SKU]],'All Skus'!$A:$AC,18,FALSE)),""))</f>
        <v>0</v>
      </c>
      <c r="O321" s="227">
        <f>(IF((VLOOKUP(Table10[[#This Row],[SKU]],'All Skus'!$A:$AC,2,FALSE))="Martin",(VLOOKUP(Table10[[#This Row],[SKU]],'All Skus'!$A:$AC,19,FALSE)),""))</f>
        <v>0</v>
      </c>
      <c r="P321" s="227">
        <f>(IF((VLOOKUP(Table10[[#This Row],[SKU]],'All Skus'!$A:$AC,2,FALSE))="Martin",(VLOOKUP(Table10[[#This Row],[SKU]],'All Skus'!$A:$AC,20,FALSE)),""))</f>
        <v>0</v>
      </c>
      <c r="Q321" s="227">
        <f>(IF((VLOOKUP(Table10[[#This Row],[SKU]],'All Skus'!$A:$AC,2,FALSE))="Martin",(VLOOKUP(Table10[[#This Row],[SKU]],'All Skus'!$A:$AC,21,FALSE)),""))</f>
        <v>0</v>
      </c>
      <c r="R321" s="224" t="str">
        <f>(IF((VLOOKUP(Table10[[#This Row],[SKU]],'All Skus'!$A:$AC,2,FALSE))="Martin",(VLOOKUP(Table10[[#This Row],[SKU]],'All Skus'!$A:$AC,22,FALSE)),""))</f>
        <v>CN</v>
      </c>
      <c r="S321" s="223" t="str">
        <f>(IF((VLOOKUP(Table10[[#This Row],[SKU]],'All Skus'!$A:$AC,2,FALSE))="Martin",(VLOOKUP(Table10[[#This Row],[SKU]],'All Skus'!$A:$AC,23,FALSE)),""))</f>
        <v>Non Compliant</v>
      </c>
      <c r="T321" s="212" t="str">
        <f>HYPERLINK((IF((VLOOKUP(Table10[[#This Row],[SKU]],'All Skus'!$A:$AC,2,FALSE))="Martin",(VLOOKUP(Table10[[#This Row],[SKU]],'All Skus'!$A:$AC,24,FALSE)),"")))</f>
        <v>http://www.martin.com/en-us/product-details/exterior-linear-cove-series</v>
      </c>
      <c r="U321" s="228">
        <v>319</v>
      </c>
    </row>
    <row r="322" spans="1:21" hidden="1">
      <c r="A322" s="112">
        <v>91611764</v>
      </c>
      <c r="B322" s="224" t="str">
        <f>(IF((VLOOKUP(Table10[[#This Row],[SKU]],'All Skus'!$A:$AC,2,FALSE))="Martin",(VLOOKUP(Table10[[#This Row],[SKU]],'All Skus'!$A:$AC,3,FALSE)),""))</f>
        <v>Linear</v>
      </c>
      <c r="C322" s="223" t="str">
        <f>(IF((VLOOKUP(Table10[[#This Row],[SKU]],'All Skus'!$A:$AC,2,FALSE))="Martin",(VLOOKUP(Table10[[#This Row],[SKU]],'All Skus'!$A:$AC,4,FALSE)),""))</f>
        <v xml:space="preserve">CONNECTOR CABLE, 10M, EU </v>
      </c>
      <c r="D322" s="224" t="str">
        <f>(IF((VLOOKUP(Table10[[#This Row],[SKU]],'All Skus'!$A:$AC,2,FALSE))="Martin",(VLOOKUP(Table10[[#This Row],[SKU]],'All Skus'!$A:$AC,5,FALSE)),""))</f>
        <v>EXT-LIN</v>
      </c>
      <c r="E322" s="223">
        <f>(IF((VLOOKUP(Table10[[#This Row],[SKU]],'All Skus'!$A:$AC,2,FALSE))="Martin",(VLOOKUP(Table10[[#This Row],[SKU]],'All Skus'!$A:$AC,6,FALSE)),""))</f>
        <v>0</v>
      </c>
      <c r="F322" s="155" t="str">
        <f>(IF((VLOOKUP(Table10[[#This Row],[SKU]],'All Skus'!$A:$AC,2,FALSE))="Martin",(VLOOKUP(Table10[[#This Row],[SKU]],'All Skus'!$A:$AC,7,FALSE)),""))</f>
        <v>EOL pre-notice - not recommend to specify for 2025 projects - please specify Exterior Linear Pro</v>
      </c>
      <c r="G322" s="223" t="str">
        <f>(IF((VLOOKUP(Table10[[#This Row],[SKU]],'All Skus'!$A:$AC,2,FALSE))="Martin",(VLOOKUP(Table10[[#This Row],[SKU]],'All Skus'!$A:$AC,8,FALSE)),""))</f>
        <v xml:space="preserve">CONNECTOR CABLE, 10M, EU </v>
      </c>
      <c r="H322" s="223" t="str">
        <f>(IF((VLOOKUP(Table10[[#This Row],[SKU]],'All Skus'!$A:$AC,2,FALSE))="Martin",(VLOOKUP(Table10[[#This Row],[SKU]],'All Skus'!$A:$AC,9,FALSE)),""))</f>
        <v xml:space="preserve">CONNECTOR CABLE, 10M, EU </v>
      </c>
      <c r="I322" s="225">
        <f>(IF((VLOOKUP(Table10[[#This Row],[SKU]],'All Skus'!$A:$AC,2,FALSE))="Martin",(VLOOKUP(Table10[[#This Row],[SKU]],'All Skus'!$A:$AC,10,FALSE)),""))</f>
        <v>191.39</v>
      </c>
      <c r="J322" s="226">
        <f>(IF((VLOOKUP(Table10[[#This Row],[SKU]],'All Skus'!$A:$AC,2,FALSE))="Martin",(VLOOKUP(Table10[[#This Row],[SKU]],'All Skus'!$A:$AC,11,FALSE)),""))</f>
        <v>191.39</v>
      </c>
      <c r="K322" s="224">
        <f>(IF((VLOOKUP(Table10[[#This Row],[SKU]],'All Skus'!$A:$AC,2,FALSE))="Martin",(VLOOKUP(Table10[[#This Row],[SKU]],'All Skus'!$A:$AC,15,FALSE)),""))</f>
        <v>0</v>
      </c>
      <c r="L322" s="224">
        <f>(IF((VLOOKUP(Table10[[#This Row],[SKU]],'All Skus'!$A:$AC,2,FALSE))="Martin",(VLOOKUP(Table10[[#This Row],[SKU]],'All Skus'!$A:$AC,16,FALSE)),""))</f>
        <v>0</v>
      </c>
      <c r="M322" s="224">
        <f>(IF((VLOOKUP(Table10[[#This Row],[SKU]],'All Skus'!$A:$AC,2,FALSE))="Martin",(VLOOKUP(Table10[[#This Row],[SKU]],'All Skus'!$A:$AC,17,FALSE)),""))</f>
        <v>0</v>
      </c>
      <c r="N322" s="227">
        <f>(IF((VLOOKUP(Table10[[#This Row],[SKU]],'All Skus'!$A:$AC,2,FALSE))="Martin",(VLOOKUP(Table10[[#This Row],[SKU]],'All Skus'!$A:$AC,18,FALSE)),""))</f>
        <v>0</v>
      </c>
      <c r="O322" s="227">
        <f>(IF((VLOOKUP(Table10[[#This Row],[SKU]],'All Skus'!$A:$AC,2,FALSE))="Martin",(VLOOKUP(Table10[[#This Row],[SKU]],'All Skus'!$A:$AC,19,FALSE)),""))</f>
        <v>0</v>
      </c>
      <c r="P322" s="227">
        <f>(IF((VLOOKUP(Table10[[#This Row],[SKU]],'All Skus'!$A:$AC,2,FALSE))="Martin",(VLOOKUP(Table10[[#This Row],[SKU]],'All Skus'!$A:$AC,20,FALSE)),""))</f>
        <v>0</v>
      </c>
      <c r="Q322" s="227">
        <f>(IF((VLOOKUP(Table10[[#This Row],[SKU]],'All Skus'!$A:$AC,2,FALSE))="Martin",(VLOOKUP(Table10[[#This Row],[SKU]],'All Skus'!$A:$AC,21,FALSE)),""))</f>
        <v>0</v>
      </c>
      <c r="R322" s="224" t="str">
        <f>(IF((VLOOKUP(Table10[[#This Row],[SKU]],'All Skus'!$A:$AC,2,FALSE))="Martin",(VLOOKUP(Table10[[#This Row],[SKU]],'All Skus'!$A:$AC,22,FALSE)),""))</f>
        <v>CN</v>
      </c>
      <c r="S322" s="223" t="str">
        <f>(IF((VLOOKUP(Table10[[#This Row],[SKU]],'All Skus'!$A:$AC,2,FALSE))="Martin",(VLOOKUP(Table10[[#This Row],[SKU]],'All Skus'!$A:$AC,23,FALSE)),""))</f>
        <v>Non Compliant</v>
      </c>
      <c r="T322" s="212" t="str">
        <f>HYPERLINK((IF((VLOOKUP(Table10[[#This Row],[SKU]],'All Skus'!$A:$AC,2,FALSE))="Martin",(VLOOKUP(Table10[[#This Row],[SKU]],'All Skus'!$A:$AC,24,FALSE)),"")))</f>
        <v>http://www.martin.com/en-us/product-details/exterior-linear-cove-series</v>
      </c>
      <c r="U322" s="228">
        <v>320</v>
      </c>
    </row>
    <row r="323" spans="1:21" hidden="1">
      <c r="A323" s="112">
        <v>91611765</v>
      </c>
      <c r="B323" s="224" t="str">
        <f>(IF((VLOOKUP(Table10[[#This Row],[SKU]],'All Skus'!$A:$AC,2,FALSE))="Martin",(VLOOKUP(Table10[[#This Row],[SKU]],'All Skus'!$A:$AC,3,FALSE)),""))</f>
        <v>Linear</v>
      </c>
      <c r="C323" s="223" t="str">
        <f>(IF((VLOOKUP(Table10[[#This Row],[SKU]],'All Skus'!$A:$AC,2,FALSE))="Martin",(VLOOKUP(Table10[[#This Row],[SKU]],'All Skus'!$A:$AC,4,FALSE)),""))</f>
        <v xml:space="preserve">CONNECTOR CABLE, 10M, US </v>
      </c>
      <c r="D323" s="224" t="str">
        <f>(IF((VLOOKUP(Table10[[#This Row],[SKU]],'All Skus'!$A:$AC,2,FALSE))="Martin",(VLOOKUP(Table10[[#This Row],[SKU]],'All Skus'!$A:$AC,5,FALSE)),""))</f>
        <v>EXT-LIN</v>
      </c>
      <c r="E323" s="223">
        <f>(IF((VLOOKUP(Table10[[#This Row],[SKU]],'All Skus'!$A:$AC,2,FALSE))="Martin",(VLOOKUP(Table10[[#This Row],[SKU]],'All Skus'!$A:$AC,6,FALSE)),""))</f>
        <v>0</v>
      </c>
      <c r="F323" s="155" t="str">
        <f>(IF((VLOOKUP(Table10[[#This Row],[SKU]],'All Skus'!$A:$AC,2,FALSE))="Martin",(VLOOKUP(Table10[[#This Row],[SKU]],'All Skus'!$A:$AC,7,FALSE)),""))</f>
        <v>EOL pre-notice - not recommend to specify for 2025 projects - please specify Exterior Linear Pro</v>
      </c>
      <c r="G323" s="223" t="str">
        <f>(IF((VLOOKUP(Table10[[#This Row],[SKU]],'All Skus'!$A:$AC,2,FALSE))="Martin",(VLOOKUP(Table10[[#This Row],[SKU]],'All Skus'!$A:$AC,8,FALSE)),""))</f>
        <v xml:space="preserve">CONNECTOR CABLE, 10M, US </v>
      </c>
      <c r="H323" s="223" t="str">
        <f>(IF((VLOOKUP(Table10[[#This Row],[SKU]],'All Skus'!$A:$AC,2,FALSE))="Martin",(VLOOKUP(Table10[[#This Row],[SKU]],'All Skus'!$A:$AC,9,FALSE)),""))</f>
        <v xml:space="preserve">CONNECTOR CABLE, 10M, US </v>
      </c>
      <c r="I323" s="225">
        <f>(IF((VLOOKUP(Table10[[#This Row],[SKU]],'All Skus'!$A:$AC,2,FALSE))="Martin",(VLOOKUP(Table10[[#This Row],[SKU]],'All Skus'!$A:$AC,10,FALSE)),""))</f>
        <v>191.39</v>
      </c>
      <c r="J323" s="226">
        <f>(IF((VLOOKUP(Table10[[#This Row],[SKU]],'All Skus'!$A:$AC,2,FALSE))="Martin",(VLOOKUP(Table10[[#This Row],[SKU]],'All Skus'!$A:$AC,11,FALSE)),""))</f>
        <v>191.39</v>
      </c>
      <c r="K323" s="224">
        <f>(IF((VLOOKUP(Table10[[#This Row],[SKU]],'All Skus'!$A:$AC,2,FALSE))="Martin",(VLOOKUP(Table10[[#This Row],[SKU]],'All Skus'!$A:$AC,15,FALSE)),""))</f>
        <v>0</v>
      </c>
      <c r="L323" s="224">
        <f>(IF((VLOOKUP(Table10[[#This Row],[SKU]],'All Skus'!$A:$AC,2,FALSE))="Martin",(VLOOKUP(Table10[[#This Row],[SKU]],'All Skus'!$A:$AC,16,FALSE)),""))</f>
        <v>0</v>
      </c>
      <c r="M323" s="224">
        <f>(IF((VLOOKUP(Table10[[#This Row],[SKU]],'All Skus'!$A:$AC,2,FALSE))="Martin",(VLOOKUP(Table10[[#This Row],[SKU]],'All Skus'!$A:$AC,17,FALSE)),""))</f>
        <v>0</v>
      </c>
      <c r="N323" s="227">
        <f>(IF((VLOOKUP(Table10[[#This Row],[SKU]],'All Skus'!$A:$AC,2,FALSE))="Martin",(VLOOKUP(Table10[[#This Row],[SKU]],'All Skus'!$A:$AC,18,FALSE)),""))</f>
        <v>0</v>
      </c>
      <c r="O323" s="227">
        <f>(IF((VLOOKUP(Table10[[#This Row],[SKU]],'All Skus'!$A:$AC,2,FALSE))="Martin",(VLOOKUP(Table10[[#This Row],[SKU]],'All Skus'!$A:$AC,19,FALSE)),""))</f>
        <v>0</v>
      </c>
      <c r="P323" s="227">
        <f>(IF((VLOOKUP(Table10[[#This Row],[SKU]],'All Skus'!$A:$AC,2,FALSE))="Martin",(VLOOKUP(Table10[[#This Row],[SKU]],'All Skus'!$A:$AC,20,FALSE)),""))</f>
        <v>0</v>
      </c>
      <c r="Q323" s="227">
        <f>(IF((VLOOKUP(Table10[[#This Row],[SKU]],'All Skus'!$A:$AC,2,FALSE))="Martin",(VLOOKUP(Table10[[#This Row],[SKU]],'All Skus'!$A:$AC,21,FALSE)),""))</f>
        <v>0</v>
      </c>
      <c r="R323" s="224" t="str">
        <f>(IF((VLOOKUP(Table10[[#This Row],[SKU]],'All Skus'!$A:$AC,2,FALSE))="Martin",(VLOOKUP(Table10[[#This Row],[SKU]],'All Skus'!$A:$AC,22,FALSE)),""))</f>
        <v>CN</v>
      </c>
      <c r="S323" s="223" t="str">
        <f>(IF((VLOOKUP(Table10[[#This Row],[SKU]],'All Skus'!$A:$AC,2,FALSE))="Martin",(VLOOKUP(Table10[[#This Row],[SKU]],'All Skus'!$A:$AC,23,FALSE)),""))</f>
        <v>Non Compliant</v>
      </c>
      <c r="T323" s="212" t="str">
        <f>HYPERLINK((IF((VLOOKUP(Table10[[#This Row],[SKU]],'All Skus'!$A:$AC,2,FALSE))="Martin",(VLOOKUP(Table10[[#This Row],[SKU]],'All Skus'!$A:$AC,24,FALSE)),"")))</f>
        <v>http://www.martin.com/en-us/product-details/exterior-linear-cove-series</v>
      </c>
      <c r="U323" s="228">
        <v>321</v>
      </c>
    </row>
    <row r="324" spans="1:21" hidden="1">
      <c r="A324" s="112">
        <v>91611766</v>
      </c>
      <c r="B324" s="224" t="str">
        <f>(IF((VLOOKUP(Table10[[#This Row],[SKU]],'All Skus'!$A:$AC,2,FALSE))="Martin",(VLOOKUP(Table10[[#This Row],[SKU]],'All Skus'!$A:$AC,3,FALSE)),""))</f>
        <v>Linear</v>
      </c>
      <c r="C324" s="223" t="str">
        <f>(IF((VLOOKUP(Table10[[#This Row],[SKU]],'All Skus'!$A:$AC,2,FALSE))="Martin",(VLOOKUP(Table10[[#This Row],[SKU]],'All Skus'!$A:$AC,4,FALSE)),""))</f>
        <v xml:space="preserve">END TERMINATION CAP </v>
      </c>
      <c r="D324" s="224" t="str">
        <f>(IF((VLOOKUP(Table10[[#This Row],[SKU]],'All Skus'!$A:$AC,2,FALSE))="Martin",(VLOOKUP(Table10[[#This Row],[SKU]],'All Skus'!$A:$AC,5,FALSE)),""))</f>
        <v>EXT-LIN</v>
      </c>
      <c r="E324" s="223">
        <f>(IF((VLOOKUP(Table10[[#This Row],[SKU]],'All Skus'!$A:$AC,2,FALSE))="Martin",(VLOOKUP(Table10[[#This Row],[SKU]],'All Skus'!$A:$AC,6,FALSE)),""))</f>
        <v>0</v>
      </c>
      <c r="F324" s="155" t="str">
        <f>(IF((VLOOKUP(Table10[[#This Row],[SKU]],'All Skus'!$A:$AC,2,FALSE))="Martin",(VLOOKUP(Table10[[#This Row],[SKU]],'All Skus'!$A:$AC,7,FALSE)),""))</f>
        <v>EOL pre-notice - not recommend to specify for 2025 projects - please specify Exterior Linear Pro</v>
      </c>
      <c r="G324" s="223" t="str">
        <f>(IF((VLOOKUP(Table10[[#This Row],[SKU]],'All Skus'!$A:$AC,2,FALSE))="Martin",(VLOOKUP(Table10[[#This Row],[SKU]],'All Skus'!$A:$AC,8,FALSE)),""))</f>
        <v xml:space="preserve">END TERMINATION CAP </v>
      </c>
      <c r="H324" s="223" t="str">
        <f>(IF((VLOOKUP(Table10[[#This Row],[SKU]],'All Skus'!$A:$AC,2,FALSE))="Martin",(VLOOKUP(Table10[[#This Row],[SKU]],'All Skus'!$A:$AC,9,FALSE)),""))</f>
        <v xml:space="preserve">END TERMINATION CAP </v>
      </c>
      <c r="I324" s="225">
        <f>(IF((VLOOKUP(Table10[[#This Row],[SKU]],'All Skus'!$A:$AC,2,FALSE))="Martin",(VLOOKUP(Table10[[#This Row],[SKU]],'All Skus'!$A:$AC,10,FALSE)),""))</f>
        <v>33.340000000000003</v>
      </c>
      <c r="J324" s="226">
        <f>(IF((VLOOKUP(Table10[[#This Row],[SKU]],'All Skus'!$A:$AC,2,FALSE))="Martin",(VLOOKUP(Table10[[#This Row],[SKU]],'All Skus'!$A:$AC,11,FALSE)),""))</f>
        <v>33.340000000000003</v>
      </c>
      <c r="K324" s="224">
        <f>(IF((VLOOKUP(Table10[[#This Row],[SKU]],'All Skus'!$A:$AC,2,FALSE))="Martin",(VLOOKUP(Table10[[#This Row],[SKU]],'All Skus'!$A:$AC,15,FALSE)),""))</f>
        <v>0</v>
      </c>
      <c r="L324" s="224">
        <f>(IF((VLOOKUP(Table10[[#This Row],[SKU]],'All Skus'!$A:$AC,2,FALSE))="Martin",(VLOOKUP(Table10[[#This Row],[SKU]],'All Skus'!$A:$AC,16,FALSE)),""))</f>
        <v>0</v>
      </c>
      <c r="M324" s="224">
        <f>(IF((VLOOKUP(Table10[[#This Row],[SKU]],'All Skus'!$A:$AC,2,FALSE))="Martin",(VLOOKUP(Table10[[#This Row],[SKU]],'All Skus'!$A:$AC,17,FALSE)),""))</f>
        <v>0</v>
      </c>
      <c r="N324" s="227">
        <f>(IF((VLOOKUP(Table10[[#This Row],[SKU]],'All Skus'!$A:$AC,2,FALSE))="Martin",(VLOOKUP(Table10[[#This Row],[SKU]],'All Skus'!$A:$AC,18,FALSE)),""))</f>
        <v>0</v>
      </c>
      <c r="O324" s="227">
        <f>(IF((VLOOKUP(Table10[[#This Row],[SKU]],'All Skus'!$A:$AC,2,FALSE))="Martin",(VLOOKUP(Table10[[#This Row],[SKU]],'All Skus'!$A:$AC,19,FALSE)),""))</f>
        <v>0</v>
      </c>
      <c r="P324" s="227">
        <f>(IF((VLOOKUP(Table10[[#This Row],[SKU]],'All Skus'!$A:$AC,2,FALSE))="Martin",(VLOOKUP(Table10[[#This Row],[SKU]],'All Skus'!$A:$AC,20,FALSE)),""))</f>
        <v>0</v>
      </c>
      <c r="Q324" s="227">
        <f>(IF((VLOOKUP(Table10[[#This Row],[SKU]],'All Skus'!$A:$AC,2,FALSE))="Martin",(VLOOKUP(Table10[[#This Row],[SKU]],'All Skus'!$A:$AC,21,FALSE)),""))</f>
        <v>0</v>
      </c>
      <c r="R324" s="224" t="str">
        <f>(IF((VLOOKUP(Table10[[#This Row],[SKU]],'All Skus'!$A:$AC,2,FALSE))="Martin",(VLOOKUP(Table10[[#This Row],[SKU]],'All Skus'!$A:$AC,22,FALSE)),""))</f>
        <v>CN</v>
      </c>
      <c r="S324" s="223" t="str">
        <f>(IF((VLOOKUP(Table10[[#This Row],[SKU]],'All Skus'!$A:$AC,2,FALSE))="Martin",(VLOOKUP(Table10[[#This Row],[SKU]],'All Skus'!$A:$AC,23,FALSE)),""))</f>
        <v>Non Compliant</v>
      </c>
      <c r="T324" s="212" t="str">
        <f>HYPERLINK((IF((VLOOKUP(Table10[[#This Row],[SKU]],'All Skus'!$A:$AC,2,FALSE))="Martin",(VLOOKUP(Table10[[#This Row],[SKU]],'All Skus'!$A:$AC,24,FALSE)),"")))</f>
        <v>http://www.martin.com/en-us/product-details/exterior-linear-cove-series</v>
      </c>
      <c r="U324" s="228">
        <v>322</v>
      </c>
    </row>
    <row r="325" spans="1:21" hidden="1">
      <c r="A325" s="111" t="s">
        <v>2103</v>
      </c>
      <c r="B325" s="224">
        <f>(IF((VLOOKUP(Table10[[#This Row],[SKU]],'All Skus'!$A:$AC,2,FALSE))="Martin",(VLOOKUP(Table10[[#This Row],[SKU]],'All Skus'!$A:$AC,3,FALSE)),""))</f>
        <v>0</v>
      </c>
      <c r="C325" s="223">
        <f>(IF((VLOOKUP(Table10[[#This Row],[SKU]],'All Skus'!$A:$AC,2,FALSE))="Martin",(VLOOKUP(Table10[[#This Row],[SKU]],'All Skus'!$A:$AC,4,FALSE)),""))</f>
        <v>0</v>
      </c>
      <c r="D325" s="224">
        <f>(IF((VLOOKUP(Table10[[#This Row],[SKU]],'All Skus'!$A:$AC,2,FALSE))="Martin",(VLOOKUP(Table10[[#This Row],[SKU]],'All Skus'!$A:$AC,5,FALSE)),""))</f>
        <v>0</v>
      </c>
      <c r="E325" s="223">
        <f>(IF((VLOOKUP(Table10[[#This Row],[SKU]],'All Skus'!$A:$AC,2,FALSE))="Martin",(VLOOKUP(Table10[[#This Row],[SKU]],'All Skus'!$A:$AC,6,FALSE)),""))</f>
        <v>0</v>
      </c>
      <c r="F325" s="155">
        <f>(IF((VLOOKUP(Table10[[#This Row],[SKU]],'All Skus'!$A:$AC,2,FALSE))="Martin",(VLOOKUP(Table10[[#This Row],[SKU]],'All Skus'!$A:$AC,7,FALSE)),""))</f>
        <v>0</v>
      </c>
      <c r="G325" s="223">
        <f>(IF((VLOOKUP(Table10[[#This Row],[SKU]],'All Skus'!$A:$AC,2,FALSE))="Martin",(VLOOKUP(Table10[[#This Row],[SKU]],'All Skus'!$A:$AC,8,FALSE)),""))</f>
        <v>0</v>
      </c>
      <c r="H325" s="223">
        <f>(IF((VLOOKUP(Table10[[#This Row],[SKU]],'All Skus'!$A:$AC,2,FALSE))="Martin",(VLOOKUP(Table10[[#This Row],[SKU]],'All Skus'!$A:$AC,9,FALSE)),""))</f>
        <v>0</v>
      </c>
      <c r="I325" s="225">
        <f>(IF((VLOOKUP(Table10[[#This Row],[SKU]],'All Skus'!$A:$AC,2,FALSE))="Martin",(VLOOKUP(Table10[[#This Row],[SKU]],'All Skus'!$A:$AC,10,FALSE)),""))</f>
        <v>0</v>
      </c>
      <c r="J325" s="226">
        <f>(IF((VLOOKUP(Table10[[#This Row],[SKU]],'All Skus'!$A:$AC,2,FALSE))="Martin",(VLOOKUP(Table10[[#This Row],[SKU]],'All Skus'!$A:$AC,11,FALSE)),""))</f>
        <v>0</v>
      </c>
      <c r="K325" s="224">
        <f>(IF((VLOOKUP(Table10[[#This Row],[SKU]],'All Skus'!$A:$AC,2,FALSE))="Martin",(VLOOKUP(Table10[[#This Row],[SKU]],'All Skus'!$A:$AC,15,FALSE)),""))</f>
        <v>0</v>
      </c>
      <c r="L325" s="224">
        <f>(IF((VLOOKUP(Table10[[#This Row],[SKU]],'All Skus'!$A:$AC,2,FALSE))="Martin",(VLOOKUP(Table10[[#This Row],[SKU]],'All Skus'!$A:$AC,16,FALSE)),""))</f>
        <v>0</v>
      </c>
      <c r="M325" s="224">
        <f>(IF((VLOOKUP(Table10[[#This Row],[SKU]],'All Skus'!$A:$AC,2,FALSE))="Martin",(VLOOKUP(Table10[[#This Row],[SKU]],'All Skus'!$A:$AC,17,FALSE)),""))</f>
        <v>0</v>
      </c>
      <c r="N325" s="227">
        <f>(IF((VLOOKUP(Table10[[#This Row],[SKU]],'All Skus'!$A:$AC,2,FALSE))="Martin",(VLOOKUP(Table10[[#This Row],[SKU]],'All Skus'!$A:$AC,18,FALSE)),""))</f>
        <v>0</v>
      </c>
      <c r="O325" s="227">
        <f>(IF((VLOOKUP(Table10[[#This Row],[SKU]],'All Skus'!$A:$AC,2,FALSE))="Martin",(VLOOKUP(Table10[[#This Row],[SKU]],'All Skus'!$A:$AC,19,FALSE)),""))</f>
        <v>0</v>
      </c>
      <c r="P325" s="227">
        <f>(IF((VLOOKUP(Table10[[#This Row],[SKU]],'All Skus'!$A:$AC,2,FALSE))="Martin",(VLOOKUP(Table10[[#This Row],[SKU]],'All Skus'!$A:$AC,20,FALSE)),""))</f>
        <v>0</v>
      </c>
      <c r="Q325" s="227">
        <f>(IF((VLOOKUP(Table10[[#This Row],[SKU]],'All Skus'!$A:$AC,2,FALSE))="Martin",(VLOOKUP(Table10[[#This Row],[SKU]],'All Skus'!$A:$AC,21,FALSE)),""))</f>
        <v>0</v>
      </c>
      <c r="R325" s="224">
        <f>(IF((VLOOKUP(Table10[[#This Row],[SKU]],'All Skus'!$A:$AC,2,FALSE))="Martin",(VLOOKUP(Table10[[#This Row],[SKU]],'All Skus'!$A:$AC,22,FALSE)),""))</f>
        <v>0</v>
      </c>
      <c r="S325" s="223">
        <f>(IF((VLOOKUP(Table10[[#This Row],[SKU]],'All Skus'!$A:$AC,2,FALSE))="Martin",(VLOOKUP(Table10[[#This Row],[SKU]],'All Skus'!$A:$AC,23,FALSE)),""))</f>
        <v>0</v>
      </c>
      <c r="T325" s="212" t="str">
        <f>HYPERLINK((IF((VLOOKUP(Table10[[#This Row],[SKU]],'All Skus'!$A:$AC,2,FALSE))="Martin",(VLOOKUP(Table10[[#This Row],[SKU]],'All Skus'!$A:$AC,24,FALSE)),"")))</f>
        <v/>
      </c>
      <c r="U325" s="228">
        <v>323</v>
      </c>
    </row>
    <row r="326" spans="1:21" hidden="1">
      <c r="A326" s="115" t="s">
        <v>2104</v>
      </c>
      <c r="B326" s="224">
        <f>(IF((VLOOKUP(Table10[[#This Row],[SKU]],'All Skus'!$A:$AC,2,FALSE))="Martin",(VLOOKUP(Table10[[#This Row],[SKU]],'All Skus'!$A:$AC,3,FALSE)),""))</f>
        <v>0</v>
      </c>
      <c r="C326" s="223">
        <f>(IF((VLOOKUP(Table10[[#This Row],[SKU]],'All Skus'!$A:$AC,2,FALSE))="Martin",(VLOOKUP(Table10[[#This Row],[SKU]],'All Skus'!$A:$AC,4,FALSE)),""))</f>
        <v>0</v>
      </c>
      <c r="D326" s="224">
        <f>(IF((VLOOKUP(Table10[[#This Row],[SKU]],'All Skus'!$A:$AC,2,FALSE))="Martin",(VLOOKUP(Table10[[#This Row],[SKU]],'All Skus'!$A:$AC,5,FALSE)),""))</f>
        <v>0</v>
      </c>
      <c r="E326" s="223">
        <f>(IF((VLOOKUP(Table10[[#This Row],[SKU]],'All Skus'!$A:$AC,2,FALSE))="Martin",(VLOOKUP(Table10[[#This Row],[SKU]],'All Skus'!$A:$AC,6,FALSE)),""))</f>
        <v>0</v>
      </c>
      <c r="F326" s="155">
        <f>(IF((VLOOKUP(Table10[[#This Row],[SKU]],'All Skus'!$A:$AC,2,FALSE))="Martin",(VLOOKUP(Table10[[#This Row],[SKU]],'All Skus'!$A:$AC,7,FALSE)),""))</f>
        <v>0</v>
      </c>
      <c r="G326" s="223">
        <f>(IF((VLOOKUP(Table10[[#This Row],[SKU]],'All Skus'!$A:$AC,2,FALSE))="Martin",(VLOOKUP(Table10[[#This Row],[SKU]],'All Skus'!$A:$AC,8,FALSE)),""))</f>
        <v>0</v>
      </c>
      <c r="H326" s="223">
        <f>(IF((VLOOKUP(Table10[[#This Row],[SKU]],'All Skus'!$A:$AC,2,FALSE))="Martin",(VLOOKUP(Table10[[#This Row],[SKU]],'All Skus'!$A:$AC,9,FALSE)),""))</f>
        <v>0</v>
      </c>
      <c r="I326" s="225">
        <f>(IF((VLOOKUP(Table10[[#This Row],[SKU]],'All Skus'!$A:$AC,2,FALSE))="Martin",(VLOOKUP(Table10[[#This Row],[SKU]],'All Skus'!$A:$AC,10,FALSE)),""))</f>
        <v>0</v>
      </c>
      <c r="J326" s="226">
        <f>(IF((VLOOKUP(Table10[[#This Row],[SKU]],'All Skus'!$A:$AC,2,FALSE))="Martin",(VLOOKUP(Table10[[#This Row],[SKU]],'All Skus'!$A:$AC,11,FALSE)),""))</f>
        <v>0</v>
      </c>
      <c r="K326" s="224">
        <f>(IF((VLOOKUP(Table10[[#This Row],[SKU]],'All Skus'!$A:$AC,2,FALSE))="Martin",(VLOOKUP(Table10[[#This Row],[SKU]],'All Skus'!$A:$AC,15,FALSE)),""))</f>
        <v>0</v>
      </c>
      <c r="L326" s="224">
        <f>(IF((VLOOKUP(Table10[[#This Row],[SKU]],'All Skus'!$A:$AC,2,FALSE))="Martin",(VLOOKUP(Table10[[#This Row],[SKU]],'All Skus'!$A:$AC,16,FALSE)),""))</f>
        <v>0</v>
      </c>
      <c r="M326" s="224">
        <f>(IF((VLOOKUP(Table10[[#This Row],[SKU]],'All Skus'!$A:$AC,2,FALSE))="Martin",(VLOOKUP(Table10[[#This Row],[SKU]],'All Skus'!$A:$AC,17,FALSE)),""))</f>
        <v>0</v>
      </c>
      <c r="N326" s="227">
        <f>(IF((VLOOKUP(Table10[[#This Row],[SKU]],'All Skus'!$A:$AC,2,FALSE))="Martin",(VLOOKUP(Table10[[#This Row],[SKU]],'All Skus'!$A:$AC,18,FALSE)),""))</f>
        <v>0</v>
      </c>
      <c r="O326" s="227">
        <f>(IF((VLOOKUP(Table10[[#This Row],[SKU]],'All Skus'!$A:$AC,2,FALSE))="Martin",(VLOOKUP(Table10[[#This Row],[SKU]],'All Skus'!$A:$AC,19,FALSE)),""))</f>
        <v>0</v>
      </c>
      <c r="P326" s="227">
        <f>(IF((VLOOKUP(Table10[[#This Row],[SKU]],'All Skus'!$A:$AC,2,FALSE))="Martin",(VLOOKUP(Table10[[#This Row],[SKU]],'All Skus'!$A:$AC,20,FALSE)),""))</f>
        <v>0</v>
      </c>
      <c r="Q326" s="227">
        <f>(IF((VLOOKUP(Table10[[#This Row],[SKU]],'All Skus'!$A:$AC,2,FALSE))="Martin",(VLOOKUP(Table10[[#This Row],[SKU]],'All Skus'!$A:$AC,21,FALSE)),""))</f>
        <v>0</v>
      </c>
      <c r="R326" s="224">
        <f>(IF((VLOOKUP(Table10[[#This Row],[SKU]],'All Skus'!$A:$AC,2,FALSE))="Martin",(VLOOKUP(Table10[[#This Row],[SKU]],'All Skus'!$A:$AC,22,FALSE)),""))</f>
        <v>0</v>
      </c>
      <c r="S326" s="223">
        <f>(IF((VLOOKUP(Table10[[#This Row],[SKU]],'All Skus'!$A:$AC,2,FALSE))="Martin",(VLOOKUP(Table10[[#This Row],[SKU]],'All Skus'!$A:$AC,23,FALSE)),""))</f>
        <v>0</v>
      </c>
      <c r="T326" s="212" t="str">
        <f>HYPERLINK((IF((VLOOKUP(Table10[[#This Row],[SKU]],'All Skus'!$A:$AC,2,FALSE))="Martin",(VLOOKUP(Table10[[#This Row],[SKU]],'All Skus'!$A:$AC,24,FALSE)),"")))</f>
        <v/>
      </c>
      <c r="U326" s="228">
        <v>324</v>
      </c>
    </row>
    <row r="327" spans="1:21" hidden="1">
      <c r="A327" s="112" t="s">
        <v>2105</v>
      </c>
      <c r="B327" s="224" t="str">
        <f>(IF((VLOOKUP(Table10[[#This Row],[SKU]],'All Skus'!$A:$AC,2,FALSE))="Martin",(VLOOKUP(Table10[[#This Row],[SKU]],'All Skus'!$A:$AC,3,FALSE)),""))</f>
        <v>Linear</v>
      </c>
      <c r="C327" s="223" t="str">
        <f>(IF((VLOOKUP(Table10[[#This Row],[SKU]],'All Skus'!$A:$AC,2,FALSE))="Martin",(VLOOKUP(Table10[[#This Row],[SKU]],'All Skus'!$A:$AC,4,FALSE)),""))</f>
        <v>Ext PixLine 10 RGB 320mm Clr Front Alu</v>
      </c>
      <c r="D327" s="224" t="str">
        <f>(IF((VLOOKUP(Table10[[#This Row],[SKU]],'All Skus'!$A:$AC,2,FALSE))="Martin",(VLOOKUP(Table10[[#This Row],[SKU]],'All Skus'!$A:$AC,5,FALSE)),""))</f>
        <v>EXT-CREAT</v>
      </c>
      <c r="E327" s="223">
        <f>(IF((VLOOKUP(Table10[[#This Row],[SKU]],'All Skus'!$A:$AC,2,FALSE))="Martin",(VLOOKUP(Table10[[#This Row],[SKU]],'All Skus'!$A:$AC,6,FALSE)),""))</f>
        <v>0</v>
      </c>
      <c r="F327" s="155" t="str">
        <f>(IF((VLOOKUP(Table10[[#This Row],[SKU]],'All Skus'!$A:$AC,2,FALSE))="Martin",(VLOOKUP(Table10[[#This Row],[SKU]],'All Skus'!$A:$AC,7,FALSE)),""))</f>
        <v>Production stop - Earliest delivery August 2023</v>
      </c>
      <c r="G327" s="223" t="str">
        <f>(IF((VLOOKUP(Table10[[#This Row],[SKU]],'All Skus'!$A:$AC,2,FALSE))="Martin",(VLOOKUP(Table10[[#This Row],[SKU]],'All Skus'!$A:$AC,8,FALSE)),""))</f>
        <v>Ext PixLine 10 RGB 320mm Clr Front Alu</v>
      </c>
      <c r="H327" s="223" t="str">
        <f>(IF((VLOOKUP(Table10[[#This Row],[SKU]],'All Skus'!$A:$AC,2,FALSE))="Martin",(VLOOKUP(Table10[[#This Row],[SKU]],'All Skus'!$A:$AC,9,FALSE)),""))</f>
        <v>Ext PixLine 10 RGB 320mm Clr Front Alu</v>
      </c>
      <c r="I327" s="225">
        <f>(IF((VLOOKUP(Table10[[#This Row],[SKU]],'All Skus'!$A:$AC,2,FALSE))="Martin",(VLOOKUP(Table10[[#This Row],[SKU]],'All Skus'!$A:$AC,10,FALSE)),""))</f>
        <v>477.85</v>
      </c>
      <c r="J327" s="226">
        <f>(IF((VLOOKUP(Table10[[#This Row],[SKU]],'All Skus'!$A:$AC,2,FALSE))="Martin",(VLOOKUP(Table10[[#This Row],[SKU]],'All Skus'!$A:$AC,11,FALSE)),""))</f>
        <v>477.85</v>
      </c>
      <c r="K327" s="224">
        <f>(IF((VLOOKUP(Table10[[#This Row],[SKU]],'All Skus'!$A:$AC,2,FALSE))="Martin",(VLOOKUP(Table10[[#This Row],[SKU]],'All Skus'!$A:$AC,15,FALSE)),""))</f>
        <v>0</v>
      </c>
      <c r="L327" s="224">
        <f>(IF((VLOOKUP(Table10[[#This Row],[SKU]],'All Skus'!$A:$AC,2,FALSE))="Martin",(VLOOKUP(Table10[[#This Row],[SKU]],'All Skus'!$A:$AC,16,FALSE)),""))</f>
        <v>5706681234103</v>
      </c>
      <c r="M327" s="224">
        <f>(IF((VLOOKUP(Table10[[#This Row],[SKU]],'All Skus'!$A:$AC,2,FALSE))="Martin",(VLOOKUP(Table10[[#This Row],[SKU]],'All Skus'!$A:$AC,17,FALSE)),""))</f>
        <v>0</v>
      </c>
      <c r="N327" s="227">
        <f>(IF((VLOOKUP(Table10[[#This Row],[SKU]],'All Skus'!$A:$AC,2,FALSE))="Martin",(VLOOKUP(Table10[[#This Row],[SKU]],'All Skus'!$A:$AC,18,FALSE)),""))</f>
        <v>0</v>
      </c>
      <c r="O327" s="227">
        <f>(IF((VLOOKUP(Table10[[#This Row],[SKU]],'All Skus'!$A:$AC,2,FALSE))="Martin",(VLOOKUP(Table10[[#This Row],[SKU]],'All Skus'!$A:$AC,19,FALSE)),""))</f>
        <v>0</v>
      </c>
      <c r="P327" s="227">
        <f>(IF((VLOOKUP(Table10[[#This Row],[SKU]],'All Skus'!$A:$AC,2,FALSE))="Martin",(VLOOKUP(Table10[[#This Row],[SKU]],'All Skus'!$A:$AC,20,FALSE)),""))</f>
        <v>0</v>
      </c>
      <c r="Q327" s="227">
        <f>(IF((VLOOKUP(Table10[[#This Row],[SKU]],'All Skus'!$A:$AC,2,FALSE))="Martin",(VLOOKUP(Table10[[#This Row],[SKU]],'All Skus'!$A:$AC,21,FALSE)),""))</f>
        <v>0</v>
      </c>
      <c r="R327" s="224" t="str">
        <f>(IF((VLOOKUP(Table10[[#This Row],[SKU]],'All Skus'!$A:$AC,2,FALSE))="Martin",(VLOOKUP(Table10[[#This Row],[SKU]],'All Skus'!$A:$AC,22,FALSE)),""))</f>
        <v>HU</v>
      </c>
      <c r="S327" s="223">
        <f>(IF((VLOOKUP(Table10[[#This Row],[SKU]],'All Skus'!$A:$AC,2,FALSE))="Martin",(VLOOKUP(Table10[[#This Row],[SKU]],'All Skus'!$A:$AC,23,FALSE)),""))</f>
        <v>0</v>
      </c>
      <c r="T327" s="212" t="str">
        <f>HYPERLINK((IF((VLOOKUP(Table10[[#This Row],[SKU]],'All Skus'!$A:$AC,2,FALSE))="Martin",(VLOOKUP(Table10[[#This Row],[SKU]],'All Skus'!$A:$AC,24,FALSE)),"")))</f>
        <v/>
      </c>
      <c r="U327" s="228">
        <v>325</v>
      </c>
    </row>
    <row r="328" spans="1:21" hidden="1">
      <c r="A328" s="112" t="s">
        <v>2106</v>
      </c>
      <c r="B328" s="224" t="str">
        <f>(IF((VLOOKUP(Table10[[#This Row],[SKU]],'All Skus'!$A:$AC,2,FALSE))="Martin",(VLOOKUP(Table10[[#This Row],[SKU]],'All Skus'!$A:$AC,3,FALSE)),""))</f>
        <v>Linear</v>
      </c>
      <c r="C328" s="223" t="str">
        <f>(IF((VLOOKUP(Table10[[#This Row],[SKU]],'All Skus'!$A:$AC,2,FALSE))="Martin",(VLOOKUP(Table10[[#This Row],[SKU]],'All Skus'!$A:$AC,4,FALSE)),""))</f>
        <v>Ext PixLine 10 RGB 1280mm Clr Front Alu</v>
      </c>
      <c r="D328" s="224" t="str">
        <f>(IF((VLOOKUP(Table10[[#This Row],[SKU]],'All Skus'!$A:$AC,2,FALSE))="Martin",(VLOOKUP(Table10[[#This Row],[SKU]],'All Skus'!$A:$AC,5,FALSE)),""))</f>
        <v>EXT-CREAT</v>
      </c>
      <c r="E328" s="223">
        <f>(IF((VLOOKUP(Table10[[#This Row],[SKU]],'All Skus'!$A:$AC,2,FALSE))="Martin",(VLOOKUP(Table10[[#This Row],[SKU]],'All Skus'!$A:$AC,6,FALSE)),""))</f>
        <v>0</v>
      </c>
      <c r="F328" s="155" t="str">
        <f>(IF((VLOOKUP(Table10[[#This Row],[SKU]],'All Skus'!$A:$AC,2,FALSE))="Martin",(VLOOKUP(Table10[[#This Row],[SKU]],'All Skus'!$A:$AC,7,FALSE)),""))</f>
        <v>Production stop - Earliest delivery August 2023</v>
      </c>
      <c r="G328" s="223" t="str">
        <f>(IF((VLOOKUP(Table10[[#This Row],[SKU]],'All Skus'!$A:$AC,2,FALSE))="Martin",(VLOOKUP(Table10[[#This Row],[SKU]],'All Skus'!$A:$AC,8,FALSE)),""))</f>
        <v>Ext PixLine 10 RGB 1280mm Clr Front Alu</v>
      </c>
      <c r="H328" s="223" t="str">
        <f>(IF((VLOOKUP(Table10[[#This Row],[SKU]],'All Skus'!$A:$AC,2,FALSE))="Martin",(VLOOKUP(Table10[[#This Row],[SKU]],'All Skus'!$A:$AC,9,FALSE)),""))</f>
        <v>Ext PixLine 10 RGB 1280mm Clr Front Alu</v>
      </c>
      <c r="I328" s="225">
        <f>(IF((VLOOKUP(Table10[[#This Row],[SKU]],'All Skus'!$A:$AC,2,FALSE))="Martin",(VLOOKUP(Table10[[#This Row],[SKU]],'All Skus'!$A:$AC,10,FALSE)),""))</f>
        <v>1043.3800000000001</v>
      </c>
      <c r="J328" s="226">
        <f>(IF((VLOOKUP(Table10[[#This Row],[SKU]],'All Skus'!$A:$AC,2,FALSE))="Martin",(VLOOKUP(Table10[[#This Row],[SKU]],'All Skus'!$A:$AC,11,FALSE)),""))</f>
        <v>1043.3800000000001</v>
      </c>
      <c r="K328" s="224">
        <f>(IF((VLOOKUP(Table10[[#This Row],[SKU]],'All Skus'!$A:$AC,2,FALSE))="Martin",(VLOOKUP(Table10[[#This Row],[SKU]],'All Skus'!$A:$AC,15,FALSE)),""))</f>
        <v>0</v>
      </c>
      <c r="L328" s="224">
        <f>(IF((VLOOKUP(Table10[[#This Row],[SKU]],'All Skus'!$A:$AC,2,FALSE))="Martin",(VLOOKUP(Table10[[#This Row],[SKU]],'All Skus'!$A:$AC,16,FALSE)),""))</f>
        <v>5706681234080</v>
      </c>
      <c r="M328" s="224">
        <f>(IF((VLOOKUP(Table10[[#This Row],[SKU]],'All Skus'!$A:$AC,2,FALSE))="Martin",(VLOOKUP(Table10[[#This Row],[SKU]],'All Skus'!$A:$AC,17,FALSE)),""))</f>
        <v>0</v>
      </c>
      <c r="N328" s="227">
        <f>(IF((VLOOKUP(Table10[[#This Row],[SKU]],'All Skus'!$A:$AC,2,FALSE))="Martin",(VLOOKUP(Table10[[#This Row],[SKU]],'All Skus'!$A:$AC,18,FALSE)),""))</f>
        <v>0</v>
      </c>
      <c r="O328" s="227">
        <f>(IF((VLOOKUP(Table10[[#This Row],[SKU]],'All Skus'!$A:$AC,2,FALSE))="Martin",(VLOOKUP(Table10[[#This Row],[SKU]],'All Skus'!$A:$AC,19,FALSE)),""))</f>
        <v>0</v>
      </c>
      <c r="P328" s="227">
        <f>(IF((VLOOKUP(Table10[[#This Row],[SKU]],'All Skus'!$A:$AC,2,FALSE))="Martin",(VLOOKUP(Table10[[#This Row],[SKU]],'All Skus'!$A:$AC,20,FALSE)),""))</f>
        <v>0</v>
      </c>
      <c r="Q328" s="227">
        <f>(IF((VLOOKUP(Table10[[#This Row],[SKU]],'All Skus'!$A:$AC,2,FALSE))="Martin",(VLOOKUP(Table10[[#This Row],[SKU]],'All Skus'!$A:$AC,21,FALSE)),""))</f>
        <v>0</v>
      </c>
      <c r="R328" s="224" t="str">
        <f>(IF((VLOOKUP(Table10[[#This Row],[SKU]],'All Skus'!$A:$AC,2,FALSE))="Martin",(VLOOKUP(Table10[[#This Row],[SKU]],'All Skus'!$A:$AC,22,FALSE)),""))</f>
        <v>HU</v>
      </c>
      <c r="S328" s="223">
        <f>(IF((VLOOKUP(Table10[[#This Row],[SKU]],'All Skus'!$A:$AC,2,FALSE))="Martin",(VLOOKUP(Table10[[#This Row],[SKU]],'All Skus'!$A:$AC,23,FALSE)),""))</f>
        <v>0</v>
      </c>
      <c r="T328" s="212" t="str">
        <f>HYPERLINK((IF((VLOOKUP(Table10[[#This Row],[SKU]],'All Skus'!$A:$AC,2,FALSE))="Martin",(VLOOKUP(Table10[[#This Row],[SKU]],'All Skus'!$A:$AC,24,FALSE)),"")))</f>
        <v>http://www.martin.com/en-us/product-details/exterior-pixline-10</v>
      </c>
      <c r="U328" s="228">
        <v>326</v>
      </c>
    </row>
    <row r="329" spans="1:21" hidden="1">
      <c r="A329" s="112" t="s">
        <v>2107</v>
      </c>
      <c r="B329" s="224" t="str">
        <f>(IF((VLOOKUP(Table10[[#This Row],[SKU]],'All Skus'!$A:$AC,2,FALSE))="Martin",(VLOOKUP(Table10[[#This Row],[SKU]],'All Skus'!$A:$AC,3,FALSE)),""))</f>
        <v>LED Video</v>
      </c>
      <c r="C329" s="223" t="str">
        <f>(IF((VLOOKUP(Table10[[#This Row],[SKU]],'All Skus'!$A:$AC,2,FALSE))="Martin",(VLOOKUP(Table10[[#This Row],[SKU]],'All Skus'!$A:$AC,4,FALSE)),""))</f>
        <v>Ext PixLine 10 RGB 320mm Diff Front Alu</v>
      </c>
      <c r="D329" s="224" t="str">
        <f>(IF((VLOOKUP(Table10[[#This Row],[SKU]],'All Skus'!$A:$AC,2,FALSE))="Martin",(VLOOKUP(Table10[[#This Row],[SKU]],'All Skus'!$A:$AC,5,FALSE)),""))</f>
        <v>EXT-CREAT</v>
      </c>
      <c r="E329" s="223">
        <f>(IF((VLOOKUP(Table10[[#This Row],[SKU]],'All Skus'!$A:$AC,2,FALSE))="Martin",(VLOOKUP(Table10[[#This Row],[SKU]],'All Skus'!$A:$AC,6,FALSE)),""))</f>
        <v>0</v>
      </c>
      <c r="F329" s="155" t="str">
        <f>(IF((VLOOKUP(Table10[[#This Row],[SKU]],'All Skus'!$A:$AC,2,FALSE))="Martin",(VLOOKUP(Table10[[#This Row],[SKU]],'All Skus'!$A:$AC,7,FALSE)),""))</f>
        <v>Production stop - Earliest delivery August 2023</v>
      </c>
      <c r="G329" s="223" t="str">
        <f>(IF((VLOOKUP(Table10[[#This Row],[SKU]],'All Skus'!$A:$AC,2,FALSE))="Martin",(VLOOKUP(Table10[[#This Row],[SKU]],'All Skus'!$A:$AC,8,FALSE)),""))</f>
        <v>Ext PixLine 10 RGB 320mm Diff Front Alu</v>
      </c>
      <c r="H329" s="223" t="str">
        <f>(IF((VLOOKUP(Table10[[#This Row],[SKU]],'All Skus'!$A:$AC,2,FALSE))="Martin",(VLOOKUP(Table10[[#This Row],[SKU]],'All Skus'!$A:$AC,9,FALSE)),""))</f>
        <v>Ext PixLine 10 RGB 320mm Diff Front Alu</v>
      </c>
      <c r="I329" s="225">
        <f>(IF((VLOOKUP(Table10[[#This Row],[SKU]],'All Skus'!$A:$AC,2,FALSE))="Martin",(VLOOKUP(Table10[[#This Row],[SKU]],'All Skus'!$A:$AC,10,FALSE)),""))</f>
        <v>477.85</v>
      </c>
      <c r="J329" s="226">
        <f>(IF((VLOOKUP(Table10[[#This Row],[SKU]],'All Skus'!$A:$AC,2,FALSE))="Martin",(VLOOKUP(Table10[[#This Row],[SKU]],'All Skus'!$A:$AC,11,FALSE)),""))</f>
        <v>477.85</v>
      </c>
      <c r="K329" s="224">
        <f>(IF((VLOOKUP(Table10[[#This Row],[SKU]],'All Skus'!$A:$AC,2,FALSE))="Martin",(VLOOKUP(Table10[[#This Row],[SKU]],'All Skus'!$A:$AC,15,FALSE)),""))</f>
        <v>0</v>
      </c>
      <c r="L329" s="224">
        <f>(IF((VLOOKUP(Table10[[#This Row],[SKU]],'All Skus'!$A:$AC,2,FALSE))="Martin",(VLOOKUP(Table10[[#This Row],[SKU]],'All Skus'!$A:$AC,16,FALSE)),""))</f>
        <v>5706681234097</v>
      </c>
      <c r="M329" s="224">
        <f>(IF((VLOOKUP(Table10[[#This Row],[SKU]],'All Skus'!$A:$AC,2,FALSE))="Martin",(VLOOKUP(Table10[[#This Row],[SKU]],'All Skus'!$A:$AC,17,FALSE)),""))</f>
        <v>0</v>
      </c>
      <c r="N329" s="227">
        <f>(IF((VLOOKUP(Table10[[#This Row],[SKU]],'All Skus'!$A:$AC,2,FALSE))="Martin",(VLOOKUP(Table10[[#This Row],[SKU]],'All Skus'!$A:$AC,18,FALSE)),""))</f>
        <v>0</v>
      </c>
      <c r="O329" s="227">
        <f>(IF((VLOOKUP(Table10[[#This Row],[SKU]],'All Skus'!$A:$AC,2,FALSE))="Martin",(VLOOKUP(Table10[[#This Row],[SKU]],'All Skus'!$A:$AC,19,FALSE)),""))</f>
        <v>0</v>
      </c>
      <c r="P329" s="227">
        <f>(IF((VLOOKUP(Table10[[#This Row],[SKU]],'All Skus'!$A:$AC,2,FALSE))="Martin",(VLOOKUP(Table10[[#This Row],[SKU]],'All Skus'!$A:$AC,20,FALSE)),""))</f>
        <v>0</v>
      </c>
      <c r="Q329" s="227">
        <f>(IF((VLOOKUP(Table10[[#This Row],[SKU]],'All Skus'!$A:$AC,2,FALSE))="Martin",(VLOOKUP(Table10[[#This Row],[SKU]],'All Skus'!$A:$AC,21,FALSE)),""))</f>
        <v>0</v>
      </c>
      <c r="R329" s="224" t="str">
        <f>(IF((VLOOKUP(Table10[[#This Row],[SKU]],'All Skus'!$A:$AC,2,FALSE))="Martin",(VLOOKUP(Table10[[#This Row],[SKU]],'All Skus'!$A:$AC,22,FALSE)),""))</f>
        <v>HU</v>
      </c>
      <c r="S329" s="223">
        <f>(IF((VLOOKUP(Table10[[#This Row],[SKU]],'All Skus'!$A:$AC,2,FALSE))="Martin",(VLOOKUP(Table10[[#This Row],[SKU]],'All Skus'!$A:$AC,23,FALSE)),""))</f>
        <v>0</v>
      </c>
      <c r="T329" s="212" t="str">
        <f>HYPERLINK((IF((VLOOKUP(Table10[[#This Row],[SKU]],'All Skus'!$A:$AC,2,FALSE))="Martin",(VLOOKUP(Table10[[#This Row],[SKU]],'All Skus'!$A:$AC,24,FALSE)),"")))</f>
        <v>http://www.martin.com/en-us/product-details/exterior-pixline-10</v>
      </c>
      <c r="U329" s="228">
        <v>327</v>
      </c>
    </row>
    <row r="330" spans="1:21" hidden="1">
      <c r="A330" s="112" t="s">
        <v>2108</v>
      </c>
      <c r="B330" s="224" t="str">
        <f>(IF((VLOOKUP(Table10[[#This Row],[SKU]],'All Skus'!$A:$AC,2,FALSE))="Martin",(VLOOKUP(Table10[[#This Row],[SKU]],'All Skus'!$A:$AC,3,FALSE)),""))</f>
        <v>LED Video</v>
      </c>
      <c r="C330" s="223" t="str">
        <f>(IF((VLOOKUP(Table10[[#This Row],[SKU]],'All Skus'!$A:$AC,2,FALSE))="Martin",(VLOOKUP(Table10[[#This Row],[SKU]],'All Skus'!$A:$AC,4,FALSE)),""))</f>
        <v>Ext PixLine 10 RGB 1280mm Diff Front Alu</v>
      </c>
      <c r="D330" s="224" t="str">
        <f>(IF((VLOOKUP(Table10[[#This Row],[SKU]],'All Skus'!$A:$AC,2,FALSE))="Martin",(VLOOKUP(Table10[[#This Row],[SKU]],'All Skus'!$A:$AC,5,FALSE)),""))</f>
        <v>EXT-CREAT</v>
      </c>
      <c r="E330" s="223">
        <f>(IF((VLOOKUP(Table10[[#This Row],[SKU]],'All Skus'!$A:$AC,2,FALSE))="Martin",(VLOOKUP(Table10[[#This Row],[SKU]],'All Skus'!$A:$AC,6,FALSE)),""))</f>
        <v>0</v>
      </c>
      <c r="F330" s="155" t="str">
        <f>(IF((VLOOKUP(Table10[[#This Row],[SKU]],'All Skus'!$A:$AC,2,FALSE))="Martin",(VLOOKUP(Table10[[#This Row],[SKU]],'All Skus'!$A:$AC,7,FALSE)),""))</f>
        <v>Production stop - Earliest delivery August 2023</v>
      </c>
      <c r="G330" s="223" t="str">
        <f>(IF((VLOOKUP(Table10[[#This Row],[SKU]],'All Skus'!$A:$AC,2,FALSE))="Martin",(VLOOKUP(Table10[[#This Row],[SKU]],'All Skus'!$A:$AC,8,FALSE)),""))</f>
        <v>Ext PixLine 10 RGB 1280mm Diff Front Alu</v>
      </c>
      <c r="H330" s="223" t="str">
        <f>(IF((VLOOKUP(Table10[[#This Row],[SKU]],'All Skus'!$A:$AC,2,FALSE))="Martin",(VLOOKUP(Table10[[#This Row],[SKU]],'All Skus'!$A:$AC,9,FALSE)),""))</f>
        <v>Ext PixLine 10 RGB 1280mm Diff Front Alu</v>
      </c>
      <c r="I330" s="225">
        <f>(IF((VLOOKUP(Table10[[#This Row],[SKU]],'All Skus'!$A:$AC,2,FALSE))="Martin",(VLOOKUP(Table10[[#This Row],[SKU]],'All Skus'!$A:$AC,10,FALSE)),""))</f>
        <v>1043.3800000000001</v>
      </c>
      <c r="J330" s="226">
        <f>(IF((VLOOKUP(Table10[[#This Row],[SKU]],'All Skus'!$A:$AC,2,FALSE))="Martin",(VLOOKUP(Table10[[#This Row],[SKU]],'All Skus'!$A:$AC,11,FALSE)),""))</f>
        <v>1043.3800000000001</v>
      </c>
      <c r="K330" s="224">
        <f>(IF((VLOOKUP(Table10[[#This Row],[SKU]],'All Skus'!$A:$AC,2,FALSE))="Martin",(VLOOKUP(Table10[[#This Row],[SKU]],'All Skus'!$A:$AC,15,FALSE)),""))</f>
        <v>0</v>
      </c>
      <c r="L330" s="224">
        <f>(IF((VLOOKUP(Table10[[#This Row],[SKU]],'All Skus'!$A:$AC,2,FALSE))="Martin",(VLOOKUP(Table10[[#This Row],[SKU]],'All Skus'!$A:$AC,16,FALSE)),""))</f>
        <v>5706681234073</v>
      </c>
      <c r="M330" s="224">
        <f>(IF((VLOOKUP(Table10[[#This Row],[SKU]],'All Skus'!$A:$AC,2,FALSE))="Martin",(VLOOKUP(Table10[[#This Row],[SKU]],'All Skus'!$A:$AC,17,FALSE)),""))</f>
        <v>0</v>
      </c>
      <c r="N330" s="227">
        <f>(IF((VLOOKUP(Table10[[#This Row],[SKU]],'All Skus'!$A:$AC,2,FALSE))="Martin",(VLOOKUP(Table10[[#This Row],[SKU]],'All Skus'!$A:$AC,18,FALSE)),""))</f>
        <v>0</v>
      </c>
      <c r="O330" s="227">
        <f>(IF((VLOOKUP(Table10[[#This Row],[SKU]],'All Skus'!$A:$AC,2,FALSE))="Martin",(VLOOKUP(Table10[[#This Row],[SKU]],'All Skus'!$A:$AC,19,FALSE)),""))</f>
        <v>0</v>
      </c>
      <c r="P330" s="227">
        <f>(IF((VLOOKUP(Table10[[#This Row],[SKU]],'All Skus'!$A:$AC,2,FALSE))="Martin",(VLOOKUP(Table10[[#This Row],[SKU]],'All Skus'!$A:$AC,20,FALSE)),""))</f>
        <v>0</v>
      </c>
      <c r="Q330" s="227">
        <f>(IF((VLOOKUP(Table10[[#This Row],[SKU]],'All Skus'!$A:$AC,2,FALSE))="Martin",(VLOOKUP(Table10[[#This Row],[SKU]],'All Skus'!$A:$AC,21,FALSE)),""))</f>
        <v>0</v>
      </c>
      <c r="R330" s="224" t="str">
        <f>(IF((VLOOKUP(Table10[[#This Row],[SKU]],'All Skus'!$A:$AC,2,FALSE))="Martin",(VLOOKUP(Table10[[#This Row],[SKU]],'All Skus'!$A:$AC,22,FALSE)),""))</f>
        <v>HU</v>
      </c>
      <c r="S330" s="223">
        <f>(IF((VLOOKUP(Table10[[#This Row],[SKU]],'All Skus'!$A:$AC,2,FALSE))="Martin",(VLOOKUP(Table10[[#This Row],[SKU]],'All Skus'!$A:$AC,23,FALSE)),""))</f>
        <v>0</v>
      </c>
      <c r="T330" s="212" t="str">
        <f>HYPERLINK((IF((VLOOKUP(Table10[[#This Row],[SKU]],'All Skus'!$A:$AC,2,FALSE))="Martin",(VLOOKUP(Table10[[#This Row],[SKU]],'All Skus'!$A:$AC,24,FALSE)),"")))</f>
        <v>http://www.martin.com/en-us/product-details/exterior-pixline-10</v>
      </c>
      <c r="U330" s="228">
        <v>328</v>
      </c>
    </row>
    <row r="331" spans="1:21" hidden="1">
      <c r="A331" s="112" t="s">
        <v>2109</v>
      </c>
      <c r="B331" s="224" t="str">
        <f>(IF((VLOOKUP(Table10[[#This Row],[SKU]],'All Skus'!$A:$AC,2,FALSE))="Martin",(VLOOKUP(Table10[[#This Row],[SKU]],'All Skus'!$A:$AC,3,FALSE)),""))</f>
        <v>Linear</v>
      </c>
      <c r="C331" s="223" t="str">
        <f>(IF((VLOOKUP(Table10[[#This Row],[SKU]],'All Skus'!$A:$AC,2,FALSE))="Martin",(VLOOKUP(Table10[[#This Row],[SKU]],'All Skus'!$A:$AC,4,FALSE)),""))</f>
        <v>Ext PixLine 10 RGB 320mm Rnd Dif Fr Alu</v>
      </c>
      <c r="D331" s="224" t="str">
        <f>(IF((VLOOKUP(Table10[[#This Row],[SKU]],'All Skus'!$A:$AC,2,FALSE))="Martin",(VLOOKUP(Table10[[#This Row],[SKU]],'All Skus'!$A:$AC,5,FALSE)),""))</f>
        <v>EXT-CREAT</v>
      </c>
      <c r="E331" s="223">
        <f>(IF((VLOOKUP(Table10[[#This Row],[SKU]],'All Skus'!$A:$AC,2,FALSE))="Martin",(VLOOKUP(Table10[[#This Row],[SKU]],'All Skus'!$A:$AC,6,FALSE)),""))</f>
        <v>0</v>
      </c>
      <c r="F331" s="155" t="str">
        <f>(IF((VLOOKUP(Table10[[#This Row],[SKU]],'All Skus'!$A:$AC,2,FALSE))="Martin",(VLOOKUP(Table10[[#This Row],[SKU]],'All Skus'!$A:$AC,7,FALSE)),""))</f>
        <v>Production stop - Earliest delivery August 2023</v>
      </c>
      <c r="G331" s="223" t="str">
        <f>(IF((VLOOKUP(Table10[[#This Row],[SKU]],'All Skus'!$A:$AC,2,FALSE))="Martin",(VLOOKUP(Table10[[#This Row],[SKU]],'All Skus'!$A:$AC,8,FALSE)),""))</f>
        <v>Ext PixLine 10 RGB 320mm Rnd Dif Fr Alu</v>
      </c>
      <c r="H331" s="223" t="str">
        <f>(IF((VLOOKUP(Table10[[#This Row],[SKU]],'All Skus'!$A:$AC,2,FALSE))="Martin",(VLOOKUP(Table10[[#This Row],[SKU]],'All Skus'!$A:$AC,9,FALSE)),""))</f>
        <v>Ext PixLine 10 RGB 320mm Rnd Dif Fr Alu</v>
      </c>
      <c r="I331" s="225">
        <f>(IF((VLOOKUP(Table10[[#This Row],[SKU]],'All Skus'!$A:$AC,2,FALSE))="Martin",(VLOOKUP(Table10[[#This Row],[SKU]],'All Skus'!$A:$AC,10,FALSE)),""))</f>
        <v>477.85</v>
      </c>
      <c r="J331" s="226">
        <f>(IF((VLOOKUP(Table10[[#This Row],[SKU]],'All Skus'!$A:$AC,2,FALSE))="Martin",(VLOOKUP(Table10[[#This Row],[SKU]],'All Skus'!$A:$AC,11,FALSE)),""))</f>
        <v>477.85</v>
      </c>
      <c r="K331" s="224">
        <f>(IF((VLOOKUP(Table10[[#This Row],[SKU]],'All Skus'!$A:$AC,2,FALSE))="Martin",(VLOOKUP(Table10[[#This Row],[SKU]],'All Skus'!$A:$AC,15,FALSE)),""))</f>
        <v>0</v>
      </c>
      <c r="L331" s="224">
        <f>(IF((VLOOKUP(Table10[[#This Row],[SKU]],'All Skus'!$A:$AC,2,FALSE))="Martin",(VLOOKUP(Table10[[#This Row],[SKU]],'All Skus'!$A:$AC,16,FALSE)),""))</f>
        <v>5706681234066</v>
      </c>
      <c r="M331" s="224">
        <f>(IF((VLOOKUP(Table10[[#This Row],[SKU]],'All Skus'!$A:$AC,2,FALSE))="Martin",(VLOOKUP(Table10[[#This Row],[SKU]],'All Skus'!$A:$AC,17,FALSE)),""))</f>
        <v>0</v>
      </c>
      <c r="N331" s="227">
        <f>(IF((VLOOKUP(Table10[[#This Row],[SKU]],'All Skus'!$A:$AC,2,FALSE))="Martin",(VLOOKUP(Table10[[#This Row],[SKU]],'All Skus'!$A:$AC,18,FALSE)),""))</f>
        <v>0</v>
      </c>
      <c r="O331" s="227">
        <f>(IF((VLOOKUP(Table10[[#This Row],[SKU]],'All Skus'!$A:$AC,2,FALSE))="Martin",(VLOOKUP(Table10[[#This Row],[SKU]],'All Skus'!$A:$AC,19,FALSE)),""))</f>
        <v>0</v>
      </c>
      <c r="P331" s="227">
        <f>(IF((VLOOKUP(Table10[[#This Row],[SKU]],'All Skus'!$A:$AC,2,FALSE))="Martin",(VLOOKUP(Table10[[#This Row],[SKU]],'All Skus'!$A:$AC,20,FALSE)),""))</f>
        <v>0</v>
      </c>
      <c r="Q331" s="227">
        <f>(IF((VLOOKUP(Table10[[#This Row],[SKU]],'All Skus'!$A:$AC,2,FALSE))="Martin",(VLOOKUP(Table10[[#This Row],[SKU]],'All Skus'!$A:$AC,21,FALSE)),""))</f>
        <v>0</v>
      </c>
      <c r="R331" s="224" t="str">
        <f>(IF((VLOOKUP(Table10[[#This Row],[SKU]],'All Skus'!$A:$AC,2,FALSE))="Martin",(VLOOKUP(Table10[[#This Row],[SKU]],'All Skus'!$A:$AC,22,FALSE)),""))</f>
        <v>HU</v>
      </c>
      <c r="S331" s="223">
        <f>(IF((VLOOKUP(Table10[[#This Row],[SKU]],'All Skus'!$A:$AC,2,FALSE))="Martin",(VLOOKUP(Table10[[#This Row],[SKU]],'All Skus'!$A:$AC,23,FALSE)),""))</f>
        <v>0</v>
      </c>
      <c r="T331" s="212" t="str">
        <f>HYPERLINK((IF((VLOOKUP(Table10[[#This Row],[SKU]],'All Skus'!$A:$AC,2,FALSE))="Martin",(VLOOKUP(Table10[[#This Row],[SKU]],'All Skus'!$A:$AC,24,FALSE)),"")))</f>
        <v>http://www.martin.com/en-us/product-details/exterior-pixline-10</v>
      </c>
      <c r="U331" s="228">
        <v>329</v>
      </c>
    </row>
    <row r="332" spans="1:21" hidden="1">
      <c r="A332" s="112" t="s">
        <v>2110</v>
      </c>
      <c r="B332" s="224" t="str">
        <f>(IF((VLOOKUP(Table10[[#This Row],[SKU]],'All Skus'!$A:$AC,2,FALSE))="Martin",(VLOOKUP(Table10[[#This Row],[SKU]],'All Skus'!$A:$AC,3,FALSE)),""))</f>
        <v>Linear</v>
      </c>
      <c r="C332" s="223" t="str">
        <f>(IF((VLOOKUP(Table10[[#This Row],[SKU]],'All Skus'!$A:$AC,2,FALSE))="Martin",(VLOOKUP(Table10[[#This Row],[SKU]],'All Skus'!$A:$AC,4,FALSE)),""))</f>
        <v>Ext PixLine 10 RGB 1280mm Rnd Dif Fr Alu</v>
      </c>
      <c r="D332" s="224" t="str">
        <f>(IF((VLOOKUP(Table10[[#This Row],[SKU]],'All Skus'!$A:$AC,2,FALSE))="Martin",(VLOOKUP(Table10[[#This Row],[SKU]],'All Skus'!$A:$AC,5,FALSE)),""))</f>
        <v>EXT-CREAT</v>
      </c>
      <c r="E332" s="223">
        <f>(IF((VLOOKUP(Table10[[#This Row],[SKU]],'All Skus'!$A:$AC,2,FALSE))="Martin",(VLOOKUP(Table10[[#This Row],[SKU]],'All Skus'!$A:$AC,6,FALSE)),""))</f>
        <v>0</v>
      </c>
      <c r="F332" s="155" t="str">
        <f>(IF((VLOOKUP(Table10[[#This Row],[SKU]],'All Skus'!$A:$AC,2,FALSE))="Martin",(VLOOKUP(Table10[[#This Row],[SKU]],'All Skus'!$A:$AC,7,FALSE)),""))</f>
        <v>Production stop - Earliest delivery August 2023</v>
      </c>
      <c r="G332" s="223" t="str">
        <f>(IF((VLOOKUP(Table10[[#This Row],[SKU]],'All Skus'!$A:$AC,2,FALSE))="Martin",(VLOOKUP(Table10[[#This Row],[SKU]],'All Skus'!$A:$AC,8,FALSE)),""))</f>
        <v>Ext PixLine 10 RGB 1280mm Rnd Dif Fr Alu</v>
      </c>
      <c r="H332" s="223" t="str">
        <f>(IF((VLOOKUP(Table10[[#This Row],[SKU]],'All Skus'!$A:$AC,2,FALSE))="Martin",(VLOOKUP(Table10[[#This Row],[SKU]],'All Skus'!$A:$AC,9,FALSE)),""))</f>
        <v>Ext PixLine 10 RGB 1280mm Rnd Dif Fr Alu</v>
      </c>
      <c r="I332" s="225">
        <f>(IF((VLOOKUP(Table10[[#This Row],[SKU]],'All Skus'!$A:$AC,2,FALSE))="Martin",(VLOOKUP(Table10[[#This Row],[SKU]],'All Skus'!$A:$AC,10,FALSE)),""))</f>
        <v>1043.3800000000001</v>
      </c>
      <c r="J332" s="226">
        <f>(IF((VLOOKUP(Table10[[#This Row],[SKU]],'All Skus'!$A:$AC,2,FALSE))="Martin",(VLOOKUP(Table10[[#This Row],[SKU]],'All Skus'!$A:$AC,11,FALSE)),""))</f>
        <v>1043.3800000000001</v>
      </c>
      <c r="K332" s="224">
        <f>(IF((VLOOKUP(Table10[[#This Row],[SKU]],'All Skus'!$A:$AC,2,FALSE))="Martin",(VLOOKUP(Table10[[#This Row],[SKU]],'All Skus'!$A:$AC,15,FALSE)),""))</f>
        <v>0</v>
      </c>
      <c r="L332" s="224">
        <f>(IF((VLOOKUP(Table10[[#This Row],[SKU]],'All Skus'!$A:$AC,2,FALSE))="Martin",(VLOOKUP(Table10[[#This Row],[SKU]],'All Skus'!$A:$AC,16,FALSE)),""))</f>
        <v>5706681234059</v>
      </c>
      <c r="M332" s="224">
        <f>(IF((VLOOKUP(Table10[[#This Row],[SKU]],'All Skus'!$A:$AC,2,FALSE))="Martin",(VLOOKUP(Table10[[#This Row],[SKU]],'All Skus'!$A:$AC,17,FALSE)),""))</f>
        <v>0</v>
      </c>
      <c r="N332" s="227">
        <f>(IF((VLOOKUP(Table10[[#This Row],[SKU]],'All Skus'!$A:$AC,2,FALSE))="Martin",(VLOOKUP(Table10[[#This Row],[SKU]],'All Skus'!$A:$AC,18,FALSE)),""))</f>
        <v>0</v>
      </c>
      <c r="O332" s="227">
        <f>(IF((VLOOKUP(Table10[[#This Row],[SKU]],'All Skus'!$A:$AC,2,FALSE))="Martin",(VLOOKUP(Table10[[#This Row],[SKU]],'All Skus'!$A:$AC,19,FALSE)),""))</f>
        <v>0</v>
      </c>
      <c r="P332" s="227">
        <f>(IF((VLOOKUP(Table10[[#This Row],[SKU]],'All Skus'!$A:$AC,2,FALSE))="Martin",(VLOOKUP(Table10[[#This Row],[SKU]],'All Skus'!$A:$AC,20,FALSE)),""))</f>
        <v>0</v>
      </c>
      <c r="Q332" s="227">
        <f>(IF((VLOOKUP(Table10[[#This Row],[SKU]],'All Skus'!$A:$AC,2,FALSE))="Martin",(VLOOKUP(Table10[[#This Row],[SKU]],'All Skus'!$A:$AC,21,FALSE)),""))</f>
        <v>0</v>
      </c>
      <c r="R332" s="224" t="str">
        <f>(IF((VLOOKUP(Table10[[#This Row],[SKU]],'All Skus'!$A:$AC,2,FALSE))="Martin",(VLOOKUP(Table10[[#This Row],[SKU]],'All Skus'!$A:$AC,22,FALSE)),""))</f>
        <v>HU</v>
      </c>
      <c r="S332" s="223">
        <f>(IF((VLOOKUP(Table10[[#This Row],[SKU]],'All Skus'!$A:$AC,2,FALSE))="Martin",(VLOOKUP(Table10[[#This Row],[SKU]],'All Skus'!$A:$AC,23,FALSE)),""))</f>
        <v>0</v>
      </c>
      <c r="T332" s="212" t="str">
        <f>HYPERLINK((IF((VLOOKUP(Table10[[#This Row],[SKU]],'All Skus'!$A:$AC,2,FALSE))="Martin",(VLOOKUP(Table10[[#This Row],[SKU]],'All Skus'!$A:$AC,24,FALSE)),"")))</f>
        <v>http://www.martin.com/en-us/product-details/exterior-pixline-10</v>
      </c>
      <c r="U332" s="228">
        <v>330</v>
      </c>
    </row>
    <row r="333" spans="1:21" hidden="1">
      <c r="A333" s="112" t="s">
        <v>2111</v>
      </c>
      <c r="B333" s="224" t="str">
        <f>(IF((VLOOKUP(Table10[[#This Row],[SKU]],'All Skus'!$A:$AC,2,FALSE))="Martin",(VLOOKUP(Table10[[#This Row],[SKU]],'All Skus'!$A:$AC,3,FALSE)),""))</f>
        <v>Linear</v>
      </c>
      <c r="C333" s="223" t="str">
        <f>(IF((VLOOKUP(Table10[[#This Row],[SKU]],'All Skus'!$A:$AC,2,FALSE))="Martin",(VLOOKUP(Table10[[#This Row],[SKU]],'All Skus'!$A:$AC,4,FALSE)),""))</f>
        <v>Ext PixLine 10 RGB 320mm Squ Dif Fr Alu</v>
      </c>
      <c r="D333" s="224" t="str">
        <f>(IF((VLOOKUP(Table10[[#This Row],[SKU]],'All Skus'!$A:$AC,2,FALSE))="Martin",(VLOOKUP(Table10[[#This Row],[SKU]],'All Skus'!$A:$AC,5,FALSE)),""))</f>
        <v>EXT-CREAT</v>
      </c>
      <c r="E333" s="223">
        <f>(IF((VLOOKUP(Table10[[#This Row],[SKU]],'All Skus'!$A:$AC,2,FALSE))="Martin",(VLOOKUP(Table10[[#This Row],[SKU]],'All Skus'!$A:$AC,6,FALSE)),""))</f>
        <v>0</v>
      </c>
      <c r="F333" s="155" t="str">
        <f>(IF((VLOOKUP(Table10[[#This Row],[SKU]],'All Skus'!$A:$AC,2,FALSE))="Martin",(VLOOKUP(Table10[[#This Row],[SKU]],'All Skus'!$A:$AC,7,FALSE)),""))</f>
        <v>Production stop - Earliest delivery August 2023</v>
      </c>
      <c r="G333" s="223" t="str">
        <f>(IF((VLOOKUP(Table10[[#This Row],[SKU]],'All Skus'!$A:$AC,2,FALSE))="Martin",(VLOOKUP(Table10[[#This Row],[SKU]],'All Skus'!$A:$AC,8,FALSE)),""))</f>
        <v>Ext PixLine 10 RGB 320mm Squ Dif Fr Alu</v>
      </c>
      <c r="H333" s="223" t="str">
        <f>(IF((VLOOKUP(Table10[[#This Row],[SKU]],'All Skus'!$A:$AC,2,FALSE))="Martin",(VLOOKUP(Table10[[#This Row],[SKU]],'All Skus'!$A:$AC,9,FALSE)),""))</f>
        <v>Ext PixLine 10 RGB 320mm Squ Dif Fr Alu</v>
      </c>
      <c r="I333" s="225">
        <f>(IF((VLOOKUP(Table10[[#This Row],[SKU]],'All Skus'!$A:$AC,2,FALSE))="Martin",(VLOOKUP(Table10[[#This Row],[SKU]],'All Skus'!$A:$AC,10,FALSE)),""))</f>
        <v>477.85</v>
      </c>
      <c r="J333" s="226">
        <f>(IF((VLOOKUP(Table10[[#This Row],[SKU]],'All Skus'!$A:$AC,2,FALSE))="Martin",(VLOOKUP(Table10[[#This Row],[SKU]],'All Skus'!$A:$AC,11,FALSE)),""))</f>
        <v>477.85</v>
      </c>
      <c r="K333" s="224">
        <f>(IF((VLOOKUP(Table10[[#This Row],[SKU]],'All Skus'!$A:$AC,2,FALSE))="Martin",(VLOOKUP(Table10[[#This Row],[SKU]],'All Skus'!$A:$AC,15,FALSE)),""))</f>
        <v>0</v>
      </c>
      <c r="L333" s="224">
        <f>(IF((VLOOKUP(Table10[[#This Row],[SKU]],'All Skus'!$A:$AC,2,FALSE))="Martin",(VLOOKUP(Table10[[#This Row],[SKU]],'All Skus'!$A:$AC,16,FALSE)),""))</f>
        <v>5706681234042</v>
      </c>
      <c r="M333" s="224">
        <f>(IF((VLOOKUP(Table10[[#This Row],[SKU]],'All Skus'!$A:$AC,2,FALSE))="Martin",(VLOOKUP(Table10[[#This Row],[SKU]],'All Skus'!$A:$AC,17,FALSE)),""))</f>
        <v>0</v>
      </c>
      <c r="N333" s="227">
        <f>(IF((VLOOKUP(Table10[[#This Row],[SKU]],'All Skus'!$A:$AC,2,FALSE))="Martin",(VLOOKUP(Table10[[#This Row],[SKU]],'All Skus'!$A:$AC,18,FALSE)),""))</f>
        <v>0</v>
      </c>
      <c r="O333" s="227">
        <f>(IF((VLOOKUP(Table10[[#This Row],[SKU]],'All Skus'!$A:$AC,2,FALSE))="Martin",(VLOOKUP(Table10[[#This Row],[SKU]],'All Skus'!$A:$AC,19,FALSE)),""))</f>
        <v>0</v>
      </c>
      <c r="P333" s="227">
        <f>(IF((VLOOKUP(Table10[[#This Row],[SKU]],'All Skus'!$A:$AC,2,FALSE))="Martin",(VLOOKUP(Table10[[#This Row],[SKU]],'All Skus'!$A:$AC,20,FALSE)),""))</f>
        <v>0</v>
      </c>
      <c r="Q333" s="227">
        <f>(IF((VLOOKUP(Table10[[#This Row],[SKU]],'All Skus'!$A:$AC,2,FALSE))="Martin",(VLOOKUP(Table10[[#This Row],[SKU]],'All Skus'!$A:$AC,21,FALSE)),""))</f>
        <v>0</v>
      </c>
      <c r="R333" s="224" t="str">
        <f>(IF((VLOOKUP(Table10[[#This Row],[SKU]],'All Skus'!$A:$AC,2,FALSE))="Martin",(VLOOKUP(Table10[[#This Row],[SKU]],'All Skus'!$A:$AC,22,FALSE)),""))</f>
        <v>HU</v>
      </c>
      <c r="S333" s="223">
        <f>(IF((VLOOKUP(Table10[[#This Row],[SKU]],'All Skus'!$A:$AC,2,FALSE))="Martin",(VLOOKUP(Table10[[#This Row],[SKU]],'All Skus'!$A:$AC,23,FALSE)),""))</f>
        <v>0</v>
      </c>
      <c r="T333" s="212" t="str">
        <f>HYPERLINK((IF((VLOOKUP(Table10[[#This Row],[SKU]],'All Skus'!$A:$AC,2,FALSE))="Martin",(VLOOKUP(Table10[[#This Row],[SKU]],'All Skus'!$A:$AC,24,FALSE)),"")))</f>
        <v>http://www.martin.com/en-us/product-details/exterior-pixline-10</v>
      </c>
      <c r="U333" s="228">
        <v>331</v>
      </c>
    </row>
    <row r="334" spans="1:21" hidden="1">
      <c r="A334" s="112" t="s">
        <v>2112</v>
      </c>
      <c r="B334" s="224" t="str">
        <f>(IF((VLOOKUP(Table10[[#This Row],[SKU]],'All Skus'!$A:$AC,2,FALSE))="Martin",(VLOOKUP(Table10[[#This Row],[SKU]],'All Skus'!$A:$AC,3,FALSE)),""))</f>
        <v>Linear</v>
      </c>
      <c r="C334" s="223" t="str">
        <f>(IF((VLOOKUP(Table10[[#This Row],[SKU]],'All Skus'!$A:$AC,2,FALSE))="Martin",(VLOOKUP(Table10[[#This Row],[SKU]],'All Skus'!$A:$AC,4,FALSE)),""))</f>
        <v>Ext PixLine 10 RGB 1280mm Squ Dif Fr Alu</v>
      </c>
      <c r="D334" s="224" t="str">
        <f>(IF((VLOOKUP(Table10[[#This Row],[SKU]],'All Skus'!$A:$AC,2,FALSE))="Martin",(VLOOKUP(Table10[[#This Row],[SKU]],'All Skus'!$A:$AC,5,FALSE)),""))</f>
        <v>EXT-CREAT</v>
      </c>
      <c r="E334" s="223">
        <f>(IF((VLOOKUP(Table10[[#This Row],[SKU]],'All Skus'!$A:$AC,2,FALSE))="Martin",(VLOOKUP(Table10[[#This Row],[SKU]],'All Skus'!$A:$AC,6,FALSE)),""))</f>
        <v>0</v>
      </c>
      <c r="F334" s="155" t="str">
        <f>(IF((VLOOKUP(Table10[[#This Row],[SKU]],'All Skus'!$A:$AC,2,FALSE))="Martin",(VLOOKUP(Table10[[#This Row],[SKU]],'All Skus'!$A:$AC,7,FALSE)),""))</f>
        <v>Production stop - Earliest delivery August 2023</v>
      </c>
      <c r="G334" s="223" t="str">
        <f>(IF((VLOOKUP(Table10[[#This Row],[SKU]],'All Skus'!$A:$AC,2,FALSE))="Martin",(VLOOKUP(Table10[[#This Row],[SKU]],'All Skus'!$A:$AC,8,FALSE)),""))</f>
        <v>Ext PixLine 10 RGB 1280mm Squ Dif Fr Alu</v>
      </c>
      <c r="H334" s="223" t="str">
        <f>(IF((VLOOKUP(Table10[[#This Row],[SKU]],'All Skus'!$A:$AC,2,FALSE))="Martin",(VLOOKUP(Table10[[#This Row],[SKU]],'All Skus'!$A:$AC,9,FALSE)),""))</f>
        <v>Ext PixLine 10 RGB 1280mm Squ Dif Fr Alu</v>
      </c>
      <c r="I334" s="225">
        <f>(IF((VLOOKUP(Table10[[#This Row],[SKU]],'All Skus'!$A:$AC,2,FALSE))="Martin",(VLOOKUP(Table10[[#This Row],[SKU]],'All Skus'!$A:$AC,10,FALSE)),""))</f>
        <v>1043.3800000000001</v>
      </c>
      <c r="J334" s="226">
        <f>(IF((VLOOKUP(Table10[[#This Row],[SKU]],'All Skus'!$A:$AC,2,FALSE))="Martin",(VLOOKUP(Table10[[#This Row],[SKU]],'All Skus'!$A:$AC,11,FALSE)),""))</f>
        <v>1043.3800000000001</v>
      </c>
      <c r="K334" s="224">
        <f>(IF((VLOOKUP(Table10[[#This Row],[SKU]],'All Skus'!$A:$AC,2,FALSE))="Martin",(VLOOKUP(Table10[[#This Row],[SKU]],'All Skus'!$A:$AC,15,FALSE)),""))</f>
        <v>0</v>
      </c>
      <c r="L334" s="224">
        <f>(IF((VLOOKUP(Table10[[#This Row],[SKU]],'All Skus'!$A:$AC,2,FALSE))="Martin",(VLOOKUP(Table10[[#This Row],[SKU]],'All Skus'!$A:$AC,16,FALSE)),""))</f>
        <v>5706681234035</v>
      </c>
      <c r="M334" s="224">
        <f>(IF((VLOOKUP(Table10[[#This Row],[SKU]],'All Skus'!$A:$AC,2,FALSE))="Martin",(VLOOKUP(Table10[[#This Row],[SKU]],'All Skus'!$A:$AC,17,FALSE)),""))</f>
        <v>0</v>
      </c>
      <c r="N334" s="227">
        <f>(IF((VLOOKUP(Table10[[#This Row],[SKU]],'All Skus'!$A:$AC,2,FALSE))="Martin",(VLOOKUP(Table10[[#This Row],[SKU]],'All Skus'!$A:$AC,18,FALSE)),""))</f>
        <v>0</v>
      </c>
      <c r="O334" s="227">
        <f>(IF((VLOOKUP(Table10[[#This Row],[SKU]],'All Skus'!$A:$AC,2,FALSE))="Martin",(VLOOKUP(Table10[[#This Row],[SKU]],'All Skus'!$A:$AC,19,FALSE)),""))</f>
        <v>0</v>
      </c>
      <c r="P334" s="227">
        <f>(IF((VLOOKUP(Table10[[#This Row],[SKU]],'All Skus'!$A:$AC,2,FALSE))="Martin",(VLOOKUP(Table10[[#This Row],[SKU]],'All Skus'!$A:$AC,20,FALSE)),""))</f>
        <v>0</v>
      </c>
      <c r="Q334" s="227">
        <f>(IF((VLOOKUP(Table10[[#This Row],[SKU]],'All Skus'!$A:$AC,2,FALSE))="Martin",(VLOOKUP(Table10[[#This Row],[SKU]],'All Skus'!$A:$AC,21,FALSE)),""))</f>
        <v>0</v>
      </c>
      <c r="R334" s="224" t="str">
        <f>(IF((VLOOKUP(Table10[[#This Row],[SKU]],'All Skus'!$A:$AC,2,FALSE))="Martin",(VLOOKUP(Table10[[#This Row],[SKU]],'All Skus'!$A:$AC,22,FALSE)),""))</f>
        <v>HU</v>
      </c>
      <c r="S334" s="223">
        <f>(IF((VLOOKUP(Table10[[#This Row],[SKU]],'All Skus'!$A:$AC,2,FALSE))="Martin",(VLOOKUP(Table10[[#This Row],[SKU]],'All Skus'!$A:$AC,23,FALSE)),""))</f>
        <v>0</v>
      </c>
      <c r="T334" s="212" t="str">
        <f>HYPERLINK((IF((VLOOKUP(Table10[[#This Row],[SKU]],'All Skus'!$A:$AC,2,FALSE))="Martin",(VLOOKUP(Table10[[#This Row],[SKU]],'All Skus'!$A:$AC,24,FALSE)),"")))</f>
        <v>http://www.martin.com/en-us/product-details/exterior-pixline-10</v>
      </c>
      <c r="U334" s="228">
        <v>332</v>
      </c>
    </row>
    <row r="335" spans="1:21" hidden="1">
      <c r="A335" s="112" t="s">
        <v>2113</v>
      </c>
      <c r="B335" s="224" t="str">
        <f>(IF((VLOOKUP(Table10[[#This Row],[SKU]],'All Skus'!$A:$AC,2,FALSE))="Martin",(VLOOKUP(Table10[[#This Row],[SKU]],'All Skus'!$A:$AC,3,FALSE)),""))</f>
        <v>Linear</v>
      </c>
      <c r="C335" s="223" t="str">
        <f>(IF((VLOOKUP(Table10[[#This Row],[SKU]],'All Skus'!$A:$AC,2,FALSE))="Martin",(VLOOKUP(Table10[[#This Row],[SKU]],'All Skus'!$A:$AC,4,FALSE)),""))</f>
        <v>Ext PixLine 10 RGB 320mm As Len Lft Alu</v>
      </c>
      <c r="D335" s="224" t="str">
        <f>(IF((VLOOKUP(Table10[[#This Row],[SKU]],'All Skus'!$A:$AC,2,FALSE))="Martin",(VLOOKUP(Table10[[#This Row],[SKU]],'All Skus'!$A:$AC,5,FALSE)),""))</f>
        <v>EXT-CREAT</v>
      </c>
      <c r="E335" s="223">
        <f>(IF((VLOOKUP(Table10[[#This Row],[SKU]],'All Skus'!$A:$AC,2,FALSE))="Martin",(VLOOKUP(Table10[[#This Row],[SKU]],'All Skus'!$A:$AC,6,FALSE)),""))</f>
        <v>0</v>
      </c>
      <c r="F335" s="155" t="str">
        <f>(IF((VLOOKUP(Table10[[#This Row],[SKU]],'All Skus'!$A:$AC,2,FALSE))="Martin",(VLOOKUP(Table10[[#This Row],[SKU]],'All Skus'!$A:$AC,7,FALSE)),""))</f>
        <v>Production stop - Earliest delivery August 2023</v>
      </c>
      <c r="G335" s="223" t="str">
        <f>(IF((VLOOKUP(Table10[[#This Row],[SKU]],'All Skus'!$A:$AC,2,FALSE))="Martin",(VLOOKUP(Table10[[#This Row],[SKU]],'All Skus'!$A:$AC,8,FALSE)),""))</f>
        <v>Ext PixLine 10 RGB 320mm As Len Lft Alu</v>
      </c>
      <c r="H335" s="223" t="str">
        <f>(IF((VLOOKUP(Table10[[#This Row],[SKU]],'All Skus'!$A:$AC,2,FALSE))="Martin",(VLOOKUP(Table10[[#This Row],[SKU]],'All Skus'!$A:$AC,9,FALSE)),""))</f>
        <v>Ext PixLine 10 RGB 320mm As Len Lft Alu</v>
      </c>
      <c r="I335" s="225">
        <f>(IF((VLOOKUP(Table10[[#This Row],[SKU]],'All Skus'!$A:$AC,2,FALSE))="Martin",(VLOOKUP(Table10[[#This Row],[SKU]],'All Skus'!$A:$AC,10,FALSE)),""))</f>
        <v>495.14</v>
      </c>
      <c r="J335" s="226">
        <f>(IF((VLOOKUP(Table10[[#This Row],[SKU]],'All Skus'!$A:$AC,2,FALSE))="Martin",(VLOOKUP(Table10[[#This Row],[SKU]],'All Skus'!$A:$AC,11,FALSE)),""))</f>
        <v>495.14</v>
      </c>
      <c r="K335" s="224">
        <f>(IF((VLOOKUP(Table10[[#This Row],[SKU]],'All Skus'!$A:$AC,2,FALSE))="Martin",(VLOOKUP(Table10[[#This Row],[SKU]],'All Skus'!$A:$AC,15,FALSE)),""))</f>
        <v>0</v>
      </c>
      <c r="L335" s="224">
        <f>(IF((VLOOKUP(Table10[[#This Row],[SKU]],'All Skus'!$A:$AC,2,FALSE))="Martin",(VLOOKUP(Table10[[#This Row],[SKU]],'All Skus'!$A:$AC,16,FALSE)),""))</f>
        <v>5706681234028</v>
      </c>
      <c r="M335" s="224">
        <f>(IF((VLOOKUP(Table10[[#This Row],[SKU]],'All Skus'!$A:$AC,2,FALSE))="Martin",(VLOOKUP(Table10[[#This Row],[SKU]],'All Skus'!$A:$AC,17,FALSE)),""))</f>
        <v>0</v>
      </c>
      <c r="N335" s="227">
        <f>(IF((VLOOKUP(Table10[[#This Row],[SKU]],'All Skus'!$A:$AC,2,FALSE))="Martin",(VLOOKUP(Table10[[#This Row],[SKU]],'All Skus'!$A:$AC,18,FALSE)),""))</f>
        <v>0</v>
      </c>
      <c r="O335" s="227">
        <f>(IF((VLOOKUP(Table10[[#This Row],[SKU]],'All Skus'!$A:$AC,2,FALSE))="Martin",(VLOOKUP(Table10[[#This Row],[SKU]],'All Skus'!$A:$AC,19,FALSE)),""))</f>
        <v>0</v>
      </c>
      <c r="P335" s="227">
        <f>(IF((VLOOKUP(Table10[[#This Row],[SKU]],'All Skus'!$A:$AC,2,FALSE))="Martin",(VLOOKUP(Table10[[#This Row],[SKU]],'All Skus'!$A:$AC,20,FALSE)),""))</f>
        <v>0</v>
      </c>
      <c r="Q335" s="227">
        <f>(IF((VLOOKUP(Table10[[#This Row],[SKU]],'All Skus'!$A:$AC,2,FALSE))="Martin",(VLOOKUP(Table10[[#This Row],[SKU]],'All Skus'!$A:$AC,21,FALSE)),""))</f>
        <v>0</v>
      </c>
      <c r="R335" s="224" t="str">
        <f>(IF((VLOOKUP(Table10[[#This Row],[SKU]],'All Skus'!$A:$AC,2,FALSE))="Martin",(VLOOKUP(Table10[[#This Row],[SKU]],'All Skus'!$A:$AC,22,FALSE)),""))</f>
        <v>HU</v>
      </c>
      <c r="S335" s="223">
        <f>(IF((VLOOKUP(Table10[[#This Row],[SKU]],'All Skus'!$A:$AC,2,FALSE))="Martin",(VLOOKUP(Table10[[#This Row],[SKU]],'All Skus'!$A:$AC,23,FALSE)),""))</f>
        <v>0</v>
      </c>
      <c r="T335" s="212" t="str">
        <f>HYPERLINK((IF((VLOOKUP(Table10[[#This Row],[SKU]],'All Skus'!$A:$AC,2,FALSE))="Martin",(VLOOKUP(Table10[[#This Row],[SKU]],'All Skus'!$A:$AC,24,FALSE)),"")))</f>
        <v>http://www.martin.com/en-us/product-details/exterior-pixline-10</v>
      </c>
      <c r="U335" s="228">
        <v>333</v>
      </c>
    </row>
    <row r="336" spans="1:21" hidden="1">
      <c r="A336" s="112" t="s">
        <v>2114</v>
      </c>
      <c r="B336" s="224" t="str">
        <f>(IF((VLOOKUP(Table10[[#This Row],[SKU]],'All Skus'!$A:$AC,2,FALSE))="Martin",(VLOOKUP(Table10[[#This Row],[SKU]],'All Skus'!$A:$AC,3,FALSE)),""))</f>
        <v>Linear</v>
      </c>
      <c r="C336" s="223" t="str">
        <f>(IF((VLOOKUP(Table10[[#This Row],[SKU]],'All Skus'!$A:$AC,2,FALSE))="Martin",(VLOOKUP(Table10[[#This Row],[SKU]],'All Skus'!$A:$AC,4,FALSE)),""))</f>
        <v>Ext PixLine 10 RGB 1280mm As Len Lft Alu</v>
      </c>
      <c r="D336" s="224" t="str">
        <f>(IF((VLOOKUP(Table10[[#This Row],[SKU]],'All Skus'!$A:$AC,2,FALSE))="Martin",(VLOOKUP(Table10[[#This Row],[SKU]],'All Skus'!$A:$AC,5,FALSE)),""))</f>
        <v>EXT-CREAT</v>
      </c>
      <c r="E336" s="223">
        <f>(IF((VLOOKUP(Table10[[#This Row],[SKU]],'All Skus'!$A:$AC,2,FALSE))="Martin",(VLOOKUP(Table10[[#This Row],[SKU]],'All Skus'!$A:$AC,6,FALSE)),""))</f>
        <v>0</v>
      </c>
      <c r="F336" s="155" t="str">
        <f>(IF((VLOOKUP(Table10[[#This Row],[SKU]],'All Skus'!$A:$AC,2,FALSE))="Martin",(VLOOKUP(Table10[[#This Row],[SKU]],'All Skus'!$A:$AC,7,FALSE)),""))</f>
        <v>Production stop - Earliest delivery August 2023</v>
      </c>
      <c r="G336" s="223" t="str">
        <f>(IF((VLOOKUP(Table10[[#This Row],[SKU]],'All Skus'!$A:$AC,2,FALSE))="Martin",(VLOOKUP(Table10[[#This Row],[SKU]],'All Skus'!$A:$AC,8,FALSE)),""))</f>
        <v>Ext PixLine 10 RGB 1280mm As Len Lft Alu</v>
      </c>
      <c r="H336" s="223" t="str">
        <f>(IF((VLOOKUP(Table10[[#This Row],[SKU]],'All Skus'!$A:$AC,2,FALSE))="Martin",(VLOOKUP(Table10[[#This Row],[SKU]],'All Skus'!$A:$AC,9,FALSE)),""))</f>
        <v>Ext PixLine 10 RGB 1280mm As Len Lft Alu</v>
      </c>
      <c r="I336" s="225">
        <f>(IF((VLOOKUP(Table10[[#This Row],[SKU]],'All Skus'!$A:$AC,2,FALSE))="Martin",(VLOOKUP(Table10[[#This Row],[SKU]],'All Skus'!$A:$AC,10,FALSE)),""))</f>
        <v>1060.6600000000001</v>
      </c>
      <c r="J336" s="226">
        <f>(IF((VLOOKUP(Table10[[#This Row],[SKU]],'All Skus'!$A:$AC,2,FALSE))="Martin",(VLOOKUP(Table10[[#This Row],[SKU]],'All Skus'!$A:$AC,11,FALSE)),""))</f>
        <v>1060.6600000000001</v>
      </c>
      <c r="K336" s="224">
        <f>(IF((VLOOKUP(Table10[[#This Row],[SKU]],'All Skus'!$A:$AC,2,FALSE))="Martin",(VLOOKUP(Table10[[#This Row],[SKU]],'All Skus'!$A:$AC,15,FALSE)),""))</f>
        <v>0</v>
      </c>
      <c r="L336" s="224">
        <f>(IF((VLOOKUP(Table10[[#This Row],[SKU]],'All Skus'!$A:$AC,2,FALSE))="Martin",(VLOOKUP(Table10[[#This Row],[SKU]],'All Skus'!$A:$AC,16,FALSE)),""))</f>
        <v>5706681234011</v>
      </c>
      <c r="M336" s="224">
        <f>(IF((VLOOKUP(Table10[[#This Row],[SKU]],'All Skus'!$A:$AC,2,FALSE))="Martin",(VLOOKUP(Table10[[#This Row],[SKU]],'All Skus'!$A:$AC,17,FALSE)),""))</f>
        <v>0</v>
      </c>
      <c r="N336" s="227">
        <f>(IF((VLOOKUP(Table10[[#This Row],[SKU]],'All Skus'!$A:$AC,2,FALSE))="Martin",(VLOOKUP(Table10[[#This Row],[SKU]],'All Skus'!$A:$AC,18,FALSE)),""))</f>
        <v>0</v>
      </c>
      <c r="O336" s="227">
        <f>(IF((VLOOKUP(Table10[[#This Row],[SKU]],'All Skus'!$A:$AC,2,FALSE))="Martin",(VLOOKUP(Table10[[#This Row],[SKU]],'All Skus'!$A:$AC,19,FALSE)),""))</f>
        <v>0</v>
      </c>
      <c r="P336" s="227">
        <f>(IF((VLOOKUP(Table10[[#This Row],[SKU]],'All Skus'!$A:$AC,2,FALSE))="Martin",(VLOOKUP(Table10[[#This Row],[SKU]],'All Skus'!$A:$AC,20,FALSE)),""))</f>
        <v>0</v>
      </c>
      <c r="Q336" s="227">
        <f>(IF((VLOOKUP(Table10[[#This Row],[SKU]],'All Skus'!$A:$AC,2,FALSE))="Martin",(VLOOKUP(Table10[[#This Row],[SKU]],'All Skus'!$A:$AC,21,FALSE)),""))</f>
        <v>0</v>
      </c>
      <c r="R336" s="224" t="str">
        <f>(IF((VLOOKUP(Table10[[#This Row],[SKU]],'All Skus'!$A:$AC,2,FALSE))="Martin",(VLOOKUP(Table10[[#This Row],[SKU]],'All Skus'!$A:$AC,22,FALSE)),""))</f>
        <v>HU</v>
      </c>
      <c r="S336" s="223">
        <f>(IF((VLOOKUP(Table10[[#This Row],[SKU]],'All Skus'!$A:$AC,2,FALSE))="Martin",(VLOOKUP(Table10[[#This Row],[SKU]],'All Skus'!$A:$AC,23,FALSE)),""))</f>
        <v>0</v>
      </c>
      <c r="T336" s="212" t="str">
        <f>HYPERLINK((IF((VLOOKUP(Table10[[#This Row],[SKU]],'All Skus'!$A:$AC,2,FALSE))="Martin",(VLOOKUP(Table10[[#This Row],[SKU]],'All Skus'!$A:$AC,24,FALSE)),"")))</f>
        <v>http://www.martin.com/en-us/product-details/exterior-pixline-10</v>
      </c>
      <c r="U336" s="228">
        <v>334</v>
      </c>
    </row>
    <row r="337" spans="1:21" hidden="1">
      <c r="A337" s="112" t="s">
        <v>2115</v>
      </c>
      <c r="B337" s="224" t="str">
        <f>(IF((VLOOKUP(Table10[[#This Row],[SKU]],'All Skus'!$A:$AC,2,FALSE))="Martin",(VLOOKUP(Table10[[#This Row],[SKU]],'All Skus'!$A:$AC,3,FALSE)),""))</f>
        <v>Linear</v>
      </c>
      <c r="C337" s="223" t="str">
        <f>(IF((VLOOKUP(Table10[[#This Row],[SKU]],'All Skus'!$A:$AC,2,FALSE))="Martin",(VLOOKUP(Table10[[#This Row],[SKU]],'All Skus'!$A:$AC,4,FALSE)),""))</f>
        <v>Ext PixLine 10 RGB 320mm As Len Rgt Alu</v>
      </c>
      <c r="D337" s="224" t="str">
        <f>(IF((VLOOKUP(Table10[[#This Row],[SKU]],'All Skus'!$A:$AC,2,FALSE))="Martin",(VLOOKUP(Table10[[#This Row],[SKU]],'All Skus'!$A:$AC,5,FALSE)),""))</f>
        <v>EXT-CREAT</v>
      </c>
      <c r="E337" s="223">
        <f>(IF((VLOOKUP(Table10[[#This Row],[SKU]],'All Skus'!$A:$AC,2,FALSE))="Martin",(VLOOKUP(Table10[[#This Row],[SKU]],'All Skus'!$A:$AC,6,FALSE)),""))</f>
        <v>0</v>
      </c>
      <c r="F337" s="155" t="str">
        <f>(IF((VLOOKUP(Table10[[#This Row],[SKU]],'All Skus'!$A:$AC,2,FALSE))="Martin",(VLOOKUP(Table10[[#This Row],[SKU]],'All Skus'!$A:$AC,7,FALSE)),""))</f>
        <v>Production stop - Earliest delivery August 2023</v>
      </c>
      <c r="G337" s="223" t="str">
        <f>(IF((VLOOKUP(Table10[[#This Row],[SKU]],'All Skus'!$A:$AC,2,FALSE))="Martin",(VLOOKUP(Table10[[#This Row],[SKU]],'All Skus'!$A:$AC,8,FALSE)),""))</f>
        <v>Ext PixLine 10 RGB 320mm As Len Rgt Alu</v>
      </c>
      <c r="H337" s="223" t="str">
        <f>(IF((VLOOKUP(Table10[[#This Row],[SKU]],'All Skus'!$A:$AC,2,FALSE))="Martin",(VLOOKUP(Table10[[#This Row],[SKU]],'All Skus'!$A:$AC,9,FALSE)),""))</f>
        <v>Ext PixLine 10 RGB 320mm As Len Rgt Alu</v>
      </c>
      <c r="I337" s="225">
        <f>(IF((VLOOKUP(Table10[[#This Row],[SKU]],'All Skus'!$A:$AC,2,FALSE))="Martin",(VLOOKUP(Table10[[#This Row],[SKU]],'All Skus'!$A:$AC,10,FALSE)),""))</f>
        <v>495.14</v>
      </c>
      <c r="J337" s="226">
        <f>(IF((VLOOKUP(Table10[[#This Row],[SKU]],'All Skus'!$A:$AC,2,FALSE))="Martin",(VLOOKUP(Table10[[#This Row],[SKU]],'All Skus'!$A:$AC,11,FALSE)),""))</f>
        <v>495.14</v>
      </c>
      <c r="K337" s="224">
        <f>(IF((VLOOKUP(Table10[[#This Row],[SKU]],'All Skus'!$A:$AC,2,FALSE))="Martin",(VLOOKUP(Table10[[#This Row],[SKU]],'All Skus'!$A:$AC,15,FALSE)),""))</f>
        <v>0</v>
      </c>
      <c r="L337" s="224">
        <f>(IF((VLOOKUP(Table10[[#This Row],[SKU]],'All Skus'!$A:$AC,2,FALSE))="Martin",(VLOOKUP(Table10[[#This Row],[SKU]],'All Skus'!$A:$AC,16,FALSE)),""))</f>
        <v>5706681234004</v>
      </c>
      <c r="M337" s="224">
        <f>(IF((VLOOKUP(Table10[[#This Row],[SKU]],'All Skus'!$A:$AC,2,FALSE))="Martin",(VLOOKUP(Table10[[#This Row],[SKU]],'All Skus'!$A:$AC,17,FALSE)),""))</f>
        <v>0</v>
      </c>
      <c r="N337" s="227">
        <f>(IF((VLOOKUP(Table10[[#This Row],[SKU]],'All Skus'!$A:$AC,2,FALSE))="Martin",(VLOOKUP(Table10[[#This Row],[SKU]],'All Skus'!$A:$AC,18,FALSE)),""))</f>
        <v>0</v>
      </c>
      <c r="O337" s="227">
        <f>(IF((VLOOKUP(Table10[[#This Row],[SKU]],'All Skus'!$A:$AC,2,FALSE))="Martin",(VLOOKUP(Table10[[#This Row],[SKU]],'All Skus'!$A:$AC,19,FALSE)),""))</f>
        <v>0</v>
      </c>
      <c r="P337" s="227">
        <f>(IF((VLOOKUP(Table10[[#This Row],[SKU]],'All Skus'!$A:$AC,2,FALSE))="Martin",(VLOOKUP(Table10[[#This Row],[SKU]],'All Skus'!$A:$AC,20,FALSE)),""))</f>
        <v>0</v>
      </c>
      <c r="Q337" s="227">
        <f>(IF((VLOOKUP(Table10[[#This Row],[SKU]],'All Skus'!$A:$AC,2,FALSE))="Martin",(VLOOKUP(Table10[[#This Row],[SKU]],'All Skus'!$A:$AC,21,FALSE)),""))</f>
        <v>0</v>
      </c>
      <c r="R337" s="224" t="str">
        <f>(IF((VLOOKUP(Table10[[#This Row],[SKU]],'All Skus'!$A:$AC,2,FALSE))="Martin",(VLOOKUP(Table10[[#This Row],[SKU]],'All Skus'!$A:$AC,22,FALSE)),""))</f>
        <v>HU</v>
      </c>
      <c r="S337" s="223">
        <f>(IF((VLOOKUP(Table10[[#This Row],[SKU]],'All Skus'!$A:$AC,2,FALSE))="Martin",(VLOOKUP(Table10[[#This Row],[SKU]],'All Skus'!$A:$AC,23,FALSE)),""))</f>
        <v>0</v>
      </c>
      <c r="T337" s="212" t="str">
        <f>HYPERLINK((IF((VLOOKUP(Table10[[#This Row],[SKU]],'All Skus'!$A:$AC,2,FALSE))="Martin",(VLOOKUP(Table10[[#This Row],[SKU]],'All Skus'!$A:$AC,24,FALSE)),"")))</f>
        <v>http://www.martin.com/en-us/product-details/exterior-pixline-10</v>
      </c>
      <c r="U337" s="228">
        <v>335</v>
      </c>
    </row>
    <row r="338" spans="1:21" hidden="1">
      <c r="A338" s="112" t="s">
        <v>2116</v>
      </c>
      <c r="B338" s="224" t="str">
        <f>(IF((VLOOKUP(Table10[[#This Row],[SKU]],'All Skus'!$A:$AC,2,FALSE))="Martin",(VLOOKUP(Table10[[#This Row],[SKU]],'All Skus'!$A:$AC,3,FALSE)),""))</f>
        <v>Linear</v>
      </c>
      <c r="C338" s="223" t="str">
        <f>(IF((VLOOKUP(Table10[[#This Row],[SKU]],'All Skus'!$A:$AC,2,FALSE))="Martin",(VLOOKUP(Table10[[#This Row],[SKU]],'All Skus'!$A:$AC,4,FALSE)),""))</f>
        <v>Ext PixLine 10 RGB 1280mm As Len Rgt Alu</v>
      </c>
      <c r="D338" s="224" t="str">
        <f>(IF((VLOOKUP(Table10[[#This Row],[SKU]],'All Skus'!$A:$AC,2,FALSE))="Martin",(VLOOKUP(Table10[[#This Row],[SKU]],'All Skus'!$A:$AC,5,FALSE)),""))</f>
        <v>EXT-CREAT</v>
      </c>
      <c r="E338" s="223">
        <f>(IF((VLOOKUP(Table10[[#This Row],[SKU]],'All Skus'!$A:$AC,2,FALSE))="Martin",(VLOOKUP(Table10[[#This Row],[SKU]],'All Skus'!$A:$AC,6,FALSE)),""))</f>
        <v>0</v>
      </c>
      <c r="F338" s="155" t="str">
        <f>(IF((VLOOKUP(Table10[[#This Row],[SKU]],'All Skus'!$A:$AC,2,FALSE))="Martin",(VLOOKUP(Table10[[#This Row],[SKU]],'All Skus'!$A:$AC,7,FALSE)),""))</f>
        <v>Production stop - Earliest delivery August 2023</v>
      </c>
      <c r="G338" s="223" t="str">
        <f>(IF((VLOOKUP(Table10[[#This Row],[SKU]],'All Skus'!$A:$AC,2,FALSE))="Martin",(VLOOKUP(Table10[[#This Row],[SKU]],'All Skus'!$A:$AC,8,FALSE)),""))</f>
        <v>Ext PixLine 10 RGB 1280mm As Len Rgt Alu</v>
      </c>
      <c r="H338" s="223" t="str">
        <f>(IF((VLOOKUP(Table10[[#This Row],[SKU]],'All Skus'!$A:$AC,2,FALSE))="Martin",(VLOOKUP(Table10[[#This Row],[SKU]],'All Skus'!$A:$AC,9,FALSE)),""))</f>
        <v>Ext PixLine 10 RGB 1280mm As Len Rgt Alu</v>
      </c>
      <c r="I338" s="225">
        <f>(IF((VLOOKUP(Table10[[#This Row],[SKU]],'All Skus'!$A:$AC,2,FALSE))="Martin",(VLOOKUP(Table10[[#This Row],[SKU]],'All Skus'!$A:$AC,10,FALSE)),""))</f>
        <v>1060.6600000000001</v>
      </c>
      <c r="J338" s="226">
        <f>(IF((VLOOKUP(Table10[[#This Row],[SKU]],'All Skus'!$A:$AC,2,FALSE))="Martin",(VLOOKUP(Table10[[#This Row],[SKU]],'All Skus'!$A:$AC,11,FALSE)),""))</f>
        <v>1060.6600000000001</v>
      </c>
      <c r="K338" s="224">
        <f>(IF((VLOOKUP(Table10[[#This Row],[SKU]],'All Skus'!$A:$AC,2,FALSE))="Martin",(VLOOKUP(Table10[[#This Row],[SKU]],'All Skus'!$A:$AC,15,FALSE)),""))</f>
        <v>0</v>
      </c>
      <c r="L338" s="224">
        <f>(IF((VLOOKUP(Table10[[#This Row],[SKU]],'All Skus'!$A:$AC,2,FALSE))="Martin",(VLOOKUP(Table10[[#This Row],[SKU]],'All Skus'!$A:$AC,16,FALSE)),""))</f>
        <v>5706681233991</v>
      </c>
      <c r="M338" s="224">
        <f>(IF((VLOOKUP(Table10[[#This Row],[SKU]],'All Skus'!$A:$AC,2,FALSE))="Martin",(VLOOKUP(Table10[[#This Row],[SKU]],'All Skus'!$A:$AC,17,FALSE)),""))</f>
        <v>0</v>
      </c>
      <c r="N338" s="227">
        <f>(IF((VLOOKUP(Table10[[#This Row],[SKU]],'All Skus'!$A:$AC,2,FALSE))="Martin",(VLOOKUP(Table10[[#This Row],[SKU]],'All Skus'!$A:$AC,18,FALSE)),""))</f>
        <v>0</v>
      </c>
      <c r="O338" s="227">
        <f>(IF((VLOOKUP(Table10[[#This Row],[SKU]],'All Skus'!$A:$AC,2,FALSE))="Martin",(VLOOKUP(Table10[[#This Row],[SKU]],'All Skus'!$A:$AC,19,FALSE)),""))</f>
        <v>0</v>
      </c>
      <c r="P338" s="227">
        <f>(IF((VLOOKUP(Table10[[#This Row],[SKU]],'All Skus'!$A:$AC,2,FALSE))="Martin",(VLOOKUP(Table10[[#This Row],[SKU]],'All Skus'!$A:$AC,20,FALSE)),""))</f>
        <v>0</v>
      </c>
      <c r="Q338" s="227">
        <f>(IF((VLOOKUP(Table10[[#This Row],[SKU]],'All Skus'!$A:$AC,2,FALSE))="Martin",(VLOOKUP(Table10[[#This Row],[SKU]],'All Skus'!$A:$AC,21,FALSE)),""))</f>
        <v>0</v>
      </c>
      <c r="R338" s="224" t="str">
        <f>(IF((VLOOKUP(Table10[[#This Row],[SKU]],'All Skus'!$A:$AC,2,FALSE))="Martin",(VLOOKUP(Table10[[#This Row],[SKU]],'All Skus'!$A:$AC,22,FALSE)),""))</f>
        <v>HU</v>
      </c>
      <c r="S338" s="223">
        <f>(IF((VLOOKUP(Table10[[#This Row],[SKU]],'All Skus'!$A:$AC,2,FALSE))="Martin",(VLOOKUP(Table10[[#This Row],[SKU]],'All Skus'!$A:$AC,23,FALSE)),""))</f>
        <v>0</v>
      </c>
      <c r="T338" s="212" t="str">
        <f>HYPERLINK((IF((VLOOKUP(Table10[[#This Row],[SKU]],'All Skus'!$A:$AC,2,FALSE))="Martin",(VLOOKUP(Table10[[#This Row],[SKU]],'All Skus'!$A:$AC,24,FALSE)),"")))</f>
        <v>http://www.martin.com/en-us/product-details/exterior-pixline-10</v>
      </c>
      <c r="U338" s="228">
        <v>336</v>
      </c>
    </row>
    <row r="339" spans="1:21" hidden="1">
      <c r="A339" s="115" t="s">
        <v>2117</v>
      </c>
      <c r="B339" s="224">
        <f>(IF((VLOOKUP(Table10[[#This Row],[SKU]],'All Skus'!$A:$AC,2,FALSE))="Martin",(VLOOKUP(Table10[[#This Row],[SKU]],'All Skus'!$A:$AC,3,FALSE)),""))</f>
        <v>0</v>
      </c>
      <c r="C339" s="223">
        <f>(IF((VLOOKUP(Table10[[#This Row],[SKU]],'All Skus'!$A:$AC,2,FALSE))="Martin",(VLOOKUP(Table10[[#This Row],[SKU]],'All Skus'!$A:$AC,4,FALSE)),""))</f>
        <v>0</v>
      </c>
      <c r="D339" s="224">
        <f>(IF((VLOOKUP(Table10[[#This Row],[SKU]],'All Skus'!$A:$AC,2,FALSE))="Martin",(VLOOKUP(Table10[[#This Row],[SKU]],'All Skus'!$A:$AC,5,FALSE)),""))</f>
        <v>0</v>
      </c>
      <c r="E339" s="223">
        <f>(IF((VLOOKUP(Table10[[#This Row],[SKU]],'All Skus'!$A:$AC,2,FALSE))="Martin",(VLOOKUP(Table10[[#This Row],[SKU]],'All Skus'!$A:$AC,6,FALSE)),""))</f>
        <v>0</v>
      </c>
      <c r="F339" s="155">
        <f>(IF((VLOOKUP(Table10[[#This Row],[SKU]],'All Skus'!$A:$AC,2,FALSE))="Martin",(VLOOKUP(Table10[[#This Row],[SKU]],'All Skus'!$A:$AC,7,FALSE)),""))</f>
        <v>0</v>
      </c>
      <c r="G339" s="223">
        <f>(IF((VLOOKUP(Table10[[#This Row],[SKU]],'All Skus'!$A:$AC,2,FALSE))="Martin",(VLOOKUP(Table10[[#This Row],[SKU]],'All Skus'!$A:$AC,8,FALSE)),""))</f>
        <v>0</v>
      </c>
      <c r="H339" s="223">
        <f>(IF((VLOOKUP(Table10[[#This Row],[SKU]],'All Skus'!$A:$AC,2,FALSE))="Martin",(VLOOKUP(Table10[[#This Row],[SKU]],'All Skus'!$A:$AC,9,FALSE)),""))</f>
        <v>0</v>
      </c>
      <c r="I339" s="225">
        <f>(IF((VLOOKUP(Table10[[#This Row],[SKU]],'All Skus'!$A:$AC,2,FALSE))="Martin",(VLOOKUP(Table10[[#This Row],[SKU]],'All Skus'!$A:$AC,10,FALSE)),""))</f>
        <v>0</v>
      </c>
      <c r="J339" s="226">
        <f>(IF((VLOOKUP(Table10[[#This Row],[SKU]],'All Skus'!$A:$AC,2,FALSE))="Martin",(VLOOKUP(Table10[[#This Row],[SKU]],'All Skus'!$A:$AC,11,FALSE)),""))</f>
        <v>0</v>
      </c>
      <c r="K339" s="224">
        <f>(IF((VLOOKUP(Table10[[#This Row],[SKU]],'All Skus'!$A:$AC,2,FALSE))="Martin",(VLOOKUP(Table10[[#This Row],[SKU]],'All Skus'!$A:$AC,15,FALSE)),""))</f>
        <v>0</v>
      </c>
      <c r="L339" s="224">
        <f>(IF((VLOOKUP(Table10[[#This Row],[SKU]],'All Skus'!$A:$AC,2,FALSE))="Martin",(VLOOKUP(Table10[[#This Row],[SKU]],'All Skus'!$A:$AC,16,FALSE)),""))</f>
        <v>0</v>
      </c>
      <c r="M339" s="224">
        <f>(IF((VLOOKUP(Table10[[#This Row],[SKU]],'All Skus'!$A:$AC,2,FALSE))="Martin",(VLOOKUP(Table10[[#This Row],[SKU]],'All Skus'!$A:$AC,17,FALSE)),""))</f>
        <v>0</v>
      </c>
      <c r="N339" s="227">
        <f>(IF((VLOOKUP(Table10[[#This Row],[SKU]],'All Skus'!$A:$AC,2,FALSE))="Martin",(VLOOKUP(Table10[[#This Row],[SKU]],'All Skus'!$A:$AC,18,FALSE)),""))</f>
        <v>0</v>
      </c>
      <c r="O339" s="227">
        <f>(IF((VLOOKUP(Table10[[#This Row],[SKU]],'All Skus'!$A:$AC,2,FALSE))="Martin",(VLOOKUP(Table10[[#This Row],[SKU]],'All Skus'!$A:$AC,19,FALSE)),""))</f>
        <v>0</v>
      </c>
      <c r="P339" s="227">
        <f>(IF((VLOOKUP(Table10[[#This Row],[SKU]],'All Skus'!$A:$AC,2,FALSE))="Martin",(VLOOKUP(Table10[[#This Row],[SKU]],'All Skus'!$A:$AC,20,FALSE)),""))</f>
        <v>0</v>
      </c>
      <c r="Q339" s="227">
        <f>(IF((VLOOKUP(Table10[[#This Row],[SKU]],'All Skus'!$A:$AC,2,FALSE))="Martin",(VLOOKUP(Table10[[#This Row],[SKU]],'All Skus'!$A:$AC,21,FALSE)),""))</f>
        <v>0</v>
      </c>
      <c r="R339" s="224">
        <f>(IF((VLOOKUP(Table10[[#This Row],[SKU]],'All Skus'!$A:$AC,2,FALSE))="Martin",(VLOOKUP(Table10[[#This Row],[SKU]],'All Skus'!$A:$AC,22,FALSE)),""))</f>
        <v>0</v>
      </c>
      <c r="S339" s="223">
        <f>(IF((VLOOKUP(Table10[[#This Row],[SKU]],'All Skus'!$A:$AC,2,FALSE))="Martin",(VLOOKUP(Table10[[#This Row],[SKU]],'All Skus'!$A:$AC,23,FALSE)),""))</f>
        <v>0</v>
      </c>
      <c r="T339" s="212" t="str">
        <f>HYPERLINK((IF((VLOOKUP(Table10[[#This Row],[SKU]],'All Skus'!$A:$AC,2,FALSE))="Martin",(VLOOKUP(Table10[[#This Row],[SKU]],'All Skus'!$A:$AC,24,FALSE)),"")))</f>
        <v/>
      </c>
      <c r="U339" s="228">
        <v>337</v>
      </c>
    </row>
    <row r="340" spans="1:21" hidden="1">
      <c r="A340" s="114" t="s">
        <v>2118</v>
      </c>
      <c r="B340" s="224" t="str">
        <f>(IF((VLOOKUP(Table10[[#This Row],[SKU]],'All Skus'!$A:$AC,2,FALSE))="Martin",(VLOOKUP(Table10[[#This Row],[SKU]],'All Skus'!$A:$AC,3,FALSE)),""))</f>
        <v>Linear</v>
      </c>
      <c r="C340" s="223" t="str">
        <f>(IF((VLOOKUP(Table10[[#This Row],[SKU]],'All Skus'!$A:$AC,2,FALSE))="Martin",(VLOOKUP(Table10[[#This Row],[SKU]],'All Skus'!$A:$AC,4,FALSE)),""))</f>
        <v>Ext PixLine 20 RGB 310mm Clr Front Alu</v>
      </c>
      <c r="D340" s="224" t="str">
        <f>(IF((VLOOKUP(Table10[[#This Row],[SKU]],'All Skus'!$A:$AC,2,FALSE))="Martin",(VLOOKUP(Table10[[#This Row],[SKU]],'All Skus'!$A:$AC,5,FALSE)),""))</f>
        <v>EXT-CREAT</v>
      </c>
      <c r="E340" s="223">
        <f>(IF((VLOOKUP(Table10[[#This Row],[SKU]],'All Skus'!$A:$AC,2,FALSE))="Martin",(VLOOKUP(Table10[[#This Row],[SKU]],'All Skus'!$A:$AC,6,FALSE)),""))</f>
        <v>0</v>
      </c>
      <c r="F340" s="155" t="str">
        <f>(IF((VLOOKUP(Table10[[#This Row],[SKU]],'All Skus'!$A:$AC,2,FALSE))="Martin",(VLOOKUP(Table10[[#This Row],[SKU]],'All Skus'!$A:$AC,7,FALSE)),""))</f>
        <v>Production stop - Earliest delivery August 2023</v>
      </c>
      <c r="G340" s="223" t="str">
        <f>(IF((VLOOKUP(Table10[[#This Row],[SKU]],'All Skus'!$A:$AC,2,FALSE))="Martin",(VLOOKUP(Table10[[#This Row],[SKU]],'All Skus'!$A:$AC,8,FALSE)),""))</f>
        <v>Ext PixLine 20 RGB 310mm Clr Front Alu</v>
      </c>
      <c r="H340" s="223" t="str">
        <f>(IF((VLOOKUP(Table10[[#This Row],[SKU]],'All Skus'!$A:$AC,2,FALSE))="Martin",(VLOOKUP(Table10[[#This Row],[SKU]],'All Skus'!$A:$AC,9,FALSE)),""))</f>
        <v>Ext PixLine 20 RGB 310mm Clr Front Alu</v>
      </c>
      <c r="I340" s="225">
        <f>(IF((VLOOKUP(Table10[[#This Row],[SKU]],'All Skus'!$A:$AC,2,FALSE))="Martin",(VLOOKUP(Table10[[#This Row],[SKU]],'All Skus'!$A:$AC,10,FALSE)),""))</f>
        <v>417.35</v>
      </c>
      <c r="J340" s="226">
        <f>(IF((VLOOKUP(Table10[[#This Row],[SKU]],'All Skus'!$A:$AC,2,FALSE))="Martin",(VLOOKUP(Table10[[#This Row],[SKU]],'All Skus'!$A:$AC,11,FALSE)),""))</f>
        <v>417.35</v>
      </c>
      <c r="K340" s="224">
        <f>(IF((VLOOKUP(Table10[[#This Row],[SKU]],'All Skus'!$A:$AC,2,FALSE))="Martin",(VLOOKUP(Table10[[#This Row],[SKU]],'All Skus'!$A:$AC,15,FALSE)),""))</f>
        <v>0</v>
      </c>
      <c r="L340" s="224">
        <f>(IF((VLOOKUP(Table10[[#This Row],[SKU]],'All Skus'!$A:$AC,2,FALSE))="Martin",(VLOOKUP(Table10[[#This Row],[SKU]],'All Skus'!$A:$AC,16,FALSE)),""))</f>
        <v>5706681233984</v>
      </c>
      <c r="M340" s="224">
        <f>(IF((VLOOKUP(Table10[[#This Row],[SKU]],'All Skus'!$A:$AC,2,FALSE))="Martin",(VLOOKUP(Table10[[#This Row],[SKU]],'All Skus'!$A:$AC,17,FALSE)),""))</f>
        <v>0</v>
      </c>
      <c r="N340" s="227">
        <f>(IF((VLOOKUP(Table10[[#This Row],[SKU]],'All Skus'!$A:$AC,2,FALSE))="Martin",(VLOOKUP(Table10[[#This Row],[SKU]],'All Skus'!$A:$AC,18,FALSE)),""))</f>
        <v>0</v>
      </c>
      <c r="O340" s="227">
        <f>(IF((VLOOKUP(Table10[[#This Row],[SKU]],'All Skus'!$A:$AC,2,FALSE))="Martin",(VLOOKUP(Table10[[#This Row],[SKU]],'All Skus'!$A:$AC,19,FALSE)),""))</f>
        <v>0</v>
      </c>
      <c r="P340" s="227">
        <f>(IF((VLOOKUP(Table10[[#This Row],[SKU]],'All Skus'!$A:$AC,2,FALSE))="Martin",(VLOOKUP(Table10[[#This Row],[SKU]],'All Skus'!$A:$AC,20,FALSE)),""))</f>
        <v>0</v>
      </c>
      <c r="Q340" s="227">
        <f>(IF((VLOOKUP(Table10[[#This Row],[SKU]],'All Skus'!$A:$AC,2,FALSE))="Martin",(VLOOKUP(Table10[[#This Row],[SKU]],'All Skus'!$A:$AC,21,FALSE)),""))</f>
        <v>0</v>
      </c>
      <c r="R340" s="224" t="str">
        <f>(IF((VLOOKUP(Table10[[#This Row],[SKU]],'All Skus'!$A:$AC,2,FALSE))="Martin",(VLOOKUP(Table10[[#This Row],[SKU]],'All Skus'!$A:$AC,22,FALSE)),""))</f>
        <v>HU</v>
      </c>
      <c r="S340" s="223">
        <f>(IF((VLOOKUP(Table10[[#This Row],[SKU]],'All Skus'!$A:$AC,2,FALSE))="Martin",(VLOOKUP(Table10[[#This Row],[SKU]],'All Skus'!$A:$AC,23,FALSE)),""))</f>
        <v>0</v>
      </c>
      <c r="T340" s="212" t="str">
        <f>HYPERLINK((IF((VLOOKUP(Table10[[#This Row],[SKU]],'All Skus'!$A:$AC,2,FALSE))="Martin",(VLOOKUP(Table10[[#This Row],[SKU]],'All Skus'!$A:$AC,24,FALSE)),"")))</f>
        <v/>
      </c>
      <c r="U340" s="228">
        <v>338</v>
      </c>
    </row>
    <row r="341" spans="1:21" hidden="1">
      <c r="A341" s="114" t="s">
        <v>2119</v>
      </c>
      <c r="B341" s="224">
        <f>(IF((VLOOKUP(Table10[[#This Row],[SKU]],'All Skus'!$A:$AC,2,FALSE))="Martin",(VLOOKUP(Table10[[#This Row],[SKU]],'All Skus'!$A:$AC,3,FALSE)),""))</f>
        <v>0</v>
      </c>
      <c r="C341" s="223" t="str">
        <f>(IF((VLOOKUP(Table10[[#This Row],[SKU]],'All Skus'!$A:$AC,2,FALSE))="Martin",(VLOOKUP(Table10[[#This Row],[SKU]],'All Skus'!$A:$AC,4,FALSE)),""))</f>
        <v>Ext PixLine 20 RGB 1270mm Clr Front Alu</v>
      </c>
      <c r="D341" s="224" t="str">
        <f>(IF((VLOOKUP(Table10[[#This Row],[SKU]],'All Skus'!$A:$AC,2,FALSE))="Martin",(VLOOKUP(Table10[[#This Row],[SKU]],'All Skus'!$A:$AC,5,FALSE)),""))</f>
        <v>EXT-CREAT</v>
      </c>
      <c r="E341" s="223">
        <f>(IF((VLOOKUP(Table10[[#This Row],[SKU]],'All Skus'!$A:$AC,2,FALSE))="Martin",(VLOOKUP(Table10[[#This Row],[SKU]],'All Skus'!$A:$AC,6,FALSE)),""))</f>
        <v>0</v>
      </c>
      <c r="F341" s="155" t="str">
        <f>(IF((VLOOKUP(Table10[[#This Row],[SKU]],'All Skus'!$A:$AC,2,FALSE))="Martin",(VLOOKUP(Table10[[#This Row],[SKU]],'All Skus'!$A:$AC,7,FALSE)),""))</f>
        <v>Production stop - Earliest delivery August 2023</v>
      </c>
      <c r="G341" s="223" t="str">
        <f>(IF((VLOOKUP(Table10[[#This Row],[SKU]],'All Skus'!$A:$AC,2,FALSE))="Martin",(VLOOKUP(Table10[[#This Row],[SKU]],'All Skus'!$A:$AC,8,FALSE)),""))</f>
        <v>Ext PixLine 20 RGB 1270mm Clr Front Alu</v>
      </c>
      <c r="H341" s="223" t="str">
        <f>(IF((VLOOKUP(Table10[[#This Row],[SKU]],'All Skus'!$A:$AC,2,FALSE))="Martin",(VLOOKUP(Table10[[#This Row],[SKU]],'All Skus'!$A:$AC,9,FALSE)),""))</f>
        <v>Ext PixLine 20 RGB 1270mm Clr Front Alu</v>
      </c>
      <c r="I341" s="225">
        <f>(IF((VLOOKUP(Table10[[#This Row],[SKU]],'All Skus'!$A:$AC,2,FALSE))="Martin",(VLOOKUP(Table10[[#This Row],[SKU]],'All Skus'!$A:$AC,10,FALSE)),""))</f>
        <v>834.7</v>
      </c>
      <c r="J341" s="226">
        <f>(IF((VLOOKUP(Table10[[#This Row],[SKU]],'All Skus'!$A:$AC,2,FALSE))="Martin",(VLOOKUP(Table10[[#This Row],[SKU]],'All Skus'!$A:$AC,11,FALSE)),""))</f>
        <v>834.7</v>
      </c>
      <c r="K341" s="224">
        <f>(IF((VLOOKUP(Table10[[#This Row],[SKU]],'All Skus'!$A:$AC,2,FALSE))="Martin",(VLOOKUP(Table10[[#This Row],[SKU]],'All Skus'!$A:$AC,15,FALSE)),""))</f>
        <v>0</v>
      </c>
      <c r="L341" s="224">
        <f>(IF((VLOOKUP(Table10[[#This Row],[SKU]],'All Skus'!$A:$AC,2,FALSE))="Martin",(VLOOKUP(Table10[[#This Row],[SKU]],'All Skus'!$A:$AC,16,FALSE)),""))</f>
        <v>5706681233977</v>
      </c>
      <c r="M341" s="224">
        <f>(IF((VLOOKUP(Table10[[#This Row],[SKU]],'All Skus'!$A:$AC,2,FALSE))="Martin",(VLOOKUP(Table10[[#This Row],[SKU]],'All Skus'!$A:$AC,17,FALSE)),""))</f>
        <v>0</v>
      </c>
      <c r="N341" s="227">
        <f>(IF((VLOOKUP(Table10[[#This Row],[SKU]],'All Skus'!$A:$AC,2,FALSE))="Martin",(VLOOKUP(Table10[[#This Row],[SKU]],'All Skus'!$A:$AC,18,FALSE)),""))</f>
        <v>0</v>
      </c>
      <c r="O341" s="227">
        <f>(IF((VLOOKUP(Table10[[#This Row],[SKU]],'All Skus'!$A:$AC,2,FALSE))="Martin",(VLOOKUP(Table10[[#This Row],[SKU]],'All Skus'!$A:$AC,19,FALSE)),""))</f>
        <v>0</v>
      </c>
      <c r="P341" s="227">
        <f>(IF((VLOOKUP(Table10[[#This Row],[SKU]],'All Skus'!$A:$AC,2,FALSE))="Martin",(VLOOKUP(Table10[[#This Row],[SKU]],'All Skus'!$A:$AC,20,FALSE)),""))</f>
        <v>0</v>
      </c>
      <c r="Q341" s="227">
        <f>(IF((VLOOKUP(Table10[[#This Row],[SKU]],'All Skus'!$A:$AC,2,FALSE))="Martin",(VLOOKUP(Table10[[#This Row],[SKU]],'All Skus'!$A:$AC,21,FALSE)),""))</f>
        <v>0</v>
      </c>
      <c r="R341" s="224">
        <f>(IF((VLOOKUP(Table10[[#This Row],[SKU]],'All Skus'!$A:$AC,2,FALSE))="Martin",(VLOOKUP(Table10[[#This Row],[SKU]],'All Skus'!$A:$AC,22,FALSE)),""))</f>
        <v>0</v>
      </c>
      <c r="S341" s="223">
        <f>(IF((VLOOKUP(Table10[[#This Row],[SKU]],'All Skus'!$A:$AC,2,FALSE))="Martin",(VLOOKUP(Table10[[#This Row],[SKU]],'All Skus'!$A:$AC,23,FALSE)),""))</f>
        <v>0</v>
      </c>
      <c r="T341" s="212" t="str">
        <f>HYPERLINK((IF((VLOOKUP(Table10[[#This Row],[SKU]],'All Skus'!$A:$AC,2,FALSE))="Martin",(VLOOKUP(Table10[[#This Row],[SKU]],'All Skus'!$A:$AC,24,FALSE)),"")))</f>
        <v/>
      </c>
      <c r="U341" s="228">
        <v>339</v>
      </c>
    </row>
    <row r="342" spans="1:21" hidden="1">
      <c r="A342" s="114" t="s">
        <v>2120</v>
      </c>
      <c r="B342" s="224" t="str">
        <f>(IF((VLOOKUP(Table10[[#This Row],[SKU]],'All Skus'!$A:$AC,2,FALSE))="Martin",(VLOOKUP(Table10[[#This Row],[SKU]],'All Skus'!$A:$AC,3,FALSE)),""))</f>
        <v>LED Video</v>
      </c>
      <c r="C342" s="223" t="str">
        <f>(IF((VLOOKUP(Table10[[#This Row],[SKU]],'All Skus'!$A:$AC,2,FALSE))="Martin",(VLOOKUP(Table10[[#This Row],[SKU]],'All Skus'!$A:$AC,4,FALSE)),""))</f>
        <v>Ext PixLine 20 RGB 310mm Diff Front Alu</v>
      </c>
      <c r="D342" s="224" t="str">
        <f>(IF((VLOOKUP(Table10[[#This Row],[SKU]],'All Skus'!$A:$AC,2,FALSE))="Martin",(VLOOKUP(Table10[[#This Row],[SKU]],'All Skus'!$A:$AC,5,FALSE)),""))</f>
        <v>EXT-CREAT</v>
      </c>
      <c r="E342" s="223">
        <f>(IF((VLOOKUP(Table10[[#This Row],[SKU]],'All Skus'!$A:$AC,2,FALSE))="Martin",(VLOOKUP(Table10[[#This Row],[SKU]],'All Skus'!$A:$AC,6,FALSE)),""))</f>
        <v>0</v>
      </c>
      <c r="F342" s="155" t="str">
        <f>(IF((VLOOKUP(Table10[[#This Row],[SKU]],'All Skus'!$A:$AC,2,FALSE))="Martin",(VLOOKUP(Table10[[#This Row],[SKU]],'All Skus'!$A:$AC,7,FALSE)),""))</f>
        <v>Production stop - Earliest delivery August 2023</v>
      </c>
      <c r="G342" s="223" t="str">
        <f>(IF((VLOOKUP(Table10[[#This Row],[SKU]],'All Skus'!$A:$AC,2,FALSE))="Martin",(VLOOKUP(Table10[[#This Row],[SKU]],'All Skus'!$A:$AC,8,FALSE)),""))</f>
        <v>Ext PixLine 20 RGB 310mm Diff Front Alu</v>
      </c>
      <c r="H342" s="223" t="str">
        <f>(IF((VLOOKUP(Table10[[#This Row],[SKU]],'All Skus'!$A:$AC,2,FALSE))="Martin",(VLOOKUP(Table10[[#This Row],[SKU]],'All Skus'!$A:$AC,9,FALSE)),""))</f>
        <v>Ext PixLine 20 RGB 310mm Diff Front Alu</v>
      </c>
      <c r="I342" s="225">
        <f>(IF((VLOOKUP(Table10[[#This Row],[SKU]],'All Skus'!$A:$AC,2,FALSE))="Martin",(VLOOKUP(Table10[[#This Row],[SKU]],'All Skus'!$A:$AC,10,FALSE)),""))</f>
        <v>417.35</v>
      </c>
      <c r="J342" s="226">
        <f>(IF((VLOOKUP(Table10[[#This Row],[SKU]],'All Skus'!$A:$AC,2,FALSE))="Martin",(VLOOKUP(Table10[[#This Row],[SKU]],'All Skus'!$A:$AC,11,FALSE)),""))</f>
        <v>417.35</v>
      </c>
      <c r="K342" s="224">
        <f>(IF((VLOOKUP(Table10[[#This Row],[SKU]],'All Skus'!$A:$AC,2,FALSE))="Martin",(VLOOKUP(Table10[[#This Row],[SKU]],'All Skus'!$A:$AC,15,FALSE)),""))</f>
        <v>0</v>
      </c>
      <c r="L342" s="224">
        <f>(IF((VLOOKUP(Table10[[#This Row],[SKU]],'All Skus'!$A:$AC,2,FALSE))="Martin",(VLOOKUP(Table10[[#This Row],[SKU]],'All Skus'!$A:$AC,16,FALSE)),""))</f>
        <v>5706681233960</v>
      </c>
      <c r="M342" s="224">
        <f>(IF((VLOOKUP(Table10[[#This Row],[SKU]],'All Skus'!$A:$AC,2,FALSE))="Martin",(VLOOKUP(Table10[[#This Row],[SKU]],'All Skus'!$A:$AC,17,FALSE)),""))</f>
        <v>0</v>
      </c>
      <c r="N342" s="227">
        <f>(IF((VLOOKUP(Table10[[#This Row],[SKU]],'All Skus'!$A:$AC,2,FALSE))="Martin",(VLOOKUP(Table10[[#This Row],[SKU]],'All Skus'!$A:$AC,18,FALSE)),""))</f>
        <v>0</v>
      </c>
      <c r="O342" s="227">
        <f>(IF((VLOOKUP(Table10[[#This Row],[SKU]],'All Skus'!$A:$AC,2,FALSE))="Martin",(VLOOKUP(Table10[[#This Row],[SKU]],'All Skus'!$A:$AC,19,FALSE)),""))</f>
        <v>0</v>
      </c>
      <c r="P342" s="227">
        <f>(IF((VLOOKUP(Table10[[#This Row],[SKU]],'All Skus'!$A:$AC,2,FALSE))="Martin",(VLOOKUP(Table10[[#This Row],[SKU]],'All Skus'!$A:$AC,20,FALSE)),""))</f>
        <v>0</v>
      </c>
      <c r="Q342" s="227">
        <f>(IF((VLOOKUP(Table10[[#This Row],[SKU]],'All Skus'!$A:$AC,2,FALSE))="Martin",(VLOOKUP(Table10[[#This Row],[SKU]],'All Skus'!$A:$AC,21,FALSE)),""))</f>
        <v>0</v>
      </c>
      <c r="R342" s="224" t="str">
        <f>(IF((VLOOKUP(Table10[[#This Row],[SKU]],'All Skus'!$A:$AC,2,FALSE))="Martin",(VLOOKUP(Table10[[#This Row],[SKU]],'All Skus'!$A:$AC,22,FALSE)),""))</f>
        <v>HU</v>
      </c>
      <c r="S342" s="223">
        <f>(IF((VLOOKUP(Table10[[#This Row],[SKU]],'All Skus'!$A:$AC,2,FALSE))="Martin",(VLOOKUP(Table10[[#This Row],[SKU]],'All Skus'!$A:$AC,23,FALSE)),""))</f>
        <v>0</v>
      </c>
      <c r="T342" s="212" t="str">
        <f>HYPERLINK((IF((VLOOKUP(Table10[[#This Row],[SKU]],'All Skus'!$A:$AC,2,FALSE))="Martin",(VLOOKUP(Table10[[#This Row],[SKU]],'All Skus'!$A:$AC,24,FALSE)),"")))</f>
        <v>http://www.martin.com/en-us/product-details/exterior-pixline-20</v>
      </c>
      <c r="U342" s="228">
        <v>340</v>
      </c>
    </row>
    <row r="343" spans="1:21" hidden="1">
      <c r="A343" s="114" t="s">
        <v>2121</v>
      </c>
      <c r="B343" s="224" t="str">
        <f>(IF((VLOOKUP(Table10[[#This Row],[SKU]],'All Skus'!$A:$AC,2,FALSE))="Martin",(VLOOKUP(Table10[[#This Row],[SKU]],'All Skus'!$A:$AC,3,FALSE)),""))</f>
        <v>LED Video</v>
      </c>
      <c r="C343" s="223" t="str">
        <f>(IF((VLOOKUP(Table10[[#This Row],[SKU]],'All Skus'!$A:$AC,2,FALSE))="Martin",(VLOOKUP(Table10[[#This Row],[SKU]],'All Skus'!$A:$AC,4,FALSE)),""))</f>
        <v>Ext PixLine 20 RGB 1270mm Diff Front Alu</v>
      </c>
      <c r="D343" s="224" t="str">
        <f>(IF((VLOOKUP(Table10[[#This Row],[SKU]],'All Skus'!$A:$AC,2,FALSE))="Martin",(VLOOKUP(Table10[[#This Row],[SKU]],'All Skus'!$A:$AC,5,FALSE)),""))</f>
        <v>EXT-CREAT</v>
      </c>
      <c r="E343" s="223">
        <f>(IF((VLOOKUP(Table10[[#This Row],[SKU]],'All Skus'!$A:$AC,2,FALSE))="Martin",(VLOOKUP(Table10[[#This Row],[SKU]],'All Skus'!$A:$AC,6,FALSE)),""))</f>
        <v>0</v>
      </c>
      <c r="F343" s="155" t="str">
        <f>(IF((VLOOKUP(Table10[[#This Row],[SKU]],'All Skus'!$A:$AC,2,FALSE))="Martin",(VLOOKUP(Table10[[#This Row],[SKU]],'All Skus'!$A:$AC,7,FALSE)),""))</f>
        <v>Production stop - Earliest delivery August 2023</v>
      </c>
      <c r="G343" s="223" t="str">
        <f>(IF((VLOOKUP(Table10[[#This Row],[SKU]],'All Skus'!$A:$AC,2,FALSE))="Martin",(VLOOKUP(Table10[[#This Row],[SKU]],'All Skus'!$A:$AC,8,FALSE)),""))</f>
        <v>Ext PixLine 20 RGB 1270mm Diff Front Alu</v>
      </c>
      <c r="H343" s="223" t="str">
        <f>(IF((VLOOKUP(Table10[[#This Row],[SKU]],'All Skus'!$A:$AC,2,FALSE))="Martin",(VLOOKUP(Table10[[#This Row],[SKU]],'All Skus'!$A:$AC,9,FALSE)),""))</f>
        <v>Ext PixLine 20 RGB 1270mm Diff Front Alu</v>
      </c>
      <c r="I343" s="225">
        <f>(IF((VLOOKUP(Table10[[#This Row],[SKU]],'All Skus'!$A:$AC,2,FALSE))="Martin",(VLOOKUP(Table10[[#This Row],[SKU]],'All Skus'!$A:$AC,10,FALSE)),""))</f>
        <v>834.7</v>
      </c>
      <c r="J343" s="226">
        <f>(IF((VLOOKUP(Table10[[#This Row],[SKU]],'All Skus'!$A:$AC,2,FALSE))="Martin",(VLOOKUP(Table10[[#This Row],[SKU]],'All Skus'!$A:$AC,11,FALSE)),""))</f>
        <v>834.7</v>
      </c>
      <c r="K343" s="224">
        <f>(IF((VLOOKUP(Table10[[#This Row],[SKU]],'All Skus'!$A:$AC,2,FALSE))="Martin",(VLOOKUP(Table10[[#This Row],[SKU]],'All Skus'!$A:$AC,15,FALSE)),""))</f>
        <v>0</v>
      </c>
      <c r="L343" s="224">
        <f>(IF((VLOOKUP(Table10[[#This Row],[SKU]],'All Skus'!$A:$AC,2,FALSE))="Martin",(VLOOKUP(Table10[[#This Row],[SKU]],'All Skus'!$A:$AC,16,FALSE)),""))</f>
        <v>5706681233953</v>
      </c>
      <c r="M343" s="224">
        <f>(IF((VLOOKUP(Table10[[#This Row],[SKU]],'All Skus'!$A:$AC,2,FALSE))="Martin",(VLOOKUP(Table10[[#This Row],[SKU]],'All Skus'!$A:$AC,17,FALSE)),""))</f>
        <v>0</v>
      </c>
      <c r="N343" s="227">
        <f>(IF((VLOOKUP(Table10[[#This Row],[SKU]],'All Skus'!$A:$AC,2,FALSE))="Martin",(VLOOKUP(Table10[[#This Row],[SKU]],'All Skus'!$A:$AC,18,FALSE)),""))</f>
        <v>0</v>
      </c>
      <c r="O343" s="227">
        <f>(IF((VLOOKUP(Table10[[#This Row],[SKU]],'All Skus'!$A:$AC,2,FALSE))="Martin",(VLOOKUP(Table10[[#This Row],[SKU]],'All Skus'!$A:$AC,19,FALSE)),""))</f>
        <v>0</v>
      </c>
      <c r="P343" s="227">
        <f>(IF((VLOOKUP(Table10[[#This Row],[SKU]],'All Skus'!$A:$AC,2,FALSE))="Martin",(VLOOKUP(Table10[[#This Row],[SKU]],'All Skus'!$A:$AC,20,FALSE)),""))</f>
        <v>0</v>
      </c>
      <c r="Q343" s="227">
        <f>(IF((VLOOKUP(Table10[[#This Row],[SKU]],'All Skus'!$A:$AC,2,FALSE))="Martin",(VLOOKUP(Table10[[#This Row],[SKU]],'All Skus'!$A:$AC,21,FALSE)),""))</f>
        <v>0</v>
      </c>
      <c r="R343" s="224" t="str">
        <f>(IF((VLOOKUP(Table10[[#This Row],[SKU]],'All Skus'!$A:$AC,2,FALSE))="Martin",(VLOOKUP(Table10[[#This Row],[SKU]],'All Skus'!$A:$AC,22,FALSE)),""))</f>
        <v>HU</v>
      </c>
      <c r="S343" s="223">
        <f>(IF((VLOOKUP(Table10[[#This Row],[SKU]],'All Skus'!$A:$AC,2,FALSE))="Martin",(VLOOKUP(Table10[[#This Row],[SKU]],'All Skus'!$A:$AC,23,FALSE)),""))</f>
        <v>0</v>
      </c>
      <c r="T343" s="212" t="str">
        <f>HYPERLINK((IF((VLOOKUP(Table10[[#This Row],[SKU]],'All Skus'!$A:$AC,2,FALSE))="Martin",(VLOOKUP(Table10[[#This Row],[SKU]],'All Skus'!$A:$AC,24,FALSE)),"")))</f>
        <v>http://www.martin.com/en-us/product-details/exterior-pixline-20</v>
      </c>
      <c r="U343" s="228">
        <v>341</v>
      </c>
    </row>
    <row r="344" spans="1:21" hidden="1">
      <c r="A344" s="114" t="s">
        <v>2122</v>
      </c>
      <c r="B344" s="224" t="str">
        <f>(IF((VLOOKUP(Table10[[#This Row],[SKU]],'All Skus'!$A:$AC,2,FALSE))="Martin",(VLOOKUP(Table10[[#This Row],[SKU]],'All Skus'!$A:$AC,3,FALSE)),""))</f>
        <v>LED Video</v>
      </c>
      <c r="C344" s="223" t="str">
        <f>(IF((VLOOKUP(Table10[[#This Row],[SKU]],'All Skus'!$A:$AC,2,FALSE))="Martin",(VLOOKUP(Table10[[#This Row],[SKU]],'All Skus'!$A:$AC,4,FALSE)),""))</f>
        <v>Ext PixLine 20 RGB 310mm Rnd Dif Fr Alu</v>
      </c>
      <c r="D344" s="224" t="str">
        <f>(IF((VLOOKUP(Table10[[#This Row],[SKU]],'All Skus'!$A:$AC,2,FALSE))="Martin",(VLOOKUP(Table10[[#This Row],[SKU]],'All Skus'!$A:$AC,5,FALSE)),""))</f>
        <v>EXT-CREAT</v>
      </c>
      <c r="E344" s="223">
        <f>(IF((VLOOKUP(Table10[[#This Row],[SKU]],'All Skus'!$A:$AC,2,FALSE))="Martin",(VLOOKUP(Table10[[#This Row],[SKU]],'All Skus'!$A:$AC,6,FALSE)),""))</f>
        <v>0</v>
      </c>
      <c r="F344" s="155" t="str">
        <f>(IF((VLOOKUP(Table10[[#This Row],[SKU]],'All Skus'!$A:$AC,2,FALSE))="Martin",(VLOOKUP(Table10[[#This Row],[SKU]],'All Skus'!$A:$AC,7,FALSE)),""))</f>
        <v>Production stop - Earliest delivery August 2023</v>
      </c>
      <c r="G344" s="223" t="str">
        <f>(IF((VLOOKUP(Table10[[#This Row],[SKU]],'All Skus'!$A:$AC,2,FALSE))="Martin",(VLOOKUP(Table10[[#This Row],[SKU]],'All Skus'!$A:$AC,8,FALSE)),""))</f>
        <v>Ext PixLine 20 RGB 310mm Rnd Dif Fr Alu</v>
      </c>
      <c r="H344" s="223" t="str">
        <f>(IF((VLOOKUP(Table10[[#This Row],[SKU]],'All Skus'!$A:$AC,2,FALSE))="Martin",(VLOOKUP(Table10[[#This Row],[SKU]],'All Skus'!$A:$AC,9,FALSE)),""))</f>
        <v>Ext PixLine 20 RGB 310mm Rnd Dif Fr Alu</v>
      </c>
      <c r="I344" s="225">
        <f>(IF((VLOOKUP(Table10[[#This Row],[SKU]],'All Skus'!$A:$AC,2,FALSE))="Martin",(VLOOKUP(Table10[[#This Row],[SKU]],'All Skus'!$A:$AC,10,FALSE)),""))</f>
        <v>417.35</v>
      </c>
      <c r="J344" s="226">
        <f>(IF((VLOOKUP(Table10[[#This Row],[SKU]],'All Skus'!$A:$AC,2,FALSE))="Martin",(VLOOKUP(Table10[[#This Row],[SKU]],'All Skus'!$A:$AC,11,FALSE)),""))</f>
        <v>417.35</v>
      </c>
      <c r="K344" s="224">
        <f>(IF((VLOOKUP(Table10[[#This Row],[SKU]],'All Skus'!$A:$AC,2,FALSE))="Martin",(VLOOKUP(Table10[[#This Row],[SKU]],'All Skus'!$A:$AC,15,FALSE)),""))</f>
        <v>0</v>
      </c>
      <c r="L344" s="224">
        <f>(IF((VLOOKUP(Table10[[#This Row],[SKU]],'All Skus'!$A:$AC,2,FALSE))="Martin",(VLOOKUP(Table10[[#This Row],[SKU]],'All Skus'!$A:$AC,16,FALSE)),""))</f>
        <v>5706681233946</v>
      </c>
      <c r="M344" s="224">
        <f>(IF((VLOOKUP(Table10[[#This Row],[SKU]],'All Skus'!$A:$AC,2,FALSE))="Martin",(VLOOKUP(Table10[[#This Row],[SKU]],'All Skus'!$A:$AC,17,FALSE)),""))</f>
        <v>0</v>
      </c>
      <c r="N344" s="227">
        <f>(IF((VLOOKUP(Table10[[#This Row],[SKU]],'All Skus'!$A:$AC,2,FALSE))="Martin",(VLOOKUP(Table10[[#This Row],[SKU]],'All Skus'!$A:$AC,18,FALSE)),""))</f>
        <v>0</v>
      </c>
      <c r="O344" s="227">
        <f>(IF((VLOOKUP(Table10[[#This Row],[SKU]],'All Skus'!$A:$AC,2,FALSE))="Martin",(VLOOKUP(Table10[[#This Row],[SKU]],'All Skus'!$A:$AC,19,FALSE)),""))</f>
        <v>0</v>
      </c>
      <c r="P344" s="227">
        <f>(IF((VLOOKUP(Table10[[#This Row],[SKU]],'All Skus'!$A:$AC,2,FALSE))="Martin",(VLOOKUP(Table10[[#This Row],[SKU]],'All Skus'!$A:$AC,20,FALSE)),""))</f>
        <v>0</v>
      </c>
      <c r="Q344" s="227">
        <f>(IF((VLOOKUP(Table10[[#This Row],[SKU]],'All Skus'!$A:$AC,2,FALSE))="Martin",(VLOOKUP(Table10[[#This Row],[SKU]],'All Skus'!$A:$AC,21,FALSE)),""))</f>
        <v>0</v>
      </c>
      <c r="R344" s="224" t="str">
        <f>(IF((VLOOKUP(Table10[[#This Row],[SKU]],'All Skus'!$A:$AC,2,FALSE))="Martin",(VLOOKUP(Table10[[#This Row],[SKU]],'All Skus'!$A:$AC,22,FALSE)),""))</f>
        <v>HU</v>
      </c>
      <c r="S344" s="223">
        <f>(IF((VLOOKUP(Table10[[#This Row],[SKU]],'All Skus'!$A:$AC,2,FALSE))="Martin",(VLOOKUP(Table10[[#This Row],[SKU]],'All Skus'!$A:$AC,23,FALSE)),""))</f>
        <v>0</v>
      </c>
      <c r="T344" s="212" t="str">
        <f>HYPERLINK((IF((VLOOKUP(Table10[[#This Row],[SKU]],'All Skus'!$A:$AC,2,FALSE))="Martin",(VLOOKUP(Table10[[#This Row],[SKU]],'All Skus'!$A:$AC,24,FALSE)),"")))</f>
        <v>http://www.martin.com/en-us/product-details/exterior-pixline-20</v>
      </c>
      <c r="U344" s="228">
        <v>342</v>
      </c>
    </row>
    <row r="345" spans="1:21" hidden="1">
      <c r="A345" s="114" t="s">
        <v>2123</v>
      </c>
      <c r="B345" s="224" t="str">
        <f>(IF((VLOOKUP(Table10[[#This Row],[SKU]],'All Skus'!$A:$AC,2,FALSE))="Martin",(VLOOKUP(Table10[[#This Row],[SKU]],'All Skus'!$A:$AC,3,FALSE)),""))</f>
        <v>LED Video</v>
      </c>
      <c r="C345" s="223" t="str">
        <f>(IF((VLOOKUP(Table10[[#This Row],[SKU]],'All Skus'!$A:$AC,2,FALSE))="Martin",(VLOOKUP(Table10[[#This Row],[SKU]],'All Skus'!$A:$AC,4,FALSE)),""))</f>
        <v>Ext PixLine 20 RGB 1270mm Rnd Dif Fr Alu</v>
      </c>
      <c r="D345" s="224" t="str">
        <f>(IF((VLOOKUP(Table10[[#This Row],[SKU]],'All Skus'!$A:$AC,2,FALSE))="Martin",(VLOOKUP(Table10[[#This Row],[SKU]],'All Skus'!$A:$AC,5,FALSE)),""))</f>
        <v>EXT-CREAT</v>
      </c>
      <c r="E345" s="223">
        <f>(IF((VLOOKUP(Table10[[#This Row],[SKU]],'All Skus'!$A:$AC,2,FALSE))="Martin",(VLOOKUP(Table10[[#This Row],[SKU]],'All Skus'!$A:$AC,6,FALSE)),""))</f>
        <v>0</v>
      </c>
      <c r="F345" s="155" t="str">
        <f>(IF((VLOOKUP(Table10[[#This Row],[SKU]],'All Skus'!$A:$AC,2,FALSE))="Martin",(VLOOKUP(Table10[[#This Row],[SKU]],'All Skus'!$A:$AC,7,FALSE)),""))</f>
        <v>Production stop - Earliest delivery August 2023</v>
      </c>
      <c r="G345" s="223" t="str">
        <f>(IF((VLOOKUP(Table10[[#This Row],[SKU]],'All Skus'!$A:$AC,2,FALSE))="Martin",(VLOOKUP(Table10[[#This Row],[SKU]],'All Skus'!$A:$AC,8,FALSE)),""))</f>
        <v>Ext PixLine 20 RGB 1270mm Rnd Dif Fr Alu</v>
      </c>
      <c r="H345" s="223" t="str">
        <f>(IF((VLOOKUP(Table10[[#This Row],[SKU]],'All Skus'!$A:$AC,2,FALSE))="Martin",(VLOOKUP(Table10[[#This Row],[SKU]],'All Skus'!$A:$AC,9,FALSE)),""))</f>
        <v>Ext PixLine 20 RGB 1270mm Rnd Dif Fr Alu</v>
      </c>
      <c r="I345" s="225">
        <f>(IF((VLOOKUP(Table10[[#This Row],[SKU]],'All Skus'!$A:$AC,2,FALSE))="Martin",(VLOOKUP(Table10[[#This Row],[SKU]],'All Skus'!$A:$AC,10,FALSE)),""))</f>
        <v>834.7</v>
      </c>
      <c r="J345" s="226">
        <f>(IF((VLOOKUP(Table10[[#This Row],[SKU]],'All Skus'!$A:$AC,2,FALSE))="Martin",(VLOOKUP(Table10[[#This Row],[SKU]],'All Skus'!$A:$AC,11,FALSE)),""))</f>
        <v>834.7</v>
      </c>
      <c r="K345" s="224">
        <f>(IF((VLOOKUP(Table10[[#This Row],[SKU]],'All Skus'!$A:$AC,2,FALSE))="Martin",(VLOOKUP(Table10[[#This Row],[SKU]],'All Skus'!$A:$AC,15,FALSE)),""))</f>
        <v>0</v>
      </c>
      <c r="L345" s="224">
        <f>(IF((VLOOKUP(Table10[[#This Row],[SKU]],'All Skus'!$A:$AC,2,FALSE))="Martin",(VLOOKUP(Table10[[#This Row],[SKU]],'All Skus'!$A:$AC,16,FALSE)),""))</f>
        <v>5706681233939</v>
      </c>
      <c r="M345" s="224">
        <f>(IF((VLOOKUP(Table10[[#This Row],[SKU]],'All Skus'!$A:$AC,2,FALSE))="Martin",(VLOOKUP(Table10[[#This Row],[SKU]],'All Skus'!$A:$AC,17,FALSE)),""))</f>
        <v>0</v>
      </c>
      <c r="N345" s="227">
        <f>(IF((VLOOKUP(Table10[[#This Row],[SKU]],'All Skus'!$A:$AC,2,FALSE))="Martin",(VLOOKUP(Table10[[#This Row],[SKU]],'All Skus'!$A:$AC,18,FALSE)),""))</f>
        <v>0</v>
      </c>
      <c r="O345" s="227">
        <f>(IF((VLOOKUP(Table10[[#This Row],[SKU]],'All Skus'!$A:$AC,2,FALSE))="Martin",(VLOOKUP(Table10[[#This Row],[SKU]],'All Skus'!$A:$AC,19,FALSE)),""))</f>
        <v>0</v>
      </c>
      <c r="P345" s="227">
        <f>(IF((VLOOKUP(Table10[[#This Row],[SKU]],'All Skus'!$A:$AC,2,FALSE))="Martin",(VLOOKUP(Table10[[#This Row],[SKU]],'All Skus'!$A:$AC,20,FALSE)),""))</f>
        <v>0</v>
      </c>
      <c r="Q345" s="227">
        <f>(IF((VLOOKUP(Table10[[#This Row],[SKU]],'All Skus'!$A:$AC,2,FALSE))="Martin",(VLOOKUP(Table10[[#This Row],[SKU]],'All Skus'!$A:$AC,21,FALSE)),""))</f>
        <v>0</v>
      </c>
      <c r="R345" s="224" t="str">
        <f>(IF((VLOOKUP(Table10[[#This Row],[SKU]],'All Skus'!$A:$AC,2,FALSE))="Martin",(VLOOKUP(Table10[[#This Row],[SKU]],'All Skus'!$A:$AC,22,FALSE)),""))</f>
        <v>HU</v>
      </c>
      <c r="S345" s="223">
        <f>(IF((VLOOKUP(Table10[[#This Row],[SKU]],'All Skus'!$A:$AC,2,FALSE))="Martin",(VLOOKUP(Table10[[#This Row],[SKU]],'All Skus'!$A:$AC,23,FALSE)),""))</f>
        <v>0</v>
      </c>
      <c r="T345" s="212" t="str">
        <f>HYPERLINK((IF((VLOOKUP(Table10[[#This Row],[SKU]],'All Skus'!$A:$AC,2,FALSE))="Martin",(VLOOKUP(Table10[[#This Row],[SKU]],'All Skus'!$A:$AC,24,FALSE)),"")))</f>
        <v>http://www.martin.com/en-us/product-details/exterior-pixline-20</v>
      </c>
      <c r="U345" s="228">
        <v>343</v>
      </c>
    </row>
    <row r="346" spans="1:21" hidden="1">
      <c r="A346" s="114" t="s">
        <v>2124</v>
      </c>
      <c r="B346" s="224" t="str">
        <f>(IF((VLOOKUP(Table10[[#This Row],[SKU]],'All Skus'!$A:$AC,2,FALSE))="Martin",(VLOOKUP(Table10[[#This Row],[SKU]],'All Skus'!$A:$AC,3,FALSE)),""))</f>
        <v>LED Video</v>
      </c>
      <c r="C346" s="223" t="str">
        <f>(IF((VLOOKUP(Table10[[#This Row],[SKU]],'All Skus'!$A:$AC,2,FALSE))="Martin",(VLOOKUP(Table10[[#This Row],[SKU]],'All Skus'!$A:$AC,4,FALSE)),""))</f>
        <v>Ext PixLine 20 RGB 310mm Squ Dif Fr Alu</v>
      </c>
      <c r="D346" s="224" t="str">
        <f>(IF((VLOOKUP(Table10[[#This Row],[SKU]],'All Skus'!$A:$AC,2,FALSE))="Martin",(VLOOKUP(Table10[[#This Row],[SKU]],'All Skus'!$A:$AC,5,FALSE)),""))</f>
        <v>EXT-CREAT</v>
      </c>
      <c r="E346" s="223">
        <f>(IF((VLOOKUP(Table10[[#This Row],[SKU]],'All Skus'!$A:$AC,2,FALSE))="Martin",(VLOOKUP(Table10[[#This Row],[SKU]],'All Skus'!$A:$AC,6,FALSE)),""))</f>
        <v>0</v>
      </c>
      <c r="F346" s="155" t="str">
        <f>(IF((VLOOKUP(Table10[[#This Row],[SKU]],'All Skus'!$A:$AC,2,FALSE))="Martin",(VLOOKUP(Table10[[#This Row],[SKU]],'All Skus'!$A:$AC,7,FALSE)),""))</f>
        <v>Production stop - Earliest delivery August 2023</v>
      </c>
      <c r="G346" s="223" t="str">
        <f>(IF((VLOOKUP(Table10[[#This Row],[SKU]],'All Skus'!$A:$AC,2,FALSE))="Martin",(VLOOKUP(Table10[[#This Row],[SKU]],'All Skus'!$A:$AC,8,FALSE)),""))</f>
        <v>Ext PixLine 20 RGB 310mm Squ Dif Fr Alu</v>
      </c>
      <c r="H346" s="223" t="str">
        <f>(IF((VLOOKUP(Table10[[#This Row],[SKU]],'All Skus'!$A:$AC,2,FALSE))="Martin",(VLOOKUP(Table10[[#This Row],[SKU]],'All Skus'!$A:$AC,9,FALSE)),""))</f>
        <v>Ext PixLine 20 RGB 310mm Squ Dif Fr Alu</v>
      </c>
      <c r="I346" s="225">
        <f>(IF((VLOOKUP(Table10[[#This Row],[SKU]],'All Skus'!$A:$AC,2,FALSE))="Martin",(VLOOKUP(Table10[[#This Row],[SKU]],'All Skus'!$A:$AC,10,FALSE)),""))</f>
        <v>417.35</v>
      </c>
      <c r="J346" s="226">
        <f>(IF((VLOOKUP(Table10[[#This Row],[SKU]],'All Skus'!$A:$AC,2,FALSE))="Martin",(VLOOKUP(Table10[[#This Row],[SKU]],'All Skus'!$A:$AC,11,FALSE)),""))</f>
        <v>417.35</v>
      </c>
      <c r="K346" s="224">
        <f>(IF((VLOOKUP(Table10[[#This Row],[SKU]],'All Skus'!$A:$AC,2,FALSE))="Martin",(VLOOKUP(Table10[[#This Row],[SKU]],'All Skus'!$A:$AC,15,FALSE)),""))</f>
        <v>0</v>
      </c>
      <c r="L346" s="224">
        <f>(IF((VLOOKUP(Table10[[#This Row],[SKU]],'All Skus'!$A:$AC,2,FALSE))="Martin",(VLOOKUP(Table10[[#This Row],[SKU]],'All Skus'!$A:$AC,16,FALSE)),""))</f>
        <v>5706681233915</v>
      </c>
      <c r="M346" s="224">
        <f>(IF((VLOOKUP(Table10[[#This Row],[SKU]],'All Skus'!$A:$AC,2,FALSE))="Martin",(VLOOKUP(Table10[[#This Row],[SKU]],'All Skus'!$A:$AC,17,FALSE)),""))</f>
        <v>0</v>
      </c>
      <c r="N346" s="227">
        <f>(IF((VLOOKUP(Table10[[#This Row],[SKU]],'All Skus'!$A:$AC,2,FALSE))="Martin",(VLOOKUP(Table10[[#This Row],[SKU]],'All Skus'!$A:$AC,18,FALSE)),""))</f>
        <v>0</v>
      </c>
      <c r="O346" s="227">
        <f>(IF((VLOOKUP(Table10[[#This Row],[SKU]],'All Skus'!$A:$AC,2,FALSE))="Martin",(VLOOKUP(Table10[[#This Row],[SKU]],'All Skus'!$A:$AC,19,FALSE)),""))</f>
        <v>0</v>
      </c>
      <c r="P346" s="227">
        <f>(IF((VLOOKUP(Table10[[#This Row],[SKU]],'All Skus'!$A:$AC,2,FALSE))="Martin",(VLOOKUP(Table10[[#This Row],[SKU]],'All Skus'!$A:$AC,20,FALSE)),""))</f>
        <v>0</v>
      </c>
      <c r="Q346" s="227">
        <f>(IF((VLOOKUP(Table10[[#This Row],[SKU]],'All Skus'!$A:$AC,2,FALSE))="Martin",(VLOOKUP(Table10[[#This Row],[SKU]],'All Skus'!$A:$AC,21,FALSE)),""))</f>
        <v>0</v>
      </c>
      <c r="R346" s="224" t="str">
        <f>(IF((VLOOKUP(Table10[[#This Row],[SKU]],'All Skus'!$A:$AC,2,FALSE))="Martin",(VLOOKUP(Table10[[#This Row],[SKU]],'All Skus'!$A:$AC,22,FALSE)),""))</f>
        <v>HU</v>
      </c>
      <c r="S346" s="223">
        <f>(IF((VLOOKUP(Table10[[#This Row],[SKU]],'All Skus'!$A:$AC,2,FALSE))="Martin",(VLOOKUP(Table10[[#This Row],[SKU]],'All Skus'!$A:$AC,23,FALSE)),""))</f>
        <v>0</v>
      </c>
      <c r="T346" s="212" t="str">
        <f>HYPERLINK((IF((VLOOKUP(Table10[[#This Row],[SKU]],'All Skus'!$A:$AC,2,FALSE))="Martin",(VLOOKUP(Table10[[#This Row],[SKU]],'All Skus'!$A:$AC,24,FALSE)),"")))</f>
        <v>http://www.martin.com/en-us/product-details/exterior-pixline-20</v>
      </c>
      <c r="U346" s="228">
        <v>344</v>
      </c>
    </row>
    <row r="347" spans="1:21" hidden="1">
      <c r="A347" s="114" t="s">
        <v>2125</v>
      </c>
      <c r="B347" s="224" t="str">
        <f>(IF((VLOOKUP(Table10[[#This Row],[SKU]],'All Skus'!$A:$AC,2,FALSE))="Martin",(VLOOKUP(Table10[[#This Row],[SKU]],'All Skus'!$A:$AC,3,FALSE)),""))</f>
        <v>LED Video</v>
      </c>
      <c r="C347" s="223" t="str">
        <f>(IF((VLOOKUP(Table10[[#This Row],[SKU]],'All Skus'!$A:$AC,2,FALSE))="Martin",(VLOOKUP(Table10[[#This Row],[SKU]],'All Skus'!$A:$AC,4,FALSE)),""))</f>
        <v>Ext PixLine 20 RGB 1270mm Squ Dif Fr Alu</v>
      </c>
      <c r="D347" s="224" t="str">
        <f>(IF((VLOOKUP(Table10[[#This Row],[SKU]],'All Skus'!$A:$AC,2,FALSE))="Martin",(VLOOKUP(Table10[[#This Row],[SKU]],'All Skus'!$A:$AC,5,FALSE)),""))</f>
        <v>EXT-CREAT</v>
      </c>
      <c r="E347" s="223">
        <f>(IF((VLOOKUP(Table10[[#This Row],[SKU]],'All Skus'!$A:$AC,2,FALSE))="Martin",(VLOOKUP(Table10[[#This Row],[SKU]],'All Skus'!$A:$AC,6,FALSE)),""))</f>
        <v>0</v>
      </c>
      <c r="F347" s="155" t="str">
        <f>(IF((VLOOKUP(Table10[[#This Row],[SKU]],'All Skus'!$A:$AC,2,FALSE))="Martin",(VLOOKUP(Table10[[#This Row],[SKU]],'All Skus'!$A:$AC,7,FALSE)),""))</f>
        <v>Production stop - Earliest delivery August 2023</v>
      </c>
      <c r="G347" s="223" t="str">
        <f>(IF((VLOOKUP(Table10[[#This Row],[SKU]],'All Skus'!$A:$AC,2,FALSE))="Martin",(VLOOKUP(Table10[[#This Row],[SKU]],'All Skus'!$A:$AC,8,FALSE)),""))</f>
        <v>Ext PixLine 20 RGB 1270mm Squ Dif Fr Alu</v>
      </c>
      <c r="H347" s="223" t="str">
        <f>(IF((VLOOKUP(Table10[[#This Row],[SKU]],'All Skus'!$A:$AC,2,FALSE))="Martin",(VLOOKUP(Table10[[#This Row],[SKU]],'All Skus'!$A:$AC,9,FALSE)),""))</f>
        <v>Ext PixLine 20 RGB 1270mm Squ Dif Fr Alu</v>
      </c>
      <c r="I347" s="225">
        <f>(IF((VLOOKUP(Table10[[#This Row],[SKU]],'All Skus'!$A:$AC,2,FALSE))="Martin",(VLOOKUP(Table10[[#This Row],[SKU]],'All Skus'!$A:$AC,10,FALSE)),""))</f>
        <v>834.7</v>
      </c>
      <c r="J347" s="226">
        <f>(IF((VLOOKUP(Table10[[#This Row],[SKU]],'All Skus'!$A:$AC,2,FALSE))="Martin",(VLOOKUP(Table10[[#This Row],[SKU]],'All Skus'!$A:$AC,11,FALSE)),""))</f>
        <v>834.7</v>
      </c>
      <c r="K347" s="224">
        <f>(IF((VLOOKUP(Table10[[#This Row],[SKU]],'All Skus'!$A:$AC,2,FALSE))="Martin",(VLOOKUP(Table10[[#This Row],[SKU]],'All Skus'!$A:$AC,15,FALSE)),""))</f>
        <v>0</v>
      </c>
      <c r="L347" s="224">
        <f>(IF((VLOOKUP(Table10[[#This Row],[SKU]],'All Skus'!$A:$AC,2,FALSE))="Martin",(VLOOKUP(Table10[[#This Row],[SKU]],'All Skus'!$A:$AC,16,FALSE)),""))</f>
        <v>5706681233908</v>
      </c>
      <c r="M347" s="224">
        <f>(IF((VLOOKUP(Table10[[#This Row],[SKU]],'All Skus'!$A:$AC,2,FALSE))="Martin",(VLOOKUP(Table10[[#This Row],[SKU]],'All Skus'!$A:$AC,17,FALSE)),""))</f>
        <v>0</v>
      </c>
      <c r="N347" s="227">
        <f>(IF((VLOOKUP(Table10[[#This Row],[SKU]],'All Skus'!$A:$AC,2,FALSE))="Martin",(VLOOKUP(Table10[[#This Row],[SKU]],'All Skus'!$A:$AC,18,FALSE)),""))</f>
        <v>0</v>
      </c>
      <c r="O347" s="227">
        <f>(IF((VLOOKUP(Table10[[#This Row],[SKU]],'All Skus'!$A:$AC,2,FALSE))="Martin",(VLOOKUP(Table10[[#This Row],[SKU]],'All Skus'!$A:$AC,19,FALSE)),""))</f>
        <v>0</v>
      </c>
      <c r="P347" s="227">
        <f>(IF((VLOOKUP(Table10[[#This Row],[SKU]],'All Skus'!$A:$AC,2,FALSE))="Martin",(VLOOKUP(Table10[[#This Row],[SKU]],'All Skus'!$A:$AC,20,FALSE)),""))</f>
        <v>0</v>
      </c>
      <c r="Q347" s="227">
        <f>(IF((VLOOKUP(Table10[[#This Row],[SKU]],'All Skus'!$A:$AC,2,FALSE))="Martin",(VLOOKUP(Table10[[#This Row],[SKU]],'All Skus'!$A:$AC,21,FALSE)),""))</f>
        <v>0</v>
      </c>
      <c r="R347" s="224" t="str">
        <f>(IF((VLOOKUP(Table10[[#This Row],[SKU]],'All Skus'!$A:$AC,2,FALSE))="Martin",(VLOOKUP(Table10[[#This Row],[SKU]],'All Skus'!$A:$AC,22,FALSE)),""))</f>
        <v>HU</v>
      </c>
      <c r="S347" s="223">
        <f>(IF((VLOOKUP(Table10[[#This Row],[SKU]],'All Skus'!$A:$AC,2,FALSE))="Martin",(VLOOKUP(Table10[[#This Row],[SKU]],'All Skus'!$A:$AC,23,FALSE)),""))</f>
        <v>0</v>
      </c>
      <c r="T347" s="212" t="str">
        <f>HYPERLINK((IF((VLOOKUP(Table10[[#This Row],[SKU]],'All Skus'!$A:$AC,2,FALSE))="Martin",(VLOOKUP(Table10[[#This Row],[SKU]],'All Skus'!$A:$AC,24,FALSE)),"")))</f>
        <v>http://www.martin.com/en-us/product-details/exterior-pixline-20</v>
      </c>
      <c r="U347" s="228">
        <v>345</v>
      </c>
    </row>
    <row r="348" spans="1:21" hidden="1">
      <c r="A348" s="114" t="s">
        <v>2126</v>
      </c>
      <c r="B348" s="224" t="str">
        <f>(IF((VLOOKUP(Table10[[#This Row],[SKU]],'All Skus'!$A:$AC,2,FALSE))="Martin",(VLOOKUP(Table10[[#This Row],[SKU]],'All Skus'!$A:$AC,3,FALSE)),""))</f>
        <v>LED Video</v>
      </c>
      <c r="C348" s="223" t="str">
        <f>(IF((VLOOKUP(Table10[[#This Row],[SKU]],'All Skus'!$A:$AC,2,FALSE))="Martin",(VLOOKUP(Table10[[#This Row],[SKU]],'All Skus'!$A:$AC,4,FALSE)),""))</f>
        <v>Ext PixLine 20 RGB 310mm As Len Lft Alu</v>
      </c>
      <c r="D348" s="224" t="str">
        <f>(IF((VLOOKUP(Table10[[#This Row],[SKU]],'All Skus'!$A:$AC,2,FALSE))="Martin",(VLOOKUP(Table10[[#This Row],[SKU]],'All Skus'!$A:$AC,5,FALSE)),""))</f>
        <v>EXT-CREAT</v>
      </c>
      <c r="E348" s="223">
        <f>(IF((VLOOKUP(Table10[[#This Row],[SKU]],'All Skus'!$A:$AC,2,FALSE))="Martin",(VLOOKUP(Table10[[#This Row],[SKU]],'All Skus'!$A:$AC,6,FALSE)),""))</f>
        <v>0</v>
      </c>
      <c r="F348" s="155" t="str">
        <f>(IF((VLOOKUP(Table10[[#This Row],[SKU]],'All Skus'!$A:$AC,2,FALSE))="Martin",(VLOOKUP(Table10[[#This Row],[SKU]],'All Skus'!$A:$AC,7,FALSE)),""))</f>
        <v>Production stop - Earliest delivery August 2023</v>
      </c>
      <c r="G348" s="223" t="str">
        <f>(IF((VLOOKUP(Table10[[#This Row],[SKU]],'All Skus'!$A:$AC,2,FALSE))="Martin",(VLOOKUP(Table10[[#This Row],[SKU]],'All Skus'!$A:$AC,8,FALSE)),""))</f>
        <v>Ext PixLine 20 RGB 310mm As Len Lft Alu</v>
      </c>
      <c r="H348" s="223" t="str">
        <f>(IF((VLOOKUP(Table10[[#This Row],[SKU]],'All Skus'!$A:$AC,2,FALSE))="Martin",(VLOOKUP(Table10[[#This Row],[SKU]],'All Skus'!$A:$AC,9,FALSE)),""))</f>
        <v>Ext PixLine 20 RGB 310mm As Len Lft Alu</v>
      </c>
      <c r="I348" s="225">
        <f>(IF((VLOOKUP(Table10[[#This Row],[SKU]],'All Skus'!$A:$AC,2,FALSE))="Martin",(VLOOKUP(Table10[[#This Row],[SKU]],'All Skus'!$A:$AC,10,FALSE)),""))</f>
        <v>434.64</v>
      </c>
      <c r="J348" s="226">
        <f>(IF((VLOOKUP(Table10[[#This Row],[SKU]],'All Skus'!$A:$AC,2,FALSE))="Martin",(VLOOKUP(Table10[[#This Row],[SKU]],'All Skus'!$A:$AC,11,FALSE)),""))</f>
        <v>434.64</v>
      </c>
      <c r="K348" s="224">
        <f>(IF((VLOOKUP(Table10[[#This Row],[SKU]],'All Skus'!$A:$AC,2,FALSE))="Martin",(VLOOKUP(Table10[[#This Row],[SKU]],'All Skus'!$A:$AC,15,FALSE)),""))</f>
        <v>0</v>
      </c>
      <c r="L348" s="224">
        <f>(IF((VLOOKUP(Table10[[#This Row],[SKU]],'All Skus'!$A:$AC,2,FALSE))="Martin",(VLOOKUP(Table10[[#This Row],[SKU]],'All Skus'!$A:$AC,16,FALSE)),""))</f>
        <v>5706681233892</v>
      </c>
      <c r="M348" s="224">
        <f>(IF((VLOOKUP(Table10[[#This Row],[SKU]],'All Skus'!$A:$AC,2,FALSE))="Martin",(VLOOKUP(Table10[[#This Row],[SKU]],'All Skus'!$A:$AC,17,FALSE)),""))</f>
        <v>0</v>
      </c>
      <c r="N348" s="227">
        <f>(IF((VLOOKUP(Table10[[#This Row],[SKU]],'All Skus'!$A:$AC,2,FALSE))="Martin",(VLOOKUP(Table10[[#This Row],[SKU]],'All Skus'!$A:$AC,18,FALSE)),""))</f>
        <v>0</v>
      </c>
      <c r="O348" s="227">
        <f>(IF((VLOOKUP(Table10[[#This Row],[SKU]],'All Skus'!$A:$AC,2,FALSE))="Martin",(VLOOKUP(Table10[[#This Row],[SKU]],'All Skus'!$A:$AC,19,FALSE)),""))</f>
        <v>0</v>
      </c>
      <c r="P348" s="227">
        <f>(IF((VLOOKUP(Table10[[#This Row],[SKU]],'All Skus'!$A:$AC,2,FALSE))="Martin",(VLOOKUP(Table10[[#This Row],[SKU]],'All Skus'!$A:$AC,20,FALSE)),""))</f>
        <v>0</v>
      </c>
      <c r="Q348" s="227">
        <f>(IF((VLOOKUP(Table10[[#This Row],[SKU]],'All Skus'!$A:$AC,2,FALSE))="Martin",(VLOOKUP(Table10[[#This Row],[SKU]],'All Skus'!$A:$AC,21,FALSE)),""))</f>
        <v>0</v>
      </c>
      <c r="R348" s="224" t="str">
        <f>(IF((VLOOKUP(Table10[[#This Row],[SKU]],'All Skus'!$A:$AC,2,FALSE))="Martin",(VLOOKUP(Table10[[#This Row],[SKU]],'All Skus'!$A:$AC,22,FALSE)),""))</f>
        <v>HU</v>
      </c>
      <c r="S348" s="223">
        <f>(IF((VLOOKUP(Table10[[#This Row],[SKU]],'All Skus'!$A:$AC,2,FALSE))="Martin",(VLOOKUP(Table10[[#This Row],[SKU]],'All Skus'!$A:$AC,23,FALSE)),""))</f>
        <v>0</v>
      </c>
      <c r="T348" s="212" t="str">
        <f>HYPERLINK((IF((VLOOKUP(Table10[[#This Row],[SKU]],'All Skus'!$A:$AC,2,FALSE))="Martin",(VLOOKUP(Table10[[#This Row],[SKU]],'All Skus'!$A:$AC,24,FALSE)),"")))</f>
        <v>http://www.martin.com/en-us/product-details/exterior-pixline-20</v>
      </c>
      <c r="U348" s="228">
        <v>346</v>
      </c>
    </row>
    <row r="349" spans="1:21" hidden="1">
      <c r="A349" s="114" t="s">
        <v>2127</v>
      </c>
      <c r="B349" s="224" t="str">
        <f>(IF((VLOOKUP(Table10[[#This Row],[SKU]],'All Skus'!$A:$AC,2,FALSE))="Martin",(VLOOKUP(Table10[[#This Row],[SKU]],'All Skus'!$A:$AC,3,FALSE)),""))</f>
        <v>Linear</v>
      </c>
      <c r="C349" s="223" t="str">
        <f>(IF((VLOOKUP(Table10[[#This Row],[SKU]],'All Skus'!$A:$AC,2,FALSE))="Martin",(VLOOKUP(Table10[[#This Row],[SKU]],'All Skus'!$A:$AC,4,FALSE)),""))</f>
        <v>Ext PixLine 20 RGB 1270mm As Len Lft Alu</v>
      </c>
      <c r="D349" s="224" t="str">
        <f>(IF((VLOOKUP(Table10[[#This Row],[SKU]],'All Skus'!$A:$AC,2,FALSE))="Martin",(VLOOKUP(Table10[[#This Row],[SKU]],'All Skus'!$A:$AC,5,FALSE)),""))</f>
        <v>EXT-CREAT</v>
      </c>
      <c r="E349" s="223">
        <f>(IF((VLOOKUP(Table10[[#This Row],[SKU]],'All Skus'!$A:$AC,2,FALSE))="Martin",(VLOOKUP(Table10[[#This Row],[SKU]],'All Skus'!$A:$AC,6,FALSE)),""))</f>
        <v>0</v>
      </c>
      <c r="F349" s="155" t="str">
        <f>(IF((VLOOKUP(Table10[[#This Row],[SKU]],'All Skus'!$A:$AC,2,FALSE))="Martin",(VLOOKUP(Table10[[#This Row],[SKU]],'All Skus'!$A:$AC,7,FALSE)),""))</f>
        <v>Production stop - Earliest delivery August 2023</v>
      </c>
      <c r="G349" s="223" t="str">
        <f>(IF((VLOOKUP(Table10[[#This Row],[SKU]],'All Skus'!$A:$AC,2,FALSE))="Martin",(VLOOKUP(Table10[[#This Row],[SKU]],'All Skus'!$A:$AC,8,FALSE)),""))</f>
        <v>Ext PixLine 20 RGB 1270mm As Len Lft Alu</v>
      </c>
      <c r="H349" s="223" t="str">
        <f>(IF((VLOOKUP(Table10[[#This Row],[SKU]],'All Skus'!$A:$AC,2,FALSE))="Martin",(VLOOKUP(Table10[[#This Row],[SKU]],'All Skus'!$A:$AC,9,FALSE)),""))</f>
        <v>Ext PixLine 20 RGB 1270mm As Len Lft Alu</v>
      </c>
      <c r="I349" s="225">
        <f>(IF((VLOOKUP(Table10[[#This Row],[SKU]],'All Skus'!$A:$AC,2,FALSE))="Martin",(VLOOKUP(Table10[[#This Row],[SKU]],'All Skus'!$A:$AC,10,FALSE)),""))</f>
        <v>859.4</v>
      </c>
      <c r="J349" s="226">
        <f>(IF((VLOOKUP(Table10[[#This Row],[SKU]],'All Skus'!$A:$AC,2,FALSE))="Martin",(VLOOKUP(Table10[[#This Row],[SKU]],'All Skus'!$A:$AC,11,FALSE)),""))</f>
        <v>859.4</v>
      </c>
      <c r="K349" s="224">
        <f>(IF((VLOOKUP(Table10[[#This Row],[SKU]],'All Skus'!$A:$AC,2,FALSE))="Martin",(VLOOKUP(Table10[[#This Row],[SKU]],'All Skus'!$A:$AC,15,FALSE)),""))</f>
        <v>0</v>
      </c>
      <c r="L349" s="224">
        <f>(IF((VLOOKUP(Table10[[#This Row],[SKU]],'All Skus'!$A:$AC,2,FALSE))="Martin",(VLOOKUP(Table10[[#This Row],[SKU]],'All Skus'!$A:$AC,16,FALSE)),""))</f>
        <v>5706681233885</v>
      </c>
      <c r="M349" s="224">
        <f>(IF((VLOOKUP(Table10[[#This Row],[SKU]],'All Skus'!$A:$AC,2,FALSE))="Martin",(VLOOKUP(Table10[[#This Row],[SKU]],'All Skus'!$A:$AC,17,FALSE)),""))</f>
        <v>0</v>
      </c>
      <c r="N349" s="227">
        <f>(IF((VLOOKUP(Table10[[#This Row],[SKU]],'All Skus'!$A:$AC,2,FALSE))="Martin",(VLOOKUP(Table10[[#This Row],[SKU]],'All Skus'!$A:$AC,18,FALSE)),""))</f>
        <v>0</v>
      </c>
      <c r="O349" s="227">
        <f>(IF((VLOOKUP(Table10[[#This Row],[SKU]],'All Skus'!$A:$AC,2,FALSE))="Martin",(VLOOKUP(Table10[[#This Row],[SKU]],'All Skus'!$A:$AC,19,FALSE)),""))</f>
        <v>0</v>
      </c>
      <c r="P349" s="227">
        <f>(IF((VLOOKUP(Table10[[#This Row],[SKU]],'All Skus'!$A:$AC,2,FALSE))="Martin",(VLOOKUP(Table10[[#This Row],[SKU]],'All Skus'!$A:$AC,20,FALSE)),""))</f>
        <v>0</v>
      </c>
      <c r="Q349" s="227">
        <f>(IF((VLOOKUP(Table10[[#This Row],[SKU]],'All Skus'!$A:$AC,2,FALSE))="Martin",(VLOOKUP(Table10[[#This Row],[SKU]],'All Skus'!$A:$AC,21,FALSE)),""))</f>
        <v>0</v>
      </c>
      <c r="R349" s="224" t="str">
        <f>(IF((VLOOKUP(Table10[[#This Row],[SKU]],'All Skus'!$A:$AC,2,FALSE))="Martin",(VLOOKUP(Table10[[#This Row],[SKU]],'All Skus'!$A:$AC,22,FALSE)),""))</f>
        <v>HU</v>
      </c>
      <c r="S349" s="223">
        <f>(IF((VLOOKUP(Table10[[#This Row],[SKU]],'All Skus'!$A:$AC,2,FALSE))="Martin",(VLOOKUP(Table10[[#This Row],[SKU]],'All Skus'!$A:$AC,23,FALSE)),""))</f>
        <v>0</v>
      </c>
      <c r="T349" s="212" t="str">
        <f>HYPERLINK((IF((VLOOKUP(Table10[[#This Row],[SKU]],'All Skus'!$A:$AC,2,FALSE))="Martin",(VLOOKUP(Table10[[#This Row],[SKU]],'All Skus'!$A:$AC,24,FALSE)),"")))</f>
        <v>http://www.martin.com/en-us/product-details/exterior-pixline-20</v>
      </c>
      <c r="U349" s="228">
        <v>347</v>
      </c>
    </row>
    <row r="350" spans="1:21" hidden="1">
      <c r="A350" s="114" t="s">
        <v>2128</v>
      </c>
      <c r="B350" s="224" t="str">
        <f>(IF((VLOOKUP(Table10[[#This Row],[SKU]],'All Skus'!$A:$AC,2,FALSE))="Martin",(VLOOKUP(Table10[[#This Row],[SKU]],'All Skus'!$A:$AC,3,FALSE)),""))</f>
        <v>LED Video</v>
      </c>
      <c r="C350" s="223" t="str">
        <f>(IF((VLOOKUP(Table10[[#This Row],[SKU]],'All Skus'!$A:$AC,2,FALSE))="Martin",(VLOOKUP(Table10[[#This Row],[SKU]],'All Skus'!$A:$AC,4,FALSE)),""))</f>
        <v>Ext PixLine 20 RGB 310mm As Len Rgt Alu</v>
      </c>
      <c r="D350" s="224" t="str">
        <f>(IF((VLOOKUP(Table10[[#This Row],[SKU]],'All Skus'!$A:$AC,2,FALSE))="Martin",(VLOOKUP(Table10[[#This Row],[SKU]],'All Skus'!$A:$AC,5,FALSE)),""))</f>
        <v>EXT-CREAT</v>
      </c>
      <c r="E350" s="223">
        <f>(IF((VLOOKUP(Table10[[#This Row],[SKU]],'All Skus'!$A:$AC,2,FALSE))="Martin",(VLOOKUP(Table10[[#This Row],[SKU]],'All Skus'!$A:$AC,6,FALSE)),""))</f>
        <v>0</v>
      </c>
      <c r="F350" s="155" t="str">
        <f>(IF((VLOOKUP(Table10[[#This Row],[SKU]],'All Skus'!$A:$AC,2,FALSE))="Martin",(VLOOKUP(Table10[[#This Row],[SKU]],'All Skus'!$A:$AC,7,FALSE)),""))</f>
        <v>Production stop - Earliest delivery August 2023</v>
      </c>
      <c r="G350" s="223" t="str">
        <f>(IF((VLOOKUP(Table10[[#This Row],[SKU]],'All Skus'!$A:$AC,2,FALSE))="Martin",(VLOOKUP(Table10[[#This Row],[SKU]],'All Skus'!$A:$AC,8,FALSE)),""))</f>
        <v>Ext PixLine 20 RGB 310mm As Len Rgt Alu</v>
      </c>
      <c r="H350" s="223" t="str">
        <f>(IF((VLOOKUP(Table10[[#This Row],[SKU]],'All Skus'!$A:$AC,2,FALSE))="Martin",(VLOOKUP(Table10[[#This Row],[SKU]],'All Skus'!$A:$AC,9,FALSE)),""))</f>
        <v>Ext PixLine 20 RGB 310mm As Len Rgt Alu</v>
      </c>
      <c r="I350" s="225">
        <f>(IF((VLOOKUP(Table10[[#This Row],[SKU]],'All Skus'!$A:$AC,2,FALSE))="Martin",(VLOOKUP(Table10[[#This Row],[SKU]],'All Skus'!$A:$AC,10,FALSE)),""))</f>
        <v>434.64</v>
      </c>
      <c r="J350" s="226">
        <f>(IF((VLOOKUP(Table10[[#This Row],[SKU]],'All Skus'!$A:$AC,2,FALSE))="Martin",(VLOOKUP(Table10[[#This Row],[SKU]],'All Skus'!$A:$AC,11,FALSE)),""))</f>
        <v>434.64</v>
      </c>
      <c r="K350" s="224">
        <f>(IF((VLOOKUP(Table10[[#This Row],[SKU]],'All Skus'!$A:$AC,2,FALSE))="Martin",(VLOOKUP(Table10[[#This Row],[SKU]],'All Skus'!$A:$AC,15,FALSE)),""))</f>
        <v>0</v>
      </c>
      <c r="L350" s="224">
        <f>(IF((VLOOKUP(Table10[[#This Row],[SKU]],'All Skus'!$A:$AC,2,FALSE))="Martin",(VLOOKUP(Table10[[#This Row],[SKU]],'All Skus'!$A:$AC,16,FALSE)),""))</f>
        <v>5706681233878</v>
      </c>
      <c r="M350" s="224">
        <f>(IF((VLOOKUP(Table10[[#This Row],[SKU]],'All Skus'!$A:$AC,2,FALSE))="Martin",(VLOOKUP(Table10[[#This Row],[SKU]],'All Skus'!$A:$AC,17,FALSE)),""))</f>
        <v>0</v>
      </c>
      <c r="N350" s="227">
        <f>(IF((VLOOKUP(Table10[[#This Row],[SKU]],'All Skus'!$A:$AC,2,FALSE))="Martin",(VLOOKUP(Table10[[#This Row],[SKU]],'All Skus'!$A:$AC,18,FALSE)),""))</f>
        <v>0</v>
      </c>
      <c r="O350" s="227">
        <f>(IF((VLOOKUP(Table10[[#This Row],[SKU]],'All Skus'!$A:$AC,2,FALSE))="Martin",(VLOOKUP(Table10[[#This Row],[SKU]],'All Skus'!$A:$AC,19,FALSE)),""))</f>
        <v>0</v>
      </c>
      <c r="P350" s="227">
        <f>(IF((VLOOKUP(Table10[[#This Row],[SKU]],'All Skus'!$A:$AC,2,FALSE))="Martin",(VLOOKUP(Table10[[#This Row],[SKU]],'All Skus'!$A:$AC,20,FALSE)),""))</f>
        <v>0</v>
      </c>
      <c r="Q350" s="227">
        <f>(IF((VLOOKUP(Table10[[#This Row],[SKU]],'All Skus'!$A:$AC,2,FALSE))="Martin",(VLOOKUP(Table10[[#This Row],[SKU]],'All Skus'!$A:$AC,21,FALSE)),""))</f>
        <v>0</v>
      </c>
      <c r="R350" s="224" t="str">
        <f>(IF((VLOOKUP(Table10[[#This Row],[SKU]],'All Skus'!$A:$AC,2,FALSE))="Martin",(VLOOKUP(Table10[[#This Row],[SKU]],'All Skus'!$A:$AC,22,FALSE)),""))</f>
        <v>HU</v>
      </c>
      <c r="S350" s="223">
        <f>(IF((VLOOKUP(Table10[[#This Row],[SKU]],'All Skus'!$A:$AC,2,FALSE))="Martin",(VLOOKUP(Table10[[#This Row],[SKU]],'All Skus'!$A:$AC,23,FALSE)),""))</f>
        <v>0</v>
      </c>
      <c r="T350" s="212" t="str">
        <f>HYPERLINK((IF((VLOOKUP(Table10[[#This Row],[SKU]],'All Skus'!$A:$AC,2,FALSE))="Martin",(VLOOKUP(Table10[[#This Row],[SKU]],'All Skus'!$A:$AC,24,FALSE)),"")))</f>
        <v>http://www.martin.com/en-us/product-details/exterior-pixline-20</v>
      </c>
      <c r="U350" s="228">
        <v>348</v>
      </c>
    </row>
    <row r="351" spans="1:21" hidden="1">
      <c r="A351" s="114" t="s">
        <v>2129</v>
      </c>
      <c r="B351" s="224" t="str">
        <f>(IF((VLOOKUP(Table10[[#This Row],[SKU]],'All Skus'!$A:$AC,2,FALSE))="Martin",(VLOOKUP(Table10[[#This Row],[SKU]],'All Skus'!$A:$AC,3,FALSE)),""))</f>
        <v>Linear</v>
      </c>
      <c r="C351" s="223" t="str">
        <f>(IF((VLOOKUP(Table10[[#This Row],[SKU]],'All Skus'!$A:$AC,2,FALSE))="Martin",(VLOOKUP(Table10[[#This Row],[SKU]],'All Skus'!$A:$AC,4,FALSE)),""))</f>
        <v>Ext PixLine 20 RGB 1270mm As Len Rgt Alu</v>
      </c>
      <c r="D351" s="224" t="str">
        <f>(IF((VLOOKUP(Table10[[#This Row],[SKU]],'All Skus'!$A:$AC,2,FALSE))="Martin",(VLOOKUP(Table10[[#This Row],[SKU]],'All Skus'!$A:$AC,5,FALSE)),""))</f>
        <v>EXT-CREAT</v>
      </c>
      <c r="E351" s="223">
        <f>(IF((VLOOKUP(Table10[[#This Row],[SKU]],'All Skus'!$A:$AC,2,FALSE))="Martin",(VLOOKUP(Table10[[#This Row],[SKU]],'All Skus'!$A:$AC,6,FALSE)),""))</f>
        <v>0</v>
      </c>
      <c r="F351" s="155" t="str">
        <f>(IF((VLOOKUP(Table10[[#This Row],[SKU]],'All Skus'!$A:$AC,2,FALSE))="Martin",(VLOOKUP(Table10[[#This Row],[SKU]],'All Skus'!$A:$AC,7,FALSE)),""))</f>
        <v>Production stop - Earliest delivery August 2023</v>
      </c>
      <c r="G351" s="223" t="str">
        <f>(IF((VLOOKUP(Table10[[#This Row],[SKU]],'All Skus'!$A:$AC,2,FALSE))="Martin",(VLOOKUP(Table10[[#This Row],[SKU]],'All Skus'!$A:$AC,8,FALSE)),""))</f>
        <v>Ext PixLine 20 RGB 1270mm As Len Rgt Alu</v>
      </c>
      <c r="H351" s="223" t="str">
        <f>(IF((VLOOKUP(Table10[[#This Row],[SKU]],'All Skus'!$A:$AC,2,FALSE))="Martin",(VLOOKUP(Table10[[#This Row],[SKU]],'All Skus'!$A:$AC,9,FALSE)),""))</f>
        <v>Ext PixLine 20 RGB 1270mm As Len Rgt Alu</v>
      </c>
      <c r="I351" s="225">
        <f>(IF((VLOOKUP(Table10[[#This Row],[SKU]],'All Skus'!$A:$AC,2,FALSE))="Martin",(VLOOKUP(Table10[[#This Row],[SKU]],'All Skus'!$A:$AC,10,FALSE)),""))</f>
        <v>859.4</v>
      </c>
      <c r="J351" s="226">
        <f>(IF((VLOOKUP(Table10[[#This Row],[SKU]],'All Skus'!$A:$AC,2,FALSE))="Martin",(VLOOKUP(Table10[[#This Row],[SKU]],'All Skus'!$A:$AC,11,FALSE)),""))</f>
        <v>859.4</v>
      </c>
      <c r="K351" s="224">
        <f>(IF((VLOOKUP(Table10[[#This Row],[SKU]],'All Skus'!$A:$AC,2,FALSE))="Martin",(VLOOKUP(Table10[[#This Row],[SKU]],'All Skus'!$A:$AC,15,FALSE)),""))</f>
        <v>0</v>
      </c>
      <c r="L351" s="224">
        <f>(IF((VLOOKUP(Table10[[#This Row],[SKU]],'All Skus'!$A:$AC,2,FALSE))="Martin",(VLOOKUP(Table10[[#This Row],[SKU]],'All Skus'!$A:$AC,16,FALSE)),""))</f>
        <v>5706681233861</v>
      </c>
      <c r="M351" s="224">
        <f>(IF((VLOOKUP(Table10[[#This Row],[SKU]],'All Skus'!$A:$AC,2,FALSE))="Martin",(VLOOKUP(Table10[[#This Row],[SKU]],'All Skus'!$A:$AC,17,FALSE)),""))</f>
        <v>0</v>
      </c>
      <c r="N351" s="227">
        <f>(IF((VLOOKUP(Table10[[#This Row],[SKU]],'All Skus'!$A:$AC,2,FALSE))="Martin",(VLOOKUP(Table10[[#This Row],[SKU]],'All Skus'!$A:$AC,18,FALSE)),""))</f>
        <v>0</v>
      </c>
      <c r="O351" s="227">
        <f>(IF((VLOOKUP(Table10[[#This Row],[SKU]],'All Skus'!$A:$AC,2,FALSE))="Martin",(VLOOKUP(Table10[[#This Row],[SKU]],'All Skus'!$A:$AC,19,FALSE)),""))</f>
        <v>0</v>
      </c>
      <c r="P351" s="227">
        <f>(IF((VLOOKUP(Table10[[#This Row],[SKU]],'All Skus'!$A:$AC,2,FALSE))="Martin",(VLOOKUP(Table10[[#This Row],[SKU]],'All Skus'!$A:$AC,20,FALSE)),""))</f>
        <v>0</v>
      </c>
      <c r="Q351" s="227">
        <f>(IF((VLOOKUP(Table10[[#This Row],[SKU]],'All Skus'!$A:$AC,2,FALSE))="Martin",(VLOOKUP(Table10[[#This Row],[SKU]],'All Skus'!$A:$AC,21,FALSE)),""))</f>
        <v>0</v>
      </c>
      <c r="R351" s="224" t="str">
        <f>(IF((VLOOKUP(Table10[[#This Row],[SKU]],'All Skus'!$A:$AC,2,FALSE))="Martin",(VLOOKUP(Table10[[#This Row],[SKU]],'All Skus'!$A:$AC,22,FALSE)),""))</f>
        <v>HU</v>
      </c>
      <c r="S351" s="223">
        <f>(IF((VLOOKUP(Table10[[#This Row],[SKU]],'All Skus'!$A:$AC,2,FALSE))="Martin",(VLOOKUP(Table10[[#This Row],[SKU]],'All Skus'!$A:$AC,23,FALSE)),""))</f>
        <v>0</v>
      </c>
      <c r="T351" s="212" t="str">
        <f>HYPERLINK((IF((VLOOKUP(Table10[[#This Row],[SKU]],'All Skus'!$A:$AC,2,FALSE))="Martin",(VLOOKUP(Table10[[#This Row],[SKU]],'All Skus'!$A:$AC,24,FALSE)),"")))</f>
        <v/>
      </c>
      <c r="U351" s="228">
        <v>349</v>
      </c>
    </row>
    <row r="352" spans="1:21" hidden="1">
      <c r="A352" s="115" t="s">
        <v>2130</v>
      </c>
      <c r="B352" s="224">
        <f>(IF((VLOOKUP(Table10[[#This Row],[SKU]],'All Skus'!$A:$AC,2,FALSE))="Martin",(VLOOKUP(Table10[[#This Row],[SKU]],'All Skus'!$A:$AC,3,FALSE)),""))</f>
        <v>0</v>
      </c>
      <c r="C352" s="223">
        <f>(IF((VLOOKUP(Table10[[#This Row],[SKU]],'All Skus'!$A:$AC,2,FALSE))="Martin",(VLOOKUP(Table10[[#This Row],[SKU]],'All Skus'!$A:$AC,4,FALSE)),""))</f>
        <v>0</v>
      </c>
      <c r="D352" s="224">
        <f>(IF((VLOOKUP(Table10[[#This Row],[SKU]],'All Skus'!$A:$AC,2,FALSE))="Martin",(VLOOKUP(Table10[[#This Row],[SKU]],'All Skus'!$A:$AC,5,FALSE)),""))</f>
        <v>0</v>
      </c>
      <c r="E352" s="223">
        <f>(IF((VLOOKUP(Table10[[#This Row],[SKU]],'All Skus'!$A:$AC,2,FALSE))="Martin",(VLOOKUP(Table10[[#This Row],[SKU]],'All Skus'!$A:$AC,6,FALSE)),""))</f>
        <v>0</v>
      </c>
      <c r="F352" s="155">
        <f>(IF((VLOOKUP(Table10[[#This Row],[SKU]],'All Skus'!$A:$AC,2,FALSE))="Martin",(VLOOKUP(Table10[[#This Row],[SKU]],'All Skus'!$A:$AC,7,FALSE)),""))</f>
        <v>0</v>
      </c>
      <c r="G352" s="223">
        <f>(IF((VLOOKUP(Table10[[#This Row],[SKU]],'All Skus'!$A:$AC,2,FALSE))="Martin",(VLOOKUP(Table10[[#This Row],[SKU]],'All Skus'!$A:$AC,8,FALSE)),""))</f>
        <v>0</v>
      </c>
      <c r="H352" s="223">
        <f>(IF((VLOOKUP(Table10[[#This Row],[SKU]],'All Skus'!$A:$AC,2,FALSE))="Martin",(VLOOKUP(Table10[[#This Row],[SKU]],'All Skus'!$A:$AC,9,FALSE)),""))</f>
        <v>0</v>
      </c>
      <c r="I352" s="225">
        <f>(IF((VLOOKUP(Table10[[#This Row],[SKU]],'All Skus'!$A:$AC,2,FALSE))="Martin",(VLOOKUP(Table10[[#This Row],[SKU]],'All Skus'!$A:$AC,10,FALSE)),""))</f>
        <v>0</v>
      </c>
      <c r="J352" s="226">
        <f>(IF((VLOOKUP(Table10[[#This Row],[SKU]],'All Skus'!$A:$AC,2,FALSE))="Martin",(VLOOKUP(Table10[[#This Row],[SKU]],'All Skus'!$A:$AC,11,FALSE)),""))</f>
        <v>0</v>
      </c>
      <c r="K352" s="224">
        <f>(IF((VLOOKUP(Table10[[#This Row],[SKU]],'All Skus'!$A:$AC,2,FALSE))="Martin",(VLOOKUP(Table10[[#This Row],[SKU]],'All Skus'!$A:$AC,15,FALSE)),""))</f>
        <v>0</v>
      </c>
      <c r="L352" s="224">
        <f>(IF((VLOOKUP(Table10[[#This Row],[SKU]],'All Skus'!$A:$AC,2,FALSE))="Martin",(VLOOKUP(Table10[[#This Row],[SKU]],'All Skus'!$A:$AC,16,FALSE)),""))</f>
        <v>0</v>
      </c>
      <c r="M352" s="224">
        <f>(IF((VLOOKUP(Table10[[#This Row],[SKU]],'All Skus'!$A:$AC,2,FALSE))="Martin",(VLOOKUP(Table10[[#This Row],[SKU]],'All Skus'!$A:$AC,17,FALSE)),""))</f>
        <v>0</v>
      </c>
      <c r="N352" s="227">
        <f>(IF((VLOOKUP(Table10[[#This Row],[SKU]],'All Skus'!$A:$AC,2,FALSE))="Martin",(VLOOKUP(Table10[[#This Row],[SKU]],'All Skus'!$A:$AC,18,FALSE)),""))</f>
        <v>0</v>
      </c>
      <c r="O352" s="227">
        <f>(IF((VLOOKUP(Table10[[#This Row],[SKU]],'All Skus'!$A:$AC,2,FALSE))="Martin",(VLOOKUP(Table10[[#This Row],[SKU]],'All Skus'!$A:$AC,19,FALSE)),""))</f>
        <v>0</v>
      </c>
      <c r="P352" s="227">
        <f>(IF((VLOOKUP(Table10[[#This Row],[SKU]],'All Skus'!$A:$AC,2,FALSE))="Martin",(VLOOKUP(Table10[[#This Row],[SKU]],'All Skus'!$A:$AC,20,FALSE)),""))</f>
        <v>0</v>
      </c>
      <c r="Q352" s="227">
        <f>(IF((VLOOKUP(Table10[[#This Row],[SKU]],'All Skus'!$A:$AC,2,FALSE))="Martin",(VLOOKUP(Table10[[#This Row],[SKU]],'All Skus'!$A:$AC,21,FALSE)),""))</f>
        <v>0</v>
      </c>
      <c r="R352" s="224">
        <f>(IF((VLOOKUP(Table10[[#This Row],[SKU]],'All Skus'!$A:$AC,2,FALSE))="Martin",(VLOOKUP(Table10[[#This Row],[SKU]],'All Skus'!$A:$AC,22,FALSE)),""))</f>
        <v>0</v>
      </c>
      <c r="S352" s="223">
        <f>(IF((VLOOKUP(Table10[[#This Row],[SKU]],'All Skus'!$A:$AC,2,FALSE))="Martin",(VLOOKUP(Table10[[#This Row],[SKU]],'All Skus'!$A:$AC,23,FALSE)),""))</f>
        <v>0</v>
      </c>
      <c r="T352" s="212" t="str">
        <f>HYPERLINK((IF((VLOOKUP(Table10[[#This Row],[SKU]],'All Skus'!$A:$AC,2,FALSE))="Martin",(VLOOKUP(Table10[[#This Row],[SKU]],'All Skus'!$A:$AC,24,FALSE)),"")))</f>
        <v/>
      </c>
      <c r="U352" s="228">
        <v>350</v>
      </c>
    </row>
    <row r="353" spans="1:21" hidden="1">
      <c r="A353" s="112" t="s">
        <v>2131</v>
      </c>
      <c r="B353" s="224" t="str">
        <f>(IF((VLOOKUP(Table10[[#This Row],[SKU]],'All Skus'!$A:$AC,2,FALSE))="Martin",(VLOOKUP(Table10[[#This Row],[SKU]],'All Skus'!$A:$AC,3,FALSE)),""))</f>
        <v>LED Video</v>
      </c>
      <c r="C353" s="223" t="str">
        <f>(IF((VLOOKUP(Table10[[#This Row],[SKU]],'All Skus'!$A:$AC,2,FALSE))="Martin",(VLOOKUP(Table10[[#This Row],[SKU]],'All Skus'!$A:$AC,4,FALSE)),""))</f>
        <v>Ext PixLine 40 RGB 310mm Clr Front Alu</v>
      </c>
      <c r="D353" s="224" t="str">
        <f>(IF((VLOOKUP(Table10[[#This Row],[SKU]],'All Skus'!$A:$AC,2,FALSE))="Martin",(VLOOKUP(Table10[[#This Row],[SKU]],'All Skus'!$A:$AC,5,FALSE)),""))</f>
        <v>EXT-CREAT</v>
      </c>
      <c r="E353" s="223">
        <f>(IF((VLOOKUP(Table10[[#This Row],[SKU]],'All Skus'!$A:$AC,2,FALSE))="Martin",(VLOOKUP(Table10[[#This Row],[SKU]],'All Skus'!$A:$AC,6,FALSE)),""))</f>
        <v>0</v>
      </c>
      <c r="F353" s="155" t="str">
        <f>(IF((VLOOKUP(Table10[[#This Row],[SKU]],'All Skus'!$A:$AC,2,FALSE))="Martin",(VLOOKUP(Table10[[#This Row],[SKU]],'All Skus'!$A:$AC,7,FALSE)),""))</f>
        <v>Production stop - Earliest delivery August 2023</v>
      </c>
      <c r="G353" s="223" t="str">
        <f>(IF((VLOOKUP(Table10[[#This Row],[SKU]],'All Skus'!$A:$AC,2,FALSE))="Martin",(VLOOKUP(Table10[[#This Row],[SKU]],'All Skus'!$A:$AC,8,FALSE)),""))</f>
        <v>Ext PixLine 40 RGB 310mm Clr Front Alu</v>
      </c>
      <c r="H353" s="223" t="str">
        <f>(IF((VLOOKUP(Table10[[#This Row],[SKU]],'All Skus'!$A:$AC,2,FALSE))="Martin",(VLOOKUP(Table10[[#This Row],[SKU]],'All Skus'!$A:$AC,9,FALSE)),""))</f>
        <v>Ext PixLine 40 RGB 310mm Clr Front Alu</v>
      </c>
      <c r="I353" s="225">
        <f>(IF((VLOOKUP(Table10[[#This Row],[SKU]],'All Skus'!$A:$AC,2,FALSE))="Martin",(VLOOKUP(Table10[[#This Row],[SKU]],'All Skus'!$A:$AC,10,FALSE)),""))</f>
        <v>391.42</v>
      </c>
      <c r="J353" s="226">
        <f>(IF((VLOOKUP(Table10[[#This Row],[SKU]],'All Skus'!$A:$AC,2,FALSE))="Martin",(VLOOKUP(Table10[[#This Row],[SKU]],'All Skus'!$A:$AC,11,FALSE)),""))</f>
        <v>391.42</v>
      </c>
      <c r="K353" s="224">
        <f>(IF((VLOOKUP(Table10[[#This Row],[SKU]],'All Skus'!$A:$AC,2,FALSE))="Martin",(VLOOKUP(Table10[[#This Row],[SKU]],'All Skus'!$A:$AC,15,FALSE)),""))</f>
        <v>0</v>
      </c>
      <c r="L353" s="224">
        <f>(IF((VLOOKUP(Table10[[#This Row],[SKU]],'All Skus'!$A:$AC,2,FALSE))="Martin",(VLOOKUP(Table10[[#This Row],[SKU]],'All Skus'!$A:$AC,16,FALSE)),""))</f>
        <v>5706681233854</v>
      </c>
      <c r="M353" s="224">
        <f>(IF((VLOOKUP(Table10[[#This Row],[SKU]],'All Skus'!$A:$AC,2,FALSE))="Martin",(VLOOKUP(Table10[[#This Row],[SKU]],'All Skus'!$A:$AC,17,FALSE)),""))</f>
        <v>0</v>
      </c>
      <c r="N353" s="227">
        <f>(IF((VLOOKUP(Table10[[#This Row],[SKU]],'All Skus'!$A:$AC,2,FALSE))="Martin",(VLOOKUP(Table10[[#This Row],[SKU]],'All Skus'!$A:$AC,18,FALSE)),""))</f>
        <v>0</v>
      </c>
      <c r="O353" s="227">
        <f>(IF((VLOOKUP(Table10[[#This Row],[SKU]],'All Skus'!$A:$AC,2,FALSE))="Martin",(VLOOKUP(Table10[[#This Row],[SKU]],'All Skus'!$A:$AC,19,FALSE)),""))</f>
        <v>0</v>
      </c>
      <c r="P353" s="227">
        <f>(IF((VLOOKUP(Table10[[#This Row],[SKU]],'All Skus'!$A:$AC,2,FALSE))="Martin",(VLOOKUP(Table10[[#This Row],[SKU]],'All Skus'!$A:$AC,20,FALSE)),""))</f>
        <v>0</v>
      </c>
      <c r="Q353" s="227">
        <f>(IF((VLOOKUP(Table10[[#This Row],[SKU]],'All Skus'!$A:$AC,2,FALSE))="Martin",(VLOOKUP(Table10[[#This Row],[SKU]],'All Skus'!$A:$AC,21,FALSE)),""))</f>
        <v>0</v>
      </c>
      <c r="R353" s="224" t="str">
        <f>(IF((VLOOKUP(Table10[[#This Row],[SKU]],'All Skus'!$A:$AC,2,FALSE))="Martin",(VLOOKUP(Table10[[#This Row],[SKU]],'All Skus'!$A:$AC,22,FALSE)),""))</f>
        <v>HU</v>
      </c>
      <c r="S353" s="223">
        <f>(IF((VLOOKUP(Table10[[#This Row],[SKU]],'All Skus'!$A:$AC,2,FALSE))="Martin",(VLOOKUP(Table10[[#This Row],[SKU]],'All Skus'!$A:$AC,23,FALSE)),""))</f>
        <v>0</v>
      </c>
      <c r="T353" s="212" t="str">
        <f>HYPERLINK((IF((VLOOKUP(Table10[[#This Row],[SKU]],'All Skus'!$A:$AC,2,FALSE))="Martin",(VLOOKUP(Table10[[#This Row],[SKU]],'All Skus'!$A:$AC,24,FALSE)),"")))</f>
        <v/>
      </c>
      <c r="U353" s="228">
        <v>351</v>
      </c>
    </row>
    <row r="354" spans="1:21" hidden="1">
      <c r="A354" s="112" t="s">
        <v>2132</v>
      </c>
      <c r="B354" s="224" t="str">
        <f>(IF((VLOOKUP(Table10[[#This Row],[SKU]],'All Skus'!$A:$AC,2,FALSE))="Martin",(VLOOKUP(Table10[[#This Row],[SKU]],'All Skus'!$A:$AC,3,FALSE)),""))</f>
        <v>LED Video</v>
      </c>
      <c r="C354" s="223" t="str">
        <f>(IF((VLOOKUP(Table10[[#This Row],[SKU]],'All Skus'!$A:$AC,2,FALSE))="Martin",(VLOOKUP(Table10[[#This Row],[SKU]],'All Skus'!$A:$AC,4,FALSE)),""))</f>
        <v>Ext PixLine 40 RGB 1270mm Clr Front Alu</v>
      </c>
      <c r="D354" s="224" t="str">
        <f>(IF((VLOOKUP(Table10[[#This Row],[SKU]],'All Skus'!$A:$AC,2,FALSE))="Martin",(VLOOKUP(Table10[[#This Row],[SKU]],'All Skus'!$A:$AC,5,FALSE)),""))</f>
        <v>EXT-CREAT</v>
      </c>
      <c r="E354" s="223">
        <f>(IF((VLOOKUP(Table10[[#This Row],[SKU]],'All Skus'!$A:$AC,2,FALSE))="Martin",(VLOOKUP(Table10[[#This Row],[SKU]],'All Skus'!$A:$AC,6,FALSE)),""))</f>
        <v>0</v>
      </c>
      <c r="F354" s="155" t="str">
        <f>(IF((VLOOKUP(Table10[[#This Row],[SKU]],'All Skus'!$A:$AC,2,FALSE))="Martin",(VLOOKUP(Table10[[#This Row],[SKU]],'All Skus'!$A:$AC,7,FALSE)),""))</f>
        <v>Production stop - Earliest delivery August 2023</v>
      </c>
      <c r="G354" s="223" t="str">
        <f>(IF((VLOOKUP(Table10[[#This Row],[SKU]],'All Skus'!$A:$AC,2,FALSE))="Martin",(VLOOKUP(Table10[[#This Row],[SKU]],'All Skus'!$A:$AC,8,FALSE)),""))</f>
        <v>Ext PixLine 40 RGB 1270mm Clr Front Alu</v>
      </c>
      <c r="H354" s="223" t="str">
        <f>(IF((VLOOKUP(Table10[[#This Row],[SKU]],'All Skus'!$A:$AC,2,FALSE))="Martin",(VLOOKUP(Table10[[#This Row],[SKU]],'All Skus'!$A:$AC,9,FALSE)),""))</f>
        <v>Ext PixLine 40 RGB 1270mm Clr Front Alu</v>
      </c>
      <c r="I354" s="225">
        <f>(IF((VLOOKUP(Table10[[#This Row],[SKU]],'All Skus'!$A:$AC,2,FALSE))="Martin",(VLOOKUP(Table10[[#This Row],[SKU]],'All Skus'!$A:$AC,10,FALSE)),""))</f>
        <v>695.17</v>
      </c>
      <c r="J354" s="226">
        <f>(IF((VLOOKUP(Table10[[#This Row],[SKU]],'All Skus'!$A:$AC,2,FALSE))="Martin",(VLOOKUP(Table10[[#This Row],[SKU]],'All Skus'!$A:$AC,11,FALSE)),""))</f>
        <v>695.17</v>
      </c>
      <c r="K354" s="224">
        <f>(IF((VLOOKUP(Table10[[#This Row],[SKU]],'All Skus'!$A:$AC,2,FALSE))="Martin",(VLOOKUP(Table10[[#This Row],[SKU]],'All Skus'!$A:$AC,15,FALSE)),""))</f>
        <v>0</v>
      </c>
      <c r="L354" s="224">
        <f>(IF((VLOOKUP(Table10[[#This Row],[SKU]],'All Skus'!$A:$AC,2,FALSE))="Martin",(VLOOKUP(Table10[[#This Row],[SKU]],'All Skus'!$A:$AC,16,FALSE)),""))</f>
        <v>5706681233847</v>
      </c>
      <c r="M354" s="224">
        <f>(IF((VLOOKUP(Table10[[#This Row],[SKU]],'All Skus'!$A:$AC,2,FALSE))="Martin",(VLOOKUP(Table10[[#This Row],[SKU]],'All Skus'!$A:$AC,17,FALSE)),""))</f>
        <v>0</v>
      </c>
      <c r="N354" s="227">
        <f>(IF((VLOOKUP(Table10[[#This Row],[SKU]],'All Skus'!$A:$AC,2,FALSE))="Martin",(VLOOKUP(Table10[[#This Row],[SKU]],'All Skus'!$A:$AC,18,FALSE)),""))</f>
        <v>0</v>
      </c>
      <c r="O354" s="227">
        <f>(IF((VLOOKUP(Table10[[#This Row],[SKU]],'All Skus'!$A:$AC,2,FALSE))="Martin",(VLOOKUP(Table10[[#This Row],[SKU]],'All Skus'!$A:$AC,19,FALSE)),""))</f>
        <v>0</v>
      </c>
      <c r="P354" s="227">
        <f>(IF((VLOOKUP(Table10[[#This Row],[SKU]],'All Skus'!$A:$AC,2,FALSE))="Martin",(VLOOKUP(Table10[[#This Row],[SKU]],'All Skus'!$A:$AC,20,FALSE)),""))</f>
        <v>0</v>
      </c>
      <c r="Q354" s="227">
        <f>(IF((VLOOKUP(Table10[[#This Row],[SKU]],'All Skus'!$A:$AC,2,FALSE))="Martin",(VLOOKUP(Table10[[#This Row],[SKU]],'All Skus'!$A:$AC,21,FALSE)),""))</f>
        <v>0</v>
      </c>
      <c r="R354" s="224" t="str">
        <f>(IF((VLOOKUP(Table10[[#This Row],[SKU]],'All Skus'!$A:$AC,2,FALSE))="Martin",(VLOOKUP(Table10[[#This Row],[SKU]],'All Skus'!$A:$AC,22,FALSE)),""))</f>
        <v>HU</v>
      </c>
      <c r="S354" s="223">
        <f>(IF((VLOOKUP(Table10[[#This Row],[SKU]],'All Skus'!$A:$AC,2,FALSE))="Martin",(VLOOKUP(Table10[[#This Row],[SKU]],'All Skus'!$A:$AC,23,FALSE)),""))</f>
        <v>0</v>
      </c>
      <c r="T354" s="212" t="str">
        <f>HYPERLINK((IF((VLOOKUP(Table10[[#This Row],[SKU]],'All Skus'!$A:$AC,2,FALSE))="Martin",(VLOOKUP(Table10[[#This Row],[SKU]],'All Skus'!$A:$AC,24,FALSE)),"")))</f>
        <v>http://www.martin.com/en-us/product-details/exterior-pixline-40</v>
      </c>
      <c r="U354" s="228">
        <v>352</v>
      </c>
    </row>
    <row r="355" spans="1:21" hidden="1">
      <c r="A355" s="112" t="s">
        <v>2133</v>
      </c>
      <c r="B355" s="224" t="str">
        <f>(IF((VLOOKUP(Table10[[#This Row],[SKU]],'All Skus'!$A:$AC,2,FALSE))="Martin",(VLOOKUP(Table10[[#This Row],[SKU]],'All Skus'!$A:$AC,3,FALSE)),""))</f>
        <v>LED Video</v>
      </c>
      <c r="C355" s="223" t="str">
        <f>(IF((VLOOKUP(Table10[[#This Row],[SKU]],'All Skus'!$A:$AC,2,FALSE))="Martin",(VLOOKUP(Table10[[#This Row],[SKU]],'All Skus'!$A:$AC,4,FALSE)),""))</f>
        <v>Ext PixLine 40 RGB 310mm Diff Front Alu</v>
      </c>
      <c r="D355" s="224" t="str">
        <f>(IF((VLOOKUP(Table10[[#This Row],[SKU]],'All Skus'!$A:$AC,2,FALSE))="Martin",(VLOOKUP(Table10[[#This Row],[SKU]],'All Skus'!$A:$AC,5,FALSE)),""))</f>
        <v>EXT-CREAT</v>
      </c>
      <c r="E355" s="223">
        <f>(IF((VLOOKUP(Table10[[#This Row],[SKU]],'All Skus'!$A:$AC,2,FALSE))="Martin",(VLOOKUP(Table10[[#This Row],[SKU]],'All Skus'!$A:$AC,6,FALSE)),""))</f>
        <v>0</v>
      </c>
      <c r="F355" s="155" t="str">
        <f>(IF((VLOOKUP(Table10[[#This Row],[SKU]],'All Skus'!$A:$AC,2,FALSE))="Martin",(VLOOKUP(Table10[[#This Row],[SKU]],'All Skus'!$A:$AC,7,FALSE)),""))</f>
        <v>Production stop - Earliest delivery August 2023</v>
      </c>
      <c r="G355" s="223" t="str">
        <f>(IF((VLOOKUP(Table10[[#This Row],[SKU]],'All Skus'!$A:$AC,2,FALSE))="Martin",(VLOOKUP(Table10[[#This Row],[SKU]],'All Skus'!$A:$AC,8,FALSE)),""))</f>
        <v>Ext PixLine 40 RGB 310mm Diff Front Alu</v>
      </c>
      <c r="H355" s="223" t="str">
        <f>(IF((VLOOKUP(Table10[[#This Row],[SKU]],'All Skus'!$A:$AC,2,FALSE))="Martin",(VLOOKUP(Table10[[#This Row],[SKU]],'All Skus'!$A:$AC,9,FALSE)),""))</f>
        <v>Ext PixLine 40 RGB 310mm Diff Front Alu</v>
      </c>
      <c r="I355" s="225">
        <f>(IF((VLOOKUP(Table10[[#This Row],[SKU]],'All Skus'!$A:$AC,2,FALSE))="Martin",(VLOOKUP(Table10[[#This Row],[SKU]],'All Skus'!$A:$AC,10,FALSE)),""))</f>
        <v>391.42</v>
      </c>
      <c r="J355" s="226">
        <f>(IF((VLOOKUP(Table10[[#This Row],[SKU]],'All Skus'!$A:$AC,2,FALSE))="Martin",(VLOOKUP(Table10[[#This Row],[SKU]],'All Skus'!$A:$AC,11,FALSE)),""))</f>
        <v>391.42</v>
      </c>
      <c r="K355" s="224">
        <f>(IF((VLOOKUP(Table10[[#This Row],[SKU]],'All Skus'!$A:$AC,2,FALSE))="Martin",(VLOOKUP(Table10[[#This Row],[SKU]],'All Skus'!$A:$AC,15,FALSE)),""))</f>
        <v>0</v>
      </c>
      <c r="L355" s="224">
        <f>(IF((VLOOKUP(Table10[[#This Row],[SKU]],'All Skus'!$A:$AC,2,FALSE))="Martin",(VLOOKUP(Table10[[#This Row],[SKU]],'All Skus'!$A:$AC,16,FALSE)),""))</f>
        <v>5706681233830</v>
      </c>
      <c r="M355" s="224">
        <f>(IF((VLOOKUP(Table10[[#This Row],[SKU]],'All Skus'!$A:$AC,2,FALSE))="Martin",(VLOOKUP(Table10[[#This Row],[SKU]],'All Skus'!$A:$AC,17,FALSE)),""))</f>
        <v>0</v>
      </c>
      <c r="N355" s="227">
        <f>(IF((VLOOKUP(Table10[[#This Row],[SKU]],'All Skus'!$A:$AC,2,FALSE))="Martin",(VLOOKUP(Table10[[#This Row],[SKU]],'All Skus'!$A:$AC,18,FALSE)),""))</f>
        <v>0</v>
      </c>
      <c r="O355" s="227">
        <f>(IF((VLOOKUP(Table10[[#This Row],[SKU]],'All Skus'!$A:$AC,2,FALSE))="Martin",(VLOOKUP(Table10[[#This Row],[SKU]],'All Skus'!$A:$AC,19,FALSE)),""))</f>
        <v>0</v>
      </c>
      <c r="P355" s="227">
        <f>(IF((VLOOKUP(Table10[[#This Row],[SKU]],'All Skus'!$A:$AC,2,FALSE))="Martin",(VLOOKUP(Table10[[#This Row],[SKU]],'All Skus'!$A:$AC,20,FALSE)),""))</f>
        <v>0</v>
      </c>
      <c r="Q355" s="227">
        <f>(IF((VLOOKUP(Table10[[#This Row],[SKU]],'All Skus'!$A:$AC,2,FALSE))="Martin",(VLOOKUP(Table10[[#This Row],[SKU]],'All Skus'!$A:$AC,21,FALSE)),""))</f>
        <v>0</v>
      </c>
      <c r="R355" s="224" t="str">
        <f>(IF((VLOOKUP(Table10[[#This Row],[SKU]],'All Skus'!$A:$AC,2,FALSE))="Martin",(VLOOKUP(Table10[[#This Row],[SKU]],'All Skus'!$A:$AC,22,FALSE)),""))</f>
        <v>HU</v>
      </c>
      <c r="S355" s="223">
        <f>(IF((VLOOKUP(Table10[[#This Row],[SKU]],'All Skus'!$A:$AC,2,FALSE))="Martin",(VLOOKUP(Table10[[#This Row],[SKU]],'All Skus'!$A:$AC,23,FALSE)),""))</f>
        <v>0</v>
      </c>
      <c r="T355" s="212" t="str">
        <f>HYPERLINK((IF((VLOOKUP(Table10[[#This Row],[SKU]],'All Skus'!$A:$AC,2,FALSE))="Martin",(VLOOKUP(Table10[[#This Row],[SKU]],'All Skus'!$A:$AC,24,FALSE)),"")))</f>
        <v>http://www.martin.com/en-us/product-details/exterior-pixline-40</v>
      </c>
      <c r="U355" s="228">
        <v>353</v>
      </c>
    </row>
    <row r="356" spans="1:21" hidden="1">
      <c r="A356" s="112" t="s">
        <v>2134</v>
      </c>
      <c r="B356" s="224" t="str">
        <f>(IF((VLOOKUP(Table10[[#This Row],[SKU]],'All Skus'!$A:$AC,2,FALSE))="Martin",(VLOOKUP(Table10[[#This Row],[SKU]],'All Skus'!$A:$AC,3,FALSE)),""))</f>
        <v>LED Video</v>
      </c>
      <c r="C356" s="223" t="str">
        <f>(IF((VLOOKUP(Table10[[#This Row],[SKU]],'All Skus'!$A:$AC,2,FALSE))="Martin",(VLOOKUP(Table10[[#This Row],[SKU]],'All Skus'!$A:$AC,4,FALSE)),""))</f>
        <v>Ext PixLine 40 RGB 1270mm Diff Front Alu</v>
      </c>
      <c r="D356" s="224" t="str">
        <f>(IF((VLOOKUP(Table10[[#This Row],[SKU]],'All Skus'!$A:$AC,2,FALSE))="Martin",(VLOOKUP(Table10[[#This Row],[SKU]],'All Skus'!$A:$AC,5,FALSE)),""))</f>
        <v>EXT-CREAT</v>
      </c>
      <c r="E356" s="223">
        <f>(IF((VLOOKUP(Table10[[#This Row],[SKU]],'All Skus'!$A:$AC,2,FALSE))="Martin",(VLOOKUP(Table10[[#This Row],[SKU]],'All Skus'!$A:$AC,6,FALSE)),""))</f>
        <v>0</v>
      </c>
      <c r="F356" s="155" t="str">
        <f>(IF((VLOOKUP(Table10[[#This Row],[SKU]],'All Skus'!$A:$AC,2,FALSE))="Martin",(VLOOKUP(Table10[[#This Row],[SKU]],'All Skus'!$A:$AC,7,FALSE)),""))</f>
        <v>Production stop - Earliest delivery August 2023</v>
      </c>
      <c r="G356" s="223" t="str">
        <f>(IF((VLOOKUP(Table10[[#This Row],[SKU]],'All Skus'!$A:$AC,2,FALSE))="Martin",(VLOOKUP(Table10[[#This Row],[SKU]],'All Skus'!$A:$AC,8,FALSE)),""))</f>
        <v>Ext PixLine 40 RGB 1270mm Diff Front Alu</v>
      </c>
      <c r="H356" s="223" t="str">
        <f>(IF((VLOOKUP(Table10[[#This Row],[SKU]],'All Skus'!$A:$AC,2,FALSE))="Martin",(VLOOKUP(Table10[[#This Row],[SKU]],'All Skus'!$A:$AC,9,FALSE)),""))</f>
        <v>Ext PixLine 40 RGB 1270mm Diff Front Alu</v>
      </c>
      <c r="I356" s="225">
        <f>(IF((VLOOKUP(Table10[[#This Row],[SKU]],'All Skus'!$A:$AC,2,FALSE))="Martin",(VLOOKUP(Table10[[#This Row],[SKU]],'All Skus'!$A:$AC,10,FALSE)),""))</f>
        <v>695.17</v>
      </c>
      <c r="J356" s="226">
        <f>(IF((VLOOKUP(Table10[[#This Row],[SKU]],'All Skus'!$A:$AC,2,FALSE))="Martin",(VLOOKUP(Table10[[#This Row],[SKU]],'All Skus'!$A:$AC,11,FALSE)),""))</f>
        <v>695.17</v>
      </c>
      <c r="K356" s="224">
        <f>(IF((VLOOKUP(Table10[[#This Row],[SKU]],'All Skus'!$A:$AC,2,FALSE))="Martin",(VLOOKUP(Table10[[#This Row],[SKU]],'All Skus'!$A:$AC,15,FALSE)),""))</f>
        <v>0</v>
      </c>
      <c r="L356" s="224">
        <f>(IF((VLOOKUP(Table10[[#This Row],[SKU]],'All Skus'!$A:$AC,2,FALSE))="Martin",(VLOOKUP(Table10[[#This Row],[SKU]],'All Skus'!$A:$AC,16,FALSE)),""))</f>
        <v>5706681233823</v>
      </c>
      <c r="M356" s="224">
        <f>(IF((VLOOKUP(Table10[[#This Row],[SKU]],'All Skus'!$A:$AC,2,FALSE))="Martin",(VLOOKUP(Table10[[#This Row],[SKU]],'All Skus'!$A:$AC,17,FALSE)),""))</f>
        <v>0</v>
      </c>
      <c r="N356" s="227">
        <f>(IF((VLOOKUP(Table10[[#This Row],[SKU]],'All Skus'!$A:$AC,2,FALSE))="Martin",(VLOOKUP(Table10[[#This Row],[SKU]],'All Skus'!$A:$AC,18,FALSE)),""))</f>
        <v>0</v>
      </c>
      <c r="O356" s="227">
        <f>(IF((VLOOKUP(Table10[[#This Row],[SKU]],'All Skus'!$A:$AC,2,FALSE))="Martin",(VLOOKUP(Table10[[#This Row],[SKU]],'All Skus'!$A:$AC,19,FALSE)),""))</f>
        <v>0</v>
      </c>
      <c r="P356" s="227">
        <f>(IF((VLOOKUP(Table10[[#This Row],[SKU]],'All Skus'!$A:$AC,2,FALSE))="Martin",(VLOOKUP(Table10[[#This Row],[SKU]],'All Skus'!$A:$AC,20,FALSE)),""))</f>
        <v>0</v>
      </c>
      <c r="Q356" s="227">
        <f>(IF((VLOOKUP(Table10[[#This Row],[SKU]],'All Skus'!$A:$AC,2,FALSE))="Martin",(VLOOKUP(Table10[[#This Row],[SKU]],'All Skus'!$A:$AC,21,FALSE)),""))</f>
        <v>0</v>
      </c>
      <c r="R356" s="224" t="str">
        <f>(IF((VLOOKUP(Table10[[#This Row],[SKU]],'All Skus'!$A:$AC,2,FALSE))="Martin",(VLOOKUP(Table10[[#This Row],[SKU]],'All Skus'!$A:$AC,22,FALSE)),""))</f>
        <v>HU</v>
      </c>
      <c r="S356" s="223">
        <f>(IF((VLOOKUP(Table10[[#This Row],[SKU]],'All Skus'!$A:$AC,2,FALSE))="Martin",(VLOOKUP(Table10[[#This Row],[SKU]],'All Skus'!$A:$AC,23,FALSE)),""))</f>
        <v>0</v>
      </c>
      <c r="T356" s="212" t="str">
        <f>HYPERLINK((IF((VLOOKUP(Table10[[#This Row],[SKU]],'All Skus'!$A:$AC,2,FALSE))="Martin",(VLOOKUP(Table10[[#This Row],[SKU]],'All Skus'!$A:$AC,24,FALSE)),"")))</f>
        <v>http://www.martin.com/en-us/product-details/exterior-pixline-40</v>
      </c>
      <c r="U356" s="228">
        <v>354</v>
      </c>
    </row>
    <row r="357" spans="1:21" hidden="1">
      <c r="A357" s="112" t="s">
        <v>2135</v>
      </c>
      <c r="B357" s="224" t="str">
        <f>(IF((VLOOKUP(Table10[[#This Row],[SKU]],'All Skus'!$A:$AC,2,FALSE))="Martin",(VLOOKUP(Table10[[#This Row],[SKU]],'All Skus'!$A:$AC,3,FALSE)),""))</f>
        <v>LED Video</v>
      </c>
      <c r="C357" s="223" t="str">
        <f>(IF((VLOOKUP(Table10[[#This Row],[SKU]],'All Skus'!$A:$AC,2,FALSE))="Martin",(VLOOKUP(Table10[[#This Row],[SKU]],'All Skus'!$A:$AC,4,FALSE)),""))</f>
        <v>Ext PixLine 40 RGB 310mm Rnd Dif Fr Alu</v>
      </c>
      <c r="D357" s="224" t="str">
        <f>(IF((VLOOKUP(Table10[[#This Row],[SKU]],'All Skus'!$A:$AC,2,FALSE))="Martin",(VLOOKUP(Table10[[#This Row],[SKU]],'All Skus'!$A:$AC,5,FALSE)),""))</f>
        <v>EXT-CREAT</v>
      </c>
      <c r="E357" s="223">
        <f>(IF((VLOOKUP(Table10[[#This Row],[SKU]],'All Skus'!$A:$AC,2,FALSE))="Martin",(VLOOKUP(Table10[[#This Row],[SKU]],'All Skus'!$A:$AC,6,FALSE)),""))</f>
        <v>0</v>
      </c>
      <c r="F357" s="155" t="str">
        <f>(IF((VLOOKUP(Table10[[#This Row],[SKU]],'All Skus'!$A:$AC,2,FALSE))="Martin",(VLOOKUP(Table10[[#This Row],[SKU]],'All Skus'!$A:$AC,7,FALSE)),""))</f>
        <v>Production stop - Earliest delivery August 2023</v>
      </c>
      <c r="G357" s="223" t="str">
        <f>(IF((VLOOKUP(Table10[[#This Row],[SKU]],'All Skus'!$A:$AC,2,FALSE))="Martin",(VLOOKUP(Table10[[#This Row],[SKU]],'All Skus'!$A:$AC,8,FALSE)),""))</f>
        <v>Ext PixLine 40 RGB 310mm Rnd Dif Fr Alu</v>
      </c>
      <c r="H357" s="223" t="str">
        <f>(IF((VLOOKUP(Table10[[#This Row],[SKU]],'All Skus'!$A:$AC,2,FALSE))="Martin",(VLOOKUP(Table10[[#This Row],[SKU]],'All Skus'!$A:$AC,9,FALSE)),""))</f>
        <v>Ext PixLine 40 RGB 310mm Rnd Dif Fr Alu</v>
      </c>
      <c r="I357" s="225">
        <f>(IF((VLOOKUP(Table10[[#This Row],[SKU]],'All Skus'!$A:$AC,2,FALSE))="Martin",(VLOOKUP(Table10[[#This Row],[SKU]],'All Skus'!$A:$AC,10,FALSE)),""))</f>
        <v>391.42</v>
      </c>
      <c r="J357" s="226">
        <f>(IF((VLOOKUP(Table10[[#This Row],[SKU]],'All Skus'!$A:$AC,2,FALSE))="Martin",(VLOOKUP(Table10[[#This Row],[SKU]],'All Skus'!$A:$AC,11,FALSE)),""))</f>
        <v>391.42</v>
      </c>
      <c r="K357" s="224">
        <f>(IF((VLOOKUP(Table10[[#This Row],[SKU]],'All Skus'!$A:$AC,2,FALSE))="Martin",(VLOOKUP(Table10[[#This Row],[SKU]],'All Skus'!$A:$AC,15,FALSE)),""))</f>
        <v>0</v>
      </c>
      <c r="L357" s="224">
        <f>(IF((VLOOKUP(Table10[[#This Row],[SKU]],'All Skus'!$A:$AC,2,FALSE))="Martin",(VLOOKUP(Table10[[#This Row],[SKU]],'All Skus'!$A:$AC,16,FALSE)),""))</f>
        <v>5706681233816</v>
      </c>
      <c r="M357" s="224">
        <f>(IF((VLOOKUP(Table10[[#This Row],[SKU]],'All Skus'!$A:$AC,2,FALSE))="Martin",(VLOOKUP(Table10[[#This Row],[SKU]],'All Skus'!$A:$AC,17,FALSE)),""))</f>
        <v>0</v>
      </c>
      <c r="N357" s="227">
        <f>(IF((VLOOKUP(Table10[[#This Row],[SKU]],'All Skus'!$A:$AC,2,FALSE))="Martin",(VLOOKUP(Table10[[#This Row],[SKU]],'All Skus'!$A:$AC,18,FALSE)),""))</f>
        <v>0</v>
      </c>
      <c r="O357" s="227">
        <f>(IF((VLOOKUP(Table10[[#This Row],[SKU]],'All Skus'!$A:$AC,2,FALSE))="Martin",(VLOOKUP(Table10[[#This Row],[SKU]],'All Skus'!$A:$AC,19,FALSE)),""))</f>
        <v>0</v>
      </c>
      <c r="P357" s="227">
        <f>(IF((VLOOKUP(Table10[[#This Row],[SKU]],'All Skus'!$A:$AC,2,FALSE))="Martin",(VLOOKUP(Table10[[#This Row],[SKU]],'All Skus'!$A:$AC,20,FALSE)),""))</f>
        <v>0</v>
      </c>
      <c r="Q357" s="227">
        <f>(IF((VLOOKUP(Table10[[#This Row],[SKU]],'All Skus'!$A:$AC,2,FALSE))="Martin",(VLOOKUP(Table10[[#This Row],[SKU]],'All Skus'!$A:$AC,21,FALSE)),""))</f>
        <v>0</v>
      </c>
      <c r="R357" s="224" t="str">
        <f>(IF((VLOOKUP(Table10[[#This Row],[SKU]],'All Skus'!$A:$AC,2,FALSE))="Martin",(VLOOKUP(Table10[[#This Row],[SKU]],'All Skus'!$A:$AC,22,FALSE)),""))</f>
        <v>HU</v>
      </c>
      <c r="S357" s="223">
        <f>(IF((VLOOKUP(Table10[[#This Row],[SKU]],'All Skus'!$A:$AC,2,FALSE))="Martin",(VLOOKUP(Table10[[#This Row],[SKU]],'All Skus'!$A:$AC,23,FALSE)),""))</f>
        <v>0</v>
      </c>
      <c r="T357" s="212" t="str">
        <f>HYPERLINK((IF((VLOOKUP(Table10[[#This Row],[SKU]],'All Skus'!$A:$AC,2,FALSE))="Martin",(VLOOKUP(Table10[[#This Row],[SKU]],'All Skus'!$A:$AC,24,FALSE)),"")))</f>
        <v>http://www.martin.com/en-us/product-details/exterior-pixline-40</v>
      </c>
      <c r="U357" s="228">
        <v>355</v>
      </c>
    </row>
    <row r="358" spans="1:21" hidden="1">
      <c r="A358" s="112" t="s">
        <v>2136</v>
      </c>
      <c r="B358" s="224" t="str">
        <f>(IF((VLOOKUP(Table10[[#This Row],[SKU]],'All Skus'!$A:$AC,2,FALSE))="Martin",(VLOOKUP(Table10[[#This Row],[SKU]],'All Skus'!$A:$AC,3,FALSE)),""))</f>
        <v>LED Video</v>
      </c>
      <c r="C358" s="223" t="str">
        <f>(IF((VLOOKUP(Table10[[#This Row],[SKU]],'All Skus'!$A:$AC,2,FALSE))="Martin",(VLOOKUP(Table10[[#This Row],[SKU]],'All Skus'!$A:$AC,4,FALSE)),""))</f>
        <v>Ext PixLine 40 RGB 1270mm Rnd Dif Fr Alu</v>
      </c>
      <c r="D358" s="224" t="str">
        <f>(IF((VLOOKUP(Table10[[#This Row],[SKU]],'All Skus'!$A:$AC,2,FALSE))="Martin",(VLOOKUP(Table10[[#This Row],[SKU]],'All Skus'!$A:$AC,5,FALSE)),""))</f>
        <v>EXT-CREAT</v>
      </c>
      <c r="E358" s="223">
        <f>(IF((VLOOKUP(Table10[[#This Row],[SKU]],'All Skus'!$A:$AC,2,FALSE))="Martin",(VLOOKUP(Table10[[#This Row],[SKU]],'All Skus'!$A:$AC,6,FALSE)),""))</f>
        <v>0</v>
      </c>
      <c r="F358" s="155" t="str">
        <f>(IF((VLOOKUP(Table10[[#This Row],[SKU]],'All Skus'!$A:$AC,2,FALSE))="Martin",(VLOOKUP(Table10[[#This Row],[SKU]],'All Skus'!$A:$AC,7,FALSE)),""))</f>
        <v>Production stop - Earliest delivery August 2023</v>
      </c>
      <c r="G358" s="223" t="str">
        <f>(IF((VLOOKUP(Table10[[#This Row],[SKU]],'All Skus'!$A:$AC,2,FALSE))="Martin",(VLOOKUP(Table10[[#This Row],[SKU]],'All Skus'!$A:$AC,8,FALSE)),""))</f>
        <v>Ext PixLine 40 RGB 1270mm Rnd Dif Fr Alu</v>
      </c>
      <c r="H358" s="223" t="str">
        <f>(IF((VLOOKUP(Table10[[#This Row],[SKU]],'All Skus'!$A:$AC,2,FALSE))="Martin",(VLOOKUP(Table10[[#This Row],[SKU]],'All Skus'!$A:$AC,9,FALSE)),""))</f>
        <v>Ext PixLine 40 RGB 1270mm Rnd Dif Fr Alu</v>
      </c>
      <c r="I358" s="225">
        <f>(IF((VLOOKUP(Table10[[#This Row],[SKU]],'All Skus'!$A:$AC,2,FALSE))="Martin",(VLOOKUP(Table10[[#This Row],[SKU]],'All Skus'!$A:$AC,10,FALSE)),""))</f>
        <v>695.17</v>
      </c>
      <c r="J358" s="226">
        <f>(IF((VLOOKUP(Table10[[#This Row],[SKU]],'All Skus'!$A:$AC,2,FALSE))="Martin",(VLOOKUP(Table10[[#This Row],[SKU]],'All Skus'!$A:$AC,11,FALSE)),""))</f>
        <v>695.17</v>
      </c>
      <c r="K358" s="224">
        <f>(IF((VLOOKUP(Table10[[#This Row],[SKU]],'All Skus'!$A:$AC,2,FALSE))="Martin",(VLOOKUP(Table10[[#This Row],[SKU]],'All Skus'!$A:$AC,15,FALSE)),""))</f>
        <v>0</v>
      </c>
      <c r="L358" s="224">
        <f>(IF((VLOOKUP(Table10[[#This Row],[SKU]],'All Skus'!$A:$AC,2,FALSE))="Martin",(VLOOKUP(Table10[[#This Row],[SKU]],'All Skus'!$A:$AC,16,FALSE)),""))</f>
        <v>5706681233809</v>
      </c>
      <c r="M358" s="224">
        <f>(IF((VLOOKUP(Table10[[#This Row],[SKU]],'All Skus'!$A:$AC,2,FALSE))="Martin",(VLOOKUP(Table10[[#This Row],[SKU]],'All Skus'!$A:$AC,17,FALSE)),""))</f>
        <v>0</v>
      </c>
      <c r="N358" s="227">
        <f>(IF((VLOOKUP(Table10[[#This Row],[SKU]],'All Skus'!$A:$AC,2,FALSE))="Martin",(VLOOKUP(Table10[[#This Row],[SKU]],'All Skus'!$A:$AC,18,FALSE)),""))</f>
        <v>0</v>
      </c>
      <c r="O358" s="227">
        <f>(IF((VLOOKUP(Table10[[#This Row],[SKU]],'All Skus'!$A:$AC,2,FALSE))="Martin",(VLOOKUP(Table10[[#This Row],[SKU]],'All Skus'!$A:$AC,19,FALSE)),""))</f>
        <v>0</v>
      </c>
      <c r="P358" s="227">
        <f>(IF((VLOOKUP(Table10[[#This Row],[SKU]],'All Skus'!$A:$AC,2,FALSE))="Martin",(VLOOKUP(Table10[[#This Row],[SKU]],'All Skus'!$A:$AC,20,FALSE)),""))</f>
        <v>0</v>
      </c>
      <c r="Q358" s="227">
        <f>(IF((VLOOKUP(Table10[[#This Row],[SKU]],'All Skus'!$A:$AC,2,FALSE))="Martin",(VLOOKUP(Table10[[#This Row],[SKU]],'All Skus'!$A:$AC,21,FALSE)),""))</f>
        <v>0</v>
      </c>
      <c r="R358" s="224" t="str">
        <f>(IF((VLOOKUP(Table10[[#This Row],[SKU]],'All Skus'!$A:$AC,2,FALSE))="Martin",(VLOOKUP(Table10[[#This Row],[SKU]],'All Skus'!$A:$AC,22,FALSE)),""))</f>
        <v>HU</v>
      </c>
      <c r="S358" s="223">
        <f>(IF((VLOOKUP(Table10[[#This Row],[SKU]],'All Skus'!$A:$AC,2,FALSE))="Martin",(VLOOKUP(Table10[[#This Row],[SKU]],'All Skus'!$A:$AC,23,FALSE)),""))</f>
        <v>0</v>
      </c>
      <c r="T358" s="212" t="str">
        <f>HYPERLINK((IF((VLOOKUP(Table10[[#This Row],[SKU]],'All Skus'!$A:$AC,2,FALSE))="Martin",(VLOOKUP(Table10[[#This Row],[SKU]],'All Skus'!$A:$AC,24,FALSE)),"")))</f>
        <v>http://www.martin.com/en-us/product-details/exterior-pixline-40</v>
      </c>
      <c r="U358" s="228">
        <v>356</v>
      </c>
    </row>
    <row r="359" spans="1:21" hidden="1">
      <c r="A359" s="112" t="s">
        <v>2137</v>
      </c>
      <c r="B359" s="224" t="str">
        <f>(IF((VLOOKUP(Table10[[#This Row],[SKU]],'All Skus'!$A:$AC,2,FALSE))="Martin",(VLOOKUP(Table10[[#This Row],[SKU]],'All Skus'!$A:$AC,3,FALSE)),""))</f>
        <v>LED Video</v>
      </c>
      <c r="C359" s="223" t="str">
        <f>(IF((VLOOKUP(Table10[[#This Row],[SKU]],'All Skus'!$A:$AC,2,FALSE))="Martin",(VLOOKUP(Table10[[#This Row],[SKU]],'All Skus'!$A:$AC,4,FALSE)),""))</f>
        <v>Ext PixLine 40 RGB 310mm Squ Dif Fr Alu</v>
      </c>
      <c r="D359" s="224" t="str">
        <f>(IF((VLOOKUP(Table10[[#This Row],[SKU]],'All Skus'!$A:$AC,2,FALSE))="Martin",(VLOOKUP(Table10[[#This Row],[SKU]],'All Skus'!$A:$AC,5,FALSE)),""))</f>
        <v>EXT-CREAT</v>
      </c>
      <c r="E359" s="223">
        <f>(IF((VLOOKUP(Table10[[#This Row],[SKU]],'All Skus'!$A:$AC,2,FALSE))="Martin",(VLOOKUP(Table10[[#This Row],[SKU]],'All Skus'!$A:$AC,6,FALSE)),""))</f>
        <v>0</v>
      </c>
      <c r="F359" s="155" t="str">
        <f>(IF((VLOOKUP(Table10[[#This Row],[SKU]],'All Skus'!$A:$AC,2,FALSE))="Martin",(VLOOKUP(Table10[[#This Row],[SKU]],'All Skus'!$A:$AC,7,FALSE)),""))</f>
        <v>Production stop - Earliest delivery August 2023</v>
      </c>
      <c r="G359" s="223" t="str">
        <f>(IF((VLOOKUP(Table10[[#This Row],[SKU]],'All Skus'!$A:$AC,2,FALSE))="Martin",(VLOOKUP(Table10[[#This Row],[SKU]],'All Skus'!$A:$AC,8,FALSE)),""))</f>
        <v>Ext PixLine 40 RGB 310mm Squ Dif Fr Alu</v>
      </c>
      <c r="H359" s="223" t="str">
        <f>(IF((VLOOKUP(Table10[[#This Row],[SKU]],'All Skus'!$A:$AC,2,FALSE))="Martin",(VLOOKUP(Table10[[#This Row],[SKU]],'All Skus'!$A:$AC,9,FALSE)),""))</f>
        <v>Ext PixLine 40 RGB 310mm Squ Dif Fr Alu</v>
      </c>
      <c r="I359" s="225">
        <f>(IF((VLOOKUP(Table10[[#This Row],[SKU]],'All Skus'!$A:$AC,2,FALSE))="Martin",(VLOOKUP(Table10[[#This Row],[SKU]],'All Skus'!$A:$AC,10,FALSE)),""))</f>
        <v>391.42</v>
      </c>
      <c r="J359" s="226">
        <f>(IF((VLOOKUP(Table10[[#This Row],[SKU]],'All Skus'!$A:$AC,2,FALSE))="Martin",(VLOOKUP(Table10[[#This Row],[SKU]],'All Skus'!$A:$AC,11,FALSE)),""))</f>
        <v>391.42</v>
      </c>
      <c r="K359" s="224">
        <f>(IF((VLOOKUP(Table10[[#This Row],[SKU]],'All Skus'!$A:$AC,2,FALSE))="Martin",(VLOOKUP(Table10[[#This Row],[SKU]],'All Skus'!$A:$AC,15,FALSE)),""))</f>
        <v>0</v>
      </c>
      <c r="L359" s="224">
        <f>(IF((VLOOKUP(Table10[[#This Row],[SKU]],'All Skus'!$A:$AC,2,FALSE))="Martin",(VLOOKUP(Table10[[#This Row],[SKU]],'All Skus'!$A:$AC,16,FALSE)),""))</f>
        <v>5706681233793</v>
      </c>
      <c r="M359" s="224">
        <f>(IF((VLOOKUP(Table10[[#This Row],[SKU]],'All Skus'!$A:$AC,2,FALSE))="Martin",(VLOOKUP(Table10[[#This Row],[SKU]],'All Skus'!$A:$AC,17,FALSE)),""))</f>
        <v>0</v>
      </c>
      <c r="N359" s="227">
        <f>(IF((VLOOKUP(Table10[[#This Row],[SKU]],'All Skus'!$A:$AC,2,FALSE))="Martin",(VLOOKUP(Table10[[#This Row],[SKU]],'All Skus'!$A:$AC,18,FALSE)),""))</f>
        <v>0</v>
      </c>
      <c r="O359" s="227">
        <f>(IF((VLOOKUP(Table10[[#This Row],[SKU]],'All Skus'!$A:$AC,2,FALSE))="Martin",(VLOOKUP(Table10[[#This Row],[SKU]],'All Skus'!$A:$AC,19,FALSE)),""))</f>
        <v>0</v>
      </c>
      <c r="P359" s="227">
        <f>(IF((VLOOKUP(Table10[[#This Row],[SKU]],'All Skus'!$A:$AC,2,FALSE))="Martin",(VLOOKUP(Table10[[#This Row],[SKU]],'All Skus'!$A:$AC,20,FALSE)),""))</f>
        <v>0</v>
      </c>
      <c r="Q359" s="227">
        <f>(IF((VLOOKUP(Table10[[#This Row],[SKU]],'All Skus'!$A:$AC,2,FALSE))="Martin",(VLOOKUP(Table10[[#This Row],[SKU]],'All Skus'!$A:$AC,21,FALSE)),""))</f>
        <v>0</v>
      </c>
      <c r="R359" s="224" t="str">
        <f>(IF((VLOOKUP(Table10[[#This Row],[SKU]],'All Skus'!$A:$AC,2,FALSE))="Martin",(VLOOKUP(Table10[[#This Row],[SKU]],'All Skus'!$A:$AC,22,FALSE)),""))</f>
        <v>HU</v>
      </c>
      <c r="S359" s="223">
        <f>(IF((VLOOKUP(Table10[[#This Row],[SKU]],'All Skus'!$A:$AC,2,FALSE))="Martin",(VLOOKUP(Table10[[#This Row],[SKU]],'All Skus'!$A:$AC,23,FALSE)),""))</f>
        <v>0</v>
      </c>
      <c r="T359" s="212" t="str">
        <f>HYPERLINK((IF((VLOOKUP(Table10[[#This Row],[SKU]],'All Skus'!$A:$AC,2,FALSE))="Martin",(VLOOKUP(Table10[[#This Row],[SKU]],'All Skus'!$A:$AC,24,FALSE)),"")))</f>
        <v>http://www.martin.com/en-us/product-details/exterior-pixline-40</v>
      </c>
      <c r="U359" s="228">
        <v>357</v>
      </c>
    </row>
    <row r="360" spans="1:21" hidden="1">
      <c r="A360" s="112" t="s">
        <v>2138</v>
      </c>
      <c r="B360" s="224" t="str">
        <f>(IF((VLOOKUP(Table10[[#This Row],[SKU]],'All Skus'!$A:$AC,2,FALSE))="Martin",(VLOOKUP(Table10[[#This Row],[SKU]],'All Skus'!$A:$AC,3,FALSE)),""))</f>
        <v>LED Video</v>
      </c>
      <c r="C360" s="223" t="str">
        <f>(IF((VLOOKUP(Table10[[#This Row],[SKU]],'All Skus'!$A:$AC,2,FALSE))="Martin",(VLOOKUP(Table10[[#This Row],[SKU]],'All Skus'!$A:$AC,4,FALSE)),""))</f>
        <v>Ext PixLine 40 RGB 1270mm Squ Dif Fr Alu</v>
      </c>
      <c r="D360" s="224" t="str">
        <f>(IF((VLOOKUP(Table10[[#This Row],[SKU]],'All Skus'!$A:$AC,2,FALSE))="Martin",(VLOOKUP(Table10[[#This Row],[SKU]],'All Skus'!$A:$AC,5,FALSE)),""))</f>
        <v>EXT-CREAT</v>
      </c>
      <c r="E360" s="223">
        <f>(IF((VLOOKUP(Table10[[#This Row],[SKU]],'All Skus'!$A:$AC,2,FALSE))="Martin",(VLOOKUP(Table10[[#This Row],[SKU]],'All Skus'!$A:$AC,6,FALSE)),""))</f>
        <v>0</v>
      </c>
      <c r="F360" s="155" t="str">
        <f>(IF((VLOOKUP(Table10[[#This Row],[SKU]],'All Skus'!$A:$AC,2,FALSE))="Martin",(VLOOKUP(Table10[[#This Row],[SKU]],'All Skus'!$A:$AC,7,FALSE)),""))</f>
        <v>Production stop - Earliest delivery August 2023</v>
      </c>
      <c r="G360" s="223" t="str">
        <f>(IF((VLOOKUP(Table10[[#This Row],[SKU]],'All Skus'!$A:$AC,2,FALSE))="Martin",(VLOOKUP(Table10[[#This Row],[SKU]],'All Skus'!$A:$AC,8,FALSE)),""))</f>
        <v>Ext PixLine 40 RGB 1270mm Squ Dif Fr Alu</v>
      </c>
      <c r="H360" s="223" t="str">
        <f>(IF((VLOOKUP(Table10[[#This Row],[SKU]],'All Skus'!$A:$AC,2,FALSE))="Martin",(VLOOKUP(Table10[[#This Row],[SKU]],'All Skus'!$A:$AC,9,FALSE)),""))</f>
        <v>Ext PixLine 40 RGB 1270mm Squ Dif Fr Alu</v>
      </c>
      <c r="I360" s="225">
        <f>(IF((VLOOKUP(Table10[[#This Row],[SKU]],'All Skus'!$A:$AC,2,FALSE))="Martin",(VLOOKUP(Table10[[#This Row],[SKU]],'All Skus'!$A:$AC,10,FALSE)),""))</f>
        <v>695.17</v>
      </c>
      <c r="J360" s="226">
        <f>(IF((VLOOKUP(Table10[[#This Row],[SKU]],'All Skus'!$A:$AC,2,FALSE))="Martin",(VLOOKUP(Table10[[#This Row],[SKU]],'All Skus'!$A:$AC,11,FALSE)),""))</f>
        <v>695.17</v>
      </c>
      <c r="K360" s="224">
        <f>(IF((VLOOKUP(Table10[[#This Row],[SKU]],'All Skus'!$A:$AC,2,FALSE))="Martin",(VLOOKUP(Table10[[#This Row],[SKU]],'All Skus'!$A:$AC,15,FALSE)),""))</f>
        <v>0</v>
      </c>
      <c r="L360" s="224">
        <f>(IF((VLOOKUP(Table10[[#This Row],[SKU]],'All Skus'!$A:$AC,2,FALSE))="Martin",(VLOOKUP(Table10[[#This Row],[SKU]],'All Skus'!$A:$AC,16,FALSE)),""))</f>
        <v>5706681233779</v>
      </c>
      <c r="M360" s="224">
        <f>(IF((VLOOKUP(Table10[[#This Row],[SKU]],'All Skus'!$A:$AC,2,FALSE))="Martin",(VLOOKUP(Table10[[#This Row],[SKU]],'All Skus'!$A:$AC,17,FALSE)),""))</f>
        <v>0</v>
      </c>
      <c r="N360" s="227">
        <f>(IF((VLOOKUP(Table10[[#This Row],[SKU]],'All Skus'!$A:$AC,2,FALSE))="Martin",(VLOOKUP(Table10[[#This Row],[SKU]],'All Skus'!$A:$AC,18,FALSE)),""))</f>
        <v>0</v>
      </c>
      <c r="O360" s="227">
        <f>(IF((VLOOKUP(Table10[[#This Row],[SKU]],'All Skus'!$A:$AC,2,FALSE))="Martin",(VLOOKUP(Table10[[#This Row],[SKU]],'All Skus'!$A:$AC,19,FALSE)),""))</f>
        <v>0</v>
      </c>
      <c r="P360" s="227">
        <f>(IF((VLOOKUP(Table10[[#This Row],[SKU]],'All Skus'!$A:$AC,2,FALSE))="Martin",(VLOOKUP(Table10[[#This Row],[SKU]],'All Skus'!$A:$AC,20,FALSE)),""))</f>
        <v>0</v>
      </c>
      <c r="Q360" s="227">
        <f>(IF((VLOOKUP(Table10[[#This Row],[SKU]],'All Skus'!$A:$AC,2,FALSE))="Martin",(VLOOKUP(Table10[[#This Row],[SKU]],'All Skus'!$A:$AC,21,FALSE)),""))</f>
        <v>0</v>
      </c>
      <c r="R360" s="224" t="str">
        <f>(IF((VLOOKUP(Table10[[#This Row],[SKU]],'All Skus'!$A:$AC,2,FALSE))="Martin",(VLOOKUP(Table10[[#This Row],[SKU]],'All Skus'!$A:$AC,22,FALSE)),""))</f>
        <v>HU</v>
      </c>
      <c r="S360" s="223">
        <f>(IF((VLOOKUP(Table10[[#This Row],[SKU]],'All Skus'!$A:$AC,2,FALSE))="Martin",(VLOOKUP(Table10[[#This Row],[SKU]],'All Skus'!$A:$AC,23,FALSE)),""))</f>
        <v>0</v>
      </c>
      <c r="T360" s="212" t="str">
        <f>HYPERLINK((IF((VLOOKUP(Table10[[#This Row],[SKU]],'All Skus'!$A:$AC,2,FALSE))="Martin",(VLOOKUP(Table10[[#This Row],[SKU]],'All Skus'!$A:$AC,24,FALSE)),"")))</f>
        <v>http://www.martin.com/en-us/product-details/exterior-pixline-40</v>
      </c>
      <c r="U360" s="228">
        <v>358</v>
      </c>
    </row>
    <row r="361" spans="1:21" hidden="1">
      <c r="A361" s="112" t="s">
        <v>2139</v>
      </c>
      <c r="B361" s="224" t="str">
        <f>(IF((VLOOKUP(Table10[[#This Row],[SKU]],'All Skus'!$A:$AC,2,FALSE))="Martin",(VLOOKUP(Table10[[#This Row],[SKU]],'All Skus'!$A:$AC,3,FALSE)),""))</f>
        <v>Linear</v>
      </c>
      <c r="C361" s="223" t="str">
        <f>(IF((VLOOKUP(Table10[[#This Row],[SKU]],'All Skus'!$A:$AC,2,FALSE))="Martin",(VLOOKUP(Table10[[#This Row],[SKU]],'All Skus'!$A:$AC,4,FALSE)),""))</f>
        <v>Ext PixLine 40 RGB 310mm As Len Lft Alu</v>
      </c>
      <c r="D361" s="224" t="str">
        <f>(IF((VLOOKUP(Table10[[#This Row],[SKU]],'All Skus'!$A:$AC,2,FALSE))="Martin",(VLOOKUP(Table10[[#This Row],[SKU]],'All Skus'!$A:$AC,5,FALSE)),""))</f>
        <v>EXT-CREAT</v>
      </c>
      <c r="E361" s="223">
        <f>(IF((VLOOKUP(Table10[[#This Row],[SKU]],'All Skus'!$A:$AC,2,FALSE))="Martin",(VLOOKUP(Table10[[#This Row],[SKU]],'All Skus'!$A:$AC,6,FALSE)),""))</f>
        <v>0</v>
      </c>
      <c r="F361" s="155" t="str">
        <f>(IF((VLOOKUP(Table10[[#This Row],[SKU]],'All Skus'!$A:$AC,2,FALSE))="Martin",(VLOOKUP(Table10[[#This Row],[SKU]],'All Skus'!$A:$AC,7,FALSE)),""))</f>
        <v>Production stop - Earliest delivery August 2023</v>
      </c>
      <c r="G361" s="223" t="str">
        <f>(IF((VLOOKUP(Table10[[#This Row],[SKU]],'All Skus'!$A:$AC,2,FALSE))="Martin",(VLOOKUP(Table10[[#This Row],[SKU]],'All Skus'!$A:$AC,8,FALSE)),""))</f>
        <v>Ext PixLine 40 RGB 310mm As Len Lft Alu</v>
      </c>
      <c r="H361" s="223" t="str">
        <f>(IF((VLOOKUP(Table10[[#This Row],[SKU]],'All Skus'!$A:$AC,2,FALSE))="Martin",(VLOOKUP(Table10[[#This Row],[SKU]],'All Skus'!$A:$AC,9,FALSE)),""))</f>
        <v>Ext PixLine 40 RGB 310mm As Len Lft Alu</v>
      </c>
      <c r="I361" s="225">
        <f>(IF((VLOOKUP(Table10[[#This Row],[SKU]],'All Skus'!$A:$AC,2,FALSE))="Martin",(VLOOKUP(Table10[[#This Row],[SKU]],'All Skus'!$A:$AC,10,FALSE)),""))</f>
        <v>401.3</v>
      </c>
      <c r="J361" s="226">
        <f>(IF((VLOOKUP(Table10[[#This Row],[SKU]],'All Skus'!$A:$AC,2,FALSE))="Martin",(VLOOKUP(Table10[[#This Row],[SKU]],'All Skus'!$A:$AC,11,FALSE)),""))</f>
        <v>401.3</v>
      </c>
      <c r="K361" s="224">
        <f>(IF((VLOOKUP(Table10[[#This Row],[SKU]],'All Skus'!$A:$AC,2,FALSE))="Martin",(VLOOKUP(Table10[[#This Row],[SKU]],'All Skus'!$A:$AC,15,FALSE)),""))</f>
        <v>0</v>
      </c>
      <c r="L361" s="224">
        <f>(IF((VLOOKUP(Table10[[#This Row],[SKU]],'All Skus'!$A:$AC,2,FALSE))="Martin",(VLOOKUP(Table10[[#This Row],[SKU]],'All Skus'!$A:$AC,16,FALSE)),""))</f>
        <v>5706681233762</v>
      </c>
      <c r="M361" s="224">
        <f>(IF((VLOOKUP(Table10[[#This Row],[SKU]],'All Skus'!$A:$AC,2,FALSE))="Martin",(VLOOKUP(Table10[[#This Row],[SKU]],'All Skus'!$A:$AC,17,FALSE)),""))</f>
        <v>0</v>
      </c>
      <c r="N361" s="227">
        <f>(IF((VLOOKUP(Table10[[#This Row],[SKU]],'All Skus'!$A:$AC,2,FALSE))="Martin",(VLOOKUP(Table10[[#This Row],[SKU]],'All Skus'!$A:$AC,18,FALSE)),""))</f>
        <v>0</v>
      </c>
      <c r="O361" s="227">
        <f>(IF((VLOOKUP(Table10[[#This Row],[SKU]],'All Skus'!$A:$AC,2,FALSE))="Martin",(VLOOKUP(Table10[[#This Row],[SKU]],'All Skus'!$A:$AC,19,FALSE)),""))</f>
        <v>0</v>
      </c>
      <c r="P361" s="227">
        <f>(IF((VLOOKUP(Table10[[#This Row],[SKU]],'All Skus'!$A:$AC,2,FALSE))="Martin",(VLOOKUP(Table10[[#This Row],[SKU]],'All Skus'!$A:$AC,20,FALSE)),""))</f>
        <v>0</v>
      </c>
      <c r="Q361" s="227">
        <f>(IF((VLOOKUP(Table10[[#This Row],[SKU]],'All Skus'!$A:$AC,2,FALSE))="Martin",(VLOOKUP(Table10[[#This Row],[SKU]],'All Skus'!$A:$AC,21,FALSE)),""))</f>
        <v>0</v>
      </c>
      <c r="R361" s="224" t="str">
        <f>(IF((VLOOKUP(Table10[[#This Row],[SKU]],'All Skus'!$A:$AC,2,FALSE))="Martin",(VLOOKUP(Table10[[#This Row],[SKU]],'All Skus'!$A:$AC,22,FALSE)),""))</f>
        <v>HU</v>
      </c>
      <c r="S361" s="223">
        <f>(IF((VLOOKUP(Table10[[#This Row],[SKU]],'All Skus'!$A:$AC,2,FALSE))="Martin",(VLOOKUP(Table10[[#This Row],[SKU]],'All Skus'!$A:$AC,23,FALSE)),""))</f>
        <v>0</v>
      </c>
      <c r="T361" s="212" t="str">
        <f>HYPERLINK((IF((VLOOKUP(Table10[[#This Row],[SKU]],'All Skus'!$A:$AC,2,FALSE))="Martin",(VLOOKUP(Table10[[#This Row],[SKU]],'All Skus'!$A:$AC,24,FALSE)),"")))</f>
        <v>http://www.martin.com/en-us/product-details/exterior-pixline-40</v>
      </c>
      <c r="U361" s="228">
        <v>359</v>
      </c>
    </row>
    <row r="362" spans="1:21" hidden="1">
      <c r="A362" s="112" t="s">
        <v>2140</v>
      </c>
      <c r="B362" s="224" t="str">
        <f>(IF((VLOOKUP(Table10[[#This Row],[SKU]],'All Skus'!$A:$AC,2,FALSE))="Martin",(VLOOKUP(Table10[[#This Row],[SKU]],'All Skus'!$A:$AC,3,FALSE)),""))</f>
        <v>Linear</v>
      </c>
      <c r="C362" s="223" t="str">
        <f>(IF((VLOOKUP(Table10[[#This Row],[SKU]],'All Skus'!$A:$AC,2,FALSE))="Martin",(VLOOKUP(Table10[[#This Row],[SKU]],'All Skus'!$A:$AC,4,FALSE)),""))</f>
        <v>Ext PixLine 40 RGB 1270mm As Len Lft Alu</v>
      </c>
      <c r="D362" s="224" t="str">
        <f>(IF((VLOOKUP(Table10[[#This Row],[SKU]],'All Skus'!$A:$AC,2,FALSE))="Martin",(VLOOKUP(Table10[[#This Row],[SKU]],'All Skus'!$A:$AC,5,FALSE)),""))</f>
        <v>EXT-CREAT</v>
      </c>
      <c r="E362" s="223">
        <f>(IF((VLOOKUP(Table10[[#This Row],[SKU]],'All Skus'!$A:$AC,2,FALSE))="Martin",(VLOOKUP(Table10[[#This Row],[SKU]],'All Skus'!$A:$AC,6,FALSE)),""))</f>
        <v>0</v>
      </c>
      <c r="F362" s="155" t="str">
        <f>(IF((VLOOKUP(Table10[[#This Row],[SKU]],'All Skus'!$A:$AC,2,FALSE))="Martin",(VLOOKUP(Table10[[#This Row],[SKU]],'All Skus'!$A:$AC,7,FALSE)),""))</f>
        <v>Production stop - Earliest delivery August 2023</v>
      </c>
      <c r="G362" s="223" t="str">
        <f>(IF((VLOOKUP(Table10[[#This Row],[SKU]],'All Skus'!$A:$AC,2,FALSE))="Martin",(VLOOKUP(Table10[[#This Row],[SKU]],'All Skus'!$A:$AC,8,FALSE)),""))</f>
        <v>Ext PixLine 40 RGB 1270mm As Len Lft Alu</v>
      </c>
      <c r="H362" s="223" t="str">
        <f>(IF((VLOOKUP(Table10[[#This Row],[SKU]],'All Skus'!$A:$AC,2,FALSE))="Martin",(VLOOKUP(Table10[[#This Row],[SKU]],'All Skus'!$A:$AC,9,FALSE)),""))</f>
        <v>Ext PixLine 40 RGB 1270mm As Len Lft Alu</v>
      </c>
      <c r="I362" s="225">
        <f>(IF((VLOOKUP(Table10[[#This Row],[SKU]],'All Skus'!$A:$AC,2,FALSE))="Martin",(VLOOKUP(Table10[[#This Row],[SKU]],'All Skus'!$A:$AC,10,FALSE)),""))</f>
        <v>716.16</v>
      </c>
      <c r="J362" s="226">
        <f>(IF((VLOOKUP(Table10[[#This Row],[SKU]],'All Skus'!$A:$AC,2,FALSE))="Martin",(VLOOKUP(Table10[[#This Row],[SKU]],'All Skus'!$A:$AC,11,FALSE)),""))</f>
        <v>716.16</v>
      </c>
      <c r="K362" s="224">
        <f>(IF((VLOOKUP(Table10[[#This Row],[SKU]],'All Skus'!$A:$AC,2,FALSE))="Martin",(VLOOKUP(Table10[[#This Row],[SKU]],'All Skus'!$A:$AC,15,FALSE)),""))</f>
        <v>0</v>
      </c>
      <c r="L362" s="224">
        <f>(IF((VLOOKUP(Table10[[#This Row],[SKU]],'All Skus'!$A:$AC,2,FALSE))="Martin",(VLOOKUP(Table10[[#This Row],[SKU]],'All Skus'!$A:$AC,16,FALSE)),""))</f>
        <v>5706681220595</v>
      </c>
      <c r="M362" s="224">
        <f>(IF((VLOOKUP(Table10[[#This Row],[SKU]],'All Skus'!$A:$AC,2,FALSE))="Martin",(VLOOKUP(Table10[[#This Row],[SKU]],'All Skus'!$A:$AC,17,FALSE)),""))</f>
        <v>0</v>
      </c>
      <c r="N362" s="227">
        <f>(IF((VLOOKUP(Table10[[#This Row],[SKU]],'All Skus'!$A:$AC,2,FALSE))="Martin",(VLOOKUP(Table10[[#This Row],[SKU]],'All Skus'!$A:$AC,18,FALSE)),""))</f>
        <v>0</v>
      </c>
      <c r="O362" s="227">
        <f>(IF((VLOOKUP(Table10[[#This Row],[SKU]],'All Skus'!$A:$AC,2,FALSE))="Martin",(VLOOKUP(Table10[[#This Row],[SKU]],'All Skus'!$A:$AC,19,FALSE)),""))</f>
        <v>0</v>
      </c>
      <c r="P362" s="227">
        <f>(IF((VLOOKUP(Table10[[#This Row],[SKU]],'All Skus'!$A:$AC,2,FALSE))="Martin",(VLOOKUP(Table10[[#This Row],[SKU]],'All Skus'!$A:$AC,20,FALSE)),""))</f>
        <v>0</v>
      </c>
      <c r="Q362" s="227">
        <f>(IF((VLOOKUP(Table10[[#This Row],[SKU]],'All Skus'!$A:$AC,2,FALSE))="Martin",(VLOOKUP(Table10[[#This Row],[SKU]],'All Skus'!$A:$AC,21,FALSE)),""))</f>
        <v>0</v>
      </c>
      <c r="R362" s="224" t="str">
        <f>(IF((VLOOKUP(Table10[[#This Row],[SKU]],'All Skus'!$A:$AC,2,FALSE))="Martin",(VLOOKUP(Table10[[#This Row],[SKU]],'All Skus'!$A:$AC,22,FALSE)),""))</f>
        <v>HU</v>
      </c>
      <c r="S362" s="223">
        <f>(IF((VLOOKUP(Table10[[#This Row],[SKU]],'All Skus'!$A:$AC,2,FALSE))="Martin",(VLOOKUP(Table10[[#This Row],[SKU]],'All Skus'!$A:$AC,23,FALSE)),""))</f>
        <v>0</v>
      </c>
      <c r="T362" s="212" t="str">
        <f>HYPERLINK((IF((VLOOKUP(Table10[[#This Row],[SKU]],'All Skus'!$A:$AC,2,FALSE))="Martin",(VLOOKUP(Table10[[#This Row],[SKU]],'All Skus'!$A:$AC,24,FALSE)),"")))</f>
        <v>https://www.martin.com/en/products/exterior-pixline-40</v>
      </c>
      <c r="U362" s="228">
        <v>360</v>
      </c>
    </row>
    <row r="363" spans="1:21" hidden="1">
      <c r="A363" s="112" t="s">
        <v>2141</v>
      </c>
      <c r="B363" s="224" t="str">
        <f>(IF((VLOOKUP(Table10[[#This Row],[SKU]],'All Skus'!$A:$AC,2,FALSE))="Martin",(VLOOKUP(Table10[[#This Row],[SKU]],'All Skus'!$A:$AC,3,FALSE)),""))</f>
        <v>Linear</v>
      </c>
      <c r="C363" s="223" t="str">
        <f>(IF((VLOOKUP(Table10[[#This Row],[SKU]],'All Skus'!$A:$AC,2,FALSE))="Martin",(VLOOKUP(Table10[[#This Row],[SKU]],'All Skus'!$A:$AC,4,FALSE)),""))</f>
        <v>Ext PixLine 40 RGB 310mm As Len Rgt Alu</v>
      </c>
      <c r="D363" s="224" t="str">
        <f>(IF((VLOOKUP(Table10[[#This Row],[SKU]],'All Skus'!$A:$AC,2,FALSE))="Martin",(VLOOKUP(Table10[[#This Row],[SKU]],'All Skus'!$A:$AC,5,FALSE)),""))</f>
        <v>EXT-CREAT</v>
      </c>
      <c r="E363" s="223">
        <f>(IF((VLOOKUP(Table10[[#This Row],[SKU]],'All Skus'!$A:$AC,2,FALSE))="Martin",(VLOOKUP(Table10[[#This Row],[SKU]],'All Skus'!$A:$AC,6,FALSE)),""))</f>
        <v>0</v>
      </c>
      <c r="F363" s="155" t="str">
        <f>(IF((VLOOKUP(Table10[[#This Row],[SKU]],'All Skus'!$A:$AC,2,FALSE))="Martin",(VLOOKUP(Table10[[#This Row],[SKU]],'All Skus'!$A:$AC,7,FALSE)),""))</f>
        <v>Production stop - Earliest delivery August 2023</v>
      </c>
      <c r="G363" s="223" t="str">
        <f>(IF((VLOOKUP(Table10[[#This Row],[SKU]],'All Skus'!$A:$AC,2,FALSE))="Martin",(VLOOKUP(Table10[[#This Row],[SKU]],'All Skus'!$A:$AC,8,FALSE)),""))</f>
        <v>Ext PixLine 40 RGB 310mm As Len Rgt Alu</v>
      </c>
      <c r="H363" s="223" t="str">
        <f>(IF((VLOOKUP(Table10[[#This Row],[SKU]],'All Skus'!$A:$AC,2,FALSE))="Martin",(VLOOKUP(Table10[[#This Row],[SKU]],'All Skus'!$A:$AC,9,FALSE)),""))</f>
        <v>Ext PixLine 40 RGB 310mm As Len Rgt Alu</v>
      </c>
      <c r="I363" s="225">
        <f>(IF((VLOOKUP(Table10[[#This Row],[SKU]],'All Skus'!$A:$AC,2,FALSE))="Martin",(VLOOKUP(Table10[[#This Row],[SKU]],'All Skus'!$A:$AC,10,FALSE)),""))</f>
        <v>401.3</v>
      </c>
      <c r="J363" s="226">
        <f>(IF((VLOOKUP(Table10[[#This Row],[SKU]],'All Skus'!$A:$AC,2,FALSE))="Martin",(VLOOKUP(Table10[[#This Row],[SKU]],'All Skus'!$A:$AC,11,FALSE)),""))</f>
        <v>401.3</v>
      </c>
      <c r="K363" s="224">
        <f>(IF((VLOOKUP(Table10[[#This Row],[SKU]],'All Skus'!$A:$AC,2,FALSE))="Martin",(VLOOKUP(Table10[[#This Row],[SKU]],'All Skus'!$A:$AC,15,FALSE)),""))</f>
        <v>0</v>
      </c>
      <c r="L363" s="224">
        <f>(IF((VLOOKUP(Table10[[#This Row],[SKU]],'All Skus'!$A:$AC,2,FALSE))="Martin",(VLOOKUP(Table10[[#This Row],[SKU]],'All Skus'!$A:$AC,16,FALSE)),""))</f>
        <v>5706681220588</v>
      </c>
      <c r="M363" s="224">
        <f>(IF((VLOOKUP(Table10[[#This Row],[SKU]],'All Skus'!$A:$AC,2,FALSE))="Martin",(VLOOKUP(Table10[[#This Row],[SKU]],'All Skus'!$A:$AC,17,FALSE)),""))</f>
        <v>0</v>
      </c>
      <c r="N363" s="227">
        <f>(IF((VLOOKUP(Table10[[#This Row],[SKU]],'All Skus'!$A:$AC,2,FALSE))="Martin",(VLOOKUP(Table10[[#This Row],[SKU]],'All Skus'!$A:$AC,18,FALSE)),""))</f>
        <v>0</v>
      </c>
      <c r="O363" s="227">
        <f>(IF((VLOOKUP(Table10[[#This Row],[SKU]],'All Skus'!$A:$AC,2,FALSE))="Martin",(VLOOKUP(Table10[[#This Row],[SKU]],'All Skus'!$A:$AC,19,FALSE)),""))</f>
        <v>0</v>
      </c>
      <c r="P363" s="227">
        <f>(IF((VLOOKUP(Table10[[#This Row],[SKU]],'All Skus'!$A:$AC,2,FALSE))="Martin",(VLOOKUP(Table10[[#This Row],[SKU]],'All Skus'!$A:$AC,20,FALSE)),""))</f>
        <v>0</v>
      </c>
      <c r="Q363" s="227">
        <f>(IF((VLOOKUP(Table10[[#This Row],[SKU]],'All Skus'!$A:$AC,2,FALSE))="Martin",(VLOOKUP(Table10[[#This Row],[SKU]],'All Skus'!$A:$AC,21,FALSE)),""))</f>
        <v>0</v>
      </c>
      <c r="R363" s="224" t="str">
        <f>(IF((VLOOKUP(Table10[[#This Row],[SKU]],'All Skus'!$A:$AC,2,FALSE))="Martin",(VLOOKUP(Table10[[#This Row],[SKU]],'All Skus'!$A:$AC,22,FALSE)),""))</f>
        <v>HU</v>
      </c>
      <c r="S363" s="223">
        <f>(IF((VLOOKUP(Table10[[#This Row],[SKU]],'All Skus'!$A:$AC,2,FALSE))="Martin",(VLOOKUP(Table10[[#This Row],[SKU]],'All Skus'!$A:$AC,23,FALSE)),""))</f>
        <v>0</v>
      </c>
      <c r="T363" s="212" t="str">
        <f>HYPERLINK((IF((VLOOKUP(Table10[[#This Row],[SKU]],'All Skus'!$A:$AC,2,FALSE))="Martin",(VLOOKUP(Table10[[#This Row],[SKU]],'All Skus'!$A:$AC,24,FALSE)),"")))</f>
        <v>https://www.martin.com/en/products/exterior-pixline-40</v>
      </c>
      <c r="U363" s="228">
        <v>361</v>
      </c>
    </row>
    <row r="364" spans="1:21" hidden="1">
      <c r="A364" s="112" t="s">
        <v>2142</v>
      </c>
      <c r="B364" s="224" t="str">
        <f>(IF((VLOOKUP(Table10[[#This Row],[SKU]],'All Skus'!$A:$AC,2,FALSE))="Martin",(VLOOKUP(Table10[[#This Row],[SKU]],'All Skus'!$A:$AC,3,FALSE)),""))</f>
        <v>Linear</v>
      </c>
      <c r="C364" s="223" t="str">
        <f>(IF((VLOOKUP(Table10[[#This Row],[SKU]],'All Skus'!$A:$AC,2,FALSE))="Martin",(VLOOKUP(Table10[[#This Row],[SKU]],'All Skus'!$A:$AC,4,FALSE)),""))</f>
        <v>Ext PixLine 40 RGB 1270mm As Len Rgt Alu</v>
      </c>
      <c r="D364" s="224" t="str">
        <f>(IF((VLOOKUP(Table10[[#This Row],[SKU]],'All Skus'!$A:$AC,2,FALSE))="Martin",(VLOOKUP(Table10[[#This Row],[SKU]],'All Skus'!$A:$AC,5,FALSE)),""))</f>
        <v>EXT-CREAT</v>
      </c>
      <c r="E364" s="223">
        <f>(IF((VLOOKUP(Table10[[#This Row],[SKU]],'All Skus'!$A:$AC,2,FALSE))="Martin",(VLOOKUP(Table10[[#This Row],[SKU]],'All Skus'!$A:$AC,6,FALSE)),""))</f>
        <v>0</v>
      </c>
      <c r="F364" s="155" t="str">
        <f>(IF((VLOOKUP(Table10[[#This Row],[SKU]],'All Skus'!$A:$AC,2,FALSE))="Martin",(VLOOKUP(Table10[[#This Row],[SKU]],'All Skus'!$A:$AC,7,FALSE)),""))</f>
        <v>Production stop - Earliest delivery August 2023</v>
      </c>
      <c r="G364" s="223" t="str">
        <f>(IF((VLOOKUP(Table10[[#This Row],[SKU]],'All Skus'!$A:$AC,2,FALSE))="Martin",(VLOOKUP(Table10[[#This Row],[SKU]],'All Skus'!$A:$AC,8,FALSE)),""))</f>
        <v>Ext PixLine 40 RGB 1270mm As Len Rgt Alu</v>
      </c>
      <c r="H364" s="223" t="str">
        <f>(IF((VLOOKUP(Table10[[#This Row],[SKU]],'All Skus'!$A:$AC,2,FALSE))="Martin",(VLOOKUP(Table10[[#This Row],[SKU]],'All Skus'!$A:$AC,9,FALSE)),""))</f>
        <v>Ext PixLine 40 RGB 1270mm As Len Rgt Alu</v>
      </c>
      <c r="I364" s="225">
        <f>(IF((VLOOKUP(Table10[[#This Row],[SKU]],'All Skus'!$A:$AC,2,FALSE))="Martin",(VLOOKUP(Table10[[#This Row],[SKU]],'All Skus'!$A:$AC,10,FALSE)),""))</f>
        <v>716.16</v>
      </c>
      <c r="J364" s="226">
        <f>(IF((VLOOKUP(Table10[[#This Row],[SKU]],'All Skus'!$A:$AC,2,FALSE))="Martin",(VLOOKUP(Table10[[#This Row],[SKU]],'All Skus'!$A:$AC,11,FALSE)),""))</f>
        <v>716.16</v>
      </c>
      <c r="K364" s="224">
        <f>(IF((VLOOKUP(Table10[[#This Row],[SKU]],'All Skus'!$A:$AC,2,FALSE))="Martin",(VLOOKUP(Table10[[#This Row],[SKU]],'All Skus'!$A:$AC,15,FALSE)),""))</f>
        <v>0</v>
      </c>
      <c r="L364" s="224">
        <f>(IF((VLOOKUP(Table10[[#This Row],[SKU]],'All Skus'!$A:$AC,2,FALSE))="Martin",(VLOOKUP(Table10[[#This Row],[SKU]],'All Skus'!$A:$AC,16,FALSE)),""))</f>
        <v>5706681220571</v>
      </c>
      <c r="M364" s="224">
        <f>(IF((VLOOKUP(Table10[[#This Row],[SKU]],'All Skus'!$A:$AC,2,FALSE))="Martin",(VLOOKUP(Table10[[#This Row],[SKU]],'All Skus'!$A:$AC,17,FALSE)),""))</f>
        <v>0</v>
      </c>
      <c r="N364" s="227">
        <f>(IF((VLOOKUP(Table10[[#This Row],[SKU]],'All Skus'!$A:$AC,2,FALSE))="Martin",(VLOOKUP(Table10[[#This Row],[SKU]],'All Skus'!$A:$AC,18,FALSE)),""))</f>
        <v>0</v>
      </c>
      <c r="O364" s="227">
        <f>(IF((VLOOKUP(Table10[[#This Row],[SKU]],'All Skus'!$A:$AC,2,FALSE))="Martin",(VLOOKUP(Table10[[#This Row],[SKU]],'All Skus'!$A:$AC,19,FALSE)),""))</f>
        <v>0</v>
      </c>
      <c r="P364" s="227">
        <f>(IF((VLOOKUP(Table10[[#This Row],[SKU]],'All Skus'!$A:$AC,2,FALSE))="Martin",(VLOOKUP(Table10[[#This Row],[SKU]],'All Skus'!$A:$AC,20,FALSE)),""))</f>
        <v>0</v>
      </c>
      <c r="Q364" s="227">
        <f>(IF((VLOOKUP(Table10[[#This Row],[SKU]],'All Skus'!$A:$AC,2,FALSE))="Martin",(VLOOKUP(Table10[[#This Row],[SKU]],'All Skus'!$A:$AC,21,FALSE)),""))</f>
        <v>0</v>
      </c>
      <c r="R364" s="224" t="str">
        <f>(IF((VLOOKUP(Table10[[#This Row],[SKU]],'All Skus'!$A:$AC,2,FALSE))="Martin",(VLOOKUP(Table10[[#This Row],[SKU]],'All Skus'!$A:$AC,22,FALSE)),""))</f>
        <v>HU</v>
      </c>
      <c r="S364" s="223">
        <f>(IF((VLOOKUP(Table10[[#This Row],[SKU]],'All Skus'!$A:$AC,2,FALSE))="Martin",(VLOOKUP(Table10[[#This Row],[SKU]],'All Skus'!$A:$AC,23,FALSE)),""))</f>
        <v>0</v>
      </c>
      <c r="T364" s="212" t="str">
        <f>HYPERLINK((IF((VLOOKUP(Table10[[#This Row],[SKU]],'All Skus'!$A:$AC,2,FALSE))="Martin",(VLOOKUP(Table10[[#This Row],[SKU]],'All Skus'!$A:$AC,24,FALSE)),"")))</f>
        <v>https://www.martin.com/en/products/exterior-pixline-40</v>
      </c>
      <c r="U364" s="228">
        <v>362</v>
      </c>
    </row>
    <row r="365" spans="1:21" hidden="1">
      <c r="A365" s="115" t="s">
        <v>2143</v>
      </c>
      <c r="B365" s="224">
        <f>(IF((VLOOKUP(Table10[[#This Row],[SKU]],'All Skus'!$A:$AC,2,FALSE))="Martin",(VLOOKUP(Table10[[#This Row],[SKU]],'All Skus'!$A:$AC,3,FALSE)),""))</f>
        <v>0</v>
      </c>
      <c r="C365" s="223">
        <f>(IF((VLOOKUP(Table10[[#This Row],[SKU]],'All Skus'!$A:$AC,2,FALSE))="Martin",(VLOOKUP(Table10[[#This Row],[SKU]],'All Skus'!$A:$AC,4,FALSE)),""))</f>
        <v>0</v>
      </c>
      <c r="D365" s="224">
        <f>(IF((VLOOKUP(Table10[[#This Row],[SKU]],'All Skus'!$A:$AC,2,FALSE))="Martin",(VLOOKUP(Table10[[#This Row],[SKU]],'All Skus'!$A:$AC,5,FALSE)),""))</f>
        <v>0</v>
      </c>
      <c r="E365" s="223">
        <f>(IF((VLOOKUP(Table10[[#This Row],[SKU]],'All Skus'!$A:$AC,2,FALSE))="Martin",(VLOOKUP(Table10[[#This Row],[SKU]],'All Skus'!$A:$AC,6,FALSE)),""))</f>
        <v>0</v>
      </c>
      <c r="F365" s="155">
        <f>(IF((VLOOKUP(Table10[[#This Row],[SKU]],'All Skus'!$A:$AC,2,FALSE))="Martin",(VLOOKUP(Table10[[#This Row],[SKU]],'All Skus'!$A:$AC,7,FALSE)),""))</f>
        <v>0</v>
      </c>
      <c r="G365" s="223">
        <f>(IF((VLOOKUP(Table10[[#This Row],[SKU]],'All Skus'!$A:$AC,2,FALSE))="Martin",(VLOOKUP(Table10[[#This Row],[SKU]],'All Skus'!$A:$AC,8,FALSE)),""))</f>
        <v>0</v>
      </c>
      <c r="H365" s="223">
        <f>(IF((VLOOKUP(Table10[[#This Row],[SKU]],'All Skus'!$A:$AC,2,FALSE))="Martin",(VLOOKUP(Table10[[#This Row],[SKU]],'All Skus'!$A:$AC,9,FALSE)),""))</f>
        <v>0</v>
      </c>
      <c r="I365" s="225">
        <f>(IF((VLOOKUP(Table10[[#This Row],[SKU]],'All Skus'!$A:$AC,2,FALSE))="Martin",(VLOOKUP(Table10[[#This Row],[SKU]],'All Skus'!$A:$AC,10,FALSE)),""))</f>
        <v>0</v>
      </c>
      <c r="J365" s="226">
        <f>(IF((VLOOKUP(Table10[[#This Row],[SKU]],'All Skus'!$A:$AC,2,FALSE))="Martin",(VLOOKUP(Table10[[#This Row],[SKU]],'All Skus'!$A:$AC,11,FALSE)),""))</f>
        <v>0</v>
      </c>
      <c r="K365" s="224">
        <f>(IF((VLOOKUP(Table10[[#This Row],[SKU]],'All Skus'!$A:$AC,2,FALSE))="Martin",(VLOOKUP(Table10[[#This Row],[SKU]],'All Skus'!$A:$AC,15,FALSE)),""))</f>
        <v>0</v>
      </c>
      <c r="L365" s="224">
        <f>(IF((VLOOKUP(Table10[[#This Row],[SKU]],'All Skus'!$A:$AC,2,FALSE))="Martin",(VLOOKUP(Table10[[#This Row],[SKU]],'All Skus'!$A:$AC,16,FALSE)),""))</f>
        <v>0</v>
      </c>
      <c r="M365" s="224">
        <f>(IF((VLOOKUP(Table10[[#This Row],[SKU]],'All Skus'!$A:$AC,2,FALSE))="Martin",(VLOOKUP(Table10[[#This Row],[SKU]],'All Skus'!$A:$AC,17,FALSE)),""))</f>
        <v>0</v>
      </c>
      <c r="N365" s="227">
        <f>(IF((VLOOKUP(Table10[[#This Row],[SKU]],'All Skus'!$A:$AC,2,FALSE))="Martin",(VLOOKUP(Table10[[#This Row],[SKU]],'All Skus'!$A:$AC,18,FALSE)),""))</f>
        <v>0</v>
      </c>
      <c r="O365" s="227">
        <f>(IF((VLOOKUP(Table10[[#This Row],[SKU]],'All Skus'!$A:$AC,2,FALSE))="Martin",(VLOOKUP(Table10[[#This Row],[SKU]],'All Skus'!$A:$AC,19,FALSE)),""))</f>
        <v>0</v>
      </c>
      <c r="P365" s="227">
        <f>(IF((VLOOKUP(Table10[[#This Row],[SKU]],'All Skus'!$A:$AC,2,FALSE))="Martin",(VLOOKUP(Table10[[#This Row],[SKU]],'All Skus'!$A:$AC,20,FALSE)),""))</f>
        <v>0</v>
      </c>
      <c r="Q365" s="227">
        <f>(IF((VLOOKUP(Table10[[#This Row],[SKU]],'All Skus'!$A:$AC,2,FALSE))="Martin",(VLOOKUP(Table10[[#This Row],[SKU]],'All Skus'!$A:$AC,21,FALSE)),""))</f>
        <v>0</v>
      </c>
      <c r="R365" s="224">
        <f>(IF((VLOOKUP(Table10[[#This Row],[SKU]],'All Skus'!$A:$AC,2,FALSE))="Martin",(VLOOKUP(Table10[[#This Row],[SKU]],'All Skus'!$A:$AC,22,FALSE)),""))</f>
        <v>0</v>
      </c>
      <c r="S365" s="223">
        <f>(IF((VLOOKUP(Table10[[#This Row],[SKU]],'All Skus'!$A:$AC,2,FALSE))="Martin",(VLOOKUP(Table10[[#This Row],[SKU]],'All Skus'!$A:$AC,23,FALSE)),""))</f>
        <v>0</v>
      </c>
      <c r="T365" s="212" t="str">
        <f>HYPERLINK((IF((VLOOKUP(Table10[[#This Row],[SKU]],'All Skus'!$A:$AC,2,FALSE))="Martin",(VLOOKUP(Table10[[#This Row],[SKU]],'All Skus'!$A:$AC,24,FALSE)),"")))</f>
        <v/>
      </c>
      <c r="U365" s="228">
        <v>363</v>
      </c>
    </row>
    <row r="366" spans="1:21" hidden="1">
      <c r="A366" s="114">
        <v>91611700</v>
      </c>
      <c r="B366" s="224" t="str">
        <f>(IF((VLOOKUP(Table10[[#This Row],[SKU]],'All Skus'!$A:$AC,2,FALSE))="Martin",(VLOOKUP(Table10[[#This Row],[SKU]],'All Skus'!$A:$AC,3,FALSE)),""))</f>
        <v>Linear</v>
      </c>
      <c r="C366" s="223" t="str">
        <f>(IF((VLOOKUP(Table10[[#This Row],[SKU]],'All Skus'!$A:$AC,2,FALSE))="Martin",(VLOOKUP(Table10[[#This Row],[SKU]],'All Skus'!$A:$AC,4,FALSE)),""))</f>
        <v>Ext PixLine Mounting Profile 310mm Alu</v>
      </c>
      <c r="D366" s="224" t="str">
        <f>(IF((VLOOKUP(Table10[[#This Row],[SKU]],'All Skus'!$A:$AC,2,FALSE))="Martin",(VLOOKUP(Table10[[#This Row],[SKU]],'All Skus'!$A:$AC,5,FALSE)),""))</f>
        <v>EXT-CREAT</v>
      </c>
      <c r="E366" s="223">
        <f>(IF((VLOOKUP(Table10[[#This Row],[SKU]],'All Skus'!$A:$AC,2,FALSE))="Martin",(VLOOKUP(Table10[[#This Row],[SKU]],'All Skus'!$A:$AC,6,FALSE)),""))</f>
        <v>0</v>
      </c>
      <c r="F366" s="155">
        <f>(IF((VLOOKUP(Table10[[#This Row],[SKU]],'All Skus'!$A:$AC,2,FALSE))="Martin",(VLOOKUP(Table10[[#This Row],[SKU]],'All Skus'!$A:$AC,7,FALSE)),""))</f>
        <v>0</v>
      </c>
      <c r="G366" s="223" t="str">
        <f>(IF((VLOOKUP(Table10[[#This Row],[SKU]],'All Skus'!$A:$AC,2,FALSE))="Martin",(VLOOKUP(Table10[[#This Row],[SKU]],'All Skus'!$A:$AC,8,FALSE)),""))</f>
        <v>Ext PixLine Mounting Profile 310mm Alu</v>
      </c>
      <c r="H366" s="223" t="str">
        <f>(IF((VLOOKUP(Table10[[#This Row],[SKU]],'All Skus'!$A:$AC,2,FALSE))="Martin",(VLOOKUP(Table10[[#This Row],[SKU]],'All Skus'!$A:$AC,9,FALSE)),""))</f>
        <v>Ext PixLine Mounting Profile 310mm Alu</v>
      </c>
      <c r="I366" s="225">
        <f>(IF((VLOOKUP(Table10[[#This Row],[SKU]],'All Skus'!$A:$AC,2,FALSE))="Martin",(VLOOKUP(Table10[[#This Row],[SKU]],'All Skus'!$A:$AC,10,FALSE)),""))</f>
        <v>28.4</v>
      </c>
      <c r="J366" s="226">
        <f>(IF((VLOOKUP(Table10[[#This Row],[SKU]],'All Skus'!$A:$AC,2,FALSE))="Martin",(VLOOKUP(Table10[[#This Row],[SKU]],'All Skus'!$A:$AC,11,FALSE)),""))</f>
        <v>28.4</v>
      </c>
      <c r="K366" s="224">
        <f>(IF((VLOOKUP(Table10[[#This Row],[SKU]],'All Skus'!$A:$AC,2,FALSE))="Martin",(VLOOKUP(Table10[[#This Row],[SKU]],'All Skus'!$A:$AC,15,FALSE)),""))</f>
        <v>0</v>
      </c>
      <c r="L366" s="224">
        <f>(IF((VLOOKUP(Table10[[#This Row],[SKU]],'All Skus'!$A:$AC,2,FALSE))="Martin",(VLOOKUP(Table10[[#This Row],[SKU]],'All Skus'!$A:$AC,16,FALSE)),""))</f>
        <v>0</v>
      </c>
      <c r="M366" s="224">
        <f>(IF((VLOOKUP(Table10[[#This Row],[SKU]],'All Skus'!$A:$AC,2,FALSE))="Martin",(VLOOKUP(Table10[[#This Row],[SKU]],'All Skus'!$A:$AC,17,FALSE)),""))</f>
        <v>0</v>
      </c>
      <c r="N366" s="227">
        <f>(IF((VLOOKUP(Table10[[#This Row],[SKU]],'All Skus'!$A:$AC,2,FALSE))="Martin",(VLOOKUP(Table10[[#This Row],[SKU]],'All Skus'!$A:$AC,18,FALSE)),""))</f>
        <v>0</v>
      </c>
      <c r="O366" s="227">
        <f>(IF((VLOOKUP(Table10[[#This Row],[SKU]],'All Skus'!$A:$AC,2,FALSE))="Martin",(VLOOKUP(Table10[[#This Row],[SKU]],'All Skus'!$A:$AC,19,FALSE)),""))</f>
        <v>0</v>
      </c>
      <c r="P366" s="227">
        <f>(IF((VLOOKUP(Table10[[#This Row],[SKU]],'All Skus'!$A:$AC,2,FALSE))="Martin",(VLOOKUP(Table10[[#This Row],[SKU]],'All Skus'!$A:$AC,20,FALSE)),""))</f>
        <v>0</v>
      </c>
      <c r="Q366" s="227">
        <f>(IF((VLOOKUP(Table10[[#This Row],[SKU]],'All Skus'!$A:$AC,2,FALSE))="Martin",(VLOOKUP(Table10[[#This Row],[SKU]],'All Skus'!$A:$AC,21,FALSE)),""))</f>
        <v>0</v>
      </c>
      <c r="R366" s="224" t="str">
        <f>(IF((VLOOKUP(Table10[[#This Row],[SKU]],'All Skus'!$A:$AC,2,FALSE))="Martin",(VLOOKUP(Table10[[#This Row],[SKU]],'All Skus'!$A:$AC,22,FALSE)),""))</f>
        <v>CN</v>
      </c>
      <c r="S366" s="223" t="str">
        <f>(IF((VLOOKUP(Table10[[#This Row],[SKU]],'All Skus'!$A:$AC,2,FALSE))="Martin",(VLOOKUP(Table10[[#This Row],[SKU]],'All Skus'!$A:$AC,23,FALSE)),""))</f>
        <v>Non Compliant</v>
      </c>
      <c r="T366" s="212" t="str">
        <f>HYPERLINK((IF((VLOOKUP(Table10[[#This Row],[SKU]],'All Skus'!$A:$AC,2,FALSE))="Martin",(VLOOKUP(Table10[[#This Row],[SKU]],'All Skus'!$A:$AC,24,FALSE)),"")))</f>
        <v/>
      </c>
      <c r="U366" s="228">
        <v>364</v>
      </c>
    </row>
    <row r="367" spans="1:21" hidden="1">
      <c r="A367" s="112">
        <v>91611620</v>
      </c>
      <c r="B367" s="224" t="str">
        <f>(IF((VLOOKUP(Table10[[#This Row],[SKU]],'All Skus'!$A:$AC,2,FALSE))="Martin",(VLOOKUP(Table10[[#This Row],[SKU]],'All Skus'!$A:$AC,3,FALSE)),""))</f>
        <v>Linear</v>
      </c>
      <c r="C367" s="223" t="str">
        <f>(IF((VLOOKUP(Table10[[#This Row],[SKU]],'All Skus'!$A:$AC,2,FALSE))="Martin",(VLOOKUP(Table10[[#This Row],[SKU]],'All Skus'!$A:$AC,4,FALSE)),""))</f>
        <v>Ext PixLine Mounting Profile 320mm Alu</v>
      </c>
      <c r="D367" s="224" t="str">
        <f>(IF((VLOOKUP(Table10[[#This Row],[SKU]],'All Skus'!$A:$AC,2,FALSE))="Martin",(VLOOKUP(Table10[[#This Row],[SKU]],'All Skus'!$A:$AC,5,FALSE)),""))</f>
        <v>EXT-CREAT</v>
      </c>
      <c r="E367" s="223">
        <f>(IF((VLOOKUP(Table10[[#This Row],[SKU]],'All Skus'!$A:$AC,2,FALSE))="Martin",(VLOOKUP(Table10[[#This Row],[SKU]],'All Skus'!$A:$AC,6,FALSE)),""))</f>
        <v>0</v>
      </c>
      <c r="F367" s="155">
        <f>(IF((VLOOKUP(Table10[[#This Row],[SKU]],'All Skus'!$A:$AC,2,FALSE))="Martin",(VLOOKUP(Table10[[#This Row],[SKU]],'All Skus'!$A:$AC,7,FALSE)),""))</f>
        <v>0</v>
      </c>
      <c r="G367" s="223" t="str">
        <f>(IF((VLOOKUP(Table10[[#This Row],[SKU]],'All Skus'!$A:$AC,2,FALSE))="Martin",(VLOOKUP(Table10[[#This Row],[SKU]],'All Skus'!$A:$AC,8,FALSE)),""))</f>
        <v>Ext PixLine Mounting Profile 320mm Alu</v>
      </c>
      <c r="H367" s="223" t="str">
        <f>(IF((VLOOKUP(Table10[[#This Row],[SKU]],'All Skus'!$A:$AC,2,FALSE))="Martin",(VLOOKUP(Table10[[#This Row],[SKU]],'All Skus'!$A:$AC,9,FALSE)),""))</f>
        <v>Ext PixLine Mounting Profile 320mm Alu</v>
      </c>
      <c r="I367" s="225">
        <f>(IF((VLOOKUP(Table10[[#This Row],[SKU]],'All Skus'!$A:$AC,2,FALSE))="Martin",(VLOOKUP(Table10[[#This Row],[SKU]],'All Skus'!$A:$AC,10,FALSE)),""))</f>
        <v>28.4</v>
      </c>
      <c r="J367" s="226">
        <f>(IF((VLOOKUP(Table10[[#This Row],[SKU]],'All Skus'!$A:$AC,2,FALSE))="Martin",(VLOOKUP(Table10[[#This Row],[SKU]],'All Skus'!$A:$AC,11,FALSE)),""))</f>
        <v>28.4</v>
      </c>
      <c r="K367" s="224">
        <f>(IF((VLOOKUP(Table10[[#This Row],[SKU]],'All Skus'!$A:$AC,2,FALSE))="Martin",(VLOOKUP(Table10[[#This Row],[SKU]],'All Skus'!$A:$AC,15,FALSE)),""))</f>
        <v>0</v>
      </c>
      <c r="L367" s="224">
        <f>(IF((VLOOKUP(Table10[[#This Row],[SKU]],'All Skus'!$A:$AC,2,FALSE))="Martin",(VLOOKUP(Table10[[#This Row],[SKU]],'All Skus'!$A:$AC,16,FALSE)),""))</f>
        <v>0</v>
      </c>
      <c r="M367" s="224">
        <f>(IF((VLOOKUP(Table10[[#This Row],[SKU]],'All Skus'!$A:$AC,2,FALSE))="Martin",(VLOOKUP(Table10[[#This Row],[SKU]],'All Skus'!$A:$AC,17,FALSE)),""))</f>
        <v>0</v>
      </c>
      <c r="N367" s="227">
        <f>(IF((VLOOKUP(Table10[[#This Row],[SKU]],'All Skus'!$A:$AC,2,FALSE))="Martin",(VLOOKUP(Table10[[#This Row],[SKU]],'All Skus'!$A:$AC,18,FALSE)),""))</f>
        <v>0</v>
      </c>
      <c r="O367" s="227">
        <f>(IF((VLOOKUP(Table10[[#This Row],[SKU]],'All Skus'!$A:$AC,2,FALSE))="Martin",(VLOOKUP(Table10[[#This Row],[SKU]],'All Skus'!$A:$AC,19,FALSE)),""))</f>
        <v>0</v>
      </c>
      <c r="P367" s="227">
        <f>(IF((VLOOKUP(Table10[[#This Row],[SKU]],'All Skus'!$A:$AC,2,FALSE))="Martin",(VLOOKUP(Table10[[#This Row],[SKU]],'All Skus'!$A:$AC,20,FALSE)),""))</f>
        <v>0</v>
      </c>
      <c r="Q367" s="227">
        <f>(IF((VLOOKUP(Table10[[#This Row],[SKU]],'All Skus'!$A:$AC,2,FALSE))="Martin",(VLOOKUP(Table10[[#This Row],[SKU]],'All Skus'!$A:$AC,21,FALSE)),""))</f>
        <v>0</v>
      </c>
      <c r="R367" s="224" t="str">
        <f>(IF((VLOOKUP(Table10[[#This Row],[SKU]],'All Skus'!$A:$AC,2,FALSE))="Martin",(VLOOKUP(Table10[[#This Row],[SKU]],'All Skus'!$A:$AC,22,FALSE)),""))</f>
        <v>CN</v>
      </c>
      <c r="S367" s="223" t="str">
        <f>(IF((VLOOKUP(Table10[[#This Row],[SKU]],'All Skus'!$A:$AC,2,FALSE))="Martin",(VLOOKUP(Table10[[#This Row],[SKU]],'All Skus'!$A:$AC,23,FALSE)),""))</f>
        <v>Non Compliant</v>
      </c>
      <c r="T367" s="212" t="str">
        <f>HYPERLINK((IF((VLOOKUP(Table10[[#This Row],[SKU]],'All Skus'!$A:$AC,2,FALSE))="Martin",(VLOOKUP(Table10[[#This Row],[SKU]],'All Skus'!$A:$AC,24,FALSE)),"")))</f>
        <v>http://www.martin.com/en-us/product-details/exterior-pixline-10</v>
      </c>
      <c r="U367" s="228">
        <v>365</v>
      </c>
    </row>
    <row r="368" spans="1:21" hidden="1">
      <c r="A368" s="114">
        <v>91611710</v>
      </c>
      <c r="B368" s="224" t="str">
        <f>(IF((VLOOKUP(Table10[[#This Row],[SKU]],'All Skus'!$A:$AC,2,FALSE))="Martin",(VLOOKUP(Table10[[#This Row],[SKU]],'All Skus'!$A:$AC,3,FALSE)),""))</f>
        <v>Linear</v>
      </c>
      <c r="C368" s="223" t="str">
        <f>(IF((VLOOKUP(Table10[[#This Row],[SKU]],'All Skus'!$A:$AC,2,FALSE))="Martin",(VLOOKUP(Table10[[#This Row],[SKU]],'All Skus'!$A:$AC,4,FALSE)),""))</f>
        <v>Ext PixLine Mounting Profile 1270mm Alu</v>
      </c>
      <c r="D368" s="224" t="str">
        <f>(IF((VLOOKUP(Table10[[#This Row],[SKU]],'All Skus'!$A:$AC,2,FALSE))="Martin",(VLOOKUP(Table10[[#This Row],[SKU]],'All Skus'!$A:$AC,5,FALSE)),""))</f>
        <v>EXT-CREAT</v>
      </c>
      <c r="E368" s="223">
        <f>(IF((VLOOKUP(Table10[[#This Row],[SKU]],'All Skus'!$A:$AC,2,FALSE))="Martin",(VLOOKUP(Table10[[#This Row],[SKU]],'All Skus'!$A:$AC,6,FALSE)),""))</f>
        <v>0</v>
      </c>
      <c r="F368" s="155">
        <f>(IF((VLOOKUP(Table10[[#This Row],[SKU]],'All Skus'!$A:$AC,2,FALSE))="Martin",(VLOOKUP(Table10[[#This Row],[SKU]],'All Skus'!$A:$AC,7,FALSE)),""))</f>
        <v>0</v>
      </c>
      <c r="G368" s="223" t="str">
        <f>(IF((VLOOKUP(Table10[[#This Row],[SKU]],'All Skus'!$A:$AC,2,FALSE))="Martin",(VLOOKUP(Table10[[#This Row],[SKU]],'All Skus'!$A:$AC,8,FALSE)),""))</f>
        <v>Ext PixLine Mounting Profile 1270mm Alu</v>
      </c>
      <c r="H368" s="223" t="str">
        <f>(IF((VLOOKUP(Table10[[#This Row],[SKU]],'All Skus'!$A:$AC,2,FALSE))="Martin",(VLOOKUP(Table10[[#This Row],[SKU]],'All Skus'!$A:$AC,9,FALSE)),""))</f>
        <v>Ext PixLine Mounting Profile 1270mm Alu</v>
      </c>
      <c r="I368" s="225">
        <f>(IF((VLOOKUP(Table10[[#This Row],[SKU]],'All Skus'!$A:$AC,2,FALSE))="Martin",(VLOOKUP(Table10[[#This Row],[SKU]],'All Skus'!$A:$AC,10,FALSE)),""))</f>
        <v>93.84</v>
      </c>
      <c r="J368" s="226">
        <f>(IF((VLOOKUP(Table10[[#This Row],[SKU]],'All Skus'!$A:$AC,2,FALSE))="Martin",(VLOOKUP(Table10[[#This Row],[SKU]],'All Skus'!$A:$AC,11,FALSE)),""))</f>
        <v>93.84</v>
      </c>
      <c r="K368" s="224">
        <f>(IF((VLOOKUP(Table10[[#This Row],[SKU]],'All Skus'!$A:$AC,2,FALSE))="Martin",(VLOOKUP(Table10[[#This Row],[SKU]],'All Skus'!$A:$AC,15,FALSE)),""))</f>
        <v>0</v>
      </c>
      <c r="L368" s="224">
        <f>(IF((VLOOKUP(Table10[[#This Row],[SKU]],'All Skus'!$A:$AC,2,FALSE))="Martin",(VLOOKUP(Table10[[#This Row],[SKU]],'All Skus'!$A:$AC,16,FALSE)),""))</f>
        <v>0</v>
      </c>
      <c r="M368" s="224">
        <f>(IF((VLOOKUP(Table10[[#This Row],[SKU]],'All Skus'!$A:$AC,2,FALSE))="Martin",(VLOOKUP(Table10[[#This Row],[SKU]],'All Skus'!$A:$AC,17,FALSE)),""))</f>
        <v>0</v>
      </c>
      <c r="N368" s="227">
        <f>(IF((VLOOKUP(Table10[[#This Row],[SKU]],'All Skus'!$A:$AC,2,FALSE))="Martin",(VLOOKUP(Table10[[#This Row],[SKU]],'All Skus'!$A:$AC,18,FALSE)),""))</f>
        <v>0</v>
      </c>
      <c r="O368" s="227">
        <f>(IF((VLOOKUP(Table10[[#This Row],[SKU]],'All Skus'!$A:$AC,2,FALSE))="Martin",(VLOOKUP(Table10[[#This Row],[SKU]],'All Skus'!$A:$AC,19,FALSE)),""))</f>
        <v>0</v>
      </c>
      <c r="P368" s="227">
        <f>(IF((VLOOKUP(Table10[[#This Row],[SKU]],'All Skus'!$A:$AC,2,FALSE))="Martin",(VLOOKUP(Table10[[#This Row],[SKU]],'All Skus'!$A:$AC,20,FALSE)),""))</f>
        <v>0</v>
      </c>
      <c r="Q368" s="227">
        <f>(IF((VLOOKUP(Table10[[#This Row],[SKU]],'All Skus'!$A:$AC,2,FALSE))="Martin",(VLOOKUP(Table10[[#This Row],[SKU]],'All Skus'!$A:$AC,21,FALSE)),""))</f>
        <v>0</v>
      </c>
      <c r="R368" s="224" t="str">
        <f>(IF((VLOOKUP(Table10[[#This Row],[SKU]],'All Skus'!$A:$AC,2,FALSE))="Martin",(VLOOKUP(Table10[[#This Row],[SKU]],'All Skus'!$A:$AC,22,FALSE)),""))</f>
        <v>CN</v>
      </c>
      <c r="S368" s="223" t="str">
        <f>(IF((VLOOKUP(Table10[[#This Row],[SKU]],'All Skus'!$A:$AC,2,FALSE))="Martin",(VLOOKUP(Table10[[#This Row],[SKU]],'All Skus'!$A:$AC,23,FALSE)),""))</f>
        <v>Non Compliant</v>
      </c>
      <c r="T368" s="212" t="str">
        <f>HYPERLINK((IF((VLOOKUP(Table10[[#This Row],[SKU]],'All Skus'!$A:$AC,2,FALSE))="Martin",(VLOOKUP(Table10[[#This Row],[SKU]],'All Skus'!$A:$AC,24,FALSE)),"")))</f>
        <v>http://www.martin.com/en-us/product-details/exterior-pixline-40</v>
      </c>
      <c r="U368" s="228">
        <v>366</v>
      </c>
    </row>
    <row r="369" spans="1:21" hidden="1">
      <c r="A369" s="112">
        <v>91611610</v>
      </c>
      <c r="B369" s="224" t="str">
        <f>(IF((VLOOKUP(Table10[[#This Row],[SKU]],'All Skus'!$A:$AC,2,FALSE))="Martin",(VLOOKUP(Table10[[#This Row],[SKU]],'All Skus'!$A:$AC,3,FALSE)),""))</f>
        <v>Linear</v>
      </c>
      <c r="C369" s="223" t="str">
        <f>(IF((VLOOKUP(Table10[[#This Row],[SKU]],'All Skus'!$A:$AC,2,FALSE))="Martin",(VLOOKUP(Table10[[#This Row],[SKU]],'All Skus'!$A:$AC,4,FALSE)),""))</f>
        <v>Ext PixLine Mounting Profile 1280mm Alu</v>
      </c>
      <c r="D369" s="224" t="str">
        <f>(IF((VLOOKUP(Table10[[#This Row],[SKU]],'All Skus'!$A:$AC,2,FALSE))="Martin",(VLOOKUP(Table10[[#This Row],[SKU]],'All Skus'!$A:$AC,5,FALSE)),""))</f>
        <v>EXT-CREAT</v>
      </c>
      <c r="E369" s="223">
        <f>(IF((VLOOKUP(Table10[[#This Row],[SKU]],'All Skus'!$A:$AC,2,FALSE))="Martin",(VLOOKUP(Table10[[#This Row],[SKU]],'All Skus'!$A:$AC,6,FALSE)),""))</f>
        <v>0</v>
      </c>
      <c r="F369" s="155">
        <f>(IF((VLOOKUP(Table10[[#This Row],[SKU]],'All Skus'!$A:$AC,2,FALSE))="Martin",(VLOOKUP(Table10[[#This Row],[SKU]],'All Skus'!$A:$AC,7,FALSE)),""))</f>
        <v>0</v>
      </c>
      <c r="G369" s="223" t="str">
        <f>(IF((VLOOKUP(Table10[[#This Row],[SKU]],'All Skus'!$A:$AC,2,FALSE))="Martin",(VLOOKUP(Table10[[#This Row],[SKU]],'All Skus'!$A:$AC,8,FALSE)),""))</f>
        <v>Ext PixLine Mounting Profile 1280mm Alu</v>
      </c>
      <c r="H369" s="223" t="str">
        <f>(IF((VLOOKUP(Table10[[#This Row],[SKU]],'All Skus'!$A:$AC,2,FALSE))="Martin",(VLOOKUP(Table10[[#This Row],[SKU]],'All Skus'!$A:$AC,9,FALSE)),""))</f>
        <v>Ext PixLine Mounting Profile 1280mm Alu</v>
      </c>
      <c r="I369" s="225">
        <f>(IF((VLOOKUP(Table10[[#This Row],[SKU]],'All Skus'!$A:$AC,2,FALSE))="Martin",(VLOOKUP(Table10[[#This Row],[SKU]],'All Skus'!$A:$AC,10,FALSE)),""))</f>
        <v>93.84</v>
      </c>
      <c r="J369" s="226">
        <f>(IF((VLOOKUP(Table10[[#This Row],[SKU]],'All Skus'!$A:$AC,2,FALSE))="Martin",(VLOOKUP(Table10[[#This Row],[SKU]],'All Skus'!$A:$AC,11,FALSE)),""))</f>
        <v>93.84</v>
      </c>
      <c r="K369" s="224">
        <f>(IF((VLOOKUP(Table10[[#This Row],[SKU]],'All Skus'!$A:$AC,2,FALSE))="Martin",(VLOOKUP(Table10[[#This Row],[SKU]],'All Skus'!$A:$AC,15,FALSE)),""))</f>
        <v>0</v>
      </c>
      <c r="L369" s="224">
        <f>(IF((VLOOKUP(Table10[[#This Row],[SKU]],'All Skus'!$A:$AC,2,FALSE))="Martin",(VLOOKUP(Table10[[#This Row],[SKU]],'All Skus'!$A:$AC,16,FALSE)),""))</f>
        <v>0</v>
      </c>
      <c r="M369" s="224">
        <f>(IF((VLOOKUP(Table10[[#This Row],[SKU]],'All Skus'!$A:$AC,2,FALSE))="Martin",(VLOOKUP(Table10[[#This Row],[SKU]],'All Skus'!$A:$AC,17,FALSE)),""))</f>
        <v>0</v>
      </c>
      <c r="N369" s="227">
        <f>(IF((VLOOKUP(Table10[[#This Row],[SKU]],'All Skus'!$A:$AC,2,FALSE))="Martin",(VLOOKUP(Table10[[#This Row],[SKU]],'All Skus'!$A:$AC,18,FALSE)),""))</f>
        <v>0</v>
      </c>
      <c r="O369" s="227">
        <f>(IF((VLOOKUP(Table10[[#This Row],[SKU]],'All Skus'!$A:$AC,2,FALSE))="Martin",(VLOOKUP(Table10[[#This Row],[SKU]],'All Skus'!$A:$AC,19,FALSE)),""))</f>
        <v>0</v>
      </c>
      <c r="P369" s="227">
        <f>(IF((VLOOKUP(Table10[[#This Row],[SKU]],'All Skus'!$A:$AC,2,FALSE))="Martin",(VLOOKUP(Table10[[#This Row],[SKU]],'All Skus'!$A:$AC,20,FALSE)),""))</f>
        <v>0</v>
      </c>
      <c r="Q369" s="227">
        <f>(IF((VLOOKUP(Table10[[#This Row],[SKU]],'All Skus'!$A:$AC,2,FALSE))="Martin",(VLOOKUP(Table10[[#This Row],[SKU]],'All Skus'!$A:$AC,21,FALSE)),""))</f>
        <v>0</v>
      </c>
      <c r="R369" s="224" t="str">
        <f>(IF((VLOOKUP(Table10[[#This Row],[SKU]],'All Skus'!$A:$AC,2,FALSE))="Martin",(VLOOKUP(Table10[[#This Row],[SKU]],'All Skus'!$A:$AC,22,FALSE)),""))</f>
        <v>CN</v>
      </c>
      <c r="S369" s="223" t="str">
        <f>(IF((VLOOKUP(Table10[[#This Row],[SKU]],'All Skus'!$A:$AC,2,FALSE))="Martin",(VLOOKUP(Table10[[#This Row],[SKU]],'All Skus'!$A:$AC,23,FALSE)),""))</f>
        <v>Non Compliant</v>
      </c>
      <c r="T369" s="212" t="str">
        <f>HYPERLINK((IF((VLOOKUP(Table10[[#This Row],[SKU]],'All Skus'!$A:$AC,2,FALSE))="Martin",(VLOOKUP(Table10[[#This Row],[SKU]],'All Skus'!$A:$AC,24,FALSE)),"")))</f>
        <v>http://www.martin.com/en-us/product-details/exterior-pixline-10</v>
      </c>
      <c r="U369" s="228">
        <v>367</v>
      </c>
    </row>
    <row r="370" spans="1:21" hidden="1">
      <c r="A370" s="112">
        <v>91611725</v>
      </c>
      <c r="B370" s="224" t="str">
        <f>(IF((VLOOKUP(Table10[[#This Row],[SKU]],'All Skus'!$A:$AC,2,FALSE))="Martin",(VLOOKUP(Table10[[#This Row],[SKU]],'All Skus'!$A:$AC,3,FALSE)),""))</f>
        <v>Linear</v>
      </c>
      <c r="C370" s="223" t="str">
        <f>(IF((VLOOKUP(Table10[[#This Row],[SKU]],'All Skus'!$A:$AC,2,FALSE))="Martin",(VLOOKUP(Table10[[#This Row],[SKU]],'All Skus'!$A:$AC,4,FALSE)),""))</f>
        <v>Set of 10 Ext PixLine Mnt Prof Fixations</v>
      </c>
      <c r="D370" s="224" t="str">
        <f>(IF((VLOOKUP(Table10[[#This Row],[SKU]],'All Skus'!$A:$AC,2,FALSE))="Martin",(VLOOKUP(Table10[[#This Row],[SKU]],'All Skus'!$A:$AC,5,FALSE)),""))</f>
        <v>EXT-CREAT</v>
      </c>
      <c r="E370" s="223">
        <f>(IF((VLOOKUP(Table10[[#This Row],[SKU]],'All Skus'!$A:$AC,2,FALSE))="Martin",(VLOOKUP(Table10[[#This Row],[SKU]],'All Skus'!$A:$AC,6,FALSE)),""))</f>
        <v>0</v>
      </c>
      <c r="F370" s="155">
        <f>(IF((VLOOKUP(Table10[[#This Row],[SKU]],'All Skus'!$A:$AC,2,FALSE))="Martin",(VLOOKUP(Table10[[#This Row],[SKU]],'All Skus'!$A:$AC,7,FALSE)),""))</f>
        <v>0</v>
      </c>
      <c r="G370" s="223" t="str">
        <f>(IF((VLOOKUP(Table10[[#This Row],[SKU]],'All Skus'!$A:$AC,2,FALSE))="Martin",(VLOOKUP(Table10[[#This Row],[SKU]],'All Skus'!$A:$AC,8,FALSE)),""))</f>
        <v>Set of 10 Ext PixLine Mnt Prof Fixations</v>
      </c>
      <c r="H370" s="223" t="str">
        <f>(IF((VLOOKUP(Table10[[#This Row],[SKU]],'All Skus'!$A:$AC,2,FALSE))="Martin",(VLOOKUP(Table10[[#This Row],[SKU]],'All Skus'!$A:$AC,9,FALSE)),""))</f>
        <v>Set of 10 Ext PixLine Mnt Prof Fixations</v>
      </c>
      <c r="I370" s="225">
        <f>(IF((VLOOKUP(Table10[[#This Row],[SKU]],'All Skus'!$A:$AC,2,FALSE))="Martin",(VLOOKUP(Table10[[#This Row],[SKU]],'All Skus'!$A:$AC,10,FALSE)),""))</f>
        <v>69.150000000000006</v>
      </c>
      <c r="J370" s="226">
        <f>(IF((VLOOKUP(Table10[[#This Row],[SKU]],'All Skus'!$A:$AC,2,FALSE))="Martin",(VLOOKUP(Table10[[#This Row],[SKU]],'All Skus'!$A:$AC,11,FALSE)),""))</f>
        <v>69.150000000000006</v>
      </c>
      <c r="K370" s="224">
        <f>(IF((VLOOKUP(Table10[[#This Row],[SKU]],'All Skus'!$A:$AC,2,FALSE))="Martin",(VLOOKUP(Table10[[#This Row],[SKU]],'All Skus'!$A:$AC,15,FALSE)),""))</f>
        <v>0</v>
      </c>
      <c r="L370" s="224">
        <f>(IF((VLOOKUP(Table10[[#This Row],[SKU]],'All Skus'!$A:$AC,2,FALSE))="Martin",(VLOOKUP(Table10[[#This Row],[SKU]],'All Skus'!$A:$AC,16,FALSE)),""))</f>
        <v>0</v>
      </c>
      <c r="M370" s="224">
        <f>(IF((VLOOKUP(Table10[[#This Row],[SKU]],'All Skus'!$A:$AC,2,FALSE))="Martin",(VLOOKUP(Table10[[#This Row],[SKU]],'All Skus'!$A:$AC,17,FALSE)),""))</f>
        <v>0</v>
      </c>
      <c r="N370" s="227">
        <f>(IF((VLOOKUP(Table10[[#This Row],[SKU]],'All Skus'!$A:$AC,2,FALSE))="Martin",(VLOOKUP(Table10[[#This Row],[SKU]],'All Skus'!$A:$AC,18,FALSE)),""))</f>
        <v>0</v>
      </c>
      <c r="O370" s="227">
        <f>(IF((VLOOKUP(Table10[[#This Row],[SKU]],'All Skus'!$A:$AC,2,FALSE))="Martin",(VLOOKUP(Table10[[#This Row],[SKU]],'All Skus'!$A:$AC,19,FALSE)),""))</f>
        <v>0</v>
      </c>
      <c r="P370" s="227">
        <f>(IF((VLOOKUP(Table10[[#This Row],[SKU]],'All Skus'!$A:$AC,2,FALSE))="Martin",(VLOOKUP(Table10[[#This Row],[SKU]],'All Skus'!$A:$AC,20,FALSE)),""))</f>
        <v>0</v>
      </c>
      <c r="Q370" s="227">
        <f>(IF((VLOOKUP(Table10[[#This Row],[SKU]],'All Skus'!$A:$AC,2,FALSE))="Martin",(VLOOKUP(Table10[[#This Row],[SKU]],'All Skus'!$A:$AC,21,FALSE)),""))</f>
        <v>0</v>
      </c>
      <c r="R370" s="224" t="str">
        <f>(IF((VLOOKUP(Table10[[#This Row],[SKU]],'All Skus'!$A:$AC,2,FALSE))="Martin",(VLOOKUP(Table10[[#This Row],[SKU]],'All Skus'!$A:$AC,22,FALSE)),""))</f>
        <v>CN</v>
      </c>
      <c r="S370" s="223" t="str">
        <f>(IF((VLOOKUP(Table10[[#This Row],[SKU]],'All Skus'!$A:$AC,2,FALSE))="Martin",(VLOOKUP(Table10[[#This Row],[SKU]],'All Skus'!$A:$AC,23,FALSE)),""))</f>
        <v>Non Compliant</v>
      </c>
      <c r="T370" s="212" t="str">
        <f>HYPERLINK((IF((VLOOKUP(Table10[[#This Row],[SKU]],'All Skus'!$A:$AC,2,FALSE))="Martin",(VLOOKUP(Table10[[#This Row],[SKU]],'All Skus'!$A:$AC,24,FALSE)),"")))</f>
        <v>http://www.martin.com/en-us/product-details/exterior-pixline-10</v>
      </c>
      <c r="U370" s="228">
        <v>368</v>
      </c>
    </row>
    <row r="371" spans="1:21" hidden="1">
      <c r="A371" s="111" t="s">
        <v>2144</v>
      </c>
      <c r="B371" s="224">
        <f>(IF((VLOOKUP(Table10[[#This Row],[SKU]],'All Skus'!$A:$AC,2,FALSE))="Martin",(VLOOKUP(Table10[[#This Row],[SKU]],'All Skus'!$A:$AC,3,FALSE)),""))</f>
        <v>0</v>
      </c>
      <c r="C371" s="223">
        <f>(IF((VLOOKUP(Table10[[#This Row],[SKU]],'All Skus'!$A:$AC,2,FALSE))="Martin",(VLOOKUP(Table10[[#This Row],[SKU]],'All Skus'!$A:$AC,4,FALSE)),""))</f>
        <v>0</v>
      </c>
      <c r="D371" s="224">
        <f>(IF((VLOOKUP(Table10[[#This Row],[SKU]],'All Skus'!$A:$AC,2,FALSE))="Martin",(VLOOKUP(Table10[[#This Row],[SKU]],'All Skus'!$A:$AC,5,FALSE)),""))</f>
        <v>0</v>
      </c>
      <c r="E371" s="223">
        <f>(IF((VLOOKUP(Table10[[#This Row],[SKU]],'All Skus'!$A:$AC,2,FALSE))="Martin",(VLOOKUP(Table10[[#This Row],[SKU]],'All Skus'!$A:$AC,6,FALSE)),""))</f>
        <v>0</v>
      </c>
      <c r="F371" s="155">
        <f>(IF((VLOOKUP(Table10[[#This Row],[SKU]],'All Skus'!$A:$AC,2,FALSE))="Martin",(VLOOKUP(Table10[[#This Row],[SKU]],'All Skus'!$A:$AC,7,FALSE)),""))</f>
        <v>0</v>
      </c>
      <c r="G371" s="223">
        <f>(IF((VLOOKUP(Table10[[#This Row],[SKU]],'All Skus'!$A:$AC,2,FALSE))="Martin",(VLOOKUP(Table10[[#This Row],[SKU]],'All Skus'!$A:$AC,8,FALSE)),""))</f>
        <v>0</v>
      </c>
      <c r="H371" s="223">
        <f>(IF((VLOOKUP(Table10[[#This Row],[SKU]],'All Skus'!$A:$AC,2,FALSE))="Martin",(VLOOKUP(Table10[[#This Row],[SKU]],'All Skus'!$A:$AC,9,FALSE)),""))</f>
        <v>0</v>
      </c>
      <c r="I371" s="225">
        <f>(IF((VLOOKUP(Table10[[#This Row],[SKU]],'All Skus'!$A:$AC,2,FALSE))="Martin",(VLOOKUP(Table10[[#This Row],[SKU]],'All Skus'!$A:$AC,10,FALSE)),""))</f>
        <v>0</v>
      </c>
      <c r="J371" s="226">
        <f>(IF((VLOOKUP(Table10[[#This Row],[SKU]],'All Skus'!$A:$AC,2,FALSE))="Martin",(VLOOKUP(Table10[[#This Row],[SKU]],'All Skus'!$A:$AC,11,FALSE)),""))</f>
        <v>0</v>
      </c>
      <c r="K371" s="224">
        <f>(IF((VLOOKUP(Table10[[#This Row],[SKU]],'All Skus'!$A:$AC,2,FALSE))="Martin",(VLOOKUP(Table10[[#This Row],[SKU]],'All Skus'!$A:$AC,15,FALSE)),""))</f>
        <v>0</v>
      </c>
      <c r="L371" s="224">
        <f>(IF((VLOOKUP(Table10[[#This Row],[SKU]],'All Skus'!$A:$AC,2,FALSE))="Martin",(VLOOKUP(Table10[[#This Row],[SKU]],'All Skus'!$A:$AC,16,FALSE)),""))</f>
        <v>0</v>
      </c>
      <c r="M371" s="224">
        <f>(IF((VLOOKUP(Table10[[#This Row],[SKU]],'All Skus'!$A:$AC,2,FALSE))="Martin",(VLOOKUP(Table10[[#This Row],[SKU]],'All Skus'!$A:$AC,17,FALSE)),""))</f>
        <v>0</v>
      </c>
      <c r="N371" s="227">
        <f>(IF((VLOOKUP(Table10[[#This Row],[SKU]],'All Skus'!$A:$AC,2,FALSE))="Martin",(VLOOKUP(Table10[[#This Row],[SKU]],'All Skus'!$A:$AC,18,FALSE)),""))</f>
        <v>0</v>
      </c>
      <c r="O371" s="227">
        <f>(IF((VLOOKUP(Table10[[#This Row],[SKU]],'All Skus'!$A:$AC,2,FALSE))="Martin",(VLOOKUP(Table10[[#This Row],[SKU]],'All Skus'!$A:$AC,19,FALSE)),""))</f>
        <v>0</v>
      </c>
      <c r="P371" s="227">
        <f>(IF((VLOOKUP(Table10[[#This Row],[SKU]],'All Skus'!$A:$AC,2,FALSE))="Martin",(VLOOKUP(Table10[[#This Row],[SKU]],'All Skus'!$A:$AC,20,FALSE)),""))</f>
        <v>0</v>
      </c>
      <c r="Q371" s="227">
        <f>(IF((VLOOKUP(Table10[[#This Row],[SKU]],'All Skus'!$A:$AC,2,FALSE))="Martin",(VLOOKUP(Table10[[#This Row],[SKU]],'All Skus'!$A:$AC,21,FALSE)),""))</f>
        <v>0</v>
      </c>
      <c r="R371" s="224">
        <f>(IF((VLOOKUP(Table10[[#This Row],[SKU]],'All Skus'!$A:$AC,2,FALSE))="Martin",(VLOOKUP(Table10[[#This Row],[SKU]],'All Skus'!$A:$AC,22,FALSE)),""))</f>
        <v>0</v>
      </c>
      <c r="S371" s="223">
        <f>(IF((VLOOKUP(Table10[[#This Row],[SKU]],'All Skus'!$A:$AC,2,FALSE))="Martin",(VLOOKUP(Table10[[#This Row],[SKU]],'All Skus'!$A:$AC,23,FALSE)),""))</f>
        <v>0</v>
      </c>
      <c r="T371" s="212" t="str">
        <f>HYPERLINK((IF((VLOOKUP(Table10[[#This Row],[SKU]],'All Skus'!$A:$AC,2,FALSE))="Martin",(VLOOKUP(Table10[[#This Row],[SKU]],'All Skus'!$A:$AC,24,FALSE)),"")))</f>
        <v/>
      </c>
      <c r="U371" s="228">
        <v>369</v>
      </c>
    </row>
    <row r="372" spans="1:21" hidden="1">
      <c r="A372" s="115" t="s">
        <v>2145</v>
      </c>
      <c r="B372" s="224">
        <f>(IF((VLOOKUP(Table10[[#This Row],[SKU]],'All Skus'!$A:$AC,2,FALSE))="Martin",(VLOOKUP(Table10[[#This Row],[SKU]],'All Skus'!$A:$AC,3,FALSE)),""))</f>
        <v>0</v>
      </c>
      <c r="C372" s="223">
        <f>(IF((VLOOKUP(Table10[[#This Row],[SKU]],'All Skus'!$A:$AC,2,FALSE))="Martin",(VLOOKUP(Table10[[#This Row],[SKU]],'All Skus'!$A:$AC,4,FALSE)),""))</f>
        <v>0</v>
      </c>
      <c r="D372" s="224">
        <f>(IF((VLOOKUP(Table10[[#This Row],[SKU]],'All Skus'!$A:$AC,2,FALSE))="Martin",(VLOOKUP(Table10[[#This Row],[SKU]],'All Skus'!$A:$AC,5,FALSE)),""))</f>
        <v>0</v>
      </c>
      <c r="E372" s="223">
        <f>(IF((VLOOKUP(Table10[[#This Row],[SKU]],'All Skus'!$A:$AC,2,FALSE))="Martin",(VLOOKUP(Table10[[#This Row],[SKU]],'All Skus'!$A:$AC,6,FALSE)),""))</f>
        <v>0</v>
      </c>
      <c r="F372" s="155">
        <f>(IF((VLOOKUP(Table10[[#This Row],[SKU]],'All Skus'!$A:$AC,2,FALSE))="Martin",(VLOOKUP(Table10[[#This Row],[SKU]],'All Skus'!$A:$AC,7,FALSE)),""))</f>
        <v>0</v>
      </c>
      <c r="G372" s="223">
        <f>(IF((VLOOKUP(Table10[[#This Row],[SKU]],'All Skus'!$A:$AC,2,FALSE))="Martin",(VLOOKUP(Table10[[#This Row],[SKU]],'All Skus'!$A:$AC,8,FALSE)),""))</f>
        <v>0</v>
      </c>
      <c r="H372" s="223">
        <f>(IF((VLOOKUP(Table10[[#This Row],[SKU]],'All Skus'!$A:$AC,2,FALSE))="Martin",(VLOOKUP(Table10[[#This Row],[SKU]],'All Skus'!$A:$AC,9,FALSE)),""))</f>
        <v>0</v>
      </c>
      <c r="I372" s="225">
        <f>(IF((VLOOKUP(Table10[[#This Row],[SKU]],'All Skus'!$A:$AC,2,FALSE))="Martin",(VLOOKUP(Table10[[#This Row],[SKU]],'All Skus'!$A:$AC,10,FALSE)),""))</f>
        <v>0</v>
      </c>
      <c r="J372" s="226">
        <f>(IF((VLOOKUP(Table10[[#This Row],[SKU]],'All Skus'!$A:$AC,2,FALSE))="Martin",(VLOOKUP(Table10[[#This Row],[SKU]],'All Skus'!$A:$AC,11,FALSE)),""))</f>
        <v>0</v>
      </c>
      <c r="K372" s="224">
        <f>(IF((VLOOKUP(Table10[[#This Row],[SKU]],'All Skus'!$A:$AC,2,FALSE))="Martin",(VLOOKUP(Table10[[#This Row],[SKU]],'All Skus'!$A:$AC,15,FALSE)),""))</f>
        <v>0</v>
      </c>
      <c r="L372" s="224">
        <f>(IF((VLOOKUP(Table10[[#This Row],[SKU]],'All Skus'!$A:$AC,2,FALSE))="Martin",(VLOOKUP(Table10[[#This Row],[SKU]],'All Skus'!$A:$AC,16,FALSE)),""))</f>
        <v>0</v>
      </c>
      <c r="M372" s="224">
        <f>(IF((VLOOKUP(Table10[[#This Row],[SKU]],'All Skus'!$A:$AC,2,FALSE))="Martin",(VLOOKUP(Table10[[#This Row],[SKU]],'All Skus'!$A:$AC,17,FALSE)),""))</f>
        <v>0</v>
      </c>
      <c r="N372" s="227">
        <f>(IF((VLOOKUP(Table10[[#This Row],[SKU]],'All Skus'!$A:$AC,2,FALSE))="Martin",(VLOOKUP(Table10[[#This Row],[SKU]],'All Skus'!$A:$AC,18,FALSE)),""))</f>
        <v>0</v>
      </c>
      <c r="O372" s="227">
        <f>(IF((VLOOKUP(Table10[[#This Row],[SKU]],'All Skus'!$A:$AC,2,FALSE))="Martin",(VLOOKUP(Table10[[#This Row],[SKU]],'All Skus'!$A:$AC,19,FALSE)),""))</f>
        <v>0</v>
      </c>
      <c r="P372" s="227">
        <f>(IF((VLOOKUP(Table10[[#This Row],[SKU]],'All Skus'!$A:$AC,2,FALSE))="Martin",(VLOOKUP(Table10[[#This Row],[SKU]],'All Skus'!$A:$AC,20,FALSE)),""))</f>
        <v>0</v>
      </c>
      <c r="Q372" s="227">
        <f>(IF((VLOOKUP(Table10[[#This Row],[SKU]],'All Skus'!$A:$AC,2,FALSE))="Martin",(VLOOKUP(Table10[[#This Row],[SKU]],'All Skus'!$A:$AC,21,FALSE)),""))</f>
        <v>0</v>
      </c>
      <c r="R372" s="224">
        <f>(IF((VLOOKUP(Table10[[#This Row],[SKU]],'All Skus'!$A:$AC,2,FALSE))="Martin",(VLOOKUP(Table10[[#This Row],[SKU]],'All Skus'!$A:$AC,22,FALSE)),""))</f>
        <v>0</v>
      </c>
      <c r="S372" s="223">
        <f>(IF((VLOOKUP(Table10[[#This Row],[SKU]],'All Skus'!$A:$AC,2,FALSE))="Martin",(VLOOKUP(Table10[[#This Row],[SKU]],'All Skus'!$A:$AC,23,FALSE)),""))</f>
        <v>0</v>
      </c>
      <c r="T372" s="212" t="str">
        <f>HYPERLINK((IF((VLOOKUP(Table10[[#This Row],[SKU]],'All Skus'!$A:$AC,2,FALSE))="Martin",(VLOOKUP(Table10[[#This Row],[SKU]],'All Skus'!$A:$AC,24,FALSE)),"")))</f>
        <v/>
      </c>
      <c r="U372" s="228">
        <v>370</v>
      </c>
    </row>
    <row r="373" spans="1:21" hidden="1">
      <c r="A373" s="112">
        <v>90506500</v>
      </c>
      <c r="B373" s="224" t="str">
        <f>(IF((VLOOKUP(Table10[[#This Row],[SKU]],'All Skus'!$A:$AC,2,FALSE))="Martin",(VLOOKUP(Table10[[#This Row],[SKU]],'All Skus'!$A:$AC,3,FALSE)),""))</f>
        <v>Image Projection</v>
      </c>
      <c r="C373" s="223" t="str">
        <f>(IF((VLOOKUP(Table10[[#This Row],[SKU]],'All Skus'!$A:$AC,2,FALSE))="Martin",(VLOOKUP(Table10[[#This Row],[SKU]],'All Skus'!$A:$AC,4,FALSE)),""))</f>
        <v>Exterior Projection 500, Narrow, EU, Aluminum</v>
      </c>
      <c r="D373" s="224" t="str">
        <f>(IF((VLOOKUP(Table10[[#This Row],[SKU]],'All Skus'!$A:$AC,2,FALSE))="Martin",(VLOOKUP(Table10[[#This Row],[SKU]],'All Skus'!$A:$AC,5,FALSE)),""))</f>
        <v>EXT-PROJ</v>
      </c>
      <c r="E373" s="223">
        <f>(IF((VLOOKUP(Table10[[#This Row],[SKU]],'All Skus'!$A:$AC,2,FALSE))="Martin",(VLOOKUP(Table10[[#This Row],[SKU]],'All Skus'!$A:$AC,6,FALSE)),""))</f>
        <v>0</v>
      </c>
      <c r="F373" s="155" t="str">
        <f>(IF((VLOOKUP(Table10[[#This Row],[SKU]],'All Skus'!$A:$AC,2,FALSE))="Martin",(VLOOKUP(Table10[[#This Row],[SKU]],'All Skus'!$A:$AC,7,FALSE)),""))</f>
        <v xml:space="preserve">EOL pre-notice - not recommend to specify for 2025 projects </v>
      </c>
      <c r="G373" s="223" t="str">
        <f>(IF((VLOOKUP(Table10[[#This Row],[SKU]],'All Skus'!$A:$AC,2,FALSE))="Martin",(VLOOKUP(Table10[[#This Row],[SKU]],'All Skus'!$A:$AC,8,FALSE)),""))</f>
        <v>Exterior Projection 500, Narrow, EU, Aluminum</v>
      </c>
      <c r="H373" s="223" t="str">
        <f>(IF((VLOOKUP(Table10[[#This Row],[SKU]],'All Skus'!$A:$AC,2,FALSE))="Martin",(VLOOKUP(Table10[[#This Row],[SKU]],'All Skus'!$A:$AC,9,FALSE)),""))</f>
        <v>Exterior Projection 500, Narrow, EU, Aluminum</v>
      </c>
      <c r="I373" s="225">
        <f>(IF((VLOOKUP(Table10[[#This Row],[SKU]],'All Skus'!$A:$AC,2,FALSE))="Martin",(VLOOKUP(Table10[[#This Row],[SKU]],'All Skus'!$A:$AC,10,FALSE)),""))</f>
        <v>6050.34</v>
      </c>
      <c r="J373" s="226">
        <f>(IF((VLOOKUP(Table10[[#This Row],[SKU]],'All Skus'!$A:$AC,2,FALSE))="Martin",(VLOOKUP(Table10[[#This Row],[SKU]],'All Skus'!$A:$AC,11,FALSE)),""))</f>
        <v>6050.34</v>
      </c>
      <c r="K373" s="224">
        <f>(IF((VLOOKUP(Table10[[#This Row],[SKU]],'All Skus'!$A:$AC,2,FALSE))="Martin",(VLOOKUP(Table10[[#This Row],[SKU]],'All Skus'!$A:$AC,15,FALSE)),""))</f>
        <v>0</v>
      </c>
      <c r="L373" s="224">
        <f>(IF((VLOOKUP(Table10[[#This Row],[SKU]],'All Skus'!$A:$AC,2,FALSE))="Martin",(VLOOKUP(Table10[[#This Row],[SKU]],'All Skus'!$A:$AC,16,FALSE)),""))</f>
        <v>5706681235230</v>
      </c>
      <c r="M373" s="224">
        <f>(IF((VLOOKUP(Table10[[#This Row],[SKU]],'All Skus'!$A:$AC,2,FALSE))="Martin",(VLOOKUP(Table10[[#This Row],[SKU]],'All Skus'!$A:$AC,17,FALSE)),""))</f>
        <v>0</v>
      </c>
      <c r="N373" s="227">
        <f>(IF((VLOOKUP(Table10[[#This Row],[SKU]],'All Skus'!$A:$AC,2,FALSE))="Martin",(VLOOKUP(Table10[[#This Row],[SKU]],'All Skus'!$A:$AC,18,FALSE)),""))</f>
        <v>0</v>
      </c>
      <c r="O373" s="227">
        <f>(IF((VLOOKUP(Table10[[#This Row],[SKU]],'All Skus'!$A:$AC,2,FALSE))="Martin",(VLOOKUP(Table10[[#This Row],[SKU]],'All Skus'!$A:$AC,19,FALSE)),""))</f>
        <v>0</v>
      </c>
      <c r="P373" s="227">
        <f>(IF((VLOOKUP(Table10[[#This Row],[SKU]],'All Skus'!$A:$AC,2,FALSE))="Martin",(VLOOKUP(Table10[[#This Row],[SKU]],'All Skus'!$A:$AC,20,FALSE)),""))</f>
        <v>0</v>
      </c>
      <c r="Q373" s="227">
        <f>(IF((VLOOKUP(Table10[[#This Row],[SKU]],'All Skus'!$A:$AC,2,FALSE))="Martin",(VLOOKUP(Table10[[#This Row],[SKU]],'All Skus'!$A:$AC,21,FALSE)),""))</f>
        <v>0</v>
      </c>
      <c r="R373" s="224">
        <f>(IF((VLOOKUP(Table10[[#This Row],[SKU]],'All Skus'!$A:$AC,2,FALSE))="Martin",(VLOOKUP(Table10[[#This Row],[SKU]],'All Skus'!$A:$AC,22,FALSE)),""))</f>
        <v>0</v>
      </c>
      <c r="S373" s="223" t="str">
        <f>(IF((VLOOKUP(Table10[[#This Row],[SKU]],'All Skus'!$A:$AC,2,FALSE))="Martin",(VLOOKUP(Table10[[#This Row],[SKU]],'All Skus'!$A:$AC,23,FALSE)),""))</f>
        <v>Non Compliant</v>
      </c>
      <c r="T373" s="212" t="str">
        <f>HYPERLINK((IF((VLOOKUP(Table10[[#This Row],[SKU]],'All Skus'!$A:$AC,2,FALSE))="Martin",(VLOOKUP(Table10[[#This Row],[SKU]],'All Skus'!$A:$AC,24,FALSE)),"")))</f>
        <v/>
      </c>
      <c r="U373" s="228">
        <v>371</v>
      </c>
    </row>
    <row r="374" spans="1:21" hidden="1">
      <c r="A374" s="112">
        <v>90506505</v>
      </c>
      <c r="B374" s="224" t="str">
        <f>(IF((VLOOKUP(Table10[[#This Row],[SKU]],'All Skus'!$A:$AC,2,FALSE))="Martin",(VLOOKUP(Table10[[#This Row],[SKU]],'All Skus'!$A:$AC,3,FALSE)),""))</f>
        <v>Image Projection</v>
      </c>
      <c r="C374" s="223" t="str">
        <f>(IF((VLOOKUP(Table10[[#This Row],[SKU]],'All Skus'!$A:$AC,2,FALSE))="Martin",(VLOOKUP(Table10[[#This Row],[SKU]],'All Skus'!$A:$AC,4,FALSE)),""))</f>
        <v>Exterior Projection 500, Medium, EU, Aluminum</v>
      </c>
      <c r="D374" s="224" t="str">
        <f>(IF((VLOOKUP(Table10[[#This Row],[SKU]],'All Skus'!$A:$AC,2,FALSE))="Martin",(VLOOKUP(Table10[[#This Row],[SKU]],'All Skus'!$A:$AC,5,FALSE)),""))</f>
        <v>EXT-PROJ</v>
      </c>
      <c r="E374" s="223">
        <f>(IF((VLOOKUP(Table10[[#This Row],[SKU]],'All Skus'!$A:$AC,2,FALSE))="Martin",(VLOOKUP(Table10[[#This Row],[SKU]],'All Skus'!$A:$AC,6,FALSE)),""))</f>
        <v>0</v>
      </c>
      <c r="F374" s="155" t="str">
        <f>(IF((VLOOKUP(Table10[[#This Row],[SKU]],'All Skus'!$A:$AC,2,FALSE))="Martin",(VLOOKUP(Table10[[#This Row],[SKU]],'All Skus'!$A:$AC,7,FALSE)),""))</f>
        <v xml:space="preserve">EOL pre-notice - not recommend to specify for 2025 projects </v>
      </c>
      <c r="G374" s="223" t="str">
        <f>(IF((VLOOKUP(Table10[[#This Row],[SKU]],'All Skus'!$A:$AC,2,FALSE))="Martin",(VLOOKUP(Table10[[#This Row],[SKU]],'All Skus'!$A:$AC,8,FALSE)),""))</f>
        <v>Exterior Projection 500, Medium, EU, Aluminum</v>
      </c>
      <c r="H374" s="223" t="str">
        <f>(IF((VLOOKUP(Table10[[#This Row],[SKU]],'All Skus'!$A:$AC,2,FALSE))="Martin",(VLOOKUP(Table10[[#This Row],[SKU]],'All Skus'!$A:$AC,9,FALSE)),""))</f>
        <v>Exterior Projection 500, Medium, EU, Aluminum</v>
      </c>
      <c r="I374" s="225">
        <f>(IF((VLOOKUP(Table10[[#This Row],[SKU]],'All Skus'!$A:$AC,2,FALSE))="Martin",(VLOOKUP(Table10[[#This Row],[SKU]],'All Skus'!$A:$AC,10,FALSE)),""))</f>
        <v>6050.34</v>
      </c>
      <c r="J374" s="226">
        <f>(IF((VLOOKUP(Table10[[#This Row],[SKU]],'All Skus'!$A:$AC,2,FALSE))="Martin",(VLOOKUP(Table10[[#This Row],[SKU]],'All Skus'!$A:$AC,11,FALSE)),""))</f>
        <v>6050.34</v>
      </c>
      <c r="K374" s="224">
        <f>(IF((VLOOKUP(Table10[[#This Row],[SKU]],'All Skus'!$A:$AC,2,FALSE))="Martin",(VLOOKUP(Table10[[#This Row],[SKU]],'All Skus'!$A:$AC,15,FALSE)),""))</f>
        <v>0</v>
      </c>
      <c r="L374" s="224">
        <f>(IF((VLOOKUP(Table10[[#This Row],[SKU]],'All Skus'!$A:$AC,2,FALSE))="Martin",(VLOOKUP(Table10[[#This Row],[SKU]],'All Skus'!$A:$AC,16,FALSE)),""))</f>
        <v>5706681235247</v>
      </c>
      <c r="M374" s="224">
        <f>(IF((VLOOKUP(Table10[[#This Row],[SKU]],'All Skus'!$A:$AC,2,FALSE))="Martin",(VLOOKUP(Table10[[#This Row],[SKU]],'All Skus'!$A:$AC,17,FALSE)),""))</f>
        <v>0</v>
      </c>
      <c r="N374" s="227">
        <f>(IF((VLOOKUP(Table10[[#This Row],[SKU]],'All Skus'!$A:$AC,2,FALSE))="Martin",(VLOOKUP(Table10[[#This Row],[SKU]],'All Skus'!$A:$AC,18,FALSE)),""))</f>
        <v>0</v>
      </c>
      <c r="O374" s="227">
        <f>(IF((VLOOKUP(Table10[[#This Row],[SKU]],'All Skus'!$A:$AC,2,FALSE))="Martin",(VLOOKUP(Table10[[#This Row],[SKU]],'All Skus'!$A:$AC,19,FALSE)),""))</f>
        <v>0</v>
      </c>
      <c r="P374" s="227">
        <f>(IF((VLOOKUP(Table10[[#This Row],[SKU]],'All Skus'!$A:$AC,2,FALSE))="Martin",(VLOOKUP(Table10[[#This Row],[SKU]],'All Skus'!$A:$AC,20,FALSE)),""))</f>
        <v>0</v>
      </c>
      <c r="Q374" s="227">
        <f>(IF((VLOOKUP(Table10[[#This Row],[SKU]],'All Skus'!$A:$AC,2,FALSE))="Martin",(VLOOKUP(Table10[[#This Row],[SKU]],'All Skus'!$A:$AC,21,FALSE)),""))</f>
        <v>0</v>
      </c>
      <c r="R374" s="224" t="str">
        <f>(IF((VLOOKUP(Table10[[#This Row],[SKU]],'All Skus'!$A:$AC,2,FALSE))="Martin",(VLOOKUP(Table10[[#This Row],[SKU]],'All Skus'!$A:$AC,22,FALSE)),""))</f>
        <v>CN</v>
      </c>
      <c r="S374" s="223" t="str">
        <f>(IF((VLOOKUP(Table10[[#This Row],[SKU]],'All Skus'!$A:$AC,2,FALSE))="Martin",(VLOOKUP(Table10[[#This Row],[SKU]],'All Skus'!$A:$AC,23,FALSE)),""))</f>
        <v>Non Compliant</v>
      </c>
      <c r="T374" s="212" t="str">
        <f>HYPERLINK((IF((VLOOKUP(Table10[[#This Row],[SKU]],'All Skus'!$A:$AC,2,FALSE))="Martin",(VLOOKUP(Table10[[#This Row],[SKU]],'All Skus'!$A:$AC,24,FALSE)),"")))</f>
        <v>http://www.martin.com/en-us/product-details/exterior-projection-500-mg</v>
      </c>
      <c r="U374" s="228">
        <v>372</v>
      </c>
    </row>
    <row r="375" spans="1:21" hidden="1">
      <c r="A375" s="112">
        <v>90506510</v>
      </c>
      <c r="B375" s="224" t="str">
        <f>(IF((VLOOKUP(Table10[[#This Row],[SKU]],'All Skus'!$A:$AC,2,FALSE))="Martin",(VLOOKUP(Table10[[#This Row],[SKU]],'All Skus'!$A:$AC,3,FALSE)),""))</f>
        <v>Image Projection</v>
      </c>
      <c r="C375" s="223" t="str">
        <f>(IF((VLOOKUP(Table10[[#This Row],[SKU]],'All Skus'!$A:$AC,2,FALSE))="Martin",(VLOOKUP(Table10[[#This Row],[SKU]],'All Skus'!$A:$AC,4,FALSE)),""))</f>
        <v>Exterior Projection 500, Wide, EU, Aluminum</v>
      </c>
      <c r="D375" s="224" t="str">
        <f>(IF((VLOOKUP(Table10[[#This Row],[SKU]],'All Skus'!$A:$AC,2,FALSE))="Martin",(VLOOKUP(Table10[[#This Row],[SKU]],'All Skus'!$A:$AC,5,FALSE)),""))</f>
        <v>EXT-PROJ</v>
      </c>
      <c r="E375" s="223">
        <f>(IF((VLOOKUP(Table10[[#This Row],[SKU]],'All Skus'!$A:$AC,2,FALSE))="Martin",(VLOOKUP(Table10[[#This Row],[SKU]],'All Skus'!$A:$AC,6,FALSE)),""))</f>
        <v>0</v>
      </c>
      <c r="F375" s="155" t="str">
        <f>(IF((VLOOKUP(Table10[[#This Row],[SKU]],'All Skus'!$A:$AC,2,FALSE))="Martin",(VLOOKUP(Table10[[#This Row],[SKU]],'All Skus'!$A:$AC,7,FALSE)),""))</f>
        <v xml:space="preserve">EOL pre-notice - not recommend to specify for 2025 projects </v>
      </c>
      <c r="G375" s="223" t="str">
        <f>(IF((VLOOKUP(Table10[[#This Row],[SKU]],'All Skus'!$A:$AC,2,FALSE))="Martin",(VLOOKUP(Table10[[#This Row],[SKU]],'All Skus'!$A:$AC,8,FALSE)),""))</f>
        <v>Exterior Projection 500, Wide, EU, Aluminum</v>
      </c>
      <c r="H375" s="223" t="str">
        <f>(IF((VLOOKUP(Table10[[#This Row],[SKU]],'All Skus'!$A:$AC,2,FALSE))="Martin",(VLOOKUP(Table10[[#This Row],[SKU]],'All Skus'!$A:$AC,9,FALSE)),""))</f>
        <v>Exterior Projection 500, Wide, EU, Aluminum</v>
      </c>
      <c r="I375" s="225">
        <f>(IF((VLOOKUP(Table10[[#This Row],[SKU]],'All Skus'!$A:$AC,2,FALSE))="Martin",(VLOOKUP(Table10[[#This Row],[SKU]],'All Skus'!$A:$AC,10,FALSE)),""))</f>
        <v>6050.34</v>
      </c>
      <c r="J375" s="226">
        <f>(IF((VLOOKUP(Table10[[#This Row],[SKU]],'All Skus'!$A:$AC,2,FALSE))="Martin",(VLOOKUP(Table10[[#This Row],[SKU]],'All Skus'!$A:$AC,11,FALSE)),""))</f>
        <v>6050.34</v>
      </c>
      <c r="K375" s="224">
        <f>(IF((VLOOKUP(Table10[[#This Row],[SKU]],'All Skus'!$A:$AC,2,FALSE))="Martin",(VLOOKUP(Table10[[#This Row],[SKU]],'All Skus'!$A:$AC,15,FALSE)),""))</f>
        <v>0</v>
      </c>
      <c r="L375" s="224">
        <f>(IF((VLOOKUP(Table10[[#This Row],[SKU]],'All Skus'!$A:$AC,2,FALSE))="Martin",(VLOOKUP(Table10[[#This Row],[SKU]],'All Skus'!$A:$AC,16,FALSE)),""))</f>
        <v>5706681235254</v>
      </c>
      <c r="M375" s="224">
        <f>(IF((VLOOKUP(Table10[[#This Row],[SKU]],'All Skus'!$A:$AC,2,FALSE))="Martin",(VLOOKUP(Table10[[#This Row],[SKU]],'All Skus'!$A:$AC,17,FALSE)),""))</f>
        <v>0</v>
      </c>
      <c r="N375" s="227">
        <f>(IF((VLOOKUP(Table10[[#This Row],[SKU]],'All Skus'!$A:$AC,2,FALSE))="Martin",(VLOOKUP(Table10[[#This Row],[SKU]],'All Skus'!$A:$AC,18,FALSE)),""))</f>
        <v>0</v>
      </c>
      <c r="O375" s="227">
        <f>(IF((VLOOKUP(Table10[[#This Row],[SKU]],'All Skus'!$A:$AC,2,FALSE))="Martin",(VLOOKUP(Table10[[#This Row],[SKU]],'All Skus'!$A:$AC,19,FALSE)),""))</f>
        <v>0</v>
      </c>
      <c r="P375" s="227">
        <f>(IF((VLOOKUP(Table10[[#This Row],[SKU]],'All Skus'!$A:$AC,2,FALSE))="Martin",(VLOOKUP(Table10[[#This Row],[SKU]],'All Skus'!$A:$AC,20,FALSE)),""))</f>
        <v>0</v>
      </c>
      <c r="Q375" s="227">
        <f>(IF((VLOOKUP(Table10[[#This Row],[SKU]],'All Skus'!$A:$AC,2,FALSE))="Martin",(VLOOKUP(Table10[[#This Row],[SKU]],'All Skus'!$A:$AC,21,FALSE)),""))</f>
        <v>0</v>
      </c>
      <c r="R375" s="224" t="str">
        <f>(IF((VLOOKUP(Table10[[#This Row],[SKU]],'All Skus'!$A:$AC,2,FALSE))="Martin",(VLOOKUP(Table10[[#This Row],[SKU]],'All Skus'!$A:$AC,22,FALSE)),""))</f>
        <v>CN</v>
      </c>
      <c r="S375" s="223" t="str">
        <f>(IF((VLOOKUP(Table10[[#This Row],[SKU]],'All Skus'!$A:$AC,2,FALSE))="Martin",(VLOOKUP(Table10[[#This Row],[SKU]],'All Skus'!$A:$AC,23,FALSE)),""))</f>
        <v>Non Compliant</v>
      </c>
      <c r="T375" s="212" t="str">
        <f>HYPERLINK((IF((VLOOKUP(Table10[[#This Row],[SKU]],'All Skus'!$A:$AC,2,FALSE))="Martin",(VLOOKUP(Table10[[#This Row],[SKU]],'All Skus'!$A:$AC,24,FALSE)),"")))</f>
        <v>http://www.martin.com/en-us/product-details/exterior-projection-500-mg</v>
      </c>
      <c r="U375" s="228">
        <v>373</v>
      </c>
    </row>
    <row r="376" spans="1:21" hidden="1">
      <c r="A376" s="112">
        <v>90506535</v>
      </c>
      <c r="B376" s="224" t="str">
        <f>(IF((VLOOKUP(Table10[[#This Row],[SKU]],'All Skus'!$A:$AC,2,FALSE))="Martin",(VLOOKUP(Table10[[#This Row],[SKU]],'All Skus'!$A:$AC,3,FALSE)),""))</f>
        <v>Image Projection</v>
      </c>
      <c r="C376" s="223" t="str">
        <f>(IF((VLOOKUP(Table10[[#This Row],[SKU]],'All Skus'!$A:$AC,2,FALSE))="Martin",(VLOOKUP(Table10[[#This Row],[SKU]],'All Skus'!$A:$AC,4,FALSE)),""))</f>
        <v>EXTERIOR PROJECTION 500 MG, Very Wide EU</v>
      </c>
      <c r="D376" s="224" t="str">
        <f>(IF((VLOOKUP(Table10[[#This Row],[SKU]],'All Skus'!$A:$AC,2,FALSE))="Martin",(VLOOKUP(Table10[[#This Row],[SKU]],'All Skus'!$A:$AC,5,FALSE)),""))</f>
        <v>EXT-PROJ</v>
      </c>
      <c r="E376" s="223">
        <f>(IF((VLOOKUP(Table10[[#This Row],[SKU]],'All Skus'!$A:$AC,2,FALSE))="Martin",(VLOOKUP(Table10[[#This Row],[SKU]],'All Skus'!$A:$AC,6,FALSE)),""))</f>
        <v>0</v>
      </c>
      <c r="F376" s="155" t="str">
        <f>(IF((VLOOKUP(Table10[[#This Row],[SKU]],'All Skus'!$A:$AC,2,FALSE))="Martin",(VLOOKUP(Table10[[#This Row],[SKU]],'All Skus'!$A:$AC,7,FALSE)),""))</f>
        <v xml:space="preserve">EOL pre-notice - not recommend to specify for 2025 projects </v>
      </c>
      <c r="G376" s="223" t="str">
        <f>(IF((VLOOKUP(Table10[[#This Row],[SKU]],'All Skus'!$A:$AC,2,FALSE))="Martin",(VLOOKUP(Table10[[#This Row],[SKU]],'All Skus'!$A:$AC,8,FALSE)),""))</f>
        <v>EXTERIOR PROJECTION 500 MG, Very Wide EU</v>
      </c>
      <c r="H376" s="223" t="str">
        <f>(IF((VLOOKUP(Table10[[#This Row],[SKU]],'All Skus'!$A:$AC,2,FALSE))="Martin",(VLOOKUP(Table10[[#This Row],[SKU]],'All Skus'!$A:$AC,9,FALSE)),""))</f>
        <v>EXTERIOR PROJECTION 500 MG, Very Wide EU</v>
      </c>
      <c r="I376" s="225">
        <f>(IF((VLOOKUP(Table10[[#This Row],[SKU]],'All Skus'!$A:$AC,2,FALSE))="Martin",(VLOOKUP(Table10[[#This Row],[SKU]],'All Skus'!$A:$AC,10,FALSE)),""))</f>
        <v>6050.34</v>
      </c>
      <c r="J376" s="226">
        <f>(IF((VLOOKUP(Table10[[#This Row],[SKU]],'All Skus'!$A:$AC,2,FALSE))="Martin",(VLOOKUP(Table10[[#This Row],[SKU]],'All Skus'!$A:$AC,11,FALSE)),""))</f>
        <v>6050.34</v>
      </c>
      <c r="K376" s="224">
        <f>(IF((VLOOKUP(Table10[[#This Row],[SKU]],'All Skus'!$A:$AC,2,FALSE))="Martin",(VLOOKUP(Table10[[#This Row],[SKU]],'All Skus'!$A:$AC,15,FALSE)),""))</f>
        <v>0</v>
      </c>
      <c r="L376" s="224">
        <f>(IF((VLOOKUP(Table10[[#This Row],[SKU]],'All Skus'!$A:$AC,2,FALSE))="Martin",(VLOOKUP(Table10[[#This Row],[SKU]],'All Skus'!$A:$AC,16,FALSE)),""))</f>
        <v>5706681235971</v>
      </c>
      <c r="M376" s="224">
        <f>(IF((VLOOKUP(Table10[[#This Row],[SKU]],'All Skus'!$A:$AC,2,FALSE))="Martin",(VLOOKUP(Table10[[#This Row],[SKU]],'All Skus'!$A:$AC,17,FALSE)),""))</f>
        <v>0</v>
      </c>
      <c r="N376" s="227">
        <f>(IF((VLOOKUP(Table10[[#This Row],[SKU]],'All Skus'!$A:$AC,2,FALSE))="Martin",(VLOOKUP(Table10[[#This Row],[SKU]],'All Skus'!$A:$AC,18,FALSE)),""))</f>
        <v>0</v>
      </c>
      <c r="O376" s="227">
        <f>(IF((VLOOKUP(Table10[[#This Row],[SKU]],'All Skus'!$A:$AC,2,FALSE))="Martin",(VLOOKUP(Table10[[#This Row],[SKU]],'All Skus'!$A:$AC,19,FALSE)),""))</f>
        <v>0</v>
      </c>
      <c r="P376" s="227">
        <f>(IF((VLOOKUP(Table10[[#This Row],[SKU]],'All Skus'!$A:$AC,2,FALSE))="Martin",(VLOOKUP(Table10[[#This Row],[SKU]],'All Skus'!$A:$AC,20,FALSE)),""))</f>
        <v>0</v>
      </c>
      <c r="Q376" s="227">
        <f>(IF((VLOOKUP(Table10[[#This Row],[SKU]],'All Skus'!$A:$AC,2,FALSE))="Martin",(VLOOKUP(Table10[[#This Row],[SKU]],'All Skus'!$A:$AC,21,FALSE)),""))</f>
        <v>0</v>
      </c>
      <c r="R376" s="224">
        <f>(IF((VLOOKUP(Table10[[#This Row],[SKU]],'All Skus'!$A:$AC,2,FALSE))="Martin",(VLOOKUP(Table10[[#This Row],[SKU]],'All Skus'!$A:$AC,22,FALSE)),""))</f>
        <v>0</v>
      </c>
      <c r="S376" s="223" t="str">
        <f>(IF((VLOOKUP(Table10[[#This Row],[SKU]],'All Skus'!$A:$AC,2,FALSE))="Martin",(VLOOKUP(Table10[[#This Row],[SKU]],'All Skus'!$A:$AC,23,FALSE)),""))</f>
        <v>Non Compliant</v>
      </c>
      <c r="T376" s="212" t="str">
        <f>HYPERLINK((IF((VLOOKUP(Table10[[#This Row],[SKU]],'All Skus'!$A:$AC,2,FALSE))="Martin",(VLOOKUP(Table10[[#This Row],[SKU]],'All Skus'!$A:$AC,24,FALSE)),"")))</f>
        <v>http://www.martin.com/en-us/product-details/exterior-projection-500-mg</v>
      </c>
      <c r="U376" s="228">
        <v>374</v>
      </c>
    </row>
    <row r="377" spans="1:21" hidden="1">
      <c r="A377" s="112">
        <v>90506540</v>
      </c>
      <c r="B377" s="224" t="str">
        <f>(IF((VLOOKUP(Table10[[#This Row],[SKU]],'All Skus'!$A:$AC,2,FALSE))="Martin",(VLOOKUP(Table10[[#This Row],[SKU]],'All Skus'!$A:$AC,3,FALSE)),""))</f>
        <v>Image Projection</v>
      </c>
      <c r="C377" s="223" t="str">
        <f>(IF((VLOOKUP(Table10[[#This Row],[SKU]],'All Skus'!$A:$AC,2,FALSE))="Martin",(VLOOKUP(Table10[[#This Row],[SKU]],'All Skus'!$A:$AC,4,FALSE)),""))</f>
        <v>Exterior Projection 500, Narrow, EU, White</v>
      </c>
      <c r="D377" s="224" t="str">
        <f>(IF((VLOOKUP(Table10[[#This Row],[SKU]],'All Skus'!$A:$AC,2,FALSE))="Martin",(VLOOKUP(Table10[[#This Row],[SKU]],'All Skus'!$A:$AC,5,FALSE)),""))</f>
        <v>EXT-PROJ</v>
      </c>
      <c r="E377" s="223">
        <f>(IF((VLOOKUP(Table10[[#This Row],[SKU]],'All Skus'!$A:$AC,2,FALSE))="Martin",(VLOOKUP(Table10[[#This Row],[SKU]],'All Skus'!$A:$AC,6,FALSE)),""))</f>
        <v>0</v>
      </c>
      <c r="F377" s="155" t="str">
        <f>(IF((VLOOKUP(Table10[[#This Row],[SKU]],'All Skus'!$A:$AC,2,FALSE))="Martin",(VLOOKUP(Table10[[#This Row],[SKU]],'All Skus'!$A:$AC,7,FALSE)),""))</f>
        <v xml:space="preserve">EOL pre-notice - not recommend to specify for 2025 projects </v>
      </c>
      <c r="G377" s="223" t="str">
        <f>(IF((VLOOKUP(Table10[[#This Row],[SKU]],'All Skus'!$A:$AC,2,FALSE))="Martin",(VLOOKUP(Table10[[#This Row],[SKU]],'All Skus'!$A:$AC,8,FALSE)),""))</f>
        <v>Exterior Projection 500, Narrow, EU, White</v>
      </c>
      <c r="H377" s="223" t="str">
        <f>(IF((VLOOKUP(Table10[[#This Row],[SKU]],'All Skus'!$A:$AC,2,FALSE))="Martin",(VLOOKUP(Table10[[#This Row],[SKU]],'All Skus'!$A:$AC,9,FALSE)),""))</f>
        <v>Exterior Projection 500, Narrow, EU, White</v>
      </c>
      <c r="I377" s="225">
        <f>(IF((VLOOKUP(Table10[[#This Row],[SKU]],'All Skus'!$A:$AC,2,FALSE))="Martin",(VLOOKUP(Table10[[#This Row],[SKU]],'All Skus'!$A:$AC,10,FALSE)),""))</f>
        <v>6605.99</v>
      </c>
      <c r="J377" s="226">
        <f>(IF((VLOOKUP(Table10[[#This Row],[SKU]],'All Skus'!$A:$AC,2,FALSE))="Martin",(VLOOKUP(Table10[[#This Row],[SKU]],'All Skus'!$A:$AC,11,FALSE)),""))</f>
        <v>6605.99</v>
      </c>
      <c r="K377" s="224">
        <f>(IF((VLOOKUP(Table10[[#This Row],[SKU]],'All Skus'!$A:$AC,2,FALSE))="Martin",(VLOOKUP(Table10[[#This Row],[SKU]],'All Skus'!$A:$AC,15,FALSE)),""))</f>
        <v>0</v>
      </c>
      <c r="L377" s="224">
        <f>(IF((VLOOKUP(Table10[[#This Row],[SKU]],'All Skus'!$A:$AC,2,FALSE))="Martin",(VLOOKUP(Table10[[#This Row],[SKU]],'All Skus'!$A:$AC,16,FALSE)),""))</f>
        <v>5706681237074</v>
      </c>
      <c r="M377" s="224">
        <f>(IF((VLOOKUP(Table10[[#This Row],[SKU]],'All Skus'!$A:$AC,2,FALSE))="Martin",(VLOOKUP(Table10[[#This Row],[SKU]],'All Skus'!$A:$AC,17,FALSE)),""))</f>
        <v>0</v>
      </c>
      <c r="N377" s="227">
        <f>(IF((VLOOKUP(Table10[[#This Row],[SKU]],'All Skus'!$A:$AC,2,FALSE))="Martin",(VLOOKUP(Table10[[#This Row],[SKU]],'All Skus'!$A:$AC,18,FALSE)),""))</f>
        <v>0</v>
      </c>
      <c r="O377" s="227">
        <f>(IF((VLOOKUP(Table10[[#This Row],[SKU]],'All Skus'!$A:$AC,2,FALSE))="Martin",(VLOOKUP(Table10[[#This Row],[SKU]],'All Skus'!$A:$AC,19,FALSE)),""))</f>
        <v>0</v>
      </c>
      <c r="P377" s="227">
        <f>(IF((VLOOKUP(Table10[[#This Row],[SKU]],'All Skus'!$A:$AC,2,FALSE))="Martin",(VLOOKUP(Table10[[#This Row],[SKU]],'All Skus'!$A:$AC,20,FALSE)),""))</f>
        <v>0</v>
      </c>
      <c r="Q377" s="227">
        <f>(IF((VLOOKUP(Table10[[#This Row],[SKU]],'All Skus'!$A:$AC,2,FALSE))="Martin",(VLOOKUP(Table10[[#This Row],[SKU]],'All Skus'!$A:$AC,21,FALSE)),""))</f>
        <v>0</v>
      </c>
      <c r="R377" s="224" t="str">
        <f>(IF((VLOOKUP(Table10[[#This Row],[SKU]],'All Skus'!$A:$AC,2,FALSE))="Martin",(VLOOKUP(Table10[[#This Row],[SKU]],'All Skus'!$A:$AC,22,FALSE)),""))</f>
        <v>CN</v>
      </c>
      <c r="S377" s="223" t="str">
        <f>(IF((VLOOKUP(Table10[[#This Row],[SKU]],'All Skus'!$A:$AC,2,FALSE))="Martin",(VLOOKUP(Table10[[#This Row],[SKU]],'All Skus'!$A:$AC,23,FALSE)),""))</f>
        <v>Non Compliant</v>
      </c>
      <c r="T377" s="212" t="str">
        <f>HYPERLINK((IF((VLOOKUP(Table10[[#This Row],[SKU]],'All Skus'!$A:$AC,2,FALSE))="Martin",(VLOOKUP(Table10[[#This Row],[SKU]],'All Skus'!$A:$AC,24,FALSE)),"")))</f>
        <v>http://www.martin.com/en-us/product-details/exterior-projection-500-mg</v>
      </c>
      <c r="U377" s="228">
        <v>375</v>
      </c>
    </row>
    <row r="378" spans="1:21" hidden="1">
      <c r="A378" s="112">
        <v>90506545</v>
      </c>
      <c r="B378" s="224" t="str">
        <f>(IF((VLOOKUP(Table10[[#This Row],[SKU]],'All Skus'!$A:$AC,2,FALSE))="Martin",(VLOOKUP(Table10[[#This Row],[SKU]],'All Skus'!$A:$AC,3,FALSE)),""))</f>
        <v>Image Projection</v>
      </c>
      <c r="C378" s="223" t="str">
        <f>(IF((VLOOKUP(Table10[[#This Row],[SKU]],'All Skus'!$A:$AC,2,FALSE))="Martin",(VLOOKUP(Table10[[#This Row],[SKU]],'All Skus'!$A:$AC,4,FALSE)),""))</f>
        <v>Exterior Projection 500, Medium, EU, White</v>
      </c>
      <c r="D378" s="224" t="str">
        <f>(IF((VLOOKUP(Table10[[#This Row],[SKU]],'All Skus'!$A:$AC,2,FALSE))="Martin",(VLOOKUP(Table10[[#This Row],[SKU]],'All Skus'!$A:$AC,5,FALSE)),""))</f>
        <v>EXT-PROJ</v>
      </c>
      <c r="E378" s="223">
        <f>(IF((VLOOKUP(Table10[[#This Row],[SKU]],'All Skus'!$A:$AC,2,FALSE))="Martin",(VLOOKUP(Table10[[#This Row],[SKU]],'All Skus'!$A:$AC,6,FALSE)),""))</f>
        <v>0</v>
      </c>
      <c r="F378" s="155" t="str">
        <f>(IF((VLOOKUP(Table10[[#This Row],[SKU]],'All Skus'!$A:$AC,2,FALSE))="Martin",(VLOOKUP(Table10[[#This Row],[SKU]],'All Skus'!$A:$AC,7,FALSE)),""))</f>
        <v xml:space="preserve">EOL pre-notice - not recommend to specify for 2025 projects </v>
      </c>
      <c r="G378" s="223" t="str">
        <f>(IF((VLOOKUP(Table10[[#This Row],[SKU]],'All Skus'!$A:$AC,2,FALSE))="Martin",(VLOOKUP(Table10[[#This Row],[SKU]],'All Skus'!$A:$AC,8,FALSE)),""))</f>
        <v>Exterior Projection 500, Medium, EU, White</v>
      </c>
      <c r="H378" s="223" t="str">
        <f>(IF((VLOOKUP(Table10[[#This Row],[SKU]],'All Skus'!$A:$AC,2,FALSE))="Martin",(VLOOKUP(Table10[[#This Row],[SKU]],'All Skus'!$A:$AC,9,FALSE)),""))</f>
        <v>Exterior Projection 500, Medium, EU, White</v>
      </c>
      <c r="I378" s="225">
        <f>(IF((VLOOKUP(Table10[[#This Row],[SKU]],'All Skus'!$A:$AC,2,FALSE))="Martin",(VLOOKUP(Table10[[#This Row],[SKU]],'All Skus'!$A:$AC,10,FALSE)),""))</f>
        <v>6605.99</v>
      </c>
      <c r="J378" s="226">
        <f>(IF((VLOOKUP(Table10[[#This Row],[SKU]],'All Skus'!$A:$AC,2,FALSE))="Martin",(VLOOKUP(Table10[[#This Row],[SKU]],'All Skus'!$A:$AC,11,FALSE)),""))</f>
        <v>6605.99</v>
      </c>
      <c r="K378" s="224">
        <f>(IF((VLOOKUP(Table10[[#This Row],[SKU]],'All Skus'!$A:$AC,2,FALSE))="Martin",(VLOOKUP(Table10[[#This Row],[SKU]],'All Skus'!$A:$AC,15,FALSE)),""))</f>
        <v>0</v>
      </c>
      <c r="L378" s="224">
        <f>(IF((VLOOKUP(Table10[[#This Row],[SKU]],'All Skus'!$A:$AC,2,FALSE))="Martin",(VLOOKUP(Table10[[#This Row],[SKU]],'All Skus'!$A:$AC,16,FALSE)),""))</f>
        <v>5706681237081</v>
      </c>
      <c r="M378" s="224">
        <f>(IF((VLOOKUP(Table10[[#This Row],[SKU]],'All Skus'!$A:$AC,2,FALSE))="Martin",(VLOOKUP(Table10[[#This Row],[SKU]],'All Skus'!$A:$AC,17,FALSE)),""))</f>
        <v>0</v>
      </c>
      <c r="N378" s="227">
        <f>(IF((VLOOKUP(Table10[[#This Row],[SKU]],'All Skus'!$A:$AC,2,FALSE))="Martin",(VLOOKUP(Table10[[#This Row],[SKU]],'All Skus'!$A:$AC,18,FALSE)),""))</f>
        <v>0</v>
      </c>
      <c r="O378" s="227">
        <f>(IF((VLOOKUP(Table10[[#This Row],[SKU]],'All Skus'!$A:$AC,2,FALSE))="Martin",(VLOOKUP(Table10[[#This Row],[SKU]],'All Skus'!$A:$AC,19,FALSE)),""))</f>
        <v>0</v>
      </c>
      <c r="P378" s="227">
        <f>(IF((VLOOKUP(Table10[[#This Row],[SKU]],'All Skus'!$A:$AC,2,FALSE))="Martin",(VLOOKUP(Table10[[#This Row],[SKU]],'All Skus'!$A:$AC,20,FALSE)),""))</f>
        <v>0</v>
      </c>
      <c r="Q378" s="227">
        <f>(IF((VLOOKUP(Table10[[#This Row],[SKU]],'All Skus'!$A:$AC,2,FALSE))="Martin",(VLOOKUP(Table10[[#This Row],[SKU]],'All Skus'!$A:$AC,21,FALSE)),""))</f>
        <v>0</v>
      </c>
      <c r="R378" s="224" t="str">
        <f>(IF((VLOOKUP(Table10[[#This Row],[SKU]],'All Skus'!$A:$AC,2,FALSE))="Martin",(VLOOKUP(Table10[[#This Row],[SKU]],'All Skus'!$A:$AC,22,FALSE)),""))</f>
        <v>CN</v>
      </c>
      <c r="S378" s="223" t="str">
        <f>(IF((VLOOKUP(Table10[[#This Row],[SKU]],'All Skus'!$A:$AC,2,FALSE))="Martin",(VLOOKUP(Table10[[#This Row],[SKU]],'All Skus'!$A:$AC,23,FALSE)),""))</f>
        <v>Non Compliant</v>
      </c>
      <c r="T378" s="212" t="str">
        <f>HYPERLINK((IF((VLOOKUP(Table10[[#This Row],[SKU]],'All Skus'!$A:$AC,2,FALSE))="Martin",(VLOOKUP(Table10[[#This Row],[SKU]],'All Skus'!$A:$AC,24,FALSE)),"")))</f>
        <v>http://www.martin.com/en-us/product-details/exterior-projection-500-mg</v>
      </c>
      <c r="U378" s="228">
        <v>376</v>
      </c>
    </row>
    <row r="379" spans="1:21" hidden="1">
      <c r="A379" s="112">
        <v>90506550</v>
      </c>
      <c r="B379" s="224" t="str">
        <f>(IF((VLOOKUP(Table10[[#This Row],[SKU]],'All Skus'!$A:$AC,2,FALSE))="Martin",(VLOOKUP(Table10[[#This Row],[SKU]],'All Skus'!$A:$AC,3,FALSE)),""))</f>
        <v>Image Projection</v>
      </c>
      <c r="C379" s="223" t="str">
        <f>(IF((VLOOKUP(Table10[[#This Row],[SKU]],'All Skus'!$A:$AC,2,FALSE))="Martin",(VLOOKUP(Table10[[#This Row],[SKU]],'All Skus'!$A:$AC,4,FALSE)),""))</f>
        <v>Exterior Projection 500, Wide, EU, White</v>
      </c>
      <c r="D379" s="224" t="str">
        <f>(IF((VLOOKUP(Table10[[#This Row],[SKU]],'All Skus'!$A:$AC,2,FALSE))="Martin",(VLOOKUP(Table10[[#This Row],[SKU]],'All Skus'!$A:$AC,5,FALSE)),""))</f>
        <v>EXT-PROJ</v>
      </c>
      <c r="E379" s="223">
        <f>(IF((VLOOKUP(Table10[[#This Row],[SKU]],'All Skus'!$A:$AC,2,FALSE))="Martin",(VLOOKUP(Table10[[#This Row],[SKU]],'All Skus'!$A:$AC,6,FALSE)),""))</f>
        <v>0</v>
      </c>
      <c r="F379" s="155" t="str">
        <f>(IF((VLOOKUP(Table10[[#This Row],[SKU]],'All Skus'!$A:$AC,2,FALSE))="Martin",(VLOOKUP(Table10[[#This Row],[SKU]],'All Skus'!$A:$AC,7,FALSE)),""))</f>
        <v xml:space="preserve">EOL pre-notice - not recommend to specify for 2025 projects </v>
      </c>
      <c r="G379" s="223" t="str">
        <f>(IF((VLOOKUP(Table10[[#This Row],[SKU]],'All Skus'!$A:$AC,2,FALSE))="Martin",(VLOOKUP(Table10[[#This Row],[SKU]],'All Skus'!$A:$AC,8,FALSE)),""))</f>
        <v>Exterior Projection 500, Wide, EU, White</v>
      </c>
      <c r="H379" s="223" t="str">
        <f>(IF((VLOOKUP(Table10[[#This Row],[SKU]],'All Skus'!$A:$AC,2,FALSE))="Martin",(VLOOKUP(Table10[[#This Row],[SKU]],'All Skus'!$A:$AC,9,FALSE)),""))</f>
        <v>Exterior Projection 500, Wide, EU, White</v>
      </c>
      <c r="I379" s="225">
        <f>(IF((VLOOKUP(Table10[[#This Row],[SKU]],'All Skus'!$A:$AC,2,FALSE))="Martin",(VLOOKUP(Table10[[#This Row],[SKU]],'All Skus'!$A:$AC,10,FALSE)),""))</f>
        <v>6605.99</v>
      </c>
      <c r="J379" s="226">
        <f>(IF((VLOOKUP(Table10[[#This Row],[SKU]],'All Skus'!$A:$AC,2,FALSE))="Martin",(VLOOKUP(Table10[[#This Row],[SKU]],'All Skus'!$A:$AC,11,FALSE)),""))</f>
        <v>6605.99</v>
      </c>
      <c r="K379" s="224">
        <f>(IF((VLOOKUP(Table10[[#This Row],[SKU]],'All Skus'!$A:$AC,2,FALSE))="Martin",(VLOOKUP(Table10[[#This Row],[SKU]],'All Skus'!$A:$AC,15,FALSE)),""))</f>
        <v>0</v>
      </c>
      <c r="L379" s="224">
        <f>(IF((VLOOKUP(Table10[[#This Row],[SKU]],'All Skus'!$A:$AC,2,FALSE))="Martin",(VLOOKUP(Table10[[#This Row],[SKU]],'All Skus'!$A:$AC,16,FALSE)),""))</f>
        <v>5706681237098</v>
      </c>
      <c r="M379" s="224">
        <f>(IF((VLOOKUP(Table10[[#This Row],[SKU]],'All Skus'!$A:$AC,2,FALSE))="Martin",(VLOOKUP(Table10[[#This Row],[SKU]],'All Skus'!$A:$AC,17,FALSE)),""))</f>
        <v>0</v>
      </c>
      <c r="N379" s="227">
        <f>(IF((VLOOKUP(Table10[[#This Row],[SKU]],'All Skus'!$A:$AC,2,FALSE))="Martin",(VLOOKUP(Table10[[#This Row],[SKU]],'All Skus'!$A:$AC,18,FALSE)),""))</f>
        <v>0</v>
      </c>
      <c r="O379" s="227">
        <f>(IF((VLOOKUP(Table10[[#This Row],[SKU]],'All Skus'!$A:$AC,2,FALSE))="Martin",(VLOOKUP(Table10[[#This Row],[SKU]],'All Skus'!$A:$AC,19,FALSE)),""))</f>
        <v>0</v>
      </c>
      <c r="P379" s="227">
        <f>(IF((VLOOKUP(Table10[[#This Row],[SKU]],'All Skus'!$A:$AC,2,FALSE))="Martin",(VLOOKUP(Table10[[#This Row],[SKU]],'All Skus'!$A:$AC,20,FALSE)),""))</f>
        <v>0</v>
      </c>
      <c r="Q379" s="227">
        <f>(IF((VLOOKUP(Table10[[#This Row],[SKU]],'All Skus'!$A:$AC,2,FALSE))="Martin",(VLOOKUP(Table10[[#This Row],[SKU]],'All Skus'!$A:$AC,21,FALSE)),""))</f>
        <v>0</v>
      </c>
      <c r="R379" s="224" t="str">
        <f>(IF((VLOOKUP(Table10[[#This Row],[SKU]],'All Skus'!$A:$AC,2,FALSE))="Martin",(VLOOKUP(Table10[[#This Row],[SKU]],'All Skus'!$A:$AC,22,FALSE)),""))</f>
        <v>CN</v>
      </c>
      <c r="S379" s="223" t="str">
        <f>(IF((VLOOKUP(Table10[[#This Row],[SKU]],'All Skus'!$A:$AC,2,FALSE))="Martin",(VLOOKUP(Table10[[#This Row],[SKU]],'All Skus'!$A:$AC,23,FALSE)),""))</f>
        <v>Non Compliant</v>
      </c>
      <c r="T379" s="212" t="str">
        <f>HYPERLINK((IF((VLOOKUP(Table10[[#This Row],[SKU]],'All Skus'!$A:$AC,2,FALSE))="Martin",(VLOOKUP(Table10[[#This Row],[SKU]],'All Skus'!$A:$AC,24,FALSE)),"")))</f>
        <v>http://www.martin.com/en-us/product-details/exterior-projection-500-mg</v>
      </c>
      <c r="U379" s="228">
        <v>377</v>
      </c>
    </row>
    <row r="380" spans="1:21" hidden="1">
      <c r="A380" s="112">
        <v>90506555</v>
      </c>
      <c r="B380" s="224" t="str">
        <f>(IF((VLOOKUP(Table10[[#This Row],[SKU]],'All Skus'!$A:$AC,2,FALSE))="Martin",(VLOOKUP(Table10[[#This Row],[SKU]],'All Skus'!$A:$AC,3,FALSE)),""))</f>
        <v>Image Projection</v>
      </c>
      <c r="C380" s="223" t="str">
        <f>(IF((VLOOKUP(Table10[[#This Row],[SKU]],'All Skus'!$A:$AC,2,FALSE))="Martin",(VLOOKUP(Table10[[#This Row],[SKU]],'All Skus'!$A:$AC,4,FALSE)),""))</f>
        <v>Exterior Projection 500, Very Wide, EU, White</v>
      </c>
      <c r="D380" s="224" t="str">
        <f>(IF((VLOOKUP(Table10[[#This Row],[SKU]],'All Skus'!$A:$AC,2,FALSE))="Martin",(VLOOKUP(Table10[[#This Row],[SKU]],'All Skus'!$A:$AC,5,FALSE)),""))</f>
        <v>EXT-PROJ</v>
      </c>
      <c r="E380" s="223">
        <f>(IF((VLOOKUP(Table10[[#This Row],[SKU]],'All Skus'!$A:$AC,2,FALSE))="Martin",(VLOOKUP(Table10[[#This Row],[SKU]],'All Skus'!$A:$AC,6,FALSE)),""))</f>
        <v>0</v>
      </c>
      <c r="F380" s="155" t="str">
        <f>(IF((VLOOKUP(Table10[[#This Row],[SKU]],'All Skus'!$A:$AC,2,FALSE))="Martin",(VLOOKUP(Table10[[#This Row],[SKU]],'All Skus'!$A:$AC,7,FALSE)),""))</f>
        <v xml:space="preserve">EOL pre-notice - not recommend to specify for 2025 projects </v>
      </c>
      <c r="G380" s="223" t="str">
        <f>(IF((VLOOKUP(Table10[[#This Row],[SKU]],'All Skus'!$A:$AC,2,FALSE))="Martin",(VLOOKUP(Table10[[#This Row],[SKU]],'All Skus'!$A:$AC,8,FALSE)),""))</f>
        <v>Exterior Projection 500, Very Wide, EU, White</v>
      </c>
      <c r="H380" s="223" t="str">
        <f>(IF((VLOOKUP(Table10[[#This Row],[SKU]],'All Skus'!$A:$AC,2,FALSE))="Martin",(VLOOKUP(Table10[[#This Row],[SKU]],'All Skus'!$A:$AC,9,FALSE)),""))</f>
        <v>Exterior Projection 500, Very Wide, EU, White</v>
      </c>
      <c r="I380" s="225">
        <f>(IF((VLOOKUP(Table10[[#This Row],[SKU]],'All Skus'!$A:$AC,2,FALSE))="Martin",(VLOOKUP(Table10[[#This Row],[SKU]],'All Skus'!$A:$AC,10,FALSE)),""))</f>
        <v>6605.99</v>
      </c>
      <c r="J380" s="226">
        <f>(IF((VLOOKUP(Table10[[#This Row],[SKU]],'All Skus'!$A:$AC,2,FALSE))="Martin",(VLOOKUP(Table10[[#This Row],[SKU]],'All Skus'!$A:$AC,11,FALSE)),""))</f>
        <v>6605.99</v>
      </c>
      <c r="K380" s="224">
        <f>(IF((VLOOKUP(Table10[[#This Row],[SKU]],'All Skus'!$A:$AC,2,FALSE))="Martin",(VLOOKUP(Table10[[#This Row],[SKU]],'All Skus'!$A:$AC,15,FALSE)),""))</f>
        <v>0</v>
      </c>
      <c r="L380" s="224">
        <f>(IF((VLOOKUP(Table10[[#This Row],[SKU]],'All Skus'!$A:$AC,2,FALSE))="Martin",(VLOOKUP(Table10[[#This Row],[SKU]],'All Skus'!$A:$AC,16,FALSE)),""))</f>
        <v>5706681237104</v>
      </c>
      <c r="M380" s="224">
        <f>(IF((VLOOKUP(Table10[[#This Row],[SKU]],'All Skus'!$A:$AC,2,FALSE))="Martin",(VLOOKUP(Table10[[#This Row],[SKU]],'All Skus'!$A:$AC,17,FALSE)),""))</f>
        <v>0</v>
      </c>
      <c r="N380" s="227">
        <f>(IF((VLOOKUP(Table10[[#This Row],[SKU]],'All Skus'!$A:$AC,2,FALSE))="Martin",(VLOOKUP(Table10[[#This Row],[SKU]],'All Skus'!$A:$AC,18,FALSE)),""))</f>
        <v>0</v>
      </c>
      <c r="O380" s="227">
        <f>(IF((VLOOKUP(Table10[[#This Row],[SKU]],'All Skus'!$A:$AC,2,FALSE))="Martin",(VLOOKUP(Table10[[#This Row],[SKU]],'All Skus'!$A:$AC,19,FALSE)),""))</f>
        <v>0</v>
      </c>
      <c r="P380" s="227">
        <f>(IF((VLOOKUP(Table10[[#This Row],[SKU]],'All Skus'!$A:$AC,2,FALSE))="Martin",(VLOOKUP(Table10[[#This Row],[SKU]],'All Skus'!$A:$AC,20,FALSE)),""))</f>
        <v>0</v>
      </c>
      <c r="Q380" s="227">
        <f>(IF((VLOOKUP(Table10[[#This Row],[SKU]],'All Skus'!$A:$AC,2,FALSE))="Martin",(VLOOKUP(Table10[[#This Row],[SKU]],'All Skus'!$A:$AC,21,FALSE)),""))</f>
        <v>0</v>
      </c>
      <c r="R380" s="224" t="str">
        <f>(IF((VLOOKUP(Table10[[#This Row],[SKU]],'All Skus'!$A:$AC,2,FALSE))="Martin",(VLOOKUP(Table10[[#This Row],[SKU]],'All Skus'!$A:$AC,22,FALSE)),""))</f>
        <v>CN</v>
      </c>
      <c r="S380" s="223" t="str">
        <f>(IF((VLOOKUP(Table10[[#This Row],[SKU]],'All Skus'!$A:$AC,2,FALSE))="Martin",(VLOOKUP(Table10[[#This Row],[SKU]],'All Skus'!$A:$AC,23,FALSE)),""))</f>
        <v>Non Compliant</v>
      </c>
      <c r="T380" s="212" t="str">
        <f>HYPERLINK((IF((VLOOKUP(Table10[[#This Row],[SKU]],'All Skus'!$A:$AC,2,FALSE))="Martin",(VLOOKUP(Table10[[#This Row],[SKU]],'All Skus'!$A:$AC,24,FALSE)),"")))</f>
        <v>http://www.martin.com/en-us/product-details/exterior-projection-500-mg</v>
      </c>
      <c r="U380" s="228">
        <v>378</v>
      </c>
    </row>
    <row r="381" spans="1:21" hidden="1">
      <c r="A381" s="112">
        <v>90506515</v>
      </c>
      <c r="B381" s="224" t="str">
        <f>(IF((VLOOKUP(Table10[[#This Row],[SKU]],'All Skus'!$A:$AC,2,FALSE))="Martin",(VLOOKUP(Table10[[#This Row],[SKU]],'All Skus'!$A:$AC,3,FALSE)),""))</f>
        <v>Image Projection</v>
      </c>
      <c r="C381" s="223" t="str">
        <f>(IF((VLOOKUP(Table10[[#This Row],[SKU]],'All Skus'!$A:$AC,2,FALSE))="Martin",(VLOOKUP(Table10[[#This Row],[SKU]],'All Skus'!$A:$AC,4,FALSE)),""))</f>
        <v xml:space="preserve">EXTERIOR PROJECTION 500 MG, Narrow, US </v>
      </c>
      <c r="D381" s="224" t="str">
        <f>(IF((VLOOKUP(Table10[[#This Row],[SKU]],'All Skus'!$A:$AC,2,FALSE))="Martin",(VLOOKUP(Table10[[#This Row],[SKU]],'All Skus'!$A:$AC,5,FALSE)),""))</f>
        <v>EXT-PROJ</v>
      </c>
      <c r="E381" s="223">
        <f>(IF((VLOOKUP(Table10[[#This Row],[SKU]],'All Skus'!$A:$AC,2,FALSE))="Martin",(VLOOKUP(Table10[[#This Row],[SKU]],'All Skus'!$A:$AC,6,FALSE)),""))</f>
        <v>0</v>
      </c>
      <c r="F381" s="155" t="str">
        <f>(IF((VLOOKUP(Table10[[#This Row],[SKU]],'All Skus'!$A:$AC,2,FALSE))="Martin",(VLOOKUP(Table10[[#This Row],[SKU]],'All Skus'!$A:$AC,7,FALSE)),""))</f>
        <v xml:space="preserve">EOL pre-notice - not recommend to specify for 2025 projects </v>
      </c>
      <c r="G381" s="223" t="str">
        <f>(IF((VLOOKUP(Table10[[#This Row],[SKU]],'All Skus'!$A:$AC,2,FALSE))="Martin",(VLOOKUP(Table10[[#This Row],[SKU]],'All Skus'!$A:$AC,8,FALSE)),""))</f>
        <v xml:space="preserve">EXTERIOR PROJECTION 500 MG, Narrow, US </v>
      </c>
      <c r="H381" s="223" t="str">
        <f>(IF((VLOOKUP(Table10[[#This Row],[SKU]],'All Skus'!$A:$AC,2,FALSE))="Martin",(VLOOKUP(Table10[[#This Row],[SKU]],'All Skus'!$A:$AC,9,FALSE)),""))</f>
        <v xml:space="preserve">EXTERIOR PROJECTION 500 MG, Narrow, US </v>
      </c>
      <c r="I381" s="225">
        <f>(IF((VLOOKUP(Table10[[#This Row],[SKU]],'All Skus'!$A:$AC,2,FALSE))="Martin",(VLOOKUP(Table10[[#This Row],[SKU]],'All Skus'!$A:$AC,10,FALSE)),""))</f>
        <v>6050.34</v>
      </c>
      <c r="J381" s="226">
        <f>(IF((VLOOKUP(Table10[[#This Row],[SKU]],'All Skus'!$A:$AC,2,FALSE))="Martin",(VLOOKUP(Table10[[#This Row],[SKU]],'All Skus'!$A:$AC,11,FALSE)),""))</f>
        <v>6050.34</v>
      </c>
      <c r="K381" s="224">
        <f>(IF((VLOOKUP(Table10[[#This Row],[SKU]],'All Skus'!$A:$AC,2,FALSE))="Martin",(VLOOKUP(Table10[[#This Row],[SKU]],'All Skus'!$A:$AC,15,FALSE)),""))</f>
        <v>0</v>
      </c>
      <c r="L381" s="224">
        <f>(IF((VLOOKUP(Table10[[#This Row],[SKU]],'All Skus'!$A:$AC,2,FALSE))="Martin",(VLOOKUP(Table10[[#This Row],[SKU]],'All Skus'!$A:$AC,16,FALSE)),""))</f>
        <v>0</v>
      </c>
      <c r="M381" s="224">
        <f>(IF((VLOOKUP(Table10[[#This Row],[SKU]],'All Skus'!$A:$AC,2,FALSE))="Martin",(VLOOKUP(Table10[[#This Row],[SKU]],'All Skus'!$A:$AC,17,FALSE)),""))</f>
        <v>0</v>
      </c>
      <c r="N381" s="227">
        <f>(IF((VLOOKUP(Table10[[#This Row],[SKU]],'All Skus'!$A:$AC,2,FALSE))="Martin",(VLOOKUP(Table10[[#This Row],[SKU]],'All Skus'!$A:$AC,18,FALSE)),""))</f>
        <v>0</v>
      </c>
      <c r="O381" s="227">
        <f>(IF((VLOOKUP(Table10[[#This Row],[SKU]],'All Skus'!$A:$AC,2,FALSE))="Martin",(VLOOKUP(Table10[[#This Row],[SKU]],'All Skus'!$A:$AC,19,FALSE)),""))</f>
        <v>0</v>
      </c>
      <c r="P381" s="227">
        <f>(IF((VLOOKUP(Table10[[#This Row],[SKU]],'All Skus'!$A:$AC,2,FALSE))="Martin",(VLOOKUP(Table10[[#This Row],[SKU]],'All Skus'!$A:$AC,20,FALSE)),""))</f>
        <v>0</v>
      </c>
      <c r="Q381" s="227">
        <f>(IF((VLOOKUP(Table10[[#This Row],[SKU]],'All Skus'!$A:$AC,2,FALSE))="Martin",(VLOOKUP(Table10[[#This Row],[SKU]],'All Skus'!$A:$AC,21,FALSE)),""))</f>
        <v>0</v>
      </c>
      <c r="R381" s="224" t="str">
        <f>(IF((VLOOKUP(Table10[[#This Row],[SKU]],'All Skus'!$A:$AC,2,FALSE))="Martin",(VLOOKUP(Table10[[#This Row],[SKU]],'All Skus'!$A:$AC,22,FALSE)),""))</f>
        <v>CN</v>
      </c>
      <c r="S381" s="223" t="str">
        <f>(IF((VLOOKUP(Table10[[#This Row],[SKU]],'All Skus'!$A:$AC,2,FALSE))="Martin",(VLOOKUP(Table10[[#This Row],[SKU]],'All Skus'!$A:$AC,23,FALSE)),""))</f>
        <v>Non Compliant</v>
      </c>
      <c r="T381" s="212" t="str">
        <f>HYPERLINK((IF((VLOOKUP(Table10[[#This Row],[SKU]],'All Skus'!$A:$AC,2,FALSE))="Martin",(VLOOKUP(Table10[[#This Row],[SKU]],'All Skus'!$A:$AC,24,FALSE)),"")))</f>
        <v>http://www.martin.com/en-us/product-details/exterior-projection-500-mg</v>
      </c>
      <c r="U381" s="228">
        <v>379</v>
      </c>
    </row>
    <row r="382" spans="1:21" hidden="1">
      <c r="A382" s="112">
        <v>90506520</v>
      </c>
      <c r="B382" s="224" t="str">
        <f>(IF((VLOOKUP(Table10[[#This Row],[SKU]],'All Skus'!$A:$AC,2,FALSE))="Martin",(VLOOKUP(Table10[[#This Row],[SKU]],'All Skus'!$A:$AC,3,FALSE)),""))</f>
        <v>Image Projection</v>
      </c>
      <c r="C382" s="223" t="str">
        <f>(IF((VLOOKUP(Table10[[#This Row],[SKU]],'All Skus'!$A:$AC,2,FALSE))="Martin",(VLOOKUP(Table10[[#This Row],[SKU]],'All Skus'!$A:$AC,4,FALSE)),""))</f>
        <v xml:space="preserve">EXTERIOR PROJECTION 500 MG, Medium, US </v>
      </c>
      <c r="D382" s="224" t="str">
        <f>(IF((VLOOKUP(Table10[[#This Row],[SKU]],'All Skus'!$A:$AC,2,FALSE))="Martin",(VLOOKUP(Table10[[#This Row],[SKU]],'All Skus'!$A:$AC,5,FALSE)),""))</f>
        <v>EXT-PROJ</v>
      </c>
      <c r="E382" s="223">
        <f>(IF((VLOOKUP(Table10[[#This Row],[SKU]],'All Skus'!$A:$AC,2,FALSE))="Martin",(VLOOKUP(Table10[[#This Row],[SKU]],'All Skus'!$A:$AC,6,FALSE)),""))</f>
        <v>0</v>
      </c>
      <c r="F382" s="155" t="str">
        <f>(IF((VLOOKUP(Table10[[#This Row],[SKU]],'All Skus'!$A:$AC,2,FALSE))="Martin",(VLOOKUP(Table10[[#This Row],[SKU]],'All Skus'!$A:$AC,7,FALSE)),""))</f>
        <v xml:space="preserve">EOL pre-notice - not recommend to specify for 2025 projects </v>
      </c>
      <c r="G382" s="223" t="str">
        <f>(IF((VLOOKUP(Table10[[#This Row],[SKU]],'All Skus'!$A:$AC,2,FALSE))="Martin",(VLOOKUP(Table10[[#This Row],[SKU]],'All Skus'!$A:$AC,8,FALSE)),""))</f>
        <v xml:space="preserve">EXTERIOR PROJECTION 500 MG, Medium, US </v>
      </c>
      <c r="H382" s="223" t="str">
        <f>(IF((VLOOKUP(Table10[[#This Row],[SKU]],'All Skus'!$A:$AC,2,FALSE))="Martin",(VLOOKUP(Table10[[#This Row],[SKU]],'All Skus'!$A:$AC,9,FALSE)),""))</f>
        <v xml:space="preserve">EXTERIOR PROJECTION 500 MG, Medium, US </v>
      </c>
      <c r="I382" s="225">
        <f>(IF((VLOOKUP(Table10[[#This Row],[SKU]],'All Skus'!$A:$AC,2,FALSE))="Martin",(VLOOKUP(Table10[[#This Row],[SKU]],'All Skus'!$A:$AC,10,FALSE)),""))</f>
        <v>6050.34</v>
      </c>
      <c r="J382" s="226">
        <f>(IF((VLOOKUP(Table10[[#This Row],[SKU]],'All Skus'!$A:$AC,2,FALSE))="Martin",(VLOOKUP(Table10[[#This Row],[SKU]],'All Skus'!$A:$AC,11,FALSE)),""))</f>
        <v>6050.34</v>
      </c>
      <c r="K382" s="224">
        <f>(IF((VLOOKUP(Table10[[#This Row],[SKU]],'All Skus'!$A:$AC,2,FALSE))="Martin",(VLOOKUP(Table10[[#This Row],[SKU]],'All Skus'!$A:$AC,15,FALSE)),""))</f>
        <v>0</v>
      </c>
      <c r="L382" s="224">
        <f>(IF((VLOOKUP(Table10[[#This Row],[SKU]],'All Skus'!$A:$AC,2,FALSE))="Martin",(VLOOKUP(Table10[[#This Row],[SKU]],'All Skus'!$A:$AC,16,FALSE)),""))</f>
        <v>5706681235278</v>
      </c>
      <c r="M382" s="224">
        <f>(IF((VLOOKUP(Table10[[#This Row],[SKU]],'All Skus'!$A:$AC,2,FALSE))="Martin",(VLOOKUP(Table10[[#This Row],[SKU]],'All Skus'!$A:$AC,17,FALSE)),""))</f>
        <v>0</v>
      </c>
      <c r="N382" s="227">
        <f>(IF((VLOOKUP(Table10[[#This Row],[SKU]],'All Skus'!$A:$AC,2,FALSE))="Martin",(VLOOKUP(Table10[[#This Row],[SKU]],'All Skus'!$A:$AC,18,FALSE)),""))</f>
        <v>0</v>
      </c>
      <c r="O382" s="227">
        <f>(IF((VLOOKUP(Table10[[#This Row],[SKU]],'All Skus'!$A:$AC,2,FALSE))="Martin",(VLOOKUP(Table10[[#This Row],[SKU]],'All Skus'!$A:$AC,19,FALSE)),""))</f>
        <v>0</v>
      </c>
      <c r="P382" s="227">
        <f>(IF((VLOOKUP(Table10[[#This Row],[SKU]],'All Skus'!$A:$AC,2,FALSE))="Martin",(VLOOKUP(Table10[[#This Row],[SKU]],'All Skus'!$A:$AC,20,FALSE)),""))</f>
        <v>0</v>
      </c>
      <c r="Q382" s="227">
        <f>(IF((VLOOKUP(Table10[[#This Row],[SKU]],'All Skus'!$A:$AC,2,FALSE))="Martin",(VLOOKUP(Table10[[#This Row],[SKU]],'All Skus'!$A:$AC,21,FALSE)),""))</f>
        <v>0</v>
      </c>
      <c r="R382" s="224" t="str">
        <f>(IF((VLOOKUP(Table10[[#This Row],[SKU]],'All Skus'!$A:$AC,2,FALSE))="Martin",(VLOOKUP(Table10[[#This Row],[SKU]],'All Skus'!$A:$AC,22,FALSE)),""))</f>
        <v>CN</v>
      </c>
      <c r="S382" s="223" t="str">
        <f>(IF((VLOOKUP(Table10[[#This Row],[SKU]],'All Skus'!$A:$AC,2,FALSE))="Martin",(VLOOKUP(Table10[[#This Row],[SKU]],'All Skus'!$A:$AC,23,FALSE)),""))</f>
        <v>Non Compliant</v>
      </c>
      <c r="T382" s="212" t="str">
        <f>HYPERLINK((IF((VLOOKUP(Table10[[#This Row],[SKU]],'All Skus'!$A:$AC,2,FALSE))="Martin",(VLOOKUP(Table10[[#This Row],[SKU]],'All Skus'!$A:$AC,24,FALSE)),"")))</f>
        <v>http://www.martin.com/en-us/product-details/exterior-projection-500-mg</v>
      </c>
      <c r="U382" s="228">
        <v>380</v>
      </c>
    </row>
    <row r="383" spans="1:21" hidden="1">
      <c r="A383" s="112">
        <v>90506525</v>
      </c>
      <c r="B383" s="224" t="str">
        <f>(IF((VLOOKUP(Table10[[#This Row],[SKU]],'All Skus'!$A:$AC,2,FALSE))="Martin",(VLOOKUP(Table10[[#This Row],[SKU]],'All Skus'!$A:$AC,3,FALSE)),""))</f>
        <v>Image Projection</v>
      </c>
      <c r="C383" s="223" t="str">
        <f>(IF((VLOOKUP(Table10[[#This Row],[SKU]],'All Skus'!$A:$AC,2,FALSE))="Martin",(VLOOKUP(Table10[[#This Row],[SKU]],'All Skus'!$A:$AC,4,FALSE)),""))</f>
        <v xml:space="preserve">EXTERIOR PROJECTION 500 MG, Wide, US </v>
      </c>
      <c r="D383" s="224" t="str">
        <f>(IF((VLOOKUP(Table10[[#This Row],[SKU]],'All Skus'!$A:$AC,2,FALSE))="Martin",(VLOOKUP(Table10[[#This Row],[SKU]],'All Skus'!$A:$AC,5,FALSE)),""))</f>
        <v>EXT-PROJ</v>
      </c>
      <c r="E383" s="223">
        <f>(IF((VLOOKUP(Table10[[#This Row],[SKU]],'All Skus'!$A:$AC,2,FALSE))="Martin",(VLOOKUP(Table10[[#This Row],[SKU]],'All Skus'!$A:$AC,6,FALSE)),""))</f>
        <v>0</v>
      </c>
      <c r="F383" s="155" t="str">
        <f>(IF((VLOOKUP(Table10[[#This Row],[SKU]],'All Skus'!$A:$AC,2,FALSE))="Martin",(VLOOKUP(Table10[[#This Row],[SKU]],'All Skus'!$A:$AC,7,FALSE)),""))</f>
        <v xml:space="preserve">EOL pre-notice - not recommend to specify for 2025 projects </v>
      </c>
      <c r="G383" s="223" t="str">
        <f>(IF((VLOOKUP(Table10[[#This Row],[SKU]],'All Skus'!$A:$AC,2,FALSE))="Martin",(VLOOKUP(Table10[[#This Row],[SKU]],'All Skus'!$A:$AC,8,FALSE)),""))</f>
        <v xml:space="preserve">EXTERIOR PROJECTION 500 MG, Wide, US </v>
      </c>
      <c r="H383" s="223" t="str">
        <f>(IF((VLOOKUP(Table10[[#This Row],[SKU]],'All Skus'!$A:$AC,2,FALSE))="Martin",(VLOOKUP(Table10[[#This Row],[SKU]],'All Skus'!$A:$AC,9,FALSE)),""))</f>
        <v xml:space="preserve">EXTERIOR PROJECTION 500 MG, Wide, US </v>
      </c>
      <c r="I383" s="225">
        <f>(IF((VLOOKUP(Table10[[#This Row],[SKU]],'All Skus'!$A:$AC,2,FALSE))="Martin",(VLOOKUP(Table10[[#This Row],[SKU]],'All Skus'!$A:$AC,10,FALSE)),""))</f>
        <v>6050.34</v>
      </c>
      <c r="J383" s="226">
        <f>(IF((VLOOKUP(Table10[[#This Row],[SKU]],'All Skus'!$A:$AC,2,FALSE))="Martin",(VLOOKUP(Table10[[#This Row],[SKU]],'All Skus'!$A:$AC,11,FALSE)),""))</f>
        <v>6050.34</v>
      </c>
      <c r="K383" s="224">
        <f>(IF((VLOOKUP(Table10[[#This Row],[SKU]],'All Skus'!$A:$AC,2,FALSE))="Martin",(VLOOKUP(Table10[[#This Row],[SKU]],'All Skus'!$A:$AC,15,FALSE)),""))</f>
        <v>0</v>
      </c>
      <c r="L383" s="224">
        <f>(IF((VLOOKUP(Table10[[#This Row],[SKU]],'All Skus'!$A:$AC,2,FALSE))="Martin",(VLOOKUP(Table10[[#This Row],[SKU]],'All Skus'!$A:$AC,16,FALSE)),""))</f>
        <v>5706681235285</v>
      </c>
      <c r="M383" s="224">
        <f>(IF((VLOOKUP(Table10[[#This Row],[SKU]],'All Skus'!$A:$AC,2,FALSE))="Martin",(VLOOKUP(Table10[[#This Row],[SKU]],'All Skus'!$A:$AC,17,FALSE)),""))</f>
        <v>0</v>
      </c>
      <c r="N383" s="227">
        <f>(IF((VLOOKUP(Table10[[#This Row],[SKU]],'All Skus'!$A:$AC,2,FALSE))="Martin",(VLOOKUP(Table10[[#This Row],[SKU]],'All Skus'!$A:$AC,18,FALSE)),""))</f>
        <v>0</v>
      </c>
      <c r="O383" s="227">
        <f>(IF((VLOOKUP(Table10[[#This Row],[SKU]],'All Skus'!$A:$AC,2,FALSE))="Martin",(VLOOKUP(Table10[[#This Row],[SKU]],'All Skus'!$A:$AC,19,FALSE)),""))</f>
        <v>0</v>
      </c>
      <c r="P383" s="227">
        <f>(IF((VLOOKUP(Table10[[#This Row],[SKU]],'All Skus'!$A:$AC,2,FALSE))="Martin",(VLOOKUP(Table10[[#This Row],[SKU]],'All Skus'!$A:$AC,20,FALSE)),""))</f>
        <v>0</v>
      </c>
      <c r="Q383" s="227">
        <f>(IF((VLOOKUP(Table10[[#This Row],[SKU]],'All Skus'!$A:$AC,2,FALSE))="Martin",(VLOOKUP(Table10[[#This Row],[SKU]],'All Skus'!$A:$AC,21,FALSE)),""))</f>
        <v>0</v>
      </c>
      <c r="R383" s="224" t="str">
        <f>(IF((VLOOKUP(Table10[[#This Row],[SKU]],'All Skus'!$A:$AC,2,FALSE))="Martin",(VLOOKUP(Table10[[#This Row],[SKU]],'All Skus'!$A:$AC,22,FALSE)),""))</f>
        <v>CN</v>
      </c>
      <c r="S383" s="223" t="str">
        <f>(IF((VLOOKUP(Table10[[#This Row],[SKU]],'All Skus'!$A:$AC,2,FALSE))="Martin",(VLOOKUP(Table10[[#This Row],[SKU]],'All Skus'!$A:$AC,23,FALSE)),""))</f>
        <v>Non Compliant</v>
      </c>
      <c r="T383" s="212" t="str">
        <f>HYPERLINK((IF((VLOOKUP(Table10[[#This Row],[SKU]],'All Skus'!$A:$AC,2,FALSE))="Martin",(VLOOKUP(Table10[[#This Row],[SKU]],'All Skus'!$A:$AC,24,FALSE)),"")))</f>
        <v>http://www.martin.com/en-us/product-details/exterior-projection-500-mg</v>
      </c>
      <c r="U383" s="228">
        <v>381</v>
      </c>
    </row>
    <row r="384" spans="1:21" hidden="1">
      <c r="A384" s="112">
        <v>90506530</v>
      </c>
      <c r="B384" s="224" t="str">
        <f>(IF((VLOOKUP(Table10[[#This Row],[SKU]],'All Skus'!$A:$AC,2,FALSE))="Martin",(VLOOKUP(Table10[[#This Row],[SKU]],'All Skus'!$A:$AC,3,FALSE)),""))</f>
        <v>Image Projection</v>
      </c>
      <c r="C384" s="223" t="str">
        <f>(IF((VLOOKUP(Table10[[#This Row],[SKU]],'All Skus'!$A:$AC,2,FALSE))="Martin",(VLOOKUP(Table10[[#This Row],[SKU]],'All Skus'!$A:$AC,4,FALSE)),""))</f>
        <v xml:space="preserve">EXTERIOR PROJECTION 500 MG, Very Wide, U  </v>
      </c>
      <c r="D384" s="224" t="str">
        <f>(IF((VLOOKUP(Table10[[#This Row],[SKU]],'All Skus'!$A:$AC,2,FALSE))="Martin",(VLOOKUP(Table10[[#This Row],[SKU]],'All Skus'!$A:$AC,5,FALSE)),""))</f>
        <v>EXT-PROJ</v>
      </c>
      <c r="E384" s="223">
        <f>(IF((VLOOKUP(Table10[[#This Row],[SKU]],'All Skus'!$A:$AC,2,FALSE))="Martin",(VLOOKUP(Table10[[#This Row],[SKU]],'All Skus'!$A:$AC,6,FALSE)),""))</f>
        <v>0</v>
      </c>
      <c r="F384" s="155" t="str">
        <f>(IF((VLOOKUP(Table10[[#This Row],[SKU]],'All Skus'!$A:$AC,2,FALSE))="Martin",(VLOOKUP(Table10[[#This Row],[SKU]],'All Skus'!$A:$AC,7,FALSE)),""))</f>
        <v xml:space="preserve">EOL pre-notice - not recommend to specify for 2025 projects </v>
      </c>
      <c r="G384" s="223" t="str">
        <f>(IF((VLOOKUP(Table10[[#This Row],[SKU]],'All Skus'!$A:$AC,2,FALSE))="Martin",(VLOOKUP(Table10[[#This Row],[SKU]],'All Skus'!$A:$AC,8,FALSE)),""))</f>
        <v xml:space="preserve">EXTERIOR PROJECTION 500 MG, Very Wide, U  </v>
      </c>
      <c r="H384" s="223" t="str">
        <f>(IF((VLOOKUP(Table10[[#This Row],[SKU]],'All Skus'!$A:$AC,2,FALSE))="Martin",(VLOOKUP(Table10[[#This Row],[SKU]],'All Skus'!$A:$AC,9,FALSE)),""))</f>
        <v xml:space="preserve">EXTERIOR PROJECTION 500 MG, Very Wide, U  </v>
      </c>
      <c r="I384" s="225">
        <f>(IF((VLOOKUP(Table10[[#This Row],[SKU]],'All Skus'!$A:$AC,2,FALSE))="Martin",(VLOOKUP(Table10[[#This Row],[SKU]],'All Skus'!$A:$AC,10,FALSE)),""))</f>
        <v>6050.34</v>
      </c>
      <c r="J384" s="226">
        <f>(IF((VLOOKUP(Table10[[#This Row],[SKU]],'All Skus'!$A:$AC,2,FALSE))="Martin",(VLOOKUP(Table10[[#This Row],[SKU]],'All Skus'!$A:$AC,11,FALSE)),""))</f>
        <v>6050.34</v>
      </c>
      <c r="K384" s="224">
        <f>(IF((VLOOKUP(Table10[[#This Row],[SKU]],'All Skus'!$A:$AC,2,FALSE))="Martin",(VLOOKUP(Table10[[#This Row],[SKU]],'All Skus'!$A:$AC,15,FALSE)),""))</f>
        <v>0</v>
      </c>
      <c r="L384" s="224">
        <f>(IF((VLOOKUP(Table10[[#This Row],[SKU]],'All Skus'!$A:$AC,2,FALSE))="Martin",(VLOOKUP(Table10[[#This Row],[SKU]],'All Skus'!$A:$AC,16,FALSE)),""))</f>
        <v>5706681235964</v>
      </c>
      <c r="M384" s="224">
        <f>(IF((VLOOKUP(Table10[[#This Row],[SKU]],'All Skus'!$A:$AC,2,FALSE))="Martin",(VLOOKUP(Table10[[#This Row],[SKU]],'All Skus'!$A:$AC,17,FALSE)),""))</f>
        <v>0</v>
      </c>
      <c r="N384" s="227">
        <f>(IF((VLOOKUP(Table10[[#This Row],[SKU]],'All Skus'!$A:$AC,2,FALSE))="Martin",(VLOOKUP(Table10[[#This Row],[SKU]],'All Skus'!$A:$AC,18,FALSE)),""))</f>
        <v>0</v>
      </c>
      <c r="O384" s="227">
        <f>(IF((VLOOKUP(Table10[[#This Row],[SKU]],'All Skus'!$A:$AC,2,FALSE))="Martin",(VLOOKUP(Table10[[#This Row],[SKU]],'All Skus'!$A:$AC,19,FALSE)),""))</f>
        <v>0</v>
      </c>
      <c r="P384" s="227">
        <f>(IF((VLOOKUP(Table10[[#This Row],[SKU]],'All Skus'!$A:$AC,2,FALSE))="Martin",(VLOOKUP(Table10[[#This Row],[SKU]],'All Skus'!$A:$AC,20,FALSE)),""))</f>
        <v>0</v>
      </c>
      <c r="Q384" s="227">
        <f>(IF((VLOOKUP(Table10[[#This Row],[SKU]],'All Skus'!$A:$AC,2,FALSE))="Martin",(VLOOKUP(Table10[[#This Row],[SKU]],'All Skus'!$A:$AC,21,FALSE)),""))</f>
        <v>0</v>
      </c>
      <c r="R384" s="224" t="str">
        <f>(IF((VLOOKUP(Table10[[#This Row],[SKU]],'All Skus'!$A:$AC,2,FALSE))="Martin",(VLOOKUP(Table10[[#This Row],[SKU]],'All Skus'!$A:$AC,22,FALSE)),""))</f>
        <v>CN</v>
      </c>
      <c r="S384" s="223" t="str">
        <f>(IF((VLOOKUP(Table10[[#This Row],[SKU]],'All Skus'!$A:$AC,2,FALSE))="Martin",(VLOOKUP(Table10[[#This Row],[SKU]],'All Skus'!$A:$AC,23,FALSE)),""))</f>
        <v>Non Compliant</v>
      </c>
      <c r="T384" s="212" t="str">
        <f>HYPERLINK((IF((VLOOKUP(Table10[[#This Row],[SKU]],'All Skus'!$A:$AC,2,FALSE))="Martin",(VLOOKUP(Table10[[#This Row],[SKU]],'All Skus'!$A:$AC,24,FALSE)),"")))</f>
        <v>http://www.martin.com/en-us/product-details/exterior-projection-500-mg</v>
      </c>
      <c r="U384" s="228">
        <v>382</v>
      </c>
    </row>
    <row r="385" spans="1:21" hidden="1">
      <c r="A385" s="115" t="s">
        <v>2146</v>
      </c>
      <c r="B385" s="224">
        <f>(IF((VLOOKUP(Table10[[#This Row],[SKU]],'All Skus'!$A:$AC,2,FALSE))="Martin",(VLOOKUP(Table10[[#This Row],[SKU]],'All Skus'!$A:$AC,3,FALSE)),""))</f>
        <v>0</v>
      </c>
      <c r="C385" s="223">
        <f>(IF((VLOOKUP(Table10[[#This Row],[SKU]],'All Skus'!$A:$AC,2,FALSE))="Martin",(VLOOKUP(Table10[[#This Row],[SKU]],'All Skus'!$A:$AC,4,FALSE)),""))</f>
        <v>0</v>
      </c>
      <c r="D385" s="224">
        <f>(IF((VLOOKUP(Table10[[#This Row],[SKU]],'All Skus'!$A:$AC,2,FALSE))="Martin",(VLOOKUP(Table10[[#This Row],[SKU]],'All Skus'!$A:$AC,5,FALSE)),""))</f>
        <v>0</v>
      </c>
      <c r="E385" s="223">
        <f>(IF((VLOOKUP(Table10[[#This Row],[SKU]],'All Skus'!$A:$AC,2,FALSE))="Martin",(VLOOKUP(Table10[[#This Row],[SKU]],'All Skus'!$A:$AC,6,FALSE)),""))</f>
        <v>0</v>
      </c>
      <c r="F385" s="155">
        <f>(IF((VLOOKUP(Table10[[#This Row],[SKU]],'All Skus'!$A:$AC,2,FALSE))="Martin",(VLOOKUP(Table10[[#This Row],[SKU]],'All Skus'!$A:$AC,7,FALSE)),""))</f>
        <v>0</v>
      </c>
      <c r="G385" s="223">
        <f>(IF((VLOOKUP(Table10[[#This Row],[SKU]],'All Skus'!$A:$AC,2,FALSE))="Martin",(VLOOKUP(Table10[[#This Row],[SKU]],'All Skus'!$A:$AC,8,FALSE)),""))</f>
        <v>0</v>
      </c>
      <c r="H385" s="223">
        <f>(IF((VLOOKUP(Table10[[#This Row],[SKU]],'All Skus'!$A:$AC,2,FALSE))="Martin",(VLOOKUP(Table10[[#This Row],[SKU]],'All Skus'!$A:$AC,9,FALSE)),""))</f>
        <v>0</v>
      </c>
      <c r="I385" s="225">
        <f>(IF((VLOOKUP(Table10[[#This Row],[SKU]],'All Skus'!$A:$AC,2,FALSE))="Martin",(VLOOKUP(Table10[[#This Row],[SKU]],'All Skus'!$A:$AC,10,FALSE)),""))</f>
        <v>0</v>
      </c>
      <c r="J385" s="226">
        <f>(IF((VLOOKUP(Table10[[#This Row],[SKU]],'All Skus'!$A:$AC,2,FALSE))="Martin",(VLOOKUP(Table10[[#This Row],[SKU]],'All Skus'!$A:$AC,11,FALSE)),""))</f>
        <v>0</v>
      </c>
      <c r="K385" s="224">
        <f>(IF((VLOOKUP(Table10[[#This Row],[SKU]],'All Skus'!$A:$AC,2,FALSE))="Martin",(VLOOKUP(Table10[[#This Row],[SKU]],'All Skus'!$A:$AC,15,FALSE)),""))</f>
        <v>0</v>
      </c>
      <c r="L385" s="224">
        <f>(IF((VLOOKUP(Table10[[#This Row],[SKU]],'All Skus'!$A:$AC,2,FALSE))="Martin",(VLOOKUP(Table10[[#This Row],[SKU]],'All Skus'!$A:$AC,16,FALSE)),""))</f>
        <v>0</v>
      </c>
      <c r="M385" s="224">
        <f>(IF((VLOOKUP(Table10[[#This Row],[SKU]],'All Skus'!$A:$AC,2,FALSE))="Martin",(VLOOKUP(Table10[[#This Row],[SKU]],'All Skus'!$A:$AC,17,FALSE)),""))</f>
        <v>0</v>
      </c>
      <c r="N385" s="227">
        <f>(IF((VLOOKUP(Table10[[#This Row],[SKU]],'All Skus'!$A:$AC,2,FALSE))="Martin",(VLOOKUP(Table10[[#This Row],[SKU]],'All Skus'!$A:$AC,18,FALSE)),""))</f>
        <v>0</v>
      </c>
      <c r="O385" s="227">
        <f>(IF((VLOOKUP(Table10[[#This Row],[SKU]],'All Skus'!$A:$AC,2,FALSE))="Martin",(VLOOKUP(Table10[[#This Row],[SKU]],'All Skus'!$A:$AC,19,FALSE)),""))</f>
        <v>0</v>
      </c>
      <c r="P385" s="227">
        <f>(IF((VLOOKUP(Table10[[#This Row],[SKU]],'All Skus'!$A:$AC,2,FALSE))="Martin",(VLOOKUP(Table10[[#This Row],[SKU]],'All Skus'!$A:$AC,20,FALSE)),""))</f>
        <v>0</v>
      </c>
      <c r="Q385" s="227">
        <f>(IF((VLOOKUP(Table10[[#This Row],[SKU]],'All Skus'!$A:$AC,2,FALSE))="Martin",(VLOOKUP(Table10[[#This Row],[SKU]],'All Skus'!$A:$AC,21,FALSE)),""))</f>
        <v>0</v>
      </c>
      <c r="R385" s="224">
        <f>(IF((VLOOKUP(Table10[[#This Row],[SKU]],'All Skus'!$A:$AC,2,FALSE))="Martin",(VLOOKUP(Table10[[#This Row],[SKU]],'All Skus'!$A:$AC,22,FALSE)),""))</f>
        <v>0</v>
      </c>
      <c r="S385" s="223">
        <f>(IF((VLOOKUP(Table10[[#This Row],[SKU]],'All Skus'!$A:$AC,2,FALSE))="Martin",(VLOOKUP(Table10[[#This Row],[SKU]],'All Skus'!$A:$AC,23,FALSE)),""))</f>
        <v>0</v>
      </c>
      <c r="T385" s="212" t="str">
        <f>HYPERLINK((IF((VLOOKUP(Table10[[#This Row],[SKU]],'All Skus'!$A:$AC,2,FALSE))="Martin",(VLOOKUP(Table10[[#This Row],[SKU]],'All Skus'!$A:$AC,24,FALSE)),"")))</f>
        <v/>
      </c>
      <c r="U385" s="228">
        <v>383</v>
      </c>
    </row>
    <row r="386" spans="1:21" hidden="1">
      <c r="A386" s="112">
        <v>91611767</v>
      </c>
      <c r="B386" s="224" t="str">
        <f>(IF((VLOOKUP(Table10[[#This Row],[SKU]],'All Skus'!$A:$AC,2,FALSE))="Martin",(VLOOKUP(Table10[[#This Row],[SKU]],'All Skus'!$A:$AC,3,FALSE)),""))</f>
        <v>Image Projection</v>
      </c>
      <c r="C386" s="223" t="str">
        <f>(IF((VLOOKUP(Table10[[#This Row],[SKU]],'All Skus'!$A:$AC,2,FALSE))="Martin",(VLOOKUP(Table10[[#This Row],[SKU]],'All Skus'!$A:$AC,4,FALSE)),""))</f>
        <v xml:space="preserve">EXTERIOR PROJECTION 500 GLARESHIELD </v>
      </c>
      <c r="D386" s="224" t="str">
        <f>(IF((VLOOKUP(Table10[[#This Row],[SKU]],'All Skus'!$A:$AC,2,FALSE))="Martin",(VLOOKUP(Table10[[#This Row],[SKU]],'All Skus'!$A:$AC,5,FALSE)),""))</f>
        <v>EXT-PROJ</v>
      </c>
      <c r="E386" s="223">
        <f>(IF((VLOOKUP(Table10[[#This Row],[SKU]],'All Skus'!$A:$AC,2,FALSE))="Martin",(VLOOKUP(Table10[[#This Row],[SKU]],'All Skus'!$A:$AC,6,FALSE)),""))</f>
        <v>0</v>
      </c>
      <c r="F386" s="155" t="str">
        <f>(IF((VLOOKUP(Table10[[#This Row],[SKU]],'All Skus'!$A:$AC,2,FALSE))="Martin",(VLOOKUP(Table10[[#This Row],[SKU]],'All Skus'!$A:$AC,7,FALSE)),""))</f>
        <v xml:space="preserve">EOL pre-notice - not recommend to specify for 2025 projects </v>
      </c>
      <c r="G386" s="223" t="str">
        <f>(IF((VLOOKUP(Table10[[#This Row],[SKU]],'All Skus'!$A:$AC,2,FALSE))="Martin",(VLOOKUP(Table10[[#This Row],[SKU]],'All Skus'!$A:$AC,8,FALSE)),""))</f>
        <v xml:space="preserve">EXTERIOR PROJECTION 500 GLARESHIELD </v>
      </c>
      <c r="H386" s="223" t="str">
        <f>(IF((VLOOKUP(Table10[[#This Row],[SKU]],'All Skus'!$A:$AC,2,FALSE))="Martin",(VLOOKUP(Table10[[#This Row],[SKU]],'All Skus'!$A:$AC,9,FALSE)),""))</f>
        <v xml:space="preserve">EXTERIOR PROJECTION 500 GLARESHIELD </v>
      </c>
      <c r="I386" s="225">
        <f>(IF((VLOOKUP(Table10[[#This Row],[SKU]],'All Skus'!$A:$AC,2,FALSE))="Martin",(VLOOKUP(Table10[[#This Row],[SKU]],'All Skus'!$A:$AC,10,FALSE)),""))</f>
        <v>135.82</v>
      </c>
      <c r="J386" s="226">
        <f>(IF((VLOOKUP(Table10[[#This Row],[SKU]],'All Skus'!$A:$AC,2,FALSE))="Martin",(VLOOKUP(Table10[[#This Row],[SKU]],'All Skus'!$A:$AC,11,FALSE)),""))</f>
        <v>135.82</v>
      </c>
      <c r="K386" s="224">
        <f>(IF((VLOOKUP(Table10[[#This Row],[SKU]],'All Skus'!$A:$AC,2,FALSE))="Martin",(VLOOKUP(Table10[[#This Row],[SKU]],'All Skus'!$A:$AC,15,FALSE)),""))</f>
        <v>0</v>
      </c>
      <c r="L386" s="224">
        <f>(IF((VLOOKUP(Table10[[#This Row],[SKU]],'All Skus'!$A:$AC,2,FALSE))="Martin",(VLOOKUP(Table10[[#This Row],[SKU]],'All Skus'!$A:$AC,16,FALSE)),""))</f>
        <v>0</v>
      </c>
      <c r="M386" s="224">
        <f>(IF((VLOOKUP(Table10[[#This Row],[SKU]],'All Skus'!$A:$AC,2,FALSE))="Martin",(VLOOKUP(Table10[[#This Row],[SKU]],'All Skus'!$A:$AC,17,FALSE)),""))</f>
        <v>0</v>
      </c>
      <c r="N386" s="227">
        <f>(IF((VLOOKUP(Table10[[#This Row],[SKU]],'All Skus'!$A:$AC,2,FALSE))="Martin",(VLOOKUP(Table10[[#This Row],[SKU]],'All Skus'!$A:$AC,18,FALSE)),""))</f>
        <v>0</v>
      </c>
      <c r="O386" s="227">
        <f>(IF((VLOOKUP(Table10[[#This Row],[SKU]],'All Skus'!$A:$AC,2,FALSE))="Martin",(VLOOKUP(Table10[[#This Row],[SKU]],'All Skus'!$A:$AC,19,FALSE)),""))</f>
        <v>0</v>
      </c>
      <c r="P386" s="227">
        <f>(IF((VLOOKUP(Table10[[#This Row],[SKU]],'All Skus'!$A:$AC,2,FALSE))="Martin",(VLOOKUP(Table10[[#This Row],[SKU]],'All Skus'!$A:$AC,20,FALSE)),""))</f>
        <v>0</v>
      </c>
      <c r="Q386" s="227">
        <f>(IF((VLOOKUP(Table10[[#This Row],[SKU]],'All Skus'!$A:$AC,2,FALSE))="Martin",(VLOOKUP(Table10[[#This Row],[SKU]],'All Skus'!$A:$AC,21,FALSE)),""))</f>
        <v>0</v>
      </c>
      <c r="R386" s="224" t="str">
        <f>(IF((VLOOKUP(Table10[[#This Row],[SKU]],'All Skus'!$A:$AC,2,FALSE))="Martin",(VLOOKUP(Table10[[#This Row],[SKU]],'All Skus'!$A:$AC,22,FALSE)),""))</f>
        <v>CN</v>
      </c>
      <c r="S386" s="223" t="str">
        <f>(IF((VLOOKUP(Table10[[#This Row],[SKU]],'All Skus'!$A:$AC,2,FALSE))="Martin",(VLOOKUP(Table10[[#This Row],[SKU]],'All Skus'!$A:$AC,23,FALSE)),""))</f>
        <v>Non Compliant</v>
      </c>
      <c r="T386" s="212" t="str">
        <f>HYPERLINK((IF((VLOOKUP(Table10[[#This Row],[SKU]],'All Skus'!$A:$AC,2,FALSE))="Martin",(VLOOKUP(Table10[[#This Row],[SKU]],'All Skus'!$A:$AC,24,FALSE)),"")))</f>
        <v>http://www.martin.com/en-us/product-details/exterior-projection-500-mg</v>
      </c>
      <c r="U386" s="228">
        <v>384</v>
      </c>
    </row>
    <row r="387" spans="1:21" hidden="1">
      <c r="A387" s="112">
        <v>91616068</v>
      </c>
      <c r="B387" s="224" t="str">
        <f>(IF((VLOOKUP(Table10[[#This Row],[SKU]],'All Skus'!$A:$AC,2,FALSE))="Martin",(VLOOKUP(Table10[[#This Row],[SKU]],'All Skus'!$A:$AC,3,FALSE)),""))</f>
        <v>Image Projection</v>
      </c>
      <c r="C387" s="223" t="str">
        <f>(IF((VLOOKUP(Table10[[#This Row],[SKU]],'All Skus'!$A:$AC,2,FALSE))="Martin",(VLOOKUP(Table10[[#This Row],[SKU]],'All Skus'!$A:$AC,4,FALSE)),""))</f>
        <v xml:space="preserve">LINE UP GOBO, EXTERIOR PROJECTION 500 </v>
      </c>
      <c r="D387" s="224" t="str">
        <f>(IF((VLOOKUP(Table10[[#This Row],[SKU]],'All Skus'!$A:$AC,2,FALSE))="Martin",(VLOOKUP(Table10[[#This Row],[SKU]],'All Skus'!$A:$AC,5,FALSE)),""))</f>
        <v>EXT-PROJ</v>
      </c>
      <c r="E387" s="223">
        <f>(IF((VLOOKUP(Table10[[#This Row],[SKU]],'All Skus'!$A:$AC,2,FALSE))="Martin",(VLOOKUP(Table10[[#This Row],[SKU]],'All Skus'!$A:$AC,6,FALSE)),""))</f>
        <v>0</v>
      </c>
      <c r="F387" s="155" t="str">
        <f>(IF((VLOOKUP(Table10[[#This Row],[SKU]],'All Skus'!$A:$AC,2,FALSE))="Martin",(VLOOKUP(Table10[[#This Row],[SKU]],'All Skus'!$A:$AC,7,FALSE)),""))</f>
        <v xml:space="preserve">EOL pre-notice - not recommend to specify for 2025 projects </v>
      </c>
      <c r="G387" s="223" t="str">
        <f>(IF((VLOOKUP(Table10[[#This Row],[SKU]],'All Skus'!$A:$AC,2,FALSE))="Martin",(VLOOKUP(Table10[[#This Row],[SKU]],'All Skus'!$A:$AC,8,FALSE)),""))</f>
        <v xml:space="preserve">LINE UP GOBO, EXTERIOR PROJECTION 500 </v>
      </c>
      <c r="H387" s="223" t="str">
        <f>(IF((VLOOKUP(Table10[[#This Row],[SKU]],'All Skus'!$A:$AC,2,FALSE))="Martin",(VLOOKUP(Table10[[#This Row],[SKU]],'All Skus'!$A:$AC,9,FALSE)),""))</f>
        <v xml:space="preserve">LINE UP GOBO, EXTERIOR PROJECTION 500 </v>
      </c>
      <c r="I387" s="225">
        <f>(IF((VLOOKUP(Table10[[#This Row],[SKU]],'All Skus'!$A:$AC,2,FALSE))="Martin",(VLOOKUP(Table10[[#This Row],[SKU]],'All Skus'!$A:$AC,10,FALSE)),""))</f>
        <v>54.33</v>
      </c>
      <c r="J387" s="226">
        <f>(IF((VLOOKUP(Table10[[#This Row],[SKU]],'All Skus'!$A:$AC,2,FALSE))="Martin",(VLOOKUP(Table10[[#This Row],[SKU]],'All Skus'!$A:$AC,11,FALSE)),""))</f>
        <v>54.33</v>
      </c>
      <c r="K387" s="224">
        <f>(IF((VLOOKUP(Table10[[#This Row],[SKU]],'All Skus'!$A:$AC,2,FALSE))="Martin",(VLOOKUP(Table10[[#This Row],[SKU]],'All Skus'!$A:$AC,15,FALSE)),""))</f>
        <v>0</v>
      </c>
      <c r="L387" s="224">
        <f>(IF((VLOOKUP(Table10[[#This Row],[SKU]],'All Skus'!$A:$AC,2,FALSE))="Martin",(VLOOKUP(Table10[[#This Row],[SKU]],'All Skus'!$A:$AC,16,FALSE)),""))</f>
        <v>0</v>
      </c>
      <c r="M387" s="224">
        <f>(IF((VLOOKUP(Table10[[#This Row],[SKU]],'All Skus'!$A:$AC,2,FALSE))="Martin",(VLOOKUP(Table10[[#This Row],[SKU]],'All Skus'!$A:$AC,17,FALSE)),""))</f>
        <v>0</v>
      </c>
      <c r="N387" s="227">
        <f>(IF((VLOOKUP(Table10[[#This Row],[SKU]],'All Skus'!$A:$AC,2,FALSE))="Martin",(VLOOKUP(Table10[[#This Row],[SKU]],'All Skus'!$A:$AC,18,FALSE)),""))</f>
        <v>0</v>
      </c>
      <c r="O387" s="227">
        <f>(IF((VLOOKUP(Table10[[#This Row],[SKU]],'All Skus'!$A:$AC,2,FALSE))="Martin",(VLOOKUP(Table10[[#This Row],[SKU]],'All Skus'!$A:$AC,19,FALSE)),""))</f>
        <v>0</v>
      </c>
      <c r="P387" s="227">
        <f>(IF((VLOOKUP(Table10[[#This Row],[SKU]],'All Skus'!$A:$AC,2,FALSE))="Martin",(VLOOKUP(Table10[[#This Row],[SKU]],'All Skus'!$A:$AC,20,FALSE)),""))</f>
        <v>0</v>
      </c>
      <c r="Q387" s="227">
        <f>(IF((VLOOKUP(Table10[[#This Row],[SKU]],'All Skus'!$A:$AC,2,FALSE))="Martin",(VLOOKUP(Table10[[#This Row],[SKU]],'All Skus'!$A:$AC,21,FALSE)),""))</f>
        <v>0</v>
      </c>
      <c r="R387" s="224" t="str">
        <f>(IF((VLOOKUP(Table10[[#This Row],[SKU]],'All Skus'!$A:$AC,2,FALSE))="Martin",(VLOOKUP(Table10[[#This Row],[SKU]],'All Skus'!$A:$AC,22,FALSE)),""))</f>
        <v>CN</v>
      </c>
      <c r="S387" s="223" t="str">
        <f>(IF((VLOOKUP(Table10[[#This Row],[SKU]],'All Skus'!$A:$AC,2,FALSE))="Martin",(VLOOKUP(Table10[[#This Row],[SKU]],'All Skus'!$A:$AC,23,FALSE)),""))</f>
        <v>Non Compliant</v>
      </c>
      <c r="T387" s="212" t="str">
        <f>HYPERLINK((IF((VLOOKUP(Table10[[#This Row],[SKU]],'All Skus'!$A:$AC,2,FALSE))="Martin",(VLOOKUP(Table10[[#This Row],[SKU]],'All Skus'!$A:$AC,24,FALSE)),"")))</f>
        <v>http://www.martin.com/en-us/product-details/exterior-projection-500-mg</v>
      </c>
      <c r="U387" s="228">
        <v>385</v>
      </c>
    </row>
    <row r="388" spans="1:21" hidden="1">
      <c r="A388" s="90">
        <v>91611842</v>
      </c>
      <c r="B388" s="224">
        <f>(IF((VLOOKUP(Table10[[#This Row],[SKU]],'All Skus'!$A:$AC,2,FALSE))="Martin",(VLOOKUP(Table10[[#This Row],[SKU]],'All Skus'!$A:$AC,3,FALSE)),""))</f>
        <v>0</v>
      </c>
      <c r="C388" s="223" t="str">
        <f>(IF((VLOOKUP(Table10[[#This Row],[SKU]],'All Skus'!$A:$AC,2,FALSE))="Martin",(VLOOKUP(Table10[[#This Row],[SKU]],'All Skus'!$A:$AC,4,FALSE)),""))</f>
        <v>EP-500 Manual Framing Module</v>
      </c>
      <c r="D388" s="224" t="str">
        <f>(IF((VLOOKUP(Table10[[#This Row],[SKU]],'All Skus'!$A:$AC,2,FALSE))="Martin",(VLOOKUP(Table10[[#This Row],[SKU]],'All Skus'!$A:$AC,5,FALSE)),""))</f>
        <v>EXT-PROJ</v>
      </c>
      <c r="E388" s="223">
        <f>(IF((VLOOKUP(Table10[[#This Row],[SKU]],'All Skus'!$A:$AC,2,FALSE))="Martin",(VLOOKUP(Table10[[#This Row],[SKU]],'All Skus'!$A:$AC,6,FALSE)),""))</f>
        <v>0</v>
      </c>
      <c r="F388" s="155" t="str">
        <f>(IF((VLOOKUP(Table10[[#This Row],[SKU]],'All Skus'!$A:$AC,2,FALSE))="Martin",(VLOOKUP(Table10[[#This Row],[SKU]],'All Skus'!$A:$AC,7,FALSE)),""))</f>
        <v xml:space="preserve">EOL pre-notice - not recommend to specify for 2025 projects </v>
      </c>
      <c r="G388" s="223" t="str">
        <f>(IF((VLOOKUP(Table10[[#This Row],[SKU]],'All Skus'!$A:$AC,2,FALSE))="Martin",(VLOOKUP(Table10[[#This Row],[SKU]],'All Skus'!$A:$AC,8,FALSE)),""))</f>
        <v>EP-500 Manual Framing Module</v>
      </c>
      <c r="H388" s="223" t="str">
        <f>(IF((VLOOKUP(Table10[[#This Row],[SKU]],'All Skus'!$A:$AC,2,FALSE))="Martin",(VLOOKUP(Table10[[#This Row],[SKU]],'All Skus'!$A:$AC,9,FALSE)),""))</f>
        <v>EP-500 Manual Framing Module</v>
      </c>
      <c r="I388" s="225">
        <f>(IF((VLOOKUP(Table10[[#This Row],[SKU]],'All Skus'!$A:$AC,2,FALSE))="Martin",(VLOOKUP(Table10[[#This Row],[SKU]],'All Skus'!$A:$AC,10,FALSE)),""))</f>
        <v>682.82</v>
      </c>
      <c r="J388" s="226">
        <f>(IF((VLOOKUP(Table10[[#This Row],[SKU]],'All Skus'!$A:$AC,2,FALSE))="Martin",(VLOOKUP(Table10[[#This Row],[SKU]],'All Skus'!$A:$AC,11,FALSE)),""))</f>
        <v>682.82</v>
      </c>
      <c r="K388" s="224">
        <f>(IF((VLOOKUP(Table10[[#This Row],[SKU]],'All Skus'!$A:$AC,2,FALSE))="Martin",(VLOOKUP(Table10[[#This Row],[SKU]],'All Skus'!$A:$AC,15,FALSE)),""))</f>
        <v>0</v>
      </c>
      <c r="L388" s="224">
        <f>(IF((VLOOKUP(Table10[[#This Row],[SKU]],'All Skus'!$A:$AC,2,FALSE))="Martin",(VLOOKUP(Table10[[#This Row],[SKU]],'All Skus'!$A:$AC,16,FALSE)),""))</f>
        <v>0</v>
      </c>
      <c r="M388" s="224">
        <f>(IF((VLOOKUP(Table10[[#This Row],[SKU]],'All Skus'!$A:$AC,2,FALSE))="Martin",(VLOOKUP(Table10[[#This Row],[SKU]],'All Skus'!$A:$AC,17,FALSE)),""))</f>
        <v>0</v>
      </c>
      <c r="N388" s="227">
        <f>(IF((VLOOKUP(Table10[[#This Row],[SKU]],'All Skus'!$A:$AC,2,FALSE))="Martin",(VLOOKUP(Table10[[#This Row],[SKU]],'All Skus'!$A:$AC,18,FALSE)),""))</f>
        <v>0</v>
      </c>
      <c r="O388" s="227">
        <f>(IF((VLOOKUP(Table10[[#This Row],[SKU]],'All Skus'!$A:$AC,2,FALSE))="Martin",(VLOOKUP(Table10[[#This Row],[SKU]],'All Skus'!$A:$AC,19,FALSE)),""))</f>
        <v>0</v>
      </c>
      <c r="P388" s="227">
        <f>(IF((VLOOKUP(Table10[[#This Row],[SKU]],'All Skus'!$A:$AC,2,FALSE))="Martin",(VLOOKUP(Table10[[#This Row],[SKU]],'All Skus'!$A:$AC,20,FALSE)),""))</f>
        <v>0</v>
      </c>
      <c r="Q388" s="227">
        <f>(IF((VLOOKUP(Table10[[#This Row],[SKU]],'All Skus'!$A:$AC,2,FALSE))="Martin",(VLOOKUP(Table10[[#This Row],[SKU]],'All Skus'!$A:$AC,21,FALSE)),""))</f>
        <v>0</v>
      </c>
      <c r="R388" s="224">
        <f>(IF((VLOOKUP(Table10[[#This Row],[SKU]],'All Skus'!$A:$AC,2,FALSE))="Martin",(VLOOKUP(Table10[[#This Row],[SKU]],'All Skus'!$A:$AC,22,FALSE)),""))</f>
        <v>0</v>
      </c>
      <c r="S388" s="223">
        <f>(IF((VLOOKUP(Table10[[#This Row],[SKU]],'All Skus'!$A:$AC,2,FALSE))="Martin",(VLOOKUP(Table10[[#This Row],[SKU]],'All Skus'!$A:$AC,23,FALSE)),""))</f>
        <v>0</v>
      </c>
      <c r="T388" s="212" t="str">
        <f>HYPERLINK((IF((VLOOKUP(Table10[[#This Row],[SKU]],'All Skus'!$A:$AC,2,FALSE))="Martin",(VLOOKUP(Table10[[#This Row],[SKU]],'All Skus'!$A:$AC,24,FALSE)),"")))</f>
        <v/>
      </c>
      <c r="U388" s="228">
        <v>386</v>
      </c>
    </row>
    <row r="389" spans="1:21" hidden="1">
      <c r="A389" s="90" t="s">
        <v>2147</v>
      </c>
      <c r="B389" s="224">
        <f>(IF((VLOOKUP(Table10[[#This Row],[SKU]],'All Skus'!$A:$AC,2,FALSE))="Martin",(VLOOKUP(Table10[[#This Row],[SKU]],'All Skus'!$A:$AC,3,FALSE)),""))</f>
        <v>0</v>
      </c>
      <c r="C389" s="223" t="str">
        <f>(IF((VLOOKUP(Table10[[#This Row],[SKU]],'All Skus'!$A:$AC,2,FALSE))="Martin",(VLOOKUP(Table10[[#This Row],[SKU]],'All Skus'!$A:$AC,4,FALSE)),""))</f>
        <v>Ring for gobo – OD 30 (set of 10)</v>
      </c>
      <c r="D389" s="224" t="str">
        <f>(IF((VLOOKUP(Table10[[#This Row],[SKU]],'All Skus'!$A:$AC,2,FALSE))="Martin",(VLOOKUP(Table10[[#This Row],[SKU]],'All Skus'!$A:$AC,5,FALSE)),""))</f>
        <v>EXT-PROJ</v>
      </c>
      <c r="E389" s="223">
        <f>(IF((VLOOKUP(Table10[[#This Row],[SKU]],'All Skus'!$A:$AC,2,FALSE))="Martin",(VLOOKUP(Table10[[#This Row],[SKU]],'All Skus'!$A:$AC,6,FALSE)),""))</f>
        <v>0</v>
      </c>
      <c r="F389" s="155" t="str">
        <f>(IF((VLOOKUP(Table10[[#This Row],[SKU]],'All Skus'!$A:$AC,2,FALSE))="Martin",(VLOOKUP(Table10[[#This Row],[SKU]],'All Skus'!$A:$AC,7,FALSE)),""))</f>
        <v xml:space="preserve">EOL pre-notice - not recommend to specify for 2025 projects </v>
      </c>
      <c r="G389" s="223" t="str">
        <f>(IF((VLOOKUP(Table10[[#This Row],[SKU]],'All Skus'!$A:$AC,2,FALSE))="Martin",(VLOOKUP(Table10[[#This Row],[SKU]],'All Skus'!$A:$AC,8,FALSE)),""))</f>
        <v>Ring for gobo – OD 30 (set of 10)</v>
      </c>
      <c r="H389" s="223" t="str">
        <f>(IF((VLOOKUP(Table10[[#This Row],[SKU]],'All Skus'!$A:$AC,2,FALSE))="Martin",(VLOOKUP(Table10[[#This Row],[SKU]],'All Skus'!$A:$AC,9,FALSE)),""))</f>
        <v>Ring for gobo – OD 30 (set of 10)</v>
      </c>
      <c r="I389" s="225">
        <f>(IF((VLOOKUP(Table10[[#This Row],[SKU]],'All Skus'!$A:$AC,2,FALSE))="Martin",(VLOOKUP(Table10[[#This Row],[SKU]],'All Skus'!$A:$AC,10,FALSE)),""))</f>
        <v>22.23</v>
      </c>
      <c r="J389" s="226">
        <f>(IF((VLOOKUP(Table10[[#This Row],[SKU]],'All Skus'!$A:$AC,2,FALSE))="Martin",(VLOOKUP(Table10[[#This Row],[SKU]],'All Skus'!$A:$AC,11,FALSE)),""))</f>
        <v>22.23</v>
      </c>
      <c r="K389" s="224">
        <f>(IF((VLOOKUP(Table10[[#This Row],[SKU]],'All Skus'!$A:$AC,2,FALSE))="Martin",(VLOOKUP(Table10[[#This Row],[SKU]],'All Skus'!$A:$AC,15,FALSE)),""))</f>
        <v>0</v>
      </c>
      <c r="L389" s="224">
        <f>(IF((VLOOKUP(Table10[[#This Row],[SKU]],'All Skus'!$A:$AC,2,FALSE))="Martin",(VLOOKUP(Table10[[#This Row],[SKU]],'All Skus'!$A:$AC,16,FALSE)),""))</f>
        <v>0</v>
      </c>
      <c r="M389" s="224">
        <f>(IF((VLOOKUP(Table10[[#This Row],[SKU]],'All Skus'!$A:$AC,2,FALSE))="Martin",(VLOOKUP(Table10[[#This Row],[SKU]],'All Skus'!$A:$AC,17,FALSE)),""))</f>
        <v>0</v>
      </c>
      <c r="N389" s="227">
        <f>(IF((VLOOKUP(Table10[[#This Row],[SKU]],'All Skus'!$A:$AC,2,FALSE))="Martin",(VLOOKUP(Table10[[#This Row],[SKU]],'All Skus'!$A:$AC,18,FALSE)),""))</f>
        <v>0</v>
      </c>
      <c r="O389" s="227">
        <f>(IF((VLOOKUP(Table10[[#This Row],[SKU]],'All Skus'!$A:$AC,2,FALSE))="Martin",(VLOOKUP(Table10[[#This Row],[SKU]],'All Skus'!$A:$AC,19,FALSE)),""))</f>
        <v>0</v>
      </c>
      <c r="P389" s="227">
        <f>(IF((VLOOKUP(Table10[[#This Row],[SKU]],'All Skus'!$A:$AC,2,FALSE))="Martin",(VLOOKUP(Table10[[#This Row],[SKU]],'All Skus'!$A:$AC,20,FALSE)),""))</f>
        <v>0</v>
      </c>
      <c r="Q389" s="227">
        <f>(IF((VLOOKUP(Table10[[#This Row],[SKU]],'All Skus'!$A:$AC,2,FALSE))="Martin",(VLOOKUP(Table10[[#This Row],[SKU]],'All Skus'!$A:$AC,21,FALSE)),""))</f>
        <v>0</v>
      </c>
      <c r="R389" s="224" t="str">
        <f>(IF((VLOOKUP(Table10[[#This Row],[SKU]],'All Skus'!$A:$AC,2,FALSE))="Martin",(VLOOKUP(Table10[[#This Row],[SKU]],'All Skus'!$A:$AC,22,FALSE)),""))</f>
        <v>CN</v>
      </c>
      <c r="S389" s="223">
        <f>(IF((VLOOKUP(Table10[[#This Row],[SKU]],'All Skus'!$A:$AC,2,FALSE))="Martin",(VLOOKUP(Table10[[#This Row],[SKU]],'All Skus'!$A:$AC,23,FALSE)),""))</f>
        <v>0</v>
      </c>
      <c r="T389" s="212" t="str">
        <f>HYPERLINK((IF((VLOOKUP(Table10[[#This Row],[SKU]],'All Skus'!$A:$AC,2,FALSE))="Martin",(VLOOKUP(Table10[[#This Row],[SKU]],'All Skus'!$A:$AC,24,FALSE)),"")))</f>
        <v/>
      </c>
      <c r="U389" s="228">
        <v>387</v>
      </c>
    </row>
    <row r="390" spans="1:21" hidden="1">
      <c r="A390" s="115" t="s">
        <v>2148</v>
      </c>
      <c r="B390" s="224">
        <f>(IF((VLOOKUP(Table10[[#This Row],[SKU]],'All Skus'!$A:$AC,2,FALSE))="Martin",(VLOOKUP(Table10[[#This Row],[SKU]],'All Skus'!$A:$AC,3,FALSE)),""))</f>
        <v>0</v>
      </c>
      <c r="C390" s="223">
        <f>(IF((VLOOKUP(Table10[[#This Row],[SKU]],'All Skus'!$A:$AC,2,FALSE))="Martin",(VLOOKUP(Table10[[#This Row],[SKU]],'All Skus'!$A:$AC,4,FALSE)),""))</f>
        <v>0</v>
      </c>
      <c r="D390" s="224">
        <f>(IF((VLOOKUP(Table10[[#This Row],[SKU]],'All Skus'!$A:$AC,2,FALSE))="Martin",(VLOOKUP(Table10[[#This Row],[SKU]],'All Skus'!$A:$AC,5,FALSE)),""))</f>
        <v>0</v>
      </c>
      <c r="E390" s="223">
        <f>(IF((VLOOKUP(Table10[[#This Row],[SKU]],'All Skus'!$A:$AC,2,FALSE))="Martin",(VLOOKUP(Table10[[#This Row],[SKU]],'All Skus'!$A:$AC,6,FALSE)),""))</f>
        <v>0</v>
      </c>
      <c r="F390" s="155">
        <f>(IF((VLOOKUP(Table10[[#This Row],[SKU]],'All Skus'!$A:$AC,2,FALSE))="Martin",(VLOOKUP(Table10[[#This Row],[SKU]],'All Skus'!$A:$AC,7,FALSE)),""))</f>
        <v>0</v>
      </c>
      <c r="G390" s="223">
        <f>(IF((VLOOKUP(Table10[[#This Row],[SKU]],'All Skus'!$A:$AC,2,FALSE))="Martin",(VLOOKUP(Table10[[#This Row],[SKU]],'All Skus'!$A:$AC,8,FALSE)),""))</f>
        <v>0</v>
      </c>
      <c r="H390" s="223">
        <f>(IF((VLOOKUP(Table10[[#This Row],[SKU]],'All Skus'!$A:$AC,2,FALSE))="Martin",(VLOOKUP(Table10[[#This Row],[SKU]],'All Skus'!$A:$AC,9,FALSE)),""))</f>
        <v>0</v>
      </c>
      <c r="I390" s="225">
        <f>(IF((VLOOKUP(Table10[[#This Row],[SKU]],'All Skus'!$A:$AC,2,FALSE))="Martin",(VLOOKUP(Table10[[#This Row],[SKU]],'All Skus'!$A:$AC,10,FALSE)),""))</f>
        <v>0</v>
      </c>
      <c r="J390" s="226">
        <f>(IF((VLOOKUP(Table10[[#This Row],[SKU]],'All Skus'!$A:$AC,2,FALSE))="Martin",(VLOOKUP(Table10[[#This Row],[SKU]],'All Skus'!$A:$AC,11,FALSE)),""))</f>
        <v>0</v>
      </c>
      <c r="K390" s="224">
        <f>(IF((VLOOKUP(Table10[[#This Row],[SKU]],'All Skus'!$A:$AC,2,FALSE))="Martin",(VLOOKUP(Table10[[#This Row],[SKU]],'All Skus'!$A:$AC,15,FALSE)),""))</f>
        <v>0</v>
      </c>
      <c r="L390" s="224">
        <f>(IF((VLOOKUP(Table10[[#This Row],[SKU]],'All Skus'!$A:$AC,2,FALSE))="Martin",(VLOOKUP(Table10[[#This Row],[SKU]],'All Skus'!$A:$AC,16,FALSE)),""))</f>
        <v>0</v>
      </c>
      <c r="M390" s="224">
        <f>(IF((VLOOKUP(Table10[[#This Row],[SKU]],'All Skus'!$A:$AC,2,FALSE))="Martin",(VLOOKUP(Table10[[#This Row],[SKU]],'All Skus'!$A:$AC,17,FALSE)),""))</f>
        <v>0</v>
      </c>
      <c r="N390" s="227">
        <f>(IF((VLOOKUP(Table10[[#This Row],[SKU]],'All Skus'!$A:$AC,2,FALSE))="Martin",(VLOOKUP(Table10[[#This Row],[SKU]],'All Skus'!$A:$AC,18,FALSE)),""))</f>
        <v>0</v>
      </c>
      <c r="O390" s="227">
        <f>(IF((VLOOKUP(Table10[[#This Row],[SKU]],'All Skus'!$A:$AC,2,FALSE))="Martin",(VLOOKUP(Table10[[#This Row],[SKU]],'All Skus'!$A:$AC,19,FALSE)),""))</f>
        <v>0</v>
      </c>
      <c r="P390" s="227">
        <f>(IF((VLOOKUP(Table10[[#This Row],[SKU]],'All Skus'!$A:$AC,2,FALSE))="Martin",(VLOOKUP(Table10[[#This Row],[SKU]],'All Skus'!$A:$AC,20,FALSE)),""))</f>
        <v>0</v>
      </c>
      <c r="Q390" s="227">
        <f>(IF((VLOOKUP(Table10[[#This Row],[SKU]],'All Skus'!$A:$AC,2,FALSE))="Martin",(VLOOKUP(Table10[[#This Row],[SKU]],'All Skus'!$A:$AC,21,FALSE)),""))</f>
        <v>0</v>
      </c>
      <c r="R390" s="224">
        <f>(IF((VLOOKUP(Table10[[#This Row],[SKU]],'All Skus'!$A:$AC,2,FALSE))="Martin",(VLOOKUP(Table10[[#This Row],[SKU]],'All Skus'!$A:$AC,22,FALSE)),""))</f>
        <v>0</v>
      </c>
      <c r="S390" s="223">
        <f>(IF((VLOOKUP(Table10[[#This Row],[SKU]],'All Skus'!$A:$AC,2,FALSE))="Martin",(VLOOKUP(Table10[[#This Row],[SKU]],'All Skus'!$A:$AC,23,FALSE)),""))</f>
        <v>0</v>
      </c>
      <c r="T390" s="212" t="str">
        <f>HYPERLINK((IF((VLOOKUP(Table10[[#This Row],[SKU]],'All Skus'!$A:$AC,2,FALSE))="Martin",(VLOOKUP(Table10[[#This Row],[SKU]],'All Skus'!$A:$AC,24,FALSE)),"")))</f>
        <v/>
      </c>
      <c r="U390" s="228">
        <v>388</v>
      </c>
    </row>
    <row r="391" spans="1:21" hidden="1">
      <c r="A391" s="90">
        <v>90512005</v>
      </c>
      <c r="B391" s="224" t="str">
        <f>(IF((VLOOKUP(Table10[[#This Row],[SKU]],'All Skus'!$A:$AC,2,FALSE))="Martin",(VLOOKUP(Table10[[#This Row],[SKU]],'All Skus'!$A:$AC,3,FALSE)),""))</f>
        <v>Image Projection</v>
      </c>
      <c r="C391" s="223" t="str">
        <f>(IF((VLOOKUP(Table10[[#This Row],[SKU]],'All Skus'!$A:$AC,2,FALSE))="Martin",(VLOOKUP(Table10[[#This Row],[SKU]],'All Skus'!$A:$AC,4,FALSE)),""))</f>
        <v>Exterior Projection 1000, std finish</v>
      </c>
      <c r="D391" s="224" t="str">
        <f>(IF((VLOOKUP(Table10[[#This Row],[SKU]],'All Skus'!$A:$AC,2,FALSE))="Martin",(VLOOKUP(Table10[[#This Row],[SKU]],'All Skus'!$A:$AC,5,FALSE)),""))</f>
        <v>EXT-PROJ</v>
      </c>
      <c r="E391" s="223">
        <f>(IF((VLOOKUP(Table10[[#This Row],[SKU]],'All Skus'!$A:$AC,2,FALSE))="Martin",(VLOOKUP(Table10[[#This Row],[SKU]],'All Skus'!$A:$AC,6,FALSE)),""))</f>
        <v>0</v>
      </c>
      <c r="F391" s="155" t="str">
        <f>(IF((VLOOKUP(Table10[[#This Row],[SKU]],'All Skus'!$A:$AC,2,FALSE))="Martin",(VLOOKUP(Table10[[#This Row],[SKU]],'All Skus'!$A:$AC,7,FALSE)),""))</f>
        <v>EOL stage – limited availability may apply</v>
      </c>
      <c r="G391" s="223" t="str">
        <f>(IF((VLOOKUP(Table10[[#This Row],[SKU]],'All Skus'!$A:$AC,2,FALSE))="Martin",(VLOOKUP(Table10[[#This Row],[SKU]],'All Skus'!$A:$AC,8,FALSE)),""))</f>
        <v>Exterior Projection 1000, std finish</v>
      </c>
      <c r="H391" s="223" t="str">
        <f>(IF((VLOOKUP(Table10[[#This Row],[SKU]],'All Skus'!$A:$AC,2,FALSE))="Martin",(VLOOKUP(Table10[[#This Row],[SKU]],'All Skus'!$A:$AC,9,FALSE)),""))</f>
        <v>Exterior Projection 1000, std finish</v>
      </c>
      <c r="I391" s="225">
        <f>(IF((VLOOKUP(Table10[[#This Row],[SKU]],'All Skus'!$A:$AC,2,FALSE))="Martin",(VLOOKUP(Table10[[#This Row],[SKU]],'All Skus'!$A:$AC,10,FALSE)),""))</f>
        <v>18521.46</v>
      </c>
      <c r="J391" s="226">
        <f>(IF((VLOOKUP(Table10[[#This Row],[SKU]],'All Skus'!$A:$AC,2,FALSE))="Martin",(VLOOKUP(Table10[[#This Row],[SKU]],'All Skus'!$A:$AC,11,FALSE)),""))</f>
        <v>18521.46</v>
      </c>
      <c r="K391" s="224">
        <f>(IF((VLOOKUP(Table10[[#This Row],[SKU]],'All Skus'!$A:$AC,2,FALSE))="Martin",(VLOOKUP(Table10[[#This Row],[SKU]],'All Skus'!$A:$AC,15,FALSE)),""))</f>
        <v>0</v>
      </c>
      <c r="L391" s="224">
        <f>(IF((VLOOKUP(Table10[[#This Row],[SKU]],'All Skus'!$A:$AC,2,FALSE))="Martin",(VLOOKUP(Table10[[#This Row],[SKU]],'All Skus'!$A:$AC,16,FALSE)),""))</f>
        <v>5706681235308</v>
      </c>
      <c r="M391" s="224">
        <f>(IF((VLOOKUP(Table10[[#This Row],[SKU]],'All Skus'!$A:$AC,2,FALSE))="Martin",(VLOOKUP(Table10[[#This Row],[SKU]],'All Skus'!$A:$AC,17,FALSE)),""))</f>
        <v>0</v>
      </c>
      <c r="N391" s="227">
        <f>(IF((VLOOKUP(Table10[[#This Row],[SKU]],'All Skus'!$A:$AC,2,FALSE))="Martin",(VLOOKUP(Table10[[#This Row],[SKU]],'All Skus'!$A:$AC,18,FALSE)),""))</f>
        <v>0</v>
      </c>
      <c r="O391" s="227">
        <f>(IF((VLOOKUP(Table10[[#This Row],[SKU]],'All Skus'!$A:$AC,2,FALSE))="Martin",(VLOOKUP(Table10[[#This Row],[SKU]],'All Skus'!$A:$AC,19,FALSE)),""))</f>
        <v>0</v>
      </c>
      <c r="P391" s="227">
        <f>(IF((VLOOKUP(Table10[[#This Row],[SKU]],'All Skus'!$A:$AC,2,FALSE))="Martin",(VLOOKUP(Table10[[#This Row],[SKU]],'All Skus'!$A:$AC,20,FALSE)),""))</f>
        <v>0</v>
      </c>
      <c r="Q391" s="227">
        <f>(IF((VLOOKUP(Table10[[#This Row],[SKU]],'All Skus'!$A:$AC,2,FALSE))="Martin",(VLOOKUP(Table10[[#This Row],[SKU]],'All Skus'!$A:$AC,21,FALSE)),""))</f>
        <v>0</v>
      </c>
      <c r="R391" s="224" t="str">
        <f>(IF((VLOOKUP(Table10[[#This Row],[SKU]],'All Skus'!$A:$AC,2,FALSE))="Martin",(VLOOKUP(Table10[[#This Row],[SKU]],'All Skus'!$A:$AC,22,FALSE)),""))</f>
        <v>CN</v>
      </c>
      <c r="S391" s="223" t="str">
        <f>(IF((VLOOKUP(Table10[[#This Row],[SKU]],'All Skus'!$A:$AC,2,FALSE))="Martin",(VLOOKUP(Table10[[#This Row],[SKU]],'All Skus'!$A:$AC,23,FALSE)),""))</f>
        <v>Non Compliant</v>
      </c>
      <c r="T391" s="212" t="str">
        <f>HYPERLINK((IF((VLOOKUP(Table10[[#This Row],[SKU]],'All Skus'!$A:$AC,2,FALSE))="Martin",(VLOOKUP(Table10[[#This Row],[SKU]],'All Skus'!$A:$AC,24,FALSE)),"")))</f>
        <v/>
      </c>
      <c r="U391" s="228">
        <v>389</v>
      </c>
    </row>
    <row r="392" spans="1:21" hidden="1">
      <c r="A392" s="90">
        <v>90512010</v>
      </c>
      <c r="B392" s="224" t="str">
        <f>(IF((VLOOKUP(Table10[[#This Row],[SKU]],'All Skus'!$A:$AC,2,FALSE))="Martin",(VLOOKUP(Table10[[#This Row],[SKU]],'All Skus'!$A:$AC,3,FALSE)),""))</f>
        <v>Image Projection</v>
      </c>
      <c r="C392" s="223" t="str">
        <f>(IF((VLOOKUP(Table10[[#This Row],[SKU]],'All Skus'!$A:$AC,2,FALSE))="Martin",(VLOOKUP(Table10[[#This Row],[SKU]],'All Skus'!$A:$AC,4,FALSE)),""))</f>
        <v>Exterior Projection 1000, US white finish</v>
      </c>
      <c r="D392" s="224" t="str">
        <f>(IF((VLOOKUP(Table10[[#This Row],[SKU]],'All Skus'!$A:$AC,2,FALSE))="Martin",(VLOOKUP(Table10[[#This Row],[SKU]],'All Skus'!$A:$AC,5,FALSE)),""))</f>
        <v>EXT-PROJ</v>
      </c>
      <c r="E392" s="223">
        <f>(IF((VLOOKUP(Table10[[#This Row],[SKU]],'All Skus'!$A:$AC,2,FALSE))="Martin",(VLOOKUP(Table10[[#This Row],[SKU]],'All Skus'!$A:$AC,6,FALSE)),""))</f>
        <v>0</v>
      </c>
      <c r="F392" s="155" t="str">
        <f>(IF((VLOOKUP(Table10[[#This Row],[SKU]],'All Skus'!$A:$AC,2,FALSE))="Martin",(VLOOKUP(Table10[[#This Row],[SKU]],'All Skus'!$A:$AC,7,FALSE)),""))</f>
        <v>EOL stage – limited availability may apply</v>
      </c>
      <c r="G392" s="223" t="str">
        <f>(IF((VLOOKUP(Table10[[#This Row],[SKU]],'All Skus'!$A:$AC,2,FALSE))="Martin",(VLOOKUP(Table10[[#This Row],[SKU]],'All Skus'!$A:$AC,8,FALSE)),""))</f>
        <v>Exterior Projection 1000, US white finish</v>
      </c>
      <c r="H392" s="223" t="str">
        <f>(IF((VLOOKUP(Table10[[#This Row],[SKU]],'All Skus'!$A:$AC,2,FALSE))="Martin",(VLOOKUP(Table10[[#This Row],[SKU]],'All Skus'!$A:$AC,9,FALSE)),""))</f>
        <v>Exterior Projection 1000, US white finish</v>
      </c>
      <c r="I392" s="225">
        <f>(IF((VLOOKUP(Table10[[#This Row],[SKU]],'All Skus'!$A:$AC,2,FALSE))="Martin",(VLOOKUP(Table10[[#This Row],[SKU]],'All Skus'!$A:$AC,10,FALSE)),""))</f>
        <v>21484.89</v>
      </c>
      <c r="J392" s="226">
        <f>(IF((VLOOKUP(Table10[[#This Row],[SKU]],'All Skus'!$A:$AC,2,FALSE))="Martin",(VLOOKUP(Table10[[#This Row],[SKU]],'All Skus'!$A:$AC,11,FALSE)),""))</f>
        <v>21484.89</v>
      </c>
      <c r="K392" s="224">
        <f>(IF((VLOOKUP(Table10[[#This Row],[SKU]],'All Skus'!$A:$AC,2,FALSE))="Martin",(VLOOKUP(Table10[[#This Row],[SKU]],'All Skus'!$A:$AC,15,FALSE)),""))</f>
        <v>0</v>
      </c>
      <c r="L392" s="224">
        <f>(IF((VLOOKUP(Table10[[#This Row],[SKU]],'All Skus'!$A:$AC,2,FALSE))="Martin",(VLOOKUP(Table10[[#This Row],[SKU]],'All Skus'!$A:$AC,16,FALSE)),""))</f>
        <v>5706681236992</v>
      </c>
      <c r="M392" s="224">
        <f>(IF((VLOOKUP(Table10[[#This Row],[SKU]],'All Skus'!$A:$AC,2,FALSE))="Martin",(VLOOKUP(Table10[[#This Row],[SKU]],'All Skus'!$A:$AC,17,FALSE)),""))</f>
        <v>0</v>
      </c>
      <c r="N392" s="227">
        <f>(IF((VLOOKUP(Table10[[#This Row],[SKU]],'All Skus'!$A:$AC,2,FALSE))="Martin",(VLOOKUP(Table10[[#This Row],[SKU]],'All Skus'!$A:$AC,18,FALSE)),""))</f>
        <v>16.38</v>
      </c>
      <c r="O392" s="227">
        <f>(IF((VLOOKUP(Table10[[#This Row],[SKU]],'All Skus'!$A:$AC,2,FALSE))="Martin",(VLOOKUP(Table10[[#This Row],[SKU]],'All Skus'!$A:$AC,19,FALSE)),""))</f>
        <v>16.38</v>
      </c>
      <c r="P392" s="227">
        <f>(IF((VLOOKUP(Table10[[#This Row],[SKU]],'All Skus'!$A:$AC,2,FALSE))="Martin",(VLOOKUP(Table10[[#This Row],[SKU]],'All Skus'!$A:$AC,20,FALSE)),""))</f>
        <v>0</v>
      </c>
      <c r="Q392" s="227">
        <f>(IF((VLOOKUP(Table10[[#This Row],[SKU]],'All Skus'!$A:$AC,2,FALSE))="Martin",(VLOOKUP(Table10[[#This Row],[SKU]],'All Skus'!$A:$AC,21,FALSE)),""))</f>
        <v>0</v>
      </c>
      <c r="R392" s="224" t="str">
        <f>(IF((VLOOKUP(Table10[[#This Row],[SKU]],'All Skus'!$A:$AC,2,FALSE))="Martin",(VLOOKUP(Table10[[#This Row],[SKU]],'All Skus'!$A:$AC,22,FALSE)),""))</f>
        <v>CN</v>
      </c>
      <c r="S392" s="223" t="str">
        <f>(IF((VLOOKUP(Table10[[#This Row],[SKU]],'All Skus'!$A:$AC,2,FALSE))="Martin",(VLOOKUP(Table10[[#This Row],[SKU]],'All Skus'!$A:$AC,23,FALSE)),""))</f>
        <v>Non Compliant</v>
      </c>
      <c r="T392" s="212" t="str">
        <f>HYPERLINK((IF((VLOOKUP(Table10[[#This Row],[SKU]],'All Skus'!$A:$AC,2,FALSE))="Martin",(VLOOKUP(Table10[[#This Row],[SKU]],'All Skus'!$A:$AC,24,FALSE)),"")))</f>
        <v>https://www.martin.com/en/products/exterior-projection-1000</v>
      </c>
      <c r="U392" s="228">
        <v>390</v>
      </c>
    </row>
    <row r="393" spans="1:21" hidden="1">
      <c r="A393" s="90">
        <v>90512000</v>
      </c>
      <c r="B393" s="224" t="str">
        <f>(IF((VLOOKUP(Table10[[#This Row],[SKU]],'All Skus'!$A:$AC,2,FALSE))="Martin",(VLOOKUP(Table10[[#This Row],[SKU]],'All Skus'!$A:$AC,3,FALSE)),""))</f>
        <v>Image Projection</v>
      </c>
      <c r="C393" s="223" t="str">
        <f>(IF((VLOOKUP(Table10[[#This Row],[SKU]],'All Skus'!$A:$AC,2,FALSE))="Martin",(VLOOKUP(Table10[[#This Row],[SKU]],'All Skus'!$A:$AC,4,FALSE)),""))</f>
        <v>Exterior Projection 1000, EU std finish</v>
      </c>
      <c r="D393" s="224" t="str">
        <f>(IF((VLOOKUP(Table10[[#This Row],[SKU]],'All Skus'!$A:$AC,2,FALSE))="Martin",(VLOOKUP(Table10[[#This Row],[SKU]],'All Skus'!$A:$AC,5,FALSE)),""))</f>
        <v>EXT-PROJ</v>
      </c>
      <c r="E393" s="223">
        <f>(IF((VLOOKUP(Table10[[#This Row],[SKU]],'All Skus'!$A:$AC,2,FALSE))="Martin",(VLOOKUP(Table10[[#This Row],[SKU]],'All Skus'!$A:$AC,6,FALSE)),""))</f>
        <v>0</v>
      </c>
      <c r="F393" s="155" t="str">
        <f>(IF((VLOOKUP(Table10[[#This Row],[SKU]],'All Skus'!$A:$AC,2,FALSE))="Martin",(VLOOKUP(Table10[[#This Row],[SKU]],'All Skus'!$A:$AC,7,FALSE)),""))</f>
        <v>EOL stage – limited availability may apply</v>
      </c>
      <c r="G393" s="223" t="str">
        <f>(IF((VLOOKUP(Table10[[#This Row],[SKU]],'All Skus'!$A:$AC,2,FALSE))="Martin",(VLOOKUP(Table10[[#This Row],[SKU]],'All Skus'!$A:$AC,8,FALSE)),""))</f>
        <v>Exterior Projection 1000, EU std finish</v>
      </c>
      <c r="H393" s="223" t="str">
        <f>(IF((VLOOKUP(Table10[[#This Row],[SKU]],'All Skus'!$A:$AC,2,FALSE))="Martin",(VLOOKUP(Table10[[#This Row],[SKU]],'All Skus'!$A:$AC,9,FALSE)),""))</f>
        <v>Exterior Projection 1000, EU std finish</v>
      </c>
      <c r="I393" s="225">
        <f>(IF((VLOOKUP(Table10[[#This Row],[SKU]],'All Skus'!$A:$AC,2,FALSE))="Martin",(VLOOKUP(Table10[[#This Row],[SKU]],'All Skus'!$A:$AC,10,FALSE)),""))</f>
        <v>18521.46</v>
      </c>
      <c r="J393" s="226">
        <f>(IF((VLOOKUP(Table10[[#This Row],[SKU]],'All Skus'!$A:$AC,2,FALSE))="Martin",(VLOOKUP(Table10[[#This Row],[SKU]],'All Skus'!$A:$AC,11,FALSE)),""))</f>
        <v>18521.46</v>
      </c>
      <c r="K393" s="224">
        <f>(IF((VLOOKUP(Table10[[#This Row],[SKU]],'All Skus'!$A:$AC,2,FALSE))="Martin",(VLOOKUP(Table10[[#This Row],[SKU]],'All Skus'!$A:$AC,15,FALSE)),""))</f>
        <v>0</v>
      </c>
      <c r="L393" s="224">
        <f>(IF((VLOOKUP(Table10[[#This Row],[SKU]],'All Skus'!$A:$AC,2,FALSE))="Martin",(VLOOKUP(Table10[[#This Row],[SKU]],'All Skus'!$A:$AC,16,FALSE)),""))</f>
        <v>5706681235292</v>
      </c>
      <c r="M393" s="224">
        <f>(IF((VLOOKUP(Table10[[#This Row],[SKU]],'All Skus'!$A:$AC,2,FALSE))="Martin",(VLOOKUP(Table10[[#This Row],[SKU]],'All Skus'!$A:$AC,17,FALSE)),""))</f>
        <v>0</v>
      </c>
      <c r="N393" s="227">
        <f>(IF((VLOOKUP(Table10[[#This Row],[SKU]],'All Skus'!$A:$AC,2,FALSE))="Martin",(VLOOKUP(Table10[[#This Row],[SKU]],'All Skus'!$A:$AC,18,FALSE)),""))</f>
        <v>0</v>
      </c>
      <c r="O393" s="227">
        <f>(IF((VLOOKUP(Table10[[#This Row],[SKU]],'All Skus'!$A:$AC,2,FALSE))="Martin",(VLOOKUP(Table10[[#This Row],[SKU]],'All Skus'!$A:$AC,19,FALSE)),""))</f>
        <v>0</v>
      </c>
      <c r="P393" s="227">
        <f>(IF((VLOOKUP(Table10[[#This Row],[SKU]],'All Skus'!$A:$AC,2,FALSE))="Martin",(VLOOKUP(Table10[[#This Row],[SKU]],'All Skus'!$A:$AC,20,FALSE)),""))</f>
        <v>0</v>
      </c>
      <c r="Q393" s="227">
        <f>(IF((VLOOKUP(Table10[[#This Row],[SKU]],'All Skus'!$A:$AC,2,FALSE))="Martin",(VLOOKUP(Table10[[#This Row],[SKU]],'All Skus'!$A:$AC,21,FALSE)),""))</f>
        <v>0</v>
      </c>
      <c r="R393" s="224" t="str">
        <f>(IF((VLOOKUP(Table10[[#This Row],[SKU]],'All Skus'!$A:$AC,2,FALSE))="Martin",(VLOOKUP(Table10[[#This Row],[SKU]],'All Skus'!$A:$AC,22,FALSE)),""))</f>
        <v>CN</v>
      </c>
      <c r="S393" s="223" t="str">
        <f>(IF((VLOOKUP(Table10[[#This Row],[SKU]],'All Skus'!$A:$AC,2,FALSE))="Martin",(VLOOKUP(Table10[[#This Row],[SKU]],'All Skus'!$A:$AC,23,FALSE)),""))</f>
        <v>Non Compliant</v>
      </c>
      <c r="T393" s="212" t="str">
        <f>HYPERLINK((IF((VLOOKUP(Table10[[#This Row],[SKU]],'All Skus'!$A:$AC,2,FALSE))="Martin",(VLOOKUP(Table10[[#This Row],[SKU]],'All Skus'!$A:$AC,24,FALSE)),"")))</f>
        <v>https://www.martin.com/en/products/exterior-projection-1000</v>
      </c>
      <c r="U393" s="228">
        <v>391</v>
      </c>
    </row>
    <row r="394" spans="1:21" hidden="1">
      <c r="A394" s="90">
        <v>90512015</v>
      </c>
      <c r="B394" s="224" t="str">
        <f>(IF((VLOOKUP(Table10[[#This Row],[SKU]],'All Skus'!$A:$AC,2,FALSE))="Martin",(VLOOKUP(Table10[[#This Row],[SKU]],'All Skus'!$A:$AC,3,FALSE)),""))</f>
        <v>Image Projection</v>
      </c>
      <c r="C394" s="223" t="str">
        <f>(IF((VLOOKUP(Table10[[#This Row],[SKU]],'All Skus'!$A:$AC,2,FALSE))="Martin",(VLOOKUP(Table10[[#This Row],[SKU]],'All Skus'!$A:$AC,4,FALSE)),""))</f>
        <v>Exterior Projection 1000 EU white finish</v>
      </c>
      <c r="D394" s="224" t="str">
        <f>(IF((VLOOKUP(Table10[[#This Row],[SKU]],'All Skus'!$A:$AC,2,FALSE))="Martin",(VLOOKUP(Table10[[#This Row],[SKU]],'All Skus'!$A:$AC,5,FALSE)),""))</f>
        <v>EXT-PROJ</v>
      </c>
      <c r="E394" s="223">
        <f>(IF((VLOOKUP(Table10[[#This Row],[SKU]],'All Skus'!$A:$AC,2,FALSE))="Martin",(VLOOKUP(Table10[[#This Row],[SKU]],'All Skus'!$A:$AC,6,FALSE)),""))</f>
        <v>0</v>
      </c>
      <c r="F394" s="155" t="str">
        <f>(IF((VLOOKUP(Table10[[#This Row],[SKU]],'All Skus'!$A:$AC,2,FALSE))="Martin",(VLOOKUP(Table10[[#This Row],[SKU]],'All Skus'!$A:$AC,7,FALSE)),""))</f>
        <v>EOL stage – limited availability may apply</v>
      </c>
      <c r="G394" s="223" t="str">
        <f>(IF((VLOOKUP(Table10[[#This Row],[SKU]],'All Skus'!$A:$AC,2,FALSE))="Martin",(VLOOKUP(Table10[[#This Row],[SKU]],'All Skus'!$A:$AC,8,FALSE)),""))</f>
        <v>Exterior Projection 1000 EU white finish</v>
      </c>
      <c r="H394" s="223" t="str">
        <f>(IF((VLOOKUP(Table10[[#This Row],[SKU]],'All Skus'!$A:$AC,2,FALSE))="Martin",(VLOOKUP(Table10[[#This Row],[SKU]],'All Skus'!$A:$AC,9,FALSE)),""))</f>
        <v>Exterior Projection 1000 EU white finish</v>
      </c>
      <c r="I394" s="225">
        <f>(IF((VLOOKUP(Table10[[#This Row],[SKU]],'All Skus'!$A:$AC,2,FALSE))="Martin",(VLOOKUP(Table10[[#This Row],[SKU]],'All Skus'!$A:$AC,10,FALSE)),""))</f>
        <v>21484.89</v>
      </c>
      <c r="J394" s="226">
        <f>(IF((VLOOKUP(Table10[[#This Row],[SKU]],'All Skus'!$A:$AC,2,FALSE))="Martin",(VLOOKUP(Table10[[#This Row],[SKU]],'All Skus'!$A:$AC,11,FALSE)),""))</f>
        <v>21484.89</v>
      </c>
      <c r="K394" s="224">
        <f>(IF((VLOOKUP(Table10[[#This Row],[SKU]],'All Skus'!$A:$AC,2,FALSE))="Martin",(VLOOKUP(Table10[[#This Row],[SKU]],'All Skus'!$A:$AC,15,FALSE)),""))</f>
        <v>0</v>
      </c>
      <c r="L394" s="224">
        <f>(IF((VLOOKUP(Table10[[#This Row],[SKU]],'All Skus'!$A:$AC,2,FALSE))="Martin",(VLOOKUP(Table10[[#This Row],[SKU]],'All Skus'!$A:$AC,16,FALSE)),""))</f>
        <v>5706681237005</v>
      </c>
      <c r="M394" s="224">
        <f>(IF((VLOOKUP(Table10[[#This Row],[SKU]],'All Skus'!$A:$AC,2,FALSE))="Martin",(VLOOKUP(Table10[[#This Row],[SKU]],'All Skus'!$A:$AC,17,FALSE)),""))</f>
        <v>0</v>
      </c>
      <c r="N394" s="227">
        <f>(IF((VLOOKUP(Table10[[#This Row],[SKU]],'All Skus'!$A:$AC,2,FALSE))="Martin",(VLOOKUP(Table10[[#This Row],[SKU]],'All Skus'!$A:$AC,18,FALSE)),""))</f>
        <v>16.38</v>
      </c>
      <c r="O394" s="227">
        <f>(IF((VLOOKUP(Table10[[#This Row],[SKU]],'All Skus'!$A:$AC,2,FALSE))="Martin",(VLOOKUP(Table10[[#This Row],[SKU]],'All Skus'!$A:$AC,19,FALSE)),""))</f>
        <v>16.38</v>
      </c>
      <c r="P394" s="227">
        <f>(IF((VLOOKUP(Table10[[#This Row],[SKU]],'All Skus'!$A:$AC,2,FALSE))="Martin",(VLOOKUP(Table10[[#This Row],[SKU]],'All Skus'!$A:$AC,20,FALSE)),""))</f>
        <v>0</v>
      </c>
      <c r="Q394" s="227">
        <f>(IF((VLOOKUP(Table10[[#This Row],[SKU]],'All Skus'!$A:$AC,2,FALSE))="Martin",(VLOOKUP(Table10[[#This Row],[SKU]],'All Skus'!$A:$AC,21,FALSE)),""))</f>
        <v>0</v>
      </c>
      <c r="R394" s="224" t="str">
        <f>(IF((VLOOKUP(Table10[[#This Row],[SKU]],'All Skus'!$A:$AC,2,FALSE))="Martin",(VLOOKUP(Table10[[#This Row],[SKU]],'All Skus'!$A:$AC,22,FALSE)),""))</f>
        <v>CN</v>
      </c>
      <c r="S394" s="223" t="str">
        <f>(IF((VLOOKUP(Table10[[#This Row],[SKU]],'All Skus'!$A:$AC,2,FALSE))="Martin",(VLOOKUP(Table10[[#This Row],[SKU]],'All Skus'!$A:$AC,23,FALSE)),""))</f>
        <v>Non Compliant</v>
      </c>
      <c r="T394" s="212" t="str">
        <f>HYPERLINK((IF((VLOOKUP(Table10[[#This Row],[SKU]],'All Skus'!$A:$AC,2,FALSE))="Martin",(VLOOKUP(Table10[[#This Row],[SKU]],'All Skus'!$A:$AC,24,FALSE)),"")))</f>
        <v>https://www.martin.com/en/products/exterior-projection-1000</v>
      </c>
      <c r="U394" s="228">
        <v>392</v>
      </c>
    </row>
    <row r="395" spans="1:21" hidden="1">
      <c r="A395" s="115" t="s">
        <v>2149</v>
      </c>
      <c r="B395" s="224">
        <f>(IF((VLOOKUP(Table10[[#This Row],[SKU]],'All Skus'!$A:$AC,2,FALSE))="Martin",(VLOOKUP(Table10[[#This Row],[SKU]],'All Skus'!$A:$AC,3,FALSE)),""))</f>
        <v>0</v>
      </c>
      <c r="C395" s="223">
        <f>(IF((VLOOKUP(Table10[[#This Row],[SKU]],'All Skus'!$A:$AC,2,FALSE))="Martin",(VLOOKUP(Table10[[#This Row],[SKU]],'All Skus'!$A:$AC,4,FALSE)),""))</f>
        <v>0</v>
      </c>
      <c r="D395" s="224">
        <f>(IF((VLOOKUP(Table10[[#This Row],[SKU]],'All Skus'!$A:$AC,2,FALSE))="Martin",(VLOOKUP(Table10[[#This Row],[SKU]],'All Skus'!$A:$AC,5,FALSE)),""))</f>
        <v>0</v>
      </c>
      <c r="E395" s="223">
        <f>(IF((VLOOKUP(Table10[[#This Row],[SKU]],'All Skus'!$A:$AC,2,FALSE))="Martin",(VLOOKUP(Table10[[#This Row],[SKU]],'All Skus'!$A:$AC,6,FALSE)),""))</f>
        <v>0</v>
      </c>
      <c r="F395" s="155">
        <f>(IF((VLOOKUP(Table10[[#This Row],[SKU]],'All Skus'!$A:$AC,2,FALSE))="Martin",(VLOOKUP(Table10[[#This Row],[SKU]],'All Skus'!$A:$AC,7,FALSE)),""))</f>
        <v>0</v>
      </c>
      <c r="G395" s="223">
        <f>(IF((VLOOKUP(Table10[[#This Row],[SKU]],'All Skus'!$A:$AC,2,FALSE))="Martin",(VLOOKUP(Table10[[#This Row],[SKU]],'All Skus'!$A:$AC,8,FALSE)),""))</f>
        <v>0</v>
      </c>
      <c r="H395" s="223">
        <f>(IF((VLOOKUP(Table10[[#This Row],[SKU]],'All Skus'!$A:$AC,2,FALSE))="Martin",(VLOOKUP(Table10[[#This Row],[SKU]],'All Skus'!$A:$AC,9,FALSE)),""))</f>
        <v>0</v>
      </c>
      <c r="I395" s="225">
        <f>(IF((VLOOKUP(Table10[[#This Row],[SKU]],'All Skus'!$A:$AC,2,FALSE))="Martin",(VLOOKUP(Table10[[#This Row],[SKU]],'All Skus'!$A:$AC,10,FALSE)),""))</f>
        <v>0</v>
      </c>
      <c r="J395" s="226">
        <f>(IF((VLOOKUP(Table10[[#This Row],[SKU]],'All Skus'!$A:$AC,2,FALSE))="Martin",(VLOOKUP(Table10[[#This Row],[SKU]],'All Skus'!$A:$AC,11,FALSE)),""))</f>
        <v>0</v>
      </c>
      <c r="K395" s="224">
        <f>(IF((VLOOKUP(Table10[[#This Row],[SKU]],'All Skus'!$A:$AC,2,FALSE))="Martin",(VLOOKUP(Table10[[#This Row],[SKU]],'All Skus'!$A:$AC,15,FALSE)),""))</f>
        <v>0</v>
      </c>
      <c r="L395" s="224">
        <f>(IF((VLOOKUP(Table10[[#This Row],[SKU]],'All Skus'!$A:$AC,2,FALSE))="Martin",(VLOOKUP(Table10[[#This Row],[SKU]],'All Skus'!$A:$AC,16,FALSE)),""))</f>
        <v>0</v>
      </c>
      <c r="M395" s="224">
        <f>(IF((VLOOKUP(Table10[[#This Row],[SKU]],'All Skus'!$A:$AC,2,FALSE))="Martin",(VLOOKUP(Table10[[#This Row],[SKU]],'All Skus'!$A:$AC,17,FALSE)),""))</f>
        <v>0</v>
      </c>
      <c r="N395" s="227">
        <f>(IF((VLOOKUP(Table10[[#This Row],[SKU]],'All Skus'!$A:$AC,2,FALSE))="Martin",(VLOOKUP(Table10[[#This Row],[SKU]],'All Skus'!$A:$AC,18,FALSE)),""))</f>
        <v>0</v>
      </c>
      <c r="O395" s="227">
        <f>(IF((VLOOKUP(Table10[[#This Row],[SKU]],'All Skus'!$A:$AC,2,FALSE))="Martin",(VLOOKUP(Table10[[#This Row],[SKU]],'All Skus'!$A:$AC,19,FALSE)),""))</f>
        <v>0</v>
      </c>
      <c r="P395" s="227">
        <f>(IF((VLOOKUP(Table10[[#This Row],[SKU]],'All Skus'!$A:$AC,2,FALSE))="Martin",(VLOOKUP(Table10[[#This Row],[SKU]],'All Skus'!$A:$AC,20,FALSE)),""))</f>
        <v>0</v>
      </c>
      <c r="Q395" s="227">
        <f>(IF((VLOOKUP(Table10[[#This Row],[SKU]],'All Skus'!$A:$AC,2,FALSE))="Martin",(VLOOKUP(Table10[[#This Row],[SKU]],'All Skus'!$A:$AC,21,FALSE)),""))</f>
        <v>0</v>
      </c>
      <c r="R395" s="224">
        <f>(IF((VLOOKUP(Table10[[#This Row],[SKU]],'All Skus'!$A:$AC,2,FALSE))="Martin",(VLOOKUP(Table10[[#This Row],[SKU]],'All Skus'!$A:$AC,22,FALSE)),""))</f>
        <v>0</v>
      </c>
      <c r="S395" s="223">
        <f>(IF((VLOOKUP(Table10[[#This Row],[SKU]],'All Skus'!$A:$AC,2,FALSE))="Martin",(VLOOKUP(Table10[[#This Row],[SKU]],'All Skus'!$A:$AC,23,FALSE)),""))</f>
        <v>0</v>
      </c>
      <c r="T395" s="212" t="str">
        <f>HYPERLINK((IF((VLOOKUP(Table10[[#This Row],[SKU]],'All Skus'!$A:$AC,2,FALSE))="Martin",(VLOOKUP(Table10[[#This Row],[SKU]],'All Skus'!$A:$AC,24,FALSE)),"")))</f>
        <v/>
      </c>
      <c r="U395" s="228">
        <v>393</v>
      </c>
    </row>
    <row r="396" spans="1:21" hidden="1">
      <c r="A396" s="90">
        <v>91611768</v>
      </c>
      <c r="B396" s="224" t="str">
        <f>(IF((VLOOKUP(Table10[[#This Row],[SKU]],'All Skus'!$A:$AC,2,FALSE))="Martin",(VLOOKUP(Table10[[#This Row],[SKU]],'All Skus'!$A:$AC,3,FALSE)),""))</f>
        <v>Image Projection</v>
      </c>
      <c r="C396" s="223" t="str">
        <f>(IF((VLOOKUP(Table10[[#This Row],[SKU]],'All Skus'!$A:$AC,2,FALSE))="Martin",(VLOOKUP(Table10[[#This Row],[SKU]],'All Skus'!$A:$AC,4,FALSE)),""))</f>
        <v>GLARESHIELD, EP-1000, Alu</v>
      </c>
      <c r="D396" s="224" t="str">
        <f>(IF((VLOOKUP(Table10[[#This Row],[SKU]],'All Skus'!$A:$AC,2,FALSE))="Martin",(VLOOKUP(Table10[[#This Row],[SKU]],'All Skus'!$A:$AC,5,FALSE)),""))</f>
        <v>EXT-PROJ</v>
      </c>
      <c r="E396" s="223">
        <f>(IF((VLOOKUP(Table10[[#This Row],[SKU]],'All Skus'!$A:$AC,2,FALSE))="Martin",(VLOOKUP(Table10[[#This Row],[SKU]],'All Skus'!$A:$AC,6,FALSE)),""))</f>
        <v>0</v>
      </c>
      <c r="F396" s="155" t="str">
        <f>(IF((VLOOKUP(Table10[[#This Row],[SKU]],'All Skus'!$A:$AC,2,FALSE))="Martin",(VLOOKUP(Table10[[#This Row],[SKU]],'All Skus'!$A:$AC,7,FALSE)),""))</f>
        <v>EOL stage – limited availability may apply</v>
      </c>
      <c r="G396" s="223" t="str">
        <f>(IF((VLOOKUP(Table10[[#This Row],[SKU]],'All Skus'!$A:$AC,2,FALSE))="Martin",(VLOOKUP(Table10[[#This Row],[SKU]],'All Skus'!$A:$AC,8,FALSE)),""))</f>
        <v>GLARESHIELD, EP-1000, Alu</v>
      </c>
      <c r="H396" s="223" t="str">
        <f>(IF((VLOOKUP(Table10[[#This Row],[SKU]],'All Skus'!$A:$AC,2,FALSE))="Martin",(VLOOKUP(Table10[[#This Row],[SKU]],'All Skus'!$A:$AC,9,FALSE)),""))</f>
        <v>GLARESHIELD, EP-1000, Alu</v>
      </c>
      <c r="I396" s="225">
        <f>(IF((VLOOKUP(Table10[[#This Row],[SKU]],'All Skus'!$A:$AC,2,FALSE))="Martin",(VLOOKUP(Table10[[#This Row],[SKU]],'All Skus'!$A:$AC,10,FALSE)),""))</f>
        <v>219.79</v>
      </c>
      <c r="J396" s="226">
        <f>(IF((VLOOKUP(Table10[[#This Row],[SKU]],'All Skus'!$A:$AC,2,FALSE))="Martin",(VLOOKUP(Table10[[#This Row],[SKU]],'All Skus'!$A:$AC,11,FALSE)),""))</f>
        <v>219.79</v>
      </c>
      <c r="K396" s="224">
        <f>(IF((VLOOKUP(Table10[[#This Row],[SKU]],'All Skus'!$A:$AC,2,FALSE))="Martin",(VLOOKUP(Table10[[#This Row],[SKU]],'All Skus'!$A:$AC,15,FALSE)),""))</f>
        <v>0</v>
      </c>
      <c r="L396" s="224">
        <f>(IF((VLOOKUP(Table10[[#This Row],[SKU]],'All Skus'!$A:$AC,2,FALSE))="Martin",(VLOOKUP(Table10[[#This Row],[SKU]],'All Skus'!$A:$AC,16,FALSE)),""))</f>
        <v>0</v>
      </c>
      <c r="M396" s="224">
        <f>(IF((VLOOKUP(Table10[[#This Row],[SKU]],'All Skus'!$A:$AC,2,FALSE))="Martin",(VLOOKUP(Table10[[#This Row],[SKU]],'All Skus'!$A:$AC,17,FALSE)),""))</f>
        <v>0</v>
      </c>
      <c r="N396" s="227">
        <f>(IF((VLOOKUP(Table10[[#This Row],[SKU]],'All Skus'!$A:$AC,2,FALSE))="Martin",(VLOOKUP(Table10[[#This Row],[SKU]],'All Skus'!$A:$AC,18,FALSE)),""))</f>
        <v>0</v>
      </c>
      <c r="O396" s="227">
        <f>(IF((VLOOKUP(Table10[[#This Row],[SKU]],'All Skus'!$A:$AC,2,FALSE))="Martin",(VLOOKUP(Table10[[#This Row],[SKU]],'All Skus'!$A:$AC,19,FALSE)),""))</f>
        <v>0</v>
      </c>
      <c r="P396" s="227">
        <f>(IF((VLOOKUP(Table10[[#This Row],[SKU]],'All Skus'!$A:$AC,2,FALSE))="Martin",(VLOOKUP(Table10[[#This Row],[SKU]],'All Skus'!$A:$AC,20,FALSE)),""))</f>
        <v>0</v>
      </c>
      <c r="Q396" s="227">
        <f>(IF((VLOOKUP(Table10[[#This Row],[SKU]],'All Skus'!$A:$AC,2,FALSE))="Martin",(VLOOKUP(Table10[[#This Row],[SKU]],'All Skus'!$A:$AC,21,FALSE)),""))</f>
        <v>0</v>
      </c>
      <c r="R396" s="224" t="str">
        <f>(IF((VLOOKUP(Table10[[#This Row],[SKU]],'All Skus'!$A:$AC,2,FALSE))="Martin",(VLOOKUP(Table10[[#This Row],[SKU]],'All Skus'!$A:$AC,22,FALSE)),""))</f>
        <v>CN</v>
      </c>
      <c r="S396" s="223" t="str">
        <f>(IF((VLOOKUP(Table10[[#This Row],[SKU]],'All Skus'!$A:$AC,2,FALSE))="Martin",(VLOOKUP(Table10[[#This Row],[SKU]],'All Skus'!$A:$AC,23,FALSE)),""))</f>
        <v>Non Compliant</v>
      </c>
      <c r="T396" s="212" t="str">
        <f>HYPERLINK((IF((VLOOKUP(Table10[[#This Row],[SKU]],'All Skus'!$A:$AC,2,FALSE))="Martin",(VLOOKUP(Table10[[#This Row],[SKU]],'All Skus'!$A:$AC,24,FALSE)),"")))</f>
        <v>https://www.martin.com/en/products/exterior-projection-1000</v>
      </c>
      <c r="U396" s="228">
        <v>394</v>
      </c>
    </row>
    <row r="397" spans="1:21" hidden="1">
      <c r="A397" s="90">
        <v>91616075</v>
      </c>
      <c r="B397" s="224" t="str">
        <f>(IF((VLOOKUP(Table10[[#This Row],[SKU]],'All Skus'!$A:$AC,2,FALSE))="Martin",(VLOOKUP(Table10[[#This Row],[SKU]],'All Skus'!$A:$AC,3,FALSE)),""))</f>
        <v>Image Projection</v>
      </c>
      <c r="C397" s="223" t="str">
        <f>(IF((VLOOKUP(Table10[[#This Row],[SKU]],'All Skus'!$A:$AC,2,FALSE))="Martin",(VLOOKUP(Table10[[#This Row],[SKU]],'All Skus'!$A:$AC,4,FALSE)),""))</f>
        <v>Line Up Gobo Exterior Projection 1000</v>
      </c>
      <c r="D397" s="224" t="str">
        <f>(IF((VLOOKUP(Table10[[#This Row],[SKU]],'All Skus'!$A:$AC,2,FALSE))="Martin",(VLOOKUP(Table10[[#This Row],[SKU]],'All Skus'!$A:$AC,5,FALSE)),""))</f>
        <v>EXT-PROJ</v>
      </c>
      <c r="E397" s="223">
        <f>(IF((VLOOKUP(Table10[[#This Row],[SKU]],'All Skus'!$A:$AC,2,FALSE))="Martin",(VLOOKUP(Table10[[#This Row],[SKU]],'All Skus'!$A:$AC,6,FALSE)),""))</f>
        <v>0</v>
      </c>
      <c r="F397" s="155" t="str">
        <f>(IF((VLOOKUP(Table10[[#This Row],[SKU]],'All Skus'!$A:$AC,2,FALSE))="Martin",(VLOOKUP(Table10[[#This Row],[SKU]],'All Skus'!$A:$AC,7,FALSE)),""))</f>
        <v>EOL stage – limited availability may apply</v>
      </c>
      <c r="G397" s="223" t="str">
        <f>(IF((VLOOKUP(Table10[[#This Row],[SKU]],'All Skus'!$A:$AC,2,FALSE))="Martin",(VLOOKUP(Table10[[#This Row],[SKU]],'All Skus'!$A:$AC,8,FALSE)),""))</f>
        <v>Line Up Gobo Exterior Projection 1000</v>
      </c>
      <c r="H397" s="223" t="str">
        <f>(IF((VLOOKUP(Table10[[#This Row],[SKU]],'All Skus'!$A:$AC,2,FALSE))="Martin",(VLOOKUP(Table10[[#This Row],[SKU]],'All Skus'!$A:$AC,9,FALSE)),""))</f>
        <v>Line Up Gobo Exterior Projection 1000</v>
      </c>
      <c r="I397" s="225">
        <f>(IF((VLOOKUP(Table10[[#This Row],[SKU]],'All Skus'!$A:$AC,2,FALSE))="Martin",(VLOOKUP(Table10[[#This Row],[SKU]],'All Skus'!$A:$AC,10,FALSE)),""))</f>
        <v>66.680000000000007</v>
      </c>
      <c r="J397" s="226">
        <f>(IF((VLOOKUP(Table10[[#This Row],[SKU]],'All Skus'!$A:$AC,2,FALSE))="Martin",(VLOOKUP(Table10[[#This Row],[SKU]],'All Skus'!$A:$AC,11,FALSE)),""))</f>
        <v>66.680000000000007</v>
      </c>
      <c r="K397" s="224">
        <f>(IF((VLOOKUP(Table10[[#This Row],[SKU]],'All Skus'!$A:$AC,2,FALSE))="Martin",(VLOOKUP(Table10[[#This Row],[SKU]],'All Skus'!$A:$AC,15,FALSE)),""))</f>
        <v>0</v>
      </c>
      <c r="L397" s="224">
        <f>(IF((VLOOKUP(Table10[[#This Row],[SKU]],'All Skus'!$A:$AC,2,FALSE))="Martin",(VLOOKUP(Table10[[#This Row],[SKU]],'All Skus'!$A:$AC,16,FALSE)),""))</f>
        <v>0</v>
      </c>
      <c r="M397" s="224">
        <f>(IF((VLOOKUP(Table10[[#This Row],[SKU]],'All Skus'!$A:$AC,2,FALSE))="Martin",(VLOOKUP(Table10[[#This Row],[SKU]],'All Skus'!$A:$AC,17,FALSE)),""))</f>
        <v>0</v>
      </c>
      <c r="N397" s="227">
        <f>(IF((VLOOKUP(Table10[[#This Row],[SKU]],'All Skus'!$A:$AC,2,FALSE))="Martin",(VLOOKUP(Table10[[#This Row],[SKU]],'All Skus'!$A:$AC,18,FALSE)),""))</f>
        <v>0</v>
      </c>
      <c r="O397" s="227">
        <f>(IF((VLOOKUP(Table10[[#This Row],[SKU]],'All Skus'!$A:$AC,2,FALSE))="Martin",(VLOOKUP(Table10[[#This Row],[SKU]],'All Skus'!$A:$AC,19,FALSE)),""))</f>
        <v>0</v>
      </c>
      <c r="P397" s="227">
        <f>(IF((VLOOKUP(Table10[[#This Row],[SKU]],'All Skus'!$A:$AC,2,FALSE))="Martin",(VLOOKUP(Table10[[#This Row],[SKU]],'All Skus'!$A:$AC,20,FALSE)),""))</f>
        <v>0</v>
      </c>
      <c r="Q397" s="227">
        <f>(IF((VLOOKUP(Table10[[#This Row],[SKU]],'All Skus'!$A:$AC,2,FALSE))="Martin",(VLOOKUP(Table10[[#This Row],[SKU]],'All Skus'!$A:$AC,21,FALSE)),""))</f>
        <v>0</v>
      </c>
      <c r="R397" s="224" t="str">
        <f>(IF((VLOOKUP(Table10[[#This Row],[SKU]],'All Skus'!$A:$AC,2,FALSE))="Martin",(VLOOKUP(Table10[[#This Row],[SKU]],'All Skus'!$A:$AC,22,FALSE)),""))</f>
        <v>CN</v>
      </c>
      <c r="S397" s="223" t="str">
        <f>(IF((VLOOKUP(Table10[[#This Row],[SKU]],'All Skus'!$A:$AC,2,FALSE))="Martin",(VLOOKUP(Table10[[#This Row],[SKU]],'All Skus'!$A:$AC,23,FALSE)),""))</f>
        <v>Non Compliant</v>
      </c>
      <c r="T397" s="212" t="str">
        <f>HYPERLINK((IF((VLOOKUP(Table10[[#This Row],[SKU]],'All Skus'!$A:$AC,2,FALSE))="Martin",(VLOOKUP(Table10[[#This Row],[SKU]],'All Skus'!$A:$AC,24,FALSE)),"")))</f>
        <v>https://www.martin.com/en/products/exterior-projection-1000</v>
      </c>
      <c r="U397" s="228">
        <v>395</v>
      </c>
    </row>
    <row r="398" spans="1:21" hidden="1">
      <c r="A398" s="111" t="s">
        <v>2150</v>
      </c>
      <c r="B398" s="224">
        <f>(IF((VLOOKUP(Table10[[#This Row],[SKU]],'All Skus'!$A:$AC,2,FALSE))="Martin",(VLOOKUP(Table10[[#This Row],[SKU]],'All Skus'!$A:$AC,3,FALSE)),""))</f>
        <v>0</v>
      </c>
      <c r="C398" s="223">
        <f>(IF((VLOOKUP(Table10[[#This Row],[SKU]],'All Skus'!$A:$AC,2,FALSE))="Martin",(VLOOKUP(Table10[[#This Row],[SKU]],'All Skus'!$A:$AC,4,FALSE)),""))</f>
        <v>0</v>
      </c>
      <c r="D398" s="224">
        <f>(IF((VLOOKUP(Table10[[#This Row],[SKU]],'All Skus'!$A:$AC,2,FALSE))="Martin",(VLOOKUP(Table10[[#This Row],[SKU]],'All Skus'!$A:$AC,5,FALSE)),""))</f>
        <v>0</v>
      </c>
      <c r="E398" s="223">
        <f>(IF((VLOOKUP(Table10[[#This Row],[SKU]],'All Skus'!$A:$AC,2,FALSE))="Martin",(VLOOKUP(Table10[[#This Row],[SKU]],'All Skus'!$A:$AC,6,FALSE)),""))</f>
        <v>0</v>
      </c>
      <c r="F398" s="155">
        <f>(IF((VLOOKUP(Table10[[#This Row],[SKU]],'All Skus'!$A:$AC,2,FALSE))="Martin",(VLOOKUP(Table10[[#This Row],[SKU]],'All Skus'!$A:$AC,7,FALSE)),""))</f>
        <v>0</v>
      </c>
      <c r="G398" s="223">
        <f>(IF((VLOOKUP(Table10[[#This Row],[SKU]],'All Skus'!$A:$AC,2,FALSE))="Martin",(VLOOKUP(Table10[[#This Row],[SKU]],'All Skus'!$A:$AC,8,FALSE)),""))</f>
        <v>0</v>
      </c>
      <c r="H398" s="223">
        <f>(IF((VLOOKUP(Table10[[#This Row],[SKU]],'All Skus'!$A:$AC,2,FALSE))="Martin",(VLOOKUP(Table10[[#This Row],[SKU]],'All Skus'!$A:$AC,9,FALSE)),""))</f>
        <v>0</v>
      </c>
      <c r="I398" s="225">
        <f>(IF((VLOOKUP(Table10[[#This Row],[SKU]],'All Skus'!$A:$AC,2,FALSE))="Martin",(VLOOKUP(Table10[[#This Row],[SKU]],'All Skus'!$A:$AC,10,FALSE)),""))</f>
        <v>0</v>
      </c>
      <c r="J398" s="226">
        <f>(IF((VLOOKUP(Table10[[#This Row],[SKU]],'All Skus'!$A:$AC,2,FALSE))="Martin",(VLOOKUP(Table10[[#This Row],[SKU]],'All Skus'!$A:$AC,11,FALSE)),""))</f>
        <v>0</v>
      </c>
      <c r="K398" s="224">
        <f>(IF((VLOOKUP(Table10[[#This Row],[SKU]],'All Skus'!$A:$AC,2,FALSE))="Martin",(VLOOKUP(Table10[[#This Row],[SKU]],'All Skus'!$A:$AC,15,FALSE)),""))</f>
        <v>0</v>
      </c>
      <c r="L398" s="224">
        <f>(IF((VLOOKUP(Table10[[#This Row],[SKU]],'All Skus'!$A:$AC,2,FALSE))="Martin",(VLOOKUP(Table10[[#This Row],[SKU]],'All Skus'!$A:$AC,16,FALSE)),""))</f>
        <v>0</v>
      </c>
      <c r="M398" s="224">
        <f>(IF((VLOOKUP(Table10[[#This Row],[SKU]],'All Skus'!$A:$AC,2,FALSE))="Martin",(VLOOKUP(Table10[[#This Row],[SKU]],'All Skus'!$A:$AC,17,FALSE)),""))</f>
        <v>0</v>
      </c>
      <c r="N398" s="227">
        <f>(IF((VLOOKUP(Table10[[#This Row],[SKU]],'All Skus'!$A:$AC,2,FALSE))="Martin",(VLOOKUP(Table10[[#This Row],[SKU]],'All Skus'!$A:$AC,18,FALSE)),""))</f>
        <v>0</v>
      </c>
      <c r="O398" s="227">
        <f>(IF((VLOOKUP(Table10[[#This Row],[SKU]],'All Skus'!$A:$AC,2,FALSE))="Martin",(VLOOKUP(Table10[[#This Row],[SKU]],'All Skus'!$A:$AC,19,FALSE)),""))</f>
        <v>0</v>
      </c>
      <c r="P398" s="227">
        <f>(IF((VLOOKUP(Table10[[#This Row],[SKU]],'All Skus'!$A:$AC,2,FALSE))="Martin",(VLOOKUP(Table10[[#This Row],[SKU]],'All Skus'!$A:$AC,20,FALSE)),""))</f>
        <v>0</v>
      </c>
      <c r="Q398" s="227">
        <f>(IF((VLOOKUP(Table10[[#This Row],[SKU]],'All Skus'!$A:$AC,2,FALSE))="Martin",(VLOOKUP(Table10[[#This Row],[SKU]],'All Skus'!$A:$AC,21,FALSE)),""))</f>
        <v>0</v>
      </c>
      <c r="R398" s="224">
        <f>(IF((VLOOKUP(Table10[[#This Row],[SKU]],'All Skus'!$A:$AC,2,FALSE))="Martin",(VLOOKUP(Table10[[#This Row],[SKU]],'All Skus'!$A:$AC,22,FALSE)),""))</f>
        <v>0</v>
      </c>
      <c r="S398" s="223">
        <f>(IF((VLOOKUP(Table10[[#This Row],[SKU]],'All Skus'!$A:$AC,2,FALSE))="Martin",(VLOOKUP(Table10[[#This Row],[SKU]],'All Skus'!$A:$AC,23,FALSE)),""))</f>
        <v>0</v>
      </c>
      <c r="T398" s="212" t="str">
        <f>HYPERLINK((IF((VLOOKUP(Table10[[#This Row],[SKU]],'All Skus'!$A:$AC,2,FALSE))="Martin",(VLOOKUP(Table10[[#This Row],[SKU]],'All Skus'!$A:$AC,24,FALSE)),"")))</f>
        <v/>
      </c>
      <c r="U398" s="228">
        <v>396</v>
      </c>
    </row>
    <row r="399" spans="1:21" hidden="1">
      <c r="A399" s="115" t="s">
        <v>2151</v>
      </c>
      <c r="B399" s="224">
        <f>(IF((VLOOKUP(Table10[[#This Row],[SKU]],'All Skus'!$A:$AC,2,FALSE))="Martin",(VLOOKUP(Table10[[#This Row],[SKU]],'All Skus'!$A:$AC,3,FALSE)),""))</f>
        <v>0</v>
      </c>
      <c r="C399" s="223">
        <f>(IF((VLOOKUP(Table10[[#This Row],[SKU]],'All Skus'!$A:$AC,2,FALSE))="Martin",(VLOOKUP(Table10[[#This Row],[SKU]],'All Skus'!$A:$AC,4,FALSE)),""))</f>
        <v>0</v>
      </c>
      <c r="D399" s="224">
        <f>(IF((VLOOKUP(Table10[[#This Row],[SKU]],'All Skus'!$A:$AC,2,FALSE))="Martin",(VLOOKUP(Table10[[#This Row],[SKU]],'All Skus'!$A:$AC,5,FALSE)),""))</f>
        <v>0</v>
      </c>
      <c r="E399" s="223">
        <f>(IF((VLOOKUP(Table10[[#This Row],[SKU]],'All Skus'!$A:$AC,2,FALSE))="Martin",(VLOOKUP(Table10[[#This Row],[SKU]],'All Skus'!$A:$AC,6,FALSE)),""))</f>
        <v>0</v>
      </c>
      <c r="F399" s="155">
        <f>(IF((VLOOKUP(Table10[[#This Row],[SKU]],'All Skus'!$A:$AC,2,FALSE))="Martin",(VLOOKUP(Table10[[#This Row],[SKU]],'All Skus'!$A:$AC,7,FALSE)),""))</f>
        <v>0</v>
      </c>
      <c r="G399" s="223">
        <f>(IF((VLOOKUP(Table10[[#This Row],[SKU]],'All Skus'!$A:$AC,2,FALSE))="Martin",(VLOOKUP(Table10[[#This Row],[SKU]],'All Skus'!$A:$AC,8,FALSE)),""))</f>
        <v>0</v>
      </c>
      <c r="H399" s="223">
        <f>(IF((VLOOKUP(Table10[[#This Row],[SKU]],'All Skus'!$A:$AC,2,FALSE))="Martin",(VLOOKUP(Table10[[#This Row],[SKU]],'All Skus'!$A:$AC,9,FALSE)),""))</f>
        <v>0</v>
      </c>
      <c r="I399" s="225">
        <f>(IF((VLOOKUP(Table10[[#This Row],[SKU]],'All Skus'!$A:$AC,2,FALSE))="Martin",(VLOOKUP(Table10[[#This Row],[SKU]],'All Skus'!$A:$AC,10,FALSE)),""))</f>
        <v>0</v>
      </c>
      <c r="J399" s="226">
        <f>(IF((VLOOKUP(Table10[[#This Row],[SKU]],'All Skus'!$A:$AC,2,FALSE))="Martin",(VLOOKUP(Table10[[#This Row],[SKU]],'All Skus'!$A:$AC,11,FALSE)),""))</f>
        <v>0</v>
      </c>
      <c r="K399" s="224">
        <f>(IF((VLOOKUP(Table10[[#This Row],[SKU]],'All Skus'!$A:$AC,2,FALSE))="Martin",(VLOOKUP(Table10[[#This Row],[SKU]],'All Skus'!$A:$AC,15,FALSE)),""))</f>
        <v>0</v>
      </c>
      <c r="L399" s="224">
        <f>(IF((VLOOKUP(Table10[[#This Row],[SKU]],'All Skus'!$A:$AC,2,FALSE))="Martin",(VLOOKUP(Table10[[#This Row],[SKU]],'All Skus'!$A:$AC,16,FALSE)),""))</f>
        <v>0</v>
      </c>
      <c r="M399" s="224">
        <f>(IF((VLOOKUP(Table10[[#This Row],[SKU]],'All Skus'!$A:$AC,2,FALSE))="Martin",(VLOOKUP(Table10[[#This Row],[SKU]],'All Skus'!$A:$AC,17,FALSE)),""))</f>
        <v>0</v>
      </c>
      <c r="N399" s="227">
        <f>(IF((VLOOKUP(Table10[[#This Row],[SKU]],'All Skus'!$A:$AC,2,FALSE))="Martin",(VLOOKUP(Table10[[#This Row],[SKU]],'All Skus'!$A:$AC,18,FALSE)),""))</f>
        <v>0</v>
      </c>
      <c r="O399" s="227">
        <f>(IF((VLOOKUP(Table10[[#This Row],[SKU]],'All Skus'!$A:$AC,2,FALSE))="Martin",(VLOOKUP(Table10[[#This Row],[SKU]],'All Skus'!$A:$AC,19,FALSE)),""))</f>
        <v>0</v>
      </c>
      <c r="P399" s="227">
        <f>(IF((VLOOKUP(Table10[[#This Row],[SKU]],'All Skus'!$A:$AC,2,FALSE))="Martin",(VLOOKUP(Table10[[#This Row],[SKU]],'All Skus'!$A:$AC,20,FALSE)),""))</f>
        <v>0</v>
      </c>
      <c r="Q399" s="227">
        <f>(IF((VLOOKUP(Table10[[#This Row],[SKU]],'All Skus'!$A:$AC,2,FALSE))="Martin",(VLOOKUP(Table10[[#This Row],[SKU]],'All Skus'!$A:$AC,21,FALSE)),""))</f>
        <v>0</v>
      </c>
      <c r="R399" s="224">
        <f>(IF((VLOOKUP(Table10[[#This Row],[SKU]],'All Skus'!$A:$AC,2,FALSE))="Martin",(VLOOKUP(Table10[[#This Row],[SKU]],'All Skus'!$A:$AC,22,FALSE)),""))</f>
        <v>0</v>
      </c>
      <c r="S399" s="223">
        <f>(IF((VLOOKUP(Table10[[#This Row],[SKU]],'All Skus'!$A:$AC,2,FALSE))="Martin",(VLOOKUP(Table10[[#This Row],[SKU]],'All Skus'!$A:$AC,23,FALSE)),""))</f>
        <v>0</v>
      </c>
      <c r="T399" s="212" t="str">
        <f>HYPERLINK((IF((VLOOKUP(Table10[[#This Row],[SKU]],'All Skus'!$A:$AC,2,FALSE))="Martin",(VLOOKUP(Table10[[#This Row],[SKU]],'All Skus'!$A:$AC,24,FALSE)),"")))</f>
        <v/>
      </c>
      <c r="U399" s="228">
        <v>397</v>
      </c>
    </row>
    <row r="400" spans="1:21" hidden="1">
      <c r="A400" s="112">
        <v>90510325</v>
      </c>
      <c r="B400" s="224" t="str">
        <f>(IF((VLOOKUP(Table10[[#This Row],[SKU]],'All Skus'!$A:$AC,2,FALSE))="Martin",(VLOOKUP(Table10[[#This Row],[SKU]],'All Skus'!$A:$AC,3,FALSE)),""))</f>
        <v>Architainment</v>
      </c>
      <c r="C400" s="223" t="str">
        <f>(IF((VLOOKUP(Table10[[#This Row],[SKU]],'All Skus'!$A:$AC,2,FALSE))="Martin",(VLOOKUP(Table10[[#This Row],[SKU]],'All Skus'!$A:$AC,4,FALSE)),""))</f>
        <v xml:space="preserve">EXTERIOR WASH 100,7deg,EU,ALU </v>
      </c>
      <c r="D400" s="224" t="str">
        <f>(IF((VLOOKUP(Table10[[#This Row],[SKU]],'All Skus'!$A:$AC,2,FALSE))="Martin",(VLOOKUP(Table10[[#This Row],[SKU]],'All Skus'!$A:$AC,5,FALSE)),""))</f>
        <v>EXT-WASH</v>
      </c>
      <c r="E400" s="223">
        <f>(IF((VLOOKUP(Table10[[#This Row],[SKU]],'All Skus'!$A:$AC,2,FALSE))="Martin",(VLOOKUP(Table10[[#This Row],[SKU]],'All Skus'!$A:$AC,6,FALSE)),""))</f>
        <v>0</v>
      </c>
      <c r="F400" s="155" t="str">
        <f>(IF((VLOOKUP(Table10[[#This Row],[SKU]],'All Skus'!$A:$AC,2,FALSE))="Martin",(VLOOKUP(Table10[[#This Row],[SKU]],'All Skus'!$A:$AC,7,FALSE)),""))</f>
        <v>EOL stage – limited availability may apply</v>
      </c>
      <c r="G400" s="223" t="str">
        <f>(IF((VLOOKUP(Table10[[#This Row],[SKU]],'All Skus'!$A:$AC,2,FALSE))="Martin",(VLOOKUP(Table10[[#This Row],[SKU]],'All Skus'!$A:$AC,8,FALSE)),""))</f>
        <v xml:space="preserve">EXTERIOR WASH 100,7deg,EU,ALU </v>
      </c>
      <c r="H400" s="223" t="str">
        <f>(IF((VLOOKUP(Table10[[#This Row],[SKU]],'All Skus'!$A:$AC,2,FALSE))="Martin",(VLOOKUP(Table10[[#This Row],[SKU]],'All Skus'!$A:$AC,9,FALSE)),""))</f>
        <v xml:space="preserve">EXTERIOR WASH 100,7deg,EU,ALU </v>
      </c>
      <c r="I400" s="225">
        <f>(IF((VLOOKUP(Table10[[#This Row],[SKU]],'All Skus'!$A:$AC,2,FALSE))="Martin",(VLOOKUP(Table10[[#This Row],[SKU]],'All Skus'!$A:$AC,10,FALSE)),""))</f>
        <v>1216.24</v>
      </c>
      <c r="J400" s="226">
        <f>(IF((VLOOKUP(Table10[[#This Row],[SKU]],'All Skus'!$A:$AC,2,FALSE))="Martin",(VLOOKUP(Table10[[#This Row],[SKU]],'All Skus'!$A:$AC,11,FALSE)),""))</f>
        <v>1216.24</v>
      </c>
      <c r="K400" s="224">
        <f>(IF((VLOOKUP(Table10[[#This Row],[SKU]],'All Skus'!$A:$AC,2,FALSE))="Martin",(VLOOKUP(Table10[[#This Row],[SKU]],'All Skus'!$A:$AC,15,FALSE)),""))</f>
        <v>0</v>
      </c>
      <c r="L400" s="224">
        <f>(IF((VLOOKUP(Table10[[#This Row],[SKU]],'All Skus'!$A:$AC,2,FALSE))="Martin",(VLOOKUP(Table10[[#This Row],[SKU]],'All Skus'!$A:$AC,16,FALSE)),""))</f>
        <v>5706681231126</v>
      </c>
      <c r="M400" s="224">
        <f>(IF((VLOOKUP(Table10[[#This Row],[SKU]],'All Skus'!$A:$AC,2,FALSE))="Martin",(VLOOKUP(Table10[[#This Row],[SKU]],'All Skus'!$A:$AC,17,FALSE)),""))</f>
        <v>0</v>
      </c>
      <c r="N400" s="227">
        <f>(IF((VLOOKUP(Table10[[#This Row],[SKU]],'All Skus'!$A:$AC,2,FALSE))="Martin",(VLOOKUP(Table10[[#This Row],[SKU]],'All Skus'!$A:$AC,18,FALSE)),""))</f>
        <v>0</v>
      </c>
      <c r="O400" s="227">
        <f>(IF((VLOOKUP(Table10[[#This Row],[SKU]],'All Skus'!$A:$AC,2,FALSE))="Martin",(VLOOKUP(Table10[[#This Row],[SKU]],'All Skus'!$A:$AC,19,FALSE)),""))</f>
        <v>0</v>
      </c>
      <c r="P400" s="227">
        <f>(IF((VLOOKUP(Table10[[#This Row],[SKU]],'All Skus'!$A:$AC,2,FALSE))="Martin",(VLOOKUP(Table10[[#This Row],[SKU]],'All Skus'!$A:$AC,20,FALSE)),""))</f>
        <v>0</v>
      </c>
      <c r="Q400" s="227">
        <f>(IF((VLOOKUP(Table10[[#This Row],[SKU]],'All Skus'!$A:$AC,2,FALSE))="Martin",(VLOOKUP(Table10[[#This Row],[SKU]],'All Skus'!$A:$AC,21,FALSE)),""))</f>
        <v>0</v>
      </c>
      <c r="R400" s="224" t="str">
        <f>(IF((VLOOKUP(Table10[[#This Row],[SKU]],'All Skus'!$A:$AC,2,FALSE))="Martin",(VLOOKUP(Table10[[#This Row],[SKU]],'All Skus'!$A:$AC,22,FALSE)),""))</f>
        <v>CN</v>
      </c>
      <c r="S400" s="223" t="str">
        <f>(IF((VLOOKUP(Table10[[#This Row],[SKU]],'All Skus'!$A:$AC,2,FALSE))="Martin",(VLOOKUP(Table10[[#This Row],[SKU]],'All Skus'!$A:$AC,23,FALSE)),""))</f>
        <v>Non Compliant</v>
      </c>
      <c r="T400" s="212" t="str">
        <f>HYPERLINK((IF((VLOOKUP(Table10[[#This Row],[SKU]],'All Skus'!$A:$AC,2,FALSE))="Martin",(VLOOKUP(Table10[[#This Row],[SKU]],'All Skus'!$A:$AC,24,FALSE)),"")))</f>
        <v/>
      </c>
      <c r="U400" s="228">
        <v>398</v>
      </c>
    </row>
    <row r="401" spans="1:21" hidden="1">
      <c r="A401" s="112">
        <v>90510340</v>
      </c>
      <c r="B401" s="224" t="str">
        <f>(IF((VLOOKUP(Table10[[#This Row],[SKU]],'All Skus'!$A:$AC,2,FALSE))="Martin",(VLOOKUP(Table10[[#This Row],[SKU]],'All Skus'!$A:$AC,3,FALSE)),""))</f>
        <v>Architainment</v>
      </c>
      <c r="C401" s="223" t="str">
        <f>(IF((VLOOKUP(Table10[[#This Row],[SKU]],'All Skus'!$A:$AC,2,FALSE))="Martin",(VLOOKUP(Table10[[#This Row],[SKU]],'All Skus'!$A:$AC,4,FALSE)),""))</f>
        <v xml:space="preserve">EXTERIOR WASH 100,7deg,US,ALU </v>
      </c>
      <c r="D401" s="224" t="str">
        <f>(IF((VLOOKUP(Table10[[#This Row],[SKU]],'All Skus'!$A:$AC,2,FALSE))="Martin",(VLOOKUP(Table10[[#This Row],[SKU]],'All Skus'!$A:$AC,5,FALSE)),""))</f>
        <v>EXT-WASH</v>
      </c>
      <c r="E401" s="223">
        <f>(IF((VLOOKUP(Table10[[#This Row],[SKU]],'All Skus'!$A:$AC,2,FALSE))="Martin",(VLOOKUP(Table10[[#This Row],[SKU]],'All Skus'!$A:$AC,6,FALSE)),""))</f>
        <v>0</v>
      </c>
      <c r="F401" s="155" t="str">
        <f>(IF((VLOOKUP(Table10[[#This Row],[SKU]],'All Skus'!$A:$AC,2,FALSE))="Martin",(VLOOKUP(Table10[[#This Row],[SKU]],'All Skus'!$A:$AC,7,FALSE)),""))</f>
        <v>EOL stage – limited availability may apply</v>
      </c>
      <c r="G401" s="223" t="str">
        <f>(IF((VLOOKUP(Table10[[#This Row],[SKU]],'All Skus'!$A:$AC,2,FALSE))="Martin",(VLOOKUP(Table10[[#This Row],[SKU]],'All Skus'!$A:$AC,8,FALSE)),""))</f>
        <v xml:space="preserve">EXTERIOR WASH 100,7deg,US,ALU </v>
      </c>
      <c r="H401" s="223" t="str">
        <f>(IF((VLOOKUP(Table10[[#This Row],[SKU]],'All Skus'!$A:$AC,2,FALSE))="Martin",(VLOOKUP(Table10[[#This Row],[SKU]],'All Skus'!$A:$AC,9,FALSE)),""))</f>
        <v xml:space="preserve">EXTERIOR WASH 100,7deg,US,ALU </v>
      </c>
      <c r="I401" s="225">
        <f>(IF((VLOOKUP(Table10[[#This Row],[SKU]],'All Skus'!$A:$AC,2,FALSE))="Martin",(VLOOKUP(Table10[[#This Row],[SKU]],'All Skus'!$A:$AC,10,FALSE)),""))</f>
        <v>1216.24</v>
      </c>
      <c r="J401" s="226">
        <f>(IF((VLOOKUP(Table10[[#This Row],[SKU]],'All Skus'!$A:$AC,2,FALSE))="Martin",(VLOOKUP(Table10[[#This Row],[SKU]],'All Skus'!$A:$AC,11,FALSE)),""))</f>
        <v>1216.24</v>
      </c>
      <c r="K401" s="224">
        <f>(IF((VLOOKUP(Table10[[#This Row],[SKU]],'All Skus'!$A:$AC,2,FALSE))="Martin",(VLOOKUP(Table10[[#This Row],[SKU]],'All Skus'!$A:$AC,15,FALSE)),""))</f>
        <v>0</v>
      </c>
      <c r="L401" s="224">
        <f>(IF((VLOOKUP(Table10[[#This Row],[SKU]],'All Skus'!$A:$AC,2,FALSE))="Martin",(VLOOKUP(Table10[[#This Row],[SKU]],'All Skus'!$A:$AC,16,FALSE)),""))</f>
        <v>5706681231416</v>
      </c>
      <c r="M401" s="224">
        <f>(IF((VLOOKUP(Table10[[#This Row],[SKU]],'All Skus'!$A:$AC,2,FALSE))="Martin",(VLOOKUP(Table10[[#This Row],[SKU]],'All Skus'!$A:$AC,17,FALSE)),""))</f>
        <v>0</v>
      </c>
      <c r="N401" s="227">
        <f>(IF((VLOOKUP(Table10[[#This Row],[SKU]],'All Skus'!$A:$AC,2,FALSE))="Martin",(VLOOKUP(Table10[[#This Row],[SKU]],'All Skus'!$A:$AC,18,FALSE)),""))</f>
        <v>0</v>
      </c>
      <c r="O401" s="227">
        <f>(IF((VLOOKUP(Table10[[#This Row],[SKU]],'All Skus'!$A:$AC,2,FALSE))="Martin",(VLOOKUP(Table10[[#This Row],[SKU]],'All Skus'!$A:$AC,19,FALSE)),""))</f>
        <v>0</v>
      </c>
      <c r="P401" s="227">
        <f>(IF((VLOOKUP(Table10[[#This Row],[SKU]],'All Skus'!$A:$AC,2,FALSE))="Martin",(VLOOKUP(Table10[[#This Row],[SKU]],'All Skus'!$A:$AC,20,FALSE)),""))</f>
        <v>0</v>
      </c>
      <c r="Q401" s="227">
        <f>(IF((VLOOKUP(Table10[[#This Row],[SKU]],'All Skus'!$A:$AC,2,FALSE))="Martin",(VLOOKUP(Table10[[#This Row],[SKU]],'All Skus'!$A:$AC,21,FALSE)),""))</f>
        <v>0</v>
      </c>
      <c r="R401" s="224" t="str">
        <f>(IF((VLOOKUP(Table10[[#This Row],[SKU]],'All Skus'!$A:$AC,2,FALSE))="Martin",(VLOOKUP(Table10[[#This Row],[SKU]],'All Skus'!$A:$AC,22,FALSE)),""))</f>
        <v>CN</v>
      </c>
      <c r="S401" s="223" t="str">
        <f>(IF((VLOOKUP(Table10[[#This Row],[SKU]],'All Skus'!$A:$AC,2,FALSE))="Martin",(VLOOKUP(Table10[[#This Row],[SKU]],'All Skus'!$A:$AC,23,FALSE)),""))</f>
        <v>Non Compliant</v>
      </c>
      <c r="T401" s="212" t="str">
        <f>HYPERLINK((IF((VLOOKUP(Table10[[#This Row],[SKU]],'All Skus'!$A:$AC,2,FALSE))="Martin",(VLOOKUP(Table10[[#This Row],[SKU]],'All Skus'!$A:$AC,24,FALSE)),"")))</f>
        <v/>
      </c>
      <c r="U401" s="228">
        <v>399</v>
      </c>
    </row>
    <row r="402" spans="1:21" hidden="1">
      <c r="A402" s="115" t="s">
        <v>2152</v>
      </c>
      <c r="B402" s="224">
        <f>(IF((VLOOKUP(Table10[[#This Row],[SKU]],'All Skus'!$A:$AC,2,FALSE))="Martin",(VLOOKUP(Table10[[#This Row],[SKU]],'All Skus'!$A:$AC,3,FALSE)),""))</f>
        <v>0</v>
      </c>
      <c r="C402" s="223">
        <f>(IF((VLOOKUP(Table10[[#This Row],[SKU]],'All Skus'!$A:$AC,2,FALSE))="Martin",(VLOOKUP(Table10[[#This Row],[SKU]],'All Skus'!$A:$AC,4,FALSE)),""))</f>
        <v>0</v>
      </c>
      <c r="D402" s="224">
        <f>(IF((VLOOKUP(Table10[[#This Row],[SKU]],'All Skus'!$A:$AC,2,FALSE))="Martin",(VLOOKUP(Table10[[#This Row],[SKU]],'All Skus'!$A:$AC,5,FALSE)),""))</f>
        <v>0</v>
      </c>
      <c r="E402" s="223">
        <f>(IF((VLOOKUP(Table10[[#This Row],[SKU]],'All Skus'!$A:$AC,2,FALSE))="Martin",(VLOOKUP(Table10[[#This Row],[SKU]],'All Skus'!$A:$AC,6,FALSE)),""))</f>
        <v>0</v>
      </c>
      <c r="F402" s="155">
        <f>(IF((VLOOKUP(Table10[[#This Row],[SKU]],'All Skus'!$A:$AC,2,FALSE))="Martin",(VLOOKUP(Table10[[#This Row],[SKU]],'All Skus'!$A:$AC,7,FALSE)),""))</f>
        <v>0</v>
      </c>
      <c r="G402" s="223">
        <f>(IF((VLOOKUP(Table10[[#This Row],[SKU]],'All Skus'!$A:$AC,2,FALSE))="Martin",(VLOOKUP(Table10[[#This Row],[SKU]],'All Skus'!$A:$AC,8,FALSE)),""))</f>
        <v>0</v>
      </c>
      <c r="H402" s="223">
        <f>(IF((VLOOKUP(Table10[[#This Row],[SKU]],'All Skus'!$A:$AC,2,FALSE))="Martin",(VLOOKUP(Table10[[#This Row],[SKU]],'All Skus'!$A:$AC,9,FALSE)),""))</f>
        <v>0</v>
      </c>
      <c r="I402" s="225">
        <f>(IF((VLOOKUP(Table10[[#This Row],[SKU]],'All Skus'!$A:$AC,2,FALSE))="Martin",(VLOOKUP(Table10[[#This Row],[SKU]],'All Skus'!$A:$AC,10,FALSE)),""))</f>
        <v>0</v>
      </c>
      <c r="J402" s="226">
        <f>(IF((VLOOKUP(Table10[[#This Row],[SKU]],'All Skus'!$A:$AC,2,FALSE))="Martin",(VLOOKUP(Table10[[#This Row],[SKU]],'All Skus'!$A:$AC,11,FALSE)),""))</f>
        <v>0</v>
      </c>
      <c r="K402" s="224">
        <f>(IF((VLOOKUP(Table10[[#This Row],[SKU]],'All Skus'!$A:$AC,2,FALSE))="Martin",(VLOOKUP(Table10[[#This Row],[SKU]],'All Skus'!$A:$AC,15,FALSE)),""))</f>
        <v>0</v>
      </c>
      <c r="L402" s="224">
        <f>(IF((VLOOKUP(Table10[[#This Row],[SKU]],'All Skus'!$A:$AC,2,FALSE))="Martin",(VLOOKUP(Table10[[#This Row],[SKU]],'All Skus'!$A:$AC,16,FALSE)),""))</f>
        <v>0</v>
      </c>
      <c r="M402" s="224">
        <f>(IF((VLOOKUP(Table10[[#This Row],[SKU]],'All Skus'!$A:$AC,2,FALSE))="Martin",(VLOOKUP(Table10[[#This Row],[SKU]],'All Skus'!$A:$AC,17,FALSE)),""))</f>
        <v>0</v>
      </c>
      <c r="N402" s="227">
        <f>(IF((VLOOKUP(Table10[[#This Row],[SKU]],'All Skus'!$A:$AC,2,FALSE))="Martin",(VLOOKUP(Table10[[#This Row],[SKU]],'All Skus'!$A:$AC,18,FALSE)),""))</f>
        <v>0</v>
      </c>
      <c r="O402" s="227">
        <f>(IF((VLOOKUP(Table10[[#This Row],[SKU]],'All Skus'!$A:$AC,2,FALSE))="Martin",(VLOOKUP(Table10[[#This Row],[SKU]],'All Skus'!$A:$AC,19,FALSE)),""))</f>
        <v>0</v>
      </c>
      <c r="P402" s="227">
        <f>(IF((VLOOKUP(Table10[[#This Row],[SKU]],'All Skus'!$A:$AC,2,FALSE))="Martin",(VLOOKUP(Table10[[#This Row],[SKU]],'All Skus'!$A:$AC,20,FALSE)),""))</f>
        <v>0</v>
      </c>
      <c r="Q402" s="227">
        <f>(IF((VLOOKUP(Table10[[#This Row],[SKU]],'All Skus'!$A:$AC,2,FALSE))="Martin",(VLOOKUP(Table10[[#This Row],[SKU]],'All Skus'!$A:$AC,21,FALSE)),""))</f>
        <v>0</v>
      </c>
      <c r="R402" s="224">
        <f>(IF((VLOOKUP(Table10[[#This Row],[SKU]],'All Skus'!$A:$AC,2,FALSE))="Martin",(VLOOKUP(Table10[[#This Row],[SKU]],'All Skus'!$A:$AC,22,FALSE)),""))</f>
        <v>0</v>
      </c>
      <c r="S402" s="223">
        <f>(IF((VLOOKUP(Table10[[#This Row],[SKU]],'All Skus'!$A:$AC,2,FALSE))="Martin",(VLOOKUP(Table10[[#This Row],[SKU]],'All Skus'!$A:$AC,23,FALSE)),""))</f>
        <v>0</v>
      </c>
      <c r="T402" s="212" t="str">
        <f>HYPERLINK((IF((VLOOKUP(Table10[[#This Row],[SKU]],'All Skus'!$A:$AC,2,FALSE))="Martin",(VLOOKUP(Table10[[#This Row],[SKU]],'All Skus'!$A:$AC,24,FALSE)),"")))</f>
        <v/>
      </c>
      <c r="U402" s="228">
        <v>400</v>
      </c>
    </row>
    <row r="403" spans="1:21" hidden="1">
      <c r="A403" s="112">
        <v>90510330</v>
      </c>
      <c r="B403" s="224" t="str">
        <f>(IF((VLOOKUP(Table10[[#This Row],[SKU]],'All Skus'!$A:$AC,2,FALSE))="Martin",(VLOOKUP(Table10[[#This Row],[SKU]],'All Skus'!$A:$AC,3,FALSE)),""))</f>
        <v>Architainment</v>
      </c>
      <c r="C403" s="223" t="str">
        <f>(IF((VLOOKUP(Table10[[#This Row],[SKU]],'All Skus'!$A:$AC,2,FALSE))="Martin",(VLOOKUP(Table10[[#This Row],[SKU]],'All Skus'!$A:$AC,4,FALSE)),""))</f>
        <v xml:space="preserve">EXTERIOR WASH 110,10deg,EU,ALU </v>
      </c>
      <c r="D403" s="224" t="str">
        <f>(IF((VLOOKUP(Table10[[#This Row],[SKU]],'All Skus'!$A:$AC,2,FALSE))="Martin",(VLOOKUP(Table10[[#This Row],[SKU]],'All Skus'!$A:$AC,5,FALSE)),""))</f>
        <v>EXT-WASH</v>
      </c>
      <c r="E403" s="223">
        <f>(IF((VLOOKUP(Table10[[#This Row],[SKU]],'All Skus'!$A:$AC,2,FALSE))="Martin",(VLOOKUP(Table10[[#This Row],[SKU]],'All Skus'!$A:$AC,6,FALSE)),""))</f>
        <v>0</v>
      </c>
      <c r="F403" s="155" t="str">
        <f>(IF((VLOOKUP(Table10[[#This Row],[SKU]],'All Skus'!$A:$AC,2,FALSE))="Martin",(VLOOKUP(Table10[[#This Row],[SKU]],'All Skus'!$A:$AC,7,FALSE)),""))</f>
        <v>EOL stage – limited availability may apply</v>
      </c>
      <c r="G403" s="223" t="str">
        <f>(IF((VLOOKUP(Table10[[#This Row],[SKU]],'All Skus'!$A:$AC,2,FALSE))="Martin",(VLOOKUP(Table10[[#This Row],[SKU]],'All Skus'!$A:$AC,8,FALSE)),""))</f>
        <v xml:space="preserve">EXTERIOR WASH 110,10deg,EU,ALU </v>
      </c>
      <c r="H403" s="223" t="str">
        <f>(IF((VLOOKUP(Table10[[#This Row],[SKU]],'All Skus'!$A:$AC,2,FALSE))="Martin",(VLOOKUP(Table10[[#This Row],[SKU]],'All Skus'!$A:$AC,9,FALSE)),""))</f>
        <v xml:space="preserve">EXTERIOR WASH 110,10deg,EU,ALU </v>
      </c>
      <c r="I403" s="225">
        <f>(IF((VLOOKUP(Table10[[#This Row],[SKU]],'All Skus'!$A:$AC,2,FALSE))="Martin",(VLOOKUP(Table10[[#This Row],[SKU]],'All Skus'!$A:$AC,10,FALSE)),""))</f>
        <v>1216.24</v>
      </c>
      <c r="J403" s="226">
        <f>(IF((VLOOKUP(Table10[[#This Row],[SKU]],'All Skus'!$A:$AC,2,FALSE))="Martin",(VLOOKUP(Table10[[#This Row],[SKU]],'All Skus'!$A:$AC,11,FALSE)),""))</f>
        <v>1216.24</v>
      </c>
      <c r="K403" s="224">
        <f>(IF((VLOOKUP(Table10[[#This Row],[SKU]],'All Skus'!$A:$AC,2,FALSE))="Martin",(VLOOKUP(Table10[[#This Row],[SKU]],'All Skus'!$A:$AC,15,FALSE)),""))</f>
        <v>0</v>
      </c>
      <c r="L403" s="224">
        <f>(IF((VLOOKUP(Table10[[#This Row],[SKU]],'All Skus'!$A:$AC,2,FALSE))="Martin",(VLOOKUP(Table10[[#This Row],[SKU]],'All Skus'!$A:$AC,16,FALSE)),""))</f>
        <v>5706681231133</v>
      </c>
      <c r="M403" s="224">
        <f>(IF((VLOOKUP(Table10[[#This Row],[SKU]],'All Skus'!$A:$AC,2,FALSE))="Martin",(VLOOKUP(Table10[[#This Row],[SKU]],'All Skus'!$A:$AC,17,FALSE)),""))</f>
        <v>0</v>
      </c>
      <c r="N403" s="227">
        <f>(IF((VLOOKUP(Table10[[#This Row],[SKU]],'All Skus'!$A:$AC,2,FALSE))="Martin",(VLOOKUP(Table10[[#This Row],[SKU]],'All Skus'!$A:$AC,18,FALSE)),""))</f>
        <v>0</v>
      </c>
      <c r="O403" s="227">
        <f>(IF((VLOOKUP(Table10[[#This Row],[SKU]],'All Skus'!$A:$AC,2,FALSE))="Martin",(VLOOKUP(Table10[[#This Row],[SKU]],'All Skus'!$A:$AC,19,FALSE)),""))</f>
        <v>0</v>
      </c>
      <c r="P403" s="227">
        <f>(IF((VLOOKUP(Table10[[#This Row],[SKU]],'All Skus'!$A:$AC,2,FALSE))="Martin",(VLOOKUP(Table10[[#This Row],[SKU]],'All Skus'!$A:$AC,20,FALSE)),""))</f>
        <v>0</v>
      </c>
      <c r="Q403" s="227">
        <f>(IF((VLOOKUP(Table10[[#This Row],[SKU]],'All Skus'!$A:$AC,2,FALSE))="Martin",(VLOOKUP(Table10[[#This Row],[SKU]],'All Skus'!$A:$AC,21,FALSE)),""))</f>
        <v>0</v>
      </c>
      <c r="R403" s="224" t="str">
        <f>(IF((VLOOKUP(Table10[[#This Row],[SKU]],'All Skus'!$A:$AC,2,FALSE))="Martin",(VLOOKUP(Table10[[#This Row],[SKU]],'All Skus'!$A:$AC,22,FALSE)),""))</f>
        <v>CN</v>
      </c>
      <c r="S403" s="223" t="str">
        <f>(IF((VLOOKUP(Table10[[#This Row],[SKU]],'All Skus'!$A:$AC,2,FALSE))="Martin",(VLOOKUP(Table10[[#This Row],[SKU]],'All Skus'!$A:$AC,23,FALSE)),""))</f>
        <v>Non Compliant</v>
      </c>
      <c r="T403" s="212" t="str">
        <f>HYPERLINK((IF((VLOOKUP(Table10[[#This Row],[SKU]],'All Skus'!$A:$AC,2,FALSE))="Martin",(VLOOKUP(Table10[[#This Row],[SKU]],'All Skus'!$A:$AC,24,FALSE)),"")))</f>
        <v/>
      </c>
      <c r="U403" s="228">
        <v>401</v>
      </c>
    </row>
    <row r="404" spans="1:21" hidden="1">
      <c r="A404" s="112">
        <v>90513545</v>
      </c>
      <c r="B404" s="224" t="str">
        <f>(IF((VLOOKUP(Table10[[#This Row],[SKU]],'All Skus'!$A:$AC,2,FALSE))="Martin",(VLOOKUP(Table10[[#This Row],[SKU]],'All Skus'!$A:$AC,3,FALSE)),""))</f>
        <v>Architainment</v>
      </c>
      <c r="C404" s="223" t="str">
        <f>(IF((VLOOKUP(Table10[[#This Row],[SKU]],'All Skus'!$A:$AC,2,FALSE))="Martin",(VLOOKUP(Table10[[#This Row],[SKU]],'All Skus'!$A:$AC,4,FALSE)),""))</f>
        <v xml:space="preserve">EXTERIOR WASH 110,10deg,US,ALU </v>
      </c>
      <c r="D404" s="224" t="str">
        <f>(IF((VLOOKUP(Table10[[#This Row],[SKU]],'All Skus'!$A:$AC,2,FALSE))="Martin",(VLOOKUP(Table10[[#This Row],[SKU]],'All Skus'!$A:$AC,5,FALSE)),""))</f>
        <v>EXT-WASH</v>
      </c>
      <c r="E404" s="223">
        <f>(IF((VLOOKUP(Table10[[#This Row],[SKU]],'All Skus'!$A:$AC,2,FALSE))="Martin",(VLOOKUP(Table10[[#This Row],[SKU]],'All Skus'!$A:$AC,6,FALSE)),""))</f>
        <v>0</v>
      </c>
      <c r="F404" s="155" t="str">
        <f>(IF((VLOOKUP(Table10[[#This Row],[SKU]],'All Skus'!$A:$AC,2,FALSE))="Martin",(VLOOKUP(Table10[[#This Row],[SKU]],'All Skus'!$A:$AC,7,FALSE)),""))</f>
        <v>EOL stage – limited availability may apply</v>
      </c>
      <c r="G404" s="223" t="str">
        <f>(IF((VLOOKUP(Table10[[#This Row],[SKU]],'All Skus'!$A:$AC,2,FALSE))="Martin",(VLOOKUP(Table10[[#This Row],[SKU]],'All Skus'!$A:$AC,8,FALSE)),""))</f>
        <v xml:space="preserve">EXTERIOR WASH 110,10deg,US,ALU </v>
      </c>
      <c r="H404" s="223" t="str">
        <f>(IF((VLOOKUP(Table10[[#This Row],[SKU]],'All Skus'!$A:$AC,2,FALSE))="Martin",(VLOOKUP(Table10[[#This Row],[SKU]],'All Skus'!$A:$AC,9,FALSE)),""))</f>
        <v xml:space="preserve">EXTERIOR WASH 110,10deg,US,ALU </v>
      </c>
      <c r="I404" s="225">
        <f>(IF((VLOOKUP(Table10[[#This Row],[SKU]],'All Skus'!$A:$AC,2,FALSE))="Martin",(VLOOKUP(Table10[[#This Row],[SKU]],'All Skus'!$A:$AC,10,FALSE)),""))</f>
        <v>1216.24</v>
      </c>
      <c r="J404" s="226">
        <f>(IF((VLOOKUP(Table10[[#This Row],[SKU]],'All Skus'!$A:$AC,2,FALSE))="Martin",(VLOOKUP(Table10[[#This Row],[SKU]],'All Skus'!$A:$AC,11,FALSE)),""))</f>
        <v>1216.24</v>
      </c>
      <c r="K404" s="224">
        <f>(IF((VLOOKUP(Table10[[#This Row],[SKU]],'All Skus'!$A:$AC,2,FALSE))="Martin",(VLOOKUP(Table10[[#This Row],[SKU]],'All Skus'!$A:$AC,15,FALSE)),""))</f>
        <v>0</v>
      </c>
      <c r="L404" s="224">
        <f>(IF((VLOOKUP(Table10[[#This Row],[SKU]],'All Skus'!$A:$AC,2,FALSE))="Martin",(VLOOKUP(Table10[[#This Row],[SKU]],'All Skus'!$A:$AC,16,FALSE)),""))</f>
        <v>5706681231423</v>
      </c>
      <c r="M404" s="224">
        <f>(IF((VLOOKUP(Table10[[#This Row],[SKU]],'All Skus'!$A:$AC,2,FALSE))="Martin",(VLOOKUP(Table10[[#This Row],[SKU]],'All Skus'!$A:$AC,17,FALSE)),""))</f>
        <v>0</v>
      </c>
      <c r="N404" s="227">
        <f>(IF((VLOOKUP(Table10[[#This Row],[SKU]],'All Skus'!$A:$AC,2,FALSE))="Martin",(VLOOKUP(Table10[[#This Row],[SKU]],'All Skus'!$A:$AC,18,FALSE)),""))</f>
        <v>0</v>
      </c>
      <c r="O404" s="227">
        <f>(IF((VLOOKUP(Table10[[#This Row],[SKU]],'All Skus'!$A:$AC,2,FALSE))="Martin",(VLOOKUP(Table10[[#This Row],[SKU]],'All Skus'!$A:$AC,19,FALSE)),""))</f>
        <v>0</v>
      </c>
      <c r="P404" s="227">
        <f>(IF((VLOOKUP(Table10[[#This Row],[SKU]],'All Skus'!$A:$AC,2,FALSE))="Martin",(VLOOKUP(Table10[[#This Row],[SKU]],'All Skus'!$A:$AC,20,FALSE)),""))</f>
        <v>0</v>
      </c>
      <c r="Q404" s="227">
        <f>(IF((VLOOKUP(Table10[[#This Row],[SKU]],'All Skus'!$A:$AC,2,FALSE))="Martin",(VLOOKUP(Table10[[#This Row],[SKU]],'All Skus'!$A:$AC,21,FALSE)),""))</f>
        <v>0</v>
      </c>
      <c r="R404" s="224" t="str">
        <f>(IF((VLOOKUP(Table10[[#This Row],[SKU]],'All Skus'!$A:$AC,2,FALSE))="Martin",(VLOOKUP(Table10[[#This Row],[SKU]],'All Skus'!$A:$AC,22,FALSE)),""))</f>
        <v>CN</v>
      </c>
      <c r="S404" s="223" t="str">
        <f>(IF((VLOOKUP(Table10[[#This Row],[SKU]],'All Skus'!$A:$AC,2,FALSE))="Martin",(VLOOKUP(Table10[[#This Row],[SKU]],'All Skus'!$A:$AC,23,FALSE)),""))</f>
        <v>Non Compliant</v>
      </c>
      <c r="T404" s="212" t="str">
        <f>HYPERLINK((IF((VLOOKUP(Table10[[#This Row],[SKU]],'All Skus'!$A:$AC,2,FALSE))="Martin",(VLOOKUP(Table10[[#This Row],[SKU]],'All Skus'!$A:$AC,24,FALSE)),"")))</f>
        <v/>
      </c>
      <c r="U404" s="228">
        <v>402</v>
      </c>
    </row>
    <row r="405" spans="1:21" hidden="1">
      <c r="A405" s="112">
        <v>90510360</v>
      </c>
      <c r="B405" s="224">
        <f>(IF((VLOOKUP(Table10[[#This Row],[SKU]],'All Skus'!$A:$AC,2,FALSE))="Martin",(VLOOKUP(Table10[[#This Row],[SKU]],'All Skus'!$A:$AC,3,FALSE)),""))</f>
        <v>0</v>
      </c>
      <c r="C405" s="223" t="str">
        <f>(IF((VLOOKUP(Table10[[#This Row],[SKU]],'All Skus'!$A:$AC,2,FALSE))="Martin",(VLOOKUP(Table10[[#This Row],[SKU]],'All Skus'!$A:$AC,4,FALSE)),""))</f>
        <v>EXTERIOR WASH 110, 10deg, EU, WHITE</v>
      </c>
      <c r="D405" s="224" t="str">
        <f>(IF((VLOOKUP(Table10[[#This Row],[SKU]],'All Skus'!$A:$AC,2,FALSE))="Martin",(VLOOKUP(Table10[[#This Row],[SKU]],'All Skus'!$A:$AC,5,FALSE)),""))</f>
        <v>EXT-WASH</v>
      </c>
      <c r="E405" s="223">
        <f>(IF((VLOOKUP(Table10[[#This Row],[SKU]],'All Skus'!$A:$AC,2,FALSE))="Martin",(VLOOKUP(Table10[[#This Row],[SKU]],'All Skus'!$A:$AC,6,FALSE)),""))</f>
        <v>0</v>
      </c>
      <c r="F405" s="155" t="str">
        <f>(IF((VLOOKUP(Table10[[#This Row],[SKU]],'All Skus'!$A:$AC,2,FALSE))="Martin",(VLOOKUP(Table10[[#This Row],[SKU]],'All Skus'!$A:$AC,7,FALSE)),""))</f>
        <v>EOL stage – limited availability may apply</v>
      </c>
      <c r="G405" s="223" t="str">
        <f>(IF((VLOOKUP(Table10[[#This Row],[SKU]],'All Skus'!$A:$AC,2,FALSE))="Martin",(VLOOKUP(Table10[[#This Row],[SKU]],'All Skus'!$A:$AC,8,FALSE)),""))</f>
        <v>EXTERIOR WASH 110, 10deg, EU, WHITE</v>
      </c>
      <c r="H405" s="223" t="str">
        <f>(IF((VLOOKUP(Table10[[#This Row],[SKU]],'All Skus'!$A:$AC,2,FALSE))="Martin",(VLOOKUP(Table10[[#This Row],[SKU]],'All Skus'!$A:$AC,9,FALSE)),""))</f>
        <v>EXTERIOR WASH 110, 10deg, EU, WHITE</v>
      </c>
      <c r="I405" s="225">
        <f>(IF((VLOOKUP(Table10[[#This Row],[SKU]],'All Skus'!$A:$AC,2,FALSE))="Martin",(VLOOKUP(Table10[[#This Row],[SKU]],'All Skus'!$A:$AC,10,FALSE)),""))</f>
        <v>1216.24</v>
      </c>
      <c r="J405" s="226">
        <f>(IF((VLOOKUP(Table10[[#This Row],[SKU]],'All Skus'!$A:$AC,2,FALSE))="Martin",(VLOOKUP(Table10[[#This Row],[SKU]],'All Skus'!$A:$AC,11,FALSE)),""))</f>
        <v>1216.24</v>
      </c>
      <c r="K405" s="224">
        <f>(IF((VLOOKUP(Table10[[#This Row],[SKU]],'All Skus'!$A:$AC,2,FALSE))="Martin",(VLOOKUP(Table10[[#This Row],[SKU]],'All Skus'!$A:$AC,15,FALSE)),""))</f>
        <v>0</v>
      </c>
      <c r="L405" s="224">
        <f>(IF((VLOOKUP(Table10[[#This Row],[SKU]],'All Skus'!$A:$AC,2,FALSE))="Martin",(VLOOKUP(Table10[[#This Row],[SKU]],'All Skus'!$A:$AC,16,FALSE)),""))</f>
        <v>5706681237135</v>
      </c>
      <c r="M405" s="224">
        <f>(IF((VLOOKUP(Table10[[#This Row],[SKU]],'All Skus'!$A:$AC,2,FALSE))="Martin",(VLOOKUP(Table10[[#This Row],[SKU]],'All Skus'!$A:$AC,17,FALSE)),""))</f>
        <v>0</v>
      </c>
      <c r="N405" s="227">
        <f>(IF((VLOOKUP(Table10[[#This Row],[SKU]],'All Skus'!$A:$AC,2,FALSE))="Martin",(VLOOKUP(Table10[[#This Row],[SKU]],'All Skus'!$A:$AC,18,FALSE)),""))</f>
        <v>0</v>
      </c>
      <c r="O405" s="227">
        <f>(IF((VLOOKUP(Table10[[#This Row],[SKU]],'All Skus'!$A:$AC,2,FALSE))="Martin",(VLOOKUP(Table10[[#This Row],[SKU]],'All Skus'!$A:$AC,19,FALSE)),""))</f>
        <v>0</v>
      </c>
      <c r="P405" s="227">
        <f>(IF((VLOOKUP(Table10[[#This Row],[SKU]],'All Skus'!$A:$AC,2,FALSE))="Martin",(VLOOKUP(Table10[[#This Row],[SKU]],'All Skus'!$A:$AC,20,FALSE)),""))</f>
        <v>0</v>
      </c>
      <c r="Q405" s="227">
        <f>(IF((VLOOKUP(Table10[[#This Row],[SKU]],'All Skus'!$A:$AC,2,FALSE))="Martin",(VLOOKUP(Table10[[#This Row],[SKU]],'All Skus'!$A:$AC,21,FALSE)),""))</f>
        <v>0</v>
      </c>
      <c r="R405" s="224" t="str">
        <f>(IF((VLOOKUP(Table10[[#This Row],[SKU]],'All Skus'!$A:$AC,2,FALSE))="Martin",(VLOOKUP(Table10[[#This Row],[SKU]],'All Skus'!$A:$AC,22,FALSE)),""))</f>
        <v>CN</v>
      </c>
      <c r="S405" s="223">
        <f>(IF((VLOOKUP(Table10[[#This Row],[SKU]],'All Skus'!$A:$AC,2,FALSE))="Martin",(VLOOKUP(Table10[[#This Row],[SKU]],'All Skus'!$A:$AC,23,FALSE)),""))</f>
        <v>0</v>
      </c>
      <c r="T405" s="212" t="str">
        <f>HYPERLINK((IF((VLOOKUP(Table10[[#This Row],[SKU]],'All Skus'!$A:$AC,2,FALSE))="Martin",(VLOOKUP(Table10[[#This Row],[SKU]],'All Skus'!$A:$AC,24,FALSE)),"")))</f>
        <v/>
      </c>
      <c r="U405" s="228">
        <v>403</v>
      </c>
    </row>
    <row r="406" spans="1:21" hidden="1">
      <c r="A406" s="115" t="s">
        <v>2153</v>
      </c>
      <c r="B406" s="224">
        <f>(IF((VLOOKUP(Table10[[#This Row],[SKU]],'All Skus'!$A:$AC,2,FALSE))="Martin",(VLOOKUP(Table10[[#This Row],[SKU]],'All Skus'!$A:$AC,3,FALSE)),""))</f>
        <v>0</v>
      </c>
      <c r="C406" s="223">
        <f>(IF((VLOOKUP(Table10[[#This Row],[SKU]],'All Skus'!$A:$AC,2,FALSE))="Martin",(VLOOKUP(Table10[[#This Row],[SKU]],'All Skus'!$A:$AC,4,FALSE)),""))</f>
        <v>0</v>
      </c>
      <c r="D406" s="224">
        <f>(IF((VLOOKUP(Table10[[#This Row],[SKU]],'All Skus'!$A:$AC,2,FALSE))="Martin",(VLOOKUP(Table10[[#This Row],[SKU]],'All Skus'!$A:$AC,5,FALSE)),""))</f>
        <v>0</v>
      </c>
      <c r="E406" s="223">
        <f>(IF((VLOOKUP(Table10[[#This Row],[SKU]],'All Skus'!$A:$AC,2,FALSE))="Martin",(VLOOKUP(Table10[[#This Row],[SKU]],'All Skus'!$A:$AC,6,FALSE)),""))</f>
        <v>0</v>
      </c>
      <c r="F406" s="155">
        <f>(IF((VLOOKUP(Table10[[#This Row],[SKU]],'All Skus'!$A:$AC,2,FALSE))="Martin",(VLOOKUP(Table10[[#This Row],[SKU]],'All Skus'!$A:$AC,7,FALSE)),""))</f>
        <v>0</v>
      </c>
      <c r="G406" s="223">
        <f>(IF((VLOOKUP(Table10[[#This Row],[SKU]],'All Skus'!$A:$AC,2,FALSE))="Martin",(VLOOKUP(Table10[[#This Row],[SKU]],'All Skus'!$A:$AC,8,FALSE)),""))</f>
        <v>0</v>
      </c>
      <c r="H406" s="223">
        <f>(IF((VLOOKUP(Table10[[#This Row],[SKU]],'All Skus'!$A:$AC,2,FALSE))="Martin",(VLOOKUP(Table10[[#This Row],[SKU]],'All Skus'!$A:$AC,9,FALSE)),""))</f>
        <v>0</v>
      </c>
      <c r="I406" s="225">
        <f>(IF((VLOOKUP(Table10[[#This Row],[SKU]],'All Skus'!$A:$AC,2,FALSE))="Martin",(VLOOKUP(Table10[[#This Row],[SKU]],'All Skus'!$A:$AC,10,FALSE)),""))</f>
        <v>0</v>
      </c>
      <c r="J406" s="226">
        <f>(IF((VLOOKUP(Table10[[#This Row],[SKU]],'All Skus'!$A:$AC,2,FALSE))="Martin",(VLOOKUP(Table10[[#This Row],[SKU]],'All Skus'!$A:$AC,11,FALSE)),""))</f>
        <v>0</v>
      </c>
      <c r="K406" s="224">
        <f>(IF((VLOOKUP(Table10[[#This Row],[SKU]],'All Skus'!$A:$AC,2,FALSE))="Martin",(VLOOKUP(Table10[[#This Row],[SKU]],'All Skus'!$A:$AC,15,FALSE)),""))</f>
        <v>0</v>
      </c>
      <c r="L406" s="224">
        <f>(IF((VLOOKUP(Table10[[#This Row],[SKU]],'All Skus'!$A:$AC,2,FALSE))="Martin",(VLOOKUP(Table10[[#This Row],[SKU]],'All Skus'!$A:$AC,16,FALSE)),""))</f>
        <v>0</v>
      </c>
      <c r="M406" s="224">
        <f>(IF((VLOOKUP(Table10[[#This Row],[SKU]],'All Skus'!$A:$AC,2,FALSE))="Martin",(VLOOKUP(Table10[[#This Row],[SKU]],'All Skus'!$A:$AC,17,FALSE)),""))</f>
        <v>0</v>
      </c>
      <c r="N406" s="227">
        <f>(IF((VLOOKUP(Table10[[#This Row],[SKU]],'All Skus'!$A:$AC,2,FALSE))="Martin",(VLOOKUP(Table10[[#This Row],[SKU]],'All Skus'!$A:$AC,18,FALSE)),""))</f>
        <v>0</v>
      </c>
      <c r="O406" s="227">
        <f>(IF((VLOOKUP(Table10[[#This Row],[SKU]],'All Skus'!$A:$AC,2,FALSE))="Martin",(VLOOKUP(Table10[[#This Row],[SKU]],'All Skus'!$A:$AC,19,FALSE)),""))</f>
        <v>0</v>
      </c>
      <c r="P406" s="227">
        <f>(IF((VLOOKUP(Table10[[#This Row],[SKU]],'All Skus'!$A:$AC,2,FALSE))="Martin",(VLOOKUP(Table10[[#This Row],[SKU]],'All Skus'!$A:$AC,20,FALSE)),""))</f>
        <v>0</v>
      </c>
      <c r="Q406" s="227">
        <f>(IF((VLOOKUP(Table10[[#This Row],[SKU]],'All Skus'!$A:$AC,2,FALSE))="Martin",(VLOOKUP(Table10[[#This Row],[SKU]],'All Skus'!$A:$AC,21,FALSE)),""))</f>
        <v>0</v>
      </c>
      <c r="R406" s="224">
        <f>(IF((VLOOKUP(Table10[[#This Row],[SKU]],'All Skus'!$A:$AC,2,FALSE))="Martin",(VLOOKUP(Table10[[#This Row],[SKU]],'All Skus'!$A:$AC,22,FALSE)),""))</f>
        <v>0</v>
      </c>
      <c r="S406" s="223">
        <f>(IF((VLOOKUP(Table10[[#This Row],[SKU]],'All Skus'!$A:$AC,2,FALSE))="Martin",(VLOOKUP(Table10[[#This Row],[SKU]],'All Skus'!$A:$AC,23,FALSE)),""))</f>
        <v>0</v>
      </c>
      <c r="T406" s="212" t="str">
        <f>HYPERLINK((IF((VLOOKUP(Table10[[#This Row],[SKU]],'All Skus'!$A:$AC,2,FALSE))="Martin",(VLOOKUP(Table10[[#This Row],[SKU]],'All Skus'!$A:$AC,24,FALSE)),"")))</f>
        <v/>
      </c>
      <c r="U406" s="228">
        <v>404</v>
      </c>
    </row>
    <row r="407" spans="1:21" hidden="1">
      <c r="A407" s="112">
        <v>90510335</v>
      </c>
      <c r="B407" s="224" t="str">
        <f>(IF((VLOOKUP(Table10[[#This Row],[SKU]],'All Skus'!$A:$AC,2,FALSE))="Martin",(VLOOKUP(Table10[[#This Row],[SKU]],'All Skus'!$A:$AC,3,FALSE)),""))</f>
        <v>Architainment</v>
      </c>
      <c r="C407" s="223" t="str">
        <f>(IF((VLOOKUP(Table10[[#This Row],[SKU]],'All Skus'!$A:$AC,2,FALSE))="Martin",(VLOOKUP(Table10[[#This Row],[SKU]],'All Skus'!$A:$AC,4,FALSE)),""))</f>
        <v xml:space="preserve">EXTERIOR WASH 120,7deg,EU,ALU </v>
      </c>
      <c r="D407" s="224" t="str">
        <f>(IF((VLOOKUP(Table10[[#This Row],[SKU]],'All Skus'!$A:$AC,2,FALSE))="Martin",(VLOOKUP(Table10[[#This Row],[SKU]],'All Skus'!$A:$AC,5,FALSE)),""))</f>
        <v>EXT-WASH</v>
      </c>
      <c r="E407" s="223">
        <f>(IF((VLOOKUP(Table10[[#This Row],[SKU]],'All Skus'!$A:$AC,2,FALSE))="Martin",(VLOOKUP(Table10[[#This Row],[SKU]],'All Skus'!$A:$AC,6,FALSE)),""))</f>
        <v>0</v>
      </c>
      <c r="F407" s="155" t="str">
        <f>(IF((VLOOKUP(Table10[[#This Row],[SKU]],'All Skus'!$A:$AC,2,FALSE))="Martin",(VLOOKUP(Table10[[#This Row],[SKU]],'All Skus'!$A:$AC,7,FALSE)),""))</f>
        <v>EOL stage – limited availability may apply</v>
      </c>
      <c r="G407" s="223" t="str">
        <f>(IF((VLOOKUP(Table10[[#This Row],[SKU]],'All Skus'!$A:$AC,2,FALSE))="Martin",(VLOOKUP(Table10[[#This Row],[SKU]],'All Skus'!$A:$AC,8,FALSE)),""))</f>
        <v xml:space="preserve">EXTERIOR WASH 120,7deg,EU,ALU </v>
      </c>
      <c r="H407" s="223" t="str">
        <f>(IF((VLOOKUP(Table10[[#This Row],[SKU]],'All Skus'!$A:$AC,2,FALSE))="Martin",(VLOOKUP(Table10[[#This Row],[SKU]],'All Skus'!$A:$AC,9,FALSE)),""))</f>
        <v xml:space="preserve">EXTERIOR WASH 120,7deg,EU,ALU </v>
      </c>
      <c r="I407" s="225">
        <f>(IF((VLOOKUP(Table10[[#This Row],[SKU]],'All Skus'!$A:$AC,2,FALSE))="Martin",(VLOOKUP(Table10[[#This Row],[SKU]],'All Skus'!$A:$AC,10,FALSE)),""))</f>
        <v>1216.24</v>
      </c>
      <c r="J407" s="226">
        <f>(IF((VLOOKUP(Table10[[#This Row],[SKU]],'All Skus'!$A:$AC,2,FALSE))="Martin",(VLOOKUP(Table10[[#This Row],[SKU]],'All Skus'!$A:$AC,11,FALSE)),""))</f>
        <v>1216.24</v>
      </c>
      <c r="K407" s="224">
        <f>(IF((VLOOKUP(Table10[[#This Row],[SKU]],'All Skus'!$A:$AC,2,FALSE))="Martin",(VLOOKUP(Table10[[#This Row],[SKU]],'All Skus'!$A:$AC,15,FALSE)),""))</f>
        <v>0</v>
      </c>
      <c r="L407" s="224">
        <f>(IF((VLOOKUP(Table10[[#This Row],[SKU]],'All Skus'!$A:$AC,2,FALSE))="Martin",(VLOOKUP(Table10[[#This Row],[SKU]],'All Skus'!$A:$AC,16,FALSE)),""))</f>
        <v>5706681231140</v>
      </c>
      <c r="M407" s="224">
        <f>(IF((VLOOKUP(Table10[[#This Row],[SKU]],'All Skus'!$A:$AC,2,FALSE))="Martin",(VLOOKUP(Table10[[#This Row],[SKU]],'All Skus'!$A:$AC,17,FALSE)),""))</f>
        <v>0</v>
      </c>
      <c r="N407" s="227">
        <f>(IF((VLOOKUP(Table10[[#This Row],[SKU]],'All Skus'!$A:$AC,2,FALSE))="Martin",(VLOOKUP(Table10[[#This Row],[SKU]],'All Skus'!$A:$AC,18,FALSE)),""))</f>
        <v>0</v>
      </c>
      <c r="O407" s="227">
        <f>(IF((VLOOKUP(Table10[[#This Row],[SKU]],'All Skus'!$A:$AC,2,FALSE))="Martin",(VLOOKUP(Table10[[#This Row],[SKU]],'All Skus'!$A:$AC,19,FALSE)),""))</f>
        <v>0</v>
      </c>
      <c r="P407" s="227">
        <f>(IF((VLOOKUP(Table10[[#This Row],[SKU]],'All Skus'!$A:$AC,2,FALSE))="Martin",(VLOOKUP(Table10[[#This Row],[SKU]],'All Skus'!$A:$AC,20,FALSE)),""))</f>
        <v>0</v>
      </c>
      <c r="Q407" s="227">
        <f>(IF((VLOOKUP(Table10[[#This Row],[SKU]],'All Skus'!$A:$AC,2,FALSE))="Martin",(VLOOKUP(Table10[[#This Row],[SKU]],'All Skus'!$A:$AC,21,FALSE)),""))</f>
        <v>0</v>
      </c>
      <c r="R407" s="224" t="str">
        <f>(IF((VLOOKUP(Table10[[#This Row],[SKU]],'All Skus'!$A:$AC,2,FALSE))="Martin",(VLOOKUP(Table10[[#This Row],[SKU]],'All Skus'!$A:$AC,22,FALSE)),""))</f>
        <v>CN</v>
      </c>
      <c r="S407" s="223" t="str">
        <f>(IF((VLOOKUP(Table10[[#This Row],[SKU]],'All Skus'!$A:$AC,2,FALSE))="Martin",(VLOOKUP(Table10[[#This Row],[SKU]],'All Skus'!$A:$AC,23,FALSE)),""))</f>
        <v>Non Compliant</v>
      </c>
      <c r="T407" s="212" t="str">
        <f>HYPERLINK((IF((VLOOKUP(Table10[[#This Row],[SKU]],'All Skus'!$A:$AC,2,FALSE))="Martin",(VLOOKUP(Table10[[#This Row],[SKU]],'All Skus'!$A:$AC,24,FALSE)),"")))</f>
        <v/>
      </c>
      <c r="U407" s="228">
        <v>405</v>
      </c>
    </row>
    <row r="408" spans="1:21" hidden="1">
      <c r="A408" s="115" t="s">
        <v>2154</v>
      </c>
      <c r="B408" s="224">
        <f>(IF((VLOOKUP(Table10[[#This Row],[SKU]],'All Skus'!$A:$AC,2,FALSE))="Martin",(VLOOKUP(Table10[[#This Row],[SKU]],'All Skus'!$A:$AC,3,FALSE)),""))</f>
        <v>0</v>
      </c>
      <c r="C408" s="223">
        <f>(IF((VLOOKUP(Table10[[#This Row],[SKU]],'All Skus'!$A:$AC,2,FALSE))="Martin",(VLOOKUP(Table10[[#This Row],[SKU]],'All Skus'!$A:$AC,4,FALSE)),""))</f>
        <v>0</v>
      </c>
      <c r="D408" s="224">
        <f>(IF((VLOOKUP(Table10[[#This Row],[SKU]],'All Skus'!$A:$AC,2,FALSE))="Martin",(VLOOKUP(Table10[[#This Row],[SKU]],'All Skus'!$A:$AC,5,FALSE)),""))</f>
        <v>0</v>
      </c>
      <c r="E408" s="223">
        <f>(IF((VLOOKUP(Table10[[#This Row],[SKU]],'All Skus'!$A:$AC,2,FALSE))="Martin",(VLOOKUP(Table10[[#This Row],[SKU]],'All Skus'!$A:$AC,6,FALSE)),""))</f>
        <v>0</v>
      </c>
      <c r="F408" s="155">
        <f>(IF((VLOOKUP(Table10[[#This Row],[SKU]],'All Skus'!$A:$AC,2,FALSE))="Martin",(VLOOKUP(Table10[[#This Row],[SKU]],'All Skus'!$A:$AC,7,FALSE)),""))</f>
        <v>0</v>
      </c>
      <c r="G408" s="223">
        <f>(IF((VLOOKUP(Table10[[#This Row],[SKU]],'All Skus'!$A:$AC,2,FALSE))="Martin",(VLOOKUP(Table10[[#This Row],[SKU]],'All Skus'!$A:$AC,8,FALSE)),""))</f>
        <v>0</v>
      </c>
      <c r="H408" s="223">
        <f>(IF((VLOOKUP(Table10[[#This Row],[SKU]],'All Skus'!$A:$AC,2,FALSE))="Martin",(VLOOKUP(Table10[[#This Row],[SKU]],'All Skus'!$A:$AC,9,FALSE)),""))</f>
        <v>0</v>
      </c>
      <c r="I408" s="225">
        <f>(IF((VLOOKUP(Table10[[#This Row],[SKU]],'All Skus'!$A:$AC,2,FALSE))="Martin",(VLOOKUP(Table10[[#This Row],[SKU]],'All Skus'!$A:$AC,10,FALSE)),""))</f>
        <v>0</v>
      </c>
      <c r="J408" s="226">
        <f>(IF((VLOOKUP(Table10[[#This Row],[SKU]],'All Skus'!$A:$AC,2,FALSE))="Martin",(VLOOKUP(Table10[[#This Row],[SKU]],'All Skus'!$A:$AC,11,FALSE)),""))</f>
        <v>0</v>
      </c>
      <c r="K408" s="224">
        <f>(IF((VLOOKUP(Table10[[#This Row],[SKU]],'All Skus'!$A:$AC,2,FALSE))="Martin",(VLOOKUP(Table10[[#This Row],[SKU]],'All Skus'!$A:$AC,15,FALSE)),""))</f>
        <v>0</v>
      </c>
      <c r="L408" s="224">
        <f>(IF((VLOOKUP(Table10[[#This Row],[SKU]],'All Skus'!$A:$AC,2,FALSE))="Martin",(VLOOKUP(Table10[[#This Row],[SKU]],'All Skus'!$A:$AC,16,FALSE)),""))</f>
        <v>0</v>
      </c>
      <c r="M408" s="224">
        <f>(IF((VLOOKUP(Table10[[#This Row],[SKU]],'All Skus'!$A:$AC,2,FALSE))="Martin",(VLOOKUP(Table10[[#This Row],[SKU]],'All Skus'!$A:$AC,17,FALSE)),""))</f>
        <v>0</v>
      </c>
      <c r="N408" s="227">
        <f>(IF((VLOOKUP(Table10[[#This Row],[SKU]],'All Skus'!$A:$AC,2,FALSE))="Martin",(VLOOKUP(Table10[[#This Row],[SKU]],'All Skus'!$A:$AC,18,FALSE)),""))</f>
        <v>0</v>
      </c>
      <c r="O408" s="227">
        <f>(IF((VLOOKUP(Table10[[#This Row],[SKU]],'All Skus'!$A:$AC,2,FALSE))="Martin",(VLOOKUP(Table10[[#This Row],[SKU]],'All Skus'!$A:$AC,19,FALSE)),""))</f>
        <v>0</v>
      </c>
      <c r="P408" s="227">
        <f>(IF((VLOOKUP(Table10[[#This Row],[SKU]],'All Skus'!$A:$AC,2,FALSE))="Martin",(VLOOKUP(Table10[[#This Row],[SKU]],'All Skus'!$A:$AC,20,FALSE)),""))</f>
        <v>0</v>
      </c>
      <c r="Q408" s="227">
        <f>(IF((VLOOKUP(Table10[[#This Row],[SKU]],'All Skus'!$A:$AC,2,FALSE))="Martin",(VLOOKUP(Table10[[#This Row],[SKU]],'All Skus'!$A:$AC,21,FALSE)),""))</f>
        <v>0</v>
      </c>
      <c r="R408" s="224">
        <f>(IF((VLOOKUP(Table10[[#This Row],[SKU]],'All Skus'!$A:$AC,2,FALSE))="Martin",(VLOOKUP(Table10[[#This Row],[SKU]],'All Skus'!$A:$AC,22,FALSE)),""))</f>
        <v>0</v>
      </c>
      <c r="S408" s="223">
        <f>(IF((VLOOKUP(Table10[[#This Row],[SKU]],'All Skus'!$A:$AC,2,FALSE))="Martin",(VLOOKUP(Table10[[#This Row],[SKU]],'All Skus'!$A:$AC,23,FALSE)),""))</f>
        <v>0</v>
      </c>
      <c r="T408" s="212" t="str">
        <f>HYPERLINK((IF((VLOOKUP(Table10[[#This Row],[SKU]],'All Skus'!$A:$AC,2,FALSE))="Martin",(VLOOKUP(Table10[[#This Row],[SKU]],'All Skus'!$A:$AC,24,FALSE)),"")))</f>
        <v/>
      </c>
      <c r="U408" s="228">
        <v>406</v>
      </c>
    </row>
    <row r="409" spans="1:21" hidden="1">
      <c r="A409" s="112">
        <v>91610145</v>
      </c>
      <c r="B409" s="224" t="str">
        <f>(IF((VLOOKUP(Table10[[#This Row],[SKU]],'All Skus'!$A:$AC,2,FALSE))="Martin",(VLOOKUP(Table10[[#This Row],[SKU]],'All Skus'!$A:$AC,3,FALSE)),""))</f>
        <v>Architainment</v>
      </c>
      <c r="C409" s="223" t="str">
        <f>(IF((VLOOKUP(Table10[[#This Row],[SKU]],'All Skus'!$A:$AC,2,FALSE))="Martin",(VLOOKUP(Table10[[#This Row],[SKU]],'All Skus'!$A:$AC,4,FALSE)),""))</f>
        <v xml:space="preserve">EW 100 NARROW DIF K/BEZEL </v>
      </c>
      <c r="D409" s="224" t="str">
        <f>(IF((VLOOKUP(Table10[[#This Row],[SKU]],'All Skus'!$A:$AC,2,FALSE))="Martin",(VLOOKUP(Table10[[#This Row],[SKU]],'All Skus'!$A:$AC,5,FALSE)),""))</f>
        <v>EXT-WASH</v>
      </c>
      <c r="E409" s="223">
        <f>(IF((VLOOKUP(Table10[[#This Row],[SKU]],'All Skus'!$A:$AC,2,FALSE))="Martin",(VLOOKUP(Table10[[#This Row],[SKU]],'All Skus'!$A:$AC,6,FALSE)),""))</f>
        <v>0</v>
      </c>
      <c r="F409" s="155" t="str">
        <f>(IF((VLOOKUP(Table10[[#This Row],[SKU]],'All Skus'!$A:$AC,2,FALSE))="Martin",(VLOOKUP(Table10[[#This Row],[SKU]],'All Skus'!$A:$AC,7,FALSE)),""))</f>
        <v>EOL stage – limited availability may apply</v>
      </c>
      <c r="G409" s="223" t="str">
        <f>(IF((VLOOKUP(Table10[[#This Row],[SKU]],'All Skus'!$A:$AC,2,FALSE))="Martin",(VLOOKUP(Table10[[#This Row],[SKU]],'All Skus'!$A:$AC,8,FALSE)),""))</f>
        <v xml:space="preserve">EW 100 NARROW DIF K/BEZEL </v>
      </c>
      <c r="H409" s="223" t="str">
        <f>(IF((VLOOKUP(Table10[[#This Row],[SKU]],'All Skus'!$A:$AC,2,FALSE))="Martin",(VLOOKUP(Table10[[#This Row],[SKU]],'All Skus'!$A:$AC,9,FALSE)),""))</f>
        <v xml:space="preserve">EW 100 NARROW DIF K/BEZEL </v>
      </c>
      <c r="I409" s="225">
        <f>(IF((VLOOKUP(Table10[[#This Row],[SKU]],'All Skus'!$A:$AC,2,FALSE))="Martin",(VLOOKUP(Table10[[#This Row],[SKU]],'All Skus'!$A:$AC,10,FALSE)),""))</f>
        <v>97.55</v>
      </c>
      <c r="J409" s="226">
        <f>(IF((VLOOKUP(Table10[[#This Row],[SKU]],'All Skus'!$A:$AC,2,FALSE))="Martin",(VLOOKUP(Table10[[#This Row],[SKU]],'All Skus'!$A:$AC,11,FALSE)),""))</f>
        <v>97.55</v>
      </c>
      <c r="K409" s="224">
        <f>(IF((VLOOKUP(Table10[[#This Row],[SKU]],'All Skus'!$A:$AC,2,FALSE))="Martin",(VLOOKUP(Table10[[#This Row],[SKU]],'All Skus'!$A:$AC,15,FALSE)),""))</f>
        <v>0</v>
      </c>
      <c r="L409" s="224">
        <f>(IF((VLOOKUP(Table10[[#This Row],[SKU]],'All Skus'!$A:$AC,2,FALSE))="Martin",(VLOOKUP(Table10[[#This Row],[SKU]],'All Skus'!$A:$AC,16,FALSE)),""))</f>
        <v>0</v>
      </c>
      <c r="M409" s="224">
        <f>(IF((VLOOKUP(Table10[[#This Row],[SKU]],'All Skus'!$A:$AC,2,FALSE))="Martin",(VLOOKUP(Table10[[#This Row],[SKU]],'All Skus'!$A:$AC,17,FALSE)),""))</f>
        <v>0</v>
      </c>
      <c r="N409" s="227">
        <f>(IF((VLOOKUP(Table10[[#This Row],[SKU]],'All Skus'!$A:$AC,2,FALSE))="Martin",(VLOOKUP(Table10[[#This Row],[SKU]],'All Skus'!$A:$AC,18,FALSE)),""))</f>
        <v>0</v>
      </c>
      <c r="O409" s="227">
        <f>(IF((VLOOKUP(Table10[[#This Row],[SKU]],'All Skus'!$A:$AC,2,FALSE))="Martin",(VLOOKUP(Table10[[#This Row],[SKU]],'All Skus'!$A:$AC,19,FALSE)),""))</f>
        <v>0</v>
      </c>
      <c r="P409" s="227">
        <f>(IF((VLOOKUP(Table10[[#This Row],[SKU]],'All Skus'!$A:$AC,2,FALSE))="Martin",(VLOOKUP(Table10[[#This Row],[SKU]],'All Skus'!$A:$AC,20,FALSE)),""))</f>
        <v>0</v>
      </c>
      <c r="Q409" s="227">
        <f>(IF((VLOOKUP(Table10[[#This Row],[SKU]],'All Skus'!$A:$AC,2,FALSE))="Martin",(VLOOKUP(Table10[[#This Row],[SKU]],'All Skus'!$A:$AC,21,FALSE)),""))</f>
        <v>0</v>
      </c>
      <c r="R409" s="224" t="str">
        <f>(IF((VLOOKUP(Table10[[#This Row],[SKU]],'All Skus'!$A:$AC,2,FALSE))="Martin",(VLOOKUP(Table10[[#This Row],[SKU]],'All Skus'!$A:$AC,22,FALSE)),""))</f>
        <v>CN</v>
      </c>
      <c r="S409" s="223" t="str">
        <f>(IF((VLOOKUP(Table10[[#This Row],[SKU]],'All Skus'!$A:$AC,2,FALSE))="Martin",(VLOOKUP(Table10[[#This Row],[SKU]],'All Skus'!$A:$AC,23,FALSE)),""))</f>
        <v>Non Compliant</v>
      </c>
      <c r="T409" s="212" t="str">
        <f>HYPERLINK((IF((VLOOKUP(Table10[[#This Row],[SKU]],'All Skus'!$A:$AC,2,FALSE))="Martin",(VLOOKUP(Table10[[#This Row],[SKU]],'All Skus'!$A:$AC,24,FALSE)),"")))</f>
        <v/>
      </c>
      <c r="U409" s="228">
        <v>407</v>
      </c>
    </row>
    <row r="410" spans="1:21" hidden="1">
      <c r="A410" s="112">
        <v>91610146</v>
      </c>
      <c r="B410" s="224" t="str">
        <f>(IF((VLOOKUP(Table10[[#This Row],[SKU]],'All Skus'!$A:$AC,2,FALSE))="Martin",(VLOOKUP(Table10[[#This Row],[SKU]],'All Skus'!$A:$AC,3,FALSE)),""))</f>
        <v>Architainment</v>
      </c>
      <c r="C410" s="223" t="str">
        <f>(IF((VLOOKUP(Table10[[#This Row],[SKU]],'All Skus'!$A:$AC,2,FALSE))="Martin",(VLOOKUP(Table10[[#This Row],[SKU]],'All Skus'!$A:$AC,4,FALSE)),""))</f>
        <v xml:space="preserve">EW 100 MEDIUM DIF KIT/BEZEL </v>
      </c>
      <c r="D410" s="224" t="str">
        <f>(IF((VLOOKUP(Table10[[#This Row],[SKU]],'All Skus'!$A:$AC,2,FALSE))="Martin",(VLOOKUP(Table10[[#This Row],[SKU]],'All Skus'!$A:$AC,5,FALSE)),""))</f>
        <v>EXT-WASH</v>
      </c>
      <c r="E410" s="223">
        <f>(IF((VLOOKUP(Table10[[#This Row],[SKU]],'All Skus'!$A:$AC,2,FALSE))="Martin",(VLOOKUP(Table10[[#This Row],[SKU]],'All Skus'!$A:$AC,6,FALSE)),""))</f>
        <v>0</v>
      </c>
      <c r="F410" s="155" t="str">
        <f>(IF((VLOOKUP(Table10[[#This Row],[SKU]],'All Skus'!$A:$AC,2,FALSE))="Martin",(VLOOKUP(Table10[[#This Row],[SKU]],'All Skus'!$A:$AC,7,FALSE)),""))</f>
        <v>EOL stage – limited availability may apply</v>
      </c>
      <c r="G410" s="223" t="str">
        <f>(IF((VLOOKUP(Table10[[#This Row],[SKU]],'All Skus'!$A:$AC,2,FALSE))="Martin",(VLOOKUP(Table10[[#This Row],[SKU]],'All Skus'!$A:$AC,8,FALSE)),""))</f>
        <v xml:space="preserve">EW 100 MEDIUM DIF KIT/BEZEL </v>
      </c>
      <c r="H410" s="223" t="str">
        <f>(IF((VLOOKUP(Table10[[#This Row],[SKU]],'All Skus'!$A:$AC,2,FALSE))="Martin",(VLOOKUP(Table10[[#This Row],[SKU]],'All Skus'!$A:$AC,9,FALSE)),""))</f>
        <v xml:space="preserve">EW 100 MEDIUM DIF KIT/BEZEL </v>
      </c>
      <c r="I410" s="225">
        <f>(IF((VLOOKUP(Table10[[#This Row],[SKU]],'All Skus'!$A:$AC,2,FALSE))="Martin",(VLOOKUP(Table10[[#This Row],[SKU]],'All Skus'!$A:$AC,10,FALSE)),""))</f>
        <v>97.55</v>
      </c>
      <c r="J410" s="226">
        <f>(IF((VLOOKUP(Table10[[#This Row],[SKU]],'All Skus'!$A:$AC,2,FALSE))="Martin",(VLOOKUP(Table10[[#This Row],[SKU]],'All Skus'!$A:$AC,11,FALSE)),""))</f>
        <v>97.55</v>
      </c>
      <c r="K410" s="224">
        <f>(IF((VLOOKUP(Table10[[#This Row],[SKU]],'All Skus'!$A:$AC,2,FALSE))="Martin",(VLOOKUP(Table10[[#This Row],[SKU]],'All Skus'!$A:$AC,15,FALSE)),""))</f>
        <v>0</v>
      </c>
      <c r="L410" s="224">
        <f>(IF((VLOOKUP(Table10[[#This Row],[SKU]],'All Skus'!$A:$AC,2,FALSE))="Martin",(VLOOKUP(Table10[[#This Row],[SKU]],'All Skus'!$A:$AC,16,FALSE)),""))</f>
        <v>0</v>
      </c>
      <c r="M410" s="224">
        <f>(IF((VLOOKUP(Table10[[#This Row],[SKU]],'All Skus'!$A:$AC,2,FALSE))="Martin",(VLOOKUP(Table10[[#This Row],[SKU]],'All Skus'!$A:$AC,17,FALSE)),""))</f>
        <v>0</v>
      </c>
      <c r="N410" s="227">
        <f>(IF((VLOOKUP(Table10[[#This Row],[SKU]],'All Skus'!$A:$AC,2,FALSE))="Martin",(VLOOKUP(Table10[[#This Row],[SKU]],'All Skus'!$A:$AC,18,FALSE)),""))</f>
        <v>0</v>
      </c>
      <c r="O410" s="227">
        <f>(IF((VLOOKUP(Table10[[#This Row],[SKU]],'All Skus'!$A:$AC,2,FALSE))="Martin",(VLOOKUP(Table10[[#This Row],[SKU]],'All Skus'!$A:$AC,19,FALSE)),""))</f>
        <v>0</v>
      </c>
      <c r="P410" s="227">
        <f>(IF((VLOOKUP(Table10[[#This Row],[SKU]],'All Skus'!$A:$AC,2,FALSE))="Martin",(VLOOKUP(Table10[[#This Row],[SKU]],'All Skus'!$A:$AC,20,FALSE)),""))</f>
        <v>0</v>
      </c>
      <c r="Q410" s="227">
        <f>(IF((VLOOKUP(Table10[[#This Row],[SKU]],'All Skus'!$A:$AC,2,FALSE))="Martin",(VLOOKUP(Table10[[#This Row],[SKU]],'All Skus'!$A:$AC,21,FALSE)),""))</f>
        <v>0</v>
      </c>
      <c r="R410" s="224" t="str">
        <f>(IF((VLOOKUP(Table10[[#This Row],[SKU]],'All Skus'!$A:$AC,2,FALSE))="Martin",(VLOOKUP(Table10[[#This Row],[SKU]],'All Skus'!$A:$AC,22,FALSE)),""))</f>
        <v>CN</v>
      </c>
      <c r="S410" s="223" t="str">
        <f>(IF((VLOOKUP(Table10[[#This Row],[SKU]],'All Skus'!$A:$AC,2,FALSE))="Martin",(VLOOKUP(Table10[[#This Row],[SKU]],'All Skus'!$A:$AC,23,FALSE)),""))</f>
        <v>Non Compliant</v>
      </c>
      <c r="T410" s="212" t="str">
        <f>HYPERLINK((IF((VLOOKUP(Table10[[#This Row],[SKU]],'All Skus'!$A:$AC,2,FALSE))="Martin",(VLOOKUP(Table10[[#This Row],[SKU]],'All Skus'!$A:$AC,24,FALSE)),"")))</f>
        <v/>
      </c>
      <c r="U410" s="228">
        <v>408</v>
      </c>
    </row>
    <row r="411" spans="1:21" hidden="1">
      <c r="A411" s="112">
        <v>91610147</v>
      </c>
      <c r="B411" s="224" t="str">
        <f>(IF((VLOOKUP(Table10[[#This Row],[SKU]],'All Skus'!$A:$AC,2,FALSE))="Martin",(VLOOKUP(Table10[[#This Row],[SKU]],'All Skus'!$A:$AC,3,FALSE)),""))</f>
        <v>Architainment</v>
      </c>
      <c r="C411" s="223" t="str">
        <f>(IF((VLOOKUP(Table10[[#This Row],[SKU]],'All Skus'!$A:$AC,2,FALSE))="Martin",(VLOOKUP(Table10[[#This Row],[SKU]],'All Skus'!$A:$AC,4,FALSE)),""))</f>
        <v xml:space="preserve">EW 100 WIDE DIF KIT/BEZEL </v>
      </c>
      <c r="D411" s="224" t="str">
        <f>(IF((VLOOKUP(Table10[[#This Row],[SKU]],'All Skus'!$A:$AC,2,FALSE))="Martin",(VLOOKUP(Table10[[#This Row],[SKU]],'All Skus'!$A:$AC,5,FALSE)),""))</f>
        <v>EXT-WASH</v>
      </c>
      <c r="E411" s="223">
        <f>(IF((VLOOKUP(Table10[[#This Row],[SKU]],'All Skus'!$A:$AC,2,FALSE))="Martin",(VLOOKUP(Table10[[#This Row],[SKU]],'All Skus'!$A:$AC,6,FALSE)),""))</f>
        <v>0</v>
      </c>
      <c r="F411" s="155" t="str">
        <f>(IF((VLOOKUP(Table10[[#This Row],[SKU]],'All Skus'!$A:$AC,2,FALSE))="Martin",(VLOOKUP(Table10[[#This Row],[SKU]],'All Skus'!$A:$AC,7,FALSE)),""))</f>
        <v>EOL stage – limited availability may apply</v>
      </c>
      <c r="G411" s="223" t="str">
        <f>(IF((VLOOKUP(Table10[[#This Row],[SKU]],'All Skus'!$A:$AC,2,FALSE))="Martin",(VLOOKUP(Table10[[#This Row],[SKU]],'All Skus'!$A:$AC,8,FALSE)),""))</f>
        <v xml:space="preserve">EW 100 WIDE DIF KIT/BEZEL </v>
      </c>
      <c r="H411" s="223" t="str">
        <f>(IF((VLOOKUP(Table10[[#This Row],[SKU]],'All Skus'!$A:$AC,2,FALSE))="Martin",(VLOOKUP(Table10[[#This Row],[SKU]],'All Skus'!$A:$AC,9,FALSE)),""))</f>
        <v xml:space="preserve">EW 100 WIDE DIF KIT/BEZEL </v>
      </c>
      <c r="I411" s="225">
        <f>(IF((VLOOKUP(Table10[[#This Row],[SKU]],'All Skus'!$A:$AC,2,FALSE))="Martin",(VLOOKUP(Table10[[#This Row],[SKU]],'All Skus'!$A:$AC,10,FALSE)),""))</f>
        <v>97.55</v>
      </c>
      <c r="J411" s="226">
        <f>(IF((VLOOKUP(Table10[[#This Row],[SKU]],'All Skus'!$A:$AC,2,FALSE))="Martin",(VLOOKUP(Table10[[#This Row],[SKU]],'All Skus'!$A:$AC,11,FALSE)),""))</f>
        <v>97.55</v>
      </c>
      <c r="K411" s="224">
        <f>(IF((VLOOKUP(Table10[[#This Row],[SKU]],'All Skus'!$A:$AC,2,FALSE))="Martin",(VLOOKUP(Table10[[#This Row],[SKU]],'All Skus'!$A:$AC,15,FALSE)),""))</f>
        <v>0</v>
      </c>
      <c r="L411" s="224">
        <f>(IF((VLOOKUP(Table10[[#This Row],[SKU]],'All Skus'!$A:$AC,2,FALSE))="Martin",(VLOOKUP(Table10[[#This Row],[SKU]],'All Skus'!$A:$AC,16,FALSE)),""))</f>
        <v>0</v>
      </c>
      <c r="M411" s="224">
        <f>(IF((VLOOKUP(Table10[[#This Row],[SKU]],'All Skus'!$A:$AC,2,FALSE))="Martin",(VLOOKUP(Table10[[#This Row],[SKU]],'All Skus'!$A:$AC,17,FALSE)),""))</f>
        <v>0</v>
      </c>
      <c r="N411" s="227">
        <f>(IF((VLOOKUP(Table10[[#This Row],[SKU]],'All Skus'!$A:$AC,2,FALSE))="Martin",(VLOOKUP(Table10[[#This Row],[SKU]],'All Skus'!$A:$AC,18,FALSE)),""))</f>
        <v>0</v>
      </c>
      <c r="O411" s="227">
        <f>(IF((VLOOKUP(Table10[[#This Row],[SKU]],'All Skus'!$A:$AC,2,FALSE))="Martin",(VLOOKUP(Table10[[#This Row],[SKU]],'All Skus'!$A:$AC,19,FALSE)),""))</f>
        <v>0</v>
      </c>
      <c r="P411" s="227">
        <f>(IF((VLOOKUP(Table10[[#This Row],[SKU]],'All Skus'!$A:$AC,2,FALSE))="Martin",(VLOOKUP(Table10[[#This Row],[SKU]],'All Skus'!$A:$AC,20,FALSE)),""))</f>
        <v>0</v>
      </c>
      <c r="Q411" s="227">
        <f>(IF((VLOOKUP(Table10[[#This Row],[SKU]],'All Skus'!$A:$AC,2,FALSE))="Martin",(VLOOKUP(Table10[[#This Row],[SKU]],'All Skus'!$A:$AC,21,FALSE)),""))</f>
        <v>0</v>
      </c>
      <c r="R411" s="224" t="str">
        <f>(IF((VLOOKUP(Table10[[#This Row],[SKU]],'All Skus'!$A:$AC,2,FALSE))="Martin",(VLOOKUP(Table10[[#This Row],[SKU]],'All Skus'!$A:$AC,22,FALSE)),""))</f>
        <v>CN</v>
      </c>
      <c r="S411" s="223" t="str">
        <f>(IF((VLOOKUP(Table10[[#This Row],[SKU]],'All Skus'!$A:$AC,2,FALSE))="Martin",(VLOOKUP(Table10[[#This Row],[SKU]],'All Skus'!$A:$AC,23,FALSE)),""))</f>
        <v>Non Compliant</v>
      </c>
      <c r="T411" s="212" t="str">
        <f>HYPERLINK((IF((VLOOKUP(Table10[[#This Row],[SKU]],'All Skus'!$A:$AC,2,FALSE))="Martin",(VLOOKUP(Table10[[#This Row],[SKU]],'All Skus'!$A:$AC,24,FALSE)),"")))</f>
        <v/>
      </c>
      <c r="U411" s="228">
        <v>409</v>
      </c>
    </row>
    <row r="412" spans="1:21" hidden="1">
      <c r="A412" s="112">
        <v>91610148</v>
      </c>
      <c r="B412" s="224" t="str">
        <f>(IF((VLOOKUP(Table10[[#This Row],[SKU]],'All Skus'!$A:$AC,2,FALSE))="Martin",(VLOOKUP(Table10[[#This Row],[SKU]],'All Skus'!$A:$AC,3,FALSE)),""))</f>
        <v>Architainment</v>
      </c>
      <c r="C412" s="223" t="str">
        <f>(IF((VLOOKUP(Table10[[#This Row],[SKU]],'All Skus'!$A:$AC,2,FALSE))="Martin",(VLOOKUP(Table10[[#This Row],[SKU]],'All Skus'!$A:$AC,4,FALSE)),""))</f>
        <v xml:space="preserve">EW 100 VERY WID DIF KIT/BEZEL </v>
      </c>
      <c r="D412" s="224" t="str">
        <f>(IF((VLOOKUP(Table10[[#This Row],[SKU]],'All Skus'!$A:$AC,2,FALSE))="Martin",(VLOOKUP(Table10[[#This Row],[SKU]],'All Skus'!$A:$AC,5,FALSE)),""))</f>
        <v>EXT-WASH</v>
      </c>
      <c r="E412" s="223">
        <f>(IF((VLOOKUP(Table10[[#This Row],[SKU]],'All Skus'!$A:$AC,2,FALSE))="Martin",(VLOOKUP(Table10[[#This Row],[SKU]],'All Skus'!$A:$AC,6,FALSE)),""))</f>
        <v>0</v>
      </c>
      <c r="F412" s="155" t="str">
        <f>(IF((VLOOKUP(Table10[[#This Row],[SKU]],'All Skus'!$A:$AC,2,FALSE))="Martin",(VLOOKUP(Table10[[#This Row],[SKU]],'All Skus'!$A:$AC,7,FALSE)),""))</f>
        <v>EOL stage – limited availability may apply</v>
      </c>
      <c r="G412" s="223" t="str">
        <f>(IF((VLOOKUP(Table10[[#This Row],[SKU]],'All Skus'!$A:$AC,2,FALSE))="Martin",(VLOOKUP(Table10[[#This Row],[SKU]],'All Skus'!$A:$AC,8,FALSE)),""))</f>
        <v xml:space="preserve">EW 100 VERY WID DIF KIT/BEZEL </v>
      </c>
      <c r="H412" s="223" t="str">
        <f>(IF((VLOOKUP(Table10[[#This Row],[SKU]],'All Skus'!$A:$AC,2,FALSE))="Martin",(VLOOKUP(Table10[[#This Row],[SKU]],'All Skus'!$A:$AC,9,FALSE)),""))</f>
        <v xml:space="preserve">EW 100 VERY WID DIF KIT/BEZEL </v>
      </c>
      <c r="I412" s="225">
        <f>(IF((VLOOKUP(Table10[[#This Row],[SKU]],'All Skus'!$A:$AC,2,FALSE))="Martin",(VLOOKUP(Table10[[#This Row],[SKU]],'All Skus'!$A:$AC,10,FALSE)),""))</f>
        <v>97.55</v>
      </c>
      <c r="J412" s="226">
        <f>(IF((VLOOKUP(Table10[[#This Row],[SKU]],'All Skus'!$A:$AC,2,FALSE))="Martin",(VLOOKUP(Table10[[#This Row],[SKU]],'All Skus'!$A:$AC,11,FALSE)),""))</f>
        <v>97.55</v>
      </c>
      <c r="K412" s="224">
        <f>(IF((VLOOKUP(Table10[[#This Row],[SKU]],'All Skus'!$A:$AC,2,FALSE))="Martin",(VLOOKUP(Table10[[#This Row],[SKU]],'All Skus'!$A:$AC,15,FALSE)),""))</f>
        <v>0</v>
      </c>
      <c r="L412" s="224">
        <f>(IF((VLOOKUP(Table10[[#This Row],[SKU]],'All Skus'!$A:$AC,2,FALSE))="Martin",(VLOOKUP(Table10[[#This Row],[SKU]],'All Skus'!$A:$AC,16,FALSE)),""))</f>
        <v>0</v>
      </c>
      <c r="M412" s="224">
        <f>(IF((VLOOKUP(Table10[[#This Row],[SKU]],'All Skus'!$A:$AC,2,FALSE))="Martin",(VLOOKUP(Table10[[#This Row],[SKU]],'All Skus'!$A:$AC,17,FALSE)),""))</f>
        <v>0</v>
      </c>
      <c r="N412" s="227">
        <f>(IF((VLOOKUP(Table10[[#This Row],[SKU]],'All Skus'!$A:$AC,2,FALSE))="Martin",(VLOOKUP(Table10[[#This Row],[SKU]],'All Skus'!$A:$AC,18,FALSE)),""))</f>
        <v>0</v>
      </c>
      <c r="O412" s="227">
        <f>(IF((VLOOKUP(Table10[[#This Row],[SKU]],'All Skus'!$A:$AC,2,FALSE))="Martin",(VLOOKUP(Table10[[#This Row],[SKU]],'All Skus'!$A:$AC,19,FALSE)),""))</f>
        <v>0</v>
      </c>
      <c r="P412" s="227">
        <f>(IF((VLOOKUP(Table10[[#This Row],[SKU]],'All Skus'!$A:$AC,2,FALSE))="Martin",(VLOOKUP(Table10[[#This Row],[SKU]],'All Skus'!$A:$AC,20,FALSE)),""))</f>
        <v>0</v>
      </c>
      <c r="Q412" s="227">
        <f>(IF((VLOOKUP(Table10[[#This Row],[SKU]],'All Skus'!$A:$AC,2,FALSE))="Martin",(VLOOKUP(Table10[[#This Row],[SKU]],'All Skus'!$A:$AC,21,FALSE)),""))</f>
        <v>0</v>
      </c>
      <c r="R412" s="224" t="str">
        <f>(IF((VLOOKUP(Table10[[#This Row],[SKU]],'All Skus'!$A:$AC,2,FALSE))="Martin",(VLOOKUP(Table10[[#This Row],[SKU]],'All Skus'!$A:$AC,22,FALSE)),""))</f>
        <v>CN</v>
      </c>
      <c r="S412" s="223" t="str">
        <f>(IF((VLOOKUP(Table10[[#This Row],[SKU]],'All Skus'!$A:$AC,2,FALSE))="Martin",(VLOOKUP(Table10[[#This Row],[SKU]],'All Skus'!$A:$AC,23,FALSE)),""))</f>
        <v>Non Compliant</v>
      </c>
      <c r="T412" s="212" t="str">
        <f>HYPERLINK((IF((VLOOKUP(Table10[[#This Row],[SKU]],'All Skus'!$A:$AC,2,FALSE))="Martin",(VLOOKUP(Table10[[#This Row],[SKU]],'All Skus'!$A:$AC,24,FALSE)),"")))</f>
        <v/>
      </c>
      <c r="U412" s="228">
        <v>410</v>
      </c>
    </row>
    <row r="413" spans="1:21" hidden="1">
      <c r="A413" s="112">
        <v>91610149</v>
      </c>
      <c r="B413" s="224" t="str">
        <f>(IF((VLOOKUP(Table10[[#This Row],[SKU]],'All Skus'!$A:$AC,2,FALSE))="Martin",(VLOOKUP(Table10[[#This Row],[SKU]],'All Skus'!$A:$AC,3,FALSE)),""))</f>
        <v>Architainment</v>
      </c>
      <c r="C413" s="223" t="str">
        <f>(IF((VLOOKUP(Table10[[#This Row],[SKU]],'All Skus'!$A:$AC,2,FALSE))="Martin",(VLOOKUP(Table10[[#This Row],[SKU]],'All Skus'!$A:$AC,4,FALSE)),""))</f>
        <v xml:space="preserve">EW 100 ASSYMETRICAL DIF KIT/BEZEL </v>
      </c>
      <c r="D413" s="224" t="str">
        <f>(IF((VLOOKUP(Table10[[#This Row],[SKU]],'All Skus'!$A:$AC,2,FALSE))="Martin",(VLOOKUP(Table10[[#This Row],[SKU]],'All Skus'!$A:$AC,5,FALSE)),""))</f>
        <v>EXT-WASH</v>
      </c>
      <c r="E413" s="223">
        <f>(IF((VLOOKUP(Table10[[#This Row],[SKU]],'All Skus'!$A:$AC,2,FALSE))="Martin",(VLOOKUP(Table10[[#This Row],[SKU]],'All Skus'!$A:$AC,6,FALSE)),""))</f>
        <v>0</v>
      </c>
      <c r="F413" s="155" t="str">
        <f>(IF((VLOOKUP(Table10[[#This Row],[SKU]],'All Skus'!$A:$AC,2,FALSE))="Martin",(VLOOKUP(Table10[[#This Row],[SKU]],'All Skus'!$A:$AC,7,FALSE)),""))</f>
        <v>EOL stage – limited availability may apply</v>
      </c>
      <c r="G413" s="223" t="str">
        <f>(IF((VLOOKUP(Table10[[#This Row],[SKU]],'All Skus'!$A:$AC,2,FALSE))="Martin",(VLOOKUP(Table10[[#This Row],[SKU]],'All Skus'!$A:$AC,8,FALSE)),""))</f>
        <v xml:space="preserve">EW 100 ASSYMETRICAL DIF KIT/BEZEL </v>
      </c>
      <c r="H413" s="223" t="str">
        <f>(IF((VLOOKUP(Table10[[#This Row],[SKU]],'All Skus'!$A:$AC,2,FALSE))="Martin",(VLOOKUP(Table10[[#This Row],[SKU]],'All Skus'!$A:$AC,9,FALSE)),""))</f>
        <v xml:space="preserve">EW 100 ASSYMETRICAL DIF KIT/BEZEL </v>
      </c>
      <c r="I413" s="225">
        <f>(IF((VLOOKUP(Table10[[#This Row],[SKU]],'All Skus'!$A:$AC,2,FALSE))="Martin",(VLOOKUP(Table10[[#This Row],[SKU]],'All Skus'!$A:$AC,10,FALSE)),""))</f>
        <v>97.55</v>
      </c>
      <c r="J413" s="226">
        <f>(IF((VLOOKUP(Table10[[#This Row],[SKU]],'All Skus'!$A:$AC,2,FALSE))="Martin",(VLOOKUP(Table10[[#This Row],[SKU]],'All Skus'!$A:$AC,11,FALSE)),""))</f>
        <v>97.55</v>
      </c>
      <c r="K413" s="224">
        <f>(IF((VLOOKUP(Table10[[#This Row],[SKU]],'All Skus'!$A:$AC,2,FALSE))="Martin",(VLOOKUP(Table10[[#This Row],[SKU]],'All Skus'!$A:$AC,15,FALSE)),""))</f>
        <v>0</v>
      </c>
      <c r="L413" s="224">
        <f>(IF((VLOOKUP(Table10[[#This Row],[SKU]],'All Skus'!$A:$AC,2,FALSE))="Martin",(VLOOKUP(Table10[[#This Row],[SKU]],'All Skus'!$A:$AC,16,FALSE)),""))</f>
        <v>0</v>
      </c>
      <c r="M413" s="224">
        <f>(IF((VLOOKUP(Table10[[#This Row],[SKU]],'All Skus'!$A:$AC,2,FALSE))="Martin",(VLOOKUP(Table10[[#This Row],[SKU]],'All Skus'!$A:$AC,17,FALSE)),""))</f>
        <v>0</v>
      </c>
      <c r="N413" s="227">
        <f>(IF((VLOOKUP(Table10[[#This Row],[SKU]],'All Skus'!$A:$AC,2,FALSE))="Martin",(VLOOKUP(Table10[[#This Row],[SKU]],'All Skus'!$A:$AC,18,FALSE)),""))</f>
        <v>0</v>
      </c>
      <c r="O413" s="227">
        <f>(IF((VLOOKUP(Table10[[#This Row],[SKU]],'All Skus'!$A:$AC,2,FALSE))="Martin",(VLOOKUP(Table10[[#This Row],[SKU]],'All Skus'!$A:$AC,19,FALSE)),""))</f>
        <v>0</v>
      </c>
      <c r="P413" s="227">
        <f>(IF((VLOOKUP(Table10[[#This Row],[SKU]],'All Skus'!$A:$AC,2,FALSE))="Martin",(VLOOKUP(Table10[[#This Row],[SKU]],'All Skus'!$A:$AC,20,FALSE)),""))</f>
        <v>0</v>
      </c>
      <c r="Q413" s="227">
        <f>(IF((VLOOKUP(Table10[[#This Row],[SKU]],'All Skus'!$A:$AC,2,FALSE))="Martin",(VLOOKUP(Table10[[#This Row],[SKU]],'All Skus'!$A:$AC,21,FALSE)),""))</f>
        <v>0</v>
      </c>
      <c r="R413" s="224" t="str">
        <f>(IF((VLOOKUP(Table10[[#This Row],[SKU]],'All Skus'!$A:$AC,2,FALSE))="Martin",(VLOOKUP(Table10[[#This Row],[SKU]],'All Skus'!$A:$AC,22,FALSE)),""))</f>
        <v>CN</v>
      </c>
      <c r="S413" s="223" t="str">
        <f>(IF((VLOOKUP(Table10[[#This Row],[SKU]],'All Skus'!$A:$AC,2,FALSE))="Martin",(VLOOKUP(Table10[[#This Row],[SKU]],'All Skus'!$A:$AC,23,FALSE)),""))</f>
        <v>Non Compliant</v>
      </c>
      <c r="T413" s="212" t="str">
        <f>HYPERLINK((IF((VLOOKUP(Table10[[#This Row],[SKU]],'All Skus'!$A:$AC,2,FALSE))="Martin",(VLOOKUP(Table10[[#This Row],[SKU]],'All Skus'!$A:$AC,24,FALSE)),"")))</f>
        <v/>
      </c>
      <c r="U413" s="228">
        <v>411</v>
      </c>
    </row>
    <row r="414" spans="1:21" hidden="1">
      <c r="A414" s="112">
        <v>91611833</v>
      </c>
      <c r="B414" s="224">
        <f>(IF((VLOOKUP(Table10[[#This Row],[SKU]],'All Skus'!$A:$AC,2,FALSE))="Martin",(VLOOKUP(Table10[[#This Row],[SKU]],'All Skus'!$A:$AC,3,FALSE)),""))</f>
        <v>0</v>
      </c>
      <c r="C414" s="223" t="str">
        <f>(IF((VLOOKUP(Table10[[#This Row],[SKU]],'All Skus'!$A:$AC,2,FALSE))="Martin",(VLOOKUP(Table10[[#This Row],[SKU]],'All Skus'!$A:$AC,4,FALSE)),""))</f>
        <v>EXTERIOR WASH 100 BEZEL, WHITE</v>
      </c>
      <c r="D414" s="224" t="str">
        <f>(IF((VLOOKUP(Table10[[#This Row],[SKU]],'All Skus'!$A:$AC,2,FALSE))="Martin",(VLOOKUP(Table10[[#This Row],[SKU]],'All Skus'!$A:$AC,5,FALSE)),""))</f>
        <v>EXT-WASH</v>
      </c>
      <c r="E414" s="223">
        <f>(IF((VLOOKUP(Table10[[#This Row],[SKU]],'All Skus'!$A:$AC,2,FALSE))="Martin",(VLOOKUP(Table10[[#This Row],[SKU]],'All Skus'!$A:$AC,6,FALSE)),""))</f>
        <v>0</v>
      </c>
      <c r="F414" s="155" t="str">
        <f>(IF((VLOOKUP(Table10[[#This Row],[SKU]],'All Skus'!$A:$AC,2,FALSE))="Martin",(VLOOKUP(Table10[[#This Row],[SKU]],'All Skus'!$A:$AC,7,FALSE)),""))</f>
        <v>EOL stage – limited availability may apply</v>
      </c>
      <c r="G414" s="223" t="str">
        <f>(IF((VLOOKUP(Table10[[#This Row],[SKU]],'All Skus'!$A:$AC,2,FALSE))="Martin",(VLOOKUP(Table10[[#This Row],[SKU]],'All Skus'!$A:$AC,8,FALSE)),""))</f>
        <v>EXTERIOR WASH 100 BEZEL, WHITE</v>
      </c>
      <c r="H414" s="223" t="str">
        <f>(IF((VLOOKUP(Table10[[#This Row],[SKU]],'All Skus'!$A:$AC,2,FALSE))="Martin",(VLOOKUP(Table10[[#This Row],[SKU]],'All Skus'!$A:$AC,9,FALSE)),""))</f>
        <v>EXTERIOR WASH 100 BEZEL, WHITE</v>
      </c>
      <c r="I414" s="225">
        <f>(IF((VLOOKUP(Table10[[#This Row],[SKU]],'All Skus'!$A:$AC,2,FALSE))="Martin",(VLOOKUP(Table10[[#This Row],[SKU]],'All Skus'!$A:$AC,10,FALSE)),""))</f>
        <v>11.11</v>
      </c>
      <c r="J414" s="226">
        <f>(IF((VLOOKUP(Table10[[#This Row],[SKU]],'All Skus'!$A:$AC,2,FALSE))="Martin",(VLOOKUP(Table10[[#This Row],[SKU]],'All Skus'!$A:$AC,11,FALSE)),""))</f>
        <v>11.11</v>
      </c>
      <c r="K414" s="224">
        <f>(IF((VLOOKUP(Table10[[#This Row],[SKU]],'All Skus'!$A:$AC,2,FALSE))="Martin",(VLOOKUP(Table10[[#This Row],[SKU]],'All Skus'!$A:$AC,15,FALSE)),""))</f>
        <v>0</v>
      </c>
      <c r="L414" s="224">
        <f>(IF((VLOOKUP(Table10[[#This Row],[SKU]],'All Skus'!$A:$AC,2,FALSE))="Martin",(VLOOKUP(Table10[[#This Row],[SKU]],'All Skus'!$A:$AC,16,FALSE)),""))</f>
        <v>0</v>
      </c>
      <c r="M414" s="224">
        <f>(IF((VLOOKUP(Table10[[#This Row],[SKU]],'All Skus'!$A:$AC,2,FALSE))="Martin",(VLOOKUP(Table10[[#This Row],[SKU]],'All Skus'!$A:$AC,17,FALSE)),""))</f>
        <v>0</v>
      </c>
      <c r="N414" s="227">
        <f>(IF((VLOOKUP(Table10[[#This Row],[SKU]],'All Skus'!$A:$AC,2,FALSE))="Martin",(VLOOKUP(Table10[[#This Row],[SKU]],'All Skus'!$A:$AC,18,FALSE)),""))</f>
        <v>0</v>
      </c>
      <c r="O414" s="227">
        <f>(IF((VLOOKUP(Table10[[#This Row],[SKU]],'All Skus'!$A:$AC,2,FALSE))="Martin",(VLOOKUP(Table10[[#This Row],[SKU]],'All Skus'!$A:$AC,19,FALSE)),""))</f>
        <v>0</v>
      </c>
      <c r="P414" s="227">
        <f>(IF((VLOOKUP(Table10[[#This Row],[SKU]],'All Skus'!$A:$AC,2,FALSE))="Martin",(VLOOKUP(Table10[[#This Row],[SKU]],'All Skus'!$A:$AC,20,FALSE)),""))</f>
        <v>0</v>
      </c>
      <c r="Q414" s="227">
        <f>(IF((VLOOKUP(Table10[[#This Row],[SKU]],'All Skus'!$A:$AC,2,FALSE))="Martin",(VLOOKUP(Table10[[#This Row],[SKU]],'All Skus'!$A:$AC,21,FALSE)),""))</f>
        <v>0</v>
      </c>
      <c r="R414" s="224" t="str">
        <f>(IF((VLOOKUP(Table10[[#This Row],[SKU]],'All Skus'!$A:$AC,2,FALSE))="Martin",(VLOOKUP(Table10[[#This Row],[SKU]],'All Skus'!$A:$AC,22,FALSE)),""))</f>
        <v>CN</v>
      </c>
      <c r="S414" s="223">
        <f>(IF((VLOOKUP(Table10[[#This Row],[SKU]],'All Skus'!$A:$AC,2,FALSE))="Martin",(VLOOKUP(Table10[[#This Row],[SKU]],'All Skus'!$A:$AC,23,FALSE)),""))</f>
        <v>0</v>
      </c>
      <c r="T414" s="212" t="str">
        <f>HYPERLINK((IF((VLOOKUP(Table10[[#This Row],[SKU]],'All Skus'!$A:$AC,2,FALSE))="Martin",(VLOOKUP(Table10[[#This Row],[SKU]],'All Skus'!$A:$AC,24,FALSE)),"")))</f>
        <v/>
      </c>
      <c r="U414" s="228">
        <v>412</v>
      </c>
    </row>
    <row r="415" spans="1:21" hidden="1">
      <c r="A415" s="112">
        <v>91611740</v>
      </c>
      <c r="B415" s="224" t="str">
        <f>(IF((VLOOKUP(Table10[[#This Row],[SKU]],'All Skus'!$A:$AC,2,FALSE))="Martin",(VLOOKUP(Table10[[#This Row],[SKU]],'All Skus'!$A:$AC,3,FALSE)),""))</f>
        <v>Architainment</v>
      </c>
      <c r="C415" s="223" t="str">
        <f>(IF((VLOOKUP(Table10[[#This Row],[SKU]],'All Skus'!$A:$AC,2,FALSE))="Martin",(VLOOKUP(Table10[[#This Row],[SKU]],'All Skus'!$A:$AC,4,FALSE)),""))</f>
        <v xml:space="preserve">EXTERIOR WASH 100 SNOOT </v>
      </c>
      <c r="D415" s="224" t="str">
        <f>(IF((VLOOKUP(Table10[[#This Row],[SKU]],'All Skus'!$A:$AC,2,FALSE))="Martin",(VLOOKUP(Table10[[#This Row],[SKU]],'All Skus'!$A:$AC,5,FALSE)),""))</f>
        <v>EXT-WASH</v>
      </c>
      <c r="E415" s="223">
        <f>(IF((VLOOKUP(Table10[[#This Row],[SKU]],'All Skus'!$A:$AC,2,FALSE))="Martin",(VLOOKUP(Table10[[#This Row],[SKU]],'All Skus'!$A:$AC,6,FALSE)),""))</f>
        <v>0</v>
      </c>
      <c r="F415" s="155" t="str">
        <f>(IF((VLOOKUP(Table10[[#This Row],[SKU]],'All Skus'!$A:$AC,2,FALSE))="Martin",(VLOOKUP(Table10[[#This Row],[SKU]],'All Skus'!$A:$AC,7,FALSE)),""))</f>
        <v>EOL stage – limited availability may apply</v>
      </c>
      <c r="G415" s="223" t="str">
        <f>(IF((VLOOKUP(Table10[[#This Row],[SKU]],'All Skus'!$A:$AC,2,FALSE))="Martin",(VLOOKUP(Table10[[#This Row],[SKU]],'All Skus'!$A:$AC,8,FALSE)),""))</f>
        <v xml:space="preserve">EXTERIOR WASH 100 SNOOT </v>
      </c>
      <c r="H415" s="223" t="str">
        <f>(IF((VLOOKUP(Table10[[#This Row],[SKU]],'All Skus'!$A:$AC,2,FALSE))="Martin",(VLOOKUP(Table10[[#This Row],[SKU]],'All Skus'!$A:$AC,9,FALSE)),""))</f>
        <v xml:space="preserve">EXTERIOR WASH 100 SNOOT </v>
      </c>
      <c r="I415" s="225">
        <f>(IF((VLOOKUP(Table10[[#This Row],[SKU]],'All Skus'!$A:$AC,2,FALSE))="Martin",(VLOOKUP(Table10[[#This Row],[SKU]],'All Skus'!$A:$AC,10,FALSE)),""))</f>
        <v>53.09</v>
      </c>
      <c r="J415" s="226">
        <f>(IF((VLOOKUP(Table10[[#This Row],[SKU]],'All Skus'!$A:$AC,2,FALSE))="Martin",(VLOOKUP(Table10[[#This Row],[SKU]],'All Skus'!$A:$AC,11,FALSE)),""))</f>
        <v>53.09</v>
      </c>
      <c r="K415" s="224">
        <f>(IF((VLOOKUP(Table10[[#This Row],[SKU]],'All Skus'!$A:$AC,2,FALSE))="Martin",(VLOOKUP(Table10[[#This Row],[SKU]],'All Skus'!$A:$AC,15,FALSE)),""))</f>
        <v>0</v>
      </c>
      <c r="L415" s="224">
        <f>(IF((VLOOKUP(Table10[[#This Row],[SKU]],'All Skus'!$A:$AC,2,FALSE))="Martin",(VLOOKUP(Table10[[#This Row],[SKU]],'All Skus'!$A:$AC,16,FALSE)),""))</f>
        <v>0</v>
      </c>
      <c r="M415" s="224">
        <f>(IF((VLOOKUP(Table10[[#This Row],[SKU]],'All Skus'!$A:$AC,2,FALSE))="Martin",(VLOOKUP(Table10[[#This Row],[SKU]],'All Skus'!$A:$AC,17,FALSE)),""))</f>
        <v>0</v>
      </c>
      <c r="N415" s="227">
        <f>(IF((VLOOKUP(Table10[[#This Row],[SKU]],'All Skus'!$A:$AC,2,FALSE))="Martin",(VLOOKUP(Table10[[#This Row],[SKU]],'All Skus'!$A:$AC,18,FALSE)),""))</f>
        <v>0</v>
      </c>
      <c r="O415" s="227">
        <f>(IF((VLOOKUP(Table10[[#This Row],[SKU]],'All Skus'!$A:$AC,2,FALSE))="Martin",(VLOOKUP(Table10[[#This Row],[SKU]],'All Skus'!$A:$AC,19,FALSE)),""))</f>
        <v>0</v>
      </c>
      <c r="P415" s="227">
        <f>(IF((VLOOKUP(Table10[[#This Row],[SKU]],'All Skus'!$A:$AC,2,FALSE))="Martin",(VLOOKUP(Table10[[#This Row],[SKU]],'All Skus'!$A:$AC,20,FALSE)),""))</f>
        <v>0</v>
      </c>
      <c r="Q415" s="227">
        <f>(IF((VLOOKUP(Table10[[#This Row],[SKU]],'All Skus'!$A:$AC,2,FALSE))="Martin",(VLOOKUP(Table10[[#This Row],[SKU]],'All Skus'!$A:$AC,21,FALSE)),""))</f>
        <v>0</v>
      </c>
      <c r="R415" s="224" t="str">
        <f>(IF((VLOOKUP(Table10[[#This Row],[SKU]],'All Skus'!$A:$AC,2,FALSE))="Martin",(VLOOKUP(Table10[[#This Row],[SKU]],'All Skus'!$A:$AC,22,FALSE)),""))</f>
        <v>CN</v>
      </c>
      <c r="S415" s="223" t="str">
        <f>(IF((VLOOKUP(Table10[[#This Row],[SKU]],'All Skus'!$A:$AC,2,FALSE))="Martin",(VLOOKUP(Table10[[#This Row],[SKU]],'All Skus'!$A:$AC,23,FALSE)),""))</f>
        <v>Non Compliant</v>
      </c>
      <c r="T415" s="212" t="str">
        <f>HYPERLINK((IF((VLOOKUP(Table10[[#This Row],[SKU]],'All Skus'!$A:$AC,2,FALSE))="Martin",(VLOOKUP(Table10[[#This Row],[SKU]],'All Skus'!$A:$AC,24,FALSE)),"")))</f>
        <v/>
      </c>
      <c r="U415" s="228">
        <v>413</v>
      </c>
    </row>
    <row r="416" spans="1:21" hidden="1">
      <c r="A416" s="118">
        <v>91611838</v>
      </c>
      <c r="B416" s="224">
        <f>(IF((VLOOKUP(Table10[[#This Row],[SKU]],'All Skus'!$A:$AC,2,FALSE))="Martin",(VLOOKUP(Table10[[#This Row],[SKU]],'All Skus'!$A:$AC,3,FALSE)),""))</f>
        <v>0</v>
      </c>
      <c r="C416" s="223" t="str">
        <f>(IF((VLOOKUP(Table10[[#This Row],[SKU]],'All Skus'!$A:$AC,2,FALSE))="Martin",(VLOOKUP(Table10[[#This Row],[SKU]],'All Skus'!$A:$AC,4,FALSE)),""))</f>
        <v>EXTERIOR WASH 100 SNOOT, WHITE</v>
      </c>
      <c r="D416" s="224" t="str">
        <f>(IF((VLOOKUP(Table10[[#This Row],[SKU]],'All Skus'!$A:$AC,2,FALSE))="Martin",(VLOOKUP(Table10[[#This Row],[SKU]],'All Skus'!$A:$AC,5,FALSE)),""))</f>
        <v>EXT-WASH</v>
      </c>
      <c r="E416" s="223">
        <f>(IF((VLOOKUP(Table10[[#This Row],[SKU]],'All Skus'!$A:$AC,2,FALSE))="Martin",(VLOOKUP(Table10[[#This Row],[SKU]],'All Skus'!$A:$AC,6,FALSE)),""))</f>
        <v>0</v>
      </c>
      <c r="F416" s="155" t="str">
        <f>(IF((VLOOKUP(Table10[[#This Row],[SKU]],'All Skus'!$A:$AC,2,FALSE))="Martin",(VLOOKUP(Table10[[#This Row],[SKU]],'All Skus'!$A:$AC,7,FALSE)),""))</f>
        <v>EOL stage – limited availability may apply</v>
      </c>
      <c r="G416" s="223" t="str">
        <f>(IF((VLOOKUP(Table10[[#This Row],[SKU]],'All Skus'!$A:$AC,2,FALSE))="Martin",(VLOOKUP(Table10[[#This Row],[SKU]],'All Skus'!$A:$AC,8,FALSE)),""))</f>
        <v>EXTERIOR WASH 100 SNOOT, WHITE</v>
      </c>
      <c r="H416" s="223" t="str">
        <f>(IF((VLOOKUP(Table10[[#This Row],[SKU]],'All Skus'!$A:$AC,2,FALSE))="Martin",(VLOOKUP(Table10[[#This Row],[SKU]],'All Skus'!$A:$AC,9,FALSE)),""))</f>
        <v>EXTERIOR WASH 100 SNOOT, WHITE</v>
      </c>
      <c r="I416" s="225">
        <f>(IF((VLOOKUP(Table10[[#This Row],[SKU]],'All Skus'!$A:$AC,2,FALSE))="Martin",(VLOOKUP(Table10[[#This Row],[SKU]],'All Skus'!$A:$AC,10,FALSE)),""))</f>
        <v>53.09</v>
      </c>
      <c r="J416" s="226">
        <f>(IF((VLOOKUP(Table10[[#This Row],[SKU]],'All Skus'!$A:$AC,2,FALSE))="Martin",(VLOOKUP(Table10[[#This Row],[SKU]],'All Skus'!$A:$AC,11,FALSE)),""))</f>
        <v>53.09</v>
      </c>
      <c r="K416" s="224">
        <f>(IF((VLOOKUP(Table10[[#This Row],[SKU]],'All Skus'!$A:$AC,2,FALSE))="Martin",(VLOOKUP(Table10[[#This Row],[SKU]],'All Skus'!$A:$AC,15,FALSE)),""))</f>
        <v>0</v>
      </c>
      <c r="L416" s="224">
        <f>(IF((VLOOKUP(Table10[[#This Row],[SKU]],'All Skus'!$A:$AC,2,FALSE))="Martin",(VLOOKUP(Table10[[#This Row],[SKU]],'All Skus'!$A:$AC,16,FALSE)),""))</f>
        <v>0</v>
      </c>
      <c r="M416" s="224">
        <f>(IF((VLOOKUP(Table10[[#This Row],[SKU]],'All Skus'!$A:$AC,2,FALSE))="Martin",(VLOOKUP(Table10[[#This Row],[SKU]],'All Skus'!$A:$AC,17,FALSE)),""))</f>
        <v>0</v>
      </c>
      <c r="N416" s="227">
        <f>(IF((VLOOKUP(Table10[[#This Row],[SKU]],'All Skus'!$A:$AC,2,FALSE))="Martin",(VLOOKUP(Table10[[#This Row],[SKU]],'All Skus'!$A:$AC,18,FALSE)),""))</f>
        <v>0</v>
      </c>
      <c r="O416" s="227">
        <f>(IF((VLOOKUP(Table10[[#This Row],[SKU]],'All Skus'!$A:$AC,2,FALSE))="Martin",(VLOOKUP(Table10[[#This Row],[SKU]],'All Skus'!$A:$AC,19,FALSE)),""))</f>
        <v>0</v>
      </c>
      <c r="P416" s="227">
        <f>(IF((VLOOKUP(Table10[[#This Row],[SKU]],'All Skus'!$A:$AC,2,FALSE))="Martin",(VLOOKUP(Table10[[#This Row],[SKU]],'All Skus'!$A:$AC,20,FALSE)),""))</f>
        <v>0</v>
      </c>
      <c r="Q416" s="227">
        <f>(IF((VLOOKUP(Table10[[#This Row],[SKU]],'All Skus'!$A:$AC,2,FALSE))="Martin",(VLOOKUP(Table10[[#This Row],[SKU]],'All Skus'!$A:$AC,21,FALSE)),""))</f>
        <v>0</v>
      </c>
      <c r="R416" s="224" t="str">
        <f>(IF((VLOOKUP(Table10[[#This Row],[SKU]],'All Skus'!$A:$AC,2,FALSE))="Martin",(VLOOKUP(Table10[[#This Row],[SKU]],'All Skus'!$A:$AC,22,FALSE)),""))</f>
        <v>CN</v>
      </c>
      <c r="S416" s="223">
        <f>(IF((VLOOKUP(Table10[[#This Row],[SKU]],'All Skus'!$A:$AC,2,FALSE))="Martin",(VLOOKUP(Table10[[#This Row],[SKU]],'All Skus'!$A:$AC,23,FALSE)),""))</f>
        <v>0</v>
      </c>
      <c r="T416" s="212" t="str">
        <f>HYPERLINK((IF((VLOOKUP(Table10[[#This Row],[SKU]],'All Skus'!$A:$AC,2,FALSE))="Martin",(VLOOKUP(Table10[[#This Row],[SKU]],'All Skus'!$A:$AC,24,FALSE)),"")))</f>
        <v/>
      </c>
      <c r="U416" s="228">
        <v>414</v>
      </c>
    </row>
    <row r="417" spans="1:21" hidden="1">
      <c r="A417" s="90">
        <v>91611855</v>
      </c>
      <c r="B417" s="224">
        <f>(IF((VLOOKUP(Table10[[#This Row],[SKU]],'All Skus'!$A:$AC,2,FALSE))="Martin",(VLOOKUP(Table10[[#This Row],[SKU]],'All Skus'!$A:$AC,3,FALSE)),""))</f>
        <v>0</v>
      </c>
      <c r="C417" s="223" t="str">
        <f>(IF((VLOOKUP(Table10[[#This Row],[SKU]],'All Skus'!$A:$AC,2,FALSE))="Martin",(VLOOKUP(Table10[[#This Row],[SKU]],'All Skus'!$A:$AC,4,FALSE)),""))</f>
        <v>EXTERIOR WASH 110 HONEYCOMB LOUVRE</v>
      </c>
      <c r="D417" s="224" t="str">
        <f>(IF((VLOOKUP(Table10[[#This Row],[SKU]],'All Skus'!$A:$AC,2,FALSE))="Martin",(VLOOKUP(Table10[[#This Row],[SKU]],'All Skus'!$A:$AC,5,FALSE)),""))</f>
        <v>EXT-WASH</v>
      </c>
      <c r="E417" s="223">
        <f>(IF((VLOOKUP(Table10[[#This Row],[SKU]],'All Skus'!$A:$AC,2,FALSE))="Martin",(VLOOKUP(Table10[[#This Row],[SKU]],'All Skus'!$A:$AC,6,FALSE)),""))</f>
        <v>0</v>
      </c>
      <c r="F417" s="155" t="str">
        <f>(IF((VLOOKUP(Table10[[#This Row],[SKU]],'All Skus'!$A:$AC,2,FALSE))="Martin",(VLOOKUP(Table10[[#This Row],[SKU]],'All Skus'!$A:$AC,7,FALSE)),""))</f>
        <v>EOL stage – limited availability may apply</v>
      </c>
      <c r="G417" s="223" t="str">
        <f>(IF((VLOOKUP(Table10[[#This Row],[SKU]],'All Skus'!$A:$AC,2,FALSE))="Martin",(VLOOKUP(Table10[[#This Row],[SKU]],'All Skus'!$A:$AC,8,FALSE)),""))</f>
        <v>EXTERIOR WASH 110 HONEYCOMB LOUVRE</v>
      </c>
      <c r="H417" s="223" t="str">
        <f>(IF((VLOOKUP(Table10[[#This Row],[SKU]],'All Skus'!$A:$AC,2,FALSE))="Martin",(VLOOKUP(Table10[[#This Row],[SKU]],'All Skus'!$A:$AC,9,FALSE)),""))</f>
        <v>EXTERIOR WASH 110 HONEYCOMB LOUVRE</v>
      </c>
      <c r="I417" s="225">
        <f>(IF((VLOOKUP(Table10[[#This Row],[SKU]],'All Skus'!$A:$AC,2,FALSE))="Martin",(VLOOKUP(Table10[[#This Row],[SKU]],'All Skus'!$A:$AC,10,FALSE)),""))</f>
        <v>93.84</v>
      </c>
      <c r="J417" s="226">
        <f>(IF((VLOOKUP(Table10[[#This Row],[SKU]],'All Skus'!$A:$AC,2,FALSE))="Martin",(VLOOKUP(Table10[[#This Row],[SKU]],'All Skus'!$A:$AC,11,FALSE)),""))</f>
        <v>93.84</v>
      </c>
      <c r="K417" s="224">
        <f>(IF((VLOOKUP(Table10[[#This Row],[SKU]],'All Skus'!$A:$AC,2,FALSE))="Martin",(VLOOKUP(Table10[[#This Row],[SKU]],'All Skus'!$A:$AC,15,FALSE)),""))</f>
        <v>0</v>
      </c>
      <c r="L417" s="224">
        <f>(IF((VLOOKUP(Table10[[#This Row],[SKU]],'All Skus'!$A:$AC,2,FALSE))="Martin",(VLOOKUP(Table10[[#This Row],[SKU]],'All Skus'!$A:$AC,16,FALSE)),""))</f>
        <v>0</v>
      </c>
      <c r="M417" s="224">
        <f>(IF((VLOOKUP(Table10[[#This Row],[SKU]],'All Skus'!$A:$AC,2,FALSE))="Martin",(VLOOKUP(Table10[[#This Row],[SKU]],'All Skus'!$A:$AC,17,FALSE)),""))</f>
        <v>0</v>
      </c>
      <c r="N417" s="227">
        <f>(IF((VLOOKUP(Table10[[#This Row],[SKU]],'All Skus'!$A:$AC,2,FALSE))="Martin",(VLOOKUP(Table10[[#This Row],[SKU]],'All Skus'!$A:$AC,18,FALSE)),""))</f>
        <v>0</v>
      </c>
      <c r="O417" s="227">
        <f>(IF((VLOOKUP(Table10[[#This Row],[SKU]],'All Skus'!$A:$AC,2,FALSE))="Martin",(VLOOKUP(Table10[[#This Row],[SKU]],'All Skus'!$A:$AC,19,FALSE)),""))</f>
        <v>0</v>
      </c>
      <c r="P417" s="227">
        <f>(IF((VLOOKUP(Table10[[#This Row],[SKU]],'All Skus'!$A:$AC,2,FALSE))="Martin",(VLOOKUP(Table10[[#This Row],[SKU]],'All Skus'!$A:$AC,20,FALSE)),""))</f>
        <v>0</v>
      </c>
      <c r="Q417" s="227">
        <f>(IF((VLOOKUP(Table10[[#This Row],[SKU]],'All Skus'!$A:$AC,2,FALSE))="Martin",(VLOOKUP(Table10[[#This Row],[SKU]],'All Skus'!$A:$AC,21,FALSE)),""))</f>
        <v>0</v>
      </c>
      <c r="R417" s="224" t="str">
        <f>(IF((VLOOKUP(Table10[[#This Row],[SKU]],'All Skus'!$A:$AC,2,FALSE))="Martin",(VLOOKUP(Table10[[#This Row],[SKU]],'All Skus'!$A:$AC,22,FALSE)),""))</f>
        <v>CN</v>
      </c>
      <c r="S417" s="223">
        <f>(IF((VLOOKUP(Table10[[#This Row],[SKU]],'All Skus'!$A:$AC,2,FALSE))="Martin",(VLOOKUP(Table10[[#This Row],[SKU]],'All Skus'!$A:$AC,23,FALSE)),""))</f>
        <v>0</v>
      </c>
      <c r="T417" s="212" t="str">
        <f>HYPERLINK((IF((VLOOKUP(Table10[[#This Row],[SKU]],'All Skus'!$A:$AC,2,FALSE))="Martin",(VLOOKUP(Table10[[#This Row],[SKU]],'All Skus'!$A:$AC,24,FALSE)),"")))</f>
        <v/>
      </c>
      <c r="U417" s="228">
        <v>415</v>
      </c>
    </row>
    <row r="418" spans="1:21" hidden="1">
      <c r="A418" s="90">
        <v>91611856</v>
      </c>
      <c r="B418" s="224" t="str">
        <f>(IF((VLOOKUP(Table10[[#This Row],[SKU]],'All Skus'!$A:$AC,2,FALSE))="Martin",(VLOOKUP(Table10[[#This Row],[SKU]],'All Skus'!$A:$AC,3,FALSE)),""))</f>
        <v>Architainment</v>
      </c>
      <c r="C418" s="223" t="str">
        <f>(IF((VLOOKUP(Table10[[#This Row],[SKU]],'All Skus'!$A:$AC,2,FALSE))="Martin",(VLOOKUP(Table10[[#This Row],[SKU]],'All Skus'!$A:$AC,4,FALSE)),""))</f>
        <v>EXTERIOR WASH 100 HONEYCOMB LOUVRE</v>
      </c>
      <c r="D418" s="224" t="str">
        <f>(IF((VLOOKUP(Table10[[#This Row],[SKU]],'All Skus'!$A:$AC,2,FALSE))="Martin",(VLOOKUP(Table10[[#This Row],[SKU]],'All Skus'!$A:$AC,5,FALSE)),""))</f>
        <v>EXT-WASH</v>
      </c>
      <c r="E418" s="223">
        <f>(IF((VLOOKUP(Table10[[#This Row],[SKU]],'All Skus'!$A:$AC,2,FALSE))="Martin",(VLOOKUP(Table10[[#This Row],[SKU]],'All Skus'!$A:$AC,6,FALSE)),""))</f>
        <v>0</v>
      </c>
      <c r="F418" s="155" t="str">
        <f>(IF((VLOOKUP(Table10[[#This Row],[SKU]],'All Skus'!$A:$AC,2,FALSE))="Martin",(VLOOKUP(Table10[[#This Row],[SKU]],'All Skus'!$A:$AC,7,FALSE)),""))</f>
        <v>EOL stage – limited availability may apply</v>
      </c>
      <c r="G418" s="223" t="str">
        <f>(IF((VLOOKUP(Table10[[#This Row],[SKU]],'All Skus'!$A:$AC,2,FALSE))="Martin",(VLOOKUP(Table10[[#This Row],[SKU]],'All Skus'!$A:$AC,8,FALSE)),""))</f>
        <v>EXTERIOR WASH 100 HONEYCOMB LOUVRE</v>
      </c>
      <c r="H418" s="223" t="str">
        <f>(IF((VLOOKUP(Table10[[#This Row],[SKU]],'All Skus'!$A:$AC,2,FALSE))="Martin",(VLOOKUP(Table10[[#This Row],[SKU]],'All Skus'!$A:$AC,9,FALSE)),""))</f>
        <v>EXTERIOR WASH 100 HONEYCOMB LOUVRE</v>
      </c>
      <c r="I418" s="225">
        <f>(IF((VLOOKUP(Table10[[#This Row],[SKU]],'All Skus'!$A:$AC,2,FALSE))="Martin",(VLOOKUP(Table10[[#This Row],[SKU]],'All Skus'!$A:$AC,10,FALSE)),""))</f>
        <v>95.08</v>
      </c>
      <c r="J418" s="226">
        <f>(IF((VLOOKUP(Table10[[#This Row],[SKU]],'All Skus'!$A:$AC,2,FALSE))="Martin",(VLOOKUP(Table10[[#This Row],[SKU]],'All Skus'!$A:$AC,11,FALSE)),""))</f>
        <v>95.08</v>
      </c>
      <c r="K418" s="224">
        <f>(IF((VLOOKUP(Table10[[#This Row],[SKU]],'All Skus'!$A:$AC,2,FALSE))="Martin",(VLOOKUP(Table10[[#This Row],[SKU]],'All Skus'!$A:$AC,15,FALSE)),""))</f>
        <v>0</v>
      </c>
      <c r="L418" s="224">
        <f>(IF((VLOOKUP(Table10[[#This Row],[SKU]],'All Skus'!$A:$AC,2,FALSE))="Martin",(VLOOKUP(Table10[[#This Row],[SKU]],'All Skus'!$A:$AC,16,FALSE)),""))</f>
        <v>0</v>
      </c>
      <c r="M418" s="224">
        <f>(IF((VLOOKUP(Table10[[#This Row],[SKU]],'All Skus'!$A:$AC,2,FALSE))="Martin",(VLOOKUP(Table10[[#This Row],[SKU]],'All Skus'!$A:$AC,17,FALSE)),""))</f>
        <v>0</v>
      </c>
      <c r="N418" s="227">
        <f>(IF((VLOOKUP(Table10[[#This Row],[SKU]],'All Skus'!$A:$AC,2,FALSE))="Martin",(VLOOKUP(Table10[[#This Row],[SKU]],'All Skus'!$A:$AC,18,FALSE)),""))</f>
        <v>0</v>
      </c>
      <c r="O418" s="227">
        <f>(IF((VLOOKUP(Table10[[#This Row],[SKU]],'All Skus'!$A:$AC,2,FALSE))="Martin",(VLOOKUP(Table10[[#This Row],[SKU]],'All Skus'!$A:$AC,19,FALSE)),""))</f>
        <v>0</v>
      </c>
      <c r="P418" s="227">
        <f>(IF((VLOOKUP(Table10[[#This Row],[SKU]],'All Skus'!$A:$AC,2,FALSE))="Martin",(VLOOKUP(Table10[[#This Row],[SKU]],'All Skus'!$A:$AC,20,FALSE)),""))</f>
        <v>0</v>
      </c>
      <c r="Q418" s="227">
        <f>(IF((VLOOKUP(Table10[[#This Row],[SKU]],'All Skus'!$A:$AC,2,FALSE))="Martin",(VLOOKUP(Table10[[#This Row],[SKU]],'All Skus'!$A:$AC,21,FALSE)),""))</f>
        <v>0</v>
      </c>
      <c r="R418" s="224" t="str">
        <f>(IF((VLOOKUP(Table10[[#This Row],[SKU]],'All Skus'!$A:$AC,2,FALSE))="Martin",(VLOOKUP(Table10[[#This Row],[SKU]],'All Skus'!$A:$AC,22,FALSE)),""))</f>
        <v>CN</v>
      </c>
      <c r="S418" s="223" t="str">
        <f>(IF((VLOOKUP(Table10[[#This Row],[SKU]],'All Skus'!$A:$AC,2,FALSE))="Martin",(VLOOKUP(Table10[[#This Row],[SKU]],'All Skus'!$A:$AC,23,FALSE)),""))</f>
        <v>Non Compliant</v>
      </c>
      <c r="T418" s="212" t="str">
        <f>HYPERLINK((IF((VLOOKUP(Table10[[#This Row],[SKU]],'All Skus'!$A:$AC,2,FALSE))="Martin",(VLOOKUP(Table10[[#This Row],[SKU]],'All Skus'!$A:$AC,24,FALSE)),"")))</f>
        <v/>
      </c>
      <c r="U418" s="228">
        <v>416</v>
      </c>
    </row>
    <row r="419" spans="1:21" hidden="1">
      <c r="A419" s="115" t="s">
        <v>2155</v>
      </c>
      <c r="B419" s="224">
        <f>(IF((VLOOKUP(Table10[[#This Row],[SKU]],'All Skus'!$A:$AC,2,FALSE))="Martin",(VLOOKUP(Table10[[#This Row],[SKU]],'All Skus'!$A:$AC,3,FALSE)),""))</f>
        <v>0</v>
      </c>
      <c r="C419" s="223">
        <f>(IF((VLOOKUP(Table10[[#This Row],[SKU]],'All Skus'!$A:$AC,2,FALSE))="Martin",(VLOOKUP(Table10[[#This Row],[SKU]],'All Skus'!$A:$AC,4,FALSE)),""))</f>
        <v>0</v>
      </c>
      <c r="D419" s="224">
        <f>(IF((VLOOKUP(Table10[[#This Row],[SKU]],'All Skus'!$A:$AC,2,FALSE))="Martin",(VLOOKUP(Table10[[#This Row],[SKU]],'All Skus'!$A:$AC,5,FALSE)),""))</f>
        <v>0</v>
      </c>
      <c r="E419" s="223">
        <f>(IF((VLOOKUP(Table10[[#This Row],[SKU]],'All Skus'!$A:$AC,2,FALSE))="Martin",(VLOOKUP(Table10[[#This Row],[SKU]],'All Skus'!$A:$AC,6,FALSE)),""))</f>
        <v>0</v>
      </c>
      <c r="F419" s="155">
        <f>(IF((VLOOKUP(Table10[[#This Row],[SKU]],'All Skus'!$A:$AC,2,FALSE))="Martin",(VLOOKUP(Table10[[#This Row],[SKU]],'All Skus'!$A:$AC,7,FALSE)),""))</f>
        <v>0</v>
      </c>
      <c r="G419" s="223">
        <f>(IF((VLOOKUP(Table10[[#This Row],[SKU]],'All Skus'!$A:$AC,2,FALSE))="Martin",(VLOOKUP(Table10[[#This Row],[SKU]],'All Skus'!$A:$AC,8,FALSE)),""))</f>
        <v>0</v>
      </c>
      <c r="H419" s="223">
        <f>(IF((VLOOKUP(Table10[[#This Row],[SKU]],'All Skus'!$A:$AC,2,FALSE))="Martin",(VLOOKUP(Table10[[#This Row],[SKU]],'All Skus'!$A:$AC,9,FALSE)),""))</f>
        <v>0</v>
      </c>
      <c r="I419" s="225">
        <f>(IF((VLOOKUP(Table10[[#This Row],[SKU]],'All Skus'!$A:$AC,2,FALSE))="Martin",(VLOOKUP(Table10[[#This Row],[SKU]],'All Skus'!$A:$AC,10,FALSE)),""))</f>
        <v>0</v>
      </c>
      <c r="J419" s="226">
        <f>(IF((VLOOKUP(Table10[[#This Row],[SKU]],'All Skus'!$A:$AC,2,FALSE))="Martin",(VLOOKUP(Table10[[#This Row],[SKU]],'All Skus'!$A:$AC,11,FALSE)),""))</f>
        <v>0</v>
      </c>
      <c r="K419" s="224">
        <f>(IF((VLOOKUP(Table10[[#This Row],[SKU]],'All Skus'!$A:$AC,2,FALSE))="Martin",(VLOOKUP(Table10[[#This Row],[SKU]],'All Skus'!$A:$AC,15,FALSE)),""))</f>
        <v>0</v>
      </c>
      <c r="L419" s="224">
        <f>(IF((VLOOKUP(Table10[[#This Row],[SKU]],'All Skus'!$A:$AC,2,FALSE))="Martin",(VLOOKUP(Table10[[#This Row],[SKU]],'All Skus'!$A:$AC,16,FALSE)),""))</f>
        <v>0</v>
      </c>
      <c r="M419" s="224">
        <f>(IF((VLOOKUP(Table10[[#This Row],[SKU]],'All Skus'!$A:$AC,2,FALSE))="Martin",(VLOOKUP(Table10[[#This Row],[SKU]],'All Skus'!$A:$AC,17,FALSE)),""))</f>
        <v>0</v>
      </c>
      <c r="N419" s="227">
        <f>(IF((VLOOKUP(Table10[[#This Row],[SKU]],'All Skus'!$A:$AC,2,FALSE))="Martin",(VLOOKUP(Table10[[#This Row],[SKU]],'All Skus'!$A:$AC,18,FALSE)),""))</f>
        <v>0</v>
      </c>
      <c r="O419" s="227">
        <f>(IF((VLOOKUP(Table10[[#This Row],[SKU]],'All Skus'!$A:$AC,2,FALSE))="Martin",(VLOOKUP(Table10[[#This Row],[SKU]],'All Skus'!$A:$AC,19,FALSE)),""))</f>
        <v>0</v>
      </c>
      <c r="P419" s="227">
        <f>(IF((VLOOKUP(Table10[[#This Row],[SKU]],'All Skus'!$A:$AC,2,FALSE))="Martin",(VLOOKUP(Table10[[#This Row],[SKU]],'All Skus'!$A:$AC,20,FALSE)),""))</f>
        <v>0</v>
      </c>
      <c r="Q419" s="227">
        <f>(IF((VLOOKUP(Table10[[#This Row],[SKU]],'All Skus'!$A:$AC,2,FALSE))="Martin",(VLOOKUP(Table10[[#This Row],[SKU]],'All Skus'!$A:$AC,21,FALSE)),""))</f>
        <v>0</v>
      </c>
      <c r="R419" s="224">
        <f>(IF((VLOOKUP(Table10[[#This Row],[SKU]],'All Skus'!$A:$AC,2,FALSE))="Martin",(VLOOKUP(Table10[[#This Row],[SKU]],'All Skus'!$A:$AC,22,FALSE)),""))</f>
        <v>0</v>
      </c>
      <c r="S419" s="223">
        <f>(IF((VLOOKUP(Table10[[#This Row],[SKU]],'All Skus'!$A:$AC,2,FALSE))="Martin",(VLOOKUP(Table10[[#This Row],[SKU]],'All Skus'!$A:$AC,23,FALSE)),""))</f>
        <v>0</v>
      </c>
      <c r="T419" s="212" t="str">
        <f>HYPERLINK((IF((VLOOKUP(Table10[[#This Row],[SKU]],'All Skus'!$A:$AC,2,FALSE))="Martin",(VLOOKUP(Table10[[#This Row],[SKU]],'All Skus'!$A:$AC,24,FALSE)),"")))</f>
        <v/>
      </c>
      <c r="U419" s="228">
        <v>417</v>
      </c>
    </row>
    <row r="420" spans="1:21" hidden="1">
      <c r="A420" s="112">
        <v>90509087</v>
      </c>
      <c r="B420" s="224" t="str">
        <f>(IF((VLOOKUP(Table10[[#This Row],[SKU]],'All Skus'!$A:$AC,2,FALSE))="Martin",(VLOOKUP(Table10[[#This Row],[SKU]],'All Skus'!$A:$AC,3,FALSE)),""))</f>
        <v>Architainment</v>
      </c>
      <c r="C420" s="223" t="str">
        <f>(IF((VLOOKUP(Table10[[#This Row],[SKU]],'All Skus'!$A:$AC,2,FALSE))="Martin",(VLOOKUP(Table10[[#This Row],[SKU]],'All Skus'!$A:$AC,4,FALSE)),""))</f>
        <v xml:space="preserve">EXTERIOR WASH 200,7deg,EU,ALU </v>
      </c>
      <c r="D420" s="224" t="str">
        <f>(IF((VLOOKUP(Table10[[#This Row],[SKU]],'All Skus'!$A:$AC,2,FALSE))="Martin",(VLOOKUP(Table10[[#This Row],[SKU]],'All Skus'!$A:$AC,5,FALSE)),""))</f>
        <v>EXT-WASH</v>
      </c>
      <c r="E420" s="223">
        <f>(IF((VLOOKUP(Table10[[#This Row],[SKU]],'All Skus'!$A:$AC,2,FALSE))="Martin",(VLOOKUP(Table10[[#This Row],[SKU]],'All Skus'!$A:$AC,6,FALSE)),""))</f>
        <v>0</v>
      </c>
      <c r="F420" s="155" t="str">
        <f>(IF((VLOOKUP(Table10[[#This Row],[SKU]],'All Skus'!$A:$AC,2,FALSE))="Martin",(VLOOKUP(Table10[[#This Row],[SKU]],'All Skus'!$A:$AC,7,FALSE)),""))</f>
        <v xml:space="preserve">EOL pre-notice - not recommend to specify for 2025 projects </v>
      </c>
      <c r="G420" s="223" t="str">
        <f>(IF((VLOOKUP(Table10[[#This Row],[SKU]],'All Skus'!$A:$AC,2,FALSE))="Martin",(VLOOKUP(Table10[[#This Row],[SKU]],'All Skus'!$A:$AC,8,FALSE)),""))</f>
        <v xml:space="preserve">EXTERIOR WASH 200,7deg,EU,ALU </v>
      </c>
      <c r="H420" s="223" t="str">
        <f>(IF((VLOOKUP(Table10[[#This Row],[SKU]],'All Skus'!$A:$AC,2,FALSE))="Martin",(VLOOKUP(Table10[[#This Row],[SKU]],'All Skus'!$A:$AC,9,FALSE)),""))</f>
        <v xml:space="preserve">EXTERIOR WASH 200,7deg,EU,ALU </v>
      </c>
      <c r="I420" s="225">
        <f>(IF((VLOOKUP(Table10[[#This Row],[SKU]],'All Skus'!$A:$AC,2,FALSE))="Martin",(VLOOKUP(Table10[[#This Row],[SKU]],'All Skus'!$A:$AC,10,FALSE)),""))</f>
        <v>3488.21</v>
      </c>
      <c r="J420" s="226">
        <f>(IF((VLOOKUP(Table10[[#This Row],[SKU]],'All Skus'!$A:$AC,2,FALSE))="Martin",(VLOOKUP(Table10[[#This Row],[SKU]],'All Skus'!$A:$AC,11,FALSE)),""))</f>
        <v>3488.21</v>
      </c>
      <c r="K420" s="224">
        <f>(IF((VLOOKUP(Table10[[#This Row],[SKU]],'All Skus'!$A:$AC,2,FALSE))="Martin",(VLOOKUP(Table10[[#This Row],[SKU]],'All Skus'!$A:$AC,15,FALSE)),""))</f>
        <v>0</v>
      </c>
      <c r="L420" s="224">
        <f>(IF((VLOOKUP(Table10[[#This Row],[SKU]],'All Skus'!$A:$AC,2,FALSE))="Martin",(VLOOKUP(Table10[[#This Row],[SKU]],'All Skus'!$A:$AC,16,FALSE)),""))</f>
        <v>5706681231089</v>
      </c>
      <c r="M420" s="224">
        <f>(IF((VLOOKUP(Table10[[#This Row],[SKU]],'All Skus'!$A:$AC,2,FALSE))="Martin",(VLOOKUP(Table10[[#This Row],[SKU]],'All Skus'!$A:$AC,17,FALSE)),""))</f>
        <v>0</v>
      </c>
      <c r="N420" s="227">
        <f>(IF((VLOOKUP(Table10[[#This Row],[SKU]],'All Skus'!$A:$AC,2,FALSE))="Martin",(VLOOKUP(Table10[[#This Row],[SKU]],'All Skus'!$A:$AC,18,FALSE)),""))</f>
        <v>0</v>
      </c>
      <c r="O420" s="227">
        <f>(IF((VLOOKUP(Table10[[#This Row],[SKU]],'All Skus'!$A:$AC,2,FALSE))="Martin",(VLOOKUP(Table10[[#This Row],[SKU]],'All Skus'!$A:$AC,19,FALSE)),""))</f>
        <v>0</v>
      </c>
      <c r="P420" s="227">
        <f>(IF((VLOOKUP(Table10[[#This Row],[SKU]],'All Skus'!$A:$AC,2,FALSE))="Martin",(VLOOKUP(Table10[[#This Row],[SKU]],'All Skus'!$A:$AC,20,FALSE)),""))</f>
        <v>0</v>
      </c>
      <c r="Q420" s="227">
        <f>(IF((VLOOKUP(Table10[[#This Row],[SKU]],'All Skus'!$A:$AC,2,FALSE))="Martin",(VLOOKUP(Table10[[#This Row],[SKU]],'All Skus'!$A:$AC,21,FALSE)),""))</f>
        <v>0</v>
      </c>
      <c r="R420" s="224" t="str">
        <f>(IF((VLOOKUP(Table10[[#This Row],[SKU]],'All Skus'!$A:$AC,2,FALSE))="Martin",(VLOOKUP(Table10[[#This Row],[SKU]],'All Skus'!$A:$AC,22,FALSE)),""))</f>
        <v>CN</v>
      </c>
      <c r="S420" s="223" t="str">
        <f>(IF((VLOOKUP(Table10[[#This Row],[SKU]],'All Skus'!$A:$AC,2,FALSE))="Martin",(VLOOKUP(Table10[[#This Row],[SKU]],'All Skus'!$A:$AC,23,FALSE)),""))</f>
        <v>Non Compliant</v>
      </c>
      <c r="T420" s="212" t="str">
        <f>HYPERLINK((IF((VLOOKUP(Table10[[#This Row],[SKU]],'All Skus'!$A:$AC,2,FALSE))="Martin",(VLOOKUP(Table10[[#This Row],[SKU]],'All Skus'!$A:$AC,24,FALSE)),"")))</f>
        <v/>
      </c>
      <c r="U420" s="228">
        <v>418</v>
      </c>
    </row>
    <row r="421" spans="1:21" hidden="1">
      <c r="A421" s="112">
        <v>90509090</v>
      </c>
      <c r="B421" s="224" t="str">
        <f>(IF((VLOOKUP(Table10[[#This Row],[SKU]],'All Skus'!$A:$AC,2,FALSE))="Martin",(VLOOKUP(Table10[[#This Row],[SKU]],'All Skus'!$A:$AC,3,FALSE)),""))</f>
        <v>Architainment</v>
      </c>
      <c r="C421" s="223" t="str">
        <f>(IF((VLOOKUP(Table10[[#This Row],[SKU]],'All Skus'!$A:$AC,2,FALSE))="Martin",(VLOOKUP(Table10[[#This Row],[SKU]],'All Skus'!$A:$AC,4,FALSE)),""))</f>
        <v xml:space="preserve">EXTERIOR WASH 200, 7deg, US, ALU </v>
      </c>
      <c r="D421" s="224" t="str">
        <f>(IF((VLOOKUP(Table10[[#This Row],[SKU]],'All Skus'!$A:$AC,2,FALSE))="Martin",(VLOOKUP(Table10[[#This Row],[SKU]],'All Skus'!$A:$AC,5,FALSE)),""))</f>
        <v>EXT-WASH</v>
      </c>
      <c r="E421" s="223">
        <f>(IF((VLOOKUP(Table10[[#This Row],[SKU]],'All Skus'!$A:$AC,2,FALSE))="Martin",(VLOOKUP(Table10[[#This Row],[SKU]],'All Skus'!$A:$AC,6,FALSE)),""))</f>
        <v>0</v>
      </c>
      <c r="F421" s="155" t="str">
        <f>(IF((VLOOKUP(Table10[[#This Row],[SKU]],'All Skus'!$A:$AC,2,FALSE))="Martin",(VLOOKUP(Table10[[#This Row],[SKU]],'All Skus'!$A:$AC,7,FALSE)),""))</f>
        <v xml:space="preserve">EOL pre-notice - not recommend to specify for 2025 projects </v>
      </c>
      <c r="G421" s="223" t="str">
        <f>(IF((VLOOKUP(Table10[[#This Row],[SKU]],'All Skus'!$A:$AC,2,FALSE))="Martin",(VLOOKUP(Table10[[#This Row],[SKU]],'All Skus'!$A:$AC,8,FALSE)),""))</f>
        <v xml:space="preserve">EXTERIOR WASH 200, 7deg, US, ALU </v>
      </c>
      <c r="H421" s="223" t="str">
        <f>(IF((VLOOKUP(Table10[[#This Row],[SKU]],'All Skus'!$A:$AC,2,FALSE))="Martin",(VLOOKUP(Table10[[#This Row],[SKU]],'All Skus'!$A:$AC,9,FALSE)),""))</f>
        <v xml:space="preserve">EXTERIOR WASH 200, 7deg, US, ALU </v>
      </c>
      <c r="I421" s="225">
        <f>(IF((VLOOKUP(Table10[[#This Row],[SKU]],'All Skus'!$A:$AC,2,FALSE))="Martin",(VLOOKUP(Table10[[#This Row],[SKU]],'All Skus'!$A:$AC,10,FALSE)),""))</f>
        <v>3488.21</v>
      </c>
      <c r="J421" s="226">
        <f>(IF((VLOOKUP(Table10[[#This Row],[SKU]],'All Skus'!$A:$AC,2,FALSE))="Martin",(VLOOKUP(Table10[[#This Row],[SKU]],'All Skus'!$A:$AC,11,FALSE)),""))</f>
        <v>3488.21</v>
      </c>
      <c r="K421" s="224">
        <f>(IF((VLOOKUP(Table10[[#This Row],[SKU]],'All Skus'!$A:$AC,2,FALSE))="Martin",(VLOOKUP(Table10[[#This Row],[SKU]],'All Skus'!$A:$AC,15,FALSE)),""))</f>
        <v>0</v>
      </c>
      <c r="L421" s="224">
        <f>(IF((VLOOKUP(Table10[[#This Row],[SKU]],'All Skus'!$A:$AC,2,FALSE))="Martin",(VLOOKUP(Table10[[#This Row],[SKU]],'All Skus'!$A:$AC,16,FALSE)),""))</f>
        <v>5706681231447</v>
      </c>
      <c r="M421" s="224">
        <f>(IF((VLOOKUP(Table10[[#This Row],[SKU]],'All Skus'!$A:$AC,2,FALSE))="Martin",(VLOOKUP(Table10[[#This Row],[SKU]],'All Skus'!$A:$AC,17,FALSE)),""))</f>
        <v>0</v>
      </c>
      <c r="N421" s="227">
        <f>(IF((VLOOKUP(Table10[[#This Row],[SKU]],'All Skus'!$A:$AC,2,FALSE))="Martin",(VLOOKUP(Table10[[#This Row],[SKU]],'All Skus'!$A:$AC,18,FALSE)),""))</f>
        <v>0</v>
      </c>
      <c r="O421" s="227">
        <f>(IF((VLOOKUP(Table10[[#This Row],[SKU]],'All Skus'!$A:$AC,2,FALSE))="Martin",(VLOOKUP(Table10[[#This Row],[SKU]],'All Skus'!$A:$AC,19,FALSE)),""))</f>
        <v>0</v>
      </c>
      <c r="P421" s="227">
        <f>(IF((VLOOKUP(Table10[[#This Row],[SKU]],'All Skus'!$A:$AC,2,FALSE))="Martin",(VLOOKUP(Table10[[#This Row],[SKU]],'All Skus'!$A:$AC,20,FALSE)),""))</f>
        <v>0</v>
      </c>
      <c r="Q421" s="227">
        <f>(IF((VLOOKUP(Table10[[#This Row],[SKU]],'All Skus'!$A:$AC,2,FALSE))="Martin",(VLOOKUP(Table10[[#This Row],[SKU]],'All Skus'!$A:$AC,21,FALSE)),""))</f>
        <v>0</v>
      </c>
      <c r="R421" s="224" t="str">
        <f>(IF((VLOOKUP(Table10[[#This Row],[SKU]],'All Skus'!$A:$AC,2,FALSE))="Martin",(VLOOKUP(Table10[[#This Row],[SKU]],'All Skus'!$A:$AC,22,FALSE)),""))</f>
        <v>CN</v>
      </c>
      <c r="S421" s="223" t="str">
        <f>(IF((VLOOKUP(Table10[[#This Row],[SKU]],'All Skus'!$A:$AC,2,FALSE))="Martin",(VLOOKUP(Table10[[#This Row],[SKU]],'All Skus'!$A:$AC,23,FALSE)),""))</f>
        <v>Non Compliant</v>
      </c>
      <c r="T421" s="212" t="str">
        <f>HYPERLINK((IF((VLOOKUP(Table10[[#This Row],[SKU]],'All Skus'!$A:$AC,2,FALSE))="Martin",(VLOOKUP(Table10[[#This Row],[SKU]],'All Skus'!$A:$AC,24,FALSE)),"")))</f>
        <v/>
      </c>
      <c r="U421" s="228">
        <v>419</v>
      </c>
    </row>
    <row r="422" spans="1:21" hidden="1">
      <c r="A422" s="115" t="s">
        <v>2156</v>
      </c>
      <c r="B422" s="224">
        <f>(IF((VLOOKUP(Table10[[#This Row],[SKU]],'All Skus'!$A:$AC,2,FALSE))="Martin",(VLOOKUP(Table10[[#This Row],[SKU]],'All Skus'!$A:$AC,3,FALSE)),""))</f>
        <v>0</v>
      </c>
      <c r="C422" s="223">
        <f>(IF((VLOOKUP(Table10[[#This Row],[SKU]],'All Skus'!$A:$AC,2,FALSE))="Martin",(VLOOKUP(Table10[[#This Row],[SKU]],'All Skus'!$A:$AC,4,FALSE)),""))</f>
        <v>0</v>
      </c>
      <c r="D422" s="224">
        <f>(IF((VLOOKUP(Table10[[#This Row],[SKU]],'All Skus'!$A:$AC,2,FALSE))="Martin",(VLOOKUP(Table10[[#This Row],[SKU]],'All Skus'!$A:$AC,5,FALSE)),""))</f>
        <v>0</v>
      </c>
      <c r="E422" s="223">
        <f>(IF((VLOOKUP(Table10[[#This Row],[SKU]],'All Skus'!$A:$AC,2,FALSE))="Martin",(VLOOKUP(Table10[[#This Row],[SKU]],'All Skus'!$A:$AC,6,FALSE)),""))</f>
        <v>0</v>
      </c>
      <c r="F422" s="155">
        <f>(IF((VLOOKUP(Table10[[#This Row],[SKU]],'All Skus'!$A:$AC,2,FALSE))="Martin",(VLOOKUP(Table10[[#This Row],[SKU]],'All Skus'!$A:$AC,7,FALSE)),""))</f>
        <v>0</v>
      </c>
      <c r="G422" s="223">
        <f>(IF((VLOOKUP(Table10[[#This Row],[SKU]],'All Skus'!$A:$AC,2,FALSE))="Martin",(VLOOKUP(Table10[[#This Row],[SKU]],'All Skus'!$A:$AC,8,FALSE)),""))</f>
        <v>0</v>
      </c>
      <c r="H422" s="223">
        <f>(IF((VLOOKUP(Table10[[#This Row],[SKU]],'All Skus'!$A:$AC,2,FALSE))="Martin",(VLOOKUP(Table10[[#This Row],[SKU]],'All Skus'!$A:$AC,9,FALSE)),""))</f>
        <v>0</v>
      </c>
      <c r="I422" s="225">
        <f>(IF((VLOOKUP(Table10[[#This Row],[SKU]],'All Skus'!$A:$AC,2,FALSE))="Martin",(VLOOKUP(Table10[[#This Row],[SKU]],'All Skus'!$A:$AC,10,FALSE)),""))</f>
        <v>0</v>
      </c>
      <c r="J422" s="226">
        <f>(IF((VLOOKUP(Table10[[#This Row],[SKU]],'All Skus'!$A:$AC,2,FALSE))="Martin",(VLOOKUP(Table10[[#This Row],[SKU]],'All Skus'!$A:$AC,11,FALSE)),""))</f>
        <v>0</v>
      </c>
      <c r="K422" s="224">
        <f>(IF((VLOOKUP(Table10[[#This Row],[SKU]],'All Skus'!$A:$AC,2,FALSE))="Martin",(VLOOKUP(Table10[[#This Row],[SKU]],'All Skus'!$A:$AC,15,FALSE)),""))</f>
        <v>0</v>
      </c>
      <c r="L422" s="224">
        <f>(IF((VLOOKUP(Table10[[#This Row],[SKU]],'All Skus'!$A:$AC,2,FALSE))="Martin",(VLOOKUP(Table10[[#This Row],[SKU]],'All Skus'!$A:$AC,16,FALSE)),""))</f>
        <v>0</v>
      </c>
      <c r="M422" s="224">
        <f>(IF((VLOOKUP(Table10[[#This Row],[SKU]],'All Skus'!$A:$AC,2,FALSE))="Martin",(VLOOKUP(Table10[[#This Row],[SKU]],'All Skus'!$A:$AC,17,FALSE)),""))</f>
        <v>0</v>
      </c>
      <c r="N422" s="227">
        <f>(IF((VLOOKUP(Table10[[#This Row],[SKU]],'All Skus'!$A:$AC,2,FALSE))="Martin",(VLOOKUP(Table10[[#This Row],[SKU]],'All Skus'!$A:$AC,18,FALSE)),""))</f>
        <v>0</v>
      </c>
      <c r="O422" s="227">
        <f>(IF((VLOOKUP(Table10[[#This Row],[SKU]],'All Skus'!$A:$AC,2,FALSE))="Martin",(VLOOKUP(Table10[[#This Row],[SKU]],'All Skus'!$A:$AC,19,FALSE)),""))</f>
        <v>0</v>
      </c>
      <c r="P422" s="227">
        <f>(IF((VLOOKUP(Table10[[#This Row],[SKU]],'All Skus'!$A:$AC,2,FALSE))="Martin",(VLOOKUP(Table10[[#This Row],[SKU]],'All Skus'!$A:$AC,20,FALSE)),""))</f>
        <v>0</v>
      </c>
      <c r="Q422" s="227">
        <f>(IF((VLOOKUP(Table10[[#This Row],[SKU]],'All Skus'!$A:$AC,2,FALSE))="Martin",(VLOOKUP(Table10[[#This Row],[SKU]],'All Skus'!$A:$AC,21,FALSE)),""))</f>
        <v>0</v>
      </c>
      <c r="R422" s="224">
        <f>(IF((VLOOKUP(Table10[[#This Row],[SKU]],'All Skus'!$A:$AC,2,FALSE))="Martin",(VLOOKUP(Table10[[#This Row],[SKU]],'All Skus'!$A:$AC,22,FALSE)),""))</f>
        <v>0</v>
      </c>
      <c r="S422" s="223">
        <f>(IF((VLOOKUP(Table10[[#This Row],[SKU]],'All Skus'!$A:$AC,2,FALSE))="Martin",(VLOOKUP(Table10[[#This Row],[SKU]],'All Skus'!$A:$AC,23,FALSE)),""))</f>
        <v>0</v>
      </c>
      <c r="T422" s="212" t="str">
        <f>HYPERLINK((IF((VLOOKUP(Table10[[#This Row],[SKU]],'All Skus'!$A:$AC,2,FALSE))="Martin",(VLOOKUP(Table10[[#This Row],[SKU]],'All Skus'!$A:$AC,24,FALSE)),"")))</f>
        <v/>
      </c>
      <c r="U422" s="228">
        <v>420</v>
      </c>
    </row>
    <row r="423" spans="1:21" hidden="1">
      <c r="A423" s="112">
        <v>90509088</v>
      </c>
      <c r="B423" s="224" t="str">
        <f>(IF((VLOOKUP(Table10[[#This Row],[SKU]],'All Skus'!$A:$AC,2,FALSE))="Martin",(VLOOKUP(Table10[[#This Row],[SKU]],'All Skus'!$A:$AC,3,FALSE)),""))</f>
        <v>Architainment</v>
      </c>
      <c r="C423" s="223" t="str">
        <f>(IF((VLOOKUP(Table10[[#This Row],[SKU]],'All Skus'!$A:$AC,2,FALSE))="Martin",(VLOOKUP(Table10[[#This Row],[SKU]],'All Skus'!$A:$AC,4,FALSE)),""))</f>
        <v xml:space="preserve">EXTERIOR WASH 210,10deg,EU,ALU </v>
      </c>
      <c r="D423" s="224" t="str">
        <f>(IF((VLOOKUP(Table10[[#This Row],[SKU]],'All Skus'!$A:$AC,2,FALSE))="Martin",(VLOOKUP(Table10[[#This Row],[SKU]],'All Skus'!$A:$AC,5,FALSE)),""))</f>
        <v>EXT-WASH</v>
      </c>
      <c r="E423" s="223">
        <f>(IF((VLOOKUP(Table10[[#This Row],[SKU]],'All Skus'!$A:$AC,2,FALSE))="Martin",(VLOOKUP(Table10[[#This Row],[SKU]],'All Skus'!$A:$AC,6,FALSE)),""))</f>
        <v>0</v>
      </c>
      <c r="F423" s="155" t="str">
        <f>(IF((VLOOKUP(Table10[[#This Row],[SKU]],'All Skus'!$A:$AC,2,FALSE))="Martin",(VLOOKUP(Table10[[#This Row],[SKU]],'All Skus'!$A:$AC,7,FALSE)),""))</f>
        <v xml:space="preserve">EOL pre-notice - not recommend to specify for 2025 projects </v>
      </c>
      <c r="G423" s="223" t="str">
        <f>(IF((VLOOKUP(Table10[[#This Row],[SKU]],'All Skus'!$A:$AC,2,FALSE))="Martin",(VLOOKUP(Table10[[#This Row],[SKU]],'All Skus'!$A:$AC,8,FALSE)),""))</f>
        <v xml:space="preserve">EXTERIOR WASH 210,10deg,EU,ALU </v>
      </c>
      <c r="H423" s="223" t="str">
        <f>(IF((VLOOKUP(Table10[[#This Row],[SKU]],'All Skus'!$A:$AC,2,FALSE))="Martin",(VLOOKUP(Table10[[#This Row],[SKU]],'All Skus'!$A:$AC,9,FALSE)),""))</f>
        <v xml:space="preserve">EXTERIOR WASH 210,10deg,EU,ALU </v>
      </c>
      <c r="I423" s="225">
        <f>(IF((VLOOKUP(Table10[[#This Row],[SKU]],'All Skus'!$A:$AC,2,FALSE))="Martin",(VLOOKUP(Table10[[#This Row],[SKU]],'All Skus'!$A:$AC,10,FALSE)),""))</f>
        <v>3488.21</v>
      </c>
      <c r="J423" s="226">
        <f>(IF((VLOOKUP(Table10[[#This Row],[SKU]],'All Skus'!$A:$AC,2,FALSE))="Martin",(VLOOKUP(Table10[[#This Row],[SKU]],'All Skus'!$A:$AC,11,FALSE)),""))</f>
        <v>3488.21</v>
      </c>
      <c r="K423" s="224">
        <f>(IF((VLOOKUP(Table10[[#This Row],[SKU]],'All Skus'!$A:$AC,2,FALSE))="Martin",(VLOOKUP(Table10[[#This Row],[SKU]],'All Skus'!$A:$AC,15,FALSE)),""))</f>
        <v>0</v>
      </c>
      <c r="L423" s="224">
        <f>(IF((VLOOKUP(Table10[[#This Row],[SKU]],'All Skus'!$A:$AC,2,FALSE))="Martin",(VLOOKUP(Table10[[#This Row],[SKU]],'All Skus'!$A:$AC,16,FALSE)),""))</f>
        <v>5706681231096</v>
      </c>
      <c r="M423" s="224">
        <f>(IF((VLOOKUP(Table10[[#This Row],[SKU]],'All Skus'!$A:$AC,2,FALSE))="Martin",(VLOOKUP(Table10[[#This Row],[SKU]],'All Skus'!$A:$AC,17,FALSE)),""))</f>
        <v>0</v>
      </c>
      <c r="N423" s="227">
        <f>(IF((VLOOKUP(Table10[[#This Row],[SKU]],'All Skus'!$A:$AC,2,FALSE))="Martin",(VLOOKUP(Table10[[#This Row],[SKU]],'All Skus'!$A:$AC,18,FALSE)),""))</f>
        <v>0</v>
      </c>
      <c r="O423" s="227">
        <f>(IF((VLOOKUP(Table10[[#This Row],[SKU]],'All Skus'!$A:$AC,2,FALSE))="Martin",(VLOOKUP(Table10[[#This Row],[SKU]],'All Skus'!$A:$AC,19,FALSE)),""))</f>
        <v>0</v>
      </c>
      <c r="P423" s="227">
        <f>(IF((VLOOKUP(Table10[[#This Row],[SKU]],'All Skus'!$A:$AC,2,FALSE))="Martin",(VLOOKUP(Table10[[#This Row],[SKU]],'All Skus'!$A:$AC,20,FALSE)),""))</f>
        <v>0</v>
      </c>
      <c r="Q423" s="227">
        <f>(IF((VLOOKUP(Table10[[#This Row],[SKU]],'All Skus'!$A:$AC,2,FALSE))="Martin",(VLOOKUP(Table10[[#This Row],[SKU]],'All Skus'!$A:$AC,21,FALSE)),""))</f>
        <v>0</v>
      </c>
      <c r="R423" s="224" t="str">
        <f>(IF((VLOOKUP(Table10[[#This Row],[SKU]],'All Skus'!$A:$AC,2,FALSE))="Martin",(VLOOKUP(Table10[[#This Row],[SKU]],'All Skus'!$A:$AC,22,FALSE)),""))</f>
        <v>CN</v>
      </c>
      <c r="S423" s="223" t="str">
        <f>(IF((VLOOKUP(Table10[[#This Row],[SKU]],'All Skus'!$A:$AC,2,FALSE))="Martin",(VLOOKUP(Table10[[#This Row],[SKU]],'All Skus'!$A:$AC,23,FALSE)),""))</f>
        <v>Non Compliant</v>
      </c>
      <c r="T423" s="212" t="str">
        <f>HYPERLINK((IF((VLOOKUP(Table10[[#This Row],[SKU]],'All Skus'!$A:$AC,2,FALSE))="Martin",(VLOOKUP(Table10[[#This Row],[SKU]],'All Skus'!$A:$AC,24,FALSE)),"")))</f>
        <v/>
      </c>
      <c r="U423" s="228">
        <v>421</v>
      </c>
    </row>
    <row r="424" spans="1:21" hidden="1">
      <c r="A424" s="112">
        <v>90509095</v>
      </c>
      <c r="B424" s="224" t="str">
        <f>(IF((VLOOKUP(Table10[[#This Row],[SKU]],'All Skus'!$A:$AC,2,FALSE))="Martin",(VLOOKUP(Table10[[#This Row],[SKU]],'All Skus'!$A:$AC,3,FALSE)),""))</f>
        <v>Architainment</v>
      </c>
      <c r="C424" s="223" t="str">
        <f>(IF((VLOOKUP(Table10[[#This Row],[SKU]],'All Skus'!$A:$AC,2,FALSE))="Martin",(VLOOKUP(Table10[[#This Row],[SKU]],'All Skus'!$A:$AC,4,FALSE)),""))</f>
        <v xml:space="preserve">EXTERIOR WASH 210, 10deg, US, ALU </v>
      </c>
      <c r="D424" s="224" t="str">
        <f>(IF((VLOOKUP(Table10[[#This Row],[SKU]],'All Skus'!$A:$AC,2,FALSE))="Martin",(VLOOKUP(Table10[[#This Row],[SKU]],'All Skus'!$A:$AC,5,FALSE)),""))</f>
        <v>EXT-WASH</v>
      </c>
      <c r="E424" s="223">
        <f>(IF((VLOOKUP(Table10[[#This Row],[SKU]],'All Skus'!$A:$AC,2,FALSE))="Martin",(VLOOKUP(Table10[[#This Row],[SKU]],'All Skus'!$A:$AC,6,FALSE)),""))</f>
        <v>0</v>
      </c>
      <c r="F424" s="155" t="str">
        <f>(IF((VLOOKUP(Table10[[#This Row],[SKU]],'All Skus'!$A:$AC,2,FALSE))="Martin",(VLOOKUP(Table10[[#This Row],[SKU]],'All Skus'!$A:$AC,7,FALSE)),""))</f>
        <v xml:space="preserve">EOL pre-notice - not recommend to specify for 2025 projects </v>
      </c>
      <c r="G424" s="223" t="str">
        <f>(IF((VLOOKUP(Table10[[#This Row],[SKU]],'All Skus'!$A:$AC,2,FALSE))="Martin",(VLOOKUP(Table10[[#This Row],[SKU]],'All Skus'!$A:$AC,8,FALSE)),""))</f>
        <v xml:space="preserve">EXTERIOR WASH 210, 10deg, US, ALU </v>
      </c>
      <c r="H424" s="223" t="str">
        <f>(IF((VLOOKUP(Table10[[#This Row],[SKU]],'All Skus'!$A:$AC,2,FALSE))="Martin",(VLOOKUP(Table10[[#This Row],[SKU]],'All Skus'!$A:$AC,9,FALSE)),""))</f>
        <v xml:space="preserve">EXTERIOR WASH 210, 10deg, US, ALU </v>
      </c>
      <c r="I424" s="225">
        <f>(IF((VLOOKUP(Table10[[#This Row],[SKU]],'All Skus'!$A:$AC,2,FALSE))="Martin",(VLOOKUP(Table10[[#This Row],[SKU]],'All Skus'!$A:$AC,10,FALSE)),""))</f>
        <v>3488.21</v>
      </c>
      <c r="J424" s="226">
        <f>(IF((VLOOKUP(Table10[[#This Row],[SKU]],'All Skus'!$A:$AC,2,FALSE))="Martin",(VLOOKUP(Table10[[#This Row],[SKU]],'All Skus'!$A:$AC,11,FALSE)),""))</f>
        <v>3488.21</v>
      </c>
      <c r="K424" s="224">
        <f>(IF((VLOOKUP(Table10[[#This Row],[SKU]],'All Skus'!$A:$AC,2,FALSE))="Martin",(VLOOKUP(Table10[[#This Row],[SKU]],'All Skus'!$A:$AC,15,FALSE)),""))</f>
        <v>0</v>
      </c>
      <c r="L424" s="224">
        <f>(IF((VLOOKUP(Table10[[#This Row],[SKU]],'All Skus'!$A:$AC,2,FALSE))="Martin",(VLOOKUP(Table10[[#This Row],[SKU]],'All Skus'!$A:$AC,16,FALSE)),""))</f>
        <v>5706681231454</v>
      </c>
      <c r="M424" s="224">
        <f>(IF((VLOOKUP(Table10[[#This Row],[SKU]],'All Skus'!$A:$AC,2,FALSE))="Martin",(VLOOKUP(Table10[[#This Row],[SKU]],'All Skus'!$A:$AC,17,FALSE)),""))</f>
        <v>0</v>
      </c>
      <c r="N424" s="227">
        <f>(IF((VLOOKUP(Table10[[#This Row],[SKU]],'All Skus'!$A:$AC,2,FALSE))="Martin",(VLOOKUP(Table10[[#This Row],[SKU]],'All Skus'!$A:$AC,18,FALSE)),""))</f>
        <v>0</v>
      </c>
      <c r="O424" s="227">
        <f>(IF((VLOOKUP(Table10[[#This Row],[SKU]],'All Skus'!$A:$AC,2,FALSE))="Martin",(VLOOKUP(Table10[[#This Row],[SKU]],'All Skus'!$A:$AC,19,FALSE)),""))</f>
        <v>0</v>
      </c>
      <c r="P424" s="227">
        <f>(IF((VLOOKUP(Table10[[#This Row],[SKU]],'All Skus'!$A:$AC,2,FALSE))="Martin",(VLOOKUP(Table10[[#This Row],[SKU]],'All Skus'!$A:$AC,20,FALSE)),""))</f>
        <v>0</v>
      </c>
      <c r="Q424" s="227">
        <f>(IF((VLOOKUP(Table10[[#This Row],[SKU]],'All Skus'!$A:$AC,2,FALSE))="Martin",(VLOOKUP(Table10[[#This Row],[SKU]],'All Skus'!$A:$AC,21,FALSE)),""))</f>
        <v>0</v>
      </c>
      <c r="R424" s="224" t="str">
        <f>(IF((VLOOKUP(Table10[[#This Row],[SKU]],'All Skus'!$A:$AC,2,FALSE))="Martin",(VLOOKUP(Table10[[#This Row],[SKU]],'All Skus'!$A:$AC,22,FALSE)),""))</f>
        <v>CN</v>
      </c>
      <c r="S424" s="223" t="str">
        <f>(IF((VLOOKUP(Table10[[#This Row],[SKU]],'All Skus'!$A:$AC,2,FALSE))="Martin",(VLOOKUP(Table10[[#This Row],[SKU]],'All Skus'!$A:$AC,23,FALSE)),""))</f>
        <v>Non Compliant</v>
      </c>
      <c r="T424" s="212" t="str">
        <f>HYPERLINK((IF((VLOOKUP(Table10[[#This Row],[SKU]],'All Skus'!$A:$AC,2,FALSE))="Martin",(VLOOKUP(Table10[[#This Row],[SKU]],'All Skus'!$A:$AC,24,FALSE)),"")))</f>
        <v/>
      </c>
      <c r="U424" s="228">
        <v>422</v>
      </c>
    </row>
    <row r="425" spans="1:21" hidden="1">
      <c r="A425" s="119">
        <v>90509105</v>
      </c>
      <c r="B425" s="224">
        <f>(IF((VLOOKUP(Table10[[#This Row],[SKU]],'All Skus'!$A:$AC,2,FALSE))="Martin",(VLOOKUP(Table10[[#This Row],[SKU]],'All Skus'!$A:$AC,3,FALSE)),""))</f>
        <v>0</v>
      </c>
      <c r="C425" s="223" t="str">
        <f>(IF((VLOOKUP(Table10[[#This Row],[SKU]],'All Skus'!$A:$AC,2,FALSE))="Martin",(VLOOKUP(Table10[[#This Row],[SKU]],'All Skus'!$A:$AC,4,FALSE)),""))</f>
        <v>EXTERIOR WASH 210, 10deg, EU, WHITE</v>
      </c>
      <c r="D425" s="224" t="str">
        <f>(IF((VLOOKUP(Table10[[#This Row],[SKU]],'All Skus'!$A:$AC,2,FALSE))="Martin",(VLOOKUP(Table10[[#This Row],[SKU]],'All Skus'!$A:$AC,5,FALSE)),""))</f>
        <v>EXT-WASH</v>
      </c>
      <c r="E425" s="223">
        <f>(IF((VLOOKUP(Table10[[#This Row],[SKU]],'All Skus'!$A:$AC,2,FALSE))="Martin",(VLOOKUP(Table10[[#This Row],[SKU]],'All Skus'!$A:$AC,6,FALSE)),""))</f>
        <v>0</v>
      </c>
      <c r="F425" s="155" t="str">
        <f>(IF((VLOOKUP(Table10[[#This Row],[SKU]],'All Skus'!$A:$AC,2,FALSE))="Martin",(VLOOKUP(Table10[[#This Row],[SKU]],'All Skus'!$A:$AC,7,FALSE)),""))</f>
        <v xml:space="preserve">EOL pre-notice - not recommend to specify for 2025 projects </v>
      </c>
      <c r="G425" s="223" t="str">
        <f>(IF((VLOOKUP(Table10[[#This Row],[SKU]],'All Skus'!$A:$AC,2,FALSE))="Martin",(VLOOKUP(Table10[[#This Row],[SKU]],'All Skus'!$A:$AC,8,FALSE)),""))</f>
        <v>EXTERIOR WASH 210, 10deg, EU, WHITE</v>
      </c>
      <c r="H425" s="223" t="str">
        <f>(IF((VLOOKUP(Table10[[#This Row],[SKU]],'All Skus'!$A:$AC,2,FALSE))="Martin",(VLOOKUP(Table10[[#This Row],[SKU]],'All Skus'!$A:$AC,9,FALSE)),""))</f>
        <v>EXTERIOR WASH 210, 10deg, EU, WHITE</v>
      </c>
      <c r="I425" s="225">
        <f>(IF((VLOOKUP(Table10[[#This Row],[SKU]],'All Skus'!$A:$AC,2,FALSE))="Martin",(VLOOKUP(Table10[[#This Row],[SKU]],'All Skus'!$A:$AC,10,FALSE)),""))</f>
        <v>3704.29</v>
      </c>
      <c r="J425" s="226">
        <f>(IF((VLOOKUP(Table10[[#This Row],[SKU]],'All Skus'!$A:$AC,2,FALSE))="Martin",(VLOOKUP(Table10[[#This Row],[SKU]],'All Skus'!$A:$AC,11,FALSE)),""))</f>
        <v>3704.29</v>
      </c>
      <c r="K425" s="224">
        <f>(IF((VLOOKUP(Table10[[#This Row],[SKU]],'All Skus'!$A:$AC,2,FALSE))="Martin",(VLOOKUP(Table10[[#This Row],[SKU]],'All Skus'!$A:$AC,15,FALSE)),""))</f>
        <v>0</v>
      </c>
      <c r="L425" s="224">
        <f>(IF((VLOOKUP(Table10[[#This Row],[SKU]],'All Skus'!$A:$AC,2,FALSE))="Martin",(VLOOKUP(Table10[[#This Row],[SKU]],'All Skus'!$A:$AC,16,FALSE)),""))</f>
        <v>5706681237128</v>
      </c>
      <c r="M425" s="224">
        <f>(IF((VLOOKUP(Table10[[#This Row],[SKU]],'All Skus'!$A:$AC,2,FALSE))="Martin",(VLOOKUP(Table10[[#This Row],[SKU]],'All Skus'!$A:$AC,17,FALSE)),""))</f>
        <v>0</v>
      </c>
      <c r="N425" s="227">
        <f>(IF((VLOOKUP(Table10[[#This Row],[SKU]],'All Skus'!$A:$AC,2,FALSE))="Martin",(VLOOKUP(Table10[[#This Row],[SKU]],'All Skus'!$A:$AC,18,FALSE)),""))</f>
        <v>0</v>
      </c>
      <c r="O425" s="227">
        <f>(IF((VLOOKUP(Table10[[#This Row],[SKU]],'All Skus'!$A:$AC,2,FALSE))="Martin",(VLOOKUP(Table10[[#This Row],[SKU]],'All Skus'!$A:$AC,19,FALSE)),""))</f>
        <v>0</v>
      </c>
      <c r="P425" s="227">
        <f>(IF((VLOOKUP(Table10[[#This Row],[SKU]],'All Skus'!$A:$AC,2,FALSE))="Martin",(VLOOKUP(Table10[[#This Row],[SKU]],'All Skus'!$A:$AC,20,FALSE)),""))</f>
        <v>0</v>
      </c>
      <c r="Q425" s="227">
        <f>(IF((VLOOKUP(Table10[[#This Row],[SKU]],'All Skus'!$A:$AC,2,FALSE))="Martin",(VLOOKUP(Table10[[#This Row],[SKU]],'All Skus'!$A:$AC,21,FALSE)),""))</f>
        <v>0</v>
      </c>
      <c r="R425" s="224" t="str">
        <f>(IF((VLOOKUP(Table10[[#This Row],[SKU]],'All Skus'!$A:$AC,2,FALSE))="Martin",(VLOOKUP(Table10[[#This Row],[SKU]],'All Skus'!$A:$AC,22,FALSE)),""))</f>
        <v>CN</v>
      </c>
      <c r="S425" s="223">
        <f>(IF((VLOOKUP(Table10[[#This Row],[SKU]],'All Skus'!$A:$AC,2,FALSE))="Martin",(VLOOKUP(Table10[[#This Row],[SKU]],'All Skus'!$A:$AC,23,FALSE)),""))</f>
        <v>0</v>
      </c>
      <c r="T425" s="212" t="str">
        <f>HYPERLINK((IF((VLOOKUP(Table10[[#This Row],[SKU]],'All Skus'!$A:$AC,2,FALSE))="Martin",(VLOOKUP(Table10[[#This Row],[SKU]],'All Skus'!$A:$AC,24,FALSE)),"")))</f>
        <v/>
      </c>
      <c r="U425" s="228">
        <v>423</v>
      </c>
    </row>
    <row r="426" spans="1:21" hidden="1">
      <c r="A426" s="115" t="s">
        <v>2157</v>
      </c>
      <c r="B426" s="224">
        <f>(IF((VLOOKUP(Table10[[#This Row],[SKU]],'All Skus'!$A:$AC,2,FALSE))="Martin",(VLOOKUP(Table10[[#This Row],[SKU]],'All Skus'!$A:$AC,3,FALSE)),""))</f>
        <v>0</v>
      </c>
      <c r="C426" s="223">
        <f>(IF((VLOOKUP(Table10[[#This Row],[SKU]],'All Skus'!$A:$AC,2,FALSE))="Martin",(VLOOKUP(Table10[[#This Row],[SKU]],'All Skus'!$A:$AC,4,FALSE)),""))</f>
        <v>0</v>
      </c>
      <c r="D426" s="224">
        <f>(IF((VLOOKUP(Table10[[#This Row],[SKU]],'All Skus'!$A:$AC,2,FALSE))="Martin",(VLOOKUP(Table10[[#This Row],[SKU]],'All Skus'!$A:$AC,5,FALSE)),""))</f>
        <v>0</v>
      </c>
      <c r="E426" s="223">
        <f>(IF((VLOOKUP(Table10[[#This Row],[SKU]],'All Skus'!$A:$AC,2,FALSE))="Martin",(VLOOKUP(Table10[[#This Row],[SKU]],'All Skus'!$A:$AC,6,FALSE)),""))</f>
        <v>0</v>
      </c>
      <c r="F426" s="155">
        <f>(IF((VLOOKUP(Table10[[#This Row],[SKU]],'All Skus'!$A:$AC,2,FALSE))="Martin",(VLOOKUP(Table10[[#This Row],[SKU]],'All Skus'!$A:$AC,7,FALSE)),""))</f>
        <v>0</v>
      </c>
      <c r="G426" s="223">
        <f>(IF((VLOOKUP(Table10[[#This Row],[SKU]],'All Skus'!$A:$AC,2,FALSE))="Martin",(VLOOKUP(Table10[[#This Row],[SKU]],'All Skus'!$A:$AC,8,FALSE)),""))</f>
        <v>0</v>
      </c>
      <c r="H426" s="223">
        <f>(IF((VLOOKUP(Table10[[#This Row],[SKU]],'All Skus'!$A:$AC,2,FALSE))="Martin",(VLOOKUP(Table10[[#This Row],[SKU]],'All Skus'!$A:$AC,9,FALSE)),""))</f>
        <v>0</v>
      </c>
      <c r="I426" s="225">
        <f>(IF((VLOOKUP(Table10[[#This Row],[SKU]],'All Skus'!$A:$AC,2,FALSE))="Martin",(VLOOKUP(Table10[[#This Row],[SKU]],'All Skus'!$A:$AC,10,FALSE)),""))</f>
        <v>0</v>
      </c>
      <c r="J426" s="226">
        <f>(IF((VLOOKUP(Table10[[#This Row],[SKU]],'All Skus'!$A:$AC,2,FALSE))="Martin",(VLOOKUP(Table10[[#This Row],[SKU]],'All Skus'!$A:$AC,11,FALSE)),""))</f>
        <v>0</v>
      </c>
      <c r="K426" s="224">
        <f>(IF((VLOOKUP(Table10[[#This Row],[SKU]],'All Skus'!$A:$AC,2,FALSE))="Martin",(VLOOKUP(Table10[[#This Row],[SKU]],'All Skus'!$A:$AC,15,FALSE)),""))</f>
        <v>0</v>
      </c>
      <c r="L426" s="224">
        <f>(IF((VLOOKUP(Table10[[#This Row],[SKU]],'All Skus'!$A:$AC,2,FALSE))="Martin",(VLOOKUP(Table10[[#This Row],[SKU]],'All Skus'!$A:$AC,16,FALSE)),""))</f>
        <v>0</v>
      </c>
      <c r="M426" s="224">
        <f>(IF((VLOOKUP(Table10[[#This Row],[SKU]],'All Skus'!$A:$AC,2,FALSE))="Martin",(VLOOKUP(Table10[[#This Row],[SKU]],'All Skus'!$A:$AC,17,FALSE)),""))</f>
        <v>0</v>
      </c>
      <c r="N426" s="227">
        <f>(IF((VLOOKUP(Table10[[#This Row],[SKU]],'All Skus'!$A:$AC,2,FALSE))="Martin",(VLOOKUP(Table10[[#This Row],[SKU]],'All Skus'!$A:$AC,18,FALSE)),""))</f>
        <v>0</v>
      </c>
      <c r="O426" s="227">
        <f>(IF((VLOOKUP(Table10[[#This Row],[SKU]],'All Skus'!$A:$AC,2,FALSE))="Martin",(VLOOKUP(Table10[[#This Row],[SKU]],'All Skus'!$A:$AC,19,FALSE)),""))</f>
        <v>0</v>
      </c>
      <c r="P426" s="227">
        <f>(IF((VLOOKUP(Table10[[#This Row],[SKU]],'All Skus'!$A:$AC,2,FALSE))="Martin",(VLOOKUP(Table10[[#This Row],[SKU]],'All Skus'!$A:$AC,20,FALSE)),""))</f>
        <v>0</v>
      </c>
      <c r="Q426" s="227">
        <f>(IF((VLOOKUP(Table10[[#This Row],[SKU]],'All Skus'!$A:$AC,2,FALSE))="Martin",(VLOOKUP(Table10[[#This Row],[SKU]],'All Skus'!$A:$AC,21,FALSE)),""))</f>
        <v>0</v>
      </c>
      <c r="R426" s="224">
        <f>(IF((VLOOKUP(Table10[[#This Row],[SKU]],'All Skus'!$A:$AC,2,FALSE))="Martin",(VLOOKUP(Table10[[#This Row],[SKU]],'All Skus'!$A:$AC,22,FALSE)),""))</f>
        <v>0</v>
      </c>
      <c r="S426" s="223">
        <f>(IF((VLOOKUP(Table10[[#This Row],[SKU]],'All Skus'!$A:$AC,2,FALSE))="Martin",(VLOOKUP(Table10[[#This Row],[SKU]],'All Skus'!$A:$AC,23,FALSE)),""))</f>
        <v>0</v>
      </c>
      <c r="T426" s="212" t="str">
        <f>HYPERLINK((IF((VLOOKUP(Table10[[#This Row],[SKU]],'All Skus'!$A:$AC,2,FALSE))="Martin",(VLOOKUP(Table10[[#This Row],[SKU]],'All Skus'!$A:$AC,24,FALSE)),"")))</f>
        <v/>
      </c>
      <c r="U426" s="228">
        <v>424</v>
      </c>
    </row>
    <row r="427" spans="1:21" hidden="1">
      <c r="A427" s="112">
        <v>90509089</v>
      </c>
      <c r="B427" s="224" t="str">
        <f>(IF((VLOOKUP(Table10[[#This Row],[SKU]],'All Skus'!$A:$AC,2,FALSE))="Martin",(VLOOKUP(Table10[[#This Row],[SKU]],'All Skus'!$A:$AC,3,FALSE)),""))</f>
        <v>Architainment</v>
      </c>
      <c r="C427" s="223" t="str">
        <f>(IF((VLOOKUP(Table10[[#This Row],[SKU]],'All Skus'!$A:$AC,2,FALSE))="Martin",(VLOOKUP(Table10[[#This Row],[SKU]],'All Skus'!$A:$AC,4,FALSE)),""))</f>
        <v xml:space="preserve">EXTERIOR WASH 220,7deg,EU,ALU </v>
      </c>
      <c r="D427" s="224" t="str">
        <f>(IF((VLOOKUP(Table10[[#This Row],[SKU]],'All Skus'!$A:$AC,2,FALSE))="Martin",(VLOOKUP(Table10[[#This Row],[SKU]],'All Skus'!$A:$AC,5,FALSE)),""))</f>
        <v>EXT-WASH</v>
      </c>
      <c r="E427" s="223">
        <f>(IF((VLOOKUP(Table10[[#This Row],[SKU]],'All Skus'!$A:$AC,2,FALSE))="Martin",(VLOOKUP(Table10[[#This Row],[SKU]],'All Skus'!$A:$AC,6,FALSE)),""))</f>
        <v>0</v>
      </c>
      <c r="F427" s="155" t="str">
        <f>(IF((VLOOKUP(Table10[[#This Row],[SKU]],'All Skus'!$A:$AC,2,FALSE))="Martin",(VLOOKUP(Table10[[#This Row],[SKU]],'All Skus'!$A:$AC,7,FALSE)),""))</f>
        <v xml:space="preserve">EOL pre-notice - not recommend to specify for 2025 projects </v>
      </c>
      <c r="G427" s="223" t="str">
        <f>(IF((VLOOKUP(Table10[[#This Row],[SKU]],'All Skus'!$A:$AC,2,FALSE))="Martin",(VLOOKUP(Table10[[#This Row],[SKU]],'All Skus'!$A:$AC,8,FALSE)),""))</f>
        <v xml:space="preserve">EXTERIOR WASH 220,7deg,EU,ALU </v>
      </c>
      <c r="H427" s="223" t="str">
        <f>(IF((VLOOKUP(Table10[[#This Row],[SKU]],'All Skus'!$A:$AC,2,FALSE))="Martin",(VLOOKUP(Table10[[#This Row],[SKU]],'All Skus'!$A:$AC,9,FALSE)),""))</f>
        <v xml:space="preserve">EXTERIOR WASH 220,7deg,EU,ALU </v>
      </c>
      <c r="I427" s="225">
        <f>(IF((VLOOKUP(Table10[[#This Row],[SKU]],'All Skus'!$A:$AC,2,FALSE))="Martin",(VLOOKUP(Table10[[#This Row],[SKU]],'All Skus'!$A:$AC,10,FALSE)),""))</f>
        <v>3488.21</v>
      </c>
      <c r="J427" s="226">
        <f>(IF((VLOOKUP(Table10[[#This Row],[SKU]],'All Skus'!$A:$AC,2,FALSE))="Martin",(VLOOKUP(Table10[[#This Row],[SKU]],'All Skus'!$A:$AC,11,FALSE)),""))</f>
        <v>3488.21</v>
      </c>
      <c r="K427" s="224">
        <f>(IF((VLOOKUP(Table10[[#This Row],[SKU]],'All Skus'!$A:$AC,2,FALSE))="Martin",(VLOOKUP(Table10[[#This Row],[SKU]],'All Skus'!$A:$AC,15,FALSE)),""))</f>
        <v>0</v>
      </c>
      <c r="L427" s="224">
        <f>(IF((VLOOKUP(Table10[[#This Row],[SKU]],'All Skus'!$A:$AC,2,FALSE))="Martin",(VLOOKUP(Table10[[#This Row],[SKU]],'All Skus'!$A:$AC,16,FALSE)),""))</f>
        <v>5706681231102</v>
      </c>
      <c r="M427" s="224">
        <f>(IF((VLOOKUP(Table10[[#This Row],[SKU]],'All Skus'!$A:$AC,2,FALSE))="Martin",(VLOOKUP(Table10[[#This Row],[SKU]],'All Skus'!$A:$AC,17,FALSE)),""))</f>
        <v>0</v>
      </c>
      <c r="N427" s="227">
        <f>(IF((VLOOKUP(Table10[[#This Row],[SKU]],'All Skus'!$A:$AC,2,FALSE))="Martin",(VLOOKUP(Table10[[#This Row],[SKU]],'All Skus'!$A:$AC,18,FALSE)),""))</f>
        <v>0</v>
      </c>
      <c r="O427" s="227">
        <f>(IF((VLOOKUP(Table10[[#This Row],[SKU]],'All Skus'!$A:$AC,2,FALSE))="Martin",(VLOOKUP(Table10[[#This Row],[SKU]],'All Skus'!$A:$AC,19,FALSE)),""))</f>
        <v>0</v>
      </c>
      <c r="P427" s="227">
        <f>(IF((VLOOKUP(Table10[[#This Row],[SKU]],'All Skus'!$A:$AC,2,FALSE))="Martin",(VLOOKUP(Table10[[#This Row],[SKU]],'All Skus'!$A:$AC,20,FALSE)),""))</f>
        <v>0</v>
      </c>
      <c r="Q427" s="227">
        <f>(IF((VLOOKUP(Table10[[#This Row],[SKU]],'All Skus'!$A:$AC,2,FALSE))="Martin",(VLOOKUP(Table10[[#This Row],[SKU]],'All Skus'!$A:$AC,21,FALSE)),""))</f>
        <v>0</v>
      </c>
      <c r="R427" s="224" t="str">
        <f>(IF((VLOOKUP(Table10[[#This Row],[SKU]],'All Skus'!$A:$AC,2,FALSE))="Martin",(VLOOKUP(Table10[[#This Row],[SKU]],'All Skus'!$A:$AC,22,FALSE)),""))</f>
        <v>CN</v>
      </c>
      <c r="S427" s="223" t="str">
        <f>(IF((VLOOKUP(Table10[[#This Row],[SKU]],'All Skus'!$A:$AC,2,FALSE))="Martin",(VLOOKUP(Table10[[#This Row],[SKU]],'All Skus'!$A:$AC,23,FALSE)),""))</f>
        <v>Non Compliant</v>
      </c>
      <c r="T427" s="212" t="str">
        <f>HYPERLINK((IF((VLOOKUP(Table10[[#This Row],[SKU]],'All Skus'!$A:$AC,2,FALSE))="Martin",(VLOOKUP(Table10[[#This Row],[SKU]],'All Skus'!$A:$AC,24,FALSE)),"")))</f>
        <v/>
      </c>
      <c r="U427" s="228">
        <v>425</v>
      </c>
    </row>
    <row r="428" spans="1:21" hidden="1">
      <c r="A428" s="112">
        <v>90509091</v>
      </c>
      <c r="B428" s="224" t="str">
        <f>(IF((VLOOKUP(Table10[[#This Row],[SKU]],'All Skus'!$A:$AC,2,FALSE))="Martin",(VLOOKUP(Table10[[#This Row],[SKU]],'All Skus'!$A:$AC,3,FALSE)),""))</f>
        <v>Architainment</v>
      </c>
      <c r="C428" s="223" t="str">
        <f>(IF((VLOOKUP(Table10[[#This Row],[SKU]],'All Skus'!$A:$AC,2,FALSE))="Martin",(VLOOKUP(Table10[[#This Row],[SKU]],'All Skus'!$A:$AC,4,FALSE)),""))</f>
        <v xml:space="preserve">EXTERIOR WASH 220, 7deg,US,ALU </v>
      </c>
      <c r="D428" s="224" t="str">
        <f>(IF((VLOOKUP(Table10[[#This Row],[SKU]],'All Skus'!$A:$AC,2,FALSE))="Martin",(VLOOKUP(Table10[[#This Row],[SKU]],'All Skus'!$A:$AC,5,FALSE)),""))</f>
        <v>EXT-WASH</v>
      </c>
      <c r="E428" s="223">
        <f>(IF((VLOOKUP(Table10[[#This Row],[SKU]],'All Skus'!$A:$AC,2,FALSE))="Martin",(VLOOKUP(Table10[[#This Row],[SKU]],'All Skus'!$A:$AC,6,FALSE)),""))</f>
        <v>0</v>
      </c>
      <c r="F428" s="155" t="str">
        <f>(IF((VLOOKUP(Table10[[#This Row],[SKU]],'All Skus'!$A:$AC,2,FALSE))="Martin",(VLOOKUP(Table10[[#This Row],[SKU]],'All Skus'!$A:$AC,7,FALSE)),""))</f>
        <v xml:space="preserve">EOL pre-notice - not recommend to specify for 2025 projects </v>
      </c>
      <c r="G428" s="223" t="str">
        <f>(IF((VLOOKUP(Table10[[#This Row],[SKU]],'All Skus'!$A:$AC,2,FALSE))="Martin",(VLOOKUP(Table10[[#This Row],[SKU]],'All Skus'!$A:$AC,8,FALSE)),""))</f>
        <v xml:space="preserve">EXTERIOR WASH 220, 7deg,US,ALU </v>
      </c>
      <c r="H428" s="223" t="str">
        <f>(IF((VLOOKUP(Table10[[#This Row],[SKU]],'All Skus'!$A:$AC,2,FALSE))="Martin",(VLOOKUP(Table10[[#This Row],[SKU]],'All Skus'!$A:$AC,9,FALSE)),""))</f>
        <v xml:space="preserve">EXTERIOR WASH 220, 7deg,US,ALU </v>
      </c>
      <c r="I428" s="225">
        <f>(IF((VLOOKUP(Table10[[#This Row],[SKU]],'All Skus'!$A:$AC,2,FALSE))="Martin",(VLOOKUP(Table10[[#This Row],[SKU]],'All Skus'!$A:$AC,10,FALSE)),""))</f>
        <v>3488.21</v>
      </c>
      <c r="J428" s="226">
        <f>(IF((VLOOKUP(Table10[[#This Row],[SKU]],'All Skus'!$A:$AC,2,FALSE))="Martin",(VLOOKUP(Table10[[#This Row],[SKU]],'All Skus'!$A:$AC,11,FALSE)),""))</f>
        <v>3488.21</v>
      </c>
      <c r="K428" s="224">
        <f>(IF((VLOOKUP(Table10[[#This Row],[SKU]],'All Skus'!$A:$AC,2,FALSE))="Martin",(VLOOKUP(Table10[[#This Row],[SKU]],'All Skus'!$A:$AC,15,FALSE)),""))</f>
        <v>0</v>
      </c>
      <c r="L428" s="224">
        <f>(IF((VLOOKUP(Table10[[#This Row],[SKU]],'All Skus'!$A:$AC,2,FALSE))="Martin",(VLOOKUP(Table10[[#This Row],[SKU]],'All Skus'!$A:$AC,16,FALSE)),""))</f>
        <v>5706681231553</v>
      </c>
      <c r="M428" s="224">
        <f>(IF((VLOOKUP(Table10[[#This Row],[SKU]],'All Skus'!$A:$AC,2,FALSE))="Martin",(VLOOKUP(Table10[[#This Row],[SKU]],'All Skus'!$A:$AC,17,FALSE)),""))</f>
        <v>0</v>
      </c>
      <c r="N428" s="227">
        <f>(IF((VLOOKUP(Table10[[#This Row],[SKU]],'All Skus'!$A:$AC,2,FALSE))="Martin",(VLOOKUP(Table10[[#This Row],[SKU]],'All Skus'!$A:$AC,18,FALSE)),""))</f>
        <v>0</v>
      </c>
      <c r="O428" s="227">
        <f>(IF((VLOOKUP(Table10[[#This Row],[SKU]],'All Skus'!$A:$AC,2,FALSE))="Martin",(VLOOKUP(Table10[[#This Row],[SKU]],'All Skus'!$A:$AC,19,FALSE)),""))</f>
        <v>0</v>
      </c>
      <c r="P428" s="227">
        <f>(IF((VLOOKUP(Table10[[#This Row],[SKU]],'All Skus'!$A:$AC,2,FALSE))="Martin",(VLOOKUP(Table10[[#This Row],[SKU]],'All Skus'!$A:$AC,20,FALSE)),""))</f>
        <v>0</v>
      </c>
      <c r="Q428" s="227">
        <f>(IF((VLOOKUP(Table10[[#This Row],[SKU]],'All Skus'!$A:$AC,2,FALSE))="Martin",(VLOOKUP(Table10[[#This Row],[SKU]],'All Skus'!$A:$AC,21,FALSE)),""))</f>
        <v>0</v>
      </c>
      <c r="R428" s="224" t="str">
        <f>(IF((VLOOKUP(Table10[[#This Row],[SKU]],'All Skus'!$A:$AC,2,FALSE))="Martin",(VLOOKUP(Table10[[#This Row],[SKU]],'All Skus'!$A:$AC,22,FALSE)),""))</f>
        <v>CN</v>
      </c>
      <c r="S428" s="223" t="str">
        <f>(IF((VLOOKUP(Table10[[#This Row],[SKU]],'All Skus'!$A:$AC,2,FALSE))="Martin",(VLOOKUP(Table10[[#This Row],[SKU]],'All Skus'!$A:$AC,23,FALSE)),""))</f>
        <v>Non Compliant</v>
      </c>
      <c r="T428" s="212" t="str">
        <f>HYPERLINK((IF((VLOOKUP(Table10[[#This Row],[SKU]],'All Skus'!$A:$AC,2,FALSE))="Martin",(VLOOKUP(Table10[[#This Row],[SKU]],'All Skus'!$A:$AC,24,FALSE)),"")))</f>
        <v/>
      </c>
      <c r="U428" s="228">
        <v>426</v>
      </c>
    </row>
    <row r="429" spans="1:21" hidden="1">
      <c r="A429" s="115" t="s">
        <v>2158</v>
      </c>
      <c r="B429" s="224">
        <f>(IF((VLOOKUP(Table10[[#This Row],[SKU]],'All Skus'!$A:$AC,2,FALSE))="Martin",(VLOOKUP(Table10[[#This Row],[SKU]],'All Skus'!$A:$AC,3,FALSE)),""))</f>
        <v>0</v>
      </c>
      <c r="C429" s="223">
        <f>(IF((VLOOKUP(Table10[[#This Row],[SKU]],'All Skus'!$A:$AC,2,FALSE))="Martin",(VLOOKUP(Table10[[#This Row],[SKU]],'All Skus'!$A:$AC,4,FALSE)),""))</f>
        <v>0</v>
      </c>
      <c r="D429" s="224">
        <f>(IF((VLOOKUP(Table10[[#This Row],[SKU]],'All Skus'!$A:$AC,2,FALSE))="Martin",(VLOOKUP(Table10[[#This Row],[SKU]],'All Skus'!$A:$AC,5,FALSE)),""))</f>
        <v>0</v>
      </c>
      <c r="E429" s="223">
        <f>(IF((VLOOKUP(Table10[[#This Row],[SKU]],'All Skus'!$A:$AC,2,FALSE))="Martin",(VLOOKUP(Table10[[#This Row],[SKU]],'All Skus'!$A:$AC,6,FALSE)),""))</f>
        <v>0</v>
      </c>
      <c r="F429" s="155">
        <f>(IF((VLOOKUP(Table10[[#This Row],[SKU]],'All Skus'!$A:$AC,2,FALSE))="Martin",(VLOOKUP(Table10[[#This Row],[SKU]],'All Skus'!$A:$AC,7,FALSE)),""))</f>
        <v>0</v>
      </c>
      <c r="G429" s="223">
        <f>(IF((VLOOKUP(Table10[[#This Row],[SKU]],'All Skus'!$A:$AC,2,FALSE))="Martin",(VLOOKUP(Table10[[#This Row],[SKU]],'All Skus'!$A:$AC,8,FALSE)),""))</f>
        <v>0</v>
      </c>
      <c r="H429" s="223">
        <f>(IF((VLOOKUP(Table10[[#This Row],[SKU]],'All Skus'!$A:$AC,2,FALSE))="Martin",(VLOOKUP(Table10[[#This Row],[SKU]],'All Skus'!$A:$AC,9,FALSE)),""))</f>
        <v>0</v>
      </c>
      <c r="I429" s="225">
        <f>(IF((VLOOKUP(Table10[[#This Row],[SKU]],'All Skus'!$A:$AC,2,FALSE))="Martin",(VLOOKUP(Table10[[#This Row],[SKU]],'All Skus'!$A:$AC,10,FALSE)),""))</f>
        <v>0</v>
      </c>
      <c r="J429" s="226">
        <f>(IF((VLOOKUP(Table10[[#This Row],[SKU]],'All Skus'!$A:$AC,2,FALSE))="Martin",(VLOOKUP(Table10[[#This Row],[SKU]],'All Skus'!$A:$AC,11,FALSE)),""))</f>
        <v>0</v>
      </c>
      <c r="K429" s="224">
        <f>(IF((VLOOKUP(Table10[[#This Row],[SKU]],'All Skus'!$A:$AC,2,FALSE))="Martin",(VLOOKUP(Table10[[#This Row],[SKU]],'All Skus'!$A:$AC,15,FALSE)),""))</f>
        <v>0</v>
      </c>
      <c r="L429" s="224">
        <f>(IF((VLOOKUP(Table10[[#This Row],[SKU]],'All Skus'!$A:$AC,2,FALSE))="Martin",(VLOOKUP(Table10[[#This Row],[SKU]],'All Skus'!$A:$AC,16,FALSE)),""))</f>
        <v>0</v>
      </c>
      <c r="M429" s="224">
        <f>(IF((VLOOKUP(Table10[[#This Row],[SKU]],'All Skus'!$A:$AC,2,FALSE))="Martin",(VLOOKUP(Table10[[#This Row],[SKU]],'All Skus'!$A:$AC,17,FALSE)),""))</f>
        <v>0</v>
      </c>
      <c r="N429" s="227">
        <f>(IF((VLOOKUP(Table10[[#This Row],[SKU]],'All Skus'!$A:$AC,2,FALSE))="Martin",(VLOOKUP(Table10[[#This Row],[SKU]],'All Skus'!$A:$AC,18,FALSE)),""))</f>
        <v>0</v>
      </c>
      <c r="O429" s="227">
        <f>(IF((VLOOKUP(Table10[[#This Row],[SKU]],'All Skus'!$A:$AC,2,FALSE))="Martin",(VLOOKUP(Table10[[#This Row],[SKU]],'All Skus'!$A:$AC,19,FALSE)),""))</f>
        <v>0</v>
      </c>
      <c r="P429" s="227">
        <f>(IF((VLOOKUP(Table10[[#This Row],[SKU]],'All Skus'!$A:$AC,2,FALSE))="Martin",(VLOOKUP(Table10[[#This Row],[SKU]],'All Skus'!$A:$AC,20,FALSE)),""))</f>
        <v>0</v>
      </c>
      <c r="Q429" s="227">
        <f>(IF((VLOOKUP(Table10[[#This Row],[SKU]],'All Skus'!$A:$AC,2,FALSE))="Martin",(VLOOKUP(Table10[[#This Row],[SKU]],'All Skus'!$A:$AC,21,FALSE)),""))</f>
        <v>0</v>
      </c>
      <c r="R429" s="224">
        <f>(IF((VLOOKUP(Table10[[#This Row],[SKU]],'All Skus'!$A:$AC,2,FALSE))="Martin",(VLOOKUP(Table10[[#This Row],[SKU]],'All Skus'!$A:$AC,22,FALSE)),""))</f>
        <v>0</v>
      </c>
      <c r="S429" s="223">
        <f>(IF((VLOOKUP(Table10[[#This Row],[SKU]],'All Skus'!$A:$AC,2,FALSE))="Martin",(VLOOKUP(Table10[[#This Row],[SKU]],'All Skus'!$A:$AC,23,FALSE)),""))</f>
        <v>0</v>
      </c>
      <c r="T429" s="212" t="str">
        <f>HYPERLINK((IF((VLOOKUP(Table10[[#This Row],[SKU]],'All Skus'!$A:$AC,2,FALSE))="Martin",(VLOOKUP(Table10[[#This Row],[SKU]],'All Skus'!$A:$AC,24,FALSE)),"")))</f>
        <v/>
      </c>
      <c r="U429" s="228">
        <v>427</v>
      </c>
    </row>
    <row r="430" spans="1:21" hidden="1">
      <c r="A430" s="112">
        <v>91610154</v>
      </c>
      <c r="B430" s="224" t="str">
        <f>(IF((VLOOKUP(Table10[[#This Row],[SKU]],'All Skus'!$A:$AC,2,FALSE))="Martin",(VLOOKUP(Table10[[#This Row],[SKU]],'All Skus'!$A:$AC,3,FALSE)),""))</f>
        <v>Architainment</v>
      </c>
      <c r="C430" s="223" t="str">
        <f>(IF((VLOOKUP(Table10[[#This Row],[SKU]],'All Skus'!$A:$AC,2,FALSE))="Martin",(VLOOKUP(Table10[[#This Row],[SKU]],'All Skus'!$A:$AC,4,FALSE)),""))</f>
        <v xml:space="preserve">EW 200 NARROW DIF KIT/BEZEL </v>
      </c>
      <c r="D430" s="224" t="str">
        <f>(IF((VLOOKUP(Table10[[#This Row],[SKU]],'All Skus'!$A:$AC,2,FALSE))="Martin",(VLOOKUP(Table10[[#This Row],[SKU]],'All Skus'!$A:$AC,5,FALSE)),""))</f>
        <v>EXT-WASH</v>
      </c>
      <c r="E430" s="223">
        <f>(IF((VLOOKUP(Table10[[#This Row],[SKU]],'All Skus'!$A:$AC,2,FALSE))="Martin",(VLOOKUP(Table10[[#This Row],[SKU]],'All Skus'!$A:$AC,6,FALSE)),""))</f>
        <v>0</v>
      </c>
      <c r="F430" s="155" t="str">
        <f>(IF((VLOOKUP(Table10[[#This Row],[SKU]],'All Skus'!$A:$AC,2,FALSE))="Martin",(VLOOKUP(Table10[[#This Row],[SKU]],'All Skus'!$A:$AC,7,FALSE)),""))</f>
        <v xml:space="preserve">EOL pre-notice - not recommend to specify for 2025 projects </v>
      </c>
      <c r="G430" s="223" t="str">
        <f>(IF((VLOOKUP(Table10[[#This Row],[SKU]],'All Skus'!$A:$AC,2,FALSE))="Martin",(VLOOKUP(Table10[[#This Row],[SKU]],'All Skus'!$A:$AC,8,FALSE)),""))</f>
        <v xml:space="preserve">EW 200 NARROW DIF KIT/BEZEL </v>
      </c>
      <c r="H430" s="223" t="str">
        <f>(IF((VLOOKUP(Table10[[#This Row],[SKU]],'All Skus'!$A:$AC,2,FALSE))="Martin",(VLOOKUP(Table10[[#This Row],[SKU]],'All Skus'!$A:$AC,9,FALSE)),""))</f>
        <v xml:space="preserve">EW 200 NARROW DIF KIT/BEZEL </v>
      </c>
      <c r="I430" s="225">
        <f>(IF((VLOOKUP(Table10[[#This Row],[SKU]],'All Skus'!$A:$AC,2,FALSE))="Martin",(VLOOKUP(Table10[[#This Row],[SKU]],'All Skus'!$A:$AC,10,FALSE)),""))</f>
        <v>180.28</v>
      </c>
      <c r="J430" s="226">
        <f>(IF((VLOOKUP(Table10[[#This Row],[SKU]],'All Skus'!$A:$AC,2,FALSE))="Martin",(VLOOKUP(Table10[[#This Row],[SKU]],'All Skus'!$A:$AC,11,FALSE)),""))</f>
        <v>180.28</v>
      </c>
      <c r="K430" s="224">
        <f>(IF((VLOOKUP(Table10[[#This Row],[SKU]],'All Skus'!$A:$AC,2,FALSE))="Martin",(VLOOKUP(Table10[[#This Row],[SKU]],'All Skus'!$A:$AC,15,FALSE)),""))</f>
        <v>0</v>
      </c>
      <c r="L430" s="224">
        <f>(IF((VLOOKUP(Table10[[#This Row],[SKU]],'All Skus'!$A:$AC,2,FALSE))="Martin",(VLOOKUP(Table10[[#This Row],[SKU]],'All Skus'!$A:$AC,16,FALSE)),""))</f>
        <v>0</v>
      </c>
      <c r="M430" s="224">
        <f>(IF((VLOOKUP(Table10[[#This Row],[SKU]],'All Skus'!$A:$AC,2,FALSE))="Martin",(VLOOKUP(Table10[[#This Row],[SKU]],'All Skus'!$A:$AC,17,FALSE)),""))</f>
        <v>0</v>
      </c>
      <c r="N430" s="227">
        <f>(IF((VLOOKUP(Table10[[#This Row],[SKU]],'All Skus'!$A:$AC,2,FALSE))="Martin",(VLOOKUP(Table10[[#This Row],[SKU]],'All Skus'!$A:$AC,18,FALSE)),""))</f>
        <v>0</v>
      </c>
      <c r="O430" s="227">
        <f>(IF((VLOOKUP(Table10[[#This Row],[SKU]],'All Skus'!$A:$AC,2,FALSE))="Martin",(VLOOKUP(Table10[[#This Row],[SKU]],'All Skus'!$A:$AC,19,FALSE)),""))</f>
        <v>0</v>
      </c>
      <c r="P430" s="227">
        <f>(IF((VLOOKUP(Table10[[#This Row],[SKU]],'All Skus'!$A:$AC,2,FALSE))="Martin",(VLOOKUP(Table10[[#This Row],[SKU]],'All Skus'!$A:$AC,20,FALSE)),""))</f>
        <v>0</v>
      </c>
      <c r="Q430" s="227">
        <f>(IF((VLOOKUP(Table10[[#This Row],[SKU]],'All Skus'!$A:$AC,2,FALSE))="Martin",(VLOOKUP(Table10[[#This Row],[SKU]],'All Skus'!$A:$AC,21,FALSE)),""))</f>
        <v>0</v>
      </c>
      <c r="R430" s="224" t="str">
        <f>(IF((VLOOKUP(Table10[[#This Row],[SKU]],'All Skus'!$A:$AC,2,FALSE))="Martin",(VLOOKUP(Table10[[#This Row],[SKU]],'All Skus'!$A:$AC,22,FALSE)),""))</f>
        <v>CN</v>
      </c>
      <c r="S430" s="223" t="str">
        <f>(IF((VLOOKUP(Table10[[#This Row],[SKU]],'All Skus'!$A:$AC,2,FALSE))="Martin",(VLOOKUP(Table10[[#This Row],[SKU]],'All Skus'!$A:$AC,23,FALSE)),""))</f>
        <v>Non Compliant</v>
      </c>
      <c r="T430" s="212" t="str">
        <f>HYPERLINK((IF((VLOOKUP(Table10[[#This Row],[SKU]],'All Skus'!$A:$AC,2,FALSE))="Martin",(VLOOKUP(Table10[[#This Row],[SKU]],'All Skus'!$A:$AC,24,FALSE)),"")))</f>
        <v/>
      </c>
      <c r="U430" s="228">
        <v>428</v>
      </c>
    </row>
    <row r="431" spans="1:21" hidden="1">
      <c r="A431" s="112">
        <v>91610153</v>
      </c>
      <c r="B431" s="224" t="str">
        <f>(IF((VLOOKUP(Table10[[#This Row],[SKU]],'All Skus'!$A:$AC,2,FALSE))="Martin",(VLOOKUP(Table10[[#This Row],[SKU]],'All Skus'!$A:$AC,3,FALSE)),""))</f>
        <v>Architainment</v>
      </c>
      <c r="C431" s="223" t="str">
        <f>(IF((VLOOKUP(Table10[[#This Row],[SKU]],'All Skus'!$A:$AC,2,FALSE))="Martin",(VLOOKUP(Table10[[#This Row],[SKU]],'All Skus'!$A:$AC,4,FALSE)),""))</f>
        <v xml:space="preserve">EW 200 MEDIUM DIF KIT/BEZEL </v>
      </c>
      <c r="D431" s="224" t="str">
        <f>(IF((VLOOKUP(Table10[[#This Row],[SKU]],'All Skus'!$A:$AC,2,FALSE))="Martin",(VLOOKUP(Table10[[#This Row],[SKU]],'All Skus'!$A:$AC,5,FALSE)),""))</f>
        <v>EXT-WASH</v>
      </c>
      <c r="E431" s="223">
        <f>(IF((VLOOKUP(Table10[[#This Row],[SKU]],'All Skus'!$A:$AC,2,FALSE))="Martin",(VLOOKUP(Table10[[#This Row],[SKU]],'All Skus'!$A:$AC,6,FALSE)),""))</f>
        <v>0</v>
      </c>
      <c r="F431" s="155" t="str">
        <f>(IF((VLOOKUP(Table10[[#This Row],[SKU]],'All Skus'!$A:$AC,2,FALSE))="Martin",(VLOOKUP(Table10[[#This Row],[SKU]],'All Skus'!$A:$AC,7,FALSE)),""))</f>
        <v xml:space="preserve">EOL pre-notice - not recommend to specify for 2025 projects </v>
      </c>
      <c r="G431" s="223" t="str">
        <f>(IF((VLOOKUP(Table10[[#This Row],[SKU]],'All Skus'!$A:$AC,2,FALSE))="Martin",(VLOOKUP(Table10[[#This Row],[SKU]],'All Skus'!$A:$AC,8,FALSE)),""))</f>
        <v xml:space="preserve">EW 200 MEDIUM DIF KIT/BEZEL </v>
      </c>
      <c r="H431" s="223" t="str">
        <f>(IF((VLOOKUP(Table10[[#This Row],[SKU]],'All Skus'!$A:$AC,2,FALSE))="Martin",(VLOOKUP(Table10[[#This Row],[SKU]],'All Skus'!$A:$AC,9,FALSE)),""))</f>
        <v xml:space="preserve">EW 200 MEDIUM DIF KIT/BEZEL </v>
      </c>
      <c r="I431" s="225">
        <f>(IF((VLOOKUP(Table10[[#This Row],[SKU]],'All Skus'!$A:$AC,2,FALSE))="Martin",(VLOOKUP(Table10[[#This Row],[SKU]],'All Skus'!$A:$AC,10,FALSE)),""))</f>
        <v>180.28</v>
      </c>
      <c r="J431" s="226">
        <f>(IF((VLOOKUP(Table10[[#This Row],[SKU]],'All Skus'!$A:$AC,2,FALSE))="Martin",(VLOOKUP(Table10[[#This Row],[SKU]],'All Skus'!$A:$AC,11,FALSE)),""))</f>
        <v>180.28</v>
      </c>
      <c r="K431" s="224">
        <f>(IF((VLOOKUP(Table10[[#This Row],[SKU]],'All Skus'!$A:$AC,2,FALSE))="Martin",(VLOOKUP(Table10[[#This Row],[SKU]],'All Skus'!$A:$AC,15,FALSE)),""))</f>
        <v>0</v>
      </c>
      <c r="L431" s="224">
        <f>(IF((VLOOKUP(Table10[[#This Row],[SKU]],'All Skus'!$A:$AC,2,FALSE))="Martin",(VLOOKUP(Table10[[#This Row],[SKU]],'All Skus'!$A:$AC,16,FALSE)),""))</f>
        <v>0</v>
      </c>
      <c r="M431" s="224">
        <f>(IF((VLOOKUP(Table10[[#This Row],[SKU]],'All Skus'!$A:$AC,2,FALSE))="Martin",(VLOOKUP(Table10[[#This Row],[SKU]],'All Skus'!$A:$AC,17,FALSE)),""))</f>
        <v>0</v>
      </c>
      <c r="N431" s="227">
        <f>(IF((VLOOKUP(Table10[[#This Row],[SKU]],'All Skus'!$A:$AC,2,FALSE))="Martin",(VLOOKUP(Table10[[#This Row],[SKU]],'All Skus'!$A:$AC,18,FALSE)),""))</f>
        <v>0</v>
      </c>
      <c r="O431" s="227">
        <f>(IF((VLOOKUP(Table10[[#This Row],[SKU]],'All Skus'!$A:$AC,2,FALSE))="Martin",(VLOOKUP(Table10[[#This Row],[SKU]],'All Skus'!$A:$AC,19,FALSE)),""))</f>
        <v>0</v>
      </c>
      <c r="P431" s="227">
        <f>(IF((VLOOKUP(Table10[[#This Row],[SKU]],'All Skus'!$A:$AC,2,FALSE))="Martin",(VLOOKUP(Table10[[#This Row],[SKU]],'All Skus'!$A:$AC,20,FALSE)),""))</f>
        <v>0</v>
      </c>
      <c r="Q431" s="227">
        <f>(IF((VLOOKUP(Table10[[#This Row],[SKU]],'All Skus'!$A:$AC,2,FALSE))="Martin",(VLOOKUP(Table10[[#This Row],[SKU]],'All Skus'!$A:$AC,21,FALSE)),""))</f>
        <v>0</v>
      </c>
      <c r="R431" s="224" t="str">
        <f>(IF((VLOOKUP(Table10[[#This Row],[SKU]],'All Skus'!$A:$AC,2,FALSE))="Martin",(VLOOKUP(Table10[[#This Row],[SKU]],'All Skus'!$A:$AC,22,FALSE)),""))</f>
        <v>CN</v>
      </c>
      <c r="S431" s="223" t="str">
        <f>(IF((VLOOKUP(Table10[[#This Row],[SKU]],'All Skus'!$A:$AC,2,FALSE))="Martin",(VLOOKUP(Table10[[#This Row],[SKU]],'All Skus'!$A:$AC,23,FALSE)),""))</f>
        <v>Non Compliant</v>
      </c>
      <c r="T431" s="212" t="str">
        <f>HYPERLINK((IF((VLOOKUP(Table10[[#This Row],[SKU]],'All Skus'!$A:$AC,2,FALSE))="Martin",(VLOOKUP(Table10[[#This Row],[SKU]],'All Skus'!$A:$AC,24,FALSE)),"")))</f>
        <v/>
      </c>
      <c r="U431" s="228">
        <v>429</v>
      </c>
    </row>
    <row r="432" spans="1:21" hidden="1">
      <c r="A432" s="112">
        <v>91610152</v>
      </c>
      <c r="B432" s="224" t="str">
        <f>(IF((VLOOKUP(Table10[[#This Row],[SKU]],'All Skus'!$A:$AC,2,FALSE))="Martin",(VLOOKUP(Table10[[#This Row],[SKU]],'All Skus'!$A:$AC,3,FALSE)),""))</f>
        <v>Architainment</v>
      </c>
      <c r="C432" s="223" t="str">
        <f>(IF((VLOOKUP(Table10[[#This Row],[SKU]],'All Skus'!$A:$AC,2,FALSE))="Martin",(VLOOKUP(Table10[[#This Row],[SKU]],'All Skus'!$A:$AC,4,FALSE)),""))</f>
        <v xml:space="preserve">EW 200 WIDE DIF KIT/BEZEL </v>
      </c>
      <c r="D432" s="224" t="str">
        <f>(IF((VLOOKUP(Table10[[#This Row],[SKU]],'All Skus'!$A:$AC,2,FALSE))="Martin",(VLOOKUP(Table10[[#This Row],[SKU]],'All Skus'!$A:$AC,5,FALSE)),""))</f>
        <v>EXT-WASH</v>
      </c>
      <c r="E432" s="223">
        <f>(IF((VLOOKUP(Table10[[#This Row],[SKU]],'All Skus'!$A:$AC,2,FALSE))="Martin",(VLOOKUP(Table10[[#This Row],[SKU]],'All Skus'!$A:$AC,6,FALSE)),""))</f>
        <v>0</v>
      </c>
      <c r="F432" s="155" t="str">
        <f>(IF((VLOOKUP(Table10[[#This Row],[SKU]],'All Skus'!$A:$AC,2,FALSE))="Martin",(VLOOKUP(Table10[[#This Row],[SKU]],'All Skus'!$A:$AC,7,FALSE)),""))</f>
        <v xml:space="preserve">EOL pre-notice - not recommend to specify for 2025 projects </v>
      </c>
      <c r="G432" s="223" t="str">
        <f>(IF((VLOOKUP(Table10[[#This Row],[SKU]],'All Skus'!$A:$AC,2,FALSE))="Martin",(VLOOKUP(Table10[[#This Row],[SKU]],'All Skus'!$A:$AC,8,FALSE)),""))</f>
        <v xml:space="preserve">EW 200 WIDE DIF KIT/BEZEL </v>
      </c>
      <c r="H432" s="223" t="str">
        <f>(IF((VLOOKUP(Table10[[#This Row],[SKU]],'All Skus'!$A:$AC,2,FALSE))="Martin",(VLOOKUP(Table10[[#This Row],[SKU]],'All Skus'!$A:$AC,9,FALSE)),""))</f>
        <v xml:space="preserve">EW 200 WIDE DIF KIT/BEZEL </v>
      </c>
      <c r="I432" s="225">
        <f>(IF((VLOOKUP(Table10[[#This Row],[SKU]],'All Skus'!$A:$AC,2,FALSE))="Martin",(VLOOKUP(Table10[[#This Row],[SKU]],'All Skus'!$A:$AC,10,FALSE)),""))</f>
        <v>180.28</v>
      </c>
      <c r="J432" s="226">
        <f>(IF((VLOOKUP(Table10[[#This Row],[SKU]],'All Skus'!$A:$AC,2,FALSE))="Martin",(VLOOKUP(Table10[[#This Row],[SKU]],'All Skus'!$A:$AC,11,FALSE)),""))</f>
        <v>180.28</v>
      </c>
      <c r="K432" s="224">
        <f>(IF((VLOOKUP(Table10[[#This Row],[SKU]],'All Skus'!$A:$AC,2,FALSE))="Martin",(VLOOKUP(Table10[[#This Row],[SKU]],'All Skus'!$A:$AC,15,FALSE)),""))</f>
        <v>0</v>
      </c>
      <c r="L432" s="224">
        <f>(IF((VLOOKUP(Table10[[#This Row],[SKU]],'All Skus'!$A:$AC,2,FALSE))="Martin",(VLOOKUP(Table10[[#This Row],[SKU]],'All Skus'!$A:$AC,16,FALSE)),""))</f>
        <v>0</v>
      </c>
      <c r="M432" s="224">
        <f>(IF((VLOOKUP(Table10[[#This Row],[SKU]],'All Skus'!$A:$AC,2,FALSE))="Martin",(VLOOKUP(Table10[[#This Row],[SKU]],'All Skus'!$A:$AC,17,FALSE)),""))</f>
        <v>0</v>
      </c>
      <c r="N432" s="227">
        <f>(IF((VLOOKUP(Table10[[#This Row],[SKU]],'All Skus'!$A:$AC,2,FALSE))="Martin",(VLOOKUP(Table10[[#This Row],[SKU]],'All Skus'!$A:$AC,18,FALSE)),""))</f>
        <v>0</v>
      </c>
      <c r="O432" s="227">
        <f>(IF((VLOOKUP(Table10[[#This Row],[SKU]],'All Skus'!$A:$AC,2,FALSE))="Martin",(VLOOKUP(Table10[[#This Row],[SKU]],'All Skus'!$A:$AC,19,FALSE)),""))</f>
        <v>0</v>
      </c>
      <c r="P432" s="227">
        <f>(IF((VLOOKUP(Table10[[#This Row],[SKU]],'All Skus'!$A:$AC,2,FALSE))="Martin",(VLOOKUP(Table10[[#This Row],[SKU]],'All Skus'!$A:$AC,20,FALSE)),""))</f>
        <v>0</v>
      </c>
      <c r="Q432" s="227">
        <f>(IF((VLOOKUP(Table10[[#This Row],[SKU]],'All Skus'!$A:$AC,2,FALSE))="Martin",(VLOOKUP(Table10[[#This Row],[SKU]],'All Skus'!$A:$AC,21,FALSE)),""))</f>
        <v>0</v>
      </c>
      <c r="R432" s="224" t="str">
        <f>(IF((VLOOKUP(Table10[[#This Row],[SKU]],'All Skus'!$A:$AC,2,FALSE))="Martin",(VLOOKUP(Table10[[#This Row],[SKU]],'All Skus'!$A:$AC,22,FALSE)),""))</f>
        <v>CN</v>
      </c>
      <c r="S432" s="223" t="str">
        <f>(IF((VLOOKUP(Table10[[#This Row],[SKU]],'All Skus'!$A:$AC,2,FALSE))="Martin",(VLOOKUP(Table10[[#This Row],[SKU]],'All Skus'!$A:$AC,23,FALSE)),""))</f>
        <v>Non Compliant</v>
      </c>
      <c r="T432" s="212" t="str">
        <f>HYPERLINK((IF((VLOOKUP(Table10[[#This Row],[SKU]],'All Skus'!$A:$AC,2,FALSE))="Martin",(VLOOKUP(Table10[[#This Row],[SKU]],'All Skus'!$A:$AC,24,FALSE)),"")))</f>
        <v/>
      </c>
      <c r="U432" s="228">
        <v>430</v>
      </c>
    </row>
    <row r="433" spans="1:21" hidden="1">
      <c r="A433" s="112">
        <v>91610151</v>
      </c>
      <c r="B433" s="224" t="str">
        <f>(IF((VLOOKUP(Table10[[#This Row],[SKU]],'All Skus'!$A:$AC,2,FALSE))="Martin",(VLOOKUP(Table10[[#This Row],[SKU]],'All Skus'!$A:$AC,3,FALSE)),""))</f>
        <v>Architainment</v>
      </c>
      <c r="C433" s="223" t="str">
        <f>(IF((VLOOKUP(Table10[[#This Row],[SKU]],'All Skus'!$A:$AC,2,FALSE))="Martin",(VLOOKUP(Table10[[#This Row],[SKU]],'All Skus'!$A:$AC,4,FALSE)),""))</f>
        <v xml:space="preserve">EW 200 VERY WIDE DIF KIT/BEZEL </v>
      </c>
      <c r="D433" s="224" t="str">
        <f>(IF((VLOOKUP(Table10[[#This Row],[SKU]],'All Skus'!$A:$AC,2,FALSE))="Martin",(VLOOKUP(Table10[[#This Row],[SKU]],'All Skus'!$A:$AC,5,FALSE)),""))</f>
        <v>EXT-WASH</v>
      </c>
      <c r="E433" s="223">
        <f>(IF((VLOOKUP(Table10[[#This Row],[SKU]],'All Skus'!$A:$AC,2,FALSE))="Martin",(VLOOKUP(Table10[[#This Row],[SKU]],'All Skus'!$A:$AC,6,FALSE)),""))</f>
        <v>0</v>
      </c>
      <c r="F433" s="155" t="str">
        <f>(IF((VLOOKUP(Table10[[#This Row],[SKU]],'All Skus'!$A:$AC,2,FALSE))="Martin",(VLOOKUP(Table10[[#This Row],[SKU]],'All Skus'!$A:$AC,7,FALSE)),""))</f>
        <v xml:space="preserve">EOL pre-notice - not recommend to specify for 2025 projects </v>
      </c>
      <c r="G433" s="223" t="str">
        <f>(IF((VLOOKUP(Table10[[#This Row],[SKU]],'All Skus'!$A:$AC,2,FALSE))="Martin",(VLOOKUP(Table10[[#This Row],[SKU]],'All Skus'!$A:$AC,8,FALSE)),""))</f>
        <v xml:space="preserve">EW 200 VERY WIDE DIF KIT/BEZEL </v>
      </c>
      <c r="H433" s="223" t="str">
        <f>(IF((VLOOKUP(Table10[[#This Row],[SKU]],'All Skus'!$A:$AC,2,FALSE))="Martin",(VLOOKUP(Table10[[#This Row],[SKU]],'All Skus'!$A:$AC,9,FALSE)),""))</f>
        <v xml:space="preserve">EW 200 VERY WIDE DIF KIT/BEZEL </v>
      </c>
      <c r="I433" s="225">
        <f>(IF((VLOOKUP(Table10[[#This Row],[SKU]],'All Skus'!$A:$AC,2,FALSE))="Martin",(VLOOKUP(Table10[[#This Row],[SKU]],'All Skus'!$A:$AC,10,FALSE)),""))</f>
        <v>180.28</v>
      </c>
      <c r="J433" s="226">
        <f>(IF((VLOOKUP(Table10[[#This Row],[SKU]],'All Skus'!$A:$AC,2,FALSE))="Martin",(VLOOKUP(Table10[[#This Row],[SKU]],'All Skus'!$A:$AC,11,FALSE)),""))</f>
        <v>180.28</v>
      </c>
      <c r="K433" s="224">
        <f>(IF((VLOOKUP(Table10[[#This Row],[SKU]],'All Skus'!$A:$AC,2,FALSE))="Martin",(VLOOKUP(Table10[[#This Row],[SKU]],'All Skus'!$A:$AC,15,FALSE)),""))</f>
        <v>0</v>
      </c>
      <c r="L433" s="224">
        <f>(IF((VLOOKUP(Table10[[#This Row],[SKU]],'All Skus'!$A:$AC,2,FALSE))="Martin",(VLOOKUP(Table10[[#This Row],[SKU]],'All Skus'!$A:$AC,16,FALSE)),""))</f>
        <v>0</v>
      </c>
      <c r="M433" s="224">
        <f>(IF((VLOOKUP(Table10[[#This Row],[SKU]],'All Skus'!$A:$AC,2,FALSE))="Martin",(VLOOKUP(Table10[[#This Row],[SKU]],'All Skus'!$A:$AC,17,FALSE)),""))</f>
        <v>0</v>
      </c>
      <c r="N433" s="227">
        <f>(IF((VLOOKUP(Table10[[#This Row],[SKU]],'All Skus'!$A:$AC,2,FALSE))="Martin",(VLOOKUP(Table10[[#This Row],[SKU]],'All Skus'!$A:$AC,18,FALSE)),""))</f>
        <v>0</v>
      </c>
      <c r="O433" s="227">
        <f>(IF((VLOOKUP(Table10[[#This Row],[SKU]],'All Skus'!$A:$AC,2,FALSE))="Martin",(VLOOKUP(Table10[[#This Row],[SKU]],'All Skus'!$A:$AC,19,FALSE)),""))</f>
        <v>0</v>
      </c>
      <c r="P433" s="227">
        <f>(IF((VLOOKUP(Table10[[#This Row],[SKU]],'All Skus'!$A:$AC,2,FALSE))="Martin",(VLOOKUP(Table10[[#This Row],[SKU]],'All Skus'!$A:$AC,20,FALSE)),""))</f>
        <v>0</v>
      </c>
      <c r="Q433" s="227">
        <f>(IF((VLOOKUP(Table10[[#This Row],[SKU]],'All Skus'!$A:$AC,2,FALSE))="Martin",(VLOOKUP(Table10[[#This Row],[SKU]],'All Skus'!$A:$AC,21,FALSE)),""))</f>
        <v>0</v>
      </c>
      <c r="R433" s="224" t="str">
        <f>(IF((VLOOKUP(Table10[[#This Row],[SKU]],'All Skus'!$A:$AC,2,FALSE))="Martin",(VLOOKUP(Table10[[#This Row],[SKU]],'All Skus'!$A:$AC,22,FALSE)),""))</f>
        <v>CN</v>
      </c>
      <c r="S433" s="223" t="str">
        <f>(IF((VLOOKUP(Table10[[#This Row],[SKU]],'All Skus'!$A:$AC,2,FALSE))="Martin",(VLOOKUP(Table10[[#This Row],[SKU]],'All Skus'!$A:$AC,23,FALSE)),""))</f>
        <v>Non Compliant</v>
      </c>
      <c r="T433" s="212" t="str">
        <f>HYPERLINK((IF((VLOOKUP(Table10[[#This Row],[SKU]],'All Skus'!$A:$AC,2,FALSE))="Martin",(VLOOKUP(Table10[[#This Row],[SKU]],'All Skus'!$A:$AC,24,FALSE)),"")))</f>
        <v/>
      </c>
      <c r="U433" s="228">
        <v>431</v>
      </c>
    </row>
    <row r="434" spans="1:21" hidden="1">
      <c r="A434" s="112">
        <v>91610150</v>
      </c>
      <c r="B434" s="224" t="str">
        <f>(IF((VLOOKUP(Table10[[#This Row],[SKU]],'All Skus'!$A:$AC,2,FALSE))="Martin",(VLOOKUP(Table10[[#This Row],[SKU]],'All Skus'!$A:$AC,3,FALSE)),""))</f>
        <v>Architainment</v>
      </c>
      <c r="C434" s="223" t="str">
        <f>(IF((VLOOKUP(Table10[[#This Row],[SKU]],'All Skus'!$A:$AC,2,FALSE))="Martin",(VLOOKUP(Table10[[#This Row],[SKU]],'All Skus'!$A:$AC,4,FALSE)),""))</f>
        <v xml:space="preserve">EW 200 ASSYMETRICAL DIF KIT/BEZEL </v>
      </c>
      <c r="D434" s="224" t="str">
        <f>(IF((VLOOKUP(Table10[[#This Row],[SKU]],'All Skus'!$A:$AC,2,FALSE))="Martin",(VLOOKUP(Table10[[#This Row],[SKU]],'All Skus'!$A:$AC,5,FALSE)),""))</f>
        <v>EXT-WASH</v>
      </c>
      <c r="E434" s="223">
        <f>(IF((VLOOKUP(Table10[[#This Row],[SKU]],'All Skus'!$A:$AC,2,FALSE))="Martin",(VLOOKUP(Table10[[#This Row],[SKU]],'All Skus'!$A:$AC,6,FALSE)),""))</f>
        <v>0</v>
      </c>
      <c r="F434" s="155" t="str">
        <f>(IF((VLOOKUP(Table10[[#This Row],[SKU]],'All Skus'!$A:$AC,2,FALSE))="Martin",(VLOOKUP(Table10[[#This Row],[SKU]],'All Skus'!$A:$AC,7,FALSE)),""))</f>
        <v xml:space="preserve">EOL pre-notice - not recommend to specify for 2025 projects </v>
      </c>
      <c r="G434" s="223" t="str">
        <f>(IF((VLOOKUP(Table10[[#This Row],[SKU]],'All Skus'!$A:$AC,2,FALSE))="Martin",(VLOOKUP(Table10[[#This Row],[SKU]],'All Skus'!$A:$AC,8,FALSE)),""))</f>
        <v xml:space="preserve">EW 200 ASSYMETRICAL DIF KIT/BEZEL </v>
      </c>
      <c r="H434" s="223" t="str">
        <f>(IF((VLOOKUP(Table10[[#This Row],[SKU]],'All Skus'!$A:$AC,2,FALSE))="Martin",(VLOOKUP(Table10[[#This Row],[SKU]],'All Skus'!$A:$AC,9,FALSE)),""))</f>
        <v xml:space="preserve">EW 200 ASSYMETRICAL DIF KIT/BEZEL </v>
      </c>
      <c r="I434" s="225">
        <f>(IF((VLOOKUP(Table10[[#This Row],[SKU]],'All Skus'!$A:$AC,2,FALSE))="Martin",(VLOOKUP(Table10[[#This Row],[SKU]],'All Skus'!$A:$AC,10,FALSE)),""))</f>
        <v>180.28</v>
      </c>
      <c r="J434" s="226">
        <f>(IF((VLOOKUP(Table10[[#This Row],[SKU]],'All Skus'!$A:$AC,2,FALSE))="Martin",(VLOOKUP(Table10[[#This Row],[SKU]],'All Skus'!$A:$AC,11,FALSE)),""))</f>
        <v>180.28</v>
      </c>
      <c r="K434" s="224">
        <f>(IF((VLOOKUP(Table10[[#This Row],[SKU]],'All Skus'!$A:$AC,2,FALSE))="Martin",(VLOOKUP(Table10[[#This Row],[SKU]],'All Skus'!$A:$AC,15,FALSE)),""))</f>
        <v>0</v>
      </c>
      <c r="L434" s="224">
        <f>(IF((VLOOKUP(Table10[[#This Row],[SKU]],'All Skus'!$A:$AC,2,FALSE))="Martin",(VLOOKUP(Table10[[#This Row],[SKU]],'All Skus'!$A:$AC,16,FALSE)),""))</f>
        <v>0</v>
      </c>
      <c r="M434" s="224">
        <f>(IF((VLOOKUP(Table10[[#This Row],[SKU]],'All Skus'!$A:$AC,2,FALSE))="Martin",(VLOOKUP(Table10[[#This Row],[SKU]],'All Skus'!$A:$AC,17,FALSE)),""))</f>
        <v>0</v>
      </c>
      <c r="N434" s="227">
        <f>(IF((VLOOKUP(Table10[[#This Row],[SKU]],'All Skus'!$A:$AC,2,FALSE))="Martin",(VLOOKUP(Table10[[#This Row],[SKU]],'All Skus'!$A:$AC,18,FALSE)),""))</f>
        <v>0</v>
      </c>
      <c r="O434" s="227">
        <f>(IF((VLOOKUP(Table10[[#This Row],[SKU]],'All Skus'!$A:$AC,2,FALSE))="Martin",(VLOOKUP(Table10[[#This Row],[SKU]],'All Skus'!$A:$AC,19,FALSE)),""))</f>
        <v>0</v>
      </c>
      <c r="P434" s="227">
        <f>(IF((VLOOKUP(Table10[[#This Row],[SKU]],'All Skus'!$A:$AC,2,FALSE))="Martin",(VLOOKUP(Table10[[#This Row],[SKU]],'All Skus'!$A:$AC,20,FALSE)),""))</f>
        <v>0</v>
      </c>
      <c r="Q434" s="227">
        <f>(IF((VLOOKUP(Table10[[#This Row],[SKU]],'All Skus'!$A:$AC,2,FALSE))="Martin",(VLOOKUP(Table10[[#This Row],[SKU]],'All Skus'!$A:$AC,21,FALSE)),""))</f>
        <v>0</v>
      </c>
      <c r="R434" s="224" t="str">
        <f>(IF((VLOOKUP(Table10[[#This Row],[SKU]],'All Skus'!$A:$AC,2,FALSE))="Martin",(VLOOKUP(Table10[[#This Row],[SKU]],'All Skus'!$A:$AC,22,FALSE)),""))</f>
        <v>CN</v>
      </c>
      <c r="S434" s="223" t="str">
        <f>(IF((VLOOKUP(Table10[[#This Row],[SKU]],'All Skus'!$A:$AC,2,FALSE))="Martin",(VLOOKUP(Table10[[#This Row],[SKU]],'All Skus'!$A:$AC,23,FALSE)),""))</f>
        <v>Non Compliant</v>
      </c>
      <c r="T434" s="212" t="str">
        <f>HYPERLINK((IF((VLOOKUP(Table10[[#This Row],[SKU]],'All Skus'!$A:$AC,2,FALSE))="Martin",(VLOOKUP(Table10[[#This Row],[SKU]],'All Skus'!$A:$AC,24,FALSE)),"")))</f>
        <v/>
      </c>
      <c r="U434" s="228">
        <v>432</v>
      </c>
    </row>
    <row r="435" spans="1:21" hidden="1">
      <c r="A435" s="112">
        <v>91611834</v>
      </c>
      <c r="B435" s="224">
        <f>(IF((VLOOKUP(Table10[[#This Row],[SKU]],'All Skus'!$A:$AC,2,FALSE))="Martin",(VLOOKUP(Table10[[#This Row],[SKU]],'All Skus'!$A:$AC,3,FALSE)),""))</f>
        <v>0</v>
      </c>
      <c r="C435" s="223" t="str">
        <f>(IF((VLOOKUP(Table10[[#This Row],[SKU]],'All Skus'!$A:$AC,2,FALSE))="Martin",(VLOOKUP(Table10[[#This Row],[SKU]],'All Skus'!$A:$AC,4,FALSE)),""))</f>
        <v>EXTERIOR WASH 200 BEZEL, WHITE</v>
      </c>
      <c r="D435" s="224" t="str">
        <f>(IF((VLOOKUP(Table10[[#This Row],[SKU]],'All Skus'!$A:$AC,2,FALSE))="Martin",(VLOOKUP(Table10[[#This Row],[SKU]],'All Skus'!$A:$AC,5,FALSE)),""))</f>
        <v>EXT-WASH</v>
      </c>
      <c r="E435" s="223">
        <f>(IF((VLOOKUP(Table10[[#This Row],[SKU]],'All Skus'!$A:$AC,2,FALSE))="Martin",(VLOOKUP(Table10[[#This Row],[SKU]],'All Skus'!$A:$AC,6,FALSE)),""))</f>
        <v>0</v>
      </c>
      <c r="F435" s="155" t="str">
        <f>(IF((VLOOKUP(Table10[[#This Row],[SKU]],'All Skus'!$A:$AC,2,FALSE))="Martin",(VLOOKUP(Table10[[#This Row],[SKU]],'All Skus'!$A:$AC,7,FALSE)),""))</f>
        <v xml:space="preserve">EOL pre-notice - not recommend to specify for 2025 projects </v>
      </c>
      <c r="G435" s="223" t="str">
        <f>(IF((VLOOKUP(Table10[[#This Row],[SKU]],'All Skus'!$A:$AC,2,FALSE))="Martin",(VLOOKUP(Table10[[#This Row],[SKU]],'All Skus'!$A:$AC,8,FALSE)),""))</f>
        <v>EXTERIOR WASH 200 BEZEL, WHITE</v>
      </c>
      <c r="H435" s="223" t="str">
        <f>(IF((VLOOKUP(Table10[[#This Row],[SKU]],'All Skus'!$A:$AC,2,FALSE))="Martin",(VLOOKUP(Table10[[#This Row],[SKU]],'All Skus'!$A:$AC,9,FALSE)),""))</f>
        <v>EXTERIOR WASH 200 BEZEL, WHITE</v>
      </c>
      <c r="I435" s="225">
        <f>(IF((VLOOKUP(Table10[[#This Row],[SKU]],'All Skus'!$A:$AC,2,FALSE))="Martin",(VLOOKUP(Table10[[#This Row],[SKU]],'All Skus'!$A:$AC,10,FALSE)),""))</f>
        <v>30.87</v>
      </c>
      <c r="J435" s="226">
        <f>(IF((VLOOKUP(Table10[[#This Row],[SKU]],'All Skus'!$A:$AC,2,FALSE))="Martin",(VLOOKUP(Table10[[#This Row],[SKU]],'All Skus'!$A:$AC,11,FALSE)),""))</f>
        <v>30.87</v>
      </c>
      <c r="K435" s="224">
        <f>(IF((VLOOKUP(Table10[[#This Row],[SKU]],'All Skus'!$A:$AC,2,FALSE))="Martin",(VLOOKUP(Table10[[#This Row],[SKU]],'All Skus'!$A:$AC,15,FALSE)),""))</f>
        <v>0</v>
      </c>
      <c r="L435" s="224">
        <f>(IF((VLOOKUP(Table10[[#This Row],[SKU]],'All Skus'!$A:$AC,2,FALSE))="Martin",(VLOOKUP(Table10[[#This Row],[SKU]],'All Skus'!$A:$AC,16,FALSE)),""))</f>
        <v>0</v>
      </c>
      <c r="M435" s="224">
        <f>(IF((VLOOKUP(Table10[[#This Row],[SKU]],'All Skus'!$A:$AC,2,FALSE))="Martin",(VLOOKUP(Table10[[#This Row],[SKU]],'All Skus'!$A:$AC,17,FALSE)),""))</f>
        <v>0</v>
      </c>
      <c r="N435" s="227">
        <f>(IF((VLOOKUP(Table10[[#This Row],[SKU]],'All Skus'!$A:$AC,2,FALSE))="Martin",(VLOOKUP(Table10[[#This Row],[SKU]],'All Skus'!$A:$AC,18,FALSE)),""))</f>
        <v>0</v>
      </c>
      <c r="O435" s="227">
        <f>(IF((VLOOKUP(Table10[[#This Row],[SKU]],'All Skus'!$A:$AC,2,FALSE))="Martin",(VLOOKUP(Table10[[#This Row],[SKU]],'All Skus'!$A:$AC,19,FALSE)),""))</f>
        <v>0</v>
      </c>
      <c r="P435" s="227">
        <f>(IF((VLOOKUP(Table10[[#This Row],[SKU]],'All Skus'!$A:$AC,2,FALSE))="Martin",(VLOOKUP(Table10[[#This Row],[SKU]],'All Skus'!$A:$AC,20,FALSE)),""))</f>
        <v>0</v>
      </c>
      <c r="Q435" s="227">
        <f>(IF((VLOOKUP(Table10[[#This Row],[SKU]],'All Skus'!$A:$AC,2,FALSE))="Martin",(VLOOKUP(Table10[[#This Row],[SKU]],'All Skus'!$A:$AC,21,FALSE)),""))</f>
        <v>0</v>
      </c>
      <c r="R435" s="224" t="str">
        <f>(IF((VLOOKUP(Table10[[#This Row],[SKU]],'All Skus'!$A:$AC,2,FALSE))="Martin",(VLOOKUP(Table10[[#This Row],[SKU]],'All Skus'!$A:$AC,22,FALSE)),""))</f>
        <v>CN</v>
      </c>
      <c r="S435" s="223">
        <f>(IF((VLOOKUP(Table10[[#This Row],[SKU]],'All Skus'!$A:$AC,2,FALSE))="Martin",(VLOOKUP(Table10[[#This Row],[SKU]],'All Skus'!$A:$AC,23,FALSE)),""))</f>
        <v>0</v>
      </c>
      <c r="T435" s="212" t="str">
        <f>HYPERLINK((IF((VLOOKUP(Table10[[#This Row],[SKU]],'All Skus'!$A:$AC,2,FALSE))="Martin",(VLOOKUP(Table10[[#This Row],[SKU]],'All Skus'!$A:$AC,24,FALSE)),"")))</f>
        <v/>
      </c>
      <c r="U435" s="228">
        <v>433</v>
      </c>
    </row>
    <row r="436" spans="1:21" hidden="1">
      <c r="A436" s="112">
        <v>91611745</v>
      </c>
      <c r="B436" s="224" t="str">
        <f>(IF((VLOOKUP(Table10[[#This Row],[SKU]],'All Skus'!$A:$AC,2,FALSE))="Martin",(VLOOKUP(Table10[[#This Row],[SKU]],'All Skus'!$A:$AC,3,FALSE)),""))</f>
        <v>Architainment</v>
      </c>
      <c r="C436" s="223" t="str">
        <f>(IF((VLOOKUP(Table10[[#This Row],[SKU]],'All Skus'!$A:$AC,2,FALSE))="Martin",(VLOOKUP(Table10[[#This Row],[SKU]],'All Skus'!$A:$AC,4,FALSE)),""))</f>
        <v xml:space="preserve">EXTERIOR WASH 200 SNOOT </v>
      </c>
      <c r="D436" s="224" t="str">
        <f>(IF((VLOOKUP(Table10[[#This Row],[SKU]],'All Skus'!$A:$AC,2,FALSE))="Martin",(VLOOKUP(Table10[[#This Row],[SKU]],'All Skus'!$A:$AC,5,FALSE)),""))</f>
        <v>EXT-WASH</v>
      </c>
      <c r="E436" s="223">
        <f>(IF((VLOOKUP(Table10[[#This Row],[SKU]],'All Skus'!$A:$AC,2,FALSE))="Martin",(VLOOKUP(Table10[[#This Row],[SKU]],'All Skus'!$A:$AC,6,FALSE)),""))</f>
        <v>0</v>
      </c>
      <c r="F436" s="155" t="str">
        <f>(IF((VLOOKUP(Table10[[#This Row],[SKU]],'All Skus'!$A:$AC,2,FALSE))="Martin",(VLOOKUP(Table10[[#This Row],[SKU]],'All Skus'!$A:$AC,7,FALSE)),""))</f>
        <v xml:space="preserve">EOL pre-notice - not recommend to specify for 2025 projects </v>
      </c>
      <c r="G436" s="223" t="str">
        <f>(IF((VLOOKUP(Table10[[#This Row],[SKU]],'All Skus'!$A:$AC,2,FALSE))="Martin",(VLOOKUP(Table10[[#This Row],[SKU]],'All Skus'!$A:$AC,8,FALSE)),""))</f>
        <v xml:space="preserve">EXTERIOR WASH 200 SNOOT </v>
      </c>
      <c r="H436" s="223" t="str">
        <f>(IF((VLOOKUP(Table10[[#This Row],[SKU]],'All Skus'!$A:$AC,2,FALSE))="Martin",(VLOOKUP(Table10[[#This Row],[SKU]],'All Skus'!$A:$AC,9,FALSE)),""))</f>
        <v xml:space="preserve">EXTERIOR WASH 200 SNOOT </v>
      </c>
      <c r="I436" s="225">
        <f>(IF((VLOOKUP(Table10[[#This Row],[SKU]],'All Skus'!$A:$AC,2,FALSE))="Martin",(VLOOKUP(Table10[[#This Row],[SKU]],'All Skus'!$A:$AC,10,FALSE)),""))</f>
        <v>122.24</v>
      </c>
      <c r="J436" s="226">
        <f>(IF((VLOOKUP(Table10[[#This Row],[SKU]],'All Skus'!$A:$AC,2,FALSE))="Martin",(VLOOKUP(Table10[[#This Row],[SKU]],'All Skus'!$A:$AC,11,FALSE)),""))</f>
        <v>122.24</v>
      </c>
      <c r="K436" s="224">
        <f>(IF((VLOOKUP(Table10[[#This Row],[SKU]],'All Skus'!$A:$AC,2,FALSE))="Martin",(VLOOKUP(Table10[[#This Row],[SKU]],'All Skus'!$A:$AC,15,FALSE)),""))</f>
        <v>0</v>
      </c>
      <c r="L436" s="224">
        <f>(IF((VLOOKUP(Table10[[#This Row],[SKU]],'All Skus'!$A:$AC,2,FALSE))="Martin",(VLOOKUP(Table10[[#This Row],[SKU]],'All Skus'!$A:$AC,16,FALSE)),""))</f>
        <v>0</v>
      </c>
      <c r="M436" s="224">
        <f>(IF((VLOOKUP(Table10[[#This Row],[SKU]],'All Skus'!$A:$AC,2,FALSE))="Martin",(VLOOKUP(Table10[[#This Row],[SKU]],'All Skus'!$A:$AC,17,FALSE)),""))</f>
        <v>0</v>
      </c>
      <c r="N436" s="227">
        <f>(IF((VLOOKUP(Table10[[#This Row],[SKU]],'All Skus'!$A:$AC,2,FALSE))="Martin",(VLOOKUP(Table10[[#This Row],[SKU]],'All Skus'!$A:$AC,18,FALSE)),""))</f>
        <v>0</v>
      </c>
      <c r="O436" s="227">
        <f>(IF((VLOOKUP(Table10[[#This Row],[SKU]],'All Skus'!$A:$AC,2,FALSE))="Martin",(VLOOKUP(Table10[[#This Row],[SKU]],'All Skus'!$A:$AC,19,FALSE)),""))</f>
        <v>0</v>
      </c>
      <c r="P436" s="227">
        <f>(IF((VLOOKUP(Table10[[#This Row],[SKU]],'All Skus'!$A:$AC,2,FALSE))="Martin",(VLOOKUP(Table10[[#This Row],[SKU]],'All Skus'!$A:$AC,20,FALSE)),""))</f>
        <v>0</v>
      </c>
      <c r="Q436" s="227">
        <f>(IF((VLOOKUP(Table10[[#This Row],[SKU]],'All Skus'!$A:$AC,2,FALSE))="Martin",(VLOOKUP(Table10[[#This Row],[SKU]],'All Skus'!$A:$AC,21,FALSE)),""))</f>
        <v>0</v>
      </c>
      <c r="R436" s="224" t="str">
        <f>(IF((VLOOKUP(Table10[[#This Row],[SKU]],'All Skus'!$A:$AC,2,FALSE))="Martin",(VLOOKUP(Table10[[#This Row],[SKU]],'All Skus'!$A:$AC,22,FALSE)),""))</f>
        <v>CN</v>
      </c>
      <c r="S436" s="223" t="str">
        <f>(IF((VLOOKUP(Table10[[#This Row],[SKU]],'All Skus'!$A:$AC,2,FALSE))="Martin",(VLOOKUP(Table10[[#This Row],[SKU]],'All Skus'!$A:$AC,23,FALSE)),""))</f>
        <v>Non Compliant</v>
      </c>
      <c r="T436" s="212" t="str">
        <f>HYPERLINK((IF((VLOOKUP(Table10[[#This Row],[SKU]],'All Skus'!$A:$AC,2,FALSE))="Martin",(VLOOKUP(Table10[[#This Row],[SKU]],'All Skus'!$A:$AC,24,FALSE)),"")))</f>
        <v/>
      </c>
      <c r="U436" s="228">
        <v>434</v>
      </c>
    </row>
    <row r="437" spans="1:21" hidden="1">
      <c r="A437" s="112">
        <v>91611839</v>
      </c>
      <c r="B437" s="224">
        <f>(IF((VLOOKUP(Table10[[#This Row],[SKU]],'All Skus'!$A:$AC,2,FALSE))="Martin",(VLOOKUP(Table10[[#This Row],[SKU]],'All Skus'!$A:$AC,3,FALSE)),""))</f>
        <v>0</v>
      </c>
      <c r="C437" s="223" t="str">
        <f>(IF((VLOOKUP(Table10[[#This Row],[SKU]],'All Skus'!$A:$AC,2,FALSE))="Martin",(VLOOKUP(Table10[[#This Row],[SKU]],'All Skus'!$A:$AC,4,FALSE)),""))</f>
        <v>EXTERIOR WASH 200 SNOOT, WHITE</v>
      </c>
      <c r="D437" s="224" t="str">
        <f>(IF((VLOOKUP(Table10[[#This Row],[SKU]],'All Skus'!$A:$AC,2,FALSE))="Martin",(VLOOKUP(Table10[[#This Row],[SKU]],'All Skus'!$A:$AC,5,FALSE)),""))</f>
        <v>EXT-WASH</v>
      </c>
      <c r="E437" s="223">
        <f>(IF((VLOOKUP(Table10[[#This Row],[SKU]],'All Skus'!$A:$AC,2,FALSE))="Martin",(VLOOKUP(Table10[[#This Row],[SKU]],'All Skus'!$A:$AC,6,FALSE)),""))</f>
        <v>0</v>
      </c>
      <c r="F437" s="155" t="str">
        <f>(IF((VLOOKUP(Table10[[#This Row],[SKU]],'All Skus'!$A:$AC,2,FALSE))="Martin",(VLOOKUP(Table10[[#This Row],[SKU]],'All Skus'!$A:$AC,7,FALSE)),""))</f>
        <v xml:space="preserve">EOL pre-notice - not recommend to specify for 2025 projects </v>
      </c>
      <c r="G437" s="223" t="str">
        <f>(IF((VLOOKUP(Table10[[#This Row],[SKU]],'All Skus'!$A:$AC,2,FALSE))="Martin",(VLOOKUP(Table10[[#This Row],[SKU]],'All Skus'!$A:$AC,8,FALSE)),""))</f>
        <v>EXTERIOR WASH 200 SNOOT, WHITE</v>
      </c>
      <c r="H437" s="223" t="str">
        <f>(IF((VLOOKUP(Table10[[#This Row],[SKU]],'All Skus'!$A:$AC,2,FALSE))="Martin",(VLOOKUP(Table10[[#This Row],[SKU]],'All Skus'!$A:$AC,9,FALSE)),""))</f>
        <v>EXTERIOR WASH 200 SNOOT, WHITE</v>
      </c>
      <c r="I437" s="225">
        <f>(IF((VLOOKUP(Table10[[#This Row],[SKU]],'All Skus'!$A:$AC,2,FALSE))="Martin",(VLOOKUP(Table10[[#This Row],[SKU]],'All Skus'!$A:$AC,10,FALSE)),""))</f>
        <v>122.24</v>
      </c>
      <c r="J437" s="226">
        <f>(IF((VLOOKUP(Table10[[#This Row],[SKU]],'All Skus'!$A:$AC,2,FALSE))="Martin",(VLOOKUP(Table10[[#This Row],[SKU]],'All Skus'!$A:$AC,11,FALSE)),""))</f>
        <v>122.24</v>
      </c>
      <c r="K437" s="224">
        <f>(IF((VLOOKUP(Table10[[#This Row],[SKU]],'All Skus'!$A:$AC,2,FALSE))="Martin",(VLOOKUP(Table10[[#This Row],[SKU]],'All Skus'!$A:$AC,15,FALSE)),""))</f>
        <v>0</v>
      </c>
      <c r="L437" s="224">
        <f>(IF((VLOOKUP(Table10[[#This Row],[SKU]],'All Skus'!$A:$AC,2,FALSE))="Martin",(VLOOKUP(Table10[[#This Row],[SKU]],'All Skus'!$A:$AC,16,FALSE)),""))</f>
        <v>0</v>
      </c>
      <c r="M437" s="224">
        <f>(IF((VLOOKUP(Table10[[#This Row],[SKU]],'All Skus'!$A:$AC,2,FALSE))="Martin",(VLOOKUP(Table10[[#This Row],[SKU]],'All Skus'!$A:$AC,17,FALSE)),""))</f>
        <v>0</v>
      </c>
      <c r="N437" s="227">
        <f>(IF((VLOOKUP(Table10[[#This Row],[SKU]],'All Skus'!$A:$AC,2,FALSE))="Martin",(VLOOKUP(Table10[[#This Row],[SKU]],'All Skus'!$A:$AC,18,FALSE)),""))</f>
        <v>0</v>
      </c>
      <c r="O437" s="227">
        <f>(IF((VLOOKUP(Table10[[#This Row],[SKU]],'All Skus'!$A:$AC,2,FALSE))="Martin",(VLOOKUP(Table10[[#This Row],[SKU]],'All Skus'!$A:$AC,19,FALSE)),""))</f>
        <v>0</v>
      </c>
      <c r="P437" s="227">
        <f>(IF((VLOOKUP(Table10[[#This Row],[SKU]],'All Skus'!$A:$AC,2,FALSE))="Martin",(VLOOKUP(Table10[[#This Row],[SKU]],'All Skus'!$A:$AC,20,FALSE)),""))</f>
        <v>0</v>
      </c>
      <c r="Q437" s="227">
        <f>(IF((VLOOKUP(Table10[[#This Row],[SKU]],'All Skus'!$A:$AC,2,FALSE))="Martin",(VLOOKUP(Table10[[#This Row],[SKU]],'All Skus'!$A:$AC,21,FALSE)),""))</f>
        <v>0</v>
      </c>
      <c r="R437" s="224" t="str">
        <f>(IF((VLOOKUP(Table10[[#This Row],[SKU]],'All Skus'!$A:$AC,2,FALSE))="Martin",(VLOOKUP(Table10[[#This Row],[SKU]],'All Skus'!$A:$AC,22,FALSE)),""))</f>
        <v>CN</v>
      </c>
      <c r="S437" s="223">
        <f>(IF((VLOOKUP(Table10[[#This Row],[SKU]],'All Skus'!$A:$AC,2,FALSE))="Martin",(VLOOKUP(Table10[[#This Row],[SKU]],'All Skus'!$A:$AC,23,FALSE)),""))</f>
        <v>0</v>
      </c>
      <c r="T437" s="212" t="str">
        <f>HYPERLINK((IF((VLOOKUP(Table10[[#This Row],[SKU]],'All Skus'!$A:$AC,2,FALSE))="Martin",(VLOOKUP(Table10[[#This Row],[SKU]],'All Skus'!$A:$AC,24,FALSE)),"")))</f>
        <v/>
      </c>
      <c r="U437" s="228">
        <v>435</v>
      </c>
    </row>
    <row r="438" spans="1:21" hidden="1">
      <c r="A438" s="90">
        <v>91611857</v>
      </c>
      <c r="B438" s="224" t="str">
        <f>(IF((VLOOKUP(Table10[[#This Row],[SKU]],'All Skus'!$A:$AC,2,FALSE))="Martin",(VLOOKUP(Table10[[#This Row],[SKU]],'All Skus'!$A:$AC,3,FALSE)),""))</f>
        <v>Architainment</v>
      </c>
      <c r="C438" s="223" t="str">
        <f>(IF((VLOOKUP(Table10[[#This Row],[SKU]],'All Skus'!$A:$AC,2,FALSE))="Martin",(VLOOKUP(Table10[[#This Row],[SKU]],'All Skus'!$A:$AC,4,FALSE)),""))</f>
        <v>EXTERIOR WASH 200 HONEYCOMB LOUVRE</v>
      </c>
      <c r="D438" s="224" t="str">
        <f>(IF((VLOOKUP(Table10[[#This Row],[SKU]],'All Skus'!$A:$AC,2,FALSE))="Martin",(VLOOKUP(Table10[[#This Row],[SKU]],'All Skus'!$A:$AC,5,FALSE)),""))</f>
        <v>EXT-WASH</v>
      </c>
      <c r="E438" s="223">
        <f>(IF((VLOOKUP(Table10[[#This Row],[SKU]],'All Skus'!$A:$AC,2,FALSE))="Martin",(VLOOKUP(Table10[[#This Row],[SKU]],'All Skus'!$A:$AC,6,FALSE)),""))</f>
        <v>0</v>
      </c>
      <c r="F438" s="155" t="str">
        <f>(IF((VLOOKUP(Table10[[#This Row],[SKU]],'All Skus'!$A:$AC,2,FALSE))="Martin",(VLOOKUP(Table10[[#This Row],[SKU]],'All Skus'!$A:$AC,7,FALSE)),""))</f>
        <v xml:space="preserve">EOL pre-notice - not recommend to specify for 2025 projects </v>
      </c>
      <c r="G438" s="223" t="str">
        <f>(IF((VLOOKUP(Table10[[#This Row],[SKU]],'All Skus'!$A:$AC,2,FALSE))="Martin",(VLOOKUP(Table10[[#This Row],[SKU]],'All Skus'!$A:$AC,8,FALSE)),""))</f>
        <v>EXTERIOR WASH 200 HONEYCOMB LOUVRE</v>
      </c>
      <c r="H438" s="223" t="str">
        <f>(IF((VLOOKUP(Table10[[#This Row],[SKU]],'All Skus'!$A:$AC,2,FALSE))="Martin",(VLOOKUP(Table10[[#This Row],[SKU]],'All Skus'!$A:$AC,9,FALSE)),""))</f>
        <v>EXTERIOR WASH 200 HONEYCOMB LOUVRE</v>
      </c>
      <c r="I438" s="225">
        <f>(IF((VLOOKUP(Table10[[#This Row],[SKU]],'All Skus'!$A:$AC,2,FALSE))="Martin",(VLOOKUP(Table10[[#This Row],[SKU]],'All Skus'!$A:$AC,10,FALSE)),""))</f>
        <v>258.07</v>
      </c>
      <c r="J438" s="226">
        <f>(IF((VLOOKUP(Table10[[#This Row],[SKU]],'All Skus'!$A:$AC,2,FALSE))="Martin",(VLOOKUP(Table10[[#This Row],[SKU]],'All Skus'!$A:$AC,11,FALSE)),""))</f>
        <v>258.07</v>
      </c>
      <c r="K438" s="224">
        <f>(IF((VLOOKUP(Table10[[#This Row],[SKU]],'All Skus'!$A:$AC,2,FALSE))="Martin",(VLOOKUP(Table10[[#This Row],[SKU]],'All Skus'!$A:$AC,15,FALSE)),""))</f>
        <v>0</v>
      </c>
      <c r="L438" s="224">
        <f>(IF((VLOOKUP(Table10[[#This Row],[SKU]],'All Skus'!$A:$AC,2,FALSE))="Martin",(VLOOKUP(Table10[[#This Row],[SKU]],'All Skus'!$A:$AC,16,FALSE)),""))</f>
        <v>0</v>
      </c>
      <c r="M438" s="224">
        <f>(IF((VLOOKUP(Table10[[#This Row],[SKU]],'All Skus'!$A:$AC,2,FALSE))="Martin",(VLOOKUP(Table10[[#This Row],[SKU]],'All Skus'!$A:$AC,17,FALSE)),""))</f>
        <v>0</v>
      </c>
      <c r="N438" s="227">
        <f>(IF((VLOOKUP(Table10[[#This Row],[SKU]],'All Skus'!$A:$AC,2,FALSE))="Martin",(VLOOKUP(Table10[[#This Row],[SKU]],'All Skus'!$A:$AC,18,FALSE)),""))</f>
        <v>0</v>
      </c>
      <c r="O438" s="227">
        <f>(IF((VLOOKUP(Table10[[#This Row],[SKU]],'All Skus'!$A:$AC,2,FALSE))="Martin",(VLOOKUP(Table10[[#This Row],[SKU]],'All Skus'!$A:$AC,19,FALSE)),""))</f>
        <v>0</v>
      </c>
      <c r="P438" s="227">
        <f>(IF((VLOOKUP(Table10[[#This Row],[SKU]],'All Skus'!$A:$AC,2,FALSE))="Martin",(VLOOKUP(Table10[[#This Row],[SKU]],'All Skus'!$A:$AC,20,FALSE)),""))</f>
        <v>0</v>
      </c>
      <c r="Q438" s="227">
        <f>(IF((VLOOKUP(Table10[[#This Row],[SKU]],'All Skus'!$A:$AC,2,FALSE))="Martin",(VLOOKUP(Table10[[#This Row],[SKU]],'All Skus'!$A:$AC,21,FALSE)),""))</f>
        <v>0</v>
      </c>
      <c r="R438" s="224" t="str">
        <f>(IF((VLOOKUP(Table10[[#This Row],[SKU]],'All Skus'!$A:$AC,2,FALSE))="Martin",(VLOOKUP(Table10[[#This Row],[SKU]],'All Skus'!$A:$AC,22,FALSE)),""))</f>
        <v>CN</v>
      </c>
      <c r="S438" s="223" t="str">
        <f>(IF((VLOOKUP(Table10[[#This Row],[SKU]],'All Skus'!$A:$AC,2,FALSE))="Martin",(VLOOKUP(Table10[[#This Row],[SKU]],'All Skus'!$A:$AC,23,FALSE)),""))</f>
        <v>Non Compliant</v>
      </c>
      <c r="T438" s="212" t="str">
        <f>HYPERLINK((IF((VLOOKUP(Table10[[#This Row],[SKU]],'All Skus'!$A:$AC,2,FALSE))="Martin",(VLOOKUP(Table10[[#This Row],[SKU]],'All Skus'!$A:$AC,24,FALSE)),"")))</f>
        <v/>
      </c>
      <c r="U438" s="228">
        <v>436</v>
      </c>
    </row>
    <row r="439" spans="1:21" hidden="1">
      <c r="A439" s="90">
        <v>91611844</v>
      </c>
      <c r="B439" s="224" t="str">
        <f>(IF((VLOOKUP(Table10[[#This Row],[SKU]],'All Skus'!$A:$AC,2,FALSE))="Martin",(VLOOKUP(Table10[[#This Row],[SKU]],'All Skus'!$A:$AC,3,FALSE)),""))</f>
        <v>Architainment</v>
      </c>
      <c r="C439" s="223" t="str">
        <f>(IF((VLOOKUP(Table10[[#This Row],[SKU]],'All Skus'!$A:$AC,2,FALSE))="Martin",(VLOOKUP(Table10[[#This Row],[SKU]],'All Skus'!$A:$AC,4,FALSE)),""))</f>
        <v>EXTERIOR WASH 210 HONEYCOMB LOUVRE</v>
      </c>
      <c r="D439" s="224" t="str">
        <f>(IF((VLOOKUP(Table10[[#This Row],[SKU]],'All Skus'!$A:$AC,2,FALSE))="Martin",(VLOOKUP(Table10[[#This Row],[SKU]],'All Skus'!$A:$AC,5,FALSE)),""))</f>
        <v>EXT-WASH</v>
      </c>
      <c r="E439" s="223">
        <f>(IF((VLOOKUP(Table10[[#This Row],[SKU]],'All Skus'!$A:$AC,2,FALSE))="Martin",(VLOOKUP(Table10[[#This Row],[SKU]],'All Skus'!$A:$AC,6,FALSE)),""))</f>
        <v>0</v>
      </c>
      <c r="F439" s="155" t="str">
        <f>(IF((VLOOKUP(Table10[[#This Row],[SKU]],'All Skus'!$A:$AC,2,FALSE))="Martin",(VLOOKUP(Table10[[#This Row],[SKU]],'All Skus'!$A:$AC,7,FALSE)),""))</f>
        <v xml:space="preserve">EOL pre-notice - not recommend to specify for 2025 projects </v>
      </c>
      <c r="G439" s="223" t="str">
        <f>(IF((VLOOKUP(Table10[[#This Row],[SKU]],'All Skus'!$A:$AC,2,FALSE))="Martin",(VLOOKUP(Table10[[#This Row],[SKU]],'All Skus'!$A:$AC,8,FALSE)),""))</f>
        <v>EXTERIOR WASH 210 HONEYCOMB LOUVRE</v>
      </c>
      <c r="H439" s="223" t="str">
        <f>(IF((VLOOKUP(Table10[[#This Row],[SKU]],'All Skus'!$A:$AC,2,FALSE))="Martin",(VLOOKUP(Table10[[#This Row],[SKU]],'All Skus'!$A:$AC,9,FALSE)),""))</f>
        <v>EXTERIOR WASH 210 HONEYCOMB LOUVRE</v>
      </c>
      <c r="I439" s="225">
        <f>(IF((VLOOKUP(Table10[[#This Row],[SKU]],'All Skus'!$A:$AC,2,FALSE))="Martin",(VLOOKUP(Table10[[#This Row],[SKU]],'All Skus'!$A:$AC,10,FALSE)),""))</f>
        <v>258.07</v>
      </c>
      <c r="J439" s="226">
        <f>(IF((VLOOKUP(Table10[[#This Row],[SKU]],'All Skus'!$A:$AC,2,FALSE))="Martin",(VLOOKUP(Table10[[#This Row],[SKU]],'All Skus'!$A:$AC,11,FALSE)),""))</f>
        <v>258.07</v>
      </c>
      <c r="K439" s="224">
        <f>(IF((VLOOKUP(Table10[[#This Row],[SKU]],'All Skus'!$A:$AC,2,FALSE))="Martin",(VLOOKUP(Table10[[#This Row],[SKU]],'All Skus'!$A:$AC,15,FALSE)),""))</f>
        <v>0</v>
      </c>
      <c r="L439" s="224">
        <f>(IF((VLOOKUP(Table10[[#This Row],[SKU]],'All Skus'!$A:$AC,2,FALSE))="Martin",(VLOOKUP(Table10[[#This Row],[SKU]],'All Skus'!$A:$AC,16,FALSE)),""))</f>
        <v>0</v>
      </c>
      <c r="M439" s="224">
        <f>(IF((VLOOKUP(Table10[[#This Row],[SKU]],'All Skus'!$A:$AC,2,FALSE))="Martin",(VLOOKUP(Table10[[#This Row],[SKU]],'All Skus'!$A:$AC,17,FALSE)),""))</f>
        <v>0</v>
      </c>
      <c r="N439" s="227">
        <f>(IF((VLOOKUP(Table10[[#This Row],[SKU]],'All Skus'!$A:$AC,2,FALSE))="Martin",(VLOOKUP(Table10[[#This Row],[SKU]],'All Skus'!$A:$AC,18,FALSE)),""))</f>
        <v>0</v>
      </c>
      <c r="O439" s="227">
        <f>(IF((VLOOKUP(Table10[[#This Row],[SKU]],'All Skus'!$A:$AC,2,FALSE))="Martin",(VLOOKUP(Table10[[#This Row],[SKU]],'All Skus'!$A:$AC,19,FALSE)),""))</f>
        <v>0</v>
      </c>
      <c r="P439" s="227">
        <f>(IF((VLOOKUP(Table10[[#This Row],[SKU]],'All Skus'!$A:$AC,2,FALSE))="Martin",(VLOOKUP(Table10[[#This Row],[SKU]],'All Skus'!$A:$AC,20,FALSE)),""))</f>
        <v>0</v>
      </c>
      <c r="Q439" s="227">
        <f>(IF((VLOOKUP(Table10[[#This Row],[SKU]],'All Skus'!$A:$AC,2,FALSE))="Martin",(VLOOKUP(Table10[[#This Row],[SKU]],'All Skus'!$A:$AC,21,FALSE)),""))</f>
        <v>0</v>
      </c>
      <c r="R439" s="224" t="str">
        <f>(IF((VLOOKUP(Table10[[#This Row],[SKU]],'All Skus'!$A:$AC,2,FALSE))="Martin",(VLOOKUP(Table10[[#This Row],[SKU]],'All Skus'!$A:$AC,22,FALSE)),""))</f>
        <v>CN</v>
      </c>
      <c r="S439" s="223">
        <f>(IF((VLOOKUP(Table10[[#This Row],[SKU]],'All Skus'!$A:$AC,2,FALSE))="Martin",(VLOOKUP(Table10[[#This Row],[SKU]],'All Skus'!$A:$AC,23,FALSE)),""))</f>
        <v>0</v>
      </c>
      <c r="T439" s="212" t="str">
        <f>HYPERLINK((IF((VLOOKUP(Table10[[#This Row],[SKU]],'All Skus'!$A:$AC,2,FALSE))="Martin",(VLOOKUP(Table10[[#This Row],[SKU]],'All Skus'!$A:$AC,24,FALSE)),"")))</f>
        <v/>
      </c>
      <c r="U439" s="228">
        <v>437</v>
      </c>
    </row>
    <row r="440" spans="1:21" hidden="1">
      <c r="A440" s="115" t="s">
        <v>2159</v>
      </c>
      <c r="B440" s="224">
        <f>(IF((VLOOKUP(Table10[[#This Row],[SKU]],'All Skus'!$A:$AC,2,FALSE))="Martin",(VLOOKUP(Table10[[#This Row],[SKU]],'All Skus'!$A:$AC,3,FALSE)),""))</f>
        <v>0</v>
      </c>
      <c r="C440" s="223">
        <f>(IF((VLOOKUP(Table10[[#This Row],[SKU]],'All Skus'!$A:$AC,2,FALSE))="Martin",(VLOOKUP(Table10[[#This Row],[SKU]],'All Skus'!$A:$AC,4,FALSE)),""))</f>
        <v>0</v>
      </c>
      <c r="D440" s="224">
        <f>(IF((VLOOKUP(Table10[[#This Row],[SKU]],'All Skus'!$A:$AC,2,FALSE))="Martin",(VLOOKUP(Table10[[#This Row],[SKU]],'All Skus'!$A:$AC,5,FALSE)),""))</f>
        <v>0</v>
      </c>
      <c r="E440" s="223">
        <f>(IF((VLOOKUP(Table10[[#This Row],[SKU]],'All Skus'!$A:$AC,2,FALSE))="Martin",(VLOOKUP(Table10[[#This Row],[SKU]],'All Skus'!$A:$AC,6,FALSE)),""))</f>
        <v>0</v>
      </c>
      <c r="F440" s="155">
        <f>(IF((VLOOKUP(Table10[[#This Row],[SKU]],'All Skus'!$A:$AC,2,FALSE))="Martin",(VLOOKUP(Table10[[#This Row],[SKU]],'All Skus'!$A:$AC,7,FALSE)),""))</f>
        <v>0</v>
      </c>
      <c r="G440" s="223">
        <f>(IF((VLOOKUP(Table10[[#This Row],[SKU]],'All Skus'!$A:$AC,2,FALSE))="Martin",(VLOOKUP(Table10[[#This Row],[SKU]],'All Skus'!$A:$AC,8,FALSE)),""))</f>
        <v>0</v>
      </c>
      <c r="H440" s="223">
        <f>(IF((VLOOKUP(Table10[[#This Row],[SKU]],'All Skus'!$A:$AC,2,FALSE))="Martin",(VLOOKUP(Table10[[#This Row],[SKU]],'All Skus'!$A:$AC,9,FALSE)),""))</f>
        <v>0</v>
      </c>
      <c r="I440" s="225">
        <f>(IF((VLOOKUP(Table10[[#This Row],[SKU]],'All Skus'!$A:$AC,2,FALSE))="Martin",(VLOOKUP(Table10[[#This Row],[SKU]],'All Skus'!$A:$AC,10,FALSE)),""))</f>
        <v>0</v>
      </c>
      <c r="J440" s="226">
        <f>(IF((VLOOKUP(Table10[[#This Row],[SKU]],'All Skus'!$A:$AC,2,FALSE))="Martin",(VLOOKUP(Table10[[#This Row],[SKU]],'All Skus'!$A:$AC,11,FALSE)),""))</f>
        <v>0</v>
      </c>
      <c r="K440" s="224">
        <f>(IF((VLOOKUP(Table10[[#This Row],[SKU]],'All Skus'!$A:$AC,2,FALSE))="Martin",(VLOOKUP(Table10[[#This Row],[SKU]],'All Skus'!$A:$AC,15,FALSE)),""))</f>
        <v>0</v>
      </c>
      <c r="L440" s="224">
        <f>(IF((VLOOKUP(Table10[[#This Row],[SKU]],'All Skus'!$A:$AC,2,FALSE))="Martin",(VLOOKUP(Table10[[#This Row],[SKU]],'All Skus'!$A:$AC,16,FALSE)),""))</f>
        <v>0</v>
      </c>
      <c r="M440" s="224">
        <f>(IF((VLOOKUP(Table10[[#This Row],[SKU]],'All Skus'!$A:$AC,2,FALSE))="Martin",(VLOOKUP(Table10[[#This Row],[SKU]],'All Skus'!$A:$AC,17,FALSE)),""))</f>
        <v>0</v>
      </c>
      <c r="N440" s="227">
        <f>(IF((VLOOKUP(Table10[[#This Row],[SKU]],'All Skus'!$A:$AC,2,FALSE))="Martin",(VLOOKUP(Table10[[#This Row],[SKU]],'All Skus'!$A:$AC,18,FALSE)),""))</f>
        <v>0</v>
      </c>
      <c r="O440" s="227">
        <f>(IF((VLOOKUP(Table10[[#This Row],[SKU]],'All Skus'!$A:$AC,2,FALSE))="Martin",(VLOOKUP(Table10[[#This Row],[SKU]],'All Skus'!$A:$AC,19,FALSE)),""))</f>
        <v>0</v>
      </c>
      <c r="P440" s="227">
        <f>(IF((VLOOKUP(Table10[[#This Row],[SKU]],'All Skus'!$A:$AC,2,FALSE))="Martin",(VLOOKUP(Table10[[#This Row],[SKU]],'All Skus'!$A:$AC,20,FALSE)),""))</f>
        <v>0</v>
      </c>
      <c r="Q440" s="227">
        <f>(IF((VLOOKUP(Table10[[#This Row],[SKU]],'All Skus'!$A:$AC,2,FALSE))="Martin",(VLOOKUP(Table10[[#This Row],[SKU]],'All Skus'!$A:$AC,21,FALSE)),""))</f>
        <v>0</v>
      </c>
      <c r="R440" s="224">
        <f>(IF((VLOOKUP(Table10[[#This Row],[SKU]],'All Skus'!$A:$AC,2,FALSE))="Martin",(VLOOKUP(Table10[[#This Row],[SKU]],'All Skus'!$A:$AC,22,FALSE)),""))</f>
        <v>0</v>
      </c>
      <c r="S440" s="223">
        <f>(IF((VLOOKUP(Table10[[#This Row],[SKU]],'All Skus'!$A:$AC,2,FALSE))="Martin",(VLOOKUP(Table10[[#This Row],[SKU]],'All Skus'!$A:$AC,23,FALSE)),""))</f>
        <v>0</v>
      </c>
      <c r="T440" s="212" t="str">
        <f>HYPERLINK((IF((VLOOKUP(Table10[[#This Row],[SKU]],'All Skus'!$A:$AC,2,FALSE))="Martin",(VLOOKUP(Table10[[#This Row],[SKU]],'All Skus'!$A:$AC,24,FALSE)),"")))</f>
        <v/>
      </c>
      <c r="U440" s="228">
        <v>438</v>
      </c>
    </row>
    <row r="441" spans="1:21" hidden="1">
      <c r="A441" s="112">
        <v>90507070</v>
      </c>
      <c r="B441" s="224" t="str">
        <f>(IF((VLOOKUP(Table10[[#This Row],[SKU]],'All Skus'!$A:$AC,2,FALSE))="Martin",(VLOOKUP(Table10[[#This Row],[SKU]],'All Skus'!$A:$AC,3,FALSE)),""))</f>
        <v>Architainment</v>
      </c>
      <c r="C441" s="223" t="str">
        <f>(IF((VLOOKUP(Table10[[#This Row],[SKU]],'All Skus'!$A:$AC,2,FALSE))="Martin",(VLOOKUP(Table10[[#This Row],[SKU]],'All Skus'!$A:$AC,4,FALSE)),""))</f>
        <v xml:space="preserve">EXTERIOR WASH 300,7deg,EU,ALU </v>
      </c>
      <c r="D441" s="224" t="str">
        <f>(IF((VLOOKUP(Table10[[#This Row],[SKU]],'All Skus'!$A:$AC,2,FALSE))="Martin",(VLOOKUP(Table10[[#This Row],[SKU]],'All Skus'!$A:$AC,5,FALSE)),""))</f>
        <v>EXT-WASH</v>
      </c>
      <c r="E441" s="223">
        <f>(IF((VLOOKUP(Table10[[#This Row],[SKU]],'All Skus'!$A:$AC,2,FALSE))="Martin",(VLOOKUP(Table10[[#This Row],[SKU]],'All Skus'!$A:$AC,6,FALSE)),""))</f>
        <v>0</v>
      </c>
      <c r="F441" s="155" t="str">
        <f>(IF((VLOOKUP(Table10[[#This Row],[SKU]],'All Skus'!$A:$AC,2,FALSE))="Martin",(VLOOKUP(Table10[[#This Row],[SKU]],'All Skus'!$A:$AC,7,FALSE)),""))</f>
        <v xml:space="preserve">EOL pre-notice - not recommend to specify for 2025 projects </v>
      </c>
      <c r="G441" s="223" t="str">
        <f>(IF((VLOOKUP(Table10[[#This Row],[SKU]],'All Skus'!$A:$AC,2,FALSE))="Martin",(VLOOKUP(Table10[[#This Row],[SKU]],'All Skus'!$A:$AC,8,FALSE)),""))</f>
        <v xml:space="preserve">EXTERIOR WASH 300,7deg,EU,ALU </v>
      </c>
      <c r="H441" s="223" t="str">
        <f>(IF((VLOOKUP(Table10[[#This Row],[SKU]],'All Skus'!$A:$AC,2,FALSE))="Martin",(VLOOKUP(Table10[[#This Row],[SKU]],'All Skus'!$A:$AC,9,FALSE)),""))</f>
        <v xml:space="preserve">EXTERIOR WASH 300,7deg,EU,ALU </v>
      </c>
      <c r="I441" s="225">
        <f>(IF((VLOOKUP(Table10[[#This Row],[SKU]],'All Skus'!$A:$AC,2,FALSE))="Martin",(VLOOKUP(Table10[[#This Row],[SKU]],'All Skus'!$A:$AC,10,FALSE)),""))</f>
        <v>4864.97</v>
      </c>
      <c r="J441" s="226">
        <f>(IF((VLOOKUP(Table10[[#This Row],[SKU]],'All Skus'!$A:$AC,2,FALSE))="Martin",(VLOOKUP(Table10[[#This Row],[SKU]],'All Skus'!$A:$AC,11,FALSE)),""))</f>
        <v>4864.97</v>
      </c>
      <c r="K441" s="224">
        <f>(IF((VLOOKUP(Table10[[#This Row],[SKU]],'All Skus'!$A:$AC,2,FALSE))="Martin",(VLOOKUP(Table10[[#This Row],[SKU]],'All Skus'!$A:$AC,15,FALSE)),""))</f>
        <v>0</v>
      </c>
      <c r="L441" s="224">
        <f>(IF((VLOOKUP(Table10[[#This Row],[SKU]],'All Skus'!$A:$AC,2,FALSE))="Martin",(VLOOKUP(Table10[[#This Row],[SKU]],'All Skus'!$A:$AC,16,FALSE)),""))</f>
        <v>5706681230990</v>
      </c>
      <c r="M441" s="224">
        <f>(IF((VLOOKUP(Table10[[#This Row],[SKU]],'All Skus'!$A:$AC,2,FALSE))="Martin",(VLOOKUP(Table10[[#This Row],[SKU]],'All Skus'!$A:$AC,17,FALSE)),""))</f>
        <v>0</v>
      </c>
      <c r="N441" s="227">
        <f>(IF((VLOOKUP(Table10[[#This Row],[SKU]],'All Skus'!$A:$AC,2,FALSE))="Martin",(VLOOKUP(Table10[[#This Row],[SKU]],'All Skus'!$A:$AC,18,FALSE)),""))</f>
        <v>0</v>
      </c>
      <c r="O441" s="227">
        <f>(IF((VLOOKUP(Table10[[#This Row],[SKU]],'All Skus'!$A:$AC,2,FALSE))="Martin",(VLOOKUP(Table10[[#This Row],[SKU]],'All Skus'!$A:$AC,19,FALSE)),""))</f>
        <v>0</v>
      </c>
      <c r="P441" s="227">
        <f>(IF((VLOOKUP(Table10[[#This Row],[SKU]],'All Skus'!$A:$AC,2,FALSE))="Martin",(VLOOKUP(Table10[[#This Row],[SKU]],'All Skus'!$A:$AC,20,FALSE)),""))</f>
        <v>0</v>
      </c>
      <c r="Q441" s="227">
        <f>(IF((VLOOKUP(Table10[[#This Row],[SKU]],'All Skus'!$A:$AC,2,FALSE))="Martin",(VLOOKUP(Table10[[#This Row],[SKU]],'All Skus'!$A:$AC,21,FALSE)),""))</f>
        <v>0</v>
      </c>
      <c r="R441" s="224" t="str">
        <f>(IF((VLOOKUP(Table10[[#This Row],[SKU]],'All Skus'!$A:$AC,2,FALSE))="Martin",(VLOOKUP(Table10[[#This Row],[SKU]],'All Skus'!$A:$AC,22,FALSE)),""))</f>
        <v>CN</v>
      </c>
      <c r="S441" s="223" t="str">
        <f>(IF((VLOOKUP(Table10[[#This Row],[SKU]],'All Skus'!$A:$AC,2,FALSE))="Martin",(VLOOKUP(Table10[[#This Row],[SKU]],'All Skus'!$A:$AC,23,FALSE)),""))</f>
        <v>Non Compliant</v>
      </c>
      <c r="T441" s="212" t="str">
        <f>HYPERLINK((IF((VLOOKUP(Table10[[#This Row],[SKU]],'All Skus'!$A:$AC,2,FALSE))="Martin",(VLOOKUP(Table10[[#This Row],[SKU]],'All Skus'!$A:$AC,24,FALSE)),"")))</f>
        <v/>
      </c>
      <c r="U441" s="228">
        <v>439</v>
      </c>
    </row>
    <row r="442" spans="1:21" hidden="1">
      <c r="A442" s="112">
        <v>90507071</v>
      </c>
      <c r="B442" s="224" t="str">
        <f>(IF((VLOOKUP(Table10[[#This Row],[SKU]],'All Skus'!$A:$AC,2,FALSE))="Martin",(VLOOKUP(Table10[[#This Row],[SKU]],'All Skus'!$A:$AC,3,FALSE)),""))</f>
        <v>Architainment</v>
      </c>
      <c r="C442" s="223" t="str">
        <f>(IF((VLOOKUP(Table10[[#This Row],[SKU]],'All Skus'!$A:$AC,2,FALSE))="Martin",(VLOOKUP(Table10[[#This Row],[SKU]],'All Skus'!$A:$AC,4,FALSE)),""))</f>
        <v xml:space="preserve">EXTERIOR WASH 300, 7deg, US, ALU </v>
      </c>
      <c r="D442" s="224" t="str">
        <f>(IF((VLOOKUP(Table10[[#This Row],[SKU]],'All Skus'!$A:$AC,2,FALSE))="Martin",(VLOOKUP(Table10[[#This Row],[SKU]],'All Skus'!$A:$AC,5,FALSE)),""))</f>
        <v>EXT-WASH</v>
      </c>
      <c r="E442" s="223">
        <f>(IF((VLOOKUP(Table10[[#This Row],[SKU]],'All Skus'!$A:$AC,2,FALSE))="Martin",(VLOOKUP(Table10[[#This Row],[SKU]],'All Skus'!$A:$AC,6,FALSE)),""))</f>
        <v>0</v>
      </c>
      <c r="F442" s="155" t="str">
        <f>(IF((VLOOKUP(Table10[[#This Row],[SKU]],'All Skus'!$A:$AC,2,FALSE))="Martin",(VLOOKUP(Table10[[#This Row],[SKU]],'All Skus'!$A:$AC,7,FALSE)),""))</f>
        <v xml:space="preserve">EOL pre-notice - not recommend to specify for 2025 projects </v>
      </c>
      <c r="G442" s="223" t="str">
        <f>(IF((VLOOKUP(Table10[[#This Row],[SKU]],'All Skus'!$A:$AC,2,FALSE))="Martin",(VLOOKUP(Table10[[#This Row],[SKU]],'All Skus'!$A:$AC,8,FALSE)),""))</f>
        <v xml:space="preserve">EXTERIOR WASH 300, 7deg, US, ALU </v>
      </c>
      <c r="H442" s="223" t="str">
        <f>(IF((VLOOKUP(Table10[[#This Row],[SKU]],'All Skus'!$A:$AC,2,FALSE))="Martin",(VLOOKUP(Table10[[#This Row],[SKU]],'All Skus'!$A:$AC,9,FALSE)),""))</f>
        <v xml:space="preserve">EXTERIOR WASH 300, 7deg, US, ALU </v>
      </c>
      <c r="I442" s="225">
        <f>(IF((VLOOKUP(Table10[[#This Row],[SKU]],'All Skus'!$A:$AC,2,FALSE))="Martin",(VLOOKUP(Table10[[#This Row],[SKU]],'All Skus'!$A:$AC,10,FALSE)),""))</f>
        <v>4864.97</v>
      </c>
      <c r="J442" s="226">
        <f>(IF((VLOOKUP(Table10[[#This Row],[SKU]],'All Skus'!$A:$AC,2,FALSE))="Martin",(VLOOKUP(Table10[[#This Row],[SKU]],'All Skus'!$A:$AC,11,FALSE)),""))</f>
        <v>4864.97</v>
      </c>
      <c r="K442" s="224">
        <f>(IF((VLOOKUP(Table10[[#This Row],[SKU]],'All Skus'!$A:$AC,2,FALSE))="Martin",(VLOOKUP(Table10[[#This Row],[SKU]],'All Skus'!$A:$AC,15,FALSE)),""))</f>
        <v>0</v>
      </c>
      <c r="L442" s="224">
        <f>(IF((VLOOKUP(Table10[[#This Row],[SKU]],'All Skus'!$A:$AC,2,FALSE))="Martin",(VLOOKUP(Table10[[#This Row],[SKU]],'All Skus'!$A:$AC,16,FALSE)),""))</f>
        <v>5706681231560</v>
      </c>
      <c r="M442" s="224">
        <f>(IF((VLOOKUP(Table10[[#This Row],[SKU]],'All Skus'!$A:$AC,2,FALSE))="Martin",(VLOOKUP(Table10[[#This Row],[SKU]],'All Skus'!$A:$AC,17,FALSE)),""))</f>
        <v>0</v>
      </c>
      <c r="N442" s="227">
        <f>(IF((VLOOKUP(Table10[[#This Row],[SKU]],'All Skus'!$A:$AC,2,FALSE))="Martin",(VLOOKUP(Table10[[#This Row],[SKU]],'All Skus'!$A:$AC,18,FALSE)),""))</f>
        <v>0</v>
      </c>
      <c r="O442" s="227">
        <f>(IF((VLOOKUP(Table10[[#This Row],[SKU]],'All Skus'!$A:$AC,2,FALSE))="Martin",(VLOOKUP(Table10[[#This Row],[SKU]],'All Skus'!$A:$AC,19,FALSE)),""))</f>
        <v>0</v>
      </c>
      <c r="P442" s="227">
        <f>(IF((VLOOKUP(Table10[[#This Row],[SKU]],'All Skus'!$A:$AC,2,FALSE))="Martin",(VLOOKUP(Table10[[#This Row],[SKU]],'All Skus'!$A:$AC,20,FALSE)),""))</f>
        <v>0</v>
      </c>
      <c r="Q442" s="227">
        <f>(IF((VLOOKUP(Table10[[#This Row],[SKU]],'All Skus'!$A:$AC,2,FALSE))="Martin",(VLOOKUP(Table10[[#This Row],[SKU]],'All Skus'!$A:$AC,21,FALSE)),""))</f>
        <v>0</v>
      </c>
      <c r="R442" s="224" t="str">
        <f>(IF((VLOOKUP(Table10[[#This Row],[SKU]],'All Skus'!$A:$AC,2,FALSE))="Martin",(VLOOKUP(Table10[[#This Row],[SKU]],'All Skus'!$A:$AC,22,FALSE)),""))</f>
        <v>CN</v>
      </c>
      <c r="S442" s="223" t="str">
        <f>(IF((VLOOKUP(Table10[[#This Row],[SKU]],'All Skus'!$A:$AC,2,FALSE))="Martin",(VLOOKUP(Table10[[#This Row],[SKU]],'All Skus'!$A:$AC,23,FALSE)),""))</f>
        <v>Non Compliant</v>
      </c>
      <c r="T442" s="212" t="str">
        <f>HYPERLINK((IF((VLOOKUP(Table10[[#This Row],[SKU]],'All Skus'!$A:$AC,2,FALSE))="Martin",(VLOOKUP(Table10[[#This Row],[SKU]],'All Skus'!$A:$AC,24,FALSE)),"")))</f>
        <v/>
      </c>
      <c r="U442" s="228">
        <v>440</v>
      </c>
    </row>
    <row r="443" spans="1:21" hidden="1">
      <c r="A443" s="115" t="s">
        <v>2160</v>
      </c>
      <c r="B443" s="224">
        <f>(IF((VLOOKUP(Table10[[#This Row],[SKU]],'All Skus'!$A:$AC,2,FALSE))="Martin",(VLOOKUP(Table10[[#This Row],[SKU]],'All Skus'!$A:$AC,3,FALSE)),""))</f>
        <v>0</v>
      </c>
      <c r="C443" s="223">
        <f>(IF((VLOOKUP(Table10[[#This Row],[SKU]],'All Skus'!$A:$AC,2,FALSE))="Martin",(VLOOKUP(Table10[[#This Row],[SKU]],'All Skus'!$A:$AC,4,FALSE)),""))</f>
        <v>0</v>
      </c>
      <c r="D443" s="224">
        <f>(IF((VLOOKUP(Table10[[#This Row],[SKU]],'All Skus'!$A:$AC,2,FALSE))="Martin",(VLOOKUP(Table10[[#This Row],[SKU]],'All Skus'!$A:$AC,5,FALSE)),""))</f>
        <v>0</v>
      </c>
      <c r="E443" s="223">
        <f>(IF((VLOOKUP(Table10[[#This Row],[SKU]],'All Skus'!$A:$AC,2,FALSE))="Martin",(VLOOKUP(Table10[[#This Row],[SKU]],'All Skus'!$A:$AC,6,FALSE)),""))</f>
        <v>0</v>
      </c>
      <c r="F443" s="155">
        <f>(IF((VLOOKUP(Table10[[#This Row],[SKU]],'All Skus'!$A:$AC,2,FALSE))="Martin",(VLOOKUP(Table10[[#This Row],[SKU]],'All Skus'!$A:$AC,7,FALSE)),""))</f>
        <v>0</v>
      </c>
      <c r="G443" s="223">
        <f>(IF((VLOOKUP(Table10[[#This Row],[SKU]],'All Skus'!$A:$AC,2,FALSE))="Martin",(VLOOKUP(Table10[[#This Row],[SKU]],'All Skus'!$A:$AC,8,FALSE)),""))</f>
        <v>0</v>
      </c>
      <c r="H443" s="223">
        <f>(IF((VLOOKUP(Table10[[#This Row],[SKU]],'All Skus'!$A:$AC,2,FALSE))="Martin",(VLOOKUP(Table10[[#This Row],[SKU]],'All Skus'!$A:$AC,9,FALSE)),""))</f>
        <v>0</v>
      </c>
      <c r="I443" s="225">
        <f>(IF((VLOOKUP(Table10[[#This Row],[SKU]],'All Skus'!$A:$AC,2,FALSE))="Martin",(VLOOKUP(Table10[[#This Row],[SKU]],'All Skus'!$A:$AC,10,FALSE)),""))</f>
        <v>0</v>
      </c>
      <c r="J443" s="226">
        <f>(IF((VLOOKUP(Table10[[#This Row],[SKU]],'All Skus'!$A:$AC,2,FALSE))="Martin",(VLOOKUP(Table10[[#This Row],[SKU]],'All Skus'!$A:$AC,11,FALSE)),""))</f>
        <v>0</v>
      </c>
      <c r="K443" s="224">
        <f>(IF((VLOOKUP(Table10[[#This Row],[SKU]],'All Skus'!$A:$AC,2,FALSE))="Martin",(VLOOKUP(Table10[[#This Row],[SKU]],'All Skus'!$A:$AC,15,FALSE)),""))</f>
        <v>0</v>
      </c>
      <c r="L443" s="224">
        <f>(IF((VLOOKUP(Table10[[#This Row],[SKU]],'All Skus'!$A:$AC,2,FALSE))="Martin",(VLOOKUP(Table10[[#This Row],[SKU]],'All Skus'!$A:$AC,16,FALSE)),""))</f>
        <v>0</v>
      </c>
      <c r="M443" s="224">
        <f>(IF((VLOOKUP(Table10[[#This Row],[SKU]],'All Skus'!$A:$AC,2,FALSE))="Martin",(VLOOKUP(Table10[[#This Row],[SKU]],'All Skus'!$A:$AC,17,FALSE)),""))</f>
        <v>0</v>
      </c>
      <c r="N443" s="227">
        <f>(IF((VLOOKUP(Table10[[#This Row],[SKU]],'All Skus'!$A:$AC,2,FALSE))="Martin",(VLOOKUP(Table10[[#This Row],[SKU]],'All Skus'!$A:$AC,18,FALSE)),""))</f>
        <v>0</v>
      </c>
      <c r="O443" s="227">
        <f>(IF((VLOOKUP(Table10[[#This Row],[SKU]],'All Skus'!$A:$AC,2,FALSE))="Martin",(VLOOKUP(Table10[[#This Row],[SKU]],'All Skus'!$A:$AC,19,FALSE)),""))</f>
        <v>0</v>
      </c>
      <c r="P443" s="227">
        <f>(IF((VLOOKUP(Table10[[#This Row],[SKU]],'All Skus'!$A:$AC,2,FALSE))="Martin",(VLOOKUP(Table10[[#This Row],[SKU]],'All Skus'!$A:$AC,20,FALSE)),""))</f>
        <v>0</v>
      </c>
      <c r="Q443" s="227">
        <f>(IF((VLOOKUP(Table10[[#This Row],[SKU]],'All Skus'!$A:$AC,2,FALSE))="Martin",(VLOOKUP(Table10[[#This Row],[SKU]],'All Skus'!$A:$AC,21,FALSE)),""))</f>
        <v>0</v>
      </c>
      <c r="R443" s="224">
        <f>(IF((VLOOKUP(Table10[[#This Row],[SKU]],'All Skus'!$A:$AC,2,FALSE))="Martin",(VLOOKUP(Table10[[#This Row],[SKU]],'All Skus'!$A:$AC,22,FALSE)),""))</f>
        <v>0</v>
      </c>
      <c r="S443" s="223">
        <f>(IF((VLOOKUP(Table10[[#This Row],[SKU]],'All Skus'!$A:$AC,2,FALSE))="Martin",(VLOOKUP(Table10[[#This Row],[SKU]],'All Skus'!$A:$AC,23,FALSE)),""))</f>
        <v>0</v>
      </c>
      <c r="T443" s="212" t="str">
        <f>HYPERLINK((IF((VLOOKUP(Table10[[#This Row],[SKU]],'All Skus'!$A:$AC,2,FALSE))="Martin",(VLOOKUP(Table10[[#This Row],[SKU]],'All Skus'!$A:$AC,24,FALSE)),"")))</f>
        <v/>
      </c>
      <c r="U443" s="228">
        <v>441</v>
      </c>
    </row>
    <row r="444" spans="1:21" hidden="1">
      <c r="A444" s="112">
        <v>90507075</v>
      </c>
      <c r="B444" s="224" t="str">
        <f>(IF((VLOOKUP(Table10[[#This Row],[SKU]],'All Skus'!$A:$AC,2,FALSE))="Martin",(VLOOKUP(Table10[[#This Row],[SKU]],'All Skus'!$A:$AC,3,FALSE)),""))</f>
        <v>Architainment</v>
      </c>
      <c r="C444" s="223" t="str">
        <f>(IF((VLOOKUP(Table10[[#This Row],[SKU]],'All Skus'!$A:$AC,2,FALSE))="Martin",(VLOOKUP(Table10[[#This Row],[SKU]],'All Skus'!$A:$AC,4,FALSE)),""))</f>
        <v xml:space="preserve">EXTERIOR WASH 310,10deg,EU,ALU </v>
      </c>
      <c r="D444" s="224" t="str">
        <f>(IF((VLOOKUP(Table10[[#This Row],[SKU]],'All Skus'!$A:$AC,2,FALSE))="Martin",(VLOOKUP(Table10[[#This Row],[SKU]],'All Skus'!$A:$AC,5,FALSE)),""))</f>
        <v>EXT-WASH</v>
      </c>
      <c r="E444" s="223">
        <f>(IF((VLOOKUP(Table10[[#This Row],[SKU]],'All Skus'!$A:$AC,2,FALSE))="Martin",(VLOOKUP(Table10[[#This Row],[SKU]],'All Skus'!$A:$AC,6,FALSE)),""))</f>
        <v>0</v>
      </c>
      <c r="F444" s="155" t="str">
        <f>(IF((VLOOKUP(Table10[[#This Row],[SKU]],'All Skus'!$A:$AC,2,FALSE))="Martin",(VLOOKUP(Table10[[#This Row],[SKU]],'All Skus'!$A:$AC,7,FALSE)),""))</f>
        <v xml:space="preserve">EOL pre-notice - not recommend to specify for 2025 projects </v>
      </c>
      <c r="G444" s="223" t="str">
        <f>(IF((VLOOKUP(Table10[[#This Row],[SKU]],'All Skus'!$A:$AC,2,FALSE))="Martin",(VLOOKUP(Table10[[#This Row],[SKU]],'All Skus'!$A:$AC,8,FALSE)),""))</f>
        <v xml:space="preserve">EXTERIOR WASH 310,10deg,EU,ALU </v>
      </c>
      <c r="H444" s="223" t="str">
        <f>(IF((VLOOKUP(Table10[[#This Row],[SKU]],'All Skus'!$A:$AC,2,FALSE))="Martin",(VLOOKUP(Table10[[#This Row],[SKU]],'All Skus'!$A:$AC,9,FALSE)),""))</f>
        <v xml:space="preserve">EXTERIOR WASH 310,10deg,EU,ALU </v>
      </c>
      <c r="I444" s="225">
        <f>(IF((VLOOKUP(Table10[[#This Row],[SKU]],'All Skus'!$A:$AC,2,FALSE))="Martin",(VLOOKUP(Table10[[#This Row],[SKU]],'All Skus'!$A:$AC,10,FALSE)),""))</f>
        <v>4864.97</v>
      </c>
      <c r="J444" s="226">
        <f>(IF((VLOOKUP(Table10[[#This Row],[SKU]],'All Skus'!$A:$AC,2,FALSE))="Martin",(VLOOKUP(Table10[[#This Row],[SKU]],'All Skus'!$A:$AC,11,FALSE)),""))</f>
        <v>4864.97</v>
      </c>
      <c r="K444" s="224">
        <f>(IF((VLOOKUP(Table10[[#This Row],[SKU]],'All Skus'!$A:$AC,2,FALSE))="Martin",(VLOOKUP(Table10[[#This Row],[SKU]],'All Skus'!$A:$AC,15,FALSE)),""))</f>
        <v>0</v>
      </c>
      <c r="L444" s="224">
        <f>(IF((VLOOKUP(Table10[[#This Row],[SKU]],'All Skus'!$A:$AC,2,FALSE))="Martin",(VLOOKUP(Table10[[#This Row],[SKU]],'All Skus'!$A:$AC,16,FALSE)),""))</f>
        <v>5706681231065</v>
      </c>
      <c r="M444" s="224">
        <f>(IF((VLOOKUP(Table10[[#This Row],[SKU]],'All Skus'!$A:$AC,2,FALSE))="Martin",(VLOOKUP(Table10[[#This Row],[SKU]],'All Skus'!$A:$AC,17,FALSE)),""))</f>
        <v>0</v>
      </c>
      <c r="N444" s="227">
        <f>(IF((VLOOKUP(Table10[[#This Row],[SKU]],'All Skus'!$A:$AC,2,FALSE))="Martin",(VLOOKUP(Table10[[#This Row],[SKU]],'All Skus'!$A:$AC,18,FALSE)),""))</f>
        <v>0</v>
      </c>
      <c r="O444" s="227">
        <f>(IF((VLOOKUP(Table10[[#This Row],[SKU]],'All Skus'!$A:$AC,2,FALSE))="Martin",(VLOOKUP(Table10[[#This Row],[SKU]],'All Skus'!$A:$AC,19,FALSE)),""))</f>
        <v>0</v>
      </c>
      <c r="P444" s="227">
        <f>(IF((VLOOKUP(Table10[[#This Row],[SKU]],'All Skus'!$A:$AC,2,FALSE))="Martin",(VLOOKUP(Table10[[#This Row],[SKU]],'All Skus'!$A:$AC,20,FALSE)),""))</f>
        <v>0</v>
      </c>
      <c r="Q444" s="227">
        <f>(IF((VLOOKUP(Table10[[#This Row],[SKU]],'All Skus'!$A:$AC,2,FALSE))="Martin",(VLOOKUP(Table10[[#This Row],[SKU]],'All Skus'!$A:$AC,21,FALSE)),""))</f>
        <v>0</v>
      </c>
      <c r="R444" s="224" t="str">
        <f>(IF((VLOOKUP(Table10[[#This Row],[SKU]],'All Skus'!$A:$AC,2,FALSE))="Martin",(VLOOKUP(Table10[[#This Row],[SKU]],'All Skus'!$A:$AC,22,FALSE)),""))</f>
        <v>CN</v>
      </c>
      <c r="S444" s="223" t="str">
        <f>(IF((VLOOKUP(Table10[[#This Row],[SKU]],'All Skus'!$A:$AC,2,FALSE))="Martin",(VLOOKUP(Table10[[#This Row],[SKU]],'All Skus'!$A:$AC,23,FALSE)),""))</f>
        <v>Non Compliant</v>
      </c>
      <c r="T444" s="212" t="str">
        <f>HYPERLINK((IF((VLOOKUP(Table10[[#This Row],[SKU]],'All Skus'!$A:$AC,2,FALSE))="Martin",(VLOOKUP(Table10[[#This Row],[SKU]],'All Skus'!$A:$AC,24,FALSE)),"")))</f>
        <v/>
      </c>
      <c r="U444" s="228">
        <v>442</v>
      </c>
    </row>
    <row r="445" spans="1:21" hidden="1">
      <c r="A445" s="112">
        <v>90507085</v>
      </c>
      <c r="B445" s="224" t="str">
        <f>(IF((VLOOKUP(Table10[[#This Row],[SKU]],'All Skus'!$A:$AC,2,FALSE))="Martin",(VLOOKUP(Table10[[#This Row],[SKU]],'All Skus'!$A:$AC,3,FALSE)),""))</f>
        <v>Architainment</v>
      </c>
      <c r="C445" s="223" t="str">
        <f>(IF((VLOOKUP(Table10[[#This Row],[SKU]],'All Skus'!$A:$AC,2,FALSE))="Martin",(VLOOKUP(Table10[[#This Row],[SKU]],'All Skus'!$A:$AC,4,FALSE)),""))</f>
        <v xml:space="preserve">EXTERIOR WASH 310, 10deg, US, ALU </v>
      </c>
      <c r="D445" s="224" t="str">
        <f>(IF((VLOOKUP(Table10[[#This Row],[SKU]],'All Skus'!$A:$AC,2,FALSE))="Martin",(VLOOKUP(Table10[[#This Row],[SKU]],'All Skus'!$A:$AC,5,FALSE)),""))</f>
        <v>EXT-WASH</v>
      </c>
      <c r="E445" s="223">
        <f>(IF((VLOOKUP(Table10[[#This Row],[SKU]],'All Skus'!$A:$AC,2,FALSE))="Martin",(VLOOKUP(Table10[[#This Row],[SKU]],'All Skus'!$A:$AC,6,FALSE)),""))</f>
        <v>0</v>
      </c>
      <c r="F445" s="155" t="str">
        <f>(IF((VLOOKUP(Table10[[#This Row],[SKU]],'All Skus'!$A:$AC,2,FALSE))="Martin",(VLOOKUP(Table10[[#This Row],[SKU]],'All Skus'!$A:$AC,7,FALSE)),""))</f>
        <v xml:space="preserve">EOL pre-notice - not recommend to specify for 2025 projects </v>
      </c>
      <c r="G445" s="223" t="str">
        <f>(IF((VLOOKUP(Table10[[#This Row],[SKU]],'All Skus'!$A:$AC,2,FALSE))="Martin",(VLOOKUP(Table10[[#This Row],[SKU]],'All Skus'!$A:$AC,8,FALSE)),""))</f>
        <v xml:space="preserve">EXTERIOR WASH 310, 10deg, US, ALU </v>
      </c>
      <c r="H445" s="223" t="str">
        <f>(IF((VLOOKUP(Table10[[#This Row],[SKU]],'All Skus'!$A:$AC,2,FALSE))="Martin",(VLOOKUP(Table10[[#This Row],[SKU]],'All Skus'!$A:$AC,9,FALSE)),""))</f>
        <v xml:space="preserve">EXTERIOR WASH 310, 10deg, US, ALU </v>
      </c>
      <c r="I445" s="225">
        <f>(IF((VLOOKUP(Table10[[#This Row],[SKU]],'All Skus'!$A:$AC,2,FALSE))="Martin",(VLOOKUP(Table10[[#This Row],[SKU]],'All Skus'!$A:$AC,10,FALSE)),""))</f>
        <v>4864.97</v>
      </c>
      <c r="J445" s="226">
        <f>(IF((VLOOKUP(Table10[[#This Row],[SKU]],'All Skus'!$A:$AC,2,FALSE))="Martin",(VLOOKUP(Table10[[#This Row],[SKU]],'All Skus'!$A:$AC,11,FALSE)),""))</f>
        <v>4864.97</v>
      </c>
      <c r="K445" s="224">
        <f>(IF((VLOOKUP(Table10[[#This Row],[SKU]],'All Skus'!$A:$AC,2,FALSE))="Martin",(VLOOKUP(Table10[[#This Row],[SKU]],'All Skus'!$A:$AC,15,FALSE)),""))</f>
        <v>0</v>
      </c>
      <c r="L445" s="224">
        <f>(IF((VLOOKUP(Table10[[#This Row],[SKU]],'All Skus'!$A:$AC,2,FALSE))="Martin",(VLOOKUP(Table10[[#This Row],[SKU]],'All Skus'!$A:$AC,16,FALSE)),""))</f>
        <v>5706681231577</v>
      </c>
      <c r="M445" s="224">
        <f>(IF((VLOOKUP(Table10[[#This Row],[SKU]],'All Skus'!$A:$AC,2,FALSE))="Martin",(VLOOKUP(Table10[[#This Row],[SKU]],'All Skus'!$A:$AC,17,FALSE)),""))</f>
        <v>0</v>
      </c>
      <c r="N445" s="227">
        <f>(IF((VLOOKUP(Table10[[#This Row],[SKU]],'All Skus'!$A:$AC,2,FALSE))="Martin",(VLOOKUP(Table10[[#This Row],[SKU]],'All Skus'!$A:$AC,18,FALSE)),""))</f>
        <v>0</v>
      </c>
      <c r="O445" s="227">
        <f>(IF((VLOOKUP(Table10[[#This Row],[SKU]],'All Skus'!$A:$AC,2,FALSE))="Martin",(VLOOKUP(Table10[[#This Row],[SKU]],'All Skus'!$A:$AC,19,FALSE)),""))</f>
        <v>0</v>
      </c>
      <c r="P445" s="227">
        <f>(IF((VLOOKUP(Table10[[#This Row],[SKU]],'All Skus'!$A:$AC,2,FALSE))="Martin",(VLOOKUP(Table10[[#This Row],[SKU]],'All Skus'!$A:$AC,20,FALSE)),""))</f>
        <v>0</v>
      </c>
      <c r="Q445" s="227">
        <f>(IF((VLOOKUP(Table10[[#This Row],[SKU]],'All Skus'!$A:$AC,2,FALSE))="Martin",(VLOOKUP(Table10[[#This Row],[SKU]],'All Skus'!$A:$AC,21,FALSE)),""))</f>
        <v>0</v>
      </c>
      <c r="R445" s="224" t="str">
        <f>(IF((VLOOKUP(Table10[[#This Row],[SKU]],'All Skus'!$A:$AC,2,FALSE))="Martin",(VLOOKUP(Table10[[#This Row],[SKU]],'All Skus'!$A:$AC,22,FALSE)),""))</f>
        <v>CN</v>
      </c>
      <c r="S445" s="223" t="str">
        <f>(IF((VLOOKUP(Table10[[#This Row],[SKU]],'All Skus'!$A:$AC,2,FALSE))="Martin",(VLOOKUP(Table10[[#This Row],[SKU]],'All Skus'!$A:$AC,23,FALSE)),""))</f>
        <v>Non Compliant</v>
      </c>
      <c r="T445" s="212" t="str">
        <f>HYPERLINK((IF((VLOOKUP(Table10[[#This Row],[SKU]],'All Skus'!$A:$AC,2,FALSE))="Martin",(VLOOKUP(Table10[[#This Row],[SKU]],'All Skus'!$A:$AC,24,FALSE)),"")))</f>
        <v/>
      </c>
      <c r="U445" s="228">
        <v>443</v>
      </c>
    </row>
    <row r="446" spans="1:21" hidden="1">
      <c r="A446" s="112">
        <v>90507155</v>
      </c>
      <c r="B446" s="224">
        <f>(IF((VLOOKUP(Table10[[#This Row],[SKU]],'All Skus'!$A:$AC,2,FALSE))="Martin",(VLOOKUP(Table10[[#This Row],[SKU]],'All Skus'!$A:$AC,3,FALSE)),""))</f>
        <v>0</v>
      </c>
      <c r="C446" s="223" t="str">
        <f>(IF((VLOOKUP(Table10[[#This Row],[SKU]],'All Skus'!$A:$AC,2,FALSE))="Martin",(VLOOKUP(Table10[[#This Row],[SKU]],'All Skus'!$A:$AC,4,FALSE)),""))</f>
        <v>EXTERIOR WASH 310, 10deg, EU, WHITE</v>
      </c>
      <c r="D446" s="224" t="str">
        <f>(IF((VLOOKUP(Table10[[#This Row],[SKU]],'All Skus'!$A:$AC,2,FALSE))="Martin",(VLOOKUP(Table10[[#This Row],[SKU]],'All Skus'!$A:$AC,5,FALSE)),""))</f>
        <v>EXT-WASH</v>
      </c>
      <c r="E446" s="223">
        <f>(IF((VLOOKUP(Table10[[#This Row],[SKU]],'All Skus'!$A:$AC,2,FALSE))="Martin",(VLOOKUP(Table10[[#This Row],[SKU]],'All Skus'!$A:$AC,6,FALSE)),""))</f>
        <v>0</v>
      </c>
      <c r="F446" s="155" t="str">
        <f>(IF((VLOOKUP(Table10[[#This Row],[SKU]],'All Skus'!$A:$AC,2,FALSE))="Martin",(VLOOKUP(Table10[[#This Row],[SKU]],'All Skus'!$A:$AC,7,FALSE)),""))</f>
        <v xml:space="preserve">EOL pre-notice - not recommend to specify for 2025 projects </v>
      </c>
      <c r="G446" s="223" t="str">
        <f>(IF((VLOOKUP(Table10[[#This Row],[SKU]],'All Skus'!$A:$AC,2,FALSE))="Martin",(VLOOKUP(Table10[[#This Row],[SKU]],'All Skus'!$A:$AC,8,FALSE)),""))</f>
        <v>EXTERIOR WASH 310, 10deg, EU, WHITE</v>
      </c>
      <c r="H446" s="223" t="str">
        <f>(IF((VLOOKUP(Table10[[#This Row],[SKU]],'All Skus'!$A:$AC,2,FALSE))="Martin",(VLOOKUP(Table10[[#This Row],[SKU]],'All Skus'!$A:$AC,9,FALSE)),""))</f>
        <v>EXTERIOR WASH 310, 10deg, EU, WHITE</v>
      </c>
      <c r="I446" s="225">
        <f>(IF((VLOOKUP(Table10[[#This Row],[SKU]],'All Skus'!$A:$AC,2,FALSE))="Martin",(VLOOKUP(Table10[[#This Row],[SKU]],'All Skus'!$A:$AC,10,FALSE)),""))</f>
        <v>5099.58</v>
      </c>
      <c r="J446" s="226">
        <f>(IF((VLOOKUP(Table10[[#This Row],[SKU]],'All Skus'!$A:$AC,2,FALSE))="Martin",(VLOOKUP(Table10[[#This Row],[SKU]],'All Skus'!$A:$AC,11,FALSE)),""))</f>
        <v>5099.58</v>
      </c>
      <c r="K446" s="224">
        <f>(IF((VLOOKUP(Table10[[#This Row],[SKU]],'All Skus'!$A:$AC,2,FALSE))="Martin",(VLOOKUP(Table10[[#This Row],[SKU]],'All Skus'!$A:$AC,15,FALSE)),""))</f>
        <v>0</v>
      </c>
      <c r="L446" s="224">
        <f>(IF((VLOOKUP(Table10[[#This Row],[SKU]],'All Skus'!$A:$AC,2,FALSE))="Martin",(VLOOKUP(Table10[[#This Row],[SKU]],'All Skus'!$A:$AC,16,FALSE)),""))</f>
        <v>5706681237111</v>
      </c>
      <c r="M446" s="224">
        <f>(IF((VLOOKUP(Table10[[#This Row],[SKU]],'All Skus'!$A:$AC,2,FALSE))="Martin",(VLOOKUP(Table10[[#This Row],[SKU]],'All Skus'!$A:$AC,17,FALSE)),""))</f>
        <v>0</v>
      </c>
      <c r="N446" s="227">
        <f>(IF((VLOOKUP(Table10[[#This Row],[SKU]],'All Skus'!$A:$AC,2,FALSE))="Martin",(VLOOKUP(Table10[[#This Row],[SKU]],'All Skus'!$A:$AC,18,FALSE)),""))</f>
        <v>0</v>
      </c>
      <c r="O446" s="227">
        <f>(IF((VLOOKUP(Table10[[#This Row],[SKU]],'All Skus'!$A:$AC,2,FALSE))="Martin",(VLOOKUP(Table10[[#This Row],[SKU]],'All Skus'!$A:$AC,19,FALSE)),""))</f>
        <v>0</v>
      </c>
      <c r="P446" s="227">
        <f>(IF((VLOOKUP(Table10[[#This Row],[SKU]],'All Skus'!$A:$AC,2,FALSE))="Martin",(VLOOKUP(Table10[[#This Row],[SKU]],'All Skus'!$A:$AC,20,FALSE)),""))</f>
        <v>0</v>
      </c>
      <c r="Q446" s="227">
        <f>(IF((VLOOKUP(Table10[[#This Row],[SKU]],'All Skus'!$A:$AC,2,FALSE))="Martin",(VLOOKUP(Table10[[#This Row],[SKU]],'All Skus'!$A:$AC,21,FALSE)),""))</f>
        <v>0</v>
      </c>
      <c r="R446" s="224" t="str">
        <f>(IF((VLOOKUP(Table10[[#This Row],[SKU]],'All Skus'!$A:$AC,2,FALSE))="Martin",(VLOOKUP(Table10[[#This Row],[SKU]],'All Skus'!$A:$AC,22,FALSE)),""))</f>
        <v>CN</v>
      </c>
      <c r="S446" s="223">
        <f>(IF((VLOOKUP(Table10[[#This Row],[SKU]],'All Skus'!$A:$AC,2,FALSE))="Martin",(VLOOKUP(Table10[[#This Row],[SKU]],'All Skus'!$A:$AC,23,FALSE)),""))</f>
        <v>0</v>
      </c>
      <c r="T446" s="212" t="str">
        <f>HYPERLINK((IF((VLOOKUP(Table10[[#This Row],[SKU]],'All Skus'!$A:$AC,2,FALSE))="Martin",(VLOOKUP(Table10[[#This Row],[SKU]],'All Skus'!$A:$AC,24,FALSE)),"")))</f>
        <v/>
      </c>
      <c r="U446" s="228">
        <v>444</v>
      </c>
    </row>
    <row r="447" spans="1:21" hidden="1">
      <c r="A447" s="115" t="s">
        <v>2161</v>
      </c>
      <c r="B447" s="224">
        <f>(IF((VLOOKUP(Table10[[#This Row],[SKU]],'All Skus'!$A:$AC,2,FALSE))="Martin",(VLOOKUP(Table10[[#This Row],[SKU]],'All Skus'!$A:$AC,3,FALSE)),""))</f>
        <v>0</v>
      </c>
      <c r="C447" s="223">
        <f>(IF((VLOOKUP(Table10[[#This Row],[SKU]],'All Skus'!$A:$AC,2,FALSE))="Martin",(VLOOKUP(Table10[[#This Row],[SKU]],'All Skus'!$A:$AC,4,FALSE)),""))</f>
        <v>0</v>
      </c>
      <c r="D447" s="224">
        <f>(IF((VLOOKUP(Table10[[#This Row],[SKU]],'All Skus'!$A:$AC,2,FALSE))="Martin",(VLOOKUP(Table10[[#This Row],[SKU]],'All Skus'!$A:$AC,5,FALSE)),""))</f>
        <v>0</v>
      </c>
      <c r="E447" s="223">
        <f>(IF((VLOOKUP(Table10[[#This Row],[SKU]],'All Skus'!$A:$AC,2,FALSE))="Martin",(VLOOKUP(Table10[[#This Row],[SKU]],'All Skus'!$A:$AC,6,FALSE)),""))</f>
        <v>0</v>
      </c>
      <c r="F447" s="155">
        <f>(IF((VLOOKUP(Table10[[#This Row],[SKU]],'All Skus'!$A:$AC,2,FALSE))="Martin",(VLOOKUP(Table10[[#This Row],[SKU]],'All Skus'!$A:$AC,7,FALSE)),""))</f>
        <v>0</v>
      </c>
      <c r="G447" s="223">
        <f>(IF((VLOOKUP(Table10[[#This Row],[SKU]],'All Skus'!$A:$AC,2,FALSE))="Martin",(VLOOKUP(Table10[[#This Row],[SKU]],'All Skus'!$A:$AC,8,FALSE)),""))</f>
        <v>0</v>
      </c>
      <c r="H447" s="223">
        <f>(IF((VLOOKUP(Table10[[#This Row],[SKU]],'All Skus'!$A:$AC,2,FALSE))="Martin",(VLOOKUP(Table10[[#This Row],[SKU]],'All Skus'!$A:$AC,9,FALSE)),""))</f>
        <v>0</v>
      </c>
      <c r="I447" s="225">
        <f>(IF((VLOOKUP(Table10[[#This Row],[SKU]],'All Skus'!$A:$AC,2,FALSE))="Martin",(VLOOKUP(Table10[[#This Row],[SKU]],'All Skus'!$A:$AC,10,FALSE)),""))</f>
        <v>0</v>
      </c>
      <c r="J447" s="226">
        <f>(IF((VLOOKUP(Table10[[#This Row],[SKU]],'All Skus'!$A:$AC,2,FALSE))="Martin",(VLOOKUP(Table10[[#This Row],[SKU]],'All Skus'!$A:$AC,11,FALSE)),""))</f>
        <v>0</v>
      </c>
      <c r="K447" s="224">
        <f>(IF((VLOOKUP(Table10[[#This Row],[SKU]],'All Skus'!$A:$AC,2,FALSE))="Martin",(VLOOKUP(Table10[[#This Row],[SKU]],'All Skus'!$A:$AC,15,FALSE)),""))</f>
        <v>0</v>
      </c>
      <c r="L447" s="224">
        <f>(IF((VLOOKUP(Table10[[#This Row],[SKU]],'All Skus'!$A:$AC,2,FALSE))="Martin",(VLOOKUP(Table10[[#This Row],[SKU]],'All Skus'!$A:$AC,16,FALSE)),""))</f>
        <v>0</v>
      </c>
      <c r="M447" s="224">
        <f>(IF((VLOOKUP(Table10[[#This Row],[SKU]],'All Skus'!$A:$AC,2,FALSE))="Martin",(VLOOKUP(Table10[[#This Row],[SKU]],'All Skus'!$A:$AC,17,FALSE)),""))</f>
        <v>0</v>
      </c>
      <c r="N447" s="227">
        <f>(IF((VLOOKUP(Table10[[#This Row],[SKU]],'All Skus'!$A:$AC,2,FALSE))="Martin",(VLOOKUP(Table10[[#This Row],[SKU]],'All Skus'!$A:$AC,18,FALSE)),""))</f>
        <v>0</v>
      </c>
      <c r="O447" s="227">
        <f>(IF((VLOOKUP(Table10[[#This Row],[SKU]],'All Skus'!$A:$AC,2,FALSE))="Martin",(VLOOKUP(Table10[[#This Row],[SKU]],'All Skus'!$A:$AC,19,FALSE)),""))</f>
        <v>0</v>
      </c>
      <c r="P447" s="227">
        <f>(IF((VLOOKUP(Table10[[#This Row],[SKU]],'All Skus'!$A:$AC,2,FALSE))="Martin",(VLOOKUP(Table10[[#This Row],[SKU]],'All Skus'!$A:$AC,20,FALSE)),""))</f>
        <v>0</v>
      </c>
      <c r="Q447" s="227">
        <f>(IF((VLOOKUP(Table10[[#This Row],[SKU]],'All Skus'!$A:$AC,2,FALSE))="Martin",(VLOOKUP(Table10[[#This Row],[SKU]],'All Skus'!$A:$AC,21,FALSE)),""))</f>
        <v>0</v>
      </c>
      <c r="R447" s="224">
        <f>(IF((VLOOKUP(Table10[[#This Row],[SKU]],'All Skus'!$A:$AC,2,FALSE))="Martin",(VLOOKUP(Table10[[#This Row],[SKU]],'All Skus'!$A:$AC,22,FALSE)),""))</f>
        <v>0</v>
      </c>
      <c r="S447" s="223">
        <f>(IF((VLOOKUP(Table10[[#This Row],[SKU]],'All Skus'!$A:$AC,2,FALSE))="Martin",(VLOOKUP(Table10[[#This Row],[SKU]],'All Skus'!$A:$AC,23,FALSE)),""))</f>
        <v>0</v>
      </c>
      <c r="T447" s="212" t="str">
        <f>HYPERLINK((IF((VLOOKUP(Table10[[#This Row],[SKU]],'All Skus'!$A:$AC,2,FALSE))="Martin",(VLOOKUP(Table10[[#This Row],[SKU]],'All Skus'!$A:$AC,24,FALSE)),"")))</f>
        <v/>
      </c>
      <c r="U447" s="228">
        <v>445</v>
      </c>
    </row>
    <row r="448" spans="1:21" hidden="1">
      <c r="A448" s="112">
        <v>90507080</v>
      </c>
      <c r="B448" s="224" t="str">
        <f>(IF((VLOOKUP(Table10[[#This Row],[SKU]],'All Skus'!$A:$AC,2,FALSE))="Martin",(VLOOKUP(Table10[[#This Row],[SKU]],'All Skus'!$A:$AC,3,FALSE)),""))</f>
        <v>Architainment</v>
      </c>
      <c r="C448" s="223" t="str">
        <f>(IF((VLOOKUP(Table10[[#This Row],[SKU]],'All Skus'!$A:$AC,2,FALSE))="Martin",(VLOOKUP(Table10[[#This Row],[SKU]],'All Skus'!$A:$AC,4,FALSE)),""))</f>
        <v xml:space="preserve">EXTERIOR WASH 320,7deg,EU,ALU </v>
      </c>
      <c r="D448" s="224" t="str">
        <f>(IF((VLOOKUP(Table10[[#This Row],[SKU]],'All Skus'!$A:$AC,2,FALSE))="Martin",(VLOOKUP(Table10[[#This Row],[SKU]],'All Skus'!$A:$AC,5,FALSE)),""))</f>
        <v>EXT-WASH</v>
      </c>
      <c r="E448" s="223">
        <f>(IF((VLOOKUP(Table10[[#This Row],[SKU]],'All Skus'!$A:$AC,2,FALSE))="Martin",(VLOOKUP(Table10[[#This Row],[SKU]],'All Skus'!$A:$AC,6,FALSE)),""))</f>
        <v>0</v>
      </c>
      <c r="F448" s="155" t="str">
        <f>(IF((VLOOKUP(Table10[[#This Row],[SKU]],'All Skus'!$A:$AC,2,FALSE))="Martin",(VLOOKUP(Table10[[#This Row],[SKU]],'All Skus'!$A:$AC,7,FALSE)),""))</f>
        <v xml:space="preserve">EOL pre-notice - not recommend to specify for 2025 projects </v>
      </c>
      <c r="G448" s="223" t="str">
        <f>(IF((VLOOKUP(Table10[[#This Row],[SKU]],'All Skus'!$A:$AC,2,FALSE))="Martin",(VLOOKUP(Table10[[#This Row],[SKU]],'All Skus'!$A:$AC,8,FALSE)),""))</f>
        <v xml:space="preserve">EXTERIOR WASH 320,7deg,EU,ALU </v>
      </c>
      <c r="H448" s="223" t="str">
        <f>(IF((VLOOKUP(Table10[[#This Row],[SKU]],'All Skus'!$A:$AC,2,FALSE))="Martin",(VLOOKUP(Table10[[#This Row],[SKU]],'All Skus'!$A:$AC,9,FALSE)),""))</f>
        <v xml:space="preserve">EXTERIOR WASH 320,7deg,EU,ALU </v>
      </c>
      <c r="I448" s="225">
        <f>(IF((VLOOKUP(Table10[[#This Row],[SKU]],'All Skus'!$A:$AC,2,FALSE))="Martin",(VLOOKUP(Table10[[#This Row],[SKU]],'All Skus'!$A:$AC,10,FALSE)),""))</f>
        <v>4864.97</v>
      </c>
      <c r="J448" s="226">
        <f>(IF((VLOOKUP(Table10[[#This Row],[SKU]],'All Skus'!$A:$AC,2,FALSE))="Martin",(VLOOKUP(Table10[[#This Row],[SKU]],'All Skus'!$A:$AC,11,FALSE)),""))</f>
        <v>4864.97</v>
      </c>
      <c r="K448" s="224">
        <f>(IF((VLOOKUP(Table10[[#This Row],[SKU]],'All Skus'!$A:$AC,2,FALSE))="Martin",(VLOOKUP(Table10[[#This Row],[SKU]],'All Skus'!$A:$AC,15,FALSE)),""))</f>
        <v>0</v>
      </c>
      <c r="L448" s="224">
        <f>(IF((VLOOKUP(Table10[[#This Row],[SKU]],'All Skus'!$A:$AC,2,FALSE))="Martin",(VLOOKUP(Table10[[#This Row],[SKU]],'All Skus'!$A:$AC,16,FALSE)),""))</f>
        <v>5706681231072</v>
      </c>
      <c r="M448" s="224">
        <f>(IF((VLOOKUP(Table10[[#This Row],[SKU]],'All Skus'!$A:$AC,2,FALSE))="Martin",(VLOOKUP(Table10[[#This Row],[SKU]],'All Skus'!$A:$AC,17,FALSE)),""))</f>
        <v>0</v>
      </c>
      <c r="N448" s="227">
        <f>(IF((VLOOKUP(Table10[[#This Row],[SKU]],'All Skus'!$A:$AC,2,FALSE))="Martin",(VLOOKUP(Table10[[#This Row],[SKU]],'All Skus'!$A:$AC,18,FALSE)),""))</f>
        <v>0</v>
      </c>
      <c r="O448" s="227">
        <f>(IF((VLOOKUP(Table10[[#This Row],[SKU]],'All Skus'!$A:$AC,2,FALSE))="Martin",(VLOOKUP(Table10[[#This Row],[SKU]],'All Skus'!$A:$AC,19,FALSE)),""))</f>
        <v>0</v>
      </c>
      <c r="P448" s="227">
        <f>(IF((VLOOKUP(Table10[[#This Row],[SKU]],'All Skus'!$A:$AC,2,FALSE))="Martin",(VLOOKUP(Table10[[#This Row],[SKU]],'All Skus'!$A:$AC,20,FALSE)),""))</f>
        <v>0</v>
      </c>
      <c r="Q448" s="227">
        <f>(IF((VLOOKUP(Table10[[#This Row],[SKU]],'All Skus'!$A:$AC,2,FALSE))="Martin",(VLOOKUP(Table10[[#This Row],[SKU]],'All Skus'!$A:$AC,21,FALSE)),""))</f>
        <v>0</v>
      </c>
      <c r="R448" s="224" t="str">
        <f>(IF((VLOOKUP(Table10[[#This Row],[SKU]],'All Skus'!$A:$AC,2,FALSE))="Martin",(VLOOKUP(Table10[[#This Row],[SKU]],'All Skus'!$A:$AC,22,FALSE)),""))</f>
        <v>CN</v>
      </c>
      <c r="S448" s="223" t="str">
        <f>(IF((VLOOKUP(Table10[[#This Row],[SKU]],'All Skus'!$A:$AC,2,FALSE))="Martin",(VLOOKUP(Table10[[#This Row],[SKU]],'All Skus'!$A:$AC,23,FALSE)),""))</f>
        <v>Non Compliant</v>
      </c>
      <c r="T448" s="212" t="str">
        <f>HYPERLINK((IF((VLOOKUP(Table10[[#This Row],[SKU]],'All Skus'!$A:$AC,2,FALSE))="Martin",(VLOOKUP(Table10[[#This Row],[SKU]],'All Skus'!$A:$AC,24,FALSE)),"")))</f>
        <v/>
      </c>
      <c r="U448" s="228">
        <v>446</v>
      </c>
    </row>
    <row r="449" spans="1:21" hidden="1">
      <c r="A449" s="112">
        <v>90507081</v>
      </c>
      <c r="B449" s="224" t="str">
        <f>(IF((VLOOKUP(Table10[[#This Row],[SKU]],'All Skus'!$A:$AC,2,FALSE))="Martin",(VLOOKUP(Table10[[#This Row],[SKU]],'All Skus'!$A:$AC,3,FALSE)),""))</f>
        <v>Architainment</v>
      </c>
      <c r="C449" s="223" t="str">
        <f>(IF((VLOOKUP(Table10[[#This Row],[SKU]],'All Skus'!$A:$AC,2,FALSE))="Martin",(VLOOKUP(Table10[[#This Row],[SKU]],'All Skus'!$A:$AC,4,FALSE)),""))</f>
        <v xml:space="preserve">EXTERIOR WASH 320, 7deg, US, ALU </v>
      </c>
      <c r="D449" s="224" t="str">
        <f>(IF((VLOOKUP(Table10[[#This Row],[SKU]],'All Skus'!$A:$AC,2,FALSE))="Martin",(VLOOKUP(Table10[[#This Row],[SKU]],'All Skus'!$A:$AC,5,FALSE)),""))</f>
        <v>EXT-WASH</v>
      </c>
      <c r="E449" s="223">
        <f>(IF((VLOOKUP(Table10[[#This Row],[SKU]],'All Skus'!$A:$AC,2,FALSE))="Martin",(VLOOKUP(Table10[[#This Row],[SKU]],'All Skus'!$A:$AC,6,FALSE)),""))</f>
        <v>0</v>
      </c>
      <c r="F449" s="155" t="str">
        <f>(IF((VLOOKUP(Table10[[#This Row],[SKU]],'All Skus'!$A:$AC,2,FALSE))="Martin",(VLOOKUP(Table10[[#This Row],[SKU]],'All Skus'!$A:$AC,7,FALSE)),""))</f>
        <v xml:space="preserve">EOL pre-notice - not recommend to specify for 2025 projects </v>
      </c>
      <c r="G449" s="223" t="str">
        <f>(IF((VLOOKUP(Table10[[#This Row],[SKU]],'All Skus'!$A:$AC,2,FALSE))="Martin",(VLOOKUP(Table10[[#This Row],[SKU]],'All Skus'!$A:$AC,8,FALSE)),""))</f>
        <v xml:space="preserve">EXTERIOR WASH 320, 7deg, US, ALU </v>
      </c>
      <c r="H449" s="223" t="str">
        <f>(IF((VLOOKUP(Table10[[#This Row],[SKU]],'All Skus'!$A:$AC,2,FALSE))="Martin",(VLOOKUP(Table10[[#This Row],[SKU]],'All Skus'!$A:$AC,9,FALSE)),""))</f>
        <v xml:space="preserve">EXTERIOR WASH 320, 7deg, US, ALU </v>
      </c>
      <c r="I449" s="225">
        <f>(IF((VLOOKUP(Table10[[#This Row],[SKU]],'All Skus'!$A:$AC,2,FALSE))="Martin",(VLOOKUP(Table10[[#This Row],[SKU]],'All Skus'!$A:$AC,10,FALSE)),""))</f>
        <v>4864.97</v>
      </c>
      <c r="J449" s="226">
        <f>(IF((VLOOKUP(Table10[[#This Row],[SKU]],'All Skus'!$A:$AC,2,FALSE))="Martin",(VLOOKUP(Table10[[#This Row],[SKU]],'All Skus'!$A:$AC,11,FALSE)),""))</f>
        <v>4864.97</v>
      </c>
      <c r="K449" s="224">
        <f>(IF((VLOOKUP(Table10[[#This Row],[SKU]],'All Skus'!$A:$AC,2,FALSE))="Martin",(VLOOKUP(Table10[[#This Row],[SKU]],'All Skus'!$A:$AC,15,FALSE)),""))</f>
        <v>0</v>
      </c>
      <c r="L449" s="224">
        <f>(IF((VLOOKUP(Table10[[#This Row],[SKU]],'All Skus'!$A:$AC,2,FALSE))="Martin",(VLOOKUP(Table10[[#This Row],[SKU]],'All Skus'!$A:$AC,16,FALSE)),""))</f>
        <v>5706681231584</v>
      </c>
      <c r="M449" s="224">
        <f>(IF((VLOOKUP(Table10[[#This Row],[SKU]],'All Skus'!$A:$AC,2,FALSE))="Martin",(VLOOKUP(Table10[[#This Row],[SKU]],'All Skus'!$A:$AC,17,FALSE)),""))</f>
        <v>0</v>
      </c>
      <c r="N449" s="227">
        <f>(IF((VLOOKUP(Table10[[#This Row],[SKU]],'All Skus'!$A:$AC,2,FALSE))="Martin",(VLOOKUP(Table10[[#This Row],[SKU]],'All Skus'!$A:$AC,18,FALSE)),""))</f>
        <v>0</v>
      </c>
      <c r="O449" s="227">
        <f>(IF((VLOOKUP(Table10[[#This Row],[SKU]],'All Skus'!$A:$AC,2,FALSE))="Martin",(VLOOKUP(Table10[[#This Row],[SKU]],'All Skus'!$A:$AC,19,FALSE)),""))</f>
        <v>0</v>
      </c>
      <c r="P449" s="227">
        <f>(IF((VLOOKUP(Table10[[#This Row],[SKU]],'All Skus'!$A:$AC,2,FALSE))="Martin",(VLOOKUP(Table10[[#This Row],[SKU]],'All Skus'!$A:$AC,20,FALSE)),""))</f>
        <v>0</v>
      </c>
      <c r="Q449" s="227">
        <f>(IF((VLOOKUP(Table10[[#This Row],[SKU]],'All Skus'!$A:$AC,2,FALSE))="Martin",(VLOOKUP(Table10[[#This Row],[SKU]],'All Skus'!$A:$AC,21,FALSE)),""))</f>
        <v>0</v>
      </c>
      <c r="R449" s="224" t="str">
        <f>(IF((VLOOKUP(Table10[[#This Row],[SKU]],'All Skus'!$A:$AC,2,FALSE))="Martin",(VLOOKUP(Table10[[#This Row],[SKU]],'All Skus'!$A:$AC,22,FALSE)),""))</f>
        <v>CN</v>
      </c>
      <c r="S449" s="223" t="str">
        <f>(IF((VLOOKUP(Table10[[#This Row],[SKU]],'All Skus'!$A:$AC,2,FALSE))="Martin",(VLOOKUP(Table10[[#This Row],[SKU]],'All Skus'!$A:$AC,23,FALSE)),""))</f>
        <v>Non Compliant</v>
      </c>
      <c r="T449" s="212" t="str">
        <f>HYPERLINK((IF((VLOOKUP(Table10[[#This Row],[SKU]],'All Skus'!$A:$AC,2,FALSE))="Martin",(VLOOKUP(Table10[[#This Row],[SKU]],'All Skus'!$A:$AC,24,FALSE)),"")))</f>
        <v/>
      </c>
      <c r="U449" s="228">
        <v>447</v>
      </c>
    </row>
    <row r="450" spans="1:21" hidden="1">
      <c r="A450" s="115" t="s">
        <v>2162</v>
      </c>
      <c r="B450" s="224">
        <f>(IF((VLOOKUP(Table10[[#This Row],[SKU]],'All Skus'!$A:$AC,2,FALSE))="Martin",(VLOOKUP(Table10[[#This Row],[SKU]],'All Skus'!$A:$AC,3,FALSE)),""))</f>
        <v>0</v>
      </c>
      <c r="C450" s="223">
        <f>(IF((VLOOKUP(Table10[[#This Row],[SKU]],'All Skus'!$A:$AC,2,FALSE))="Martin",(VLOOKUP(Table10[[#This Row],[SKU]],'All Skus'!$A:$AC,4,FALSE)),""))</f>
        <v>0</v>
      </c>
      <c r="D450" s="224">
        <f>(IF((VLOOKUP(Table10[[#This Row],[SKU]],'All Skus'!$A:$AC,2,FALSE))="Martin",(VLOOKUP(Table10[[#This Row],[SKU]],'All Skus'!$A:$AC,5,FALSE)),""))</f>
        <v>0</v>
      </c>
      <c r="E450" s="223">
        <f>(IF((VLOOKUP(Table10[[#This Row],[SKU]],'All Skus'!$A:$AC,2,FALSE))="Martin",(VLOOKUP(Table10[[#This Row],[SKU]],'All Skus'!$A:$AC,6,FALSE)),""))</f>
        <v>0</v>
      </c>
      <c r="F450" s="155">
        <f>(IF((VLOOKUP(Table10[[#This Row],[SKU]],'All Skus'!$A:$AC,2,FALSE))="Martin",(VLOOKUP(Table10[[#This Row],[SKU]],'All Skus'!$A:$AC,7,FALSE)),""))</f>
        <v>0</v>
      </c>
      <c r="G450" s="223">
        <f>(IF((VLOOKUP(Table10[[#This Row],[SKU]],'All Skus'!$A:$AC,2,FALSE))="Martin",(VLOOKUP(Table10[[#This Row],[SKU]],'All Skus'!$A:$AC,8,FALSE)),""))</f>
        <v>0</v>
      </c>
      <c r="H450" s="223">
        <f>(IF((VLOOKUP(Table10[[#This Row],[SKU]],'All Skus'!$A:$AC,2,FALSE))="Martin",(VLOOKUP(Table10[[#This Row],[SKU]],'All Skus'!$A:$AC,9,FALSE)),""))</f>
        <v>0</v>
      </c>
      <c r="I450" s="225">
        <f>(IF((VLOOKUP(Table10[[#This Row],[SKU]],'All Skus'!$A:$AC,2,FALSE))="Martin",(VLOOKUP(Table10[[#This Row],[SKU]],'All Skus'!$A:$AC,10,FALSE)),""))</f>
        <v>0</v>
      </c>
      <c r="J450" s="226">
        <f>(IF((VLOOKUP(Table10[[#This Row],[SKU]],'All Skus'!$A:$AC,2,FALSE))="Martin",(VLOOKUP(Table10[[#This Row],[SKU]],'All Skus'!$A:$AC,11,FALSE)),""))</f>
        <v>0</v>
      </c>
      <c r="K450" s="224">
        <f>(IF((VLOOKUP(Table10[[#This Row],[SKU]],'All Skus'!$A:$AC,2,FALSE))="Martin",(VLOOKUP(Table10[[#This Row],[SKU]],'All Skus'!$A:$AC,15,FALSE)),""))</f>
        <v>0</v>
      </c>
      <c r="L450" s="224">
        <f>(IF((VLOOKUP(Table10[[#This Row],[SKU]],'All Skus'!$A:$AC,2,FALSE))="Martin",(VLOOKUP(Table10[[#This Row],[SKU]],'All Skus'!$A:$AC,16,FALSE)),""))</f>
        <v>0</v>
      </c>
      <c r="M450" s="224">
        <f>(IF((VLOOKUP(Table10[[#This Row],[SKU]],'All Skus'!$A:$AC,2,FALSE))="Martin",(VLOOKUP(Table10[[#This Row],[SKU]],'All Skus'!$A:$AC,17,FALSE)),""))</f>
        <v>0</v>
      </c>
      <c r="N450" s="227">
        <f>(IF((VLOOKUP(Table10[[#This Row],[SKU]],'All Skus'!$A:$AC,2,FALSE))="Martin",(VLOOKUP(Table10[[#This Row],[SKU]],'All Skus'!$A:$AC,18,FALSE)),""))</f>
        <v>0</v>
      </c>
      <c r="O450" s="227">
        <f>(IF((VLOOKUP(Table10[[#This Row],[SKU]],'All Skus'!$A:$AC,2,FALSE))="Martin",(VLOOKUP(Table10[[#This Row],[SKU]],'All Skus'!$A:$AC,19,FALSE)),""))</f>
        <v>0</v>
      </c>
      <c r="P450" s="227">
        <f>(IF((VLOOKUP(Table10[[#This Row],[SKU]],'All Skus'!$A:$AC,2,FALSE))="Martin",(VLOOKUP(Table10[[#This Row],[SKU]],'All Skus'!$A:$AC,20,FALSE)),""))</f>
        <v>0</v>
      </c>
      <c r="Q450" s="227">
        <f>(IF((VLOOKUP(Table10[[#This Row],[SKU]],'All Skus'!$A:$AC,2,FALSE))="Martin",(VLOOKUP(Table10[[#This Row],[SKU]],'All Skus'!$A:$AC,21,FALSE)),""))</f>
        <v>0</v>
      </c>
      <c r="R450" s="224">
        <f>(IF((VLOOKUP(Table10[[#This Row],[SKU]],'All Skus'!$A:$AC,2,FALSE))="Martin",(VLOOKUP(Table10[[#This Row],[SKU]],'All Skus'!$A:$AC,22,FALSE)),""))</f>
        <v>0</v>
      </c>
      <c r="S450" s="223">
        <f>(IF((VLOOKUP(Table10[[#This Row],[SKU]],'All Skus'!$A:$AC,2,FALSE))="Martin",(VLOOKUP(Table10[[#This Row],[SKU]],'All Skus'!$A:$AC,23,FALSE)),""))</f>
        <v>0</v>
      </c>
      <c r="T450" s="212" t="str">
        <f>HYPERLINK((IF((VLOOKUP(Table10[[#This Row],[SKU]],'All Skus'!$A:$AC,2,FALSE))="Martin",(VLOOKUP(Table10[[#This Row],[SKU]],'All Skus'!$A:$AC,24,FALSE)),"")))</f>
        <v/>
      </c>
      <c r="U450" s="228">
        <v>448</v>
      </c>
    </row>
    <row r="451" spans="1:21" hidden="1">
      <c r="A451" s="112">
        <v>91610155</v>
      </c>
      <c r="B451" s="224" t="str">
        <f>(IF((VLOOKUP(Table10[[#This Row],[SKU]],'All Skus'!$A:$AC,2,FALSE))="Martin",(VLOOKUP(Table10[[#This Row],[SKU]],'All Skus'!$A:$AC,3,FALSE)),""))</f>
        <v>Architainment</v>
      </c>
      <c r="C451" s="223" t="str">
        <f>(IF((VLOOKUP(Table10[[#This Row],[SKU]],'All Skus'!$A:$AC,2,FALSE))="Martin",(VLOOKUP(Table10[[#This Row],[SKU]],'All Skus'!$A:$AC,4,FALSE)),""))</f>
        <v xml:space="preserve">EW 300 NARROW DIF KIT/BEZEL </v>
      </c>
      <c r="D451" s="224" t="str">
        <f>(IF((VLOOKUP(Table10[[#This Row],[SKU]],'All Skus'!$A:$AC,2,FALSE))="Martin",(VLOOKUP(Table10[[#This Row],[SKU]],'All Skus'!$A:$AC,5,FALSE)),""))</f>
        <v>EXT-WASH</v>
      </c>
      <c r="E451" s="223">
        <f>(IF((VLOOKUP(Table10[[#This Row],[SKU]],'All Skus'!$A:$AC,2,FALSE))="Martin",(VLOOKUP(Table10[[#This Row],[SKU]],'All Skus'!$A:$AC,6,FALSE)),""))</f>
        <v>0</v>
      </c>
      <c r="F451" s="155" t="str">
        <f>(IF((VLOOKUP(Table10[[#This Row],[SKU]],'All Skus'!$A:$AC,2,FALSE))="Martin",(VLOOKUP(Table10[[#This Row],[SKU]],'All Skus'!$A:$AC,7,FALSE)),""))</f>
        <v xml:space="preserve">EOL pre-notice - not recommend to specify for 2025 projects </v>
      </c>
      <c r="G451" s="223" t="str">
        <f>(IF((VLOOKUP(Table10[[#This Row],[SKU]],'All Skus'!$A:$AC,2,FALSE))="Martin",(VLOOKUP(Table10[[#This Row],[SKU]],'All Skus'!$A:$AC,8,FALSE)),""))</f>
        <v xml:space="preserve">EW 300 NARROW DIF KIT/BEZEL </v>
      </c>
      <c r="H451" s="223" t="str">
        <f>(IF((VLOOKUP(Table10[[#This Row],[SKU]],'All Skus'!$A:$AC,2,FALSE))="Martin",(VLOOKUP(Table10[[#This Row],[SKU]],'All Skus'!$A:$AC,9,FALSE)),""))</f>
        <v xml:space="preserve">EW 300 NARROW DIF KIT/BEZEL </v>
      </c>
      <c r="I451" s="225">
        <f>(IF((VLOOKUP(Table10[[#This Row],[SKU]],'All Skus'!$A:$AC,2,FALSE))="Martin",(VLOOKUP(Table10[[#This Row],[SKU]],'All Skus'!$A:$AC,10,FALSE)),""))</f>
        <v>277.82</v>
      </c>
      <c r="J451" s="226">
        <f>(IF((VLOOKUP(Table10[[#This Row],[SKU]],'All Skus'!$A:$AC,2,FALSE))="Martin",(VLOOKUP(Table10[[#This Row],[SKU]],'All Skus'!$A:$AC,11,FALSE)),""))</f>
        <v>277.82</v>
      </c>
      <c r="K451" s="224">
        <f>(IF((VLOOKUP(Table10[[#This Row],[SKU]],'All Skus'!$A:$AC,2,FALSE))="Martin",(VLOOKUP(Table10[[#This Row],[SKU]],'All Skus'!$A:$AC,15,FALSE)),""))</f>
        <v>0</v>
      </c>
      <c r="L451" s="224">
        <f>(IF((VLOOKUP(Table10[[#This Row],[SKU]],'All Skus'!$A:$AC,2,FALSE))="Martin",(VLOOKUP(Table10[[#This Row],[SKU]],'All Skus'!$A:$AC,16,FALSE)),""))</f>
        <v>0</v>
      </c>
      <c r="M451" s="224">
        <f>(IF((VLOOKUP(Table10[[#This Row],[SKU]],'All Skus'!$A:$AC,2,FALSE))="Martin",(VLOOKUP(Table10[[#This Row],[SKU]],'All Skus'!$A:$AC,17,FALSE)),""))</f>
        <v>0</v>
      </c>
      <c r="N451" s="227">
        <f>(IF((VLOOKUP(Table10[[#This Row],[SKU]],'All Skus'!$A:$AC,2,FALSE))="Martin",(VLOOKUP(Table10[[#This Row],[SKU]],'All Skus'!$A:$AC,18,FALSE)),""))</f>
        <v>0</v>
      </c>
      <c r="O451" s="227">
        <f>(IF((VLOOKUP(Table10[[#This Row],[SKU]],'All Skus'!$A:$AC,2,FALSE))="Martin",(VLOOKUP(Table10[[#This Row],[SKU]],'All Skus'!$A:$AC,19,FALSE)),""))</f>
        <v>0</v>
      </c>
      <c r="P451" s="227">
        <f>(IF((VLOOKUP(Table10[[#This Row],[SKU]],'All Skus'!$A:$AC,2,FALSE))="Martin",(VLOOKUP(Table10[[#This Row],[SKU]],'All Skus'!$A:$AC,20,FALSE)),""))</f>
        <v>0</v>
      </c>
      <c r="Q451" s="227">
        <f>(IF((VLOOKUP(Table10[[#This Row],[SKU]],'All Skus'!$A:$AC,2,FALSE))="Martin",(VLOOKUP(Table10[[#This Row],[SKU]],'All Skus'!$A:$AC,21,FALSE)),""))</f>
        <v>0</v>
      </c>
      <c r="R451" s="224" t="str">
        <f>(IF((VLOOKUP(Table10[[#This Row],[SKU]],'All Skus'!$A:$AC,2,FALSE))="Martin",(VLOOKUP(Table10[[#This Row],[SKU]],'All Skus'!$A:$AC,22,FALSE)),""))</f>
        <v>CN</v>
      </c>
      <c r="S451" s="223" t="str">
        <f>(IF((VLOOKUP(Table10[[#This Row],[SKU]],'All Skus'!$A:$AC,2,FALSE))="Martin",(VLOOKUP(Table10[[#This Row],[SKU]],'All Skus'!$A:$AC,23,FALSE)),""))</f>
        <v>Non Compliant</v>
      </c>
      <c r="T451" s="212" t="str">
        <f>HYPERLINK((IF((VLOOKUP(Table10[[#This Row],[SKU]],'All Skus'!$A:$AC,2,FALSE))="Martin",(VLOOKUP(Table10[[#This Row],[SKU]],'All Skus'!$A:$AC,24,FALSE)),"")))</f>
        <v/>
      </c>
      <c r="U451" s="228">
        <v>449</v>
      </c>
    </row>
    <row r="452" spans="1:21" hidden="1">
      <c r="A452" s="112">
        <v>91610156</v>
      </c>
      <c r="B452" s="224" t="str">
        <f>(IF((VLOOKUP(Table10[[#This Row],[SKU]],'All Skus'!$A:$AC,2,FALSE))="Martin",(VLOOKUP(Table10[[#This Row],[SKU]],'All Skus'!$A:$AC,3,FALSE)),""))</f>
        <v>Architainment</v>
      </c>
      <c r="C452" s="223" t="str">
        <f>(IF((VLOOKUP(Table10[[#This Row],[SKU]],'All Skus'!$A:$AC,2,FALSE))="Martin",(VLOOKUP(Table10[[#This Row],[SKU]],'All Skus'!$A:$AC,4,FALSE)),""))</f>
        <v xml:space="preserve">EW 300 MEDIUM DIF KIT/BEZEL </v>
      </c>
      <c r="D452" s="224" t="str">
        <f>(IF((VLOOKUP(Table10[[#This Row],[SKU]],'All Skus'!$A:$AC,2,FALSE))="Martin",(VLOOKUP(Table10[[#This Row],[SKU]],'All Skus'!$A:$AC,5,FALSE)),""))</f>
        <v>EXT-WASH</v>
      </c>
      <c r="E452" s="223">
        <f>(IF((VLOOKUP(Table10[[#This Row],[SKU]],'All Skus'!$A:$AC,2,FALSE))="Martin",(VLOOKUP(Table10[[#This Row],[SKU]],'All Skus'!$A:$AC,6,FALSE)),""))</f>
        <v>0</v>
      </c>
      <c r="F452" s="155" t="str">
        <f>(IF((VLOOKUP(Table10[[#This Row],[SKU]],'All Skus'!$A:$AC,2,FALSE))="Martin",(VLOOKUP(Table10[[#This Row],[SKU]],'All Skus'!$A:$AC,7,FALSE)),""))</f>
        <v xml:space="preserve">EOL pre-notice - not recommend to specify for 2025 projects </v>
      </c>
      <c r="G452" s="223" t="str">
        <f>(IF((VLOOKUP(Table10[[#This Row],[SKU]],'All Skus'!$A:$AC,2,FALSE))="Martin",(VLOOKUP(Table10[[#This Row],[SKU]],'All Skus'!$A:$AC,8,FALSE)),""))</f>
        <v xml:space="preserve">EW 300 MEDIUM DIF KIT/BEZEL </v>
      </c>
      <c r="H452" s="223" t="str">
        <f>(IF((VLOOKUP(Table10[[#This Row],[SKU]],'All Skus'!$A:$AC,2,FALSE))="Martin",(VLOOKUP(Table10[[#This Row],[SKU]],'All Skus'!$A:$AC,9,FALSE)),""))</f>
        <v xml:space="preserve">EW 300 MEDIUM DIF KIT/BEZEL </v>
      </c>
      <c r="I452" s="225">
        <f>(IF((VLOOKUP(Table10[[#This Row],[SKU]],'All Skus'!$A:$AC,2,FALSE))="Martin",(VLOOKUP(Table10[[#This Row],[SKU]],'All Skus'!$A:$AC,10,FALSE)),""))</f>
        <v>277.82</v>
      </c>
      <c r="J452" s="226">
        <f>(IF((VLOOKUP(Table10[[#This Row],[SKU]],'All Skus'!$A:$AC,2,FALSE))="Martin",(VLOOKUP(Table10[[#This Row],[SKU]],'All Skus'!$A:$AC,11,FALSE)),""))</f>
        <v>277.82</v>
      </c>
      <c r="K452" s="224">
        <f>(IF((VLOOKUP(Table10[[#This Row],[SKU]],'All Skus'!$A:$AC,2,FALSE))="Martin",(VLOOKUP(Table10[[#This Row],[SKU]],'All Skus'!$A:$AC,15,FALSE)),""))</f>
        <v>0</v>
      </c>
      <c r="L452" s="224">
        <f>(IF((VLOOKUP(Table10[[#This Row],[SKU]],'All Skus'!$A:$AC,2,FALSE))="Martin",(VLOOKUP(Table10[[#This Row],[SKU]],'All Skus'!$A:$AC,16,FALSE)),""))</f>
        <v>0</v>
      </c>
      <c r="M452" s="224">
        <f>(IF((VLOOKUP(Table10[[#This Row],[SKU]],'All Skus'!$A:$AC,2,FALSE))="Martin",(VLOOKUP(Table10[[#This Row],[SKU]],'All Skus'!$A:$AC,17,FALSE)),""))</f>
        <v>0</v>
      </c>
      <c r="N452" s="227">
        <f>(IF((VLOOKUP(Table10[[#This Row],[SKU]],'All Skus'!$A:$AC,2,FALSE))="Martin",(VLOOKUP(Table10[[#This Row],[SKU]],'All Skus'!$A:$AC,18,FALSE)),""))</f>
        <v>0</v>
      </c>
      <c r="O452" s="227">
        <f>(IF((VLOOKUP(Table10[[#This Row],[SKU]],'All Skus'!$A:$AC,2,FALSE))="Martin",(VLOOKUP(Table10[[#This Row],[SKU]],'All Skus'!$A:$AC,19,FALSE)),""))</f>
        <v>0</v>
      </c>
      <c r="P452" s="227">
        <f>(IF((VLOOKUP(Table10[[#This Row],[SKU]],'All Skus'!$A:$AC,2,FALSE))="Martin",(VLOOKUP(Table10[[#This Row],[SKU]],'All Skus'!$A:$AC,20,FALSE)),""))</f>
        <v>0</v>
      </c>
      <c r="Q452" s="227">
        <f>(IF((VLOOKUP(Table10[[#This Row],[SKU]],'All Skus'!$A:$AC,2,FALSE))="Martin",(VLOOKUP(Table10[[#This Row],[SKU]],'All Skus'!$A:$AC,21,FALSE)),""))</f>
        <v>0</v>
      </c>
      <c r="R452" s="224" t="str">
        <f>(IF((VLOOKUP(Table10[[#This Row],[SKU]],'All Skus'!$A:$AC,2,FALSE))="Martin",(VLOOKUP(Table10[[#This Row],[SKU]],'All Skus'!$A:$AC,22,FALSE)),""))</f>
        <v>CN</v>
      </c>
      <c r="S452" s="223" t="str">
        <f>(IF((VLOOKUP(Table10[[#This Row],[SKU]],'All Skus'!$A:$AC,2,FALSE))="Martin",(VLOOKUP(Table10[[#This Row],[SKU]],'All Skus'!$A:$AC,23,FALSE)),""))</f>
        <v>Non Compliant</v>
      </c>
      <c r="T452" s="212" t="str">
        <f>HYPERLINK((IF((VLOOKUP(Table10[[#This Row],[SKU]],'All Skus'!$A:$AC,2,FALSE))="Martin",(VLOOKUP(Table10[[#This Row],[SKU]],'All Skus'!$A:$AC,24,FALSE)),"")))</f>
        <v/>
      </c>
      <c r="U452" s="228">
        <v>450</v>
      </c>
    </row>
    <row r="453" spans="1:21" hidden="1">
      <c r="A453" s="112">
        <v>91610157</v>
      </c>
      <c r="B453" s="224" t="str">
        <f>(IF((VLOOKUP(Table10[[#This Row],[SKU]],'All Skus'!$A:$AC,2,FALSE))="Martin",(VLOOKUP(Table10[[#This Row],[SKU]],'All Skus'!$A:$AC,3,FALSE)),""))</f>
        <v>Architainment</v>
      </c>
      <c r="C453" s="223" t="str">
        <f>(IF((VLOOKUP(Table10[[#This Row],[SKU]],'All Skus'!$A:$AC,2,FALSE))="Martin",(VLOOKUP(Table10[[#This Row],[SKU]],'All Skus'!$A:$AC,4,FALSE)),""))</f>
        <v xml:space="preserve">EW 300 WIDE DIF KIT/BEZEL </v>
      </c>
      <c r="D453" s="224" t="str">
        <f>(IF((VLOOKUP(Table10[[#This Row],[SKU]],'All Skus'!$A:$AC,2,FALSE))="Martin",(VLOOKUP(Table10[[#This Row],[SKU]],'All Skus'!$A:$AC,5,FALSE)),""))</f>
        <v>EXT-WASH</v>
      </c>
      <c r="E453" s="223">
        <f>(IF((VLOOKUP(Table10[[#This Row],[SKU]],'All Skus'!$A:$AC,2,FALSE))="Martin",(VLOOKUP(Table10[[#This Row],[SKU]],'All Skus'!$A:$AC,6,FALSE)),""))</f>
        <v>0</v>
      </c>
      <c r="F453" s="155" t="str">
        <f>(IF((VLOOKUP(Table10[[#This Row],[SKU]],'All Skus'!$A:$AC,2,FALSE))="Martin",(VLOOKUP(Table10[[#This Row],[SKU]],'All Skus'!$A:$AC,7,FALSE)),""))</f>
        <v xml:space="preserve">EOL pre-notice - not recommend to specify for 2025 projects </v>
      </c>
      <c r="G453" s="223" t="str">
        <f>(IF((VLOOKUP(Table10[[#This Row],[SKU]],'All Skus'!$A:$AC,2,FALSE))="Martin",(VLOOKUP(Table10[[#This Row],[SKU]],'All Skus'!$A:$AC,8,FALSE)),""))</f>
        <v xml:space="preserve">EW 300 WIDE DIF KIT/BEZEL </v>
      </c>
      <c r="H453" s="223" t="str">
        <f>(IF((VLOOKUP(Table10[[#This Row],[SKU]],'All Skus'!$A:$AC,2,FALSE))="Martin",(VLOOKUP(Table10[[#This Row],[SKU]],'All Skus'!$A:$AC,9,FALSE)),""))</f>
        <v xml:space="preserve">EW 300 WIDE DIF KIT/BEZEL </v>
      </c>
      <c r="I453" s="225">
        <f>(IF((VLOOKUP(Table10[[#This Row],[SKU]],'All Skus'!$A:$AC,2,FALSE))="Martin",(VLOOKUP(Table10[[#This Row],[SKU]],'All Skus'!$A:$AC,10,FALSE)),""))</f>
        <v>277.82</v>
      </c>
      <c r="J453" s="226">
        <f>(IF((VLOOKUP(Table10[[#This Row],[SKU]],'All Skus'!$A:$AC,2,FALSE))="Martin",(VLOOKUP(Table10[[#This Row],[SKU]],'All Skus'!$A:$AC,11,FALSE)),""))</f>
        <v>277.82</v>
      </c>
      <c r="K453" s="224">
        <f>(IF((VLOOKUP(Table10[[#This Row],[SKU]],'All Skus'!$A:$AC,2,FALSE))="Martin",(VLOOKUP(Table10[[#This Row],[SKU]],'All Skus'!$A:$AC,15,FALSE)),""))</f>
        <v>0</v>
      </c>
      <c r="L453" s="224">
        <f>(IF((VLOOKUP(Table10[[#This Row],[SKU]],'All Skus'!$A:$AC,2,FALSE))="Martin",(VLOOKUP(Table10[[#This Row],[SKU]],'All Skus'!$A:$AC,16,FALSE)),""))</f>
        <v>0</v>
      </c>
      <c r="M453" s="224">
        <f>(IF((VLOOKUP(Table10[[#This Row],[SKU]],'All Skus'!$A:$AC,2,FALSE))="Martin",(VLOOKUP(Table10[[#This Row],[SKU]],'All Skus'!$A:$AC,17,FALSE)),""))</f>
        <v>0</v>
      </c>
      <c r="N453" s="227">
        <f>(IF((VLOOKUP(Table10[[#This Row],[SKU]],'All Skus'!$A:$AC,2,FALSE))="Martin",(VLOOKUP(Table10[[#This Row],[SKU]],'All Skus'!$A:$AC,18,FALSE)),""))</f>
        <v>0</v>
      </c>
      <c r="O453" s="227">
        <f>(IF((VLOOKUP(Table10[[#This Row],[SKU]],'All Skus'!$A:$AC,2,FALSE))="Martin",(VLOOKUP(Table10[[#This Row],[SKU]],'All Skus'!$A:$AC,19,FALSE)),""))</f>
        <v>0</v>
      </c>
      <c r="P453" s="227">
        <f>(IF((VLOOKUP(Table10[[#This Row],[SKU]],'All Skus'!$A:$AC,2,FALSE))="Martin",(VLOOKUP(Table10[[#This Row],[SKU]],'All Skus'!$A:$AC,20,FALSE)),""))</f>
        <v>0</v>
      </c>
      <c r="Q453" s="227">
        <f>(IF((VLOOKUP(Table10[[#This Row],[SKU]],'All Skus'!$A:$AC,2,FALSE))="Martin",(VLOOKUP(Table10[[#This Row],[SKU]],'All Skus'!$A:$AC,21,FALSE)),""))</f>
        <v>0</v>
      </c>
      <c r="R453" s="224" t="str">
        <f>(IF((VLOOKUP(Table10[[#This Row],[SKU]],'All Skus'!$A:$AC,2,FALSE))="Martin",(VLOOKUP(Table10[[#This Row],[SKU]],'All Skus'!$A:$AC,22,FALSE)),""))</f>
        <v>CN</v>
      </c>
      <c r="S453" s="223" t="str">
        <f>(IF((VLOOKUP(Table10[[#This Row],[SKU]],'All Skus'!$A:$AC,2,FALSE))="Martin",(VLOOKUP(Table10[[#This Row],[SKU]],'All Skus'!$A:$AC,23,FALSE)),""))</f>
        <v>Non Compliant</v>
      </c>
      <c r="T453" s="212" t="str">
        <f>HYPERLINK((IF((VLOOKUP(Table10[[#This Row],[SKU]],'All Skus'!$A:$AC,2,FALSE))="Martin",(VLOOKUP(Table10[[#This Row],[SKU]],'All Skus'!$A:$AC,24,FALSE)),"")))</f>
        <v/>
      </c>
      <c r="U453" s="228">
        <v>451</v>
      </c>
    </row>
    <row r="454" spans="1:21" hidden="1">
      <c r="A454" s="112">
        <v>91610158</v>
      </c>
      <c r="B454" s="224" t="str">
        <f>(IF((VLOOKUP(Table10[[#This Row],[SKU]],'All Skus'!$A:$AC,2,FALSE))="Martin",(VLOOKUP(Table10[[#This Row],[SKU]],'All Skus'!$A:$AC,3,FALSE)),""))</f>
        <v>Architainment</v>
      </c>
      <c r="C454" s="223" t="str">
        <f>(IF((VLOOKUP(Table10[[#This Row],[SKU]],'All Skus'!$A:$AC,2,FALSE))="Martin",(VLOOKUP(Table10[[#This Row],[SKU]],'All Skus'!$A:$AC,4,FALSE)),""))</f>
        <v xml:space="preserve">EW 300 VERY WIDE DIF KIT/BEZEL </v>
      </c>
      <c r="D454" s="224" t="str">
        <f>(IF((VLOOKUP(Table10[[#This Row],[SKU]],'All Skus'!$A:$AC,2,FALSE))="Martin",(VLOOKUP(Table10[[#This Row],[SKU]],'All Skus'!$A:$AC,5,FALSE)),""))</f>
        <v>EXT-WASH</v>
      </c>
      <c r="E454" s="223">
        <f>(IF((VLOOKUP(Table10[[#This Row],[SKU]],'All Skus'!$A:$AC,2,FALSE))="Martin",(VLOOKUP(Table10[[#This Row],[SKU]],'All Skus'!$A:$AC,6,FALSE)),""))</f>
        <v>0</v>
      </c>
      <c r="F454" s="155" t="str">
        <f>(IF((VLOOKUP(Table10[[#This Row],[SKU]],'All Skus'!$A:$AC,2,FALSE))="Martin",(VLOOKUP(Table10[[#This Row],[SKU]],'All Skus'!$A:$AC,7,FALSE)),""))</f>
        <v xml:space="preserve">EOL pre-notice - not recommend to specify for 2025 projects </v>
      </c>
      <c r="G454" s="223" t="str">
        <f>(IF((VLOOKUP(Table10[[#This Row],[SKU]],'All Skus'!$A:$AC,2,FALSE))="Martin",(VLOOKUP(Table10[[#This Row],[SKU]],'All Skus'!$A:$AC,8,FALSE)),""))</f>
        <v xml:space="preserve">EW 300 VERY WIDE DIF KIT/BEZEL </v>
      </c>
      <c r="H454" s="223" t="str">
        <f>(IF((VLOOKUP(Table10[[#This Row],[SKU]],'All Skus'!$A:$AC,2,FALSE))="Martin",(VLOOKUP(Table10[[#This Row],[SKU]],'All Skus'!$A:$AC,9,FALSE)),""))</f>
        <v xml:space="preserve">EW 300 VERY WIDE DIF KIT/BEZEL </v>
      </c>
      <c r="I454" s="225">
        <f>(IF((VLOOKUP(Table10[[#This Row],[SKU]],'All Skus'!$A:$AC,2,FALSE))="Martin",(VLOOKUP(Table10[[#This Row],[SKU]],'All Skus'!$A:$AC,10,FALSE)),""))</f>
        <v>277.82</v>
      </c>
      <c r="J454" s="226">
        <f>(IF((VLOOKUP(Table10[[#This Row],[SKU]],'All Skus'!$A:$AC,2,FALSE))="Martin",(VLOOKUP(Table10[[#This Row],[SKU]],'All Skus'!$A:$AC,11,FALSE)),""))</f>
        <v>277.82</v>
      </c>
      <c r="K454" s="224">
        <f>(IF((VLOOKUP(Table10[[#This Row],[SKU]],'All Skus'!$A:$AC,2,FALSE))="Martin",(VLOOKUP(Table10[[#This Row],[SKU]],'All Skus'!$A:$AC,15,FALSE)),""))</f>
        <v>0</v>
      </c>
      <c r="L454" s="224">
        <f>(IF((VLOOKUP(Table10[[#This Row],[SKU]],'All Skus'!$A:$AC,2,FALSE))="Martin",(VLOOKUP(Table10[[#This Row],[SKU]],'All Skus'!$A:$AC,16,FALSE)),""))</f>
        <v>0</v>
      </c>
      <c r="M454" s="224">
        <f>(IF((VLOOKUP(Table10[[#This Row],[SKU]],'All Skus'!$A:$AC,2,FALSE))="Martin",(VLOOKUP(Table10[[#This Row],[SKU]],'All Skus'!$A:$AC,17,FALSE)),""))</f>
        <v>0</v>
      </c>
      <c r="N454" s="227">
        <f>(IF((VLOOKUP(Table10[[#This Row],[SKU]],'All Skus'!$A:$AC,2,FALSE))="Martin",(VLOOKUP(Table10[[#This Row],[SKU]],'All Skus'!$A:$AC,18,FALSE)),""))</f>
        <v>0</v>
      </c>
      <c r="O454" s="227">
        <f>(IF((VLOOKUP(Table10[[#This Row],[SKU]],'All Skus'!$A:$AC,2,FALSE))="Martin",(VLOOKUP(Table10[[#This Row],[SKU]],'All Skus'!$A:$AC,19,FALSE)),""))</f>
        <v>0</v>
      </c>
      <c r="P454" s="227">
        <f>(IF((VLOOKUP(Table10[[#This Row],[SKU]],'All Skus'!$A:$AC,2,FALSE))="Martin",(VLOOKUP(Table10[[#This Row],[SKU]],'All Skus'!$A:$AC,20,FALSE)),""))</f>
        <v>0</v>
      </c>
      <c r="Q454" s="227">
        <f>(IF((VLOOKUP(Table10[[#This Row],[SKU]],'All Skus'!$A:$AC,2,FALSE))="Martin",(VLOOKUP(Table10[[#This Row],[SKU]],'All Skus'!$A:$AC,21,FALSE)),""))</f>
        <v>0</v>
      </c>
      <c r="R454" s="224" t="str">
        <f>(IF((VLOOKUP(Table10[[#This Row],[SKU]],'All Skus'!$A:$AC,2,FALSE))="Martin",(VLOOKUP(Table10[[#This Row],[SKU]],'All Skus'!$A:$AC,22,FALSE)),""))</f>
        <v>CN</v>
      </c>
      <c r="S454" s="223" t="str">
        <f>(IF((VLOOKUP(Table10[[#This Row],[SKU]],'All Skus'!$A:$AC,2,FALSE))="Martin",(VLOOKUP(Table10[[#This Row],[SKU]],'All Skus'!$A:$AC,23,FALSE)),""))</f>
        <v>Non Compliant</v>
      </c>
      <c r="T454" s="212" t="str">
        <f>HYPERLINK((IF((VLOOKUP(Table10[[#This Row],[SKU]],'All Skus'!$A:$AC,2,FALSE))="Martin",(VLOOKUP(Table10[[#This Row],[SKU]],'All Skus'!$A:$AC,24,FALSE)),"")))</f>
        <v/>
      </c>
      <c r="U454" s="228">
        <v>452</v>
      </c>
    </row>
    <row r="455" spans="1:21" hidden="1">
      <c r="A455" s="112">
        <v>91610159</v>
      </c>
      <c r="B455" s="224" t="str">
        <f>(IF((VLOOKUP(Table10[[#This Row],[SKU]],'All Skus'!$A:$AC,2,FALSE))="Martin",(VLOOKUP(Table10[[#This Row],[SKU]],'All Skus'!$A:$AC,3,FALSE)),""))</f>
        <v>Architainment</v>
      </c>
      <c r="C455" s="223" t="str">
        <f>(IF((VLOOKUP(Table10[[#This Row],[SKU]],'All Skus'!$A:$AC,2,FALSE))="Martin",(VLOOKUP(Table10[[#This Row],[SKU]],'All Skus'!$A:$AC,4,FALSE)),""))</f>
        <v xml:space="preserve">EW 300 ASSYMETRIC DIF KIT/BENZEL </v>
      </c>
      <c r="D455" s="224" t="str">
        <f>(IF((VLOOKUP(Table10[[#This Row],[SKU]],'All Skus'!$A:$AC,2,FALSE))="Martin",(VLOOKUP(Table10[[#This Row],[SKU]],'All Skus'!$A:$AC,5,FALSE)),""))</f>
        <v>EXT-WASH</v>
      </c>
      <c r="E455" s="223">
        <f>(IF((VLOOKUP(Table10[[#This Row],[SKU]],'All Skus'!$A:$AC,2,FALSE))="Martin",(VLOOKUP(Table10[[#This Row],[SKU]],'All Skus'!$A:$AC,6,FALSE)),""))</f>
        <v>0</v>
      </c>
      <c r="F455" s="155" t="str">
        <f>(IF((VLOOKUP(Table10[[#This Row],[SKU]],'All Skus'!$A:$AC,2,FALSE))="Martin",(VLOOKUP(Table10[[#This Row],[SKU]],'All Skus'!$A:$AC,7,FALSE)),""))</f>
        <v xml:space="preserve">EOL pre-notice - not recommend to specify for 2025 projects </v>
      </c>
      <c r="G455" s="223" t="str">
        <f>(IF((VLOOKUP(Table10[[#This Row],[SKU]],'All Skus'!$A:$AC,2,FALSE))="Martin",(VLOOKUP(Table10[[#This Row],[SKU]],'All Skus'!$A:$AC,8,FALSE)),""))</f>
        <v xml:space="preserve">EW 300 ASSYMETRIC DIF KIT/BENZEL </v>
      </c>
      <c r="H455" s="223" t="str">
        <f>(IF((VLOOKUP(Table10[[#This Row],[SKU]],'All Skus'!$A:$AC,2,FALSE))="Martin",(VLOOKUP(Table10[[#This Row],[SKU]],'All Skus'!$A:$AC,9,FALSE)),""))</f>
        <v xml:space="preserve">EW 300 ASSYMETRIC DIF KIT/BENZEL </v>
      </c>
      <c r="I455" s="225">
        <f>(IF((VLOOKUP(Table10[[#This Row],[SKU]],'All Skus'!$A:$AC,2,FALSE))="Martin",(VLOOKUP(Table10[[#This Row],[SKU]],'All Skus'!$A:$AC,10,FALSE)),""))</f>
        <v>277.82</v>
      </c>
      <c r="J455" s="226">
        <f>(IF((VLOOKUP(Table10[[#This Row],[SKU]],'All Skus'!$A:$AC,2,FALSE))="Martin",(VLOOKUP(Table10[[#This Row],[SKU]],'All Skus'!$A:$AC,11,FALSE)),""))</f>
        <v>277.82</v>
      </c>
      <c r="K455" s="224">
        <f>(IF((VLOOKUP(Table10[[#This Row],[SKU]],'All Skus'!$A:$AC,2,FALSE))="Martin",(VLOOKUP(Table10[[#This Row],[SKU]],'All Skus'!$A:$AC,15,FALSE)),""))</f>
        <v>0</v>
      </c>
      <c r="L455" s="224">
        <f>(IF((VLOOKUP(Table10[[#This Row],[SKU]],'All Skus'!$A:$AC,2,FALSE))="Martin",(VLOOKUP(Table10[[#This Row],[SKU]],'All Skus'!$A:$AC,16,FALSE)),""))</f>
        <v>0</v>
      </c>
      <c r="M455" s="224">
        <f>(IF((VLOOKUP(Table10[[#This Row],[SKU]],'All Skus'!$A:$AC,2,FALSE))="Martin",(VLOOKUP(Table10[[#This Row],[SKU]],'All Skus'!$A:$AC,17,FALSE)),""))</f>
        <v>0</v>
      </c>
      <c r="N455" s="227">
        <f>(IF((VLOOKUP(Table10[[#This Row],[SKU]],'All Skus'!$A:$AC,2,FALSE))="Martin",(VLOOKUP(Table10[[#This Row],[SKU]],'All Skus'!$A:$AC,18,FALSE)),""))</f>
        <v>0</v>
      </c>
      <c r="O455" s="227">
        <f>(IF((VLOOKUP(Table10[[#This Row],[SKU]],'All Skus'!$A:$AC,2,FALSE))="Martin",(VLOOKUP(Table10[[#This Row],[SKU]],'All Skus'!$A:$AC,19,FALSE)),""))</f>
        <v>0</v>
      </c>
      <c r="P455" s="227">
        <f>(IF((VLOOKUP(Table10[[#This Row],[SKU]],'All Skus'!$A:$AC,2,FALSE))="Martin",(VLOOKUP(Table10[[#This Row],[SKU]],'All Skus'!$A:$AC,20,FALSE)),""))</f>
        <v>0</v>
      </c>
      <c r="Q455" s="227">
        <f>(IF((VLOOKUP(Table10[[#This Row],[SKU]],'All Skus'!$A:$AC,2,FALSE))="Martin",(VLOOKUP(Table10[[#This Row],[SKU]],'All Skus'!$A:$AC,21,FALSE)),""))</f>
        <v>0</v>
      </c>
      <c r="R455" s="224" t="str">
        <f>(IF((VLOOKUP(Table10[[#This Row],[SKU]],'All Skus'!$A:$AC,2,FALSE))="Martin",(VLOOKUP(Table10[[#This Row],[SKU]],'All Skus'!$A:$AC,22,FALSE)),""))</f>
        <v>CN</v>
      </c>
      <c r="S455" s="223" t="str">
        <f>(IF((VLOOKUP(Table10[[#This Row],[SKU]],'All Skus'!$A:$AC,2,FALSE))="Martin",(VLOOKUP(Table10[[#This Row],[SKU]],'All Skus'!$A:$AC,23,FALSE)),""))</f>
        <v>Non Compliant</v>
      </c>
      <c r="T455" s="212" t="str">
        <f>HYPERLINK((IF((VLOOKUP(Table10[[#This Row],[SKU]],'All Skus'!$A:$AC,2,FALSE))="Martin",(VLOOKUP(Table10[[#This Row],[SKU]],'All Skus'!$A:$AC,24,FALSE)),"")))</f>
        <v/>
      </c>
      <c r="U455" s="228">
        <v>453</v>
      </c>
    </row>
    <row r="456" spans="1:21" hidden="1">
      <c r="A456" s="112">
        <v>91611835</v>
      </c>
      <c r="B456" s="224">
        <f>(IF((VLOOKUP(Table10[[#This Row],[SKU]],'All Skus'!$A:$AC,2,FALSE))="Martin",(VLOOKUP(Table10[[#This Row],[SKU]],'All Skus'!$A:$AC,3,FALSE)),""))</f>
        <v>0</v>
      </c>
      <c r="C456" s="223" t="str">
        <f>(IF((VLOOKUP(Table10[[#This Row],[SKU]],'All Skus'!$A:$AC,2,FALSE))="Martin",(VLOOKUP(Table10[[#This Row],[SKU]],'All Skus'!$A:$AC,4,FALSE)),""))</f>
        <v>EXTERIOR WASH 300 BEZEL, WHITE</v>
      </c>
      <c r="D456" s="224" t="str">
        <f>(IF((VLOOKUP(Table10[[#This Row],[SKU]],'All Skus'!$A:$AC,2,FALSE))="Martin",(VLOOKUP(Table10[[#This Row],[SKU]],'All Skus'!$A:$AC,5,FALSE)),""))</f>
        <v>EXT-WASH</v>
      </c>
      <c r="E456" s="223">
        <f>(IF((VLOOKUP(Table10[[#This Row],[SKU]],'All Skus'!$A:$AC,2,FALSE))="Martin",(VLOOKUP(Table10[[#This Row],[SKU]],'All Skus'!$A:$AC,6,FALSE)),""))</f>
        <v>0</v>
      </c>
      <c r="F456" s="155" t="str">
        <f>(IF((VLOOKUP(Table10[[#This Row],[SKU]],'All Skus'!$A:$AC,2,FALSE))="Martin",(VLOOKUP(Table10[[#This Row],[SKU]],'All Skus'!$A:$AC,7,FALSE)),""))</f>
        <v xml:space="preserve">EOL pre-notice - not recommend to specify for 2025 projects </v>
      </c>
      <c r="G456" s="223" t="str">
        <f>(IF((VLOOKUP(Table10[[#This Row],[SKU]],'All Skus'!$A:$AC,2,FALSE))="Martin",(VLOOKUP(Table10[[#This Row],[SKU]],'All Skus'!$A:$AC,8,FALSE)),""))</f>
        <v>EXTERIOR WASH 300 BEZEL, WHITE</v>
      </c>
      <c r="H456" s="223" t="str">
        <f>(IF((VLOOKUP(Table10[[#This Row],[SKU]],'All Skus'!$A:$AC,2,FALSE))="Martin",(VLOOKUP(Table10[[#This Row],[SKU]],'All Skus'!$A:$AC,9,FALSE)),""))</f>
        <v>EXTERIOR WASH 300 BEZEL, WHITE</v>
      </c>
      <c r="I456" s="225">
        <f>(IF((VLOOKUP(Table10[[#This Row],[SKU]],'All Skus'!$A:$AC,2,FALSE))="Martin",(VLOOKUP(Table10[[#This Row],[SKU]],'All Skus'!$A:$AC,10,FALSE)),""))</f>
        <v>45.69</v>
      </c>
      <c r="J456" s="226">
        <f>(IF((VLOOKUP(Table10[[#This Row],[SKU]],'All Skus'!$A:$AC,2,FALSE))="Martin",(VLOOKUP(Table10[[#This Row],[SKU]],'All Skus'!$A:$AC,11,FALSE)),""))</f>
        <v>45.69</v>
      </c>
      <c r="K456" s="224">
        <f>(IF((VLOOKUP(Table10[[#This Row],[SKU]],'All Skus'!$A:$AC,2,FALSE))="Martin",(VLOOKUP(Table10[[#This Row],[SKU]],'All Skus'!$A:$AC,15,FALSE)),""))</f>
        <v>0</v>
      </c>
      <c r="L456" s="224">
        <f>(IF((VLOOKUP(Table10[[#This Row],[SKU]],'All Skus'!$A:$AC,2,FALSE))="Martin",(VLOOKUP(Table10[[#This Row],[SKU]],'All Skus'!$A:$AC,16,FALSE)),""))</f>
        <v>0</v>
      </c>
      <c r="M456" s="224">
        <f>(IF((VLOOKUP(Table10[[#This Row],[SKU]],'All Skus'!$A:$AC,2,FALSE))="Martin",(VLOOKUP(Table10[[#This Row],[SKU]],'All Skus'!$A:$AC,17,FALSE)),""))</f>
        <v>0</v>
      </c>
      <c r="N456" s="227">
        <f>(IF((VLOOKUP(Table10[[#This Row],[SKU]],'All Skus'!$A:$AC,2,FALSE))="Martin",(VLOOKUP(Table10[[#This Row],[SKU]],'All Skus'!$A:$AC,18,FALSE)),""))</f>
        <v>0</v>
      </c>
      <c r="O456" s="227">
        <f>(IF((VLOOKUP(Table10[[#This Row],[SKU]],'All Skus'!$A:$AC,2,FALSE))="Martin",(VLOOKUP(Table10[[#This Row],[SKU]],'All Skus'!$A:$AC,19,FALSE)),""))</f>
        <v>0</v>
      </c>
      <c r="P456" s="227">
        <f>(IF((VLOOKUP(Table10[[#This Row],[SKU]],'All Skus'!$A:$AC,2,FALSE))="Martin",(VLOOKUP(Table10[[#This Row],[SKU]],'All Skus'!$A:$AC,20,FALSE)),""))</f>
        <v>0</v>
      </c>
      <c r="Q456" s="227">
        <f>(IF((VLOOKUP(Table10[[#This Row],[SKU]],'All Skus'!$A:$AC,2,FALSE))="Martin",(VLOOKUP(Table10[[#This Row],[SKU]],'All Skus'!$A:$AC,21,FALSE)),""))</f>
        <v>0</v>
      </c>
      <c r="R456" s="224" t="str">
        <f>(IF((VLOOKUP(Table10[[#This Row],[SKU]],'All Skus'!$A:$AC,2,FALSE))="Martin",(VLOOKUP(Table10[[#This Row],[SKU]],'All Skus'!$A:$AC,22,FALSE)),""))</f>
        <v>CN</v>
      </c>
      <c r="S456" s="223">
        <f>(IF((VLOOKUP(Table10[[#This Row],[SKU]],'All Skus'!$A:$AC,2,FALSE))="Martin",(VLOOKUP(Table10[[#This Row],[SKU]],'All Skus'!$A:$AC,23,FALSE)),""))</f>
        <v>0</v>
      </c>
      <c r="T456" s="212" t="str">
        <f>HYPERLINK((IF((VLOOKUP(Table10[[#This Row],[SKU]],'All Skus'!$A:$AC,2,FALSE))="Martin",(VLOOKUP(Table10[[#This Row],[SKU]],'All Skus'!$A:$AC,24,FALSE)),"")))</f>
        <v/>
      </c>
      <c r="U456" s="228">
        <v>454</v>
      </c>
    </row>
    <row r="457" spans="1:21" hidden="1">
      <c r="A457" s="112">
        <v>91611735</v>
      </c>
      <c r="B457" s="224" t="str">
        <f>(IF((VLOOKUP(Table10[[#This Row],[SKU]],'All Skus'!$A:$AC,2,FALSE))="Martin",(VLOOKUP(Table10[[#This Row],[SKU]],'All Skus'!$A:$AC,3,FALSE)),""))</f>
        <v>Architainment</v>
      </c>
      <c r="C457" s="223" t="str">
        <f>(IF((VLOOKUP(Table10[[#This Row],[SKU]],'All Skus'!$A:$AC,2,FALSE))="Martin",(VLOOKUP(Table10[[#This Row],[SKU]],'All Skus'!$A:$AC,4,FALSE)),""))</f>
        <v xml:space="preserve">Exterior Wash 300 snoot </v>
      </c>
      <c r="D457" s="224" t="str">
        <f>(IF((VLOOKUP(Table10[[#This Row],[SKU]],'All Skus'!$A:$AC,2,FALSE))="Martin",(VLOOKUP(Table10[[#This Row],[SKU]],'All Skus'!$A:$AC,5,FALSE)),""))</f>
        <v>EXT-WASH</v>
      </c>
      <c r="E457" s="223">
        <f>(IF((VLOOKUP(Table10[[#This Row],[SKU]],'All Skus'!$A:$AC,2,FALSE))="Martin",(VLOOKUP(Table10[[#This Row],[SKU]],'All Skus'!$A:$AC,6,FALSE)),""))</f>
        <v>0</v>
      </c>
      <c r="F457" s="155" t="str">
        <f>(IF((VLOOKUP(Table10[[#This Row],[SKU]],'All Skus'!$A:$AC,2,FALSE))="Martin",(VLOOKUP(Table10[[#This Row],[SKU]],'All Skus'!$A:$AC,7,FALSE)),""))</f>
        <v xml:space="preserve">EOL pre-notice - not recommend to specify for 2025 projects </v>
      </c>
      <c r="G457" s="223" t="str">
        <f>(IF((VLOOKUP(Table10[[#This Row],[SKU]],'All Skus'!$A:$AC,2,FALSE))="Martin",(VLOOKUP(Table10[[#This Row],[SKU]],'All Skus'!$A:$AC,8,FALSE)),""))</f>
        <v xml:space="preserve">Exterior Wash 300 snoot </v>
      </c>
      <c r="H457" s="223" t="str">
        <f>(IF((VLOOKUP(Table10[[#This Row],[SKU]],'All Skus'!$A:$AC,2,FALSE))="Martin",(VLOOKUP(Table10[[#This Row],[SKU]],'All Skus'!$A:$AC,9,FALSE)),""))</f>
        <v xml:space="preserve">Exterior Wash 300 snoot </v>
      </c>
      <c r="I457" s="225">
        <f>(IF((VLOOKUP(Table10[[#This Row],[SKU]],'All Skus'!$A:$AC,2,FALSE))="Martin",(VLOOKUP(Table10[[#This Row],[SKU]],'All Skus'!$A:$AC,10,FALSE)),""))</f>
        <v>135.82</v>
      </c>
      <c r="J457" s="226">
        <f>(IF((VLOOKUP(Table10[[#This Row],[SKU]],'All Skus'!$A:$AC,2,FALSE))="Martin",(VLOOKUP(Table10[[#This Row],[SKU]],'All Skus'!$A:$AC,11,FALSE)),""))</f>
        <v>135.82</v>
      </c>
      <c r="K457" s="224">
        <f>(IF((VLOOKUP(Table10[[#This Row],[SKU]],'All Skus'!$A:$AC,2,FALSE))="Martin",(VLOOKUP(Table10[[#This Row],[SKU]],'All Skus'!$A:$AC,15,FALSE)),""))</f>
        <v>0</v>
      </c>
      <c r="L457" s="224">
        <f>(IF((VLOOKUP(Table10[[#This Row],[SKU]],'All Skus'!$A:$AC,2,FALSE))="Martin",(VLOOKUP(Table10[[#This Row],[SKU]],'All Skus'!$A:$AC,16,FALSE)),""))</f>
        <v>0</v>
      </c>
      <c r="M457" s="224">
        <f>(IF((VLOOKUP(Table10[[#This Row],[SKU]],'All Skus'!$A:$AC,2,FALSE))="Martin",(VLOOKUP(Table10[[#This Row],[SKU]],'All Skus'!$A:$AC,17,FALSE)),""))</f>
        <v>0</v>
      </c>
      <c r="N457" s="227">
        <f>(IF((VLOOKUP(Table10[[#This Row],[SKU]],'All Skus'!$A:$AC,2,FALSE))="Martin",(VLOOKUP(Table10[[#This Row],[SKU]],'All Skus'!$A:$AC,18,FALSE)),""))</f>
        <v>0</v>
      </c>
      <c r="O457" s="227">
        <f>(IF((VLOOKUP(Table10[[#This Row],[SKU]],'All Skus'!$A:$AC,2,FALSE))="Martin",(VLOOKUP(Table10[[#This Row],[SKU]],'All Skus'!$A:$AC,19,FALSE)),""))</f>
        <v>0</v>
      </c>
      <c r="P457" s="227">
        <f>(IF((VLOOKUP(Table10[[#This Row],[SKU]],'All Skus'!$A:$AC,2,FALSE))="Martin",(VLOOKUP(Table10[[#This Row],[SKU]],'All Skus'!$A:$AC,20,FALSE)),""))</f>
        <v>0</v>
      </c>
      <c r="Q457" s="227">
        <f>(IF((VLOOKUP(Table10[[#This Row],[SKU]],'All Skus'!$A:$AC,2,FALSE))="Martin",(VLOOKUP(Table10[[#This Row],[SKU]],'All Skus'!$A:$AC,21,FALSE)),""))</f>
        <v>0</v>
      </c>
      <c r="R457" s="224" t="str">
        <f>(IF((VLOOKUP(Table10[[#This Row],[SKU]],'All Skus'!$A:$AC,2,FALSE))="Martin",(VLOOKUP(Table10[[#This Row],[SKU]],'All Skus'!$A:$AC,22,FALSE)),""))</f>
        <v>CN</v>
      </c>
      <c r="S457" s="223" t="str">
        <f>(IF((VLOOKUP(Table10[[#This Row],[SKU]],'All Skus'!$A:$AC,2,FALSE))="Martin",(VLOOKUP(Table10[[#This Row],[SKU]],'All Skus'!$A:$AC,23,FALSE)),""))</f>
        <v>Non Compliant</v>
      </c>
      <c r="T457" s="212" t="str">
        <f>HYPERLINK((IF((VLOOKUP(Table10[[#This Row],[SKU]],'All Skus'!$A:$AC,2,FALSE))="Martin",(VLOOKUP(Table10[[#This Row],[SKU]],'All Skus'!$A:$AC,24,FALSE)),"")))</f>
        <v/>
      </c>
      <c r="U457" s="228">
        <v>455</v>
      </c>
    </row>
    <row r="458" spans="1:21" hidden="1">
      <c r="A458" s="112">
        <v>91611840</v>
      </c>
      <c r="B458" s="224">
        <f>(IF((VLOOKUP(Table10[[#This Row],[SKU]],'All Skus'!$A:$AC,2,FALSE))="Martin",(VLOOKUP(Table10[[#This Row],[SKU]],'All Skus'!$A:$AC,3,FALSE)),""))</f>
        <v>0</v>
      </c>
      <c r="C458" s="223" t="str">
        <f>(IF((VLOOKUP(Table10[[#This Row],[SKU]],'All Skus'!$A:$AC,2,FALSE))="Martin",(VLOOKUP(Table10[[#This Row],[SKU]],'All Skus'!$A:$AC,4,FALSE)),""))</f>
        <v>EXTERIOR WASH 300 SNOOT, WHITE</v>
      </c>
      <c r="D458" s="224" t="str">
        <f>(IF((VLOOKUP(Table10[[#This Row],[SKU]],'All Skus'!$A:$AC,2,FALSE))="Martin",(VLOOKUP(Table10[[#This Row],[SKU]],'All Skus'!$A:$AC,5,FALSE)),""))</f>
        <v>EXT-WASH</v>
      </c>
      <c r="E458" s="223">
        <f>(IF((VLOOKUP(Table10[[#This Row],[SKU]],'All Skus'!$A:$AC,2,FALSE))="Martin",(VLOOKUP(Table10[[#This Row],[SKU]],'All Skus'!$A:$AC,6,FALSE)),""))</f>
        <v>0</v>
      </c>
      <c r="F458" s="155" t="str">
        <f>(IF((VLOOKUP(Table10[[#This Row],[SKU]],'All Skus'!$A:$AC,2,FALSE))="Martin",(VLOOKUP(Table10[[#This Row],[SKU]],'All Skus'!$A:$AC,7,FALSE)),""))</f>
        <v xml:space="preserve">EOL pre-notice - not recommend to specify for 2025 projects </v>
      </c>
      <c r="G458" s="223" t="str">
        <f>(IF((VLOOKUP(Table10[[#This Row],[SKU]],'All Skus'!$A:$AC,2,FALSE))="Martin",(VLOOKUP(Table10[[#This Row],[SKU]],'All Skus'!$A:$AC,8,FALSE)),""))</f>
        <v>EXTERIOR WASH 300 SNOOT, WHITE</v>
      </c>
      <c r="H458" s="223" t="str">
        <f>(IF((VLOOKUP(Table10[[#This Row],[SKU]],'All Skus'!$A:$AC,2,FALSE))="Martin",(VLOOKUP(Table10[[#This Row],[SKU]],'All Skus'!$A:$AC,9,FALSE)),""))</f>
        <v>EXTERIOR WASH 300 SNOOT, WHITE</v>
      </c>
      <c r="I458" s="225">
        <f>(IF((VLOOKUP(Table10[[#This Row],[SKU]],'All Skus'!$A:$AC,2,FALSE))="Martin",(VLOOKUP(Table10[[#This Row],[SKU]],'All Skus'!$A:$AC,10,FALSE)),""))</f>
        <v>135.82</v>
      </c>
      <c r="J458" s="226">
        <f>(IF((VLOOKUP(Table10[[#This Row],[SKU]],'All Skus'!$A:$AC,2,FALSE))="Martin",(VLOOKUP(Table10[[#This Row],[SKU]],'All Skus'!$A:$AC,11,FALSE)),""))</f>
        <v>135.82</v>
      </c>
      <c r="K458" s="224">
        <f>(IF((VLOOKUP(Table10[[#This Row],[SKU]],'All Skus'!$A:$AC,2,FALSE))="Martin",(VLOOKUP(Table10[[#This Row],[SKU]],'All Skus'!$A:$AC,15,FALSE)),""))</f>
        <v>0</v>
      </c>
      <c r="L458" s="224">
        <f>(IF((VLOOKUP(Table10[[#This Row],[SKU]],'All Skus'!$A:$AC,2,FALSE))="Martin",(VLOOKUP(Table10[[#This Row],[SKU]],'All Skus'!$A:$AC,16,FALSE)),""))</f>
        <v>0</v>
      </c>
      <c r="M458" s="224">
        <f>(IF((VLOOKUP(Table10[[#This Row],[SKU]],'All Skus'!$A:$AC,2,FALSE))="Martin",(VLOOKUP(Table10[[#This Row],[SKU]],'All Skus'!$A:$AC,17,FALSE)),""))</f>
        <v>0</v>
      </c>
      <c r="N458" s="227">
        <f>(IF((VLOOKUP(Table10[[#This Row],[SKU]],'All Skus'!$A:$AC,2,FALSE))="Martin",(VLOOKUP(Table10[[#This Row],[SKU]],'All Skus'!$A:$AC,18,FALSE)),""))</f>
        <v>0</v>
      </c>
      <c r="O458" s="227">
        <f>(IF((VLOOKUP(Table10[[#This Row],[SKU]],'All Skus'!$A:$AC,2,FALSE))="Martin",(VLOOKUP(Table10[[#This Row],[SKU]],'All Skus'!$A:$AC,19,FALSE)),""))</f>
        <v>0</v>
      </c>
      <c r="P458" s="227">
        <f>(IF((VLOOKUP(Table10[[#This Row],[SKU]],'All Skus'!$A:$AC,2,FALSE))="Martin",(VLOOKUP(Table10[[#This Row],[SKU]],'All Skus'!$A:$AC,20,FALSE)),""))</f>
        <v>0</v>
      </c>
      <c r="Q458" s="227">
        <f>(IF((VLOOKUP(Table10[[#This Row],[SKU]],'All Skus'!$A:$AC,2,FALSE))="Martin",(VLOOKUP(Table10[[#This Row],[SKU]],'All Skus'!$A:$AC,21,FALSE)),""))</f>
        <v>0</v>
      </c>
      <c r="R458" s="224" t="str">
        <f>(IF((VLOOKUP(Table10[[#This Row],[SKU]],'All Skus'!$A:$AC,2,FALSE))="Martin",(VLOOKUP(Table10[[#This Row],[SKU]],'All Skus'!$A:$AC,22,FALSE)),""))</f>
        <v>CN</v>
      </c>
      <c r="S458" s="223">
        <f>(IF((VLOOKUP(Table10[[#This Row],[SKU]],'All Skus'!$A:$AC,2,FALSE))="Martin",(VLOOKUP(Table10[[#This Row],[SKU]],'All Skus'!$A:$AC,23,FALSE)),""))</f>
        <v>0</v>
      </c>
      <c r="T458" s="212" t="str">
        <f>HYPERLINK((IF((VLOOKUP(Table10[[#This Row],[SKU]],'All Skus'!$A:$AC,2,FALSE))="Martin",(VLOOKUP(Table10[[#This Row],[SKU]],'All Skus'!$A:$AC,24,FALSE)),"")))</f>
        <v/>
      </c>
      <c r="U458" s="228">
        <v>456</v>
      </c>
    </row>
    <row r="459" spans="1:21" hidden="1">
      <c r="A459" s="90">
        <v>91611858</v>
      </c>
      <c r="B459" s="224">
        <f>(IF((VLOOKUP(Table10[[#This Row],[SKU]],'All Skus'!$A:$AC,2,FALSE))="Martin",(VLOOKUP(Table10[[#This Row],[SKU]],'All Skus'!$A:$AC,3,FALSE)),""))</f>
        <v>0</v>
      </c>
      <c r="C459" s="223" t="str">
        <f>(IF((VLOOKUP(Table10[[#This Row],[SKU]],'All Skus'!$A:$AC,2,FALSE))="Martin",(VLOOKUP(Table10[[#This Row],[SKU]],'All Skus'!$A:$AC,4,FALSE)),""))</f>
        <v>EXTERIOR WASH 300 HONEYCOMB LOUVRE</v>
      </c>
      <c r="D459" s="224" t="str">
        <f>(IF((VLOOKUP(Table10[[#This Row],[SKU]],'All Skus'!$A:$AC,2,FALSE))="Martin",(VLOOKUP(Table10[[#This Row],[SKU]],'All Skus'!$A:$AC,5,FALSE)),""))</f>
        <v>EXT-WASH</v>
      </c>
      <c r="E459" s="223">
        <f>(IF((VLOOKUP(Table10[[#This Row],[SKU]],'All Skus'!$A:$AC,2,FALSE))="Martin",(VLOOKUP(Table10[[#This Row],[SKU]],'All Skus'!$A:$AC,6,FALSE)),""))</f>
        <v>0</v>
      </c>
      <c r="F459" s="155" t="str">
        <f>(IF((VLOOKUP(Table10[[#This Row],[SKU]],'All Skus'!$A:$AC,2,FALSE))="Martin",(VLOOKUP(Table10[[#This Row],[SKU]],'All Skus'!$A:$AC,7,FALSE)),""))</f>
        <v xml:space="preserve">EOL pre-notice - not recommend to specify for 2025 projects </v>
      </c>
      <c r="G459" s="223" t="str">
        <f>(IF((VLOOKUP(Table10[[#This Row],[SKU]],'All Skus'!$A:$AC,2,FALSE))="Martin",(VLOOKUP(Table10[[#This Row],[SKU]],'All Skus'!$A:$AC,8,FALSE)),""))</f>
        <v>EXTERIOR WASH 300 HONEYCOMB LOUVRE</v>
      </c>
      <c r="H459" s="223" t="str">
        <f>(IF((VLOOKUP(Table10[[#This Row],[SKU]],'All Skus'!$A:$AC,2,FALSE))="Martin",(VLOOKUP(Table10[[#This Row],[SKU]],'All Skus'!$A:$AC,9,FALSE)),""))</f>
        <v>EXTERIOR WASH 300 HONEYCOMB LOUVRE</v>
      </c>
      <c r="I459" s="225">
        <f>(IF((VLOOKUP(Table10[[#This Row],[SKU]],'All Skus'!$A:$AC,2,FALSE))="Martin",(VLOOKUP(Table10[[#This Row],[SKU]],'All Skus'!$A:$AC,10,FALSE)),""))</f>
        <v>313.63</v>
      </c>
      <c r="J459" s="226">
        <f>(IF((VLOOKUP(Table10[[#This Row],[SKU]],'All Skus'!$A:$AC,2,FALSE))="Martin",(VLOOKUP(Table10[[#This Row],[SKU]],'All Skus'!$A:$AC,11,FALSE)),""))</f>
        <v>313.63</v>
      </c>
      <c r="K459" s="224">
        <f>(IF((VLOOKUP(Table10[[#This Row],[SKU]],'All Skus'!$A:$AC,2,FALSE))="Martin",(VLOOKUP(Table10[[#This Row],[SKU]],'All Skus'!$A:$AC,15,FALSE)),""))</f>
        <v>0</v>
      </c>
      <c r="L459" s="224">
        <f>(IF((VLOOKUP(Table10[[#This Row],[SKU]],'All Skus'!$A:$AC,2,FALSE))="Martin",(VLOOKUP(Table10[[#This Row],[SKU]],'All Skus'!$A:$AC,16,FALSE)),""))</f>
        <v>0</v>
      </c>
      <c r="M459" s="224">
        <f>(IF((VLOOKUP(Table10[[#This Row],[SKU]],'All Skus'!$A:$AC,2,FALSE))="Martin",(VLOOKUP(Table10[[#This Row],[SKU]],'All Skus'!$A:$AC,17,FALSE)),""))</f>
        <v>0</v>
      </c>
      <c r="N459" s="227">
        <f>(IF((VLOOKUP(Table10[[#This Row],[SKU]],'All Skus'!$A:$AC,2,FALSE))="Martin",(VLOOKUP(Table10[[#This Row],[SKU]],'All Skus'!$A:$AC,18,FALSE)),""))</f>
        <v>0</v>
      </c>
      <c r="O459" s="227">
        <f>(IF((VLOOKUP(Table10[[#This Row],[SKU]],'All Skus'!$A:$AC,2,FALSE))="Martin",(VLOOKUP(Table10[[#This Row],[SKU]],'All Skus'!$A:$AC,19,FALSE)),""))</f>
        <v>0</v>
      </c>
      <c r="P459" s="227">
        <f>(IF((VLOOKUP(Table10[[#This Row],[SKU]],'All Skus'!$A:$AC,2,FALSE))="Martin",(VLOOKUP(Table10[[#This Row],[SKU]],'All Skus'!$A:$AC,20,FALSE)),""))</f>
        <v>0</v>
      </c>
      <c r="Q459" s="227">
        <f>(IF((VLOOKUP(Table10[[#This Row],[SKU]],'All Skus'!$A:$AC,2,FALSE))="Martin",(VLOOKUP(Table10[[#This Row],[SKU]],'All Skus'!$A:$AC,21,FALSE)),""))</f>
        <v>0</v>
      </c>
      <c r="R459" s="224" t="str">
        <f>(IF((VLOOKUP(Table10[[#This Row],[SKU]],'All Skus'!$A:$AC,2,FALSE))="Martin",(VLOOKUP(Table10[[#This Row],[SKU]],'All Skus'!$A:$AC,22,FALSE)),""))</f>
        <v>CN</v>
      </c>
      <c r="S459" s="223">
        <f>(IF((VLOOKUP(Table10[[#This Row],[SKU]],'All Skus'!$A:$AC,2,FALSE))="Martin",(VLOOKUP(Table10[[#This Row],[SKU]],'All Skus'!$A:$AC,23,FALSE)),""))</f>
        <v>0</v>
      </c>
      <c r="T459" s="212" t="str">
        <f>HYPERLINK((IF((VLOOKUP(Table10[[#This Row],[SKU]],'All Skus'!$A:$AC,2,FALSE))="Martin",(VLOOKUP(Table10[[#This Row],[SKU]],'All Skus'!$A:$AC,24,FALSE)),"")))</f>
        <v/>
      </c>
      <c r="U459" s="228">
        <v>457</v>
      </c>
    </row>
    <row r="460" spans="1:21" hidden="1">
      <c r="A460" s="90">
        <v>91611837</v>
      </c>
      <c r="B460" s="224" t="str">
        <f>(IF((VLOOKUP(Table10[[#This Row],[SKU]],'All Skus'!$A:$AC,2,FALSE))="Martin",(VLOOKUP(Table10[[#This Row],[SKU]],'All Skus'!$A:$AC,3,FALSE)),""))</f>
        <v>Architainment</v>
      </c>
      <c r="C460" s="223" t="str">
        <f>(IF((VLOOKUP(Table10[[#This Row],[SKU]],'All Skus'!$A:$AC,2,FALSE))="Martin",(VLOOKUP(Table10[[#This Row],[SKU]],'All Skus'!$A:$AC,4,FALSE)),""))</f>
        <v>EXTERIOR WASH 310 HONEYCOMB LOUVRE</v>
      </c>
      <c r="D460" s="224" t="str">
        <f>(IF((VLOOKUP(Table10[[#This Row],[SKU]],'All Skus'!$A:$AC,2,FALSE))="Martin",(VLOOKUP(Table10[[#This Row],[SKU]],'All Skus'!$A:$AC,5,FALSE)),""))</f>
        <v>EXT-WASH</v>
      </c>
      <c r="E460" s="223">
        <f>(IF((VLOOKUP(Table10[[#This Row],[SKU]],'All Skus'!$A:$AC,2,FALSE))="Martin",(VLOOKUP(Table10[[#This Row],[SKU]],'All Skus'!$A:$AC,6,FALSE)),""))</f>
        <v>0</v>
      </c>
      <c r="F460" s="155" t="str">
        <f>(IF((VLOOKUP(Table10[[#This Row],[SKU]],'All Skus'!$A:$AC,2,FALSE))="Martin",(VLOOKUP(Table10[[#This Row],[SKU]],'All Skus'!$A:$AC,7,FALSE)),""))</f>
        <v xml:space="preserve">EOL pre-notice - not recommend to specify for 2025 projects </v>
      </c>
      <c r="G460" s="223" t="str">
        <f>(IF((VLOOKUP(Table10[[#This Row],[SKU]],'All Skus'!$A:$AC,2,FALSE))="Martin",(VLOOKUP(Table10[[#This Row],[SKU]],'All Skus'!$A:$AC,8,FALSE)),""))</f>
        <v>EXTERIOR WASH 310 HONEYCOMB LOUVRE</v>
      </c>
      <c r="H460" s="223" t="str">
        <f>(IF((VLOOKUP(Table10[[#This Row],[SKU]],'All Skus'!$A:$AC,2,FALSE))="Martin",(VLOOKUP(Table10[[#This Row],[SKU]],'All Skus'!$A:$AC,9,FALSE)),""))</f>
        <v>EXTERIOR WASH 310 HONEYCOMB LOUVRE</v>
      </c>
      <c r="I460" s="225">
        <f>(IF((VLOOKUP(Table10[[#This Row],[SKU]],'All Skus'!$A:$AC,2,FALSE))="Martin",(VLOOKUP(Table10[[#This Row],[SKU]],'All Skus'!$A:$AC,10,FALSE)),""))</f>
        <v>313.63</v>
      </c>
      <c r="J460" s="226">
        <f>(IF((VLOOKUP(Table10[[#This Row],[SKU]],'All Skus'!$A:$AC,2,FALSE))="Martin",(VLOOKUP(Table10[[#This Row],[SKU]],'All Skus'!$A:$AC,11,FALSE)),""))</f>
        <v>313.63</v>
      </c>
      <c r="K460" s="224">
        <f>(IF((VLOOKUP(Table10[[#This Row],[SKU]],'All Skus'!$A:$AC,2,FALSE))="Martin",(VLOOKUP(Table10[[#This Row],[SKU]],'All Skus'!$A:$AC,15,FALSE)),""))</f>
        <v>0</v>
      </c>
      <c r="L460" s="224">
        <f>(IF((VLOOKUP(Table10[[#This Row],[SKU]],'All Skus'!$A:$AC,2,FALSE))="Martin",(VLOOKUP(Table10[[#This Row],[SKU]],'All Skus'!$A:$AC,16,FALSE)),""))</f>
        <v>0</v>
      </c>
      <c r="M460" s="224">
        <f>(IF((VLOOKUP(Table10[[#This Row],[SKU]],'All Skus'!$A:$AC,2,FALSE))="Martin",(VLOOKUP(Table10[[#This Row],[SKU]],'All Skus'!$A:$AC,17,FALSE)),""))</f>
        <v>0</v>
      </c>
      <c r="N460" s="227">
        <f>(IF((VLOOKUP(Table10[[#This Row],[SKU]],'All Skus'!$A:$AC,2,FALSE))="Martin",(VLOOKUP(Table10[[#This Row],[SKU]],'All Skus'!$A:$AC,18,FALSE)),""))</f>
        <v>0</v>
      </c>
      <c r="O460" s="227">
        <f>(IF((VLOOKUP(Table10[[#This Row],[SKU]],'All Skus'!$A:$AC,2,FALSE))="Martin",(VLOOKUP(Table10[[#This Row],[SKU]],'All Skus'!$A:$AC,19,FALSE)),""))</f>
        <v>0</v>
      </c>
      <c r="P460" s="227">
        <f>(IF((VLOOKUP(Table10[[#This Row],[SKU]],'All Skus'!$A:$AC,2,FALSE))="Martin",(VLOOKUP(Table10[[#This Row],[SKU]],'All Skus'!$A:$AC,20,FALSE)),""))</f>
        <v>0</v>
      </c>
      <c r="Q460" s="227">
        <f>(IF((VLOOKUP(Table10[[#This Row],[SKU]],'All Skus'!$A:$AC,2,FALSE))="Martin",(VLOOKUP(Table10[[#This Row],[SKU]],'All Skus'!$A:$AC,21,FALSE)),""))</f>
        <v>0</v>
      </c>
      <c r="R460" s="224" t="str">
        <f>(IF((VLOOKUP(Table10[[#This Row],[SKU]],'All Skus'!$A:$AC,2,FALSE))="Martin",(VLOOKUP(Table10[[#This Row],[SKU]],'All Skus'!$A:$AC,22,FALSE)),""))</f>
        <v>CN</v>
      </c>
      <c r="S460" s="223" t="str">
        <f>(IF((VLOOKUP(Table10[[#This Row],[SKU]],'All Skus'!$A:$AC,2,FALSE))="Martin",(VLOOKUP(Table10[[#This Row],[SKU]],'All Skus'!$A:$AC,23,FALSE)),""))</f>
        <v>Non Compliant</v>
      </c>
      <c r="T460" s="212" t="str">
        <f>HYPERLINK((IF((VLOOKUP(Table10[[#This Row],[SKU]],'All Skus'!$A:$AC,2,FALSE))="Martin",(VLOOKUP(Table10[[#This Row],[SKU]],'All Skus'!$A:$AC,24,FALSE)),"")))</f>
        <v/>
      </c>
      <c r="U460" s="228">
        <v>458</v>
      </c>
    </row>
    <row r="461" spans="1:21" hidden="1">
      <c r="A461" s="115" t="s">
        <v>2163</v>
      </c>
      <c r="B461" s="224">
        <f>(IF((VLOOKUP(Table10[[#This Row],[SKU]],'All Skus'!$A:$AC,2,FALSE))="Martin",(VLOOKUP(Table10[[#This Row],[SKU]],'All Skus'!$A:$AC,3,FALSE)),""))</f>
        <v>0</v>
      </c>
      <c r="C461" s="223">
        <f>(IF((VLOOKUP(Table10[[#This Row],[SKU]],'All Skus'!$A:$AC,2,FALSE))="Martin",(VLOOKUP(Table10[[#This Row],[SKU]],'All Skus'!$A:$AC,4,FALSE)),""))</f>
        <v>0</v>
      </c>
      <c r="D461" s="224">
        <f>(IF((VLOOKUP(Table10[[#This Row],[SKU]],'All Skus'!$A:$AC,2,FALSE))="Martin",(VLOOKUP(Table10[[#This Row],[SKU]],'All Skus'!$A:$AC,5,FALSE)),""))</f>
        <v>0</v>
      </c>
      <c r="E461" s="223">
        <f>(IF((VLOOKUP(Table10[[#This Row],[SKU]],'All Skus'!$A:$AC,2,FALSE))="Martin",(VLOOKUP(Table10[[#This Row],[SKU]],'All Skus'!$A:$AC,6,FALSE)),""))</f>
        <v>0</v>
      </c>
      <c r="F461" s="155">
        <f>(IF((VLOOKUP(Table10[[#This Row],[SKU]],'All Skus'!$A:$AC,2,FALSE))="Martin",(VLOOKUP(Table10[[#This Row],[SKU]],'All Skus'!$A:$AC,7,FALSE)),""))</f>
        <v>0</v>
      </c>
      <c r="G461" s="223">
        <f>(IF((VLOOKUP(Table10[[#This Row],[SKU]],'All Skus'!$A:$AC,2,FALSE))="Martin",(VLOOKUP(Table10[[#This Row],[SKU]],'All Skus'!$A:$AC,8,FALSE)),""))</f>
        <v>0</v>
      </c>
      <c r="H461" s="223">
        <f>(IF((VLOOKUP(Table10[[#This Row],[SKU]],'All Skus'!$A:$AC,2,FALSE))="Martin",(VLOOKUP(Table10[[#This Row],[SKU]],'All Skus'!$A:$AC,9,FALSE)),""))</f>
        <v>0</v>
      </c>
      <c r="I461" s="225">
        <f>(IF((VLOOKUP(Table10[[#This Row],[SKU]],'All Skus'!$A:$AC,2,FALSE))="Martin",(VLOOKUP(Table10[[#This Row],[SKU]],'All Skus'!$A:$AC,10,FALSE)),""))</f>
        <v>0</v>
      </c>
      <c r="J461" s="226">
        <f>(IF((VLOOKUP(Table10[[#This Row],[SKU]],'All Skus'!$A:$AC,2,FALSE))="Martin",(VLOOKUP(Table10[[#This Row],[SKU]],'All Skus'!$A:$AC,11,FALSE)),""))</f>
        <v>0</v>
      </c>
      <c r="K461" s="224">
        <f>(IF((VLOOKUP(Table10[[#This Row],[SKU]],'All Skus'!$A:$AC,2,FALSE))="Martin",(VLOOKUP(Table10[[#This Row],[SKU]],'All Skus'!$A:$AC,15,FALSE)),""))</f>
        <v>0</v>
      </c>
      <c r="L461" s="224">
        <f>(IF((VLOOKUP(Table10[[#This Row],[SKU]],'All Skus'!$A:$AC,2,FALSE))="Martin",(VLOOKUP(Table10[[#This Row],[SKU]],'All Skus'!$A:$AC,16,FALSE)),""))</f>
        <v>0</v>
      </c>
      <c r="M461" s="224">
        <f>(IF((VLOOKUP(Table10[[#This Row],[SKU]],'All Skus'!$A:$AC,2,FALSE))="Martin",(VLOOKUP(Table10[[#This Row],[SKU]],'All Skus'!$A:$AC,17,FALSE)),""))</f>
        <v>0</v>
      </c>
      <c r="N461" s="227">
        <f>(IF((VLOOKUP(Table10[[#This Row],[SKU]],'All Skus'!$A:$AC,2,FALSE))="Martin",(VLOOKUP(Table10[[#This Row],[SKU]],'All Skus'!$A:$AC,18,FALSE)),""))</f>
        <v>0</v>
      </c>
      <c r="O461" s="227">
        <f>(IF((VLOOKUP(Table10[[#This Row],[SKU]],'All Skus'!$A:$AC,2,FALSE))="Martin",(VLOOKUP(Table10[[#This Row],[SKU]],'All Skus'!$A:$AC,19,FALSE)),""))</f>
        <v>0</v>
      </c>
      <c r="P461" s="227">
        <f>(IF((VLOOKUP(Table10[[#This Row],[SKU]],'All Skus'!$A:$AC,2,FALSE))="Martin",(VLOOKUP(Table10[[#This Row],[SKU]],'All Skus'!$A:$AC,20,FALSE)),""))</f>
        <v>0</v>
      </c>
      <c r="Q461" s="227">
        <f>(IF((VLOOKUP(Table10[[#This Row],[SKU]],'All Skus'!$A:$AC,2,FALSE))="Martin",(VLOOKUP(Table10[[#This Row],[SKU]],'All Skus'!$A:$AC,21,FALSE)),""))</f>
        <v>0</v>
      </c>
      <c r="R461" s="224">
        <f>(IF((VLOOKUP(Table10[[#This Row],[SKU]],'All Skus'!$A:$AC,2,FALSE))="Martin",(VLOOKUP(Table10[[#This Row],[SKU]],'All Skus'!$A:$AC,22,FALSE)),""))</f>
        <v>0</v>
      </c>
      <c r="S461" s="223">
        <f>(IF((VLOOKUP(Table10[[#This Row],[SKU]],'All Skus'!$A:$AC,2,FALSE))="Martin",(VLOOKUP(Table10[[#This Row],[SKU]],'All Skus'!$A:$AC,23,FALSE)),""))</f>
        <v>0</v>
      </c>
      <c r="T461" s="212" t="str">
        <f>HYPERLINK((IF((VLOOKUP(Table10[[#This Row],[SKU]],'All Skus'!$A:$AC,2,FALSE))="Martin",(VLOOKUP(Table10[[#This Row],[SKU]],'All Skus'!$A:$AC,24,FALSE)),"")))</f>
        <v/>
      </c>
      <c r="U461" s="228">
        <v>459</v>
      </c>
    </row>
    <row r="462" spans="1:21" hidden="1">
      <c r="A462" s="111" t="s">
        <v>2164</v>
      </c>
      <c r="B462" s="224">
        <f>(IF((VLOOKUP(Table10[[#This Row],[SKU]],'All Skus'!$A:$AC,2,FALSE))="Martin",(VLOOKUP(Table10[[#This Row],[SKU]],'All Skus'!$A:$AC,3,FALSE)),""))</f>
        <v>0</v>
      </c>
      <c r="C462" s="223">
        <f>(IF((VLOOKUP(Table10[[#This Row],[SKU]],'All Skus'!$A:$AC,2,FALSE))="Martin",(VLOOKUP(Table10[[#This Row],[SKU]],'All Skus'!$A:$AC,4,FALSE)),""))</f>
        <v>0</v>
      </c>
      <c r="D462" s="224">
        <f>(IF((VLOOKUP(Table10[[#This Row],[SKU]],'All Skus'!$A:$AC,2,FALSE))="Martin",(VLOOKUP(Table10[[#This Row],[SKU]],'All Skus'!$A:$AC,5,FALSE)),""))</f>
        <v>0</v>
      </c>
      <c r="E462" s="223">
        <f>(IF((VLOOKUP(Table10[[#This Row],[SKU]],'All Skus'!$A:$AC,2,FALSE))="Martin",(VLOOKUP(Table10[[#This Row],[SKU]],'All Skus'!$A:$AC,6,FALSE)),""))</f>
        <v>0</v>
      </c>
      <c r="F462" s="155">
        <f>(IF((VLOOKUP(Table10[[#This Row],[SKU]],'All Skus'!$A:$AC,2,FALSE))="Martin",(VLOOKUP(Table10[[#This Row],[SKU]],'All Skus'!$A:$AC,7,FALSE)),""))</f>
        <v>0</v>
      </c>
      <c r="G462" s="223">
        <f>(IF((VLOOKUP(Table10[[#This Row],[SKU]],'All Skus'!$A:$AC,2,FALSE))="Martin",(VLOOKUP(Table10[[#This Row],[SKU]],'All Skus'!$A:$AC,8,FALSE)),""))</f>
        <v>0</v>
      </c>
      <c r="H462" s="223">
        <f>(IF((VLOOKUP(Table10[[#This Row],[SKU]],'All Skus'!$A:$AC,2,FALSE))="Martin",(VLOOKUP(Table10[[#This Row],[SKU]],'All Skus'!$A:$AC,9,FALSE)),""))</f>
        <v>0</v>
      </c>
      <c r="I462" s="225">
        <f>(IF((VLOOKUP(Table10[[#This Row],[SKU]],'All Skus'!$A:$AC,2,FALSE))="Martin",(VLOOKUP(Table10[[#This Row],[SKU]],'All Skus'!$A:$AC,10,FALSE)),""))</f>
        <v>0</v>
      </c>
      <c r="J462" s="226">
        <f>(IF((VLOOKUP(Table10[[#This Row],[SKU]],'All Skus'!$A:$AC,2,FALSE))="Martin",(VLOOKUP(Table10[[#This Row],[SKU]],'All Skus'!$A:$AC,11,FALSE)),""))</f>
        <v>0</v>
      </c>
      <c r="K462" s="224">
        <f>(IF((VLOOKUP(Table10[[#This Row],[SKU]],'All Skus'!$A:$AC,2,FALSE))="Martin",(VLOOKUP(Table10[[#This Row],[SKU]],'All Skus'!$A:$AC,15,FALSE)),""))</f>
        <v>0</v>
      </c>
      <c r="L462" s="224">
        <f>(IF((VLOOKUP(Table10[[#This Row],[SKU]],'All Skus'!$A:$AC,2,FALSE))="Martin",(VLOOKUP(Table10[[#This Row],[SKU]],'All Skus'!$A:$AC,16,FALSE)),""))</f>
        <v>0</v>
      </c>
      <c r="M462" s="224">
        <f>(IF((VLOOKUP(Table10[[#This Row],[SKU]],'All Skus'!$A:$AC,2,FALSE))="Martin",(VLOOKUP(Table10[[#This Row],[SKU]],'All Skus'!$A:$AC,17,FALSE)),""))</f>
        <v>0</v>
      </c>
      <c r="N462" s="227">
        <f>(IF((VLOOKUP(Table10[[#This Row],[SKU]],'All Skus'!$A:$AC,2,FALSE))="Martin",(VLOOKUP(Table10[[#This Row],[SKU]],'All Skus'!$A:$AC,18,FALSE)),""))</f>
        <v>0</v>
      </c>
      <c r="O462" s="227">
        <f>(IF((VLOOKUP(Table10[[#This Row],[SKU]],'All Skus'!$A:$AC,2,FALSE))="Martin",(VLOOKUP(Table10[[#This Row],[SKU]],'All Skus'!$A:$AC,19,FALSE)),""))</f>
        <v>0</v>
      </c>
      <c r="P462" s="227">
        <f>(IF((VLOOKUP(Table10[[#This Row],[SKU]],'All Skus'!$A:$AC,2,FALSE))="Martin",(VLOOKUP(Table10[[#This Row],[SKU]],'All Skus'!$A:$AC,20,FALSE)),""))</f>
        <v>0</v>
      </c>
      <c r="Q462" s="227">
        <f>(IF((VLOOKUP(Table10[[#This Row],[SKU]],'All Skus'!$A:$AC,2,FALSE))="Martin",(VLOOKUP(Table10[[#This Row],[SKU]],'All Skus'!$A:$AC,21,FALSE)),""))</f>
        <v>0</v>
      </c>
      <c r="R462" s="224">
        <f>(IF((VLOOKUP(Table10[[#This Row],[SKU]],'All Skus'!$A:$AC,2,FALSE))="Martin",(VLOOKUP(Table10[[#This Row],[SKU]],'All Skus'!$A:$AC,22,FALSE)),""))</f>
        <v>0</v>
      </c>
      <c r="S462" s="223">
        <f>(IF((VLOOKUP(Table10[[#This Row],[SKU]],'All Skus'!$A:$AC,2,FALSE))="Martin",(VLOOKUP(Table10[[#This Row],[SKU]],'All Skus'!$A:$AC,23,FALSE)),""))</f>
        <v>0</v>
      </c>
      <c r="T462" s="212" t="str">
        <f>HYPERLINK((IF((VLOOKUP(Table10[[#This Row],[SKU]],'All Skus'!$A:$AC,2,FALSE))="Martin",(VLOOKUP(Table10[[#This Row],[SKU]],'All Skus'!$A:$AC,24,FALSE)),"")))</f>
        <v/>
      </c>
      <c r="U462" s="228">
        <v>460</v>
      </c>
    </row>
    <row r="463" spans="1:21" hidden="1">
      <c r="A463" s="115" t="s">
        <v>2165</v>
      </c>
      <c r="B463" s="224">
        <f>(IF((VLOOKUP(Table10[[#This Row],[SKU]],'All Skus'!$A:$AC,2,FALSE))="Martin",(VLOOKUP(Table10[[#This Row],[SKU]],'All Skus'!$A:$AC,3,FALSE)),""))</f>
        <v>0</v>
      </c>
      <c r="C463" s="223">
        <f>(IF((VLOOKUP(Table10[[#This Row],[SKU]],'All Skus'!$A:$AC,2,FALSE))="Martin",(VLOOKUP(Table10[[#This Row],[SKU]],'All Skus'!$A:$AC,4,FALSE)),""))</f>
        <v>0</v>
      </c>
      <c r="D463" s="224">
        <f>(IF((VLOOKUP(Table10[[#This Row],[SKU]],'All Skus'!$A:$AC,2,FALSE))="Martin",(VLOOKUP(Table10[[#This Row],[SKU]],'All Skus'!$A:$AC,5,FALSE)),""))</f>
        <v>0</v>
      </c>
      <c r="E463" s="223">
        <f>(IF((VLOOKUP(Table10[[#This Row],[SKU]],'All Skus'!$A:$AC,2,FALSE))="Martin",(VLOOKUP(Table10[[#This Row],[SKU]],'All Skus'!$A:$AC,6,FALSE)),""))</f>
        <v>0</v>
      </c>
      <c r="F463" s="155">
        <f>(IF((VLOOKUP(Table10[[#This Row],[SKU]],'All Skus'!$A:$AC,2,FALSE))="Martin",(VLOOKUP(Table10[[#This Row],[SKU]],'All Skus'!$A:$AC,7,FALSE)),""))</f>
        <v>0</v>
      </c>
      <c r="G463" s="223">
        <f>(IF((VLOOKUP(Table10[[#This Row],[SKU]],'All Skus'!$A:$AC,2,FALSE))="Martin",(VLOOKUP(Table10[[#This Row],[SKU]],'All Skus'!$A:$AC,8,FALSE)),""))</f>
        <v>0</v>
      </c>
      <c r="H463" s="223">
        <f>(IF((VLOOKUP(Table10[[#This Row],[SKU]],'All Skus'!$A:$AC,2,FALSE))="Martin",(VLOOKUP(Table10[[#This Row],[SKU]],'All Skus'!$A:$AC,9,FALSE)),""))</f>
        <v>0</v>
      </c>
      <c r="I463" s="225">
        <f>(IF((VLOOKUP(Table10[[#This Row],[SKU]],'All Skus'!$A:$AC,2,FALSE))="Martin",(VLOOKUP(Table10[[#This Row],[SKU]],'All Skus'!$A:$AC,10,FALSE)),""))</f>
        <v>0</v>
      </c>
      <c r="J463" s="226">
        <f>(IF((VLOOKUP(Table10[[#This Row],[SKU]],'All Skus'!$A:$AC,2,FALSE))="Martin",(VLOOKUP(Table10[[#This Row],[SKU]],'All Skus'!$A:$AC,11,FALSE)),""))</f>
        <v>0</v>
      </c>
      <c r="K463" s="224">
        <f>(IF((VLOOKUP(Table10[[#This Row],[SKU]],'All Skus'!$A:$AC,2,FALSE))="Martin",(VLOOKUP(Table10[[#This Row],[SKU]],'All Skus'!$A:$AC,15,FALSE)),""))</f>
        <v>0</v>
      </c>
      <c r="L463" s="224">
        <f>(IF((VLOOKUP(Table10[[#This Row],[SKU]],'All Skus'!$A:$AC,2,FALSE))="Martin",(VLOOKUP(Table10[[#This Row],[SKU]],'All Skus'!$A:$AC,16,FALSE)),""))</f>
        <v>0</v>
      </c>
      <c r="M463" s="224">
        <f>(IF((VLOOKUP(Table10[[#This Row],[SKU]],'All Skus'!$A:$AC,2,FALSE))="Martin",(VLOOKUP(Table10[[#This Row],[SKU]],'All Skus'!$A:$AC,17,FALSE)),""))</f>
        <v>0</v>
      </c>
      <c r="N463" s="227">
        <f>(IF((VLOOKUP(Table10[[#This Row],[SKU]],'All Skus'!$A:$AC,2,FALSE))="Martin",(VLOOKUP(Table10[[#This Row],[SKU]],'All Skus'!$A:$AC,18,FALSE)),""))</f>
        <v>0</v>
      </c>
      <c r="O463" s="227">
        <f>(IF((VLOOKUP(Table10[[#This Row],[SKU]],'All Skus'!$A:$AC,2,FALSE))="Martin",(VLOOKUP(Table10[[#This Row],[SKU]],'All Skus'!$A:$AC,19,FALSE)),""))</f>
        <v>0</v>
      </c>
      <c r="P463" s="227">
        <f>(IF((VLOOKUP(Table10[[#This Row],[SKU]],'All Skus'!$A:$AC,2,FALSE))="Martin",(VLOOKUP(Table10[[#This Row],[SKU]],'All Skus'!$A:$AC,20,FALSE)),""))</f>
        <v>0</v>
      </c>
      <c r="Q463" s="227">
        <f>(IF((VLOOKUP(Table10[[#This Row],[SKU]],'All Skus'!$A:$AC,2,FALSE))="Martin",(VLOOKUP(Table10[[#This Row],[SKU]],'All Skus'!$A:$AC,21,FALSE)),""))</f>
        <v>0</v>
      </c>
      <c r="R463" s="224">
        <f>(IF((VLOOKUP(Table10[[#This Row],[SKU]],'All Skus'!$A:$AC,2,FALSE))="Martin",(VLOOKUP(Table10[[#This Row],[SKU]],'All Skus'!$A:$AC,22,FALSE)),""))</f>
        <v>0</v>
      </c>
      <c r="S463" s="223">
        <f>(IF((VLOOKUP(Table10[[#This Row],[SKU]],'All Skus'!$A:$AC,2,FALSE))="Martin",(VLOOKUP(Table10[[#This Row],[SKU]],'All Skus'!$A:$AC,23,FALSE)),""))</f>
        <v>0</v>
      </c>
      <c r="T463" s="212" t="str">
        <f>HYPERLINK((IF((VLOOKUP(Table10[[#This Row],[SKU]],'All Skus'!$A:$AC,2,FALSE))="Martin",(VLOOKUP(Table10[[#This Row],[SKU]],'All Skus'!$A:$AC,24,FALSE)),"")))</f>
        <v/>
      </c>
      <c r="U463" s="228">
        <v>461</v>
      </c>
    </row>
    <row r="464" spans="1:21">
      <c r="A464" s="112">
        <v>92215320</v>
      </c>
      <c r="B464" s="224" t="str">
        <f>(IF((VLOOKUP(Table10[[#This Row],[SKU]],'All Skus'!$A:$AC,2,FALSE))="Martin",(VLOOKUP(Table10[[#This Row],[SKU]],'All Skus'!$A:$AC,3,FALSE)),""))</f>
        <v>Atmospheric Effects</v>
      </c>
      <c r="C464" s="223" t="str">
        <f>(IF((VLOOKUP(Table10[[#This Row],[SKU]],'All Skus'!$A:$AC,2,FALSE))="Martin",(VLOOKUP(Table10[[#This Row],[SKU]],'All Skus'!$A:$AC,4,FALSE)),""))</f>
        <v>JEM ZR25 230V/50-60Hz, EU</v>
      </c>
      <c r="D464" s="224" t="str">
        <f>(IF((VLOOKUP(Table10[[#This Row],[SKU]],'All Skus'!$A:$AC,2,FALSE))="Martin",(VLOOKUP(Table10[[#This Row],[SKU]],'All Skus'!$A:$AC,5,FALSE)),""))</f>
        <v>MSM-JEM</v>
      </c>
      <c r="E464" s="223">
        <f>(IF((VLOOKUP(Table10[[#This Row],[SKU]],'All Skus'!$A:$AC,2,FALSE))="Martin",(VLOOKUP(Table10[[#This Row],[SKU]],'All Skus'!$A:$AC,6,FALSE)),""))</f>
        <v>0</v>
      </c>
      <c r="F464" s="155">
        <f>(IF((VLOOKUP(Table10[[#This Row],[SKU]],'All Skus'!$A:$AC,2,FALSE))="Martin",(VLOOKUP(Table10[[#This Row],[SKU]],'All Skus'!$A:$AC,7,FALSE)),""))</f>
        <v>0</v>
      </c>
      <c r="G464" s="223" t="str">
        <f>(IF((VLOOKUP(Table10[[#This Row],[SKU]],'All Skus'!$A:$AC,2,FALSE))="Martin",(VLOOKUP(Table10[[#This Row],[SKU]],'All Skus'!$A:$AC,8,FALSE)),""))</f>
        <v>JEM ZR25 230V/50-60Hz, EU</v>
      </c>
      <c r="H464" s="223" t="str">
        <f>(IF((VLOOKUP(Table10[[#This Row],[SKU]],'All Skus'!$A:$AC,2,FALSE))="Martin",(VLOOKUP(Table10[[#This Row],[SKU]],'All Skus'!$A:$AC,9,FALSE)),""))</f>
        <v>JEM ZR25 230V/50-60Hz, EU</v>
      </c>
      <c r="I464" s="225">
        <f>(IF((VLOOKUP(Table10[[#This Row],[SKU]],'All Skus'!$A:$AC,2,FALSE))="Martin",(VLOOKUP(Table10[[#This Row],[SKU]],'All Skus'!$A:$AC,10,FALSE)),""))</f>
        <v>1206.29</v>
      </c>
      <c r="J464" s="226">
        <f>(IF((VLOOKUP(Table10[[#This Row],[SKU]],'All Skus'!$A:$AC,2,FALSE))="Martin",(VLOOKUP(Table10[[#This Row],[SKU]],'All Skus'!$A:$AC,11,FALSE)),""))</f>
        <v>1206.29</v>
      </c>
      <c r="K464" s="224">
        <f>(IF((VLOOKUP(Table10[[#This Row],[SKU]],'All Skus'!$A:$AC,2,FALSE))="Martin",(VLOOKUP(Table10[[#This Row],[SKU]],'All Skus'!$A:$AC,15,FALSE)),""))</f>
        <v>0</v>
      </c>
      <c r="L464" s="224">
        <f>(IF((VLOOKUP(Table10[[#This Row],[SKU]],'All Skus'!$A:$AC,2,FALSE))="Martin",(VLOOKUP(Table10[[#This Row],[SKU]],'All Skus'!$A:$AC,16,FALSE)),""))</f>
        <v>688705004341</v>
      </c>
      <c r="M464" s="224">
        <f>(IF((VLOOKUP(Table10[[#This Row],[SKU]],'All Skus'!$A:$AC,2,FALSE))="Martin",(VLOOKUP(Table10[[#This Row],[SKU]],'All Skus'!$A:$AC,17,FALSE)),""))</f>
        <v>0</v>
      </c>
      <c r="N464" s="227">
        <f>(IF((VLOOKUP(Table10[[#This Row],[SKU]],'All Skus'!$A:$AC,2,FALSE))="Martin",(VLOOKUP(Table10[[#This Row],[SKU]],'All Skus'!$A:$AC,18,FALSE)),""))</f>
        <v>0</v>
      </c>
      <c r="O464" s="227">
        <f>(IF((VLOOKUP(Table10[[#This Row],[SKU]],'All Skus'!$A:$AC,2,FALSE))="Martin",(VLOOKUP(Table10[[#This Row],[SKU]],'All Skus'!$A:$AC,19,FALSE)),""))</f>
        <v>0</v>
      </c>
      <c r="P464" s="227">
        <f>(IF((VLOOKUP(Table10[[#This Row],[SKU]],'All Skus'!$A:$AC,2,FALSE))="Martin",(VLOOKUP(Table10[[#This Row],[SKU]],'All Skus'!$A:$AC,20,FALSE)),""))</f>
        <v>0</v>
      </c>
      <c r="Q464" s="227">
        <f>(IF((VLOOKUP(Table10[[#This Row],[SKU]],'All Skus'!$A:$AC,2,FALSE))="Martin",(VLOOKUP(Table10[[#This Row],[SKU]],'All Skus'!$A:$AC,21,FALSE)),""))</f>
        <v>0</v>
      </c>
      <c r="R464" s="224" t="str">
        <f>(IF((VLOOKUP(Table10[[#This Row],[SKU]],'All Skus'!$A:$AC,2,FALSE))="Martin",(VLOOKUP(Table10[[#This Row],[SKU]],'All Skus'!$A:$AC,22,FALSE)),""))</f>
        <v>GB</v>
      </c>
      <c r="S464" s="223">
        <f>(IF((VLOOKUP(Table10[[#This Row],[SKU]],'All Skus'!$A:$AC,2,FALSE))="Martin",(VLOOKUP(Table10[[#This Row],[SKU]],'All Skus'!$A:$AC,23,FALSE)),""))</f>
        <v>0</v>
      </c>
      <c r="T464" s="212" t="str">
        <f>HYPERLINK((IF((VLOOKUP(Table10[[#This Row],[SKU]],'All Skus'!$A:$AC,2,FALSE))="Martin",(VLOOKUP(Table10[[#This Row],[SKU]],'All Skus'!$A:$AC,24,FALSE)),"")))</f>
        <v/>
      </c>
      <c r="U464" s="228">
        <v>462</v>
      </c>
    </row>
    <row r="465" spans="1:21">
      <c r="A465" s="112">
        <v>92215330</v>
      </c>
      <c r="B465" s="224" t="str">
        <f>(IF((VLOOKUP(Table10[[#This Row],[SKU]],'All Skus'!$A:$AC,2,FALSE))="Martin",(VLOOKUP(Table10[[#This Row],[SKU]],'All Skus'!$A:$AC,3,FALSE)),""))</f>
        <v>Atmospheric Effects</v>
      </c>
      <c r="C465" s="223" t="str">
        <f>(IF((VLOOKUP(Table10[[#This Row],[SKU]],'All Skus'!$A:$AC,2,FALSE))="Martin",(VLOOKUP(Table10[[#This Row],[SKU]],'All Skus'!$A:$AC,4,FALSE)),""))</f>
        <v>JEM ZR25 120V/50-60Hz, US</v>
      </c>
      <c r="D465" s="224" t="str">
        <f>(IF((VLOOKUP(Table10[[#This Row],[SKU]],'All Skus'!$A:$AC,2,FALSE))="Martin",(VLOOKUP(Table10[[#This Row],[SKU]],'All Skus'!$A:$AC,5,FALSE)),""))</f>
        <v>MSM-JEM</v>
      </c>
      <c r="E465" s="223">
        <f>(IF((VLOOKUP(Table10[[#This Row],[SKU]],'All Skus'!$A:$AC,2,FALSE))="Martin",(VLOOKUP(Table10[[#This Row],[SKU]],'All Skus'!$A:$AC,6,FALSE)),""))</f>
        <v>0</v>
      </c>
      <c r="F465" s="155">
        <f>(IF((VLOOKUP(Table10[[#This Row],[SKU]],'All Skus'!$A:$AC,2,FALSE))="Martin",(VLOOKUP(Table10[[#This Row],[SKU]],'All Skus'!$A:$AC,7,FALSE)),""))</f>
        <v>0</v>
      </c>
      <c r="G465" s="223" t="str">
        <f>(IF((VLOOKUP(Table10[[#This Row],[SKU]],'All Skus'!$A:$AC,2,FALSE))="Martin",(VLOOKUP(Table10[[#This Row],[SKU]],'All Skus'!$A:$AC,8,FALSE)),""))</f>
        <v>JEM ZR25 120V/50-60Hz, US</v>
      </c>
      <c r="H465" s="223" t="str">
        <f>(IF((VLOOKUP(Table10[[#This Row],[SKU]],'All Skus'!$A:$AC,2,FALSE))="Martin",(VLOOKUP(Table10[[#This Row],[SKU]],'All Skus'!$A:$AC,9,FALSE)),""))</f>
        <v>JEM ZR25 120V/50-60Hz, US</v>
      </c>
      <c r="I465" s="225">
        <f>(IF((VLOOKUP(Table10[[#This Row],[SKU]],'All Skus'!$A:$AC,2,FALSE))="Martin",(VLOOKUP(Table10[[#This Row],[SKU]],'All Skus'!$A:$AC,10,FALSE)),""))</f>
        <v>1206.29</v>
      </c>
      <c r="J465" s="226">
        <f>(IF((VLOOKUP(Table10[[#This Row],[SKU]],'All Skus'!$A:$AC,2,FALSE))="Martin",(VLOOKUP(Table10[[#This Row],[SKU]],'All Skus'!$A:$AC,11,FALSE)),""))</f>
        <v>1206.29</v>
      </c>
      <c r="K465" s="224">
        <f>(IF((VLOOKUP(Table10[[#This Row],[SKU]],'All Skus'!$A:$AC,2,FALSE))="Martin",(VLOOKUP(Table10[[#This Row],[SKU]],'All Skus'!$A:$AC,15,FALSE)),""))</f>
        <v>0</v>
      </c>
      <c r="L465" s="224">
        <f>(IF((VLOOKUP(Table10[[#This Row],[SKU]],'All Skus'!$A:$AC,2,FALSE))="Martin",(VLOOKUP(Table10[[#This Row],[SKU]],'All Skus'!$A:$AC,16,FALSE)),""))</f>
        <v>688705004358</v>
      </c>
      <c r="M465" s="224">
        <f>(IF((VLOOKUP(Table10[[#This Row],[SKU]],'All Skus'!$A:$AC,2,FALSE))="Martin",(VLOOKUP(Table10[[#This Row],[SKU]],'All Skus'!$A:$AC,17,FALSE)),""))</f>
        <v>0</v>
      </c>
      <c r="N465" s="227">
        <f>(IF((VLOOKUP(Table10[[#This Row],[SKU]],'All Skus'!$A:$AC,2,FALSE))="Martin",(VLOOKUP(Table10[[#This Row],[SKU]],'All Skus'!$A:$AC,18,FALSE)),""))</f>
        <v>0</v>
      </c>
      <c r="O465" s="227">
        <f>(IF((VLOOKUP(Table10[[#This Row],[SKU]],'All Skus'!$A:$AC,2,FALSE))="Martin",(VLOOKUP(Table10[[#This Row],[SKU]],'All Skus'!$A:$AC,19,FALSE)),""))</f>
        <v>0</v>
      </c>
      <c r="P465" s="227">
        <f>(IF((VLOOKUP(Table10[[#This Row],[SKU]],'All Skus'!$A:$AC,2,FALSE))="Martin",(VLOOKUP(Table10[[#This Row],[SKU]],'All Skus'!$A:$AC,20,FALSE)),""))</f>
        <v>0</v>
      </c>
      <c r="Q465" s="227">
        <f>(IF((VLOOKUP(Table10[[#This Row],[SKU]],'All Skus'!$A:$AC,2,FALSE))="Martin",(VLOOKUP(Table10[[#This Row],[SKU]],'All Skus'!$A:$AC,21,FALSE)),""))</f>
        <v>0</v>
      </c>
      <c r="R465" s="224" t="str">
        <f>(IF((VLOOKUP(Table10[[#This Row],[SKU]],'All Skus'!$A:$AC,2,FALSE))="Martin",(VLOOKUP(Table10[[#This Row],[SKU]],'All Skus'!$A:$AC,22,FALSE)),""))</f>
        <v>GB</v>
      </c>
      <c r="S465" s="223">
        <f>(IF((VLOOKUP(Table10[[#This Row],[SKU]],'All Skus'!$A:$AC,2,FALSE))="Martin",(VLOOKUP(Table10[[#This Row],[SKU]],'All Skus'!$A:$AC,23,FALSE)),""))</f>
        <v>0</v>
      </c>
      <c r="T465" s="212" t="str">
        <f>HYPERLINK((IF((VLOOKUP(Table10[[#This Row],[SKU]],'All Skus'!$A:$AC,2,FALSE))="Martin",(VLOOKUP(Table10[[#This Row],[SKU]],'All Skus'!$A:$AC,24,FALSE)),"")))</f>
        <v>http://www.martin.com/en-us/product-details/jem-zr25</v>
      </c>
      <c r="U465" s="228">
        <v>463</v>
      </c>
    </row>
    <row r="466" spans="1:21">
      <c r="A466" s="112">
        <v>92625012</v>
      </c>
      <c r="B466" s="224" t="str">
        <f>(IF((VLOOKUP(Table10[[#This Row],[SKU]],'All Skus'!$A:$AC,2,FALSE))="Martin",(VLOOKUP(Table10[[#This Row],[SKU]],'All Skus'!$A:$AC,3,FALSE)),""))</f>
        <v>Atmospheric Effects</v>
      </c>
      <c r="C466" s="223" t="str">
        <f>(IF((VLOOKUP(Table10[[#This Row],[SKU]],'All Skus'!$A:$AC,2,FALSE))="Martin",(VLOOKUP(Table10[[#This Row],[SKU]],'All Skus'!$A:$AC,4,FALSE)),""))</f>
        <v xml:space="preserve">Ducting system, JEM ZR25 </v>
      </c>
      <c r="D466" s="224" t="str">
        <f>(IF((VLOOKUP(Table10[[#This Row],[SKU]],'All Skus'!$A:$AC,2,FALSE))="Martin",(VLOOKUP(Table10[[#This Row],[SKU]],'All Skus'!$A:$AC,5,FALSE)),""))</f>
        <v>MSM-JEM</v>
      </c>
      <c r="E466" s="223">
        <f>(IF((VLOOKUP(Table10[[#This Row],[SKU]],'All Skus'!$A:$AC,2,FALSE))="Martin",(VLOOKUP(Table10[[#This Row],[SKU]],'All Skus'!$A:$AC,6,FALSE)),""))</f>
        <v>0</v>
      </c>
      <c r="F466" s="155">
        <f>(IF((VLOOKUP(Table10[[#This Row],[SKU]],'All Skus'!$A:$AC,2,FALSE))="Martin",(VLOOKUP(Table10[[#This Row],[SKU]],'All Skus'!$A:$AC,7,FALSE)),""))</f>
        <v>0</v>
      </c>
      <c r="G466" s="223" t="str">
        <f>(IF((VLOOKUP(Table10[[#This Row],[SKU]],'All Skus'!$A:$AC,2,FALSE))="Martin",(VLOOKUP(Table10[[#This Row],[SKU]],'All Skus'!$A:$AC,8,FALSE)),""))</f>
        <v xml:space="preserve">Ducting system, JEM ZR25 </v>
      </c>
      <c r="H466" s="223" t="str">
        <f>(IF((VLOOKUP(Table10[[#This Row],[SKU]],'All Skus'!$A:$AC,2,FALSE))="Martin",(VLOOKUP(Table10[[#This Row],[SKU]],'All Skus'!$A:$AC,9,FALSE)),""))</f>
        <v xml:space="preserve">Ducting system, JEM ZR25 </v>
      </c>
      <c r="I466" s="225">
        <f>(IF((VLOOKUP(Table10[[#This Row],[SKU]],'All Skus'!$A:$AC,2,FALSE))="Martin",(VLOOKUP(Table10[[#This Row],[SKU]],'All Skus'!$A:$AC,10,FALSE)),""))</f>
        <v>322.27</v>
      </c>
      <c r="J466" s="226">
        <f>(IF((VLOOKUP(Table10[[#This Row],[SKU]],'All Skus'!$A:$AC,2,FALSE))="Martin",(VLOOKUP(Table10[[#This Row],[SKU]],'All Skus'!$A:$AC,11,FALSE)),""))</f>
        <v>322.27</v>
      </c>
      <c r="K466" s="224">
        <f>(IF((VLOOKUP(Table10[[#This Row],[SKU]],'All Skus'!$A:$AC,2,FALSE))="Martin",(VLOOKUP(Table10[[#This Row],[SKU]],'All Skus'!$A:$AC,15,FALSE)),""))</f>
        <v>0</v>
      </c>
      <c r="L466" s="224">
        <f>(IF((VLOOKUP(Table10[[#This Row],[SKU]],'All Skus'!$A:$AC,2,FALSE))="Martin",(VLOOKUP(Table10[[#This Row],[SKU]],'All Skus'!$A:$AC,16,FALSE)),""))</f>
        <v>688705004990</v>
      </c>
      <c r="M466" s="224">
        <f>(IF((VLOOKUP(Table10[[#This Row],[SKU]],'All Skus'!$A:$AC,2,FALSE))="Martin",(VLOOKUP(Table10[[#This Row],[SKU]],'All Skus'!$A:$AC,17,FALSE)),""))</f>
        <v>0</v>
      </c>
      <c r="N466" s="227">
        <f>(IF((VLOOKUP(Table10[[#This Row],[SKU]],'All Skus'!$A:$AC,2,FALSE))="Martin",(VLOOKUP(Table10[[#This Row],[SKU]],'All Skus'!$A:$AC,18,FALSE)),""))</f>
        <v>0</v>
      </c>
      <c r="O466" s="227">
        <f>(IF((VLOOKUP(Table10[[#This Row],[SKU]],'All Skus'!$A:$AC,2,FALSE))="Martin",(VLOOKUP(Table10[[#This Row],[SKU]],'All Skus'!$A:$AC,19,FALSE)),""))</f>
        <v>0</v>
      </c>
      <c r="P466" s="227">
        <f>(IF((VLOOKUP(Table10[[#This Row],[SKU]],'All Skus'!$A:$AC,2,FALSE))="Martin",(VLOOKUP(Table10[[#This Row],[SKU]],'All Skus'!$A:$AC,20,FALSE)),""))</f>
        <v>0</v>
      </c>
      <c r="Q466" s="227">
        <f>(IF((VLOOKUP(Table10[[#This Row],[SKU]],'All Skus'!$A:$AC,2,FALSE))="Martin",(VLOOKUP(Table10[[#This Row],[SKU]],'All Skus'!$A:$AC,21,FALSE)),""))</f>
        <v>0</v>
      </c>
      <c r="R466" s="224" t="str">
        <f>(IF((VLOOKUP(Table10[[#This Row],[SKU]],'All Skus'!$A:$AC,2,FALSE))="Martin",(VLOOKUP(Table10[[#This Row],[SKU]],'All Skus'!$A:$AC,22,FALSE)),""))</f>
        <v>GB</v>
      </c>
      <c r="S466" s="223">
        <f>(IF((VLOOKUP(Table10[[#This Row],[SKU]],'All Skus'!$A:$AC,2,FALSE))="Martin",(VLOOKUP(Table10[[#This Row],[SKU]],'All Skus'!$A:$AC,23,FALSE)),""))</f>
        <v>0</v>
      </c>
      <c r="T466" s="212" t="str">
        <f>HYPERLINK((IF((VLOOKUP(Table10[[#This Row],[SKU]],'All Skus'!$A:$AC,2,FALSE))="Martin",(VLOOKUP(Table10[[#This Row],[SKU]],'All Skus'!$A:$AC,24,FALSE)),"")))</f>
        <v>http://www.martin.com/en-us/product-details/jem-zr25</v>
      </c>
      <c r="U466" s="228">
        <v>464</v>
      </c>
    </row>
    <row r="467" spans="1:21" hidden="1">
      <c r="A467" s="115" t="s">
        <v>2166</v>
      </c>
      <c r="B467" s="224">
        <f>(IF((VLOOKUP(Table10[[#This Row],[SKU]],'All Skus'!$A:$AC,2,FALSE))="Martin",(VLOOKUP(Table10[[#This Row],[SKU]],'All Skus'!$A:$AC,3,FALSE)),""))</f>
        <v>0</v>
      </c>
      <c r="C467" s="223">
        <f>(IF((VLOOKUP(Table10[[#This Row],[SKU]],'All Skus'!$A:$AC,2,FALSE))="Martin",(VLOOKUP(Table10[[#This Row],[SKU]],'All Skus'!$A:$AC,4,FALSE)),""))</f>
        <v>0</v>
      </c>
      <c r="D467" s="224">
        <f>(IF((VLOOKUP(Table10[[#This Row],[SKU]],'All Skus'!$A:$AC,2,FALSE))="Martin",(VLOOKUP(Table10[[#This Row],[SKU]],'All Skus'!$A:$AC,5,FALSE)),""))</f>
        <v>0</v>
      </c>
      <c r="E467" s="223">
        <f>(IF((VLOOKUP(Table10[[#This Row],[SKU]],'All Skus'!$A:$AC,2,FALSE))="Martin",(VLOOKUP(Table10[[#This Row],[SKU]],'All Skus'!$A:$AC,6,FALSE)),""))</f>
        <v>0</v>
      </c>
      <c r="F467" s="155">
        <f>(IF((VLOOKUP(Table10[[#This Row],[SKU]],'All Skus'!$A:$AC,2,FALSE))="Martin",(VLOOKUP(Table10[[#This Row],[SKU]],'All Skus'!$A:$AC,7,FALSE)),""))</f>
        <v>0</v>
      </c>
      <c r="G467" s="223">
        <f>(IF((VLOOKUP(Table10[[#This Row],[SKU]],'All Skus'!$A:$AC,2,FALSE))="Martin",(VLOOKUP(Table10[[#This Row],[SKU]],'All Skus'!$A:$AC,8,FALSE)),""))</f>
        <v>0</v>
      </c>
      <c r="H467" s="223">
        <f>(IF((VLOOKUP(Table10[[#This Row],[SKU]],'All Skus'!$A:$AC,2,FALSE))="Martin",(VLOOKUP(Table10[[#This Row],[SKU]],'All Skus'!$A:$AC,9,FALSE)),""))</f>
        <v>0</v>
      </c>
      <c r="I467" s="225">
        <f>(IF((VLOOKUP(Table10[[#This Row],[SKU]],'All Skus'!$A:$AC,2,FALSE))="Martin",(VLOOKUP(Table10[[#This Row],[SKU]],'All Skus'!$A:$AC,10,FALSE)),""))</f>
        <v>0</v>
      </c>
      <c r="J467" s="226">
        <f>(IF((VLOOKUP(Table10[[#This Row],[SKU]],'All Skus'!$A:$AC,2,FALSE))="Martin",(VLOOKUP(Table10[[#This Row],[SKU]],'All Skus'!$A:$AC,11,FALSE)),""))</f>
        <v>0</v>
      </c>
      <c r="K467" s="224">
        <f>(IF((VLOOKUP(Table10[[#This Row],[SKU]],'All Skus'!$A:$AC,2,FALSE))="Martin",(VLOOKUP(Table10[[#This Row],[SKU]],'All Skus'!$A:$AC,15,FALSE)),""))</f>
        <v>0</v>
      </c>
      <c r="L467" s="224">
        <f>(IF((VLOOKUP(Table10[[#This Row],[SKU]],'All Skus'!$A:$AC,2,FALSE))="Martin",(VLOOKUP(Table10[[#This Row],[SKU]],'All Skus'!$A:$AC,16,FALSE)),""))</f>
        <v>0</v>
      </c>
      <c r="M467" s="224">
        <f>(IF((VLOOKUP(Table10[[#This Row],[SKU]],'All Skus'!$A:$AC,2,FALSE))="Martin",(VLOOKUP(Table10[[#This Row],[SKU]],'All Skus'!$A:$AC,17,FALSE)),""))</f>
        <v>0</v>
      </c>
      <c r="N467" s="227">
        <f>(IF((VLOOKUP(Table10[[#This Row],[SKU]],'All Skus'!$A:$AC,2,FALSE))="Martin",(VLOOKUP(Table10[[#This Row],[SKU]],'All Skus'!$A:$AC,18,FALSE)),""))</f>
        <v>0</v>
      </c>
      <c r="O467" s="227">
        <f>(IF((VLOOKUP(Table10[[#This Row],[SKU]],'All Skus'!$A:$AC,2,FALSE))="Martin",(VLOOKUP(Table10[[#This Row],[SKU]],'All Skus'!$A:$AC,19,FALSE)),""))</f>
        <v>0</v>
      </c>
      <c r="P467" s="227">
        <f>(IF((VLOOKUP(Table10[[#This Row],[SKU]],'All Skus'!$A:$AC,2,FALSE))="Martin",(VLOOKUP(Table10[[#This Row],[SKU]],'All Skus'!$A:$AC,20,FALSE)),""))</f>
        <v>0</v>
      </c>
      <c r="Q467" s="227">
        <f>(IF((VLOOKUP(Table10[[#This Row],[SKU]],'All Skus'!$A:$AC,2,FALSE))="Martin",(VLOOKUP(Table10[[#This Row],[SKU]],'All Skus'!$A:$AC,21,FALSE)),""))</f>
        <v>0</v>
      </c>
      <c r="R467" s="224">
        <f>(IF((VLOOKUP(Table10[[#This Row],[SKU]],'All Skus'!$A:$AC,2,FALSE))="Martin",(VLOOKUP(Table10[[#This Row],[SKU]],'All Skus'!$A:$AC,22,FALSE)),""))</f>
        <v>0</v>
      </c>
      <c r="S467" s="223">
        <f>(IF((VLOOKUP(Table10[[#This Row],[SKU]],'All Skus'!$A:$AC,2,FALSE))="Martin",(VLOOKUP(Table10[[#This Row],[SKU]],'All Skus'!$A:$AC,23,FALSE)),""))</f>
        <v>0</v>
      </c>
      <c r="T467" s="212" t="str">
        <f>HYPERLINK((IF((VLOOKUP(Table10[[#This Row],[SKU]],'All Skus'!$A:$AC,2,FALSE))="Martin",(VLOOKUP(Table10[[#This Row],[SKU]],'All Skus'!$A:$AC,24,FALSE)),"")))</f>
        <v/>
      </c>
      <c r="U467" s="228">
        <v>465</v>
      </c>
    </row>
    <row r="468" spans="1:21">
      <c r="A468" s="112">
        <v>92215340</v>
      </c>
      <c r="B468" s="224" t="str">
        <f>(IF((VLOOKUP(Table10[[#This Row],[SKU]],'All Skus'!$A:$AC,2,FALSE))="Martin",(VLOOKUP(Table10[[#This Row],[SKU]],'All Skus'!$A:$AC,3,FALSE)),""))</f>
        <v>Atmospheric Effects</v>
      </c>
      <c r="C468" s="223" t="str">
        <f>(IF((VLOOKUP(Table10[[#This Row],[SKU]],'All Skus'!$A:$AC,2,FALSE))="Martin",(VLOOKUP(Table10[[#This Row],[SKU]],'All Skus'!$A:$AC,4,FALSE)),""))</f>
        <v>JEM ZR35 230V/50-60Hz, EU</v>
      </c>
      <c r="D468" s="224" t="str">
        <f>(IF((VLOOKUP(Table10[[#This Row],[SKU]],'All Skus'!$A:$AC,2,FALSE))="Martin",(VLOOKUP(Table10[[#This Row],[SKU]],'All Skus'!$A:$AC,5,FALSE)),""))</f>
        <v>MSM-JEM</v>
      </c>
      <c r="E468" s="223">
        <f>(IF((VLOOKUP(Table10[[#This Row],[SKU]],'All Skus'!$A:$AC,2,FALSE))="Martin",(VLOOKUP(Table10[[#This Row],[SKU]],'All Skus'!$A:$AC,6,FALSE)),""))</f>
        <v>0</v>
      </c>
      <c r="F468" s="155">
        <f>(IF((VLOOKUP(Table10[[#This Row],[SKU]],'All Skus'!$A:$AC,2,FALSE))="Martin",(VLOOKUP(Table10[[#This Row],[SKU]],'All Skus'!$A:$AC,7,FALSE)),""))</f>
        <v>0</v>
      </c>
      <c r="G468" s="223" t="str">
        <f>(IF((VLOOKUP(Table10[[#This Row],[SKU]],'All Skus'!$A:$AC,2,FALSE))="Martin",(VLOOKUP(Table10[[#This Row],[SKU]],'All Skus'!$A:$AC,8,FALSE)),""))</f>
        <v>JEM ZR35 230V/50-60Hz, EU</v>
      </c>
      <c r="H468" s="223" t="str">
        <f>(IF((VLOOKUP(Table10[[#This Row],[SKU]],'All Skus'!$A:$AC,2,FALSE))="Martin",(VLOOKUP(Table10[[#This Row],[SKU]],'All Skus'!$A:$AC,9,FALSE)),""))</f>
        <v>JEM ZR35 230V/50-60Hz, EU</v>
      </c>
      <c r="I468" s="225">
        <f>(IF((VLOOKUP(Table10[[#This Row],[SKU]],'All Skus'!$A:$AC,2,FALSE))="Martin",(VLOOKUP(Table10[[#This Row],[SKU]],'All Skus'!$A:$AC,10,FALSE)),""))</f>
        <v>1455.82</v>
      </c>
      <c r="J468" s="226">
        <f>(IF((VLOOKUP(Table10[[#This Row],[SKU]],'All Skus'!$A:$AC,2,FALSE))="Martin",(VLOOKUP(Table10[[#This Row],[SKU]],'All Skus'!$A:$AC,11,FALSE)),""))</f>
        <v>1455.82</v>
      </c>
      <c r="K468" s="224">
        <f>(IF((VLOOKUP(Table10[[#This Row],[SKU]],'All Skus'!$A:$AC,2,FALSE))="Martin",(VLOOKUP(Table10[[#This Row],[SKU]],'All Skus'!$A:$AC,15,FALSE)),""))</f>
        <v>0</v>
      </c>
      <c r="L468" s="224">
        <f>(IF((VLOOKUP(Table10[[#This Row],[SKU]],'All Skus'!$A:$AC,2,FALSE))="Martin",(VLOOKUP(Table10[[#This Row],[SKU]],'All Skus'!$A:$AC,16,FALSE)),""))</f>
        <v>688705004372</v>
      </c>
      <c r="M468" s="224">
        <f>(IF((VLOOKUP(Table10[[#This Row],[SKU]],'All Skus'!$A:$AC,2,FALSE))="Martin",(VLOOKUP(Table10[[#This Row],[SKU]],'All Skus'!$A:$AC,17,FALSE)),""))</f>
        <v>0</v>
      </c>
      <c r="N468" s="227">
        <f>(IF((VLOOKUP(Table10[[#This Row],[SKU]],'All Skus'!$A:$AC,2,FALSE))="Martin",(VLOOKUP(Table10[[#This Row],[SKU]],'All Skus'!$A:$AC,18,FALSE)),""))</f>
        <v>0</v>
      </c>
      <c r="O468" s="227">
        <f>(IF((VLOOKUP(Table10[[#This Row],[SKU]],'All Skus'!$A:$AC,2,FALSE))="Martin",(VLOOKUP(Table10[[#This Row],[SKU]],'All Skus'!$A:$AC,19,FALSE)),""))</f>
        <v>0</v>
      </c>
      <c r="P468" s="227">
        <f>(IF((VLOOKUP(Table10[[#This Row],[SKU]],'All Skus'!$A:$AC,2,FALSE))="Martin",(VLOOKUP(Table10[[#This Row],[SKU]],'All Skus'!$A:$AC,20,FALSE)),""))</f>
        <v>0</v>
      </c>
      <c r="Q468" s="227">
        <f>(IF((VLOOKUP(Table10[[#This Row],[SKU]],'All Skus'!$A:$AC,2,FALSE))="Martin",(VLOOKUP(Table10[[#This Row],[SKU]],'All Skus'!$A:$AC,21,FALSE)),""))</f>
        <v>0</v>
      </c>
      <c r="R468" s="224" t="str">
        <f>(IF((VLOOKUP(Table10[[#This Row],[SKU]],'All Skus'!$A:$AC,2,FALSE))="Martin",(VLOOKUP(Table10[[#This Row],[SKU]],'All Skus'!$A:$AC,22,FALSE)),""))</f>
        <v>GB</v>
      </c>
      <c r="S468" s="223">
        <f>(IF((VLOOKUP(Table10[[#This Row],[SKU]],'All Skus'!$A:$AC,2,FALSE))="Martin",(VLOOKUP(Table10[[#This Row],[SKU]],'All Skus'!$A:$AC,23,FALSE)),""))</f>
        <v>0</v>
      </c>
      <c r="T468" s="212" t="str">
        <f>HYPERLINK((IF((VLOOKUP(Table10[[#This Row],[SKU]],'All Skus'!$A:$AC,2,FALSE))="Martin",(VLOOKUP(Table10[[#This Row],[SKU]],'All Skus'!$A:$AC,24,FALSE)),"")))</f>
        <v/>
      </c>
      <c r="U468" s="228">
        <v>466</v>
      </c>
    </row>
    <row r="469" spans="1:21">
      <c r="A469" s="112">
        <v>92215350</v>
      </c>
      <c r="B469" s="224" t="str">
        <f>(IF((VLOOKUP(Table10[[#This Row],[SKU]],'All Skus'!$A:$AC,2,FALSE))="Martin",(VLOOKUP(Table10[[#This Row],[SKU]],'All Skus'!$A:$AC,3,FALSE)),""))</f>
        <v>Atmospheric Effects</v>
      </c>
      <c r="C469" s="223" t="str">
        <f>(IF((VLOOKUP(Table10[[#This Row],[SKU]],'All Skus'!$A:$AC,2,FALSE))="Martin",(VLOOKUP(Table10[[#This Row],[SKU]],'All Skus'!$A:$AC,4,FALSE)),""))</f>
        <v>JEM ZR35 120V/50-60Hz, US</v>
      </c>
      <c r="D469" s="224" t="str">
        <f>(IF((VLOOKUP(Table10[[#This Row],[SKU]],'All Skus'!$A:$AC,2,FALSE))="Martin",(VLOOKUP(Table10[[#This Row],[SKU]],'All Skus'!$A:$AC,5,FALSE)),""))</f>
        <v>MSM-JEM</v>
      </c>
      <c r="E469" s="223">
        <f>(IF((VLOOKUP(Table10[[#This Row],[SKU]],'All Skus'!$A:$AC,2,FALSE))="Martin",(VLOOKUP(Table10[[#This Row],[SKU]],'All Skus'!$A:$AC,6,FALSE)),""))</f>
        <v>0</v>
      </c>
      <c r="F469" s="155">
        <f>(IF((VLOOKUP(Table10[[#This Row],[SKU]],'All Skus'!$A:$AC,2,FALSE))="Martin",(VLOOKUP(Table10[[#This Row],[SKU]],'All Skus'!$A:$AC,7,FALSE)),""))</f>
        <v>0</v>
      </c>
      <c r="G469" s="223" t="str">
        <f>(IF((VLOOKUP(Table10[[#This Row],[SKU]],'All Skus'!$A:$AC,2,FALSE))="Martin",(VLOOKUP(Table10[[#This Row],[SKU]],'All Skus'!$A:$AC,8,FALSE)),""))</f>
        <v>JEM ZR35 120V/50-60Hz, US</v>
      </c>
      <c r="H469" s="223" t="str">
        <f>(IF((VLOOKUP(Table10[[#This Row],[SKU]],'All Skus'!$A:$AC,2,FALSE))="Martin",(VLOOKUP(Table10[[#This Row],[SKU]],'All Skus'!$A:$AC,9,FALSE)),""))</f>
        <v>JEM ZR35 120V/50-60Hz, US</v>
      </c>
      <c r="I469" s="225">
        <f>(IF((VLOOKUP(Table10[[#This Row],[SKU]],'All Skus'!$A:$AC,2,FALSE))="Martin",(VLOOKUP(Table10[[#This Row],[SKU]],'All Skus'!$A:$AC,10,FALSE)),""))</f>
        <v>1455.82</v>
      </c>
      <c r="J469" s="226">
        <f>(IF((VLOOKUP(Table10[[#This Row],[SKU]],'All Skus'!$A:$AC,2,FALSE))="Martin",(VLOOKUP(Table10[[#This Row],[SKU]],'All Skus'!$A:$AC,11,FALSE)),""))</f>
        <v>1455.82</v>
      </c>
      <c r="K469" s="224">
        <f>(IF((VLOOKUP(Table10[[#This Row],[SKU]],'All Skus'!$A:$AC,2,FALSE))="Martin",(VLOOKUP(Table10[[#This Row],[SKU]],'All Skus'!$A:$AC,15,FALSE)),""))</f>
        <v>0</v>
      </c>
      <c r="L469" s="224">
        <f>(IF((VLOOKUP(Table10[[#This Row],[SKU]],'All Skus'!$A:$AC,2,FALSE))="Martin",(VLOOKUP(Table10[[#This Row],[SKU]],'All Skus'!$A:$AC,16,FALSE)),""))</f>
        <v>688705004389</v>
      </c>
      <c r="M469" s="224">
        <f>(IF((VLOOKUP(Table10[[#This Row],[SKU]],'All Skus'!$A:$AC,2,FALSE))="Martin",(VLOOKUP(Table10[[#This Row],[SKU]],'All Skus'!$A:$AC,17,FALSE)),""))</f>
        <v>0</v>
      </c>
      <c r="N469" s="227">
        <f>(IF((VLOOKUP(Table10[[#This Row],[SKU]],'All Skus'!$A:$AC,2,FALSE))="Martin",(VLOOKUP(Table10[[#This Row],[SKU]],'All Skus'!$A:$AC,18,FALSE)),""))</f>
        <v>0</v>
      </c>
      <c r="O469" s="227">
        <f>(IF((VLOOKUP(Table10[[#This Row],[SKU]],'All Skus'!$A:$AC,2,FALSE))="Martin",(VLOOKUP(Table10[[#This Row],[SKU]],'All Skus'!$A:$AC,19,FALSE)),""))</f>
        <v>0</v>
      </c>
      <c r="P469" s="227">
        <f>(IF((VLOOKUP(Table10[[#This Row],[SKU]],'All Skus'!$A:$AC,2,FALSE))="Martin",(VLOOKUP(Table10[[#This Row],[SKU]],'All Skus'!$A:$AC,20,FALSE)),""))</f>
        <v>0</v>
      </c>
      <c r="Q469" s="227">
        <f>(IF((VLOOKUP(Table10[[#This Row],[SKU]],'All Skus'!$A:$AC,2,FALSE))="Martin",(VLOOKUP(Table10[[#This Row],[SKU]],'All Skus'!$A:$AC,21,FALSE)),""))</f>
        <v>0</v>
      </c>
      <c r="R469" s="224" t="str">
        <f>(IF((VLOOKUP(Table10[[#This Row],[SKU]],'All Skus'!$A:$AC,2,FALSE))="Martin",(VLOOKUP(Table10[[#This Row],[SKU]],'All Skus'!$A:$AC,22,FALSE)),""))</f>
        <v>GB</v>
      </c>
      <c r="S469" s="223">
        <f>(IF((VLOOKUP(Table10[[#This Row],[SKU]],'All Skus'!$A:$AC,2,FALSE))="Martin",(VLOOKUP(Table10[[#This Row],[SKU]],'All Skus'!$A:$AC,23,FALSE)),""))</f>
        <v>0</v>
      </c>
      <c r="T469" s="212" t="str">
        <f>HYPERLINK((IF((VLOOKUP(Table10[[#This Row],[SKU]],'All Skus'!$A:$AC,2,FALSE))="Martin",(VLOOKUP(Table10[[#This Row],[SKU]],'All Skus'!$A:$AC,24,FALSE)),"")))</f>
        <v>http://www.martin.com/en-us/product-details/jem-zr35</v>
      </c>
      <c r="U469" s="228">
        <v>467</v>
      </c>
    </row>
    <row r="470" spans="1:21">
      <c r="A470" s="112">
        <v>92625013</v>
      </c>
      <c r="B470" s="224" t="str">
        <f>(IF((VLOOKUP(Table10[[#This Row],[SKU]],'All Skus'!$A:$AC,2,FALSE))="Martin",(VLOOKUP(Table10[[#This Row],[SKU]],'All Skus'!$A:$AC,3,FALSE)),""))</f>
        <v>Atmospheric Effects</v>
      </c>
      <c r="C470" s="223" t="str">
        <f>(IF((VLOOKUP(Table10[[#This Row],[SKU]],'All Skus'!$A:$AC,2,FALSE))="Martin",(VLOOKUP(Table10[[#This Row],[SKU]],'All Skus'!$A:$AC,4,FALSE)),""))</f>
        <v xml:space="preserve">Ducting system, JEM ZR35 </v>
      </c>
      <c r="D470" s="224" t="str">
        <f>(IF((VLOOKUP(Table10[[#This Row],[SKU]],'All Skus'!$A:$AC,2,FALSE))="Martin",(VLOOKUP(Table10[[#This Row],[SKU]],'All Skus'!$A:$AC,5,FALSE)),""))</f>
        <v>MSM-JEM</v>
      </c>
      <c r="E470" s="223">
        <f>(IF((VLOOKUP(Table10[[#This Row],[SKU]],'All Skus'!$A:$AC,2,FALSE))="Martin",(VLOOKUP(Table10[[#This Row],[SKU]],'All Skus'!$A:$AC,6,FALSE)),""))</f>
        <v>0</v>
      </c>
      <c r="F470" s="155">
        <f>(IF((VLOOKUP(Table10[[#This Row],[SKU]],'All Skus'!$A:$AC,2,FALSE))="Martin",(VLOOKUP(Table10[[#This Row],[SKU]],'All Skus'!$A:$AC,7,FALSE)),""))</f>
        <v>0</v>
      </c>
      <c r="G470" s="223" t="str">
        <f>(IF((VLOOKUP(Table10[[#This Row],[SKU]],'All Skus'!$A:$AC,2,FALSE))="Martin",(VLOOKUP(Table10[[#This Row],[SKU]],'All Skus'!$A:$AC,8,FALSE)),""))</f>
        <v xml:space="preserve">Ducting system, JEM ZR35 </v>
      </c>
      <c r="H470" s="223" t="str">
        <f>(IF((VLOOKUP(Table10[[#This Row],[SKU]],'All Skus'!$A:$AC,2,FALSE))="Martin",(VLOOKUP(Table10[[#This Row],[SKU]],'All Skus'!$A:$AC,9,FALSE)),""))</f>
        <v xml:space="preserve">Ducting system, JEM ZR35 </v>
      </c>
      <c r="I470" s="225">
        <f>(IF((VLOOKUP(Table10[[#This Row],[SKU]],'All Skus'!$A:$AC,2,FALSE))="Martin",(VLOOKUP(Table10[[#This Row],[SKU]],'All Skus'!$A:$AC,10,FALSE)),""))</f>
        <v>343.26</v>
      </c>
      <c r="J470" s="226">
        <f>(IF((VLOOKUP(Table10[[#This Row],[SKU]],'All Skus'!$A:$AC,2,FALSE))="Martin",(VLOOKUP(Table10[[#This Row],[SKU]],'All Skus'!$A:$AC,11,FALSE)),""))</f>
        <v>343.26</v>
      </c>
      <c r="K470" s="224">
        <f>(IF((VLOOKUP(Table10[[#This Row],[SKU]],'All Skus'!$A:$AC,2,FALSE))="Martin",(VLOOKUP(Table10[[#This Row],[SKU]],'All Skus'!$A:$AC,15,FALSE)),""))</f>
        <v>0</v>
      </c>
      <c r="L470" s="224">
        <f>(IF((VLOOKUP(Table10[[#This Row],[SKU]],'All Skus'!$A:$AC,2,FALSE))="Martin",(VLOOKUP(Table10[[#This Row],[SKU]],'All Skus'!$A:$AC,16,FALSE)),""))</f>
        <v>688705005003</v>
      </c>
      <c r="M470" s="224">
        <f>(IF((VLOOKUP(Table10[[#This Row],[SKU]],'All Skus'!$A:$AC,2,FALSE))="Martin",(VLOOKUP(Table10[[#This Row],[SKU]],'All Skus'!$A:$AC,17,FALSE)),""))</f>
        <v>0</v>
      </c>
      <c r="N470" s="227">
        <f>(IF((VLOOKUP(Table10[[#This Row],[SKU]],'All Skus'!$A:$AC,2,FALSE))="Martin",(VLOOKUP(Table10[[#This Row],[SKU]],'All Skus'!$A:$AC,18,FALSE)),""))</f>
        <v>0</v>
      </c>
      <c r="O470" s="227">
        <f>(IF((VLOOKUP(Table10[[#This Row],[SKU]],'All Skus'!$A:$AC,2,FALSE))="Martin",(VLOOKUP(Table10[[#This Row],[SKU]],'All Skus'!$A:$AC,19,FALSE)),""))</f>
        <v>0</v>
      </c>
      <c r="P470" s="227">
        <f>(IF((VLOOKUP(Table10[[#This Row],[SKU]],'All Skus'!$A:$AC,2,FALSE))="Martin",(VLOOKUP(Table10[[#This Row],[SKU]],'All Skus'!$A:$AC,20,FALSE)),""))</f>
        <v>0</v>
      </c>
      <c r="Q470" s="227">
        <f>(IF((VLOOKUP(Table10[[#This Row],[SKU]],'All Skus'!$A:$AC,2,FALSE))="Martin",(VLOOKUP(Table10[[#This Row],[SKU]],'All Skus'!$A:$AC,21,FALSE)),""))</f>
        <v>0</v>
      </c>
      <c r="R470" s="224" t="str">
        <f>(IF((VLOOKUP(Table10[[#This Row],[SKU]],'All Skus'!$A:$AC,2,FALSE))="Martin",(VLOOKUP(Table10[[#This Row],[SKU]],'All Skus'!$A:$AC,22,FALSE)),""))</f>
        <v>GB</v>
      </c>
      <c r="S470" s="223">
        <f>(IF((VLOOKUP(Table10[[#This Row],[SKU]],'All Skus'!$A:$AC,2,FALSE))="Martin",(VLOOKUP(Table10[[#This Row],[SKU]],'All Skus'!$A:$AC,23,FALSE)),""))</f>
        <v>0</v>
      </c>
      <c r="T470" s="212" t="str">
        <f>HYPERLINK((IF((VLOOKUP(Table10[[#This Row],[SKU]],'All Skus'!$A:$AC,2,FALSE))="Martin",(VLOOKUP(Table10[[#This Row],[SKU]],'All Skus'!$A:$AC,24,FALSE)),"")))</f>
        <v>http://www.martin.com/en-us/product-details/jem-zr35</v>
      </c>
      <c r="U470" s="228">
        <v>468</v>
      </c>
    </row>
    <row r="471" spans="1:21" hidden="1">
      <c r="A471" s="115" t="s">
        <v>2167</v>
      </c>
      <c r="B471" s="224">
        <f>(IF((VLOOKUP(Table10[[#This Row],[SKU]],'All Skus'!$A:$AC,2,FALSE))="Martin",(VLOOKUP(Table10[[#This Row],[SKU]],'All Skus'!$A:$AC,3,FALSE)),""))</f>
        <v>0</v>
      </c>
      <c r="C471" s="223">
        <f>(IF((VLOOKUP(Table10[[#This Row],[SKU]],'All Skus'!$A:$AC,2,FALSE))="Martin",(VLOOKUP(Table10[[#This Row],[SKU]],'All Skus'!$A:$AC,4,FALSE)),""))</f>
        <v>0</v>
      </c>
      <c r="D471" s="224">
        <f>(IF((VLOOKUP(Table10[[#This Row],[SKU]],'All Skus'!$A:$AC,2,FALSE))="Martin",(VLOOKUP(Table10[[#This Row],[SKU]],'All Skus'!$A:$AC,5,FALSE)),""))</f>
        <v>0</v>
      </c>
      <c r="E471" s="223">
        <f>(IF((VLOOKUP(Table10[[#This Row],[SKU]],'All Skus'!$A:$AC,2,FALSE))="Martin",(VLOOKUP(Table10[[#This Row],[SKU]],'All Skus'!$A:$AC,6,FALSE)),""))</f>
        <v>0</v>
      </c>
      <c r="F471" s="155">
        <f>(IF((VLOOKUP(Table10[[#This Row],[SKU]],'All Skus'!$A:$AC,2,FALSE))="Martin",(VLOOKUP(Table10[[#This Row],[SKU]],'All Skus'!$A:$AC,7,FALSE)),""))</f>
        <v>0</v>
      </c>
      <c r="G471" s="223">
        <f>(IF((VLOOKUP(Table10[[#This Row],[SKU]],'All Skus'!$A:$AC,2,FALSE))="Martin",(VLOOKUP(Table10[[#This Row],[SKU]],'All Skus'!$A:$AC,8,FALSE)),""))</f>
        <v>0</v>
      </c>
      <c r="H471" s="223">
        <f>(IF((VLOOKUP(Table10[[#This Row],[SKU]],'All Skus'!$A:$AC,2,FALSE))="Martin",(VLOOKUP(Table10[[#This Row],[SKU]],'All Skus'!$A:$AC,9,FALSE)),""))</f>
        <v>0</v>
      </c>
      <c r="I471" s="225">
        <f>(IF((VLOOKUP(Table10[[#This Row],[SKU]],'All Skus'!$A:$AC,2,FALSE))="Martin",(VLOOKUP(Table10[[#This Row],[SKU]],'All Skus'!$A:$AC,10,FALSE)),""))</f>
        <v>0</v>
      </c>
      <c r="J471" s="226">
        <f>(IF((VLOOKUP(Table10[[#This Row],[SKU]],'All Skus'!$A:$AC,2,FALSE))="Martin",(VLOOKUP(Table10[[#This Row],[SKU]],'All Skus'!$A:$AC,11,FALSE)),""))</f>
        <v>0</v>
      </c>
      <c r="K471" s="224">
        <f>(IF((VLOOKUP(Table10[[#This Row],[SKU]],'All Skus'!$A:$AC,2,FALSE))="Martin",(VLOOKUP(Table10[[#This Row],[SKU]],'All Skus'!$A:$AC,15,FALSE)),""))</f>
        <v>0</v>
      </c>
      <c r="L471" s="224">
        <f>(IF((VLOOKUP(Table10[[#This Row],[SKU]],'All Skus'!$A:$AC,2,FALSE))="Martin",(VLOOKUP(Table10[[#This Row],[SKU]],'All Skus'!$A:$AC,16,FALSE)),""))</f>
        <v>0</v>
      </c>
      <c r="M471" s="224">
        <f>(IF((VLOOKUP(Table10[[#This Row],[SKU]],'All Skus'!$A:$AC,2,FALSE))="Martin",(VLOOKUP(Table10[[#This Row],[SKU]],'All Skus'!$A:$AC,17,FALSE)),""))</f>
        <v>0</v>
      </c>
      <c r="N471" s="227">
        <f>(IF((VLOOKUP(Table10[[#This Row],[SKU]],'All Skus'!$A:$AC,2,FALSE))="Martin",(VLOOKUP(Table10[[#This Row],[SKU]],'All Skus'!$A:$AC,18,FALSE)),""))</f>
        <v>0</v>
      </c>
      <c r="O471" s="227">
        <f>(IF((VLOOKUP(Table10[[#This Row],[SKU]],'All Skus'!$A:$AC,2,FALSE))="Martin",(VLOOKUP(Table10[[#This Row],[SKU]],'All Skus'!$A:$AC,19,FALSE)),""))</f>
        <v>0</v>
      </c>
      <c r="P471" s="227">
        <f>(IF((VLOOKUP(Table10[[#This Row],[SKU]],'All Skus'!$A:$AC,2,FALSE))="Martin",(VLOOKUP(Table10[[#This Row],[SKU]],'All Skus'!$A:$AC,20,FALSE)),""))</f>
        <v>0</v>
      </c>
      <c r="Q471" s="227">
        <f>(IF((VLOOKUP(Table10[[#This Row],[SKU]],'All Skus'!$A:$AC,2,FALSE))="Martin",(VLOOKUP(Table10[[#This Row],[SKU]],'All Skus'!$A:$AC,21,FALSE)),""))</f>
        <v>0</v>
      </c>
      <c r="R471" s="224">
        <f>(IF((VLOOKUP(Table10[[#This Row],[SKU]],'All Skus'!$A:$AC,2,FALSE))="Martin",(VLOOKUP(Table10[[#This Row],[SKU]],'All Skus'!$A:$AC,22,FALSE)),""))</f>
        <v>0</v>
      </c>
      <c r="S471" s="223">
        <f>(IF((VLOOKUP(Table10[[#This Row],[SKU]],'All Skus'!$A:$AC,2,FALSE))="Martin",(VLOOKUP(Table10[[#This Row],[SKU]],'All Skus'!$A:$AC,23,FALSE)),""))</f>
        <v>0</v>
      </c>
      <c r="T471" s="212" t="str">
        <f>HYPERLINK((IF((VLOOKUP(Table10[[#This Row],[SKU]],'All Skus'!$A:$AC,2,FALSE))="Martin",(VLOOKUP(Table10[[#This Row],[SKU]],'All Skus'!$A:$AC,24,FALSE)),"")))</f>
        <v/>
      </c>
      <c r="U471" s="228">
        <v>469</v>
      </c>
    </row>
    <row r="472" spans="1:21">
      <c r="A472" s="112">
        <v>92215360</v>
      </c>
      <c r="B472" s="224" t="str">
        <f>(IF((VLOOKUP(Table10[[#This Row],[SKU]],'All Skus'!$A:$AC,2,FALSE))="Martin",(VLOOKUP(Table10[[#This Row],[SKU]],'All Skus'!$A:$AC,3,FALSE)),""))</f>
        <v>Atmospheric Effects</v>
      </c>
      <c r="C472" s="223" t="str">
        <f>(IF((VLOOKUP(Table10[[#This Row],[SKU]],'All Skus'!$A:$AC,2,FALSE))="Martin",(VLOOKUP(Table10[[#This Row],[SKU]],'All Skus'!$A:$AC,4,FALSE)),""))</f>
        <v>JEM ZR45 230V/50-60Hz, EU</v>
      </c>
      <c r="D472" s="224" t="str">
        <f>(IF((VLOOKUP(Table10[[#This Row],[SKU]],'All Skus'!$A:$AC,2,FALSE))="Martin",(VLOOKUP(Table10[[#This Row],[SKU]],'All Skus'!$A:$AC,5,FALSE)),""))</f>
        <v>MSM-JEM</v>
      </c>
      <c r="E472" s="223">
        <f>(IF((VLOOKUP(Table10[[#This Row],[SKU]],'All Skus'!$A:$AC,2,FALSE))="Martin",(VLOOKUP(Table10[[#This Row],[SKU]],'All Skus'!$A:$AC,6,FALSE)),""))</f>
        <v>0</v>
      </c>
      <c r="F472" s="155">
        <f>(IF((VLOOKUP(Table10[[#This Row],[SKU]],'All Skus'!$A:$AC,2,FALSE))="Martin",(VLOOKUP(Table10[[#This Row],[SKU]],'All Skus'!$A:$AC,7,FALSE)),""))</f>
        <v>0</v>
      </c>
      <c r="G472" s="223" t="str">
        <f>(IF((VLOOKUP(Table10[[#This Row],[SKU]],'All Skus'!$A:$AC,2,FALSE))="Martin",(VLOOKUP(Table10[[#This Row],[SKU]],'All Skus'!$A:$AC,8,FALSE)),""))</f>
        <v>JEM ZR45 230V/50-60Hz, EU</v>
      </c>
      <c r="H472" s="223" t="str">
        <f>(IF((VLOOKUP(Table10[[#This Row],[SKU]],'All Skus'!$A:$AC,2,FALSE))="Martin",(VLOOKUP(Table10[[#This Row],[SKU]],'All Skus'!$A:$AC,9,FALSE)),""))</f>
        <v>JEM ZR45 230V/50-60Hz, EU</v>
      </c>
      <c r="I472" s="225">
        <f>(IF((VLOOKUP(Table10[[#This Row],[SKU]],'All Skus'!$A:$AC,2,FALSE))="Martin",(VLOOKUP(Table10[[#This Row],[SKU]],'All Skus'!$A:$AC,10,FALSE)),""))</f>
        <v>1799.1</v>
      </c>
      <c r="J472" s="226">
        <f>(IF((VLOOKUP(Table10[[#This Row],[SKU]],'All Skus'!$A:$AC,2,FALSE))="Martin",(VLOOKUP(Table10[[#This Row],[SKU]],'All Skus'!$A:$AC,11,FALSE)),""))</f>
        <v>1799.1</v>
      </c>
      <c r="K472" s="224">
        <f>(IF((VLOOKUP(Table10[[#This Row],[SKU]],'All Skus'!$A:$AC,2,FALSE))="Martin",(VLOOKUP(Table10[[#This Row],[SKU]],'All Skus'!$A:$AC,15,FALSE)),""))</f>
        <v>0</v>
      </c>
      <c r="L472" s="224">
        <f>(IF((VLOOKUP(Table10[[#This Row],[SKU]],'All Skus'!$A:$AC,2,FALSE))="Martin",(VLOOKUP(Table10[[#This Row],[SKU]],'All Skus'!$A:$AC,16,FALSE)),""))</f>
        <v>688705004976</v>
      </c>
      <c r="M472" s="224">
        <f>(IF((VLOOKUP(Table10[[#This Row],[SKU]],'All Skus'!$A:$AC,2,FALSE))="Martin",(VLOOKUP(Table10[[#This Row],[SKU]],'All Skus'!$A:$AC,17,FALSE)),""))</f>
        <v>0</v>
      </c>
      <c r="N472" s="227">
        <f>(IF((VLOOKUP(Table10[[#This Row],[SKU]],'All Skus'!$A:$AC,2,FALSE))="Martin",(VLOOKUP(Table10[[#This Row],[SKU]],'All Skus'!$A:$AC,18,FALSE)),""))</f>
        <v>0</v>
      </c>
      <c r="O472" s="227">
        <f>(IF((VLOOKUP(Table10[[#This Row],[SKU]],'All Skus'!$A:$AC,2,FALSE))="Martin",(VLOOKUP(Table10[[#This Row],[SKU]],'All Skus'!$A:$AC,19,FALSE)),""))</f>
        <v>0</v>
      </c>
      <c r="P472" s="227">
        <f>(IF((VLOOKUP(Table10[[#This Row],[SKU]],'All Skus'!$A:$AC,2,FALSE))="Martin",(VLOOKUP(Table10[[#This Row],[SKU]],'All Skus'!$A:$AC,20,FALSE)),""))</f>
        <v>0</v>
      </c>
      <c r="Q472" s="227">
        <f>(IF((VLOOKUP(Table10[[#This Row],[SKU]],'All Skus'!$A:$AC,2,FALSE))="Martin",(VLOOKUP(Table10[[#This Row],[SKU]],'All Skus'!$A:$AC,21,FALSE)),""))</f>
        <v>0</v>
      </c>
      <c r="R472" s="224" t="str">
        <f>(IF((VLOOKUP(Table10[[#This Row],[SKU]],'All Skus'!$A:$AC,2,FALSE))="Martin",(VLOOKUP(Table10[[#This Row],[SKU]],'All Skus'!$A:$AC,22,FALSE)),""))</f>
        <v>GB</v>
      </c>
      <c r="S472" s="223">
        <f>(IF((VLOOKUP(Table10[[#This Row],[SKU]],'All Skus'!$A:$AC,2,FALSE))="Martin",(VLOOKUP(Table10[[#This Row],[SKU]],'All Skus'!$A:$AC,23,FALSE)),""))</f>
        <v>0</v>
      </c>
      <c r="T472" s="212" t="str">
        <f>HYPERLINK((IF((VLOOKUP(Table10[[#This Row],[SKU]],'All Skus'!$A:$AC,2,FALSE))="Martin",(VLOOKUP(Table10[[#This Row],[SKU]],'All Skus'!$A:$AC,24,FALSE)),"")))</f>
        <v/>
      </c>
      <c r="U472" s="228">
        <v>470</v>
      </c>
    </row>
    <row r="473" spans="1:21">
      <c r="A473" s="112">
        <v>92215370</v>
      </c>
      <c r="B473" s="224" t="str">
        <f>(IF((VLOOKUP(Table10[[#This Row],[SKU]],'All Skus'!$A:$AC,2,FALSE))="Martin",(VLOOKUP(Table10[[#This Row],[SKU]],'All Skus'!$A:$AC,3,FALSE)),""))</f>
        <v>Atmospheric Effects</v>
      </c>
      <c r="C473" s="223" t="str">
        <f>(IF((VLOOKUP(Table10[[#This Row],[SKU]],'All Skus'!$A:$AC,2,FALSE))="Martin",(VLOOKUP(Table10[[#This Row],[SKU]],'All Skus'!$A:$AC,4,FALSE)),""))</f>
        <v>JEM ZR45 120V/50-60Hz, US</v>
      </c>
      <c r="D473" s="224" t="str">
        <f>(IF((VLOOKUP(Table10[[#This Row],[SKU]],'All Skus'!$A:$AC,2,FALSE))="Martin",(VLOOKUP(Table10[[#This Row],[SKU]],'All Skus'!$A:$AC,5,FALSE)),""))</f>
        <v>MSM-JEM</v>
      </c>
      <c r="E473" s="223">
        <f>(IF((VLOOKUP(Table10[[#This Row],[SKU]],'All Skus'!$A:$AC,2,FALSE))="Martin",(VLOOKUP(Table10[[#This Row],[SKU]],'All Skus'!$A:$AC,6,FALSE)),""))</f>
        <v>0</v>
      </c>
      <c r="F473" s="155">
        <f>(IF((VLOOKUP(Table10[[#This Row],[SKU]],'All Skus'!$A:$AC,2,FALSE))="Martin",(VLOOKUP(Table10[[#This Row],[SKU]],'All Skus'!$A:$AC,7,FALSE)),""))</f>
        <v>0</v>
      </c>
      <c r="G473" s="223" t="str">
        <f>(IF((VLOOKUP(Table10[[#This Row],[SKU]],'All Skus'!$A:$AC,2,FALSE))="Martin",(VLOOKUP(Table10[[#This Row],[SKU]],'All Skus'!$A:$AC,8,FALSE)),""))</f>
        <v>JEM ZR45 120V/50-60Hz, US</v>
      </c>
      <c r="H473" s="223" t="str">
        <f>(IF((VLOOKUP(Table10[[#This Row],[SKU]],'All Skus'!$A:$AC,2,FALSE))="Martin",(VLOOKUP(Table10[[#This Row],[SKU]],'All Skus'!$A:$AC,9,FALSE)),""))</f>
        <v>JEM ZR45 120V/50-60Hz, US</v>
      </c>
      <c r="I473" s="225">
        <f>(IF((VLOOKUP(Table10[[#This Row],[SKU]],'All Skus'!$A:$AC,2,FALSE))="Martin",(VLOOKUP(Table10[[#This Row],[SKU]],'All Skus'!$A:$AC,10,FALSE)),""))</f>
        <v>1799.1</v>
      </c>
      <c r="J473" s="226">
        <f>(IF((VLOOKUP(Table10[[#This Row],[SKU]],'All Skus'!$A:$AC,2,FALSE))="Martin",(VLOOKUP(Table10[[#This Row],[SKU]],'All Skus'!$A:$AC,11,FALSE)),""))</f>
        <v>1799.1</v>
      </c>
      <c r="K473" s="224">
        <f>(IF((VLOOKUP(Table10[[#This Row],[SKU]],'All Skus'!$A:$AC,2,FALSE))="Martin",(VLOOKUP(Table10[[#This Row],[SKU]],'All Skus'!$A:$AC,15,FALSE)),""))</f>
        <v>0</v>
      </c>
      <c r="L473" s="224">
        <f>(IF((VLOOKUP(Table10[[#This Row],[SKU]],'All Skus'!$A:$AC,2,FALSE))="Martin",(VLOOKUP(Table10[[#This Row],[SKU]],'All Skus'!$A:$AC,16,FALSE)),""))</f>
        <v>688705004983</v>
      </c>
      <c r="M473" s="224">
        <f>(IF((VLOOKUP(Table10[[#This Row],[SKU]],'All Skus'!$A:$AC,2,FALSE))="Martin",(VLOOKUP(Table10[[#This Row],[SKU]],'All Skus'!$A:$AC,17,FALSE)),""))</f>
        <v>0</v>
      </c>
      <c r="N473" s="227">
        <f>(IF((VLOOKUP(Table10[[#This Row],[SKU]],'All Skus'!$A:$AC,2,FALSE))="Martin",(VLOOKUP(Table10[[#This Row],[SKU]],'All Skus'!$A:$AC,18,FALSE)),""))</f>
        <v>0</v>
      </c>
      <c r="O473" s="227">
        <f>(IF((VLOOKUP(Table10[[#This Row],[SKU]],'All Skus'!$A:$AC,2,FALSE))="Martin",(VLOOKUP(Table10[[#This Row],[SKU]],'All Skus'!$A:$AC,19,FALSE)),""))</f>
        <v>0</v>
      </c>
      <c r="P473" s="227">
        <f>(IF((VLOOKUP(Table10[[#This Row],[SKU]],'All Skus'!$A:$AC,2,FALSE))="Martin",(VLOOKUP(Table10[[#This Row],[SKU]],'All Skus'!$A:$AC,20,FALSE)),""))</f>
        <v>0</v>
      </c>
      <c r="Q473" s="227">
        <f>(IF((VLOOKUP(Table10[[#This Row],[SKU]],'All Skus'!$A:$AC,2,FALSE))="Martin",(VLOOKUP(Table10[[#This Row],[SKU]],'All Skus'!$A:$AC,21,FALSE)),""))</f>
        <v>0</v>
      </c>
      <c r="R473" s="224" t="str">
        <f>(IF((VLOOKUP(Table10[[#This Row],[SKU]],'All Skus'!$A:$AC,2,FALSE))="Martin",(VLOOKUP(Table10[[#This Row],[SKU]],'All Skus'!$A:$AC,22,FALSE)),""))</f>
        <v>GB</v>
      </c>
      <c r="S473" s="223">
        <f>(IF((VLOOKUP(Table10[[#This Row],[SKU]],'All Skus'!$A:$AC,2,FALSE))="Martin",(VLOOKUP(Table10[[#This Row],[SKU]],'All Skus'!$A:$AC,23,FALSE)),""))</f>
        <v>0</v>
      </c>
      <c r="T473" s="212" t="str">
        <f>HYPERLINK((IF((VLOOKUP(Table10[[#This Row],[SKU]],'All Skus'!$A:$AC,2,FALSE))="Martin",(VLOOKUP(Table10[[#This Row],[SKU]],'All Skus'!$A:$AC,24,FALSE)),"")))</f>
        <v>http://www.martin.com/en-us/product-details/jem-zr45</v>
      </c>
      <c r="U473" s="228">
        <v>471</v>
      </c>
    </row>
    <row r="474" spans="1:21">
      <c r="A474" s="112">
        <v>92625014</v>
      </c>
      <c r="B474" s="224" t="str">
        <f>(IF((VLOOKUP(Table10[[#This Row],[SKU]],'All Skus'!$A:$AC,2,FALSE))="Martin",(VLOOKUP(Table10[[#This Row],[SKU]],'All Skus'!$A:$AC,3,FALSE)),""))</f>
        <v>Atmospheric Effects</v>
      </c>
      <c r="C474" s="223" t="str">
        <f>(IF((VLOOKUP(Table10[[#This Row],[SKU]],'All Skus'!$A:$AC,2,FALSE))="Martin",(VLOOKUP(Table10[[#This Row],[SKU]],'All Skus'!$A:$AC,4,FALSE)),""))</f>
        <v>Ducting System, JEM ZR45</v>
      </c>
      <c r="D474" s="224" t="str">
        <f>(IF((VLOOKUP(Table10[[#This Row],[SKU]],'All Skus'!$A:$AC,2,FALSE))="Martin",(VLOOKUP(Table10[[#This Row],[SKU]],'All Skus'!$A:$AC,5,FALSE)),""))</f>
        <v>MSM-JEM</v>
      </c>
      <c r="E474" s="223">
        <f>(IF((VLOOKUP(Table10[[#This Row],[SKU]],'All Skus'!$A:$AC,2,FALSE))="Martin",(VLOOKUP(Table10[[#This Row],[SKU]],'All Skus'!$A:$AC,6,FALSE)),""))</f>
        <v>0</v>
      </c>
      <c r="F474" s="155">
        <f>(IF((VLOOKUP(Table10[[#This Row],[SKU]],'All Skus'!$A:$AC,2,FALSE))="Martin",(VLOOKUP(Table10[[#This Row],[SKU]],'All Skus'!$A:$AC,7,FALSE)),""))</f>
        <v>0</v>
      </c>
      <c r="G474" s="223" t="str">
        <f>(IF((VLOOKUP(Table10[[#This Row],[SKU]],'All Skus'!$A:$AC,2,FALSE))="Martin",(VLOOKUP(Table10[[#This Row],[SKU]],'All Skus'!$A:$AC,8,FALSE)),""))</f>
        <v>Ducting System, JEM ZR45</v>
      </c>
      <c r="H474" s="223" t="str">
        <f>(IF((VLOOKUP(Table10[[#This Row],[SKU]],'All Skus'!$A:$AC,2,FALSE))="Martin",(VLOOKUP(Table10[[#This Row],[SKU]],'All Skus'!$A:$AC,9,FALSE)),""))</f>
        <v>Ducting System, JEM ZR45</v>
      </c>
      <c r="I474" s="225">
        <f>(IF((VLOOKUP(Table10[[#This Row],[SKU]],'All Skus'!$A:$AC,2,FALSE))="Martin",(VLOOKUP(Table10[[#This Row],[SKU]],'All Skus'!$A:$AC,10,FALSE)),""))</f>
        <v>360.55</v>
      </c>
      <c r="J474" s="226">
        <f>(IF((VLOOKUP(Table10[[#This Row],[SKU]],'All Skus'!$A:$AC,2,FALSE))="Martin",(VLOOKUP(Table10[[#This Row],[SKU]],'All Skus'!$A:$AC,11,FALSE)),""))</f>
        <v>360.55</v>
      </c>
      <c r="K474" s="224">
        <f>(IF((VLOOKUP(Table10[[#This Row],[SKU]],'All Skus'!$A:$AC,2,FALSE))="Martin",(VLOOKUP(Table10[[#This Row],[SKU]],'All Skus'!$A:$AC,15,FALSE)),""))</f>
        <v>0</v>
      </c>
      <c r="L474" s="224">
        <f>(IF((VLOOKUP(Table10[[#This Row],[SKU]],'All Skus'!$A:$AC,2,FALSE))="Martin",(VLOOKUP(Table10[[#This Row],[SKU]],'All Skus'!$A:$AC,16,FALSE)),""))</f>
        <v>688705005010</v>
      </c>
      <c r="M474" s="224">
        <f>(IF((VLOOKUP(Table10[[#This Row],[SKU]],'All Skus'!$A:$AC,2,FALSE))="Martin",(VLOOKUP(Table10[[#This Row],[SKU]],'All Skus'!$A:$AC,17,FALSE)),""))</f>
        <v>0</v>
      </c>
      <c r="N474" s="227">
        <f>(IF((VLOOKUP(Table10[[#This Row],[SKU]],'All Skus'!$A:$AC,2,FALSE))="Martin",(VLOOKUP(Table10[[#This Row],[SKU]],'All Skus'!$A:$AC,18,FALSE)),""))</f>
        <v>0</v>
      </c>
      <c r="O474" s="227">
        <f>(IF((VLOOKUP(Table10[[#This Row],[SKU]],'All Skus'!$A:$AC,2,FALSE))="Martin",(VLOOKUP(Table10[[#This Row],[SKU]],'All Skus'!$A:$AC,19,FALSE)),""))</f>
        <v>0</v>
      </c>
      <c r="P474" s="227">
        <f>(IF((VLOOKUP(Table10[[#This Row],[SKU]],'All Skus'!$A:$AC,2,FALSE))="Martin",(VLOOKUP(Table10[[#This Row],[SKU]],'All Skus'!$A:$AC,20,FALSE)),""))</f>
        <v>0</v>
      </c>
      <c r="Q474" s="227">
        <f>(IF((VLOOKUP(Table10[[#This Row],[SKU]],'All Skus'!$A:$AC,2,FALSE))="Martin",(VLOOKUP(Table10[[#This Row],[SKU]],'All Skus'!$A:$AC,21,FALSE)),""))</f>
        <v>0</v>
      </c>
      <c r="R474" s="224" t="str">
        <f>(IF((VLOOKUP(Table10[[#This Row],[SKU]],'All Skus'!$A:$AC,2,FALSE))="Martin",(VLOOKUP(Table10[[#This Row],[SKU]],'All Skus'!$A:$AC,22,FALSE)),""))</f>
        <v>GB</v>
      </c>
      <c r="S474" s="223">
        <f>(IF((VLOOKUP(Table10[[#This Row],[SKU]],'All Skus'!$A:$AC,2,FALSE))="Martin",(VLOOKUP(Table10[[#This Row],[SKU]],'All Skus'!$A:$AC,23,FALSE)),""))</f>
        <v>0</v>
      </c>
      <c r="T474" s="212" t="str">
        <f>HYPERLINK((IF((VLOOKUP(Table10[[#This Row],[SKU]],'All Skus'!$A:$AC,2,FALSE))="Martin",(VLOOKUP(Table10[[#This Row],[SKU]],'All Skus'!$A:$AC,24,FALSE)),"")))</f>
        <v>http://www.martin.com/en-us/product-details/jem-zr45</v>
      </c>
      <c r="U474" s="228">
        <v>472</v>
      </c>
    </row>
    <row r="475" spans="1:21" hidden="1">
      <c r="A475" s="111" t="s">
        <v>2168</v>
      </c>
      <c r="B475" s="224">
        <f>(IF((VLOOKUP(Table10[[#This Row],[SKU]],'All Skus'!$A:$AC,2,FALSE))="Martin",(VLOOKUP(Table10[[#This Row],[SKU]],'All Skus'!$A:$AC,3,FALSE)),""))</f>
        <v>0</v>
      </c>
      <c r="C475" s="223">
        <f>(IF((VLOOKUP(Table10[[#This Row],[SKU]],'All Skus'!$A:$AC,2,FALSE))="Martin",(VLOOKUP(Table10[[#This Row],[SKU]],'All Skus'!$A:$AC,4,FALSE)),""))</f>
        <v>0</v>
      </c>
      <c r="D475" s="224">
        <f>(IF((VLOOKUP(Table10[[#This Row],[SKU]],'All Skus'!$A:$AC,2,FALSE))="Martin",(VLOOKUP(Table10[[#This Row],[SKU]],'All Skus'!$A:$AC,5,FALSE)),""))</f>
        <v>0</v>
      </c>
      <c r="E475" s="223">
        <f>(IF((VLOOKUP(Table10[[#This Row],[SKU]],'All Skus'!$A:$AC,2,FALSE))="Martin",(VLOOKUP(Table10[[#This Row],[SKU]],'All Skus'!$A:$AC,6,FALSE)),""))</f>
        <v>0</v>
      </c>
      <c r="F475" s="155">
        <f>(IF((VLOOKUP(Table10[[#This Row],[SKU]],'All Skus'!$A:$AC,2,FALSE))="Martin",(VLOOKUP(Table10[[#This Row],[SKU]],'All Skus'!$A:$AC,7,FALSE)),""))</f>
        <v>0</v>
      </c>
      <c r="G475" s="223">
        <f>(IF((VLOOKUP(Table10[[#This Row],[SKU]],'All Skus'!$A:$AC,2,FALSE))="Martin",(VLOOKUP(Table10[[#This Row],[SKU]],'All Skus'!$A:$AC,8,FALSE)),""))</f>
        <v>0</v>
      </c>
      <c r="H475" s="223">
        <f>(IF((VLOOKUP(Table10[[#This Row],[SKU]],'All Skus'!$A:$AC,2,FALSE))="Martin",(VLOOKUP(Table10[[#This Row],[SKU]],'All Skus'!$A:$AC,9,FALSE)),""))</f>
        <v>0</v>
      </c>
      <c r="I475" s="225">
        <f>(IF((VLOOKUP(Table10[[#This Row],[SKU]],'All Skus'!$A:$AC,2,FALSE))="Martin",(VLOOKUP(Table10[[#This Row],[SKU]],'All Skus'!$A:$AC,10,FALSE)),""))</f>
        <v>0</v>
      </c>
      <c r="J475" s="226">
        <f>(IF((VLOOKUP(Table10[[#This Row],[SKU]],'All Skus'!$A:$AC,2,FALSE))="Martin",(VLOOKUP(Table10[[#This Row],[SKU]],'All Skus'!$A:$AC,11,FALSE)),""))</f>
        <v>0</v>
      </c>
      <c r="K475" s="224">
        <f>(IF((VLOOKUP(Table10[[#This Row],[SKU]],'All Skus'!$A:$AC,2,FALSE))="Martin",(VLOOKUP(Table10[[#This Row],[SKU]],'All Skus'!$A:$AC,15,FALSE)),""))</f>
        <v>0</v>
      </c>
      <c r="L475" s="224">
        <f>(IF((VLOOKUP(Table10[[#This Row],[SKU]],'All Skus'!$A:$AC,2,FALSE))="Martin",(VLOOKUP(Table10[[#This Row],[SKU]],'All Skus'!$A:$AC,16,FALSE)),""))</f>
        <v>0</v>
      </c>
      <c r="M475" s="224">
        <f>(IF((VLOOKUP(Table10[[#This Row],[SKU]],'All Skus'!$A:$AC,2,FALSE))="Martin",(VLOOKUP(Table10[[#This Row],[SKU]],'All Skus'!$A:$AC,17,FALSE)),""))</f>
        <v>0</v>
      </c>
      <c r="N475" s="227">
        <f>(IF((VLOOKUP(Table10[[#This Row],[SKU]],'All Skus'!$A:$AC,2,FALSE))="Martin",(VLOOKUP(Table10[[#This Row],[SKU]],'All Skus'!$A:$AC,18,FALSE)),""))</f>
        <v>0</v>
      </c>
      <c r="O475" s="227">
        <f>(IF((VLOOKUP(Table10[[#This Row],[SKU]],'All Skus'!$A:$AC,2,FALSE))="Martin",(VLOOKUP(Table10[[#This Row],[SKU]],'All Skus'!$A:$AC,19,FALSE)),""))</f>
        <v>0</v>
      </c>
      <c r="P475" s="227">
        <f>(IF((VLOOKUP(Table10[[#This Row],[SKU]],'All Skus'!$A:$AC,2,FALSE))="Martin",(VLOOKUP(Table10[[#This Row],[SKU]],'All Skus'!$A:$AC,20,FALSE)),""))</f>
        <v>0</v>
      </c>
      <c r="Q475" s="227">
        <f>(IF((VLOOKUP(Table10[[#This Row],[SKU]],'All Skus'!$A:$AC,2,FALSE))="Martin",(VLOOKUP(Table10[[#This Row],[SKU]],'All Skus'!$A:$AC,21,FALSE)),""))</f>
        <v>0</v>
      </c>
      <c r="R475" s="224">
        <f>(IF((VLOOKUP(Table10[[#This Row],[SKU]],'All Skus'!$A:$AC,2,FALSE))="Martin",(VLOOKUP(Table10[[#This Row],[SKU]],'All Skus'!$A:$AC,22,FALSE)),""))</f>
        <v>0</v>
      </c>
      <c r="S475" s="223">
        <f>(IF((VLOOKUP(Table10[[#This Row],[SKU]],'All Skus'!$A:$AC,2,FALSE))="Martin",(VLOOKUP(Table10[[#This Row],[SKU]],'All Skus'!$A:$AC,23,FALSE)),""))</f>
        <v>0</v>
      </c>
      <c r="T475" s="212" t="str">
        <f>HYPERLINK((IF((VLOOKUP(Table10[[#This Row],[SKU]],'All Skus'!$A:$AC,2,FALSE))="Martin",(VLOOKUP(Table10[[#This Row],[SKU]],'All Skus'!$A:$AC,24,FALSE)),"")))</f>
        <v/>
      </c>
      <c r="U475" s="228">
        <v>473</v>
      </c>
    </row>
    <row r="476" spans="1:21" hidden="1">
      <c r="A476" s="115" t="s">
        <v>2169</v>
      </c>
      <c r="B476" s="224">
        <f>(IF((VLOOKUP(Table10[[#This Row],[SKU]],'All Skus'!$A:$AC,2,FALSE))="Martin",(VLOOKUP(Table10[[#This Row],[SKU]],'All Skus'!$A:$AC,3,FALSE)),""))</f>
        <v>0</v>
      </c>
      <c r="C476" s="223">
        <f>(IF((VLOOKUP(Table10[[#This Row],[SKU]],'All Skus'!$A:$AC,2,FALSE))="Martin",(VLOOKUP(Table10[[#This Row],[SKU]],'All Skus'!$A:$AC,4,FALSE)),""))</f>
        <v>0</v>
      </c>
      <c r="D476" s="224">
        <f>(IF((VLOOKUP(Table10[[#This Row],[SKU]],'All Skus'!$A:$AC,2,FALSE))="Martin",(VLOOKUP(Table10[[#This Row],[SKU]],'All Skus'!$A:$AC,5,FALSE)),""))</f>
        <v>0</v>
      </c>
      <c r="E476" s="223">
        <f>(IF((VLOOKUP(Table10[[#This Row],[SKU]],'All Skus'!$A:$AC,2,FALSE))="Martin",(VLOOKUP(Table10[[#This Row],[SKU]],'All Skus'!$A:$AC,6,FALSE)),""))</f>
        <v>0</v>
      </c>
      <c r="F476" s="155">
        <f>(IF((VLOOKUP(Table10[[#This Row],[SKU]],'All Skus'!$A:$AC,2,FALSE))="Martin",(VLOOKUP(Table10[[#This Row],[SKU]],'All Skus'!$A:$AC,7,FALSE)),""))</f>
        <v>0</v>
      </c>
      <c r="G476" s="223">
        <f>(IF((VLOOKUP(Table10[[#This Row],[SKU]],'All Skus'!$A:$AC,2,FALSE))="Martin",(VLOOKUP(Table10[[#This Row],[SKU]],'All Skus'!$A:$AC,8,FALSE)),""))</f>
        <v>0</v>
      </c>
      <c r="H476" s="223">
        <f>(IF((VLOOKUP(Table10[[#This Row],[SKU]],'All Skus'!$A:$AC,2,FALSE))="Martin",(VLOOKUP(Table10[[#This Row],[SKU]],'All Skus'!$A:$AC,9,FALSE)),""))</f>
        <v>0</v>
      </c>
      <c r="I476" s="225">
        <f>(IF((VLOOKUP(Table10[[#This Row],[SKU]],'All Skus'!$A:$AC,2,FALSE))="Martin",(VLOOKUP(Table10[[#This Row],[SKU]],'All Skus'!$A:$AC,10,FALSE)),""))</f>
        <v>0</v>
      </c>
      <c r="J476" s="226">
        <f>(IF((VLOOKUP(Table10[[#This Row],[SKU]],'All Skus'!$A:$AC,2,FALSE))="Martin",(VLOOKUP(Table10[[#This Row],[SKU]],'All Skus'!$A:$AC,11,FALSE)),""))</f>
        <v>0</v>
      </c>
      <c r="K476" s="224">
        <f>(IF((VLOOKUP(Table10[[#This Row],[SKU]],'All Skus'!$A:$AC,2,FALSE))="Martin",(VLOOKUP(Table10[[#This Row],[SKU]],'All Skus'!$A:$AC,15,FALSE)),""))</f>
        <v>0</v>
      </c>
      <c r="L476" s="224">
        <f>(IF((VLOOKUP(Table10[[#This Row],[SKU]],'All Skus'!$A:$AC,2,FALSE))="Martin",(VLOOKUP(Table10[[#This Row],[SKU]],'All Skus'!$A:$AC,16,FALSE)),""))</f>
        <v>0</v>
      </c>
      <c r="M476" s="224">
        <f>(IF((VLOOKUP(Table10[[#This Row],[SKU]],'All Skus'!$A:$AC,2,FALSE))="Martin",(VLOOKUP(Table10[[#This Row],[SKU]],'All Skus'!$A:$AC,17,FALSE)),""))</f>
        <v>0</v>
      </c>
      <c r="N476" s="227">
        <f>(IF((VLOOKUP(Table10[[#This Row],[SKU]],'All Skus'!$A:$AC,2,FALSE))="Martin",(VLOOKUP(Table10[[#This Row],[SKU]],'All Skus'!$A:$AC,18,FALSE)),""))</f>
        <v>0</v>
      </c>
      <c r="O476" s="227">
        <f>(IF((VLOOKUP(Table10[[#This Row],[SKU]],'All Skus'!$A:$AC,2,FALSE))="Martin",(VLOOKUP(Table10[[#This Row],[SKU]],'All Skus'!$A:$AC,19,FALSE)),""))</f>
        <v>0</v>
      </c>
      <c r="P476" s="227">
        <f>(IF((VLOOKUP(Table10[[#This Row],[SKU]],'All Skus'!$A:$AC,2,FALSE))="Martin",(VLOOKUP(Table10[[#This Row],[SKU]],'All Skus'!$A:$AC,20,FALSE)),""))</f>
        <v>0</v>
      </c>
      <c r="Q476" s="227">
        <f>(IF((VLOOKUP(Table10[[#This Row],[SKU]],'All Skus'!$A:$AC,2,FALSE))="Martin",(VLOOKUP(Table10[[#This Row],[SKU]],'All Skus'!$A:$AC,21,FALSE)),""))</f>
        <v>0</v>
      </c>
      <c r="R476" s="224">
        <f>(IF((VLOOKUP(Table10[[#This Row],[SKU]],'All Skus'!$A:$AC,2,FALSE))="Martin",(VLOOKUP(Table10[[#This Row],[SKU]],'All Skus'!$A:$AC,22,FALSE)),""))</f>
        <v>0</v>
      </c>
      <c r="S476" s="223">
        <f>(IF((VLOOKUP(Table10[[#This Row],[SKU]],'All Skus'!$A:$AC,2,FALSE))="Martin",(VLOOKUP(Table10[[#This Row],[SKU]],'All Skus'!$A:$AC,23,FALSE)),""))</f>
        <v>0</v>
      </c>
      <c r="T476" s="212" t="str">
        <f>HYPERLINK((IF((VLOOKUP(Table10[[#This Row],[SKU]],'All Skus'!$A:$AC,2,FALSE))="Martin",(VLOOKUP(Table10[[#This Row],[SKU]],'All Skus'!$A:$AC,24,FALSE)),"")))</f>
        <v/>
      </c>
      <c r="U476" s="228">
        <v>474</v>
      </c>
    </row>
    <row r="477" spans="1:21">
      <c r="A477" s="112">
        <v>92225950</v>
      </c>
      <c r="B477" s="224" t="str">
        <f>(IF((VLOOKUP(Table10[[#This Row],[SKU]],'All Skus'!$A:$AC,2,FALSE))="Martin",(VLOOKUP(Table10[[#This Row],[SKU]],'All Skus'!$A:$AC,3,FALSE)),""))</f>
        <v>Atmospheric Effects</v>
      </c>
      <c r="C477" s="223" t="str">
        <f>(IF((VLOOKUP(Table10[[#This Row],[SKU]],'All Skus'!$A:$AC,2,FALSE))="Martin",(VLOOKUP(Table10[[#This Row],[SKU]],'All Skus'!$A:$AC,4,FALSE)),""))</f>
        <v>JEM Compact Hazer, 230V,50/60Hz, EU</v>
      </c>
      <c r="D477" s="224" t="str">
        <f>(IF((VLOOKUP(Table10[[#This Row],[SKU]],'All Skus'!$A:$AC,2,FALSE))="Martin",(VLOOKUP(Table10[[#This Row],[SKU]],'All Skus'!$A:$AC,5,FALSE)),""))</f>
        <v>MSM-JEM</v>
      </c>
      <c r="E477" s="223">
        <f>(IF((VLOOKUP(Table10[[#This Row],[SKU]],'All Skus'!$A:$AC,2,FALSE))="Martin",(VLOOKUP(Table10[[#This Row],[SKU]],'All Skus'!$A:$AC,6,FALSE)),""))</f>
        <v>0</v>
      </c>
      <c r="F477" s="155">
        <f>(IF((VLOOKUP(Table10[[#This Row],[SKU]],'All Skus'!$A:$AC,2,FALSE))="Martin",(VLOOKUP(Table10[[#This Row],[SKU]],'All Skus'!$A:$AC,7,FALSE)),""))</f>
        <v>0</v>
      </c>
      <c r="G477" s="223" t="str">
        <f>(IF((VLOOKUP(Table10[[#This Row],[SKU]],'All Skus'!$A:$AC,2,FALSE))="Martin",(VLOOKUP(Table10[[#This Row],[SKU]],'All Skus'!$A:$AC,8,FALSE)),""))</f>
        <v>JEM Compact Hazer, 230V,50/60Hz, EU</v>
      </c>
      <c r="H477" s="223" t="str">
        <f>(IF((VLOOKUP(Table10[[#This Row],[SKU]],'All Skus'!$A:$AC,2,FALSE))="Martin",(VLOOKUP(Table10[[#This Row],[SKU]],'All Skus'!$A:$AC,9,FALSE)),""))</f>
        <v>JEM Compact Hazer, 230V,50/60Hz, EU</v>
      </c>
      <c r="I477" s="225">
        <f>(IF((VLOOKUP(Table10[[#This Row],[SKU]],'All Skus'!$A:$AC,2,FALSE))="Martin",(VLOOKUP(Table10[[#This Row],[SKU]],'All Skus'!$A:$AC,10,FALSE)),""))</f>
        <v>1861.14</v>
      </c>
      <c r="J477" s="226">
        <f>(IF((VLOOKUP(Table10[[#This Row],[SKU]],'All Skus'!$A:$AC,2,FALSE))="Martin",(VLOOKUP(Table10[[#This Row],[SKU]],'All Skus'!$A:$AC,11,FALSE)),""))</f>
        <v>1861.14</v>
      </c>
      <c r="K477" s="224">
        <f>(IF((VLOOKUP(Table10[[#This Row],[SKU]],'All Skus'!$A:$AC,2,FALSE))="Martin",(VLOOKUP(Table10[[#This Row],[SKU]],'All Skus'!$A:$AC,15,FALSE)),""))</f>
        <v>0</v>
      </c>
      <c r="L477" s="224">
        <f>(IF((VLOOKUP(Table10[[#This Row],[SKU]],'All Skus'!$A:$AC,2,FALSE))="Martin",(VLOOKUP(Table10[[#This Row],[SKU]],'All Skus'!$A:$AC,16,FALSE)),""))</f>
        <v>688705005041</v>
      </c>
      <c r="M477" s="224">
        <f>(IF((VLOOKUP(Table10[[#This Row],[SKU]],'All Skus'!$A:$AC,2,FALSE))="Martin",(VLOOKUP(Table10[[#This Row],[SKU]],'All Skus'!$A:$AC,17,FALSE)),""))</f>
        <v>0</v>
      </c>
      <c r="N477" s="227">
        <f>(IF((VLOOKUP(Table10[[#This Row],[SKU]],'All Skus'!$A:$AC,2,FALSE))="Martin",(VLOOKUP(Table10[[#This Row],[SKU]],'All Skus'!$A:$AC,18,FALSE)),""))</f>
        <v>13.385833999999999</v>
      </c>
      <c r="O477" s="227">
        <f>(IF((VLOOKUP(Table10[[#This Row],[SKU]],'All Skus'!$A:$AC,2,FALSE))="Martin",(VLOOKUP(Table10[[#This Row],[SKU]],'All Skus'!$A:$AC,19,FALSE)),""))</f>
        <v>13.385833999999999</v>
      </c>
      <c r="P477" s="227">
        <f>(IF((VLOOKUP(Table10[[#This Row],[SKU]],'All Skus'!$A:$AC,2,FALSE))="Martin",(VLOOKUP(Table10[[#This Row],[SKU]],'All Skus'!$A:$AC,20,FALSE)),""))</f>
        <v>0</v>
      </c>
      <c r="Q477" s="227">
        <f>(IF((VLOOKUP(Table10[[#This Row],[SKU]],'All Skus'!$A:$AC,2,FALSE))="Martin",(VLOOKUP(Table10[[#This Row],[SKU]],'All Skus'!$A:$AC,21,FALSE)),""))</f>
        <v>0</v>
      </c>
      <c r="R477" s="224" t="str">
        <f>(IF((VLOOKUP(Table10[[#This Row],[SKU]],'All Skus'!$A:$AC,2,FALSE))="Martin",(VLOOKUP(Table10[[#This Row],[SKU]],'All Skus'!$A:$AC,22,FALSE)),""))</f>
        <v>GB</v>
      </c>
      <c r="S477" s="223">
        <f>(IF((VLOOKUP(Table10[[#This Row],[SKU]],'All Skus'!$A:$AC,2,FALSE))="Martin",(VLOOKUP(Table10[[#This Row],[SKU]],'All Skus'!$A:$AC,23,FALSE)),""))</f>
        <v>0</v>
      </c>
      <c r="T477" s="212" t="str">
        <f>HYPERLINK((IF((VLOOKUP(Table10[[#This Row],[SKU]],'All Skus'!$A:$AC,2,FALSE))="Martin",(VLOOKUP(Table10[[#This Row],[SKU]],'All Skus'!$A:$AC,24,FALSE)),"")))</f>
        <v/>
      </c>
      <c r="U477" s="228">
        <v>475</v>
      </c>
    </row>
    <row r="478" spans="1:21">
      <c r="A478" s="112">
        <v>92225960</v>
      </c>
      <c r="B478" s="224" t="str">
        <f>(IF((VLOOKUP(Table10[[#This Row],[SKU]],'All Skus'!$A:$AC,2,FALSE))="Martin",(VLOOKUP(Table10[[#This Row],[SKU]],'All Skus'!$A:$AC,3,FALSE)),""))</f>
        <v>Atmospheric Effects</v>
      </c>
      <c r="C478" s="223" t="str">
        <f>(IF((VLOOKUP(Table10[[#This Row],[SKU]],'All Skus'!$A:$AC,2,FALSE))="Martin",(VLOOKUP(Table10[[#This Row],[SKU]],'All Skus'!$A:$AC,4,FALSE)),""))</f>
        <v>JEM Compact Hazer, 120V,50/60Hz, US</v>
      </c>
      <c r="D478" s="224" t="str">
        <f>(IF((VLOOKUP(Table10[[#This Row],[SKU]],'All Skus'!$A:$AC,2,FALSE))="Martin",(VLOOKUP(Table10[[#This Row],[SKU]],'All Skus'!$A:$AC,5,FALSE)),""))</f>
        <v>MSM-JEM</v>
      </c>
      <c r="E478" s="223">
        <f>(IF((VLOOKUP(Table10[[#This Row],[SKU]],'All Skus'!$A:$AC,2,FALSE))="Martin",(VLOOKUP(Table10[[#This Row],[SKU]],'All Skus'!$A:$AC,6,FALSE)),""))</f>
        <v>0</v>
      </c>
      <c r="F478" s="155">
        <f>(IF((VLOOKUP(Table10[[#This Row],[SKU]],'All Skus'!$A:$AC,2,FALSE))="Martin",(VLOOKUP(Table10[[#This Row],[SKU]],'All Skus'!$A:$AC,7,FALSE)),""))</f>
        <v>0</v>
      </c>
      <c r="G478" s="223" t="str">
        <f>(IF((VLOOKUP(Table10[[#This Row],[SKU]],'All Skus'!$A:$AC,2,FALSE))="Martin",(VLOOKUP(Table10[[#This Row],[SKU]],'All Skus'!$A:$AC,8,FALSE)),""))</f>
        <v>JEM Compact Hazer, 120V,50/60Hz, US</v>
      </c>
      <c r="H478" s="223" t="str">
        <f>(IF((VLOOKUP(Table10[[#This Row],[SKU]],'All Skus'!$A:$AC,2,FALSE))="Martin",(VLOOKUP(Table10[[#This Row],[SKU]],'All Skus'!$A:$AC,9,FALSE)),""))</f>
        <v>JEM Compact Hazer, 120V,50/60Hz, US</v>
      </c>
      <c r="I478" s="225">
        <f>(IF((VLOOKUP(Table10[[#This Row],[SKU]],'All Skus'!$A:$AC,2,FALSE))="Martin",(VLOOKUP(Table10[[#This Row],[SKU]],'All Skus'!$A:$AC,10,FALSE)),""))</f>
        <v>1861.14</v>
      </c>
      <c r="J478" s="226">
        <f>(IF((VLOOKUP(Table10[[#This Row],[SKU]],'All Skus'!$A:$AC,2,FALSE))="Martin",(VLOOKUP(Table10[[#This Row],[SKU]],'All Skus'!$A:$AC,11,FALSE)),""))</f>
        <v>1861.14</v>
      </c>
      <c r="K478" s="224">
        <f>(IF((VLOOKUP(Table10[[#This Row],[SKU]],'All Skus'!$A:$AC,2,FALSE))="Martin",(VLOOKUP(Table10[[#This Row],[SKU]],'All Skus'!$A:$AC,15,FALSE)),""))</f>
        <v>0</v>
      </c>
      <c r="L478" s="224">
        <f>(IF((VLOOKUP(Table10[[#This Row],[SKU]],'All Skus'!$A:$AC,2,FALSE))="Martin",(VLOOKUP(Table10[[#This Row],[SKU]],'All Skus'!$A:$AC,16,FALSE)),""))</f>
        <v>688705005058</v>
      </c>
      <c r="M478" s="224">
        <f>(IF((VLOOKUP(Table10[[#This Row],[SKU]],'All Skus'!$A:$AC,2,FALSE))="Martin",(VLOOKUP(Table10[[#This Row],[SKU]],'All Skus'!$A:$AC,17,FALSE)),""))</f>
        <v>0</v>
      </c>
      <c r="N478" s="227">
        <f>(IF((VLOOKUP(Table10[[#This Row],[SKU]],'All Skus'!$A:$AC,2,FALSE))="Martin",(VLOOKUP(Table10[[#This Row],[SKU]],'All Skus'!$A:$AC,18,FALSE)),""))</f>
        <v>13.385833999999999</v>
      </c>
      <c r="O478" s="227">
        <f>(IF((VLOOKUP(Table10[[#This Row],[SKU]],'All Skus'!$A:$AC,2,FALSE))="Martin",(VLOOKUP(Table10[[#This Row],[SKU]],'All Skus'!$A:$AC,19,FALSE)),""))</f>
        <v>13.385833999999999</v>
      </c>
      <c r="P478" s="227">
        <f>(IF((VLOOKUP(Table10[[#This Row],[SKU]],'All Skus'!$A:$AC,2,FALSE))="Martin",(VLOOKUP(Table10[[#This Row],[SKU]],'All Skus'!$A:$AC,20,FALSE)),""))</f>
        <v>0</v>
      </c>
      <c r="Q478" s="227">
        <f>(IF((VLOOKUP(Table10[[#This Row],[SKU]],'All Skus'!$A:$AC,2,FALSE))="Martin",(VLOOKUP(Table10[[#This Row],[SKU]],'All Skus'!$A:$AC,21,FALSE)),""))</f>
        <v>0</v>
      </c>
      <c r="R478" s="224" t="str">
        <f>(IF((VLOOKUP(Table10[[#This Row],[SKU]],'All Skus'!$A:$AC,2,FALSE))="Martin",(VLOOKUP(Table10[[#This Row],[SKU]],'All Skus'!$A:$AC,22,FALSE)),""))</f>
        <v>GB</v>
      </c>
      <c r="S478" s="223">
        <f>(IF((VLOOKUP(Table10[[#This Row],[SKU]],'All Skus'!$A:$AC,2,FALSE))="Martin",(VLOOKUP(Table10[[#This Row],[SKU]],'All Skus'!$A:$AC,23,FALSE)),""))</f>
        <v>0</v>
      </c>
      <c r="T478" s="212" t="str">
        <f>HYPERLINK((IF((VLOOKUP(Table10[[#This Row],[SKU]],'All Skus'!$A:$AC,2,FALSE))="Martin",(VLOOKUP(Table10[[#This Row],[SKU]],'All Skus'!$A:$AC,24,FALSE)),"")))</f>
        <v>http://www.martin.com/en-us/product-details/jem-compact-hazer-pro</v>
      </c>
      <c r="U478" s="228">
        <v>476</v>
      </c>
    </row>
    <row r="479" spans="1:21">
      <c r="A479" s="112">
        <v>92610003</v>
      </c>
      <c r="B479" s="224" t="str">
        <f>(IF((VLOOKUP(Table10[[#This Row],[SKU]],'All Skus'!$A:$AC,2,FALSE))="Martin",(VLOOKUP(Table10[[#This Row],[SKU]],'All Skus'!$A:$AC,3,FALSE)),""))</f>
        <v>Atmospheric Effects</v>
      </c>
      <c r="C479" s="223" t="str">
        <f>(IF((VLOOKUP(Table10[[#This Row],[SKU]],'All Skus'!$A:$AC,2,FALSE))="Martin",(VLOOKUP(Table10[[#This Row],[SKU]],'All Skus'!$A:$AC,4,FALSE)),""))</f>
        <v xml:space="preserve">Flying Kit, JEM Compact Hazer Pro </v>
      </c>
      <c r="D479" s="224" t="str">
        <f>(IF((VLOOKUP(Table10[[#This Row],[SKU]],'All Skus'!$A:$AC,2,FALSE))="Martin",(VLOOKUP(Table10[[#This Row],[SKU]],'All Skus'!$A:$AC,5,FALSE)),""))</f>
        <v>MSM-JEM</v>
      </c>
      <c r="E479" s="223">
        <f>(IF((VLOOKUP(Table10[[#This Row],[SKU]],'All Skus'!$A:$AC,2,FALSE))="Martin",(VLOOKUP(Table10[[#This Row],[SKU]],'All Skus'!$A:$AC,6,FALSE)),""))</f>
        <v>0</v>
      </c>
      <c r="F479" s="155">
        <f>(IF((VLOOKUP(Table10[[#This Row],[SKU]],'All Skus'!$A:$AC,2,FALSE))="Martin",(VLOOKUP(Table10[[#This Row],[SKU]],'All Skus'!$A:$AC,7,FALSE)),""))</f>
        <v>0</v>
      </c>
      <c r="G479" s="223" t="str">
        <f>(IF((VLOOKUP(Table10[[#This Row],[SKU]],'All Skus'!$A:$AC,2,FALSE))="Martin",(VLOOKUP(Table10[[#This Row],[SKU]],'All Skus'!$A:$AC,8,FALSE)),""))</f>
        <v xml:space="preserve">Flying Kit, JEM Compact Hazer Pro </v>
      </c>
      <c r="H479" s="223" t="str">
        <f>(IF((VLOOKUP(Table10[[#This Row],[SKU]],'All Skus'!$A:$AC,2,FALSE))="Martin",(VLOOKUP(Table10[[#This Row],[SKU]],'All Skus'!$A:$AC,9,FALSE)),""))</f>
        <v xml:space="preserve">Flying Kit, JEM Compact Hazer Pro </v>
      </c>
      <c r="I479" s="225">
        <f>(IF((VLOOKUP(Table10[[#This Row],[SKU]],'All Skus'!$A:$AC,2,FALSE))="Martin",(VLOOKUP(Table10[[#This Row],[SKU]],'All Skus'!$A:$AC,10,FALSE)),""))</f>
        <v>138.29</v>
      </c>
      <c r="J479" s="226">
        <f>(IF((VLOOKUP(Table10[[#This Row],[SKU]],'All Skus'!$A:$AC,2,FALSE))="Martin",(VLOOKUP(Table10[[#This Row],[SKU]],'All Skus'!$A:$AC,11,FALSE)),""))</f>
        <v>138.29</v>
      </c>
      <c r="K479" s="224">
        <f>(IF((VLOOKUP(Table10[[#This Row],[SKU]],'All Skus'!$A:$AC,2,FALSE))="Martin",(VLOOKUP(Table10[[#This Row],[SKU]],'All Skus'!$A:$AC,15,FALSE)),""))</f>
        <v>0</v>
      </c>
      <c r="L479" s="224">
        <f>(IF((VLOOKUP(Table10[[#This Row],[SKU]],'All Skus'!$A:$AC,2,FALSE))="Martin",(VLOOKUP(Table10[[#This Row],[SKU]],'All Skus'!$A:$AC,16,FALSE)),""))</f>
        <v>688705005065</v>
      </c>
      <c r="M479" s="224">
        <f>(IF((VLOOKUP(Table10[[#This Row],[SKU]],'All Skus'!$A:$AC,2,FALSE))="Martin",(VLOOKUP(Table10[[#This Row],[SKU]],'All Skus'!$A:$AC,17,FALSE)),""))</f>
        <v>0</v>
      </c>
      <c r="N479" s="227">
        <f>(IF((VLOOKUP(Table10[[#This Row],[SKU]],'All Skus'!$A:$AC,2,FALSE))="Martin",(VLOOKUP(Table10[[#This Row],[SKU]],'All Skus'!$A:$AC,18,FALSE)),""))</f>
        <v>0</v>
      </c>
      <c r="O479" s="227">
        <f>(IF((VLOOKUP(Table10[[#This Row],[SKU]],'All Skus'!$A:$AC,2,FALSE))="Martin",(VLOOKUP(Table10[[#This Row],[SKU]],'All Skus'!$A:$AC,19,FALSE)),""))</f>
        <v>11.811030000000001</v>
      </c>
      <c r="P479" s="227">
        <f>(IF((VLOOKUP(Table10[[#This Row],[SKU]],'All Skus'!$A:$AC,2,FALSE))="Martin",(VLOOKUP(Table10[[#This Row],[SKU]],'All Skus'!$A:$AC,20,FALSE)),""))</f>
        <v>0</v>
      </c>
      <c r="Q479" s="227">
        <f>(IF((VLOOKUP(Table10[[#This Row],[SKU]],'All Skus'!$A:$AC,2,FALSE))="Martin",(VLOOKUP(Table10[[#This Row],[SKU]],'All Skus'!$A:$AC,21,FALSE)),""))</f>
        <v>0</v>
      </c>
      <c r="R479" s="224" t="str">
        <f>(IF((VLOOKUP(Table10[[#This Row],[SKU]],'All Skus'!$A:$AC,2,FALSE))="Martin",(VLOOKUP(Table10[[#This Row],[SKU]],'All Skus'!$A:$AC,22,FALSE)),""))</f>
        <v>GB</v>
      </c>
      <c r="S479" s="223">
        <f>(IF((VLOOKUP(Table10[[#This Row],[SKU]],'All Skus'!$A:$AC,2,FALSE))="Martin",(VLOOKUP(Table10[[#This Row],[SKU]],'All Skus'!$A:$AC,23,FALSE)),""))</f>
        <v>0</v>
      </c>
      <c r="T479" s="212" t="str">
        <f>HYPERLINK((IF((VLOOKUP(Table10[[#This Row],[SKU]],'All Skus'!$A:$AC,2,FALSE))="Martin",(VLOOKUP(Table10[[#This Row],[SKU]],'All Skus'!$A:$AC,24,FALSE)),"")))</f>
        <v>http://www.martin.com/en-us/product-details/jem-compact-hazer-pro</v>
      </c>
      <c r="U479" s="228">
        <v>477</v>
      </c>
    </row>
    <row r="480" spans="1:21">
      <c r="A480" s="112">
        <v>92625011</v>
      </c>
      <c r="B480" s="224" t="str">
        <f>(IF((VLOOKUP(Table10[[#This Row],[SKU]],'All Skus'!$A:$AC,2,FALSE))="Martin",(VLOOKUP(Table10[[#This Row],[SKU]],'All Skus'!$A:$AC,3,FALSE)),""))</f>
        <v>Atmospheric Effects</v>
      </c>
      <c r="C480" s="223" t="str">
        <f>(IF((VLOOKUP(Table10[[#This Row],[SKU]],'All Skus'!$A:$AC,2,FALSE))="Martin",(VLOOKUP(Table10[[#This Row],[SKU]],'All Skus'!$A:$AC,4,FALSE)),""))</f>
        <v xml:space="preserve">Air Director, JEM Compact Hazer Pro </v>
      </c>
      <c r="D480" s="224" t="str">
        <f>(IF((VLOOKUP(Table10[[#This Row],[SKU]],'All Skus'!$A:$AC,2,FALSE))="Martin",(VLOOKUP(Table10[[#This Row],[SKU]],'All Skus'!$A:$AC,5,FALSE)),""))</f>
        <v>MSM-JEM</v>
      </c>
      <c r="E480" s="223">
        <f>(IF((VLOOKUP(Table10[[#This Row],[SKU]],'All Skus'!$A:$AC,2,FALSE))="Martin",(VLOOKUP(Table10[[#This Row],[SKU]],'All Skus'!$A:$AC,6,FALSE)),""))</f>
        <v>0</v>
      </c>
      <c r="F480" s="155">
        <f>(IF((VLOOKUP(Table10[[#This Row],[SKU]],'All Skus'!$A:$AC,2,FALSE))="Martin",(VLOOKUP(Table10[[#This Row],[SKU]],'All Skus'!$A:$AC,7,FALSE)),""))</f>
        <v>0</v>
      </c>
      <c r="G480" s="223" t="str">
        <f>(IF((VLOOKUP(Table10[[#This Row],[SKU]],'All Skus'!$A:$AC,2,FALSE))="Martin",(VLOOKUP(Table10[[#This Row],[SKU]],'All Skus'!$A:$AC,8,FALSE)),""))</f>
        <v xml:space="preserve">Air Director, JEM Compact Hazer Pro </v>
      </c>
      <c r="H480" s="223" t="str">
        <f>(IF((VLOOKUP(Table10[[#This Row],[SKU]],'All Skus'!$A:$AC,2,FALSE))="Martin",(VLOOKUP(Table10[[#This Row],[SKU]],'All Skus'!$A:$AC,9,FALSE)),""))</f>
        <v xml:space="preserve">Air Director, JEM Compact Hazer Pro </v>
      </c>
      <c r="I480" s="225">
        <f>(IF((VLOOKUP(Table10[[#This Row],[SKU]],'All Skus'!$A:$AC,2,FALSE))="Martin",(VLOOKUP(Table10[[#This Row],[SKU]],'All Skus'!$A:$AC,10,FALSE)),""))</f>
        <v>138.29</v>
      </c>
      <c r="J480" s="226">
        <f>(IF((VLOOKUP(Table10[[#This Row],[SKU]],'All Skus'!$A:$AC,2,FALSE))="Martin",(VLOOKUP(Table10[[#This Row],[SKU]],'All Skus'!$A:$AC,11,FALSE)),""))</f>
        <v>138.29</v>
      </c>
      <c r="K480" s="224">
        <f>(IF((VLOOKUP(Table10[[#This Row],[SKU]],'All Skus'!$A:$AC,2,FALSE))="Martin",(VLOOKUP(Table10[[#This Row],[SKU]],'All Skus'!$A:$AC,15,FALSE)),""))</f>
        <v>0</v>
      </c>
      <c r="L480" s="224">
        <f>(IF((VLOOKUP(Table10[[#This Row],[SKU]],'All Skus'!$A:$AC,2,FALSE))="Martin",(VLOOKUP(Table10[[#This Row],[SKU]],'All Skus'!$A:$AC,16,FALSE)),""))</f>
        <v>688705005072</v>
      </c>
      <c r="M480" s="224">
        <f>(IF((VLOOKUP(Table10[[#This Row],[SKU]],'All Skus'!$A:$AC,2,FALSE))="Martin",(VLOOKUP(Table10[[#This Row],[SKU]],'All Skus'!$A:$AC,17,FALSE)),""))</f>
        <v>0</v>
      </c>
      <c r="N480" s="227">
        <f>(IF((VLOOKUP(Table10[[#This Row],[SKU]],'All Skus'!$A:$AC,2,FALSE))="Martin",(VLOOKUP(Table10[[#This Row],[SKU]],'All Skus'!$A:$AC,18,FALSE)),""))</f>
        <v>7.0866179999999996</v>
      </c>
      <c r="O480" s="227">
        <f>(IF((VLOOKUP(Table10[[#This Row],[SKU]],'All Skus'!$A:$AC,2,FALSE))="Martin",(VLOOKUP(Table10[[#This Row],[SKU]],'All Skus'!$A:$AC,19,FALSE)),""))</f>
        <v>7.0866179999999996</v>
      </c>
      <c r="P480" s="227">
        <f>(IF((VLOOKUP(Table10[[#This Row],[SKU]],'All Skus'!$A:$AC,2,FALSE))="Martin",(VLOOKUP(Table10[[#This Row],[SKU]],'All Skus'!$A:$AC,20,FALSE)),""))</f>
        <v>0</v>
      </c>
      <c r="Q480" s="227">
        <f>(IF((VLOOKUP(Table10[[#This Row],[SKU]],'All Skus'!$A:$AC,2,FALSE))="Martin",(VLOOKUP(Table10[[#This Row],[SKU]],'All Skus'!$A:$AC,21,FALSE)),""))</f>
        <v>0</v>
      </c>
      <c r="R480" s="224" t="str">
        <f>(IF((VLOOKUP(Table10[[#This Row],[SKU]],'All Skus'!$A:$AC,2,FALSE))="Martin",(VLOOKUP(Table10[[#This Row],[SKU]],'All Skus'!$A:$AC,22,FALSE)),""))</f>
        <v>GB</v>
      </c>
      <c r="S480" s="223">
        <f>(IF((VLOOKUP(Table10[[#This Row],[SKU]],'All Skus'!$A:$AC,2,FALSE))="Martin",(VLOOKUP(Table10[[#This Row],[SKU]],'All Skus'!$A:$AC,23,FALSE)),""))</f>
        <v>0</v>
      </c>
      <c r="T480" s="212" t="str">
        <f>HYPERLINK((IF((VLOOKUP(Table10[[#This Row],[SKU]],'All Skus'!$A:$AC,2,FALSE))="Martin",(VLOOKUP(Table10[[#This Row],[SKU]],'All Skus'!$A:$AC,24,FALSE)),"")))</f>
        <v>http://www.martin.com/en-us/product-details/jem-compact-hazer-pro</v>
      </c>
      <c r="U480" s="228">
        <v>478</v>
      </c>
    </row>
    <row r="481" spans="1:21" hidden="1">
      <c r="A481" s="115" t="s">
        <v>2170</v>
      </c>
      <c r="B481" s="224">
        <f>(IF((VLOOKUP(Table10[[#This Row],[SKU]],'All Skus'!$A:$AC,2,FALSE))="Martin",(VLOOKUP(Table10[[#This Row],[SKU]],'All Skus'!$A:$AC,3,FALSE)),""))</f>
        <v>0</v>
      </c>
      <c r="C481" s="223">
        <f>(IF((VLOOKUP(Table10[[#This Row],[SKU]],'All Skus'!$A:$AC,2,FALSE))="Martin",(VLOOKUP(Table10[[#This Row],[SKU]],'All Skus'!$A:$AC,4,FALSE)),""))</f>
        <v>0</v>
      </c>
      <c r="D481" s="224">
        <f>(IF((VLOOKUP(Table10[[#This Row],[SKU]],'All Skus'!$A:$AC,2,FALSE))="Martin",(VLOOKUP(Table10[[#This Row],[SKU]],'All Skus'!$A:$AC,5,FALSE)),""))</f>
        <v>0</v>
      </c>
      <c r="E481" s="223">
        <f>(IF((VLOOKUP(Table10[[#This Row],[SKU]],'All Skus'!$A:$AC,2,FALSE))="Martin",(VLOOKUP(Table10[[#This Row],[SKU]],'All Skus'!$A:$AC,6,FALSE)),""))</f>
        <v>0</v>
      </c>
      <c r="F481" s="155">
        <f>(IF((VLOOKUP(Table10[[#This Row],[SKU]],'All Skus'!$A:$AC,2,FALSE))="Martin",(VLOOKUP(Table10[[#This Row],[SKU]],'All Skus'!$A:$AC,7,FALSE)),""))</f>
        <v>0</v>
      </c>
      <c r="G481" s="223">
        <f>(IF((VLOOKUP(Table10[[#This Row],[SKU]],'All Skus'!$A:$AC,2,FALSE))="Martin",(VLOOKUP(Table10[[#This Row],[SKU]],'All Skus'!$A:$AC,8,FALSE)),""))</f>
        <v>0</v>
      </c>
      <c r="H481" s="223">
        <f>(IF((VLOOKUP(Table10[[#This Row],[SKU]],'All Skus'!$A:$AC,2,FALSE))="Martin",(VLOOKUP(Table10[[#This Row],[SKU]],'All Skus'!$A:$AC,9,FALSE)),""))</f>
        <v>0</v>
      </c>
      <c r="I481" s="225">
        <f>(IF((VLOOKUP(Table10[[#This Row],[SKU]],'All Skus'!$A:$AC,2,FALSE))="Martin",(VLOOKUP(Table10[[#This Row],[SKU]],'All Skus'!$A:$AC,10,FALSE)),""))</f>
        <v>0</v>
      </c>
      <c r="J481" s="226">
        <f>(IF((VLOOKUP(Table10[[#This Row],[SKU]],'All Skus'!$A:$AC,2,FALSE))="Martin",(VLOOKUP(Table10[[#This Row],[SKU]],'All Skus'!$A:$AC,11,FALSE)),""))</f>
        <v>0</v>
      </c>
      <c r="K481" s="224">
        <f>(IF((VLOOKUP(Table10[[#This Row],[SKU]],'All Skus'!$A:$AC,2,FALSE))="Martin",(VLOOKUP(Table10[[#This Row],[SKU]],'All Skus'!$A:$AC,15,FALSE)),""))</f>
        <v>0</v>
      </c>
      <c r="L481" s="224">
        <f>(IF((VLOOKUP(Table10[[#This Row],[SKU]],'All Skus'!$A:$AC,2,FALSE))="Martin",(VLOOKUP(Table10[[#This Row],[SKU]],'All Skus'!$A:$AC,16,FALSE)),""))</f>
        <v>0</v>
      </c>
      <c r="M481" s="224">
        <f>(IF((VLOOKUP(Table10[[#This Row],[SKU]],'All Skus'!$A:$AC,2,FALSE))="Martin",(VLOOKUP(Table10[[#This Row],[SKU]],'All Skus'!$A:$AC,17,FALSE)),""))</f>
        <v>0</v>
      </c>
      <c r="N481" s="227">
        <f>(IF((VLOOKUP(Table10[[#This Row],[SKU]],'All Skus'!$A:$AC,2,FALSE))="Martin",(VLOOKUP(Table10[[#This Row],[SKU]],'All Skus'!$A:$AC,18,FALSE)),""))</f>
        <v>0</v>
      </c>
      <c r="O481" s="227">
        <f>(IF((VLOOKUP(Table10[[#This Row],[SKU]],'All Skus'!$A:$AC,2,FALSE))="Martin",(VLOOKUP(Table10[[#This Row],[SKU]],'All Skus'!$A:$AC,19,FALSE)),""))</f>
        <v>0</v>
      </c>
      <c r="P481" s="227">
        <f>(IF((VLOOKUP(Table10[[#This Row],[SKU]],'All Skus'!$A:$AC,2,FALSE))="Martin",(VLOOKUP(Table10[[#This Row],[SKU]],'All Skus'!$A:$AC,20,FALSE)),""))</f>
        <v>0</v>
      </c>
      <c r="Q481" s="227">
        <f>(IF((VLOOKUP(Table10[[#This Row],[SKU]],'All Skus'!$A:$AC,2,FALSE))="Martin",(VLOOKUP(Table10[[#This Row],[SKU]],'All Skus'!$A:$AC,21,FALSE)),""))</f>
        <v>0</v>
      </c>
      <c r="R481" s="224">
        <f>(IF((VLOOKUP(Table10[[#This Row],[SKU]],'All Skus'!$A:$AC,2,FALSE))="Martin",(VLOOKUP(Table10[[#This Row],[SKU]],'All Skus'!$A:$AC,22,FALSE)),""))</f>
        <v>0</v>
      </c>
      <c r="S481" s="223">
        <f>(IF((VLOOKUP(Table10[[#This Row],[SKU]],'All Skus'!$A:$AC,2,FALSE))="Martin",(VLOOKUP(Table10[[#This Row],[SKU]],'All Skus'!$A:$AC,23,FALSE)),""))</f>
        <v>0</v>
      </c>
      <c r="T481" s="212" t="str">
        <f>HYPERLINK((IF((VLOOKUP(Table10[[#This Row],[SKU]],'All Skus'!$A:$AC,2,FALSE))="Martin",(VLOOKUP(Table10[[#This Row],[SKU]],'All Skus'!$A:$AC,24,FALSE)),"")))</f>
        <v/>
      </c>
      <c r="U481" s="228">
        <v>479</v>
      </c>
    </row>
    <row r="482" spans="1:21">
      <c r="A482" s="112">
        <v>92225940</v>
      </c>
      <c r="B482" s="224" t="str">
        <f>(IF((VLOOKUP(Table10[[#This Row],[SKU]],'All Skus'!$A:$AC,2,FALSE))="Martin",(VLOOKUP(Table10[[#This Row],[SKU]],'All Skus'!$A:$AC,3,FALSE)),""))</f>
        <v>Atmospheric Effects</v>
      </c>
      <c r="C482" s="223" t="str">
        <f>(IF((VLOOKUP(Table10[[#This Row],[SKU]],'All Skus'!$A:$AC,2,FALSE))="Martin",(VLOOKUP(Table10[[#This Row],[SKU]],'All Skus'!$A:$AC,4,FALSE)),""))</f>
        <v>JEM Hazer Pro, 230V, 50/60Hz, EU</v>
      </c>
      <c r="D482" s="224" t="str">
        <f>(IF((VLOOKUP(Table10[[#This Row],[SKU]],'All Skus'!$A:$AC,2,FALSE))="Martin",(VLOOKUP(Table10[[#This Row],[SKU]],'All Skus'!$A:$AC,5,FALSE)),""))</f>
        <v>MSM-JEM</v>
      </c>
      <c r="E482" s="223">
        <f>(IF((VLOOKUP(Table10[[#This Row],[SKU]],'All Skus'!$A:$AC,2,FALSE))="Martin",(VLOOKUP(Table10[[#This Row],[SKU]],'All Skus'!$A:$AC,6,FALSE)),""))</f>
        <v>0</v>
      </c>
      <c r="F482" s="155">
        <f>(IF((VLOOKUP(Table10[[#This Row],[SKU]],'All Skus'!$A:$AC,2,FALSE))="Martin",(VLOOKUP(Table10[[#This Row],[SKU]],'All Skus'!$A:$AC,7,FALSE)),""))</f>
        <v>0</v>
      </c>
      <c r="G482" s="223" t="str">
        <f>(IF((VLOOKUP(Table10[[#This Row],[SKU]],'All Skus'!$A:$AC,2,FALSE))="Martin",(VLOOKUP(Table10[[#This Row],[SKU]],'All Skus'!$A:$AC,8,FALSE)),""))</f>
        <v>JEM Hazer Pro, 230V, 50/60Hz, EU</v>
      </c>
      <c r="H482" s="223" t="str">
        <f>(IF((VLOOKUP(Table10[[#This Row],[SKU]],'All Skus'!$A:$AC,2,FALSE))="Martin",(VLOOKUP(Table10[[#This Row],[SKU]],'All Skus'!$A:$AC,9,FALSE)),""))</f>
        <v>JEM Hazer Pro, 230V, 50/60Hz, EU</v>
      </c>
      <c r="I482" s="225">
        <f>(IF((VLOOKUP(Table10[[#This Row],[SKU]],'All Skus'!$A:$AC,2,FALSE))="Martin",(VLOOKUP(Table10[[#This Row],[SKU]],'All Skus'!$A:$AC,10,FALSE)),""))</f>
        <v>2797.22</v>
      </c>
      <c r="J482" s="226">
        <f>(IF((VLOOKUP(Table10[[#This Row],[SKU]],'All Skus'!$A:$AC,2,FALSE))="Martin",(VLOOKUP(Table10[[#This Row],[SKU]],'All Skus'!$A:$AC,11,FALSE)),""))</f>
        <v>2797.22</v>
      </c>
      <c r="K482" s="224">
        <f>(IF((VLOOKUP(Table10[[#This Row],[SKU]],'All Skus'!$A:$AC,2,FALSE))="Martin",(VLOOKUP(Table10[[#This Row],[SKU]],'All Skus'!$A:$AC,15,FALSE)),""))</f>
        <v>0</v>
      </c>
      <c r="L482" s="224">
        <f>(IF((VLOOKUP(Table10[[#This Row],[SKU]],'All Skus'!$A:$AC,2,FALSE))="Martin",(VLOOKUP(Table10[[#This Row],[SKU]],'All Skus'!$A:$AC,16,FALSE)),""))</f>
        <v>688705004426</v>
      </c>
      <c r="M482" s="224">
        <f>(IF((VLOOKUP(Table10[[#This Row],[SKU]],'All Skus'!$A:$AC,2,FALSE))="Martin",(VLOOKUP(Table10[[#This Row],[SKU]],'All Skus'!$A:$AC,17,FALSE)),""))</f>
        <v>0</v>
      </c>
      <c r="N482" s="227">
        <f>(IF((VLOOKUP(Table10[[#This Row],[SKU]],'All Skus'!$A:$AC,2,FALSE))="Martin",(VLOOKUP(Table10[[#This Row],[SKU]],'All Skus'!$A:$AC,18,FALSE)),""))</f>
        <v>14.960637999999999</v>
      </c>
      <c r="O482" s="227">
        <f>(IF((VLOOKUP(Table10[[#This Row],[SKU]],'All Skus'!$A:$AC,2,FALSE))="Martin",(VLOOKUP(Table10[[#This Row],[SKU]],'All Skus'!$A:$AC,19,FALSE)),""))</f>
        <v>14.960637999999999</v>
      </c>
      <c r="P482" s="227">
        <f>(IF((VLOOKUP(Table10[[#This Row],[SKU]],'All Skus'!$A:$AC,2,FALSE))="Martin",(VLOOKUP(Table10[[#This Row],[SKU]],'All Skus'!$A:$AC,20,FALSE)),""))</f>
        <v>0</v>
      </c>
      <c r="Q482" s="227">
        <f>(IF((VLOOKUP(Table10[[#This Row],[SKU]],'All Skus'!$A:$AC,2,FALSE))="Martin",(VLOOKUP(Table10[[#This Row],[SKU]],'All Skus'!$A:$AC,21,FALSE)),""))</f>
        <v>0</v>
      </c>
      <c r="R482" s="224" t="str">
        <f>(IF((VLOOKUP(Table10[[#This Row],[SKU]],'All Skus'!$A:$AC,2,FALSE))="Martin",(VLOOKUP(Table10[[#This Row],[SKU]],'All Skus'!$A:$AC,22,FALSE)),""))</f>
        <v>GB</v>
      </c>
      <c r="S482" s="223">
        <f>(IF((VLOOKUP(Table10[[#This Row],[SKU]],'All Skus'!$A:$AC,2,FALSE))="Martin",(VLOOKUP(Table10[[#This Row],[SKU]],'All Skus'!$A:$AC,23,FALSE)),""))</f>
        <v>0</v>
      </c>
      <c r="T482" s="212" t="str">
        <f>HYPERLINK((IF((VLOOKUP(Table10[[#This Row],[SKU]],'All Skus'!$A:$AC,2,FALSE))="Martin",(VLOOKUP(Table10[[#This Row],[SKU]],'All Skus'!$A:$AC,24,FALSE)),"")))</f>
        <v/>
      </c>
      <c r="U482" s="228">
        <v>480</v>
      </c>
    </row>
    <row r="483" spans="1:21">
      <c r="A483" s="112">
        <v>92225945</v>
      </c>
      <c r="B483" s="224" t="str">
        <f>(IF((VLOOKUP(Table10[[#This Row],[SKU]],'All Skus'!$A:$AC,2,FALSE))="Martin",(VLOOKUP(Table10[[#This Row],[SKU]],'All Skus'!$A:$AC,3,FALSE)),""))</f>
        <v>Atmospheric Effects</v>
      </c>
      <c r="C483" s="223" t="str">
        <f>(IF((VLOOKUP(Table10[[#This Row],[SKU]],'All Skus'!$A:$AC,2,FALSE))="Martin",(VLOOKUP(Table10[[#This Row],[SKU]],'All Skus'!$A:$AC,4,FALSE)),""))</f>
        <v>JEM Hazer Pro, 120V, 50/60Hz, US</v>
      </c>
      <c r="D483" s="224" t="str">
        <f>(IF((VLOOKUP(Table10[[#This Row],[SKU]],'All Skus'!$A:$AC,2,FALSE))="Martin",(VLOOKUP(Table10[[#This Row],[SKU]],'All Skus'!$A:$AC,5,FALSE)),""))</f>
        <v>MSM-JEM</v>
      </c>
      <c r="E483" s="223">
        <f>(IF((VLOOKUP(Table10[[#This Row],[SKU]],'All Skus'!$A:$AC,2,FALSE))="Martin",(VLOOKUP(Table10[[#This Row],[SKU]],'All Skus'!$A:$AC,6,FALSE)),""))</f>
        <v>0</v>
      </c>
      <c r="F483" s="155">
        <f>(IF((VLOOKUP(Table10[[#This Row],[SKU]],'All Skus'!$A:$AC,2,FALSE))="Martin",(VLOOKUP(Table10[[#This Row],[SKU]],'All Skus'!$A:$AC,7,FALSE)),""))</f>
        <v>0</v>
      </c>
      <c r="G483" s="223" t="str">
        <f>(IF((VLOOKUP(Table10[[#This Row],[SKU]],'All Skus'!$A:$AC,2,FALSE))="Martin",(VLOOKUP(Table10[[#This Row],[SKU]],'All Skus'!$A:$AC,8,FALSE)),""))</f>
        <v>JEM Hazer Pro, 120V, 50/60Hz, US</v>
      </c>
      <c r="H483" s="223" t="str">
        <f>(IF((VLOOKUP(Table10[[#This Row],[SKU]],'All Skus'!$A:$AC,2,FALSE))="Martin",(VLOOKUP(Table10[[#This Row],[SKU]],'All Skus'!$A:$AC,9,FALSE)),""))</f>
        <v>JEM Hazer Pro, 120V, 50/60Hz, US</v>
      </c>
      <c r="I483" s="225">
        <f>(IF((VLOOKUP(Table10[[#This Row],[SKU]],'All Skus'!$A:$AC,2,FALSE))="Martin",(VLOOKUP(Table10[[#This Row],[SKU]],'All Skus'!$A:$AC,10,FALSE)),""))</f>
        <v>2797.22</v>
      </c>
      <c r="J483" s="226">
        <f>(IF((VLOOKUP(Table10[[#This Row],[SKU]],'All Skus'!$A:$AC,2,FALSE))="Martin",(VLOOKUP(Table10[[#This Row],[SKU]],'All Skus'!$A:$AC,11,FALSE)),""))</f>
        <v>2797.22</v>
      </c>
      <c r="K483" s="224">
        <f>(IF((VLOOKUP(Table10[[#This Row],[SKU]],'All Skus'!$A:$AC,2,FALSE))="Martin",(VLOOKUP(Table10[[#This Row],[SKU]],'All Skus'!$A:$AC,15,FALSE)),""))</f>
        <v>0</v>
      </c>
      <c r="L483" s="224">
        <f>(IF((VLOOKUP(Table10[[#This Row],[SKU]],'All Skus'!$A:$AC,2,FALSE))="Martin",(VLOOKUP(Table10[[#This Row],[SKU]],'All Skus'!$A:$AC,16,FALSE)),""))</f>
        <v>688705005027</v>
      </c>
      <c r="M483" s="224">
        <f>(IF((VLOOKUP(Table10[[#This Row],[SKU]],'All Skus'!$A:$AC,2,FALSE))="Martin",(VLOOKUP(Table10[[#This Row],[SKU]],'All Skus'!$A:$AC,17,FALSE)),""))</f>
        <v>0</v>
      </c>
      <c r="N483" s="227">
        <f>(IF((VLOOKUP(Table10[[#This Row],[SKU]],'All Skus'!$A:$AC,2,FALSE))="Martin",(VLOOKUP(Table10[[#This Row],[SKU]],'All Skus'!$A:$AC,18,FALSE)),""))</f>
        <v>14.960637999999999</v>
      </c>
      <c r="O483" s="227">
        <f>(IF((VLOOKUP(Table10[[#This Row],[SKU]],'All Skus'!$A:$AC,2,FALSE))="Martin",(VLOOKUP(Table10[[#This Row],[SKU]],'All Skus'!$A:$AC,19,FALSE)),""))</f>
        <v>14.960637999999999</v>
      </c>
      <c r="P483" s="227">
        <f>(IF((VLOOKUP(Table10[[#This Row],[SKU]],'All Skus'!$A:$AC,2,FALSE))="Martin",(VLOOKUP(Table10[[#This Row],[SKU]],'All Skus'!$A:$AC,20,FALSE)),""))</f>
        <v>0</v>
      </c>
      <c r="Q483" s="227">
        <f>(IF((VLOOKUP(Table10[[#This Row],[SKU]],'All Skus'!$A:$AC,2,FALSE))="Martin",(VLOOKUP(Table10[[#This Row],[SKU]],'All Skus'!$A:$AC,21,FALSE)),""))</f>
        <v>0</v>
      </c>
      <c r="R483" s="224" t="str">
        <f>(IF((VLOOKUP(Table10[[#This Row],[SKU]],'All Skus'!$A:$AC,2,FALSE))="Martin",(VLOOKUP(Table10[[#This Row],[SKU]],'All Skus'!$A:$AC,22,FALSE)),""))</f>
        <v>GB</v>
      </c>
      <c r="S483" s="223">
        <f>(IF((VLOOKUP(Table10[[#This Row],[SKU]],'All Skus'!$A:$AC,2,FALSE))="Martin",(VLOOKUP(Table10[[#This Row],[SKU]],'All Skus'!$A:$AC,23,FALSE)),""))</f>
        <v>0</v>
      </c>
      <c r="T483" s="212" t="str">
        <f>HYPERLINK((IF((VLOOKUP(Table10[[#This Row],[SKU]],'All Skus'!$A:$AC,2,FALSE))="Martin",(VLOOKUP(Table10[[#This Row],[SKU]],'All Skus'!$A:$AC,24,FALSE)),"")))</f>
        <v>http://www.martin.com/en-us/product-details/jem-hazer-pro</v>
      </c>
      <c r="U483" s="228">
        <v>481</v>
      </c>
    </row>
    <row r="484" spans="1:21">
      <c r="A484" s="112">
        <v>92610002</v>
      </c>
      <c r="B484" s="224" t="str">
        <f>(IF((VLOOKUP(Table10[[#This Row],[SKU]],'All Skus'!$A:$AC,2,FALSE))="Martin",(VLOOKUP(Table10[[#This Row],[SKU]],'All Skus'!$A:$AC,3,FALSE)),""))</f>
        <v>Atmospheric Effects</v>
      </c>
      <c r="C484" s="223" t="str">
        <f>(IF((VLOOKUP(Table10[[#This Row],[SKU]],'All Skus'!$A:$AC,2,FALSE))="Martin",(VLOOKUP(Table10[[#This Row],[SKU]],'All Skus'!$A:$AC,4,FALSE)),""))</f>
        <v xml:space="preserve">Flying kit, JEM K1/Hazer Pro </v>
      </c>
      <c r="D484" s="224" t="str">
        <f>(IF((VLOOKUP(Table10[[#This Row],[SKU]],'All Skus'!$A:$AC,2,FALSE))="Martin",(VLOOKUP(Table10[[#This Row],[SKU]],'All Skus'!$A:$AC,5,FALSE)),""))</f>
        <v>MSM-JEM</v>
      </c>
      <c r="E484" s="223">
        <f>(IF((VLOOKUP(Table10[[#This Row],[SKU]],'All Skus'!$A:$AC,2,FALSE))="Martin",(VLOOKUP(Table10[[#This Row],[SKU]],'All Skus'!$A:$AC,6,FALSE)),""))</f>
        <v>0</v>
      </c>
      <c r="F484" s="155">
        <f>(IF((VLOOKUP(Table10[[#This Row],[SKU]],'All Skus'!$A:$AC,2,FALSE))="Martin",(VLOOKUP(Table10[[#This Row],[SKU]],'All Skus'!$A:$AC,7,FALSE)),""))</f>
        <v>0</v>
      </c>
      <c r="G484" s="223" t="str">
        <f>(IF((VLOOKUP(Table10[[#This Row],[SKU]],'All Skus'!$A:$AC,2,FALSE))="Martin",(VLOOKUP(Table10[[#This Row],[SKU]],'All Skus'!$A:$AC,8,FALSE)),""))</f>
        <v xml:space="preserve">Flying kit, JEM K1/Hazer Pro </v>
      </c>
      <c r="H484" s="223" t="str">
        <f>(IF((VLOOKUP(Table10[[#This Row],[SKU]],'All Skus'!$A:$AC,2,FALSE))="Martin",(VLOOKUP(Table10[[#This Row],[SKU]],'All Skus'!$A:$AC,9,FALSE)),""))</f>
        <v xml:space="preserve">Flying kit, JEM K1/Hazer Pro </v>
      </c>
      <c r="I484" s="225">
        <f>(IF((VLOOKUP(Table10[[#This Row],[SKU]],'All Skus'!$A:$AC,2,FALSE))="Martin",(VLOOKUP(Table10[[#This Row],[SKU]],'All Skus'!$A:$AC,10,FALSE)),""))</f>
        <v>62.97</v>
      </c>
      <c r="J484" s="226">
        <f>(IF((VLOOKUP(Table10[[#This Row],[SKU]],'All Skus'!$A:$AC,2,FALSE))="Martin",(VLOOKUP(Table10[[#This Row],[SKU]],'All Skus'!$A:$AC,11,FALSE)),""))</f>
        <v>62.97</v>
      </c>
      <c r="K484" s="224" t="str">
        <f>(IF((VLOOKUP(Table10[[#This Row],[SKU]],'All Skus'!$A:$AC,2,FALSE))="Martin",(VLOOKUP(Table10[[#This Row],[SKU]],'All Skus'!$A:$AC,15,FALSE)),""))</f>
        <v/>
      </c>
      <c r="L484" s="224">
        <f>(IF((VLOOKUP(Table10[[#This Row],[SKU]],'All Skus'!$A:$AC,2,FALSE))="Martin",(VLOOKUP(Table10[[#This Row],[SKU]],'All Skus'!$A:$AC,16,FALSE)),""))</f>
        <v>688705005034</v>
      </c>
      <c r="M484" s="224">
        <f>(IF((VLOOKUP(Table10[[#This Row],[SKU]],'All Skus'!$A:$AC,2,FALSE))="Martin",(VLOOKUP(Table10[[#This Row],[SKU]],'All Skus'!$A:$AC,17,FALSE)),""))</f>
        <v>0</v>
      </c>
      <c r="N484" s="227">
        <f>(IF((VLOOKUP(Table10[[#This Row],[SKU]],'All Skus'!$A:$AC,2,FALSE))="Martin",(VLOOKUP(Table10[[#This Row],[SKU]],'All Skus'!$A:$AC,18,FALSE)),""))</f>
        <v>0</v>
      </c>
      <c r="O484" s="227">
        <f>(IF((VLOOKUP(Table10[[#This Row],[SKU]],'All Skus'!$A:$AC,2,FALSE))="Martin",(VLOOKUP(Table10[[#This Row],[SKU]],'All Skus'!$A:$AC,19,FALSE)),""))</f>
        <v>0</v>
      </c>
      <c r="P484" s="227">
        <f>(IF((VLOOKUP(Table10[[#This Row],[SKU]],'All Skus'!$A:$AC,2,FALSE))="Martin",(VLOOKUP(Table10[[#This Row],[SKU]],'All Skus'!$A:$AC,20,FALSE)),""))</f>
        <v>0</v>
      </c>
      <c r="Q484" s="227">
        <f>(IF((VLOOKUP(Table10[[#This Row],[SKU]],'All Skus'!$A:$AC,2,FALSE))="Martin",(VLOOKUP(Table10[[#This Row],[SKU]],'All Skus'!$A:$AC,21,FALSE)),""))</f>
        <v>0</v>
      </c>
      <c r="R484" s="224" t="str">
        <f>(IF((VLOOKUP(Table10[[#This Row],[SKU]],'All Skus'!$A:$AC,2,FALSE))="Martin",(VLOOKUP(Table10[[#This Row],[SKU]],'All Skus'!$A:$AC,22,FALSE)),""))</f>
        <v>GB</v>
      </c>
      <c r="S484" s="223">
        <f>(IF((VLOOKUP(Table10[[#This Row],[SKU]],'All Skus'!$A:$AC,2,FALSE))="Martin",(VLOOKUP(Table10[[#This Row],[SKU]],'All Skus'!$A:$AC,23,FALSE)),""))</f>
        <v>0</v>
      </c>
      <c r="T484" s="212" t="str">
        <f>HYPERLINK((IF((VLOOKUP(Table10[[#This Row],[SKU]],'All Skus'!$A:$AC,2,FALSE))="Martin",(VLOOKUP(Table10[[#This Row],[SKU]],'All Skus'!$A:$AC,24,FALSE)),"")))</f>
        <v>http://www.martin.com/en-us/product-details/jem-hazer-pro</v>
      </c>
      <c r="U484" s="228">
        <v>482</v>
      </c>
    </row>
    <row r="485" spans="1:21" hidden="1">
      <c r="A485" s="111" t="s">
        <v>2171</v>
      </c>
      <c r="B485" s="224">
        <f>(IF((VLOOKUP(Table10[[#This Row],[SKU]],'All Skus'!$A:$AC,2,FALSE))="Martin",(VLOOKUP(Table10[[#This Row],[SKU]],'All Skus'!$A:$AC,3,FALSE)),""))</f>
        <v>0</v>
      </c>
      <c r="C485" s="223">
        <f>(IF((VLOOKUP(Table10[[#This Row],[SKU]],'All Skus'!$A:$AC,2,FALSE))="Martin",(VLOOKUP(Table10[[#This Row],[SKU]],'All Skus'!$A:$AC,4,FALSE)),""))</f>
        <v>0</v>
      </c>
      <c r="D485" s="224">
        <f>(IF((VLOOKUP(Table10[[#This Row],[SKU]],'All Skus'!$A:$AC,2,FALSE))="Martin",(VLOOKUP(Table10[[#This Row],[SKU]],'All Skus'!$A:$AC,5,FALSE)),""))</f>
        <v>0</v>
      </c>
      <c r="E485" s="223">
        <f>(IF((VLOOKUP(Table10[[#This Row],[SKU]],'All Skus'!$A:$AC,2,FALSE))="Martin",(VLOOKUP(Table10[[#This Row],[SKU]],'All Skus'!$A:$AC,6,FALSE)),""))</f>
        <v>0</v>
      </c>
      <c r="F485" s="155">
        <f>(IF((VLOOKUP(Table10[[#This Row],[SKU]],'All Skus'!$A:$AC,2,FALSE))="Martin",(VLOOKUP(Table10[[#This Row],[SKU]],'All Skus'!$A:$AC,7,FALSE)),""))</f>
        <v>0</v>
      </c>
      <c r="G485" s="223">
        <f>(IF((VLOOKUP(Table10[[#This Row],[SKU]],'All Skus'!$A:$AC,2,FALSE))="Martin",(VLOOKUP(Table10[[#This Row],[SKU]],'All Skus'!$A:$AC,8,FALSE)),""))</f>
        <v>0</v>
      </c>
      <c r="H485" s="223">
        <f>(IF((VLOOKUP(Table10[[#This Row],[SKU]],'All Skus'!$A:$AC,2,FALSE))="Martin",(VLOOKUP(Table10[[#This Row],[SKU]],'All Skus'!$A:$AC,9,FALSE)),""))</f>
        <v>0</v>
      </c>
      <c r="I485" s="225">
        <f>(IF((VLOOKUP(Table10[[#This Row],[SKU]],'All Skus'!$A:$AC,2,FALSE))="Martin",(VLOOKUP(Table10[[#This Row],[SKU]],'All Skus'!$A:$AC,10,FALSE)),""))</f>
        <v>0</v>
      </c>
      <c r="J485" s="226">
        <f>(IF((VLOOKUP(Table10[[#This Row],[SKU]],'All Skus'!$A:$AC,2,FALSE))="Martin",(VLOOKUP(Table10[[#This Row],[SKU]],'All Skus'!$A:$AC,11,FALSE)),""))</f>
        <v>0</v>
      </c>
      <c r="K485" s="224">
        <f>(IF((VLOOKUP(Table10[[#This Row],[SKU]],'All Skus'!$A:$AC,2,FALSE))="Martin",(VLOOKUP(Table10[[#This Row],[SKU]],'All Skus'!$A:$AC,15,FALSE)),""))</f>
        <v>0</v>
      </c>
      <c r="L485" s="224">
        <f>(IF((VLOOKUP(Table10[[#This Row],[SKU]],'All Skus'!$A:$AC,2,FALSE))="Martin",(VLOOKUP(Table10[[#This Row],[SKU]],'All Skus'!$A:$AC,16,FALSE)),""))</f>
        <v>0</v>
      </c>
      <c r="M485" s="224">
        <f>(IF((VLOOKUP(Table10[[#This Row],[SKU]],'All Skus'!$A:$AC,2,FALSE))="Martin",(VLOOKUP(Table10[[#This Row],[SKU]],'All Skus'!$A:$AC,17,FALSE)),""))</f>
        <v>0</v>
      </c>
      <c r="N485" s="227">
        <f>(IF((VLOOKUP(Table10[[#This Row],[SKU]],'All Skus'!$A:$AC,2,FALSE))="Martin",(VLOOKUP(Table10[[#This Row],[SKU]],'All Skus'!$A:$AC,18,FALSE)),""))</f>
        <v>0</v>
      </c>
      <c r="O485" s="227">
        <f>(IF((VLOOKUP(Table10[[#This Row],[SKU]],'All Skus'!$A:$AC,2,FALSE))="Martin",(VLOOKUP(Table10[[#This Row],[SKU]],'All Skus'!$A:$AC,19,FALSE)),""))</f>
        <v>0</v>
      </c>
      <c r="P485" s="227">
        <f>(IF((VLOOKUP(Table10[[#This Row],[SKU]],'All Skus'!$A:$AC,2,FALSE))="Martin",(VLOOKUP(Table10[[#This Row],[SKU]],'All Skus'!$A:$AC,20,FALSE)),""))</f>
        <v>0</v>
      </c>
      <c r="Q485" s="227">
        <f>(IF((VLOOKUP(Table10[[#This Row],[SKU]],'All Skus'!$A:$AC,2,FALSE))="Martin",(VLOOKUP(Table10[[#This Row],[SKU]],'All Skus'!$A:$AC,21,FALSE)),""))</f>
        <v>0</v>
      </c>
      <c r="R485" s="224">
        <f>(IF((VLOOKUP(Table10[[#This Row],[SKU]],'All Skus'!$A:$AC,2,FALSE))="Martin",(VLOOKUP(Table10[[#This Row],[SKU]],'All Skus'!$A:$AC,22,FALSE)),""))</f>
        <v>0</v>
      </c>
      <c r="S485" s="223">
        <f>(IF((VLOOKUP(Table10[[#This Row],[SKU]],'All Skus'!$A:$AC,2,FALSE))="Martin",(VLOOKUP(Table10[[#This Row],[SKU]],'All Skus'!$A:$AC,23,FALSE)),""))</f>
        <v>0</v>
      </c>
      <c r="T485" s="212" t="str">
        <f>HYPERLINK((IF((VLOOKUP(Table10[[#This Row],[SKU]],'All Skus'!$A:$AC,2,FALSE))="Martin",(VLOOKUP(Table10[[#This Row],[SKU]],'All Skus'!$A:$AC,24,FALSE)),"")))</f>
        <v/>
      </c>
      <c r="U485" s="228">
        <v>483</v>
      </c>
    </row>
    <row r="486" spans="1:21" hidden="1">
      <c r="A486" s="115" t="s">
        <v>2172</v>
      </c>
      <c r="B486" s="224">
        <f>(IF((VLOOKUP(Table10[[#This Row],[SKU]],'All Skus'!$A:$AC,2,FALSE))="Martin",(VLOOKUP(Table10[[#This Row],[SKU]],'All Skus'!$A:$AC,3,FALSE)),""))</f>
        <v>0</v>
      </c>
      <c r="C486" s="223">
        <f>(IF((VLOOKUP(Table10[[#This Row],[SKU]],'All Skus'!$A:$AC,2,FALSE))="Martin",(VLOOKUP(Table10[[#This Row],[SKU]],'All Skus'!$A:$AC,4,FALSE)),""))</f>
        <v>0</v>
      </c>
      <c r="D486" s="224">
        <f>(IF((VLOOKUP(Table10[[#This Row],[SKU]],'All Skus'!$A:$AC,2,FALSE))="Martin",(VLOOKUP(Table10[[#This Row],[SKU]],'All Skus'!$A:$AC,5,FALSE)),""))</f>
        <v>0</v>
      </c>
      <c r="E486" s="223">
        <f>(IF((VLOOKUP(Table10[[#This Row],[SKU]],'All Skus'!$A:$AC,2,FALSE))="Martin",(VLOOKUP(Table10[[#This Row],[SKU]],'All Skus'!$A:$AC,6,FALSE)),""))</f>
        <v>0</v>
      </c>
      <c r="F486" s="155">
        <f>(IF((VLOOKUP(Table10[[#This Row],[SKU]],'All Skus'!$A:$AC,2,FALSE))="Martin",(VLOOKUP(Table10[[#This Row],[SKU]],'All Skus'!$A:$AC,7,FALSE)),""))</f>
        <v>0</v>
      </c>
      <c r="G486" s="223">
        <f>(IF((VLOOKUP(Table10[[#This Row],[SKU]],'All Skus'!$A:$AC,2,FALSE))="Martin",(VLOOKUP(Table10[[#This Row],[SKU]],'All Skus'!$A:$AC,8,FALSE)),""))</f>
        <v>0</v>
      </c>
      <c r="H486" s="223">
        <f>(IF((VLOOKUP(Table10[[#This Row],[SKU]],'All Skus'!$A:$AC,2,FALSE))="Martin",(VLOOKUP(Table10[[#This Row],[SKU]],'All Skus'!$A:$AC,9,FALSE)),""))</f>
        <v>0</v>
      </c>
      <c r="I486" s="225">
        <f>(IF((VLOOKUP(Table10[[#This Row],[SKU]],'All Skus'!$A:$AC,2,FALSE))="Martin",(VLOOKUP(Table10[[#This Row],[SKU]],'All Skus'!$A:$AC,10,FALSE)),""))</f>
        <v>0</v>
      </c>
      <c r="J486" s="226">
        <f>(IF((VLOOKUP(Table10[[#This Row],[SKU]],'All Skus'!$A:$AC,2,FALSE))="Martin",(VLOOKUP(Table10[[#This Row],[SKU]],'All Skus'!$A:$AC,11,FALSE)),""))</f>
        <v>0</v>
      </c>
      <c r="K486" s="224">
        <f>(IF((VLOOKUP(Table10[[#This Row],[SKU]],'All Skus'!$A:$AC,2,FALSE))="Martin",(VLOOKUP(Table10[[#This Row],[SKU]],'All Skus'!$A:$AC,15,FALSE)),""))</f>
        <v>0</v>
      </c>
      <c r="L486" s="224">
        <f>(IF((VLOOKUP(Table10[[#This Row],[SKU]],'All Skus'!$A:$AC,2,FALSE))="Martin",(VLOOKUP(Table10[[#This Row],[SKU]],'All Skus'!$A:$AC,16,FALSE)),""))</f>
        <v>0</v>
      </c>
      <c r="M486" s="224">
        <f>(IF((VLOOKUP(Table10[[#This Row],[SKU]],'All Skus'!$A:$AC,2,FALSE))="Martin",(VLOOKUP(Table10[[#This Row],[SKU]],'All Skus'!$A:$AC,17,FALSE)),""))</f>
        <v>0</v>
      </c>
      <c r="N486" s="227">
        <f>(IF((VLOOKUP(Table10[[#This Row],[SKU]],'All Skus'!$A:$AC,2,FALSE))="Martin",(VLOOKUP(Table10[[#This Row],[SKU]],'All Skus'!$A:$AC,18,FALSE)),""))</f>
        <v>0</v>
      </c>
      <c r="O486" s="227">
        <f>(IF((VLOOKUP(Table10[[#This Row],[SKU]],'All Skus'!$A:$AC,2,FALSE))="Martin",(VLOOKUP(Table10[[#This Row],[SKU]],'All Skus'!$A:$AC,19,FALSE)),""))</f>
        <v>0</v>
      </c>
      <c r="P486" s="227">
        <f>(IF((VLOOKUP(Table10[[#This Row],[SKU]],'All Skus'!$A:$AC,2,FALSE))="Martin",(VLOOKUP(Table10[[#This Row],[SKU]],'All Skus'!$A:$AC,20,FALSE)),""))</f>
        <v>0</v>
      </c>
      <c r="Q486" s="227">
        <f>(IF((VLOOKUP(Table10[[#This Row],[SKU]],'All Skus'!$A:$AC,2,FALSE))="Martin",(VLOOKUP(Table10[[#This Row],[SKU]],'All Skus'!$A:$AC,21,FALSE)),""))</f>
        <v>0</v>
      </c>
      <c r="R486" s="224">
        <f>(IF((VLOOKUP(Table10[[#This Row],[SKU]],'All Skus'!$A:$AC,2,FALSE))="Martin",(VLOOKUP(Table10[[#This Row],[SKU]],'All Skus'!$A:$AC,22,FALSE)),""))</f>
        <v>0</v>
      </c>
      <c r="S486" s="223">
        <f>(IF((VLOOKUP(Table10[[#This Row],[SKU]],'All Skus'!$A:$AC,2,FALSE))="Martin",(VLOOKUP(Table10[[#This Row],[SKU]],'All Skus'!$A:$AC,23,FALSE)),""))</f>
        <v>0</v>
      </c>
      <c r="T486" s="212" t="str">
        <f>HYPERLINK((IF((VLOOKUP(Table10[[#This Row],[SKU]],'All Skus'!$A:$AC,2,FALSE))="Martin",(VLOOKUP(Table10[[#This Row],[SKU]],'All Skus'!$A:$AC,24,FALSE)),"")))</f>
        <v/>
      </c>
      <c r="U486" s="228">
        <v>484</v>
      </c>
    </row>
    <row r="487" spans="1:21">
      <c r="A487" s="112">
        <v>92615010</v>
      </c>
      <c r="B487" s="224" t="str">
        <f>(IF((VLOOKUP(Table10[[#This Row],[SKU]],'All Skus'!$A:$AC,2,FALSE))="Martin",(VLOOKUP(Table10[[#This Row],[SKU]],'All Skus'!$A:$AC,3,FALSE)),""))</f>
        <v>Atmospheric Effects</v>
      </c>
      <c r="C487" s="223" t="str">
        <f>(IF((VLOOKUP(Table10[[#This Row],[SKU]],'All Skus'!$A:$AC,2,FALSE))="Martin",(VLOOKUP(Table10[[#This Row],[SKU]],'All Skus'!$A:$AC,4,FALSE)),""))</f>
        <v>JEM AF-1 MkII dmx fan; 230V 50/60Hz, EU</v>
      </c>
      <c r="D487" s="224" t="str">
        <f>(IF((VLOOKUP(Table10[[#This Row],[SKU]],'All Skus'!$A:$AC,2,FALSE))="Martin",(VLOOKUP(Table10[[#This Row],[SKU]],'All Skus'!$A:$AC,5,FALSE)),""))</f>
        <v>MSM-JEM</v>
      </c>
      <c r="E487" s="223">
        <f>(IF((VLOOKUP(Table10[[#This Row],[SKU]],'All Skus'!$A:$AC,2,FALSE))="Martin",(VLOOKUP(Table10[[#This Row],[SKU]],'All Skus'!$A:$AC,6,FALSE)),""))</f>
        <v>0</v>
      </c>
      <c r="F487" s="155">
        <f>(IF((VLOOKUP(Table10[[#This Row],[SKU]],'All Skus'!$A:$AC,2,FALSE))="Martin",(VLOOKUP(Table10[[#This Row],[SKU]],'All Skus'!$A:$AC,7,FALSE)),""))</f>
        <v>0</v>
      </c>
      <c r="G487" s="223" t="str">
        <f>(IF((VLOOKUP(Table10[[#This Row],[SKU]],'All Skus'!$A:$AC,2,FALSE))="Martin",(VLOOKUP(Table10[[#This Row],[SKU]],'All Skus'!$A:$AC,8,FALSE)),""))</f>
        <v>JEM AF-1 MkII dmx fan; 230V 50/60Hz, EU</v>
      </c>
      <c r="H487" s="223" t="str">
        <f>(IF((VLOOKUP(Table10[[#This Row],[SKU]],'All Skus'!$A:$AC,2,FALSE))="Martin",(VLOOKUP(Table10[[#This Row],[SKU]],'All Skus'!$A:$AC,9,FALSE)),""))</f>
        <v>JEM AF-1 MkII dmx fan; 230V 50/60Hz, EU</v>
      </c>
      <c r="I487" s="225">
        <f>(IF((VLOOKUP(Table10[[#This Row],[SKU]],'All Skus'!$A:$AC,2,FALSE))="Martin",(VLOOKUP(Table10[[#This Row],[SKU]],'All Skus'!$A:$AC,10,FALSE)),""))</f>
        <v>1680.51</v>
      </c>
      <c r="J487" s="226">
        <f>(IF((VLOOKUP(Table10[[#This Row],[SKU]],'All Skus'!$A:$AC,2,FALSE))="Martin",(VLOOKUP(Table10[[#This Row],[SKU]],'All Skus'!$A:$AC,11,FALSE)),""))</f>
        <v>1680.51</v>
      </c>
      <c r="K487" s="224">
        <f>(IF((VLOOKUP(Table10[[#This Row],[SKU]],'All Skus'!$A:$AC,2,FALSE))="Martin",(VLOOKUP(Table10[[#This Row],[SKU]],'All Skus'!$A:$AC,15,FALSE)),""))</f>
        <v>0</v>
      </c>
      <c r="L487" s="224">
        <f>(IF((VLOOKUP(Table10[[#This Row],[SKU]],'All Skus'!$A:$AC,2,FALSE))="Martin",(VLOOKUP(Table10[[#This Row],[SKU]],'All Skus'!$A:$AC,16,FALSE)),""))</f>
        <v>688705005096</v>
      </c>
      <c r="M487" s="224">
        <f>(IF((VLOOKUP(Table10[[#This Row],[SKU]],'All Skus'!$A:$AC,2,FALSE))="Martin",(VLOOKUP(Table10[[#This Row],[SKU]],'All Skus'!$A:$AC,17,FALSE)),""))</f>
        <v>0</v>
      </c>
      <c r="N487" s="227">
        <f>(IF((VLOOKUP(Table10[[#This Row],[SKU]],'All Skus'!$A:$AC,2,FALSE))="Martin",(VLOOKUP(Table10[[#This Row],[SKU]],'All Skus'!$A:$AC,18,FALSE)),""))</f>
        <v>20.078751</v>
      </c>
      <c r="O487" s="227">
        <f>(IF((VLOOKUP(Table10[[#This Row],[SKU]],'All Skus'!$A:$AC,2,FALSE))="Martin",(VLOOKUP(Table10[[#This Row],[SKU]],'All Skus'!$A:$AC,19,FALSE)),""))</f>
        <v>20.078751</v>
      </c>
      <c r="P487" s="227">
        <f>(IF((VLOOKUP(Table10[[#This Row],[SKU]],'All Skus'!$A:$AC,2,FALSE))="Martin",(VLOOKUP(Table10[[#This Row],[SKU]],'All Skus'!$A:$AC,20,FALSE)),""))</f>
        <v>0</v>
      </c>
      <c r="Q487" s="227">
        <f>(IF((VLOOKUP(Table10[[#This Row],[SKU]],'All Skus'!$A:$AC,2,FALSE))="Martin",(VLOOKUP(Table10[[#This Row],[SKU]],'All Skus'!$A:$AC,21,FALSE)),""))</f>
        <v>0</v>
      </c>
      <c r="R487" s="224" t="str">
        <f>(IF((VLOOKUP(Table10[[#This Row],[SKU]],'All Skus'!$A:$AC,2,FALSE))="Martin",(VLOOKUP(Table10[[#This Row],[SKU]],'All Skus'!$A:$AC,22,FALSE)),""))</f>
        <v>GB</v>
      </c>
      <c r="S487" s="223">
        <f>(IF((VLOOKUP(Table10[[#This Row],[SKU]],'All Skus'!$A:$AC,2,FALSE))="Martin",(VLOOKUP(Table10[[#This Row],[SKU]],'All Skus'!$A:$AC,23,FALSE)),""))</f>
        <v>0</v>
      </c>
      <c r="T487" s="212" t="str">
        <f>HYPERLINK((IF((VLOOKUP(Table10[[#This Row],[SKU]],'All Skus'!$A:$AC,2,FALSE))="Martin",(VLOOKUP(Table10[[#This Row],[SKU]],'All Skus'!$A:$AC,24,FALSE)),"")))</f>
        <v/>
      </c>
      <c r="U487" s="228">
        <v>485</v>
      </c>
    </row>
    <row r="488" spans="1:21">
      <c r="A488" s="112">
        <v>92615110</v>
      </c>
      <c r="B488" s="224" t="str">
        <f>(IF((VLOOKUP(Table10[[#This Row],[SKU]],'All Skus'!$A:$AC,2,FALSE))="Martin",(VLOOKUP(Table10[[#This Row],[SKU]],'All Skus'!$A:$AC,3,FALSE)),""))</f>
        <v>Atmospheric Effects</v>
      </c>
      <c r="C488" s="223" t="str">
        <f>(IF((VLOOKUP(Table10[[#This Row],[SKU]],'All Skus'!$A:$AC,2,FALSE))="Martin",(VLOOKUP(Table10[[#This Row],[SKU]],'All Skus'!$A:$AC,4,FALSE)),""))</f>
        <v>JEM AF-1 MkII dmx fan; 115V 50/60Hz, US</v>
      </c>
      <c r="D488" s="224" t="str">
        <f>(IF((VLOOKUP(Table10[[#This Row],[SKU]],'All Skus'!$A:$AC,2,FALSE))="Martin",(VLOOKUP(Table10[[#This Row],[SKU]],'All Skus'!$A:$AC,5,FALSE)),""))</f>
        <v>MSM-JEM</v>
      </c>
      <c r="E488" s="223">
        <f>(IF((VLOOKUP(Table10[[#This Row],[SKU]],'All Skus'!$A:$AC,2,FALSE))="Martin",(VLOOKUP(Table10[[#This Row],[SKU]],'All Skus'!$A:$AC,6,FALSE)),""))</f>
        <v>0</v>
      </c>
      <c r="F488" s="155">
        <f>(IF((VLOOKUP(Table10[[#This Row],[SKU]],'All Skus'!$A:$AC,2,FALSE))="Martin",(VLOOKUP(Table10[[#This Row],[SKU]],'All Skus'!$A:$AC,7,FALSE)),""))</f>
        <v>0</v>
      </c>
      <c r="G488" s="223" t="str">
        <f>(IF((VLOOKUP(Table10[[#This Row],[SKU]],'All Skus'!$A:$AC,2,FALSE))="Martin",(VLOOKUP(Table10[[#This Row],[SKU]],'All Skus'!$A:$AC,8,FALSE)),""))</f>
        <v>JEM AF-1 MkII dmx fan; 115V 50/60Hz, US</v>
      </c>
      <c r="H488" s="223" t="str">
        <f>(IF((VLOOKUP(Table10[[#This Row],[SKU]],'All Skus'!$A:$AC,2,FALSE))="Martin",(VLOOKUP(Table10[[#This Row],[SKU]],'All Skus'!$A:$AC,9,FALSE)),""))</f>
        <v>JEM AF-1 MkII dmx fan; 115V 50/60Hz, US</v>
      </c>
      <c r="I488" s="225">
        <f>(IF((VLOOKUP(Table10[[#This Row],[SKU]],'All Skus'!$A:$AC,2,FALSE))="Martin",(VLOOKUP(Table10[[#This Row],[SKU]],'All Skus'!$A:$AC,10,FALSE)),""))</f>
        <v>1680.51</v>
      </c>
      <c r="J488" s="226">
        <f>(IF((VLOOKUP(Table10[[#This Row],[SKU]],'All Skus'!$A:$AC,2,FALSE))="Martin",(VLOOKUP(Table10[[#This Row],[SKU]],'All Skus'!$A:$AC,11,FALSE)),""))</f>
        <v>1680.51</v>
      </c>
      <c r="K488" s="224">
        <f>(IF((VLOOKUP(Table10[[#This Row],[SKU]],'All Skus'!$A:$AC,2,FALSE))="Martin",(VLOOKUP(Table10[[#This Row],[SKU]],'All Skus'!$A:$AC,15,FALSE)),""))</f>
        <v>0</v>
      </c>
      <c r="L488" s="224">
        <f>(IF((VLOOKUP(Table10[[#This Row],[SKU]],'All Skus'!$A:$AC,2,FALSE))="Martin",(VLOOKUP(Table10[[#This Row],[SKU]],'All Skus'!$A:$AC,16,FALSE)),""))</f>
        <v>688705005102</v>
      </c>
      <c r="M488" s="224">
        <f>(IF((VLOOKUP(Table10[[#This Row],[SKU]],'All Skus'!$A:$AC,2,FALSE))="Martin",(VLOOKUP(Table10[[#This Row],[SKU]],'All Skus'!$A:$AC,17,FALSE)),""))</f>
        <v>0</v>
      </c>
      <c r="N488" s="227">
        <f>(IF((VLOOKUP(Table10[[#This Row],[SKU]],'All Skus'!$A:$AC,2,FALSE))="Martin",(VLOOKUP(Table10[[#This Row],[SKU]],'All Skus'!$A:$AC,18,FALSE)),""))</f>
        <v>20.078751</v>
      </c>
      <c r="O488" s="227">
        <f>(IF((VLOOKUP(Table10[[#This Row],[SKU]],'All Skus'!$A:$AC,2,FALSE))="Martin",(VLOOKUP(Table10[[#This Row],[SKU]],'All Skus'!$A:$AC,19,FALSE)),""))</f>
        <v>20.078751</v>
      </c>
      <c r="P488" s="227">
        <f>(IF((VLOOKUP(Table10[[#This Row],[SKU]],'All Skus'!$A:$AC,2,FALSE))="Martin",(VLOOKUP(Table10[[#This Row],[SKU]],'All Skus'!$A:$AC,20,FALSE)),""))</f>
        <v>0</v>
      </c>
      <c r="Q488" s="227">
        <f>(IF((VLOOKUP(Table10[[#This Row],[SKU]],'All Skus'!$A:$AC,2,FALSE))="Martin",(VLOOKUP(Table10[[#This Row],[SKU]],'All Skus'!$A:$AC,21,FALSE)),""))</f>
        <v>0</v>
      </c>
      <c r="R488" s="224" t="str">
        <f>(IF((VLOOKUP(Table10[[#This Row],[SKU]],'All Skus'!$A:$AC,2,FALSE))="Martin",(VLOOKUP(Table10[[#This Row],[SKU]],'All Skus'!$A:$AC,22,FALSE)),""))</f>
        <v>GB</v>
      </c>
      <c r="S488" s="223">
        <f>(IF((VLOOKUP(Table10[[#This Row],[SKU]],'All Skus'!$A:$AC,2,FALSE))="Martin",(VLOOKUP(Table10[[#This Row],[SKU]],'All Skus'!$A:$AC,23,FALSE)),""))</f>
        <v>0</v>
      </c>
      <c r="T488" s="212" t="str">
        <f>HYPERLINK((IF((VLOOKUP(Table10[[#This Row],[SKU]],'All Skus'!$A:$AC,2,FALSE))="Martin",(VLOOKUP(Table10[[#This Row],[SKU]],'All Skus'!$A:$AC,24,FALSE)),"")))</f>
        <v>http://www.martin.com/en-us/product-details/jem-glaciator-dymic</v>
      </c>
      <c r="U488" s="228">
        <v>486</v>
      </c>
    </row>
    <row r="489" spans="1:21" hidden="1">
      <c r="A489" s="114">
        <v>92765022</v>
      </c>
      <c r="B489" s="224">
        <f>(IF((VLOOKUP(Table10[[#This Row],[SKU]],'All Skus'!$A:$AC,2,FALSE))="Martin",(VLOOKUP(Table10[[#This Row],[SKU]],'All Skus'!$A:$AC,3,FALSE)),""))</f>
        <v>0</v>
      </c>
      <c r="C489" s="223" t="str">
        <f>(IF((VLOOKUP(Table10[[#This Row],[SKU]],'All Skus'!$A:$AC,2,FALSE))="Martin",(VLOOKUP(Table10[[#This Row],[SKU]],'All Skus'!$A:$AC,4,FALSE)),""))</f>
        <v>Remote Control, AF-1 MkII</v>
      </c>
      <c r="D489" s="224" t="str">
        <f>(IF((VLOOKUP(Table10[[#This Row],[SKU]],'All Skus'!$A:$AC,2,FALSE))="Martin",(VLOOKUP(Table10[[#This Row],[SKU]],'All Skus'!$A:$AC,5,FALSE)),""))</f>
        <v>MSM-JEM</v>
      </c>
      <c r="E489" s="223">
        <f>(IF((VLOOKUP(Table10[[#This Row],[SKU]],'All Skus'!$A:$AC,2,FALSE))="Martin",(VLOOKUP(Table10[[#This Row],[SKU]],'All Skus'!$A:$AC,6,FALSE)),""))</f>
        <v>0</v>
      </c>
      <c r="F489" s="155">
        <f>(IF((VLOOKUP(Table10[[#This Row],[SKU]],'All Skus'!$A:$AC,2,FALSE))="Martin",(VLOOKUP(Table10[[#This Row],[SKU]],'All Skus'!$A:$AC,7,FALSE)),""))</f>
        <v>0</v>
      </c>
      <c r="G489" s="223" t="str">
        <f>(IF((VLOOKUP(Table10[[#This Row],[SKU]],'All Skus'!$A:$AC,2,FALSE))="Martin",(VLOOKUP(Table10[[#This Row],[SKU]],'All Skus'!$A:$AC,8,FALSE)),""))</f>
        <v>Remote Control, AF-1 MkII</v>
      </c>
      <c r="H489" s="223" t="str">
        <f>(IF((VLOOKUP(Table10[[#This Row],[SKU]],'All Skus'!$A:$AC,2,FALSE))="Martin",(VLOOKUP(Table10[[#This Row],[SKU]],'All Skus'!$A:$AC,9,FALSE)),""))</f>
        <v>Remote Control, AF-1 MkII</v>
      </c>
      <c r="I489" s="225">
        <f>(IF((VLOOKUP(Table10[[#This Row],[SKU]],'All Skus'!$A:$AC,2,FALSE))="Martin",(VLOOKUP(Table10[[#This Row],[SKU]],'All Skus'!$A:$AC,10,FALSE)),""))</f>
        <v>244.48</v>
      </c>
      <c r="J489" s="226">
        <f>(IF((VLOOKUP(Table10[[#This Row],[SKU]],'All Skus'!$A:$AC,2,FALSE))="Martin",(VLOOKUP(Table10[[#This Row],[SKU]],'All Skus'!$A:$AC,11,FALSE)),""))</f>
        <v>244.48</v>
      </c>
      <c r="K489" s="224">
        <f>(IF((VLOOKUP(Table10[[#This Row],[SKU]],'All Skus'!$A:$AC,2,FALSE))="Martin",(VLOOKUP(Table10[[#This Row],[SKU]],'All Skus'!$A:$AC,15,FALSE)),""))</f>
        <v>0</v>
      </c>
      <c r="L489" s="224">
        <f>(IF((VLOOKUP(Table10[[#This Row],[SKU]],'All Skus'!$A:$AC,2,FALSE))="Martin",(VLOOKUP(Table10[[#This Row],[SKU]],'All Skus'!$A:$AC,16,FALSE)),""))</f>
        <v>688705004419</v>
      </c>
      <c r="M489" s="224">
        <f>(IF((VLOOKUP(Table10[[#This Row],[SKU]],'All Skus'!$A:$AC,2,FALSE))="Martin",(VLOOKUP(Table10[[#This Row],[SKU]],'All Skus'!$A:$AC,17,FALSE)),""))</f>
        <v>0</v>
      </c>
      <c r="N489" s="227">
        <f>(IF((VLOOKUP(Table10[[#This Row],[SKU]],'All Skus'!$A:$AC,2,FALSE))="Martin",(VLOOKUP(Table10[[#This Row],[SKU]],'All Skus'!$A:$AC,18,FALSE)),""))</f>
        <v>0</v>
      </c>
      <c r="O489" s="227">
        <f>(IF((VLOOKUP(Table10[[#This Row],[SKU]],'All Skus'!$A:$AC,2,FALSE))="Martin",(VLOOKUP(Table10[[#This Row],[SKU]],'All Skus'!$A:$AC,19,FALSE)),""))</f>
        <v>0</v>
      </c>
      <c r="P489" s="227">
        <f>(IF((VLOOKUP(Table10[[#This Row],[SKU]],'All Skus'!$A:$AC,2,FALSE))="Martin",(VLOOKUP(Table10[[#This Row],[SKU]],'All Skus'!$A:$AC,20,FALSE)),""))</f>
        <v>0</v>
      </c>
      <c r="Q489" s="227">
        <f>(IF((VLOOKUP(Table10[[#This Row],[SKU]],'All Skus'!$A:$AC,2,FALSE))="Martin",(VLOOKUP(Table10[[#This Row],[SKU]],'All Skus'!$A:$AC,21,FALSE)),""))</f>
        <v>0</v>
      </c>
      <c r="R489" s="224">
        <f>(IF((VLOOKUP(Table10[[#This Row],[SKU]],'All Skus'!$A:$AC,2,FALSE))="Martin",(VLOOKUP(Table10[[#This Row],[SKU]],'All Skus'!$A:$AC,22,FALSE)),""))</f>
        <v>0</v>
      </c>
      <c r="S489" s="223">
        <f>(IF((VLOOKUP(Table10[[#This Row],[SKU]],'All Skus'!$A:$AC,2,FALSE))="Martin",(VLOOKUP(Table10[[#This Row],[SKU]],'All Skus'!$A:$AC,23,FALSE)),""))</f>
        <v>0</v>
      </c>
      <c r="T489" s="212" t="str">
        <f>HYPERLINK((IF((VLOOKUP(Table10[[#This Row],[SKU]],'All Skus'!$A:$AC,2,FALSE))="Martin",(VLOOKUP(Table10[[#This Row],[SKU]],'All Skus'!$A:$AC,24,FALSE)),"")))</f>
        <v/>
      </c>
      <c r="U489" s="228">
        <v>487</v>
      </c>
    </row>
    <row r="490" spans="1:21" hidden="1">
      <c r="A490" s="115" t="s">
        <v>2173</v>
      </c>
      <c r="B490" s="224">
        <f>(IF((VLOOKUP(Table10[[#This Row],[SKU]],'All Skus'!$A:$AC,2,FALSE))="Martin",(VLOOKUP(Table10[[#This Row],[SKU]],'All Skus'!$A:$AC,3,FALSE)),""))</f>
        <v>0</v>
      </c>
      <c r="C490" s="223">
        <f>(IF((VLOOKUP(Table10[[#This Row],[SKU]],'All Skus'!$A:$AC,2,FALSE))="Martin",(VLOOKUP(Table10[[#This Row],[SKU]],'All Skus'!$A:$AC,4,FALSE)),""))</f>
        <v>0</v>
      </c>
      <c r="D490" s="224">
        <f>(IF((VLOOKUP(Table10[[#This Row],[SKU]],'All Skus'!$A:$AC,2,FALSE))="Martin",(VLOOKUP(Table10[[#This Row],[SKU]],'All Skus'!$A:$AC,5,FALSE)),""))</f>
        <v>0</v>
      </c>
      <c r="E490" s="223">
        <f>(IF((VLOOKUP(Table10[[#This Row],[SKU]],'All Skus'!$A:$AC,2,FALSE))="Martin",(VLOOKUP(Table10[[#This Row],[SKU]],'All Skus'!$A:$AC,6,FALSE)),""))</f>
        <v>0</v>
      </c>
      <c r="F490" s="155">
        <f>(IF((VLOOKUP(Table10[[#This Row],[SKU]],'All Skus'!$A:$AC,2,FALSE))="Martin",(VLOOKUP(Table10[[#This Row],[SKU]],'All Skus'!$A:$AC,7,FALSE)),""))</f>
        <v>0</v>
      </c>
      <c r="G490" s="223">
        <f>(IF((VLOOKUP(Table10[[#This Row],[SKU]],'All Skus'!$A:$AC,2,FALSE))="Martin",(VLOOKUP(Table10[[#This Row],[SKU]],'All Skus'!$A:$AC,8,FALSE)),""))</f>
        <v>0</v>
      </c>
      <c r="H490" s="223">
        <f>(IF((VLOOKUP(Table10[[#This Row],[SKU]],'All Skus'!$A:$AC,2,FALSE))="Martin",(VLOOKUP(Table10[[#This Row],[SKU]],'All Skus'!$A:$AC,9,FALSE)),""))</f>
        <v>0</v>
      </c>
      <c r="I490" s="225">
        <f>(IF((VLOOKUP(Table10[[#This Row],[SKU]],'All Skus'!$A:$AC,2,FALSE))="Martin",(VLOOKUP(Table10[[#This Row],[SKU]],'All Skus'!$A:$AC,10,FALSE)),""))</f>
        <v>0</v>
      </c>
      <c r="J490" s="226">
        <f>(IF((VLOOKUP(Table10[[#This Row],[SKU]],'All Skus'!$A:$AC,2,FALSE))="Martin",(VLOOKUP(Table10[[#This Row],[SKU]],'All Skus'!$A:$AC,11,FALSE)),""))</f>
        <v>0</v>
      </c>
      <c r="K490" s="224">
        <f>(IF((VLOOKUP(Table10[[#This Row],[SKU]],'All Skus'!$A:$AC,2,FALSE))="Martin",(VLOOKUP(Table10[[#This Row],[SKU]],'All Skus'!$A:$AC,15,FALSE)),""))</f>
        <v>0</v>
      </c>
      <c r="L490" s="224">
        <f>(IF((VLOOKUP(Table10[[#This Row],[SKU]],'All Skus'!$A:$AC,2,FALSE))="Martin",(VLOOKUP(Table10[[#This Row],[SKU]],'All Skus'!$A:$AC,16,FALSE)),""))</f>
        <v>0</v>
      </c>
      <c r="M490" s="224">
        <f>(IF((VLOOKUP(Table10[[#This Row],[SKU]],'All Skus'!$A:$AC,2,FALSE))="Martin",(VLOOKUP(Table10[[#This Row],[SKU]],'All Skus'!$A:$AC,17,FALSE)),""))</f>
        <v>0</v>
      </c>
      <c r="N490" s="227">
        <f>(IF((VLOOKUP(Table10[[#This Row],[SKU]],'All Skus'!$A:$AC,2,FALSE))="Martin",(VLOOKUP(Table10[[#This Row],[SKU]],'All Skus'!$A:$AC,18,FALSE)),""))</f>
        <v>0</v>
      </c>
      <c r="O490" s="227">
        <f>(IF((VLOOKUP(Table10[[#This Row],[SKU]],'All Skus'!$A:$AC,2,FALSE))="Martin",(VLOOKUP(Table10[[#This Row],[SKU]],'All Skus'!$A:$AC,19,FALSE)),""))</f>
        <v>0</v>
      </c>
      <c r="P490" s="227">
        <f>(IF((VLOOKUP(Table10[[#This Row],[SKU]],'All Skus'!$A:$AC,2,FALSE))="Martin",(VLOOKUP(Table10[[#This Row],[SKU]],'All Skus'!$A:$AC,20,FALSE)),""))</f>
        <v>0</v>
      </c>
      <c r="Q490" s="227">
        <f>(IF((VLOOKUP(Table10[[#This Row],[SKU]],'All Skus'!$A:$AC,2,FALSE))="Martin",(VLOOKUP(Table10[[#This Row],[SKU]],'All Skus'!$A:$AC,21,FALSE)),""))</f>
        <v>0</v>
      </c>
      <c r="R490" s="224">
        <f>(IF((VLOOKUP(Table10[[#This Row],[SKU]],'All Skus'!$A:$AC,2,FALSE))="Martin",(VLOOKUP(Table10[[#This Row],[SKU]],'All Skus'!$A:$AC,22,FALSE)),""))</f>
        <v>0</v>
      </c>
      <c r="S490" s="223">
        <f>(IF((VLOOKUP(Table10[[#This Row],[SKU]],'All Skus'!$A:$AC,2,FALSE))="Martin",(VLOOKUP(Table10[[#This Row],[SKU]],'All Skus'!$A:$AC,23,FALSE)),""))</f>
        <v>0</v>
      </c>
      <c r="T490" s="212" t="str">
        <f>HYPERLINK((IF((VLOOKUP(Table10[[#This Row],[SKU]],'All Skus'!$A:$AC,2,FALSE))="Martin",(VLOOKUP(Table10[[#This Row],[SKU]],'All Skus'!$A:$AC,24,FALSE)),"")))</f>
        <v/>
      </c>
      <c r="U490" s="228">
        <v>488</v>
      </c>
    </row>
    <row r="491" spans="1:21">
      <c r="A491" s="112">
        <v>92615300</v>
      </c>
      <c r="B491" s="224" t="str">
        <f>(IF((VLOOKUP(Table10[[#This Row],[SKU]],'All Skus'!$A:$AC,2,FALSE))="Martin",(VLOOKUP(Table10[[#This Row],[SKU]],'All Skus'!$A:$AC,3,FALSE)),""))</f>
        <v>Atmospheric Effects</v>
      </c>
      <c r="C491" s="223" t="str">
        <f>(IF((VLOOKUP(Table10[[#This Row],[SKU]],'All Skus'!$A:$AC,2,FALSE))="Martin",(VLOOKUP(Table10[[#This Row],[SKU]],'All Skus'!$A:$AC,4,FALSE)),""))</f>
        <v>JEM AF-2 dmx fan; 230V 50/60Hz, EU</v>
      </c>
      <c r="D491" s="224" t="str">
        <f>(IF((VLOOKUP(Table10[[#This Row],[SKU]],'All Skus'!$A:$AC,2,FALSE))="Martin",(VLOOKUP(Table10[[#This Row],[SKU]],'All Skus'!$A:$AC,5,FALSE)),""))</f>
        <v>MSM-JEM</v>
      </c>
      <c r="E491" s="223">
        <f>(IF((VLOOKUP(Table10[[#This Row],[SKU]],'All Skus'!$A:$AC,2,FALSE))="Martin",(VLOOKUP(Table10[[#This Row],[SKU]],'All Skus'!$A:$AC,6,FALSE)),""))</f>
        <v>0</v>
      </c>
      <c r="F491" s="155">
        <f>(IF((VLOOKUP(Table10[[#This Row],[SKU]],'All Skus'!$A:$AC,2,FALSE))="Martin",(VLOOKUP(Table10[[#This Row],[SKU]],'All Skus'!$A:$AC,7,FALSE)),""))</f>
        <v>0</v>
      </c>
      <c r="G491" s="223" t="str">
        <f>(IF((VLOOKUP(Table10[[#This Row],[SKU]],'All Skus'!$A:$AC,2,FALSE))="Martin",(VLOOKUP(Table10[[#This Row],[SKU]],'All Skus'!$A:$AC,8,FALSE)),""))</f>
        <v>JEM AF-2 dmx fan; 230V 50/60Hz, EU</v>
      </c>
      <c r="H491" s="223" t="str">
        <f>(IF((VLOOKUP(Table10[[#This Row],[SKU]],'All Skus'!$A:$AC,2,FALSE))="Martin",(VLOOKUP(Table10[[#This Row],[SKU]],'All Skus'!$A:$AC,9,FALSE)),""))</f>
        <v>JEM AF-2 dmx fan; 230V 50/60Hz, EU</v>
      </c>
      <c r="I491" s="225">
        <f>(IF((VLOOKUP(Table10[[#This Row],[SKU]],'All Skus'!$A:$AC,2,FALSE))="Martin",(VLOOKUP(Table10[[#This Row],[SKU]],'All Skus'!$A:$AC,10,FALSE)),""))</f>
        <v>3835.18</v>
      </c>
      <c r="J491" s="226">
        <f>(IF((VLOOKUP(Table10[[#This Row],[SKU]],'All Skus'!$A:$AC,2,FALSE))="Martin",(VLOOKUP(Table10[[#This Row],[SKU]],'All Skus'!$A:$AC,11,FALSE)),""))</f>
        <v>3835.18</v>
      </c>
      <c r="K491" s="224">
        <f>(IF((VLOOKUP(Table10[[#This Row],[SKU]],'All Skus'!$A:$AC,2,FALSE))="Martin",(VLOOKUP(Table10[[#This Row],[SKU]],'All Skus'!$A:$AC,15,FALSE)),""))</f>
        <v>0</v>
      </c>
      <c r="L491" s="224">
        <f>(IF((VLOOKUP(Table10[[#This Row],[SKU]],'All Skus'!$A:$AC,2,FALSE))="Martin",(VLOOKUP(Table10[[#This Row],[SKU]],'All Skus'!$A:$AC,16,FALSE)),""))</f>
        <v>688705005119</v>
      </c>
      <c r="M491" s="224">
        <f>(IF((VLOOKUP(Table10[[#This Row],[SKU]],'All Skus'!$A:$AC,2,FALSE))="Martin",(VLOOKUP(Table10[[#This Row],[SKU]],'All Skus'!$A:$AC,17,FALSE)),""))</f>
        <v>0</v>
      </c>
      <c r="N491" s="227">
        <f>(IF((VLOOKUP(Table10[[#This Row],[SKU]],'All Skus'!$A:$AC,2,FALSE))="Martin",(VLOOKUP(Table10[[#This Row],[SKU]],'All Skus'!$A:$AC,18,FALSE)),""))</f>
        <v>0</v>
      </c>
      <c r="O491" s="227">
        <f>(IF((VLOOKUP(Table10[[#This Row],[SKU]],'All Skus'!$A:$AC,2,FALSE))="Martin",(VLOOKUP(Table10[[#This Row],[SKU]],'All Skus'!$A:$AC,19,FALSE)),""))</f>
        <v>31.889780999999999</v>
      </c>
      <c r="P491" s="227">
        <f>(IF((VLOOKUP(Table10[[#This Row],[SKU]],'All Skus'!$A:$AC,2,FALSE))="Martin",(VLOOKUP(Table10[[#This Row],[SKU]],'All Skus'!$A:$AC,20,FALSE)),""))</f>
        <v>0</v>
      </c>
      <c r="Q491" s="227">
        <f>(IF((VLOOKUP(Table10[[#This Row],[SKU]],'All Skus'!$A:$AC,2,FALSE))="Martin",(VLOOKUP(Table10[[#This Row],[SKU]],'All Skus'!$A:$AC,21,FALSE)),""))</f>
        <v>0</v>
      </c>
      <c r="R491" s="224" t="str">
        <f>(IF((VLOOKUP(Table10[[#This Row],[SKU]],'All Skus'!$A:$AC,2,FALSE))="Martin",(VLOOKUP(Table10[[#This Row],[SKU]],'All Skus'!$A:$AC,22,FALSE)),""))</f>
        <v>GB</v>
      </c>
      <c r="S491" s="223">
        <f>(IF((VLOOKUP(Table10[[#This Row],[SKU]],'All Skus'!$A:$AC,2,FALSE))="Martin",(VLOOKUP(Table10[[#This Row],[SKU]],'All Skus'!$A:$AC,23,FALSE)),""))</f>
        <v>0</v>
      </c>
      <c r="T491" s="212" t="str">
        <f>HYPERLINK((IF((VLOOKUP(Table10[[#This Row],[SKU]],'All Skus'!$A:$AC,2,FALSE))="Martin",(VLOOKUP(Table10[[#This Row],[SKU]],'All Skus'!$A:$AC,24,FALSE)),"")))</f>
        <v/>
      </c>
      <c r="U491" s="228">
        <v>489</v>
      </c>
    </row>
    <row r="492" spans="1:21">
      <c r="A492" s="112">
        <v>92615400</v>
      </c>
      <c r="B492" s="224" t="str">
        <f>(IF((VLOOKUP(Table10[[#This Row],[SKU]],'All Skus'!$A:$AC,2,FALSE))="Martin",(VLOOKUP(Table10[[#This Row],[SKU]],'All Skus'!$A:$AC,3,FALSE)),""))</f>
        <v>Atmospheric Effects</v>
      </c>
      <c r="C492" s="223" t="str">
        <f>(IF((VLOOKUP(Table10[[#This Row],[SKU]],'All Skus'!$A:$AC,2,FALSE))="Martin",(VLOOKUP(Table10[[#This Row],[SKU]],'All Skus'!$A:$AC,4,FALSE)),""))</f>
        <v>JEM AF-2 dmx fan; 115V 50/60Hz, US</v>
      </c>
      <c r="D492" s="224" t="str">
        <f>(IF((VLOOKUP(Table10[[#This Row],[SKU]],'All Skus'!$A:$AC,2,FALSE))="Martin",(VLOOKUP(Table10[[#This Row],[SKU]],'All Skus'!$A:$AC,5,FALSE)),""))</f>
        <v>MSM-JEM</v>
      </c>
      <c r="E492" s="223">
        <f>(IF((VLOOKUP(Table10[[#This Row],[SKU]],'All Skus'!$A:$AC,2,FALSE))="Martin",(VLOOKUP(Table10[[#This Row],[SKU]],'All Skus'!$A:$AC,6,FALSE)),""))</f>
        <v>0</v>
      </c>
      <c r="F492" s="155">
        <f>(IF((VLOOKUP(Table10[[#This Row],[SKU]],'All Skus'!$A:$AC,2,FALSE))="Martin",(VLOOKUP(Table10[[#This Row],[SKU]],'All Skus'!$A:$AC,7,FALSE)),""))</f>
        <v>0</v>
      </c>
      <c r="G492" s="223" t="str">
        <f>(IF((VLOOKUP(Table10[[#This Row],[SKU]],'All Skus'!$A:$AC,2,FALSE))="Martin",(VLOOKUP(Table10[[#This Row],[SKU]],'All Skus'!$A:$AC,8,FALSE)),""))</f>
        <v>JEM AF-2 dmx fan; 115V 50/60Hz, US</v>
      </c>
      <c r="H492" s="223" t="str">
        <f>(IF((VLOOKUP(Table10[[#This Row],[SKU]],'All Skus'!$A:$AC,2,FALSE))="Martin",(VLOOKUP(Table10[[#This Row],[SKU]],'All Skus'!$A:$AC,9,FALSE)),""))</f>
        <v>JEM AF-2 dmx fan; 115V 50/60Hz, US</v>
      </c>
      <c r="I492" s="225">
        <f>(IF((VLOOKUP(Table10[[#This Row],[SKU]],'All Skus'!$A:$AC,2,FALSE))="Martin",(VLOOKUP(Table10[[#This Row],[SKU]],'All Skus'!$A:$AC,10,FALSE)),""))</f>
        <v>3835.18</v>
      </c>
      <c r="J492" s="226">
        <f>(IF((VLOOKUP(Table10[[#This Row],[SKU]],'All Skus'!$A:$AC,2,FALSE))="Martin",(VLOOKUP(Table10[[#This Row],[SKU]],'All Skus'!$A:$AC,11,FALSE)),""))</f>
        <v>3835.18</v>
      </c>
      <c r="K492" s="224">
        <f>(IF((VLOOKUP(Table10[[#This Row],[SKU]],'All Skus'!$A:$AC,2,FALSE))="Martin",(VLOOKUP(Table10[[#This Row],[SKU]],'All Skus'!$A:$AC,15,FALSE)),""))</f>
        <v>0</v>
      </c>
      <c r="L492" s="224">
        <f>(IF((VLOOKUP(Table10[[#This Row],[SKU]],'All Skus'!$A:$AC,2,FALSE))="Martin",(VLOOKUP(Table10[[#This Row],[SKU]],'All Skus'!$A:$AC,16,FALSE)),""))</f>
        <v>688705005126</v>
      </c>
      <c r="M492" s="224">
        <f>(IF((VLOOKUP(Table10[[#This Row],[SKU]],'All Skus'!$A:$AC,2,FALSE))="Martin",(VLOOKUP(Table10[[#This Row],[SKU]],'All Skus'!$A:$AC,17,FALSE)),""))</f>
        <v>0</v>
      </c>
      <c r="N492" s="227">
        <f>(IF((VLOOKUP(Table10[[#This Row],[SKU]],'All Skus'!$A:$AC,2,FALSE))="Martin",(VLOOKUP(Table10[[#This Row],[SKU]],'All Skus'!$A:$AC,18,FALSE)),""))</f>
        <v>0</v>
      </c>
      <c r="O492" s="227">
        <f>(IF((VLOOKUP(Table10[[#This Row],[SKU]],'All Skus'!$A:$AC,2,FALSE))="Martin",(VLOOKUP(Table10[[#This Row],[SKU]],'All Skus'!$A:$AC,19,FALSE)),""))</f>
        <v>31.889780999999999</v>
      </c>
      <c r="P492" s="227">
        <f>(IF((VLOOKUP(Table10[[#This Row],[SKU]],'All Skus'!$A:$AC,2,FALSE))="Martin",(VLOOKUP(Table10[[#This Row],[SKU]],'All Skus'!$A:$AC,20,FALSE)),""))</f>
        <v>0</v>
      </c>
      <c r="Q492" s="227">
        <f>(IF((VLOOKUP(Table10[[#This Row],[SKU]],'All Skus'!$A:$AC,2,FALSE))="Martin",(VLOOKUP(Table10[[#This Row],[SKU]],'All Skus'!$A:$AC,21,FALSE)),""))</f>
        <v>0</v>
      </c>
      <c r="R492" s="224" t="str">
        <f>(IF((VLOOKUP(Table10[[#This Row],[SKU]],'All Skus'!$A:$AC,2,FALSE))="Martin",(VLOOKUP(Table10[[#This Row],[SKU]],'All Skus'!$A:$AC,22,FALSE)),""))</f>
        <v>GB</v>
      </c>
      <c r="S492" s="223">
        <f>(IF((VLOOKUP(Table10[[#This Row],[SKU]],'All Skus'!$A:$AC,2,FALSE))="Martin",(VLOOKUP(Table10[[#This Row],[SKU]],'All Skus'!$A:$AC,23,FALSE)),""))</f>
        <v>0</v>
      </c>
      <c r="T492" s="212" t="str">
        <f>HYPERLINK((IF((VLOOKUP(Table10[[#This Row],[SKU]],'All Skus'!$A:$AC,2,FALSE))="Martin",(VLOOKUP(Table10[[#This Row],[SKU]],'All Skus'!$A:$AC,24,FALSE)),"")))</f>
        <v>http://www.martin.com/en-us/product-details/jem-af-2</v>
      </c>
      <c r="U492" s="228">
        <v>490</v>
      </c>
    </row>
    <row r="493" spans="1:21" hidden="1">
      <c r="A493" s="112">
        <v>92620006</v>
      </c>
      <c r="B493" s="224" t="str">
        <f>(IF((VLOOKUP(Table10[[#This Row],[SKU]],'All Skus'!$A:$AC,2,FALSE))="Martin",(VLOOKUP(Table10[[#This Row],[SKU]],'All Skus'!$A:$AC,3,FALSE)),""))</f>
        <v>Atmospheric Effects</v>
      </c>
      <c r="C493" s="223" t="str">
        <f>(IF((VLOOKUP(Table10[[#This Row],[SKU]],'All Skus'!$A:$AC,2,FALSE))="Martin",(VLOOKUP(Table10[[#This Row],[SKU]],'All Skus'!$A:$AC,4,FALSE)),""))</f>
        <v xml:space="preserve">Touring Frame, AF-2 </v>
      </c>
      <c r="D493" s="224" t="str">
        <f>(IF((VLOOKUP(Table10[[#This Row],[SKU]],'All Skus'!$A:$AC,2,FALSE))="Martin",(VLOOKUP(Table10[[#This Row],[SKU]],'All Skus'!$A:$AC,5,FALSE)),""))</f>
        <v>MSM-JEM</v>
      </c>
      <c r="E493" s="223">
        <f>(IF((VLOOKUP(Table10[[#This Row],[SKU]],'All Skus'!$A:$AC,2,FALSE))="Martin",(VLOOKUP(Table10[[#This Row],[SKU]],'All Skus'!$A:$AC,6,FALSE)),""))</f>
        <v>0</v>
      </c>
      <c r="F493" s="155">
        <f>(IF((VLOOKUP(Table10[[#This Row],[SKU]],'All Skus'!$A:$AC,2,FALSE))="Martin",(VLOOKUP(Table10[[#This Row],[SKU]],'All Skus'!$A:$AC,7,FALSE)),""))</f>
        <v>0</v>
      </c>
      <c r="G493" s="223" t="str">
        <f>(IF((VLOOKUP(Table10[[#This Row],[SKU]],'All Skus'!$A:$AC,2,FALSE))="Martin",(VLOOKUP(Table10[[#This Row],[SKU]],'All Skus'!$A:$AC,8,FALSE)),""))</f>
        <v xml:space="preserve">Touring Frame, AF-2 </v>
      </c>
      <c r="H493" s="223" t="str">
        <f>(IF((VLOOKUP(Table10[[#This Row],[SKU]],'All Skus'!$A:$AC,2,FALSE))="Martin",(VLOOKUP(Table10[[#This Row],[SKU]],'All Skus'!$A:$AC,9,FALSE)),""))</f>
        <v xml:space="preserve">Touring Frame, AF-2 </v>
      </c>
      <c r="I493" s="225">
        <f>(IF((VLOOKUP(Table10[[#This Row],[SKU]],'All Skus'!$A:$AC,2,FALSE))="Martin",(VLOOKUP(Table10[[#This Row],[SKU]],'All Skus'!$A:$AC,10,FALSE)),""))</f>
        <v>1511.35</v>
      </c>
      <c r="J493" s="226">
        <f>(IF((VLOOKUP(Table10[[#This Row],[SKU]],'All Skus'!$A:$AC,2,FALSE))="Martin",(VLOOKUP(Table10[[#This Row],[SKU]],'All Skus'!$A:$AC,11,FALSE)),""))</f>
        <v>1511.35</v>
      </c>
      <c r="K493" s="224">
        <f>(IF((VLOOKUP(Table10[[#This Row],[SKU]],'All Skus'!$A:$AC,2,FALSE))="Martin",(VLOOKUP(Table10[[#This Row],[SKU]],'All Skus'!$A:$AC,15,FALSE)),""))</f>
        <v>0</v>
      </c>
      <c r="L493" s="224">
        <f>(IF((VLOOKUP(Table10[[#This Row],[SKU]],'All Skus'!$A:$AC,2,FALSE))="Martin",(VLOOKUP(Table10[[#This Row],[SKU]],'All Skus'!$A:$AC,16,FALSE)),""))</f>
        <v>688705005133</v>
      </c>
      <c r="M493" s="224">
        <f>(IF((VLOOKUP(Table10[[#This Row],[SKU]],'All Skus'!$A:$AC,2,FALSE))="Martin",(VLOOKUP(Table10[[#This Row],[SKU]],'All Skus'!$A:$AC,17,FALSE)),""))</f>
        <v>0</v>
      </c>
      <c r="N493" s="227">
        <f>(IF((VLOOKUP(Table10[[#This Row],[SKU]],'All Skus'!$A:$AC,2,FALSE))="Martin",(VLOOKUP(Table10[[#This Row],[SKU]],'All Skus'!$A:$AC,18,FALSE)),""))</f>
        <v>0</v>
      </c>
      <c r="O493" s="227">
        <f>(IF((VLOOKUP(Table10[[#This Row],[SKU]],'All Skus'!$A:$AC,2,FALSE))="Martin",(VLOOKUP(Table10[[#This Row],[SKU]],'All Skus'!$A:$AC,19,FALSE)),""))</f>
        <v>31.889780999999999</v>
      </c>
      <c r="P493" s="227">
        <f>(IF((VLOOKUP(Table10[[#This Row],[SKU]],'All Skus'!$A:$AC,2,FALSE))="Martin",(VLOOKUP(Table10[[#This Row],[SKU]],'All Skus'!$A:$AC,20,FALSE)),""))</f>
        <v>0</v>
      </c>
      <c r="Q493" s="227">
        <f>(IF((VLOOKUP(Table10[[#This Row],[SKU]],'All Skus'!$A:$AC,2,FALSE))="Martin",(VLOOKUP(Table10[[#This Row],[SKU]],'All Skus'!$A:$AC,21,FALSE)),""))</f>
        <v>0</v>
      </c>
      <c r="R493" s="224" t="str">
        <f>(IF((VLOOKUP(Table10[[#This Row],[SKU]],'All Skus'!$A:$AC,2,FALSE))="Martin",(VLOOKUP(Table10[[#This Row],[SKU]],'All Skus'!$A:$AC,22,FALSE)),""))</f>
        <v>GB</v>
      </c>
      <c r="S493" s="223">
        <f>(IF((VLOOKUP(Table10[[#This Row],[SKU]],'All Skus'!$A:$AC,2,FALSE))="Martin",(VLOOKUP(Table10[[#This Row],[SKU]],'All Skus'!$A:$AC,23,FALSE)),""))</f>
        <v>0</v>
      </c>
      <c r="T493" s="212" t="str">
        <f>HYPERLINK((IF((VLOOKUP(Table10[[#This Row],[SKU]],'All Skus'!$A:$AC,2,FALSE))="Martin",(VLOOKUP(Table10[[#This Row],[SKU]],'All Skus'!$A:$AC,24,FALSE)),"")))</f>
        <v>http://www.martin.com/en-us/product-details/jem-af-2</v>
      </c>
      <c r="U493" s="228">
        <v>491</v>
      </c>
    </row>
    <row r="494" spans="1:21" hidden="1">
      <c r="A494" s="111" t="s">
        <v>2174</v>
      </c>
      <c r="B494" s="224">
        <f>(IF((VLOOKUP(Table10[[#This Row],[SKU]],'All Skus'!$A:$AC,2,FALSE))="Martin",(VLOOKUP(Table10[[#This Row],[SKU]],'All Skus'!$A:$AC,3,FALSE)),""))</f>
        <v>0</v>
      </c>
      <c r="C494" s="223">
        <f>(IF((VLOOKUP(Table10[[#This Row],[SKU]],'All Skus'!$A:$AC,2,FALSE))="Martin",(VLOOKUP(Table10[[#This Row],[SKU]],'All Skus'!$A:$AC,4,FALSE)),""))</f>
        <v>0</v>
      </c>
      <c r="D494" s="224">
        <f>(IF((VLOOKUP(Table10[[#This Row],[SKU]],'All Skus'!$A:$AC,2,FALSE))="Martin",(VLOOKUP(Table10[[#This Row],[SKU]],'All Skus'!$A:$AC,5,FALSE)),""))</f>
        <v>0</v>
      </c>
      <c r="E494" s="223">
        <f>(IF((VLOOKUP(Table10[[#This Row],[SKU]],'All Skus'!$A:$AC,2,FALSE))="Martin",(VLOOKUP(Table10[[#This Row],[SKU]],'All Skus'!$A:$AC,6,FALSE)),""))</f>
        <v>0</v>
      </c>
      <c r="F494" s="155">
        <f>(IF((VLOOKUP(Table10[[#This Row],[SKU]],'All Skus'!$A:$AC,2,FALSE))="Martin",(VLOOKUP(Table10[[#This Row],[SKU]],'All Skus'!$A:$AC,7,FALSE)),""))</f>
        <v>0</v>
      </c>
      <c r="G494" s="223">
        <f>(IF((VLOOKUP(Table10[[#This Row],[SKU]],'All Skus'!$A:$AC,2,FALSE))="Martin",(VLOOKUP(Table10[[#This Row],[SKU]],'All Skus'!$A:$AC,8,FALSE)),""))</f>
        <v>0</v>
      </c>
      <c r="H494" s="223">
        <f>(IF((VLOOKUP(Table10[[#This Row],[SKU]],'All Skus'!$A:$AC,2,FALSE))="Martin",(VLOOKUP(Table10[[#This Row],[SKU]],'All Skus'!$A:$AC,9,FALSE)),""))</f>
        <v>0</v>
      </c>
      <c r="I494" s="225">
        <f>(IF((VLOOKUP(Table10[[#This Row],[SKU]],'All Skus'!$A:$AC,2,FALSE))="Martin",(VLOOKUP(Table10[[#This Row],[SKU]],'All Skus'!$A:$AC,10,FALSE)),""))</f>
        <v>0</v>
      </c>
      <c r="J494" s="226">
        <f>(IF((VLOOKUP(Table10[[#This Row],[SKU]],'All Skus'!$A:$AC,2,FALSE))="Martin",(VLOOKUP(Table10[[#This Row],[SKU]],'All Skus'!$A:$AC,11,FALSE)),""))</f>
        <v>0</v>
      </c>
      <c r="K494" s="224">
        <f>(IF((VLOOKUP(Table10[[#This Row],[SKU]],'All Skus'!$A:$AC,2,FALSE))="Martin",(VLOOKUP(Table10[[#This Row],[SKU]],'All Skus'!$A:$AC,15,FALSE)),""))</f>
        <v>0</v>
      </c>
      <c r="L494" s="224">
        <f>(IF((VLOOKUP(Table10[[#This Row],[SKU]],'All Skus'!$A:$AC,2,FALSE))="Martin",(VLOOKUP(Table10[[#This Row],[SKU]],'All Skus'!$A:$AC,16,FALSE)),""))</f>
        <v>0</v>
      </c>
      <c r="M494" s="224">
        <f>(IF((VLOOKUP(Table10[[#This Row],[SKU]],'All Skus'!$A:$AC,2,FALSE))="Martin",(VLOOKUP(Table10[[#This Row],[SKU]],'All Skus'!$A:$AC,17,FALSE)),""))</f>
        <v>0</v>
      </c>
      <c r="N494" s="227">
        <f>(IF((VLOOKUP(Table10[[#This Row],[SKU]],'All Skus'!$A:$AC,2,FALSE))="Martin",(VLOOKUP(Table10[[#This Row],[SKU]],'All Skus'!$A:$AC,18,FALSE)),""))</f>
        <v>0</v>
      </c>
      <c r="O494" s="227">
        <f>(IF((VLOOKUP(Table10[[#This Row],[SKU]],'All Skus'!$A:$AC,2,FALSE))="Martin",(VLOOKUP(Table10[[#This Row],[SKU]],'All Skus'!$A:$AC,19,FALSE)),""))</f>
        <v>0</v>
      </c>
      <c r="P494" s="227">
        <f>(IF((VLOOKUP(Table10[[#This Row],[SKU]],'All Skus'!$A:$AC,2,FALSE))="Martin",(VLOOKUP(Table10[[#This Row],[SKU]],'All Skus'!$A:$AC,20,FALSE)),""))</f>
        <v>0</v>
      </c>
      <c r="Q494" s="227">
        <f>(IF((VLOOKUP(Table10[[#This Row],[SKU]],'All Skus'!$A:$AC,2,FALSE))="Martin",(VLOOKUP(Table10[[#This Row],[SKU]],'All Skus'!$A:$AC,21,FALSE)),""))</f>
        <v>0</v>
      </c>
      <c r="R494" s="224">
        <f>(IF((VLOOKUP(Table10[[#This Row],[SKU]],'All Skus'!$A:$AC,2,FALSE))="Martin",(VLOOKUP(Table10[[#This Row],[SKU]],'All Skus'!$A:$AC,22,FALSE)),""))</f>
        <v>0</v>
      </c>
      <c r="S494" s="223">
        <f>(IF((VLOOKUP(Table10[[#This Row],[SKU]],'All Skus'!$A:$AC,2,FALSE))="Martin",(VLOOKUP(Table10[[#This Row],[SKU]],'All Skus'!$A:$AC,23,FALSE)),""))</f>
        <v>0</v>
      </c>
      <c r="T494" s="212" t="str">
        <f>HYPERLINK((IF((VLOOKUP(Table10[[#This Row],[SKU]],'All Skus'!$A:$AC,2,FALSE))="Martin",(VLOOKUP(Table10[[#This Row],[SKU]],'All Skus'!$A:$AC,24,FALSE)),"")))</f>
        <v/>
      </c>
      <c r="U494" s="228">
        <v>492</v>
      </c>
    </row>
    <row r="495" spans="1:21" hidden="1">
      <c r="A495" s="115" t="s">
        <v>2175</v>
      </c>
      <c r="B495" s="224">
        <f>(IF((VLOOKUP(Table10[[#This Row],[SKU]],'All Skus'!$A:$AC,2,FALSE))="Martin",(VLOOKUP(Table10[[#This Row],[SKU]],'All Skus'!$A:$AC,3,FALSE)),""))</f>
        <v>0</v>
      </c>
      <c r="C495" s="223">
        <f>(IF((VLOOKUP(Table10[[#This Row],[SKU]],'All Skus'!$A:$AC,2,FALSE))="Martin",(VLOOKUP(Table10[[#This Row],[SKU]],'All Skus'!$A:$AC,4,FALSE)),""))</f>
        <v>0</v>
      </c>
      <c r="D495" s="224">
        <f>(IF((VLOOKUP(Table10[[#This Row],[SKU]],'All Skus'!$A:$AC,2,FALSE))="Martin",(VLOOKUP(Table10[[#This Row],[SKU]],'All Skus'!$A:$AC,5,FALSE)),""))</f>
        <v>0</v>
      </c>
      <c r="E495" s="223">
        <f>(IF((VLOOKUP(Table10[[#This Row],[SKU]],'All Skus'!$A:$AC,2,FALSE))="Martin",(VLOOKUP(Table10[[#This Row],[SKU]],'All Skus'!$A:$AC,6,FALSE)),""))</f>
        <v>0</v>
      </c>
      <c r="F495" s="155">
        <f>(IF((VLOOKUP(Table10[[#This Row],[SKU]],'All Skus'!$A:$AC,2,FALSE))="Martin",(VLOOKUP(Table10[[#This Row],[SKU]],'All Skus'!$A:$AC,7,FALSE)),""))</f>
        <v>0</v>
      </c>
      <c r="G495" s="223">
        <f>(IF((VLOOKUP(Table10[[#This Row],[SKU]],'All Skus'!$A:$AC,2,FALSE))="Martin",(VLOOKUP(Table10[[#This Row],[SKU]],'All Skus'!$A:$AC,8,FALSE)),""))</f>
        <v>0</v>
      </c>
      <c r="H495" s="223">
        <f>(IF((VLOOKUP(Table10[[#This Row],[SKU]],'All Skus'!$A:$AC,2,FALSE))="Martin",(VLOOKUP(Table10[[#This Row],[SKU]],'All Skus'!$A:$AC,9,FALSE)),""))</f>
        <v>0</v>
      </c>
      <c r="I495" s="225">
        <f>(IF((VLOOKUP(Table10[[#This Row],[SKU]],'All Skus'!$A:$AC,2,FALSE))="Martin",(VLOOKUP(Table10[[#This Row],[SKU]],'All Skus'!$A:$AC,10,FALSE)),""))</f>
        <v>0</v>
      </c>
      <c r="J495" s="226">
        <f>(IF((VLOOKUP(Table10[[#This Row],[SKU]],'All Skus'!$A:$AC,2,FALSE))="Martin",(VLOOKUP(Table10[[#This Row],[SKU]],'All Skus'!$A:$AC,11,FALSE)),""))</f>
        <v>0</v>
      </c>
      <c r="K495" s="224">
        <f>(IF((VLOOKUP(Table10[[#This Row],[SKU]],'All Skus'!$A:$AC,2,FALSE))="Martin",(VLOOKUP(Table10[[#This Row],[SKU]],'All Skus'!$A:$AC,15,FALSE)),""))</f>
        <v>0</v>
      </c>
      <c r="L495" s="224">
        <f>(IF((VLOOKUP(Table10[[#This Row],[SKU]],'All Skus'!$A:$AC,2,FALSE))="Martin",(VLOOKUP(Table10[[#This Row],[SKU]],'All Skus'!$A:$AC,16,FALSE)),""))</f>
        <v>0</v>
      </c>
      <c r="M495" s="224">
        <f>(IF((VLOOKUP(Table10[[#This Row],[SKU]],'All Skus'!$A:$AC,2,FALSE))="Martin",(VLOOKUP(Table10[[#This Row],[SKU]],'All Skus'!$A:$AC,17,FALSE)),""))</f>
        <v>0</v>
      </c>
      <c r="N495" s="227">
        <f>(IF((VLOOKUP(Table10[[#This Row],[SKU]],'All Skus'!$A:$AC,2,FALSE))="Martin",(VLOOKUP(Table10[[#This Row],[SKU]],'All Skus'!$A:$AC,18,FALSE)),""))</f>
        <v>0</v>
      </c>
      <c r="O495" s="227">
        <f>(IF((VLOOKUP(Table10[[#This Row],[SKU]],'All Skus'!$A:$AC,2,FALSE))="Martin",(VLOOKUP(Table10[[#This Row],[SKU]],'All Skus'!$A:$AC,19,FALSE)),""))</f>
        <v>0</v>
      </c>
      <c r="P495" s="227">
        <f>(IF((VLOOKUP(Table10[[#This Row],[SKU]],'All Skus'!$A:$AC,2,FALSE))="Martin",(VLOOKUP(Table10[[#This Row],[SKU]],'All Skus'!$A:$AC,20,FALSE)),""))</f>
        <v>0</v>
      </c>
      <c r="Q495" s="227">
        <f>(IF((VLOOKUP(Table10[[#This Row],[SKU]],'All Skus'!$A:$AC,2,FALSE))="Martin",(VLOOKUP(Table10[[#This Row],[SKU]],'All Skus'!$A:$AC,21,FALSE)),""))</f>
        <v>0</v>
      </c>
      <c r="R495" s="224">
        <f>(IF((VLOOKUP(Table10[[#This Row],[SKU]],'All Skus'!$A:$AC,2,FALSE))="Martin",(VLOOKUP(Table10[[#This Row],[SKU]],'All Skus'!$A:$AC,22,FALSE)),""))</f>
        <v>0</v>
      </c>
      <c r="S495" s="223">
        <f>(IF((VLOOKUP(Table10[[#This Row],[SKU]],'All Skus'!$A:$AC,2,FALSE))="Martin",(VLOOKUP(Table10[[#This Row],[SKU]],'All Skus'!$A:$AC,23,FALSE)),""))</f>
        <v>0</v>
      </c>
      <c r="T495" s="212" t="str">
        <f>HYPERLINK((IF((VLOOKUP(Table10[[#This Row],[SKU]],'All Skus'!$A:$AC,2,FALSE))="Martin",(VLOOKUP(Table10[[#This Row],[SKU]],'All Skus'!$A:$AC,24,FALSE)),"")))</f>
        <v/>
      </c>
      <c r="U495" s="228">
        <v>493</v>
      </c>
    </row>
    <row r="496" spans="1:21">
      <c r="A496" s="112">
        <v>92210525</v>
      </c>
      <c r="B496" s="224" t="str">
        <f>(IF((VLOOKUP(Table10[[#This Row],[SKU]],'All Skus'!$A:$AC,2,FALSE))="Martin",(VLOOKUP(Table10[[#This Row],[SKU]],'All Skus'!$A:$AC,3,FALSE)),""))</f>
        <v>Atmospheric Effects</v>
      </c>
      <c r="C496" s="223" t="str">
        <f>(IF((VLOOKUP(Table10[[#This Row],[SKU]],'All Skus'!$A:$AC,2,FALSE))="Martin",(VLOOKUP(Table10[[#This Row],[SKU]],'All Skus'!$A:$AC,4,FALSE)),""))</f>
        <v>JEM Glaciator Dynamic</v>
      </c>
      <c r="D496" s="224" t="str">
        <f>(IF((VLOOKUP(Table10[[#This Row],[SKU]],'All Skus'!$A:$AC,2,FALSE))="Martin",(VLOOKUP(Table10[[#This Row],[SKU]],'All Skus'!$A:$AC,5,FALSE)),""))</f>
        <v>MSM-JEM</v>
      </c>
      <c r="E496" s="223">
        <f>(IF((VLOOKUP(Table10[[#This Row],[SKU]],'All Skus'!$A:$AC,2,FALSE))="Martin",(VLOOKUP(Table10[[#This Row],[SKU]],'All Skus'!$A:$AC,6,FALSE)),""))</f>
        <v>0</v>
      </c>
      <c r="F496" s="155">
        <f>(IF((VLOOKUP(Table10[[#This Row],[SKU]],'All Skus'!$A:$AC,2,FALSE))="Martin",(VLOOKUP(Table10[[#This Row],[SKU]],'All Skus'!$A:$AC,7,FALSE)),""))</f>
        <v>0</v>
      </c>
      <c r="G496" s="223" t="str">
        <f>(IF((VLOOKUP(Table10[[#This Row],[SKU]],'All Skus'!$A:$AC,2,FALSE))="Martin",(VLOOKUP(Table10[[#This Row],[SKU]],'All Skus'!$A:$AC,8,FALSE)),""))</f>
        <v>JEM Glaciator Dynamic</v>
      </c>
      <c r="H496" s="223" t="str">
        <f>(IF((VLOOKUP(Table10[[#This Row],[SKU]],'All Skus'!$A:$AC,2,FALSE))="Martin",(VLOOKUP(Table10[[#This Row],[SKU]],'All Skus'!$A:$AC,9,FALSE)),""))</f>
        <v>JEM Glaciator Dynamic</v>
      </c>
      <c r="I496" s="225">
        <f>(IF((VLOOKUP(Table10[[#This Row],[SKU]],'All Skus'!$A:$AC,2,FALSE))="Martin",(VLOOKUP(Table10[[#This Row],[SKU]],'All Skus'!$A:$AC,10,FALSE)),""))</f>
        <v>18823.98</v>
      </c>
      <c r="J496" s="226">
        <f>(IF((VLOOKUP(Table10[[#This Row],[SKU]],'All Skus'!$A:$AC,2,FALSE))="Martin",(VLOOKUP(Table10[[#This Row],[SKU]],'All Skus'!$A:$AC,11,FALSE)),""))</f>
        <v>18823.98</v>
      </c>
      <c r="K496" s="224">
        <f>(IF((VLOOKUP(Table10[[#This Row],[SKU]],'All Skus'!$A:$AC,2,FALSE))="Martin",(VLOOKUP(Table10[[#This Row],[SKU]],'All Skus'!$A:$AC,15,FALSE)),""))</f>
        <v>0</v>
      </c>
      <c r="L496" s="224">
        <f>(IF((VLOOKUP(Table10[[#This Row],[SKU]],'All Skus'!$A:$AC,2,FALSE))="Martin",(VLOOKUP(Table10[[#This Row],[SKU]],'All Skus'!$A:$AC,16,FALSE)),""))</f>
        <v>688705004365</v>
      </c>
      <c r="M496" s="224">
        <f>(IF((VLOOKUP(Table10[[#This Row],[SKU]],'All Skus'!$A:$AC,2,FALSE))="Martin",(VLOOKUP(Table10[[#This Row],[SKU]],'All Skus'!$A:$AC,17,FALSE)),""))</f>
        <v>0</v>
      </c>
      <c r="N496" s="227">
        <f>(IF((VLOOKUP(Table10[[#This Row],[SKU]],'All Skus'!$A:$AC,2,FALSE))="Martin",(VLOOKUP(Table10[[#This Row],[SKU]],'All Skus'!$A:$AC,18,FALSE)),""))</f>
        <v>31.5</v>
      </c>
      <c r="O496" s="227">
        <f>(IF((VLOOKUP(Table10[[#This Row],[SKU]],'All Skus'!$A:$AC,2,FALSE))="Martin",(VLOOKUP(Table10[[#This Row],[SKU]],'All Skus'!$A:$AC,19,FALSE)),""))</f>
        <v>31.5</v>
      </c>
      <c r="P496" s="227">
        <f>(IF((VLOOKUP(Table10[[#This Row],[SKU]],'All Skus'!$A:$AC,2,FALSE))="Martin",(VLOOKUP(Table10[[#This Row],[SKU]],'All Skus'!$A:$AC,20,FALSE)),""))</f>
        <v>0</v>
      </c>
      <c r="Q496" s="227">
        <f>(IF((VLOOKUP(Table10[[#This Row],[SKU]],'All Skus'!$A:$AC,2,FALSE))="Martin",(VLOOKUP(Table10[[#This Row],[SKU]],'All Skus'!$A:$AC,21,FALSE)),""))</f>
        <v>0</v>
      </c>
      <c r="R496" s="224" t="str">
        <f>(IF((VLOOKUP(Table10[[#This Row],[SKU]],'All Skus'!$A:$AC,2,FALSE))="Martin",(VLOOKUP(Table10[[#This Row],[SKU]],'All Skus'!$A:$AC,22,FALSE)),""))</f>
        <v>GB</v>
      </c>
      <c r="S496" s="223">
        <f>(IF((VLOOKUP(Table10[[#This Row],[SKU]],'All Skus'!$A:$AC,2,FALSE))="Martin",(VLOOKUP(Table10[[#This Row],[SKU]],'All Skus'!$A:$AC,23,FALSE)),""))</f>
        <v>0</v>
      </c>
      <c r="T496" s="212" t="str">
        <f>HYPERLINK((IF((VLOOKUP(Table10[[#This Row],[SKU]],'All Skus'!$A:$AC,2,FALSE))="Martin",(VLOOKUP(Table10[[#This Row],[SKU]],'All Skus'!$A:$AC,24,FALSE)),"")))</f>
        <v/>
      </c>
      <c r="U496" s="228">
        <v>494</v>
      </c>
    </row>
    <row r="497" spans="1:21">
      <c r="A497" s="112">
        <v>92620035</v>
      </c>
      <c r="B497" s="224" t="str">
        <f>(IF((VLOOKUP(Table10[[#This Row],[SKU]],'All Skus'!$A:$AC,2,FALSE))="Martin",(VLOOKUP(Table10[[#This Row],[SKU]],'All Skus'!$A:$AC,3,FALSE)),""))</f>
        <v>Atmospheric Effects</v>
      </c>
      <c r="C497" s="223" t="str">
        <f>(IF((VLOOKUP(Table10[[#This Row],[SKU]],'All Skus'!$A:$AC,2,FALSE))="Martin",(VLOOKUP(Table10[[#This Row],[SKU]],'All Skus'!$A:$AC,4,FALSE)),""))</f>
        <v>JEM External Fluid Reservoir Kit, 25 l</v>
      </c>
      <c r="D497" s="224" t="str">
        <f>(IF((VLOOKUP(Table10[[#This Row],[SKU]],'All Skus'!$A:$AC,2,FALSE))="Martin",(VLOOKUP(Table10[[#This Row],[SKU]],'All Skus'!$A:$AC,5,FALSE)),""))</f>
        <v>MSM-JEM</v>
      </c>
      <c r="E497" s="223">
        <f>(IF((VLOOKUP(Table10[[#This Row],[SKU]],'All Skus'!$A:$AC,2,FALSE))="Martin",(VLOOKUP(Table10[[#This Row],[SKU]],'All Skus'!$A:$AC,6,FALSE)),""))</f>
        <v>0</v>
      </c>
      <c r="F497" s="155">
        <f>(IF((VLOOKUP(Table10[[#This Row],[SKU]],'All Skus'!$A:$AC,2,FALSE))="Martin",(VLOOKUP(Table10[[#This Row],[SKU]],'All Skus'!$A:$AC,7,FALSE)),""))</f>
        <v>0</v>
      </c>
      <c r="G497" s="223" t="str">
        <f>(IF((VLOOKUP(Table10[[#This Row],[SKU]],'All Skus'!$A:$AC,2,FALSE))="Martin",(VLOOKUP(Table10[[#This Row],[SKU]],'All Skus'!$A:$AC,8,FALSE)),""))</f>
        <v>JEM External Fluid Reservoir Kit, 25 l</v>
      </c>
      <c r="H497" s="223" t="str">
        <f>(IF((VLOOKUP(Table10[[#This Row],[SKU]],'All Skus'!$A:$AC,2,FALSE))="Martin",(VLOOKUP(Table10[[#This Row],[SKU]],'All Skus'!$A:$AC,9,FALSE)),""))</f>
        <v>JEM External Fluid Reservoir Kit, 25 l</v>
      </c>
      <c r="I497" s="225">
        <f>(IF((VLOOKUP(Table10[[#This Row],[SKU]],'All Skus'!$A:$AC,2,FALSE))="Martin",(VLOOKUP(Table10[[#This Row],[SKU]],'All Skus'!$A:$AC,10,FALSE)),""))</f>
        <v>90.14</v>
      </c>
      <c r="J497" s="226">
        <f>(IF((VLOOKUP(Table10[[#This Row],[SKU]],'All Skus'!$A:$AC,2,FALSE))="Martin",(VLOOKUP(Table10[[#This Row],[SKU]],'All Skus'!$A:$AC,11,FALSE)),""))</f>
        <v>90.14</v>
      </c>
      <c r="K497" s="224">
        <f>(IF((VLOOKUP(Table10[[#This Row],[SKU]],'All Skus'!$A:$AC,2,FALSE))="Martin",(VLOOKUP(Table10[[#This Row],[SKU]],'All Skus'!$A:$AC,15,FALSE)),""))</f>
        <v>0</v>
      </c>
      <c r="L497" s="224">
        <f>(IF((VLOOKUP(Table10[[#This Row],[SKU]],'All Skus'!$A:$AC,2,FALSE))="Martin",(VLOOKUP(Table10[[#This Row],[SKU]],'All Skus'!$A:$AC,16,FALSE)),""))</f>
        <v>688705000060</v>
      </c>
      <c r="M497" s="224">
        <f>(IF((VLOOKUP(Table10[[#This Row],[SKU]],'All Skus'!$A:$AC,2,FALSE))="Martin",(VLOOKUP(Table10[[#This Row],[SKU]],'All Skus'!$A:$AC,17,FALSE)),""))</f>
        <v>0</v>
      </c>
      <c r="N497" s="227">
        <f>(IF((VLOOKUP(Table10[[#This Row],[SKU]],'All Skus'!$A:$AC,2,FALSE))="Martin",(VLOOKUP(Table10[[#This Row],[SKU]],'All Skus'!$A:$AC,18,FALSE)),""))</f>
        <v>13.78</v>
      </c>
      <c r="O497" s="227">
        <f>(IF((VLOOKUP(Table10[[#This Row],[SKU]],'All Skus'!$A:$AC,2,FALSE))="Martin",(VLOOKUP(Table10[[#This Row],[SKU]],'All Skus'!$A:$AC,19,FALSE)),""))</f>
        <v>13.78</v>
      </c>
      <c r="P497" s="227">
        <f>(IF((VLOOKUP(Table10[[#This Row],[SKU]],'All Skus'!$A:$AC,2,FALSE))="Martin",(VLOOKUP(Table10[[#This Row],[SKU]],'All Skus'!$A:$AC,20,FALSE)),""))</f>
        <v>0</v>
      </c>
      <c r="Q497" s="227">
        <f>(IF((VLOOKUP(Table10[[#This Row],[SKU]],'All Skus'!$A:$AC,2,FALSE))="Martin",(VLOOKUP(Table10[[#This Row],[SKU]],'All Skus'!$A:$AC,21,FALSE)),""))</f>
        <v>0</v>
      </c>
      <c r="R497" s="224" t="str">
        <f>(IF((VLOOKUP(Table10[[#This Row],[SKU]],'All Skus'!$A:$AC,2,FALSE))="Martin",(VLOOKUP(Table10[[#This Row],[SKU]],'All Skus'!$A:$AC,22,FALSE)),""))</f>
        <v>GB</v>
      </c>
      <c r="S497" s="223">
        <f>(IF((VLOOKUP(Table10[[#This Row],[SKU]],'All Skus'!$A:$AC,2,FALSE))="Martin",(VLOOKUP(Table10[[#This Row],[SKU]],'All Skus'!$A:$AC,23,FALSE)),""))</f>
        <v>0</v>
      </c>
      <c r="T497" s="212" t="str">
        <f>HYPERLINK((IF((VLOOKUP(Table10[[#This Row],[SKU]],'All Skus'!$A:$AC,2,FALSE))="Martin",(VLOOKUP(Table10[[#This Row],[SKU]],'All Skus'!$A:$AC,24,FALSE)),"")))</f>
        <v>http://www.martin.com/en-us/product-details/jem-glaciator-dymic</v>
      </c>
      <c r="U497" s="228">
        <v>495</v>
      </c>
    </row>
    <row r="498" spans="1:21">
      <c r="A498" s="112">
        <v>92625020</v>
      </c>
      <c r="B498" s="224" t="str">
        <f>(IF((VLOOKUP(Table10[[#This Row],[SKU]],'All Skus'!$A:$AC,2,FALSE))="Martin",(VLOOKUP(Table10[[#This Row],[SKU]],'All Skus'!$A:$AC,3,FALSE)),""))</f>
        <v>Atmospheric Effects</v>
      </c>
      <c r="C498" s="223" t="str">
        <f>(IF((VLOOKUP(Table10[[#This Row],[SKU]],'All Skus'!$A:$AC,2,FALSE))="Martin",(VLOOKUP(Table10[[#This Row],[SKU]],'All Skus'!$A:$AC,4,FALSE)),""))</f>
        <v>JEM Glaciator Dynamic, Ducting Kit</v>
      </c>
      <c r="D498" s="224" t="str">
        <f>(IF((VLOOKUP(Table10[[#This Row],[SKU]],'All Skus'!$A:$AC,2,FALSE))="Martin",(VLOOKUP(Table10[[#This Row],[SKU]],'All Skus'!$A:$AC,5,FALSE)),""))</f>
        <v>MSM-JEM</v>
      </c>
      <c r="E498" s="223">
        <f>(IF((VLOOKUP(Table10[[#This Row],[SKU]],'All Skus'!$A:$AC,2,FALSE))="Martin",(VLOOKUP(Table10[[#This Row],[SKU]],'All Skus'!$A:$AC,6,FALSE)),""))</f>
        <v>0</v>
      </c>
      <c r="F498" s="155">
        <f>(IF((VLOOKUP(Table10[[#This Row],[SKU]],'All Skus'!$A:$AC,2,FALSE))="Martin",(VLOOKUP(Table10[[#This Row],[SKU]],'All Skus'!$A:$AC,7,FALSE)),""))</f>
        <v>0</v>
      </c>
      <c r="G498" s="223" t="str">
        <f>(IF((VLOOKUP(Table10[[#This Row],[SKU]],'All Skus'!$A:$AC,2,FALSE))="Martin",(VLOOKUP(Table10[[#This Row],[SKU]],'All Skus'!$A:$AC,8,FALSE)),""))</f>
        <v>JEM Glaciator Dynamic, Ducting Kit</v>
      </c>
      <c r="H498" s="223" t="str">
        <f>(IF((VLOOKUP(Table10[[#This Row],[SKU]],'All Skus'!$A:$AC,2,FALSE))="Martin",(VLOOKUP(Table10[[#This Row],[SKU]],'All Skus'!$A:$AC,9,FALSE)),""))</f>
        <v>JEM Glaciator Dynamic, Ducting Kit</v>
      </c>
      <c r="I498" s="225">
        <f>(IF((VLOOKUP(Table10[[#This Row],[SKU]],'All Skus'!$A:$AC,2,FALSE))="Martin",(VLOOKUP(Table10[[#This Row],[SKU]],'All Skus'!$A:$AC,10,FALSE)),""))</f>
        <v>550.70000000000005</v>
      </c>
      <c r="J498" s="226">
        <f>(IF((VLOOKUP(Table10[[#This Row],[SKU]],'All Skus'!$A:$AC,2,FALSE))="Martin",(VLOOKUP(Table10[[#This Row],[SKU]],'All Skus'!$A:$AC,11,FALSE)),""))</f>
        <v>550.70000000000005</v>
      </c>
      <c r="K498" s="224">
        <f>(IF((VLOOKUP(Table10[[#This Row],[SKU]],'All Skus'!$A:$AC,2,FALSE))="Martin",(VLOOKUP(Table10[[#This Row],[SKU]],'All Skus'!$A:$AC,15,FALSE)),""))</f>
        <v>0</v>
      </c>
      <c r="L498" s="224">
        <f>(IF((VLOOKUP(Table10[[#This Row],[SKU]],'All Skus'!$A:$AC,2,FALSE))="Martin",(VLOOKUP(Table10[[#This Row],[SKU]],'All Skus'!$A:$AC,16,FALSE)),""))</f>
        <v>688705000015</v>
      </c>
      <c r="M498" s="224">
        <f>(IF((VLOOKUP(Table10[[#This Row],[SKU]],'All Skus'!$A:$AC,2,FALSE))="Martin",(VLOOKUP(Table10[[#This Row],[SKU]],'All Skus'!$A:$AC,17,FALSE)),""))</f>
        <v>0</v>
      </c>
      <c r="N498" s="227">
        <f>(IF((VLOOKUP(Table10[[#This Row],[SKU]],'All Skus'!$A:$AC,2,FALSE))="Martin",(VLOOKUP(Table10[[#This Row],[SKU]],'All Skus'!$A:$AC,18,FALSE)),""))</f>
        <v>8.89</v>
      </c>
      <c r="O498" s="227">
        <f>(IF((VLOOKUP(Table10[[#This Row],[SKU]],'All Skus'!$A:$AC,2,FALSE))="Martin",(VLOOKUP(Table10[[#This Row],[SKU]],'All Skus'!$A:$AC,19,FALSE)),""))</f>
        <v>8.89</v>
      </c>
      <c r="P498" s="227">
        <f>(IF((VLOOKUP(Table10[[#This Row],[SKU]],'All Skus'!$A:$AC,2,FALSE))="Martin",(VLOOKUP(Table10[[#This Row],[SKU]],'All Skus'!$A:$AC,20,FALSE)),""))</f>
        <v>0</v>
      </c>
      <c r="Q498" s="227">
        <f>(IF((VLOOKUP(Table10[[#This Row],[SKU]],'All Skus'!$A:$AC,2,FALSE))="Martin",(VLOOKUP(Table10[[#This Row],[SKU]],'All Skus'!$A:$AC,21,FALSE)),""))</f>
        <v>0</v>
      </c>
      <c r="R498" s="224" t="str">
        <f>(IF((VLOOKUP(Table10[[#This Row],[SKU]],'All Skus'!$A:$AC,2,FALSE))="Martin",(VLOOKUP(Table10[[#This Row],[SKU]],'All Skus'!$A:$AC,22,FALSE)),""))</f>
        <v>GB</v>
      </c>
      <c r="S498" s="223">
        <f>(IF((VLOOKUP(Table10[[#This Row],[SKU]],'All Skus'!$A:$AC,2,FALSE))="Martin",(VLOOKUP(Table10[[#This Row],[SKU]],'All Skus'!$A:$AC,23,FALSE)),""))</f>
        <v>0</v>
      </c>
      <c r="T498" s="212" t="str">
        <f>HYPERLINK((IF((VLOOKUP(Table10[[#This Row],[SKU]],'All Skus'!$A:$AC,2,FALSE))="Martin",(VLOOKUP(Table10[[#This Row],[SKU]],'All Skus'!$A:$AC,24,FALSE)),"")))</f>
        <v>http://www.martin.com/en-us/product-details/jem-glaciator-dymic</v>
      </c>
      <c r="U498" s="228">
        <v>496</v>
      </c>
    </row>
    <row r="499" spans="1:21">
      <c r="A499" s="112">
        <v>92625025</v>
      </c>
      <c r="B499" s="224" t="str">
        <f>(IF((VLOOKUP(Table10[[#This Row],[SKU]],'All Skus'!$A:$AC,2,FALSE))="Martin",(VLOOKUP(Table10[[#This Row],[SKU]],'All Skus'!$A:$AC,3,FALSE)),""))</f>
        <v>Atmospheric Effects</v>
      </c>
      <c r="C499" s="223" t="str">
        <f>(IF((VLOOKUP(Table10[[#This Row],[SKU]],'All Skus'!$A:$AC,2,FALSE))="Martin",(VLOOKUP(Table10[[#This Row],[SKU]],'All Skus'!$A:$AC,4,FALSE)),""))</f>
        <v xml:space="preserve">JEM Glaciator Dynamic, Fog Blade </v>
      </c>
      <c r="D499" s="224" t="str">
        <f>(IF((VLOOKUP(Table10[[#This Row],[SKU]],'All Skus'!$A:$AC,2,FALSE))="Martin",(VLOOKUP(Table10[[#This Row],[SKU]],'All Skus'!$A:$AC,5,FALSE)),""))</f>
        <v>MSM-JEM</v>
      </c>
      <c r="E499" s="223">
        <f>(IF((VLOOKUP(Table10[[#This Row],[SKU]],'All Skus'!$A:$AC,2,FALSE))="Martin",(VLOOKUP(Table10[[#This Row],[SKU]],'All Skus'!$A:$AC,6,FALSE)),""))</f>
        <v>0</v>
      </c>
      <c r="F499" s="155">
        <f>(IF((VLOOKUP(Table10[[#This Row],[SKU]],'All Skus'!$A:$AC,2,FALSE))="Martin",(VLOOKUP(Table10[[#This Row],[SKU]],'All Skus'!$A:$AC,7,FALSE)),""))</f>
        <v>0</v>
      </c>
      <c r="G499" s="223" t="str">
        <f>(IF((VLOOKUP(Table10[[#This Row],[SKU]],'All Skus'!$A:$AC,2,FALSE))="Martin",(VLOOKUP(Table10[[#This Row],[SKU]],'All Skus'!$A:$AC,8,FALSE)),""))</f>
        <v xml:space="preserve">JEM Glaciator Dynamic, Fog Blade </v>
      </c>
      <c r="H499" s="223" t="str">
        <f>(IF((VLOOKUP(Table10[[#This Row],[SKU]],'All Skus'!$A:$AC,2,FALSE))="Martin",(VLOOKUP(Table10[[#This Row],[SKU]],'All Skus'!$A:$AC,9,FALSE)),""))</f>
        <v xml:space="preserve">JEM Glaciator Dynamic, Fog Blade </v>
      </c>
      <c r="I499" s="225">
        <f>(IF((VLOOKUP(Table10[[#This Row],[SKU]],'All Skus'!$A:$AC,2,FALSE))="Martin",(VLOOKUP(Table10[[#This Row],[SKU]],'All Skus'!$A:$AC,10,FALSE)),""))</f>
        <v>550.70000000000005</v>
      </c>
      <c r="J499" s="226">
        <f>(IF((VLOOKUP(Table10[[#This Row],[SKU]],'All Skus'!$A:$AC,2,FALSE))="Martin",(VLOOKUP(Table10[[#This Row],[SKU]],'All Skus'!$A:$AC,11,FALSE)),""))</f>
        <v>550.70000000000005</v>
      </c>
      <c r="K499" s="224">
        <f>(IF((VLOOKUP(Table10[[#This Row],[SKU]],'All Skus'!$A:$AC,2,FALSE))="Martin",(VLOOKUP(Table10[[#This Row],[SKU]],'All Skus'!$A:$AC,15,FALSE)),""))</f>
        <v>0</v>
      </c>
      <c r="L499" s="224">
        <f>(IF((VLOOKUP(Table10[[#This Row],[SKU]],'All Skus'!$A:$AC,2,FALSE))="Martin",(VLOOKUP(Table10[[#This Row],[SKU]],'All Skus'!$A:$AC,16,FALSE)),""))</f>
        <v>688705001869</v>
      </c>
      <c r="M499" s="224">
        <f>(IF((VLOOKUP(Table10[[#This Row],[SKU]],'All Skus'!$A:$AC,2,FALSE))="Martin",(VLOOKUP(Table10[[#This Row],[SKU]],'All Skus'!$A:$AC,17,FALSE)),""))</f>
        <v>0</v>
      </c>
      <c r="N499" s="227">
        <f>(IF((VLOOKUP(Table10[[#This Row],[SKU]],'All Skus'!$A:$AC,2,FALSE))="Martin",(VLOOKUP(Table10[[#This Row],[SKU]],'All Skus'!$A:$AC,18,FALSE)),""))</f>
        <v>20.28</v>
      </c>
      <c r="O499" s="227">
        <f>(IF((VLOOKUP(Table10[[#This Row],[SKU]],'All Skus'!$A:$AC,2,FALSE))="Martin",(VLOOKUP(Table10[[#This Row],[SKU]],'All Skus'!$A:$AC,19,FALSE)),""))</f>
        <v>20.28</v>
      </c>
      <c r="P499" s="227">
        <f>(IF((VLOOKUP(Table10[[#This Row],[SKU]],'All Skus'!$A:$AC,2,FALSE))="Martin",(VLOOKUP(Table10[[#This Row],[SKU]],'All Skus'!$A:$AC,20,FALSE)),""))</f>
        <v>0</v>
      </c>
      <c r="Q499" s="227">
        <f>(IF((VLOOKUP(Table10[[#This Row],[SKU]],'All Skus'!$A:$AC,2,FALSE))="Martin",(VLOOKUP(Table10[[#This Row],[SKU]],'All Skus'!$A:$AC,21,FALSE)),""))</f>
        <v>0</v>
      </c>
      <c r="R499" s="224" t="str">
        <f>(IF((VLOOKUP(Table10[[#This Row],[SKU]],'All Skus'!$A:$AC,2,FALSE))="Martin",(VLOOKUP(Table10[[#This Row],[SKU]],'All Skus'!$A:$AC,22,FALSE)),""))</f>
        <v>GB</v>
      </c>
      <c r="S499" s="223">
        <f>(IF((VLOOKUP(Table10[[#This Row],[SKU]],'All Skus'!$A:$AC,2,FALSE))="Martin",(VLOOKUP(Table10[[#This Row],[SKU]],'All Skus'!$A:$AC,23,FALSE)),""))</f>
        <v>0</v>
      </c>
      <c r="T499" s="212" t="str">
        <f>HYPERLINK((IF((VLOOKUP(Table10[[#This Row],[SKU]],'All Skus'!$A:$AC,2,FALSE))="Martin",(VLOOKUP(Table10[[#This Row],[SKU]],'All Skus'!$A:$AC,24,FALSE)),"")))</f>
        <v>http://www.martin.com/en-us/product-details/jem-glaciator-dymic</v>
      </c>
      <c r="U499" s="228">
        <v>497</v>
      </c>
    </row>
    <row r="500" spans="1:21">
      <c r="A500" s="112">
        <v>92625030</v>
      </c>
      <c r="B500" s="224" t="str">
        <f>(IF((VLOOKUP(Table10[[#This Row],[SKU]],'All Skus'!$A:$AC,2,FALSE))="Martin",(VLOOKUP(Table10[[#This Row],[SKU]],'All Skus'!$A:$AC,3,FALSE)),""))</f>
        <v>Atmospheric Effects</v>
      </c>
      <c r="C500" s="223" t="str">
        <f>(IF((VLOOKUP(Table10[[#This Row],[SKU]],'All Skus'!$A:$AC,2,FALSE))="Martin",(VLOOKUP(Table10[[#This Row],[SKU]],'All Skus'!$A:$AC,4,FALSE)),""))</f>
        <v xml:space="preserve">JEM Glaciator Dynamic, Softcover        </v>
      </c>
      <c r="D500" s="224" t="str">
        <f>(IF((VLOOKUP(Table10[[#This Row],[SKU]],'All Skus'!$A:$AC,2,FALSE))="Martin",(VLOOKUP(Table10[[#This Row],[SKU]],'All Skus'!$A:$AC,5,FALSE)),""))</f>
        <v>MSM-JEM</v>
      </c>
      <c r="E500" s="223">
        <f>(IF((VLOOKUP(Table10[[#This Row],[SKU]],'All Skus'!$A:$AC,2,FALSE))="Martin",(VLOOKUP(Table10[[#This Row],[SKU]],'All Skus'!$A:$AC,6,FALSE)),""))</f>
        <v>0</v>
      </c>
      <c r="F500" s="155">
        <f>(IF((VLOOKUP(Table10[[#This Row],[SKU]],'All Skus'!$A:$AC,2,FALSE))="Martin",(VLOOKUP(Table10[[#This Row],[SKU]],'All Skus'!$A:$AC,7,FALSE)),""))</f>
        <v>0</v>
      </c>
      <c r="G500" s="223" t="str">
        <f>(IF((VLOOKUP(Table10[[#This Row],[SKU]],'All Skus'!$A:$AC,2,FALSE))="Martin",(VLOOKUP(Table10[[#This Row],[SKU]],'All Skus'!$A:$AC,8,FALSE)),""))</f>
        <v xml:space="preserve">JEM Glaciator Dynamic, Softcover        </v>
      </c>
      <c r="H500" s="223" t="str">
        <f>(IF((VLOOKUP(Table10[[#This Row],[SKU]],'All Skus'!$A:$AC,2,FALSE))="Martin",(VLOOKUP(Table10[[#This Row],[SKU]],'All Skus'!$A:$AC,9,FALSE)),""))</f>
        <v xml:space="preserve">JEM Glaciator Dynamic, Softcover        </v>
      </c>
      <c r="I500" s="225">
        <f>(IF((VLOOKUP(Table10[[#This Row],[SKU]],'All Skus'!$A:$AC,2,FALSE))="Martin",(VLOOKUP(Table10[[#This Row],[SKU]],'All Skus'!$A:$AC,10,FALSE)),""))</f>
        <v>690.23</v>
      </c>
      <c r="J500" s="226">
        <f>(IF((VLOOKUP(Table10[[#This Row],[SKU]],'All Skus'!$A:$AC,2,FALSE))="Martin",(VLOOKUP(Table10[[#This Row],[SKU]],'All Skus'!$A:$AC,11,FALSE)),""))</f>
        <v>690.23</v>
      </c>
      <c r="K500" s="224">
        <f>(IF((VLOOKUP(Table10[[#This Row],[SKU]],'All Skus'!$A:$AC,2,FALSE))="Martin",(VLOOKUP(Table10[[#This Row],[SKU]],'All Skus'!$A:$AC,15,FALSE)),""))</f>
        <v>0</v>
      </c>
      <c r="L500" s="224">
        <f>(IF((VLOOKUP(Table10[[#This Row],[SKU]],'All Skus'!$A:$AC,2,FALSE))="Martin",(VLOOKUP(Table10[[#This Row],[SKU]],'All Skus'!$A:$AC,16,FALSE)),""))</f>
        <v>688705001821</v>
      </c>
      <c r="M500" s="224">
        <f>(IF((VLOOKUP(Table10[[#This Row],[SKU]],'All Skus'!$A:$AC,2,FALSE))="Martin",(VLOOKUP(Table10[[#This Row],[SKU]],'All Skus'!$A:$AC,17,FALSE)),""))</f>
        <v>0</v>
      </c>
      <c r="N500" s="227">
        <f>(IF((VLOOKUP(Table10[[#This Row],[SKU]],'All Skus'!$A:$AC,2,FALSE))="Martin",(VLOOKUP(Table10[[#This Row],[SKU]],'All Skus'!$A:$AC,18,FALSE)),""))</f>
        <v>26.78</v>
      </c>
      <c r="O500" s="227">
        <f>(IF((VLOOKUP(Table10[[#This Row],[SKU]],'All Skus'!$A:$AC,2,FALSE))="Martin",(VLOOKUP(Table10[[#This Row],[SKU]],'All Skus'!$A:$AC,19,FALSE)),""))</f>
        <v>26.78</v>
      </c>
      <c r="P500" s="227">
        <f>(IF((VLOOKUP(Table10[[#This Row],[SKU]],'All Skus'!$A:$AC,2,FALSE))="Martin",(VLOOKUP(Table10[[#This Row],[SKU]],'All Skus'!$A:$AC,20,FALSE)),""))</f>
        <v>0</v>
      </c>
      <c r="Q500" s="227">
        <f>(IF((VLOOKUP(Table10[[#This Row],[SKU]],'All Skus'!$A:$AC,2,FALSE))="Martin",(VLOOKUP(Table10[[#This Row],[SKU]],'All Skus'!$A:$AC,21,FALSE)),""))</f>
        <v>0</v>
      </c>
      <c r="R500" s="224" t="str">
        <f>(IF((VLOOKUP(Table10[[#This Row],[SKU]],'All Skus'!$A:$AC,2,FALSE))="Martin",(VLOOKUP(Table10[[#This Row],[SKU]],'All Skus'!$A:$AC,22,FALSE)),""))</f>
        <v>GB</v>
      </c>
      <c r="S500" s="223">
        <f>(IF((VLOOKUP(Table10[[#This Row],[SKU]],'All Skus'!$A:$AC,2,FALSE))="Martin",(VLOOKUP(Table10[[#This Row],[SKU]],'All Skus'!$A:$AC,23,FALSE)),""))</f>
        <v>0</v>
      </c>
      <c r="T500" s="212" t="str">
        <f>HYPERLINK((IF((VLOOKUP(Table10[[#This Row],[SKU]],'All Skus'!$A:$AC,2,FALSE))="Martin",(VLOOKUP(Table10[[#This Row],[SKU]],'All Skus'!$A:$AC,24,FALSE)),"")))</f>
        <v>http://www.martin.com/en-us/product-details/jem-glaciator-dymic</v>
      </c>
      <c r="U500" s="228">
        <v>498</v>
      </c>
    </row>
    <row r="501" spans="1:21" hidden="1">
      <c r="A501" s="115" t="s">
        <v>2176</v>
      </c>
      <c r="B501" s="224">
        <f>(IF((VLOOKUP(Table10[[#This Row],[SKU]],'All Skus'!$A:$AC,2,FALSE))="Martin",(VLOOKUP(Table10[[#This Row],[SKU]],'All Skus'!$A:$AC,3,FALSE)),""))</f>
        <v>0</v>
      </c>
      <c r="C501" s="223">
        <f>(IF((VLOOKUP(Table10[[#This Row],[SKU]],'All Skus'!$A:$AC,2,FALSE))="Martin",(VLOOKUP(Table10[[#This Row],[SKU]],'All Skus'!$A:$AC,4,FALSE)),""))</f>
        <v>0</v>
      </c>
      <c r="D501" s="224">
        <f>(IF((VLOOKUP(Table10[[#This Row],[SKU]],'All Skus'!$A:$AC,2,FALSE))="Martin",(VLOOKUP(Table10[[#This Row],[SKU]],'All Skus'!$A:$AC,5,FALSE)),""))</f>
        <v>0</v>
      </c>
      <c r="E501" s="223">
        <f>(IF((VLOOKUP(Table10[[#This Row],[SKU]],'All Skus'!$A:$AC,2,FALSE))="Martin",(VLOOKUP(Table10[[#This Row],[SKU]],'All Skus'!$A:$AC,6,FALSE)),""))</f>
        <v>0</v>
      </c>
      <c r="F501" s="155">
        <f>(IF((VLOOKUP(Table10[[#This Row],[SKU]],'All Skus'!$A:$AC,2,FALSE))="Martin",(VLOOKUP(Table10[[#This Row],[SKU]],'All Skus'!$A:$AC,7,FALSE)),""))</f>
        <v>0</v>
      </c>
      <c r="G501" s="223">
        <f>(IF((VLOOKUP(Table10[[#This Row],[SKU]],'All Skus'!$A:$AC,2,FALSE))="Martin",(VLOOKUP(Table10[[#This Row],[SKU]],'All Skus'!$A:$AC,8,FALSE)),""))</f>
        <v>0</v>
      </c>
      <c r="H501" s="223">
        <f>(IF((VLOOKUP(Table10[[#This Row],[SKU]],'All Skus'!$A:$AC,2,FALSE))="Martin",(VLOOKUP(Table10[[#This Row],[SKU]],'All Skus'!$A:$AC,9,FALSE)),""))</f>
        <v>0</v>
      </c>
      <c r="I501" s="225">
        <f>(IF((VLOOKUP(Table10[[#This Row],[SKU]],'All Skus'!$A:$AC,2,FALSE))="Martin",(VLOOKUP(Table10[[#This Row],[SKU]],'All Skus'!$A:$AC,10,FALSE)),""))</f>
        <v>0</v>
      </c>
      <c r="J501" s="226">
        <f>(IF((VLOOKUP(Table10[[#This Row],[SKU]],'All Skus'!$A:$AC,2,FALSE))="Martin",(VLOOKUP(Table10[[#This Row],[SKU]],'All Skus'!$A:$AC,11,FALSE)),""))</f>
        <v>0</v>
      </c>
      <c r="K501" s="224">
        <f>(IF((VLOOKUP(Table10[[#This Row],[SKU]],'All Skus'!$A:$AC,2,FALSE))="Martin",(VLOOKUP(Table10[[#This Row],[SKU]],'All Skus'!$A:$AC,15,FALSE)),""))</f>
        <v>0</v>
      </c>
      <c r="L501" s="224">
        <f>(IF((VLOOKUP(Table10[[#This Row],[SKU]],'All Skus'!$A:$AC,2,FALSE))="Martin",(VLOOKUP(Table10[[#This Row],[SKU]],'All Skus'!$A:$AC,16,FALSE)),""))</f>
        <v>0</v>
      </c>
      <c r="M501" s="224">
        <f>(IF((VLOOKUP(Table10[[#This Row],[SKU]],'All Skus'!$A:$AC,2,FALSE))="Martin",(VLOOKUP(Table10[[#This Row],[SKU]],'All Skus'!$A:$AC,17,FALSE)),""))</f>
        <v>0</v>
      </c>
      <c r="N501" s="227">
        <f>(IF((VLOOKUP(Table10[[#This Row],[SKU]],'All Skus'!$A:$AC,2,FALSE))="Martin",(VLOOKUP(Table10[[#This Row],[SKU]],'All Skus'!$A:$AC,18,FALSE)),""))</f>
        <v>0</v>
      </c>
      <c r="O501" s="227">
        <f>(IF((VLOOKUP(Table10[[#This Row],[SKU]],'All Skus'!$A:$AC,2,FALSE))="Martin",(VLOOKUP(Table10[[#This Row],[SKU]],'All Skus'!$A:$AC,19,FALSE)),""))</f>
        <v>0</v>
      </c>
      <c r="P501" s="227">
        <f>(IF((VLOOKUP(Table10[[#This Row],[SKU]],'All Skus'!$A:$AC,2,FALSE))="Martin",(VLOOKUP(Table10[[#This Row],[SKU]],'All Skus'!$A:$AC,20,FALSE)),""))</f>
        <v>0</v>
      </c>
      <c r="Q501" s="227">
        <f>(IF((VLOOKUP(Table10[[#This Row],[SKU]],'All Skus'!$A:$AC,2,FALSE))="Martin",(VLOOKUP(Table10[[#This Row],[SKU]],'All Skus'!$A:$AC,21,FALSE)),""))</f>
        <v>0</v>
      </c>
      <c r="R501" s="224">
        <f>(IF((VLOOKUP(Table10[[#This Row],[SKU]],'All Skus'!$A:$AC,2,FALSE))="Martin",(VLOOKUP(Table10[[#This Row],[SKU]],'All Skus'!$A:$AC,22,FALSE)),""))</f>
        <v>0</v>
      </c>
      <c r="S501" s="223">
        <f>(IF((VLOOKUP(Table10[[#This Row],[SKU]],'All Skus'!$A:$AC,2,FALSE))="Martin",(VLOOKUP(Table10[[#This Row],[SKU]],'All Skus'!$A:$AC,23,FALSE)),""))</f>
        <v>0</v>
      </c>
      <c r="T501" s="212" t="str">
        <f>HYPERLINK((IF((VLOOKUP(Table10[[#This Row],[SKU]],'All Skus'!$A:$AC,2,FALSE))="Martin",(VLOOKUP(Table10[[#This Row],[SKU]],'All Skus'!$A:$AC,24,FALSE)),"")))</f>
        <v/>
      </c>
      <c r="U501" s="228">
        <v>499</v>
      </c>
    </row>
    <row r="502" spans="1:21" hidden="1">
      <c r="A502" s="111" t="s">
        <v>2177</v>
      </c>
      <c r="B502" s="224">
        <f>(IF((VLOOKUP(Table10[[#This Row],[SKU]],'All Skus'!$A:$AC,2,FALSE))="Martin",(VLOOKUP(Table10[[#This Row],[SKU]],'All Skus'!$A:$AC,3,FALSE)),""))</f>
        <v>0</v>
      </c>
      <c r="C502" s="223">
        <f>(IF((VLOOKUP(Table10[[#This Row],[SKU]],'All Skus'!$A:$AC,2,FALSE))="Martin",(VLOOKUP(Table10[[#This Row],[SKU]],'All Skus'!$A:$AC,4,FALSE)),""))</f>
        <v>0</v>
      </c>
      <c r="D502" s="224">
        <f>(IF((VLOOKUP(Table10[[#This Row],[SKU]],'All Skus'!$A:$AC,2,FALSE))="Martin",(VLOOKUP(Table10[[#This Row],[SKU]],'All Skus'!$A:$AC,5,FALSE)),""))</f>
        <v>0</v>
      </c>
      <c r="E502" s="223">
        <f>(IF((VLOOKUP(Table10[[#This Row],[SKU]],'All Skus'!$A:$AC,2,FALSE))="Martin",(VLOOKUP(Table10[[#This Row],[SKU]],'All Skus'!$A:$AC,6,FALSE)),""))</f>
        <v>0</v>
      </c>
      <c r="F502" s="155">
        <f>(IF((VLOOKUP(Table10[[#This Row],[SKU]],'All Skus'!$A:$AC,2,FALSE))="Martin",(VLOOKUP(Table10[[#This Row],[SKU]],'All Skus'!$A:$AC,7,FALSE)),""))</f>
        <v>0</v>
      </c>
      <c r="G502" s="223">
        <f>(IF((VLOOKUP(Table10[[#This Row],[SKU]],'All Skus'!$A:$AC,2,FALSE))="Martin",(VLOOKUP(Table10[[#This Row],[SKU]],'All Skus'!$A:$AC,8,FALSE)),""))</f>
        <v>0</v>
      </c>
      <c r="H502" s="223">
        <f>(IF((VLOOKUP(Table10[[#This Row],[SKU]],'All Skus'!$A:$AC,2,FALSE))="Martin",(VLOOKUP(Table10[[#This Row],[SKU]],'All Skus'!$A:$AC,9,FALSE)),""))</f>
        <v>0</v>
      </c>
      <c r="I502" s="225">
        <f>(IF((VLOOKUP(Table10[[#This Row],[SKU]],'All Skus'!$A:$AC,2,FALSE))="Martin",(VLOOKUP(Table10[[#This Row],[SKU]],'All Skus'!$A:$AC,10,FALSE)),""))</f>
        <v>0</v>
      </c>
      <c r="J502" s="226">
        <f>(IF((VLOOKUP(Table10[[#This Row],[SKU]],'All Skus'!$A:$AC,2,FALSE))="Martin",(VLOOKUP(Table10[[#This Row],[SKU]],'All Skus'!$A:$AC,11,FALSE)),""))</f>
        <v>0</v>
      </c>
      <c r="K502" s="224">
        <f>(IF((VLOOKUP(Table10[[#This Row],[SKU]],'All Skus'!$A:$AC,2,FALSE))="Martin",(VLOOKUP(Table10[[#This Row],[SKU]],'All Skus'!$A:$AC,15,FALSE)),""))</f>
        <v>0</v>
      </c>
      <c r="L502" s="224">
        <f>(IF((VLOOKUP(Table10[[#This Row],[SKU]],'All Skus'!$A:$AC,2,FALSE))="Martin",(VLOOKUP(Table10[[#This Row],[SKU]],'All Skus'!$A:$AC,16,FALSE)),""))</f>
        <v>0</v>
      </c>
      <c r="M502" s="224">
        <f>(IF((VLOOKUP(Table10[[#This Row],[SKU]],'All Skus'!$A:$AC,2,FALSE))="Martin",(VLOOKUP(Table10[[#This Row],[SKU]],'All Skus'!$A:$AC,17,FALSE)),""))</f>
        <v>0</v>
      </c>
      <c r="N502" s="227">
        <f>(IF((VLOOKUP(Table10[[#This Row],[SKU]],'All Skus'!$A:$AC,2,FALSE))="Martin",(VLOOKUP(Table10[[#This Row],[SKU]],'All Skus'!$A:$AC,18,FALSE)),""))</f>
        <v>0</v>
      </c>
      <c r="O502" s="227">
        <f>(IF((VLOOKUP(Table10[[#This Row],[SKU]],'All Skus'!$A:$AC,2,FALSE))="Martin",(VLOOKUP(Table10[[#This Row],[SKU]],'All Skus'!$A:$AC,19,FALSE)),""))</f>
        <v>0</v>
      </c>
      <c r="P502" s="227">
        <f>(IF((VLOOKUP(Table10[[#This Row],[SKU]],'All Skus'!$A:$AC,2,FALSE))="Martin",(VLOOKUP(Table10[[#This Row],[SKU]],'All Skus'!$A:$AC,20,FALSE)),""))</f>
        <v>0</v>
      </c>
      <c r="Q502" s="227">
        <f>(IF((VLOOKUP(Table10[[#This Row],[SKU]],'All Skus'!$A:$AC,2,FALSE))="Martin",(VLOOKUP(Table10[[#This Row],[SKU]],'All Skus'!$A:$AC,21,FALSE)),""))</f>
        <v>0</v>
      </c>
      <c r="R502" s="224">
        <f>(IF((VLOOKUP(Table10[[#This Row],[SKU]],'All Skus'!$A:$AC,2,FALSE))="Martin",(VLOOKUP(Table10[[#This Row],[SKU]],'All Skus'!$A:$AC,22,FALSE)),""))</f>
        <v>0</v>
      </c>
      <c r="S502" s="223">
        <f>(IF((VLOOKUP(Table10[[#This Row],[SKU]],'All Skus'!$A:$AC,2,FALSE))="Martin",(VLOOKUP(Table10[[#This Row],[SKU]],'All Skus'!$A:$AC,23,FALSE)),""))</f>
        <v>0</v>
      </c>
      <c r="T502" s="212" t="str">
        <f>HYPERLINK((IF((VLOOKUP(Table10[[#This Row],[SKU]],'All Skus'!$A:$AC,2,FALSE))="Martin",(VLOOKUP(Table10[[#This Row],[SKU]],'All Skus'!$A:$AC,24,FALSE)),"")))</f>
        <v/>
      </c>
      <c r="U502" s="228">
        <v>500</v>
      </c>
    </row>
    <row r="503" spans="1:21" hidden="1">
      <c r="A503" s="115" t="s">
        <v>2178</v>
      </c>
      <c r="B503" s="224">
        <f>(IF((VLOOKUP(Table10[[#This Row],[SKU]],'All Skus'!$A:$AC,2,FALSE))="Martin",(VLOOKUP(Table10[[#This Row],[SKU]],'All Skus'!$A:$AC,3,FALSE)),""))</f>
        <v>0</v>
      </c>
      <c r="C503" s="223">
        <f>(IF((VLOOKUP(Table10[[#This Row],[SKU]],'All Skus'!$A:$AC,2,FALSE))="Martin",(VLOOKUP(Table10[[#This Row],[SKU]],'All Skus'!$A:$AC,4,FALSE)),""))</f>
        <v>0</v>
      </c>
      <c r="D503" s="224">
        <f>(IF((VLOOKUP(Table10[[#This Row],[SKU]],'All Skus'!$A:$AC,2,FALSE))="Martin",(VLOOKUP(Table10[[#This Row],[SKU]],'All Skus'!$A:$AC,5,FALSE)),""))</f>
        <v>0</v>
      </c>
      <c r="E503" s="223">
        <f>(IF((VLOOKUP(Table10[[#This Row],[SKU]],'All Skus'!$A:$AC,2,FALSE))="Martin",(VLOOKUP(Table10[[#This Row],[SKU]],'All Skus'!$A:$AC,6,FALSE)),""))</f>
        <v>0</v>
      </c>
      <c r="F503" s="155">
        <f>(IF((VLOOKUP(Table10[[#This Row],[SKU]],'All Skus'!$A:$AC,2,FALSE))="Martin",(VLOOKUP(Table10[[#This Row],[SKU]],'All Skus'!$A:$AC,7,FALSE)),""))</f>
        <v>0</v>
      </c>
      <c r="G503" s="223">
        <f>(IF((VLOOKUP(Table10[[#This Row],[SKU]],'All Skus'!$A:$AC,2,FALSE))="Martin",(VLOOKUP(Table10[[#This Row],[SKU]],'All Skus'!$A:$AC,8,FALSE)),""))</f>
        <v>0</v>
      </c>
      <c r="H503" s="223">
        <f>(IF((VLOOKUP(Table10[[#This Row],[SKU]],'All Skus'!$A:$AC,2,FALSE))="Martin",(VLOOKUP(Table10[[#This Row],[SKU]],'All Skus'!$A:$AC,9,FALSE)),""))</f>
        <v>0</v>
      </c>
      <c r="I503" s="225">
        <f>(IF((VLOOKUP(Table10[[#This Row],[SKU]],'All Skus'!$A:$AC,2,FALSE))="Martin",(VLOOKUP(Table10[[#This Row],[SKU]],'All Skus'!$A:$AC,10,FALSE)),""))</f>
        <v>0</v>
      </c>
      <c r="J503" s="226">
        <f>(IF((VLOOKUP(Table10[[#This Row],[SKU]],'All Skus'!$A:$AC,2,FALSE))="Martin",(VLOOKUP(Table10[[#This Row],[SKU]],'All Skus'!$A:$AC,11,FALSE)),""))</f>
        <v>0</v>
      </c>
      <c r="K503" s="224">
        <f>(IF((VLOOKUP(Table10[[#This Row],[SKU]],'All Skus'!$A:$AC,2,FALSE))="Martin",(VLOOKUP(Table10[[#This Row],[SKU]],'All Skus'!$A:$AC,15,FALSE)),""))</f>
        <v>0</v>
      </c>
      <c r="L503" s="224">
        <f>(IF((VLOOKUP(Table10[[#This Row],[SKU]],'All Skus'!$A:$AC,2,FALSE))="Martin",(VLOOKUP(Table10[[#This Row],[SKU]],'All Skus'!$A:$AC,16,FALSE)),""))</f>
        <v>0</v>
      </c>
      <c r="M503" s="224">
        <f>(IF((VLOOKUP(Table10[[#This Row],[SKU]],'All Skus'!$A:$AC,2,FALSE))="Martin",(VLOOKUP(Table10[[#This Row],[SKU]],'All Skus'!$A:$AC,17,FALSE)),""))</f>
        <v>0</v>
      </c>
      <c r="N503" s="227">
        <f>(IF((VLOOKUP(Table10[[#This Row],[SKU]],'All Skus'!$A:$AC,2,FALSE))="Martin",(VLOOKUP(Table10[[#This Row],[SKU]],'All Skus'!$A:$AC,18,FALSE)),""))</f>
        <v>0</v>
      </c>
      <c r="O503" s="227">
        <f>(IF((VLOOKUP(Table10[[#This Row],[SKU]],'All Skus'!$A:$AC,2,FALSE))="Martin",(VLOOKUP(Table10[[#This Row],[SKU]],'All Skus'!$A:$AC,19,FALSE)),""))</f>
        <v>0</v>
      </c>
      <c r="P503" s="227">
        <f>(IF((VLOOKUP(Table10[[#This Row],[SKU]],'All Skus'!$A:$AC,2,FALSE))="Martin",(VLOOKUP(Table10[[#This Row],[SKU]],'All Skus'!$A:$AC,20,FALSE)),""))</f>
        <v>0</v>
      </c>
      <c r="Q503" s="227">
        <f>(IF((VLOOKUP(Table10[[#This Row],[SKU]],'All Skus'!$A:$AC,2,FALSE))="Martin",(VLOOKUP(Table10[[#This Row],[SKU]],'All Skus'!$A:$AC,21,FALSE)),""))</f>
        <v>0</v>
      </c>
      <c r="R503" s="224">
        <f>(IF((VLOOKUP(Table10[[#This Row],[SKU]],'All Skus'!$A:$AC,2,FALSE))="Martin",(VLOOKUP(Table10[[#This Row],[SKU]],'All Skus'!$A:$AC,22,FALSE)),""))</f>
        <v>0</v>
      </c>
      <c r="S503" s="223">
        <f>(IF((VLOOKUP(Table10[[#This Row],[SKU]],'All Skus'!$A:$AC,2,FALSE))="Martin",(VLOOKUP(Table10[[#This Row],[SKU]],'All Skus'!$A:$AC,23,FALSE)),""))</f>
        <v>0</v>
      </c>
      <c r="T503" s="212" t="str">
        <f>HYPERLINK((IF((VLOOKUP(Table10[[#This Row],[SKU]],'All Skus'!$A:$AC,2,FALSE))="Martin",(VLOOKUP(Table10[[#This Row],[SKU]],'All Skus'!$A:$AC,24,FALSE)),"")))</f>
        <v/>
      </c>
      <c r="U503" s="228">
        <v>501</v>
      </c>
    </row>
    <row r="504" spans="1:21" hidden="1">
      <c r="A504" s="112" t="s">
        <v>2179</v>
      </c>
      <c r="B504" s="224" t="str">
        <f>(IF((VLOOKUP(Table10[[#This Row],[SKU]],'All Skus'!$A:$AC,2,FALSE))="Martin",(VLOOKUP(Table10[[#This Row],[SKU]],'All Skus'!$A:$AC,3,FALSE)),""))</f>
        <v>LED</v>
      </c>
      <c r="C504" s="223" t="str">
        <f>(IF((VLOOKUP(Table10[[#This Row],[SKU]],'All Skus'!$A:$AC,2,FALSE))="Martin",(VLOOKUP(Table10[[#This Row],[SKU]],'All Skus'!$A:$AC,4,FALSE)),""))</f>
        <v xml:space="preserve">MAC Aura XB in cardboard </v>
      </c>
      <c r="D504" s="224" t="str">
        <f>(IF((VLOOKUP(Table10[[#This Row],[SKU]],'All Skus'!$A:$AC,2,FALSE))="Martin",(VLOOKUP(Table10[[#This Row],[SKU]],'All Skus'!$A:$AC,5,FALSE)),""))</f>
        <v>MSL-AURA</v>
      </c>
      <c r="E504" s="223">
        <f>(IF((VLOOKUP(Table10[[#This Row],[SKU]],'All Skus'!$A:$AC,2,FALSE))="Martin",(VLOOKUP(Table10[[#This Row],[SKU]],'All Skus'!$A:$AC,6,FALSE)),""))</f>
        <v>0</v>
      </c>
      <c r="F504" s="155">
        <f>(IF((VLOOKUP(Table10[[#This Row],[SKU]],'All Skus'!$A:$AC,2,FALSE))="Martin",(VLOOKUP(Table10[[#This Row],[SKU]],'All Skus'!$A:$AC,7,FALSE)),""))</f>
        <v>0</v>
      </c>
      <c r="G504" s="223" t="str">
        <f>(IF((VLOOKUP(Table10[[#This Row],[SKU]],'All Skus'!$A:$AC,2,FALSE))="Martin",(VLOOKUP(Table10[[#This Row],[SKU]],'All Skus'!$A:$AC,8,FALSE)),""))</f>
        <v xml:space="preserve">MAC Aura XB in cardboard </v>
      </c>
      <c r="H504" s="223" t="str">
        <f>(IF((VLOOKUP(Table10[[#This Row],[SKU]],'All Skus'!$A:$AC,2,FALSE))="Martin",(VLOOKUP(Table10[[#This Row],[SKU]],'All Skus'!$A:$AC,9,FALSE)),""))</f>
        <v xml:space="preserve">MAC Aura XB in cardboard </v>
      </c>
      <c r="I504" s="225">
        <f>(IF((VLOOKUP(Table10[[#This Row],[SKU]],'All Skus'!$A:$AC,2,FALSE))="Martin",(VLOOKUP(Table10[[#This Row],[SKU]],'All Skus'!$A:$AC,10,FALSE)),""))</f>
        <v>4532</v>
      </c>
      <c r="J504" s="226">
        <f>(IF((VLOOKUP(Table10[[#This Row],[SKU]],'All Skus'!$A:$AC,2,FALSE))="Martin",(VLOOKUP(Table10[[#This Row],[SKU]],'All Skus'!$A:$AC,11,FALSE)),""))</f>
        <v>4532</v>
      </c>
      <c r="K504" s="224">
        <f>(IF((VLOOKUP(Table10[[#This Row],[SKU]],'All Skus'!$A:$AC,2,FALSE))="Martin",(VLOOKUP(Table10[[#This Row],[SKU]],'All Skus'!$A:$AC,15,FALSE)),""))</f>
        <v>0</v>
      </c>
      <c r="L504" s="224">
        <f>(IF((VLOOKUP(Table10[[#This Row],[SKU]],'All Skus'!$A:$AC,2,FALSE))="Martin",(VLOOKUP(Table10[[#This Row],[SKU]],'All Skus'!$A:$AC,16,FALSE)),""))</f>
        <v>0</v>
      </c>
      <c r="M504" s="224">
        <f>(IF((VLOOKUP(Table10[[#This Row],[SKU]],'All Skus'!$A:$AC,2,FALSE))="Martin",(VLOOKUP(Table10[[#This Row],[SKU]],'All Skus'!$A:$AC,17,FALSE)),""))</f>
        <v>0</v>
      </c>
      <c r="N504" s="227">
        <f>(IF((VLOOKUP(Table10[[#This Row],[SKU]],'All Skus'!$A:$AC,2,FALSE))="Martin",(VLOOKUP(Table10[[#This Row],[SKU]],'All Skus'!$A:$AC,18,FALSE)),""))</f>
        <v>0</v>
      </c>
      <c r="O504" s="227">
        <f>(IF((VLOOKUP(Table10[[#This Row],[SKU]],'All Skus'!$A:$AC,2,FALSE))="Martin",(VLOOKUP(Table10[[#This Row],[SKU]],'All Skus'!$A:$AC,19,FALSE)),""))</f>
        <v>0</v>
      </c>
      <c r="P504" s="227">
        <f>(IF((VLOOKUP(Table10[[#This Row],[SKU]],'All Skus'!$A:$AC,2,FALSE))="Martin",(VLOOKUP(Table10[[#This Row],[SKU]],'All Skus'!$A:$AC,20,FALSE)),""))</f>
        <v>0</v>
      </c>
      <c r="Q504" s="227">
        <f>(IF((VLOOKUP(Table10[[#This Row],[SKU]],'All Skus'!$A:$AC,2,FALSE))="Martin",(VLOOKUP(Table10[[#This Row],[SKU]],'All Skus'!$A:$AC,21,FALSE)),""))</f>
        <v>0</v>
      </c>
      <c r="R504" s="224" t="str">
        <f>(IF((VLOOKUP(Table10[[#This Row],[SKU]],'All Skus'!$A:$AC,2,FALSE))="Martin",(VLOOKUP(Table10[[#This Row],[SKU]],'All Skus'!$A:$AC,22,FALSE)),""))</f>
        <v>HU</v>
      </c>
      <c r="S504" s="223">
        <f>(IF((VLOOKUP(Table10[[#This Row],[SKU]],'All Skus'!$A:$AC,2,FALSE))="Martin",(VLOOKUP(Table10[[#This Row],[SKU]],'All Skus'!$A:$AC,23,FALSE)),""))</f>
        <v>0</v>
      </c>
      <c r="T504" s="212" t="str">
        <f>HYPERLINK((IF((VLOOKUP(Table10[[#This Row],[SKU]],'All Skus'!$A:$AC,2,FALSE))="Martin",(VLOOKUP(Table10[[#This Row],[SKU]],'All Skus'!$A:$AC,24,FALSE)),"")))</f>
        <v/>
      </c>
      <c r="U504" s="228">
        <v>502</v>
      </c>
    </row>
    <row r="505" spans="1:21" hidden="1">
      <c r="A505" s="112" t="s">
        <v>2180</v>
      </c>
      <c r="B505" s="224" t="str">
        <f>(IF((VLOOKUP(Table10[[#This Row],[SKU]],'All Skus'!$A:$AC,2,FALSE))="Martin",(VLOOKUP(Table10[[#This Row],[SKU]],'All Skus'!$A:$AC,3,FALSE)),""))</f>
        <v>LED</v>
      </c>
      <c r="C505" s="223" t="str">
        <f>(IF((VLOOKUP(Table10[[#This Row],[SKU]],'All Skus'!$A:$AC,2,FALSE))="Martin",(VLOOKUP(Table10[[#This Row],[SKU]],'All Skus'!$A:$AC,4,FALSE)),""))</f>
        <v xml:space="preserve">MAC Aura XB White in cardboard </v>
      </c>
      <c r="D505" s="224" t="str">
        <f>(IF((VLOOKUP(Table10[[#This Row],[SKU]],'All Skus'!$A:$AC,2,FALSE))="Martin",(VLOOKUP(Table10[[#This Row],[SKU]],'All Skus'!$A:$AC,5,FALSE)),""))</f>
        <v>MSL-AURA</v>
      </c>
      <c r="E505" s="223">
        <f>(IF((VLOOKUP(Table10[[#This Row],[SKU]],'All Skus'!$A:$AC,2,FALSE))="Martin",(VLOOKUP(Table10[[#This Row],[SKU]],'All Skus'!$A:$AC,6,FALSE)),""))</f>
        <v>0</v>
      </c>
      <c r="F505" s="155">
        <f>(IF((VLOOKUP(Table10[[#This Row],[SKU]],'All Skus'!$A:$AC,2,FALSE))="Martin",(VLOOKUP(Table10[[#This Row],[SKU]],'All Skus'!$A:$AC,7,FALSE)),""))</f>
        <v>0</v>
      </c>
      <c r="G505" s="223" t="str">
        <f>(IF((VLOOKUP(Table10[[#This Row],[SKU]],'All Skus'!$A:$AC,2,FALSE))="Martin",(VLOOKUP(Table10[[#This Row],[SKU]],'All Skus'!$A:$AC,8,FALSE)),""))</f>
        <v xml:space="preserve">MAC Aura XB White in cardboard </v>
      </c>
      <c r="H505" s="223" t="str">
        <f>(IF((VLOOKUP(Table10[[#This Row],[SKU]],'All Skus'!$A:$AC,2,FALSE))="Martin",(VLOOKUP(Table10[[#This Row],[SKU]],'All Skus'!$A:$AC,9,FALSE)),""))</f>
        <v xml:space="preserve">MAC Aura XB White in cardboard </v>
      </c>
      <c r="I505" s="225">
        <f>(IF((VLOOKUP(Table10[[#This Row],[SKU]],'All Skus'!$A:$AC,2,FALSE))="Martin",(VLOOKUP(Table10[[#This Row],[SKU]],'All Skus'!$A:$AC,10,FALSE)),""))</f>
        <v>4995.5</v>
      </c>
      <c r="J505" s="226">
        <f>(IF((VLOOKUP(Table10[[#This Row],[SKU]],'All Skus'!$A:$AC,2,FALSE))="Martin",(VLOOKUP(Table10[[#This Row],[SKU]],'All Skus'!$A:$AC,11,FALSE)),""))</f>
        <v>4995.5</v>
      </c>
      <c r="K505" s="224">
        <f>(IF((VLOOKUP(Table10[[#This Row],[SKU]],'All Skus'!$A:$AC,2,FALSE))="Martin",(VLOOKUP(Table10[[#This Row],[SKU]],'All Skus'!$A:$AC,15,FALSE)),""))</f>
        <v>0</v>
      </c>
      <c r="L505" s="224">
        <f>(IF((VLOOKUP(Table10[[#This Row],[SKU]],'All Skus'!$A:$AC,2,FALSE))="Martin",(VLOOKUP(Table10[[#This Row],[SKU]],'All Skus'!$A:$AC,16,FALSE)),""))</f>
        <v>0</v>
      </c>
      <c r="M505" s="224">
        <f>(IF((VLOOKUP(Table10[[#This Row],[SKU]],'All Skus'!$A:$AC,2,FALSE))="Martin",(VLOOKUP(Table10[[#This Row],[SKU]],'All Skus'!$A:$AC,17,FALSE)),""))</f>
        <v>0</v>
      </c>
      <c r="N505" s="227">
        <f>(IF((VLOOKUP(Table10[[#This Row],[SKU]],'All Skus'!$A:$AC,2,FALSE))="Martin",(VLOOKUP(Table10[[#This Row],[SKU]],'All Skus'!$A:$AC,18,FALSE)),""))</f>
        <v>0</v>
      </c>
      <c r="O505" s="227">
        <f>(IF((VLOOKUP(Table10[[#This Row],[SKU]],'All Skus'!$A:$AC,2,FALSE))="Martin",(VLOOKUP(Table10[[#This Row],[SKU]],'All Skus'!$A:$AC,19,FALSE)),""))</f>
        <v>0</v>
      </c>
      <c r="P505" s="227">
        <f>(IF((VLOOKUP(Table10[[#This Row],[SKU]],'All Skus'!$A:$AC,2,FALSE))="Martin",(VLOOKUP(Table10[[#This Row],[SKU]],'All Skus'!$A:$AC,20,FALSE)),""))</f>
        <v>0</v>
      </c>
      <c r="Q505" s="227">
        <f>(IF((VLOOKUP(Table10[[#This Row],[SKU]],'All Skus'!$A:$AC,2,FALSE))="Martin",(VLOOKUP(Table10[[#This Row],[SKU]],'All Skus'!$A:$AC,21,FALSE)),""))</f>
        <v>0</v>
      </c>
      <c r="R505" s="224" t="str">
        <f>(IF((VLOOKUP(Table10[[#This Row],[SKU]],'All Skus'!$A:$AC,2,FALSE))="Martin",(VLOOKUP(Table10[[#This Row],[SKU]],'All Skus'!$A:$AC,22,FALSE)),""))</f>
        <v>HU</v>
      </c>
      <c r="S505" s="223">
        <f>(IF((VLOOKUP(Table10[[#This Row],[SKU]],'All Skus'!$A:$AC,2,FALSE))="Martin",(VLOOKUP(Table10[[#This Row],[SKU]],'All Skus'!$A:$AC,23,FALSE)),""))</f>
        <v>0</v>
      </c>
      <c r="T505" s="212" t="str">
        <f>HYPERLINK((IF((VLOOKUP(Table10[[#This Row],[SKU]],'All Skus'!$A:$AC,2,FALSE))="Martin",(VLOOKUP(Table10[[#This Row],[SKU]],'All Skus'!$A:$AC,24,FALSE)),"")))</f>
        <v>http://www.martin.com/en-us/product-details/mac-aura-xb</v>
      </c>
      <c r="U505" s="228">
        <v>503</v>
      </c>
    </row>
    <row r="506" spans="1:21" hidden="1">
      <c r="A506" s="112" t="s">
        <v>2181</v>
      </c>
      <c r="B506" s="224" t="str">
        <f>(IF((VLOOKUP(Table10[[#This Row],[SKU]],'All Skus'!$A:$AC,2,FALSE))="Martin",(VLOOKUP(Table10[[#This Row],[SKU]],'All Skus'!$A:$AC,3,FALSE)),""))</f>
        <v>LED</v>
      </c>
      <c r="C506" s="223" t="str">
        <f>(IF((VLOOKUP(Table10[[#This Row],[SKU]],'All Skus'!$A:$AC,2,FALSE))="Martin",(VLOOKUP(Table10[[#This Row],[SKU]],'All Skus'!$A:$AC,4,FALSE)),""))</f>
        <v xml:space="preserve">MAC Aura XB in 6-unit flightcase </v>
      </c>
      <c r="D506" s="224" t="str">
        <f>(IF((VLOOKUP(Table10[[#This Row],[SKU]],'All Skus'!$A:$AC,2,FALSE))="Martin",(VLOOKUP(Table10[[#This Row],[SKU]],'All Skus'!$A:$AC,5,FALSE)),""))</f>
        <v>MSL-AURA</v>
      </c>
      <c r="E506" s="223">
        <f>(IF((VLOOKUP(Table10[[#This Row],[SKU]],'All Skus'!$A:$AC,2,FALSE))="Martin",(VLOOKUP(Table10[[#This Row],[SKU]],'All Skus'!$A:$AC,6,FALSE)),""))</f>
        <v>0</v>
      </c>
      <c r="F506" s="155">
        <f>(IF((VLOOKUP(Table10[[#This Row],[SKU]],'All Skus'!$A:$AC,2,FALSE))="Martin",(VLOOKUP(Table10[[#This Row],[SKU]],'All Skus'!$A:$AC,7,FALSE)),""))</f>
        <v>0</v>
      </c>
      <c r="G506" s="223" t="str">
        <f>(IF((VLOOKUP(Table10[[#This Row],[SKU]],'All Skus'!$A:$AC,2,FALSE))="Martin",(VLOOKUP(Table10[[#This Row],[SKU]],'All Skus'!$A:$AC,8,FALSE)),""))</f>
        <v xml:space="preserve">MAC Aura XB in 6-unit flightcase </v>
      </c>
      <c r="H506" s="223" t="str">
        <f>(IF((VLOOKUP(Table10[[#This Row],[SKU]],'All Skus'!$A:$AC,2,FALSE))="Martin",(VLOOKUP(Table10[[#This Row],[SKU]],'All Skus'!$A:$AC,9,FALSE)),""))</f>
        <v xml:space="preserve">MAC Aura XB in 6-unit flightcase </v>
      </c>
      <c r="I506" s="225">
        <f>(IF((VLOOKUP(Table10[[#This Row],[SKU]],'All Skus'!$A:$AC,2,FALSE))="Martin",(VLOOKUP(Table10[[#This Row],[SKU]],'All Skus'!$A:$AC,10,FALSE)),""))</f>
        <v>4789.5</v>
      </c>
      <c r="J506" s="226">
        <f>(IF((VLOOKUP(Table10[[#This Row],[SKU]],'All Skus'!$A:$AC,2,FALSE))="Martin",(VLOOKUP(Table10[[#This Row],[SKU]],'All Skus'!$A:$AC,11,FALSE)),""))</f>
        <v>4789.5</v>
      </c>
      <c r="K506" s="224">
        <f>(IF((VLOOKUP(Table10[[#This Row],[SKU]],'All Skus'!$A:$AC,2,FALSE))="Martin",(VLOOKUP(Table10[[#This Row],[SKU]],'All Skus'!$A:$AC,15,FALSE)),""))</f>
        <v>0</v>
      </c>
      <c r="L506" s="224">
        <f>(IF((VLOOKUP(Table10[[#This Row],[SKU]],'All Skus'!$A:$AC,2,FALSE))="Martin",(VLOOKUP(Table10[[#This Row],[SKU]],'All Skus'!$A:$AC,16,FALSE)),""))</f>
        <v>0</v>
      </c>
      <c r="M506" s="224">
        <f>(IF((VLOOKUP(Table10[[#This Row],[SKU]],'All Skus'!$A:$AC,2,FALSE))="Martin",(VLOOKUP(Table10[[#This Row],[SKU]],'All Skus'!$A:$AC,17,FALSE)),""))</f>
        <v>0</v>
      </c>
      <c r="N506" s="227">
        <f>(IF((VLOOKUP(Table10[[#This Row],[SKU]],'All Skus'!$A:$AC,2,FALSE))="Martin",(VLOOKUP(Table10[[#This Row],[SKU]],'All Skus'!$A:$AC,18,FALSE)),""))</f>
        <v>0</v>
      </c>
      <c r="O506" s="227">
        <f>(IF((VLOOKUP(Table10[[#This Row],[SKU]],'All Skus'!$A:$AC,2,FALSE))="Martin",(VLOOKUP(Table10[[#This Row],[SKU]],'All Skus'!$A:$AC,19,FALSE)),""))</f>
        <v>0</v>
      </c>
      <c r="P506" s="227">
        <f>(IF((VLOOKUP(Table10[[#This Row],[SKU]],'All Skus'!$A:$AC,2,FALSE))="Martin",(VLOOKUP(Table10[[#This Row],[SKU]],'All Skus'!$A:$AC,20,FALSE)),""))</f>
        <v>0</v>
      </c>
      <c r="Q506" s="227">
        <f>(IF((VLOOKUP(Table10[[#This Row],[SKU]],'All Skus'!$A:$AC,2,FALSE))="Martin",(VLOOKUP(Table10[[#This Row],[SKU]],'All Skus'!$A:$AC,21,FALSE)),""))</f>
        <v>0</v>
      </c>
      <c r="R506" s="224" t="str">
        <f>(IF((VLOOKUP(Table10[[#This Row],[SKU]],'All Skus'!$A:$AC,2,FALSE))="Martin",(VLOOKUP(Table10[[#This Row],[SKU]],'All Skus'!$A:$AC,22,FALSE)),""))</f>
        <v>HU</v>
      </c>
      <c r="S506" s="223">
        <f>(IF((VLOOKUP(Table10[[#This Row],[SKU]],'All Skus'!$A:$AC,2,FALSE))="Martin",(VLOOKUP(Table10[[#This Row],[SKU]],'All Skus'!$A:$AC,23,FALSE)),""))</f>
        <v>0</v>
      </c>
      <c r="T506" s="212" t="str">
        <f>HYPERLINK((IF((VLOOKUP(Table10[[#This Row],[SKU]],'All Skus'!$A:$AC,2,FALSE))="Martin",(VLOOKUP(Table10[[#This Row],[SKU]],'All Skus'!$A:$AC,24,FALSE)),"")))</f>
        <v>http://www.martin.com/en-us/product-details/mac-aura-xb</v>
      </c>
      <c r="U506" s="228">
        <v>504</v>
      </c>
    </row>
    <row r="507" spans="1:21" hidden="1">
      <c r="A507" s="115" t="s">
        <v>2182</v>
      </c>
      <c r="B507" s="224">
        <f>(IF((VLOOKUP(Table10[[#This Row],[SKU]],'All Skus'!$A:$AC,2,FALSE))="Martin",(VLOOKUP(Table10[[#This Row],[SKU]],'All Skus'!$A:$AC,3,FALSE)),""))</f>
        <v>0</v>
      </c>
      <c r="C507" s="223">
        <f>(IF((VLOOKUP(Table10[[#This Row],[SKU]],'All Skus'!$A:$AC,2,FALSE))="Martin",(VLOOKUP(Table10[[#This Row],[SKU]],'All Skus'!$A:$AC,4,FALSE)),""))</f>
        <v>0</v>
      </c>
      <c r="D507" s="224">
        <f>(IF((VLOOKUP(Table10[[#This Row],[SKU]],'All Skus'!$A:$AC,2,FALSE))="Martin",(VLOOKUP(Table10[[#This Row],[SKU]],'All Skus'!$A:$AC,5,FALSE)),""))</f>
        <v>0</v>
      </c>
      <c r="E507" s="223">
        <f>(IF((VLOOKUP(Table10[[#This Row],[SKU]],'All Skus'!$A:$AC,2,FALSE))="Martin",(VLOOKUP(Table10[[#This Row],[SKU]],'All Skus'!$A:$AC,6,FALSE)),""))</f>
        <v>0</v>
      </c>
      <c r="F507" s="155">
        <f>(IF((VLOOKUP(Table10[[#This Row],[SKU]],'All Skus'!$A:$AC,2,FALSE))="Martin",(VLOOKUP(Table10[[#This Row],[SKU]],'All Skus'!$A:$AC,7,FALSE)),""))</f>
        <v>0</v>
      </c>
      <c r="G507" s="223">
        <f>(IF((VLOOKUP(Table10[[#This Row],[SKU]],'All Skus'!$A:$AC,2,FALSE))="Martin",(VLOOKUP(Table10[[#This Row],[SKU]],'All Skus'!$A:$AC,8,FALSE)),""))</f>
        <v>0</v>
      </c>
      <c r="H507" s="223">
        <f>(IF((VLOOKUP(Table10[[#This Row],[SKU]],'All Skus'!$A:$AC,2,FALSE))="Martin",(VLOOKUP(Table10[[#This Row],[SKU]],'All Skus'!$A:$AC,9,FALSE)),""))</f>
        <v>0</v>
      </c>
      <c r="I507" s="225">
        <f>(IF((VLOOKUP(Table10[[#This Row],[SKU]],'All Skus'!$A:$AC,2,FALSE))="Martin",(VLOOKUP(Table10[[#This Row],[SKU]],'All Skus'!$A:$AC,10,FALSE)),""))</f>
        <v>0</v>
      </c>
      <c r="J507" s="226">
        <f>(IF((VLOOKUP(Table10[[#This Row],[SKU]],'All Skus'!$A:$AC,2,FALSE))="Martin",(VLOOKUP(Table10[[#This Row],[SKU]],'All Skus'!$A:$AC,11,FALSE)),""))</f>
        <v>0</v>
      </c>
      <c r="K507" s="224">
        <f>(IF((VLOOKUP(Table10[[#This Row],[SKU]],'All Skus'!$A:$AC,2,FALSE))="Martin",(VLOOKUP(Table10[[#This Row],[SKU]],'All Skus'!$A:$AC,15,FALSE)),""))</f>
        <v>0</v>
      </c>
      <c r="L507" s="224">
        <f>(IF((VLOOKUP(Table10[[#This Row],[SKU]],'All Skus'!$A:$AC,2,FALSE))="Martin",(VLOOKUP(Table10[[#This Row],[SKU]],'All Skus'!$A:$AC,16,FALSE)),""))</f>
        <v>0</v>
      </c>
      <c r="M507" s="224">
        <f>(IF((VLOOKUP(Table10[[#This Row],[SKU]],'All Skus'!$A:$AC,2,FALSE))="Martin",(VLOOKUP(Table10[[#This Row],[SKU]],'All Skus'!$A:$AC,17,FALSE)),""))</f>
        <v>0</v>
      </c>
      <c r="N507" s="227">
        <f>(IF((VLOOKUP(Table10[[#This Row],[SKU]],'All Skus'!$A:$AC,2,FALSE))="Martin",(VLOOKUP(Table10[[#This Row],[SKU]],'All Skus'!$A:$AC,18,FALSE)),""))</f>
        <v>0</v>
      </c>
      <c r="O507" s="227">
        <f>(IF((VLOOKUP(Table10[[#This Row],[SKU]],'All Skus'!$A:$AC,2,FALSE))="Martin",(VLOOKUP(Table10[[#This Row],[SKU]],'All Skus'!$A:$AC,19,FALSE)),""))</f>
        <v>0</v>
      </c>
      <c r="P507" s="227">
        <f>(IF((VLOOKUP(Table10[[#This Row],[SKU]],'All Skus'!$A:$AC,2,FALSE))="Martin",(VLOOKUP(Table10[[#This Row],[SKU]],'All Skus'!$A:$AC,20,FALSE)),""))</f>
        <v>0</v>
      </c>
      <c r="Q507" s="227">
        <f>(IF((VLOOKUP(Table10[[#This Row],[SKU]],'All Skus'!$A:$AC,2,FALSE))="Martin",(VLOOKUP(Table10[[#This Row],[SKU]],'All Skus'!$A:$AC,21,FALSE)),""))</f>
        <v>0</v>
      </c>
      <c r="R507" s="224">
        <f>(IF((VLOOKUP(Table10[[#This Row],[SKU]],'All Skus'!$A:$AC,2,FALSE))="Martin",(VLOOKUP(Table10[[#This Row],[SKU]],'All Skus'!$A:$AC,22,FALSE)),""))</f>
        <v>0</v>
      </c>
      <c r="S507" s="223">
        <f>(IF((VLOOKUP(Table10[[#This Row],[SKU]],'All Skus'!$A:$AC,2,FALSE))="Martin",(VLOOKUP(Table10[[#This Row],[SKU]],'All Skus'!$A:$AC,23,FALSE)),""))</f>
        <v>0</v>
      </c>
      <c r="T507" s="212" t="str">
        <f>HYPERLINK((IF((VLOOKUP(Table10[[#This Row],[SKU]],'All Skus'!$A:$AC,2,FALSE))="Martin",(VLOOKUP(Table10[[#This Row],[SKU]],'All Skus'!$A:$AC,24,FALSE)),"")))</f>
        <v/>
      </c>
      <c r="U507" s="228">
        <v>505</v>
      </c>
    </row>
    <row r="508" spans="1:21" hidden="1">
      <c r="A508" s="114" t="s">
        <v>2183</v>
      </c>
      <c r="B508" s="224" t="str">
        <f>(IF((VLOOKUP(Table10[[#This Row],[SKU]],'All Skus'!$A:$AC,2,FALSE))="Martin",(VLOOKUP(Table10[[#This Row],[SKU]],'All Skus'!$A:$AC,3,FALSE)),""))</f>
        <v>LED</v>
      </c>
      <c r="C508" s="223" t="str">
        <f>(IF((VLOOKUP(Table10[[#This Row],[SKU]],'All Skus'!$A:$AC,2,FALSE))="Martin",(VLOOKUP(Table10[[#This Row],[SKU]],'All Skus'!$A:$AC,4,FALSE)),""))</f>
        <v>MAC Aura/XB Softlens</v>
      </c>
      <c r="D508" s="224" t="str">
        <f>(IF((VLOOKUP(Table10[[#This Row],[SKU]],'All Skus'!$A:$AC,2,FALSE))="Martin",(VLOOKUP(Table10[[#This Row],[SKU]],'All Skus'!$A:$AC,5,FALSE)),""))</f>
        <v>MSL-AURA</v>
      </c>
      <c r="E508" s="223">
        <f>(IF((VLOOKUP(Table10[[#This Row],[SKU]],'All Skus'!$A:$AC,2,FALSE))="Martin",(VLOOKUP(Table10[[#This Row],[SKU]],'All Skus'!$A:$AC,6,FALSE)),""))</f>
        <v>0</v>
      </c>
      <c r="F508" s="155">
        <f>(IF((VLOOKUP(Table10[[#This Row],[SKU]],'All Skus'!$A:$AC,2,FALSE))="Martin",(VLOOKUP(Table10[[#This Row],[SKU]],'All Skus'!$A:$AC,7,FALSE)),""))</f>
        <v>0</v>
      </c>
      <c r="G508" s="223" t="str">
        <f>(IF((VLOOKUP(Table10[[#This Row],[SKU]],'All Skus'!$A:$AC,2,FALSE))="Martin",(VLOOKUP(Table10[[#This Row],[SKU]],'All Skus'!$A:$AC,8,FALSE)),""))</f>
        <v>MAC Aura/XB Softlens</v>
      </c>
      <c r="H508" s="223" t="str">
        <f>(IF((VLOOKUP(Table10[[#This Row],[SKU]],'All Skus'!$A:$AC,2,FALSE))="Martin",(VLOOKUP(Table10[[#This Row],[SKU]],'All Skus'!$A:$AC,9,FALSE)),""))</f>
        <v>MAC Aura/XB Softlens</v>
      </c>
      <c r="I508" s="225">
        <f>(IF((VLOOKUP(Table10[[#This Row],[SKU]],'All Skus'!$A:$AC,2,FALSE))="Martin",(VLOOKUP(Table10[[#This Row],[SKU]],'All Skus'!$A:$AC,10,FALSE)),""))</f>
        <v>148.16999999999999</v>
      </c>
      <c r="J508" s="226">
        <f>(IF((VLOOKUP(Table10[[#This Row],[SKU]],'All Skus'!$A:$AC,2,FALSE))="Martin",(VLOOKUP(Table10[[#This Row],[SKU]],'All Skus'!$A:$AC,11,FALSE)),""))</f>
        <v>148.16999999999999</v>
      </c>
      <c r="K508" s="224">
        <f>(IF((VLOOKUP(Table10[[#This Row],[SKU]],'All Skus'!$A:$AC,2,FALSE))="Martin",(VLOOKUP(Table10[[#This Row],[SKU]],'All Skus'!$A:$AC,15,FALSE)),""))</f>
        <v>0</v>
      </c>
      <c r="L508" s="224">
        <f>(IF((VLOOKUP(Table10[[#This Row],[SKU]],'All Skus'!$A:$AC,2,FALSE))="Martin",(VLOOKUP(Table10[[#This Row],[SKU]],'All Skus'!$A:$AC,16,FALSE)),""))</f>
        <v>0</v>
      </c>
      <c r="M508" s="224">
        <f>(IF((VLOOKUP(Table10[[#This Row],[SKU]],'All Skus'!$A:$AC,2,FALSE))="Martin",(VLOOKUP(Table10[[#This Row],[SKU]],'All Skus'!$A:$AC,17,FALSE)),""))</f>
        <v>0</v>
      </c>
      <c r="N508" s="227">
        <f>(IF((VLOOKUP(Table10[[#This Row],[SKU]],'All Skus'!$A:$AC,2,FALSE))="Martin",(VLOOKUP(Table10[[#This Row],[SKU]],'All Skus'!$A:$AC,18,FALSE)),""))</f>
        <v>0</v>
      </c>
      <c r="O508" s="227">
        <f>(IF((VLOOKUP(Table10[[#This Row],[SKU]],'All Skus'!$A:$AC,2,FALSE))="Martin",(VLOOKUP(Table10[[#This Row],[SKU]],'All Skus'!$A:$AC,19,FALSE)),""))</f>
        <v>0</v>
      </c>
      <c r="P508" s="227">
        <f>(IF((VLOOKUP(Table10[[#This Row],[SKU]],'All Skus'!$A:$AC,2,FALSE))="Martin",(VLOOKUP(Table10[[#This Row],[SKU]],'All Skus'!$A:$AC,20,FALSE)),""))</f>
        <v>0</v>
      </c>
      <c r="Q508" s="227">
        <f>(IF((VLOOKUP(Table10[[#This Row],[SKU]],'All Skus'!$A:$AC,2,FALSE))="Martin",(VLOOKUP(Table10[[#This Row],[SKU]],'All Skus'!$A:$AC,21,FALSE)),""))</f>
        <v>0</v>
      </c>
      <c r="R508" s="224" t="str">
        <f>(IF((VLOOKUP(Table10[[#This Row],[SKU]],'All Skus'!$A:$AC,2,FALSE))="Martin",(VLOOKUP(Table10[[#This Row],[SKU]],'All Skus'!$A:$AC,22,FALSE)),""))</f>
        <v>HU</v>
      </c>
      <c r="S508" s="223">
        <f>(IF((VLOOKUP(Table10[[#This Row],[SKU]],'All Skus'!$A:$AC,2,FALSE))="Martin",(VLOOKUP(Table10[[#This Row],[SKU]],'All Skus'!$A:$AC,23,FALSE)),""))</f>
        <v>0</v>
      </c>
      <c r="T508" s="212" t="str">
        <f>HYPERLINK((IF((VLOOKUP(Table10[[#This Row],[SKU]],'All Skus'!$A:$AC,2,FALSE))="Martin",(VLOOKUP(Table10[[#This Row],[SKU]],'All Skus'!$A:$AC,24,FALSE)),"")))</f>
        <v>http://www.martin.com/en-us/product-details/mac-aura-xb</v>
      </c>
      <c r="U508" s="228">
        <v>506</v>
      </c>
    </row>
    <row r="509" spans="1:21" hidden="1">
      <c r="A509" s="114" t="s">
        <v>2184</v>
      </c>
      <c r="B509" s="224" t="str">
        <f>(IF((VLOOKUP(Table10[[#This Row],[SKU]],'All Skus'!$A:$AC,2,FALSE))="Martin",(VLOOKUP(Table10[[#This Row],[SKU]],'All Skus'!$A:$AC,3,FALSE)),""))</f>
        <v>LED</v>
      </c>
      <c r="C509" s="223" t="str">
        <f>(IF((VLOOKUP(Table10[[#This Row],[SKU]],'All Skus'!$A:$AC,2,FALSE))="Martin",(VLOOKUP(Table10[[#This Row],[SKU]],'All Skus'!$A:$AC,4,FALSE)),""))</f>
        <v xml:space="preserve">MAC Aura XB Installation bracket (5 pcs) </v>
      </c>
      <c r="D509" s="224" t="str">
        <f>(IF((VLOOKUP(Table10[[#This Row],[SKU]],'All Skus'!$A:$AC,2,FALSE))="Martin",(VLOOKUP(Table10[[#This Row],[SKU]],'All Skus'!$A:$AC,5,FALSE)),""))</f>
        <v>MSL-AURA</v>
      </c>
      <c r="E509" s="223">
        <f>(IF((VLOOKUP(Table10[[#This Row],[SKU]],'All Skus'!$A:$AC,2,FALSE))="Martin",(VLOOKUP(Table10[[#This Row],[SKU]],'All Skus'!$A:$AC,6,FALSE)),""))</f>
        <v>0</v>
      </c>
      <c r="F509" s="155">
        <f>(IF((VLOOKUP(Table10[[#This Row],[SKU]],'All Skus'!$A:$AC,2,FALSE))="Martin",(VLOOKUP(Table10[[#This Row],[SKU]],'All Skus'!$A:$AC,7,FALSE)),""))</f>
        <v>0</v>
      </c>
      <c r="G509" s="223" t="str">
        <f>(IF((VLOOKUP(Table10[[#This Row],[SKU]],'All Skus'!$A:$AC,2,FALSE))="Martin",(VLOOKUP(Table10[[#This Row],[SKU]],'All Skus'!$A:$AC,8,FALSE)),""))</f>
        <v xml:space="preserve">MAC Aura XB Installation bracket (5 pcs) </v>
      </c>
      <c r="H509" s="223" t="str">
        <f>(IF((VLOOKUP(Table10[[#This Row],[SKU]],'All Skus'!$A:$AC,2,FALSE))="Martin",(VLOOKUP(Table10[[#This Row],[SKU]],'All Skus'!$A:$AC,9,FALSE)),""))</f>
        <v xml:space="preserve">MAC Aura XB Installation bracket (5 pcs) </v>
      </c>
      <c r="I509" s="225">
        <f>(IF((VLOOKUP(Table10[[#This Row],[SKU]],'All Skus'!$A:$AC,2,FALSE))="Martin",(VLOOKUP(Table10[[#This Row],[SKU]],'All Skus'!$A:$AC,10,FALSE)),""))</f>
        <v>238.31</v>
      </c>
      <c r="J509" s="226">
        <f>(IF((VLOOKUP(Table10[[#This Row],[SKU]],'All Skus'!$A:$AC,2,FALSE))="Martin",(VLOOKUP(Table10[[#This Row],[SKU]],'All Skus'!$A:$AC,11,FALSE)),""))</f>
        <v>238.31</v>
      </c>
      <c r="K509" s="224">
        <f>(IF((VLOOKUP(Table10[[#This Row],[SKU]],'All Skus'!$A:$AC,2,FALSE))="Martin",(VLOOKUP(Table10[[#This Row],[SKU]],'All Skus'!$A:$AC,15,FALSE)),""))</f>
        <v>0</v>
      </c>
      <c r="L509" s="224">
        <f>(IF((VLOOKUP(Table10[[#This Row],[SKU]],'All Skus'!$A:$AC,2,FALSE))="Martin",(VLOOKUP(Table10[[#This Row],[SKU]],'All Skus'!$A:$AC,16,FALSE)),""))</f>
        <v>0</v>
      </c>
      <c r="M509" s="224">
        <f>(IF((VLOOKUP(Table10[[#This Row],[SKU]],'All Skus'!$A:$AC,2,FALSE))="Martin",(VLOOKUP(Table10[[#This Row],[SKU]],'All Skus'!$A:$AC,17,FALSE)),""))</f>
        <v>0</v>
      </c>
      <c r="N509" s="227">
        <f>(IF((VLOOKUP(Table10[[#This Row],[SKU]],'All Skus'!$A:$AC,2,FALSE))="Martin",(VLOOKUP(Table10[[#This Row],[SKU]],'All Skus'!$A:$AC,18,FALSE)),""))</f>
        <v>0</v>
      </c>
      <c r="O509" s="227">
        <f>(IF((VLOOKUP(Table10[[#This Row],[SKU]],'All Skus'!$A:$AC,2,FALSE))="Martin",(VLOOKUP(Table10[[#This Row],[SKU]],'All Skus'!$A:$AC,19,FALSE)),""))</f>
        <v>0</v>
      </c>
      <c r="P509" s="227">
        <f>(IF((VLOOKUP(Table10[[#This Row],[SKU]],'All Skus'!$A:$AC,2,FALSE))="Martin",(VLOOKUP(Table10[[#This Row],[SKU]],'All Skus'!$A:$AC,20,FALSE)),""))</f>
        <v>0</v>
      </c>
      <c r="Q509" s="227">
        <f>(IF((VLOOKUP(Table10[[#This Row],[SKU]],'All Skus'!$A:$AC,2,FALSE))="Martin",(VLOOKUP(Table10[[#This Row],[SKU]],'All Skus'!$A:$AC,21,FALSE)),""))</f>
        <v>0</v>
      </c>
      <c r="R509" s="224" t="str">
        <f>(IF((VLOOKUP(Table10[[#This Row],[SKU]],'All Skus'!$A:$AC,2,FALSE))="Martin",(VLOOKUP(Table10[[#This Row],[SKU]],'All Skus'!$A:$AC,22,FALSE)),""))</f>
        <v>HU</v>
      </c>
      <c r="S509" s="223">
        <f>(IF((VLOOKUP(Table10[[#This Row],[SKU]],'All Skus'!$A:$AC,2,FALSE))="Martin",(VLOOKUP(Table10[[#This Row],[SKU]],'All Skus'!$A:$AC,23,FALSE)),""))</f>
        <v>0</v>
      </c>
      <c r="T509" s="212" t="str">
        <f>HYPERLINK((IF((VLOOKUP(Table10[[#This Row],[SKU]],'All Skus'!$A:$AC,2,FALSE))="Martin",(VLOOKUP(Table10[[#This Row],[SKU]],'All Skus'!$A:$AC,24,FALSE)),"")))</f>
        <v>http://www.martin.com/en-us/product-details/mac-aura-xb</v>
      </c>
      <c r="U509" s="228">
        <v>507</v>
      </c>
    </row>
    <row r="510" spans="1:21" hidden="1">
      <c r="A510" s="114">
        <v>91515020</v>
      </c>
      <c r="B510" s="224" t="str">
        <f>(IF((VLOOKUP(Table10[[#This Row],[SKU]],'All Skus'!$A:$AC,2,FALSE))="Martin",(VLOOKUP(Table10[[#This Row],[SKU]],'All Skus'!$A:$AC,3,FALSE)),""))</f>
        <v>LED</v>
      </c>
      <c r="C510" s="223" t="str">
        <f>(IF((VLOOKUP(Table10[[#This Row],[SKU]],'All Skus'!$A:$AC,2,FALSE))="Martin",(VLOOKUP(Table10[[#This Row],[SKU]],'All Skus'!$A:$AC,4,FALSE)),""))</f>
        <v>Flightcase for 6 x MAC Aura / MAC Aura XB</v>
      </c>
      <c r="D510" s="224" t="str">
        <f>(IF((VLOOKUP(Table10[[#This Row],[SKU]],'All Skus'!$A:$AC,2,FALSE))="Martin",(VLOOKUP(Table10[[#This Row],[SKU]],'All Skus'!$A:$AC,5,FALSE)),""))</f>
        <v>MSL-AURA</v>
      </c>
      <c r="E510" s="223">
        <f>(IF((VLOOKUP(Table10[[#This Row],[SKU]],'All Skus'!$A:$AC,2,FALSE))="Martin",(VLOOKUP(Table10[[#This Row],[SKU]],'All Skus'!$A:$AC,6,FALSE)),""))</f>
        <v>0</v>
      </c>
      <c r="F510" s="155">
        <f>(IF((VLOOKUP(Table10[[#This Row],[SKU]],'All Skus'!$A:$AC,2,FALSE))="Martin",(VLOOKUP(Table10[[#This Row],[SKU]],'All Skus'!$A:$AC,7,FALSE)),""))</f>
        <v>0</v>
      </c>
      <c r="G510" s="223" t="str">
        <f>(IF((VLOOKUP(Table10[[#This Row],[SKU]],'All Skus'!$A:$AC,2,FALSE))="Martin",(VLOOKUP(Table10[[#This Row],[SKU]],'All Skus'!$A:$AC,8,FALSE)),""))</f>
        <v>Flightcase for 6 x MAC Aura / MAC Aura XB</v>
      </c>
      <c r="H510" s="223" t="str">
        <f>(IF((VLOOKUP(Table10[[#This Row],[SKU]],'All Skus'!$A:$AC,2,FALSE))="Martin",(VLOOKUP(Table10[[#This Row],[SKU]],'All Skus'!$A:$AC,9,FALSE)),""))</f>
        <v>Flightcase for 6 x MAC Aura / MAC Aura XB</v>
      </c>
      <c r="I510" s="225">
        <f>(IF((VLOOKUP(Table10[[#This Row],[SKU]],'All Skus'!$A:$AC,2,FALSE))="Martin",(VLOOKUP(Table10[[#This Row],[SKU]],'All Skus'!$A:$AC,10,FALSE)),""))</f>
        <v>2593</v>
      </c>
      <c r="J510" s="226">
        <f>(IF((VLOOKUP(Table10[[#This Row],[SKU]],'All Skus'!$A:$AC,2,FALSE))="Martin",(VLOOKUP(Table10[[#This Row],[SKU]],'All Skus'!$A:$AC,11,FALSE)),""))</f>
        <v>2593</v>
      </c>
      <c r="K510" s="224">
        <f>(IF((VLOOKUP(Table10[[#This Row],[SKU]],'All Skus'!$A:$AC,2,FALSE))="Martin",(VLOOKUP(Table10[[#This Row],[SKU]],'All Skus'!$A:$AC,15,FALSE)),""))</f>
        <v>0</v>
      </c>
      <c r="L510" s="224">
        <f>(IF((VLOOKUP(Table10[[#This Row],[SKU]],'All Skus'!$A:$AC,2,FALSE))="Martin",(VLOOKUP(Table10[[#This Row],[SKU]],'All Skus'!$A:$AC,16,FALSE)),""))</f>
        <v>5706681212101</v>
      </c>
      <c r="M510" s="224">
        <f>(IF((VLOOKUP(Table10[[#This Row],[SKU]],'All Skus'!$A:$AC,2,FALSE))="Martin",(VLOOKUP(Table10[[#This Row],[SKU]],'All Skus'!$A:$AC,17,FALSE)),""))</f>
        <v>0</v>
      </c>
      <c r="N510" s="227">
        <f>(IF((VLOOKUP(Table10[[#This Row],[SKU]],'All Skus'!$A:$AC,2,FALSE))="Martin",(VLOOKUP(Table10[[#This Row],[SKU]],'All Skus'!$A:$AC,18,FALSE)),""))</f>
        <v>22.834658000000001</v>
      </c>
      <c r="O510" s="227">
        <f>(IF((VLOOKUP(Table10[[#This Row],[SKU]],'All Skus'!$A:$AC,2,FALSE))="Martin",(VLOOKUP(Table10[[#This Row],[SKU]],'All Skus'!$A:$AC,19,FALSE)),""))</f>
        <v>47.244120000000002</v>
      </c>
      <c r="P510" s="227">
        <f>(IF((VLOOKUP(Table10[[#This Row],[SKU]],'All Skus'!$A:$AC,2,FALSE))="Martin",(VLOOKUP(Table10[[#This Row],[SKU]],'All Skus'!$A:$AC,20,FALSE)),""))</f>
        <v>0</v>
      </c>
      <c r="Q510" s="227">
        <f>(IF((VLOOKUP(Table10[[#This Row],[SKU]],'All Skus'!$A:$AC,2,FALSE))="Martin",(VLOOKUP(Table10[[#This Row],[SKU]],'All Skus'!$A:$AC,21,FALSE)),""))</f>
        <v>0</v>
      </c>
      <c r="R510" s="224" t="str">
        <f>(IF((VLOOKUP(Table10[[#This Row],[SKU]],'All Skus'!$A:$AC,2,FALSE))="Martin",(VLOOKUP(Table10[[#This Row],[SKU]],'All Skus'!$A:$AC,22,FALSE)),""))</f>
        <v>DE</v>
      </c>
      <c r="S510" s="223">
        <f>(IF((VLOOKUP(Table10[[#This Row],[SKU]],'All Skus'!$A:$AC,2,FALSE))="Martin",(VLOOKUP(Table10[[#This Row],[SKU]],'All Skus'!$A:$AC,23,FALSE)),""))</f>
        <v>0</v>
      </c>
      <c r="T510" s="212" t="str">
        <f>HYPERLINK((IF((VLOOKUP(Table10[[#This Row],[SKU]],'All Skus'!$A:$AC,2,FALSE))="Martin",(VLOOKUP(Table10[[#This Row],[SKU]],'All Skus'!$A:$AC,24,FALSE)),"")))</f>
        <v>http://www.martin.com/en-us/product-details/mac-aura-xb</v>
      </c>
      <c r="U510" s="228">
        <v>508</v>
      </c>
    </row>
    <row r="511" spans="1:21" hidden="1">
      <c r="A511" s="120" t="s">
        <v>2185</v>
      </c>
      <c r="B511" s="224">
        <f>(IF((VLOOKUP(Table10[[#This Row],[SKU]],'All Skus'!$A:$AC,2,FALSE))="Martin",(VLOOKUP(Table10[[#This Row],[SKU]],'All Skus'!$A:$AC,3,FALSE)),""))</f>
        <v>0</v>
      </c>
      <c r="C511" s="223">
        <f>(IF((VLOOKUP(Table10[[#This Row],[SKU]],'All Skus'!$A:$AC,2,FALSE))="Martin",(VLOOKUP(Table10[[#This Row],[SKU]],'All Skus'!$A:$AC,4,FALSE)),""))</f>
        <v>0</v>
      </c>
      <c r="D511" s="224">
        <f>(IF((VLOOKUP(Table10[[#This Row],[SKU]],'All Skus'!$A:$AC,2,FALSE))="Martin",(VLOOKUP(Table10[[#This Row],[SKU]],'All Skus'!$A:$AC,5,FALSE)),""))</f>
        <v>0</v>
      </c>
      <c r="E511" s="223">
        <f>(IF((VLOOKUP(Table10[[#This Row],[SKU]],'All Skus'!$A:$AC,2,FALSE))="Martin",(VLOOKUP(Table10[[#This Row],[SKU]],'All Skus'!$A:$AC,6,FALSE)),""))</f>
        <v>0</v>
      </c>
      <c r="F511" s="155">
        <f>(IF((VLOOKUP(Table10[[#This Row],[SKU]],'All Skus'!$A:$AC,2,FALSE))="Martin",(VLOOKUP(Table10[[#This Row],[SKU]],'All Skus'!$A:$AC,7,FALSE)),""))</f>
        <v>0</v>
      </c>
      <c r="G511" s="223">
        <f>(IF((VLOOKUP(Table10[[#This Row],[SKU]],'All Skus'!$A:$AC,2,FALSE))="Martin",(VLOOKUP(Table10[[#This Row],[SKU]],'All Skus'!$A:$AC,8,FALSE)),""))</f>
        <v>0</v>
      </c>
      <c r="H511" s="223">
        <f>(IF((VLOOKUP(Table10[[#This Row],[SKU]],'All Skus'!$A:$AC,2,FALSE))="Martin",(VLOOKUP(Table10[[#This Row],[SKU]],'All Skus'!$A:$AC,9,FALSE)),""))</f>
        <v>0</v>
      </c>
      <c r="I511" s="225">
        <f>(IF((VLOOKUP(Table10[[#This Row],[SKU]],'All Skus'!$A:$AC,2,FALSE))="Martin",(VLOOKUP(Table10[[#This Row],[SKU]],'All Skus'!$A:$AC,10,FALSE)),""))</f>
        <v>0</v>
      </c>
      <c r="J511" s="226">
        <f>(IF((VLOOKUP(Table10[[#This Row],[SKU]],'All Skus'!$A:$AC,2,FALSE))="Martin",(VLOOKUP(Table10[[#This Row],[SKU]],'All Skus'!$A:$AC,11,FALSE)),""))</f>
        <v>0</v>
      </c>
      <c r="K511" s="224">
        <f>(IF((VLOOKUP(Table10[[#This Row],[SKU]],'All Skus'!$A:$AC,2,FALSE))="Martin",(VLOOKUP(Table10[[#This Row],[SKU]],'All Skus'!$A:$AC,15,FALSE)),""))</f>
        <v>0</v>
      </c>
      <c r="L511" s="224">
        <f>(IF((VLOOKUP(Table10[[#This Row],[SKU]],'All Skus'!$A:$AC,2,FALSE))="Martin",(VLOOKUP(Table10[[#This Row],[SKU]],'All Skus'!$A:$AC,16,FALSE)),""))</f>
        <v>0</v>
      </c>
      <c r="M511" s="224">
        <f>(IF((VLOOKUP(Table10[[#This Row],[SKU]],'All Skus'!$A:$AC,2,FALSE))="Martin",(VLOOKUP(Table10[[#This Row],[SKU]],'All Skus'!$A:$AC,17,FALSE)),""))</f>
        <v>0</v>
      </c>
      <c r="N511" s="227">
        <f>(IF((VLOOKUP(Table10[[#This Row],[SKU]],'All Skus'!$A:$AC,2,FALSE))="Martin",(VLOOKUP(Table10[[#This Row],[SKU]],'All Skus'!$A:$AC,18,FALSE)),""))</f>
        <v>0</v>
      </c>
      <c r="O511" s="227">
        <f>(IF((VLOOKUP(Table10[[#This Row],[SKU]],'All Skus'!$A:$AC,2,FALSE))="Martin",(VLOOKUP(Table10[[#This Row],[SKU]],'All Skus'!$A:$AC,19,FALSE)),""))</f>
        <v>0</v>
      </c>
      <c r="P511" s="227">
        <f>(IF((VLOOKUP(Table10[[#This Row],[SKU]],'All Skus'!$A:$AC,2,FALSE))="Martin",(VLOOKUP(Table10[[#This Row],[SKU]],'All Skus'!$A:$AC,20,FALSE)),""))</f>
        <v>0</v>
      </c>
      <c r="Q511" s="227">
        <f>(IF((VLOOKUP(Table10[[#This Row],[SKU]],'All Skus'!$A:$AC,2,FALSE))="Martin",(VLOOKUP(Table10[[#This Row],[SKU]],'All Skus'!$A:$AC,21,FALSE)),""))</f>
        <v>0</v>
      </c>
      <c r="R511" s="224">
        <f>(IF((VLOOKUP(Table10[[#This Row],[SKU]],'All Skus'!$A:$AC,2,FALSE))="Martin",(VLOOKUP(Table10[[#This Row],[SKU]],'All Skus'!$A:$AC,22,FALSE)),""))</f>
        <v>0</v>
      </c>
      <c r="S511" s="223">
        <f>(IF((VLOOKUP(Table10[[#This Row],[SKU]],'All Skus'!$A:$AC,2,FALSE))="Martin",(VLOOKUP(Table10[[#This Row],[SKU]],'All Skus'!$A:$AC,23,FALSE)),""))</f>
        <v>0</v>
      </c>
      <c r="T511" s="212" t="str">
        <f>HYPERLINK((IF((VLOOKUP(Table10[[#This Row],[SKU]],'All Skus'!$A:$AC,2,FALSE))="Martin",(VLOOKUP(Table10[[#This Row],[SKU]],'All Skus'!$A:$AC,24,FALSE)),"")))</f>
        <v/>
      </c>
      <c r="U511" s="228">
        <v>509</v>
      </c>
    </row>
    <row r="512" spans="1:21" hidden="1">
      <c r="A512" s="112" t="s">
        <v>2186</v>
      </c>
      <c r="B512" s="224">
        <f>(IF((VLOOKUP(Table10[[#This Row],[SKU]],'All Skus'!$A:$AC,2,FALSE))="Martin",(VLOOKUP(Table10[[#This Row],[SKU]],'All Skus'!$A:$AC,3,FALSE)),""))</f>
        <v>0</v>
      </c>
      <c r="C512" s="223" t="str">
        <f>(IF((VLOOKUP(Table10[[#This Row],[SKU]],'All Skus'!$A:$AC,2,FALSE))="Martin",(VLOOKUP(Table10[[#This Row],[SKU]],'All Skus'!$A:$AC,4,FALSE)),""))</f>
        <v>MAC Aura XIP in EPS</v>
      </c>
      <c r="D512" s="224" t="str">
        <f>(IF((VLOOKUP(Table10[[#This Row],[SKU]],'All Skus'!$A:$AC,2,FALSE))="Martin",(VLOOKUP(Table10[[#This Row],[SKU]],'All Skus'!$A:$AC,5,FALSE)),""))</f>
        <v>MAR-MAC</v>
      </c>
      <c r="E512" s="223">
        <f>(IF((VLOOKUP(Table10[[#This Row],[SKU]],'All Skus'!$A:$AC,2,FALSE))="Martin",(VLOOKUP(Table10[[#This Row],[SKU]],'All Skus'!$A:$AC,6,FALSE)),""))</f>
        <v>0</v>
      </c>
      <c r="F512" s="155">
        <f>(IF((VLOOKUP(Table10[[#This Row],[SKU]],'All Skus'!$A:$AC,2,FALSE))="Martin",(VLOOKUP(Table10[[#This Row],[SKU]],'All Skus'!$A:$AC,7,FALSE)),""))</f>
        <v>0</v>
      </c>
      <c r="G512" s="223" t="str">
        <f>(IF((VLOOKUP(Table10[[#This Row],[SKU]],'All Skus'!$A:$AC,2,FALSE))="Martin",(VLOOKUP(Table10[[#This Row],[SKU]],'All Skus'!$A:$AC,8,FALSE)),""))</f>
        <v>MAC Aura XIP in EPS</v>
      </c>
      <c r="H512" s="223" t="str">
        <f>(IF((VLOOKUP(Table10[[#This Row],[SKU]],'All Skus'!$A:$AC,2,FALSE))="Martin",(VLOOKUP(Table10[[#This Row],[SKU]],'All Skus'!$A:$AC,9,FALSE)),""))</f>
        <v>MAC Aura XIP in EPS</v>
      </c>
      <c r="I512" s="225">
        <f>(IF((VLOOKUP(Table10[[#This Row],[SKU]],'All Skus'!$A:$AC,2,FALSE))="Martin",(VLOOKUP(Table10[[#This Row],[SKU]],'All Skus'!$A:$AC,10,FALSE)),""))</f>
        <v>5974</v>
      </c>
      <c r="J512" s="226">
        <f>(IF((VLOOKUP(Table10[[#This Row],[SKU]],'All Skus'!$A:$AC,2,FALSE))="Martin",(VLOOKUP(Table10[[#This Row],[SKU]],'All Skus'!$A:$AC,11,FALSE)),""))</f>
        <v>5974</v>
      </c>
      <c r="K512" s="224">
        <f>(IF((VLOOKUP(Table10[[#This Row],[SKU]],'All Skus'!$A:$AC,2,FALSE))="Martin",(VLOOKUP(Table10[[#This Row],[SKU]],'All Skus'!$A:$AC,15,FALSE)),""))</f>
        <v>0</v>
      </c>
      <c r="L512" s="224">
        <f>(IF((VLOOKUP(Table10[[#This Row],[SKU]],'All Skus'!$A:$AC,2,FALSE))="Martin",(VLOOKUP(Table10[[#This Row],[SKU]],'All Skus'!$A:$AC,16,FALSE)),""))</f>
        <v>688705007809</v>
      </c>
      <c r="M512" s="224">
        <f>(IF((VLOOKUP(Table10[[#This Row],[SKU]],'All Skus'!$A:$AC,2,FALSE))="Martin",(VLOOKUP(Table10[[#This Row],[SKU]],'All Skus'!$A:$AC,17,FALSE)),""))</f>
        <v>0</v>
      </c>
      <c r="N512" s="227">
        <f>(IF((VLOOKUP(Table10[[#This Row],[SKU]],'All Skus'!$A:$AC,2,FALSE))="Martin",(VLOOKUP(Table10[[#This Row],[SKU]],'All Skus'!$A:$AC,18,FALSE)),""))</f>
        <v>0</v>
      </c>
      <c r="O512" s="227">
        <f>(IF((VLOOKUP(Table10[[#This Row],[SKU]],'All Skus'!$A:$AC,2,FALSE))="Martin",(VLOOKUP(Table10[[#This Row],[SKU]],'All Skus'!$A:$AC,19,FALSE)),""))</f>
        <v>0</v>
      </c>
      <c r="P512" s="227">
        <f>(IF((VLOOKUP(Table10[[#This Row],[SKU]],'All Skus'!$A:$AC,2,FALSE))="Martin",(VLOOKUP(Table10[[#This Row],[SKU]],'All Skus'!$A:$AC,20,FALSE)),""))</f>
        <v>0</v>
      </c>
      <c r="Q512" s="227">
        <f>(IF((VLOOKUP(Table10[[#This Row],[SKU]],'All Skus'!$A:$AC,2,FALSE))="Martin",(VLOOKUP(Table10[[#This Row],[SKU]],'All Skus'!$A:$AC,21,FALSE)),""))</f>
        <v>0</v>
      </c>
      <c r="R512" s="224">
        <f>(IF((VLOOKUP(Table10[[#This Row],[SKU]],'All Skus'!$A:$AC,2,FALSE))="Martin",(VLOOKUP(Table10[[#This Row],[SKU]],'All Skus'!$A:$AC,22,FALSE)),""))</f>
        <v>0</v>
      </c>
      <c r="S512" s="223">
        <f>(IF((VLOOKUP(Table10[[#This Row],[SKU]],'All Skus'!$A:$AC,2,FALSE))="Martin",(VLOOKUP(Table10[[#This Row],[SKU]],'All Skus'!$A:$AC,23,FALSE)),""))</f>
        <v>0</v>
      </c>
      <c r="T512" s="212" t="str">
        <f>HYPERLINK((IF((VLOOKUP(Table10[[#This Row],[SKU]],'All Skus'!$A:$AC,2,FALSE))="Martin",(VLOOKUP(Table10[[#This Row],[SKU]],'All Skus'!$A:$AC,24,FALSE)),"")))</f>
        <v/>
      </c>
      <c r="U512" s="228">
        <v>510</v>
      </c>
    </row>
    <row r="513" spans="1:21" hidden="1">
      <c r="A513" s="90" t="s">
        <v>2187</v>
      </c>
      <c r="B513" s="224">
        <f>(IF((VLOOKUP(Table10[[#This Row],[SKU]],'All Skus'!$A:$AC,2,FALSE))="Martin",(VLOOKUP(Table10[[#This Row],[SKU]],'All Skus'!$A:$AC,3,FALSE)),""))</f>
        <v>0</v>
      </c>
      <c r="C513" s="223" t="str">
        <f>(IF((VLOOKUP(Table10[[#This Row],[SKU]],'All Skus'!$A:$AC,2,FALSE))="Martin",(VLOOKUP(Table10[[#This Row],[SKU]],'All Skus'!$A:$AC,4,FALSE)),""))</f>
        <v>MAC Aura XIP in dual SiP</v>
      </c>
      <c r="D513" s="224" t="str">
        <f>(IF((VLOOKUP(Table10[[#This Row],[SKU]],'All Skus'!$A:$AC,2,FALSE))="Martin",(VLOOKUP(Table10[[#This Row],[SKU]],'All Skus'!$A:$AC,5,FALSE)),""))</f>
        <v>MAR-MAC</v>
      </c>
      <c r="E513" s="223">
        <f>(IF((VLOOKUP(Table10[[#This Row],[SKU]],'All Skus'!$A:$AC,2,FALSE))="Martin",(VLOOKUP(Table10[[#This Row],[SKU]],'All Skus'!$A:$AC,6,FALSE)),""))</f>
        <v>0</v>
      </c>
      <c r="F513" s="155">
        <f>(IF((VLOOKUP(Table10[[#This Row],[SKU]],'All Skus'!$A:$AC,2,FALSE))="Martin",(VLOOKUP(Table10[[#This Row],[SKU]],'All Skus'!$A:$AC,7,FALSE)),""))</f>
        <v>0</v>
      </c>
      <c r="G513" s="223" t="str">
        <f>(IF((VLOOKUP(Table10[[#This Row],[SKU]],'All Skus'!$A:$AC,2,FALSE))="Martin",(VLOOKUP(Table10[[#This Row],[SKU]],'All Skus'!$A:$AC,8,FALSE)),""))</f>
        <v>MAC Aura XIP in dual SiP</v>
      </c>
      <c r="H513" s="223" t="str">
        <f>(IF((VLOOKUP(Table10[[#This Row],[SKU]],'All Skus'!$A:$AC,2,FALSE))="Martin",(VLOOKUP(Table10[[#This Row],[SKU]],'All Skus'!$A:$AC,9,FALSE)),""))</f>
        <v>MAC Aura XIP in dual SiP</v>
      </c>
      <c r="I513" s="225">
        <f>(IF((VLOOKUP(Table10[[#This Row],[SKU]],'All Skus'!$A:$AC,2,FALSE))="Martin",(VLOOKUP(Table10[[#This Row],[SKU]],'All Skus'!$A:$AC,10,FALSE)),""))</f>
        <v>6180</v>
      </c>
      <c r="J513" s="226">
        <f>(IF((VLOOKUP(Table10[[#This Row],[SKU]],'All Skus'!$A:$AC,2,FALSE))="Martin",(VLOOKUP(Table10[[#This Row],[SKU]],'All Skus'!$A:$AC,11,FALSE)),""))</f>
        <v>6180</v>
      </c>
      <c r="K513" s="224">
        <f>(IF((VLOOKUP(Table10[[#This Row],[SKU]],'All Skus'!$A:$AC,2,FALSE))="Martin",(VLOOKUP(Table10[[#This Row],[SKU]],'All Skus'!$A:$AC,15,FALSE)),""))</f>
        <v>0</v>
      </c>
      <c r="L513" s="224">
        <f>(IF((VLOOKUP(Table10[[#This Row],[SKU]],'All Skus'!$A:$AC,2,FALSE))="Martin",(VLOOKUP(Table10[[#This Row],[SKU]],'All Skus'!$A:$AC,16,FALSE)),""))</f>
        <v>688705007458</v>
      </c>
      <c r="M513" s="224">
        <f>(IF((VLOOKUP(Table10[[#This Row],[SKU]],'All Skus'!$A:$AC,2,FALSE))="Martin",(VLOOKUP(Table10[[#This Row],[SKU]],'All Skus'!$A:$AC,17,FALSE)),""))</f>
        <v>0</v>
      </c>
      <c r="N513" s="227">
        <f>(IF((VLOOKUP(Table10[[#This Row],[SKU]],'All Skus'!$A:$AC,2,FALSE))="Martin",(VLOOKUP(Table10[[#This Row],[SKU]],'All Skus'!$A:$AC,18,FALSE)),""))</f>
        <v>0</v>
      </c>
      <c r="O513" s="227">
        <f>(IF((VLOOKUP(Table10[[#This Row],[SKU]],'All Skus'!$A:$AC,2,FALSE))="Martin",(VLOOKUP(Table10[[#This Row],[SKU]],'All Skus'!$A:$AC,19,FALSE)),""))</f>
        <v>0</v>
      </c>
      <c r="P513" s="227">
        <f>(IF((VLOOKUP(Table10[[#This Row],[SKU]],'All Skus'!$A:$AC,2,FALSE))="Martin",(VLOOKUP(Table10[[#This Row],[SKU]],'All Skus'!$A:$AC,20,FALSE)),""))</f>
        <v>0</v>
      </c>
      <c r="Q513" s="227">
        <f>(IF((VLOOKUP(Table10[[#This Row],[SKU]],'All Skus'!$A:$AC,2,FALSE))="Martin",(VLOOKUP(Table10[[#This Row],[SKU]],'All Skus'!$A:$AC,21,FALSE)),""))</f>
        <v>0</v>
      </c>
      <c r="R513" s="224">
        <f>(IF((VLOOKUP(Table10[[#This Row],[SKU]],'All Skus'!$A:$AC,2,FALSE))="Martin",(VLOOKUP(Table10[[#This Row],[SKU]],'All Skus'!$A:$AC,22,FALSE)),""))</f>
        <v>0</v>
      </c>
      <c r="S513" s="223">
        <f>(IF((VLOOKUP(Table10[[#This Row],[SKU]],'All Skus'!$A:$AC,2,FALSE))="Martin",(VLOOKUP(Table10[[#This Row],[SKU]],'All Skus'!$A:$AC,23,FALSE)),""))</f>
        <v>0</v>
      </c>
      <c r="T513" s="212" t="str">
        <f>HYPERLINK((IF((VLOOKUP(Table10[[#This Row],[SKU]],'All Skus'!$A:$AC,2,FALSE))="Martin",(VLOOKUP(Table10[[#This Row],[SKU]],'All Skus'!$A:$AC,24,FALSE)),"")))</f>
        <v/>
      </c>
      <c r="U513" s="228">
        <v>511</v>
      </c>
    </row>
    <row r="514" spans="1:21" hidden="1">
      <c r="A514" s="230" t="s">
        <v>2188</v>
      </c>
      <c r="B514" s="224">
        <f>(IF((VLOOKUP(Table10[[#This Row],[SKU]],'All Skus'!$A:$AC,2,FALSE))="Martin",(VLOOKUP(Table10[[#This Row],[SKU]],'All Skus'!$A:$AC,3,FALSE)),""))</f>
        <v>0</v>
      </c>
      <c r="C514" s="223" t="str">
        <f>(IF((VLOOKUP(Table10[[#This Row],[SKU]],'All Skus'!$A:$AC,2,FALSE))="Martin",(VLOOKUP(Table10[[#This Row],[SKU]],'All Skus'!$A:$AC,4,FALSE)),""))</f>
        <v>MAC Aura XIP white in EPS</v>
      </c>
      <c r="D514" s="224" t="str">
        <f>(IF((VLOOKUP(Table10[[#This Row],[SKU]],'All Skus'!$A:$AC,2,FALSE))="Martin",(VLOOKUP(Table10[[#This Row],[SKU]],'All Skus'!$A:$AC,5,FALSE)),""))</f>
        <v>MAR-MAC</v>
      </c>
      <c r="E514" s="223">
        <f>(IF((VLOOKUP(Table10[[#This Row],[SKU]],'All Skus'!$A:$AC,2,FALSE))="Martin",(VLOOKUP(Table10[[#This Row],[SKU]],'All Skus'!$A:$AC,6,FALSE)),""))</f>
        <v>0</v>
      </c>
      <c r="F514" s="155">
        <f>(IF((VLOOKUP(Table10[[#This Row],[SKU]],'All Skus'!$A:$AC,2,FALSE))="Martin",(VLOOKUP(Table10[[#This Row],[SKU]],'All Skus'!$A:$AC,7,FALSE)),""))</f>
        <v>0</v>
      </c>
      <c r="G514" s="223" t="str">
        <f>(IF((VLOOKUP(Table10[[#This Row],[SKU]],'All Skus'!$A:$AC,2,FALSE))="Martin",(VLOOKUP(Table10[[#This Row],[SKU]],'All Skus'!$A:$AC,8,FALSE)),""))</f>
        <v>MAC Aura XIP white in EPS</v>
      </c>
      <c r="H514" s="223" t="str">
        <f>(IF((VLOOKUP(Table10[[#This Row],[SKU]],'All Skus'!$A:$AC,2,FALSE))="Martin",(VLOOKUP(Table10[[#This Row],[SKU]],'All Skus'!$A:$AC,9,FALSE)),""))</f>
        <v>MAC Aura XIP white in EPS</v>
      </c>
      <c r="I514" s="225">
        <f>(IF((VLOOKUP(Table10[[#This Row],[SKU]],'All Skus'!$A:$AC,2,FALSE))="Martin",(VLOOKUP(Table10[[#This Row],[SKU]],'All Skus'!$A:$AC,10,FALSE)),""))</f>
        <v>6592</v>
      </c>
      <c r="J514" s="226">
        <f>(IF((VLOOKUP(Table10[[#This Row],[SKU]],'All Skus'!$A:$AC,2,FALSE))="Martin",(VLOOKUP(Table10[[#This Row],[SKU]],'All Skus'!$A:$AC,11,FALSE)),""))</f>
        <v>6592</v>
      </c>
      <c r="K514" s="224">
        <f>(IF((VLOOKUP(Table10[[#This Row],[SKU]],'All Skus'!$A:$AC,2,FALSE))="Martin",(VLOOKUP(Table10[[#This Row],[SKU]],'All Skus'!$A:$AC,15,FALSE)),""))</f>
        <v>0</v>
      </c>
      <c r="L514" s="224">
        <f>(IF((VLOOKUP(Table10[[#This Row],[SKU]],'All Skus'!$A:$AC,2,FALSE))="Martin",(VLOOKUP(Table10[[#This Row],[SKU]],'All Skus'!$A:$AC,16,FALSE)),""))</f>
        <v>688705007571</v>
      </c>
      <c r="M514" s="224">
        <f>(IF((VLOOKUP(Table10[[#This Row],[SKU]],'All Skus'!$A:$AC,2,FALSE))="Martin",(VLOOKUP(Table10[[#This Row],[SKU]],'All Skus'!$A:$AC,17,FALSE)),""))</f>
        <v>0</v>
      </c>
      <c r="N514" s="227">
        <f>(IF((VLOOKUP(Table10[[#This Row],[SKU]],'All Skus'!$A:$AC,2,FALSE))="Martin",(VLOOKUP(Table10[[#This Row],[SKU]],'All Skus'!$A:$AC,18,FALSE)),""))</f>
        <v>0</v>
      </c>
      <c r="O514" s="227">
        <f>(IF((VLOOKUP(Table10[[#This Row],[SKU]],'All Skus'!$A:$AC,2,FALSE))="Martin",(VLOOKUP(Table10[[#This Row],[SKU]],'All Skus'!$A:$AC,19,FALSE)),""))</f>
        <v>0</v>
      </c>
      <c r="P514" s="227">
        <f>(IF((VLOOKUP(Table10[[#This Row],[SKU]],'All Skus'!$A:$AC,2,FALSE))="Martin",(VLOOKUP(Table10[[#This Row],[SKU]],'All Skus'!$A:$AC,20,FALSE)),""))</f>
        <v>0</v>
      </c>
      <c r="Q514" s="227">
        <f>(IF((VLOOKUP(Table10[[#This Row],[SKU]],'All Skus'!$A:$AC,2,FALSE))="Martin",(VLOOKUP(Table10[[#This Row],[SKU]],'All Skus'!$A:$AC,21,FALSE)),""))</f>
        <v>0</v>
      </c>
      <c r="R514" s="224" t="str">
        <f>(IF((VLOOKUP(Table10[[#This Row],[SKU]],'All Skus'!$A:$AC,2,FALSE))="Martin",(VLOOKUP(Table10[[#This Row],[SKU]],'All Skus'!$A:$AC,22,FALSE)),""))</f>
        <v>CN</v>
      </c>
      <c r="S514" s="223">
        <f>(IF((VLOOKUP(Table10[[#This Row],[SKU]],'All Skus'!$A:$AC,2,FALSE))="Martin",(VLOOKUP(Table10[[#This Row],[SKU]],'All Skus'!$A:$AC,23,FALSE)),""))</f>
        <v>0</v>
      </c>
      <c r="T514" s="212" t="str">
        <f>HYPERLINK((IF((VLOOKUP(Table10[[#This Row],[SKU]],'All Skus'!$A:$AC,2,FALSE))="Martin",(VLOOKUP(Table10[[#This Row],[SKU]],'All Skus'!$A:$AC,24,FALSE)),"")))</f>
        <v>https://www.martin.com/products/mac-aura-xip</v>
      </c>
      <c r="U514" s="228">
        <v>512</v>
      </c>
    </row>
    <row r="515" spans="1:21" hidden="1">
      <c r="A515" s="120" t="s">
        <v>2189</v>
      </c>
      <c r="B515" s="224">
        <f>(IF((VLOOKUP(Table10[[#This Row],[SKU]],'All Skus'!$A:$AC,2,FALSE))="Martin",(VLOOKUP(Table10[[#This Row],[SKU]],'All Skus'!$A:$AC,3,FALSE)),""))</f>
        <v>0</v>
      </c>
      <c r="C515" s="223">
        <f>(IF((VLOOKUP(Table10[[#This Row],[SKU]],'All Skus'!$A:$AC,2,FALSE))="Martin",(VLOOKUP(Table10[[#This Row],[SKU]],'All Skus'!$A:$AC,4,FALSE)),""))</f>
        <v>0</v>
      </c>
      <c r="D515" s="224">
        <f>(IF((VLOOKUP(Table10[[#This Row],[SKU]],'All Skus'!$A:$AC,2,FALSE))="Martin",(VLOOKUP(Table10[[#This Row],[SKU]],'All Skus'!$A:$AC,5,FALSE)),""))</f>
        <v>0</v>
      </c>
      <c r="E515" s="223">
        <f>(IF((VLOOKUP(Table10[[#This Row],[SKU]],'All Skus'!$A:$AC,2,FALSE))="Martin",(VLOOKUP(Table10[[#This Row],[SKU]],'All Skus'!$A:$AC,6,FALSE)),""))</f>
        <v>0</v>
      </c>
      <c r="F515" s="155">
        <f>(IF((VLOOKUP(Table10[[#This Row],[SKU]],'All Skus'!$A:$AC,2,FALSE))="Martin",(VLOOKUP(Table10[[#This Row],[SKU]],'All Skus'!$A:$AC,7,FALSE)),""))</f>
        <v>0</v>
      </c>
      <c r="G515" s="223">
        <f>(IF((VLOOKUP(Table10[[#This Row],[SKU]],'All Skus'!$A:$AC,2,FALSE))="Martin",(VLOOKUP(Table10[[#This Row],[SKU]],'All Skus'!$A:$AC,8,FALSE)),""))</f>
        <v>0</v>
      </c>
      <c r="H515" s="223">
        <f>(IF((VLOOKUP(Table10[[#This Row],[SKU]],'All Skus'!$A:$AC,2,FALSE))="Martin",(VLOOKUP(Table10[[#This Row],[SKU]],'All Skus'!$A:$AC,9,FALSE)),""))</f>
        <v>0</v>
      </c>
      <c r="I515" s="225">
        <f>(IF((VLOOKUP(Table10[[#This Row],[SKU]],'All Skus'!$A:$AC,2,FALSE))="Martin",(VLOOKUP(Table10[[#This Row],[SKU]],'All Skus'!$A:$AC,10,FALSE)),""))</f>
        <v>0</v>
      </c>
      <c r="J515" s="226">
        <f>(IF((VLOOKUP(Table10[[#This Row],[SKU]],'All Skus'!$A:$AC,2,FALSE))="Martin",(VLOOKUP(Table10[[#This Row],[SKU]],'All Skus'!$A:$AC,11,FALSE)),""))</f>
        <v>0</v>
      </c>
      <c r="K515" s="224">
        <f>(IF((VLOOKUP(Table10[[#This Row],[SKU]],'All Skus'!$A:$AC,2,FALSE))="Martin",(VLOOKUP(Table10[[#This Row],[SKU]],'All Skus'!$A:$AC,15,FALSE)),""))</f>
        <v>0</v>
      </c>
      <c r="L515" s="224">
        <f>(IF((VLOOKUP(Table10[[#This Row],[SKU]],'All Skus'!$A:$AC,2,FALSE))="Martin",(VLOOKUP(Table10[[#This Row],[SKU]],'All Skus'!$A:$AC,16,FALSE)),""))</f>
        <v>0</v>
      </c>
      <c r="M515" s="224">
        <f>(IF((VLOOKUP(Table10[[#This Row],[SKU]],'All Skus'!$A:$AC,2,FALSE))="Martin",(VLOOKUP(Table10[[#This Row],[SKU]],'All Skus'!$A:$AC,17,FALSE)),""))</f>
        <v>0</v>
      </c>
      <c r="N515" s="227">
        <f>(IF((VLOOKUP(Table10[[#This Row],[SKU]],'All Skus'!$A:$AC,2,FALSE))="Martin",(VLOOKUP(Table10[[#This Row],[SKU]],'All Skus'!$A:$AC,18,FALSE)),""))</f>
        <v>0</v>
      </c>
      <c r="O515" s="227">
        <f>(IF((VLOOKUP(Table10[[#This Row],[SKU]],'All Skus'!$A:$AC,2,FALSE))="Martin",(VLOOKUP(Table10[[#This Row],[SKU]],'All Skus'!$A:$AC,19,FALSE)),""))</f>
        <v>0</v>
      </c>
      <c r="P515" s="227">
        <f>(IF((VLOOKUP(Table10[[#This Row],[SKU]],'All Skus'!$A:$AC,2,FALSE))="Martin",(VLOOKUP(Table10[[#This Row],[SKU]],'All Skus'!$A:$AC,20,FALSE)),""))</f>
        <v>0</v>
      </c>
      <c r="Q515" s="227">
        <f>(IF((VLOOKUP(Table10[[#This Row],[SKU]],'All Skus'!$A:$AC,2,FALSE))="Martin",(VLOOKUP(Table10[[#This Row],[SKU]],'All Skus'!$A:$AC,21,FALSE)),""))</f>
        <v>0</v>
      </c>
      <c r="R515" s="224">
        <f>(IF((VLOOKUP(Table10[[#This Row],[SKU]],'All Skus'!$A:$AC,2,FALSE))="Martin",(VLOOKUP(Table10[[#This Row],[SKU]],'All Skus'!$A:$AC,22,FALSE)),""))</f>
        <v>0</v>
      </c>
      <c r="S515" s="223">
        <f>(IF((VLOOKUP(Table10[[#This Row],[SKU]],'All Skus'!$A:$AC,2,FALSE))="Martin",(VLOOKUP(Table10[[#This Row],[SKU]],'All Skus'!$A:$AC,23,FALSE)),""))</f>
        <v>0</v>
      </c>
      <c r="T515" s="212" t="str">
        <f>HYPERLINK((IF((VLOOKUP(Table10[[#This Row],[SKU]],'All Skus'!$A:$AC,2,FALSE))="Martin",(VLOOKUP(Table10[[#This Row],[SKU]],'All Skus'!$A:$AC,24,FALSE)),"")))</f>
        <v/>
      </c>
      <c r="U515" s="228">
        <v>513</v>
      </c>
    </row>
    <row r="516" spans="1:21" hidden="1">
      <c r="A516" s="112" t="s">
        <v>2190</v>
      </c>
      <c r="B516" s="224">
        <f>(IF((VLOOKUP(Table10[[#This Row],[SKU]],'All Skus'!$A:$AC,2,FALSE))="Martin",(VLOOKUP(Table10[[#This Row],[SKU]],'All Skus'!$A:$AC,3,FALSE)),""))</f>
        <v>0</v>
      </c>
      <c r="C516" s="223" t="str">
        <f>(IF((VLOOKUP(Table10[[#This Row],[SKU]],'All Skus'!$A:$AC,2,FALSE))="Martin",(VLOOKUP(Table10[[#This Row],[SKU]],'All Skus'!$A:$AC,4,FALSE)),""))</f>
        <v>Flightcase for 6 x MAC Aura XIP</v>
      </c>
      <c r="D516" s="224" t="str">
        <f>(IF((VLOOKUP(Table10[[#This Row],[SKU]],'All Skus'!$A:$AC,2,FALSE))="Martin",(VLOOKUP(Table10[[#This Row],[SKU]],'All Skus'!$A:$AC,5,FALSE)),""))</f>
        <v>MAR-MAC</v>
      </c>
      <c r="E516" s="223">
        <f>(IF((VLOOKUP(Table10[[#This Row],[SKU]],'All Skus'!$A:$AC,2,FALSE))="Martin",(VLOOKUP(Table10[[#This Row],[SKU]],'All Skus'!$A:$AC,6,FALSE)),""))</f>
        <v>0</v>
      </c>
      <c r="F516" s="155">
        <f>(IF((VLOOKUP(Table10[[#This Row],[SKU]],'All Skus'!$A:$AC,2,FALSE))="Martin",(VLOOKUP(Table10[[#This Row],[SKU]],'All Skus'!$A:$AC,7,FALSE)),""))</f>
        <v>0</v>
      </c>
      <c r="G516" s="223" t="str">
        <f>(IF((VLOOKUP(Table10[[#This Row],[SKU]],'All Skus'!$A:$AC,2,FALSE))="Martin",(VLOOKUP(Table10[[#This Row],[SKU]],'All Skus'!$A:$AC,8,FALSE)),""))</f>
        <v>Flightcase for 6 x MAC Aura XIP</v>
      </c>
      <c r="H516" s="223" t="str">
        <f>(IF((VLOOKUP(Table10[[#This Row],[SKU]],'All Skus'!$A:$AC,2,FALSE))="Martin",(VLOOKUP(Table10[[#This Row],[SKU]],'All Skus'!$A:$AC,9,FALSE)),""))</f>
        <v>Flightcase for 6 x MAC Aura XIP</v>
      </c>
      <c r="I516" s="225">
        <f>(IF((VLOOKUP(Table10[[#This Row],[SKU]],'All Skus'!$A:$AC,2,FALSE))="Martin",(VLOOKUP(Table10[[#This Row],[SKU]],'All Skus'!$A:$AC,10,FALSE)),""))</f>
        <v>2060</v>
      </c>
      <c r="J516" s="226">
        <f>(IF((VLOOKUP(Table10[[#This Row],[SKU]],'All Skus'!$A:$AC,2,FALSE))="Martin",(VLOOKUP(Table10[[#This Row],[SKU]],'All Skus'!$A:$AC,11,FALSE)),""))</f>
        <v>2060</v>
      </c>
      <c r="K516" s="224">
        <f>(IF((VLOOKUP(Table10[[#This Row],[SKU]],'All Skus'!$A:$AC,2,FALSE))="Martin",(VLOOKUP(Table10[[#This Row],[SKU]],'All Skus'!$A:$AC,15,FALSE)),""))</f>
        <v>0</v>
      </c>
      <c r="L516" s="224">
        <f>(IF((VLOOKUP(Table10[[#This Row],[SKU]],'All Skus'!$A:$AC,2,FALSE))="Martin",(VLOOKUP(Table10[[#This Row],[SKU]],'All Skus'!$A:$AC,16,FALSE)),""))</f>
        <v>688705008196</v>
      </c>
      <c r="M516" s="224">
        <f>(IF((VLOOKUP(Table10[[#This Row],[SKU]],'All Skus'!$A:$AC,2,FALSE))="Martin",(VLOOKUP(Table10[[#This Row],[SKU]],'All Skus'!$A:$AC,17,FALSE)),""))</f>
        <v>0</v>
      </c>
      <c r="N516" s="227">
        <f>(IF((VLOOKUP(Table10[[#This Row],[SKU]],'All Skus'!$A:$AC,2,FALSE))="Martin",(VLOOKUP(Table10[[#This Row],[SKU]],'All Skus'!$A:$AC,18,FALSE)),""))</f>
        <v>0</v>
      </c>
      <c r="O516" s="227">
        <f>(IF((VLOOKUP(Table10[[#This Row],[SKU]],'All Skus'!$A:$AC,2,FALSE))="Martin",(VLOOKUP(Table10[[#This Row],[SKU]],'All Skus'!$A:$AC,19,FALSE)),""))</f>
        <v>0</v>
      </c>
      <c r="P516" s="227">
        <f>(IF((VLOOKUP(Table10[[#This Row],[SKU]],'All Skus'!$A:$AC,2,FALSE))="Martin",(VLOOKUP(Table10[[#This Row],[SKU]],'All Skus'!$A:$AC,20,FALSE)),""))</f>
        <v>0</v>
      </c>
      <c r="Q516" s="227">
        <f>(IF((VLOOKUP(Table10[[#This Row],[SKU]],'All Skus'!$A:$AC,2,FALSE))="Martin",(VLOOKUP(Table10[[#This Row],[SKU]],'All Skus'!$A:$AC,21,FALSE)),""))</f>
        <v>0</v>
      </c>
      <c r="R516" s="224">
        <f>(IF((VLOOKUP(Table10[[#This Row],[SKU]],'All Skus'!$A:$AC,2,FALSE))="Martin",(VLOOKUP(Table10[[#This Row],[SKU]],'All Skus'!$A:$AC,22,FALSE)),""))</f>
        <v>0</v>
      </c>
      <c r="S516" s="223">
        <f>(IF((VLOOKUP(Table10[[#This Row],[SKU]],'All Skus'!$A:$AC,2,FALSE))="Martin",(VLOOKUP(Table10[[#This Row],[SKU]],'All Skus'!$A:$AC,23,FALSE)),""))</f>
        <v>0</v>
      </c>
      <c r="T516" s="212" t="str">
        <f>HYPERLINK((IF((VLOOKUP(Table10[[#This Row],[SKU]],'All Skus'!$A:$AC,2,FALSE))="Martin",(VLOOKUP(Table10[[#This Row],[SKU]],'All Skus'!$A:$AC,24,FALSE)),"")))</f>
        <v/>
      </c>
      <c r="U516" s="228">
        <v>514</v>
      </c>
    </row>
    <row r="517" spans="1:21" hidden="1">
      <c r="A517" s="90" t="s">
        <v>2191</v>
      </c>
      <c r="B517" s="224">
        <f>(IF((VLOOKUP(Table10[[#This Row],[SKU]],'All Skus'!$A:$AC,2,FALSE))="Martin",(VLOOKUP(Table10[[#This Row],[SKU]],'All Skus'!$A:$AC,3,FALSE)),""))</f>
        <v>0</v>
      </c>
      <c r="C517" s="223" t="str">
        <f>(IF((VLOOKUP(Table10[[#This Row],[SKU]],'All Skus'!$A:$AC,2,FALSE))="Martin",(VLOOKUP(Table10[[#This Row],[SKU]],'All Skus'!$A:$AC,4,FALSE)),""))</f>
        <v>Additional dual SiP Foam Flightcase Insert for MAC Aura XIP</v>
      </c>
      <c r="D517" s="224" t="str">
        <f>(IF((VLOOKUP(Table10[[#This Row],[SKU]],'All Skus'!$A:$AC,2,FALSE))="Martin",(VLOOKUP(Table10[[#This Row],[SKU]],'All Skus'!$A:$AC,5,FALSE)),""))</f>
        <v>MAR-MAC</v>
      </c>
      <c r="E517" s="223">
        <f>(IF((VLOOKUP(Table10[[#This Row],[SKU]],'All Skus'!$A:$AC,2,FALSE))="Martin",(VLOOKUP(Table10[[#This Row],[SKU]],'All Skus'!$A:$AC,6,FALSE)),""))</f>
        <v>0</v>
      </c>
      <c r="F517" s="155">
        <f>(IF((VLOOKUP(Table10[[#This Row],[SKU]],'All Skus'!$A:$AC,2,FALSE))="Martin",(VLOOKUP(Table10[[#This Row],[SKU]],'All Skus'!$A:$AC,7,FALSE)),""))</f>
        <v>0</v>
      </c>
      <c r="G517" s="223" t="str">
        <f>(IF((VLOOKUP(Table10[[#This Row],[SKU]],'All Skus'!$A:$AC,2,FALSE))="Martin",(VLOOKUP(Table10[[#This Row],[SKU]],'All Skus'!$A:$AC,8,FALSE)),""))</f>
        <v>Additional dual SiP Foam Flightcase Insert for MAC Aura XIP</v>
      </c>
      <c r="H517" s="223" t="str">
        <f>(IF((VLOOKUP(Table10[[#This Row],[SKU]],'All Skus'!$A:$AC,2,FALSE))="Martin",(VLOOKUP(Table10[[#This Row],[SKU]],'All Skus'!$A:$AC,9,FALSE)),""))</f>
        <v>Additional dual SiP Foam Flightcase Insert for MAC Aura XIP</v>
      </c>
      <c r="I517" s="225">
        <f>(IF((VLOOKUP(Table10[[#This Row],[SKU]],'All Skus'!$A:$AC,2,FALSE))="Martin",(VLOOKUP(Table10[[#This Row],[SKU]],'All Skus'!$A:$AC,10,FALSE)),""))</f>
        <v>412</v>
      </c>
      <c r="J517" s="226">
        <f>(IF((VLOOKUP(Table10[[#This Row],[SKU]],'All Skus'!$A:$AC,2,FALSE))="Martin",(VLOOKUP(Table10[[#This Row],[SKU]],'All Skus'!$A:$AC,11,FALSE)),""))</f>
        <v>412</v>
      </c>
      <c r="K517" s="224">
        <f>(IF((VLOOKUP(Table10[[#This Row],[SKU]],'All Skus'!$A:$AC,2,FALSE))="Martin",(VLOOKUP(Table10[[#This Row],[SKU]],'All Skus'!$A:$AC,15,FALSE)),""))</f>
        <v>0</v>
      </c>
      <c r="L517" s="224">
        <f>(IF((VLOOKUP(Table10[[#This Row],[SKU]],'All Skus'!$A:$AC,2,FALSE))="Martin",(VLOOKUP(Table10[[#This Row],[SKU]],'All Skus'!$A:$AC,16,FALSE)),""))</f>
        <v>688705009070</v>
      </c>
      <c r="M517" s="224">
        <f>(IF((VLOOKUP(Table10[[#This Row],[SKU]],'All Skus'!$A:$AC,2,FALSE))="Martin",(VLOOKUP(Table10[[#This Row],[SKU]],'All Skus'!$A:$AC,17,FALSE)),""))</f>
        <v>0</v>
      </c>
      <c r="N517" s="227">
        <f>(IF((VLOOKUP(Table10[[#This Row],[SKU]],'All Skus'!$A:$AC,2,FALSE))="Martin",(VLOOKUP(Table10[[#This Row],[SKU]],'All Skus'!$A:$AC,18,FALSE)),""))</f>
        <v>0</v>
      </c>
      <c r="O517" s="227">
        <f>(IF((VLOOKUP(Table10[[#This Row],[SKU]],'All Skus'!$A:$AC,2,FALSE))="Martin",(VLOOKUP(Table10[[#This Row],[SKU]],'All Skus'!$A:$AC,19,FALSE)),""))</f>
        <v>0</v>
      </c>
      <c r="P517" s="227">
        <f>(IF((VLOOKUP(Table10[[#This Row],[SKU]],'All Skus'!$A:$AC,2,FALSE))="Martin",(VLOOKUP(Table10[[#This Row],[SKU]],'All Skus'!$A:$AC,20,FALSE)),""))</f>
        <v>0</v>
      </c>
      <c r="Q517" s="227">
        <f>(IF((VLOOKUP(Table10[[#This Row],[SKU]],'All Skus'!$A:$AC,2,FALSE))="Martin",(VLOOKUP(Table10[[#This Row],[SKU]],'All Skus'!$A:$AC,21,FALSE)),""))</f>
        <v>0</v>
      </c>
      <c r="R517" s="224">
        <f>(IF((VLOOKUP(Table10[[#This Row],[SKU]],'All Skus'!$A:$AC,2,FALSE))="Martin",(VLOOKUP(Table10[[#This Row],[SKU]],'All Skus'!$A:$AC,22,FALSE)),""))</f>
        <v>0</v>
      </c>
      <c r="S517" s="223">
        <f>(IF((VLOOKUP(Table10[[#This Row],[SKU]],'All Skus'!$A:$AC,2,FALSE))="Martin",(VLOOKUP(Table10[[#This Row],[SKU]],'All Skus'!$A:$AC,23,FALSE)),""))</f>
        <v>0</v>
      </c>
      <c r="T517" s="212" t="str">
        <f>HYPERLINK((IF((VLOOKUP(Table10[[#This Row],[SKU]],'All Skus'!$A:$AC,2,FALSE))="Martin",(VLOOKUP(Table10[[#This Row],[SKU]],'All Skus'!$A:$AC,24,FALSE)),"")))</f>
        <v/>
      </c>
      <c r="U517" s="228">
        <v>515</v>
      </c>
    </row>
    <row r="518" spans="1:21" hidden="1">
      <c r="A518" s="120" t="s">
        <v>2192</v>
      </c>
      <c r="B518" s="224">
        <f>(IF((VLOOKUP(Table10[[#This Row],[SKU]],'All Skus'!$A:$AC,2,FALSE))="Martin",(VLOOKUP(Table10[[#This Row],[SKU]],'All Skus'!$A:$AC,3,FALSE)),""))</f>
        <v>0</v>
      </c>
      <c r="C518" s="223">
        <f>(IF((VLOOKUP(Table10[[#This Row],[SKU]],'All Skus'!$A:$AC,2,FALSE))="Martin",(VLOOKUP(Table10[[#This Row],[SKU]],'All Skus'!$A:$AC,4,FALSE)),""))</f>
        <v>0</v>
      </c>
      <c r="D518" s="224">
        <f>(IF((VLOOKUP(Table10[[#This Row],[SKU]],'All Skus'!$A:$AC,2,FALSE))="Martin",(VLOOKUP(Table10[[#This Row],[SKU]],'All Skus'!$A:$AC,5,FALSE)),""))</f>
        <v>0</v>
      </c>
      <c r="E518" s="223">
        <f>(IF((VLOOKUP(Table10[[#This Row],[SKU]],'All Skus'!$A:$AC,2,FALSE))="Martin",(VLOOKUP(Table10[[#This Row],[SKU]],'All Skus'!$A:$AC,6,FALSE)),""))</f>
        <v>0</v>
      </c>
      <c r="F518" s="155">
        <f>(IF((VLOOKUP(Table10[[#This Row],[SKU]],'All Skus'!$A:$AC,2,FALSE))="Martin",(VLOOKUP(Table10[[#This Row],[SKU]],'All Skus'!$A:$AC,7,FALSE)),""))</f>
        <v>0</v>
      </c>
      <c r="G518" s="223">
        <f>(IF((VLOOKUP(Table10[[#This Row],[SKU]],'All Skus'!$A:$AC,2,FALSE))="Martin",(VLOOKUP(Table10[[#This Row],[SKU]],'All Skus'!$A:$AC,8,FALSE)),""))</f>
        <v>0</v>
      </c>
      <c r="H518" s="223">
        <f>(IF((VLOOKUP(Table10[[#This Row],[SKU]],'All Skus'!$A:$AC,2,FALSE))="Martin",(VLOOKUP(Table10[[#This Row],[SKU]],'All Skus'!$A:$AC,9,FALSE)),""))</f>
        <v>0</v>
      </c>
      <c r="I518" s="225">
        <f>(IF((VLOOKUP(Table10[[#This Row],[SKU]],'All Skus'!$A:$AC,2,FALSE))="Martin",(VLOOKUP(Table10[[#This Row],[SKU]],'All Skus'!$A:$AC,10,FALSE)),""))</f>
        <v>0</v>
      </c>
      <c r="J518" s="226">
        <f>(IF((VLOOKUP(Table10[[#This Row],[SKU]],'All Skus'!$A:$AC,2,FALSE))="Martin",(VLOOKUP(Table10[[#This Row],[SKU]],'All Skus'!$A:$AC,11,FALSE)),""))</f>
        <v>0</v>
      </c>
      <c r="K518" s="224">
        <f>(IF((VLOOKUP(Table10[[#This Row],[SKU]],'All Skus'!$A:$AC,2,FALSE))="Martin",(VLOOKUP(Table10[[#This Row],[SKU]],'All Skus'!$A:$AC,15,FALSE)),""))</f>
        <v>0</v>
      </c>
      <c r="L518" s="224">
        <f>(IF((VLOOKUP(Table10[[#This Row],[SKU]],'All Skus'!$A:$AC,2,FALSE))="Martin",(VLOOKUP(Table10[[#This Row],[SKU]],'All Skus'!$A:$AC,16,FALSE)),""))</f>
        <v>0</v>
      </c>
      <c r="M518" s="224">
        <f>(IF((VLOOKUP(Table10[[#This Row],[SKU]],'All Skus'!$A:$AC,2,FALSE))="Martin",(VLOOKUP(Table10[[#This Row],[SKU]],'All Skus'!$A:$AC,17,FALSE)),""))</f>
        <v>0</v>
      </c>
      <c r="N518" s="227">
        <f>(IF((VLOOKUP(Table10[[#This Row],[SKU]],'All Skus'!$A:$AC,2,FALSE))="Martin",(VLOOKUP(Table10[[#This Row],[SKU]],'All Skus'!$A:$AC,18,FALSE)),""))</f>
        <v>0</v>
      </c>
      <c r="O518" s="227">
        <f>(IF((VLOOKUP(Table10[[#This Row],[SKU]],'All Skus'!$A:$AC,2,FALSE))="Martin",(VLOOKUP(Table10[[#This Row],[SKU]],'All Skus'!$A:$AC,19,FALSE)),""))</f>
        <v>0</v>
      </c>
      <c r="P518" s="227">
        <f>(IF((VLOOKUP(Table10[[#This Row],[SKU]],'All Skus'!$A:$AC,2,FALSE))="Martin",(VLOOKUP(Table10[[#This Row],[SKU]],'All Skus'!$A:$AC,20,FALSE)),""))</f>
        <v>0</v>
      </c>
      <c r="Q518" s="227">
        <f>(IF((VLOOKUP(Table10[[#This Row],[SKU]],'All Skus'!$A:$AC,2,FALSE))="Martin",(VLOOKUP(Table10[[#This Row],[SKU]],'All Skus'!$A:$AC,21,FALSE)),""))</f>
        <v>0</v>
      </c>
      <c r="R518" s="224">
        <f>(IF((VLOOKUP(Table10[[#This Row],[SKU]],'All Skus'!$A:$AC,2,FALSE))="Martin",(VLOOKUP(Table10[[#This Row],[SKU]],'All Skus'!$A:$AC,22,FALSE)),""))</f>
        <v>0</v>
      </c>
      <c r="S518" s="223">
        <f>(IF((VLOOKUP(Table10[[#This Row],[SKU]],'All Skus'!$A:$AC,2,FALSE))="Martin",(VLOOKUP(Table10[[#This Row],[SKU]],'All Skus'!$A:$AC,23,FALSE)),""))</f>
        <v>0</v>
      </c>
      <c r="T518" s="212" t="str">
        <f>HYPERLINK((IF((VLOOKUP(Table10[[#This Row],[SKU]],'All Skus'!$A:$AC,2,FALSE))="Martin",(VLOOKUP(Table10[[#This Row],[SKU]],'All Skus'!$A:$AC,24,FALSE)),"")))</f>
        <v/>
      </c>
      <c r="U518" s="228">
        <v>516</v>
      </c>
    </row>
    <row r="519" spans="1:21" hidden="1">
      <c r="A519" s="114" t="s">
        <v>2193</v>
      </c>
      <c r="B519" s="224" t="str">
        <f>(IF((VLOOKUP(Table10[[#This Row],[SKU]],'All Skus'!$A:$AC,2,FALSE))="Martin",(VLOOKUP(Table10[[#This Row],[SKU]],'All Skus'!$A:$AC,3,FALSE)),""))</f>
        <v>LED</v>
      </c>
      <c r="C519" s="223" t="str">
        <f>(IF((VLOOKUP(Table10[[#This Row],[SKU]],'All Skus'!$A:$AC,2,FALSE))="Martin",(VLOOKUP(Table10[[#This Row],[SKU]],'All Skus'!$A:$AC,4,FALSE)),""))</f>
        <v>MAC Aura PXL EPS</v>
      </c>
      <c r="D519" s="224" t="str">
        <f>(IF((VLOOKUP(Table10[[#This Row],[SKU]],'All Skus'!$A:$AC,2,FALSE))="Martin",(VLOOKUP(Table10[[#This Row],[SKU]],'All Skus'!$A:$AC,5,FALSE)),""))</f>
        <v>MAR-MAC</v>
      </c>
      <c r="E519" s="223">
        <f>(IF((VLOOKUP(Table10[[#This Row],[SKU]],'All Skus'!$A:$AC,2,FALSE))="Martin",(VLOOKUP(Table10[[#This Row],[SKU]],'All Skus'!$A:$AC,6,FALSE)),""))</f>
        <v>0</v>
      </c>
      <c r="F519" s="155">
        <f>(IF((VLOOKUP(Table10[[#This Row],[SKU]],'All Skus'!$A:$AC,2,FALSE))="Martin",(VLOOKUP(Table10[[#This Row],[SKU]],'All Skus'!$A:$AC,7,FALSE)),""))</f>
        <v>0</v>
      </c>
      <c r="G519" s="223" t="str">
        <f>(IF((VLOOKUP(Table10[[#This Row],[SKU]],'All Skus'!$A:$AC,2,FALSE))="Martin",(VLOOKUP(Table10[[#This Row],[SKU]],'All Skus'!$A:$AC,8,FALSE)),""))</f>
        <v>MAC Aura PXL EPS</v>
      </c>
      <c r="H519" s="223" t="str">
        <f>(IF((VLOOKUP(Table10[[#This Row],[SKU]],'All Skus'!$A:$AC,2,FALSE))="Martin",(VLOOKUP(Table10[[#This Row],[SKU]],'All Skus'!$A:$AC,9,FALSE)),""))</f>
        <v>MAC Aura PXL EPS</v>
      </c>
      <c r="I519" s="225">
        <f>(IF((VLOOKUP(Table10[[#This Row],[SKU]],'All Skus'!$A:$AC,2,FALSE))="Martin",(VLOOKUP(Table10[[#This Row],[SKU]],'All Skus'!$A:$AC,10,FALSE)),""))</f>
        <v>8272.92</v>
      </c>
      <c r="J519" s="226">
        <f>(IF((VLOOKUP(Table10[[#This Row],[SKU]],'All Skus'!$A:$AC,2,FALSE))="Martin",(VLOOKUP(Table10[[#This Row],[SKU]],'All Skus'!$A:$AC,11,FALSE)),""))</f>
        <v>8272.92</v>
      </c>
      <c r="K519" s="224">
        <f>(IF((VLOOKUP(Table10[[#This Row],[SKU]],'All Skus'!$A:$AC,2,FALSE))="Martin",(VLOOKUP(Table10[[#This Row],[SKU]],'All Skus'!$A:$AC,15,FALSE)),""))</f>
        <v>0</v>
      </c>
      <c r="L519" s="224">
        <f>(IF((VLOOKUP(Table10[[#This Row],[SKU]],'All Skus'!$A:$AC,2,FALSE))="Martin",(VLOOKUP(Table10[[#This Row],[SKU]],'All Skus'!$A:$AC,16,FALSE)),""))</f>
        <v>688705006451</v>
      </c>
      <c r="M519" s="224">
        <f>(IF((VLOOKUP(Table10[[#This Row],[SKU]],'All Skus'!$A:$AC,2,FALSE))="Martin",(VLOOKUP(Table10[[#This Row],[SKU]],'All Skus'!$A:$AC,17,FALSE)),""))</f>
        <v>0</v>
      </c>
      <c r="N519" s="227">
        <f>(IF((VLOOKUP(Table10[[#This Row],[SKU]],'All Skus'!$A:$AC,2,FALSE))="Martin",(VLOOKUP(Table10[[#This Row],[SKU]],'All Skus'!$A:$AC,18,FALSE)),""))</f>
        <v>0</v>
      </c>
      <c r="O519" s="227">
        <f>(IF((VLOOKUP(Table10[[#This Row],[SKU]],'All Skus'!$A:$AC,2,FALSE))="Martin",(VLOOKUP(Table10[[#This Row],[SKU]],'All Skus'!$A:$AC,19,FALSE)),""))</f>
        <v>0</v>
      </c>
      <c r="P519" s="227">
        <f>(IF((VLOOKUP(Table10[[#This Row],[SKU]],'All Skus'!$A:$AC,2,FALSE))="Martin",(VLOOKUP(Table10[[#This Row],[SKU]],'All Skus'!$A:$AC,20,FALSE)),""))</f>
        <v>0</v>
      </c>
      <c r="Q519" s="227">
        <f>(IF((VLOOKUP(Table10[[#This Row],[SKU]],'All Skus'!$A:$AC,2,FALSE))="Martin",(VLOOKUP(Table10[[#This Row],[SKU]],'All Skus'!$A:$AC,21,FALSE)),""))</f>
        <v>0</v>
      </c>
      <c r="R519" s="224" t="str">
        <f>(IF((VLOOKUP(Table10[[#This Row],[SKU]],'All Skus'!$A:$AC,2,FALSE))="Martin",(VLOOKUP(Table10[[#This Row],[SKU]],'All Skus'!$A:$AC,22,FALSE)),""))</f>
        <v>HU</v>
      </c>
      <c r="S519" s="223">
        <f>(IF((VLOOKUP(Table10[[#This Row],[SKU]],'All Skus'!$A:$AC,2,FALSE))="Martin",(VLOOKUP(Table10[[#This Row],[SKU]],'All Skus'!$A:$AC,23,FALSE)),""))</f>
        <v>0</v>
      </c>
      <c r="T519" s="212" t="str">
        <f>HYPERLINK((IF((VLOOKUP(Table10[[#This Row],[SKU]],'All Skus'!$A:$AC,2,FALSE))="Martin",(VLOOKUP(Table10[[#This Row],[SKU]],'All Skus'!$A:$AC,24,FALSE)),"")))</f>
        <v/>
      </c>
      <c r="U519" s="228">
        <v>517</v>
      </c>
    </row>
    <row r="520" spans="1:21" hidden="1">
      <c r="A520" s="114" t="s">
        <v>2194</v>
      </c>
      <c r="B520" s="224" t="str">
        <f>(IF((VLOOKUP(Table10[[#This Row],[SKU]],'All Skus'!$A:$AC,2,FALSE))="Martin",(VLOOKUP(Table10[[#This Row],[SKU]],'All Skus'!$A:$AC,3,FALSE)),""))</f>
        <v>LED</v>
      </c>
      <c r="C520" s="223" t="str">
        <f>(IF((VLOOKUP(Table10[[#This Row],[SKU]],'All Skus'!$A:$AC,2,FALSE))="Martin",(VLOOKUP(Table10[[#This Row],[SKU]],'All Skus'!$A:$AC,4,FALSE)),""))</f>
        <v>MAC Aura PXL SIP</v>
      </c>
      <c r="D520" s="224" t="str">
        <f>(IF((VLOOKUP(Table10[[#This Row],[SKU]],'All Skus'!$A:$AC,2,FALSE))="Martin",(VLOOKUP(Table10[[#This Row],[SKU]],'All Skus'!$A:$AC,5,FALSE)),""))</f>
        <v>MAR-MAC</v>
      </c>
      <c r="E520" s="223">
        <f>(IF((VLOOKUP(Table10[[#This Row],[SKU]],'All Skus'!$A:$AC,2,FALSE))="Martin",(VLOOKUP(Table10[[#This Row],[SKU]],'All Skus'!$A:$AC,6,FALSE)),""))</f>
        <v>0</v>
      </c>
      <c r="F520" s="155">
        <f>(IF((VLOOKUP(Table10[[#This Row],[SKU]],'All Skus'!$A:$AC,2,FALSE))="Martin",(VLOOKUP(Table10[[#This Row],[SKU]],'All Skus'!$A:$AC,7,FALSE)),""))</f>
        <v>0</v>
      </c>
      <c r="G520" s="223" t="str">
        <f>(IF((VLOOKUP(Table10[[#This Row],[SKU]],'All Skus'!$A:$AC,2,FALSE))="Martin",(VLOOKUP(Table10[[#This Row],[SKU]],'All Skus'!$A:$AC,8,FALSE)),""))</f>
        <v>MAC Aura PXL SIP</v>
      </c>
      <c r="H520" s="223" t="str">
        <f>(IF((VLOOKUP(Table10[[#This Row],[SKU]],'All Skus'!$A:$AC,2,FALSE))="Martin",(VLOOKUP(Table10[[#This Row],[SKU]],'All Skus'!$A:$AC,9,FALSE)),""))</f>
        <v>MAC Aura PXL SIP</v>
      </c>
      <c r="I520" s="225">
        <f>(IF((VLOOKUP(Table10[[#This Row],[SKU]],'All Skus'!$A:$AC,2,FALSE))="Martin",(VLOOKUP(Table10[[#This Row],[SKU]],'All Skus'!$A:$AC,10,FALSE)),""))</f>
        <v>8766.82</v>
      </c>
      <c r="J520" s="226">
        <f>(IF((VLOOKUP(Table10[[#This Row],[SKU]],'All Skus'!$A:$AC,2,FALSE))="Martin",(VLOOKUP(Table10[[#This Row],[SKU]],'All Skus'!$A:$AC,11,FALSE)),""))</f>
        <v>8766.82</v>
      </c>
      <c r="K520" s="224">
        <f>(IF((VLOOKUP(Table10[[#This Row],[SKU]],'All Skus'!$A:$AC,2,FALSE))="Martin",(VLOOKUP(Table10[[#This Row],[SKU]],'All Skus'!$A:$AC,15,FALSE)),""))</f>
        <v>0</v>
      </c>
      <c r="L520" s="224">
        <f>(IF((VLOOKUP(Table10[[#This Row],[SKU]],'All Skus'!$A:$AC,2,FALSE))="Martin",(VLOOKUP(Table10[[#This Row],[SKU]],'All Skus'!$A:$AC,16,FALSE)),""))</f>
        <v>688705006468</v>
      </c>
      <c r="M520" s="224">
        <f>(IF((VLOOKUP(Table10[[#This Row],[SKU]],'All Skus'!$A:$AC,2,FALSE))="Martin",(VLOOKUP(Table10[[#This Row],[SKU]],'All Skus'!$A:$AC,17,FALSE)),""))</f>
        <v>0</v>
      </c>
      <c r="N520" s="227">
        <f>(IF((VLOOKUP(Table10[[#This Row],[SKU]],'All Skus'!$A:$AC,2,FALSE))="Martin",(VLOOKUP(Table10[[#This Row],[SKU]],'All Skus'!$A:$AC,18,FALSE)),""))</f>
        <v>0</v>
      </c>
      <c r="O520" s="227">
        <f>(IF((VLOOKUP(Table10[[#This Row],[SKU]],'All Skus'!$A:$AC,2,FALSE))="Martin",(VLOOKUP(Table10[[#This Row],[SKU]],'All Skus'!$A:$AC,19,FALSE)),""))</f>
        <v>0</v>
      </c>
      <c r="P520" s="227">
        <f>(IF((VLOOKUP(Table10[[#This Row],[SKU]],'All Skus'!$A:$AC,2,FALSE))="Martin",(VLOOKUP(Table10[[#This Row],[SKU]],'All Skus'!$A:$AC,20,FALSE)),""))</f>
        <v>0</v>
      </c>
      <c r="Q520" s="227">
        <f>(IF((VLOOKUP(Table10[[#This Row],[SKU]],'All Skus'!$A:$AC,2,FALSE))="Martin",(VLOOKUP(Table10[[#This Row],[SKU]],'All Skus'!$A:$AC,21,FALSE)),""))</f>
        <v>0</v>
      </c>
      <c r="R520" s="224" t="str">
        <f>(IF((VLOOKUP(Table10[[#This Row],[SKU]],'All Skus'!$A:$AC,2,FALSE))="Martin",(VLOOKUP(Table10[[#This Row],[SKU]],'All Skus'!$A:$AC,22,FALSE)),""))</f>
        <v>HU</v>
      </c>
      <c r="S520" s="223">
        <f>(IF((VLOOKUP(Table10[[#This Row],[SKU]],'All Skus'!$A:$AC,2,FALSE))="Martin",(VLOOKUP(Table10[[#This Row],[SKU]],'All Skus'!$A:$AC,23,FALSE)),""))</f>
        <v>0</v>
      </c>
      <c r="T520" s="212" t="str">
        <f>HYPERLINK((IF((VLOOKUP(Table10[[#This Row],[SKU]],'All Skus'!$A:$AC,2,FALSE))="Martin",(VLOOKUP(Table10[[#This Row],[SKU]],'All Skus'!$A:$AC,24,FALSE)),"")))</f>
        <v/>
      </c>
      <c r="U520" s="228">
        <v>518</v>
      </c>
    </row>
    <row r="521" spans="1:21" hidden="1">
      <c r="A521" s="223" t="s">
        <v>2195</v>
      </c>
      <c r="B521" s="224" t="str">
        <f>(IF((VLOOKUP(Table10[[#This Row],[SKU]],'All Skus'!$A:$AC,2,FALSE))="Martin",(VLOOKUP(Table10[[#This Row],[SKU]],'All Skus'!$A:$AC,3,FALSE)),""))</f>
        <v>LED</v>
      </c>
      <c r="C521" s="223" t="str">
        <f>(IF((VLOOKUP(Table10[[#This Row],[SKU]],'All Skus'!$A:$AC,2,FALSE))="Martin",(VLOOKUP(Table10[[#This Row],[SKU]],'All Skus'!$A:$AC,4,FALSE)),""))</f>
        <v>MAC Aura PXL, white finish, EPS</v>
      </c>
      <c r="D521" s="224" t="str">
        <f>(IF((VLOOKUP(Table10[[#This Row],[SKU]],'All Skus'!$A:$AC,2,FALSE))="Martin",(VLOOKUP(Table10[[#This Row],[SKU]],'All Skus'!$A:$AC,5,FALSE)),""))</f>
        <v>MAR-MAC</v>
      </c>
      <c r="E521" s="223">
        <f>(IF((VLOOKUP(Table10[[#This Row],[SKU]],'All Skus'!$A:$AC,2,FALSE))="Martin",(VLOOKUP(Table10[[#This Row],[SKU]],'All Skus'!$A:$AC,6,FALSE)),""))</f>
        <v>0</v>
      </c>
      <c r="F521" s="155">
        <f>(IF((VLOOKUP(Table10[[#This Row],[SKU]],'All Skus'!$A:$AC,2,FALSE))="Martin",(VLOOKUP(Table10[[#This Row],[SKU]],'All Skus'!$A:$AC,7,FALSE)),""))</f>
        <v>0</v>
      </c>
      <c r="G521" s="223" t="str">
        <f>(IF((VLOOKUP(Table10[[#This Row],[SKU]],'All Skus'!$A:$AC,2,FALSE))="Martin",(VLOOKUP(Table10[[#This Row],[SKU]],'All Skus'!$A:$AC,8,FALSE)),""))</f>
        <v>MAC Aura PXL, white finish, EPS</v>
      </c>
      <c r="H521" s="223" t="str">
        <f>(IF((VLOOKUP(Table10[[#This Row],[SKU]],'All Skus'!$A:$AC,2,FALSE))="Martin",(VLOOKUP(Table10[[#This Row],[SKU]],'All Skus'!$A:$AC,9,FALSE)),""))</f>
        <v>MAC Aura PXL, white finish, EPS</v>
      </c>
      <c r="I521" s="225">
        <f>(IF((VLOOKUP(Table10[[#This Row],[SKU]],'All Skus'!$A:$AC,2,FALSE))="Martin",(VLOOKUP(Table10[[#This Row],[SKU]],'All Skus'!$A:$AC,10,FALSE)),""))</f>
        <v>9507.68</v>
      </c>
      <c r="J521" s="226">
        <f>(IF((VLOOKUP(Table10[[#This Row],[SKU]],'All Skus'!$A:$AC,2,FALSE))="Martin",(VLOOKUP(Table10[[#This Row],[SKU]],'All Skus'!$A:$AC,11,FALSE)),""))</f>
        <v>9507.68</v>
      </c>
      <c r="K521" s="224">
        <f>(IF((VLOOKUP(Table10[[#This Row],[SKU]],'All Skus'!$A:$AC,2,FALSE))="Martin",(VLOOKUP(Table10[[#This Row],[SKU]],'All Skus'!$A:$AC,15,FALSE)),""))</f>
        <v>0</v>
      </c>
      <c r="L521" s="224">
        <f>(IF((VLOOKUP(Table10[[#This Row],[SKU]],'All Skus'!$A:$AC,2,FALSE))="Martin",(VLOOKUP(Table10[[#This Row],[SKU]],'All Skus'!$A:$AC,16,FALSE)),""))</f>
        <v>688705006475</v>
      </c>
      <c r="M521" s="224">
        <f>(IF((VLOOKUP(Table10[[#This Row],[SKU]],'All Skus'!$A:$AC,2,FALSE))="Martin",(VLOOKUP(Table10[[#This Row],[SKU]],'All Skus'!$A:$AC,17,FALSE)),""))</f>
        <v>0</v>
      </c>
      <c r="N521" s="227">
        <f>(IF((VLOOKUP(Table10[[#This Row],[SKU]],'All Skus'!$A:$AC,2,FALSE))="Martin",(VLOOKUP(Table10[[#This Row],[SKU]],'All Skus'!$A:$AC,18,FALSE)),""))</f>
        <v>0</v>
      </c>
      <c r="O521" s="227">
        <f>(IF((VLOOKUP(Table10[[#This Row],[SKU]],'All Skus'!$A:$AC,2,FALSE))="Martin",(VLOOKUP(Table10[[#This Row],[SKU]],'All Skus'!$A:$AC,19,FALSE)),""))</f>
        <v>0</v>
      </c>
      <c r="P521" s="227">
        <f>(IF((VLOOKUP(Table10[[#This Row],[SKU]],'All Skus'!$A:$AC,2,FALSE))="Martin",(VLOOKUP(Table10[[#This Row],[SKU]],'All Skus'!$A:$AC,20,FALSE)),""))</f>
        <v>0</v>
      </c>
      <c r="Q521" s="227">
        <f>(IF((VLOOKUP(Table10[[#This Row],[SKU]],'All Skus'!$A:$AC,2,FALSE))="Martin",(VLOOKUP(Table10[[#This Row],[SKU]],'All Skus'!$A:$AC,21,FALSE)),""))</f>
        <v>0</v>
      </c>
      <c r="R521" s="224" t="str">
        <f>(IF((VLOOKUP(Table10[[#This Row],[SKU]],'All Skus'!$A:$AC,2,FALSE))="Martin",(VLOOKUP(Table10[[#This Row],[SKU]],'All Skus'!$A:$AC,22,FALSE)),""))</f>
        <v>ZZ</v>
      </c>
      <c r="S521" s="223">
        <f>(IF((VLOOKUP(Table10[[#This Row],[SKU]],'All Skus'!$A:$AC,2,FALSE))="Martin",(VLOOKUP(Table10[[#This Row],[SKU]],'All Skus'!$A:$AC,23,FALSE)),""))</f>
        <v>0</v>
      </c>
      <c r="T521" s="212" t="str">
        <f>HYPERLINK((IF((VLOOKUP(Table10[[#This Row],[SKU]],'All Skus'!$A:$AC,2,FALSE))="Martin",(VLOOKUP(Table10[[#This Row],[SKU]],'All Skus'!$A:$AC,24,FALSE)),"")))</f>
        <v/>
      </c>
      <c r="U521" s="228">
        <v>519</v>
      </c>
    </row>
    <row r="522" spans="1:21" hidden="1">
      <c r="A522" s="120" t="s">
        <v>2196</v>
      </c>
      <c r="B522" s="224">
        <f>(IF((VLOOKUP(Table10[[#This Row],[SKU]],'All Skus'!$A:$AC,2,FALSE))="Martin",(VLOOKUP(Table10[[#This Row],[SKU]],'All Skus'!$A:$AC,3,FALSE)),""))</f>
        <v>0</v>
      </c>
      <c r="C522" s="223">
        <f>(IF((VLOOKUP(Table10[[#This Row],[SKU]],'All Skus'!$A:$AC,2,FALSE))="Martin",(VLOOKUP(Table10[[#This Row],[SKU]],'All Skus'!$A:$AC,4,FALSE)),""))</f>
        <v>0</v>
      </c>
      <c r="D522" s="224">
        <f>(IF((VLOOKUP(Table10[[#This Row],[SKU]],'All Skus'!$A:$AC,2,FALSE))="Martin",(VLOOKUP(Table10[[#This Row],[SKU]],'All Skus'!$A:$AC,5,FALSE)),""))</f>
        <v>0</v>
      </c>
      <c r="E522" s="223">
        <f>(IF((VLOOKUP(Table10[[#This Row],[SKU]],'All Skus'!$A:$AC,2,FALSE))="Martin",(VLOOKUP(Table10[[#This Row],[SKU]],'All Skus'!$A:$AC,6,FALSE)),""))</f>
        <v>0</v>
      </c>
      <c r="F522" s="155">
        <f>(IF((VLOOKUP(Table10[[#This Row],[SKU]],'All Skus'!$A:$AC,2,FALSE))="Martin",(VLOOKUP(Table10[[#This Row],[SKU]],'All Skus'!$A:$AC,7,FALSE)),""))</f>
        <v>0</v>
      </c>
      <c r="G522" s="223">
        <f>(IF((VLOOKUP(Table10[[#This Row],[SKU]],'All Skus'!$A:$AC,2,FALSE))="Martin",(VLOOKUP(Table10[[#This Row],[SKU]],'All Skus'!$A:$AC,8,FALSE)),""))</f>
        <v>0</v>
      </c>
      <c r="H522" s="223">
        <f>(IF((VLOOKUP(Table10[[#This Row],[SKU]],'All Skus'!$A:$AC,2,FALSE))="Martin",(VLOOKUP(Table10[[#This Row],[SKU]],'All Skus'!$A:$AC,9,FALSE)),""))</f>
        <v>0</v>
      </c>
      <c r="I522" s="225">
        <f>(IF((VLOOKUP(Table10[[#This Row],[SKU]],'All Skus'!$A:$AC,2,FALSE))="Martin",(VLOOKUP(Table10[[#This Row],[SKU]],'All Skus'!$A:$AC,10,FALSE)),""))</f>
        <v>0</v>
      </c>
      <c r="J522" s="226">
        <f>(IF((VLOOKUP(Table10[[#This Row],[SKU]],'All Skus'!$A:$AC,2,FALSE))="Martin",(VLOOKUP(Table10[[#This Row],[SKU]],'All Skus'!$A:$AC,11,FALSE)),""))</f>
        <v>0</v>
      </c>
      <c r="K522" s="224">
        <f>(IF((VLOOKUP(Table10[[#This Row],[SKU]],'All Skus'!$A:$AC,2,FALSE))="Martin",(VLOOKUP(Table10[[#This Row],[SKU]],'All Skus'!$A:$AC,15,FALSE)),""))</f>
        <v>0</v>
      </c>
      <c r="L522" s="224">
        <f>(IF((VLOOKUP(Table10[[#This Row],[SKU]],'All Skus'!$A:$AC,2,FALSE))="Martin",(VLOOKUP(Table10[[#This Row],[SKU]],'All Skus'!$A:$AC,16,FALSE)),""))</f>
        <v>0</v>
      </c>
      <c r="M522" s="224">
        <f>(IF((VLOOKUP(Table10[[#This Row],[SKU]],'All Skus'!$A:$AC,2,FALSE))="Martin",(VLOOKUP(Table10[[#This Row],[SKU]],'All Skus'!$A:$AC,17,FALSE)),""))</f>
        <v>0</v>
      </c>
      <c r="N522" s="227">
        <f>(IF((VLOOKUP(Table10[[#This Row],[SKU]],'All Skus'!$A:$AC,2,FALSE))="Martin",(VLOOKUP(Table10[[#This Row],[SKU]],'All Skus'!$A:$AC,18,FALSE)),""))</f>
        <v>0</v>
      </c>
      <c r="O522" s="227">
        <f>(IF((VLOOKUP(Table10[[#This Row],[SKU]],'All Skus'!$A:$AC,2,FALSE))="Martin",(VLOOKUP(Table10[[#This Row],[SKU]],'All Skus'!$A:$AC,19,FALSE)),""))</f>
        <v>0</v>
      </c>
      <c r="P522" s="227">
        <f>(IF((VLOOKUP(Table10[[#This Row],[SKU]],'All Skus'!$A:$AC,2,FALSE))="Martin",(VLOOKUP(Table10[[#This Row],[SKU]],'All Skus'!$A:$AC,20,FALSE)),""))</f>
        <v>0</v>
      </c>
      <c r="Q522" s="227">
        <f>(IF((VLOOKUP(Table10[[#This Row],[SKU]],'All Skus'!$A:$AC,2,FALSE))="Martin",(VLOOKUP(Table10[[#This Row],[SKU]],'All Skus'!$A:$AC,21,FALSE)),""))</f>
        <v>0</v>
      </c>
      <c r="R522" s="224">
        <f>(IF((VLOOKUP(Table10[[#This Row],[SKU]],'All Skus'!$A:$AC,2,FALSE))="Martin",(VLOOKUP(Table10[[#This Row],[SKU]],'All Skus'!$A:$AC,22,FALSE)),""))</f>
        <v>0</v>
      </c>
      <c r="S522" s="223">
        <f>(IF((VLOOKUP(Table10[[#This Row],[SKU]],'All Skus'!$A:$AC,2,FALSE))="Martin",(VLOOKUP(Table10[[#This Row],[SKU]],'All Skus'!$A:$AC,23,FALSE)),""))</f>
        <v>0</v>
      </c>
      <c r="T522" s="212" t="str">
        <f>HYPERLINK((IF((VLOOKUP(Table10[[#This Row],[SKU]],'All Skus'!$A:$AC,2,FALSE))="Martin",(VLOOKUP(Table10[[#This Row],[SKU]],'All Skus'!$A:$AC,24,FALSE)),"")))</f>
        <v/>
      </c>
      <c r="U522" s="228">
        <v>520</v>
      </c>
    </row>
    <row r="523" spans="1:21" hidden="1">
      <c r="A523" s="112" t="s">
        <v>2197</v>
      </c>
      <c r="B523" s="224">
        <f>(IF((VLOOKUP(Table10[[#This Row],[SKU]],'All Skus'!$A:$AC,2,FALSE))="Martin",(VLOOKUP(Table10[[#This Row],[SKU]],'All Skus'!$A:$AC,3,FALSE)),""))</f>
        <v>0</v>
      </c>
      <c r="C523" s="223" t="str">
        <f>(IF((VLOOKUP(Table10[[#This Row],[SKU]],'All Skus'!$A:$AC,2,FALSE))="Martin",(VLOOKUP(Table10[[#This Row],[SKU]],'All Skus'!$A:$AC,4,FALSE)),""))</f>
        <v>MAC Aura PXL SoftLens</v>
      </c>
      <c r="D523" s="224" t="str">
        <f>(IF((VLOOKUP(Table10[[#This Row],[SKU]],'All Skus'!$A:$AC,2,FALSE))="Martin",(VLOOKUP(Table10[[#This Row],[SKU]],'All Skus'!$A:$AC,5,FALSE)),""))</f>
        <v>MAR-MAC</v>
      </c>
      <c r="E523" s="223">
        <f>(IF((VLOOKUP(Table10[[#This Row],[SKU]],'All Skus'!$A:$AC,2,FALSE))="Martin",(VLOOKUP(Table10[[#This Row],[SKU]],'All Skus'!$A:$AC,6,FALSE)),""))</f>
        <v>0</v>
      </c>
      <c r="F523" s="155">
        <f>(IF((VLOOKUP(Table10[[#This Row],[SKU]],'All Skus'!$A:$AC,2,FALSE))="Martin",(VLOOKUP(Table10[[#This Row],[SKU]],'All Skus'!$A:$AC,7,FALSE)),""))</f>
        <v>0</v>
      </c>
      <c r="G523" s="223" t="str">
        <f>(IF((VLOOKUP(Table10[[#This Row],[SKU]],'All Skus'!$A:$AC,2,FALSE))="Martin",(VLOOKUP(Table10[[#This Row],[SKU]],'All Skus'!$A:$AC,8,FALSE)),""))</f>
        <v>MAC Aura PXL SoftLens</v>
      </c>
      <c r="H523" s="223" t="str">
        <f>(IF((VLOOKUP(Table10[[#This Row],[SKU]],'All Skus'!$A:$AC,2,FALSE))="Martin",(VLOOKUP(Table10[[#This Row],[SKU]],'All Skus'!$A:$AC,9,FALSE)),""))</f>
        <v>MAC Aura PXL SoftLens</v>
      </c>
      <c r="I523" s="225">
        <f>(IF((VLOOKUP(Table10[[#This Row],[SKU]],'All Skus'!$A:$AC,2,FALSE))="Martin",(VLOOKUP(Table10[[#This Row],[SKU]],'All Skus'!$A:$AC,10,FALSE)),""))</f>
        <v>123.6</v>
      </c>
      <c r="J523" s="226">
        <f>(IF((VLOOKUP(Table10[[#This Row],[SKU]],'All Skus'!$A:$AC,2,FALSE))="Martin",(VLOOKUP(Table10[[#This Row],[SKU]],'All Skus'!$A:$AC,11,FALSE)),""))</f>
        <v>123.6</v>
      </c>
      <c r="K523" s="224">
        <f>(IF((VLOOKUP(Table10[[#This Row],[SKU]],'All Skus'!$A:$AC,2,FALSE))="Martin",(VLOOKUP(Table10[[#This Row],[SKU]],'All Skus'!$A:$AC,15,FALSE)),""))</f>
        <v>0</v>
      </c>
      <c r="L523" s="224">
        <f>(IF((VLOOKUP(Table10[[#This Row],[SKU]],'All Skus'!$A:$AC,2,FALSE))="Martin",(VLOOKUP(Table10[[#This Row],[SKU]],'All Skus'!$A:$AC,16,FALSE)),""))</f>
        <v>688705008219</v>
      </c>
      <c r="M523" s="224">
        <f>(IF((VLOOKUP(Table10[[#This Row],[SKU]],'All Skus'!$A:$AC,2,FALSE))="Martin",(VLOOKUP(Table10[[#This Row],[SKU]],'All Skus'!$A:$AC,17,FALSE)),""))</f>
        <v>0</v>
      </c>
      <c r="N523" s="227">
        <f>(IF((VLOOKUP(Table10[[#This Row],[SKU]],'All Skus'!$A:$AC,2,FALSE))="Martin",(VLOOKUP(Table10[[#This Row],[SKU]],'All Skus'!$A:$AC,18,FALSE)),""))</f>
        <v>0</v>
      </c>
      <c r="O523" s="227">
        <f>(IF((VLOOKUP(Table10[[#This Row],[SKU]],'All Skus'!$A:$AC,2,FALSE))="Martin",(VLOOKUP(Table10[[#This Row],[SKU]],'All Skus'!$A:$AC,19,FALSE)),""))</f>
        <v>0</v>
      </c>
      <c r="P523" s="227">
        <f>(IF((VLOOKUP(Table10[[#This Row],[SKU]],'All Skus'!$A:$AC,2,FALSE))="Martin",(VLOOKUP(Table10[[#This Row],[SKU]],'All Skus'!$A:$AC,20,FALSE)),""))</f>
        <v>0</v>
      </c>
      <c r="Q523" s="227">
        <f>(IF((VLOOKUP(Table10[[#This Row],[SKU]],'All Skus'!$A:$AC,2,FALSE))="Martin",(VLOOKUP(Table10[[#This Row],[SKU]],'All Skus'!$A:$AC,21,FALSE)),""))</f>
        <v>0</v>
      </c>
      <c r="R523" s="224">
        <f>(IF((VLOOKUP(Table10[[#This Row],[SKU]],'All Skus'!$A:$AC,2,FALSE))="Martin",(VLOOKUP(Table10[[#This Row],[SKU]],'All Skus'!$A:$AC,22,FALSE)),""))</f>
        <v>0</v>
      </c>
      <c r="S523" s="223">
        <f>(IF((VLOOKUP(Table10[[#This Row],[SKU]],'All Skus'!$A:$AC,2,FALSE))="Martin",(VLOOKUP(Table10[[#This Row],[SKU]],'All Skus'!$A:$AC,23,FALSE)),""))</f>
        <v>0</v>
      </c>
      <c r="T523" s="212" t="str">
        <f>HYPERLINK((IF((VLOOKUP(Table10[[#This Row],[SKU]],'All Skus'!$A:$AC,2,FALSE))="Martin",(VLOOKUP(Table10[[#This Row],[SKU]],'All Skus'!$A:$AC,24,FALSE)),"")))</f>
        <v/>
      </c>
      <c r="U523" s="228">
        <v>521</v>
      </c>
    </row>
    <row r="524" spans="1:21" hidden="1">
      <c r="A524" s="112">
        <v>91515052</v>
      </c>
      <c r="B524" s="224" t="str">
        <f>(IF((VLOOKUP(Table10[[#This Row],[SKU]],'All Skus'!$A:$AC,2,FALSE))="Martin",(VLOOKUP(Table10[[#This Row],[SKU]],'All Skus'!$A:$AC,3,FALSE)),""))</f>
        <v>LED</v>
      </c>
      <c r="C524" s="223" t="str">
        <f>(IF((VLOOKUP(Table10[[#This Row],[SKU]],'All Skus'!$A:$AC,2,FALSE))="Martin",(VLOOKUP(Table10[[#This Row],[SKU]],'All Skus'!$A:$AC,4,FALSE)),""))</f>
        <v>Three-unit flight case for MAC Allure/MAC Aura PXL</v>
      </c>
      <c r="D524" s="224" t="str">
        <f>(IF((VLOOKUP(Table10[[#This Row],[SKU]],'All Skus'!$A:$AC,2,FALSE))="Martin",(VLOOKUP(Table10[[#This Row],[SKU]],'All Skus'!$A:$AC,5,FALSE)),""))</f>
        <v>MAR-MAC</v>
      </c>
      <c r="E524" s="223">
        <f>(IF((VLOOKUP(Table10[[#This Row],[SKU]],'All Skus'!$A:$AC,2,FALSE))="Martin",(VLOOKUP(Table10[[#This Row],[SKU]],'All Skus'!$A:$AC,6,FALSE)),""))</f>
        <v>0</v>
      </c>
      <c r="F524" s="155">
        <f>(IF((VLOOKUP(Table10[[#This Row],[SKU]],'All Skus'!$A:$AC,2,FALSE))="Martin",(VLOOKUP(Table10[[#This Row],[SKU]],'All Skus'!$A:$AC,7,FALSE)),""))</f>
        <v>0</v>
      </c>
      <c r="G524" s="223" t="str">
        <f>(IF((VLOOKUP(Table10[[#This Row],[SKU]],'All Skus'!$A:$AC,2,FALSE))="Martin",(VLOOKUP(Table10[[#This Row],[SKU]],'All Skus'!$A:$AC,8,FALSE)),""))</f>
        <v>Three-unit flight case for MAC Allure/MAC Aura PXL</v>
      </c>
      <c r="H524" s="223" t="str">
        <f>(IF((VLOOKUP(Table10[[#This Row],[SKU]],'All Skus'!$A:$AC,2,FALSE))="Martin",(VLOOKUP(Table10[[#This Row],[SKU]],'All Skus'!$A:$AC,9,FALSE)),""))</f>
        <v>Three-unit flight case for MAC Allure/MAC Aura PXL</v>
      </c>
      <c r="I524" s="225">
        <f>(IF((VLOOKUP(Table10[[#This Row],[SKU]],'All Skus'!$A:$AC,2,FALSE))="Martin",(VLOOKUP(Table10[[#This Row],[SKU]],'All Skus'!$A:$AC,10,FALSE)),""))</f>
        <v>1883.02</v>
      </c>
      <c r="J524" s="226">
        <f>(IF((VLOOKUP(Table10[[#This Row],[SKU]],'All Skus'!$A:$AC,2,FALSE))="Martin",(VLOOKUP(Table10[[#This Row],[SKU]],'All Skus'!$A:$AC,11,FALSE)),""))</f>
        <v>1883.02</v>
      </c>
      <c r="K524" s="224">
        <f>(IF((VLOOKUP(Table10[[#This Row],[SKU]],'All Skus'!$A:$AC,2,FALSE))="Martin",(VLOOKUP(Table10[[#This Row],[SKU]],'All Skus'!$A:$AC,15,FALSE)),""))</f>
        <v>0</v>
      </c>
      <c r="L524" s="224">
        <f>(IF((VLOOKUP(Table10[[#This Row],[SKU]],'All Skus'!$A:$AC,2,FALSE))="Martin",(VLOOKUP(Table10[[#This Row],[SKU]],'All Skus'!$A:$AC,16,FALSE)),""))</f>
        <v>5706681005741</v>
      </c>
      <c r="M524" s="224">
        <f>(IF((VLOOKUP(Table10[[#This Row],[SKU]],'All Skus'!$A:$AC,2,FALSE))="Martin",(VLOOKUP(Table10[[#This Row],[SKU]],'All Skus'!$A:$AC,17,FALSE)),""))</f>
        <v>0</v>
      </c>
      <c r="N524" s="227">
        <f>(IF((VLOOKUP(Table10[[#This Row],[SKU]],'All Skus'!$A:$AC,2,FALSE))="Martin",(VLOOKUP(Table10[[#This Row],[SKU]],'All Skus'!$A:$AC,18,FALSE)),""))</f>
        <v>0</v>
      </c>
      <c r="O524" s="227">
        <f>(IF((VLOOKUP(Table10[[#This Row],[SKU]],'All Skus'!$A:$AC,2,FALSE))="Martin",(VLOOKUP(Table10[[#This Row],[SKU]],'All Skus'!$A:$AC,19,FALSE)),""))</f>
        <v>0</v>
      </c>
      <c r="P524" s="227">
        <f>(IF((VLOOKUP(Table10[[#This Row],[SKU]],'All Skus'!$A:$AC,2,FALSE))="Martin",(VLOOKUP(Table10[[#This Row],[SKU]],'All Skus'!$A:$AC,20,FALSE)),""))</f>
        <v>0</v>
      </c>
      <c r="Q524" s="227">
        <f>(IF((VLOOKUP(Table10[[#This Row],[SKU]],'All Skus'!$A:$AC,2,FALSE))="Martin",(VLOOKUP(Table10[[#This Row],[SKU]],'All Skus'!$A:$AC,21,FALSE)),""))</f>
        <v>0</v>
      </c>
      <c r="R524" s="224" t="str">
        <f>(IF((VLOOKUP(Table10[[#This Row],[SKU]],'All Skus'!$A:$AC,2,FALSE))="Martin",(VLOOKUP(Table10[[#This Row],[SKU]],'All Skus'!$A:$AC,22,FALSE)),""))</f>
        <v>DE</v>
      </c>
      <c r="S524" s="223">
        <f>(IF((VLOOKUP(Table10[[#This Row],[SKU]],'All Skus'!$A:$AC,2,FALSE))="Martin",(VLOOKUP(Table10[[#This Row],[SKU]],'All Skus'!$A:$AC,23,FALSE)),""))</f>
        <v>0</v>
      </c>
      <c r="T524" s="212" t="str">
        <f>HYPERLINK((IF((VLOOKUP(Table10[[#This Row],[SKU]],'All Skus'!$A:$AC,2,FALSE))="Martin",(VLOOKUP(Table10[[#This Row],[SKU]],'All Skus'!$A:$AC,24,FALSE)),"")))</f>
        <v/>
      </c>
      <c r="U524" s="228">
        <v>522</v>
      </c>
    </row>
    <row r="525" spans="1:21" hidden="1">
      <c r="A525" s="112" t="s">
        <v>2198</v>
      </c>
      <c r="B525" s="224">
        <f>(IF((VLOOKUP(Table10[[#This Row],[SKU]],'All Skus'!$A:$AC,2,FALSE))="Martin",(VLOOKUP(Table10[[#This Row],[SKU]],'All Skus'!$A:$AC,3,FALSE)),""))</f>
        <v>0</v>
      </c>
      <c r="C525" s="223" t="str">
        <f>(IF((VLOOKUP(Table10[[#This Row],[SKU]],'All Skus'!$A:$AC,2,FALSE))="Martin",(VLOOKUP(Table10[[#This Row],[SKU]],'All Skus'!$A:$AC,4,FALSE)),""))</f>
        <v>SIP Packaging MAC Allure/MAC Aura PXL</v>
      </c>
      <c r="D525" s="224" t="str">
        <f>(IF((VLOOKUP(Table10[[#This Row],[SKU]],'All Skus'!$A:$AC,2,FALSE))="Martin",(VLOOKUP(Table10[[#This Row],[SKU]],'All Skus'!$A:$AC,5,FALSE)),""))</f>
        <v>MAR-MAC</v>
      </c>
      <c r="E525" s="223">
        <f>(IF((VLOOKUP(Table10[[#This Row],[SKU]],'All Skus'!$A:$AC,2,FALSE))="Martin",(VLOOKUP(Table10[[#This Row],[SKU]],'All Skus'!$A:$AC,6,FALSE)),""))</f>
        <v>0</v>
      </c>
      <c r="F525" s="155">
        <f>(IF((VLOOKUP(Table10[[#This Row],[SKU]],'All Skus'!$A:$AC,2,FALSE))="Martin",(VLOOKUP(Table10[[#This Row],[SKU]],'All Skus'!$A:$AC,7,FALSE)),""))</f>
        <v>0</v>
      </c>
      <c r="G525" s="223" t="str">
        <f>(IF((VLOOKUP(Table10[[#This Row],[SKU]],'All Skus'!$A:$AC,2,FALSE))="Martin",(VLOOKUP(Table10[[#This Row],[SKU]],'All Skus'!$A:$AC,8,FALSE)),""))</f>
        <v>SIP Packaging MAC Allure/MAC Aura PXL</v>
      </c>
      <c r="H525" s="223" t="str">
        <f>(IF((VLOOKUP(Table10[[#This Row],[SKU]],'All Skus'!$A:$AC,2,FALSE))="Martin",(VLOOKUP(Table10[[#This Row],[SKU]],'All Skus'!$A:$AC,9,FALSE)),""))</f>
        <v>SIP Packaging MAC Allure/MAC Aura PXL</v>
      </c>
      <c r="I525" s="225">
        <f>(IF((VLOOKUP(Table10[[#This Row],[SKU]],'All Skus'!$A:$AC,2,FALSE))="Martin",(VLOOKUP(Table10[[#This Row],[SKU]],'All Skus'!$A:$AC,10,FALSE)),""))</f>
        <v>555.64</v>
      </c>
      <c r="J525" s="226">
        <f>(IF((VLOOKUP(Table10[[#This Row],[SKU]],'All Skus'!$A:$AC,2,FALSE))="Martin",(VLOOKUP(Table10[[#This Row],[SKU]],'All Skus'!$A:$AC,11,FALSE)),""))</f>
        <v>555.64</v>
      </c>
      <c r="K525" s="224">
        <f>(IF((VLOOKUP(Table10[[#This Row],[SKU]],'All Skus'!$A:$AC,2,FALSE))="Martin",(VLOOKUP(Table10[[#This Row],[SKU]],'All Skus'!$A:$AC,15,FALSE)),""))</f>
        <v>0</v>
      </c>
      <c r="L525" s="224">
        <f>(IF((VLOOKUP(Table10[[#This Row],[SKU]],'All Skus'!$A:$AC,2,FALSE))="Martin",(VLOOKUP(Table10[[#This Row],[SKU]],'All Skus'!$A:$AC,16,FALSE)),""))</f>
        <v>688705005751</v>
      </c>
      <c r="M525" s="224">
        <f>(IF((VLOOKUP(Table10[[#This Row],[SKU]],'All Skus'!$A:$AC,2,FALSE))="Martin",(VLOOKUP(Table10[[#This Row],[SKU]],'All Skus'!$A:$AC,17,FALSE)),""))</f>
        <v>0</v>
      </c>
      <c r="N525" s="227">
        <f>(IF((VLOOKUP(Table10[[#This Row],[SKU]],'All Skus'!$A:$AC,2,FALSE))="Martin",(VLOOKUP(Table10[[#This Row],[SKU]],'All Skus'!$A:$AC,18,FALSE)),""))</f>
        <v>0</v>
      </c>
      <c r="O525" s="227">
        <f>(IF((VLOOKUP(Table10[[#This Row],[SKU]],'All Skus'!$A:$AC,2,FALSE))="Martin",(VLOOKUP(Table10[[#This Row],[SKU]],'All Skus'!$A:$AC,19,FALSE)),""))</f>
        <v>0</v>
      </c>
      <c r="P525" s="227">
        <f>(IF((VLOOKUP(Table10[[#This Row],[SKU]],'All Skus'!$A:$AC,2,FALSE))="Martin",(VLOOKUP(Table10[[#This Row],[SKU]],'All Skus'!$A:$AC,20,FALSE)),""))</f>
        <v>0</v>
      </c>
      <c r="Q525" s="227">
        <f>(IF((VLOOKUP(Table10[[#This Row],[SKU]],'All Skus'!$A:$AC,2,FALSE))="Martin",(VLOOKUP(Table10[[#This Row],[SKU]],'All Skus'!$A:$AC,21,FALSE)),""))</f>
        <v>0</v>
      </c>
      <c r="R525" s="224">
        <f>(IF((VLOOKUP(Table10[[#This Row],[SKU]],'All Skus'!$A:$AC,2,FALSE))="Martin",(VLOOKUP(Table10[[#This Row],[SKU]],'All Skus'!$A:$AC,22,FALSE)),""))</f>
        <v>0</v>
      </c>
      <c r="S525" s="223">
        <f>(IF((VLOOKUP(Table10[[#This Row],[SKU]],'All Skus'!$A:$AC,2,FALSE))="Martin",(VLOOKUP(Table10[[#This Row],[SKU]],'All Skus'!$A:$AC,23,FALSE)),""))</f>
        <v>0</v>
      </c>
      <c r="T525" s="212" t="str">
        <f>HYPERLINK((IF((VLOOKUP(Table10[[#This Row],[SKU]],'All Skus'!$A:$AC,2,FALSE))="Martin",(VLOOKUP(Table10[[#This Row],[SKU]],'All Skus'!$A:$AC,24,FALSE)),"")))</f>
        <v/>
      </c>
      <c r="U525" s="228">
        <v>523</v>
      </c>
    </row>
    <row r="526" spans="1:21" hidden="1">
      <c r="A526" s="111" t="s">
        <v>2199</v>
      </c>
      <c r="B526" s="224">
        <f>(IF((VLOOKUP(Table10[[#This Row],[SKU]],'All Skus'!$A:$AC,2,FALSE))="Martin",(VLOOKUP(Table10[[#This Row],[SKU]],'All Skus'!$A:$AC,3,FALSE)),""))</f>
        <v>0</v>
      </c>
      <c r="C526" s="223">
        <f>(IF((VLOOKUP(Table10[[#This Row],[SKU]],'All Skus'!$A:$AC,2,FALSE))="Martin",(VLOOKUP(Table10[[#This Row],[SKU]],'All Skus'!$A:$AC,4,FALSE)),""))</f>
        <v>0</v>
      </c>
      <c r="D526" s="224">
        <f>(IF((VLOOKUP(Table10[[#This Row],[SKU]],'All Skus'!$A:$AC,2,FALSE))="Martin",(VLOOKUP(Table10[[#This Row],[SKU]],'All Skus'!$A:$AC,5,FALSE)),""))</f>
        <v>0</v>
      </c>
      <c r="E526" s="223">
        <f>(IF((VLOOKUP(Table10[[#This Row],[SKU]],'All Skus'!$A:$AC,2,FALSE))="Martin",(VLOOKUP(Table10[[#This Row],[SKU]],'All Skus'!$A:$AC,6,FALSE)),""))</f>
        <v>0</v>
      </c>
      <c r="F526" s="155">
        <f>(IF((VLOOKUP(Table10[[#This Row],[SKU]],'All Skus'!$A:$AC,2,FALSE))="Martin",(VLOOKUP(Table10[[#This Row],[SKU]],'All Skus'!$A:$AC,7,FALSE)),""))</f>
        <v>0</v>
      </c>
      <c r="G526" s="223">
        <f>(IF((VLOOKUP(Table10[[#This Row],[SKU]],'All Skus'!$A:$AC,2,FALSE))="Martin",(VLOOKUP(Table10[[#This Row],[SKU]],'All Skus'!$A:$AC,8,FALSE)),""))</f>
        <v>0</v>
      </c>
      <c r="H526" s="223">
        <f>(IF((VLOOKUP(Table10[[#This Row],[SKU]],'All Skus'!$A:$AC,2,FALSE))="Martin",(VLOOKUP(Table10[[#This Row],[SKU]],'All Skus'!$A:$AC,9,FALSE)),""))</f>
        <v>0</v>
      </c>
      <c r="I526" s="225">
        <f>(IF((VLOOKUP(Table10[[#This Row],[SKU]],'All Skus'!$A:$AC,2,FALSE))="Martin",(VLOOKUP(Table10[[#This Row],[SKU]],'All Skus'!$A:$AC,10,FALSE)),""))</f>
        <v>0</v>
      </c>
      <c r="J526" s="226">
        <f>(IF((VLOOKUP(Table10[[#This Row],[SKU]],'All Skus'!$A:$AC,2,FALSE))="Martin",(VLOOKUP(Table10[[#This Row],[SKU]],'All Skus'!$A:$AC,11,FALSE)),""))</f>
        <v>0</v>
      </c>
      <c r="K526" s="224">
        <f>(IF((VLOOKUP(Table10[[#This Row],[SKU]],'All Skus'!$A:$AC,2,FALSE))="Martin",(VLOOKUP(Table10[[#This Row],[SKU]],'All Skus'!$A:$AC,15,FALSE)),""))</f>
        <v>0</v>
      </c>
      <c r="L526" s="224">
        <f>(IF((VLOOKUP(Table10[[#This Row],[SKU]],'All Skus'!$A:$AC,2,FALSE))="Martin",(VLOOKUP(Table10[[#This Row],[SKU]],'All Skus'!$A:$AC,16,FALSE)),""))</f>
        <v>0</v>
      </c>
      <c r="M526" s="224">
        <f>(IF((VLOOKUP(Table10[[#This Row],[SKU]],'All Skus'!$A:$AC,2,FALSE))="Martin",(VLOOKUP(Table10[[#This Row],[SKU]],'All Skus'!$A:$AC,17,FALSE)),""))</f>
        <v>0</v>
      </c>
      <c r="N526" s="227">
        <f>(IF((VLOOKUP(Table10[[#This Row],[SKU]],'All Skus'!$A:$AC,2,FALSE))="Martin",(VLOOKUP(Table10[[#This Row],[SKU]],'All Skus'!$A:$AC,18,FALSE)),""))</f>
        <v>0</v>
      </c>
      <c r="O526" s="227">
        <f>(IF((VLOOKUP(Table10[[#This Row],[SKU]],'All Skus'!$A:$AC,2,FALSE))="Martin",(VLOOKUP(Table10[[#This Row],[SKU]],'All Skus'!$A:$AC,19,FALSE)),""))</f>
        <v>0</v>
      </c>
      <c r="P526" s="227">
        <f>(IF((VLOOKUP(Table10[[#This Row],[SKU]],'All Skus'!$A:$AC,2,FALSE))="Martin",(VLOOKUP(Table10[[#This Row],[SKU]],'All Skus'!$A:$AC,20,FALSE)),""))</f>
        <v>0</v>
      </c>
      <c r="Q526" s="227">
        <f>(IF((VLOOKUP(Table10[[#This Row],[SKU]],'All Skus'!$A:$AC,2,FALSE))="Martin",(VLOOKUP(Table10[[#This Row],[SKU]],'All Skus'!$A:$AC,21,FALSE)),""))</f>
        <v>0</v>
      </c>
      <c r="R526" s="224">
        <f>(IF((VLOOKUP(Table10[[#This Row],[SKU]],'All Skus'!$A:$AC,2,FALSE))="Martin",(VLOOKUP(Table10[[#This Row],[SKU]],'All Skus'!$A:$AC,22,FALSE)),""))</f>
        <v>0</v>
      </c>
      <c r="S526" s="223">
        <f>(IF((VLOOKUP(Table10[[#This Row],[SKU]],'All Skus'!$A:$AC,2,FALSE))="Martin",(VLOOKUP(Table10[[#This Row],[SKU]],'All Skus'!$A:$AC,23,FALSE)),""))</f>
        <v>0</v>
      </c>
      <c r="T526" s="212" t="str">
        <f>HYPERLINK((IF((VLOOKUP(Table10[[#This Row],[SKU]],'All Skus'!$A:$AC,2,FALSE))="Martin",(VLOOKUP(Table10[[#This Row],[SKU]],'All Skus'!$A:$AC,24,FALSE)),"")))</f>
        <v/>
      </c>
      <c r="U526" s="228">
        <v>524</v>
      </c>
    </row>
    <row r="527" spans="1:21" hidden="1">
      <c r="A527" s="115" t="s">
        <v>2200</v>
      </c>
      <c r="B527" s="224">
        <f>(IF((VLOOKUP(Table10[[#This Row],[SKU]],'All Skus'!$A:$AC,2,FALSE))="Martin",(VLOOKUP(Table10[[#This Row],[SKU]],'All Skus'!$A:$AC,3,FALSE)),""))</f>
        <v>0</v>
      </c>
      <c r="C527" s="223">
        <f>(IF((VLOOKUP(Table10[[#This Row],[SKU]],'All Skus'!$A:$AC,2,FALSE))="Martin",(VLOOKUP(Table10[[#This Row],[SKU]],'All Skus'!$A:$AC,4,FALSE)),""))</f>
        <v>0</v>
      </c>
      <c r="D527" s="224">
        <f>(IF((VLOOKUP(Table10[[#This Row],[SKU]],'All Skus'!$A:$AC,2,FALSE))="Martin",(VLOOKUP(Table10[[#This Row],[SKU]],'All Skus'!$A:$AC,5,FALSE)),""))</f>
        <v>0</v>
      </c>
      <c r="E527" s="223">
        <f>(IF((VLOOKUP(Table10[[#This Row],[SKU]],'All Skus'!$A:$AC,2,FALSE))="Martin",(VLOOKUP(Table10[[#This Row],[SKU]],'All Skus'!$A:$AC,6,FALSE)),""))</f>
        <v>0</v>
      </c>
      <c r="F527" s="155">
        <f>(IF((VLOOKUP(Table10[[#This Row],[SKU]],'All Skus'!$A:$AC,2,FALSE))="Martin",(VLOOKUP(Table10[[#This Row],[SKU]],'All Skus'!$A:$AC,7,FALSE)),""))</f>
        <v>0</v>
      </c>
      <c r="G527" s="223">
        <f>(IF((VLOOKUP(Table10[[#This Row],[SKU]],'All Skus'!$A:$AC,2,FALSE))="Martin",(VLOOKUP(Table10[[#This Row],[SKU]],'All Skus'!$A:$AC,8,FALSE)),""))</f>
        <v>0</v>
      </c>
      <c r="H527" s="223">
        <f>(IF((VLOOKUP(Table10[[#This Row],[SKU]],'All Skus'!$A:$AC,2,FALSE))="Martin",(VLOOKUP(Table10[[#This Row],[SKU]],'All Skus'!$A:$AC,9,FALSE)),""))</f>
        <v>0</v>
      </c>
      <c r="I527" s="225">
        <f>(IF((VLOOKUP(Table10[[#This Row],[SKU]],'All Skus'!$A:$AC,2,FALSE))="Martin",(VLOOKUP(Table10[[#This Row],[SKU]],'All Skus'!$A:$AC,10,FALSE)),""))</f>
        <v>0</v>
      </c>
      <c r="J527" s="226">
        <f>(IF((VLOOKUP(Table10[[#This Row],[SKU]],'All Skus'!$A:$AC,2,FALSE))="Martin",(VLOOKUP(Table10[[#This Row],[SKU]],'All Skus'!$A:$AC,11,FALSE)),""))</f>
        <v>0</v>
      </c>
      <c r="K527" s="224">
        <f>(IF((VLOOKUP(Table10[[#This Row],[SKU]],'All Skus'!$A:$AC,2,FALSE))="Martin",(VLOOKUP(Table10[[#This Row],[SKU]],'All Skus'!$A:$AC,15,FALSE)),""))</f>
        <v>0</v>
      </c>
      <c r="L527" s="224">
        <f>(IF((VLOOKUP(Table10[[#This Row],[SKU]],'All Skus'!$A:$AC,2,FALSE))="Martin",(VLOOKUP(Table10[[#This Row],[SKU]],'All Skus'!$A:$AC,16,FALSE)),""))</f>
        <v>0</v>
      </c>
      <c r="M527" s="224">
        <f>(IF((VLOOKUP(Table10[[#This Row],[SKU]],'All Skus'!$A:$AC,2,FALSE))="Martin",(VLOOKUP(Table10[[#This Row],[SKU]],'All Skus'!$A:$AC,17,FALSE)),""))</f>
        <v>0</v>
      </c>
      <c r="N527" s="227">
        <f>(IF((VLOOKUP(Table10[[#This Row],[SKU]],'All Skus'!$A:$AC,2,FALSE))="Martin",(VLOOKUP(Table10[[#This Row],[SKU]],'All Skus'!$A:$AC,18,FALSE)),""))</f>
        <v>0</v>
      </c>
      <c r="O527" s="227">
        <f>(IF((VLOOKUP(Table10[[#This Row],[SKU]],'All Skus'!$A:$AC,2,FALSE))="Martin",(VLOOKUP(Table10[[#This Row],[SKU]],'All Skus'!$A:$AC,19,FALSE)),""))</f>
        <v>0</v>
      </c>
      <c r="P527" s="227">
        <f>(IF((VLOOKUP(Table10[[#This Row],[SKU]],'All Skus'!$A:$AC,2,FALSE))="Martin",(VLOOKUP(Table10[[#This Row],[SKU]],'All Skus'!$A:$AC,20,FALSE)),""))</f>
        <v>0</v>
      </c>
      <c r="Q527" s="227">
        <f>(IF((VLOOKUP(Table10[[#This Row],[SKU]],'All Skus'!$A:$AC,2,FALSE))="Martin",(VLOOKUP(Table10[[#This Row],[SKU]],'All Skus'!$A:$AC,21,FALSE)),""))</f>
        <v>0</v>
      </c>
      <c r="R527" s="224">
        <f>(IF((VLOOKUP(Table10[[#This Row],[SKU]],'All Skus'!$A:$AC,2,FALSE))="Martin",(VLOOKUP(Table10[[#This Row],[SKU]],'All Skus'!$A:$AC,22,FALSE)),""))</f>
        <v>0</v>
      </c>
      <c r="S527" s="223">
        <f>(IF((VLOOKUP(Table10[[#This Row],[SKU]],'All Skus'!$A:$AC,2,FALSE))="Martin",(VLOOKUP(Table10[[#This Row],[SKU]],'All Skus'!$A:$AC,23,FALSE)),""))</f>
        <v>0</v>
      </c>
      <c r="T527" s="212" t="str">
        <f>HYPERLINK((IF((VLOOKUP(Table10[[#This Row],[SKU]],'All Skus'!$A:$AC,2,FALSE))="Martin",(VLOOKUP(Table10[[#This Row],[SKU]],'All Skus'!$A:$AC,24,FALSE)),"")))</f>
        <v/>
      </c>
      <c r="U527" s="228">
        <v>525</v>
      </c>
    </row>
    <row r="528" spans="1:21" hidden="1">
      <c r="A528" s="112">
        <v>90490000</v>
      </c>
      <c r="B528" s="224" t="str">
        <f>(IF((VLOOKUP(Table10[[#This Row],[SKU]],'All Skus'!$A:$AC,2,FALSE))="Martin",(VLOOKUP(Table10[[#This Row],[SKU]],'All Skus'!$A:$AC,3,FALSE)),""))</f>
        <v>Automated Lights</v>
      </c>
      <c r="C528" s="223" t="str">
        <f>(IF((VLOOKUP(Table10[[#This Row],[SKU]],'All Skus'!$A:$AC,2,FALSE))="Martin",(VLOOKUP(Table10[[#This Row],[SKU]],'All Skus'!$A:$AC,4,FALSE)),""))</f>
        <v>MAC AXIOM HYBRID SIP</v>
      </c>
      <c r="D528" s="224" t="str">
        <f>(IF((VLOOKUP(Table10[[#This Row],[SKU]],'All Skus'!$A:$AC,2,FALSE))="Martin",(VLOOKUP(Table10[[#This Row],[SKU]],'All Skus'!$A:$AC,5,FALSE)),""))</f>
        <v>MSL-AXIOM</v>
      </c>
      <c r="E528" s="223">
        <f>(IF((VLOOKUP(Table10[[#This Row],[SKU]],'All Skus'!$A:$AC,2,FALSE))="Martin",(VLOOKUP(Table10[[#This Row],[SKU]],'All Skus'!$A:$AC,6,FALSE)),""))</f>
        <v>0</v>
      </c>
      <c r="F528" s="155">
        <f>(IF((VLOOKUP(Table10[[#This Row],[SKU]],'All Skus'!$A:$AC,2,FALSE))="Martin",(VLOOKUP(Table10[[#This Row],[SKU]],'All Skus'!$A:$AC,7,FALSE)),""))</f>
        <v>0</v>
      </c>
      <c r="G528" s="223" t="str">
        <f>(IF((VLOOKUP(Table10[[#This Row],[SKU]],'All Skus'!$A:$AC,2,FALSE))="Martin",(VLOOKUP(Table10[[#This Row],[SKU]],'All Skus'!$A:$AC,8,FALSE)),""))</f>
        <v>MAC AXIOM HYBRID SIP</v>
      </c>
      <c r="H528" s="223" t="str">
        <f>(IF((VLOOKUP(Table10[[#This Row],[SKU]],'All Skus'!$A:$AC,2,FALSE))="Martin",(VLOOKUP(Table10[[#This Row],[SKU]],'All Skus'!$A:$AC,9,FALSE)),""))</f>
        <v>MAC AXIOM HYBRID SIP</v>
      </c>
      <c r="I528" s="225">
        <f>(IF((VLOOKUP(Table10[[#This Row],[SKU]],'All Skus'!$A:$AC,2,FALSE))="Martin",(VLOOKUP(Table10[[#This Row],[SKU]],'All Skus'!$A:$AC,10,FALSE)),""))</f>
        <v>11123</v>
      </c>
      <c r="J528" s="226">
        <f>(IF((VLOOKUP(Table10[[#This Row],[SKU]],'All Skus'!$A:$AC,2,FALSE))="Martin",(VLOOKUP(Table10[[#This Row],[SKU]],'All Skus'!$A:$AC,11,FALSE)),""))</f>
        <v>11123</v>
      </c>
      <c r="K528" s="224">
        <f>(IF((VLOOKUP(Table10[[#This Row],[SKU]],'All Skus'!$A:$AC,2,FALSE))="Martin",(VLOOKUP(Table10[[#This Row],[SKU]],'All Skus'!$A:$AC,15,FALSE)),""))</f>
        <v>0</v>
      </c>
      <c r="L528" s="224">
        <f>(IF((VLOOKUP(Table10[[#This Row],[SKU]],'All Skus'!$A:$AC,2,FALSE))="Martin",(VLOOKUP(Table10[[#This Row],[SKU]],'All Skus'!$A:$AC,16,FALSE)),""))</f>
        <v>5706681235322</v>
      </c>
      <c r="M528" s="224">
        <f>(IF((VLOOKUP(Table10[[#This Row],[SKU]],'All Skus'!$A:$AC,2,FALSE))="Martin",(VLOOKUP(Table10[[#This Row],[SKU]],'All Skus'!$A:$AC,17,FALSE)),""))</f>
        <v>0</v>
      </c>
      <c r="N528" s="227">
        <f>(IF((VLOOKUP(Table10[[#This Row],[SKU]],'All Skus'!$A:$AC,2,FALSE))="Martin",(VLOOKUP(Table10[[#This Row],[SKU]],'All Skus'!$A:$AC,18,FALSE)),""))</f>
        <v>15.8</v>
      </c>
      <c r="O528" s="227">
        <f>(IF((VLOOKUP(Table10[[#This Row],[SKU]],'All Skus'!$A:$AC,2,FALSE))="Martin",(VLOOKUP(Table10[[#This Row],[SKU]],'All Skus'!$A:$AC,19,FALSE)),""))</f>
        <v>16.3</v>
      </c>
      <c r="P528" s="227">
        <f>(IF((VLOOKUP(Table10[[#This Row],[SKU]],'All Skus'!$A:$AC,2,FALSE))="Martin",(VLOOKUP(Table10[[#This Row],[SKU]],'All Skus'!$A:$AC,20,FALSE)),""))</f>
        <v>0</v>
      </c>
      <c r="Q528" s="227">
        <f>(IF((VLOOKUP(Table10[[#This Row],[SKU]],'All Skus'!$A:$AC,2,FALSE))="Martin",(VLOOKUP(Table10[[#This Row],[SKU]],'All Skus'!$A:$AC,21,FALSE)),""))</f>
        <v>0</v>
      </c>
      <c r="R528" s="224" t="str">
        <f>(IF((VLOOKUP(Table10[[#This Row],[SKU]],'All Skus'!$A:$AC,2,FALSE))="Martin",(VLOOKUP(Table10[[#This Row],[SKU]],'All Skus'!$A:$AC,22,FALSE)),""))</f>
        <v>IT</v>
      </c>
      <c r="S528" s="223">
        <f>(IF((VLOOKUP(Table10[[#This Row],[SKU]],'All Skus'!$A:$AC,2,FALSE))="Martin",(VLOOKUP(Table10[[#This Row],[SKU]],'All Skus'!$A:$AC,23,FALSE)),""))</f>
        <v>0</v>
      </c>
      <c r="T528" s="212" t="str">
        <f>HYPERLINK((IF((VLOOKUP(Table10[[#This Row],[SKU]],'All Skus'!$A:$AC,2,FALSE))="Martin",(VLOOKUP(Table10[[#This Row],[SKU]],'All Skus'!$A:$AC,24,FALSE)),"")))</f>
        <v/>
      </c>
      <c r="U528" s="228">
        <v>526</v>
      </c>
    </row>
    <row r="529" spans="1:21" hidden="1">
      <c r="A529" s="114">
        <v>90490005</v>
      </c>
      <c r="B529" s="224">
        <f>(IF((VLOOKUP(Table10[[#This Row],[SKU]],'All Skus'!$A:$AC,2,FALSE))="Martin",(VLOOKUP(Table10[[#This Row],[SKU]],'All Skus'!$A:$AC,3,FALSE)),""))</f>
        <v>0</v>
      </c>
      <c r="C529" s="223" t="str">
        <f>(IF((VLOOKUP(Table10[[#This Row],[SKU]],'All Skus'!$A:$AC,2,FALSE))="Martin",(VLOOKUP(Table10[[#This Row],[SKU]],'All Skus'!$A:$AC,4,FALSE)),""))</f>
        <v>MAC AXIOM HYBRID White</v>
      </c>
      <c r="D529" s="224" t="str">
        <f>(IF((VLOOKUP(Table10[[#This Row],[SKU]],'All Skus'!$A:$AC,2,FALSE))="Martin",(VLOOKUP(Table10[[#This Row],[SKU]],'All Skus'!$A:$AC,5,FALSE)),""))</f>
        <v>MSL-AXIOM</v>
      </c>
      <c r="E529" s="223">
        <f>(IF((VLOOKUP(Table10[[#This Row],[SKU]],'All Skus'!$A:$AC,2,FALSE))="Martin",(VLOOKUP(Table10[[#This Row],[SKU]],'All Skus'!$A:$AC,6,FALSE)),""))</f>
        <v>0</v>
      </c>
      <c r="F529" s="155">
        <f>(IF((VLOOKUP(Table10[[#This Row],[SKU]],'All Skus'!$A:$AC,2,FALSE))="Martin",(VLOOKUP(Table10[[#This Row],[SKU]],'All Skus'!$A:$AC,7,FALSE)),""))</f>
        <v>0</v>
      </c>
      <c r="G529" s="223" t="str">
        <f>(IF((VLOOKUP(Table10[[#This Row],[SKU]],'All Skus'!$A:$AC,2,FALSE))="Martin",(VLOOKUP(Table10[[#This Row],[SKU]],'All Skus'!$A:$AC,8,FALSE)),""))</f>
        <v>MAC AXIOM HYBRID White</v>
      </c>
      <c r="H529" s="223" t="str">
        <f>(IF((VLOOKUP(Table10[[#This Row],[SKU]],'All Skus'!$A:$AC,2,FALSE))="Martin",(VLOOKUP(Table10[[#This Row],[SKU]],'All Skus'!$A:$AC,9,FALSE)),""))</f>
        <v>MAC AXIOM HYBRID White</v>
      </c>
      <c r="I529" s="225">
        <f>(IF((VLOOKUP(Table10[[#This Row],[SKU]],'All Skus'!$A:$AC,2,FALSE))="Martin",(VLOOKUP(Table10[[#This Row],[SKU]],'All Skus'!$A:$AC,10,FALSE)),""))</f>
        <v>14790</v>
      </c>
      <c r="J529" s="226">
        <f>(IF((VLOOKUP(Table10[[#This Row],[SKU]],'All Skus'!$A:$AC,2,FALSE))="Martin",(VLOOKUP(Table10[[#This Row],[SKU]],'All Skus'!$A:$AC,11,FALSE)),""))</f>
        <v>14790</v>
      </c>
      <c r="K529" s="224">
        <f>(IF((VLOOKUP(Table10[[#This Row],[SKU]],'All Skus'!$A:$AC,2,FALSE))="Martin",(VLOOKUP(Table10[[#This Row],[SKU]],'All Skus'!$A:$AC,15,FALSE)),""))</f>
        <v>0</v>
      </c>
      <c r="L529" s="224">
        <f>(IF((VLOOKUP(Table10[[#This Row],[SKU]],'All Skus'!$A:$AC,2,FALSE))="Martin",(VLOOKUP(Table10[[#This Row],[SKU]],'All Skus'!$A:$AC,16,FALSE)),""))</f>
        <v>5706681237623</v>
      </c>
      <c r="M529" s="224">
        <f>(IF((VLOOKUP(Table10[[#This Row],[SKU]],'All Skus'!$A:$AC,2,FALSE))="Martin",(VLOOKUP(Table10[[#This Row],[SKU]],'All Skus'!$A:$AC,17,FALSE)),""))</f>
        <v>0</v>
      </c>
      <c r="N529" s="227">
        <f>(IF((VLOOKUP(Table10[[#This Row],[SKU]],'All Skus'!$A:$AC,2,FALSE))="Martin",(VLOOKUP(Table10[[#This Row],[SKU]],'All Skus'!$A:$AC,18,FALSE)),""))</f>
        <v>0</v>
      </c>
      <c r="O529" s="227">
        <f>(IF((VLOOKUP(Table10[[#This Row],[SKU]],'All Skus'!$A:$AC,2,FALSE))="Martin",(VLOOKUP(Table10[[#This Row],[SKU]],'All Skus'!$A:$AC,19,FALSE)),""))</f>
        <v>0</v>
      </c>
      <c r="P529" s="227">
        <f>(IF((VLOOKUP(Table10[[#This Row],[SKU]],'All Skus'!$A:$AC,2,FALSE))="Martin",(VLOOKUP(Table10[[#This Row],[SKU]],'All Skus'!$A:$AC,20,FALSE)),""))</f>
        <v>0</v>
      </c>
      <c r="Q529" s="227">
        <f>(IF((VLOOKUP(Table10[[#This Row],[SKU]],'All Skus'!$A:$AC,2,FALSE))="Martin",(VLOOKUP(Table10[[#This Row],[SKU]],'All Skus'!$A:$AC,21,FALSE)),""))</f>
        <v>0</v>
      </c>
      <c r="R529" s="224">
        <f>(IF((VLOOKUP(Table10[[#This Row],[SKU]],'All Skus'!$A:$AC,2,FALSE))="Martin",(VLOOKUP(Table10[[#This Row],[SKU]],'All Skus'!$A:$AC,22,FALSE)),""))</f>
        <v>0</v>
      </c>
      <c r="S529" s="223">
        <f>(IF((VLOOKUP(Table10[[#This Row],[SKU]],'All Skus'!$A:$AC,2,FALSE))="Martin",(VLOOKUP(Table10[[#This Row],[SKU]],'All Skus'!$A:$AC,23,FALSE)),""))</f>
        <v>0</v>
      </c>
      <c r="T529" s="212" t="str">
        <f>HYPERLINK((IF((VLOOKUP(Table10[[#This Row],[SKU]],'All Skus'!$A:$AC,2,FALSE))="Martin",(VLOOKUP(Table10[[#This Row],[SKU]],'All Skus'!$A:$AC,24,FALSE)),"")))</f>
        <v/>
      </c>
      <c r="U529" s="228">
        <v>527</v>
      </c>
    </row>
    <row r="530" spans="1:21" hidden="1">
      <c r="A530" s="115" t="s">
        <v>2201</v>
      </c>
      <c r="B530" s="224">
        <f>(IF((VLOOKUP(Table10[[#This Row],[SKU]],'All Skus'!$A:$AC,2,FALSE))="Martin",(VLOOKUP(Table10[[#This Row],[SKU]],'All Skus'!$A:$AC,3,FALSE)),""))</f>
        <v>0</v>
      </c>
      <c r="C530" s="223">
        <f>(IF((VLOOKUP(Table10[[#This Row],[SKU]],'All Skus'!$A:$AC,2,FALSE))="Martin",(VLOOKUP(Table10[[#This Row],[SKU]],'All Skus'!$A:$AC,4,FALSE)),""))</f>
        <v>0</v>
      </c>
      <c r="D530" s="224">
        <f>(IF((VLOOKUP(Table10[[#This Row],[SKU]],'All Skus'!$A:$AC,2,FALSE))="Martin",(VLOOKUP(Table10[[#This Row],[SKU]],'All Skus'!$A:$AC,5,FALSE)),""))</f>
        <v>0</v>
      </c>
      <c r="E530" s="223">
        <f>(IF((VLOOKUP(Table10[[#This Row],[SKU]],'All Skus'!$A:$AC,2,FALSE))="Martin",(VLOOKUP(Table10[[#This Row],[SKU]],'All Skus'!$A:$AC,6,FALSE)),""))</f>
        <v>0</v>
      </c>
      <c r="F530" s="155">
        <f>(IF((VLOOKUP(Table10[[#This Row],[SKU]],'All Skus'!$A:$AC,2,FALSE))="Martin",(VLOOKUP(Table10[[#This Row],[SKU]],'All Skus'!$A:$AC,7,FALSE)),""))</f>
        <v>0</v>
      </c>
      <c r="G530" s="223">
        <f>(IF((VLOOKUP(Table10[[#This Row],[SKU]],'All Skus'!$A:$AC,2,FALSE))="Martin",(VLOOKUP(Table10[[#This Row],[SKU]],'All Skus'!$A:$AC,8,FALSE)),""))</f>
        <v>0</v>
      </c>
      <c r="H530" s="223">
        <f>(IF((VLOOKUP(Table10[[#This Row],[SKU]],'All Skus'!$A:$AC,2,FALSE))="Martin",(VLOOKUP(Table10[[#This Row],[SKU]],'All Skus'!$A:$AC,9,FALSE)),""))</f>
        <v>0</v>
      </c>
      <c r="I530" s="225">
        <f>(IF((VLOOKUP(Table10[[#This Row],[SKU]],'All Skus'!$A:$AC,2,FALSE))="Martin",(VLOOKUP(Table10[[#This Row],[SKU]],'All Skus'!$A:$AC,10,FALSE)),""))</f>
        <v>0</v>
      </c>
      <c r="J530" s="226">
        <f>(IF((VLOOKUP(Table10[[#This Row],[SKU]],'All Skus'!$A:$AC,2,FALSE))="Martin",(VLOOKUP(Table10[[#This Row],[SKU]],'All Skus'!$A:$AC,11,FALSE)),""))</f>
        <v>0</v>
      </c>
      <c r="K530" s="224">
        <f>(IF((VLOOKUP(Table10[[#This Row],[SKU]],'All Skus'!$A:$AC,2,FALSE))="Martin",(VLOOKUP(Table10[[#This Row],[SKU]],'All Skus'!$A:$AC,15,FALSE)),""))</f>
        <v>0</v>
      </c>
      <c r="L530" s="224">
        <f>(IF((VLOOKUP(Table10[[#This Row],[SKU]],'All Skus'!$A:$AC,2,FALSE))="Martin",(VLOOKUP(Table10[[#This Row],[SKU]],'All Skus'!$A:$AC,16,FALSE)),""))</f>
        <v>0</v>
      </c>
      <c r="M530" s="224">
        <f>(IF((VLOOKUP(Table10[[#This Row],[SKU]],'All Skus'!$A:$AC,2,FALSE))="Martin",(VLOOKUP(Table10[[#This Row],[SKU]],'All Skus'!$A:$AC,17,FALSE)),""))</f>
        <v>0</v>
      </c>
      <c r="N530" s="227">
        <f>(IF((VLOOKUP(Table10[[#This Row],[SKU]],'All Skus'!$A:$AC,2,FALSE))="Martin",(VLOOKUP(Table10[[#This Row],[SKU]],'All Skus'!$A:$AC,18,FALSE)),""))</f>
        <v>0</v>
      </c>
      <c r="O530" s="227">
        <f>(IF((VLOOKUP(Table10[[#This Row],[SKU]],'All Skus'!$A:$AC,2,FALSE))="Martin",(VLOOKUP(Table10[[#This Row],[SKU]],'All Skus'!$A:$AC,19,FALSE)),""))</f>
        <v>0</v>
      </c>
      <c r="P530" s="227">
        <f>(IF((VLOOKUP(Table10[[#This Row],[SKU]],'All Skus'!$A:$AC,2,FALSE))="Martin",(VLOOKUP(Table10[[#This Row],[SKU]],'All Skus'!$A:$AC,20,FALSE)),""))</f>
        <v>0</v>
      </c>
      <c r="Q530" s="227">
        <f>(IF((VLOOKUP(Table10[[#This Row],[SKU]],'All Skus'!$A:$AC,2,FALSE))="Martin",(VLOOKUP(Table10[[#This Row],[SKU]],'All Skus'!$A:$AC,21,FALSE)),""))</f>
        <v>0</v>
      </c>
      <c r="R530" s="224">
        <f>(IF((VLOOKUP(Table10[[#This Row],[SKU]],'All Skus'!$A:$AC,2,FALSE))="Martin",(VLOOKUP(Table10[[#This Row],[SKU]],'All Skus'!$A:$AC,22,FALSE)),""))</f>
        <v>0</v>
      </c>
      <c r="S530" s="223">
        <f>(IF((VLOOKUP(Table10[[#This Row],[SKU]],'All Skus'!$A:$AC,2,FALSE))="Martin",(VLOOKUP(Table10[[#This Row],[SKU]],'All Skus'!$A:$AC,23,FALSE)),""))</f>
        <v>0</v>
      </c>
      <c r="T530" s="212" t="str">
        <f>HYPERLINK((IF((VLOOKUP(Table10[[#This Row],[SKU]],'All Skus'!$A:$AC,2,FALSE))="Martin",(VLOOKUP(Table10[[#This Row],[SKU]],'All Skus'!$A:$AC,24,FALSE)),"")))</f>
        <v/>
      </c>
      <c r="U530" s="228">
        <v>528</v>
      </c>
    </row>
    <row r="531" spans="1:21" hidden="1">
      <c r="A531" s="112">
        <v>91515037</v>
      </c>
      <c r="B531" s="224" t="str">
        <f>(IF((VLOOKUP(Table10[[#This Row],[SKU]],'All Skus'!$A:$AC,2,FALSE))="Martin",(VLOOKUP(Table10[[#This Row],[SKU]],'All Skus'!$A:$AC,3,FALSE)),""))</f>
        <v>Automated Lights</v>
      </c>
      <c r="C531" s="223" t="str">
        <f>(IF((VLOOKUP(Table10[[#This Row],[SKU]],'All Skus'!$A:$AC,2,FALSE))="Martin",(VLOOKUP(Table10[[#This Row],[SKU]],'All Skus'!$A:$AC,4,FALSE)),""))</f>
        <v xml:space="preserve">AIR FLIGHTCASE FOR 2X MAC AXIOM HYBRID </v>
      </c>
      <c r="D531" s="224" t="str">
        <f>(IF((VLOOKUP(Table10[[#This Row],[SKU]],'All Skus'!$A:$AC,2,FALSE))="Martin",(VLOOKUP(Table10[[#This Row],[SKU]],'All Skus'!$A:$AC,5,FALSE)),""))</f>
        <v>MSL-AXIOM</v>
      </c>
      <c r="E531" s="223">
        <f>(IF((VLOOKUP(Table10[[#This Row],[SKU]],'All Skus'!$A:$AC,2,FALSE))="Martin",(VLOOKUP(Table10[[#This Row],[SKU]],'All Skus'!$A:$AC,6,FALSE)),""))</f>
        <v>0</v>
      </c>
      <c r="F531" s="155">
        <f>(IF((VLOOKUP(Table10[[#This Row],[SKU]],'All Skus'!$A:$AC,2,FALSE))="Martin",(VLOOKUP(Table10[[#This Row],[SKU]],'All Skus'!$A:$AC,7,FALSE)),""))</f>
        <v>0</v>
      </c>
      <c r="G531" s="223" t="str">
        <f>(IF((VLOOKUP(Table10[[#This Row],[SKU]],'All Skus'!$A:$AC,2,FALSE))="Martin",(VLOOKUP(Table10[[#This Row],[SKU]],'All Skus'!$A:$AC,8,FALSE)),""))</f>
        <v xml:space="preserve">AIR FLIGHTCASE FOR 2X MAC AXIOM HYBRID </v>
      </c>
      <c r="H531" s="223" t="str">
        <f>(IF((VLOOKUP(Table10[[#This Row],[SKU]],'All Skus'!$A:$AC,2,FALSE))="Martin",(VLOOKUP(Table10[[#This Row],[SKU]],'All Skus'!$A:$AC,9,FALSE)),""))</f>
        <v xml:space="preserve">AIR FLIGHTCASE FOR 2X MAC AXIOM HYBRID </v>
      </c>
      <c r="I531" s="225">
        <f>(IF((VLOOKUP(Table10[[#This Row],[SKU]],'All Skus'!$A:$AC,2,FALSE))="Martin",(VLOOKUP(Table10[[#This Row],[SKU]],'All Skus'!$A:$AC,10,FALSE)),""))</f>
        <v>2099</v>
      </c>
      <c r="J531" s="226">
        <f>(IF((VLOOKUP(Table10[[#This Row],[SKU]],'All Skus'!$A:$AC,2,FALSE))="Martin",(VLOOKUP(Table10[[#This Row],[SKU]],'All Skus'!$A:$AC,11,FALSE)),""))</f>
        <v>2099</v>
      </c>
      <c r="K531" s="224">
        <f>(IF((VLOOKUP(Table10[[#This Row],[SKU]],'All Skus'!$A:$AC,2,FALSE))="Martin",(VLOOKUP(Table10[[#This Row],[SKU]],'All Skus'!$A:$AC,15,FALSE)),""))</f>
        <v>0</v>
      </c>
      <c r="L531" s="224">
        <f>(IF((VLOOKUP(Table10[[#This Row],[SKU]],'All Skus'!$A:$AC,2,FALSE))="Martin",(VLOOKUP(Table10[[#This Row],[SKU]],'All Skus'!$A:$AC,16,FALSE)),""))</f>
        <v>0</v>
      </c>
      <c r="M531" s="224">
        <f>(IF((VLOOKUP(Table10[[#This Row],[SKU]],'All Skus'!$A:$AC,2,FALSE))="Martin",(VLOOKUP(Table10[[#This Row],[SKU]],'All Skus'!$A:$AC,17,FALSE)),""))</f>
        <v>0</v>
      </c>
      <c r="N531" s="227">
        <f>(IF((VLOOKUP(Table10[[#This Row],[SKU]],'All Skus'!$A:$AC,2,FALSE))="Martin",(VLOOKUP(Table10[[#This Row],[SKU]],'All Skus'!$A:$AC,18,FALSE)),""))</f>
        <v>37.4</v>
      </c>
      <c r="O531" s="227">
        <f>(IF((VLOOKUP(Table10[[#This Row],[SKU]],'All Skus'!$A:$AC,2,FALSE))="Martin",(VLOOKUP(Table10[[#This Row],[SKU]],'All Skus'!$A:$AC,19,FALSE)),""))</f>
        <v>22.8</v>
      </c>
      <c r="P531" s="227">
        <f>(IF((VLOOKUP(Table10[[#This Row],[SKU]],'All Skus'!$A:$AC,2,FALSE))="Martin",(VLOOKUP(Table10[[#This Row],[SKU]],'All Skus'!$A:$AC,20,FALSE)),""))</f>
        <v>0</v>
      </c>
      <c r="Q531" s="227">
        <f>(IF((VLOOKUP(Table10[[#This Row],[SKU]],'All Skus'!$A:$AC,2,FALSE))="Martin",(VLOOKUP(Table10[[#This Row],[SKU]],'All Skus'!$A:$AC,21,FALSE)),""))</f>
        <v>0</v>
      </c>
      <c r="R531" s="224" t="str">
        <f>(IF((VLOOKUP(Table10[[#This Row],[SKU]],'All Skus'!$A:$AC,2,FALSE))="Martin",(VLOOKUP(Table10[[#This Row],[SKU]],'All Skus'!$A:$AC,22,FALSE)),""))</f>
        <v>DE</v>
      </c>
      <c r="S531" s="223">
        <f>(IF((VLOOKUP(Table10[[#This Row],[SKU]],'All Skus'!$A:$AC,2,FALSE))="Martin",(VLOOKUP(Table10[[#This Row],[SKU]],'All Skus'!$A:$AC,23,FALSE)),""))</f>
        <v>0</v>
      </c>
      <c r="T531" s="212" t="str">
        <f>HYPERLINK((IF((VLOOKUP(Table10[[#This Row],[SKU]],'All Skus'!$A:$AC,2,FALSE))="Martin",(VLOOKUP(Table10[[#This Row],[SKU]],'All Skus'!$A:$AC,24,FALSE)),"")))</f>
        <v>http://www.martin.com/en-us/product-details/mac-axiom-hybrid</v>
      </c>
      <c r="U531" s="228">
        <v>529</v>
      </c>
    </row>
    <row r="532" spans="1:21" hidden="1">
      <c r="A532" s="111" t="s">
        <v>2202</v>
      </c>
      <c r="B532" s="224">
        <f>(IF((VLOOKUP(Table10[[#This Row],[SKU]],'All Skus'!$A:$AC,2,FALSE))="Martin",(VLOOKUP(Table10[[#This Row],[SKU]],'All Skus'!$A:$AC,3,FALSE)),""))</f>
        <v>0</v>
      </c>
      <c r="C532" s="223">
        <f>(IF((VLOOKUP(Table10[[#This Row],[SKU]],'All Skus'!$A:$AC,2,FALSE))="Martin",(VLOOKUP(Table10[[#This Row],[SKU]],'All Skus'!$A:$AC,4,FALSE)),""))</f>
        <v>0</v>
      </c>
      <c r="D532" s="224">
        <f>(IF((VLOOKUP(Table10[[#This Row],[SKU]],'All Skus'!$A:$AC,2,FALSE))="Martin",(VLOOKUP(Table10[[#This Row],[SKU]],'All Skus'!$A:$AC,5,FALSE)),""))</f>
        <v>0</v>
      </c>
      <c r="E532" s="223">
        <f>(IF((VLOOKUP(Table10[[#This Row],[SKU]],'All Skus'!$A:$AC,2,FALSE))="Martin",(VLOOKUP(Table10[[#This Row],[SKU]],'All Skus'!$A:$AC,6,FALSE)),""))</f>
        <v>0</v>
      </c>
      <c r="F532" s="155">
        <f>(IF((VLOOKUP(Table10[[#This Row],[SKU]],'All Skus'!$A:$AC,2,FALSE))="Martin",(VLOOKUP(Table10[[#This Row],[SKU]],'All Skus'!$A:$AC,7,FALSE)),""))</f>
        <v>0</v>
      </c>
      <c r="G532" s="223">
        <f>(IF((VLOOKUP(Table10[[#This Row],[SKU]],'All Skus'!$A:$AC,2,FALSE))="Martin",(VLOOKUP(Table10[[#This Row],[SKU]],'All Skus'!$A:$AC,8,FALSE)),""))</f>
        <v>0</v>
      </c>
      <c r="H532" s="223">
        <f>(IF((VLOOKUP(Table10[[#This Row],[SKU]],'All Skus'!$A:$AC,2,FALSE))="Martin",(VLOOKUP(Table10[[#This Row],[SKU]],'All Skus'!$A:$AC,9,FALSE)),""))</f>
        <v>0</v>
      </c>
      <c r="I532" s="225">
        <f>(IF((VLOOKUP(Table10[[#This Row],[SKU]],'All Skus'!$A:$AC,2,FALSE))="Martin",(VLOOKUP(Table10[[#This Row],[SKU]],'All Skus'!$A:$AC,10,FALSE)),""))</f>
        <v>0</v>
      </c>
      <c r="J532" s="226">
        <f>(IF((VLOOKUP(Table10[[#This Row],[SKU]],'All Skus'!$A:$AC,2,FALSE))="Martin",(VLOOKUP(Table10[[#This Row],[SKU]],'All Skus'!$A:$AC,11,FALSE)),""))</f>
        <v>0</v>
      </c>
      <c r="K532" s="224">
        <f>(IF((VLOOKUP(Table10[[#This Row],[SKU]],'All Skus'!$A:$AC,2,FALSE))="Martin",(VLOOKUP(Table10[[#This Row],[SKU]],'All Skus'!$A:$AC,15,FALSE)),""))</f>
        <v>0</v>
      </c>
      <c r="L532" s="224">
        <f>(IF((VLOOKUP(Table10[[#This Row],[SKU]],'All Skus'!$A:$AC,2,FALSE))="Martin",(VLOOKUP(Table10[[#This Row],[SKU]],'All Skus'!$A:$AC,16,FALSE)),""))</f>
        <v>0</v>
      </c>
      <c r="M532" s="224">
        <f>(IF((VLOOKUP(Table10[[#This Row],[SKU]],'All Skus'!$A:$AC,2,FALSE))="Martin",(VLOOKUP(Table10[[#This Row],[SKU]],'All Skus'!$A:$AC,17,FALSE)),""))</f>
        <v>0</v>
      </c>
      <c r="N532" s="227">
        <f>(IF((VLOOKUP(Table10[[#This Row],[SKU]],'All Skus'!$A:$AC,2,FALSE))="Martin",(VLOOKUP(Table10[[#This Row],[SKU]],'All Skus'!$A:$AC,18,FALSE)),""))</f>
        <v>0</v>
      </c>
      <c r="O532" s="227">
        <f>(IF((VLOOKUP(Table10[[#This Row],[SKU]],'All Skus'!$A:$AC,2,FALSE))="Martin",(VLOOKUP(Table10[[#This Row],[SKU]],'All Skus'!$A:$AC,19,FALSE)),""))</f>
        <v>0</v>
      </c>
      <c r="P532" s="227">
        <f>(IF((VLOOKUP(Table10[[#This Row],[SKU]],'All Skus'!$A:$AC,2,FALSE))="Martin",(VLOOKUP(Table10[[#This Row],[SKU]],'All Skus'!$A:$AC,20,FALSE)),""))</f>
        <v>0</v>
      </c>
      <c r="Q532" s="227">
        <f>(IF((VLOOKUP(Table10[[#This Row],[SKU]],'All Skus'!$A:$AC,2,FALSE))="Martin",(VLOOKUP(Table10[[#This Row],[SKU]],'All Skus'!$A:$AC,21,FALSE)),""))</f>
        <v>0</v>
      </c>
      <c r="R532" s="224">
        <f>(IF((VLOOKUP(Table10[[#This Row],[SKU]],'All Skus'!$A:$AC,2,FALSE))="Martin",(VLOOKUP(Table10[[#This Row],[SKU]],'All Skus'!$A:$AC,22,FALSE)),""))</f>
        <v>0</v>
      </c>
      <c r="S532" s="223">
        <f>(IF((VLOOKUP(Table10[[#This Row],[SKU]],'All Skus'!$A:$AC,2,FALSE))="Martin",(VLOOKUP(Table10[[#This Row],[SKU]],'All Skus'!$A:$AC,23,FALSE)),""))</f>
        <v>0</v>
      </c>
      <c r="T532" s="212" t="str">
        <f>HYPERLINK((IF((VLOOKUP(Table10[[#This Row],[SKU]],'All Skus'!$A:$AC,2,FALSE))="Martin",(VLOOKUP(Table10[[#This Row],[SKU]],'All Skus'!$A:$AC,24,FALSE)),"")))</f>
        <v>http://www.martin.com/en-us/product-details/mac-axiom-hybrid</v>
      </c>
      <c r="U532" s="228">
        <v>530</v>
      </c>
    </row>
    <row r="533" spans="1:21" hidden="1">
      <c r="A533" s="115" t="s">
        <v>2203</v>
      </c>
      <c r="B533" s="224">
        <f>(IF((VLOOKUP(Table10[[#This Row],[SKU]],'All Skus'!$A:$AC,2,FALSE))="Martin",(VLOOKUP(Table10[[#This Row],[SKU]],'All Skus'!$A:$AC,3,FALSE)),""))</f>
        <v>0</v>
      </c>
      <c r="C533" s="223">
        <f>(IF((VLOOKUP(Table10[[#This Row],[SKU]],'All Skus'!$A:$AC,2,FALSE))="Martin",(VLOOKUP(Table10[[#This Row],[SKU]],'All Skus'!$A:$AC,4,FALSE)),""))</f>
        <v>0</v>
      </c>
      <c r="D533" s="224">
        <f>(IF((VLOOKUP(Table10[[#This Row],[SKU]],'All Skus'!$A:$AC,2,FALSE))="Martin",(VLOOKUP(Table10[[#This Row],[SKU]],'All Skus'!$A:$AC,5,FALSE)),""))</f>
        <v>0</v>
      </c>
      <c r="E533" s="223">
        <f>(IF((VLOOKUP(Table10[[#This Row],[SKU]],'All Skus'!$A:$AC,2,FALSE))="Martin",(VLOOKUP(Table10[[#This Row],[SKU]],'All Skus'!$A:$AC,6,FALSE)),""))</f>
        <v>0</v>
      </c>
      <c r="F533" s="155">
        <f>(IF((VLOOKUP(Table10[[#This Row],[SKU]],'All Skus'!$A:$AC,2,FALSE))="Martin",(VLOOKUP(Table10[[#This Row],[SKU]],'All Skus'!$A:$AC,7,FALSE)),""))</f>
        <v>0</v>
      </c>
      <c r="G533" s="223">
        <f>(IF((VLOOKUP(Table10[[#This Row],[SKU]],'All Skus'!$A:$AC,2,FALSE))="Martin",(VLOOKUP(Table10[[#This Row],[SKU]],'All Skus'!$A:$AC,8,FALSE)),""))</f>
        <v>0</v>
      </c>
      <c r="H533" s="223">
        <f>(IF((VLOOKUP(Table10[[#This Row],[SKU]],'All Skus'!$A:$AC,2,FALSE))="Martin",(VLOOKUP(Table10[[#This Row],[SKU]],'All Skus'!$A:$AC,9,FALSE)),""))</f>
        <v>0</v>
      </c>
      <c r="I533" s="225">
        <f>(IF((VLOOKUP(Table10[[#This Row],[SKU]],'All Skus'!$A:$AC,2,FALSE))="Martin",(VLOOKUP(Table10[[#This Row],[SKU]],'All Skus'!$A:$AC,10,FALSE)),""))</f>
        <v>0</v>
      </c>
      <c r="J533" s="226">
        <f>(IF((VLOOKUP(Table10[[#This Row],[SKU]],'All Skus'!$A:$AC,2,FALSE))="Martin",(VLOOKUP(Table10[[#This Row],[SKU]],'All Skus'!$A:$AC,11,FALSE)),""))</f>
        <v>0</v>
      </c>
      <c r="K533" s="224">
        <f>(IF((VLOOKUP(Table10[[#This Row],[SKU]],'All Skus'!$A:$AC,2,FALSE))="Martin",(VLOOKUP(Table10[[#This Row],[SKU]],'All Skus'!$A:$AC,15,FALSE)),""))</f>
        <v>0</v>
      </c>
      <c r="L533" s="224">
        <f>(IF((VLOOKUP(Table10[[#This Row],[SKU]],'All Skus'!$A:$AC,2,FALSE))="Martin",(VLOOKUP(Table10[[#This Row],[SKU]],'All Skus'!$A:$AC,16,FALSE)),""))</f>
        <v>0</v>
      </c>
      <c r="M533" s="224">
        <f>(IF((VLOOKUP(Table10[[#This Row],[SKU]],'All Skus'!$A:$AC,2,FALSE))="Martin",(VLOOKUP(Table10[[#This Row],[SKU]],'All Skus'!$A:$AC,17,FALSE)),""))</f>
        <v>0</v>
      </c>
      <c r="N533" s="227">
        <f>(IF((VLOOKUP(Table10[[#This Row],[SKU]],'All Skus'!$A:$AC,2,FALSE))="Martin",(VLOOKUP(Table10[[#This Row],[SKU]],'All Skus'!$A:$AC,18,FALSE)),""))</f>
        <v>0</v>
      </c>
      <c r="O533" s="227">
        <f>(IF((VLOOKUP(Table10[[#This Row],[SKU]],'All Skus'!$A:$AC,2,FALSE))="Martin",(VLOOKUP(Table10[[#This Row],[SKU]],'All Skus'!$A:$AC,19,FALSE)),""))</f>
        <v>0</v>
      </c>
      <c r="P533" s="227">
        <f>(IF((VLOOKUP(Table10[[#This Row],[SKU]],'All Skus'!$A:$AC,2,FALSE))="Martin",(VLOOKUP(Table10[[#This Row],[SKU]],'All Skus'!$A:$AC,20,FALSE)),""))</f>
        <v>0</v>
      </c>
      <c r="Q533" s="227">
        <f>(IF((VLOOKUP(Table10[[#This Row],[SKU]],'All Skus'!$A:$AC,2,FALSE))="Martin",(VLOOKUP(Table10[[#This Row],[SKU]],'All Skus'!$A:$AC,21,FALSE)),""))</f>
        <v>0</v>
      </c>
      <c r="R533" s="224">
        <f>(IF((VLOOKUP(Table10[[#This Row],[SKU]],'All Skus'!$A:$AC,2,FALSE))="Martin",(VLOOKUP(Table10[[#This Row],[SKU]],'All Skus'!$A:$AC,22,FALSE)),""))</f>
        <v>0</v>
      </c>
      <c r="S533" s="223">
        <f>(IF((VLOOKUP(Table10[[#This Row],[SKU]],'All Skus'!$A:$AC,2,FALSE))="Martin",(VLOOKUP(Table10[[#This Row],[SKU]],'All Skus'!$A:$AC,23,FALSE)),""))</f>
        <v>0</v>
      </c>
      <c r="T533" s="212" t="str">
        <f>HYPERLINK((IF((VLOOKUP(Table10[[#This Row],[SKU]],'All Skus'!$A:$AC,2,FALSE))="Martin",(VLOOKUP(Table10[[#This Row],[SKU]],'All Skus'!$A:$AC,24,FALSE)),"")))</f>
        <v/>
      </c>
      <c r="U533" s="228">
        <v>531</v>
      </c>
    </row>
    <row r="534" spans="1:21" hidden="1">
      <c r="A534" s="90" t="s">
        <v>2204</v>
      </c>
      <c r="B534" s="224" t="str">
        <f>(IF((VLOOKUP(Table10[[#This Row],[SKU]],'All Skus'!$A:$AC,2,FALSE))="Martin",(VLOOKUP(Table10[[#This Row],[SKU]],'All Skus'!$A:$AC,3,FALSE)),""))</f>
        <v>LED</v>
      </c>
      <c r="C534" s="223" t="str">
        <f>(IF((VLOOKUP(Table10[[#This Row],[SKU]],'All Skus'!$A:$AC,2,FALSE))="Martin",(VLOOKUP(Table10[[#This Row],[SKU]],'All Skus'!$A:$AC,4,FALSE)),""))</f>
        <v>MAC ENCORE PERFORMANCE,WRM,EPS</v>
      </c>
      <c r="D534" s="224" t="str">
        <f>(IF((VLOOKUP(Table10[[#This Row],[SKU]],'All Skus'!$A:$AC,2,FALSE))="Martin",(VLOOKUP(Table10[[#This Row],[SKU]],'All Skus'!$A:$AC,5,FALSE)),""))</f>
        <v>MSL-ENCORE</v>
      </c>
      <c r="E534" s="223">
        <f>(IF((VLOOKUP(Table10[[#This Row],[SKU]],'All Skus'!$A:$AC,2,FALSE))="Martin",(VLOOKUP(Table10[[#This Row],[SKU]],'All Skus'!$A:$AC,6,FALSE)),""))</f>
        <v>0</v>
      </c>
      <c r="F534" s="155">
        <f>(IF((VLOOKUP(Table10[[#This Row],[SKU]],'All Skus'!$A:$AC,2,FALSE))="Martin",(VLOOKUP(Table10[[#This Row],[SKU]],'All Skus'!$A:$AC,7,FALSE)),""))</f>
        <v>0</v>
      </c>
      <c r="G534" s="223" t="str">
        <f>(IF((VLOOKUP(Table10[[#This Row],[SKU]],'All Skus'!$A:$AC,2,FALSE))="Martin",(VLOOKUP(Table10[[#This Row],[SKU]],'All Skus'!$A:$AC,8,FALSE)),""))</f>
        <v>MAC ENCORE PERFORMANCE,WRM,EPS</v>
      </c>
      <c r="H534" s="223" t="str">
        <f>(IF((VLOOKUP(Table10[[#This Row],[SKU]],'All Skus'!$A:$AC,2,FALSE))="Martin",(VLOOKUP(Table10[[#This Row],[SKU]],'All Skus'!$A:$AC,9,FALSE)),""))</f>
        <v>MAC ENCORE PERFORMANCE,WRM,EPS</v>
      </c>
      <c r="I534" s="225">
        <f>(IF((VLOOKUP(Table10[[#This Row],[SKU]],'All Skus'!$A:$AC,2,FALSE))="Martin",(VLOOKUP(Table10[[#This Row],[SKU]],'All Skus'!$A:$AC,10,FALSE)),""))</f>
        <v>13520.67</v>
      </c>
      <c r="J534" s="226">
        <f>(IF((VLOOKUP(Table10[[#This Row],[SKU]],'All Skus'!$A:$AC,2,FALSE))="Martin",(VLOOKUP(Table10[[#This Row],[SKU]],'All Skus'!$A:$AC,11,FALSE)),""))</f>
        <v>13520.67</v>
      </c>
      <c r="K534" s="224">
        <f>(IF((VLOOKUP(Table10[[#This Row],[SKU]],'All Skus'!$A:$AC,2,FALSE))="Martin",(VLOOKUP(Table10[[#This Row],[SKU]],'All Skus'!$A:$AC,15,FALSE)),""))</f>
        <v>0</v>
      </c>
      <c r="L534" s="224">
        <f>(IF((VLOOKUP(Table10[[#This Row],[SKU]],'All Skus'!$A:$AC,2,FALSE))="Martin",(VLOOKUP(Table10[[#This Row],[SKU]],'All Skus'!$A:$AC,16,FALSE)),""))</f>
        <v>688705007403</v>
      </c>
      <c r="M534" s="224">
        <f>(IF((VLOOKUP(Table10[[#This Row],[SKU]],'All Skus'!$A:$AC,2,FALSE))="Martin",(VLOOKUP(Table10[[#This Row],[SKU]],'All Skus'!$A:$AC,17,FALSE)),""))</f>
        <v>0</v>
      </c>
      <c r="N534" s="227">
        <f>(IF((VLOOKUP(Table10[[#This Row],[SKU]],'All Skus'!$A:$AC,2,FALSE))="Martin",(VLOOKUP(Table10[[#This Row],[SKU]],'All Skus'!$A:$AC,18,FALSE)),""))</f>
        <v>0</v>
      </c>
      <c r="O534" s="227">
        <f>(IF((VLOOKUP(Table10[[#This Row],[SKU]],'All Skus'!$A:$AC,2,FALSE))="Martin",(VLOOKUP(Table10[[#This Row],[SKU]],'All Skus'!$A:$AC,19,FALSE)),""))</f>
        <v>0</v>
      </c>
      <c r="P534" s="227">
        <f>(IF((VLOOKUP(Table10[[#This Row],[SKU]],'All Skus'!$A:$AC,2,FALSE))="Martin",(VLOOKUP(Table10[[#This Row],[SKU]],'All Skus'!$A:$AC,20,FALSE)),""))</f>
        <v>0</v>
      </c>
      <c r="Q534" s="227">
        <f>(IF((VLOOKUP(Table10[[#This Row],[SKU]],'All Skus'!$A:$AC,2,FALSE))="Martin",(VLOOKUP(Table10[[#This Row],[SKU]],'All Skus'!$A:$AC,21,FALSE)),""))</f>
        <v>0</v>
      </c>
      <c r="R534" s="224" t="str">
        <f>(IF((VLOOKUP(Table10[[#This Row],[SKU]],'All Skus'!$A:$AC,2,FALSE))="Martin",(VLOOKUP(Table10[[#This Row],[SKU]],'All Skus'!$A:$AC,22,FALSE)),""))</f>
        <v>HU</v>
      </c>
      <c r="S534" s="223">
        <f>(IF((VLOOKUP(Table10[[#This Row],[SKU]],'All Skus'!$A:$AC,2,FALSE))="Martin",(VLOOKUP(Table10[[#This Row],[SKU]],'All Skus'!$A:$AC,23,FALSE)),""))</f>
        <v>0</v>
      </c>
      <c r="T534" s="212" t="str">
        <f>HYPERLINK((IF((VLOOKUP(Table10[[#This Row],[SKU]],'All Skus'!$A:$AC,2,FALSE))="Martin",(VLOOKUP(Table10[[#This Row],[SKU]],'All Skus'!$A:$AC,24,FALSE)),"")))</f>
        <v>https://www.martin.com/en-US/products/mac-encore-performance-cld</v>
      </c>
      <c r="U534" s="228">
        <v>532</v>
      </c>
    </row>
    <row r="535" spans="1:21" hidden="1">
      <c r="A535" s="90" t="s">
        <v>2205</v>
      </c>
      <c r="B535" s="224" t="str">
        <f>(IF((VLOOKUP(Table10[[#This Row],[SKU]],'All Skus'!$A:$AC,2,FALSE))="Martin",(VLOOKUP(Table10[[#This Row],[SKU]],'All Skus'!$A:$AC,3,FALSE)),""))</f>
        <v>LED</v>
      </c>
      <c r="C535" s="223" t="str">
        <f>(IF((VLOOKUP(Table10[[#This Row],[SKU]],'All Skus'!$A:$AC,2,FALSE))="Martin",(VLOOKUP(Table10[[#This Row],[SKU]],'All Skus'!$A:$AC,4,FALSE)),""))</f>
        <v>MAC ENCORE PERFORMANCE,WRM,SIP</v>
      </c>
      <c r="D535" s="224" t="str">
        <f>(IF((VLOOKUP(Table10[[#This Row],[SKU]],'All Skus'!$A:$AC,2,FALSE))="Martin",(VLOOKUP(Table10[[#This Row],[SKU]],'All Skus'!$A:$AC,5,FALSE)),""))</f>
        <v>MSL-ENCORE</v>
      </c>
      <c r="E535" s="223">
        <f>(IF((VLOOKUP(Table10[[#This Row],[SKU]],'All Skus'!$A:$AC,2,FALSE))="Martin",(VLOOKUP(Table10[[#This Row],[SKU]],'All Skus'!$A:$AC,6,FALSE)),""))</f>
        <v>0</v>
      </c>
      <c r="F535" s="155">
        <f>(IF((VLOOKUP(Table10[[#This Row],[SKU]],'All Skus'!$A:$AC,2,FALSE))="Martin",(VLOOKUP(Table10[[#This Row],[SKU]],'All Skus'!$A:$AC,7,FALSE)),""))</f>
        <v>0</v>
      </c>
      <c r="G535" s="223" t="str">
        <f>(IF((VLOOKUP(Table10[[#This Row],[SKU]],'All Skus'!$A:$AC,2,FALSE))="Martin",(VLOOKUP(Table10[[#This Row],[SKU]],'All Skus'!$A:$AC,8,FALSE)),""))</f>
        <v>MAC ENCORE PERFORMANCE,WRM,SIP</v>
      </c>
      <c r="H535" s="223" t="str">
        <f>(IF((VLOOKUP(Table10[[#This Row],[SKU]],'All Skus'!$A:$AC,2,FALSE))="Martin",(VLOOKUP(Table10[[#This Row],[SKU]],'All Skus'!$A:$AC,9,FALSE)),""))</f>
        <v>MAC ENCORE PERFORMANCE,WRM,SIP</v>
      </c>
      <c r="I535" s="225">
        <f>(IF((VLOOKUP(Table10[[#This Row],[SKU]],'All Skus'!$A:$AC,2,FALSE))="Martin",(VLOOKUP(Table10[[#This Row],[SKU]],'All Skus'!$A:$AC,10,FALSE)),""))</f>
        <v>13891.1</v>
      </c>
      <c r="J535" s="226">
        <f>(IF((VLOOKUP(Table10[[#This Row],[SKU]],'All Skus'!$A:$AC,2,FALSE))="Martin",(VLOOKUP(Table10[[#This Row],[SKU]],'All Skus'!$A:$AC,11,FALSE)),""))</f>
        <v>13891.1</v>
      </c>
      <c r="K535" s="224">
        <f>(IF((VLOOKUP(Table10[[#This Row],[SKU]],'All Skus'!$A:$AC,2,FALSE))="Martin",(VLOOKUP(Table10[[#This Row],[SKU]],'All Skus'!$A:$AC,15,FALSE)),""))</f>
        <v>0</v>
      </c>
      <c r="L535" s="224">
        <f>(IF((VLOOKUP(Table10[[#This Row],[SKU]],'All Skus'!$A:$AC,2,FALSE))="Martin",(VLOOKUP(Table10[[#This Row],[SKU]],'All Skus'!$A:$AC,16,FALSE)),""))</f>
        <v>0</v>
      </c>
      <c r="M535" s="224">
        <f>(IF((VLOOKUP(Table10[[#This Row],[SKU]],'All Skus'!$A:$AC,2,FALSE))="Martin",(VLOOKUP(Table10[[#This Row],[SKU]],'All Skus'!$A:$AC,17,FALSE)),""))</f>
        <v>0</v>
      </c>
      <c r="N535" s="227">
        <f>(IF((VLOOKUP(Table10[[#This Row],[SKU]],'All Skus'!$A:$AC,2,FALSE))="Martin",(VLOOKUP(Table10[[#This Row],[SKU]],'All Skus'!$A:$AC,18,FALSE)),""))</f>
        <v>0</v>
      </c>
      <c r="O535" s="227">
        <f>(IF((VLOOKUP(Table10[[#This Row],[SKU]],'All Skus'!$A:$AC,2,FALSE))="Martin",(VLOOKUP(Table10[[#This Row],[SKU]],'All Skus'!$A:$AC,19,FALSE)),""))</f>
        <v>0</v>
      </c>
      <c r="P535" s="227">
        <f>(IF((VLOOKUP(Table10[[#This Row],[SKU]],'All Skus'!$A:$AC,2,FALSE))="Martin",(VLOOKUP(Table10[[#This Row],[SKU]],'All Skus'!$A:$AC,20,FALSE)),""))</f>
        <v>0</v>
      </c>
      <c r="Q535" s="227">
        <f>(IF((VLOOKUP(Table10[[#This Row],[SKU]],'All Skus'!$A:$AC,2,FALSE))="Martin",(VLOOKUP(Table10[[#This Row],[SKU]],'All Skus'!$A:$AC,21,FALSE)),""))</f>
        <v>0</v>
      </c>
      <c r="R535" s="224" t="str">
        <f>(IF((VLOOKUP(Table10[[#This Row],[SKU]],'All Skus'!$A:$AC,2,FALSE))="Martin",(VLOOKUP(Table10[[#This Row],[SKU]],'All Skus'!$A:$AC,22,FALSE)),""))</f>
        <v>HU</v>
      </c>
      <c r="S535" s="223">
        <f>(IF((VLOOKUP(Table10[[#This Row],[SKU]],'All Skus'!$A:$AC,2,FALSE))="Martin",(VLOOKUP(Table10[[#This Row],[SKU]],'All Skus'!$A:$AC,23,FALSE)),""))</f>
        <v>0</v>
      </c>
      <c r="T535" s="212" t="str">
        <f>HYPERLINK((IF((VLOOKUP(Table10[[#This Row],[SKU]],'All Skus'!$A:$AC,2,FALSE))="Martin",(VLOOKUP(Table10[[#This Row],[SKU]],'All Skus'!$A:$AC,24,FALSE)),"")))</f>
        <v>https://www.martin.com/en-US/products/mac-encore-performance-cld</v>
      </c>
      <c r="U535" s="228">
        <v>533</v>
      </c>
    </row>
    <row r="536" spans="1:21" hidden="1">
      <c r="A536" s="90" t="s">
        <v>2206</v>
      </c>
      <c r="B536" s="224" t="str">
        <f>(IF((VLOOKUP(Table10[[#This Row],[SKU]],'All Skus'!$A:$AC,2,FALSE))="Martin",(VLOOKUP(Table10[[#This Row],[SKU]],'All Skus'!$A:$AC,3,FALSE)),""))</f>
        <v>LED</v>
      </c>
      <c r="C536" s="223" t="str">
        <f>(IF((VLOOKUP(Table10[[#This Row],[SKU]],'All Skus'!$A:$AC,2,FALSE))="Martin",(VLOOKUP(Table10[[#This Row],[SKU]],'All Skus'!$A:$AC,4,FALSE)),""))</f>
        <v>MAC ENCORE PERFORMANCE,WRM,EPS,WHITE</v>
      </c>
      <c r="D536" s="224" t="str">
        <f>(IF((VLOOKUP(Table10[[#This Row],[SKU]],'All Skus'!$A:$AC,2,FALSE))="Martin",(VLOOKUP(Table10[[#This Row],[SKU]],'All Skus'!$A:$AC,5,FALSE)),""))</f>
        <v>MSL-ENCORE</v>
      </c>
      <c r="E536" s="223">
        <f>(IF((VLOOKUP(Table10[[#This Row],[SKU]],'All Skus'!$A:$AC,2,FALSE))="Martin",(VLOOKUP(Table10[[#This Row],[SKU]],'All Skus'!$A:$AC,6,FALSE)),""))</f>
        <v>0</v>
      </c>
      <c r="F536" s="155">
        <f>(IF((VLOOKUP(Table10[[#This Row],[SKU]],'All Skus'!$A:$AC,2,FALSE))="Martin",(VLOOKUP(Table10[[#This Row],[SKU]],'All Skus'!$A:$AC,7,FALSE)),""))</f>
        <v>0</v>
      </c>
      <c r="G536" s="223" t="str">
        <f>(IF((VLOOKUP(Table10[[#This Row],[SKU]],'All Skus'!$A:$AC,2,FALSE))="Martin",(VLOOKUP(Table10[[#This Row],[SKU]],'All Skus'!$A:$AC,8,FALSE)),""))</f>
        <v>MAC ENCORE PERFORMANCE,WRM,EPS,WHITE</v>
      </c>
      <c r="H536" s="223" t="str">
        <f>(IF((VLOOKUP(Table10[[#This Row],[SKU]],'All Skus'!$A:$AC,2,FALSE))="Martin",(VLOOKUP(Table10[[#This Row],[SKU]],'All Skus'!$A:$AC,9,FALSE)),""))</f>
        <v>MAC ENCORE PERFORMANCE,WRM,EPS,WHITE</v>
      </c>
      <c r="I536" s="225">
        <f>(IF((VLOOKUP(Table10[[#This Row],[SKU]],'All Skus'!$A:$AC,2,FALSE))="Martin",(VLOOKUP(Table10[[#This Row],[SKU]],'All Skus'!$A:$AC,10,FALSE)),""))</f>
        <v>14817.17</v>
      </c>
      <c r="J536" s="226">
        <f>(IF((VLOOKUP(Table10[[#This Row],[SKU]],'All Skus'!$A:$AC,2,FALSE))="Martin",(VLOOKUP(Table10[[#This Row],[SKU]],'All Skus'!$A:$AC,11,FALSE)),""))</f>
        <v>14817.17</v>
      </c>
      <c r="K536" s="224">
        <f>(IF((VLOOKUP(Table10[[#This Row],[SKU]],'All Skus'!$A:$AC,2,FALSE))="Martin",(VLOOKUP(Table10[[#This Row],[SKU]],'All Skus'!$A:$AC,15,FALSE)),""))</f>
        <v>0</v>
      </c>
      <c r="L536" s="224">
        <f>(IF((VLOOKUP(Table10[[#This Row],[SKU]],'All Skus'!$A:$AC,2,FALSE))="Martin",(VLOOKUP(Table10[[#This Row],[SKU]],'All Skus'!$A:$AC,16,FALSE)),""))</f>
        <v>0</v>
      </c>
      <c r="M536" s="224">
        <f>(IF((VLOOKUP(Table10[[#This Row],[SKU]],'All Skus'!$A:$AC,2,FALSE))="Martin",(VLOOKUP(Table10[[#This Row],[SKU]],'All Skus'!$A:$AC,17,FALSE)),""))</f>
        <v>0</v>
      </c>
      <c r="N536" s="227">
        <f>(IF((VLOOKUP(Table10[[#This Row],[SKU]],'All Skus'!$A:$AC,2,FALSE))="Martin",(VLOOKUP(Table10[[#This Row],[SKU]],'All Skus'!$A:$AC,18,FALSE)),""))</f>
        <v>0</v>
      </c>
      <c r="O536" s="227">
        <f>(IF((VLOOKUP(Table10[[#This Row],[SKU]],'All Skus'!$A:$AC,2,FALSE))="Martin",(VLOOKUP(Table10[[#This Row],[SKU]],'All Skus'!$A:$AC,19,FALSE)),""))</f>
        <v>0</v>
      </c>
      <c r="P536" s="227">
        <f>(IF((VLOOKUP(Table10[[#This Row],[SKU]],'All Skus'!$A:$AC,2,FALSE))="Martin",(VLOOKUP(Table10[[#This Row],[SKU]],'All Skus'!$A:$AC,20,FALSE)),""))</f>
        <v>0</v>
      </c>
      <c r="Q536" s="227">
        <f>(IF((VLOOKUP(Table10[[#This Row],[SKU]],'All Skus'!$A:$AC,2,FALSE))="Martin",(VLOOKUP(Table10[[#This Row],[SKU]],'All Skus'!$A:$AC,21,FALSE)),""))</f>
        <v>0</v>
      </c>
      <c r="R536" s="224" t="str">
        <f>(IF((VLOOKUP(Table10[[#This Row],[SKU]],'All Skus'!$A:$AC,2,FALSE))="Martin",(VLOOKUP(Table10[[#This Row],[SKU]],'All Skus'!$A:$AC,22,FALSE)),""))</f>
        <v>HU</v>
      </c>
      <c r="S536" s="223">
        <f>(IF((VLOOKUP(Table10[[#This Row],[SKU]],'All Skus'!$A:$AC,2,FALSE))="Martin",(VLOOKUP(Table10[[#This Row],[SKU]],'All Skus'!$A:$AC,23,FALSE)),""))</f>
        <v>0</v>
      </c>
      <c r="T536" s="212" t="str">
        <f>HYPERLINK((IF((VLOOKUP(Table10[[#This Row],[SKU]],'All Skus'!$A:$AC,2,FALSE))="Martin",(VLOOKUP(Table10[[#This Row],[SKU]],'All Skus'!$A:$AC,24,FALSE)),"")))</f>
        <v>https://www.martin.com/en-US/products/mac-encore-performance-wrm</v>
      </c>
      <c r="U536" s="228">
        <v>534</v>
      </c>
    </row>
    <row r="537" spans="1:21" hidden="1">
      <c r="A537" s="115" t="s">
        <v>2207</v>
      </c>
      <c r="B537" s="224">
        <f>(IF((VLOOKUP(Table10[[#This Row],[SKU]],'All Skus'!$A:$AC,2,FALSE))="Martin",(VLOOKUP(Table10[[#This Row],[SKU]],'All Skus'!$A:$AC,3,FALSE)),""))</f>
        <v>0</v>
      </c>
      <c r="C537" s="223">
        <f>(IF((VLOOKUP(Table10[[#This Row],[SKU]],'All Skus'!$A:$AC,2,FALSE))="Martin",(VLOOKUP(Table10[[#This Row],[SKU]],'All Skus'!$A:$AC,4,FALSE)),""))</f>
        <v>0</v>
      </c>
      <c r="D537" s="224">
        <f>(IF((VLOOKUP(Table10[[#This Row],[SKU]],'All Skus'!$A:$AC,2,FALSE))="Martin",(VLOOKUP(Table10[[#This Row],[SKU]],'All Skus'!$A:$AC,5,FALSE)),""))</f>
        <v>0</v>
      </c>
      <c r="E537" s="223">
        <f>(IF((VLOOKUP(Table10[[#This Row],[SKU]],'All Skus'!$A:$AC,2,FALSE))="Martin",(VLOOKUP(Table10[[#This Row],[SKU]],'All Skus'!$A:$AC,6,FALSE)),""))</f>
        <v>0</v>
      </c>
      <c r="F537" s="155">
        <f>(IF((VLOOKUP(Table10[[#This Row],[SKU]],'All Skus'!$A:$AC,2,FALSE))="Martin",(VLOOKUP(Table10[[#This Row],[SKU]],'All Skus'!$A:$AC,7,FALSE)),""))</f>
        <v>0</v>
      </c>
      <c r="G537" s="223">
        <f>(IF((VLOOKUP(Table10[[#This Row],[SKU]],'All Skus'!$A:$AC,2,FALSE))="Martin",(VLOOKUP(Table10[[#This Row],[SKU]],'All Skus'!$A:$AC,8,FALSE)),""))</f>
        <v>0</v>
      </c>
      <c r="H537" s="223">
        <f>(IF((VLOOKUP(Table10[[#This Row],[SKU]],'All Skus'!$A:$AC,2,FALSE))="Martin",(VLOOKUP(Table10[[#This Row],[SKU]],'All Skus'!$A:$AC,9,FALSE)),""))</f>
        <v>0</v>
      </c>
      <c r="I537" s="225">
        <f>(IF((VLOOKUP(Table10[[#This Row],[SKU]],'All Skus'!$A:$AC,2,FALSE))="Martin",(VLOOKUP(Table10[[#This Row],[SKU]],'All Skus'!$A:$AC,10,FALSE)),""))</f>
        <v>0</v>
      </c>
      <c r="J537" s="226">
        <f>(IF((VLOOKUP(Table10[[#This Row],[SKU]],'All Skus'!$A:$AC,2,FALSE))="Martin",(VLOOKUP(Table10[[#This Row],[SKU]],'All Skus'!$A:$AC,11,FALSE)),""))</f>
        <v>0</v>
      </c>
      <c r="K537" s="224">
        <f>(IF((VLOOKUP(Table10[[#This Row],[SKU]],'All Skus'!$A:$AC,2,FALSE))="Martin",(VLOOKUP(Table10[[#This Row],[SKU]],'All Skus'!$A:$AC,15,FALSE)),""))</f>
        <v>0</v>
      </c>
      <c r="L537" s="224">
        <f>(IF((VLOOKUP(Table10[[#This Row],[SKU]],'All Skus'!$A:$AC,2,FALSE))="Martin",(VLOOKUP(Table10[[#This Row],[SKU]],'All Skus'!$A:$AC,16,FALSE)),""))</f>
        <v>0</v>
      </c>
      <c r="M537" s="224">
        <f>(IF((VLOOKUP(Table10[[#This Row],[SKU]],'All Skus'!$A:$AC,2,FALSE))="Martin",(VLOOKUP(Table10[[#This Row],[SKU]],'All Skus'!$A:$AC,17,FALSE)),""))</f>
        <v>0</v>
      </c>
      <c r="N537" s="227">
        <f>(IF((VLOOKUP(Table10[[#This Row],[SKU]],'All Skus'!$A:$AC,2,FALSE))="Martin",(VLOOKUP(Table10[[#This Row],[SKU]],'All Skus'!$A:$AC,18,FALSE)),""))</f>
        <v>0</v>
      </c>
      <c r="O537" s="227">
        <f>(IF((VLOOKUP(Table10[[#This Row],[SKU]],'All Skus'!$A:$AC,2,FALSE))="Martin",(VLOOKUP(Table10[[#This Row],[SKU]],'All Skus'!$A:$AC,19,FALSE)),""))</f>
        <v>0</v>
      </c>
      <c r="P537" s="227">
        <f>(IF((VLOOKUP(Table10[[#This Row],[SKU]],'All Skus'!$A:$AC,2,FALSE))="Martin",(VLOOKUP(Table10[[#This Row],[SKU]],'All Skus'!$A:$AC,20,FALSE)),""))</f>
        <v>0</v>
      </c>
      <c r="Q537" s="227">
        <f>(IF((VLOOKUP(Table10[[#This Row],[SKU]],'All Skus'!$A:$AC,2,FALSE))="Martin",(VLOOKUP(Table10[[#This Row],[SKU]],'All Skus'!$A:$AC,21,FALSE)),""))</f>
        <v>0</v>
      </c>
      <c r="R537" s="224">
        <f>(IF((VLOOKUP(Table10[[#This Row],[SKU]],'All Skus'!$A:$AC,2,FALSE))="Martin",(VLOOKUP(Table10[[#This Row],[SKU]],'All Skus'!$A:$AC,22,FALSE)),""))</f>
        <v>0</v>
      </c>
      <c r="S537" s="223">
        <f>(IF((VLOOKUP(Table10[[#This Row],[SKU]],'All Skus'!$A:$AC,2,FALSE))="Martin",(VLOOKUP(Table10[[#This Row],[SKU]],'All Skus'!$A:$AC,23,FALSE)),""))</f>
        <v>0</v>
      </c>
      <c r="T537" s="212" t="str">
        <f>HYPERLINK((IF((VLOOKUP(Table10[[#This Row],[SKU]],'All Skus'!$A:$AC,2,FALSE))="Martin",(VLOOKUP(Table10[[#This Row],[SKU]],'All Skus'!$A:$AC,24,FALSE)),"")))</f>
        <v/>
      </c>
      <c r="U537" s="228">
        <v>535</v>
      </c>
    </row>
    <row r="538" spans="1:21" hidden="1">
      <c r="A538" s="90" t="s">
        <v>2208</v>
      </c>
      <c r="B538" s="224" t="str">
        <f>(IF((VLOOKUP(Table10[[#This Row],[SKU]],'All Skus'!$A:$AC,2,FALSE))="Martin",(VLOOKUP(Table10[[#This Row],[SKU]],'All Skus'!$A:$AC,3,FALSE)),""))</f>
        <v>LED</v>
      </c>
      <c r="C538" s="223" t="str">
        <f>(IF((VLOOKUP(Table10[[#This Row],[SKU]],'All Skus'!$A:$AC,2,FALSE))="Martin",(VLOOKUP(Table10[[#This Row],[SKU]],'All Skus'!$A:$AC,4,FALSE)),""))</f>
        <v>MAC ENCORE PERFORMANCE,CLD,EPS</v>
      </c>
      <c r="D538" s="224" t="str">
        <f>(IF((VLOOKUP(Table10[[#This Row],[SKU]],'All Skus'!$A:$AC,2,FALSE))="Martin",(VLOOKUP(Table10[[#This Row],[SKU]],'All Skus'!$A:$AC,5,FALSE)),""))</f>
        <v>MSL-ENCORE</v>
      </c>
      <c r="E538" s="223">
        <f>(IF((VLOOKUP(Table10[[#This Row],[SKU]],'All Skus'!$A:$AC,2,FALSE))="Martin",(VLOOKUP(Table10[[#This Row],[SKU]],'All Skus'!$A:$AC,6,FALSE)),""))</f>
        <v>0</v>
      </c>
      <c r="F538" s="155">
        <f>(IF((VLOOKUP(Table10[[#This Row],[SKU]],'All Skus'!$A:$AC,2,FALSE))="Martin",(VLOOKUP(Table10[[#This Row],[SKU]],'All Skus'!$A:$AC,7,FALSE)),""))</f>
        <v>0</v>
      </c>
      <c r="G538" s="223" t="str">
        <f>(IF((VLOOKUP(Table10[[#This Row],[SKU]],'All Skus'!$A:$AC,2,FALSE))="Martin",(VLOOKUP(Table10[[#This Row],[SKU]],'All Skus'!$A:$AC,8,FALSE)),""))</f>
        <v>MAC ENCORE PERFORMANCE,CLD,EPS</v>
      </c>
      <c r="H538" s="223" t="str">
        <f>(IF((VLOOKUP(Table10[[#This Row],[SKU]],'All Skus'!$A:$AC,2,FALSE))="Martin",(VLOOKUP(Table10[[#This Row],[SKU]],'All Skus'!$A:$AC,9,FALSE)),""))</f>
        <v>MAC ENCORE PERFORMANCE,CLD,EPS</v>
      </c>
      <c r="I538" s="225">
        <f>(IF((VLOOKUP(Table10[[#This Row],[SKU]],'All Skus'!$A:$AC,2,FALSE))="Martin",(VLOOKUP(Table10[[#This Row],[SKU]],'All Skus'!$A:$AC,10,FALSE)),""))</f>
        <v>13520.67</v>
      </c>
      <c r="J538" s="226">
        <f>(IF((VLOOKUP(Table10[[#This Row],[SKU]],'All Skus'!$A:$AC,2,FALSE))="Martin",(VLOOKUP(Table10[[#This Row],[SKU]],'All Skus'!$A:$AC,11,FALSE)),""))</f>
        <v>13520.67</v>
      </c>
      <c r="K538" s="224">
        <f>(IF((VLOOKUP(Table10[[#This Row],[SKU]],'All Skus'!$A:$AC,2,FALSE))="Martin",(VLOOKUP(Table10[[#This Row],[SKU]],'All Skus'!$A:$AC,15,FALSE)),""))</f>
        <v>0</v>
      </c>
      <c r="L538" s="224">
        <f>(IF((VLOOKUP(Table10[[#This Row],[SKU]],'All Skus'!$A:$AC,2,FALSE))="Martin",(VLOOKUP(Table10[[#This Row],[SKU]],'All Skus'!$A:$AC,16,FALSE)),""))</f>
        <v>688705007397</v>
      </c>
      <c r="M538" s="224">
        <f>(IF((VLOOKUP(Table10[[#This Row],[SKU]],'All Skus'!$A:$AC,2,FALSE))="Martin",(VLOOKUP(Table10[[#This Row],[SKU]],'All Skus'!$A:$AC,17,FALSE)),""))</f>
        <v>0</v>
      </c>
      <c r="N538" s="227">
        <f>(IF((VLOOKUP(Table10[[#This Row],[SKU]],'All Skus'!$A:$AC,2,FALSE))="Martin",(VLOOKUP(Table10[[#This Row],[SKU]],'All Skus'!$A:$AC,18,FALSE)),""))</f>
        <v>0</v>
      </c>
      <c r="O538" s="227">
        <f>(IF((VLOOKUP(Table10[[#This Row],[SKU]],'All Skus'!$A:$AC,2,FALSE))="Martin",(VLOOKUP(Table10[[#This Row],[SKU]],'All Skus'!$A:$AC,19,FALSE)),""))</f>
        <v>0</v>
      </c>
      <c r="P538" s="227">
        <f>(IF((VLOOKUP(Table10[[#This Row],[SKU]],'All Skus'!$A:$AC,2,FALSE))="Martin",(VLOOKUP(Table10[[#This Row],[SKU]],'All Skus'!$A:$AC,20,FALSE)),""))</f>
        <v>0</v>
      </c>
      <c r="Q538" s="227">
        <f>(IF((VLOOKUP(Table10[[#This Row],[SKU]],'All Skus'!$A:$AC,2,FALSE))="Martin",(VLOOKUP(Table10[[#This Row],[SKU]],'All Skus'!$A:$AC,21,FALSE)),""))</f>
        <v>0</v>
      </c>
      <c r="R538" s="224" t="str">
        <f>(IF((VLOOKUP(Table10[[#This Row],[SKU]],'All Skus'!$A:$AC,2,FALSE))="Martin",(VLOOKUP(Table10[[#This Row],[SKU]],'All Skus'!$A:$AC,22,FALSE)),""))</f>
        <v>HU</v>
      </c>
      <c r="S538" s="223">
        <f>(IF((VLOOKUP(Table10[[#This Row],[SKU]],'All Skus'!$A:$AC,2,FALSE))="Martin",(VLOOKUP(Table10[[#This Row],[SKU]],'All Skus'!$A:$AC,23,FALSE)),""))</f>
        <v>0</v>
      </c>
      <c r="T538" s="212" t="str">
        <f>HYPERLINK((IF((VLOOKUP(Table10[[#This Row],[SKU]],'All Skus'!$A:$AC,2,FALSE))="Martin",(VLOOKUP(Table10[[#This Row],[SKU]],'All Skus'!$A:$AC,24,FALSE)),"")))</f>
        <v/>
      </c>
      <c r="U538" s="228">
        <v>536</v>
      </c>
    </row>
    <row r="539" spans="1:21" hidden="1">
      <c r="A539" s="90" t="s">
        <v>2209</v>
      </c>
      <c r="B539" s="224" t="str">
        <f>(IF((VLOOKUP(Table10[[#This Row],[SKU]],'All Skus'!$A:$AC,2,FALSE))="Martin",(VLOOKUP(Table10[[#This Row],[SKU]],'All Skus'!$A:$AC,3,FALSE)),""))</f>
        <v>LED</v>
      </c>
      <c r="C539" s="223" t="str">
        <f>(IF((VLOOKUP(Table10[[#This Row],[SKU]],'All Skus'!$A:$AC,2,FALSE))="Martin",(VLOOKUP(Table10[[#This Row],[SKU]],'All Skus'!$A:$AC,4,FALSE)),""))</f>
        <v>MAC ENCORE PERFORMANCE,CLD,SIP</v>
      </c>
      <c r="D539" s="224" t="str">
        <f>(IF((VLOOKUP(Table10[[#This Row],[SKU]],'All Skus'!$A:$AC,2,FALSE))="Martin",(VLOOKUP(Table10[[#This Row],[SKU]],'All Skus'!$A:$AC,5,FALSE)),""))</f>
        <v>MSL-ENCORE</v>
      </c>
      <c r="E539" s="223">
        <f>(IF((VLOOKUP(Table10[[#This Row],[SKU]],'All Skus'!$A:$AC,2,FALSE))="Martin",(VLOOKUP(Table10[[#This Row],[SKU]],'All Skus'!$A:$AC,6,FALSE)),""))</f>
        <v>0</v>
      </c>
      <c r="F539" s="155">
        <f>(IF((VLOOKUP(Table10[[#This Row],[SKU]],'All Skus'!$A:$AC,2,FALSE))="Martin",(VLOOKUP(Table10[[#This Row],[SKU]],'All Skus'!$A:$AC,7,FALSE)),""))</f>
        <v>0</v>
      </c>
      <c r="G539" s="223" t="str">
        <f>(IF((VLOOKUP(Table10[[#This Row],[SKU]],'All Skus'!$A:$AC,2,FALSE))="Martin",(VLOOKUP(Table10[[#This Row],[SKU]],'All Skus'!$A:$AC,8,FALSE)),""))</f>
        <v>MAC ENCORE PERFORMANCE,CLD,SIP</v>
      </c>
      <c r="H539" s="223" t="str">
        <f>(IF((VLOOKUP(Table10[[#This Row],[SKU]],'All Skus'!$A:$AC,2,FALSE))="Martin",(VLOOKUP(Table10[[#This Row],[SKU]],'All Skus'!$A:$AC,9,FALSE)),""))</f>
        <v>MAC ENCORE PERFORMANCE,CLD,SIP</v>
      </c>
      <c r="I539" s="225">
        <f>(IF((VLOOKUP(Table10[[#This Row],[SKU]],'All Skus'!$A:$AC,2,FALSE))="Martin",(VLOOKUP(Table10[[#This Row],[SKU]],'All Skus'!$A:$AC,10,FALSE)),""))</f>
        <v>13891.1</v>
      </c>
      <c r="J539" s="226">
        <f>(IF((VLOOKUP(Table10[[#This Row],[SKU]],'All Skus'!$A:$AC,2,FALSE))="Martin",(VLOOKUP(Table10[[#This Row],[SKU]],'All Skus'!$A:$AC,11,FALSE)),""))</f>
        <v>13891.1</v>
      </c>
      <c r="K539" s="224">
        <f>(IF((VLOOKUP(Table10[[#This Row],[SKU]],'All Skus'!$A:$AC,2,FALSE))="Martin",(VLOOKUP(Table10[[#This Row],[SKU]],'All Skus'!$A:$AC,15,FALSE)),""))</f>
        <v>0</v>
      </c>
      <c r="L539" s="224">
        <f>(IF((VLOOKUP(Table10[[#This Row],[SKU]],'All Skus'!$A:$AC,2,FALSE))="Martin",(VLOOKUP(Table10[[#This Row],[SKU]],'All Skus'!$A:$AC,16,FALSE)),""))</f>
        <v>688705000404</v>
      </c>
      <c r="M539" s="224">
        <f>(IF((VLOOKUP(Table10[[#This Row],[SKU]],'All Skus'!$A:$AC,2,FALSE))="Martin",(VLOOKUP(Table10[[#This Row],[SKU]],'All Skus'!$A:$AC,17,FALSE)),""))</f>
        <v>0</v>
      </c>
      <c r="N539" s="227">
        <f>(IF((VLOOKUP(Table10[[#This Row],[SKU]],'All Skus'!$A:$AC,2,FALSE))="Martin",(VLOOKUP(Table10[[#This Row],[SKU]],'All Skus'!$A:$AC,18,FALSE)),""))</f>
        <v>0</v>
      </c>
      <c r="O539" s="227">
        <f>(IF((VLOOKUP(Table10[[#This Row],[SKU]],'All Skus'!$A:$AC,2,FALSE))="Martin",(VLOOKUP(Table10[[#This Row],[SKU]],'All Skus'!$A:$AC,19,FALSE)),""))</f>
        <v>0</v>
      </c>
      <c r="P539" s="227">
        <f>(IF((VLOOKUP(Table10[[#This Row],[SKU]],'All Skus'!$A:$AC,2,FALSE))="Martin",(VLOOKUP(Table10[[#This Row],[SKU]],'All Skus'!$A:$AC,20,FALSE)),""))</f>
        <v>0</v>
      </c>
      <c r="Q539" s="227">
        <f>(IF((VLOOKUP(Table10[[#This Row],[SKU]],'All Skus'!$A:$AC,2,FALSE))="Martin",(VLOOKUP(Table10[[#This Row],[SKU]],'All Skus'!$A:$AC,21,FALSE)),""))</f>
        <v>0</v>
      </c>
      <c r="R539" s="224" t="str">
        <f>(IF((VLOOKUP(Table10[[#This Row],[SKU]],'All Skus'!$A:$AC,2,FALSE))="Martin",(VLOOKUP(Table10[[#This Row],[SKU]],'All Skus'!$A:$AC,22,FALSE)),""))</f>
        <v>HU</v>
      </c>
      <c r="S539" s="223">
        <f>(IF((VLOOKUP(Table10[[#This Row],[SKU]],'All Skus'!$A:$AC,2,FALSE))="Martin",(VLOOKUP(Table10[[#This Row],[SKU]],'All Skus'!$A:$AC,23,FALSE)),""))</f>
        <v>0</v>
      </c>
      <c r="T539" s="212" t="str">
        <f>HYPERLINK((IF((VLOOKUP(Table10[[#This Row],[SKU]],'All Skus'!$A:$AC,2,FALSE))="Martin",(VLOOKUP(Table10[[#This Row],[SKU]],'All Skus'!$A:$AC,24,FALSE)),"")))</f>
        <v>https://www.martin.com/en-US/products/mac-encore-performance-wrm</v>
      </c>
      <c r="U539" s="228">
        <v>537</v>
      </c>
    </row>
    <row r="540" spans="1:21" hidden="1">
      <c r="A540" s="90" t="s">
        <v>2210</v>
      </c>
      <c r="B540" s="224" t="str">
        <f>(IF((VLOOKUP(Table10[[#This Row],[SKU]],'All Skus'!$A:$AC,2,FALSE))="Martin",(VLOOKUP(Table10[[#This Row],[SKU]],'All Skus'!$A:$AC,3,FALSE)),""))</f>
        <v>LED</v>
      </c>
      <c r="C540" s="223" t="str">
        <f>(IF((VLOOKUP(Table10[[#This Row],[SKU]],'All Skus'!$A:$AC,2,FALSE))="Martin",(VLOOKUP(Table10[[#This Row],[SKU]],'All Skus'!$A:$AC,4,FALSE)),""))</f>
        <v>MAC ENCORE PERFORMANCE,CLD,EPS,WHITE</v>
      </c>
      <c r="D540" s="224" t="str">
        <f>(IF((VLOOKUP(Table10[[#This Row],[SKU]],'All Skus'!$A:$AC,2,FALSE))="Martin",(VLOOKUP(Table10[[#This Row],[SKU]],'All Skus'!$A:$AC,5,FALSE)),""))</f>
        <v>MSL-ENCORE</v>
      </c>
      <c r="E540" s="223">
        <f>(IF((VLOOKUP(Table10[[#This Row],[SKU]],'All Skus'!$A:$AC,2,FALSE))="Martin",(VLOOKUP(Table10[[#This Row],[SKU]],'All Skus'!$A:$AC,6,FALSE)),""))</f>
        <v>0</v>
      </c>
      <c r="F540" s="155">
        <f>(IF((VLOOKUP(Table10[[#This Row],[SKU]],'All Skus'!$A:$AC,2,FALSE))="Martin",(VLOOKUP(Table10[[#This Row],[SKU]],'All Skus'!$A:$AC,7,FALSE)),""))</f>
        <v>0</v>
      </c>
      <c r="G540" s="223" t="str">
        <f>(IF((VLOOKUP(Table10[[#This Row],[SKU]],'All Skus'!$A:$AC,2,FALSE))="Martin",(VLOOKUP(Table10[[#This Row],[SKU]],'All Skus'!$A:$AC,8,FALSE)),""))</f>
        <v>MAC ENCORE PERFORMANCE,CLD,EPS,WHITE</v>
      </c>
      <c r="H540" s="223" t="str">
        <f>(IF((VLOOKUP(Table10[[#This Row],[SKU]],'All Skus'!$A:$AC,2,FALSE))="Martin",(VLOOKUP(Table10[[#This Row],[SKU]],'All Skus'!$A:$AC,9,FALSE)),""))</f>
        <v>MAC ENCORE PERFORMANCE,CLD,EPS,WHITE</v>
      </c>
      <c r="I540" s="225">
        <f>(IF((VLOOKUP(Table10[[#This Row],[SKU]],'All Skus'!$A:$AC,2,FALSE))="Martin",(VLOOKUP(Table10[[#This Row],[SKU]],'All Skus'!$A:$AC,10,FALSE)),""))</f>
        <v>14817.17</v>
      </c>
      <c r="J540" s="226">
        <f>(IF((VLOOKUP(Table10[[#This Row],[SKU]],'All Skus'!$A:$AC,2,FALSE))="Martin",(VLOOKUP(Table10[[#This Row],[SKU]],'All Skus'!$A:$AC,11,FALSE)),""))</f>
        <v>14817.17</v>
      </c>
      <c r="K540" s="224">
        <f>(IF((VLOOKUP(Table10[[#This Row],[SKU]],'All Skus'!$A:$AC,2,FALSE))="Martin",(VLOOKUP(Table10[[#This Row],[SKU]],'All Skus'!$A:$AC,15,FALSE)),""))</f>
        <v>0</v>
      </c>
      <c r="L540" s="224">
        <f>(IF((VLOOKUP(Table10[[#This Row],[SKU]],'All Skus'!$A:$AC,2,FALSE))="Martin",(VLOOKUP(Table10[[#This Row],[SKU]],'All Skus'!$A:$AC,16,FALSE)),""))</f>
        <v>0</v>
      </c>
      <c r="M540" s="224">
        <f>(IF((VLOOKUP(Table10[[#This Row],[SKU]],'All Skus'!$A:$AC,2,FALSE))="Martin",(VLOOKUP(Table10[[#This Row],[SKU]],'All Skus'!$A:$AC,17,FALSE)),""))</f>
        <v>0</v>
      </c>
      <c r="N540" s="227">
        <f>(IF((VLOOKUP(Table10[[#This Row],[SKU]],'All Skus'!$A:$AC,2,FALSE))="Martin",(VLOOKUP(Table10[[#This Row],[SKU]],'All Skus'!$A:$AC,18,FALSE)),""))</f>
        <v>0</v>
      </c>
      <c r="O540" s="227">
        <f>(IF((VLOOKUP(Table10[[#This Row],[SKU]],'All Skus'!$A:$AC,2,FALSE))="Martin",(VLOOKUP(Table10[[#This Row],[SKU]],'All Skus'!$A:$AC,19,FALSE)),""))</f>
        <v>0</v>
      </c>
      <c r="P540" s="227">
        <f>(IF((VLOOKUP(Table10[[#This Row],[SKU]],'All Skus'!$A:$AC,2,FALSE))="Martin",(VLOOKUP(Table10[[#This Row],[SKU]],'All Skus'!$A:$AC,20,FALSE)),""))</f>
        <v>0</v>
      </c>
      <c r="Q540" s="227">
        <f>(IF((VLOOKUP(Table10[[#This Row],[SKU]],'All Skus'!$A:$AC,2,FALSE))="Martin",(VLOOKUP(Table10[[#This Row],[SKU]],'All Skus'!$A:$AC,21,FALSE)),""))</f>
        <v>0</v>
      </c>
      <c r="R540" s="224" t="str">
        <f>(IF((VLOOKUP(Table10[[#This Row],[SKU]],'All Skus'!$A:$AC,2,FALSE))="Martin",(VLOOKUP(Table10[[#This Row],[SKU]],'All Skus'!$A:$AC,22,FALSE)),""))</f>
        <v>HU</v>
      </c>
      <c r="S540" s="223">
        <f>(IF((VLOOKUP(Table10[[#This Row],[SKU]],'All Skus'!$A:$AC,2,FALSE))="Martin",(VLOOKUP(Table10[[#This Row],[SKU]],'All Skus'!$A:$AC,23,FALSE)),""))</f>
        <v>0</v>
      </c>
      <c r="T540" s="212" t="str">
        <f>HYPERLINK((IF((VLOOKUP(Table10[[#This Row],[SKU]],'All Skus'!$A:$AC,2,FALSE))="Martin",(VLOOKUP(Table10[[#This Row],[SKU]],'All Skus'!$A:$AC,24,FALSE)),"")))</f>
        <v>https://www.martin.com/en-US/products/mac-encore-performance-wrm</v>
      </c>
      <c r="U540" s="228">
        <v>538</v>
      </c>
    </row>
    <row r="541" spans="1:21" hidden="1">
      <c r="A541" s="115" t="s">
        <v>2211</v>
      </c>
      <c r="B541" s="224">
        <f>(IF((VLOOKUP(Table10[[#This Row],[SKU]],'All Skus'!$A:$AC,2,FALSE))="Martin",(VLOOKUP(Table10[[#This Row],[SKU]],'All Skus'!$A:$AC,3,FALSE)),""))</f>
        <v>0</v>
      </c>
      <c r="C541" s="223">
        <f>(IF((VLOOKUP(Table10[[#This Row],[SKU]],'All Skus'!$A:$AC,2,FALSE))="Martin",(VLOOKUP(Table10[[#This Row],[SKU]],'All Skus'!$A:$AC,4,FALSE)),""))</f>
        <v>0</v>
      </c>
      <c r="D541" s="224">
        <f>(IF((VLOOKUP(Table10[[#This Row],[SKU]],'All Skus'!$A:$AC,2,FALSE))="Martin",(VLOOKUP(Table10[[#This Row],[SKU]],'All Skus'!$A:$AC,5,FALSE)),""))</f>
        <v>0</v>
      </c>
      <c r="E541" s="223">
        <f>(IF((VLOOKUP(Table10[[#This Row],[SKU]],'All Skus'!$A:$AC,2,FALSE))="Martin",(VLOOKUP(Table10[[#This Row],[SKU]],'All Skus'!$A:$AC,6,FALSE)),""))</f>
        <v>0</v>
      </c>
      <c r="F541" s="155">
        <f>(IF((VLOOKUP(Table10[[#This Row],[SKU]],'All Skus'!$A:$AC,2,FALSE))="Martin",(VLOOKUP(Table10[[#This Row],[SKU]],'All Skus'!$A:$AC,7,FALSE)),""))</f>
        <v>0</v>
      </c>
      <c r="G541" s="223">
        <f>(IF((VLOOKUP(Table10[[#This Row],[SKU]],'All Skus'!$A:$AC,2,FALSE))="Martin",(VLOOKUP(Table10[[#This Row],[SKU]],'All Skus'!$A:$AC,8,FALSE)),""))</f>
        <v>0</v>
      </c>
      <c r="H541" s="223">
        <f>(IF((VLOOKUP(Table10[[#This Row],[SKU]],'All Skus'!$A:$AC,2,FALSE))="Martin",(VLOOKUP(Table10[[#This Row],[SKU]],'All Skus'!$A:$AC,9,FALSE)),""))</f>
        <v>0</v>
      </c>
      <c r="I541" s="225">
        <f>(IF((VLOOKUP(Table10[[#This Row],[SKU]],'All Skus'!$A:$AC,2,FALSE))="Martin",(VLOOKUP(Table10[[#This Row],[SKU]],'All Skus'!$A:$AC,10,FALSE)),""))</f>
        <v>0</v>
      </c>
      <c r="J541" s="226">
        <f>(IF((VLOOKUP(Table10[[#This Row],[SKU]],'All Skus'!$A:$AC,2,FALSE))="Martin",(VLOOKUP(Table10[[#This Row],[SKU]],'All Skus'!$A:$AC,11,FALSE)),""))</f>
        <v>0</v>
      </c>
      <c r="K541" s="224">
        <f>(IF((VLOOKUP(Table10[[#This Row],[SKU]],'All Skus'!$A:$AC,2,FALSE))="Martin",(VLOOKUP(Table10[[#This Row],[SKU]],'All Skus'!$A:$AC,15,FALSE)),""))</f>
        <v>0</v>
      </c>
      <c r="L541" s="224">
        <f>(IF((VLOOKUP(Table10[[#This Row],[SKU]],'All Skus'!$A:$AC,2,FALSE))="Martin",(VLOOKUP(Table10[[#This Row],[SKU]],'All Skus'!$A:$AC,16,FALSE)),""))</f>
        <v>0</v>
      </c>
      <c r="M541" s="224">
        <f>(IF((VLOOKUP(Table10[[#This Row],[SKU]],'All Skus'!$A:$AC,2,FALSE))="Martin",(VLOOKUP(Table10[[#This Row],[SKU]],'All Skus'!$A:$AC,17,FALSE)),""))</f>
        <v>0</v>
      </c>
      <c r="N541" s="227">
        <f>(IF((VLOOKUP(Table10[[#This Row],[SKU]],'All Skus'!$A:$AC,2,FALSE))="Martin",(VLOOKUP(Table10[[#This Row],[SKU]],'All Skus'!$A:$AC,18,FALSE)),""))</f>
        <v>0</v>
      </c>
      <c r="O541" s="227">
        <f>(IF((VLOOKUP(Table10[[#This Row],[SKU]],'All Skus'!$A:$AC,2,FALSE))="Martin",(VLOOKUP(Table10[[#This Row],[SKU]],'All Skus'!$A:$AC,19,FALSE)),""))</f>
        <v>0</v>
      </c>
      <c r="P541" s="227">
        <f>(IF((VLOOKUP(Table10[[#This Row],[SKU]],'All Skus'!$A:$AC,2,FALSE))="Martin",(VLOOKUP(Table10[[#This Row],[SKU]],'All Skus'!$A:$AC,20,FALSE)),""))</f>
        <v>0</v>
      </c>
      <c r="Q541" s="227">
        <f>(IF((VLOOKUP(Table10[[#This Row],[SKU]],'All Skus'!$A:$AC,2,FALSE))="Martin",(VLOOKUP(Table10[[#This Row],[SKU]],'All Skus'!$A:$AC,21,FALSE)),""))</f>
        <v>0</v>
      </c>
      <c r="R541" s="224">
        <f>(IF((VLOOKUP(Table10[[#This Row],[SKU]],'All Skus'!$A:$AC,2,FALSE))="Martin",(VLOOKUP(Table10[[#This Row],[SKU]],'All Skus'!$A:$AC,22,FALSE)),""))</f>
        <v>0</v>
      </c>
      <c r="S541" s="223">
        <f>(IF((VLOOKUP(Table10[[#This Row],[SKU]],'All Skus'!$A:$AC,2,FALSE))="Martin",(VLOOKUP(Table10[[#This Row],[SKU]],'All Skus'!$A:$AC,23,FALSE)),""))</f>
        <v>0</v>
      </c>
      <c r="T541" s="212" t="str">
        <f>HYPERLINK((IF((VLOOKUP(Table10[[#This Row],[SKU]],'All Skus'!$A:$AC,2,FALSE))="Martin",(VLOOKUP(Table10[[#This Row],[SKU]],'All Skus'!$A:$AC,24,FALSE)),"")))</f>
        <v/>
      </c>
      <c r="U541" s="228">
        <v>539</v>
      </c>
    </row>
    <row r="542" spans="1:21" hidden="1">
      <c r="A542" s="90" t="s">
        <v>2212</v>
      </c>
      <c r="B542" s="224" t="str">
        <f>(IF((VLOOKUP(Table10[[#This Row],[SKU]],'All Skus'!$A:$AC,2,FALSE))="Martin",(VLOOKUP(Table10[[#This Row],[SKU]],'All Skus'!$A:$AC,3,FALSE)),""))</f>
        <v>LED</v>
      </c>
      <c r="C542" s="223" t="str">
        <f>(IF((VLOOKUP(Table10[[#This Row],[SKU]],'All Skus'!$A:$AC,2,FALSE))="Martin",(VLOOKUP(Table10[[#This Row],[SKU]],'All Skus'!$A:$AC,4,FALSE)),""))</f>
        <v>MAC ENCORE WASH,WRM,EPS</v>
      </c>
      <c r="D542" s="224" t="str">
        <f>(IF((VLOOKUP(Table10[[#This Row],[SKU]],'All Skus'!$A:$AC,2,FALSE))="Martin",(VLOOKUP(Table10[[#This Row],[SKU]],'All Skus'!$A:$AC,5,FALSE)),""))</f>
        <v>MSL-ENCORE</v>
      </c>
      <c r="E542" s="223">
        <f>(IF((VLOOKUP(Table10[[#This Row],[SKU]],'All Skus'!$A:$AC,2,FALSE))="Martin",(VLOOKUP(Table10[[#This Row],[SKU]],'All Skus'!$A:$AC,6,FALSE)),""))</f>
        <v>0</v>
      </c>
      <c r="F542" s="155">
        <f>(IF((VLOOKUP(Table10[[#This Row],[SKU]],'All Skus'!$A:$AC,2,FALSE))="Martin",(VLOOKUP(Table10[[#This Row],[SKU]],'All Skus'!$A:$AC,7,FALSE)),""))</f>
        <v>0</v>
      </c>
      <c r="G542" s="223" t="str">
        <f>(IF((VLOOKUP(Table10[[#This Row],[SKU]],'All Skus'!$A:$AC,2,FALSE))="Martin",(VLOOKUP(Table10[[#This Row],[SKU]],'All Skus'!$A:$AC,8,FALSE)),""))</f>
        <v>MAC ENCORE WASH,WRM,EPS</v>
      </c>
      <c r="H542" s="223" t="str">
        <f>(IF((VLOOKUP(Table10[[#This Row],[SKU]],'All Skus'!$A:$AC,2,FALSE))="Martin",(VLOOKUP(Table10[[#This Row],[SKU]],'All Skus'!$A:$AC,9,FALSE)),""))</f>
        <v>MAC ENCORE WASH,WRM,EPS</v>
      </c>
      <c r="I542" s="225">
        <f>(IF((VLOOKUP(Table10[[#This Row],[SKU]],'All Skus'!$A:$AC,2,FALSE))="Martin",(VLOOKUP(Table10[[#This Row],[SKU]],'All Skus'!$A:$AC,10,FALSE)),""))</f>
        <v>11236.35</v>
      </c>
      <c r="J542" s="226">
        <f>(IF((VLOOKUP(Table10[[#This Row],[SKU]],'All Skus'!$A:$AC,2,FALSE))="Martin",(VLOOKUP(Table10[[#This Row],[SKU]],'All Skus'!$A:$AC,11,FALSE)),""))</f>
        <v>11236.35</v>
      </c>
      <c r="K542" s="224">
        <f>(IF((VLOOKUP(Table10[[#This Row],[SKU]],'All Skus'!$A:$AC,2,FALSE))="Martin",(VLOOKUP(Table10[[#This Row],[SKU]],'All Skus'!$A:$AC,15,FALSE)),""))</f>
        <v>0</v>
      </c>
      <c r="L542" s="224">
        <f>(IF((VLOOKUP(Table10[[#This Row],[SKU]],'All Skus'!$A:$AC,2,FALSE))="Martin",(VLOOKUP(Table10[[#This Row],[SKU]],'All Skus'!$A:$AC,16,FALSE)),""))</f>
        <v>688705007410</v>
      </c>
      <c r="M542" s="224">
        <f>(IF((VLOOKUP(Table10[[#This Row],[SKU]],'All Skus'!$A:$AC,2,FALSE))="Martin",(VLOOKUP(Table10[[#This Row],[SKU]],'All Skus'!$A:$AC,17,FALSE)),""))</f>
        <v>0</v>
      </c>
      <c r="N542" s="227">
        <f>(IF((VLOOKUP(Table10[[#This Row],[SKU]],'All Skus'!$A:$AC,2,FALSE))="Martin",(VLOOKUP(Table10[[#This Row],[SKU]],'All Skus'!$A:$AC,18,FALSE)),""))</f>
        <v>0</v>
      </c>
      <c r="O542" s="227">
        <f>(IF((VLOOKUP(Table10[[#This Row],[SKU]],'All Skus'!$A:$AC,2,FALSE))="Martin",(VLOOKUP(Table10[[#This Row],[SKU]],'All Skus'!$A:$AC,19,FALSE)),""))</f>
        <v>0</v>
      </c>
      <c r="P542" s="227">
        <f>(IF((VLOOKUP(Table10[[#This Row],[SKU]],'All Skus'!$A:$AC,2,FALSE))="Martin",(VLOOKUP(Table10[[#This Row],[SKU]],'All Skus'!$A:$AC,20,FALSE)),""))</f>
        <v>0</v>
      </c>
      <c r="Q542" s="227">
        <f>(IF((VLOOKUP(Table10[[#This Row],[SKU]],'All Skus'!$A:$AC,2,FALSE))="Martin",(VLOOKUP(Table10[[#This Row],[SKU]],'All Skus'!$A:$AC,21,FALSE)),""))</f>
        <v>0</v>
      </c>
      <c r="R542" s="224" t="str">
        <f>(IF((VLOOKUP(Table10[[#This Row],[SKU]],'All Skus'!$A:$AC,2,FALSE))="Martin",(VLOOKUP(Table10[[#This Row],[SKU]],'All Skus'!$A:$AC,22,FALSE)),""))</f>
        <v>HU</v>
      </c>
      <c r="S542" s="223">
        <f>(IF((VLOOKUP(Table10[[#This Row],[SKU]],'All Skus'!$A:$AC,2,FALSE))="Martin",(VLOOKUP(Table10[[#This Row],[SKU]],'All Skus'!$A:$AC,23,FALSE)),""))</f>
        <v>0</v>
      </c>
      <c r="T542" s="212" t="str">
        <f>HYPERLINK((IF((VLOOKUP(Table10[[#This Row],[SKU]],'All Skus'!$A:$AC,2,FALSE))="Martin",(VLOOKUP(Table10[[#This Row],[SKU]],'All Skus'!$A:$AC,24,FALSE)),"")))</f>
        <v>https://www.martin.com/en-US/products/mac-encore-wash-wrm</v>
      </c>
      <c r="U542" s="228">
        <v>540</v>
      </c>
    </row>
    <row r="543" spans="1:21" hidden="1">
      <c r="A543" s="90" t="s">
        <v>2213</v>
      </c>
      <c r="B543" s="224" t="str">
        <f>(IF((VLOOKUP(Table10[[#This Row],[SKU]],'All Skus'!$A:$AC,2,FALSE))="Martin",(VLOOKUP(Table10[[#This Row],[SKU]],'All Skus'!$A:$AC,3,FALSE)),""))</f>
        <v>LED</v>
      </c>
      <c r="C543" s="223" t="str">
        <f>(IF((VLOOKUP(Table10[[#This Row],[SKU]],'All Skus'!$A:$AC,2,FALSE))="Martin",(VLOOKUP(Table10[[#This Row],[SKU]],'All Skus'!$A:$AC,4,FALSE)),""))</f>
        <v>MAC ENCORE WASH,WRM,SiP</v>
      </c>
      <c r="D543" s="224" t="str">
        <f>(IF((VLOOKUP(Table10[[#This Row],[SKU]],'All Skus'!$A:$AC,2,FALSE))="Martin",(VLOOKUP(Table10[[#This Row],[SKU]],'All Skus'!$A:$AC,5,FALSE)),""))</f>
        <v>MSL-ENCORE</v>
      </c>
      <c r="E543" s="223">
        <f>(IF((VLOOKUP(Table10[[#This Row],[SKU]],'All Skus'!$A:$AC,2,FALSE))="Martin",(VLOOKUP(Table10[[#This Row],[SKU]],'All Skus'!$A:$AC,6,FALSE)),""))</f>
        <v>0</v>
      </c>
      <c r="F543" s="155">
        <f>(IF((VLOOKUP(Table10[[#This Row],[SKU]],'All Skus'!$A:$AC,2,FALSE))="Martin",(VLOOKUP(Table10[[#This Row],[SKU]],'All Skus'!$A:$AC,7,FALSE)),""))</f>
        <v>0</v>
      </c>
      <c r="G543" s="223" t="str">
        <f>(IF((VLOOKUP(Table10[[#This Row],[SKU]],'All Skus'!$A:$AC,2,FALSE))="Martin",(VLOOKUP(Table10[[#This Row],[SKU]],'All Skus'!$A:$AC,8,FALSE)),""))</f>
        <v>MAC ENCORE WASH,WRM,SiP</v>
      </c>
      <c r="H543" s="223" t="str">
        <f>(IF((VLOOKUP(Table10[[#This Row],[SKU]],'All Skus'!$A:$AC,2,FALSE))="Martin",(VLOOKUP(Table10[[#This Row],[SKU]],'All Skus'!$A:$AC,9,FALSE)),""))</f>
        <v>MAC ENCORE WASH,WRM,SiP</v>
      </c>
      <c r="I543" s="225">
        <f>(IF((VLOOKUP(Table10[[#This Row],[SKU]],'All Skus'!$A:$AC,2,FALSE))="Martin",(VLOOKUP(Table10[[#This Row],[SKU]],'All Skus'!$A:$AC,10,FALSE)),""))</f>
        <v>11606.78</v>
      </c>
      <c r="J543" s="226">
        <f>(IF((VLOOKUP(Table10[[#This Row],[SKU]],'All Skus'!$A:$AC,2,FALSE))="Martin",(VLOOKUP(Table10[[#This Row],[SKU]],'All Skus'!$A:$AC,11,FALSE)),""))</f>
        <v>11606.78</v>
      </c>
      <c r="K543" s="224">
        <f>(IF((VLOOKUP(Table10[[#This Row],[SKU]],'All Skus'!$A:$AC,2,FALSE))="Martin",(VLOOKUP(Table10[[#This Row],[SKU]],'All Skus'!$A:$AC,15,FALSE)),""))</f>
        <v>0</v>
      </c>
      <c r="L543" s="224">
        <f>(IF((VLOOKUP(Table10[[#This Row],[SKU]],'All Skus'!$A:$AC,2,FALSE))="Martin",(VLOOKUP(Table10[[#This Row],[SKU]],'All Skus'!$A:$AC,16,FALSE)),""))</f>
        <v>688705000428</v>
      </c>
      <c r="M543" s="224">
        <f>(IF((VLOOKUP(Table10[[#This Row],[SKU]],'All Skus'!$A:$AC,2,FALSE))="Martin",(VLOOKUP(Table10[[#This Row],[SKU]],'All Skus'!$A:$AC,17,FALSE)),""))</f>
        <v>0</v>
      </c>
      <c r="N543" s="227">
        <f>(IF((VLOOKUP(Table10[[#This Row],[SKU]],'All Skus'!$A:$AC,2,FALSE))="Martin",(VLOOKUP(Table10[[#This Row],[SKU]],'All Skus'!$A:$AC,18,FALSE)),""))</f>
        <v>0</v>
      </c>
      <c r="O543" s="227">
        <f>(IF((VLOOKUP(Table10[[#This Row],[SKU]],'All Skus'!$A:$AC,2,FALSE))="Martin",(VLOOKUP(Table10[[#This Row],[SKU]],'All Skus'!$A:$AC,19,FALSE)),""))</f>
        <v>0</v>
      </c>
      <c r="P543" s="227">
        <f>(IF((VLOOKUP(Table10[[#This Row],[SKU]],'All Skus'!$A:$AC,2,FALSE))="Martin",(VLOOKUP(Table10[[#This Row],[SKU]],'All Skus'!$A:$AC,20,FALSE)),""))</f>
        <v>0</v>
      </c>
      <c r="Q543" s="227">
        <f>(IF((VLOOKUP(Table10[[#This Row],[SKU]],'All Skus'!$A:$AC,2,FALSE))="Martin",(VLOOKUP(Table10[[#This Row],[SKU]],'All Skus'!$A:$AC,21,FALSE)),""))</f>
        <v>0</v>
      </c>
      <c r="R543" s="224" t="str">
        <f>(IF((VLOOKUP(Table10[[#This Row],[SKU]],'All Skus'!$A:$AC,2,FALSE))="Martin",(VLOOKUP(Table10[[#This Row],[SKU]],'All Skus'!$A:$AC,22,FALSE)),""))</f>
        <v>HU</v>
      </c>
      <c r="S543" s="223">
        <f>(IF((VLOOKUP(Table10[[#This Row],[SKU]],'All Skus'!$A:$AC,2,FALSE))="Martin",(VLOOKUP(Table10[[#This Row],[SKU]],'All Skus'!$A:$AC,23,FALSE)),""))</f>
        <v>0</v>
      </c>
      <c r="T543" s="212" t="str">
        <f>HYPERLINK((IF((VLOOKUP(Table10[[#This Row],[SKU]],'All Skus'!$A:$AC,2,FALSE))="Martin",(VLOOKUP(Table10[[#This Row],[SKU]],'All Skus'!$A:$AC,24,FALSE)),"")))</f>
        <v>https://www.martin.com/en-US/products/mac-encore-wash-cld</v>
      </c>
      <c r="U543" s="228">
        <v>541</v>
      </c>
    </row>
    <row r="544" spans="1:21" hidden="1">
      <c r="A544" s="90" t="s">
        <v>2214</v>
      </c>
      <c r="B544" s="224" t="str">
        <f>(IF((VLOOKUP(Table10[[#This Row],[SKU]],'All Skus'!$A:$AC,2,FALSE))="Martin",(VLOOKUP(Table10[[#This Row],[SKU]],'All Skus'!$A:$AC,3,FALSE)),""))</f>
        <v>LED</v>
      </c>
      <c r="C544" s="223" t="str">
        <f>(IF((VLOOKUP(Table10[[#This Row],[SKU]],'All Skus'!$A:$AC,2,FALSE))="Martin",(VLOOKUP(Table10[[#This Row],[SKU]],'All Skus'!$A:$AC,4,FALSE)),""))</f>
        <v>MAC ENCORE WASH,WRM,EPS,WHITE</v>
      </c>
      <c r="D544" s="224" t="str">
        <f>(IF((VLOOKUP(Table10[[#This Row],[SKU]],'All Skus'!$A:$AC,2,FALSE))="Martin",(VLOOKUP(Table10[[#This Row],[SKU]],'All Skus'!$A:$AC,5,FALSE)),""))</f>
        <v>MSL-ENCORE</v>
      </c>
      <c r="E544" s="223">
        <f>(IF((VLOOKUP(Table10[[#This Row],[SKU]],'All Skus'!$A:$AC,2,FALSE))="Martin",(VLOOKUP(Table10[[#This Row],[SKU]],'All Skus'!$A:$AC,6,FALSE)),""))</f>
        <v>0</v>
      </c>
      <c r="F544" s="155">
        <f>(IF((VLOOKUP(Table10[[#This Row],[SKU]],'All Skus'!$A:$AC,2,FALSE))="Martin",(VLOOKUP(Table10[[#This Row],[SKU]],'All Skus'!$A:$AC,7,FALSE)),""))</f>
        <v>0</v>
      </c>
      <c r="G544" s="223" t="str">
        <f>(IF((VLOOKUP(Table10[[#This Row],[SKU]],'All Skus'!$A:$AC,2,FALSE))="Martin",(VLOOKUP(Table10[[#This Row],[SKU]],'All Skus'!$A:$AC,8,FALSE)),""))</f>
        <v>MAC ENCORE WASH,WRM,EPS,WHITE</v>
      </c>
      <c r="H544" s="223" t="str">
        <f>(IF((VLOOKUP(Table10[[#This Row],[SKU]],'All Skus'!$A:$AC,2,FALSE))="Martin",(VLOOKUP(Table10[[#This Row],[SKU]],'All Skus'!$A:$AC,9,FALSE)),""))</f>
        <v>MAC ENCORE WASH,WRM,EPS,WHITE</v>
      </c>
      <c r="I544" s="225">
        <f>(IF((VLOOKUP(Table10[[#This Row],[SKU]],'All Skus'!$A:$AC,2,FALSE))="Martin",(VLOOKUP(Table10[[#This Row],[SKU]],'All Skus'!$A:$AC,10,FALSE)),""))</f>
        <v>12532.85</v>
      </c>
      <c r="J544" s="226">
        <f>(IF((VLOOKUP(Table10[[#This Row],[SKU]],'All Skus'!$A:$AC,2,FALSE))="Martin",(VLOOKUP(Table10[[#This Row],[SKU]],'All Skus'!$A:$AC,11,FALSE)),""))</f>
        <v>12532.85</v>
      </c>
      <c r="K544" s="224">
        <f>(IF((VLOOKUP(Table10[[#This Row],[SKU]],'All Skus'!$A:$AC,2,FALSE))="Martin",(VLOOKUP(Table10[[#This Row],[SKU]],'All Skus'!$A:$AC,15,FALSE)),""))</f>
        <v>0</v>
      </c>
      <c r="L544" s="224">
        <f>(IF((VLOOKUP(Table10[[#This Row],[SKU]],'All Skus'!$A:$AC,2,FALSE))="Martin",(VLOOKUP(Table10[[#This Row],[SKU]],'All Skus'!$A:$AC,16,FALSE)),""))</f>
        <v>0</v>
      </c>
      <c r="M544" s="224">
        <f>(IF((VLOOKUP(Table10[[#This Row],[SKU]],'All Skus'!$A:$AC,2,FALSE))="Martin",(VLOOKUP(Table10[[#This Row],[SKU]],'All Skus'!$A:$AC,17,FALSE)),""))</f>
        <v>0</v>
      </c>
      <c r="N544" s="227">
        <f>(IF((VLOOKUP(Table10[[#This Row],[SKU]],'All Skus'!$A:$AC,2,FALSE))="Martin",(VLOOKUP(Table10[[#This Row],[SKU]],'All Skus'!$A:$AC,18,FALSE)),""))</f>
        <v>0</v>
      </c>
      <c r="O544" s="227">
        <f>(IF((VLOOKUP(Table10[[#This Row],[SKU]],'All Skus'!$A:$AC,2,FALSE))="Martin",(VLOOKUP(Table10[[#This Row],[SKU]],'All Skus'!$A:$AC,19,FALSE)),""))</f>
        <v>0</v>
      </c>
      <c r="P544" s="227">
        <f>(IF((VLOOKUP(Table10[[#This Row],[SKU]],'All Skus'!$A:$AC,2,FALSE))="Martin",(VLOOKUP(Table10[[#This Row],[SKU]],'All Skus'!$A:$AC,20,FALSE)),""))</f>
        <v>0</v>
      </c>
      <c r="Q544" s="227">
        <f>(IF((VLOOKUP(Table10[[#This Row],[SKU]],'All Skus'!$A:$AC,2,FALSE))="Martin",(VLOOKUP(Table10[[#This Row],[SKU]],'All Skus'!$A:$AC,21,FALSE)),""))</f>
        <v>0</v>
      </c>
      <c r="R544" s="224" t="str">
        <f>(IF((VLOOKUP(Table10[[#This Row],[SKU]],'All Skus'!$A:$AC,2,FALSE))="Martin",(VLOOKUP(Table10[[#This Row],[SKU]],'All Skus'!$A:$AC,22,FALSE)),""))</f>
        <v>HU</v>
      </c>
      <c r="S544" s="223">
        <f>(IF((VLOOKUP(Table10[[#This Row],[SKU]],'All Skus'!$A:$AC,2,FALSE))="Martin",(VLOOKUP(Table10[[#This Row],[SKU]],'All Skus'!$A:$AC,23,FALSE)),""))</f>
        <v>0</v>
      </c>
      <c r="T544" s="212" t="str">
        <f>HYPERLINK((IF((VLOOKUP(Table10[[#This Row],[SKU]],'All Skus'!$A:$AC,2,FALSE))="Martin",(VLOOKUP(Table10[[#This Row],[SKU]],'All Skus'!$A:$AC,24,FALSE)),"")))</f>
        <v>https://www.martin.com/en-US/products/mac-encore-wash-cld</v>
      </c>
      <c r="U544" s="228">
        <v>542</v>
      </c>
    </row>
    <row r="545" spans="1:21" hidden="1">
      <c r="A545" s="115" t="s">
        <v>2215</v>
      </c>
      <c r="B545" s="224">
        <f>(IF((VLOOKUP(Table10[[#This Row],[SKU]],'All Skus'!$A:$AC,2,FALSE))="Martin",(VLOOKUP(Table10[[#This Row],[SKU]],'All Skus'!$A:$AC,3,FALSE)),""))</f>
        <v>0</v>
      </c>
      <c r="C545" s="223">
        <f>(IF((VLOOKUP(Table10[[#This Row],[SKU]],'All Skus'!$A:$AC,2,FALSE))="Martin",(VLOOKUP(Table10[[#This Row],[SKU]],'All Skus'!$A:$AC,4,FALSE)),""))</f>
        <v>0</v>
      </c>
      <c r="D545" s="224">
        <f>(IF((VLOOKUP(Table10[[#This Row],[SKU]],'All Skus'!$A:$AC,2,FALSE))="Martin",(VLOOKUP(Table10[[#This Row],[SKU]],'All Skus'!$A:$AC,5,FALSE)),""))</f>
        <v>0</v>
      </c>
      <c r="E545" s="223">
        <f>(IF((VLOOKUP(Table10[[#This Row],[SKU]],'All Skus'!$A:$AC,2,FALSE))="Martin",(VLOOKUP(Table10[[#This Row],[SKU]],'All Skus'!$A:$AC,6,FALSE)),""))</f>
        <v>0</v>
      </c>
      <c r="F545" s="155">
        <f>(IF((VLOOKUP(Table10[[#This Row],[SKU]],'All Skus'!$A:$AC,2,FALSE))="Martin",(VLOOKUP(Table10[[#This Row],[SKU]],'All Skus'!$A:$AC,7,FALSE)),""))</f>
        <v>0</v>
      </c>
      <c r="G545" s="223">
        <f>(IF((VLOOKUP(Table10[[#This Row],[SKU]],'All Skus'!$A:$AC,2,FALSE))="Martin",(VLOOKUP(Table10[[#This Row],[SKU]],'All Skus'!$A:$AC,8,FALSE)),""))</f>
        <v>0</v>
      </c>
      <c r="H545" s="223">
        <f>(IF((VLOOKUP(Table10[[#This Row],[SKU]],'All Skus'!$A:$AC,2,FALSE))="Martin",(VLOOKUP(Table10[[#This Row],[SKU]],'All Skus'!$A:$AC,9,FALSE)),""))</f>
        <v>0</v>
      </c>
      <c r="I545" s="225">
        <f>(IF((VLOOKUP(Table10[[#This Row],[SKU]],'All Skus'!$A:$AC,2,FALSE))="Martin",(VLOOKUP(Table10[[#This Row],[SKU]],'All Skus'!$A:$AC,10,FALSE)),""))</f>
        <v>0</v>
      </c>
      <c r="J545" s="226">
        <f>(IF((VLOOKUP(Table10[[#This Row],[SKU]],'All Skus'!$A:$AC,2,FALSE))="Martin",(VLOOKUP(Table10[[#This Row],[SKU]],'All Skus'!$A:$AC,11,FALSE)),""))</f>
        <v>0</v>
      </c>
      <c r="K545" s="224">
        <f>(IF((VLOOKUP(Table10[[#This Row],[SKU]],'All Skus'!$A:$AC,2,FALSE))="Martin",(VLOOKUP(Table10[[#This Row],[SKU]],'All Skus'!$A:$AC,15,FALSE)),""))</f>
        <v>0</v>
      </c>
      <c r="L545" s="224">
        <f>(IF((VLOOKUP(Table10[[#This Row],[SKU]],'All Skus'!$A:$AC,2,FALSE))="Martin",(VLOOKUP(Table10[[#This Row],[SKU]],'All Skus'!$A:$AC,16,FALSE)),""))</f>
        <v>0</v>
      </c>
      <c r="M545" s="224">
        <f>(IF((VLOOKUP(Table10[[#This Row],[SKU]],'All Skus'!$A:$AC,2,FALSE))="Martin",(VLOOKUP(Table10[[#This Row],[SKU]],'All Skus'!$A:$AC,17,FALSE)),""))</f>
        <v>0</v>
      </c>
      <c r="N545" s="227">
        <f>(IF((VLOOKUP(Table10[[#This Row],[SKU]],'All Skus'!$A:$AC,2,FALSE))="Martin",(VLOOKUP(Table10[[#This Row],[SKU]],'All Skus'!$A:$AC,18,FALSE)),""))</f>
        <v>0</v>
      </c>
      <c r="O545" s="227">
        <f>(IF((VLOOKUP(Table10[[#This Row],[SKU]],'All Skus'!$A:$AC,2,FALSE))="Martin",(VLOOKUP(Table10[[#This Row],[SKU]],'All Skus'!$A:$AC,19,FALSE)),""))</f>
        <v>0</v>
      </c>
      <c r="P545" s="227">
        <f>(IF((VLOOKUP(Table10[[#This Row],[SKU]],'All Skus'!$A:$AC,2,FALSE))="Martin",(VLOOKUP(Table10[[#This Row],[SKU]],'All Skus'!$A:$AC,20,FALSE)),""))</f>
        <v>0</v>
      </c>
      <c r="Q545" s="227">
        <f>(IF((VLOOKUP(Table10[[#This Row],[SKU]],'All Skus'!$A:$AC,2,FALSE))="Martin",(VLOOKUP(Table10[[#This Row],[SKU]],'All Skus'!$A:$AC,21,FALSE)),""))</f>
        <v>0</v>
      </c>
      <c r="R545" s="224">
        <f>(IF((VLOOKUP(Table10[[#This Row],[SKU]],'All Skus'!$A:$AC,2,FALSE))="Martin",(VLOOKUP(Table10[[#This Row],[SKU]],'All Skus'!$A:$AC,22,FALSE)),""))</f>
        <v>0</v>
      </c>
      <c r="S545" s="223">
        <f>(IF((VLOOKUP(Table10[[#This Row],[SKU]],'All Skus'!$A:$AC,2,FALSE))="Martin",(VLOOKUP(Table10[[#This Row],[SKU]],'All Skus'!$A:$AC,23,FALSE)),""))</f>
        <v>0</v>
      </c>
      <c r="T545" s="212" t="str">
        <f>HYPERLINK((IF((VLOOKUP(Table10[[#This Row],[SKU]],'All Skus'!$A:$AC,2,FALSE))="Martin",(VLOOKUP(Table10[[#This Row],[SKU]],'All Skus'!$A:$AC,24,FALSE)),"")))</f>
        <v/>
      </c>
      <c r="U545" s="228">
        <v>543</v>
      </c>
    </row>
    <row r="546" spans="1:21" hidden="1">
      <c r="A546" s="90" t="s">
        <v>2216</v>
      </c>
      <c r="B546" s="224" t="str">
        <f>(IF((VLOOKUP(Table10[[#This Row],[SKU]],'All Skus'!$A:$AC,2,FALSE))="Martin",(VLOOKUP(Table10[[#This Row],[SKU]],'All Skus'!$A:$AC,3,FALSE)),""))</f>
        <v>LED</v>
      </c>
      <c r="C546" s="223" t="str">
        <f>(IF((VLOOKUP(Table10[[#This Row],[SKU]],'All Skus'!$A:$AC,2,FALSE))="Martin",(VLOOKUP(Table10[[#This Row],[SKU]],'All Skus'!$A:$AC,4,FALSE)),""))</f>
        <v>MAC ENCORE WASH,CLD,EPS</v>
      </c>
      <c r="D546" s="224" t="str">
        <f>(IF((VLOOKUP(Table10[[#This Row],[SKU]],'All Skus'!$A:$AC,2,FALSE))="Martin",(VLOOKUP(Table10[[#This Row],[SKU]],'All Skus'!$A:$AC,5,FALSE)),""))</f>
        <v>MSL-ENCORE</v>
      </c>
      <c r="E546" s="223">
        <f>(IF((VLOOKUP(Table10[[#This Row],[SKU]],'All Skus'!$A:$AC,2,FALSE))="Martin",(VLOOKUP(Table10[[#This Row],[SKU]],'All Skus'!$A:$AC,6,FALSE)),""))</f>
        <v>0</v>
      </c>
      <c r="F546" s="155">
        <f>(IF((VLOOKUP(Table10[[#This Row],[SKU]],'All Skus'!$A:$AC,2,FALSE))="Martin",(VLOOKUP(Table10[[#This Row],[SKU]],'All Skus'!$A:$AC,7,FALSE)),""))</f>
        <v>0</v>
      </c>
      <c r="G546" s="223" t="str">
        <f>(IF((VLOOKUP(Table10[[#This Row],[SKU]],'All Skus'!$A:$AC,2,FALSE))="Martin",(VLOOKUP(Table10[[#This Row],[SKU]],'All Skus'!$A:$AC,8,FALSE)),""))</f>
        <v>MAC ENCORE WASH,CLD,EPS</v>
      </c>
      <c r="H546" s="223" t="str">
        <f>(IF((VLOOKUP(Table10[[#This Row],[SKU]],'All Skus'!$A:$AC,2,FALSE))="Martin",(VLOOKUP(Table10[[#This Row],[SKU]],'All Skus'!$A:$AC,9,FALSE)),""))</f>
        <v>MAC ENCORE WASH,CLD,EPS</v>
      </c>
      <c r="I546" s="225">
        <f>(IF((VLOOKUP(Table10[[#This Row],[SKU]],'All Skus'!$A:$AC,2,FALSE))="Martin",(VLOOKUP(Table10[[#This Row],[SKU]],'All Skus'!$A:$AC,10,FALSE)),""))</f>
        <v>11236.35</v>
      </c>
      <c r="J546" s="226">
        <f>(IF((VLOOKUP(Table10[[#This Row],[SKU]],'All Skus'!$A:$AC,2,FALSE))="Martin",(VLOOKUP(Table10[[#This Row],[SKU]],'All Skus'!$A:$AC,11,FALSE)),""))</f>
        <v>11236.35</v>
      </c>
      <c r="K546" s="224">
        <f>(IF((VLOOKUP(Table10[[#This Row],[SKU]],'All Skus'!$A:$AC,2,FALSE))="Martin",(VLOOKUP(Table10[[#This Row],[SKU]],'All Skus'!$A:$AC,15,FALSE)),""))</f>
        <v>0</v>
      </c>
      <c r="L546" s="224">
        <f>(IF((VLOOKUP(Table10[[#This Row],[SKU]],'All Skus'!$A:$AC,2,FALSE))="Martin",(VLOOKUP(Table10[[#This Row],[SKU]],'All Skus'!$A:$AC,16,FALSE)),""))</f>
        <v>688705007427</v>
      </c>
      <c r="M546" s="224">
        <f>(IF((VLOOKUP(Table10[[#This Row],[SKU]],'All Skus'!$A:$AC,2,FALSE))="Martin",(VLOOKUP(Table10[[#This Row],[SKU]],'All Skus'!$A:$AC,17,FALSE)),""))</f>
        <v>0</v>
      </c>
      <c r="N546" s="227">
        <f>(IF((VLOOKUP(Table10[[#This Row],[SKU]],'All Skus'!$A:$AC,2,FALSE))="Martin",(VLOOKUP(Table10[[#This Row],[SKU]],'All Skus'!$A:$AC,18,FALSE)),""))</f>
        <v>0</v>
      </c>
      <c r="O546" s="227">
        <f>(IF((VLOOKUP(Table10[[#This Row],[SKU]],'All Skus'!$A:$AC,2,FALSE))="Martin",(VLOOKUP(Table10[[#This Row],[SKU]],'All Skus'!$A:$AC,19,FALSE)),""))</f>
        <v>0</v>
      </c>
      <c r="P546" s="227">
        <f>(IF((VLOOKUP(Table10[[#This Row],[SKU]],'All Skus'!$A:$AC,2,FALSE))="Martin",(VLOOKUP(Table10[[#This Row],[SKU]],'All Skus'!$A:$AC,20,FALSE)),""))</f>
        <v>0</v>
      </c>
      <c r="Q546" s="227">
        <f>(IF((VLOOKUP(Table10[[#This Row],[SKU]],'All Skus'!$A:$AC,2,FALSE))="Martin",(VLOOKUP(Table10[[#This Row],[SKU]],'All Skus'!$A:$AC,21,FALSE)),""))</f>
        <v>0</v>
      </c>
      <c r="R546" s="224" t="str">
        <f>(IF((VLOOKUP(Table10[[#This Row],[SKU]],'All Skus'!$A:$AC,2,FALSE))="Martin",(VLOOKUP(Table10[[#This Row],[SKU]],'All Skus'!$A:$AC,22,FALSE)),""))</f>
        <v>HU</v>
      </c>
      <c r="S546" s="223">
        <f>(IF((VLOOKUP(Table10[[#This Row],[SKU]],'All Skus'!$A:$AC,2,FALSE))="Martin",(VLOOKUP(Table10[[#This Row],[SKU]],'All Skus'!$A:$AC,23,FALSE)),""))</f>
        <v>0</v>
      </c>
      <c r="T546" s="212" t="str">
        <f>HYPERLINK((IF((VLOOKUP(Table10[[#This Row],[SKU]],'All Skus'!$A:$AC,2,FALSE))="Martin",(VLOOKUP(Table10[[#This Row],[SKU]],'All Skus'!$A:$AC,24,FALSE)),"")))</f>
        <v>https://www.martin.com/en-US/products/mac-encore-wash-cld</v>
      </c>
      <c r="U546" s="228">
        <v>544</v>
      </c>
    </row>
    <row r="547" spans="1:21" hidden="1">
      <c r="A547" s="90" t="s">
        <v>2217</v>
      </c>
      <c r="B547" s="224" t="str">
        <f>(IF((VLOOKUP(Table10[[#This Row],[SKU]],'All Skus'!$A:$AC,2,FALSE))="Martin",(VLOOKUP(Table10[[#This Row],[SKU]],'All Skus'!$A:$AC,3,FALSE)),""))</f>
        <v>LED</v>
      </c>
      <c r="C547" s="223" t="str">
        <f>(IF((VLOOKUP(Table10[[#This Row],[SKU]],'All Skus'!$A:$AC,2,FALSE))="Martin",(VLOOKUP(Table10[[#This Row],[SKU]],'All Skus'!$A:$AC,4,FALSE)),""))</f>
        <v>MAC ENCORE WASH,CLD,SiP</v>
      </c>
      <c r="D547" s="224" t="str">
        <f>(IF((VLOOKUP(Table10[[#This Row],[SKU]],'All Skus'!$A:$AC,2,FALSE))="Martin",(VLOOKUP(Table10[[#This Row],[SKU]],'All Skus'!$A:$AC,5,FALSE)),""))</f>
        <v>MSL-ENCORE</v>
      </c>
      <c r="E547" s="223">
        <f>(IF((VLOOKUP(Table10[[#This Row],[SKU]],'All Skus'!$A:$AC,2,FALSE))="Martin",(VLOOKUP(Table10[[#This Row],[SKU]],'All Skus'!$A:$AC,6,FALSE)),""))</f>
        <v>0</v>
      </c>
      <c r="F547" s="155">
        <f>(IF((VLOOKUP(Table10[[#This Row],[SKU]],'All Skus'!$A:$AC,2,FALSE))="Martin",(VLOOKUP(Table10[[#This Row],[SKU]],'All Skus'!$A:$AC,7,FALSE)),""))</f>
        <v>0</v>
      </c>
      <c r="G547" s="223" t="str">
        <f>(IF((VLOOKUP(Table10[[#This Row],[SKU]],'All Skus'!$A:$AC,2,FALSE))="Martin",(VLOOKUP(Table10[[#This Row],[SKU]],'All Skus'!$A:$AC,8,FALSE)),""))</f>
        <v>MAC ENCORE WASH,CLD,SiP</v>
      </c>
      <c r="H547" s="223" t="str">
        <f>(IF((VLOOKUP(Table10[[#This Row],[SKU]],'All Skus'!$A:$AC,2,FALSE))="Martin",(VLOOKUP(Table10[[#This Row],[SKU]],'All Skus'!$A:$AC,9,FALSE)),""))</f>
        <v>MAC ENCORE WASH,CLD,SiP</v>
      </c>
      <c r="I547" s="225">
        <f>(IF((VLOOKUP(Table10[[#This Row],[SKU]],'All Skus'!$A:$AC,2,FALSE))="Martin",(VLOOKUP(Table10[[#This Row],[SKU]],'All Skus'!$A:$AC,10,FALSE)),""))</f>
        <v>11606.78</v>
      </c>
      <c r="J547" s="226">
        <f>(IF((VLOOKUP(Table10[[#This Row],[SKU]],'All Skus'!$A:$AC,2,FALSE))="Martin",(VLOOKUP(Table10[[#This Row],[SKU]],'All Skus'!$A:$AC,11,FALSE)),""))</f>
        <v>11606.78</v>
      </c>
      <c r="K547" s="224">
        <f>(IF((VLOOKUP(Table10[[#This Row],[SKU]],'All Skus'!$A:$AC,2,FALSE))="Martin",(VLOOKUP(Table10[[#This Row],[SKU]],'All Skus'!$A:$AC,15,FALSE)),""))</f>
        <v>0</v>
      </c>
      <c r="L547" s="224">
        <f>(IF((VLOOKUP(Table10[[#This Row],[SKU]],'All Skus'!$A:$AC,2,FALSE))="Martin",(VLOOKUP(Table10[[#This Row],[SKU]],'All Skus'!$A:$AC,16,FALSE)),""))</f>
        <v>688705000411</v>
      </c>
      <c r="M547" s="224">
        <f>(IF((VLOOKUP(Table10[[#This Row],[SKU]],'All Skus'!$A:$AC,2,FALSE))="Martin",(VLOOKUP(Table10[[#This Row],[SKU]],'All Skus'!$A:$AC,17,FALSE)),""))</f>
        <v>0</v>
      </c>
      <c r="N547" s="227">
        <f>(IF((VLOOKUP(Table10[[#This Row],[SKU]],'All Skus'!$A:$AC,2,FALSE))="Martin",(VLOOKUP(Table10[[#This Row],[SKU]],'All Skus'!$A:$AC,18,FALSE)),""))</f>
        <v>0</v>
      </c>
      <c r="O547" s="227">
        <f>(IF((VLOOKUP(Table10[[#This Row],[SKU]],'All Skus'!$A:$AC,2,FALSE))="Martin",(VLOOKUP(Table10[[#This Row],[SKU]],'All Skus'!$A:$AC,19,FALSE)),""))</f>
        <v>0</v>
      </c>
      <c r="P547" s="227">
        <f>(IF((VLOOKUP(Table10[[#This Row],[SKU]],'All Skus'!$A:$AC,2,FALSE))="Martin",(VLOOKUP(Table10[[#This Row],[SKU]],'All Skus'!$A:$AC,20,FALSE)),""))</f>
        <v>0</v>
      </c>
      <c r="Q547" s="227">
        <f>(IF((VLOOKUP(Table10[[#This Row],[SKU]],'All Skus'!$A:$AC,2,FALSE))="Martin",(VLOOKUP(Table10[[#This Row],[SKU]],'All Skus'!$A:$AC,21,FALSE)),""))</f>
        <v>0</v>
      </c>
      <c r="R547" s="224" t="str">
        <f>(IF((VLOOKUP(Table10[[#This Row],[SKU]],'All Skus'!$A:$AC,2,FALSE))="Martin",(VLOOKUP(Table10[[#This Row],[SKU]],'All Skus'!$A:$AC,22,FALSE)),""))</f>
        <v>HU</v>
      </c>
      <c r="S547" s="223">
        <f>(IF((VLOOKUP(Table10[[#This Row],[SKU]],'All Skus'!$A:$AC,2,FALSE))="Martin",(VLOOKUP(Table10[[#This Row],[SKU]],'All Skus'!$A:$AC,23,FALSE)),""))</f>
        <v>0</v>
      </c>
      <c r="T547" s="212" t="str">
        <f>HYPERLINK((IF((VLOOKUP(Table10[[#This Row],[SKU]],'All Skus'!$A:$AC,2,FALSE))="Martin",(VLOOKUP(Table10[[#This Row],[SKU]],'All Skus'!$A:$AC,24,FALSE)),"")))</f>
        <v>https://www.martin.com/en-US/products/mac-encore-performance-wrm</v>
      </c>
      <c r="U547" s="228">
        <v>545</v>
      </c>
    </row>
    <row r="548" spans="1:21" hidden="1">
      <c r="A548" s="90" t="s">
        <v>2218</v>
      </c>
      <c r="B548" s="224" t="str">
        <f>(IF((VLOOKUP(Table10[[#This Row],[SKU]],'All Skus'!$A:$AC,2,FALSE))="Martin",(VLOOKUP(Table10[[#This Row],[SKU]],'All Skus'!$A:$AC,3,FALSE)),""))</f>
        <v>LED</v>
      </c>
      <c r="C548" s="223" t="str">
        <f>(IF((VLOOKUP(Table10[[#This Row],[SKU]],'All Skus'!$A:$AC,2,FALSE))="Martin",(VLOOKUP(Table10[[#This Row],[SKU]],'All Skus'!$A:$AC,4,FALSE)),""))</f>
        <v>MAC ENCORE WASH,CLD,EPS,WHITE</v>
      </c>
      <c r="D548" s="224" t="str">
        <f>(IF((VLOOKUP(Table10[[#This Row],[SKU]],'All Skus'!$A:$AC,2,FALSE))="Martin",(VLOOKUP(Table10[[#This Row],[SKU]],'All Skus'!$A:$AC,5,FALSE)),""))</f>
        <v>MSL-ENCORE</v>
      </c>
      <c r="E548" s="223">
        <f>(IF((VLOOKUP(Table10[[#This Row],[SKU]],'All Skus'!$A:$AC,2,FALSE))="Martin",(VLOOKUP(Table10[[#This Row],[SKU]],'All Skus'!$A:$AC,6,FALSE)),""))</f>
        <v>0</v>
      </c>
      <c r="F548" s="155">
        <f>(IF((VLOOKUP(Table10[[#This Row],[SKU]],'All Skus'!$A:$AC,2,FALSE))="Martin",(VLOOKUP(Table10[[#This Row],[SKU]],'All Skus'!$A:$AC,7,FALSE)),""))</f>
        <v>0</v>
      </c>
      <c r="G548" s="223" t="str">
        <f>(IF((VLOOKUP(Table10[[#This Row],[SKU]],'All Skus'!$A:$AC,2,FALSE))="Martin",(VLOOKUP(Table10[[#This Row],[SKU]],'All Skus'!$A:$AC,8,FALSE)),""))</f>
        <v>MAC ENCORE WASH,CLD,EPS,WHITE</v>
      </c>
      <c r="H548" s="223" t="str">
        <f>(IF((VLOOKUP(Table10[[#This Row],[SKU]],'All Skus'!$A:$AC,2,FALSE))="Martin",(VLOOKUP(Table10[[#This Row],[SKU]],'All Skus'!$A:$AC,9,FALSE)),""))</f>
        <v>MAC ENCORE WASH,CLD,EPS,WHITE</v>
      </c>
      <c r="I548" s="225">
        <f>(IF((VLOOKUP(Table10[[#This Row],[SKU]],'All Skus'!$A:$AC,2,FALSE))="Martin",(VLOOKUP(Table10[[#This Row],[SKU]],'All Skus'!$A:$AC,10,FALSE)),""))</f>
        <v>12532.85</v>
      </c>
      <c r="J548" s="226">
        <f>(IF((VLOOKUP(Table10[[#This Row],[SKU]],'All Skus'!$A:$AC,2,FALSE))="Martin",(VLOOKUP(Table10[[#This Row],[SKU]],'All Skus'!$A:$AC,11,FALSE)),""))</f>
        <v>12532.85</v>
      </c>
      <c r="K548" s="224">
        <f>(IF((VLOOKUP(Table10[[#This Row],[SKU]],'All Skus'!$A:$AC,2,FALSE))="Martin",(VLOOKUP(Table10[[#This Row],[SKU]],'All Skus'!$A:$AC,15,FALSE)),""))</f>
        <v>0</v>
      </c>
      <c r="L548" s="224">
        <f>(IF((VLOOKUP(Table10[[#This Row],[SKU]],'All Skus'!$A:$AC,2,FALSE))="Martin",(VLOOKUP(Table10[[#This Row],[SKU]],'All Skus'!$A:$AC,16,FALSE)),""))</f>
        <v>0</v>
      </c>
      <c r="M548" s="224">
        <f>(IF((VLOOKUP(Table10[[#This Row],[SKU]],'All Skus'!$A:$AC,2,FALSE))="Martin",(VLOOKUP(Table10[[#This Row],[SKU]],'All Skus'!$A:$AC,17,FALSE)),""))</f>
        <v>0</v>
      </c>
      <c r="N548" s="227">
        <f>(IF((VLOOKUP(Table10[[#This Row],[SKU]],'All Skus'!$A:$AC,2,FALSE))="Martin",(VLOOKUP(Table10[[#This Row],[SKU]],'All Skus'!$A:$AC,18,FALSE)),""))</f>
        <v>0</v>
      </c>
      <c r="O548" s="227">
        <f>(IF((VLOOKUP(Table10[[#This Row],[SKU]],'All Skus'!$A:$AC,2,FALSE))="Martin",(VLOOKUP(Table10[[#This Row],[SKU]],'All Skus'!$A:$AC,19,FALSE)),""))</f>
        <v>0</v>
      </c>
      <c r="P548" s="227">
        <f>(IF((VLOOKUP(Table10[[#This Row],[SKU]],'All Skus'!$A:$AC,2,FALSE))="Martin",(VLOOKUP(Table10[[#This Row],[SKU]],'All Skus'!$A:$AC,20,FALSE)),""))</f>
        <v>0</v>
      </c>
      <c r="Q548" s="227">
        <f>(IF((VLOOKUP(Table10[[#This Row],[SKU]],'All Skus'!$A:$AC,2,FALSE))="Martin",(VLOOKUP(Table10[[#This Row],[SKU]],'All Skus'!$A:$AC,21,FALSE)),""))</f>
        <v>0</v>
      </c>
      <c r="R548" s="224" t="str">
        <f>(IF((VLOOKUP(Table10[[#This Row],[SKU]],'All Skus'!$A:$AC,2,FALSE))="Martin",(VLOOKUP(Table10[[#This Row],[SKU]],'All Skus'!$A:$AC,22,FALSE)),""))</f>
        <v>HU</v>
      </c>
      <c r="S548" s="223">
        <f>(IF((VLOOKUP(Table10[[#This Row],[SKU]],'All Skus'!$A:$AC,2,FALSE))="Martin",(VLOOKUP(Table10[[#This Row],[SKU]],'All Skus'!$A:$AC,23,FALSE)),""))</f>
        <v>0</v>
      </c>
      <c r="T548" s="212" t="str">
        <f>HYPERLINK((IF((VLOOKUP(Table10[[#This Row],[SKU]],'All Skus'!$A:$AC,2,FALSE))="Martin",(VLOOKUP(Table10[[#This Row],[SKU]],'All Skus'!$A:$AC,24,FALSE)),"")))</f>
        <v>https://www.martin.com/en-US/products/mac-encore-performance-cld</v>
      </c>
      <c r="U548" s="228">
        <v>546</v>
      </c>
    </row>
    <row r="549" spans="1:21" hidden="1">
      <c r="A549" s="115" t="s">
        <v>2219</v>
      </c>
      <c r="B549" s="224">
        <f>(IF((VLOOKUP(Table10[[#This Row],[SKU]],'All Skus'!$A:$AC,2,FALSE))="Martin",(VLOOKUP(Table10[[#This Row],[SKU]],'All Skus'!$A:$AC,3,FALSE)),""))</f>
        <v>0</v>
      </c>
      <c r="C549" s="223">
        <f>(IF((VLOOKUP(Table10[[#This Row],[SKU]],'All Skus'!$A:$AC,2,FALSE))="Martin",(VLOOKUP(Table10[[#This Row],[SKU]],'All Skus'!$A:$AC,4,FALSE)),""))</f>
        <v>0</v>
      </c>
      <c r="D549" s="224">
        <f>(IF((VLOOKUP(Table10[[#This Row],[SKU]],'All Skus'!$A:$AC,2,FALSE))="Martin",(VLOOKUP(Table10[[#This Row],[SKU]],'All Skus'!$A:$AC,5,FALSE)),""))</f>
        <v>0</v>
      </c>
      <c r="E549" s="223">
        <f>(IF((VLOOKUP(Table10[[#This Row],[SKU]],'All Skus'!$A:$AC,2,FALSE))="Martin",(VLOOKUP(Table10[[#This Row],[SKU]],'All Skus'!$A:$AC,6,FALSE)),""))</f>
        <v>0</v>
      </c>
      <c r="F549" s="155">
        <f>(IF((VLOOKUP(Table10[[#This Row],[SKU]],'All Skus'!$A:$AC,2,FALSE))="Martin",(VLOOKUP(Table10[[#This Row],[SKU]],'All Skus'!$A:$AC,7,FALSE)),""))</f>
        <v>0</v>
      </c>
      <c r="G549" s="223">
        <f>(IF((VLOOKUP(Table10[[#This Row],[SKU]],'All Skus'!$A:$AC,2,FALSE))="Martin",(VLOOKUP(Table10[[#This Row],[SKU]],'All Skus'!$A:$AC,8,FALSE)),""))</f>
        <v>0</v>
      </c>
      <c r="H549" s="223">
        <f>(IF((VLOOKUP(Table10[[#This Row],[SKU]],'All Skus'!$A:$AC,2,FALSE))="Martin",(VLOOKUP(Table10[[#This Row],[SKU]],'All Skus'!$A:$AC,9,FALSE)),""))</f>
        <v>0</v>
      </c>
      <c r="I549" s="225">
        <f>(IF((VLOOKUP(Table10[[#This Row],[SKU]],'All Skus'!$A:$AC,2,FALSE))="Martin",(VLOOKUP(Table10[[#This Row],[SKU]],'All Skus'!$A:$AC,10,FALSE)),""))</f>
        <v>0</v>
      </c>
      <c r="J549" s="226">
        <f>(IF((VLOOKUP(Table10[[#This Row],[SKU]],'All Skus'!$A:$AC,2,FALSE))="Martin",(VLOOKUP(Table10[[#This Row],[SKU]],'All Skus'!$A:$AC,11,FALSE)),""))</f>
        <v>0</v>
      </c>
      <c r="K549" s="224">
        <f>(IF((VLOOKUP(Table10[[#This Row],[SKU]],'All Skus'!$A:$AC,2,FALSE))="Martin",(VLOOKUP(Table10[[#This Row],[SKU]],'All Skus'!$A:$AC,15,FALSE)),""))</f>
        <v>0</v>
      </c>
      <c r="L549" s="224">
        <f>(IF((VLOOKUP(Table10[[#This Row],[SKU]],'All Skus'!$A:$AC,2,FALSE))="Martin",(VLOOKUP(Table10[[#This Row],[SKU]],'All Skus'!$A:$AC,16,FALSE)),""))</f>
        <v>0</v>
      </c>
      <c r="M549" s="224">
        <f>(IF((VLOOKUP(Table10[[#This Row],[SKU]],'All Skus'!$A:$AC,2,FALSE))="Martin",(VLOOKUP(Table10[[#This Row],[SKU]],'All Skus'!$A:$AC,17,FALSE)),""))</f>
        <v>0</v>
      </c>
      <c r="N549" s="227">
        <f>(IF((VLOOKUP(Table10[[#This Row],[SKU]],'All Skus'!$A:$AC,2,FALSE))="Martin",(VLOOKUP(Table10[[#This Row],[SKU]],'All Skus'!$A:$AC,18,FALSE)),""))</f>
        <v>0</v>
      </c>
      <c r="O549" s="227">
        <f>(IF((VLOOKUP(Table10[[#This Row],[SKU]],'All Skus'!$A:$AC,2,FALSE))="Martin",(VLOOKUP(Table10[[#This Row],[SKU]],'All Skus'!$A:$AC,19,FALSE)),""))</f>
        <v>0</v>
      </c>
      <c r="P549" s="227">
        <f>(IF((VLOOKUP(Table10[[#This Row],[SKU]],'All Skus'!$A:$AC,2,FALSE))="Martin",(VLOOKUP(Table10[[#This Row],[SKU]],'All Skus'!$A:$AC,20,FALSE)),""))</f>
        <v>0</v>
      </c>
      <c r="Q549" s="227">
        <f>(IF((VLOOKUP(Table10[[#This Row],[SKU]],'All Skus'!$A:$AC,2,FALSE))="Martin",(VLOOKUP(Table10[[#This Row],[SKU]],'All Skus'!$A:$AC,21,FALSE)),""))</f>
        <v>0</v>
      </c>
      <c r="R549" s="224">
        <f>(IF((VLOOKUP(Table10[[#This Row],[SKU]],'All Skus'!$A:$AC,2,FALSE))="Martin",(VLOOKUP(Table10[[#This Row],[SKU]],'All Skus'!$A:$AC,22,FALSE)),""))</f>
        <v>0</v>
      </c>
      <c r="S549" s="223">
        <f>(IF((VLOOKUP(Table10[[#This Row],[SKU]],'All Skus'!$A:$AC,2,FALSE))="Martin",(VLOOKUP(Table10[[#This Row],[SKU]],'All Skus'!$A:$AC,23,FALSE)),""))</f>
        <v>0</v>
      </c>
      <c r="T549" s="212" t="str">
        <f>HYPERLINK((IF((VLOOKUP(Table10[[#This Row],[SKU]],'All Skus'!$A:$AC,2,FALSE))="Martin",(VLOOKUP(Table10[[#This Row],[SKU]],'All Skus'!$A:$AC,24,FALSE)),"")))</f>
        <v/>
      </c>
      <c r="U549" s="228">
        <v>547</v>
      </c>
    </row>
    <row r="550" spans="1:21" hidden="1">
      <c r="A550" s="90">
        <v>91515048</v>
      </c>
      <c r="B550" s="224" t="str">
        <f>(IF((VLOOKUP(Table10[[#This Row],[SKU]],'All Skus'!$A:$AC,2,FALSE))="Martin",(VLOOKUP(Table10[[#This Row],[SKU]],'All Skus'!$A:$AC,3,FALSE)),""))</f>
        <v>LED</v>
      </c>
      <c r="C550" s="223" t="str">
        <f>(IF((VLOOKUP(Table10[[#This Row],[SKU]],'All Skus'!$A:$AC,2,FALSE))="Martin",(VLOOKUP(Table10[[#This Row],[SKU]],'All Skus'!$A:$AC,4,FALSE)),""))</f>
        <v>FLIGHTCASE 2X MAC ENCORE</v>
      </c>
      <c r="D550" s="224" t="str">
        <f>(IF((VLOOKUP(Table10[[#This Row],[SKU]],'All Skus'!$A:$AC,2,FALSE))="Martin",(VLOOKUP(Table10[[#This Row],[SKU]],'All Skus'!$A:$AC,5,FALSE)),""))</f>
        <v>MSL-ENCORE</v>
      </c>
      <c r="E550" s="223">
        <f>(IF((VLOOKUP(Table10[[#This Row],[SKU]],'All Skus'!$A:$AC,2,FALSE))="Martin",(VLOOKUP(Table10[[#This Row],[SKU]],'All Skus'!$A:$AC,6,FALSE)),""))</f>
        <v>0</v>
      </c>
      <c r="F550" s="155">
        <f>(IF((VLOOKUP(Table10[[#This Row],[SKU]],'All Skus'!$A:$AC,2,FALSE))="Martin",(VLOOKUP(Table10[[#This Row],[SKU]],'All Skus'!$A:$AC,7,FALSE)),""))</f>
        <v>0</v>
      </c>
      <c r="G550" s="223" t="str">
        <f>(IF((VLOOKUP(Table10[[#This Row],[SKU]],'All Skus'!$A:$AC,2,FALSE))="Martin",(VLOOKUP(Table10[[#This Row],[SKU]],'All Skus'!$A:$AC,8,FALSE)),""))</f>
        <v>FLIGHTCASE 2X MAC ENCORE</v>
      </c>
      <c r="H550" s="223" t="str">
        <f>(IF((VLOOKUP(Table10[[#This Row],[SKU]],'All Skus'!$A:$AC,2,FALSE))="Martin",(VLOOKUP(Table10[[#This Row],[SKU]],'All Skus'!$A:$AC,9,FALSE)),""))</f>
        <v>FLIGHTCASE 2X MAC ENCORE</v>
      </c>
      <c r="I550" s="225">
        <f>(IF((VLOOKUP(Table10[[#This Row],[SKU]],'All Skus'!$A:$AC,2,FALSE))="Martin",(VLOOKUP(Table10[[#This Row],[SKU]],'All Skus'!$A:$AC,10,FALSE)),""))</f>
        <v>1932.41</v>
      </c>
      <c r="J550" s="226">
        <f>(IF((VLOOKUP(Table10[[#This Row],[SKU]],'All Skus'!$A:$AC,2,FALSE))="Martin",(VLOOKUP(Table10[[#This Row],[SKU]],'All Skus'!$A:$AC,11,FALSE)),""))</f>
        <v>1932.41</v>
      </c>
      <c r="K550" s="224">
        <f>(IF((VLOOKUP(Table10[[#This Row],[SKU]],'All Skus'!$A:$AC,2,FALSE))="Martin",(VLOOKUP(Table10[[#This Row],[SKU]],'All Skus'!$A:$AC,15,FALSE)),""))</f>
        <v>0</v>
      </c>
      <c r="L550" s="224">
        <f>(IF((VLOOKUP(Table10[[#This Row],[SKU]],'All Skus'!$A:$AC,2,FALSE))="Martin",(VLOOKUP(Table10[[#This Row],[SKU]],'All Skus'!$A:$AC,16,FALSE)),""))</f>
        <v>5706681239306</v>
      </c>
      <c r="M550" s="224">
        <f>(IF((VLOOKUP(Table10[[#This Row],[SKU]],'All Skus'!$A:$AC,2,FALSE))="Martin",(VLOOKUP(Table10[[#This Row],[SKU]],'All Skus'!$A:$AC,17,FALSE)),""))</f>
        <v>0</v>
      </c>
      <c r="N550" s="227">
        <f>(IF((VLOOKUP(Table10[[#This Row],[SKU]],'All Skus'!$A:$AC,2,FALSE))="Martin",(VLOOKUP(Table10[[#This Row],[SKU]],'All Skus'!$A:$AC,18,FALSE)),""))</f>
        <v>0</v>
      </c>
      <c r="O550" s="227">
        <f>(IF((VLOOKUP(Table10[[#This Row],[SKU]],'All Skus'!$A:$AC,2,FALSE))="Martin",(VLOOKUP(Table10[[#This Row],[SKU]],'All Skus'!$A:$AC,19,FALSE)),""))</f>
        <v>0</v>
      </c>
      <c r="P550" s="227">
        <f>(IF((VLOOKUP(Table10[[#This Row],[SKU]],'All Skus'!$A:$AC,2,FALSE))="Martin",(VLOOKUP(Table10[[#This Row],[SKU]],'All Skus'!$A:$AC,20,FALSE)),""))</f>
        <v>0</v>
      </c>
      <c r="Q550" s="227">
        <f>(IF((VLOOKUP(Table10[[#This Row],[SKU]],'All Skus'!$A:$AC,2,FALSE))="Martin",(VLOOKUP(Table10[[#This Row],[SKU]],'All Skus'!$A:$AC,21,FALSE)),""))</f>
        <v>0</v>
      </c>
      <c r="R550" s="224" t="str">
        <f>(IF((VLOOKUP(Table10[[#This Row],[SKU]],'All Skus'!$A:$AC,2,FALSE))="Martin",(VLOOKUP(Table10[[#This Row],[SKU]],'All Skus'!$A:$AC,22,FALSE)),""))</f>
        <v>DE</v>
      </c>
      <c r="S550" s="223">
        <f>(IF((VLOOKUP(Table10[[#This Row],[SKU]],'All Skus'!$A:$AC,2,FALSE))="Martin",(VLOOKUP(Table10[[#This Row],[SKU]],'All Skus'!$A:$AC,23,FALSE)),""))</f>
        <v>0</v>
      </c>
      <c r="T550" s="212" t="str">
        <f>HYPERLINK((IF((VLOOKUP(Table10[[#This Row],[SKU]],'All Skus'!$A:$AC,2,FALSE))="Martin",(VLOOKUP(Table10[[#This Row],[SKU]],'All Skus'!$A:$AC,24,FALSE)),"")))</f>
        <v>https://www.martin.com/en-US/products/mac-encore-performance-wrm</v>
      </c>
      <c r="U550" s="228">
        <v>548</v>
      </c>
    </row>
    <row r="551" spans="1:21" hidden="1">
      <c r="A551" s="90" t="s">
        <v>2220</v>
      </c>
      <c r="B551" s="224" t="str">
        <f>(IF((VLOOKUP(Table10[[#This Row],[SKU]],'All Skus'!$A:$AC,2,FALSE))="Martin",(VLOOKUP(Table10[[#This Row],[SKU]],'All Skus'!$A:$AC,3,FALSE)),""))</f>
        <v>LED</v>
      </c>
      <c r="C551" s="223" t="str">
        <f>(IF((VLOOKUP(Table10[[#This Row],[SKU]],'All Skus'!$A:$AC,2,FALSE))="Martin",(VLOOKUP(Table10[[#This Row],[SKU]],'All Skus'!$A:$AC,4,FALSE)),""))</f>
        <v>HEAVY FROST ASSY MAC ENCORE PERFORMANCE</v>
      </c>
      <c r="D551" s="224" t="str">
        <f>(IF((VLOOKUP(Table10[[#This Row],[SKU]],'All Skus'!$A:$AC,2,FALSE))="Martin",(VLOOKUP(Table10[[#This Row],[SKU]],'All Skus'!$A:$AC,5,FALSE)),""))</f>
        <v>MSL-ENCORE</v>
      </c>
      <c r="E551" s="223">
        <f>(IF((VLOOKUP(Table10[[#This Row],[SKU]],'All Skus'!$A:$AC,2,FALSE))="Martin",(VLOOKUP(Table10[[#This Row],[SKU]],'All Skus'!$A:$AC,6,FALSE)),""))</f>
        <v>0</v>
      </c>
      <c r="F551" s="155">
        <f>(IF((VLOOKUP(Table10[[#This Row],[SKU]],'All Skus'!$A:$AC,2,FALSE))="Martin",(VLOOKUP(Table10[[#This Row],[SKU]],'All Skus'!$A:$AC,7,FALSE)),""))</f>
        <v>0</v>
      </c>
      <c r="G551" s="223" t="str">
        <f>(IF((VLOOKUP(Table10[[#This Row],[SKU]],'All Skus'!$A:$AC,2,FALSE))="Martin",(VLOOKUP(Table10[[#This Row],[SKU]],'All Skus'!$A:$AC,8,FALSE)),""))</f>
        <v>HEAVY FROST ASSY MAC ENCORE PERFORMANCE</v>
      </c>
      <c r="H551" s="223" t="str">
        <f>(IF((VLOOKUP(Table10[[#This Row],[SKU]],'All Skus'!$A:$AC,2,FALSE))="Martin",(VLOOKUP(Table10[[#This Row],[SKU]],'All Skus'!$A:$AC,9,FALSE)),""))</f>
        <v>HEAVY FROST ASSY MAC ENCORE PERFORMANCE</v>
      </c>
      <c r="I551" s="225">
        <f>(IF((VLOOKUP(Table10[[#This Row],[SKU]],'All Skus'!$A:$AC,2,FALSE))="Martin",(VLOOKUP(Table10[[#This Row],[SKU]],'All Skus'!$A:$AC,10,FALSE)),""))</f>
        <v>64.209999999999994</v>
      </c>
      <c r="J551" s="226">
        <f>(IF((VLOOKUP(Table10[[#This Row],[SKU]],'All Skus'!$A:$AC,2,FALSE))="Martin",(VLOOKUP(Table10[[#This Row],[SKU]],'All Skus'!$A:$AC,11,FALSE)),""))</f>
        <v>64.209999999999994</v>
      </c>
      <c r="K551" s="224">
        <f>(IF((VLOOKUP(Table10[[#This Row],[SKU]],'All Skus'!$A:$AC,2,FALSE))="Martin",(VLOOKUP(Table10[[#This Row],[SKU]],'All Skus'!$A:$AC,15,FALSE)),""))</f>
        <v>0</v>
      </c>
      <c r="L551" s="224">
        <f>(IF((VLOOKUP(Table10[[#This Row],[SKU]],'All Skus'!$A:$AC,2,FALSE))="Martin",(VLOOKUP(Table10[[#This Row],[SKU]],'All Skus'!$A:$AC,16,FALSE)),""))</f>
        <v>5706681239375</v>
      </c>
      <c r="M551" s="224">
        <f>(IF((VLOOKUP(Table10[[#This Row],[SKU]],'All Skus'!$A:$AC,2,FALSE))="Martin",(VLOOKUP(Table10[[#This Row],[SKU]],'All Skus'!$A:$AC,17,FALSE)),""))</f>
        <v>0</v>
      </c>
      <c r="N551" s="227">
        <f>(IF((VLOOKUP(Table10[[#This Row],[SKU]],'All Skus'!$A:$AC,2,FALSE))="Martin",(VLOOKUP(Table10[[#This Row],[SKU]],'All Skus'!$A:$AC,18,FALSE)),""))</f>
        <v>0</v>
      </c>
      <c r="O551" s="227">
        <f>(IF((VLOOKUP(Table10[[#This Row],[SKU]],'All Skus'!$A:$AC,2,FALSE))="Martin",(VLOOKUP(Table10[[#This Row],[SKU]],'All Skus'!$A:$AC,19,FALSE)),""))</f>
        <v>0</v>
      </c>
      <c r="P551" s="227">
        <f>(IF((VLOOKUP(Table10[[#This Row],[SKU]],'All Skus'!$A:$AC,2,FALSE))="Martin",(VLOOKUP(Table10[[#This Row],[SKU]],'All Skus'!$A:$AC,20,FALSE)),""))</f>
        <v>0</v>
      </c>
      <c r="Q551" s="227">
        <f>(IF((VLOOKUP(Table10[[#This Row],[SKU]],'All Skus'!$A:$AC,2,FALSE))="Martin",(VLOOKUP(Table10[[#This Row],[SKU]],'All Skus'!$A:$AC,21,FALSE)),""))</f>
        <v>0</v>
      </c>
      <c r="R551" s="224" t="str">
        <f>(IF((VLOOKUP(Table10[[#This Row],[SKU]],'All Skus'!$A:$AC,2,FALSE))="Martin",(VLOOKUP(Table10[[#This Row],[SKU]],'All Skus'!$A:$AC,22,FALSE)),""))</f>
        <v>HU</v>
      </c>
      <c r="S551" s="223">
        <f>(IF((VLOOKUP(Table10[[#This Row],[SKU]],'All Skus'!$A:$AC,2,FALSE))="Martin",(VLOOKUP(Table10[[#This Row],[SKU]],'All Skus'!$A:$AC,23,FALSE)),""))</f>
        <v>0</v>
      </c>
      <c r="T551" s="212" t="str">
        <f>HYPERLINK((IF((VLOOKUP(Table10[[#This Row],[SKU]],'All Skus'!$A:$AC,2,FALSE))="Martin",(VLOOKUP(Table10[[#This Row],[SKU]],'All Skus'!$A:$AC,24,FALSE)),"")))</f>
        <v>https://www.martin.com/en-US/products/mac-encore-wash-wrm</v>
      </c>
      <c r="U551" s="228">
        <v>549</v>
      </c>
    </row>
    <row r="552" spans="1:21" hidden="1">
      <c r="A552" s="223" t="s">
        <v>2221</v>
      </c>
      <c r="B552" s="224" t="str">
        <f>(IF((VLOOKUP(Table10[[#This Row],[SKU]],'All Skus'!$A:$AC,2,FALSE))="Martin",(VLOOKUP(Table10[[#This Row],[SKU]],'All Skus'!$A:$AC,3,FALSE)),""))</f>
        <v>LED</v>
      </c>
      <c r="C552" s="223" t="str">
        <f>(IF((VLOOKUP(Table10[[#This Row],[SKU]],'All Skus'!$A:$AC,2,FALSE))="Martin",(VLOOKUP(Table10[[#This Row],[SKU]],'All Skus'!$A:$AC,4,FALSE)),""))</f>
        <v>Set of Followspot Handles MAC Encore</v>
      </c>
      <c r="D552" s="224" t="str">
        <f>(IF((VLOOKUP(Table10[[#This Row],[SKU]],'All Skus'!$A:$AC,2,FALSE))="Martin",(VLOOKUP(Table10[[#This Row],[SKU]],'All Skus'!$A:$AC,5,FALSE)),""))</f>
        <v>MSL-ENCORE</v>
      </c>
      <c r="E552" s="223">
        <f>(IF((VLOOKUP(Table10[[#This Row],[SKU]],'All Skus'!$A:$AC,2,FALSE))="Martin",(VLOOKUP(Table10[[#This Row],[SKU]],'All Skus'!$A:$AC,6,FALSE)),""))</f>
        <v>0</v>
      </c>
      <c r="F552" s="155">
        <f>(IF((VLOOKUP(Table10[[#This Row],[SKU]],'All Skus'!$A:$AC,2,FALSE))="Martin",(VLOOKUP(Table10[[#This Row],[SKU]],'All Skus'!$A:$AC,7,FALSE)),""))</f>
        <v>0</v>
      </c>
      <c r="G552" s="223" t="str">
        <f>(IF((VLOOKUP(Table10[[#This Row],[SKU]],'All Skus'!$A:$AC,2,FALSE))="Martin",(VLOOKUP(Table10[[#This Row],[SKU]],'All Skus'!$A:$AC,8,FALSE)),""))</f>
        <v>Set of Followspot Handles MAC Encore</v>
      </c>
      <c r="H552" s="223" t="str">
        <f>(IF((VLOOKUP(Table10[[#This Row],[SKU]],'All Skus'!$A:$AC,2,FALSE))="Martin",(VLOOKUP(Table10[[#This Row],[SKU]],'All Skus'!$A:$AC,9,FALSE)),""))</f>
        <v>Set of Followspot Handles MAC Encore</v>
      </c>
      <c r="I552" s="225">
        <f>(IF((VLOOKUP(Table10[[#This Row],[SKU]],'All Skus'!$A:$AC,2,FALSE))="Martin",(VLOOKUP(Table10[[#This Row],[SKU]],'All Skus'!$A:$AC,10,FALSE)),""))</f>
        <v>222.26</v>
      </c>
      <c r="J552" s="226">
        <f>(IF((VLOOKUP(Table10[[#This Row],[SKU]],'All Skus'!$A:$AC,2,FALSE))="Martin",(VLOOKUP(Table10[[#This Row],[SKU]],'All Skus'!$A:$AC,11,FALSE)),""))</f>
        <v>222.26</v>
      </c>
      <c r="K552" s="224">
        <f>(IF((VLOOKUP(Table10[[#This Row],[SKU]],'All Skus'!$A:$AC,2,FALSE))="Martin",(VLOOKUP(Table10[[#This Row],[SKU]],'All Skus'!$A:$AC,15,FALSE)),""))</f>
        <v>0</v>
      </c>
      <c r="L552" s="224">
        <f>(IF((VLOOKUP(Table10[[#This Row],[SKU]],'All Skus'!$A:$AC,2,FALSE))="Martin",(VLOOKUP(Table10[[#This Row],[SKU]],'All Skus'!$A:$AC,16,FALSE)),""))</f>
        <v>5706681239368</v>
      </c>
      <c r="M552" s="224">
        <f>(IF((VLOOKUP(Table10[[#This Row],[SKU]],'All Skus'!$A:$AC,2,FALSE))="Martin",(VLOOKUP(Table10[[#This Row],[SKU]],'All Skus'!$A:$AC,17,FALSE)),""))</f>
        <v>0</v>
      </c>
      <c r="N552" s="227">
        <f>(IF((VLOOKUP(Table10[[#This Row],[SKU]],'All Skus'!$A:$AC,2,FALSE))="Martin",(VLOOKUP(Table10[[#This Row],[SKU]],'All Skus'!$A:$AC,18,FALSE)),""))</f>
        <v>0</v>
      </c>
      <c r="O552" s="227">
        <f>(IF((VLOOKUP(Table10[[#This Row],[SKU]],'All Skus'!$A:$AC,2,FALSE))="Martin",(VLOOKUP(Table10[[#This Row],[SKU]],'All Skus'!$A:$AC,19,FALSE)),""))</f>
        <v>0</v>
      </c>
      <c r="P552" s="227">
        <f>(IF((VLOOKUP(Table10[[#This Row],[SKU]],'All Skus'!$A:$AC,2,FALSE))="Martin",(VLOOKUP(Table10[[#This Row],[SKU]],'All Skus'!$A:$AC,20,FALSE)),""))</f>
        <v>0</v>
      </c>
      <c r="Q552" s="227">
        <f>(IF((VLOOKUP(Table10[[#This Row],[SKU]],'All Skus'!$A:$AC,2,FALSE))="Martin",(VLOOKUP(Table10[[#This Row],[SKU]],'All Skus'!$A:$AC,21,FALSE)),""))</f>
        <v>0</v>
      </c>
      <c r="R552" s="224" t="str">
        <f>(IF((VLOOKUP(Table10[[#This Row],[SKU]],'All Skus'!$A:$AC,2,FALSE))="Martin",(VLOOKUP(Table10[[#This Row],[SKU]],'All Skus'!$A:$AC,22,FALSE)),""))</f>
        <v>HU</v>
      </c>
      <c r="S552" s="223">
        <f>(IF((VLOOKUP(Table10[[#This Row],[SKU]],'All Skus'!$A:$AC,2,FALSE))="Martin",(VLOOKUP(Table10[[#This Row],[SKU]],'All Skus'!$A:$AC,23,FALSE)),""))</f>
        <v>0</v>
      </c>
      <c r="T552" s="212" t="str">
        <f>HYPERLINK((IF((VLOOKUP(Table10[[#This Row],[SKU]],'All Skus'!$A:$AC,2,FALSE))="Martin",(VLOOKUP(Table10[[#This Row],[SKU]],'All Skus'!$A:$AC,24,FALSE)),"")))</f>
        <v>https://www.martin.com/en/product_families/mac-encore</v>
      </c>
      <c r="U552" s="228">
        <v>550</v>
      </c>
    </row>
    <row r="553" spans="1:21" hidden="1">
      <c r="A553" s="223" t="s">
        <v>2222</v>
      </c>
      <c r="B553" s="224" t="str">
        <f>(IF((VLOOKUP(Table10[[#This Row],[SKU]],'All Skus'!$A:$AC,2,FALSE))="Martin",(VLOOKUP(Table10[[#This Row],[SKU]],'All Skus'!$A:$AC,3,FALSE)),""))</f>
        <v>LED</v>
      </c>
      <c r="C553" s="223" t="str">
        <f>(IF((VLOOKUP(Table10[[#This Row],[SKU]],'All Skus'!$A:$AC,2,FALSE))="Martin",(VLOOKUP(Table10[[#This Row],[SKU]],'All Skus'!$A:$AC,4,FALSE)),""))</f>
        <v>SIP Packaging MAC Encore Family</v>
      </c>
      <c r="D553" s="224" t="str">
        <f>(IF((VLOOKUP(Table10[[#This Row],[SKU]],'All Skus'!$A:$AC,2,FALSE))="Martin",(VLOOKUP(Table10[[#This Row],[SKU]],'All Skus'!$A:$AC,5,FALSE)),""))</f>
        <v>MSL-ENCORE</v>
      </c>
      <c r="E553" s="223">
        <f>(IF((VLOOKUP(Table10[[#This Row],[SKU]],'All Skus'!$A:$AC,2,FALSE))="Martin",(VLOOKUP(Table10[[#This Row],[SKU]],'All Skus'!$A:$AC,6,FALSE)),""))</f>
        <v>0</v>
      </c>
      <c r="F553" s="155">
        <f>(IF((VLOOKUP(Table10[[#This Row],[SKU]],'All Skus'!$A:$AC,2,FALSE))="Martin",(VLOOKUP(Table10[[#This Row],[SKU]],'All Skus'!$A:$AC,7,FALSE)),""))</f>
        <v>0</v>
      </c>
      <c r="G553" s="223" t="str">
        <f>(IF((VLOOKUP(Table10[[#This Row],[SKU]],'All Skus'!$A:$AC,2,FALSE))="Martin",(VLOOKUP(Table10[[#This Row],[SKU]],'All Skus'!$A:$AC,8,FALSE)),""))</f>
        <v>SIP Packaging MAC Encore Family</v>
      </c>
      <c r="H553" s="223" t="str">
        <f>(IF((VLOOKUP(Table10[[#This Row],[SKU]],'All Skus'!$A:$AC,2,FALSE))="Martin",(VLOOKUP(Table10[[#This Row],[SKU]],'All Skus'!$A:$AC,9,FALSE)),""))</f>
        <v>SIP Packaging MAC Encore Family</v>
      </c>
      <c r="I553" s="225">
        <f>(IF((VLOOKUP(Table10[[#This Row],[SKU]],'All Skus'!$A:$AC,2,FALSE))="Martin",(VLOOKUP(Table10[[#This Row],[SKU]],'All Skus'!$A:$AC,10,FALSE)),""))</f>
        <v>817.41</v>
      </c>
      <c r="J553" s="226">
        <f>(IF((VLOOKUP(Table10[[#This Row],[SKU]],'All Skus'!$A:$AC,2,FALSE))="Martin",(VLOOKUP(Table10[[#This Row],[SKU]],'All Skus'!$A:$AC,11,FALSE)),""))</f>
        <v>817.41</v>
      </c>
      <c r="K553" s="224">
        <f>(IF((VLOOKUP(Table10[[#This Row],[SKU]],'All Skus'!$A:$AC,2,FALSE))="Martin",(VLOOKUP(Table10[[#This Row],[SKU]],'All Skus'!$A:$AC,15,FALSE)),""))</f>
        <v>0</v>
      </c>
      <c r="L553" s="224">
        <f>(IF((VLOOKUP(Table10[[#This Row],[SKU]],'All Skus'!$A:$AC,2,FALSE))="Martin",(VLOOKUP(Table10[[#This Row],[SKU]],'All Skus'!$A:$AC,16,FALSE)),""))</f>
        <v>5706681239917</v>
      </c>
      <c r="M553" s="224">
        <f>(IF((VLOOKUP(Table10[[#This Row],[SKU]],'All Skus'!$A:$AC,2,FALSE))="Martin",(VLOOKUP(Table10[[#This Row],[SKU]],'All Skus'!$A:$AC,17,FALSE)),""))</f>
        <v>0</v>
      </c>
      <c r="N553" s="227">
        <f>(IF((VLOOKUP(Table10[[#This Row],[SKU]],'All Skus'!$A:$AC,2,FALSE))="Martin",(VLOOKUP(Table10[[#This Row],[SKU]],'All Skus'!$A:$AC,18,FALSE)),""))</f>
        <v>0</v>
      </c>
      <c r="O553" s="227">
        <f>(IF((VLOOKUP(Table10[[#This Row],[SKU]],'All Skus'!$A:$AC,2,FALSE))="Martin",(VLOOKUP(Table10[[#This Row],[SKU]],'All Skus'!$A:$AC,19,FALSE)),""))</f>
        <v>0</v>
      </c>
      <c r="P553" s="227">
        <f>(IF((VLOOKUP(Table10[[#This Row],[SKU]],'All Skus'!$A:$AC,2,FALSE))="Martin",(VLOOKUP(Table10[[#This Row],[SKU]],'All Skus'!$A:$AC,20,FALSE)),""))</f>
        <v>0</v>
      </c>
      <c r="Q553" s="227">
        <f>(IF((VLOOKUP(Table10[[#This Row],[SKU]],'All Skus'!$A:$AC,2,FALSE))="Martin",(VLOOKUP(Table10[[#This Row],[SKU]],'All Skus'!$A:$AC,21,FALSE)),""))</f>
        <v>0</v>
      </c>
      <c r="R553" s="224" t="str">
        <f>(IF((VLOOKUP(Table10[[#This Row],[SKU]],'All Skus'!$A:$AC,2,FALSE))="Martin",(VLOOKUP(Table10[[#This Row],[SKU]],'All Skus'!$A:$AC,22,FALSE)),""))</f>
        <v>HU</v>
      </c>
      <c r="S553" s="223">
        <f>(IF((VLOOKUP(Table10[[#This Row],[SKU]],'All Skus'!$A:$AC,2,FALSE))="Martin",(VLOOKUP(Table10[[#This Row],[SKU]],'All Skus'!$A:$AC,23,FALSE)),""))</f>
        <v>0</v>
      </c>
      <c r="T553" s="212" t="str">
        <f>HYPERLINK((IF((VLOOKUP(Table10[[#This Row],[SKU]],'All Skus'!$A:$AC,2,FALSE))="Martin",(VLOOKUP(Table10[[#This Row],[SKU]],'All Skus'!$A:$AC,24,FALSE)),"")))</f>
        <v>https://www.martin.com/en/product_families/mac-encore</v>
      </c>
      <c r="U553" s="228">
        <v>551</v>
      </c>
    </row>
    <row r="554" spans="1:21" hidden="1">
      <c r="A554" s="90">
        <v>91001003</v>
      </c>
      <c r="B554" s="224" t="str">
        <f>(IF((VLOOKUP(Table10[[#This Row],[SKU]],'All Skus'!$A:$AC,2,FALSE))="Martin",(VLOOKUP(Table10[[#This Row],[SKU]],'All Skus'!$A:$AC,3,FALSE)),""))</f>
        <v>LED</v>
      </c>
      <c r="C554" s="223" t="str">
        <f>(IF((VLOOKUP(Table10[[#This Row],[SKU]],'All Skus'!$A:$AC,2,FALSE))="Martin",(VLOOKUP(Table10[[#This Row],[SKU]],'All Skus'!$A:$AC,4,FALSE)),""))</f>
        <v>Static Gobo Wheel MAC Encore Performance</v>
      </c>
      <c r="D554" s="224" t="str">
        <f>(IF((VLOOKUP(Table10[[#This Row],[SKU]],'All Skus'!$A:$AC,2,FALSE))="Martin",(VLOOKUP(Table10[[#This Row],[SKU]],'All Skus'!$A:$AC,5,FALSE)),""))</f>
        <v>MSL-ENCORE</v>
      </c>
      <c r="E554" s="223">
        <f>(IF((VLOOKUP(Table10[[#This Row],[SKU]],'All Skus'!$A:$AC,2,FALSE))="Martin",(VLOOKUP(Table10[[#This Row],[SKU]],'All Skus'!$A:$AC,6,FALSE)),""))</f>
        <v>0</v>
      </c>
      <c r="F554" s="155">
        <f>(IF((VLOOKUP(Table10[[#This Row],[SKU]],'All Skus'!$A:$AC,2,FALSE))="Martin",(VLOOKUP(Table10[[#This Row],[SKU]],'All Skus'!$A:$AC,7,FALSE)),""))</f>
        <v>0</v>
      </c>
      <c r="G554" s="223" t="str">
        <f>(IF((VLOOKUP(Table10[[#This Row],[SKU]],'All Skus'!$A:$AC,2,FALSE))="Martin",(VLOOKUP(Table10[[#This Row],[SKU]],'All Skus'!$A:$AC,8,FALSE)),""))</f>
        <v>Static Gobo Wheel MAC Encore Performance</v>
      </c>
      <c r="H554" s="223" t="str">
        <f>(IF((VLOOKUP(Table10[[#This Row],[SKU]],'All Skus'!$A:$AC,2,FALSE))="Martin",(VLOOKUP(Table10[[#This Row],[SKU]],'All Skus'!$A:$AC,9,FALSE)),""))</f>
        <v>Static Gobo Wheel MAC Encore Performance</v>
      </c>
      <c r="I554" s="225">
        <f>(IF((VLOOKUP(Table10[[#This Row],[SKU]],'All Skus'!$A:$AC,2,FALSE))="Martin",(VLOOKUP(Table10[[#This Row],[SKU]],'All Skus'!$A:$AC,10,FALSE)),""))</f>
        <v>170.4</v>
      </c>
      <c r="J554" s="226">
        <f>(IF((VLOOKUP(Table10[[#This Row],[SKU]],'All Skus'!$A:$AC,2,FALSE))="Martin",(VLOOKUP(Table10[[#This Row],[SKU]],'All Skus'!$A:$AC,11,FALSE)),""))</f>
        <v>170.4</v>
      </c>
      <c r="K554" s="224">
        <f>(IF((VLOOKUP(Table10[[#This Row],[SKU]],'All Skus'!$A:$AC,2,FALSE))="Martin",(VLOOKUP(Table10[[#This Row],[SKU]],'All Skus'!$A:$AC,15,FALSE)),""))</f>
        <v>0</v>
      </c>
      <c r="L554" s="224">
        <f>(IF((VLOOKUP(Table10[[#This Row],[SKU]],'All Skus'!$A:$AC,2,FALSE))="Martin",(VLOOKUP(Table10[[#This Row],[SKU]],'All Skus'!$A:$AC,16,FALSE)),""))</f>
        <v>5706681239382</v>
      </c>
      <c r="M554" s="224">
        <f>(IF((VLOOKUP(Table10[[#This Row],[SKU]],'All Skus'!$A:$AC,2,FALSE))="Martin",(VLOOKUP(Table10[[#This Row],[SKU]],'All Skus'!$A:$AC,17,FALSE)),""))</f>
        <v>0</v>
      </c>
      <c r="N554" s="227">
        <f>(IF((VLOOKUP(Table10[[#This Row],[SKU]],'All Skus'!$A:$AC,2,FALSE))="Martin",(VLOOKUP(Table10[[#This Row],[SKU]],'All Skus'!$A:$AC,18,FALSE)),""))</f>
        <v>0</v>
      </c>
      <c r="O554" s="227">
        <f>(IF((VLOOKUP(Table10[[#This Row],[SKU]],'All Skus'!$A:$AC,2,FALSE))="Martin",(VLOOKUP(Table10[[#This Row],[SKU]],'All Skus'!$A:$AC,19,FALSE)),""))</f>
        <v>0</v>
      </c>
      <c r="P554" s="227">
        <f>(IF((VLOOKUP(Table10[[#This Row],[SKU]],'All Skus'!$A:$AC,2,FALSE))="Martin",(VLOOKUP(Table10[[#This Row],[SKU]],'All Skus'!$A:$AC,20,FALSE)),""))</f>
        <v>0</v>
      </c>
      <c r="Q554" s="227">
        <f>(IF((VLOOKUP(Table10[[#This Row],[SKU]],'All Skus'!$A:$AC,2,FALSE))="Martin",(VLOOKUP(Table10[[#This Row],[SKU]],'All Skus'!$A:$AC,21,FALSE)),""))</f>
        <v>0</v>
      </c>
      <c r="R554" s="224" t="str">
        <f>(IF((VLOOKUP(Table10[[#This Row],[SKU]],'All Skus'!$A:$AC,2,FALSE))="Martin",(VLOOKUP(Table10[[#This Row],[SKU]],'All Skus'!$A:$AC,22,FALSE)),""))</f>
        <v>HU</v>
      </c>
      <c r="S554" s="223">
        <f>(IF((VLOOKUP(Table10[[#This Row],[SKU]],'All Skus'!$A:$AC,2,FALSE))="Martin",(VLOOKUP(Table10[[#This Row],[SKU]],'All Skus'!$A:$AC,23,FALSE)),""))</f>
        <v>0</v>
      </c>
      <c r="T554" s="212" t="str">
        <f>HYPERLINK((IF((VLOOKUP(Table10[[#This Row],[SKU]],'All Skus'!$A:$AC,2,FALSE))="Martin",(VLOOKUP(Table10[[#This Row],[SKU]],'All Skus'!$A:$AC,24,FALSE)),"")))</f>
        <v>https://www.martin.com/en/product_families/mac-encore</v>
      </c>
      <c r="U554" s="228">
        <v>552</v>
      </c>
    </row>
    <row r="555" spans="1:21" hidden="1">
      <c r="A555" s="90">
        <v>91001004</v>
      </c>
      <c r="B555" s="224" t="str">
        <f>(IF((VLOOKUP(Table10[[#This Row],[SKU]],'All Skus'!$A:$AC,2,FALSE))="Martin",(VLOOKUP(Table10[[#This Row],[SKU]],'All Skus'!$A:$AC,3,FALSE)),""))</f>
        <v>LED</v>
      </c>
      <c r="C555" s="223" t="str">
        <f>(IF((VLOOKUP(Table10[[#This Row],[SKU]],'All Skus'!$A:$AC,2,FALSE))="Martin",(VLOOKUP(Table10[[#This Row],[SKU]],'All Skus'!$A:$AC,4,FALSE)),""))</f>
        <v>Top Hat MAC Encore Performance</v>
      </c>
      <c r="D555" s="224" t="str">
        <f>(IF((VLOOKUP(Table10[[#This Row],[SKU]],'All Skus'!$A:$AC,2,FALSE))="Martin",(VLOOKUP(Table10[[#This Row],[SKU]],'All Skus'!$A:$AC,5,FALSE)),""))</f>
        <v>MSL-ENCORE</v>
      </c>
      <c r="E555" s="223">
        <f>(IF((VLOOKUP(Table10[[#This Row],[SKU]],'All Skus'!$A:$AC,2,FALSE))="Martin",(VLOOKUP(Table10[[#This Row],[SKU]],'All Skus'!$A:$AC,6,FALSE)),""))</f>
        <v>0</v>
      </c>
      <c r="F555" s="155">
        <f>(IF((VLOOKUP(Table10[[#This Row],[SKU]],'All Skus'!$A:$AC,2,FALSE))="Martin",(VLOOKUP(Table10[[#This Row],[SKU]],'All Skus'!$A:$AC,7,FALSE)),""))</f>
        <v>0</v>
      </c>
      <c r="G555" s="223" t="str">
        <f>(IF((VLOOKUP(Table10[[#This Row],[SKU]],'All Skus'!$A:$AC,2,FALSE))="Martin",(VLOOKUP(Table10[[#This Row],[SKU]],'All Skus'!$A:$AC,8,FALSE)),""))</f>
        <v>Top Hat MAC Encore Performance</v>
      </c>
      <c r="H555" s="223" t="str">
        <f>(IF((VLOOKUP(Table10[[#This Row],[SKU]],'All Skus'!$A:$AC,2,FALSE))="Martin",(VLOOKUP(Table10[[#This Row],[SKU]],'All Skus'!$A:$AC,9,FALSE)),""))</f>
        <v>Top Hat MAC Encore Performance</v>
      </c>
      <c r="I555" s="225">
        <f>(IF((VLOOKUP(Table10[[#This Row],[SKU]],'All Skus'!$A:$AC,2,FALSE))="Martin",(VLOOKUP(Table10[[#This Row],[SKU]],'All Skus'!$A:$AC,10,FALSE)),""))</f>
        <v>44.45</v>
      </c>
      <c r="J555" s="226">
        <f>(IF((VLOOKUP(Table10[[#This Row],[SKU]],'All Skus'!$A:$AC,2,FALSE))="Martin",(VLOOKUP(Table10[[#This Row],[SKU]],'All Skus'!$A:$AC,11,FALSE)),""))</f>
        <v>44.45</v>
      </c>
      <c r="K555" s="224">
        <f>(IF((VLOOKUP(Table10[[#This Row],[SKU]],'All Skus'!$A:$AC,2,FALSE))="Martin",(VLOOKUP(Table10[[#This Row],[SKU]],'All Skus'!$A:$AC,15,FALSE)),""))</f>
        <v>0</v>
      </c>
      <c r="L555" s="224">
        <f>(IF((VLOOKUP(Table10[[#This Row],[SKU]],'All Skus'!$A:$AC,2,FALSE))="Martin",(VLOOKUP(Table10[[#This Row],[SKU]],'All Skus'!$A:$AC,16,FALSE)),""))</f>
        <v>5706681239399</v>
      </c>
      <c r="M555" s="224">
        <f>(IF((VLOOKUP(Table10[[#This Row],[SKU]],'All Skus'!$A:$AC,2,FALSE))="Martin",(VLOOKUP(Table10[[#This Row],[SKU]],'All Skus'!$A:$AC,17,FALSE)),""))</f>
        <v>0</v>
      </c>
      <c r="N555" s="227">
        <f>(IF((VLOOKUP(Table10[[#This Row],[SKU]],'All Skus'!$A:$AC,2,FALSE))="Martin",(VLOOKUP(Table10[[#This Row],[SKU]],'All Skus'!$A:$AC,18,FALSE)),""))</f>
        <v>0</v>
      </c>
      <c r="O555" s="227">
        <f>(IF((VLOOKUP(Table10[[#This Row],[SKU]],'All Skus'!$A:$AC,2,FALSE))="Martin",(VLOOKUP(Table10[[#This Row],[SKU]],'All Skus'!$A:$AC,19,FALSE)),""))</f>
        <v>0</v>
      </c>
      <c r="P555" s="227">
        <f>(IF((VLOOKUP(Table10[[#This Row],[SKU]],'All Skus'!$A:$AC,2,FALSE))="Martin",(VLOOKUP(Table10[[#This Row],[SKU]],'All Skus'!$A:$AC,20,FALSE)),""))</f>
        <v>0</v>
      </c>
      <c r="Q555" s="227">
        <f>(IF((VLOOKUP(Table10[[#This Row],[SKU]],'All Skus'!$A:$AC,2,FALSE))="Martin",(VLOOKUP(Table10[[#This Row],[SKU]],'All Skus'!$A:$AC,21,FALSE)),""))</f>
        <v>0</v>
      </c>
      <c r="R555" s="224" t="str">
        <f>(IF((VLOOKUP(Table10[[#This Row],[SKU]],'All Skus'!$A:$AC,2,FALSE))="Martin",(VLOOKUP(Table10[[#This Row],[SKU]],'All Skus'!$A:$AC,22,FALSE)),""))</f>
        <v>HU</v>
      </c>
      <c r="S555" s="223">
        <f>(IF((VLOOKUP(Table10[[#This Row],[SKU]],'All Skus'!$A:$AC,2,FALSE))="Martin",(VLOOKUP(Table10[[#This Row],[SKU]],'All Skus'!$A:$AC,23,FALSE)),""))</f>
        <v>0</v>
      </c>
      <c r="T555" s="212" t="str">
        <f>HYPERLINK((IF((VLOOKUP(Table10[[#This Row],[SKU]],'All Skus'!$A:$AC,2,FALSE))="Martin",(VLOOKUP(Table10[[#This Row],[SKU]],'All Skus'!$A:$AC,24,FALSE)),"")))</f>
        <v>https://www.martin.com/en/product_families/mac-encore</v>
      </c>
      <c r="U555" s="228">
        <v>553</v>
      </c>
    </row>
    <row r="556" spans="1:21" hidden="1">
      <c r="A556" s="223" t="s">
        <v>2223</v>
      </c>
      <c r="B556" s="224" t="str">
        <f>(IF((VLOOKUP(Table10[[#This Row],[SKU]],'All Skus'!$A:$AC,2,FALSE))="Martin",(VLOOKUP(Table10[[#This Row],[SKU]],'All Skus'!$A:$AC,3,FALSE)),""))</f>
        <v>LED</v>
      </c>
      <c r="C556" s="223" t="str">
        <f>(IF((VLOOKUP(Table10[[#This Row],[SKU]],'All Skus'!$A:$AC,2,FALSE))="Martin",(VLOOKUP(Table10[[#This Row],[SKU]],'All Skus'!$A:$AC,4,FALSE)),""))</f>
        <v>PC Lens Assy MAC Encore Wash</v>
      </c>
      <c r="D556" s="224" t="str">
        <f>(IF((VLOOKUP(Table10[[#This Row],[SKU]],'All Skus'!$A:$AC,2,FALSE))="Martin",(VLOOKUP(Table10[[#This Row],[SKU]],'All Skus'!$A:$AC,5,FALSE)),""))</f>
        <v>MSL-ENCORE</v>
      </c>
      <c r="E556" s="223">
        <f>(IF((VLOOKUP(Table10[[#This Row],[SKU]],'All Skus'!$A:$AC,2,FALSE))="Martin",(VLOOKUP(Table10[[#This Row],[SKU]],'All Skus'!$A:$AC,6,FALSE)),""))</f>
        <v>0</v>
      </c>
      <c r="F556" s="155">
        <f>(IF((VLOOKUP(Table10[[#This Row],[SKU]],'All Skus'!$A:$AC,2,FALSE))="Martin",(VLOOKUP(Table10[[#This Row],[SKU]],'All Skus'!$A:$AC,7,FALSE)),""))</f>
        <v>0</v>
      </c>
      <c r="G556" s="223" t="str">
        <f>(IF((VLOOKUP(Table10[[#This Row],[SKU]],'All Skus'!$A:$AC,2,FALSE))="Martin",(VLOOKUP(Table10[[#This Row],[SKU]],'All Skus'!$A:$AC,8,FALSE)),""))</f>
        <v>PC Lens Assy MAC Encore Wash</v>
      </c>
      <c r="H556" s="223" t="str">
        <f>(IF((VLOOKUP(Table10[[#This Row],[SKU]],'All Skus'!$A:$AC,2,FALSE))="Martin",(VLOOKUP(Table10[[#This Row],[SKU]],'All Skus'!$A:$AC,9,FALSE)),""))</f>
        <v>PC Lens Assy MAC Encore Wash</v>
      </c>
      <c r="I556" s="225">
        <f>(IF((VLOOKUP(Table10[[#This Row],[SKU]],'All Skus'!$A:$AC,2,FALSE))="Martin",(VLOOKUP(Table10[[#This Row],[SKU]],'All Skus'!$A:$AC,10,FALSE)),""))</f>
        <v>334.62</v>
      </c>
      <c r="J556" s="226">
        <f>(IF((VLOOKUP(Table10[[#This Row],[SKU]],'All Skus'!$A:$AC,2,FALSE))="Martin",(VLOOKUP(Table10[[#This Row],[SKU]],'All Skus'!$A:$AC,11,FALSE)),""))</f>
        <v>334.62</v>
      </c>
      <c r="K556" s="224">
        <f>(IF((VLOOKUP(Table10[[#This Row],[SKU]],'All Skus'!$A:$AC,2,FALSE))="Martin",(VLOOKUP(Table10[[#This Row],[SKU]],'All Skus'!$A:$AC,15,FALSE)),""))</f>
        <v>0</v>
      </c>
      <c r="L556" s="224">
        <f>(IF((VLOOKUP(Table10[[#This Row],[SKU]],'All Skus'!$A:$AC,2,FALSE))="Martin",(VLOOKUP(Table10[[#This Row],[SKU]],'All Skus'!$A:$AC,16,FALSE)),""))</f>
        <v>5706681239900</v>
      </c>
      <c r="M556" s="224">
        <f>(IF((VLOOKUP(Table10[[#This Row],[SKU]],'All Skus'!$A:$AC,2,FALSE))="Martin",(VLOOKUP(Table10[[#This Row],[SKU]],'All Skus'!$A:$AC,17,FALSE)),""))</f>
        <v>0</v>
      </c>
      <c r="N556" s="227">
        <f>(IF((VLOOKUP(Table10[[#This Row],[SKU]],'All Skus'!$A:$AC,2,FALSE))="Martin",(VLOOKUP(Table10[[#This Row],[SKU]],'All Skus'!$A:$AC,18,FALSE)),""))</f>
        <v>0</v>
      </c>
      <c r="O556" s="227">
        <f>(IF((VLOOKUP(Table10[[#This Row],[SKU]],'All Skus'!$A:$AC,2,FALSE))="Martin",(VLOOKUP(Table10[[#This Row],[SKU]],'All Skus'!$A:$AC,19,FALSE)),""))</f>
        <v>0</v>
      </c>
      <c r="P556" s="227">
        <f>(IF((VLOOKUP(Table10[[#This Row],[SKU]],'All Skus'!$A:$AC,2,FALSE))="Martin",(VLOOKUP(Table10[[#This Row],[SKU]],'All Skus'!$A:$AC,20,FALSE)),""))</f>
        <v>0</v>
      </c>
      <c r="Q556" s="227">
        <f>(IF((VLOOKUP(Table10[[#This Row],[SKU]],'All Skus'!$A:$AC,2,FALSE))="Martin",(VLOOKUP(Table10[[#This Row],[SKU]],'All Skus'!$A:$AC,21,FALSE)),""))</f>
        <v>0</v>
      </c>
      <c r="R556" s="224" t="str">
        <f>(IF((VLOOKUP(Table10[[#This Row],[SKU]],'All Skus'!$A:$AC,2,FALSE))="Martin",(VLOOKUP(Table10[[#This Row],[SKU]],'All Skus'!$A:$AC,22,FALSE)),""))</f>
        <v>HU</v>
      </c>
      <c r="S556" s="223">
        <f>(IF((VLOOKUP(Table10[[#This Row],[SKU]],'All Skus'!$A:$AC,2,FALSE))="Martin",(VLOOKUP(Table10[[#This Row],[SKU]],'All Skus'!$A:$AC,23,FALSE)),""))</f>
        <v>0</v>
      </c>
      <c r="T556" s="212" t="str">
        <f>HYPERLINK((IF((VLOOKUP(Table10[[#This Row],[SKU]],'All Skus'!$A:$AC,2,FALSE))="Martin",(VLOOKUP(Table10[[#This Row],[SKU]],'All Skus'!$A:$AC,24,FALSE)),"")))</f>
        <v>https://www.martin.com/en/product_families/mac-encore</v>
      </c>
      <c r="U556" s="228">
        <v>554</v>
      </c>
    </row>
    <row r="557" spans="1:21" hidden="1">
      <c r="A557" s="111" t="s">
        <v>2224</v>
      </c>
      <c r="B557" s="224">
        <f>(IF((VLOOKUP(Table10[[#This Row],[SKU]],'All Skus'!$A:$AC,2,FALSE))="Martin",(VLOOKUP(Table10[[#This Row],[SKU]],'All Skus'!$A:$AC,3,FALSE)),""))</f>
        <v>0</v>
      </c>
      <c r="C557" s="223">
        <f>(IF((VLOOKUP(Table10[[#This Row],[SKU]],'All Skus'!$A:$AC,2,FALSE))="Martin",(VLOOKUP(Table10[[#This Row],[SKU]],'All Skus'!$A:$AC,4,FALSE)),""))</f>
        <v>0</v>
      </c>
      <c r="D557" s="224">
        <f>(IF((VLOOKUP(Table10[[#This Row],[SKU]],'All Skus'!$A:$AC,2,FALSE))="Martin",(VLOOKUP(Table10[[#This Row],[SKU]],'All Skus'!$A:$AC,5,FALSE)),""))</f>
        <v>0</v>
      </c>
      <c r="E557" s="223">
        <f>(IF((VLOOKUP(Table10[[#This Row],[SKU]],'All Skus'!$A:$AC,2,FALSE))="Martin",(VLOOKUP(Table10[[#This Row],[SKU]],'All Skus'!$A:$AC,6,FALSE)),""))</f>
        <v>0</v>
      </c>
      <c r="F557" s="155">
        <f>(IF((VLOOKUP(Table10[[#This Row],[SKU]],'All Skus'!$A:$AC,2,FALSE))="Martin",(VLOOKUP(Table10[[#This Row],[SKU]],'All Skus'!$A:$AC,7,FALSE)),""))</f>
        <v>0</v>
      </c>
      <c r="G557" s="223">
        <f>(IF((VLOOKUP(Table10[[#This Row],[SKU]],'All Skus'!$A:$AC,2,FALSE))="Martin",(VLOOKUP(Table10[[#This Row],[SKU]],'All Skus'!$A:$AC,8,FALSE)),""))</f>
        <v>0</v>
      </c>
      <c r="H557" s="223">
        <f>(IF((VLOOKUP(Table10[[#This Row],[SKU]],'All Skus'!$A:$AC,2,FALSE))="Martin",(VLOOKUP(Table10[[#This Row],[SKU]],'All Skus'!$A:$AC,9,FALSE)),""))</f>
        <v>0</v>
      </c>
      <c r="I557" s="225">
        <f>(IF((VLOOKUP(Table10[[#This Row],[SKU]],'All Skus'!$A:$AC,2,FALSE))="Martin",(VLOOKUP(Table10[[#This Row],[SKU]],'All Skus'!$A:$AC,10,FALSE)),""))</f>
        <v>0</v>
      </c>
      <c r="J557" s="226">
        <f>(IF((VLOOKUP(Table10[[#This Row],[SKU]],'All Skus'!$A:$AC,2,FALSE))="Martin",(VLOOKUP(Table10[[#This Row],[SKU]],'All Skus'!$A:$AC,11,FALSE)),""))</f>
        <v>0</v>
      </c>
      <c r="K557" s="224">
        <f>(IF((VLOOKUP(Table10[[#This Row],[SKU]],'All Skus'!$A:$AC,2,FALSE))="Martin",(VLOOKUP(Table10[[#This Row],[SKU]],'All Skus'!$A:$AC,15,FALSE)),""))</f>
        <v>0</v>
      </c>
      <c r="L557" s="224">
        <f>(IF((VLOOKUP(Table10[[#This Row],[SKU]],'All Skus'!$A:$AC,2,FALSE))="Martin",(VLOOKUP(Table10[[#This Row],[SKU]],'All Skus'!$A:$AC,16,FALSE)),""))</f>
        <v>0</v>
      </c>
      <c r="M557" s="224">
        <f>(IF((VLOOKUP(Table10[[#This Row],[SKU]],'All Skus'!$A:$AC,2,FALSE))="Martin",(VLOOKUP(Table10[[#This Row],[SKU]],'All Skus'!$A:$AC,17,FALSE)),""))</f>
        <v>0</v>
      </c>
      <c r="N557" s="227">
        <f>(IF((VLOOKUP(Table10[[#This Row],[SKU]],'All Skus'!$A:$AC,2,FALSE))="Martin",(VLOOKUP(Table10[[#This Row],[SKU]],'All Skus'!$A:$AC,18,FALSE)),""))</f>
        <v>0</v>
      </c>
      <c r="O557" s="227">
        <f>(IF((VLOOKUP(Table10[[#This Row],[SKU]],'All Skus'!$A:$AC,2,FALSE))="Martin",(VLOOKUP(Table10[[#This Row],[SKU]],'All Skus'!$A:$AC,19,FALSE)),""))</f>
        <v>0</v>
      </c>
      <c r="P557" s="227">
        <f>(IF((VLOOKUP(Table10[[#This Row],[SKU]],'All Skus'!$A:$AC,2,FALSE))="Martin",(VLOOKUP(Table10[[#This Row],[SKU]],'All Skus'!$A:$AC,20,FALSE)),""))</f>
        <v>0</v>
      </c>
      <c r="Q557" s="227">
        <f>(IF((VLOOKUP(Table10[[#This Row],[SKU]],'All Skus'!$A:$AC,2,FALSE))="Martin",(VLOOKUP(Table10[[#This Row],[SKU]],'All Skus'!$A:$AC,21,FALSE)),""))</f>
        <v>0</v>
      </c>
      <c r="R557" s="224">
        <f>(IF((VLOOKUP(Table10[[#This Row],[SKU]],'All Skus'!$A:$AC,2,FALSE))="Martin",(VLOOKUP(Table10[[#This Row],[SKU]],'All Skus'!$A:$AC,22,FALSE)),""))</f>
        <v>0</v>
      </c>
      <c r="S557" s="223">
        <f>(IF((VLOOKUP(Table10[[#This Row],[SKU]],'All Skus'!$A:$AC,2,FALSE))="Martin",(VLOOKUP(Table10[[#This Row],[SKU]],'All Skus'!$A:$AC,23,FALSE)),""))</f>
        <v>0</v>
      </c>
      <c r="T557" s="212" t="str">
        <f>HYPERLINK((IF((VLOOKUP(Table10[[#This Row],[SKU]],'All Skus'!$A:$AC,2,FALSE))="Martin",(VLOOKUP(Table10[[#This Row],[SKU]],'All Skus'!$A:$AC,24,FALSE)),"")))</f>
        <v/>
      </c>
      <c r="U557" s="228">
        <v>555</v>
      </c>
    </row>
    <row r="558" spans="1:21" hidden="1">
      <c r="A558" s="115" t="s">
        <v>2225</v>
      </c>
      <c r="B558" s="224">
        <f>(IF((VLOOKUP(Table10[[#This Row],[SKU]],'All Skus'!$A:$AC,2,FALSE))="Martin",(VLOOKUP(Table10[[#This Row],[SKU]],'All Skus'!$A:$AC,3,FALSE)),""))</f>
        <v>0</v>
      </c>
      <c r="C558" s="223">
        <f>(IF((VLOOKUP(Table10[[#This Row],[SKU]],'All Skus'!$A:$AC,2,FALSE))="Martin",(VLOOKUP(Table10[[#This Row],[SKU]],'All Skus'!$A:$AC,4,FALSE)),""))</f>
        <v>0</v>
      </c>
      <c r="D558" s="224">
        <f>(IF((VLOOKUP(Table10[[#This Row],[SKU]],'All Skus'!$A:$AC,2,FALSE))="Martin",(VLOOKUP(Table10[[#This Row],[SKU]],'All Skus'!$A:$AC,5,FALSE)),""))</f>
        <v>0</v>
      </c>
      <c r="E558" s="223">
        <f>(IF((VLOOKUP(Table10[[#This Row],[SKU]],'All Skus'!$A:$AC,2,FALSE))="Martin",(VLOOKUP(Table10[[#This Row],[SKU]],'All Skus'!$A:$AC,6,FALSE)),""))</f>
        <v>0</v>
      </c>
      <c r="F558" s="155">
        <f>(IF((VLOOKUP(Table10[[#This Row],[SKU]],'All Skus'!$A:$AC,2,FALSE))="Martin",(VLOOKUP(Table10[[#This Row],[SKU]],'All Skus'!$A:$AC,7,FALSE)),""))</f>
        <v>0</v>
      </c>
      <c r="G558" s="223">
        <f>(IF((VLOOKUP(Table10[[#This Row],[SKU]],'All Skus'!$A:$AC,2,FALSE))="Martin",(VLOOKUP(Table10[[#This Row],[SKU]],'All Skus'!$A:$AC,8,FALSE)),""))</f>
        <v>0</v>
      </c>
      <c r="H558" s="223">
        <f>(IF((VLOOKUP(Table10[[#This Row],[SKU]],'All Skus'!$A:$AC,2,FALSE))="Martin",(VLOOKUP(Table10[[#This Row],[SKU]],'All Skus'!$A:$AC,9,FALSE)),""))</f>
        <v>0</v>
      </c>
      <c r="I558" s="225">
        <f>(IF((VLOOKUP(Table10[[#This Row],[SKU]],'All Skus'!$A:$AC,2,FALSE))="Martin",(VLOOKUP(Table10[[#This Row],[SKU]],'All Skus'!$A:$AC,10,FALSE)),""))</f>
        <v>0</v>
      </c>
      <c r="J558" s="226">
        <f>(IF((VLOOKUP(Table10[[#This Row],[SKU]],'All Skus'!$A:$AC,2,FALSE))="Martin",(VLOOKUP(Table10[[#This Row],[SKU]],'All Skus'!$A:$AC,11,FALSE)),""))</f>
        <v>0</v>
      </c>
      <c r="K558" s="224">
        <f>(IF((VLOOKUP(Table10[[#This Row],[SKU]],'All Skus'!$A:$AC,2,FALSE))="Martin",(VLOOKUP(Table10[[#This Row],[SKU]],'All Skus'!$A:$AC,15,FALSE)),""))</f>
        <v>0</v>
      </c>
      <c r="L558" s="224">
        <f>(IF((VLOOKUP(Table10[[#This Row],[SKU]],'All Skus'!$A:$AC,2,FALSE))="Martin",(VLOOKUP(Table10[[#This Row],[SKU]],'All Skus'!$A:$AC,16,FALSE)),""))</f>
        <v>0</v>
      </c>
      <c r="M558" s="224">
        <f>(IF((VLOOKUP(Table10[[#This Row],[SKU]],'All Skus'!$A:$AC,2,FALSE))="Martin",(VLOOKUP(Table10[[#This Row],[SKU]],'All Skus'!$A:$AC,17,FALSE)),""))</f>
        <v>0</v>
      </c>
      <c r="N558" s="227">
        <f>(IF((VLOOKUP(Table10[[#This Row],[SKU]],'All Skus'!$A:$AC,2,FALSE))="Martin",(VLOOKUP(Table10[[#This Row],[SKU]],'All Skus'!$A:$AC,18,FALSE)),""))</f>
        <v>0</v>
      </c>
      <c r="O558" s="227">
        <f>(IF((VLOOKUP(Table10[[#This Row],[SKU]],'All Skus'!$A:$AC,2,FALSE))="Martin",(VLOOKUP(Table10[[#This Row],[SKU]],'All Skus'!$A:$AC,19,FALSE)),""))</f>
        <v>0</v>
      </c>
      <c r="P558" s="227">
        <f>(IF((VLOOKUP(Table10[[#This Row],[SKU]],'All Skus'!$A:$AC,2,FALSE))="Martin",(VLOOKUP(Table10[[#This Row],[SKU]],'All Skus'!$A:$AC,20,FALSE)),""))</f>
        <v>0</v>
      </c>
      <c r="Q558" s="227">
        <f>(IF((VLOOKUP(Table10[[#This Row],[SKU]],'All Skus'!$A:$AC,2,FALSE))="Martin",(VLOOKUP(Table10[[#This Row],[SKU]],'All Skus'!$A:$AC,21,FALSE)),""))</f>
        <v>0</v>
      </c>
      <c r="R558" s="224">
        <f>(IF((VLOOKUP(Table10[[#This Row],[SKU]],'All Skus'!$A:$AC,2,FALSE))="Martin",(VLOOKUP(Table10[[#This Row],[SKU]],'All Skus'!$A:$AC,22,FALSE)),""))</f>
        <v>0</v>
      </c>
      <c r="S558" s="223">
        <f>(IF((VLOOKUP(Table10[[#This Row],[SKU]],'All Skus'!$A:$AC,2,FALSE))="Martin",(VLOOKUP(Table10[[#This Row],[SKU]],'All Skus'!$A:$AC,23,FALSE)),""))</f>
        <v>0</v>
      </c>
      <c r="T558" s="212" t="str">
        <f>HYPERLINK((IF((VLOOKUP(Table10[[#This Row],[SKU]],'All Skus'!$A:$AC,2,FALSE))="Martin",(VLOOKUP(Table10[[#This Row],[SKU]],'All Skus'!$A:$AC,24,FALSE)),"")))</f>
        <v/>
      </c>
      <c r="U558" s="228">
        <v>556</v>
      </c>
    </row>
    <row r="559" spans="1:21" hidden="1">
      <c r="A559" s="112" t="s">
        <v>2226</v>
      </c>
      <c r="B559" s="224" t="str">
        <f>(IF((VLOOKUP(Table10[[#This Row],[SKU]],'All Skus'!$A:$AC,2,FALSE))="Martin",(VLOOKUP(Table10[[#This Row],[SKU]],'All Skus'!$A:$AC,3,FALSE)),""))</f>
        <v>LED</v>
      </c>
      <c r="C559" s="223" t="str">
        <f>(IF((VLOOKUP(Table10[[#This Row],[SKU]],'All Skus'!$A:$AC,2,FALSE))="Martin",(VLOOKUP(Table10[[#This Row],[SKU]],'All Skus'!$A:$AC,4,FALSE)),""))</f>
        <v xml:space="preserve">MAC Quantum Profile in cardboard </v>
      </c>
      <c r="D559" s="224" t="str">
        <f>(IF((VLOOKUP(Table10[[#This Row],[SKU]],'All Skus'!$A:$AC,2,FALSE))="Martin",(VLOOKUP(Table10[[#This Row],[SKU]],'All Skus'!$A:$AC,5,FALSE)),""))</f>
        <v>MSL-QUANT</v>
      </c>
      <c r="E559" s="223">
        <f>(IF((VLOOKUP(Table10[[#This Row],[SKU]],'All Skus'!$A:$AC,2,FALSE))="Martin",(VLOOKUP(Table10[[#This Row],[SKU]],'All Skus'!$A:$AC,6,FALSE)),""))</f>
        <v>0</v>
      </c>
      <c r="F559" s="155" t="str">
        <f>(IF((VLOOKUP(Table10[[#This Row],[SKU]],'All Skus'!$A:$AC,2,FALSE))="Martin",(VLOOKUP(Table10[[#This Row],[SKU]],'All Skus'!$A:$AC,7,FALSE)),""))</f>
        <v>Final batch being manufactured - Check for availability</v>
      </c>
      <c r="G559" s="223" t="str">
        <f>(IF((VLOOKUP(Table10[[#This Row],[SKU]],'All Skus'!$A:$AC,2,FALSE))="Martin",(VLOOKUP(Table10[[#This Row],[SKU]],'All Skus'!$A:$AC,8,FALSE)),""))</f>
        <v xml:space="preserve">MAC Quantum Profile in cardboard </v>
      </c>
      <c r="H559" s="223" t="str">
        <f>(IF((VLOOKUP(Table10[[#This Row],[SKU]],'All Skus'!$A:$AC,2,FALSE))="Martin",(VLOOKUP(Table10[[#This Row],[SKU]],'All Skus'!$A:$AC,9,FALSE)),""))</f>
        <v xml:space="preserve">MAC Quantum Profile in cardboard </v>
      </c>
      <c r="I559" s="225">
        <f>(IF((VLOOKUP(Table10[[#This Row],[SKU]],'All Skus'!$A:$AC,2,FALSE))="Martin",(VLOOKUP(Table10[[#This Row],[SKU]],'All Skus'!$A:$AC,10,FALSE)),""))</f>
        <v>9260.73</v>
      </c>
      <c r="J559" s="226">
        <f>(IF((VLOOKUP(Table10[[#This Row],[SKU]],'All Skus'!$A:$AC,2,FALSE))="Martin",(VLOOKUP(Table10[[#This Row],[SKU]],'All Skus'!$A:$AC,11,FALSE)),""))</f>
        <v>9260.73</v>
      </c>
      <c r="K559" s="224">
        <f>(IF((VLOOKUP(Table10[[#This Row],[SKU]],'All Skus'!$A:$AC,2,FALSE))="Martin",(VLOOKUP(Table10[[#This Row],[SKU]],'All Skus'!$A:$AC,15,FALSE)),""))</f>
        <v>0</v>
      </c>
      <c r="L559" s="224">
        <f>(IF((VLOOKUP(Table10[[#This Row],[SKU]],'All Skus'!$A:$AC,2,FALSE))="Martin",(VLOOKUP(Table10[[#This Row],[SKU]],'All Skus'!$A:$AC,16,FALSE)),""))</f>
        <v>5706681232727</v>
      </c>
      <c r="M559" s="224">
        <f>(IF((VLOOKUP(Table10[[#This Row],[SKU]],'All Skus'!$A:$AC,2,FALSE))="Martin",(VLOOKUP(Table10[[#This Row],[SKU]],'All Skus'!$A:$AC,17,FALSE)),""))</f>
        <v>0</v>
      </c>
      <c r="N559" s="227">
        <f>(IF((VLOOKUP(Table10[[#This Row],[SKU]],'All Skus'!$A:$AC,2,FALSE))="Martin",(VLOOKUP(Table10[[#This Row],[SKU]],'All Skus'!$A:$AC,18,FALSE)),""))</f>
        <v>0</v>
      </c>
      <c r="O559" s="227">
        <f>(IF((VLOOKUP(Table10[[#This Row],[SKU]],'All Skus'!$A:$AC,2,FALSE))="Martin",(VLOOKUP(Table10[[#This Row],[SKU]],'All Skus'!$A:$AC,19,FALSE)),""))</f>
        <v>0</v>
      </c>
      <c r="P559" s="227">
        <f>(IF((VLOOKUP(Table10[[#This Row],[SKU]],'All Skus'!$A:$AC,2,FALSE))="Martin",(VLOOKUP(Table10[[#This Row],[SKU]],'All Skus'!$A:$AC,20,FALSE)),""))</f>
        <v>0</v>
      </c>
      <c r="Q559" s="227">
        <f>(IF((VLOOKUP(Table10[[#This Row],[SKU]],'All Skus'!$A:$AC,2,FALSE))="Martin",(VLOOKUP(Table10[[#This Row],[SKU]],'All Skus'!$A:$AC,21,FALSE)),""))</f>
        <v>0</v>
      </c>
      <c r="R559" s="224" t="str">
        <f>(IF((VLOOKUP(Table10[[#This Row],[SKU]],'All Skus'!$A:$AC,2,FALSE))="Martin",(VLOOKUP(Table10[[#This Row],[SKU]],'All Skus'!$A:$AC,22,FALSE)),""))</f>
        <v>HU</v>
      </c>
      <c r="S559" s="223">
        <f>(IF((VLOOKUP(Table10[[#This Row],[SKU]],'All Skus'!$A:$AC,2,FALSE))="Martin",(VLOOKUP(Table10[[#This Row],[SKU]],'All Skus'!$A:$AC,23,FALSE)),""))</f>
        <v>0</v>
      </c>
      <c r="T559" s="212" t="str">
        <f>HYPERLINK((IF((VLOOKUP(Table10[[#This Row],[SKU]],'All Skus'!$A:$AC,2,FALSE))="Martin",(VLOOKUP(Table10[[#This Row],[SKU]],'All Skus'!$A:$AC,24,FALSE)),"")))</f>
        <v/>
      </c>
      <c r="U559" s="228">
        <v>557</v>
      </c>
    </row>
    <row r="560" spans="1:21" hidden="1">
      <c r="A560" s="112" t="s">
        <v>2227</v>
      </c>
      <c r="B560" s="224" t="str">
        <f>(IF((VLOOKUP(Table10[[#This Row],[SKU]],'All Skus'!$A:$AC,2,FALSE))="Martin",(VLOOKUP(Table10[[#This Row],[SKU]],'All Skus'!$A:$AC,3,FALSE)),""))</f>
        <v>LED</v>
      </c>
      <c r="C560" s="223" t="str">
        <f>(IF((VLOOKUP(Table10[[#This Row],[SKU]],'All Skus'!$A:$AC,2,FALSE))="Martin",(VLOOKUP(Table10[[#This Row],[SKU]],'All Skus'!$A:$AC,4,FALSE)),""))</f>
        <v xml:space="preserve">MAC Quantum Profile in 2-unit flightcase </v>
      </c>
      <c r="D560" s="224" t="str">
        <f>(IF((VLOOKUP(Table10[[#This Row],[SKU]],'All Skus'!$A:$AC,2,FALSE))="Martin",(VLOOKUP(Table10[[#This Row],[SKU]],'All Skus'!$A:$AC,5,FALSE)),""))</f>
        <v>MSL-QUANT</v>
      </c>
      <c r="E560" s="223">
        <f>(IF((VLOOKUP(Table10[[#This Row],[SKU]],'All Skus'!$A:$AC,2,FALSE))="Martin",(VLOOKUP(Table10[[#This Row],[SKU]],'All Skus'!$A:$AC,6,FALSE)),""))</f>
        <v>0</v>
      </c>
      <c r="F560" s="155" t="str">
        <f>(IF((VLOOKUP(Table10[[#This Row],[SKU]],'All Skus'!$A:$AC,2,FALSE))="Martin",(VLOOKUP(Table10[[#This Row],[SKU]],'All Skus'!$A:$AC,7,FALSE)),""))</f>
        <v>Final batch being manufactured - Check for availability</v>
      </c>
      <c r="G560" s="223" t="str">
        <f>(IF((VLOOKUP(Table10[[#This Row],[SKU]],'All Skus'!$A:$AC,2,FALSE))="Martin",(VLOOKUP(Table10[[#This Row],[SKU]],'All Skus'!$A:$AC,8,FALSE)),""))</f>
        <v xml:space="preserve">MAC Quantum Profile in 2-unit flightcase </v>
      </c>
      <c r="H560" s="223" t="str">
        <f>(IF((VLOOKUP(Table10[[#This Row],[SKU]],'All Skus'!$A:$AC,2,FALSE))="Martin",(VLOOKUP(Table10[[#This Row],[SKU]],'All Skus'!$A:$AC,9,FALSE)),""))</f>
        <v xml:space="preserve">MAC Quantum Profile in 2-unit flightcase </v>
      </c>
      <c r="I560" s="225">
        <f>(IF((VLOOKUP(Table10[[#This Row],[SKU]],'All Skus'!$A:$AC,2,FALSE))="Martin",(VLOOKUP(Table10[[#This Row],[SKU]],'All Skus'!$A:$AC,10,FALSE)),""))</f>
        <v>9878.11</v>
      </c>
      <c r="J560" s="226">
        <f>(IF((VLOOKUP(Table10[[#This Row],[SKU]],'All Skus'!$A:$AC,2,FALSE))="Martin",(VLOOKUP(Table10[[#This Row],[SKU]],'All Skus'!$A:$AC,11,FALSE)),""))</f>
        <v>9878.11</v>
      </c>
      <c r="K560" s="224">
        <f>(IF((VLOOKUP(Table10[[#This Row],[SKU]],'All Skus'!$A:$AC,2,FALSE))="Martin",(VLOOKUP(Table10[[#This Row],[SKU]],'All Skus'!$A:$AC,15,FALSE)),""))</f>
        <v>0</v>
      </c>
      <c r="L560" s="224">
        <f>(IF((VLOOKUP(Table10[[#This Row],[SKU]],'All Skus'!$A:$AC,2,FALSE))="Martin",(VLOOKUP(Table10[[#This Row],[SKU]],'All Skus'!$A:$AC,16,FALSE)),""))</f>
        <v>5706681232741</v>
      </c>
      <c r="M560" s="224">
        <f>(IF((VLOOKUP(Table10[[#This Row],[SKU]],'All Skus'!$A:$AC,2,FALSE))="Martin",(VLOOKUP(Table10[[#This Row],[SKU]],'All Skus'!$A:$AC,17,FALSE)),""))</f>
        <v>0</v>
      </c>
      <c r="N560" s="227">
        <f>(IF((VLOOKUP(Table10[[#This Row],[SKU]],'All Skus'!$A:$AC,2,FALSE))="Martin",(VLOOKUP(Table10[[#This Row],[SKU]],'All Skus'!$A:$AC,18,FALSE)),""))</f>
        <v>0</v>
      </c>
      <c r="O560" s="227">
        <f>(IF((VLOOKUP(Table10[[#This Row],[SKU]],'All Skus'!$A:$AC,2,FALSE))="Martin",(VLOOKUP(Table10[[#This Row],[SKU]],'All Skus'!$A:$AC,19,FALSE)),""))</f>
        <v>0</v>
      </c>
      <c r="P560" s="227">
        <f>(IF((VLOOKUP(Table10[[#This Row],[SKU]],'All Skus'!$A:$AC,2,FALSE))="Martin",(VLOOKUP(Table10[[#This Row],[SKU]],'All Skus'!$A:$AC,20,FALSE)),""))</f>
        <v>0</v>
      </c>
      <c r="Q560" s="227">
        <f>(IF((VLOOKUP(Table10[[#This Row],[SKU]],'All Skus'!$A:$AC,2,FALSE))="Martin",(VLOOKUP(Table10[[#This Row],[SKU]],'All Skus'!$A:$AC,21,FALSE)),""))</f>
        <v>0</v>
      </c>
      <c r="R560" s="224" t="str">
        <f>(IF((VLOOKUP(Table10[[#This Row],[SKU]],'All Skus'!$A:$AC,2,FALSE))="Martin",(VLOOKUP(Table10[[#This Row],[SKU]],'All Skus'!$A:$AC,22,FALSE)),""))</f>
        <v>HU</v>
      </c>
      <c r="S560" s="223">
        <f>(IF((VLOOKUP(Table10[[#This Row],[SKU]],'All Skus'!$A:$AC,2,FALSE))="Martin",(VLOOKUP(Table10[[#This Row],[SKU]],'All Skus'!$A:$AC,23,FALSE)),""))</f>
        <v>0</v>
      </c>
      <c r="T560" s="212" t="str">
        <f>HYPERLINK((IF((VLOOKUP(Table10[[#This Row],[SKU]],'All Skus'!$A:$AC,2,FALSE))="Martin",(VLOOKUP(Table10[[#This Row],[SKU]],'All Skus'!$A:$AC,24,FALSE)),"")))</f>
        <v>http://www.martin.com/en-us/product-details/mac-quantum-profile</v>
      </c>
      <c r="U560" s="228">
        <v>558</v>
      </c>
    </row>
    <row r="561" spans="1:21" hidden="1">
      <c r="A561" s="115" t="s">
        <v>2228</v>
      </c>
      <c r="B561" s="224">
        <f>(IF((VLOOKUP(Table10[[#This Row],[SKU]],'All Skus'!$A:$AC,2,FALSE))="Martin",(VLOOKUP(Table10[[#This Row],[SKU]],'All Skus'!$A:$AC,3,FALSE)),""))</f>
        <v>0</v>
      </c>
      <c r="C561" s="223">
        <f>(IF((VLOOKUP(Table10[[#This Row],[SKU]],'All Skus'!$A:$AC,2,FALSE))="Martin",(VLOOKUP(Table10[[#This Row],[SKU]],'All Skus'!$A:$AC,4,FALSE)),""))</f>
        <v>0</v>
      </c>
      <c r="D561" s="224">
        <f>(IF((VLOOKUP(Table10[[#This Row],[SKU]],'All Skus'!$A:$AC,2,FALSE))="Martin",(VLOOKUP(Table10[[#This Row],[SKU]],'All Skus'!$A:$AC,5,FALSE)),""))</f>
        <v>0</v>
      </c>
      <c r="E561" s="223">
        <f>(IF((VLOOKUP(Table10[[#This Row],[SKU]],'All Skus'!$A:$AC,2,FALSE))="Martin",(VLOOKUP(Table10[[#This Row],[SKU]],'All Skus'!$A:$AC,6,FALSE)),""))</f>
        <v>0</v>
      </c>
      <c r="F561" s="155">
        <f>(IF((VLOOKUP(Table10[[#This Row],[SKU]],'All Skus'!$A:$AC,2,FALSE))="Martin",(VLOOKUP(Table10[[#This Row],[SKU]],'All Skus'!$A:$AC,7,FALSE)),""))</f>
        <v>0</v>
      </c>
      <c r="G561" s="223">
        <f>(IF((VLOOKUP(Table10[[#This Row],[SKU]],'All Skus'!$A:$AC,2,FALSE))="Martin",(VLOOKUP(Table10[[#This Row],[SKU]],'All Skus'!$A:$AC,8,FALSE)),""))</f>
        <v>0</v>
      </c>
      <c r="H561" s="223">
        <f>(IF((VLOOKUP(Table10[[#This Row],[SKU]],'All Skus'!$A:$AC,2,FALSE))="Martin",(VLOOKUP(Table10[[#This Row],[SKU]],'All Skus'!$A:$AC,9,FALSE)),""))</f>
        <v>0</v>
      </c>
      <c r="I561" s="225">
        <f>(IF((VLOOKUP(Table10[[#This Row],[SKU]],'All Skus'!$A:$AC,2,FALSE))="Martin",(VLOOKUP(Table10[[#This Row],[SKU]],'All Skus'!$A:$AC,10,FALSE)),""))</f>
        <v>0</v>
      </c>
      <c r="J561" s="226">
        <f>(IF((VLOOKUP(Table10[[#This Row],[SKU]],'All Skus'!$A:$AC,2,FALSE))="Martin",(VLOOKUP(Table10[[#This Row],[SKU]],'All Skus'!$A:$AC,11,FALSE)),""))</f>
        <v>0</v>
      </c>
      <c r="K561" s="224">
        <f>(IF((VLOOKUP(Table10[[#This Row],[SKU]],'All Skus'!$A:$AC,2,FALSE))="Martin",(VLOOKUP(Table10[[#This Row],[SKU]],'All Skus'!$A:$AC,15,FALSE)),""))</f>
        <v>0</v>
      </c>
      <c r="L561" s="224">
        <f>(IF((VLOOKUP(Table10[[#This Row],[SKU]],'All Skus'!$A:$AC,2,FALSE))="Martin",(VLOOKUP(Table10[[#This Row],[SKU]],'All Skus'!$A:$AC,16,FALSE)),""))</f>
        <v>0</v>
      </c>
      <c r="M561" s="224">
        <f>(IF((VLOOKUP(Table10[[#This Row],[SKU]],'All Skus'!$A:$AC,2,FALSE))="Martin",(VLOOKUP(Table10[[#This Row],[SKU]],'All Skus'!$A:$AC,17,FALSE)),""))</f>
        <v>0</v>
      </c>
      <c r="N561" s="227">
        <f>(IF((VLOOKUP(Table10[[#This Row],[SKU]],'All Skus'!$A:$AC,2,FALSE))="Martin",(VLOOKUP(Table10[[#This Row],[SKU]],'All Skus'!$A:$AC,18,FALSE)),""))</f>
        <v>0</v>
      </c>
      <c r="O561" s="227">
        <f>(IF((VLOOKUP(Table10[[#This Row],[SKU]],'All Skus'!$A:$AC,2,FALSE))="Martin",(VLOOKUP(Table10[[#This Row],[SKU]],'All Skus'!$A:$AC,19,FALSE)),""))</f>
        <v>0</v>
      </c>
      <c r="P561" s="227">
        <f>(IF((VLOOKUP(Table10[[#This Row],[SKU]],'All Skus'!$A:$AC,2,FALSE))="Martin",(VLOOKUP(Table10[[#This Row],[SKU]],'All Skus'!$A:$AC,20,FALSE)),""))</f>
        <v>0</v>
      </c>
      <c r="Q561" s="227">
        <f>(IF((VLOOKUP(Table10[[#This Row],[SKU]],'All Skus'!$A:$AC,2,FALSE))="Martin",(VLOOKUP(Table10[[#This Row],[SKU]],'All Skus'!$A:$AC,21,FALSE)),""))</f>
        <v>0</v>
      </c>
      <c r="R561" s="224">
        <f>(IF((VLOOKUP(Table10[[#This Row],[SKU]],'All Skus'!$A:$AC,2,FALSE))="Martin",(VLOOKUP(Table10[[#This Row],[SKU]],'All Skus'!$A:$AC,22,FALSE)),""))</f>
        <v>0</v>
      </c>
      <c r="S561" s="223">
        <f>(IF((VLOOKUP(Table10[[#This Row],[SKU]],'All Skus'!$A:$AC,2,FALSE))="Martin",(VLOOKUP(Table10[[#This Row],[SKU]],'All Skus'!$A:$AC,23,FALSE)),""))</f>
        <v>0</v>
      </c>
      <c r="T561" s="212" t="str">
        <f>HYPERLINK((IF((VLOOKUP(Table10[[#This Row],[SKU]],'All Skus'!$A:$AC,2,FALSE))="Martin",(VLOOKUP(Table10[[#This Row],[SKU]],'All Skus'!$A:$AC,24,FALSE)),"")))</f>
        <v/>
      </c>
      <c r="U561" s="228">
        <v>559</v>
      </c>
    </row>
    <row r="562" spans="1:21" hidden="1">
      <c r="A562" s="112" t="s">
        <v>2229</v>
      </c>
      <c r="B562" s="224" t="str">
        <f>(IF((VLOOKUP(Table10[[#This Row],[SKU]],'All Skus'!$A:$AC,2,FALSE))="Martin",(VLOOKUP(Table10[[#This Row],[SKU]],'All Skus'!$A:$AC,3,FALSE)),""))</f>
        <v>LED</v>
      </c>
      <c r="C562" s="223" t="str">
        <f>(IF((VLOOKUP(Table10[[#This Row],[SKU]],'All Skus'!$A:$AC,2,FALSE))="Martin",(VLOOKUP(Table10[[#This Row],[SKU]],'All Skus'!$A:$AC,4,FALSE)),""))</f>
        <v xml:space="preserve">Soft lens for MAC Quantum Wash </v>
      </c>
      <c r="D562" s="224" t="str">
        <f>(IF((VLOOKUP(Table10[[#This Row],[SKU]],'All Skus'!$A:$AC,2,FALSE))="Martin",(VLOOKUP(Table10[[#This Row],[SKU]],'All Skus'!$A:$AC,5,FALSE)),""))</f>
        <v>MSL-QUANT</v>
      </c>
      <c r="E562" s="223">
        <f>(IF((VLOOKUP(Table10[[#This Row],[SKU]],'All Skus'!$A:$AC,2,FALSE))="Martin",(VLOOKUP(Table10[[#This Row],[SKU]],'All Skus'!$A:$AC,6,FALSE)),""))</f>
        <v>0</v>
      </c>
      <c r="F562" s="155" t="str">
        <f>(IF((VLOOKUP(Table10[[#This Row],[SKU]],'All Skus'!$A:$AC,2,FALSE))="Martin",(VLOOKUP(Table10[[#This Row],[SKU]],'All Skus'!$A:$AC,7,FALSE)),""))</f>
        <v>EOL stage – limited availability may apply</v>
      </c>
      <c r="G562" s="223" t="str">
        <f>(IF((VLOOKUP(Table10[[#This Row],[SKU]],'All Skus'!$A:$AC,2,FALSE))="Martin",(VLOOKUP(Table10[[#This Row],[SKU]],'All Skus'!$A:$AC,8,FALSE)),""))</f>
        <v xml:space="preserve">Soft lens for MAC Quantum Wash </v>
      </c>
      <c r="H562" s="223" t="str">
        <f>(IF((VLOOKUP(Table10[[#This Row],[SKU]],'All Skus'!$A:$AC,2,FALSE))="Martin",(VLOOKUP(Table10[[#This Row],[SKU]],'All Skus'!$A:$AC,9,FALSE)),""))</f>
        <v xml:space="preserve">Soft lens for MAC Quantum Wash </v>
      </c>
      <c r="I562" s="225">
        <f>(IF((VLOOKUP(Table10[[#This Row],[SKU]],'All Skus'!$A:$AC,2,FALSE))="Martin",(VLOOKUP(Table10[[#This Row],[SKU]],'All Skus'!$A:$AC,10,FALSE)),""))</f>
        <v>250.66</v>
      </c>
      <c r="J562" s="226">
        <f>(IF((VLOOKUP(Table10[[#This Row],[SKU]],'All Skus'!$A:$AC,2,FALSE))="Martin",(VLOOKUP(Table10[[#This Row],[SKU]],'All Skus'!$A:$AC,11,FALSE)),""))</f>
        <v>250.66</v>
      </c>
      <c r="K562" s="224">
        <f>(IF((VLOOKUP(Table10[[#This Row],[SKU]],'All Skus'!$A:$AC,2,FALSE))="Martin",(VLOOKUP(Table10[[#This Row],[SKU]],'All Skus'!$A:$AC,15,FALSE)),""))</f>
        <v>0</v>
      </c>
      <c r="L562" s="224">
        <f>(IF((VLOOKUP(Table10[[#This Row],[SKU]],'All Skus'!$A:$AC,2,FALSE))="Martin",(VLOOKUP(Table10[[#This Row],[SKU]],'All Skus'!$A:$AC,16,FALSE)),""))</f>
        <v>0</v>
      </c>
      <c r="M562" s="224">
        <f>(IF((VLOOKUP(Table10[[#This Row],[SKU]],'All Skus'!$A:$AC,2,FALSE))="Martin",(VLOOKUP(Table10[[#This Row],[SKU]],'All Skus'!$A:$AC,17,FALSE)),""))</f>
        <v>0</v>
      </c>
      <c r="N562" s="227">
        <f>(IF((VLOOKUP(Table10[[#This Row],[SKU]],'All Skus'!$A:$AC,2,FALSE))="Martin",(VLOOKUP(Table10[[#This Row],[SKU]],'All Skus'!$A:$AC,18,FALSE)),""))</f>
        <v>0</v>
      </c>
      <c r="O562" s="227">
        <f>(IF((VLOOKUP(Table10[[#This Row],[SKU]],'All Skus'!$A:$AC,2,FALSE))="Martin",(VLOOKUP(Table10[[#This Row],[SKU]],'All Skus'!$A:$AC,19,FALSE)),""))</f>
        <v>0</v>
      </c>
      <c r="P562" s="227">
        <f>(IF((VLOOKUP(Table10[[#This Row],[SKU]],'All Skus'!$A:$AC,2,FALSE))="Martin",(VLOOKUP(Table10[[#This Row],[SKU]],'All Skus'!$A:$AC,20,FALSE)),""))</f>
        <v>0</v>
      </c>
      <c r="Q562" s="227">
        <f>(IF((VLOOKUP(Table10[[#This Row],[SKU]],'All Skus'!$A:$AC,2,FALSE))="Martin",(VLOOKUP(Table10[[#This Row],[SKU]],'All Skus'!$A:$AC,21,FALSE)),""))</f>
        <v>0</v>
      </c>
      <c r="R562" s="224" t="str">
        <f>(IF((VLOOKUP(Table10[[#This Row],[SKU]],'All Skus'!$A:$AC,2,FALSE))="Martin",(VLOOKUP(Table10[[#This Row],[SKU]],'All Skus'!$A:$AC,22,FALSE)),""))</f>
        <v>HU</v>
      </c>
      <c r="S562" s="223">
        <f>(IF((VLOOKUP(Table10[[#This Row],[SKU]],'All Skus'!$A:$AC,2,FALSE))="Martin",(VLOOKUP(Table10[[#This Row],[SKU]],'All Skus'!$A:$AC,23,FALSE)),""))</f>
        <v>0</v>
      </c>
      <c r="T562" s="212" t="str">
        <f>HYPERLINK((IF((VLOOKUP(Table10[[#This Row],[SKU]],'All Skus'!$A:$AC,2,FALSE))="Martin",(VLOOKUP(Table10[[#This Row],[SKU]],'All Skus'!$A:$AC,24,FALSE)),"")))</f>
        <v>http://www.martin.com/en-us/product-details/mac-quantum-wash</v>
      </c>
      <c r="U562" s="228">
        <v>560</v>
      </c>
    </row>
    <row r="563" spans="1:21" hidden="1">
      <c r="A563" s="112">
        <v>91510210</v>
      </c>
      <c r="B563" s="224" t="str">
        <f>(IF((VLOOKUP(Table10[[#This Row],[SKU]],'All Skus'!$A:$AC,2,FALSE))="Martin",(VLOOKUP(Table10[[#This Row],[SKU]],'All Skus'!$A:$AC,3,FALSE)),""))</f>
        <v>LED</v>
      </c>
      <c r="C563" s="223" t="str">
        <f>(IF((VLOOKUP(Table10[[#This Row],[SKU]],'All Skus'!$A:$AC,2,FALSE))="Martin",(VLOOKUP(Table10[[#This Row],[SKU]],'All Skus'!$A:$AC,4,FALSE)),""))</f>
        <v xml:space="preserve">Flightcase for 2 x MAC Quantum </v>
      </c>
      <c r="D563" s="224" t="str">
        <f>(IF((VLOOKUP(Table10[[#This Row],[SKU]],'All Skus'!$A:$AC,2,FALSE))="Martin",(VLOOKUP(Table10[[#This Row],[SKU]],'All Skus'!$A:$AC,5,FALSE)),""))</f>
        <v>MSL-QUANT</v>
      </c>
      <c r="E563" s="223">
        <f>(IF((VLOOKUP(Table10[[#This Row],[SKU]],'All Skus'!$A:$AC,2,FALSE))="Martin",(VLOOKUP(Table10[[#This Row],[SKU]],'All Skus'!$A:$AC,6,FALSE)),""))</f>
        <v>0</v>
      </c>
      <c r="F563" s="155" t="str">
        <f>(IF((VLOOKUP(Table10[[#This Row],[SKU]],'All Skus'!$A:$AC,2,FALSE))="Martin",(VLOOKUP(Table10[[#This Row],[SKU]],'All Skus'!$A:$AC,7,FALSE)),""))</f>
        <v>EOL pre-notice - Will be submitted for EOL soon</v>
      </c>
      <c r="G563" s="223" t="str">
        <f>(IF((VLOOKUP(Table10[[#This Row],[SKU]],'All Skus'!$A:$AC,2,FALSE))="Martin",(VLOOKUP(Table10[[#This Row],[SKU]],'All Skus'!$A:$AC,8,FALSE)),""))</f>
        <v xml:space="preserve">Flightcase for 2 x MAC Quantum </v>
      </c>
      <c r="H563" s="223" t="str">
        <f>(IF((VLOOKUP(Table10[[#This Row],[SKU]],'All Skus'!$A:$AC,2,FALSE))="Martin",(VLOOKUP(Table10[[#This Row],[SKU]],'All Skus'!$A:$AC,9,FALSE)),""))</f>
        <v xml:space="preserve">Flightcase for 2 x MAC Quantum </v>
      </c>
      <c r="I563" s="225">
        <f>(IF((VLOOKUP(Table10[[#This Row],[SKU]],'All Skus'!$A:$AC,2,FALSE))="Martin",(VLOOKUP(Table10[[#This Row],[SKU]],'All Skus'!$A:$AC,10,FALSE)),""))</f>
        <v>1975.62</v>
      </c>
      <c r="J563" s="226">
        <f>(IF((VLOOKUP(Table10[[#This Row],[SKU]],'All Skus'!$A:$AC,2,FALSE))="Martin",(VLOOKUP(Table10[[#This Row],[SKU]],'All Skus'!$A:$AC,11,FALSE)),""))</f>
        <v>1975.62</v>
      </c>
      <c r="K563" s="224">
        <f>(IF((VLOOKUP(Table10[[#This Row],[SKU]],'All Skus'!$A:$AC,2,FALSE))="Martin",(VLOOKUP(Table10[[#This Row],[SKU]],'All Skus'!$A:$AC,15,FALSE)),""))</f>
        <v>0</v>
      </c>
      <c r="L563" s="224">
        <f>(IF((VLOOKUP(Table10[[#This Row],[SKU]],'All Skus'!$A:$AC,2,FALSE))="Martin",(VLOOKUP(Table10[[#This Row],[SKU]],'All Skus'!$A:$AC,16,FALSE)),""))</f>
        <v>0</v>
      </c>
      <c r="M563" s="224">
        <f>(IF((VLOOKUP(Table10[[#This Row],[SKU]],'All Skus'!$A:$AC,2,FALSE))="Martin",(VLOOKUP(Table10[[#This Row],[SKU]],'All Skus'!$A:$AC,17,FALSE)),""))</f>
        <v>0</v>
      </c>
      <c r="N563" s="227">
        <f>(IF((VLOOKUP(Table10[[#This Row],[SKU]],'All Skus'!$A:$AC,2,FALSE))="Martin",(VLOOKUP(Table10[[#This Row],[SKU]],'All Skus'!$A:$AC,18,FALSE)),""))</f>
        <v>22.834658000000001</v>
      </c>
      <c r="O563" s="227">
        <f>(IF((VLOOKUP(Table10[[#This Row],[SKU]],'All Skus'!$A:$AC,2,FALSE))="Martin",(VLOOKUP(Table10[[#This Row],[SKU]],'All Skus'!$A:$AC,19,FALSE)),""))</f>
        <v>30.708677999999999</v>
      </c>
      <c r="P563" s="227">
        <f>(IF((VLOOKUP(Table10[[#This Row],[SKU]],'All Skus'!$A:$AC,2,FALSE))="Martin",(VLOOKUP(Table10[[#This Row],[SKU]],'All Skus'!$A:$AC,20,FALSE)),""))</f>
        <v>0</v>
      </c>
      <c r="Q563" s="227">
        <f>(IF((VLOOKUP(Table10[[#This Row],[SKU]],'All Skus'!$A:$AC,2,FALSE))="Martin",(VLOOKUP(Table10[[#This Row],[SKU]],'All Skus'!$A:$AC,21,FALSE)),""))</f>
        <v>0</v>
      </c>
      <c r="R563" s="224" t="str">
        <f>(IF((VLOOKUP(Table10[[#This Row],[SKU]],'All Skus'!$A:$AC,2,FALSE))="Martin",(VLOOKUP(Table10[[#This Row],[SKU]],'All Skus'!$A:$AC,22,FALSE)),""))</f>
        <v>DE</v>
      </c>
      <c r="S563" s="223">
        <f>(IF((VLOOKUP(Table10[[#This Row],[SKU]],'All Skus'!$A:$AC,2,FALSE))="Martin",(VLOOKUP(Table10[[#This Row],[SKU]],'All Skus'!$A:$AC,23,FALSE)),""))</f>
        <v>0</v>
      </c>
      <c r="T563" s="212" t="str">
        <f>HYPERLINK((IF((VLOOKUP(Table10[[#This Row],[SKU]],'All Skus'!$A:$AC,2,FALSE))="Martin",(VLOOKUP(Table10[[#This Row],[SKU]],'All Skus'!$A:$AC,24,FALSE)),"")))</f>
        <v>http://www.martin.com/en-us/product-details/mac-quantum-profile</v>
      </c>
      <c r="U563" s="228">
        <v>561</v>
      </c>
    </row>
    <row r="564" spans="1:21" hidden="1">
      <c r="A564" s="111" t="s">
        <v>2230</v>
      </c>
      <c r="B564" s="224">
        <f>(IF((VLOOKUP(Table10[[#This Row],[SKU]],'All Skus'!$A:$AC,2,FALSE))="Martin",(VLOOKUP(Table10[[#This Row],[SKU]],'All Skus'!$A:$AC,3,FALSE)),""))</f>
        <v>0</v>
      </c>
      <c r="C564" s="223">
        <f>(IF((VLOOKUP(Table10[[#This Row],[SKU]],'All Skus'!$A:$AC,2,FALSE))="Martin",(VLOOKUP(Table10[[#This Row],[SKU]],'All Skus'!$A:$AC,4,FALSE)),""))</f>
        <v>0</v>
      </c>
      <c r="D564" s="224">
        <f>(IF((VLOOKUP(Table10[[#This Row],[SKU]],'All Skus'!$A:$AC,2,FALSE))="Martin",(VLOOKUP(Table10[[#This Row],[SKU]],'All Skus'!$A:$AC,5,FALSE)),""))</f>
        <v>0</v>
      </c>
      <c r="E564" s="223">
        <f>(IF((VLOOKUP(Table10[[#This Row],[SKU]],'All Skus'!$A:$AC,2,FALSE))="Martin",(VLOOKUP(Table10[[#This Row],[SKU]],'All Skus'!$A:$AC,6,FALSE)),""))</f>
        <v>0</v>
      </c>
      <c r="F564" s="155">
        <f>(IF((VLOOKUP(Table10[[#This Row],[SKU]],'All Skus'!$A:$AC,2,FALSE))="Martin",(VLOOKUP(Table10[[#This Row],[SKU]],'All Skus'!$A:$AC,7,FALSE)),""))</f>
        <v>0</v>
      </c>
      <c r="G564" s="223">
        <f>(IF((VLOOKUP(Table10[[#This Row],[SKU]],'All Skus'!$A:$AC,2,FALSE))="Martin",(VLOOKUP(Table10[[#This Row],[SKU]],'All Skus'!$A:$AC,8,FALSE)),""))</f>
        <v>0</v>
      </c>
      <c r="H564" s="223">
        <f>(IF((VLOOKUP(Table10[[#This Row],[SKU]],'All Skus'!$A:$AC,2,FALSE))="Martin",(VLOOKUP(Table10[[#This Row],[SKU]],'All Skus'!$A:$AC,9,FALSE)),""))</f>
        <v>0</v>
      </c>
      <c r="I564" s="225">
        <f>(IF((VLOOKUP(Table10[[#This Row],[SKU]],'All Skus'!$A:$AC,2,FALSE))="Martin",(VLOOKUP(Table10[[#This Row],[SKU]],'All Skus'!$A:$AC,10,FALSE)),""))</f>
        <v>0</v>
      </c>
      <c r="J564" s="226">
        <f>(IF((VLOOKUP(Table10[[#This Row],[SKU]],'All Skus'!$A:$AC,2,FALSE))="Martin",(VLOOKUP(Table10[[#This Row],[SKU]],'All Skus'!$A:$AC,11,FALSE)),""))</f>
        <v>0</v>
      </c>
      <c r="K564" s="224">
        <f>(IF((VLOOKUP(Table10[[#This Row],[SKU]],'All Skus'!$A:$AC,2,FALSE))="Martin",(VLOOKUP(Table10[[#This Row],[SKU]],'All Skus'!$A:$AC,15,FALSE)),""))</f>
        <v>0</v>
      </c>
      <c r="L564" s="224">
        <f>(IF((VLOOKUP(Table10[[#This Row],[SKU]],'All Skus'!$A:$AC,2,FALSE))="Martin",(VLOOKUP(Table10[[#This Row],[SKU]],'All Skus'!$A:$AC,16,FALSE)),""))</f>
        <v>0</v>
      </c>
      <c r="M564" s="224">
        <f>(IF((VLOOKUP(Table10[[#This Row],[SKU]],'All Skus'!$A:$AC,2,FALSE))="Martin",(VLOOKUP(Table10[[#This Row],[SKU]],'All Skus'!$A:$AC,17,FALSE)),""))</f>
        <v>0</v>
      </c>
      <c r="N564" s="227">
        <f>(IF((VLOOKUP(Table10[[#This Row],[SKU]],'All Skus'!$A:$AC,2,FALSE))="Martin",(VLOOKUP(Table10[[#This Row],[SKU]],'All Skus'!$A:$AC,18,FALSE)),""))</f>
        <v>0</v>
      </c>
      <c r="O564" s="227">
        <f>(IF((VLOOKUP(Table10[[#This Row],[SKU]],'All Skus'!$A:$AC,2,FALSE))="Martin",(VLOOKUP(Table10[[#This Row],[SKU]],'All Skus'!$A:$AC,19,FALSE)),""))</f>
        <v>0</v>
      </c>
      <c r="P564" s="227">
        <f>(IF((VLOOKUP(Table10[[#This Row],[SKU]],'All Skus'!$A:$AC,2,FALSE))="Martin",(VLOOKUP(Table10[[#This Row],[SKU]],'All Skus'!$A:$AC,20,FALSE)),""))</f>
        <v>0</v>
      </c>
      <c r="Q564" s="227">
        <f>(IF((VLOOKUP(Table10[[#This Row],[SKU]],'All Skus'!$A:$AC,2,FALSE))="Martin",(VLOOKUP(Table10[[#This Row],[SKU]],'All Skus'!$A:$AC,21,FALSE)),""))</f>
        <v>0</v>
      </c>
      <c r="R564" s="224">
        <f>(IF((VLOOKUP(Table10[[#This Row],[SKU]],'All Skus'!$A:$AC,2,FALSE))="Martin",(VLOOKUP(Table10[[#This Row],[SKU]],'All Skus'!$A:$AC,22,FALSE)),""))</f>
        <v>0</v>
      </c>
      <c r="S564" s="223">
        <f>(IF((VLOOKUP(Table10[[#This Row],[SKU]],'All Skus'!$A:$AC,2,FALSE))="Martin",(VLOOKUP(Table10[[#This Row],[SKU]],'All Skus'!$A:$AC,23,FALSE)),""))</f>
        <v>0</v>
      </c>
      <c r="T564" s="212" t="str">
        <f>HYPERLINK((IF((VLOOKUP(Table10[[#This Row],[SKU]],'All Skus'!$A:$AC,2,FALSE))="Martin",(VLOOKUP(Table10[[#This Row],[SKU]],'All Skus'!$A:$AC,24,FALSE)),"")))</f>
        <v/>
      </c>
      <c r="U564" s="228">
        <v>562</v>
      </c>
    </row>
    <row r="565" spans="1:21" hidden="1">
      <c r="A565" s="115" t="s">
        <v>2231</v>
      </c>
      <c r="B565" s="224">
        <f>(IF((VLOOKUP(Table10[[#This Row],[SKU]],'All Skus'!$A:$AC,2,FALSE))="Martin",(VLOOKUP(Table10[[#This Row],[SKU]],'All Skus'!$A:$AC,3,FALSE)),""))</f>
        <v>0</v>
      </c>
      <c r="C565" s="223">
        <f>(IF((VLOOKUP(Table10[[#This Row],[SKU]],'All Skus'!$A:$AC,2,FALSE))="Martin",(VLOOKUP(Table10[[#This Row],[SKU]],'All Skus'!$A:$AC,4,FALSE)),""))</f>
        <v>0</v>
      </c>
      <c r="D565" s="224">
        <f>(IF((VLOOKUP(Table10[[#This Row],[SKU]],'All Skus'!$A:$AC,2,FALSE))="Martin",(VLOOKUP(Table10[[#This Row],[SKU]],'All Skus'!$A:$AC,5,FALSE)),""))</f>
        <v>0</v>
      </c>
      <c r="E565" s="223">
        <f>(IF((VLOOKUP(Table10[[#This Row],[SKU]],'All Skus'!$A:$AC,2,FALSE))="Martin",(VLOOKUP(Table10[[#This Row],[SKU]],'All Skus'!$A:$AC,6,FALSE)),""))</f>
        <v>0</v>
      </c>
      <c r="F565" s="155">
        <f>(IF((VLOOKUP(Table10[[#This Row],[SKU]],'All Skus'!$A:$AC,2,FALSE))="Martin",(VLOOKUP(Table10[[#This Row],[SKU]],'All Skus'!$A:$AC,7,FALSE)),""))</f>
        <v>0</v>
      </c>
      <c r="G565" s="223">
        <f>(IF((VLOOKUP(Table10[[#This Row],[SKU]],'All Skus'!$A:$AC,2,FALSE))="Martin",(VLOOKUP(Table10[[#This Row],[SKU]],'All Skus'!$A:$AC,8,FALSE)),""))</f>
        <v>0</v>
      </c>
      <c r="H565" s="223">
        <f>(IF((VLOOKUP(Table10[[#This Row],[SKU]],'All Skus'!$A:$AC,2,FALSE))="Martin",(VLOOKUP(Table10[[#This Row],[SKU]],'All Skus'!$A:$AC,9,FALSE)),""))</f>
        <v>0</v>
      </c>
      <c r="I565" s="225">
        <f>(IF((VLOOKUP(Table10[[#This Row],[SKU]],'All Skus'!$A:$AC,2,FALSE))="Martin",(VLOOKUP(Table10[[#This Row],[SKU]],'All Skus'!$A:$AC,10,FALSE)),""))</f>
        <v>0</v>
      </c>
      <c r="J565" s="226">
        <f>(IF((VLOOKUP(Table10[[#This Row],[SKU]],'All Skus'!$A:$AC,2,FALSE))="Martin",(VLOOKUP(Table10[[#This Row],[SKU]],'All Skus'!$A:$AC,11,FALSE)),""))</f>
        <v>0</v>
      </c>
      <c r="K565" s="224">
        <f>(IF((VLOOKUP(Table10[[#This Row],[SKU]],'All Skus'!$A:$AC,2,FALSE))="Martin",(VLOOKUP(Table10[[#This Row],[SKU]],'All Skus'!$A:$AC,15,FALSE)),""))</f>
        <v>0</v>
      </c>
      <c r="L565" s="224">
        <f>(IF((VLOOKUP(Table10[[#This Row],[SKU]],'All Skus'!$A:$AC,2,FALSE))="Martin",(VLOOKUP(Table10[[#This Row],[SKU]],'All Skus'!$A:$AC,16,FALSE)),""))</f>
        <v>0</v>
      </c>
      <c r="M565" s="224">
        <f>(IF((VLOOKUP(Table10[[#This Row],[SKU]],'All Skus'!$A:$AC,2,FALSE))="Martin",(VLOOKUP(Table10[[#This Row],[SKU]],'All Skus'!$A:$AC,17,FALSE)),""))</f>
        <v>0</v>
      </c>
      <c r="N565" s="227">
        <f>(IF((VLOOKUP(Table10[[#This Row],[SKU]],'All Skus'!$A:$AC,2,FALSE))="Martin",(VLOOKUP(Table10[[#This Row],[SKU]],'All Skus'!$A:$AC,18,FALSE)),""))</f>
        <v>0</v>
      </c>
      <c r="O565" s="227">
        <f>(IF((VLOOKUP(Table10[[#This Row],[SKU]],'All Skus'!$A:$AC,2,FALSE))="Martin",(VLOOKUP(Table10[[#This Row],[SKU]],'All Skus'!$A:$AC,19,FALSE)),""))</f>
        <v>0</v>
      </c>
      <c r="P565" s="227">
        <f>(IF((VLOOKUP(Table10[[#This Row],[SKU]],'All Skus'!$A:$AC,2,FALSE))="Martin",(VLOOKUP(Table10[[#This Row],[SKU]],'All Skus'!$A:$AC,20,FALSE)),""))</f>
        <v>0</v>
      </c>
      <c r="Q565" s="227">
        <f>(IF((VLOOKUP(Table10[[#This Row],[SKU]],'All Skus'!$A:$AC,2,FALSE))="Martin",(VLOOKUP(Table10[[#This Row],[SKU]],'All Skus'!$A:$AC,21,FALSE)),""))</f>
        <v>0</v>
      </c>
      <c r="R565" s="224">
        <f>(IF((VLOOKUP(Table10[[#This Row],[SKU]],'All Skus'!$A:$AC,2,FALSE))="Martin",(VLOOKUP(Table10[[#This Row],[SKU]],'All Skus'!$A:$AC,22,FALSE)),""))</f>
        <v>0</v>
      </c>
      <c r="S565" s="223">
        <f>(IF((VLOOKUP(Table10[[#This Row],[SKU]],'All Skus'!$A:$AC,2,FALSE))="Martin",(VLOOKUP(Table10[[#This Row],[SKU]],'All Skus'!$A:$AC,23,FALSE)),""))</f>
        <v>0</v>
      </c>
      <c r="T565" s="212" t="str">
        <f>HYPERLINK((IF((VLOOKUP(Table10[[#This Row],[SKU]],'All Skus'!$A:$AC,2,FALSE))="Martin",(VLOOKUP(Table10[[#This Row],[SKU]],'All Skus'!$A:$AC,24,FALSE)),"")))</f>
        <v/>
      </c>
      <c r="U565" s="228">
        <v>563</v>
      </c>
    </row>
    <row r="566" spans="1:21" hidden="1">
      <c r="A566" s="112" t="s">
        <v>2232</v>
      </c>
      <c r="B566" s="224" t="str">
        <f>(IF((VLOOKUP(Table10[[#This Row],[SKU]],'All Skus'!$A:$AC,2,FALSE))="Martin",(VLOOKUP(Table10[[#This Row],[SKU]],'All Skus'!$A:$AC,3,FALSE)),""))</f>
        <v>MAC</v>
      </c>
      <c r="C566" s="223" t="str">
        <f>(IF((VLOOKUP(Table10[[#This Row],[SKU]],'All Skus'!$A:$AC,2,FALSE))="Martin",(VLOOKUP(Table10[[#This Row],[SKU]],'All Skus'!$A:$AC,4,FALSE)),""))</f>
        <v>MAC Ultra Performance, SIP</v>
      </c>
      <c r="D566" s="224" t="str">
        <f>(IF((VLOOKUP(Table10[[#This Row],[SKU]],'All Skus'!$A:$AC,2,FALSE))="Martin",(VLOOKUP(Table10[[#This Row],[SKU]],'All Skus'!$A:$AC,5,FALSE)),""))</f>
        <v>MAR-MAC</v>
      </c>
      <c r="E566" s="223">
        <f>(IF((VLOOKUP(Table10[[#This Row],[SKU]],'All Skus'!$A:$AC,2,FALSE))="Martin",(VLOOKUP(Table10[[#This Row],[SKU]],'All Skus'!$A:$AC,6,FALSE)),""))</f>
        <v>0</v>
      </c>
      <c r="F566" s="155">
        <f>(IF((VLOOKUP(Table10[[#This Row],[SKU]],'All Skus'!$A:$AC,2,FALSE))="Martin",(VLOOKUP(Table10[[#This Row],[SKU]],'All Skus'!$A:$AC,7,FALSE)),""))</f>
        <v>0</v>
      </c>
      <c r="G566" s="223" t="str">
        <f>(IF((VLOOKUP(Table10[[#This Row],[SKU]],'All Skus'!$A:$AC,2,FALSE))="Martin",(VLOOKUP(Table10[[#This Row],[SKU]],'All Skus'!$A:$AC,8,FALSE)),""))</f>
        <v>MAC Ultra Performance, SIP</v>
      </c>
      <c r="H566" s="223" t="str">
        <f>(IF((VLOOKUP(Table10[[#This Row],[SKU]],'All Skus'!$A:$AC,2,FALSE))="Martin",(VLOOKUP(Table10[[#This Row],[SKU]],'All Skus'!$A:$AC,9,FALSE)),""))</f>
        <v>MAC Ultra Performance, SIP</v>
      </c>
      <c r="I566" s="225">
        <f>(IF((VLOOKUP(Table10[[#This Row],[SKU]],'All Skus'!$A:$AC,2,FALSE))="Martin",(VLOOKUP(Table10[[#This Row],[SKU]],'All Skus'!$A:$AC,10,FALSE)),""))</f>
        <v>21578.400000000001</v>
      </c>
      <c r="J566" s="226">
        <f>(IF((VLOOKUP(Table10[[#This Row],[SKU]],'All Skus'!$A:$AC,2,FALSE))="Martin",(VLOOKUP(Table10[[#This Row],[SKU]],'All Skus'!$A:$AC,11,FALSE)),""))</f>
        <v>21578.400000000001</v>
      </c>
      <c r="K566" s="224">
        <f>(IF((VLOOKUP(Table10[[#This Row],[SKU]],'All Skus'!$A:$AC,2,FALSE))="Martin",(VLOOKUP(Table10[[#This Row],[SKU]],'All Skus'!$A:$AC,15,FALSE)),""))</f>
        <v>0</v>
      </c>
      <c r="L566" s="224">
        <f>(IF((VLOOKUP(Table10[[#This Row],[SKU]],'All Skus'!$A:$AC,2,FALSE))="Martin",(VLOOKUP(Table10[[#This Row],[SKU]],'All Skus'!$A:$AC,16,FALSE)),""))</f>
        <v>688705005775</v>
      </c>
      <c r="M566" s="224">
        <f>(IF((VLOOKUP(Table10[[#This Row],[SKU]],'All Skus'!$A:$AC,2,FALSE))="Martin",(VLOOKUP(Table10[[#This Row],[SKU]],'All Skus'!$A:$AC,17,FALSE)),""))</f>
        <v>0</v>
      </c>
      <c r="N566" s="227">
        <f>(IF((VLOOKUP(Table10[[#This Row],[SKU]],'All Skus'!$A:$AC,2,FALSE))="Martin",(VLOOKUP(Table10[[#This Row],[SKU]],'All Skus'!$A:$AC,18,FALSE)),""))</f>
        <v>0</v>
      </c>
      <c r="O566" s="227">
        <f>(IF((VLOOKUP(Table10[[#This Row],[SKU]],'All Skus'!$A:$AC,2,FALSE))="Martin",(VLOOKUP(Table10[[#This Row],[SKU]],'All Skus'!$A:$AC,19,FALSE)),""))</f>
        <v>0</v>
      </c>
      <c r="P566" s="227">
        <f>(IF((VLOOKUP(Table10[[#This Row],[SKU]],'All Skus'!$A:$AC,2,FALSE))="Martin",(VLOOKUP(Table10[[#This Row],[SKU]],'All Skus'!$A:$AC,20,FALSE)),""))</f>
        <v>0</v>
      </c>
      <c r="Q566" s="227">
        <f>(IF((VLOOKUP(Table10[[#This Row],[SKU]],'All Skus'!$A:$AC,2,FALSE))="Martin",(VLOOKUP(Table10[[#This Row],[SKU]],'All Skus'!$A:$AC,21,FALSE)),""))</f>
        <v>0</v>
      </c>
      <c r="R566" s="224" t="str">
        <f>(IF((VLOOKUP(Table10[[#This Row],[SKU]],'All Skus'!$A:$AC,2,FALSE))="Martin",(VLOOKUP(Table10[[#This Row],[SKU]],'All Skus'!$A:$AC,22,FALSE)),""))</f>
        <v>HU</v>
      </c>
      <c r="S566" s="223">
        <f>(IF((VLOOKUP(Table10[[#This Row],[SKU]],'All Skus'!$A:$AC,2,FALSE))="Martin",(VLOOKUP(Table10[[#This Row],[SKU]],'All Skus'!$A:$AC,23,FALSE)),""))</f>
        <v>0</v>
      </c>
      <c r="T566" s="212" t="str">
        <f>HYPERLINK((IF((VLOOKUP(Table10[[#This Row],[SKU]],'All Skus'!$A:$AC,2,FALSE))="Martin",(VLOOKUP(Table10[[#This Row],[SKU]],'All Skus'!$A:$AC,24,FALSE)),"")))</f>
        <v>https://www.martin.com/en-US/products/mac-ultra-performance</v>
      </c>
      <c r="U566" s="228">
        <v>564</v>
      </c>
    </row>
    <row r="567" spans="1:21" hidden="1">
      <c r="A567" s="112" t="s">
        <v>2233</v>
      </c>
      <c r="B567" s="224" t="str">
        <f>(IF((VLOOKUP(Table10[[#This Row],[SKU]],'All Skus'!$A:$AC,2,FALSE))="Martin",(VLOOKUP(Table10[[#This Row],[SKU]],'All Skus'!$A:$AC,3,FALSE)),""))</f>
        <v>MAC</v>
      </c>
      <c r="C567" s="223" t="str">
        <f>(IF((VLOOKUP(Table10[[#This Row],[SKU]],'All Skus'!$A:$AC,2,FALSE))="Martin",(VLOOKUP(Table10[[#This Row],[SKU]],'All Skus'!$A:$AC,4,FALSE)),""))</f>
        <v>MAC Ultra Performance, white finish, SIP</v>
      </c>
      <c r="D567" s="224" t="str">
        <f>(IF((VLOOKUP(Table10[[#This Row],[SKU]],'All Skus'!$A:$AC,2,FALSE))="Martin",(VLOOKUP(Table10[[#This Row],[SKU]],'All Skus'!$A:$AC,5,FALSE)),""))</f>
        <v>MAR-MAC</v>
      </c>
      <c r="E567" s="223">
        <f>(IF((VLOOKUP(Table10[[#This Row],[SKU]],'All Skus'!$A:$AC,2,FALSE))="Martin",(VLOOKUP(Table10[[#This Row],[SKU]],'All Skus'!$A:$AC,6,FALSE)),""))</f>
        <v>0</v>
      </c>
      <c r="F567" s="155">
        <f>(IF((VLOOKUP(Table10[[#This Row],[SKU]],'All Skus'!$A:$AC,2,FALSE))="Martin",(VLOOKUP(Table10[[#This Row],[SKU]],'All Skus'!$A:$AC,7,FALSE)),""))</f>
        <v>0</v>
      </c>
      <c r="G567" s="223" t="str">
        <f>(IF((VLOOKUP(Table10[[#This Row],[SKU]],'All Skus'!$A:$AC,2,FALSE))="Martin",(VLOOKUP(Table10[[#This Row],[SKU]],'All Skus'!$A:$AC,8,FALSE)),""))</f>
        <v>MAC Ultra Performance, white finish, SIP</v>
      </c>
      <c r="H567" s="223" t="str">
        <f>(IF((VLOOKUP(Table10[[#This Row],[SKU]],'All Skus'!$A:$AC,2,FALSE))="Martin",(VLOOKUP(Table10[[#This Row],[SKU]],'All Skus'!$A:$AC,9,FALSE)),""))</f>
        <v>MAC Ultra Performance, white finish, SIP</v>
      </c>
      <c r="I567" s="225">
        <f>(IF((VLOOKUP(Table10[[#This Row],[SKU]],'All Skus'!$A:$AC,2,FALSE))="Martin",(VLOOKUP(Table10[[#This Row],[SKU]],'All Skus'!$A:$AC,10,FALSE)),""))</f>
        <v>23376.6</v>
      </c>
      <c r="J567" s="226">
        <f>(IF((VLOOKUP(Table10[[#This Row],[SKU]],'All Skus'!$A:$AC,2,FALSE))="Martin",(VLOOKUP(Table10[[#This Row],[SKU]],'All Skus'!$A:$AC,11,FALSE)),""))</f>
        <v>23376.6</v>
      </c>
      <c r="K567" s="224">
        <f>(IF((VLOOKUP(Table10[[#This Row],[SKU]],'All Skus'!$A:$AC,2,FALSE))="Martin",(VLOOKUP(Table10[[#This Row],[SKU]],'All Skus'!$A:$AC,15,FALSE)),""))</f>
        <v>0</v>
      </c>
      <c r="L567" s="224">
        <f>(IF((VLOOKUP(Table10[[#This Row],[SKU]],'All Skus'!$A:$AC,2,FALSE))="Martin",(VLOOKUP(Table10[[#This Row],[SKU]],'All Skus'!$A:$AC,16,FALSE)),""))</f>
        <v>688705005782</v>
      </c>
      <c r="M567" s="224">
        <f>(IF((VLOOKUP(Table10[[#This Row],[SKU]],'All Skus'!$A:$AC,2,FALSE))="Martin",(VLOOKUP(Table10[[#This Row],[SKU]],'All Skus'!$A:$AC,17,FALSE)),""))</f>
        <v>0</v>
      </c>
      <c r="N567" s="227">
        <f>(IF((VLOOKUP(Table10[[#This Row],[SKU]],'All Skus'!$A:$AC,2,FALSE))="Martin",(VLOOKUP(Table10[[#This Row],[SKU]],'All Skus'!$A:$AC,18,FALSE)),""))</f>
        <v>0</v>
      </c>
      <c r="O567" s="227">
        <f>(IF((VLOOKUP(Table10[[#This Row],[SKU]],'All Skus'!$A:$AC,2,FALSE))="Martin",(VLOOKUP(Table10[[#This Row],[SKU]],'All Skus'!$A:$AC,19,FALSE)),""))</f>
        <v>0</v>
      </c>
      <c r="P567" s="227">
        <f>(IF((VLOOKUP(Table10[[#This Row],[SKU]],'All Skus'!$A:$AC,2,FALSE))="Martin",(VLOOKUP(Table10[[#This Row],[SKU]],'All Skus'!$A:$AC,20,FALSE)),""))</f>
        <v>0</v>
      </c>
      <c r="Q567" s="227">
        <f>(IF((VLOOKUP(Table10[[#This Row],[SKU]],'All Skus'!$A:$AC,2,FALSE))="Martin",(VLOOKUP(Table10[[#This Row],[SKU]],'All Skus'!$A:$AC,21,FALSE)),""))</f>
        <v>0</v>
      </c>
      <c r="R567" s="224" t="str">
        <f>(IF((VLOOKUP(Table10[[#This Row],[SKU]],'All Skus'!$A:$AC,2,FALSE))="Martin",(VLOOKUP(Table10[[#This Row],[SKU]],'All Skus'!$A:$AC,22,FALSE)),""))</f>
        <v>ZZ</v>
      </c>
      <c r="S567" s="223">
        <f>(IF((VLOOKUP(Table10[[#This Row],[SKU]],'All Skus'!$A:$AC,2,FALSE))="Martin",(VLOOKUP(Table10[[#This Row],[SKU]],'All Skus'!$A:$AC,23,FALSE)),""))</f>
        <v>0</v>
      </c>
      <c r="T567" s="212" t="str">
        <f>HYPERLINK((IF((VLOOKUP(Table10[[#This Row],[SKU]],'All Skus'!$A:$AC,2,FALSE))="Martin",(VLOOKUP(Table10[[#This Row],[SKU]],'All Skus'!$A:$AC,24,FALSE)),"")))</f>
        <v>https://www.martin.com/en-US/products/mac-ultra-performance</v>
      </c>
      <c r="U567" s="228">
        <v>565</v>
      </c>
    </row>
    <row r="568" spans="1:21" hidden="1">
      <c r="A568" s="115" t="s">
        <v>2234</v>
      </c>
      <c r="B568" s="224">
        <f>(IF((VLOOKUP(Table10[[#This Row],[SKU]],'All Skus'!$A:$AC,2,FALSE))="Martin",(VLOOKUP(Table10[[#This Row],[SKU]],'All Skus'!$A:$AC,3,FALSE)),""))</f>
        <v>0</v>
      </c>
      <c r="C568" s="223">
        <f>(IF((VLOOKUP(Table10[[#This Row],[SKU]],'All Skus'!$A:$AC,2,FALSE))="Martin",(VLOOKUP(Table10[[#This Row],[SKU]],'All Skus'!$A:$AC,4,FALSE)),""))</f>
        <v>0</v>
      </c>
      <c r="D568" s="224">
        <f>(IF((VLOOKUP(Table10[[#This Row],[SKU]],'All Skus'!$A:$AC,2,FALSE))="Martin",(VLOOKUP(Table10[[#This Row],[SKU]],'All Skus'!$A:$AC,5,FALSE)),""))</f>
        <v>0</v>
      </c>
      <c r="E568" s="223">
        <f>(IF((VLOOKUP(Table10[[#This Row],[SKU]],'All Skus'!$A:$AC,2,FALSE))="Martin",(VLOOKUP(Table10[[#This Row],[SKU]],'All Skus'!$A:$AC,6,FALSE)),""))</f>
        <v>0</v>
      </c>
      <c r="F568" s="155">
        <f>(IF((VLOOKUP(Table10[[#This Row],[SKU]],'All Skus'!$A:$AC,2,FALSE))="Martin",(VLOOKUP(Table10[[#This Row],[SKU]],'All Skus'!$A:$AC,7,FALSE)),""))</f>
        <v>0</v>
      </c>
      <c r="G568" s="223">
        <f>(IF((VLOOKUP(Table10[[#This Row],[SKU]],'All Skus'!$A:$AC,2,FALSE))="Martin",(VLOOKUP(Table10[[#This Row],[SKU]],'All Skus'!$A:$AC,8,FALSE)),""))</f>
        <v>0</v>
      </c>
      <c r="H568" s="223">
        <f>(IF((VLOOKUP(Table10[[#This Row],[SKU]],'All Skus'!$A:$AC,2,FALSE))="Martin",(VLOOKUP(Table10[[#This Row],[SKU]],'All Skus'!$A:$AC,9,FALSE)),""))</f>
        <v>0</v>
      </c>
      <c r="I568" s="225">
        <f>(IF((VLOOKUP(Table10[[#This Row],[SKU]],'All Skus'!$A:$AC,2,FALSE))="Martin",(VLOOKUP(Table10[[#This Row],[SKU]],'All Skus'!$A:$AC,10,FALSE)),""))</f>
        <v>0</v>
      </c>
      <c r="J568" s="226">
        <f>(IF((VLOOKUP(Table10[[#This Row],[SKU]],'All Skus'!$A:$AC,2,FALSE))="Martin",(VLOOKUP(Table10[[#This Row],[SKU]],'All Skus'!$A:$AC,11,FALSE)),""))</f>
        <v>0</v>
      </c>
      <c r="K568" s="224">
        <f>(IF((VLOOKUP(Table10[[#This Row],[SKU]],'All Skus'!$A:$AC,2,FALSE))="Martin",(VLOOKUP(Table10[[#This Row],[SKU]],'All Skus'!$A:$AC,15,FALSE)),""))</f>
        <v>0</v>
      </c>
      <c r="L568" s="224">
        <f>(IF((VLOOKUP(Table10[[#This Row],[SKU]],'All Skus'!$A:$AC,2,FALSE))="Martin",(VLOOKUP(Table10[[#This Row],[SKU]],'All Skus'!$A:$AC,16,FALSE)),""))</f>
        <v>0</v>
      </c>
      <c r="M568" s="224">
        <f>(IF((VLOOKUP(Table10[[#This Row],[SKU]],'All Skus'!$A:$AC,2,FALSE))="Martin",(VLOOKUP(Table10[[#This Row],[SKU]],'All Skus'!$A:$AC,17,FALSE)),""))</f>
        <v>0</v>
      </c>
      <c r="N568" s="227">
        <f>(IF((VLOOKUP(Table10[[#This Row],[SKU]],'All Skus'!$A:$AC,2,FALSE))="Martin",(VLOOKUP(Table10[[#This Row],[SKU]],'All Skus'!$A:$AC,18,FALSE)),""))</f>
        <v>0</v>
      </c>
      <c r="O568" s="227">
        <f>(IF((VLOOKUP(Table10[[#This Row],[SKU]],'All Skus'!$A:$AC,2,FALSE))="Martin",(VLOOKUP(Table10[[#This Row],[SKU]],'All Skus'!$A:$AC,19,FALSE)),""))</f>
        <v>0</v>
      </c>
      <c r="P568" s="227">
        <f>(IF((VLOOKUP(Table10[[#This Row],[SKU]],'All Skus'!$A:$AC,2,FALSE))="Martin",(VLOOKUP(Table10[[#This Row],[SKU]],'All Skus'!$A:$AC,20,FALSE)),""))</f>
        <v>0</v>
      </c>
      <c r="Q568" s="227">
        <f>(IF((VLOOKUP(Table10[[#This Row],[SKU]],'All Skus'!$A:$AC,2,FALSE))="Martin",(VLOOKUP(Table10[[#This Row],[SKU]],'All Skus'!$A:$AC,21,FALSE)),""))</f>
        <v>0</v>
      </c>
      <c r="R568" s="224">
        <f>(IF((VLOOKUP(Table10[[#This Row],[SKU]],'All Skus'!$A:$AC,2,FALSE))="Martin",(VLOOKUP(Table10[[#This Row],[SKU]],'All Skus'!$A:$AC,22,FALSE)),""))</f>
        <v>0</v>
      </c>
      <c r="S568" s="223">
        <f>(IF((VLOOKUP(Table10[[#This Row],[SKU]],'All Skus'!$A:$AC,2,FALSE))="Martin",(VLOOKUP(Table10[[#This Row],[SKU]],'All Skus'!$A:$AC,23,FALSE)),""))</f>
        <v>0</v>
      </c>
      <c r="T568" s="212" t="str">
        <f>HYPERLINK((IF((VLOOKUP(Table10[[#This Row],[SKU]],'All Skus'!$A:$AC,2,FALSE))="Martin",(VLOOKUP(Table10[[#This Row],[SKU]],'All Skus'!$A:$AC,24,FALSE)),"")))</f>
        <v/>
      </c>
      <c r="U568" s="228">
        <v>566</v>
      </c>
    </row>
    <row r="569" spans="1:21" hidden="1">
      <c r="A569" s="112" t="s">
        <v>2235</v>
      </c>
      <c r="B569" s="224" t="str">
        <f>(IF((VLOOKUP(Table10[[#This Row],[SKU]],'All Skus'!$A:$AC,2,FALSE))="Martin",(VLOOKUP(Table10[[#This Row],[SKU]],'All Skus'!$A:$AC,3,FALSE)),""))</f>
        <v>MAC</v>
      </c>
      <c r="C569" s="223" t="str">
        <f>(IF((VLOOKUP(Table10[[#This Row],[SKU]],'All Skus'!$A:$AC,2,FALSE))="Martin",(VLOOKUP(Table10[[#This Row],[SKU]],'All Skus'!$A:$AC,4,FALSE)),""))</f>
        <v>MAC Ultra Wash, SIP</v>
      </c>
      <c r="D569" s="224" t="str">
        <f>(IF((VLOOKUP(Table10[[#This Row],[SKU]],'All Skus'!$A:$AC,2,FALSE))="Martin",(VLOOKUP(Table10[[#This Row],[SKU]],'All Skus'!$A:$AC,5,FALSE)),""))</f>
        <v>MAR-MAC</v>
      </c>
      <c r="E569" s="223">
        <f>(IF((VLOOKUP(Table10[[#This Row],[SKU]],'All Skus'!$A:$AC,2,FALSE))="Martin",(VLOOKUP(Table10[[#This Row],[SKU]],'All Skus'!$A:$AC,6,FALSE)),""))</f>
        <v>0</v>
      </c>
      <c r="F569" s="155">
        <f>(IF((VLOOKUP(Table10[[#This Row],[SKU]],'All Skus'!$A:$AC,2,FALSE))="Martin",(VLOOKUP(Table10[[#This Row],[SKU]],'All Skus'!$A:$AC,7,FALSE)),""))</f>
        <v>0</v>
      </c>
      <c r="G569" s="223" t="str">
        <f>(IF((VLOOKUP(Table10[[#This Row],[SKU]],'All Skus'!$A:$AC,2,FALSE))="Martin",(VLOOKUP(Table10[[#This Row],[SKU]],'All Skus'!$A:$AC,8,FALSE)),""))</f>
        <v>MAC Ultra Wash, SIP</v>
      </c>
      <c r="H569" s="223" t="str">
        <f>(IF((VLOOKUP(Table10[[#This Row],[SKU]],'All Skus'!$A:$AC,2,FALSE))="Martin",(VLOOKUP(Table10[[#This Row],[SKU]],'All Skus'!$A:$AC,9,FALSE)),""))</f>
        <v>MAC Ultra Wash, SIP</v>
      </c>
      <c r="I569" s="225">
        <f>(IF((VLOOKUP(Table10[[#This Row],[SKU]],'All Skus'!$A:$AC,2,FALSE))="Martin",(VLOOKUP(Table10[[#This Row],[SKU]],'All Skus'!$A:$AC,10,FALSE)),""))</f>
        <v>16783.2</v>
      </c>
      <c r="J569" s="226">
        <f>(IF((VLOOKUP(Table10[[#This Row],[SKU]],'All Skus'!$A:$AC,2,FALSE))="Martin",(VLOOKUP(Table10[[#This Row],[SKU]],'All Skus'!$A:$AC,11,FALSE)),""))</f>
        <v>16783.2</v>
      </c>
      <c r="K569" s="224">
        <f>(IF((VLOOKUP(Table10[[#This Row],[SKU]],'All Skus'!$A:$AC,2,FALSE))="Martin",(VLOOKUP(Table10[[#This Row],[SKU]],'All Skus'!$A:$AC,15,FALSE)),""))</f>
        <v>0</v>
      </c>
      <c r="L569" s="224">
        <f>(IF((VLOOKUP(Table10[[#This Row],[SKU]],'All Skus'!$A:$AC,2,FALSE))="Martin",(VLOOKUP(Table10[[#This Row],[SKU]],'All Skus'!$A:$AC,16,FALSE)),""))</f>
        <v>688705005836</v>
      </c>
      <c r="M569" s="224">
        <f>(IF((VLOOKUP(Table10[[#This Row],[SKU]],'All Skus'!$A:$AC,2,FALSE))="Martin",(VLOOKUP(Table10[[#This Row],[SKU]],'All Skus'!$A:$AC,17,FALSE)),""))</f>
        <v>0</v>
      </c>
      <c r="N569" s="227">
        <f>(IF((VLOOKUP(Table10[[#This Row],[SKU]],'All Skus'!$A:$AC,2,FALSE))="Martin",(VLOOKUP(Table10[[#This Row],[SKU]],'All Skus'!$A:$AC,18,FALSE)),""))</f>
        <v>0</v>
      </c>
      <c r="O569" s="227">
        <f>(IF((VLOOKUP(Table10[[#This Row],[SKU]],'All Skus'!$A:$AC,2,FALSE))="Martin",(VLOOKUP(Table10[[#This Row],[SKU]],'All Skus'!$A:$AC,19,FALSE)),""))</f>
        <v>0</v>
      </c>
      <c r="P569" s="227">
        <f>(IF((VLOOKUP(Table10[[#This Row],[SKU]],'All Skus'!$A:$AC,2,FALSE))="Martin",(VLOOKUP(Table10[[#This Row],[SKU]],'All Skus'!$A:$AC,20,FALSE)),""))</f>
        <v>0</v>
      </c>
      <c r="Q569" s="227">
        <f>(IF((VLOOKUP(Table10[[#This Row],[SKU]],'All Skus'!$A:$AC,2,FALSE))="Martin",(VLOOKUP(Table10[[#This Row],[SKU]],'All Skus'!$A:$AC,21,FALSE)),""))</f>
        <v>0</v>
      </c>
      <c r="R569" s="224" t="str">
        <f>(IF((VLOOKUP(Table10[[#This Row],[SKU]],'All Skus'!$A:$AC,2,FALSE))="Martin",(VLOOKUP(Table10[[#This Row],[SKU]],'All Skus'!$A:$AC,22,FALSE)),""))</f>
        <v>HU</v>
      </c>
      <c r="S569" s="223">
        <f>(IF((VLOOKUP(Table10[[#This Row],[SKU]],'All Skus'!$A:$AC,2,FALSE))="Martin",(VLOOKUP(Table10[[#This Row],[SKU]],'All Skus'!$A:$AC,23,FALSE)),""))</f>
        <v>0</v>
      </c>
      <c r="T569" s="212" t="str">
        <f>HYPERLINK((IF((VLOOKUP(Table10[[#This Row],[SKU]],'All Skus'!$A:$AC,2,FALSE))="Martin",(VLOOKUP(Table10[[#This Row],[SKU]],'All Skus'!$A:$AC,24,FALSE)),"")))</f>
        <v>https://www.martin.com/en-US/products/mac-ultra-wash</v>
      </c>
      <c r="U569" s="228">
        <v>567</v>
      </c>
    </row>
    <row r="570" spans="1:21" hidden="1">
      <c r="A570" s="112" t="s">
        <v>2236</v>
      </c>
      <c r="B570" s="224" t="str">
        <f>(IF((VLOOKUP(Table10[[#This Row],[SKU]],'All Skus'!$A:$AC,2,FALSE))="Martin",(VLOOKUP(Table10[[#This Row],[SKU]],'All Skus'!$A:$AC,3,FALSE)),""))</f>
        <v>MAC</v>
      </c>
      <c r="C570" s="223" t="str">
        <f>(IF((VLOOKUP(Table10[[#This Row],[SKU]],'All Skus'!$A:$AC,2,FALSE))="Martin",(VLOOKUP(Table10[[#This Row],[SKU]],'All Skus'!$A:$AC,4,FALSE)),""))</f>
        <v>MAC Ultra Wash, white finish, SIP</v>
      </c>
      <c r="D570" s="224" t="str">
        <f>(IF((VLOOKUP(Table10[[#This Row],[SKU]],'All Skus'!$A:$AC,2,FALSE))="Martin",(VLOOKUP(Table10[[#This Row],[SKU]],'All Skus'!$A:$AC,5,FALSE)),""))</f>
        <v>MAR-MAC</v>
      </c>
      <c r="E570" s="223">
        <f>(IF((VLOOKUP(Table10[[#This Row],[SKU]],'All Skus'!$A:$AC,2,FALSE))="Martin",(VLOOKUP(Table10[[#This Row],[SKU]],'All Skus'!$A:$AC,6,FALSE)),""))</f>
        <v>0</v>
      </c>
      <c r="F570" s="155">
        <f>(IF((VLOOKUP(Table10[[#This Row],[SKU]],'All Skus'!$A:$AC,2,FALSE))="Martin",(VLOOKUP(Table10[[#This Row],[SKU]],'All Skus'!$A:$AC,7,FALSE)),""))</f>
        <v>0</v>
      </c>
      <c r="G570" s="223" t="str">
        <f>(IF((VLOOKUP(Table10[[#This Row],[SKU]],'All Skus'!$A:$AC,2,FALSE))="Martin",(VLOOKUP(Table10[[#This Row],[SKU]],'All Skus'!$A:$AC,8,FALSE)),""))</f>
        <v>MAC Ultra Wash, white finish, SIP</v>
      </c>
      <c r="H570" s="223" t="str">
        <f>(IF((VLOOKUP(Table10[[#This Row],[SKU]],'All Skus'!$A:$AC,2,FALSE))="Martin",(VLOOKUP(Table10[[#This Row],[SKU]],'All Skus'!$A:$AC,9,FALSE)),""))</f>
        <v>MAC Ultra Wash, white finish, SIP</v>
      </c>
      <c r="I570" s="225">
        <f>(IF((VLOOKUP(Table10[[#This Row],[SKU]],'All Skus'!$A:$AC,2,FALSE))="Martin",(VLOOKUP(Table10[[#This Row],[SKU]],'All Skus'!$A:$AC,10,FALSE)),""))</f>
        <v>18581.400000000001</v>
      </c>
      <c r="J570" s="226">
        <f>(IF((VLOOKUP(Table10[[#This Row],[SKU]],'All Skus'!$A:$AC,2,FALSE))="Martin",(VLOOKUP(Table10[[#This Row],[SKU]],'All Skus'!$A:$AC,11,FALSE)),""))</f>
        <v>18581.400000000001</v>
      </c>
      <c r="K570" s="224">
        <f>(IF((VLOOKUP(Table10[[#This Row],[SKU]],'All Skus'!$A:$AC,2,FALSE))="Martin",(VLOOKUP(Table10[[#This Row],[SKU]],'All Skus'!$A:$AC,15,FALSE)),""))</f>
        <v>0</v>
      </c>
      <c r="L570" s="224">
        <f>(IF((VLOOKUP(Table10[[#This Row],[SKU]],'All Skus'!$A:$AC,2,FALSE))="Martin",(VLOOKUP(Table10[[#This Row],[SKU]],'All Skus'!$A:$AC,16,FALSE)),""))</f>
        <v>688705005843</v>
      </c>
      <c r="M570" s="224">
        <f>(IF((VLOOKUP(Table10[[#This Row],[SKU]],'All Skus'!$A:$AC,2,FALSE))="Martin",(VLOOKUP(Table10[[#This Row],[SKU]],'All Skus'!$A:$AC,17,FALSE)),""))</f>
        <v>0</v>
      </c>
      <c r="N570" s="227">
        <f>(IF((VLOOKUP(Table10[[#This Row],[SKU]],'All Skus'!$A:$AC,2,FALSE))="Martin",(VLOOKUP(Table10[[#This Row],[SKU]],'All Skus'!$A:$AC,18,FALSE)),""))</f>
        <v>0</v>
      </c>
      <c r="O570" s="227">
        <f>(IF((VLOOKUP(Table10[[#This Row],[SKU]],'All Skus'!$A:$AC,2,FALSE))="Martin",(VLOOKUP(Table10[[#This Row],[SKU]],'All Skus'!$A:$AC,19,FALSE)),""))</f>
        <v>0</v>
      </c>
      <c r="P570" s="227">
        <f>(IF((VLOOKUP(Table10[[#This Row],[SKU]],'All Skus'!$A:$AC,2,FALSE))="Martin",(VLOOKUP(Table10[[#This Row],[SKU]],'All Skus'!$A:$AC,20,FALSE)),""))</f>
        <v>0</v>
      </c>
      <c r="Q570" s="227">
        <f>(IF((VLOOKUP(Table10[[#This Row],[SKU]],'All Skus'!$A:$AC,2,FALSE))="Martin",(VLOOKUP(Table10[[#This Row],[SKU]],'All Skus'!$A:$AC,21,FALSE)),""))</f>
        <v>0</v>
      </c>
      <c r="R570" s="224" t="str">
        <f>(IF((VLOOKUP(Table10[[#This Row],[SKU]],'All Skus'!$A:$AC,2,FALSE))="Martin",(VLOOKUP(Table10[[#This Row],[SKU]],'All Skus'!$A:$AC,22,FALSE)),""))</f>
        <v>ZZ</v>
      </c>
      <c r="S570" s="223">
        <f>(IF((VLOOKUP(Table10[[#This Row],[SKU]],'All Skus'!$A:$AC,2,FALSE))="Martin",(VLOOKUP(Table10[[#This Row],[SKU]],'All Skus'!$A:$AC,23,FALSE)),""))</f>
        <v>0</v>
      </c>
      <c r="T570" s="212" t="str">
        <f>HYPERLINK((IF((VLOOKUP(Table10[[#This Row],[SKU]],'All Skus'!$A:$AC,2,FALSE))="Martin",(VLOOKUP(Table10[[#This Row],[SKU]],'All Skus'!$A:$AC,24,FALSE)),"")))</f>
        <v>https://www.martin.com/en-US/products/mac-ultra-wash</v>
      </c>
      <c r="U570" s="228">
        <v>568</v>
      </c>
    </row>
    <row r="571" spans="1:21" hidden="1">
      <c r="A571" s="115" t="s">
        <v>2237</v>
      </c>
      <c r="B571" s="224">
        <f>(IF((VLOOKUP(Table10[[#This Row],[SKU]],'All Skus'!$A:$AC,2,FALSE))="Martin",(VLOOKUP(Table10[[#This Row],[SKU]],'All Skus'!$A:$AC,3,FALSE)),""))</f>
        <v>0</v>
      </c>
      <c r="C571" s="223">
        <f>(IF((VLOOKUP(Table10[[#This Row],[SKU]],'All Skus'!$A:$AC,2,FALSE))="Martin",(VLOOKUP(Table10[[#This Row],[SKU]],'All Skus'!$A:$AC,4,FALSE)),""))</f>
        <v>0</v>
      </c>
      <c r="D571" s="224">
        <f>(IF((VLOOKUP(Table10[[#This Row],[SKU]],'All Skus'!$A:$AC,2,FALSE))="Martin",(VLOOKUP(Table10[[#This Row],[SKU]],'All Skus'!$A:$AC,5,FALSE)),""))</f>
        <v>0</v>
      </c>
      <c r="E571" s="223">
        <f>(IF((VLOOKUP(Table10[[#This Row],[SKU]],'All Skus'!$A:$AC,2,FALSE))="Martin",(VLOOKUP(Table10[[#This Row],[SKU]],'All Skus'!$A:$AC,6,FALSE)),""))</f>
        <v>0</v>
      </c>
      <c r="F571" s="155">
        <f>(IF((VLOOKUP(Table10[[#This Row],[SKU]],'All Skus'!$A:$AC,2,FALSE))="Martin",(VLOOKUP(Table10[[#This Row],[SKU]],'All Skus'!$A:$AC,7,FALSE)),""))</f>
        <v>0</v>
      </c>
      <c r="G571" s="223">
        <f>(IF((VLOOKUP(Table10[[#This Row],[SKU]],'All Skus'!$A:$AC,2,FALSE))="Martin",(VLOOKUP(Table10[[#This Row],[SKU]],'All Skus'!$A:$AC,8,FALSE)),""))</f>
        <v>0</v>
      </c>
      <c r="H571" s="223">
        <f>(IF((VLOOKUP(Table10[[#This Row],[SKU]],'All Skus'!$A:$AC,2,FALSE))="Martin",(VLOOKUP(Table10[[#This Row],[SKU]],'All Skus'!$A:$AC,9,FALSE)),""))</f>
        <v>0</v>
      </c>
      <c r="I571" s="225">
        <f>(IF((VLOOKUP(Table10[[#This Row],[SKU]],'All Skus'!$A:$AC,2,FALSE))="Martin",(VLOOKUP(Table10[[#This Row],[SKU]],'All Skus'!$A:$AC,10,FALSE)),""))</f>
        <v>0</v>
      </c>
      <c r="J571" s="226">
        <f>(IF((VLOOKUP(Table10[[#This Row],[SKU]],'All Skus'!$A:$AC,2,FALSE))="Martin",(VLOOKUP(Table10[[#This Row],[SKU]],'All Skus'!$A:$AC,11,FALSE)),""))</f>
        <v>0</v>
      </c>
      <c r="K571" s="224">
        <f>(IF((VLOOKUP(Table10[[#This Row],[SKU]],'All Skus'!$A:$AC,2,FALSE))="Martin",(VLOOKUP(Table10[[#This Row],[SKU]],'All Skus'!$A:$AC,15,FALSE)),""))</f>
        <v>0</v>
      </c>
      <c r="L571" s="224">
        <f>(IF((VLOOKUP(Table10[[#This Row],[SKU]],'All Skus'!$A:$AC,2,FALSE))="Martin",(VLOOKUP(Table10[[#This Row],[SKU]],'All Skus'!$A:$AC,16,FALSE)),""))</f>
        <v>0</v>
      </c>
      <c r="M571" s="224">
        <f>(IF((VLOOKUP(Table10[[#This Row],[SKU]],'All Skus'!$A:$AC,2,FALSE))="Martin",(VLOOKUP(Table10[[#This Row],[SKU]],'All Skus'!$A:$AC,17,FALSE)),""))</f>
        <v>0</v>
      </c>
      <c r="N571" s="227">
        <f>(IF((VLOOKUP(Table10[[#This Row],[SKU]],'All Skus'!$A:$AC,2,FALSE))="Martin",(VLOOKUP(Table10[[#This Row],[SKU]],'All Skus'!$A:$AC,18,FALSE)),""))</f>
        <v>0</v>
      </c>
      <c r="O571" s="227">
        <f>(IF((VLOOKUP(Table10[[#This Row],[SKU]],'All Skus'!$A:$AC,2,FALSE))="Martin",(VLOOKUP(Table10[[#This Row],[SKU]],'All Skus'!$A:$AC,19,FALSE)),""))</f>
        <v>0</v>
      </c>
      <c r="P571" s="227">
        <f>(IF((VLOOKUP(Table10[[#This Row],[SKU]],'All Skus'!$A:$AC,2,FALSE))="Martin",(VLOOKUP(Table10[[#This Row],[SKU]],'All Skus'!$A:$AC,20,FALSE)),""))</f>
        <v>0</v>
      </c>
      <c r="Q571" s="227">
        <f>(IF((VLOOKUP(Table10[[#This Row],[SKU]],'All Skus'!$A:$AC,2,FALSE))="Martin",(VLOOKUP(Table10[[#This Row],[SKU]],'All Skus'!$A:$AC,21,FALSE)),""))</f>
        <v>0</v>
      </c>
      <c r="R571" s="224">
        <f>(IF((VLOOKUP(Table10[[#This Row],[SKU]],'All Skus'!$A:$AC,2,FALSE))="Martin",(VLOOKUP(Table10[[#This Row],[SKU]],'All Skus'!$A:$AC,22,FALSE)),""))</f>
        <v>0</v>
      </c>
      <c r="S571" s="223">
        <f>(IF((VLOOKUP(Table10[[#This Row],[SKU]],'All Skus'!$A:$AC,2,FALSE))="Martin",(VLOOKUP(Table10[[#This Row],[SKU]],'All Skus'!$A:$AC,23,FALSE)),""))</f>
        <v>0</v>
      </c>
      <c r="T571" s="212" t="str">
        <f>HYPERLINK((IF((VLOOKUP(Table10[[#This Row],[SKU]],'All Skus'!$A:$AC,2,FALSE))="Martin",(VLOOKUP(Table10[[#This Row],[SKU]],'All Skus'!$A:$AC,24,FALSE)),"")))</f>
        <v/>
      </c>
      <c r="U571" s="228">
        <v>569</v>
      </c>
    </row>
    <row r="572" spans="1:21" hidden="1">
      <c r="A572" s="112" t="s">
        <v>2238</v>
      </c>
      <c r="B572" s="224" t="str">
        <f>(IF((VLOOKUP(Table10[[#This Row],[SKU]],'All Skus'!$A:$AC,2,FALSE))="Martin",(VLOOKUP(Table10[[#This Row],[SKU]],'All Skus'!$A:$AC,3,FALSE)),""))</f>
        <v>MAC</v>
      </c>
      <c r="C572" s="223" t="str">
        <f>(IF((VLOOKUP(Table10[[#This Row],[SKU]],'All Skus'!$A:$AC,2,FALSE))="Martin",(VLOOKUP(Table10[[#This Row],[SKU]],'All Skus'!$A:$AC,4,FALSE)),""))</f>
        <v>Flightcase for 2 x MAC Ultra Performance/Wash without SIP inserts</v>
      </c>
      <c r="D572" s="224" t="str">
        <f>(IF((VLOOKUP(Table10[[#This Row],[SKU]],'All Skus'!$A:$AC,2,FALSE))="Martin",(VLOOKUP(Table10[[#This Row],[SKU]],'All Skus'!$A:$AC,5,FALSE)),""))</f>
        <v>MAR-MAC</v>
      </c>
      <c r="E572" s="223">
        <f>(IF((VLOOKUP(Table10[[#This Row],[SKU]],'All Skus'!$A:$AC,2,FALSE))="Martin",(VLOOKUP(Table10[[#This Row],[SKU]],'All Skus'!$A:$AC,6,FALSE)),""))</f>
        <v>0</v>
      </c>
      <c r="F572" s="155">
        <f>(IF((VLOOKUP(Table10[[#This Row],[SKU]],'All Skus'!$A:$AC,2,FALSE))="Martin",(VLOOKUP(Table10[[#This Row],[SKU]],'All Skus'!$A:$AC,7,FALSE)),""))</f>
        <v>0</v>
      </c>
      <c r="G572" s="223" t="str">
        <f>(IF((VLOOKUP(Table10[[#This Row],[SKU]],'All Skus'!$A:$AC,2,FALSE))="Martin",(VLOOKUP(Table10[[#This Row],[SKU]],'All Skus'!$A:$AC,8,FALSE)),""))</f>
        <v>Flightcase for 2 x MAC Ultra Performance/Wash without SIP inserts</v>
      </c>
      <c r="H572" s="223" t="str">
        <f>(IF((VLOOKUP(Table10[[#This Row],[SKU]],'All Skus'!$A:$AC,2,FALSE))="Martin",(VLOOKUP(Table10[[#This Row],[SKU]],'All Skus'!$A:$AC,9,FALSE)),""))</f>
        <v>Flightcase for 2 x MAC Ultra Performance/Wash without SIP inserts</v>
      </c>
      <c r="I572" s="225">
        <f>(IF((VLOOKUP(Table10[[#This Row],[SKU]],'All Skus'!$A:$AC,2,FALSE))="Martin",(VLOOKUP(Table10[[#This Row],[SKU]],'All Skus'!$A:$AC,10,FALSE)),""))</f>
        <v>2397.6</v>
      </c>
      <c r="J572" s="226">
        <f>(IF((VLOOKUP(Table10[[#This Row],[SKU]],'All Skus'!$A:$AC,2,FALSE))="Martin",(VLOOKUP(Table10[[#This Row],[SKU]],'All Skus'!$A:$AC,11,FALSE)),""))</f>
        <v>2397.6</v>
      </c>
      <c r="K572" s="224">
        <f>(IF((VLOOKUP(Table10[[#This Row],[SKU]],'All Skus'!$A:$AC,2,FALSE))="Martin",(VLOOKUP(Table10[[#This Row],[SKU]],'All Skus'!$A:$AC,15,FALSE)),""))</f>
        <v>0</v>
      </c>
      <c r="L572" s="224">
        <f>(IF((VLOOKUP(Table10[[#This Row],[SKU]],'All Skus'!$A:$AC,2,FALSE))="Martin",(VLOOKUP(Table10[[#This Row],[SKU]],'All Skus'!$A:$AC,16,FALSE)),""))</f>
        <v>688705007526</v>
      </c>
      <c r="M572" s="224">
        <f>(IF((VLOOKUP(Table10[[#This Row],[SKU]],'All Skus'!$A:$AC,2,FALSE))="Martin",(VLOOKUP(Table10[[#This Row],[SKU]],'All Skus'!$A:$AC,17,FALSE)),""))</f>
        <v>0</v>
      </c>
      <c r="N572" s="227">
        <f>(IF((VLOOKUP(Table10[[#This Row],[SKU]],'All Skus'!$A:$AC,2,FALSE))="Martin",(VLOOKUP(Table10[[#This Row],[SKU]],'All Skus'!$A:$AC,18,FALSE)),""))</f>
        <v>0</v>
      </c>
      <c r="O572" s="227">
        <f>(IF((VLOOKUP(Table10[[#This Row],[SKU]],'All Skus'!$A:$AC,2,FALSE))="Martin",(VLOOKUP(Table10[[#This Row],[SKU]],'All Skus'!$A:$AC,19,FALSE)),""))</f>
        <v>0</v>
      </c>
      <c r="P572" s="227">
        <f>(IF((VLOOKUP(Table10[[#This Row],[SKU]],'All Skus'!$A:$AC,2,FALSE))="Martin",(VLOOKUP(Table10[[#This Row],[SKU]],'All Skus'!$A:$AC,20,FALSE)),""))</f>
        <v>0</v>
      </c>
      <c r="Q572" s="227">
        <f>(IF((VLOOKUP(Table10[[#This Row],[SKU]],'All Skus'!$A:$AC,2,FALSE))="Martin",(VLOOKUP(Table10[[#This Row],[SKU]],'All Skus'!$A:$AC,21,FALSE)),""))</f>
        <v>0</v>
      </c>
      <c r="R572" s="224" t="str">
        <f>(IF((VLOOKUP(Table10[[#This Row],[SKU]],'All Skus'!$A:$AC,2,FALSE))="Martin",(VLOOKUP(Table10[[#This Row],[SKU]],'All Skus'!$A:$AC,22,FALSE)),""))</f>
        <v>DE</v>
      </c>
      <c r="S572" s="223">
        <f>(IF((VLOOKUP(Table10[[#This Row],[SKU]],'All Skus'!$A:$AC,2,FALSE))="Martin",(VLOOKUP(Table10[[#This Row],[SKU]],'All Skus'!$A:$AC,23,FALSE)),""))</f>
        <v>0</v>
      </c>
      <c r="T572" s="212" t="str">
        <f>HYPERLINK((IF((VLOOKUP(Table10[[#This Row],[SKU]],'All Skus'!$A:$AC,2,FALSE))="Martin",(VLOOKUP(Table10[[#This Row],[SKU]],'All Skus'!$A:$AC,24,FALSE)),"")))</f>
        <v>https://www.martin.com/en-US/site_elements/mac-ultra-family-flightcase-spec-sheet</v>
      </c>
      <c r="U572" s="228">
        <v>570</v>
      </c>
    </row>
    <row r="573" spans="1:21" hidden="1">
      <c r="A573" s="112" t="s">
        <v>2239</v>
      </c>
      <c r="B573" s="224" t="str">
        <f>(IF((VLOOKUP(Table10[[#This Row],[SKU]],'All Skus'!$A:$AC,2,FALSE))="Martin",(VLOOKUP(Table10[[#This Row],[SKU]],'All Skus'!$A:$AC,3,FALSE)),""))</f>
        <v>MAC</v>
      </c>
      <c r="C573" s="223" t="str">
        <f>(IF((VLOOKUP(Table10[[#This Row],[SKU]],'All Skus'!$A:$AC,2,FALSE))="Martin",(VLOOKUP(Table10[[#This Row],[SKU]],'All Skus'!$A:$AC,4,FALSE)),""))</f>
        <v>Heavy-frost/wash filter (prism replacement)</v>
      </c>
      <c r="D573" s="224" t="str">
        <f>(IF((VLOOKUP(Table10[[#This Row],[SKU]],'All Skus'!$A:$AC,2,FALSE))="Martin",(VLOOKUP(Table10[[#This Row],[SKU]],'All Skus'!$A:$AC,5,FALSE)),""))</f>
        <v>MAR-MAC</v>
      </c>
      <c r="E573" s="223">
        <f>(IF((VLOOKUP(Table10[[#This Row],[SKU]],'All Skus'!$A:$AC,2,FALSE))="Martin",(VLOOKUP(Table10[[#This Row],[SKU]],'All Skus'!$A:$AC,6,FALSE)),""))</f>
        <v>0</v>
      </c>
      <c r="F573" s="155">
        <f>(IF((VLOOKUP(Table10[[#This Row],[SKU]],'All Skus'!$A:$AC,2,FALSE))="Martin",(VLOOKUP(Table10[[#This Row],[SKU]],'All Skus'!$A:$AC,7,FALSE)),""))</f>
        <v>0</v>
      </c>
      <c r="G573" s="223" t="str">
        <f>(IF((VLOOKUP(Table10[[#This Row],[SKU]],'All Skus'!$A:$AC,2,FALSE))="Martin",(VLOOKUP(Table10[[#This Row],[SKU]],'All Skus'!$A:$AC,8,FALSE)),""))</f>
        <v>Heavy-frost/wash filter (prism replacement)</v>
      </c>
      <c r="H573" s="223" t="str">
        <f>(IF((VLOOKUP(Table10[[#This Row],[SKU]],'All Skus'!$A:$AC,2,FALSE))="Martin",(VLOOKUP(Table10[[#This Row],[SKU]],'All Skus'!$A:$AC,9,FALSE)),""))</f>
        <v>Heavy-frost/wash filter (prism replacement)</v>
      </c>
      <c r="I573" s="225">
        <f>(IF((VLOOKUP(Table10[[#This Row],[SKU]],'All Skus'!$A:$AC,2,FALSE))="Martin",(VLOOKUP(Table10[[#This Row],[SKU]],'All Skus'!$A:$AC,10,FALSE)),""))</f>
        <v>111.13</v>
      </c>
      <c r="J573" s="226">
        <f>(IF((VLOOKUP(Table10[[#This Row],[SKU]],'All Skus'!$A:$AC,2,FALSE))="Martin",(VLOOKUP(Table10[[#This Row],[SKU]],'All Skus'!$A:$AC,11,FALSE)),""))</f>
        <v>111.13</v>
      </c>
      <c r="K573" s="224">
        <f>(IF((VLOOKUP(Table10[[#This Row],[SKU]],'All Skus'!$A:$AC,2,FALSE))="Martin",(VLOOKUP(Table10[[#This Row],[SKU]],'All Skus'!$A:$AC,15,FALSE)),""))</f>
        <v>0</v>
      </c>
      <c r="L573" s="224">
        <f>(IF((VLOOKUP(Table10[[#This Row],[SKU]],'All Skus'!$A:$AC,2,FALSE))="Martin",(VLOOKUP(Table10[[#This Row],[SKU]],'All Skus'!$A:$AC,16,FALSE)),""))</f>
        <v>688705007694</v>
      </c>
      <c r="M573" s="224">
        <f>(IF((VLOOKUP(Table10[[#This Row],[SKU]],'All Skus'!$A:$AC,2,FALSE))="Martin",(VLOOKUP(Table10[[#This Row],[SKU]],'All Skus'!$A:$AC,17,FALSE)),""))</f>
        <v>0</v>
      </c>
      <c r="N573" s="227">
        <f>(IF((VLOOKUP(Table10[[#This Row],[SKU]],'All Skus'!$A:$AC,2,FALSE))="Martin",(VLOOKUP(Table10[[#This Row],[SKU]],'All Skus'!$A:$AC,18,FALSE)),""))</f>
        <v>0</v>
      </c>
      <c r="O573" s="227">
        <f>(IF((VLOOKUP(Table10[[#This Row],[SKU]],'All Skus'!$A:$AC,2,FALSE))="Martin",(VLOOKUP(Table10[[#This Row],[SKU]],'All Skus'!$A:$AC,19,FALSE)),""))</f>
        <v>0</v>
      </c>
      <c r="P573" s="227">
        <f>(IF((VLOOKUP(Table10[[#This Row],[SKU]],'All Skus'!$A:$AC,2,FALSE))="Martin",(VLOOKUP(Table10[[#This Row],[SKU]],'All Skus'!$A:$AC,20,FALSE)),""))</f>
        <v>0</v>
      </c>
      <c r="Q573" s="227">
        <f>(IF((VLOOKUP(Table10[[#This Row],[SKU]],'All Skus'!$A:$AC,2,FALSE))="Martin",(VLOOKUP(Table10[[#This Row],[SKU]],'All Skus'!$A:$AC,21,FALSE)),""))</f>
        <v>0</v>
      </c>
      <c r="R573" s="224" t="str">
        <f>(IF((VLOOKUP(Table10[[#This Row],[SKU]],'All Skus'!$A:$AC,2,FALSE))="Martin",(VLOOKUP(Table10[[#This Row],[SKU]],'All Skus'!$A:$AC,22,FALSE)),""))</f>
        <v>HU</v>
      </c>
      <c r="S573" s="223">
        <f>(IF((VLOOKUP(Table10[[#This Row],[SKU]],'All Skus'!$A:$AC,2,FALSE))="Martin",(VLOOKUP(Table10[[#This Row],[SKU]],'All Skus'!$A:$AC,23,FALSE)),""))</f>
        <v>0</v>
      </c>
      <c r="T573" s="212" t="str">
        <f>HYPERLINK((IF((VLOOKUP(Table10[[#This Row],[SKU]],'All Skus'!$A:$AC,2,FALSE))="Martin",(VLOOKUP(Table10[[#This Row],[SKU]],'All Skus'!$A:$AC,24,FALSE)),"")))</f>
        <v/>
      </c>
      <c r="U573" s="228">
        <v>571</v>
      </c>
    </row>
    <row r="574" spans="1:21" hidden="1">
      <c r="A574" s="112" t="s">
        <v>2240</v>
      </c>
      <c r="B574" s="224" t="str">
        <f>(IF((VLOOKUP(Table10[[#This Row],[SKU]],'All Skus'!$A:$AC,2,FALSE))="Martin",(VLOOKUP(Table10[[#This Row],[SKU]],'All Skus'!$A:$AC,3,FALSE)),""))</f>
        <v>MAC</v>
      </c>
      <c r="C574" s="223" t="str">
        <f>(IF((VLOOKUP(Table10[[#This Row],[SKU]],'All Skus'!$A:$AC,2,FALSE))="Martin",(VLOOKUP(Table10[[#This Row],[SKU]],'All Skus'!$A:$AC,4,FALSE)),""))</f>
        <v>Heavy-frost/wash filter (frost replacement)</v>
      </c>
      <c r="D574" s="224" t="str">
        <f>(IF((VLOOKUP(Table10[[#This Row],[SKU]],'All Skus'!$A:$AC,2,FALSE))="Martin",(VLOOKUP(Table10[[#This Row],[SKU]],'All Skus'!$A:$AC,5,FALSE)),""))</f>
        <v>MAR-MAC</v>
      </c>
      <c r="E574" s="223">
        <f>(IF((VLOOKUP(Table10[[#This Row],[SKU]],'All Skus'!$A:$AC,2,FALSE))="Martin",(VLOOKUP(Table10[[#This Row],[SKU]],'All Skus'!$A:$AC,6,FALSE)),""))</f>
        <v>0</v>
      </c>
      <c r="F574" s="155">
        <f>(IF((VLOOKUP(Table10[[#This Row],[SKU]],'All Skus'!$A:$AC,2,FALSE))="Martin",(VLOOKUP(Table10[[#This Row],[SKU]],'All Skus'!$A:$AC,7,FALSE)),""))</f>
        <v>0</v>
      </c>
      <c r="G574" s="223" t="str">
        <f>(IF((VLOOKUP(Table10[[#This Row],[SKU]],'All Skus'!$A:$AC,2,FALSE))="Martin",(VLOOKUP(Table10[[#This Row],[SKU]],'All Skus'!$A:$AC,8,FALSE)),""))</f>
        <v>Heavy-frost/wash filter (frost replacement)</v>
      </c>
      <c r="H574" s="223" t="str">
        <f>(IF((VLOOKUP(Table10[[#This Row],[SKU]],'All Skus'!$A:$AC,2,FALSE))="Martin",(VLOOKUP(Table10[[#This Row],[SKU]],'All Skus'!$A:$AC,9,FALSE)),""))</f>
        <v>Heavy-frost/wash filter (frost replacement)</v>
      </c>
      <c r="I574" s="225">
        <f>(IF((VLOOKUP(Table10[[#This Row],[SKU]],'All Skus'!$A:$AC,2,FALSE))="Martin",(VLOOKUP(Table10[[#This Row],[SKU]],'All Skus'!$A:$AC,10,FALSE)),""))</f>
        <v>80.34</v>
      </c>
      <c r="J574" s="226">
        <f>(IF((VLOOKUP(Table10[[#This Row],[SKU]],'All Skus'!$A:$AC,2,FALSE))="Martin",(VLOOKUP(Table10[[#This Row],[SKU]],'All Skus'!$A:$AC,11,FALSE)),""))</f>
        <v>80.34</v>
      </c>
      <c r="K574" s="224">
        <f>(IF((VLOOKUP(Table10[[#This Row],[SKU]],'All Skus'!$A:$AC,2,FALSE))="Martin",(VLOOKUP(Table10[[#This Row],[SKU]],'All Skus'!$A:$AC,15,FALSE)),""))</f>
        <v>0</v>
      </c>
      <c r="L574" s="224">
        <f>(IF((VLOOKUP(Table10[[#This Row],[SKU]],'All Skus'!$A:$AC,2,FALSE))="Martin",(VLOOKUP(Table10[[#This Row],[SKU]],'All Skus'!$A:$AC,16,FALSE)),""))</f>
        <v>688705008349</v>
      </c>
      <c r="M574" s="224">
        <f>(IF((VLOOKUP(Table10[[#This Row],[SKU]],'All Skus'!$A:$AC,2,FALSE))="Martin",(VLOOKUP(Table10[[#This Row],[SKU]],'All Skus'!$A:$AC,17,FALSE)),""))</f>
        <v>0</v>
      </c>
      <c r="N574" s="227">
        <f>(IF((VLOOKUP(Table10[[#This Row],[SKU]],'All Skus'!$A:$AC,2,FALSE))="Martin",(VLOOKUP(Table10[[#This Row],[SKU]],'All Skus'!$A:$AC,18,FALSE)),""))</f>
        <v>0</v>
      </c>
      <c r="O574" s="227">
        <f>(IF((VLOOKUP(Table10[[#This Row],[SKU]],'All Skus'!$A:$AC,2,FALSE))="Martin",(VLOOKUP(Table10[[#This Row],[SKU]],'All Skus'!$A:$AC,19,FALSE)),""))</f>
        <v>0</v>
      </c>
      <c r="P574" s="227">
        <f>(IF((VLOOKUP(Table10[[#This Row],[SKU]],'All Skus'!$A:$AC,2,FALSE))="Martin",(VLOOKUP(Table10[[#This Row],[SKU]],'All Skus'!$A:$AC,20,FALSE)),""))</f>
        <v>0</v>
      </c>
      <c r="Q574" s="227">
        <f>(IF((VLOOKUP(Table10[[#This Row],[SKU]],'All Skus'!$A:$AC,2,FALSE))="Martin",(VLOOKUP(Table10[[#This Row],[SKU]],'All Skus'!$A:$AC,21,FALSE)),""))</f>
        <v>0</v>
      </c>
      <c r="R574" s="224">
        <f>(IF((VLOOKUP(Table10[[#This Row],[SKU]],'All Skus'!$A:$AC,2,FALSE))="Martin",(VLOOKUP(Table10[[#This Row],[SKU]],'All Skus'!$A:$AC,22,FALSE)),""))</f>
        <v>0</v>
      </c>
      <c r="S574" s="223">
        <f>(IF((VLOOKUP(Table10[[#This Row],[SKU]],'All Skus'!$A:$AC,2,FALSE))="Martin",(VLOOKUP(Table10[[#This Row],[SKU]],'All Skus'!$A:$AC,23,FALSE)),""))</f>
        <v>0</v>
      </c>
      <c r="T574" s="212" t="str">
        <f>HYPERLINK((IF((VLOOKUP(Table10[[#This Row],[SKU]],'All Skus'!$A:$AC,2,FALSE))="Martin",(VLOOKUP(Table10[[#This Row],[SKU]],'All Skus'!$A:$AC,24,FALSE)),"")))</f>
        <v/>
      </c>
      <c r="U574" s="228">
        <v>572</v>
      </c>
    </row>
    <row r="575" spans="1:21" hidden="1">
      <c r="A575" s="111" t="s">
        <v>2241</v>
      </c>
      <c r="B575" s="224">
        <f>(IF((VLOOKUP(Table10[[#This Row],[SKU]],'All Skus'!$A:$AC,2,FALSE))="Martin",(VLOOKUP(Table10[[#This Row],[SKU]],'All Skus'!$A:$AC,3,FALSE)),""))</f>
        <v>0</v>
      </c>
      <c r="C575" s="223">
        <f>(IF((VLOOKUP(Table10[[#This Row],[SKU]],'All Skus'!$A:$AC,2,FALSE))="Martin",(VLOOKUP(Table10[[#This Row],[SKU]],'All Skus'!$A:$AC,4,FALSE)),""))</f>
        <v>0</v>
      </c>
      <c r="D575" s="224">
        <f>(IF((VLOOKUP(Table10[[#This Row],[SKU]],'All Skus'!$A:$AC,2,FALSE))="Martin",(VLOOKUP(Table10[[#This Row],[SKU]],'All Skus'!$A:$AC,5,FALSE)),""))</f>
        <v>0</v>
      </c>
      <c r="E575" s="223">
        <f>(IF((VLOOKUP(Table10[[#This Row],[SKU]],'All Skus'!$A:$AC,2,FALSE))="Martin",(VLOOKUP(Table10[[#This Row],[SKU]],'All Skus'!$A:$AC,6,FALSE)),""))</f>
        <v>0</v>
      </c>
      <c r="F575" s="155">
        <f>(IF((VLOOKUP(Table10[[#This Row],[SKU]],'All Skus'!$A:$AC,2,FALSE))="Martin",(VLOOKUP(Table10[[#This Row],[SKU]],'All Skus'!$A:$AC,7,FALSE)),""))</f>
        <v>0</v>
      </c>
      <c r="G575" s="223">
        <f>(IF((VLOOKUP(Table10[[#This Row],[SKU]],'All Skus'!$A:$AC,2,FALSE))="Martin",(VLOOKUP(Table10[[#This Row],[SKU]],'All Skus'!$A:$AC,8,FALSE)),""))</f>
        <v>0</v>
      </c>
      <c r="H575" s="223">
        <f>(IF((VLOOKUP(Table10[[#This Row],[SKU]],'All Skus'!$A:$AC,2,FALSE))="Martin",(VLOOKUP(Table10[[#This Row],[SKU]],'All Skus'!$A:$AC,9,FALSE)),""))</f>
        <v>0</v>
      </c>
      <c r="I575" s="225">
        <f>(IF((VLOOKUP(Table10[[#This Row],[SKU]],'All Skus'!$A:$AC,2,FALSE))="Martin",(VLOOKUP(Table10[[#This Row],[SKU]],'All Skus'!$A:$AC,10,FALSE)),""))</f>
        <v>0</v>
      </c>
      <c r="J575" s="226">
        <f>(IF((VLOOKUP(Table10[[#This Row],[SKU]],'All Skus'!$A:$AC,2,FALSE))="Martin",(VLOOKUP(Table10[[#This Row],[SKU]],'All Skus'!$A:$AC,11,FALSE)),""))</f>
        <v>0</v>
      </c>
      <c r="K575" s="224">
        <f>(IF((VLOOKUP(Table10[[#This Row],[SKU]],'All Skus'!$A:$AC,2,FALSE))="Martin",(VLOOKUP(Table10[[#This Row],[SKU]],'All Skus'!$A:$AC,15,FALSE)),""))</f>
        <v>0</v>
      </c>
      <c r="L575" s="224">
        <f>(IF((VLOOKUP(Table10[[#This Row],[SKU]],'All Skus'!$A:$AC,2,FALSE))="Martin",(VLOOKUP(Table10[[#This Row],[SKU]],'All Skus'!$A:$AC,16,FALSE)),""))</f>
        <v>0</v>
      </c>
      <c r="M575" s="224">
        <f>(IF((VLOOKUP(Table10[[#This Row],[SKU]],'All Skus'!$A:$AC,2,FALSE))="Martin",(VLOOKUP(Table10[[#This Row],[SKU]],'All Skus'!$A:$AC,17,FALSE)),""))</f>
        <v>0</v>
      </c>
      <c r="N575" s="227">
        <f>(IF((VLOOKUP(Table10[[#This Row],[SKU]],'All Skus'!$A:$AC,2,FALSE))="Martin",(VLOOKUP(Table10[[#This Row],[SKU]],'All Skus'!$A:$AC,18,FALSE)),""))</f>
        <v>0</v>
      </c>
      <c r="O575" s="227">
        <f>(IF((VLOOKUP(Table10[[#This Row],[SKU]],'All Skus'!$A:$AC,2,FALSE))="Martin",(VLOOKUP(Table10[[#This Row],[SKU]],'All Skus'!$A:$AC,19,FALSE)),""))</f>
        <v>0</v>
      </c>
      <c r="P575" s="227">
        <f>(IF((VLOOKUP(Table10[[#This Row],[SKU]],'All Skus'!$A:$AC,2,FALSE))="Martin",(VLOOKUP(Table10[[#This Row],[SKU]],'All Skus'!$A:$AC,20,FALSE)),""))</f>
        <v>0</v>
      </c>
      <c r="Q575" s="227">
        <f>(IF((VLOOKUP(Table10[[#This Row],[SKU]],'All Skus'!$A:$AC,2,FALSE))="Martin",(VLOOKUP(Table10[[#This Row],[SKU]],'All Skus'!$A:$AC,21,FALSE)),""))</f>
        <v>0</v>
      </c>
      <c r="R575" s="224">
        <f>(IF((VLOOKUP(Table10[[#This Row],[SKU]],'All Skus'!$A:$AC,2,FALSE))="Martin",(VLOOKUP(Table10[[#This Row],[SKU]],'All Skus'!$A:$AC,22,FALSE)),""))</f>
        <v>0</v>
      </c>
      <c r="S575" s="223">
        <f>(IF((VLOOKUP(Table10[[#This Row],[SKU]],'All Skus'!$A:$AC,2,FALSE))="Martin",(VLOOKUP(Table10[[#This Row],[SKU]],'All Skus'!$A:$AC,23,FALSE)),""))</f>
        <v>0</v>
      </c>
      <c r="T575" s="212" t="str">
        <f>HYPERLINK((IF((VLOOKUP(Table10[[#This Row],[SKU]],'All Skus'!$A:$AC,2,FALSE))="Martin",(VLOOKUP(Table10[[#This Row],[SKU]],'All Skus'!$A:$AC,24,FALSE)),"")))</f>
        <v/>
      </c>
      <c r="U575" s="228">
        <v>573</v>
      </c>
    </row>
    <row r="576" spans="1:21" hidden="1">
      <c r="A576" s="115" t="s">
        <v>2242</v>
      </c>
      <c r="B576" s="224">
        <f>(IF((VLOOKUP(Table10[[#This Row],[SKU]],'All Skus'!$A:$AC,2,FALSE))="Martin",(VLOOKUP(Table10[[#This Row],[SKU]],'All Skus'!$A:$AC,3,FALSE)),""))</f>
        <v>0</v>
      </c>
      <c r="C576" s="223">
        <f>(IF((VLOOKUP(Table10[[#This Row],[SKU]],'All Skus'!$A:$AC,2,FALSE))="Martin",(VLOOKUP(Table10[[#This Row],[SKU]],'All Skus'!$A:$AC,4,FALSE)),""))</f>
        <v>0</v>
      </c>
      <c r="D576" s="224">
        <f>(IF((VLOOKUP(Table10[[#This Row],[SKU]],'All Skus'!$A:$AC,2,FALSE))="Martin",(VLOOKUP(Table10[[#This Row],[SKU]],'All Skus'!$A:$AC,5,FALSE)),""))</f>
        <v>0</v>
      </c>
      <c r="E576" s="223">
        <f>(IF((VLOOKUP(Table10[[#This Row],[SKU]],'All Skus'!$A:$AC,2,FALSE))="Martin",(VLOOKUP(Table10[[#This Row],[SKU]],'All Skus'!$A:$AC,6,FALSE)),""))</f>
        <v>0</v>
      </c>
      <c r="F576" s="155">
        <f>(IF((VLOOKUP(Table10[[#This Row],[SKU]],'All Skus'!$A:$AC,2,FALSE))="Martin",(VLOOKUP(Table10[[#This Row],[SKU]],'All Skus'!$A:$AC,7,FALSE)),""))</f>
        <v>0</v>
      </c>
      <c r="G576" s="223">
        <f>(IF((VLOOKUP(Table10[[#This Row],[SKU]],'All Skus'!$A:$AC,2,FALSE))="Martin",(VLOOKUP(Table10[[#This Row],[SKU]],'All Skus'!$A:$AC,8,FALSE)),""))</f>
        <v>0</v>
      </c>
      <c r="H576" s="223">
        <f>(IF((VLOOKUP(Table10[[#This Row],[SKU]],'All Skus'!$A:$AC,2,FALSE))="Martin",(VLOOKUP(Table10[[#This Row],[SKU]],'All Skus'!$A:$AC,9,FALSE)),""))</f>
        <v>0</v>
      </c>
      <c r="I576" s="225">
        <f>(IF((VLOOKUP(Table10[[#This Row],[SKU]],'All Skus'!$A:$AC,2,FALSE))="Martin",(VLOOKUP(Table10[[#This Row],[SKU]],'All Skus'!$A:$AC,10,FALSE)),""))</f>
        <v>0</v>
      </c>
      <c r="J576" s="226">
        <f>(IF((VLOOKUP(Table10[[#This Row],[SKU]],'All Skus'!$A:$AC,2,FALSE))="Martin",(VLOOKUP(Table10[[#This Row],[SKU]],'All Skus'!$A:$AC,11,FALSE)),""))</f>
        <v>0</v>
      </c>
      <c r="K576" s="224">
        <f>(IF((VLOOKUP(Table10[[#This Row],[SKU]],'All Skus'!$A:$AC,2,FALSE))="Martin",(VLOOKUP(Table10[[#This Row],[SKU]],'All Skus'!$A:$AC,15,FALSE)),""))</f>
        <v>0</v>
      </c>
      <c r="L576" s="224">
        <f>(IF((VLOOKUP(Table10[[#This Row],[SKU]],'All Skus'!$A:$AC,2,FALSE))="Martin",(VLOOKUP(Table10[[#This Row],[SKU]],'All Skus'!$A:$AC,16,FALSE)),""))</f>
        <v>0</v>
      </c>
      <c r="M576" s="224">
        <f>(IF((VLOOKUP(Table10[[#This Row],[SKU]],'All Skus'!$A:$AC,2,FALSE))="Martin",(VLOOKUP(Table10[[#This Row],[SKU]],'All Skus'!$A:$AC,17,FALSE)),""))</f>
        <v>0</v>
      </c>
      <c r="N576" s="227">
        <f>(IF((VLOOKUP(Table10[[#This Row],[SKU]],'All Skus'!$A:$AC,2,FALSE))="Martin",(VLOOKUP(Table10[[#This Row],[SKU]],'All Skus'!$A:$AC,18,FALSE)),""))</f>
        <v>0</v>
      </c>
      <c r="O576" s="227">
        <f>(IF((VLOOKUP(Table10[[#This Row],[SKU]],'All Skus'!$A:$AC,2,FALSE))="Martin",(VLOOKUP(Table10[[#This Row],[SKU]],'All Skus'!$A:$AC,19,FALSE)),""))</f>
        <v>0</v>
      </c>
      <c r="P576" s="227">
        <f>(IF((VLOOKUP(Table10[[#This Row],[SKU]],'All Skus'!$A:$AC,2,FALSE))="Martin",(VLOOKUP(Table10[[#This Row],[SKU]],'All Skus'!$A:$AC,20,FALSE)),""))</f>
        <v>0</v>
      </c>
      <c r="Q576" s="227">
        <f>(IF((VLOOKUP(Table10[[#This Row],[SKU]],'All Skus'!$A:$AC,2,FALSE))="Martin",(VLOOKUP(Table10[[#This Row],[SKU]],'All Skus'!$A:$AC,21,FALSE)),""))</f>
        <v>0</v>
      </c>
      <c r="R576" s="224">
        <f>(IF((VLOOKUP(Table10[[#This Row],[SKU]],'All Skus'!$A:$AC,2,FALSE))="Martin",(VLOOKUP(Table10[[#This Row],[SKU]],'All Skus'!$A:$AC,22,FALSE)),""))</f>
        <v>0</v>
      </c>
      <c r="S576" s="223">
        <f>(IF((VLOOKUP(Table10[[#This Row],[SKU]],'All Skus'!$A:$AC,2,FALSE))="Martin",(VLOOKUP(Table10[[#This Row],[SKU]],'All Skus'!$A:$AC,23,FALSE)),""))</f>
        <v>0</v>
      </c>
      <c r="T576" s="212" t="str">
        <f>HYPERLINK((IF((VLOOKUP(Table10[[#This Row],[SKU]],'All Skus'!$A:$AC,2,FALSE))="Martin",(VLOOKUP(Table10[[#This Row],[SKU]],'All Skus'!$A:$AC,24,FALSE)),"")))</f>
        <v/>
      </c>
      <c r="U576" s="228">
        <v>574</v>
      </c>
    </row>
    <row r="577" spans="1:21" hidden="1">
      <c r="A577" s="112" t="s">
        <v>2243</v>
      </c>
      <c r="B577" s="224" t="str">
        <f>(IF((VLOOKUP(Table10[[#This Row],[SKU]],'All Skus'!$A:$AC,2,FALSE))="Martin",(VLOOKUP(Table10[[#This Row],[SKU]],'All Skus'!$A:$AC,3,FALSE)),""))</f>
        <v>Mac Viper Profile</v>
      </c>
      <c r="C577" s="223" t="str">
        <f>(IF((VLOOKUP(Table10[[#This Row],[SKU]],'All Skus'!$A:$AC,2,FALSE))="Martin",(VLOOKUP(Table10[[#This Row],[SKU]],'All Skus'!$A:$AC,4,FALSE)),""))</f>
        <v xml:space="preserve">MAC Viper Profile in cardboard </v>
      </c>
      <c r="D577" s="224" t="str">
        <f>(IF((VLOOKUP(Table10[[#This Row],[SKU]],'All Skus'!$A:$AC,2,FALSE))="Martin",(VLOOKUP(Table10[[#This Row],[SKU]],'All Skus'!$A:$AC,5,FALSE)),""))</f>
        <v>MSL-VIPER</v>
      </c>
      <c r="E577" s="223">
        <f>(IF((VLOOKUP(Table10[[#This Row],[SKU]],'All Skus'!$A:$AC,2,FALSE))="Martin",(VLOOKUP(Table10[[#This Row],[SKU]],'All Skus'!$A:$AC,6,FALSE)),""))</f>
        <v>0</v>
      </c>
      <c r="F577" s="155" t="str">
        <f>(IF((VLOOKUP(Table10[[#This Row],[SKU]],'All Skus'!$A:$AC,2,FALSE))="Martin",(VLOOKUP(Table10[[#This Row],[SKU]],'All Skus'!$A:$AC,7,FALSE)),""))</f>
        <v>Final batch being manufactured - Check for availability</v>
      </c>
      <c r="G577" s="223" t="str">
        <f>(IF((VLOOKUP(Table10[[#This Row],[SKU]],'All Skus'!$A:$AC,2,FALSE))="Martin",(VLOOKUP(Table10[[#This Row],[SKU]],'All Skus'!$A:$AC,8,FALSE)),""))</f>
        <v xml:space="preserve">MAC Viper Profile in 2-unit flightcase </v>
      </c>
      <c r="H577" s="223" t="str">
        <f>(IF((VLOOKUP(Table10[[#This Row],[SKU]],'All Skus'!$A:$AC,2,FALSE))="Martin",(VLOOKUP(Table10[[#This Row],[SKU]],'All Skus'!$A:$AC,9,FALSE)),""))</f>
        <v xml:space="preserve">MAC Viper Profile in 2-unit flightcase </v>
      </c>
      <c r="I577" s="225">
        <f>(IF((VLOOKUP(Table10[[#This Row],[SKU]],'All Skus'!$A:$AC,2,FALSE))="Martin",(VLOOKUP(Table10[[#This Row],[SKU]],'All Skus'!$A:$AC,10,FALSE)),""))</f>
        <v>12348</v>
      </c>
      <c r="J577" s="226">
        <f>(IF((VLOOKUP(Table10[[#This Row],[SKU]],'All Skus'!$A:$AC,2,FALSE))="Martin",(VLOOKUP(Table10[[#This Row],[SKU]],'All Skus'!$A:$AC,11,FALSE)),""))</f>
        <v>12348</v>
      </c>
      <c r="K577" s="224">
        <f>(IF((VLOOKUP(Table10[[#This Row],[SKU]],'All Skus'!$A:$AC,2,FALSE))="Martin",(VLOOKUP(Table10[[#This Row],[SKU]],'All Skus'!$A:$AC,15,FALSE)),""))</f>
        <v>0</v>
      </c>
      <c r="L577" s="224">
        <f>(IF((VLOOKUP(Table10[[#This Row],[SKU]],'All Skus'!$A:$AC,2,FALSE))="Martin",(VLOOKUP(Table10[[#This Row],[SKU]],'All Skus'!$A:$AC,16,FALSE)),""))</f>
        <v>688705007342</v>
      </c>
      <c r="M577" s="224">
        <f>(IF((VLOOKUP(Table10[[#This Row],[SKU]],'All Skus'!$A:$AC,2,FALSE))="Martin",(VLOOKUP(Table10[[#This Row],[SKU]],'All Skus'!$A:$AC,17,FALSE)),""))</f>
        <v>0</v>
      </c>
      <c r="N577" s="227">
        <f>(IF((VLOOKUP(Table10[[#This Row],[SKU]],'All Skus'!$A:$AC,2,FALSE))="Martin",(VLOOKUP(Table10[[#This Row],[SKU]],'All Skus'!$A:$AC,18,FALSE)),""))</f>
        <v>0</v>
      </c>
      <c r="O577" s="227">
        <f>(IF((VLOOKUP(Table10[[#This Row],[SKU]],'All Skus'!$A:$AC,2,FALSE))="Martin",(VLOOKUP(Table10[[#This Row],[SKU]],'All Skus'!$A:$AC,19,FALSE)),""))</f>
        <v>0</v>
      </c>
      <c r="P577" s="227">
        <f>(IF((VLOOKUP(Table10[[#This Row],[SKU]],'All Skus'!$A:$AC,2,FALSE))="Martin",(VLOOKUP(Table10[[#This Row],[SKU]],'All Skus'!$A:$AC,20,FALSE)),""))</f>
        <v>0</v>
      </c>
      <c r="Q577" s="227">
        <f>(IF((VLOOKUP(Table10[[#This Row],[SKU]],'All Skus'!$A:$AC,2,FALSE))="Martin",(VLOOKUP(Table10[[#This Row],[SKU]],'All Skus'!$A:$AC,21,FALSE)),""))</f>
        <v>0</v>
      </c>
      <c r="R577" s="224">
        <f>(IF((VLOOKUP(Table10[[#This Row],[SKU]],'All Skus'!$A:$AC,2,FALSE))="Martin",(VLOOKUP(Table10[[#This Row],[SKU]],'All Skus'!$A:$AC,22,FALSE)),""))</f>
        <v>0</v>
      </c>
      <c r="S577" s="223">
        <f>(IF((VLOOKUP(Table10[[#This Row],[SKU]],'All Skus'!$A:$AC,2,FALSE))="Martin",(VLOOKUP(Table10[[#This Row],[SKU]],'All Skus'!$A:$AC,23,FALSE)),""))</f>
        <v>0</v>
      </c>
      <c r="T577" s="212" t="str">
        <f>HYPERLINK((IF((VLOOKUP(Table10[[#This Row],[SKU]],'All Skus'!$A:$AC,2,FALSE))="Martin",(VLOOKUP(Table10[[#This Row],[SKU]],'All Skus'!$A:$AC,24,FALSE)),"")))</f>
        <v/>
      </c>
      <c r="U577" s="228">
        <v>575</v>
      </c>
    </row>
    <row r="578" spans="1:21" hidden="1">
      <c r="A578" s="112" t="s">
        <v>2244</v>
      </c>
      <c r="B578" s="224" t="str">
        <f>(IF((VLOOKUP(Table10[[#This Row],[SKU]],'All Skus'!$A:$AC,2,FALSE))="Martin",(VLOOKUP(Table10[[#This Row],[SKU]],'All Skus'!$A:$AC,3,FALSE)),""))</f>
        <v>Mac Viper Profile</v>
      </c>
      <c r="C578" s="223" t="str">
        <f>(IF((VLOOKUP(Table10[[#This Row],[SKU]],'All Skus'!$A:$AC,2,FALSE))="Martin",(VLOOKUP(Table10[[#This Row],[SKU]],'All Skus'!$A:$AC,4,FALSE)),""))</f>
        <v xml:space="preserve">MAC Viper Profile in 2-unit flightcase </v>
      </c>
      <c r="D578" s="224" t="str">
        <f>(IF((VLOOKUP(Table10[[#This Row],[SKU]],'All Skus'!$A:$AC,2,FALSE))="Martin",(VLOOKUP(Table10[[#This Row],[SKU]],'All Skus'!$A:$AC,5,FALSE)),""))</f>
        <v>MSL-VIPER</v>
      </c>
      <c r="E578" s="223">
        <f>(IF((VLOOKUP(Table10[[#This Row],[SKU]],'All Skus'!$A:$AC,2,FALSE))="Martin",(VLOOKUP(Table10[[#This Row],[SKU]],'All Skus'!$A:$AC,6,FALSE)),""))</f>
        <v>0</v>
      </c>
      <c r="F578" s="155" t="str">
        <f>(IF((VLOOKUP(Table10[[#This Row],[SKU]],'All Skus'!$A:$AC,2,FALSE))="Martin",(VLOOKUP(Table10[[#This Row],[SKU]],'All Skus'!$A:$AC,7,FALSE)),""))</f>
        <v>Final batch being manufactured - Check for availability</v>
      </c>
      <c r="G578" s="223" t="str">
        <f>(IF((VLOOKUP(Table10[[#This Row],[SKU]],'All Skus'!$A:$AC,2,FALSE))="Martin",(VLOOKUP(Table10[[#This Row],[SKU]],'All Skus'!$A:$AC,8,FALSE)),""))</f>
        <v xml:space="preserve">MAC Viper Profile in 2-unit flightcase </v>
      </c>
      <c r="H578" s="223" t="str">
        <f>(IF((VLOOKUP(Table10[[#This Row],[SKU]],'All Skus'!$A:$AC,2,FALSE))="Martin",(VLOOKUP(Table10[[#This Row],[SKU]],'All Skus'!$A:$AC,9,FALSE)),""))</f>
        <v xml:space="preserve">MAC Viper Profile in 2-unit flightcase </v>
      </c>
      <c r="I578" s="225">
        <f>(IF((VLOOKUP(Table10[[#This Row],[SKU]],'All Skus'!$A:$AC,2,FALSE))="Martin",(VLOOKUP(Table10[[#This Row],[SKU]],'All Skus'!$A:$AC,10,FALSE)),""))</f>
        <v>13088.5</v>
      </c>
      <c r="J578" s="226">
        <f>(IF((VLOOKUP(Table10[[#This Row],[SKU]],'All Skus'!$A:$AC,2,FALSE))="Martin",(VLOOKUP(Table10[[#This Row],[SKU]],'All Skus'!$A:$AC,11,FALSE)),""))</f>
        <v>13088.5</v>
      </c>
      <c r="K578" s="224">
        <f>(IF((VLOOKUP(Table10[[#This Row],[SKU]],'All Skus'!$A:$AC,2,FALSE))="Martin",(VLOOKUP(Table10[[#This Row],[SKU]],'All Skus'!$A:$AC,15,FALSE)),""))</f>
        <v>0</v>
      </c>
      <c r="L578" s="224">
        <f>(IF((VLOOKUP(Table10[[#This Row],[SKU]],'All Skus'!$A:$AC,2,FALSE))="Martin",(VLOOKUP(Table10[[#This Row],[SKU]],'All Skus'!$A:$AC,16,FALSE)),""))</f>
        <v>5706681232482</v>
      </c>
      <c r="M578" s="224">
        <f>(IF((VLOOKUP(Table10[[#This Row],[SKU]],'All Skus'!$A:$AC,2,FALSE))="Martin",(VLOOKUP(Table10[[#This Row],[SKU]],'All Skus'!$A:$AC,17,FALSE)),""))</f>
        <v>0</v>
      </c>
      <c r="N578" s="227">
        <f>(IF((VLOOKUP(Table10[[#This Row],[SKU]],'All Skus'!$A:$AC,2,FALSE))="Martin",(VLOOKUP(Table10[[#This Row],[SKU]],'All Skus'!$A:$AC,18,FALSE)),""))</f>
        <v>22.83</v>
      </c>
      <c r="O578" s="227">
        <f>(IF((VLOOKUP(Table10[[#This Row],[SKU]],'All Skus'!$A:$AC,2,FALSE))="Martin",(VLOOKUP(Table10[[#This Row],[SKU]],'All Skus'!$A:$AC,19,FALSE)),""))</f>
        <v>23.62</v>
      </c>
      <c r="P578" s="227">
        <f>(IF((VLOOKUP(Table10[[#This Row],[SKU]],'All Skus'!$A:$AC,2,FALSE))="Martin",(VLOOKUP(Table10[[#This Row],[SKU]],'All Skus'!$A:$AC,20,FALSE)),""))</f>
        <v>0</v>
      </c>
      <c r="Q578" s="227">
        <f>(IF((VLOOKUP(Table10[[#This Row],[SKU]],'All Skus'!$A:$AC,2,FALSE))="Martin",(VLOOKUP(Table10[[#This Row],[SKU]],'All Skus'!$A:$AC,21,FALSE)),""))</f>
        <v>0</v>
      </c>
      <c r="R578" s="224" t="str">
        <f>(IF((VLOOKUP(Table10[[#This Row],[SKU]],'All Skus'!$A:$AC,2,FALSE))="Martin",(VLOOKUP(Table10[[#This Row],[SKU]],'All Skus'!$A:$AC,22,FALSE)),""))</f>
        <v>HU</v>
      </c>
      <c r="S578" s="223">
        <f>(IF((VLOOKUP(Table10[[#This Row],[SKU]],'All Skus'!$A:$AC,2,FALSE))="Martin",(VLOOKUP(Table10[[#This Row],[SKU]],'All Skus'!$A:$AC,23,FALSE)),""))</f>
        <v>0</v>
      </c>
      <c r="T578" s="212" t="str">
        <f>HYPERLINK((IF((VLOOKUP(Table10[[#This Row],[SKU]],'All Skus'!$A:$AC,2,FALSE))="Martin",(VLOOKUP(Table10[[#This Row],[SKU]],'All Skus'!$A:$AC,24,FALSE)),"")))</f>
        <v>http://www.martin.com/en-us/product-details/mac-viper-profile</v>
      </c>
      <c r="U578" s="228">
        <v>576</v>
      </c>
    </row>
    <row r="579" spans="1:21" hidden="1">
      <c r="A579" s="115" t="s">
        <v>2245</v>
      </c>
      <c r="B579" s="224" t="str">
        <f>(IF((VLOOKUP(Table10[[#This Row],[SKU]],'All Skus'!$A:$AC,2,FALSE))="Martin",(VLOOKUP(Table10[[#This Row],[SKU]],'All Skus'!$A:$AC,3,FALSE)),""))</f>
        <v/>
      </c>
      <c r="C579" s="223">
        <f>(IF((VLOOKUP(Table10[[#This Row],[SKU]],'All Skus'!$A:$AC,2,FALSE))="Martin",(VLOOKUP(Table10[[#This Row],[SKU]],'All Skus'!$A:$AC,4,FALSE)),""))</f>
        <v>0</v>
      </c>
      <c r="D579" s="224">
        <f>(IF((VLOOKUP(Table10[[#This Row],[SKU]],'All Skus'!$A:$AC,2,FALSE))="Martin",(VLOOKUP(Table10[[#This Row],[SKU]],'All Skus'!$A:$AC,5,FALSE)),""))</f>
        <v>0</v>
      </c>
      <c r="E579" s="223">
        <f>(IF((VLOOKUP(Table10[[#This Row],[SKU]],'All Skus'!$A:$AC,2,FALSE))="Martin",(VLOOKUP(Table10[[#This Row],[SKU]],'All Skus'!$A:$AC,6,FALSE)),""))</f>
        <v>0</v>
      </c>
      <c r="F579" s="155">
        <f>(IF((VLOOKUP(Table10[[#This Row],[SKU]],'All Skus'!$A:$AC,2,FALSE))="Martin",(VLOOKUP(Table10[[#This Row],[SKU]],'All Skus'!$A:$AC,7,FALSE)),""))</f>
        <v>0</v>
      </c>
      <c r="G579" s="223">
        <f>(IF((VLOOKUP(Table10[[#This Row],[SKU]],'All Skus'!$A:$AC,2,FALSE))="Martin",(VLOOKUP(Table10[[#This Row],[SKU]],'All Skus'!$A:$AC,8,FALSE)),""))</f>
        <v>0</v>
      </c>
      <c r="H579" s="223">
        <f>(IF((VLOOKUP(Table10[[#This Row],[SKU]],'All Skus'!$A:$AC,2,FALSE))="Martin",(VLOOKUP(Table10[[#This Row],[SKU]],'All Skus'!$A:$AC,9,FALSE)),""))</f>
        <v>0</v>
      </c>
      <c r="I579" s="225">
        <f>(IF((VLOOKUP(Table10[[#This Row],[SKU]],'All Skus'!$A:$AC,2,FALSE))="Martin",(VLOOKUP(Table10[[#This Row],[SKU]],'All Skus'!$A:$AC,10,FALSE)),""))</f>
        <v>0</v>
      </c>
      <c r="J579" s="226">
        <f>(IF((VLOOKUP(Table10[[#This Row],[SKU]],'All Skus'!$A:$AC,2,FALSE))="Martin",(VLOOKUP(Table10[[#This Row],[SKU]],'All Skus'!$A:$AC,11,FALSE)),""))</f>
        <v>0</v>
      </c>
      <c r="K579" s="224">
        <f>(IF((VLOOKUP(Table10[[#This Row],[SKU]],'All Skus'!$A:$AC,2,FALSE))="Martin",(VLOOKUP(Table10[[#This Row],[SKU]],'All Skus'!$A:$AC,15,FALSE)),""))</f>
        <v>0</v>
      </c>
      <c r="L579" s="224">
        <f>(IF((VLOOKUP(Table10[[#This Row],[SKU]],'All Skus'!$A:$AC,2,FALSE))="Martin",(VLOOKUP(Table10[[#This Row],[SKU]],'All Skus'!$A:$AC,16,FALSE)),""))</f>
        <v>0</v>
      </c>
      <c r="M579" s="224">
        <f>(IF((VLOOKUP(Table10[[#This Row],[SKU]],'All Skus'!$A:$AC,2,FALSE))="Martin",(VLOOKUP(Table10[[#This Row],[SKU]],'All Skus'!$A:$AC,17,FALSE)),""))</f>
        <v>0</v>
      </c>
      <c r="N579" s="227">
        <f>(IF((VLOOKUP(Table10[[#This Row],[SKU]],'All Skus'!$A:$AC,2,FALSE))="Martin",(VLOOKUP(Table10[[#This Row],[SKU]],'All Skus'!$A:$AC,18,FALSE)),""))</f>
        <v>0</v>
      </c>
      <c r="O579" s="227">
        <f>(IF((VLOOKUP(Table10[[#This Row],[SKU]],'All Skus'!$A:$AC,2,FALSE))="Martin",(VLOOKUP(Table10[[#This Row],[SKU]],'All Skus'!$A:$AC,19,FALSE)),""))</f>
        <v>0</v>
      </c>
      <c r="P579" s="227">
        <f>(IF((VLOOKUP(Table10[[#This Row],[SKU]],'All Skus'!$A:$AC,2,FALSE))="Martin",(VLOOKUP(Table10[[#This Row],[SKU]],'All Skus'!$A:$AC,20,FALSE)),""))</f>
        <v>0</v>
      </c>
      <c r="Q579" s="227">
        <f>(IF((VLOOKUP(Table10[[#This Row],[SKU]],'All Skus'!$A:$AC,2,FALSE))="Martin",(VLOOKUP(Table10[[#This Row],[SKU]],'All Skus'!$A:$AC,21,FALSE)),""))</f>
        <v>0</v>
      </c>
      <c r="R579" s="224">
        <f>(IF((VLOOKUP(Table10[[#This Row],[SKU]],'All Skus'!$A:$AC,2,FALSE))="Martin",(VLOOKUP(Table10[[#This Row],[SKU]],'All Skus'!$A:$AC,22,FALSE)),""))</f>
        <v>0</v>
      </c>
      <c r="S579" s="223">
        <f>(IF((VLOOKUP(Table10[[#This Row],[SKU]],'All Skus'!$A:$AC,2,FALSE))="Martin",(VLOOKUP(Table10[[#This Row],[SKU]],'All Skus'!$A:$AC,23,FALSE)),""))</f>
        <v>0</v>
      </c>
      <c r="T579" s="212" t="str">
        <f>HYPERLINK((IF((VLOOKUP(Table10[[#This Row],[SKU]],'All Skus'!$A:$AC,2,FALSE))="Martin",(VLOOKUP(Table10[[#This Row],[SKU]],'All Skus'!$A:$AC,24,FALSE)),"")))</f>
        <v/>
      </c>
      <c r="U579" s="228">
        <v>577</v>
      </c>
    </row>
    <row r="580" spans="1:21" hidden="1">
      <c r="A580" s="112" t="s">
        <v>2246</v>
      </c>
      <c r="B580" s="224" t="str">
        <f>(IF((VLOOKUP(Table10[[#This Row],[SKU]],'All Skus'!$A:$AC,2,FALSE))="Martin",(VLOOKUP(Table10[[#This Row],[SKU]],'All Skus'!$A:$AC,3,FALSE)),""))</f>
        <v>Mac Viper Performance</v>
      </c>
      <c r="C580" s="223" t="str">
        <f>(IF((VLOOKUP(Table10[[#This Row],[SKU]],'All Skus'!$A:$AC,2,FALSE))="Martin",(VLOOKUP(Table10[[#This Row],[SKU]],'All Skus'!$A:$AC,4,FALSE)),""))</f>
        <v xml:space="preserve">MAC Viper Performance in cardboard </v>
      </c>
      <c r="D580" s="224" t="str">
        <f>(IF((VLOOKUP(Table10[[#This Row],[SKU]],'All Skus'!$A:$AC,2,FALSE))="Martin",(VLOOKUP(Table10[[#This Row],[SKU]],'All Skus'!$A:$AC,5,FALSE)),""))</f>
        <v>MSL-VIPER</v>
      </c>
      <c r="E580" s="223">
        <f>(IF((VLOOKUP(Table10[[#This Row],[SKU]],'All Skus'!$A:$AC,2,FALSE))="Martin",(VLOOKUP(Table10[[#This Row],[SKU]],'All Skus'!$A:$AC,6,FALSE)),""))</f>
        <v>0</v>
      </c>
      <c r="F580" s="155" t="str">
        <f>(IF((VLOOKUP(Table10[[#This Row],[SKU]],'All Skus'!$A:$AC,2,FALSE))="Martin",(VLOOKUP(Table10[[#This Row],[SKU]],'All Skus'!$A:$AC,7,FALSE)),""))</f>
        <v>Final batch being manufactured - Check for availability</v>
      </c>
      <c r="G580" s="223" t="str">
        <f>(IF((VLOOKUP(Table10[[#This Row],[SKU]],'All Skus'!$A:$AC,2,FALSE))="Martin",(VLOOKUP(Table10[[#This Row],[SKU]],'All Skus'!$A:$AC,8,FALSE)),""))</f>
        <v xml:space="preserve">MAC Viper Performance in cardboard </v>
      </c>
      <c r="H580" s="223" t="str">
        <f>(IF((VLOOKUP(Table10[[#This Row],[SKU]],'All Skus'!$A:$AC,2,FALSE))="Martin",(VLOOKUP(Table10[[#This Row],[SKU]],'All Skus'!$A:$AC,9,FALSE)),""))</f>
        <v xml:space="preserve">MAC Viper Performance in cardboard </v>
      </c>
      <c r="I580" s="225">
        <f>(IF((VLOOKUP(Table10[[#This Row],[SKU]],'All Skus'!$A:$AC,2,FALSE))="Martin",(VLOOKUP(Table10[[#This Row],[SKU]],'All Skus'!$A:$AC,10,FALSE)),""))</f>
        <v>13705.88</v>
      </c>
      <c r="J580" s="226">
        <f>(IF((VLOOKUP(Table10[[#This Row],[SKU]],'All Skus'!$A:$AC,2,FALSE))="Martin",(VLOOKUP(Table10[[#This Row],[SKU]],'All Skus'!$A:$AC,11,FALSE)),""))</f>
        <v>13705.88</v>
      </c>
      <c r="K580" s="224">
        <f>(IF((VLOOKUP(Table10[[#This Row],[SKU]],'All Skus'!$A:$AC,2,FALSE))="Martin",(VLOOKUP(Table10[[#This Row],[SKU]],'All Skus'!$A:$AC,15,FALSE)),""))</f>
        <v>0</v>
      </c>
      <c r="L580" s="224">
        <f>(IF((VLOOKUP(Table10[[#This Row],[SKU]],'All Skus'!$A:$AC,2,FALSE))="Martin",(VLOOKUP(Table10[[#This Row],[SKU]],'All Skus'!$A:$AC,16,FALSE)),""))</f>
        <v>688705007380</v>
      </c>
      <c r="M580" s="224">
        <f>(IF((VLOOKUP(Table10[[#This Row],[SKU]],'All Skus'!$A:$AC,2,FALSE))="Martin",(VLOOKUP(Table10[[#This Row],[SKU]],'All Skus'!$A:$AC,17,FALSE)),""))</f>
        <v>0</v>
      </c>
      <c r="N580" s="227">
        <f>(IF((VLOOKUP(Table10[[#This Row],[SKU]],'All Skus'!$A:$AC,2,FALSE))="Martin",(VLOOKUP(Table10[[#This Row],[SKU]],'All Skus'!$A:$AC,18,FALSE)),""))</f>
        <v>17.7</v>
      </c>
      <c r="O580" s="227">
        <f>(IF((VLOOKUP(Table10[[#This Row],[SKU]],'All Skus'!$A:$AC,2,FALSE))="Martin",(VLOOKUP(Table10[[#This Row],[SKU]],'All Skus'!$A:$AC,19,FALSE)),""))</f>
        <v>22.8</v>
      </c>
      <c r="P580" s="227">
        <f>(IF((VLOOKUP(Table10[[#This Row],[SKU]],'All Skus'!$A:$AC,2,FALSE))="Martin",(VLOOKUP(Table10[[#This Row],[SKU]],'All Skus'!$A:$AC,20,FALSE)),""))</f>
        <v>0</v>
      </c>
      <c r="Q580" s="227">
        <f>(IF((VLOOKUP(Table10[[#This Row],[SKU]],'All Skus'!$A:$AC,2,FALSE))="Martin",(VLOOKUP(Table10[[#This Row],[SKU]],'All Skus'!$A:$AC,21,FALSE)),""))</f>
        <v>0</v>
      </c>
      <c r="R580" s="224" t="str">
        <f>(IF((VLOOKUP(Table10[[#This Row],[SKU]],'All Skus'!$A:$AC,2,FALSE))="Martin",(VLOOKUP(Table10[[#This Row],[SKU]],'All Skus'!$A:$AC,22,FALSE)),""))</f>
        <v>HU</v>
      </c>
      <c r="S580" s="223">
        <f>(IF((VLOOKUP(Table10[[#This Row],[SKU]],'All Skus'!$A:$AC,2,FALSE))="Martin",(VLOOKUP(Table10[[#This Row],[SKU]],'All Skus'!$A:$AC,23,FALSE)),""))</f>
        <v>0</v>
      </c>
      <c r="T580" s="212" t="str">
        <f>HYPERLINK((IF((VLOOKUP(Table10[[#This Row],[SKU]],'All Skus'!$A:$AC,2,FALSE))="Martin",(VLOOKUP(Table10[[#This Row],[SKU]],'All Skus'!$A:$AC,24,FALSE)),"")))</f>
        <v/>
      </c>
      <c r="U580" s="228">
        <v>578</v>
      </c>
    </row>
    <row r="581" spans="1:21" hidden="1">
      <c r="A581" s="112" t="s">
        <v>2247</v>
      </c>
      <c r="B581" s="224" t="str">
        <f>(IF((VLOOKUP(Table10[[#This Row],[SKU]],'All Skus'!$A:$AC,2,FALSE))="Martin",(VLOOKUP(Table10[[#This Row],[SKU]],'All Skus'!$A:$AC,3,FALSE)),""))</f>
        <v>Mac Viper Performance</v>
      </c>
      <c r="C581" s="223" t="str">
        <f>(IF((VLOOKUP(Table10[[#This Row],[SKU]],'All Skus'!$A:$AC,2,FALSE))="Martin",(VLOOKUP(Table10[[#This Row],[SKU]],'All Skus'!$A:$AC,4,FALSE)),""))</f>
        <v xml:space="preserve">MAC Viper Performance in 2-unit flightcase </v>
      </c>
      <c r="D581" s="224" t="str">
        <f>(IF((VLOOKUP(Table10[[#This Row],[SKU]],'All Skus'!$A:$AC,2,FALSE))="Martin",(VLOOKUP(Table10[[#This Row],[SKU]],'All Skus'!$A:$AC,5,FALSE)),""))</f>
        <v>MSL-VIPER</v>
      </c>
      <c r="E581" s="223">
        <f>(IF((VLOOKUP(Table10[[#This Row],[SKU]],'All Skus'!$A:$AC,2,FALSE))="Martin",(VLOOKUP(Table10[[#This Row],[SKU]],'All Skus'!$A:$AC,6,FALSE)),""))</f>
        <v>0</v>
      </c>
      <c r="F581" s="155" t="str">
        <f>(IF((VLOOKUP(Table10[[#This Row],[SKU]],'All Skus'!$A:$AC,2,FALSE))="Martin",(VLOOKUP(Table10[[#This Row],[SKU]],'All Skus'!$A:$AC,7,FALSE)),""))</f>
        <v>Final batch being manufactured - Check for availability</v>
      </c>
      <c r="G581" s="223" t="str">
        <f>(IF((VLOOKUP(Table10[[#This Row],[SKU]],'All Skus'!$A:$AC,2,FALSE))="Martin",(VLOOKUP(Table10[[#This Row],[SKU]],'All Skus'!$A:$AC,8,FALSE)),""))</f>
        <v xml:space="preserve">MAC Viper Performance in 2-unit flightcase </v>
      </c>
      <c r="H581" s="223" t="str">
        <f>(IF((VLOOKUP(Table10[[#This Row],[SKU]],'All Skus'!$A:$AC,2,FALSE))="Martin",(VLOOKUP(Table10[[#This Row],[SKU]],'All Skus'!$A:$AC,9,FALSE)),""))</f>
        <v xml:space="preserve">MAC Viper Performance in 2-unit flightcase </v>
      </c>
      <c r="I581" s="225">
        <f>(IF((VLOOKUP(Table10[[#This Row],[SKU]],'All Skus'!$A:$AC,2,FALSE))="Martin",(VLOOKUP(Table10[[#This Row],[SKU]],'All Skus'!$A:$AC,10,FALSE)),""))</f>
        <v>14446.74</v>
      </c>
      <c r="J581" s="226">
        <f>(IF((VLOOKUP(Table10[[#This Row],[SKU]],'All Skus'!$A:$AC,2,FALSE))="Martin",(VLOOKUP(Table10[[#This Row],[SKU]],'All Skus'!$A:$AC,11,FALSE)),""))</f>
        <v>14446.74</v>
      </c>
      <c r="K581" s="224">
        <f>(IF((VLOOKUP(Table10[[#This Row],[SKU]],'All Skus'!$A:$AC,2,FALSE))="Martin",(VLOOKUP(Table10[[#This Row],[SKU]],'All Skus'!$A:$AC,15,FALSE)),""))</f>
        <v>0</v>
      </c>
      <c r="L581" s="224">
        <f>(IF((VLOOKUP(Table10[[#This Row],[SKU]],'All Skus'!$A:$AC,2,FALSE))="Martin",(VLOOKUP(Table10[[#This Row],[SKU]],'All Skus'!$A:$AC,16,FALSE)),""))</f>
        <v>5706681232604</v>
      </c>
      <c r="M581" s="224">
        <f>(IF((VLOOKUP(Table10[[#This Row],[SKU]],'All Skus'!$A:$AC,2,FALSE))="Martin",(VLOOKUP(Table10[[#This Row],[SKU]],'All Skus'!$A:$AC,17,FALSE)),""))</f>
        <v>0</v>
      </c>
      <c r="N581" s="227">
        <f>(IF((VLOOKUP(Table10[[#This Row],[SKU]],'All Skus'!$A:$AC,2,FALSE))="Martin",(VLOOKUP(Table10[[#This Row],[SKU]],'All Skus'!$A:$AC,18,FALSE)),""))</f>
        <v>22.83</v>
      </c>
      <c r="O581" s="227">
        <f>(IF((VLOOKUP(Table10[[#This Row],[SKU]],'All Skus'!$A:$AC,2,FALSE))="Martin",(VLOOKUP(Table10[[#This Row],[SKU]],'All Skus'!$A:$AC,19,FALSE)),""))</f>
        <v>23.62</v>
      </c>
      <c r="P581" s="227">
        <f>(IF((VLOOKUP(Table10[[#This Row],[SKU]],'All Skus'!$A:$AC,2,FALSE))="Martin",(VLOOKUP(Table10[[#This Row],[SKU]],'All Skus'!$A:$AC,20,FALSE)),""))</f>
        <v>0</v>
      </c>
      <c r="Q581" s="227">
        <f>(IF((VLOOKUP(Table10[[#This Row],[SKU]],'All Skus'!$A:$AC,2,FALSE))="Martin",(VLOOKUP(Table10[[#This Row],[SKU]],'All Skus'!$A:$AC,21,FALSE)),""))</f>
        <v>0</v>
      </c>
      <c r="R581" s="224" t="str">
        <f>(IF((VLOOKUP(Table10[[#This Row],[SKU]],'All Skus'!$A:$AC,2,FALSE))="Martin",(VLOOKUP(Table10[[#This Row],[SKU]],'All Skus'!$A:$AC,22,FALSE)),""))</f>
        <v>HU</v>
      </c>
      <c r="S581" s="223">
        <f>(IF((VLOOKUP(Table10[[#This Row],[SKU]],'All Skus'!$A:$AC,2,FALSE))="Martin",(VLOOKUP(Table10[[#This Row],[SKU]],'All Skus'!$A:$AC,23,FALSE)),""))</f>
        <v>0</v>
      </c>
      <c r="T581" s="212" t="str">
        <f>HYPERLINK((IF((VLOOKUP(Table10[[#This Row],[SKU]],'All Skus'!$A:$AC,2,FALSE))="Martin",(VLOOKUP(Table10[[#This Row],[SKU]],'All Skus'!$A:$AC,24,FALSE)),"")))</f>
        <v>http://www.martin.com/en-us/product-details/mac-viper-performance</v>
      </c>
      <c r="U581" s="228">
        <v>579</v>
      </c>
    </row>
    <row r="582" spans="1:21" hidden="1">
      <c r="A582" s="115" t="s">
        <v>2248</v>
      </c>
      <c r="B582" s="224" t="str">
        <f>(IF((VLOOKUP(Table10[[#This Row],[SKU]],'All Skus'!$A:$AC,2,FALSE))="Martin",(VLOOKUP(Table10[[#This Row],[SKU]],'All Skus'!$A:$AC,3,FALSE)),""))</f>
        <v/>
      </c>
      <c r="C582" s="223">
        <f>(IF((VLOOKUP(Table10[[#This Row],[SKU]],'All Skus'!$A:$AC,2,FALSE))="Martin",(VLOOKUP(Table10[[#This Row],[SKU]],'All Skus'!$A:$AC,4,FALSE)),""))</f>
        <v>0</v>
      </c>
      <c r="D582" s="224">
        <f>(IF((VLOOKUP(Table10[[#This Row],[SKU]],'All Skus'!$A:$AC,2,FALSE))="Martin",(VLOOKUP(Table10[[#This Row],[SKU]],'All Skus'!$A:$AC,5,FALSE)),""))</f>
        <v>0</v>
      </c>
      <c r="E582" s="223">
        <f>(IF((VLOOKUP(Table10[[#This Row],[SKU]],'All Skus'!$A:$AC,2,FALSE))="Martin",(VLOOKUP(Table10[[#This Row],[SKU]],'All Skus'!$A:$AC,6,FALSE)),""))</f>
        <v>0</v>
      </c>
      <c r="F582" s="155">
        <f>(IF((VLOOKUP(Table10[[#This Row],[SKU]],'All Skus'!$A:$AC,2,FALSE))="Martin",(VLOOKUP(Table10[[#This Row],[SKU]],'All Skus'!$A:$AC,7,FALSE)),""))</f>
        <v>0</v>
      </c>
      <c r="G582" s="223">
        <f>(IF((VLOOKUP(Table10[[#This Row],[SKU]],'All Skus'!$A:$AC,2,FALSE))="Martin",(VLOOKUP(Table10[[#This Row],[SKU]],'All Skus'!$A:$AC,8,FALSE)),""))</f>
        <v>0</v>
      </c>
      <c r="H582" s="223">
        <f>(IF((VLOOKUP(Table10[[#This Row],[SKU]],'All Skus'!$A:$AC,2,FALSE))="Martin",(VLOOKUP(Table10[[#This Row],[SKU]],'All Skus'!$A:$AC,9,FALSE)),""))</f>
        <v>0</v>
      </c>
      <c r="I582" s="225">
        <f>(IF((VLOOKUP(Table10[[#This Row],[SKU]],'All Skus'!$A:$AC,2,FALSE))="Martin",(VLOOKUP(Table10[[#This Row],[SKU]],'All Skus'!$A:$AC,10,FALSE)),""))</f>
        <v>0</v>
      </c>
      <c r="J582" s="226">
        <f>(IF((VLOOKUP(Table10[[#This Row],[SKU]],'All Skus'!$A:$AC,2,FALSE))="Martin",(VLOOKUP(Table10[[#This Row],[SKU]],'All Skus'!$A:$AC,11,FALSE)),""))</f>
        <v>0</v>
      </c>
      <c r="K582" s="224">
        <f>(IF((VLOOKUP(Table10[[#This Row],[SKU]],'All Skus'!$A:$AC,2,FALSE))="Martin",(VLOOKUP(Table10[[#This Row],[SKU]],'All Skus'!$A:$AC,15,FALSE)),""))</f>
        <v>0</v>
      </c>
      <c r="L582" s="224">
        <f>(IF((VLOOKUP(Table10[[#This Row],[SKU]],'All Skus'!$A:$AC,2,FALSE))="Martin",(VLOOKUP(Table10[[#This Row],[SKU]],'All Skus'!$A:$AC,16,FALSE)),""))</f>
        <v>0</v>
      </c>
      <c r="M582" s="224">
        <f>(IF((VLOOKUP(Table10[[#This Row],[SKU]],'All Skus'!$A:$AC,2,FALSE))="Martin",(VLOOKUP(Table10[[#This Row],[SKU]],'All Skus'!$A:$AC,17,FALSE)),""))</f>
        <v>0</v>
      </c>
      <c r="N582" s="227">
        <f>(IF((VLOOKUP(Table10[[#This Row],[SKU]],'All Skus'!$A:$AC,2,FALSE))="Martin",(VLOOKUP(Table10[[#This Row],[SKU]],'All Skus'!$A:$AC,18,FALSE)),""))</f>
        <v>0</v>
      </c>
      <c r="O582" s="227">
        <f>(IF((VLOOKUP(Table10[[#This Row],[SKU]],'All Skus'!$A:$AC,2,FALSE))="Martin",(VLOOKUP(Table10[[#This Row],[SKU]],'All Skus'!$A:$AC,19,FALSE)),""))</f>
        <v>0</v>
      </c>
      <c r="P582" s="227">
        <f>(IF((VLOOKUP(Table10[[#This Row],[SKU]],'All Skus'!$A:$AC,2,FALSE))="Martin",(VLOOKUP(Table10[[#This Row],[SKU]],'All Skus'!$A:$AC,20,FALSE)),""))</f>
        <v>0</v>
      </c>
      <c r="Q582" s="227">
        <f>(IF((VLOOKUP(Table10[[#This Row],[SKU]],'All Skus'!$A:$AC,2,FALSE))="Martin",(VLOOKUP(Table10[[#This Row],[SKU]],'All Skus'!$A:$AC,21,FALSE)),""))</f>
        <v>0</v>
      </c>
      <c r="R582" s="224">
        <f>(IF((VLOOKUP(Table10[[#This Row],[SKU]],'All Skus'!$A:$AC,2,FALSE))="Martin",(VLOOKUP(Table10[[#This Row],[SKU]],'All Skus'!$A:$AC,22,FALSE)),""))</f>
        <v>0</v>
      </c>
      <c r="S582" s="223">
        <f>(IF((VLOOKUP(Table10[[#This Row],[SKU]],'All Skus'!$A:$AC,2,FALSE))="Martin",(VLOOKUP(Table10[[#This Row],[SKU]],'All Skus'!$A:$AC,23,FALSE)),""))</f>
        <v>0</v>
      </c>
      <c r="T582" s="212" t="str">
        <f>HYPERLINK((IF((VLOOKUP(Table10[[#This Row],[SKU]],'All Skus'!$A:$AC,2,FALSE))="Martin",(VLOOKUP(Table10[[#This Row],[SKU]],'All Skus'!$A:$AC,24,FALSE)),"")))</f>
        <v/>
      </c>
      <c r="U582" s="228">
        <v>580</v>
      </c>
    </row>
    <row r="583" spans="1:21" hidden="1">
      <c r="A583" s="112" t="s">
        <v>2249</v>
      </c>
      <c r="B583" s="224" t="str">
        <f>(IF((VLOOKUP(Table10[[#This Row],[SKU]],'All Skus'!$A:$AC,2,FALSE))="Martin",(VLOOKUP(Table10[[#This Row],[SKU]],'All Skus'!$A:$AC,3,FALSE)),""))</f>
        <v>Mac Viper Wash</v>
      </c>
      <c r="C583" s="223" t="str">
        <f>(IF((VLOOKUP(Table10[[#This Row],[SKU]],'All Skus'!$A:$AC,2,FALSE))="Martin",(VLOOKUP(Table10[[#This Row],[SKU]],'All Skus'!$A:$AC,4,FALSE)),""))</f>
        <v xml:space="preserve">MAC Viper Wash in cardboard </v>
      </c>
      <c r="D583" s="224" t="str">
        <f>(IF((VLOOKUP(Table10[[#This Row],[SKU]],'All Skus'!$A:$AC,2,FALSE))="Martin",(VLOOKUP(Table10[[#This Row],[SKU]],'All Skus'!$A:$AC,5,FALSE)),""))</f>
        <v>MSL-VIPER</v>
      </c>
      <c r="E583" s="223">
        <f>(IF((VLOOKUP(Table10[[#This Row],[SKU]],'All Skus'!$A:$AC,2,FALSE))="Martin",(VLOOKUP(Table10[[#This Row],[SKU]],'All Skus'!$A:$AC,6,FALSE)),""))</f>
        <v>0</v>
      </c>
      <c r="F583" s="155">
        <f>(IF((VLOOKUP(Table10[[#This Row],[SKU]],'All Skus'!$A:$AC,2,FALSE))="Martin",(VLOOKUP(Table10[[#This Row],[SKU]],'All Skus'!$A:$AC,7,FALSE)),""))</f>
        <v>0</v>
      </c>
      <c r="G583" s="223" t="str">
        <f>(IF((VLOOKUP(Table10[[#This Row],[SKU]],'All Skus'!$A:$AC,2,FALSE))="Martin",(VLOOKUP(Table10[[#This Row],[SKU]],'All Skus'!$A:$AC,8,FALSE)),""))</f>
        <v xml:space="preserve">MAC Viper Wash in cardboard </v>
      </c>
      <c r="H583" s="223" t="str">
        <f>(IF((VLOOKUP(Table10[[#This Row],[SKU]],'All Skus'!$A:$AC,2,FALSE))="Martin",(VLOOKUP(Table10[[#This Row],[SKU]],'All Skus'!$A:$AC,9,FALSE)),""))</f>
        <v xml:space="preserve">MAC Viper Wash in cardboard </v>
      </c>
      <c r="I583" s="225">
        <f>(IF((VLOOKUP(Table10[[#This Row],[SKU]],'All Skus'!$A:$AC,2,FALSE))="Martin",(VLOOKUP(Table10[[#This Row],[SKU]],'All Skus'!$A:$AC,10,FALSE)),""))</f>
        <v>9693</v>
      </c>
      <c r="J583" s="226">
        <f>(IF((VLOOKUP(Table10[[#This Row],[SKU]],'All Skus'!$A:$AC,2,FALSE))="Martin",(VLOOKUP(Table10[[#This Row],[SKU]],'All Skus'!$A:$AC,11,FALSE)),""))</f>
        <v>9693</v>
      </c>
      <c r="K583" s="224">
        <f>(IF((VLOOKUP(Table10[[#This Row],[SKU]],'All Skus'!$A:$AC,2,FALSE))="Martin",(VLOOKUP(Table10[[#This Row],[SKU]],'All Skus'!$A:$AC,15,FALSE)),""))</f>
        <v>0</v>
      </c>
      <c r="L583" s="224">
        <f>(IF((VLOOKUP(Table10[[#This Row],[SKU]],'All Skus'!$A:$AC,2,FALSE))="Martin",(VLOOKUP(Table10[[#This Row],[SKU]],'All Skus'!$A:$AC,16,FALSE)),""))</f>
        <v>688705007366</v>
      </c>
      <c r="M583" s="224">
        <f>(IF((VLOOKUP(Table10[[#This Row],[SKU]],'All Skus'!$A:$AC,2,FALSE))="Martin",(VLOOKUP(Table10[[#This Row],[SKU]],'All Skus'!$A:$AC,17,FALSE)),""))</f>
        <v>0</v>
      </c>
      <c r="N583" s="227">
        <f>(IF((VLOOKUP(Table10[[#This Row],[SKU]],'All Skus'!$A:$AC,2,FALSE))="Martin",(VLOOKUP(Table10[[#This Row],[SKU]],'All Skus'!$A:$AC,18,FALSE)),""))</f>
        <v>0</v>
      </c>
      <c r="O583" s="227">
        <f>(IF((VLOOKUP(Table10[[#This Row],[SKU]],'All Skus'!$A:$AC,2,FALSE))="Martin",(VLOOKUP(Table10[[#This Row],[SKU]],'All Skus'!$A:$AC,19,FALSE)),""))</f>
        <v>0</v>
      </c>
      <c r="P583" s="227">
        <f>(IF((VLOOKUP(Table10[[#This Row],[SKU]],'All Skus'!$A:$AC,2,FALSE))="Martin",(VLOOKUP(Table10[[#This Row],[SKU]],'All Skus'!$A:$AC,20,FALSE)),""))</f>
        <v>0</v>
      </c>
      <c r="Q583" s="227">
        <f>(IF((VLOOKUP(Table10[[#This Row],[SKU]],'All Skus'!$A:$AC,2,FALSE))="Martin",(VLOOKUP(Table10[[#This Row],[SKU]],'All Skus'!$A:$AC,21,FALSE)),""))</f>
        <v>0</v>
      </c>
      <c r="R583" s="224" t="str">
        <f>(IF((VLOOKUP(Table10[[#This Row],[SKU]],'All Skus'!$A:$AC,2,FALSE))="Martin",(VLOOKUP(Table10[[#This Row],[SKU]],'All Skus'!$A:$AC,22,FALSE)),""))</f>
        <v>HU</v>
      </c>
      <c r="S583" s="223">
        <f>(IF((VLOOKUP(Table10[[#This Row],[SKU]],'All Skus'!$A:$AC,2,FALSE))="Martin",(VLOOKUP(Table10[[#This Row],[SKU]],'All Skus'!$A:$AC,23,FALSE)),""))</f>
        <v>0</v>
      </c>
      <c r="T583" s="212" t="str">
        <f>HYPERLINK((IF((VLOOKUP(Table10[[#This Row],[SKU]],'All Skus'!$A:$AC,2,FALSE))="Martin",(VLOOKUP(Table10[[#This Row],[SKU]],'All Skus'!$A:$AC,24,FALSE)),"")))</f>
        <v/>
      </c>
      <c r="U583" s="228">
        <v>581</v>
      </c>
    </row>
    <row r="584" spans="1:21" hidden="1">
      <c r="A584" s="115" t="s">
        <v>2250</v>
      </c>
      <c r="B584" s="224" t="str">
        <f>(IF((VLOOKUP(Table10[[#This Row],[SKU]],'All Skus'!$A:$AC,2,FALSE))="Martin",(VLOOKUP(Table10[[#This Row],[SKU]],'All Skus'!$A:$AC,3,FALSE)),""))</f>
        <v/>
      </c>
      <c r="C584" s="223">
        <f>(IF((VLOOKUP(Table10[[#This Row],[SKU]],'All Skus'!$A:$AC,2,FALSE))="Martin",(VLOOKUP(Table10[[#This Row],[SKU]],'All Skus'!$A:$AC,4,FALSE)),""))</f>
        <v>0</v>
      </c>
      <c r="D584" s="224">
        <f>(IF((VLOOKUP(Table10[[#This Row],[SKU]],'All Skus'!$A:$AC,2,FALSE))="Martin",(VLOOKUP(Table10[[#This Row],[SKU]],'All Skus'!$A:$AC,5,FALSE)),""))</f>
        <v>0</v>
      </c>
      <c r="E584" s="223">
        <f>(IF((VLOOKUP(Table10[[#This Row],[SKU]],'All Skus'!$A:$AC,2,FALSE))="Martin",(VLOOKUP(Table10[[#This Row],[SKU]],'All Skus'!$A:$AC,6,FALSE)),""))</f>
        <v>0</v>
      </c>
      <c r="F584" s="155">
        <f>(IF((VLOOKUP(Table10[[#This Row],[SKU]],'All Skus'!$A:$AC,2,FALSE))="Martin",(VLOOKUP(Table10[[#This Row],[SKU]],'All Skus'!$A:$AC,7,FALSE)),""))</f>
        <v>0</v>
      </c>
      <c r="G584" s="223">
        <f>(IF((VLOOKUP(Table10[[#This Row],[SKU]],'All Skus'!$A:$AC,2,FALSE))="Martin",(VLOOKUP(Table10[[#This Row],[SKU]],'All Skus'!$A:$AC,8,FALSE)),""))</f>
        <v>0</v>
      </c>
      <c r="H584" s="223">
        <f>(IF((VLOOKUP(Table10[[#This Row],[SKU]],'All Skus'!$A:$AC,2,FALSE))="Martin",(VLOOKUP(Table10[[#This Row],[SKU]],'All Skus'!$A:$AC,9,FALSE)),""))</f>
        <v>0</v>
      </c>
      <c r="I584" s="225">
        <f>(IF((VLOOKUP(Table10[[#This Row],[SKU]],'All Skus'!$A:$AC,2,FALSE))="Martin",(VLOOKUP(Table10[[#This Row],[SKU]],'All Skus'!$A:$AC,10,FALSE)),""))</f>
        <v>0</v>
      </c>
      <c r="J584" s="226">
        <f>(IF((VLOOKUP(Table10[[#This Row],[SKU]],'All Skus'!$A:$AC,2,FALSE))="Martin",(VLOOKUP(Table10[[#This Row],[SKU]],'All Skus'!$A:$AC,11,FALSE)),""))</f>
        <v>0</v>
      </c>
      <c r="K584" s="224">
        <f>(IF((VLOOKUP(Table10[[#This Row],[SKU]],'All Skus'!$A:$AC,2,FALSE))="Martin",(VLOOKUP(Table10[[#This Row],[SKU]],'All Skus'!$A:$AC,15,FALSE)),""))</f>
        <v>0</v>
      </c>
      <c r="L584" s="224">
        <f>(IF((VLOOKUP(Table10[[#This Row],[SKU]],'All Skus'!$A:$AC,2,FALSE))="Martin",(VLOOKUP(Table10[[#This Row],[SKU]],'All Skus'!$A:$AC,16,FALSE)),""))</f>
        <v>0</v>
      </c>
      <c r="M584" s="224">
        <f>(IF((VLOOKUP(Table10[[#This Row],[SKU]],'All Skus'!$A:$AC,2,FALSE))="Martin",(VLOOKUP(Table10[[#This Row],[SKU]],'All Skus'!$A:$AC,17,FALSE)),""))</f>
        <v>0</v>
      </c>
      <c r="N584" s="227">
        <f>(IF((VLOOKUP(Table10[[#This Row],[SKU]],'All Skus'!$A:$AC,2,FALSE))="Martin",(VLOOKUP(Table10[[#This Row],[SKU]],'All Skus'!$A:$AC,18,FALSE)),""))</f>
        <v>0</v>
      </c>
      <c r="O584" s="227">
        <f>(IF((VLOOKUP(Table10[[#This Row],[SKU]],'All Skus'!$A:$AC,2,FALSE))="Martin",(VLOOKUP(Table10[[#This Row],[SKU]],'All Skus'!$A:$AC,19,FALSE)),""))</f>
        <v>0</v>
      </c>
      <c r="P584" s="227">
        <f>(IF((VLOOKUP(Table10[[#This Row],[SKU]],'All Skus'!$A:$AC,2,FALSE))="Martin",(VLOOKUP(Table10[[#This Row],[SKU]],'All Skus'!$A:$AC,20,FALSE)),""))</f>
        <v>0</v>
      </c>
      <c r="Q584" s="227">
        <f>(IF((VLOOKUP(Table10[[#This Row],[SKU]],'All Skus'!$A:$AC,2,FALSE))="Martin",(VLOOKUP(Table10[[#This Row],[SKU]],'All Skus'!$A:$AC,21,FALSE)),""))</f>
        <v>0</v>
      </c>
      <c r="R584" s="224">
        <f>(IF((VLOOKUP(Table10[[#This Row],[SKU]],'All Skus'!$A:$AC,2,FALSE))="Martin",(VLOOKUP(Table10[[#This Row],[SKU]],'All Skus'!$A:$AC,22,FALSE)),""))</f>
        <v>0</v>
      </c>
      <c r="S584" s="223">
        <f>(IF((VLOOKUP(Table10[[#This Row],[SKU]],'All Skus'!$A:$AC,2,FALSE))="Martin",(VLOOKUP(Table10[[#This Row],[SKU]],'All Skus'!$A:$AC,23,FALSE)),""))</f>
        <v>0</v>
      </c>
      <c r="T584" s="212" t="str">
        <f>HYPERLINK((IF((VLOOKUP(Table10[[#This Row],[SKU]],'All Skus'!$A:$AC,2,FALSE))="Martin",(VLOOKUP(Table10[[#This Row],[SKU]],'All Skus'!$A:$AC,24,FALSE)),"")))</f>
        <v/>
      </c>
      <c r="U584" s="228">
        <v>582</v>
      </c>
    </row>
    <row r="585" spans="1:21" hidden="1">
      <c r="A585" s="112" t="s">
        <v>2251</v>
      </c>
      <c r="B585" s="224" t="str">
        <f>(IF((VLOOKUP(Table10[[#This Row],[SKU]],'All Skus'!$A:$AC,2,FALSE))="Martin",(VLOOKUP(Table10[[#This Row],[SKU]],'All Skus'!$A:$AC,3,FALSE)),""))</f>
        <v>Mac Viper Wash</v>
      </c>
      <c r="C585" s="223" t="str">
        <f>(IF((VLOOKUP(Table10[[#This Row],[SKU]],'All Skus'!$A:$AC,2,FALSE))="Martin",(VLOOKUP(Table10[[#This Row],[SKU]],'All Skus'!$A:$AC,4,FALSE)),""))</f>
        <v xml:space="preserve">MAC Viper Wash DX in cardboard </v>
      </c>
      <c r="D585" s="224" t="str">
        <f>(IF((VLOOKUP(Table10[[#This Row],[SKU]],'All Skus'!$A:$AC,2,FALSE))="Martin",(VLOOKUP(Table10[[#This Row],[SKU]],'All Skus'!$A:$AC,5,FALSE)),""))</f>
        <v>MSL-VIPER</v>
      </c>
      <c r="E585" s="223">
        <f>(IF((VLOOKUP(Table10[[#This Row],[SKU]],'All Skus'!$A:$AC,2,FALSE))="Martin",(VLOOKUP(Table10[[#This Row],[SKU]],'All Skus'!$A:$AC,6,FALSE)),""))</f>
        <v>0</v>
      </c>
      <c r="F585" s="155" t="str">
        <f>(IF((VLOOKUP(Table10[[#This Row],[SKU]],'All Skus'!$A:$AC,2,FALSE))="Martin",(VLOOKUP(Table10[[#This Row],[SKU]],'All Skus'!$A:$AC,7,FALSE)),""))</f>
        <v>Final batch being manufactured - Check for availability</v>
      </c>
      <c r="G585" s="223" t="str">
        <f>(IF((VLOOKUP(Table10[[#This Row],[SKU]],'All Skus'!$A:$AC,2,FALSE))="Martin",(VLOOKUP(Table10[[#This Row],[SKU]],'All Skus'!$A:$AC,8,FALSE)),""))</f>
        <v xml:space="preserve">MAC Viper Wash DX in cardboard </v>
      </c>
      <c r="H585" s="223" t="str">
        <f>(IF((VLOOKUP(Table10[[#This Row],[SKU]],'All Skus'!$A:$AC,2,FALSE))="Martin",(VLOOKUP(Table10[[#This Row],[SKU]],'All Skus'!$A:$AC,9,FALSE)),""))</f>
        <v xml:space="preserve">MAC Viper Wash DX in cardboard </v>
      </c>
      <c r="I585" s="225">
        <f>(IF((VLOOKUP(Table10[[#This Row],[SKU]],'All Skus'!$A:$AC,2,FALSE))="Martin",(VLOOKUP(Table10[[#This Row],[SKU]],'All Skus'!$A:$AC,10,FALSE)),""))</f>
        <v>11236.35</v>
      </c>
      <c r="J585" s="226">
        <f>(IF((VLOOKUP(Table10[[#This Row],[SKU]],'All Skus'!$A:$AC,2,FALSE))="Martin",(VLOOKUP(Table10[[#This Row],[SKU]],'All Skus'!$A:$AC,11,FALSE)),""))</f>
        <v>11236.35</v>
      </c>
      <c r="K585" s="224">
        <f>(IF((VLOOKUP(Table10[[#This Row],[SKU]],'All Skus'!$A:$AC,2,FALSE))="Martin",(VLOOKUP(Table10[[#This Row],[SKU]],'All Skus'!$A:$AC,15,FALSE)),""))</f>
        <v>0</v>
      </c>
      <c r="L585" s="224">
        <f>(IF((VLOOKUP(Table10[[#This Row],[SKU]],'All Skus'!$A:$AC,2,FALSE))="Martin",(VLOOKUP(Table10[[#This Row],[SKU]],'All Skus'!$A:$AC,16,FALSE)),""))</f>
        <v>688705007373</v>
      </c>
      <c r="M585" s="224">
        <f>(IF((VLOOKUP(Table10[[#This Row],[SKU]],'All Skus'!$A:$AC,2,FALSE))="Martin",(VLOOKUP(Table10[[#This Row],[SKU]],'All Skus'!$A:$AC,17,FALSE)),""))</f>
        <v>0</v>
      </c>
      <c r="N585" s="227">
        <f>(IF((VLOOKUP(Table10[[#This Row],[SKU]],'All Skus'!$A:$AC,2,FALSE))="Martin",(VLOOKUP(Table10[[#This Row],[SKU]],'All Skus'!$A:$AC,18,FALSE)),""))</f>
        <v>17.7</v>
      </c>
      <c r="O585" s="227">
        <f>(IF((VLOOKUP(Table10[[#This Row],[SKU]],'All Skus'!$A:$AC,2,FALSE))="Martin",(VLOOKUP(Table10[[#This Row],[SKU]],'All Skus'!$A:$AC,19,FALSE)),""))</f>
        <v>22.8</v>
      </c>
      <c r="P585" s="227">
        <f>(IF((VLOOKUP(Table10[[#This Row],[SKU]],'All Skus'!$A:$AC,2,FALSE))="Martin",(VLOOKUP(Table10[[#This Row],[SKU]],'All Skus'!$A:$AC,20,FALSE)),""))</f>
        <v>0</v>
      </c>
      <c r="Q585" s="227">
        <f>(IF((VLOOKUP(Table10[[#This Row],[SKU]],'All Skus'!$A:$AC,2,FALSE))="Martin",(VLOOKUP(Table10[[#This Row],[SKU]],'All Skus'!$A:$AC,21,FALSE)),""))</f>
        <v>0</v>
      </c>
      <c r="R585" s="224" t="str">
        <f>(IF((VLOOKUP(Table10[[#This Row],[SKU]],'All Skus'!$A:$AC,2,FALSE))="Martin",(VLOOKUP(Table10[[#This Row],[SKU]],'All Skus'!$A:$AC,22,FALSE)),""))</f>
        <v>HU</v>
      </c>
      <c r="S585" s="223">
        <f>(IF((VLOOKUP(Table10[[#This Row],[SKU]],'All Skus'!$A:$AC,2,FALSE))="Martin",(VLOOKUP(Table10[[#This Row],[SKU]],'All Skus'!$A:$AC,23,FALSE)),""))</f>
        <v>0</v>
      </c>
      <c r="T585" s="212" t="str">
        <f>HYPERLINK((IF((VLOOKUP(Table10[[#This Row],[SKU]],'All Skus'!$A:$AC,2,FALSE))="Martin",(VLOOKUP(Table10[[#This Row],[SKU]],'All Skus'!$A:$AC,24,FALSE)),"")))</f>
        <v/>
      </c>
      <c r="U585" s="228">
        <v>583</v>
      </c>
    </row>
    <row r="586" spans="1:21" hidden="1">
      <c r="A586" s="112" t="s">
        <v>2252</v>
      </c>
      <c r="B586" s="224" t="str">
        <f>(IF((VLOOKUP(Table10[[#This Row],[SKU]],'All Skus'!$A:$AC,2,FALSE))="Martin",(VLOOKUP(Table10[[#This Row],[SKU]],'All Skus'!$A:$AC,3,FALSE)),""))</f>
        <v>Mac Viper Wash</v>
      </c>
      <c r="C586" s="223" t="str">
        <f>(IF((VLOOKUP(Table10[[#This Row],[SKU]],'All Skus'!$A:$AC,2,FALSE))="Martin",(VLOOKUP(Table10[[#This Row],[SKU]],'All Skus'!$A:$AC,4,FALSE)),""))</f>
        <v>MAC Viper Wash DX in 2-unit flightcase</v>
      </c>
      <c r="D586" s="224" t="str">
        <f>(IF((VLOOKUP(Table10[[#This Row],[SKU]],'All Skus'!$A:$AC,2,FALSE))="Martin",(VLOOKUP(Table10[[#This Row],[SKU]],'All Skus'!$A:$AC,5,FALSE)),""))</f>
        <v>MSL-VIPER</v>
      </c>
      <c r="E586" s="223">
        <f>(IF((VLOOKUP(Table10[[#This Row],[SKU]],'All Skus'!$A:$AC,2,FALSE))="Martin",(VLOOKUP(Table10[[#This Row],[SKU]],'All Skus'!$A:$AC,6,FALSE)),""))</f>
        <v>0</v>
      </c>
      <c r="F586" s="155" t="str">
        <f>(IF((VLOOKUP(Table10[[#This Row],[SKU]],'All Skus'!$A:$AC,2,FALSE))="Martin",(VLOOKUP(Table10[[#This Row],[SKU]],'All Skus'!$A:$AC,7,FALSE)),""))</f>
        <v>Final batch being manufactured - Check for availability</v>
      </c>
      <c r="G586" s="223" t="str">
        <f>(IF((VLOOKUP(Table10[[#This Row],[SKU]],'All Skus'!$A:$AC,2,FALSE))="Martin",(VLOOKUP(Table10[[#This Row],[SKU]],'All Skus'!$A:$AC,8,FALSE)),""))</f>
        <v>MAC Viper Wash DX in 2-unit flightcase</v>
      </c>
      <c r="H586" s="223" t="str">
        <f>(IF((VLOOKUP(Table10[[#This Row],[SKU]],'All Skus'!$A:$AC,2,FALSE))="Martin",(VLOOKUP(Table10[[#This Row],[SKU]],'All Skus'!$A:$AC,9,FALSE)),""))</f>
        <v>MAC Viper Wash DX in 2-unit flightcase</v>
      </c>
      <c r="I586" s="225">
        <f>(IF((VLOOKUP(Table10[[#This Row],[SKU]],'All Skus'!$A:$AC,2,FALSE))="Martin",(VLOOKUP(Table10[[#This Row],[SKU]],'All Skus'!$A:$AC,10,FALSE)),""))</f>
        <v>11977.21</v>
      </c>
      <c r="J586" s="226">
        <f>(IF((VLOOKUP(Table10[[#This Row],[SKU]],'All Skus'!$A:$AC,2,FALSE))="Martin",(VLOOKUP(Table10[[#This Row],[SKU]],'All Skus'!$A:$AC,11,FALSE)),""))</f>
        <v>11977.21</v>
      </c>
      <c r="K586" s="224">
        <f>(IF((VLOOKUP(Table10[[#This Row],[SKU]],'All Skus'!$A:$AC,2,FALSE))="Martin",(VLOOKUP(Table10[[#This Row],[SKU]],'All Skus'!$A:$AC,15,FALSE)),""))</f>
        <v>0</v>
      </c>
      <c r="L586" s="224">
        <f>(IF((VLOOKUP(Table10[[#This Row],[SKU]],'All Skus'!$A:$AC,2,FALSE))="Martin",(VLOOKUP(Table10[[#This Row],[SKU]],'All Skus'!$A:$AC,16,FALSE)),""))</f>
        <v>5706681232574</v>
      </c>
      <c r="M586" s="224">
        <f>(IF((VLOOKUP(Table10[[#This Row],[SKU]],'All Skus'!$A:$AC,2,FALSE))="Martin",(VLOOKUP(Table10[[#This Row],[SKU]],'All Skus'!$A:$AC,17,FALSE)),""))</f>
        <v>0</v>
      </c>
      <c r="N586" s="227">
        <f>(IF((VLOOKUP(Table10[[#This Row],[SKU]],'All Skus'!$A:$AC,2,FALSE))="Martin",(VLOOKUP(Table10[[#This Row],[SKU]],'All Skus'!$A:$AC,18,FALSE)),""))</f>
        <v>22.83</v>
      </c>
      <c r="O586" s="227">
        <f>(IF((VLOOKUP(Table10[[#This Row],[SKU]],'All Skus'!$A:$AC,2,FALSE))="Martin",(VLOOKUP(Table10[[#This Row],[SKU]],'All Skus'!$A:$AC,19,FALSE)),""))</f>
        <v>23.62</v>
      </c>
      <c r="P586" s="227">
        <f>(IF((VLOOKUP(Table10[[#This Row],[SKU]],'All Skus'!$A:$AC,2,FALSE))="Martin",(VLOOKUP(Table10[[#This Row],[SKU]],'All Skus'!$A:$AC,20,FALSE)),""))</f>
        <v>0</v>
      </c>
      <c r="Q586" s="227">
        <f>(IF((VLOOKUP(Table10[[#This Row],[SKU]],'All Skus'!$A:$AC,2,FALSE))="Martin",(VLOOKUP(Table10[[#This Row],[SKU]],'All Skus'!$A:$AC,21,FALSE)),""))</f>
        <v>0</v>
      </c>
      <c r="R586" s="224" t="str">
        <f>(IF((VLOOKUP(Table10[[#This Row],[SKU]],'All Skus'!$A:$AC,2,FALSE))="Martin",(VLOOKUP(Table10[[#This Row],[SKU]],'All Skus'!$A:$AC,22,FALSE)),""))</f>
        <v>HU</v>
      </c>
      <c r="S586" s="223">
        <f>(IF((VLOOKUP(Table10[[#This Row],[SKU]],'All Skus'!$A:$AC,2,FALSE))="Martin",(VLOOKUP(Table10[[#This Row],[SKU]],'All Skus'!$A:$AC,23,FALSE)),""))</f>
        <v>0</v>
      </c>
      <c r="T586" s="212" t="str">
        <f>HYPERLINK((IF((VLOOKUP(Table10[[#This Row],[SKU]],'All Skus'!$A:$AC,2,FALSE))="Martin",(VLOOKUP(Table10[[#This Row],[SKU]],'All Skus'!$A:$AC,24,FALSE)),"")))</f>
        <v>http://www.martin.com/en-us/product-details/mac-viper-wash-dx</v>
      </c>
      <c r="U586" s="228">
        <v>584</v>
      </c>
    </row>
    <row r="587" spans="1:21" hidden="1">
      <c r="A587" s="115" t="s">
        <v>2253</v>
      </c>
      <c r="B587" s="224" t="str">
        <f>(IF((VLOOKUP(Table10[[#This Row],[SKU]],'All Skus'!$A:$AC,2,FALSE))="Martin",(VLOOKUP(Table10[[#This Row],[SKU]],'All Skus'!$A:$AC,3,FALSE)),""))</f>
        <v/>
      </c>
      <c r="C587" s="223">
        <f>(IF((VLOOKUP(Table10[[#This Row],[SKU]],'All Skus'!$A:$AC,2,FALSE))="Martin",(VLOOKUP(Table10[[#This Row],[SKU]],'All Skus'!$A:$AC,4,FALSE)),""))</f>
        <v>0</v>
      </c>
      <c r="D587" s="224">
        <f>(IF((VLOOKUP(Table10[[#This Row],[SKU]],'All Skus'!$A:$AC,2,FALSE))="Martin",(VLOOKUP(Table10[[#This Row],[SKU]],'All Skus'!$A:$AC,5,FALSE)),""))</f>
        <v>0</v>
      </c>
      <c r="E587" s="223">
        <f>(IF((VLOOKUP(Table10[[#This Row],[SKU]],'All Skus'!$A:$AC,2,FALSE))="Martin",(VLOOKUP(Table10[[#This Row],[SKU]],'All Skus'!$A:$AC,6,FALSE)),""))</f>
        <v>0</v>
      </c>
      <c r="F587" s="155">
        <f>(IF((VLOOKUP(Table10[[#This Row],[SKU]],'All Skus'!$A:$AC,2,FALSE))="Martin",(VLOOKUP(Table10[[#This Row],[SKU]],'All Skus'!$A:$AC,7,FALSE)),""))</f>
        <v>0</v>
      </c>
      <c r="G587" s="223">
        <f>(IF((VLOOKUP(Table10[[#This Row],[SKU]],'All Skus'!$A:$AC,2,FALSE))="Martin",(VLOOKUP(Table10[[#This Row],[SKU]],'All Skus'!$A:$AC,8,FALSE)),""))</f>
        <v>0</v>
      </c>
      <c r="H587" s="223">
        <f>(IF((VLOOKUP(Table10[[#This Row],[SKU]],'All Skus'!$A:$AC,2,FALSE))="Martin",(VLOOKUP(Table10[[#This Row],[SKU]],'All Skus'!$A:$AC,9,FALSE)),""))</f>
        <v>0</v>
      </c>
      <c r="I587" s="225">
        <f>(IF((VLOOKUP(Table10[[#This Row],[SKU]],'All Skus'!$A:$AC,2,FALSE))="Martin",(VLOOKUP(Table10[[#This Row],[SKU]],'All Skus'!$A:$AC,10,FALSE)),""))</f>
        <v>0</v>
      </c>
      <c r="J587" s="226">
        <f>(IF((VLOOKUP(Table10[[#This Row],[SKU]],'All Skus'!$A:$AC,2,FALSE))="Martin",(VLOOKUP(Table10[[#This Row],[SKU]],'All Skus'!$A:$AC,11,FALSE)),""))</f>
        <v>0</v>
      </c>
      <c r="K587" s="224">
        <f>(IF((VLOOKUP(Table10[[#This Row],[SKU]],'All Skus'!$A:$AC,2,FALSE))="Martin",(VLOOKUP(Table10[[#This Row],[SKU]],'All Skus'!$A:$AC,15,FALSE)),""))</f>
        <v>0</v>
      </c>
      <c r="L587" s="224">
        <f>(IF((VLOOKUP(Table10[[#This Row],[SKU]],'All Skus'!$A:$AC,2,FALSE))="Martin",(VLOOKUP(Table10[[#This Row],[SKU]],'All Skus'!$A:$AC,16,FALSE)),""))</f>
        <v>0</v>
      </c>
      <c r="M587" s="224">
        <f>(IF((VLOOKUP(Table10[[#This Row],[SKU]],'All Skus'!$A:$AC,2,FALSE))="Martin",(VLOOKUP(Table10[[#This Row],[SKU]],'All Skus'!$A:$AC,17,FALSE)),""))</f>
        <v>0</v>
      </c>
      <c r="N587" s="227">
        <f>(IF((VLOOKUP(Table10[[#This Row],[SKU]],'All Skus'!$A:$AC,2,FALSE))="Martin",(VLOOKUP(Table10[[#This Row],[SKU]],'All Skus'!$A:$AC,18,FALSE)),""))</f>
        <v>0</v>
      </c>
      <c r="O587" s="227">
        <f>(IF((VLOOKUP(Table10[[#This Row],[SKU]],'All Skus'!$A:$AC,2,FALSE))="Martin",(VLOOKUP(Table10[[#This Row],[SKU]],'All Skus'!$A:$AC,19,FALSE)),""))</f>
        <v>0</v>
      </c>
      <c r="P587" s="227">
        <f>(IF((VLOOKUP(Table10[[#This Row],[SKU]],'All Skus'!$A:$AC,2,FALSE))="Martin",(VLOOKUP(Table10[[#This Row],[SKU]],'All Skus'!$A:$AC,20,FALSE)),""))</f>
        <v>0</v>
      </c>
      <c r="Q587" s="227">
        <f>(IF((VLOOKUP(Table10[[#This Row],[SKU]],'All Skus'!$A:$AC,2,FALSE))="Martin",(VLOOKUP(Table10[[#This Row],[SKU]],'All Skus'!$A:$AC,21,FALSE)),""))</f>
        <v>0</v>
      </c>
      <c r="R587" s="224">
        <f>(IF((VLOOKUP(Table10[[#This Row],[SKU]],'All Skus'!$A:$AC,2,FALSE))="Martin",(VLOOKUP(Table10[[#This Row],[SKU]],'All Skus'!$A:$AC,22,FALSE)),""))</f>
        <v>0</v>
      </c>
      <c r="S587" s="223">
        <f>(IF((VLOOKUP(Table10[[#This Row],[SKU]],'All Skus'!$A:$AC,2,FALSE))="Martin",(VLOOKUP(Table10[[#This Row],[SKU]],'All Skus'!$A:$AC,23,FALSE)),""))</f>
        <v>0</v>
      </c>
      <c r="T587" s="212" t="str">
        <f>HYPERLINK((IF((VLOOKUP(Table10[[#This Row],[SKU]],'All Skus'!$A:$AC,2,FALSE))="Martin",(VLOOKUP(Table10[[#This Row],[SKU]],'All Skus'!$A:$AC,24,FALSE)),"")))</f>
        <v/>
      </c>
      <c r="U587" s="228">
        <v>585</v>
      </c>
    </row>
    <row r="588" spans="1:21" hidden="1">
      <c r="A588" s="112" t="s">
        <v>2254</v>
      </c>
      <c r="B588" s="224" t="str">
        <f>(IF((VLOOKUP(Table10[[#This Row],[SKU]],'All Skus'!$A:$AC,2,FALSE))="Martin",(VLOOKUP(Table10[[#This Row],[SKU]],'All Skus'!$A:$AC,3,FALSE)),""))</f>
        <v>Mac Viper Airfx</v>
      </c>
      <c r="C588" s="223" t="str">
        <f>(IF((VLOOKUP(Table10[[#This Row],[SKU]],'All Skus'!$A:$AC,2,FALSE))="Martin",(VLOOKUP(Table10[[#This Row],[SKU]],'All Skus'!$A:$AC,4,FALSE)),""))</f>
        <v xml:space="preserve">MAC Viper AirFX in 2-unit flightcase </v>
      </c>
      <c r="D588" s="224" t="str">
        <f>(IF((VLOOKUP(Table10[[#This Row],[SKU]],'All Skus'!$A:$AC,2,FALSE))="Martin",(VLOOKUP(Table10[[#This Row],[SKU]],'All Skus'!$A:$AC,5,FALSE)),""))</f>
        <v>MSL-VIPER</v>
      </c>
      <c r="E588" s="223">
        <f>(IF((VLOOKUP(Table10[[#This Row],[SKU]],'All Skus'!$A:$AC,2,FALSE))="Martin",(VLOOKUP(Table10[[#This Row],[SKU]],'All Skus'!$A:$AC,6,FALSE)),""))</f>
        <v>0</v>
      </c>
      <c r="F588" s="155">
        <f>(IF((VLOOKUP(Table10[[#This Row],[SKU]],'All Skus'!$A:$AC,2,FALSE))="Martin",(VLOOKUP(Table10[[#This Row],[SKU]],'All Skus'!$A:$AC,7,FALSE)),""))</f>
        <v>0</v>
      </c>
      <c r="G588" s="223" t="str">
        <f>(IF((VLOOKUP(Table10[[#This Row],[SKU]],'All Skus'!$A:$AC,2,FALSE))="Martin",(VLOOKUP(Table10[[#This Row],[SKU]],'All Skus'!$A:$AC,8,FALSE)),""))</f>
        <v xml:space="preserve">MAC Viper AirFX in 2-unit flightcase </v>
      </c>
      <c r="H588" s="223" t="str">
        <f>(IF((VLOOKUP(Table10[[#This Row],[SKU]],'All Skus'!$A:$AC,2,FALSE))="Martin",(VLOOKUP(Table10[[#This Row],[SKU]],'All Skus'!$A:$AC,9,FALSE)),""))</f>
        <v xml:space="preserve">MAC Viper AirFX in 2-unit flightcase </v>
      </c>
      <c r="I588" s="225">
        <f>(IF((VLOOKUP(Table10[[#This Row],[SKU]],'All Skus'!$A:$AC,2,FALSE))="Martin",(VLOOKUP(Table10[[#This Row],[SKU]],'All Skus'!$A:$AC,10,FALSE)),""))</f>
        <v>13089</v>
      </c>
      <c r="J588" s="226">
        <f>(IF((VLOOKUP(Table10[[#This Row],[SKU]],'All Skus'!$A:$AC,2,FALSE))="Martin",(VLOOKUP(Table10[[#This Row],[SKU]],'All Skus'!$A:$AC,11,FALSE)),""))</f>
        <v>13089</v>
      </c>
      <c r="K588" s="224">
        <f>(IF((VLOOKUP(Table10[[#This Row],[SKU]],'All Skus'!$A:$AC,2,FALSE))="Martin",(VLOOKUP(Table10[[#This Row],[SKU]],'All Skus'!$A:$AC,15,FALSE)),""))</f>
        <v>0</v>
      </c>
      <c r="L588" s="224">
        <f>(IF((VLOOKUP(Table10[[#This Row],[SKU]],'All Skus'!$A:$AC,2,FALSE))="Martin",(VLOOKUP(Table10[[#This Row],[SKU]],'All Skus'!$A:$AC,16,FALSE)),""))</f>
        <v>5706681232512</v>
      </c>
      <c r="M588" s="224">
        <f>(IF((VLOOKUP(Table10[[#This Row],[SKU]],'All Skus'!$A:$AC,2,FALSE))="Martin",(VLOOKUP(Table10[[#This Row],[SKU]],'All Skus'!$A:$AC,17,FALSE)),""))</f>
        <v>0</v>
      </c>
      <c r="N588" s="227">
        <f>(IF((VLOOKUP(Table10[[#This Row],[SKU]],'All Skus'!$A:$AC,2,FALSE))="Martin",(VLOOKUP(Table10[[#This Row],[SKU]],'All Skus'!$A:$AC,18,FALSE)),""))</f>
        <v>22.83</v>
      </c>
      <c r="O588" s="227">
        <f>(IF((VLOOKUP(Table10[[#This Row],[SKU]],'All Skus'!$A:$AC,2,FALSE))="Martin",(VLOOKUP(Table10[[#This Row],[SKU]],'All Skus'!$A:$AC,19,FALSE)),""))</f>
        <v>23.62</v>
      </c>
      <c r="P588" s="227">
        <f>(IF((VLOOKUP(Table10[[#This Row],[SKU]],'All Skus'!$A:$AC,2,FALSE))="Martin",(VLOOKUP(Table10[[#This Row],[SKU]],'All Skus'!$A:$AC,20,FALSE)),""))</f>
        <v>0</v>
      </c>
      <c r="Q588" s="227">
        <f>(IF((VLOOKUP(Table10[[#This Row],[SKU]],'All Skus'!$A:$AC,2,FALSE))="Martin",(VLOOKUP(Table10[[#This Row],[SKU]],'All Skus'!$A:$AC,21,FALSE)),""))</f>
        <v>0</v>
      </c>
      <c r="R588" s="224" t="str">
        <f>(IF((VLOOKUP(Table10[[#This Row],[SKU]],'All Skus'!$A:$AC,2,FALSE))="Martin",(VLOOKUP(Table10[[#This Row],[SKU]],'All Skus'!$A:$AC,22,FALSE)),""))</f>
        <v>HU</v>
      </c>
      <c r="S588" s="223">
        <f>(IF((VLOOKUP(Table10[[#This Row],[SKU]],'All Skus'!$A:$AC,2,FALSE))="Martin",(VLOOKUP(Table10[[#This Row],[SKU]],'All Skus'!$A:$AC,23,FALSE)),""))</f>
        <v>0</v>
      </c>
      <c r="T588" s="212" t="str">
        <f>HYPERLINK((IF((VLOOKUP(Table10[[#This Row],[SKU]],'All Skus'!$A:$AC,2,FALSE))="Martin",(VLOOKUP(Table10[[#This Row],[SKU]],'All Skus'!$A:$AC,24,FALSE)),"")))</f>
        <v>http://www.martin.com/en-us/product-details/mac-viper-airfx</v>
      </c>
      <c r="U588" s="228">
        <v>586</v>
      </c>
    </row>
    <row r="589" spans="1:21" hidden="1">
      <c r="A589" s="115" t="s">
        <v>2255</v>
      </c>
      <c r="B589" s="224">
        <f>(IF((VLOOKUP(Table10[[#This Row],[SKU]],'All Skus'!$A:$AC,2,FALSE))="Martin",(VLOOKUP(Table10[[#This Row],[SKU]],'All Skus'!$A:$AC,3,FALSE)),""))</f>
        <v>0</v>
      </c>
      <c r="C589" s="223">
        <f>(IF((VLOOKUP(Table10[[#This Row],[SKU]],'All Skus'!$A:$AC,2,FALSE))="Martin",(VLOOKUP(Table10[[#This Row],[SKU]],'All Skus'!$A:$AC,4,FALSE)),""))</f>
        <v>0</v>
      </c>
      <c r="D589" s="224">
        <f>(IF((VLOOKUP(Table10[[#This Row],[SKU]],'All Skus'!$A:$AC,2,FALSE))="Martin",(VLOOKUP(Table10[[#This Row],[SKU]],'All Skus'!$A:$AC,5,FALSE)),""))</f>
        <v>0</v>
      </c>
      <c r="E589" s="223">
        <f>(IF((VLOOKUP(Table10[[#This Row],[SKU]],'All Skus'!$A:$AC,2,FALSE))="Martin",(VLOOKUP(Table10[[#This Row],[SKU]],'All Skus'!$A:$AC,6,FALSE)),""))</f>
        <v>0</v>
      </c>
      <c r="F589" s="155">
        <f>(IF((VLOOKUP(Table10[[#This Row],[SKU]],'All Skus'!$A:$AC,2,FALSE))="Martin",(VLOOKUP(Table10[[#This Row],[SKU]],'All Skus'!$A:$AC,7,FALSE)),""))</f>
        <v>0</v>
      </c>
      <c r="G589" s="223">
        <f>(IF((VLOOKUP(Table10[[#This Row],[SKU]],'All Skus'!$A:$AC,2,FALSE))="Martin",(VLOOKUP(Table10[[#This Row],[SKU]],'All Skus'!$A:$AC,8,FALSE)),""))</f>
        <v>0</v>
      </c>
      <c r="H589" s="223">
        <f>(IF((VLOOKUP(Table10[[#This Row],[SKU]],'All Skus'!$A:$AC,2,FALSE))="Martin",(VLOOKUP(Table10[[#This Row],[SKU]],'All Skus'!$A:$AC,9,FALSE)),""))</f>
        <v>0</v>
      </c>
      <c r="I589" s="225">
        <f>(IF((VLOOKUP(Table10[[#This Row],[SKU]],'All Skus'!$A:$AC,2,FALSE))="Martin",(VLOOKUP(Table10[[#This Row],[SKU]],'All Skus'!$A:$AC,10,FALSE)),""))</f>
        <v>0</v>
      </c>
      <c r="J589" s="226">
        <f>(IF((VLOOKUP(Table10[[#This Row],[SKU]],'All Skus'!$A:$AC,2,FALSE))="Martin",(VLOOKUP(Table10[[#This Row],[SKU]],'All Skus'!$A:$AC,11,FALSE)),""))</f>
        <v>0</v>
      </c>
      <c r="K589" s="224">
        <f>(IF((VLOOKUP(Table10[[#This Row],[SKU]],'All Skus'!$A:$AC,2,FALSE))="Martin",(VLOOKUP(Table10[[#This Row],[SKU]],'All Skus'!$A:$AC,15,FALSE)),""))</f>
        <v>0</v>
      </c>
      <c r="L589" s="224">
        <f>(IF((VLOOKUP(Table10[[#This Row],[SKU]],'All Skus'!$A:$AC,2,FALSE))="Martin",(VLOOKUP(Table10[[#This Row],[SKU]],'All Skus'!$A:$AC,16,FALSE)),""))</f>
        <v>0</v>
      </c>
      <c r="M589" s="224">
        <f>(IF((VLOOKUP(Table10[[#This Row],[SKU]],'All Skus'!$A:$AC,2,FALSE))="Martin",(VLOOKUP(Table10[[#This Row],[SKU]],'All Skus'!$A:$AC,17,FALSE)),""))</f>
        <v>0</v>
      </c>
      <c r="N589" s="227">
        <f>(IF((VLOOKUP(Table10[[#This Row],[SKU]],'All Skus'!$A:$AC,2,FALSE))="Martin",(VLOOKUP(Table10[[#This Row],[SKU]],'All Skus'!$A:$AC,18,FALSE)),""))</f>
        <v>0</v>
      </c>
      <c r="O589" s="227">
        <f>(IF((VLOOKUP(Table10[[#This Row],[SKU]],'All Skus'!$A:$AC,2,FALSE))="Martin",(VLOOKUP(Table10[[#This Row],[SKU]],'All Skus'!$A:$AC,19,FALSE)),""))</f>
        <v>0</v>
      </c>
      <c r="P589" s="227">
        <f>(IF((VLOOKUP(Table10[[#This Row],[SKU]],'All Skus'!$A:$AC,2,FALSE))="Martin",(VLOOKUP(Table10[[#This Row],[SKU]],'All Skus'!$A:$AC,20,FALSE)),""))</f>
        <v>0</v>
      </c>
      <c r="Q589" s="227">
        <f>(IF((VLOOKUP(Table10[[#This Row],[SKU]],'All Skus'!$A:$AC,2,FALSE))="Martin",(VLOOKUP(Table10[[#This Row],[SKU]],'All Skus'!$A:$AC,21,FALSE)),""))</f>
        <v>0</v>
      </c>
      <c r="R589" s="224">
        <f>(IF((VLOOKUP(Table10[[#This Row],[SKU]],'All Skus'!$A:$AC,2,FALSE))="Martin",(VLOOKUP(Table10[[#This Row],[SKU]],'All Skus'!$A:$AC,22,FALSE)),""))</f>
        <v>0</v>
      </c>
      <c r="S589" s="223">
        <f>(IF((VLOOKUP(Table10[[#This Row],[SKU]],'All Skus'!$A:$AC,2,FALSE))="Martin",(VLOOKUP(Table10[[#This Row],[SKU]],'All Skus'!$A:$AC,23,FALSE)),""))</f>
        <v>0</v>
      </c>
      <c r="T589" s="212" t="str">
        <f>HYPERLINK((IF((VLOOKUP(Table10[[#This Row],[SKU]],'All Skus'!$A:$AC,2,FALSE))="Martin",(VLOOKUP(Table10[[#This Row],[SKU]],'All Skus'!$A:$AC,24,FALSE)),"")))</f>
        <v/>
      </c>
      <c r="U589" s="228">
        <v>587</v>
      </c>
    </row>
    <row r="590" spans="1:21" hidden="1">
      <c r="A590" s="112">
        <v>91510180</v>
      </c>
      <c r="B590" s="224" t="str">
        <f>(IF((VLOOKUP(Table10[[#This Row],[SKU]],'All Skus'!$A:$AC,2,FALSE))="Martin",(VLOOKUP(Table10[[#This Row],[SKU]],'All Skus'!$A:$AC,3,FALSE)),""))</f>
        <v>Mac Viper Accessory</v>
      </c>
      <c r="C590" s="223" t="str">
        <f>(IF((VLOOKUP(Table10[[#This Row],[SKU]],'All Skus'!$A:$AC,2,FALSE))="Martin",(VLOOKUP(Table10[[#This Row],[SKU]],'All Skus'!$A:$AC,4,FALSE)),""))</f>
        <v xml:space="preserve">Flightcase for 2 x MAC Viper </v>
      </c>
      <c r="D590" s="224" t="str">
        <f>(IF((VLOOKUP(Table10[[#This Row],[SKU]],'All Skus'!$A:$AC,2,FALSE))="Martin",(VLOOKUP(Table10[[#This Row],[SKU]],'All Skus'!$A:$AC,5,FALSE)),""))</f>
        <v>MARTIN--MAC</v>
      </c>
      <c r="E590" s="223">
        <f>(IF((VLOOKUP(Table10[[#This Row],[SKU]],'All Skus'!$A:$AC,2,FALSE))="Martin",(VLOOKUP(Table10[[#This Row],[SKU]],'All Skus'!$A:$AC,6,FALSE)),""))</f>
        <v>0</v>
      </c>
      <c r="F590" s="155" t="str">
        <f>(IF((VLOOKUP(Table10[[#This Row],[SKU]],'All Skus'!$A:$AC,2,FALSE))="Martin",(VLOOKUP(Table10[[#This Row],[SKU]],'All Skus'!$A:$AC,7,FALSE)),""))</f>
        <v>EOL stage – limited availability may apply</v>
      </c>
      <c r="G590" s="223" t="str">
        <f>(IF((VLOOKUP(Table10[[#This Row],[SKU]],'All Skus'!$A:$AC,2,FALSE))="Martin",(VLOOKUP(Table10[[#This Row],[SKU]],'All Skus'!$A:$AC,8,FALSE)),""))</f>
        <v xml:space="preserve">Flightcase for 2 x MAC Viper </v>
      </c>
      <c r="H590" s="223" t="str">
        <f>(IF((VLOOKUP(Table10[[#This Row],[SKU]],'All Skus'!$A:$AC,2,FALSE))="Martin",(VLOOKUP(Table10[[#This Row],[SKU]],'All Skus'!$A:$AC,9,FALSE)),""))</f>
        <v xml:space="preserve">Flightcase for 2 x MAC Viper </v>
      </c>
      <c r="I590" s="225">
        <f>(IF((VLOOKUP(Table10[[#This Row],[SKU]],'All Skus'!$A:$AC,2,FALSE))="Martin",(VLOOKUP(Table10[[#This Row],[SKU]],'All Skus'!$A:$AC,10,FALSE)),""))</f>
        <v>2346</v>
      </c>
      <c r="J590" s="226">
        <f>(IF((VLOOKUP(Table10[[#This Row],[SKU]],'All Skus'!$A:$AC,2,FALSE))="Martin",(VLOOKUP(Table10[[#This Row],[SKU]],'All Skus'!$A:$AC,11,FALSE)),""))</f>
        <v>2346</v>
      </c>
      <c r="K590" s="224">
        <f>(IF((VLOOKUP(Table10[[#This Row],[SKU]],'All Skus'!$A:$AC,2,FALSE))="Martin",(VLOOKUP(Table10[[#This Row],[SKU]],'All Skus'!$A:$AC,15,FALSE)),""))</f>
        <v>0</v>
      </c>
      <c r="L590" s="224">
        <f>(IF((VLOOKUP(Table10[[#This Row],[SKU]],'All Skus'!$A:$AC,2,FALSE))="Martin",(VLOOKUP(Table10[[#This Row],[SKU]],'All Skus'!$A:$AC,16,FALSE)),""))</f>
        <v>5706681232512</v>
      </c>
      <c r="M590" s="224">
        <f>(IF((VLOOKUP(Table10[[#This Row],[SKU]],'All Skus'!$A:$AC,2,FALSE))="Martin",(VLOOKUP(Table10[[#This Row],[SKU]],'All Skus'!$A:$AC,17,FALSE)),""))</f>
        <v>0</v>
      </c>
      <c r="N590" s="227">
        <f>(IF((VLOOKUP(Table10[[#This Row],[SKU]],'All Skus'!$A:$AC,2,FALSE))="Martin",(VLOOKUP(Table10[[#This Row],[SKU]],'All Skus'!$A:$AC,18,FALSE)),""))</f>
        <v>22.83</v>
      </c>
      <c r="O590" s="227">
        <f>(IF((VLOOKUP(Table10[[#This Row],[SKU]],'All Skus'!$A:$AC,2,FALSE))="Martin",(VLOOKUP(Table10[[#This Row],[SKU]],'All Skus'!$A:$AC,19,FALSE)),""))</f>
        <v>23.62</v>
      </c>
      <c r="P590" s="227">
        <f>(IF((VLOOKUP(Table10[[#This Row],[SKU]],'All Skus'!$A:$AC,2,FALSE))="Martin",(VLOOKUP(Table10[[#This Row],[SKU]],'All Skus'!$A:$AC,20,FALSE)),""))</f>
        <v>0</v>
      </c>
      <c r="Q590" s="227">
        <f>(IF((VLOOKUP(Table10[[#This Row],[SKU]],'All Skus'!$A:$AC,2,FALSE))="Martin",(VLOOKUP(Table10[[#This Row],[SKU]],'All Skus'!$A:$AC,21,FALSE)),""))</f>
        <v>0</v>
      </c>
      <c r="R590" s="224" t="str">
        <f>(IF((VLOOKUP(Table10[[#This Row],[SKU]],'All Skus'!$A:$AC,2,FALSE))="Martin",(VLOOKUP(Table10[[#This Row],[SKU]],'All Skus'!$A:$AC,22,FALSE)),""))</f>
        <v>HU</v>
      </c>
      <c r="S590" s="223">
        <f>(IF((VLOOKUP(Table10[[#This Row],[SKU]],'All Skus'!$A:$AC,2,FALSE))="Martin",(VLOOKUP(Table10[[#This Row],[SKU]],'All Skus'!$A:$AC,23,FALSE)),""))</f>
        <v>0</v>
      </c>
      <c r="T590" s="212" t="str">
        <f>HYPERLINK((IF((VLOOKUP(Table10[[#This Row],[SKU]],'All Skus'!$A:$AC,2,FALSE))="Martin",(VLOOKUP(Table10[[#This Row],[SKU]],'All Skus'!$A:$AC,24,FALSE)),"")))</f>
        <v>http://www.martin.com/en-us/product-details/mac-viper-airfx</v>
      </c>
      <c r="U590" s="228">
        <v>588</v>
      </c>
    </row>
    <row r="591" spans="1:21" hidden="1">
      <c r="A591" s="115" t="s">
        <v>2256</v>
      </c>
      <c r="B591" s="224">
        <f>(IF((VLOOKUP(Table10[[#This Row],[SKU]],'All Skus'!$A:$AC,2,FALSE))="Martin",(VLOOKUP(Table10[[#This Row],[SKU]],'All Skus'!$A:$AC,3,FALSE)),""))</f>
        <v>0</v>
      </c>
      <c r="C591" s="223">
        <f>(IF((VLOOKUP(Table10[[#This Row],[SKU]],'All Skus'!$A:$AC,2,FALSE))="Martin",(VLOOKUP(Table10[[#This Row],[SKU]],'All Skus'!$A:$AC,4,FALSE)),""))</f>
        <v>0</v>
      </c>
      <c r="D591" s="224">
        <f>(IF((VLOOKUP(Table10[[#This Row],[SKU]],'All Skus'!$A:$AC,2,FALSE))="Martin",(VLOOKUP(Table10[[#This Row],[SKU]],'All Skus'!$A:$AC,5,FALSE)),""))</f>
        <v>0</v>
      </c>
      <c r="E591" s="223">
        <f>(IF((VLOOKUP(Table10[[#This Row],[SKU]],'All Skus'!$A:$AC,2,FALSE))="Martin",(VLOOKUP(Table10[[#This Row],[SKU]],'All Skus'!$A:$AC,6,FALSE)),""))</f>
        <v>0</v>
      </c>
      <c r="F591" s="155">
        <f>(IF((VLOOKUP(Table10[[#This Row],[SKU]],'All Skus'!$A:$AC,2,FALSE))="Martin",(VLOOKUP(Table10[[#This Row],[SKU]],'All Skus'!$A:$AC,7,FALSE)),""))</f>
        <v>0</v>
      </c>
      <c r="G591" s="223">
        <f>(IF((VLOOKUP(Table10[[#This Row],[SKU]],'All Skus'!$A:$AC,2,FALSE))="Martin",(VLOOKUP(Table10[[#This Row],[SKU]],'All Skus'!$A:$AC,8,FALSE)),""))</f>
        <v>0</v>
      </c>
      <c r="H591" s="223">
        <f>(IF((VLOOKUP(Table10[[#This Row],[SKU]],'All Skus'!$A:$AC,2,FALSE))="Martin",(VLOOKUP(Table10[[#This Row],[SKU]],'All Skus'!$A:$AC,9,FALSE)),""))</f>
        <v>0</v>
      </c>
      <c r="I591" s="225">
        <f>(IF((VLOOKUP(Table10[[#This Row],[SKU]],'All Skus'!$A:$AC,2,FALSE))="Martin",(VLOOKUP(Table10[[#This Row],[SKU]],'All Skus'!$A:$AC,10,FALSE)),""))</f>
        <v>0</v>
      </c>
      <c r="J591" s="226">
        <f>(IF((VLOOKUP(Table10[[#This Row],[SKU]],'All Skus'!$A:$AC,2,FALSE))="Martin",(VLOOKUP(Table10[[#This Row],[SKU]],'All Skus'!$A:$AC,11,FALSE)),""))</f>
        <v>0</v>
      </c>
      <c r="K591" s="224">
        <f>(IF((VLOOKUP(Table10[[#This Row],[SKU]],'All Skus'!$A:$AC,2,FALSE))="Martin",(VLOOKUP(Table10[[#This Row],[SKU]],'All Skus'!$A:$AC,15,FALSE)),""))</f>
        <v>0</v>
      </c>
      <c r="L591" s="224">
        <f>(IF((VLOOKUP(Table10[[#This Row],[SKU]],'All Skus'!$A:$AC,2,FALSE))="Martin",(VLOOKUP(Table10[[#This Row],[SKU]],'All Skus'!$A:$AC,16,FALSE)),""))</f>
        <v>0</v>
      </c>
      <c r="M591" s="224">
        <f>(IF((VLOOKUP(Table10[[#This Row],[SKU]],'All Skus'!$A:$AC,2,FALSE))="Martin",(VLOOKUP(Table10[[#This Row],[SKU]],'All Skus'!$A:$AC,17,FALSE)),""))</f>
        <v>0</v>
      </c>
      <c r="N591" s="227">
        <f>(IF((VLOOKUP(Table10[[#This Row],[SKU]],'All Skus'!$A:$AC,2,FALSE))="Martin",(VLOOKUP(Table10[[#This Row],[SKU]],'All Skus'!$A:$AC,18,FALSE)),""))</f>
        <v>0</v>
      </c>
      <c r="O591" s="227">
        <f>(IF((VLOOKUP(Table10[[#This Row],[SKU]],'All Skus'!$A:$AC,2,FALSE))="Martin",(VLOOKUP(Table10[[#This Row],[SKU]],'All Skus'!$A:$AC,19,FALSE)),""))</f>
        <v>0</v>
      </c>
      <c r="P591" s="227">
        <f>(IF((VLOOKUP(Table10[[#This Row],[SKU]],'All Skus'!$A:$AC,2,FALSE))="Martin",(VLOOKUP(Table10[[#This Row],[SKU]],'All Skus'!$A:$AC,20,FALSE)),""))</f>
        <v>0</v>
      </c>
      <c r="Q591" s="227">
        <f>(IF((VLOOKUP(Table10[[#This Row],[SKU]],'All Skus'!$A:$AC,2,FALSE))="Martin",(VLOOKUP(Table10[[#This Row],[SKU]],'All Skus'!$A:$AC,21,FALSE)),""))</f>
        <v>0</v>
      </c>
      <c r="R591" s="224">
        <f>(IF((VLOOKUP(Table10[[#This Row],[SKU]],'All Skus'!$A:$AC,2,FALSE))="Martin",(VLOOKUP(Table10[[#This Row],[SKU]],'All Skus'!$A:$AC,22,FALSE)),""))</f>
        <v>0</v>
      </c>
      <c r="S591" s="223">
        <f>(IF((VLOOKUP(Table10[[#This Row],[SKU]],'All Skus'!$A:$AC,2,FALSE))="Martin",(VLOOKUP(Table10[[#This Row],[SKU]],'All Skus'!$A:$AC,23,FALSE)),""))</f>
        <v>0</v>
      </c>
      <c r="T591" s="212" t="str">
        <f>HYPERLINK((IF((VLOOKUP(Table10[[#This Row],[SKU]],'All Skus'!$A:$AC,2,FALSE))="Martin",(VLOOKUP(Table10[[#This Row],[SKU]],'All Skus'!$A:$AC,24,FALSE)),"")))</f>
        <v/>
      </c>
      <c r="U591" s="228">
        <v>589</v>
      </c>
    </row>
    <row r="592" spans="1:21" hidden="1">
      <c r="A592" s="111" t="s">
        <v>2257</v>
      </c>
      <c r="B592" s="224">
        <f>(IF((VLOOKUP(Table10[[#This Row],[SKU]],'All Skus'!$A:$AC,2,FALSE))="Martin",(VLOOKUP(Table10[[#This Row],[SKU]],'All Skus'!$A:$AC,3,FALSE)),""))</f>
        <v>0</v>
      </c>
      <c r="C592" s="223">
        <f>(IF((VLOOKUP(Table10[[#This Row],[SKU]],'All Skus'!$A:$AC,2,FALSE))="Martin",(VLOOKUP(Table10[[#This Row],[SKU]],'All Skus'!$A:$AC,4,FALSE)),""))</f>
        <v>0</v>
      </c>
      <c r="D592" s="224">
        <f>(IF((VLOOKUP(Table10[[#This Row],[SKU]],'All Skus'!$A:$AC,2,FALSE))="Martin",(VLOOKUP(Table10[[#This Row],[SKU]],'All Skus'!$A:$AC,5,FALSE)),""))</f>
        <v>0</v>
      </c>
      <c r="E592" s="223">
        <f>(IF((VLOOKUP(Table10[[#This Row],[SKU]],'All Skus'!$A:$AC,2,FALSE))="Martin",(VLOOKUP(Table10[[#This Row],[SKU]],'All Skus'!$A:$AC,6,FALSE)),""))</f>
        <v>0</v>
      </c>
      <c r="F592" s="155">
        <f>(IF((VLOOKUP(Table10[[#This Row],[SKU]],'All Skus'!$A:$AC,2,FALSE))="Martin",(VLOOKUP(Table10[[#This Row],[SKU]],'All Skus'!$A:$AC,7,FALSE)),""))</f>
        <v>0</v>
      </c>
      <c r="G592" s="223">
        <f>(IF((VLOOKUP(Table10[[#This Row],[SKU]],'All Skus'!$A:$AC,2,FALSE))="Martin",(VLOOKUP(Table10[[#This Row],[SKU]],'All Skus'!$A:$AC,8,FALSE)),""))</f>
        <v>0</v>
      </c>
      <c r="H592" s="223">
        <f>(IF((VLOOKUP(Table10[[#This Row],[SKU]],'All Skus'!$A:$AC,2,FALSE))="Martin",(VLOOKUP(Table10[[#This Row],[SKU]],'All Skus'!$A:$AC,9,FALSE)),""))</f>
        <v>0</v>
      </c>
      <c r="I592" s="225">
        <f>(IF((VLOOKUP(Table10[[#This Row],[SKU]],'All Skus'!$A:$AC,2,FALSE))="Martin",(VLOOKUP(Table10[[#This Row],[SKU]],'All Skus'!$A:$AC,10,FALSE)),""))</f>
        <v>0</v>
      </c>
      <c r="J592" s="226">
        <f>(IF((VLOOKUP(Table10[[#This Row],[SKU]],'All Skus'!$A:$AC,2,FALSE))="Martin",(VLOOKUP(Table10[[#This Row],[SKU]],'All Skus'!$A:$AC,11,FALSE)),""))</f>
        <v>0</v>
      </c>
      <c r="K592" s="224">
        <f>(IF((VLOOKUP(Table10[[#This Row],[SKU]],'All Skus'!$A:$AC,2,FALSE))="Martin",(VLOOKUP(Table10[[#This Row],[SKU]],'All Skus'!$A:$AC,15,FALSE)),""))</f>
        <v>0</v>
      </c>
      <c r="L592" s="224">
        <f>(IF((VLOOKUP(Table10[[#This Row],[SKU]],'All Skus'!$A:$AC,2,FALSE))="Martin",(VLOOKUP(Table10[[#This Row],[SKU]],'All Skus'!$A:$AC,16,FALSE)),""))</f>
        <v>0</v>
      </c>
      <c r="M592" s="224">
        <f>(IF((VLOOKUP(Table10[[#This Row],[SKU]],'All Skus'!$A:$AC,2,FALSE))="Martin",(VLOOKUP(Table10[[#This Row],[SKU]],'All Skus'!$A:$AC,17,FALSE)),""))</f>
        <v>0</v>
      </c>
      <c r="N592" s="227">
        <f>(IF((VLOOKUP(Table10[[#This Row],[SKU]],'All Skus'!$A:$AC,2,FALSE))="Martin",(VLOOKUP(Table10[[#This Row],[SKU]],'All Skus'!$A:$AC,18,FALSE)),""))</f>
        <v>0</v>
      </c>
      <c r="O592" s="227">
        <f>(IF((VLOOKUP(Table10[[#This Row],[SKU]],'All Skus'!$A:$AC,2,FALSE))="Martin",(VLOOKUP(Table10[[#This Row],[SKU]],'All Skus'!$A:$AC,19,FALSE)),""))</f>
        <v>0</v>
      </c>
      <c r="P592" s="227">
        <f>(IF((VLOOKUP(Table10[[#This Row],[SKU]],'All Skus'!$A:$AC,2,FALSE))="Martin",(VLOOKUP(Table10[[#This Row],[SKU]],'All Skus'!$A:$AC,20,FALSE)),""))</f>
        <v>0</v>
      </c>
      <c r="Q592" s="227">
        <f>(IF((VLOOKUP(Table10[[#This Row],[SKU]],'All Skus'!$A:$AC,2,FALSE))="Martin",(VLOOKUP(Table10[[#This Row],[SKU]],'All Skus'!$A:$AC,21,FALSE)),""))</f>
        <v>0</v>
      </c>
      <c r="R592" s="224">
        <f>(IF((VLOOKUP(Table10[[#This Row],[SKU]],'All Skus'!$A:$AC,2,FALSE))="Martin",(VLOOKUP(Table10[[#This Row],[SKU]],'All Skus'!$A:$AC,22,FALSE)),""))</f>
        <v>0</v>
      </c>
      <c r="S592" s="223">
        <f>(IF((VLOOKUP(Table10[[#This Row],[SKU]],'All Skus'!$A:$AC,2,FALSE))="Martin",(VLOOKUP(Table10[[#This Row],[SKU]],'All Skus'!$A:$AC,23,FALSE)),""))</f>
        <v>0</v>
      </c>
      <c r="T592" s="212" t="str">
        <f>HYPERLINK((IF((VLOOKUP(Table10[[#This Row],[SKU]],'All Skus'!$A:$AC,2,FALSE))="Martin",(VLOOKUP(Table10[[#This Row],[SKU]],'All Skus'!$A:$AC,24,FALSE)),"")))</f>
        <v/>
      </c>
      <c r="U592" s="228">
        <v>590</v>
      </c>
    </row>
    <row r="593" spans="1:21" hidden="1">
      <c r="A593" s="115" t="s">
        <v>2258</v>
      </c>
      <c r="B593" s="224">
        <f>(IF((VLOOKUP(Table10[[#This Row],[SKU]],'All Skus'!$A:$AC,2,FALSE))="Martin",(VLOOKUP(Table10[[#This Row],[SKU]],'All Skus'!$A:$AC,3,FALSE)),""))</f>
        <v>0</v>
      </c>
      <c r="C593" s="223">
        <f>(IF((VLOOKUP(Table10[[#This Row],[SKU]],'All Skus'!$A:$AC,2,FALSE))="Martin",(VLOOKUP(Table10[[#This Row],[SKU]],'All Skus'!$A:$AC,4,FALSE)),""))</f>
        <v>0</v>
      </c>
      <c r="D593" s="224">
        <f>(IF((VLOOKUP(Table10[[#This Row],[SKU]],'All Skus'!$A:$AC,2,FALSE))="Martin",(VLOOKUP(Table10[[#This Row],[SKU]],'All Skus'!$A:$AC,5,FALSE)),""))</f>
        <v>0</v>
      </c>
      <c r="E593" s="223">
        <f>(IF((VLOOKUP(Table10[[#This Row],[SKU]],'All Skus'!$A:$AC,2,FALSE))="Martin",(VLOOKUP(Table10[[#This Row],[SKU]],'All Skus'!$A:$AC,6,FALSE)),""))</f>
        <v>0</v>
      </c>
      <c r="F593" s="155">
        <f>(IF((VLOOKUP(Table10[[#This Row],[SKU]],'All Skus'!$A:$AC,2,FALSE))="Martin",(VLOOKUP(Table10[[#This Row],[SKU]],'All Skus'!$A:$AC,7,FALSE)),""))</f>
        <v>0</v>
      </c>
      <c r="G593" s="223">
        <f>(IF((VLOOKUP(Table10[[#This Row],[SKU]],'All Skus'!$A:$AC,2,FALSE))="Martin",(VLOOKUP(Table10[[#This Row],[SKU]],'All Skus'!$A:$AC,8,FALSE)),""))</f>
        <v>0</v>
      </c>
      <c r="H593" s="223">
        <f>(IF((VLOOKUP(Table10[[#This Row],[SKU]],'All Skus'!$A:$AC,2,FALSE))="Martin",(VLOOKUP(Table10[[#This Row],[SKU]],'All Skus'!$A:$AC,9,FALSE)),""))</f>
        <v>0</v>
      </c>
      <c r="I593" s="225">
        <f>(IF((VLOOKUP(Table10[[#This Row],[SKU]],'All Skus'!$A:$AC,2,FALSE))="Martin",(VLOOKUP(Table10[[#This Row],[SKU]],'All Skus'!$A:$AC,10,FALSE)),""))</f>
        <v>0</v>
      </c>
      <c r="J593" s="226">
        <f>(IF((VLOOKUP(Table10[[#This Row],[SKU]],'All Skus'!$A:$AC,2,FALSE))="Martin",(VLOOKUP(Table10[[#This Row],[SKU]],'All Skus'!$A:$AC,11,FALSE)),""))</f>
        <v>0</v>
      </c>
      <c r="K593" s="224">
        <f>(IF((VLOOKUP(Table10[[#This Row],[SKU]],'All Skus'!$A:$AC,2,FALSE))="Martin",(VLOOKUP(Table10[[#This Row],[SKU]],'All Skus'!$A:$AC,15,FALSE)),""))</f>
        <v>0</v>
      </c>
      <c r="L593" s="224">
        <f>(IF((VLOOKUP(Table10[[#This Row],[SKU]],'All Skus'!$A:$AC,2,FALSE))="Martin",(VLOOKUP(Table10[[#This Row],[SKU]],'All Skus'!$A:$AC,16,FALSE)),""))</f>
        <v>0</v>
      </c>
      <c r="M593" s="224">
        <f>(IF((VLOOKUP(Table10[[#This Row],[SKU]],'All Skus'!$A:$AC,2,FALSE))="Martin",(VLOOKUP(Table10[[#This Row],[SKU]],'All Skus'!$A:$AC,17,FALSE)),""))</f>
        <v>0</v>
      </c>
      <c r="N593" s="227">
        <f>(IF((VLOOKUP(Table10[[#This Row],[SKU]],'All Skus'!$A:$AC,2,FALSE))="Martin",(VLOOKUP(Table10[[#This Row],[SKU]],'All Skus'!$A:$AC,18,FALSE)),""))</f>
        <v>0</v>
      </c>
      <c r="O593" s="227">
        <f>(IF((VLOOKUP(Table10[[#This Row],[SKU]],'All Skus'!$A:$AC,2,FALSE))="Martin",(VLOOKUP(Table10[[#This Row],[SKU]],'All Skus'!$A:$AC,19,FALSE)),""))</f>
        <v>0</v>
      </c>
      <c r="P593" s="227">
        <f>(IF((VLOOKUP(Table10[[#This Row],[SKU]],'All Skus'!$A:$AC,2,FALSE))="Martin",(VLOOKUP(Table10[[#This Row],[SKU]],'All Skus'!$A:$AC,20,FALSE)),""))</f>
        <v>0</v>
      </c>
      <c r="Q593" s="227">
        <f>(IF((VLOOKUP(Table10[[#This Row],[SKU]],'All Skus'!$A:$AC,2,FALSE))="Martin",(VLOOKUP(Table10[[#This Row],[SKU]],'All Skus'!$A:$AC,21,FALSE)),""))</f>
        <v>0</v>
      </c>
      <c r="R593" s="224">
        <f>(IF((VLOOKUP(Table10[[#This Row],[SKU]],'All Skus'!$A:$AC,2,FALSE))="Martin",(VLOOKUP(Table10[[#This Row],[SKU]],'All Skus'!$A:$AC,22,FALSE)),""))</f>
        <v>0</v>
      </c>
      <c r="S593" s="223">
        <f>(IF((VLOOKUP(Table10[[#This Row],[SKU]],'All Skus'!$A:$AC,2,FALSE))="Martin",(VLOOKUP(Table10[[#This Row],[SKU]],'All Skus'!$A:$AC,23,FALSE)),""))</f>
        <v>0</v>
      </c>
      <c r="T593" s="212" t="str">
        <f>HYPERLINK((IF((VLOOKUP(Table10[[#This Row],[SKU]],'All Skus'!$A:$AC,2,FALSE))="Martin",(VLOOKUP(Table10[[#This Row],[SKU]],'All Skus'!$A:$AC,24,FALSE)),"")))</f>
        <v/>
      </c>
      <c r="U593" s="228">
        <v>591</v>
      </c>
    </row>
    <row r="594" spans="1:21" hidden="1">
      <c r="A594" s="114">
        <v>90721090</v>
      </c>
      <c r="B594" s="224" t="str">
        <f>(IF((VLOOKUP(Table10[[#This Row],[SKU]],'All Skus'!$A:$AC,2,FALSE))="Martin",(VLOOKUP(Table10[[#This Row],[SKU]],'All Skus'!$A:$AC,3,FALSE)),""))</f>
        <v>Power &amp; Processing</v>
      </c>
      <c r="C594" s="223" t="str">
        <f>(IF((VLOOKUP(Table10[[#This Row],[SKU]],'All Skus'!$A:$AC,2,FALSE))="Martin",(VLOOKUP(Table10[[#This Row],[SKU]],'All Skus'!$A:$AC,4,FALSE)),""))</f>
        <v xml:space="preserve">P3-050 System Controller </v>
      </c>
      <c r="D594" s="224" t="str">
        <f>(IF((VLOOKUP(Table10[[#This Row],[SKU]],'All Skus'!$A:$AC,2,FALSE))="Martin",(VLOOKUP(Table10[[#This Row],[SKU]],'All Skus'!$A:$AC,5,FALSE)),""))</f>
        <v>MAR-P3</v>
      </c>
      <c r="E594" s="223">
        <f>(IF((VLOOKUP(Table10[[#This Row],[SKU]],'All Skus'!$A:$AC,2,FALSE))="Martin",(VLOOKUP(Table10[[#This Row],[SKU]],'All Skus'!$A:$AC,6,FALSE)),""))</f>
        <v>0</v>
      </c>
      <c r="F594" s="155" t="str">
        <f>(IF((VLOOKUP(Table10[[#This Row],[SKU]],'All Skus'!$A:$AC,2,FALSE))="Martin",(VLOOKUP(Table10[[#This Row],[SKU]],'All Skus'!$A:$AC,7,FALSE)),""))</f>
        <v>Limited availability - P3-150 now available for same price on E&amp;O</v>
      </c>
      <c r="G594" s="223" t="str">
        <f>(IF((VLOOKUP(Table10[[#This Row],[SKU]],'All Skus'!$A:$AC,2,FALSE))="Martin",(VLOOKUP(Table10[[#This Row],[SKU]],'All Skus'!$A:$AC,8,FALSE)),""))</f>
        <v xml:space="preserve">P3-050 System Controller </v>
      </c>
      <c r="H594" s="223" t="str">
        <f>(IF((VLOOKUP(Table10[[#This Row],[SKU]],'All Skus'!$A:$AC,2,FALSE))="Martin",(VLOOKUP(Table10[[#This Row],[SKU]],'All Skus'!$A:$AC,9,FALSE)),""))</f>
        <v xml:space="preserve">P3-050 System Controller </v>
      </c>
      <c r="I594" s="225">
        <f>(IF((VLOOKUP(Table10[[#This Row],[SKU]],'All Skus'!$A:$AC,2,FALSE))="Martin",(VLOOKUP(Table10[[#This Row],[SKU]],'All Skus'!$A:$AC,10,FALSE)),""))</f>
        <v>8643.35</v>
      </c>
      <c r="J594" s="226">
        <f>(IF((VLOOKUP(Table10[[#This Row],[SKU]],'All Skus'!$A:$AC,2,FALSE))="Martin",(VLOOKUP(Table10[[#This Row],[SKU]],'All Skus'!$A:$AC,11,FALSE)),""))</f>
        <v>8643.35</v>
      </c>
      <c r="K594" s="224">
        <f>(IF((VLOOKUP(Table10[[#This Row],[SKU]],'All Skus'!$A:$AC,2,FALSE))="Martin",(VLOOKUP(Table10[[#This Row],[SKU]],'All Skus'!$A:$AC,15,FALSE)),""))</f>
        <v>0</v>
      </c>
      <c r="L594" s="224">
        <f>(IF((VLOOKUP(Table10[[#This Row],[SKU]],'All Skus'!$A:$AC,2,FALSE))="Martin",(VLOOKUP(Table10[[#This Row],[SKU]],'All Skus'!$A:$AC,16,FALSE)),""))</f>
        <v>0</v>
      </c>
      <c r="M594" s="224">
        <f>(IF((VLOOKUP(Table10[[#This Row],[SKU]],'All Skus'!$A:$AC,2,FALSE))="Martin",(VLOOKUP(Table10[[#This Row],[SKU]],'All Skus'!$A:$AC,17,FALSE)),""))</f>
        <v>0</v>
      </c>
      <c r="N594" s="227">
        <f>(IF((VLOOKUP(Table10[[#This Row],[SKU]],'All Skus'!$A:$AC,2,FALSE))="Martin",(VLOOKUP(Table10[[#This Row],[SKU]],'All Skus'!$A:$AC,18,FALSE)),""))</f>
        <v>0</v>
      </c>
      <c r="O594" s="227">
        <f>(IF((VLOOKUP(Table10[[#This Row],[SKU]],'All Skus'!$A:$AC,2,FALSE))="Martin",(VLOOKUP(Table10[[#This Row],[SKU]],'All Skus'!$A:$AC,19,FALSE)),""))</f>
        <v>0</v>
      </c>
      <c r="P594" s="227">
        <f>(IF((VLOOKUP(Table10[[#This Row],[SKU]],'All Skus'!$A:$AC,2,FALSE))="Martin",(VLOOKUP(Table10[[#This Row],[SKU]],'All Skus'!$A:$AC,20,FALSE)),""))</f>
        <v>0</v>
      </c>
      <c r="Q594" s="227">
        <f>(IF((VLOOKUP(Table10[[#This Row],[SKU]],'All Skus'!$A:$AC,2,FALSE))="Martin",(VLOOKUP(Table10[[#This Row],[SKU]],'All Skus'!$A:$AC,21,FALSE)),""))</f>
        <v>0</v>
      </c>
      <c r="R594" s="224" t="str">
        <f>(IF((VLOOKUP(Table10[[#This Row],[SKU]],'All Skus'!$A:$AC,2,FALSE))="Martin",(VLOOKUP(Table10[[#This Row],[SKU]],'All Skus'!$A:$AC,22,FALSE)),""))</f>
        <v>GB</v>
      </c>
      <c r="S594" s="223">
        <f>(IF((VLOOKUP(Table10[[#This Row],[SKU]],'All Skus'!$A:$AC,2,FALSE))="Martin",(VLOOKUP(Table10[[#This Row],[SKU]],'All Skus'!$A:$AC,23,FALSE)),""))</f>
        <v>0</v>
      </c>
      <c r="T594" s="212" t="str">
        <f>HYPERLINK((IF((VLOOKUP(Table10[[#This Row],[SKU]],'All Skus'!$A:$AC,2,FALSE))="Martin",(VLOOKUP(Table10[[#This Row],[SKU]],'All Skus'!$A:$AC,24,FALSE)),"")))</f>
        <v/>
      </c>
      <c r="U594" s="228">
        <v>592</v>
      </c>
    </row>
    <row r="595" spans="1:21" hidden="1">
      <c r="A595" s="115" t="s">
        <v>2259</v>
      </c>
      <c r="B595" s="224">
        <f>(IF((VLOOKUP(Table10[[#This Row],[SKU]],'All Skus'!$A:$AC,2,FALSE))="Martin",(VLOOKUP(Table10[[#This Row],[SKU]],'All Skus'!$A:$AC,3,FALSE)),""))</f>
        <v>0</v>
      </c>
      <c r="C595" s="223">
        <f>(IF((VLOOKUP(Table10[[#This Row],[SKU]],'All Skus'!$A:$AC,2,FALSE))="Martin",(VLOOKUP(Table10[[#This Row],[SKU]],'All Skus'!$A:$AC,4,FALSE)),""))</f>
        <v>0</v>
      </c>
      <c r="D595" s="224">
        <f>(IF((VLOOKUP(Table10[[#This Row],[SKU]],'All Skus'!$A:$AC,2,FALSE))="Martin",(VLOOKUP(Table10[[#This Row],[SKU]],'All Skus'!$A:$AC,5,FALSE)),""))</f>
        <v>0</v>
      </c>
      <c r="E595" s="223">
        <f>(IF((VLOOKUP(Table10[[#This Row],[SKU]],'All Skus'!$A:$AC,2,FALSE))="Martin",(VLOOKUP(Table10[[#This Row],[SKU]],'All Skus'!$A:$AC,6,FALSE)),""))</f>
        <v>0</v>
      </c>
      <c r="F595" s="155">
        <f>(IF((VLOOKUP(Table10[[#This Row],[SKU]],'All Skus'!$A:$AC,2,FALSE))="Martin",(VLOOKUP(Table10[[#This Row],[SKU]],'All Skus'!$A:$AC,7,FALSE)),""))</f>
        <v>0</v>
      </c>
      <c r="G595" s="223">
        <f>(IF((VLOOKUP(Table10[[#This Row],[SKU]],'All Skus'!$A:$AC,2,FALSE))="Martin",(VLOOKUP(Table10[[#This Row],[SKU]],'All Skus'!$A:$AC,8,FALSE)),""))</f>
        <v>0</v>
      </c>
      <c r="H595" s="223">
        <f>(IF((VLOOKUP(Table10[[#This Row],[SKU]],'All Skus'!$A:$AC,2,FALSE))="Martin",(VLOOKUP(Table10[[#This Row],[SKU]],'All Skus'!$A:$AC,9,FALSE)),""))</f>
        <v>0</v>
      </c>
      <c r="I595" s="225">
        <f>(IF((VLOOKUP(Table10[[#This Row],[SKU]],'All Skus'!$A:$AC,2,FALSE))="Martin",(VLOOKUP(Table10[[#This Row],[SKU]],'All Skus'!$A:$AC,10,FALSE)),""))</f>
        <v>0</v>
      </c>
      <c r="J595" s="226">
        <f>(IF((VLOOKUP(Table10[[#This Row],[SKU]],'All Skus'!$A:$AC,2,FALSE))="Martin",(VLOOKUP(Table10[[#This Row],[SKU]],'All Skus'!$A:$AC,11,FALSE)),""))</f>
        <v>0</v>
      </c>
      <c r="K595" s="224">
        <f>(IF((VLOOKUP(Table10[[#This Row],[SKU]],'All Skus'!$A:$AC,2,FALSE))="Martin",(VLOOKUP(Table10[[#This Row],[SKU]],'All Skus'!$A:$AC,15,FALSE)),""))</f>
        <v>0</v>
      </c>
      <c r="L595" s="224">
        <f>(IF((VLOOKUP(Table10[[#This Row],[SKU]],'All Skus'!$A:$AC,2,FALSE))="Martin",(VLOOKUP(Table10[[#This Row],[SKU]],'All Skus'!$A:$AC,16,FALSE)),""))</f>
        <v>0</v>
      </c>
      <c r="M595" s="224">
        <f>(IF((VLOOKUP(Table10[[#This Row],[SKU]],'All Skus'!$A:$AC,2,FALSE))="Martin",(VLOOKUP(Table10[[#This Row],[SKU]],'All Skus'!$A:$AC,17,FALSE)),""))</f>
        <v>0</v>
      </c>
      <c r="N595" s="227">
        <f>(IF((VLOOKUP(Table10[[#This Row],[SKU]],'All Skus'!$A:$AC,2,FALSE))="Martin",(VLOOKUP(Table10[[#This Row],[SKU]],'All Skus'!$A:$AC,18,FALSE)),""))</f>
        <v>0</v>
      </c>
      <c r="O595" s="227">
        <f>(IF((VLOOKUP(Table10[[#This Row],[SKU]],'All Skus'!$A:$AC,2,FALSE))="Martin",(VLOOKUP(Table10[[#This Row],[SKU]],'All Skus'!$A:$AC,19,FALSE)),""))</f>
        <v>0</v>
      </c>
      <c r="P595" s="227">
        <f>(IF((VLOOKUP(Table10[[#This Row],[SKU]],'All Skus'!$A:$AC,2,FALSE))="Martin",(VLOOKUP(Table10[[#This Row],[SKU]],'All Skus'!$A:$AC,20,FALSE)),""))</f>
        <v>0</v>
      </c>
      <c r="Q595" s="227">
        <f>(IF((VLOOKUP(Table10[[#This Row],[SKU]],'All Skus'!$A:$AC,2,FALSE))="Martin",(VLOOKUP(Table10[[#This Row],[SKU]],'All Skus'!$A:$AC,21,FALSE)),""))</f>
        <v>0</v>
      </c>
      <c r="R595" s="224">
        <f>(IF((VLOOKUP(Table10[[#This Row],[SKU]],'All Skus'!$A:$AC,2,FALSE))="Martin",(VLOOKUP(Table10[[#This Row],[SKU]],'All Skus'!$A:$AC,22,FALSE)),""))</f>
        <v>0</v>
      </c>
      <c r="S595" s="223">
        <f>(IF((VLOOKUP(Table10[[#This Row],[SKU]],'All Skus'!$A:$AC,2,FALSE))="Martin",(VLOOKUP(Table10[[#This Row],[SKU]],'All Skus'!$A:$AC,23,FALSE)),""))</f>
        <v>0</v>
      </c>
      <c r="T595" s="212" t="str">
        <f>HYPERLINK((IF((VLOOKUP(Table10[[#This Row],[SKU]],'All Skus'!$A:$AC,2,FALSE))="Martin",(VLOOKUP(Table10[[#This Row],[SKU]],'All Skus'!$A:$AC,24,FALSE)),"")))</f>
        <v/>
      </c>
      <c r="U595" s="228">
        <v>593</v>
      </c>
    </row>
    <row r="596" spans="1:21" hidden="1">
      <c r="A596" s="114">
        <v>90721015</v>
      </c>
      <c r="B596" s="224" t="str">
        <f>(IF((VLOOKUP(Table10[[#This Row],[SKU]],'All Skus'!$A:$AC,2,FALSE))="Martin",(VLOOKUP(Table10[[#This Row],[SKU]],'All Skus'!$A:$AC,3,FALSE)),""))</f>
        <v>Power &amp; Processing</v>
      </c>
      <c r="C596" s="223" t="str">
        <f>(IF((VLOOKUP(Table10[[#This Row],[SKU]],'All Skus'!$A:$AC,2,FALSE))="Martin",(VLOOKUP(Table10[[#This Row],[SKU]],'All Skus'!$A:$AC,4,FALSE)),""))</f>
        <v xml:space="preserve">P3-150 System Controller </v>
      </c>
      <c r="D596" s="224" t="str">
        <f>(IF((VLOOKUP(Table10[[#This Row],[SKU]],'All Skus'!$A:$AC,2,FALSE))="Martin",(VLOOKUP(Table10[[#This Row],[SKU]],'All Skus'!$A:$AC,5,FALSE)),""))</f>
        <v>MAR-P3</v>
      </c>
      <c r="E596" s="223">
        <f>(IF((VLOOKUP(Table10[[#This Row],[SKU]],'All Skus'!$A:$AC,2,FALSE))="Martin",(VLOOKUP(Table10[[#This Row],[SKU]],'All Skus'!$A:$AC,6,FALSE)),""))</f>
        <v>0</v>
      </c>
      <c r="F596" s="155">
        <f>(IF((VLOOKUP(Table10[[#This Row],[SKU]],'All Skus'!$A:$AC,2,FALSE))="Martin",(VLOOKUP(Table10[[#This Row],[SKU]],'All Skus'!$A:$AC,7,FALSE)),""))</f>
        <v>0</v>
      </c>
      <c r="G596" s="223" t="str">
        <f>(IF((VLOOKUP(Table10[[#This Row],[SKU]],'All Skus'!$A:$AC,2,FALSE))="Martin",(VLOOKUP(Table10[[#This Row],[SKU]],'All Skus'!$A:$AC,8,FALSE)),""))</f>
        <v xml:space="preserve">P3-150 System Controller </v>
      </c>
      <c r="H596" s="223" t="str">
        <f>(IF((VLOOKUP(Table10[[#This Row],[SKU]],'All Skus'!$A:$AC,2,FALSE))="Martin",(VLOOKUP(Table10[[#This Row],[SKU]],'All Skus'!$A:$AC,9,FALSE)),""))</f>
        <v xml:space="preserve">P3-150 System Controller </v>
      </c>
      <c r="I596" s="225">
        <f>(IF((VLOOKUP(Table10[[#This Row],[SKU]],'All Skus'!$A:$AC,2,FALSE))="Martin",(VLOOKUP(Table10[[#This Row],[SKU]],'All Skus'!$A:$AC,10,FALSE)),""))</f>
        <v>15434.55</v>
      </c>
      <c r="J596" s="226">
        <f>(IF((VLOOKUP(Table10[[#This Row],[SKU]],'All Skus'!$A:$AC,2,FALSE))="Martin",(VLOOKUP(Table10[[#This Row],[SKU]],'All Skus'!$A:$AC,11,FALSE)),""))</f>
        <v>15434.55</v>
      </c>
      <c r="K596" s="224">
        <f>(IF((VLOOKUP(Table10[[#This Row],[SKU]],'All Skus'!$A:$AC,2,FALSE))="Martin",(VLOOKUP(Table10[[#This Row],[SKU]],'All Skus'!$A:$AC,15,FALSE)),""))</f>
        <v>0</v>
      </c>
      <c r="L596" s="224">
        <f>(IF((VLOOKUP(Table10[[#This Row],[SKU]],'All Skus'!$A:$AC,2,FALSE))="Martin",(VLOOKUP(Table10[[#This Row],[SKU]],'All Skus'!$A:$AC,16,FALSE)),""))</f>
        <v>0</v>
      </c>
      <c r="M596" s="224">
        <f>(IF((VLOOKUP(Table10[[#This Row],[SKU]],'All Skus'!$A:$AC,2,FALSE))="Martin",(VLOOKUP(Table10[[#This Row],[SKU]],'All Skus'!$A:$AC,17,FALSE)),""))</f>
        <v>0</v>
      </c>
      <c r="N596" s="227">
        <f>(IF((VLOOKUP(Table10[[#This Row],[SKU]],'All Skus'!$A:$AC,2,FALSE))="Martin",(VLOOKUP(Table10[[#This Row],[SKU]],'All Skus'!$A:$AC,18,FALSE)),""))</f>
        <v>0</v>
      </c>
      <c r="O596" s="227">
        <f>(IF((VLOOKUP(Table10[[#This Row],[SKU]],'All Skus'!$A:$AC,2,FALSE))="Martin",(VLOOKUP(Table10[[#This Row],[SKU]],'All Skus'!$A:$AC,19,FALSE)),""))</f>
        <v>0</v>
      </c>
      <c r="P596" s="227">
        <f>(IF((VLOOKUP(Table10[[#This Row],[SKU]],'All Skus'!$A:$AC,2,FALSE))="Martin",(VLOOKUP(Table10[[#This Row],[SKU]],'All Skus'!$A:$AC,20,FALSE)),""))</f>
        <v>0</v>
      </c>
      <c r="Q596" s="227">
        <f>(IF((VLOOKUP(Table10[[#This Row],[SKU]],'All Skus'!$A:$AC,2,FALSE))="Martin",(VLOOKUP(Table10[[#This Row],[SKU]],'All Skus'!$A:$AC,21,FALSE)),""))</f>
        <v>0</v>
      </c>
      <c r="R596" s="224" t="str">
        <f>(IF((VLOOKUP(Table10[[#This Row],[SKU]],'All Skus'!$A:$AC,2,FALSE))="Martin",(VLOOKUP(Table10[[#This Row],[SKU]],'All Skus'!$A:$AC,22,FALSE)),""))</f>
        <v>GB</v>
      </c>
      <c r="S596" s="223">
        <f>(IF((VLOOKUP(Table10[[#This Row],[SKU]],'All Skus'!$A:$AC,2,FALSE))="Martin",(VLOOKUP(Table10[[#This Row],[SKU]],'All Skus'!$A:$AC,23,FALSE)),""))</f>
        <v>0</v>
      </c>
      <c r="T596" s="212" t="str">
        <f>HYPERLINK((IF((VLOOKUP(Table10[[#This Row],[SKU]],'All Skus'!$A:$AC,2,FALSE))="Martin",(VLOOKUP(Table10[[#This Row],[SKU]],'All Skus'!$A:$AC,24,FALSE)),"")))</f>
        <v/>
      </c>
      <c r="U596" s="228">
        <v>594</v>
      </c>
    </row>
    <row r="597" spans="1:21" hidden="1">
      <c r="A597" s="115" t="s">
        <v>2260</v>
      </c>
      <c r="B597" s="224">
        <f>(IF((VLOOKUP(Table10[[#This Row],[SKU]],'All Skus'!$A:$AC,2,FALSE))="Martin",(VLOOKUP(Table10[[#This Row],[SKU]],'All Skus'!$A:$AC,3,FALSE)),""))</f>
        <v>0</v>
      </c>
      <c r="C597" s="223">
        <f>(IF((VLOOKUP(Table10[[#This Row],[SKU]],'All Skus'!$A:$AC,2,FALSE))="Martin",(VLOOKUP(Table10[[#This Row],[SKU]],'All Skus'!$A:$AC,4,FALSE)),""))</f>
        <v>0</v>
      </c>
      <c r="D597" s="224">
        <f>(IF((VLOOKUP(Table10[[#This Row],[SKU]],'All Skus'!$A:$AC,2,FALSE))="Martin",(VLOOKUP(Table10[[#This Row],[SKU]],'All Skus'!$A:$AC,5,FALSE)),""))</f>
        <v>0</v>
      </c>
      <c r="E597" s="223">
        <f>(IF((VLOOKUP(Table10[[#This Row],[SKU]],'All Skus'!$A:$AC,2,FALSE))="Martin",(VLOOKUP(Table10[[#This Row],[SKU]],'All Skus'!$A:$AC,6,FALSE)),""))</f>
        <v>0</v>
      </c>
      <c r="F597" s="155">
        <f>(IF((VLOOKUP(Table10[[#This Row],[SKU]],'All Skus'!$A:$AC,2,FALSE))="Martin",(VLOOKUP(Table10[[#This Row],[SKU]],'All Skus'!$A:$AC,7,FALSE)),""))</f>
        <v>0</v>
      </c>
      <c r="G597" s="223">
        <f>(IF((VLOOKUP(Table10[[#This Row],[SKU]],'All Skus'!$A:$AC,2,FALSE))="Martin",(VLOOKUP(Table10[[#This Row],[SKU]],'All Skus'!$A:$AC,8,FALSE)),""))</f>
        <v>0</v>
      </c>
      <c r="H597" s="223">
        <f>(IF((VLOOKUP(Table10[[#This Row],[SKU]],'All Skus'!$A:$AC,2,FALSE))="Martin",(VLOOKUP(Table10[[#This Row],[SKU]],'All Skus'!$A:$AC,9,FALSE)),""))</f>
        <v>0</v>
      </c>
      <c r="I597" s="225">
        <f>(IF((VLOOKUP(Table10[[#This Row],[SKU]],'All Skus'!$A:$AC,2,FALSE))="Martin",(VLOOKUP(Table10[[#This Row],[SKU]],'All Skus'!$A:$AC,10,FALSE)),""))</f>
        <v>0</v>
      </c>
      <c r="J597" s="226">
        <f>(IF((VLOOKUP(Table10[[#This Row],[SKU]],'All Skus'!$A:$AC,2,FALSE))="Martin",(VLOOKUP(Table10[[#This Row],[SKU]],'All Skus'!$A:$AC,11,FALSE)),""))</f>
        <v>0</v>
      </c>
      <c r="K597" s="224">
        <f>(IF((VLOOKUP(Table10[[#This Row],[SKU]],'All Skus'!$A:$AC,2,FALSE))="Martin",(VLOOKUP(Table10[[#This Row],[SKU]],'All Skus'!$A:$AC,15,FALSE)),""))</f>
        <v>0</v>
      </c>
      <c r="L597" s="224">
        <f>(IF((VLOOKUP(Table10[[#This Row],[SKU]],'All Skus'!$A:$AC,2,FALSE))="Martin",(VLOOKUP(Table10[[#This Row],[SKU]],'All Skus'!$A:$AC,16,FALSE)),""))</f>
        <v>0</v>
      </c>
      <c r="M597" s="224">
        <f>(IF((VLOOKUP(Table10[[#This Row],[SKU]],'All Skus'!$A:$AC,2,FALSE))="Martin",(VLOOKUP(Table10[[#This Row],[SKU]],'All Skus'!$A:$AC,17,FALSE)),""))</f>
        <v>0</v>
      </c>
      <c r="N597" s="227">
        <f>(IF((VLOOKUP(Table10[[#This Row],[SKU]],'All Skus'!$A:$AC,2,FALSE))="Martin",(VLOOKUP(Table10[[#This Row],[SKU]],'All Skus'!$A:$AC,18,FALSE)),""))</f>
        <v>0</v>
      </c>
      <c r="O597" s="227">
        <f>(IF((VLOOKUP(Table10[[#This Row],[SKU]],'All Skus'!$A:$AC,2,FALSE))="Martin",(VLOOKUP(Table10[[#This Row],[SKU]],'All Skus'!$A:$AC,19,FALSE)),""))</f>
        <v>0</v>
      </c>
      <c r="P597" s="227">
        <f>(IF((VLOOKUP(Table10[[#This Row],[SKU]],'All Skus'!$A:$AC,2,FALSE))="Martin",(VLOOKUP(Table10[[#This Row],[SKU]],'All Skus'!$A:$AC,20,FALSE)),""))</f>
        <v>0</v>
      </c>
      <c r="Q597" s="227">
        <f>(IF((VLOOKUP(Table10[[#This Row],[SKU]],'All Skus'!$A:$AC,2,FALSE))="Martin",(VLOOKUP(Table10[[#This Row],[SKU]],'All Skus'!$A:$AC,21,FALSE)),""))</f>
        <v>0</v>
      </c>
      <c r="R597" s="224">
        <f>(IF((VLOOKUP(Table10[[#This Row],[SKU]],'All Skus'!$A:$AC,2,FALSE))="Martin",(VLOOKUP(Table10[[#This Row],[SKU]],'All Skus'!$A:$AC,22,FALSE)),""))</f>
        <v>0</v>
      </c>
      <c r="S597" s="223">
        <f>(IF((VLOOKUP(Table10[[#This Row],[SKU]],'All Skus'!$A:$AC,2,FALSE))="Martin",(VLOOKUP(Table10[[#This Row],[SKU]],'All Skus'!$A:$AC,23,FALSE)),""))</f>
        <v>0</v>
      </c>
      <c r="T597" s="212" t="str">
        <f>HYPERLINK((IF((VLOOKUP(Table10[[#This Row],[SKU]],'All Skus'!$A:$AC,2,FALSE))="Martin",(VLOOKUP(Table10[[#This Row],[SKU]],'All Skus'!$A:$AC,24,FALSE)),"")))</f>
        <v/>
      </c>
      <c r="U597" s="228">
        <v>595</v>
      </c>
    </row>
    <row r="598" spans="1:21" hidden="1">
      <c r="A598" s="114">
        <v>90721060</v>
      </c>
      <c r="B598" s="224" t="str">
        <f>(IF((VLOOKUP(Table10[[#This Row],[SKU]],'All Skus'!$A:$AC,2,FALSE))="Martin",(VLOOKUP(Table10[[#This Row],[SKU]],'All Skus'!$A:$AC,3,FALSE)),""))</f>
        <v>Power &amp; Processing</v>
      </c>
      <c r="C598" s="223" t="str">
        <f>(IF((VLOOKUP(Table10[[#This Row],[SKU]],'All Skus'!$A:$AC,2,FALSE))="Martin",(VLOOKUP(Table10[[#This Row],[SKU]],'All Skus'!$A:$AC,4,FALSE)),""))</f>
        <v>P3-300 System Controller</v>
      </c>
      <c r="D598" s="224" t="str">
        <f>(IF((VLOOKUP(Table10[[#This Row],[SKU]],'All Skus'!$A:$AC,2,FALSE))="Martin",(VLOOKUP(Table10[[#This Row],[SKU]],'All Skus'!$A:$AC,5,FALSE)),""))</f>
        <v>MAR-P3</v>
      </c>
      <c r="E598" s="223">
        <f>(IF((VLOOKUP(Table10[[#This Row],[SKU]],'All Skus'!$A:$AC,2,FALSE))="Martin",(VLOOKUP(Table10[[#This Row],[SKU]],'All Skus'!$A:$AC,6,FALSE)),""))</f>
        <v>0</v>
      </c>
      <c r="F598" s="155">
        <f>(IF((VLOOKUP(Table10[[#This Row],[SKU]],'All Skus'!$A:$AC,2,FALSE))="Martin",(VLOOKUP(Table10[[#This Row],[SKU]],'All Skus'!$A:$AC,7,FALSE)),""))</f>
        <v>0</v>
      </c>
      <c r="G598" s="223" t="str">
        <f>(IF((VLOOKUP(Table10[[#This Row],[SKU]],'All Skus'!$A:$AC,2,FALSE))="Martin",(VLOOKUP(Table10[[#This Row],[SKU]],'All Skus'!$A:$AC,8,FALSE)),""))</f>
        <v>P3-300 System Controller</v>
      </c>
      <c r="H598" s="223" t="str">
        <f>(IF((VLOOKUP(Table10[[#This Row],[SKU]],'All Skus'!$A:$AC,2,FALSE))="Martin",(VLOOKUP(Table10[[#This Row],[SKU]],'All Skus'!$A:$AC,9,FALSE)),""))</f>
        <v>P3-300 System Controller</v>
      </c>
      <c r="I598" s="225">
        <f>(IF((VLOOKUP(Table10[[#This Row],[SKU]],'All Skus'!$A:$AC,2,FALSE))="Martin",(VLOOKUP(Table10[[#This Row],[SKU]],'All Skus'!$A:$AC,10,FALSE)),""))</f>
        <v>41735.019999999997</v>
      </c>
      <c r="J598" s="226">
        <f>(IF((VLOOKUP(Table10[[#This Row],[SKU]],'All Skus'!$A:$AC,2,FALSE))="Martin",(VLOOKUP(Table10[[#This Row],[SKU]],'All Skus'!$A:$AC,11,FALSE)),""))</f>
        <v>41735.019999999997</v>
      </c>
      <c r="K598" s="224">
        <f>(IF((VLOOKUP(Table10[[#This Row],[SKU]],'All Skus'!$A:$AC,2,FALSE))="Martin",(VLOOKUP(Table10[[#This Row],[SKU]],'All Skus'!$A:$AC,15,FALSE)),""))</f>
        <v>25.353129999999997</v>
      </c>
      <c r="L598" s="224">
        <f>(IF((VLOOKUP(Table10[[#This Row],[SKU]],'All Skus'!$A:$AC,2,FALSE))="Martin",(VLOOKUP(Table10[[#This Row],[SKU]],'All Skus'!$A:$AC,16,FALSE)),""))</f>
        <v>0</v>
      </c>
      <c r="M598" s="224">
        <f>(IF((VLOOKUP(Table10[[#This Row],[SKU]],'All Skus'!$A:$AC,2,FALSE))="Martin",(VLOOKUP(Table10[[#This Row],[SKU]],'All Skus'!$A:$AC,17,FALSE)),""))</f>
        <v>0</v>
      </c>
      <c r="N598" s="227">
        <f>(IF((VLOOKUP(Table10[[#This Row],[SKU]],'All Skus'!$A:$AC,2,FALSE))="Martin",(VLOOKUP(Table10[[#This Row],[SKU]],'All Skus'!$A:$AC,18,FALSE)),""))</f>
        <v>0</v>
      </c>
      <c r="O598" s="227">
        <f>(IF((VLOOKUP(Table10[[#This Row],[SKU]],'All Skus'!$A:$AC,2,FALSE))="Martin",(VLOOKUP(Table10[[#This Row],[SKU]],'All Skus'!$A:$AC,19,FALSE)),""))</f>
        <v>0</v>
      </c>
      <c r="P598" s="227">
        <f>(IF((VLOOKUP(Table10[[#This Row],[SKU]],'All Skus'!$A:$AC,2,FALSE))="Martin",(VLOOKUP(Table10[[#This Row],[SKU]],'All Skus'!$A:$AC,20,FALSE)),""))</f>
        <v>0</v>
      </c>
      <c r="Q598" s="227">
        <f>(IF((VLOOKUP(Table10[[#This Row],[SKU]],'All Skus'!$A:$AC,2,FALSE))="Martin",(VLOOKUP(Table10[[#This Row],[SKU]],'All Skus'!$A:$AC,21,FALSE)),""))</f>
        <v>0</v>
      </c>
      <c r="R598" s="224" t="str">
        <f>(IF((VLOOKUP(Table10[[#This Row],[SKU]],'All Skus'!$A:$AC,2,FALSE))="Martin",(VLOOKUP(Table10[[#This Row],[SKU]],'All Skus'!$A:$AC,22,FALSE)),""))</f>
        <v>GB</v>
      </c>
      <c r="S598" s="223">
        <f>(IF((VLOOKUP(Table10[[#This Row],[SKU]],'All Skus'!$A:$AC,2,FALSE))="Martin",(VLOOKUP(Table10[[#This Row],[SKU]],'All Skus'!$A:$AC,23,FALSE)),""))</f>
        <v>0</v>
      </c>
      <c r="T598" s="212" t="str">
        <f>HYPERLINK((IF((VLOOKUP(Table10[[#This Row],[SKU]],'All Skus'!$A:$AC,2,FALSE))="Martin",(VLOOKUP(Table10[[#This Row],[SKU]],'All Skus'!$A:$AC,24,FALSE)),"")))</f>
        <v/>
      </c>
      <c r="U598" s="228">
        <v>596</v>
      </c>
    </row>
    <row r="599" spans="1:21" hidden="1">
      <c r="A599" s="111" t="s">
        <v>2261</v>
      </c>
      <c r="B599" s="224">
        <f>(IF((VLOOKUP(Table10[[#This Row],[SKU]],'All Skus'!$A:$AC,2,FALSE))="Martin",(VLOOKUP(Table10[[#This Row],[SKU]],'All Skus'!$A:$AC,3,FALSE)),""))</f>
        <v>0</v>
      </c>
      <c r="C599" s="223">
        <f>(IF((VLOOKUP(Table10[[#This Row],[SKU]],'All Skus'!$A:$AC,2,FALSE))="Martin",(VLOOKUP(Table10[[#This Row],[SKU]],'All Skus'!$A:$AC,4,FALSE)),""))</f>
        <v>0</v>
      </c>
      <c r="D599" s="224">
        <f>(IF((VLOOKUP(Table10[[#This Row],[SKU]],'All Skus'!$A:$AC,2,FALSE))="Martin",(VLOOKUP(Table10[[#This Row],[SKU]],'All Skus'!$A:$AC,5,FALSE)),""))</f>
        <v>0</v>
      </c>
      <c r="E599" s="223">
        <f>(IF((VLOOKUP(Table10[[#This Row],[SKU]],'All Skus'!$A:$AC,2,FALSE))="Martin",(VLOOKUP(Table10[[#This Row],[SKU]],'All Skus'!$A:$AC,6,FALSE)),""))</f>
        <v>0</v>
      </c>
      <c r="F599" s="155">
        <f>(IF((VLOOKUP(Table10[[#This Row],[SKU]],'All Skus'!$A:$AC,2,FALSE))="Martin",(VLOOKUP(Table10[[#This Row],[SKU]],'All Skus'!$A:$AC,7,FALSE)),""))</f>
        <v>0</v>
      </c>
      <c r="G599" s="223">
        <f>(IF((VLOOKUP(Table10[[#This Row],[SKU]],'All Skus'!$A:$AC,2,FALSE))="Martin",(VLOOKUP(Table10[[#This Row],[SKU]],'All Skus'!$A:$AC,8,FALSE)),""))</f>
        <v>0</v>
      </c>
      <c r="H599" s="223">
        <f>(IF((VLOOKUP(Table10[[#This Row],[SKU]],'All Skus'!$A:$AC,2,FALSE))="Martin",(VLOOKUP(Table10[[#This Row],[SKU]],'All Skus'!$A:$AC,9,FALSE)),""))</f>
        <v>0</v>
      </c>
      <c r="I599" s="225">
        <f>(IF((VLOOKUP(Table10[[#This Row],[SKU]],'All Skus'!$A:$AC,2,FALSE))="Martin",(VLOOKUP(Table10[[#This Row],[SKU]],'All Skus'!$A:$AC,10,FALSE)),""))</f>
        <v>0</v>
      </c>
      <c r="J599" s="226">
        <f>(IF((VLOOKUP(Table10[[#This Row],[SKU]],'All Skus'!$A:$AC,2,FALSE))="Martin",(VLOOKUP(Table10[[#This Row],[SKU]],'All Skus'!$A:$AC,11,FALSE)),""))</f>
        <v>0</v>
      </c>
      <c r="K599" s="224">
        <f>(IF((VLOOKUP(Table10[[#This Row],[SKU]],'All Skus'!$A:$AC,2,FALSE))="Martin",(VLOOKUP(Table10[[#This Row],[SKU]],'All Skus'!$A:$AC,15,FALSE)),""))</f>
        <v>0</v>
      </c>
      <c r="L599" s="224">
        <f>(IF((VLOOKUP(Table10[[#This Row],[SKU]],'All Skus'!$A:$AC,2,FALSE))="Martin",(VLOOKUP(Table10[[#This Row],[SKU]],'All Skus'!$A:$AC,16,FALSE)),""))</f>
        <v>0</v>
      </c>
      <c r="M599" s="224">
        <f>(IF((VLOOKUP(Table10[[#This Row],[SKU]],'All Skus'!$A:$AC,2,FALSE))="Martin",(VLOOKUP(Table10[[#This Row],[SKU]],'All Skus'!$A:$AC,17,FALSE)),""))</f>
        <v>0</v>
      </c>
      <c r="N599" s="227">
        <f>(IF((VLOOKUP(Table10[[#This Row],[SKU]],'All Skus'!$A:$AC,2,FALSE))="Martin",(VLOOKUP(Table10[[#This Row],[SKU]],'All Skus'!$A:$AC,18,FALSE)),""))</f>
        <v>0</v>
      </c>
      <c r="O599" s="227">
        <f>(IF((VLOOKUP(Table10[[#This Row],[SKU]],'All Skus'!$A:$AC,2,FALSE))="Martin",(VLOOKUP(Table10[[#This Row],[SKU]],'All Skus'!$A:$AC,19,FALSE)),""))</f>
        <v>0</v>
      </c>
      <c r="P599" s="227">
        <f>(IF((VLOOKUP(Table10[[#This Row],[SKU]],'All Skus'!$A:$AC,2,FALSE))="Martin",(VLOOKUP(Table10[[#This Row],[SKU]],'All Skus'!$A:$AC,20,FALSE)),""))</f>
        <v>0</v>
      </c>
      <c r="Q599" s="227">
        <f>(IF((VLOOKUP(Table10[[#This Row],[SKU]],'All Skus'!$A:$AC,2,FALSE))="Martin",(VLOOKUP(Table10[[#This Row],[SKU]],'All Skus'!$A:$AC,21,FALSE)),""))</f>
        <v>0</v>
      </c>
      <c r="R599" s="224">
        <f>(IF((VLOOKUP(Table10[[#This Row],[SKU]],'All Skus'!$A:$AC,2,FALSE))="Martin",(VLOOKUP(Table10[[#This Row],[SKU]],'All Skus'!$A:$AC,22,FALSE)),""))</f>
        <v>0</v>
      </c>
      <c r="S599" s="223">
        <f>(IF((VLOOKUP(Table10[[#This Row],[SKU]],'All Skus'!$A:$AC,2,FALSE))="Martin",(VLOOKUP(Table10[[#This Row],[SKU]],'All Skus'!$A:$AC,23,FALSE)),""))</f>
        <v>0</v>
      </c>
      <c r="T599" s="212" t="str">
        <f>HYPERLINK((IF((VLOOKUP(Table10[[#This Row],[SKU]],'All Skus'!$A:$AC,2,FALSE))="Martin",(VLOOKUP(Table10[[#This Row],[SKU]],'All Skus'!$A:$AC,24,FALSE)),"")))</f>
        <v/>
      </c>
      <c r="U599" s="228">
        <v>597</v>
      </c>
    </row>
    <row r="600" spans="1:21" hidden="1">
      <c r="A600" s="115" t="s">
        <v>2262</v>
      </c>
      <c r="B600" s="224">
        <f>(IF((VLOOKUP(Table10[[#This Row],[SKU]],'All Skus'!$A:$AC,2,FALSE))="Martin",(VLOOKUP(Table10[[#This Row],[SKU]],'All Skus'!$A:$AC,3,FALSE)),""))</f>
        <v>0</v>
      </c>
      <c r="C600" s="223">
        <f>(IF((VLOOKUP(Table10[[#This Row],[SKU]],'All Skus'!$A:$AC,2,FALSE))="Martin",(VLOOKUP(Table10[[#This Row],[SKU]],'All Skus'!$A:$AC,4,FALSE)),""))</f>
        <v>0</v>
      </c>
      <c r="D600" s="224">
        <f>(IF((VLOOKUP(Table10[[#This Row],[SKU]],'All Skus'!$A:$AC,2,FALSE))="Martin",(VLOOKUP(Table10[[#This Row],[SKU]],'All Skus'!$A:$AC,5,FALSE)),""))</f>
        <v>0</v>
      </c>
      <c r="E600" s="223">
        <f>(IF((VLOOKUP(Table10[[#This Row],[SKU]],'All Skus'!$A:$AC,2,FALSE))="Martin",(VLOOKUP(Table10[[#This Row],[SKU]],'All Skus'!$A:$AC,6,FALSE)),""))</f>
        <v>0</v>
      </c>
      <c r="F600" s="155">
        <f>(IF((VLOOKUP(Table10[[#This Row],[SKU]],'All Skus'!$A:$AC,2,FALSE))="Martin",(VLOOKUP(Table10[[#This Row],[SKU]],'All Skus'!$A:$AC,7,FALSE)),""))</f>
        <v>0</v>
      </c>
      <c r="G600" s="223">
        <f>(IF((VLOOKUP(Table10[[#This Row],[SKU]],'All Skus'!$A:$AC,2,FALSE))="Martin",(VLOOKUP(Table10[[#This Row],[SKU]],'All Skus'!$A:$AC,8,FALSE)),""))</f>
        <v>0</v>
      </c>
      <c r="H600" s="223">
        <f>(IF((VLOOKUP(Table10[[#This Row],[SKU]],'All Skus'!$A:$AC,2,FALSE))="Martin",(VLOOKUP(Table10[[#This Row],[SKU]],'All Skus'!$A:$AC,9,FALSE)),""))</f>
        <v>0</v>
      </c>
      <c r="I600" s="225">
        <f>(IF((VLOOKUP(Table10[[#This Row],[SKU]],'All Skus'!$A:$AC,2,FALSE))="Martin",(VLOOKUP(Table10[[#This Row],[SKU]],'All Skus'!$A:$AC,10,FALSE)),""))</f>
        <v>0</v>
      </c>
      <c r="J600" s="226">
        <f>(IF((VLOOKUP(Table10[[#This Row],[SKU]],'All Skus'!$A:$AC,2,FALSE))="Martin",(VLOOKUP(Table10[[#This Row],[SKU]],'All Skus'!$A:$AC,11,FALSE)),""))</f>
        <v>0</v>
      </c>
      <c r="K600" s="224">
        <f>(IF((VLOOKUP(Table10[[#This Row],[SKU]],'All Skus'!$A:$AC,2,FALSE))="Martin",(VLOOKUP(Table10[[#This Row],[SKU]],'All Skus'!$A:$AC,15,FALSE)),""))</f>
        <v>0</v>
      </c>
      <c r="L600" s="224">
        <f>(IF((VLOOKUP(Table10[[#This Row],[SKU]],'All Skus'!$A:$AC,2,FALSE))="Martin",(VLOOKUP(Table10[[#This Row],[SKU]],'All Skus'!$A:$AC,16,FALSE)),""))</f>
        <v>0</v>
      </c>
      <c r="M600" s="224">
        <f>(IF((VLOOKUP(Table10[[#This Row],[SKU]],'All Skus'!$A:$AC,2,FALSE))="Martin",(VLOOKUP(Table10[[#This Row],[SKU]],'All Skus'!$A:$AC,17,FALSE)),""))</f>
        <v>0</v>
      </c>
      <c r="N600" s="227">
        <f>(IF((VLOOKUP(Table10[[#This Row],[SKU]],'All Skus'!$A:$AC,2,FALSE))="Martin",(VLOOKUP(Table10[[#This Row],[SKU]],'All Skus'!$A:$AC,18,FALSE)),""))</f>
        <v>0</v>
      </c>
      <c r="O600" s="227">
        <f>(IF((VLOOKUP(Table10[[#This Row],[SKU]],'All Skus'!$A:$AC,2,FALSE))="Martin",(VLOOKUP(Table10[[#This Row],[SKU]],'All Skus'!$A:$AC,19,FALSE)),""))</f>
        <v>0</v>
      </c>
      <c r="P600" s="227">
        <f>(IF((VLOOKUP(Table10[[#This Row],[SKU]],'All Skus'!$A:$AC,2,FALSE))="Martin",(VLOOKUP(Table10[[#This Row],[SKU]],'All Skus'!$A:$AC,20,FALSE)),""))</f>
        <v>0</v>
      </c>
      <c r="Q600" s="227">
        <f>(IF((VLOOKUP(Table10[[#This Row],[SKU]],'All Skus'!$A:$AC,2,FALSE))="Martin",(VLOOKUP(Table10[[#This Row],[SKU]],'All Skus'!$A:$AC,21,FALSE)),""))</f>
        <v>0</v>
      </c>
      <c r="R600" s="224">
        <f>(IF((VLOOKUP(Table10[[#This Row],[SKU]],'All Skus'!$A:$AC,2,FALSE))="Martin",(VLOOKUP(Table10[[#This Row],[SKU]],'All Skus'!$A:$AC,22,FALSE)),""))</f>
        <v>0</v>
      </c>
      <c r="S600" s="223">
        <f>(IF((VLOOKUP(Table10[[#This Row],[SKU]],'All Skus'!$A:$AC,2,FALSE))="Martin",(VLOOKUP(Table10[[#This Row],[SKU]],'All Skus'!$A:$AC,23,FALSE)),""))</f>
        <v>0</v>
      </c>
      <c r="T600" s="212" t="str">
        <f>HYPERLINK((IF((VLOOKUP(Table10[[#This Row],[SKU]],'All Skus'!$A:$AC,2,FALSE))="Martin",(VLOOKUP(Table10[[#This Row],[SKU]],'All Skus'!$A:$AC,24,FALSE)),"")))</f>
        <v/>
      </c>
      <c r="U600" s="228">
        <v>598</v>
      </c>
    </row>
    <row r="601" spans="1:21" hidden="1">
      <c r="A601" s="114">
        <v>90721040</v>
      </c>
      <c r="B601" s="224" t="str">
        <f>(IF((VLOOKUP(Table10[[#This Row],[SKU]],'All Skus'!$A:$AC,2,FALSE))="Martin",(VLOOKUP(Table10[[#This Row],[SKU]],'All Skus'!$A:$AC,3,FALSE)),""))</f>
        <v>Power &amp; Processing</v>
      </c>
      <c r="C601" s="223" t="str">
        <f>(IF((VLOOKUP(Table10[[#This Row],[SKU]],'All Skus'!$A:$AC,2,FALSE))="Martin",(VLOOKUP(Table10[[#This Row],[SKU]],'All Skus'!$A:$AC,4,FALSE)),""))</f>
        <v>P3 PowerPort 1500</v>
      </c>
      <c r="D601" s="224" t="str">
        <f>(IF((VLOOKUP(Table10[[#This Row],[SKU]],'All Skus'!$A:$AC,2,FALSE))="Martin",(VLOOKUP(Table10[[#This Row],[SKU]],'All Skus'!$A:$AC,5,FALSE)),""))</f>
        <v>MAR-P3</v>
      </c>
      <c r="E601" s="223">
        <f>(IF((VLOOKUP(Table10[[#This Row],[SKU]],'All Skus'!$A:$AC,2,FALSE))="Martin",(VLOOKUP(Table10[[#This Row],[SKU]],'All Skus'!$A:$AC,6,FALSE)),""))</f>
        <v>0</v>
      </c>
      <c r="F601" s="155">
        <f>(IF((VLOOKUP(Table10[[#This Row],[SKU]],'All Skus'!$A:$AC,2,FALSE))="Martin",(VLOOKUP(Table10[[#This Row],[SKU]],'All Skus'!$A:$AC,7,FALSE)),""))</f>
        <v>0</v>
      </c>
      <c r="G601" s="223" t="str">
        <f>(IF((VLOOKUP(Table10[[#This Row],[SKU]],'All Skus'!$A:$AC,2,FALSE))="Martin",(VLOOKUP(Table10[[#This Row],[SKU]],'All Skus'!$A:$AC,8,FALSE)),""))</f>
        <v>P3 PowerPort 1500</v>
      </c>
      <c r="H601" s="223" t="str">
        <f>(IF((VLOOKUP(Table10[[#This Row],[SKU]],'All Skus'!$A:$AC,2,FALSE))="Martin",(VLOOKUP(Table10[[#This Row],[SKU]],'All Skus'!$A:$AC,9,FALSE)),""))</f>
        <v>P3 PowerPort 1500</v>
      </c>
      <c r="I601" s="225">
        <f>(IF((VLOOKUP(Table10[[#This Row],[SKU]],'All Skus'!$A:$AC,2,FALSE))="Martin",(VLOOKUP(Table10[[#This Row],[SKU]],'All Skus'!$A:$AC,10,FALSE)),""))</f>
        <v>3756.15</v>
      </c>
      <c r="J601" s="226">
        <f>(IF((VLOOKUP(Table10[[#This Row],[SKU]],'All Skus'!$A:$AC,2,FALSE))="Martin",(VLOOKUP(Table10[[#This Row],[SKU]],'All Skus'!$A:$AC,11,FALSE)),""))</f>
        <v>3756.15</v>
      </c>
      <c r="K601" s="224">
        <f>(IF((VLOOKUP(Table10[[#This Row],[SKU]],'All Skus'!$A:$AC,2,FALSE))="Martin",(VLOOKUP(Table10[[#This Row],[SKU]],'All Skus'!$A:$AC,15,FALSE)),""))</f>
        <v>0</v>
      </c>
      <c r="L601" s="224">
        <f>(IF((VLOOKUP(Table10[[#This Row],[SKU]],'All Skus'!$A:$AC,2,FALSE))="Martin",(VLOOKUP(Table10[[#This Row],[SKU]],'All Skus'!$A:$AC,16,FALSE)),""))</f>
        <v>688705000756</v>
      </c>
      <c r="M601" s="224">
        <f>(IF((VLOOKUP(Table10[[#This Row],[SKU]],'All Skus'!$A:$AC,2,FALSE))="Martin",(VLOOKUP(Table10[[#This Row],[SKU]],'All Skus'!$A:$AC,17,FALSE)),""))</f>
        <v>0</v>
      </c>
      <c r="N601" s="227">
        <f>(IF((VLOOKUP(Table10[[#This Row],[SKU]],'All Skus'!$A:$AC,2,FALSE))="Martin",(VLOOKUP(Table10[[#This Row],[SKU]],'All Skus'!$A:$AC,18,FALSE)),""))</f>
        <v>20.866153000000001</v>
      </c>
      <c r="O601" s="227">
        <f>(IF((VLOOKUP(Table10[[#This Row],[SKU]],'All Skus'!$A:$AC,2,FALSE))="Martin",(VLOOKUP(Table10[[#This Row],[SKU]],'All Skus'!$A:$AC,19,FALSE)),""))</f>
        <v>20.866153000000001</v>
      </c>
      <c r="P601" s="227">
        <f>(IF((VLOOKUP(Table10[[#This Row],[SKU]],'All Skus'!$A:$AC,2,FALSE))="Martin",(VLOOKUP(Table10[[#This Row],[SKU]],'All Skus'!$A:$AC,20,FALSE)),""))</f>
        <v>0</v>
      </c>
      <c r="Q601" s="227">
        <f>(IF((VLOOKUP(Table10[[#This Row],[SKU]],'All Skus'!$A:$AC,2,FALSE))="Martin",(VLOOKUP(Table10[[#This Row],[SKU]],'All Skus'!$A:$AC,21,FALSE)),""))</f>
        <v>0</v>
      </c>
      <c r="R601" s="224" t="str">
        <f>(IF((VLOOKUP(Table10[[#This Row],[SKU]],'All Skus'!$A:$AC,2,FALSE))="Martin",(VLOOKUP(Table10[[#This Row],[SKU]],'All Skus'!$A:$AC,22,FALSE)),""))</f>
        <v>TH</v>
      </c>
      <c r="S601" s="223">
        <f>(IF((VLOOKUP(Table10[[#This Row],[SKU]],'All Skus'!$A:$AC,2,FALSE))="Martin",(VLOOKUP(Table10[[#This Row],[SKU]],'All Skus'!$A:$AC,23,FALSE)),""))</f>
        <v>0</v>
      </c>
      <c r="T601" s="212" t="str">
        <f>HYPERLINK((IF((VLOOKUP(Table10[[#This Row],[SKU]],'All Skus'!$A:$AC,2,FALSE))="Martin",(VLOOKUP(Table10[[#This Row],[SKU]],'All Skus'!$A:$AC,24,FALSE)),"")))</f>
        <v/>
      </c>
      <c r="U601" s="228">
        <v>599</v>
      </c>
    </row>
    <row r="602" spans="1:21" hidden="1">
      <c r="A602" s="115" t="s">
        <v>2263</v>
      </c>
      <c r="B602" s="224">
        <f>(IF((VLOOKUP(Table10[[#This Row],[SKU]],'All Skus'!$A:$AC,2,FALSE))="Martin",(VLOOKUP(Table10[[#This Row],[SKU]],'All Skus'!$A:$AC,3,FALSE)),""))</f>
        <v>0</v>
      </c>
      <c r="C602" s="223">
        <f>(IF((VLOOKUP(Table10[[#This Row],[SKU]],'All Skus'!$A:$AC,2,FALSE))="Martin",(VLOOKUP(Table10[[#This Row],[SKU]],'All Skus'!$A:$AC,4,FALSE)),""))</f>
        <v>0</v>
      </c>
      <c r="D602" s="224">
        <f>(IF((VLOOKUP(Table10[[#This Row],[SKU]],'All Skus'!$A:$AC,2,FALSE))="Martin",(VLOOKUP(Table10[[#This Row],[SKU]],'All Skus'!$A:$AC,5,FALSE)),""))</f>
        <v>0</v>
      </c>
      <c r="E602" s="223">
        <f>(IF((VLOOKUP(Table10[[#This Row],[SKU]],'All Skus'!$A:$AC,2,FALSE))="Martin",(VLOOKUP(Table10[[#This Row],[SKU]],'All Skus'!$A:$AC,6,FALSE)),""))</f>
        <v>0</v>
      </c>
      <c r="F602" s="155">
        <f>(IF((VLOOKUP(Table10[[#This Row],[SKU]],'All Skus'!$A:$AC,2,FALSE))="Martin",(VLOOKUP(Table10[[#This Row],[SKU]],'All Skus'!$A:$AC,7,FALSE)),""))</f>
        <v>0</v>
      </c>
      <c r="G602" s="223">
        <f>(IF((VLOOKUP(Table10[[#This Row],[SKU]],'All Skus'!$A:$AC,2,FALSE))="Martin",(VLOOKUP(Table10[[#This Row],[SKU]],'All Skus'!$A:$AC,8,FALSE)),""))</f>
        <v>0</v>
      </c>
      <c r="H602" s="223">
        <f>(IF((VLOOKUP(Table10[[#This Row],[SKU]],'All Skus'!$A:$AC,2,FALSE))="Martin",(VLOOKUP(Table10[[#This Row],[SKU]],'All Skus'!$A:$AC,9,FALSE)),""))</f>
        <v>0</v>
      </c>
      <c r="I602" s="225">
        <f>(IF((VLOOKUP(Table10[[#This Row],[SKU]],'All Skus'!$A:$AC,2,FALSE))="Martin",(VLOOKUP(Table10[[#This Row],[SKU]],'All Skus'!$A:$AC,10,FALSE)),""))</f>
        <v>0</v>
      </c>
      <c r="J602" s="226">
        <f>(IF((VLOOKUP(Table10[[#This Row],[SKU]],'All Skus'!$A:$AC,2,FALSE))="Martin",(VLOOKUP(Table10[[#This Row],[SKU]],'All Skus'!$A:$AC,11,FALSE)),""))</f>
        <v>0</v>
      </c>
      <c r="K602" s="224">
        <f>(IF((VLOOKUP(Table10[[#This Row],[SKU]],'All Skus'!$A:$AC,2,FALSE))="Martin",(VLOOKUP(Table10[[#This Row],[SKU]],'All Skus'!$A:$AC,15,FALSE)),""))</f>
        <v>0</v>
      </c>
      <c r="L602" s="224">
        <f>(IF((VLOOKUP(Table10[[#This Row],[SKU]],'All Skus'!$A:$AC,2,FALSE))="Martin",(VLOOKUP(Table10[[#This Row],[SKU]],'All Skus'!$A:$AC,16,FALSE)),""))</f>
        <v>0</v>
      </c>
      <c r="M602" s="224">
        <f>(IF((VLOOKUP(Table10[[#This Row],[SKU]],'All Skus'!$A:$AC,2,FALSE))="Martin",(VLOOKUP(Table10[[#This Row],[SKU]],'All Skus'!$A:$AC,17,FALSE)),""))</f>
        <v>0</v>
      </c>
      <c r="N602" s="227">
        <f>(IF((VLOOKUP(Table10[[#This Row],[SKU]],'All Skus'!$A:$AC,2,FALSE))="Martin",(VLOOKUP(Table10[[#This Row],[SKU]],'All Skus'!$A:$AC,18,FALSE)),""))</f>
        <v>0</v>
      </c>
      <c r="O602" s="227">
        <f>(IF((VLOOKUP(Table10[[#This Row],[SKU]],'All Skus'!$A:$AC,2,FALSE))="Martin",(VLOOKUP(Table10[[#This Row],[SKU]],'All Skus'!$A:$AC,19,FALSE)),""))</f>
        <v>0</v>
      </c>
      <c r="P602" s="227">
        <f>(IF((VLOOKUP(Table10[[#This Row],[SKU]],'All Skus'!$A:$AC,2,FALSE))="Martin",(VLOOKUP(Table10[[#This Row],[SKU]],'All Skus'!$A:$AC,20,FALSE)),""))</f>
        <v>0</v>
      </c>
      <c r="Q602" s="227">
        <f>(IF((VLOOKUP(Table10[[#This Row],[SKU]],'All Skus'!$A:$AC,2,FALSE))="Martin",(VLOOKUP(Table10[[#This Row],[SKU]],'All Skus'!$A:$AC,21,FALSE)),""))</f>
        <v>0</v>
      </c>
      <c r="R602" s="224">
        <f>(IF((VLOOKUP(Table10[[#This Row],[SKU]],'All Skus'!$A:$AC,2,FALSE))="Martin",(VLOOKUP(Table10[[#This Row],[SKU]],'All Skus'!$A:$AC,22,FALSE)),""))</f>
        <v>0</v>
      </c>
      <c r="S602" s="223">
        <f>(IF((VLOOKUP(Table10[[#This Row],[SKU]],'All Skus'!$A:$AC,2,FALSE))="Martin",(VLOOKUP(Table10[[#This Row],[SKU]],'All Skus'!$A:$AC,23,FALSE)),""))</f>
        <v>0</v>
      </c>
      <c r="T602" s="212" t="str">
        <f>HYPERLINK((IF((VLOOKUP(Table10[[#This Row],[SKU]],'All Skus'!$A:$AC,2,FALSE))="Martin",(VLOOKUP(Table10[[#This Row],[SKU]],'All Skus'!$A:$AC,24,FALSE)),"")))</f>
        <v/>
      </c>
      <c r="U602" s="228">
        <v>600</v>
      </c>
    </row>
    <row r="603" spans="1:21" hidden="1">
      <c r="A603" s="90">
        <v>90721070</v>
      </c>
      <c r="B603" s="224" t="str">
        <f>(IF((VLOOKUP(Table10[[#This Row],[SKU]],'All Skus'!$A:$AC,2,FALSE))="Martin",(VLOOKUP(Table10[[#This Row],[SKU]],'All Skus'!$A:$AC,3,FALSE)),""))</f>
        <v>Power &amp; Processing</v>
      </c>
      <c r="C603" s="223" t="str">
        <f>(IF((VLOOKUP(Table10[[#This Row],[SKU]],'All Skus'!$A:$AC,2,FALSE))="Martin",(VLOOKUP(Table10[[#This Row],[SKU]],'All Skus'!$A:$AC,4,FALSE)),""))</f>
        <v>P3 PowerPort 1000 IP Rental</v>
      </c>
      <c r="D603" s="224" t="str">
        <f>(IF((VLOOKUP(Table10[[#This Row],[SKU]],'All Skus'!$A:$AC,2,FALSE))="Martin",(VLOOKUP(Table10[[#This Row],[SKU]],'All Skus'!$A:$AC,5,FALSE)),""))</f>
        <v>MAR-P3</v>
      </c>
      <c r="E603" s="223">
        <f>(IF((VLOOKUP(Table10[[#This Row],[SKU]],'All Skus'!$A:$AC,2,FALSE))="Martin",(VLOOKUP(Table10[[#This Row],[SKU]],'All Skus'!$A:$AC,6,FALSE)),""))</f>
        <v>0</v>
      </c>
      <c r="F603" s="155">
        <f>(IF((VLOOKUP(Table10[[#This Row],[SKU]],'All Skus'!$A:$AC,2,FALSE))="Martin",(VLOOKUP(Table10[[#This Row],[SKU]],'All Skus'!$A:$AC,7,FALSE)),""))</f>
        <v>0</v>
      </c>
      <c r="G603" s="223" t="str">
        <f>(IF((VLOOKUP(Table10[[#This Row],[SKU]],'All Skus'!$A:$AC,2,FALSE))="Martin",(VLOOKUP(Table10[[#This Row],[SKU]],'All Skus'!$A:$AC,8,FALSE)),""))</f>
        <v>P3 PowerPort 1000 IP Rental</v>
      </c>
      <c r="H603" s="223" t="str">
        <f>(IF((VLOOKUP(Table10[[#This Row],[SKU]],'All Skus'!$A:$AC,2,FALSE))="Martin",(VLOOKUP(Table10[[#This Row],[SKU]],'All Skus'!$A:$AC,9,FALSE)),""))</f>
        <v>P3 PowerPort 1000 IP Rental</v>
      </c>
      <c r="I603" s="225">
        <f>(IF((VLOOKUP(Table10[[#This Row],[SKU]],'All Skus'!$A:$AC,2,FALSE))="Martin",(VLOOKUP(Table10[[#This Row],[SKU]],'All Skus'!$A:$AC,10,FALSE)),""))</f>
        <v>3531.43</v>
      </c>
      <c r="J603" s="226">
        <f>(IF((VLOOKUP(Table10[[#This Row],[SKU]],'All Skus'!$A:$AC,2,FALSE))="Martin",(VLOOKUP(Table10[[#This Row],[SKU]],'All Skus'!$A:$AC,11,FALSE)),""))</f>
        <v>3531.43</v>
      </c>
      <c r="K603" s="224">
        <f>(IF((VLOOKUP(Table10[[#This Row],[SKU]],'All Skus'!$A:$AC,2,FALSE))="Martin",(VLOOKUP(Table10[[#This Row],[SKU]],'All Skus'!$A:$AC,15,FALSE)),""))</f>
        <v>0</v>
      </c>
      <c r="L603" s="224">
        <f>(IF((VLOOKUP(Table10[[#This Row],[SKU]],'All Skus'!$A:$AC,2,FALSE))="Martin",(VLOOKUP(Table10[[#This Row],[SKU]],'All Skus'!$A:$AC,16,FALSE)),""))</f>
        <v>5706681220212</v>
      </c>
      <c r="M603" s="224">
        <f>(IF((VLOOKUP(Table10[[#This Row],[SKU]],'All Skus'!$A:$AC,2,FALSE))="Martin",(VLOOKUP(Table10[[#This Row],[SKU]],'All Skus'!$A:$AC,17,FALSE)),""))</f>
        <v>0</v>
      </c>
      <c r="N603" s="227">
        <f>(IF((VLOOKUP(Table10[[#This Row],[SKU]],'All Skus'!$A:$AC,2,FALSE))="Martin",(VLOOKUP(Table10[[#This Row],[SKU]],'All Skus'!$A:$AC,18,FALSE)),""))</f>
        <v>0</v>
      </c>
      <c r="O603" s="227">
        <f>(IF((VLOOKUP(Table10[[#This Row],[SKU]],'All Skus'!$A:$AC,2,FALSE))="Martin",(VLOOKUP(Table10[[#This Row],[SKU]],'All Skus'!$A:$AC,19,FALSE)),""))</f>
        <v>0</v>
      </c>
      <c r="P603" s="227">
        <f>(IF((VLOOKUP(Table10[[#This Row],[SKU]],'All Skus'!$A:$AC,2,FALSE))="Martin",(VLOOKUP(Table10[[#This Row],[SKU]],'All Skus'!$A:$AC,20,FALSE)),""))</f>
        <v>0</v>
      </c>
      <c r="Q603" s="227">
        <f>(IF((VLOOKUP(Table10[[#This Row],[SKU]],'All Skus'!$A:$AC,2,FALSE))="Martin",(VLOOKUP(Table10[[#This Row],[SKU]],'All Skus'!$A:$AC,21,FALSE)),""))</f>
        <v>0</v>
      </c>
      <c r="R603" s="224" t="str">
        <f>(IF((VLOOKUP(Table10[[#This Row],[SKU]],'All Skus'!$A:$AC,2,FALSE))="Martin",(VLOOKUP(Table10[[#This Row],[SKU]],'All Skus'!$A:$AC,22,FALSE)),""))</f>
        <v>TH</v>
      </c>
      <c r="S603" s="223">
        <f>(IF((VLOOKUP(Table10[[#This Row],[SKU]],'All Skus'!$A:$AC,2,FALSE))="Martin",(VLOOKUP(Table10[[#This Row],[SKU]],'All Skus'!$A:$AC,23,FALSE)),""))</f>
        <v>0</v>
      </c>
      <c r="T603" s="212" t="str">
        <f>HYPERLINK((IF((VLOOKUP(Table10[[#This Row],[SKU]],'All Skus'!$A:$AC,2,FALSE))="Martin",(VLOOKUP(Table10[[#This Row],[SKU]],'All Skus'!$A:$AC,24,FALSE)),"")))</f>
        <v>http://www.martin.com/en-us/product-details/p3-powerport-1500</v>
      </c>
      <c r="U603" s="228">
        <v>601</v>
      </c>
    </row>
    <row r="604" spans="1:21" hidden="1">
      <c r="A604" s="115" t="s">
        <v>2264</v>
      </c>
      <c r="B604" s="224">
        <f>(IF((VLOOKUP(Table10[[#This Row],[SKU]],'All Skus'!$A:$AC,2,FALSE))="Martin",(VLOOKUP(Table10[[#This Row],[SKU]],'All Skus'!$A:$AC,3,FALSE)),""))</f>
        <v>0</v>
      </c>
      <c r="C604" s="223">
        <f>(IF((VLOOKUP(Table10[[#This Row],[SKU]],'All Skus'!$A:$AC,2,FALSE))="Martin",(VLOOKUP(Table10[[#This Row],[SKU]],'All Skus'!$A:$AC,4,FALSE)),""))</f>
        <v>0</v>
      </c>
      <c r="D604" s="224">
        <f>(IF((VLOOKUP(Table10[[#This Row],[SKU]],'All Skus'!$A:$AC,2,FALSE))="Martin",(VLOOKUP(Table10[[#This Row],[SKU]],'All Skus'!$A:$AC,5,FALSE)),""))</f>
        <v>0</v>
      </c>
      <c r="E604" s="223">
        <f>(IF((VLOOKUP(Table10[[#This Row],[SKU]],'All Skus'!$A:$AC,2,FALSE))="Martin",(VLOOKUP(Table10[[#This Row],[SKU]],'All Skus'!$A:$AC,6,FALSE)),""))</f>
        <v>0</v>
      </c>
      <c r="F604" s="155">
        <f>(IF((VLOOKUP(Table10[[#This Row],[SKU]],'All Skus'!$A:$AC,2,FALSE))="Martin",(VLOOKUP(Table10[[#This Row],[SKU]],'All Skus'!$A:$AC,7,FALSE)),""))</f>
        <v>0</v>
      </c>
      <c r="G604" s="223">
        <f>(IF((VLOOKUP(Table10[[#This Row],[SKU]],'All Skus'!$A:$AC,2,FALSE))="Martin",(VLOOKUP(Table10[[#This Row],[SKU]],'All Skus'!$A:$AC,8,FALSE)),""))</f>
        <v>0</v>
      </c>
      <c r="H604" s="223">
        <f>(IF((VLOOKUP(Table10[[#This Row],[SKU]],'All Skus'!$A:$AC,2,FALSE))="Martin",(VLOOKUP(Table10[[#This Row],[SKU]],'All Skus'!$A:$AC,9,FALSE)),""))</f>
        <v>0</v>
      </c>
      <c r="I604" s="225">
        <f>(IF((VLOOKUP(Table10[[#This Row],[SKU]],'All Skus'!$A:$AC,2,FALSE))="Martin",(VLOOKUP(Table10[[#This Row],[SKU]],'All Skus'!$A:$AC,10,FALSE)),""))</f>
        <v>0</v>
      </c>
      <c r="J604" s="226">
        <f>(IF((VLOOKUP(Table10[[#This Row],[SKU]],'All Skus'!$A:$AC,2,FALSE))="Martin",(VLOOKUP(Table10[[#This Row],[SKU]],'All Skus'!$A:$AC,11,FALSE)),""))</f>
        <v>0</v>
      </c>
      <c r="K604" s="224">
        <f>(IF((VLOOKUP(Table10[[#This Row],[SKU]],'All Skus'!$A:$AC,2,FALSE))="Martin",(VLOOKUP(Table10[[#This Row],[SKU]],'All Skus'!$A:$AC,15,FALSE)),""))</f>
        <v>0</v>
      </c>
      <c r="L604" s="224">
        <f>(IF((VLOOKUP(Table10[[#This Row],[SKU]],'All Skus'!$A:$AC,2,FALSE))="Martin",(VLOOKUP(Table10[[#This Row],[SKU]],'All Skus'!$A:$AC,16,FALSE)),""))</f>
        <v>0</v>
      </c>
      <c r="M604" s="224">
        <f>(IF((VLOOKUP(Table10[[#This Row],[SKU]],'All Skus'!$A:$AC,2,FALSE))="Martin",(VLOOKUP(Table10[[#This Row],[SKU]],'All Skus'!$A:$AC,17,FALSE)),""))</f>
        <v>0</v>
      </c>
      <c r="N604" s="227">
        <f>(IF((VLOOKUP(Table10[[#This Row],[SKU]],'All Skus'!$A:$AC,2,FALSE))="Martin",(VLOOKUP(Table10[[#This Row],[SKU]],'All Skus'!$A:$AC,18,FALSE)),""))</f>
        <v>0</v>
      </c>
      <c r="O604" s="227">
        <f>(IF((VLOOKUP(Table10[[#This Row],[SKU]],'All Skus'!$A:$AC,2,FALSE))="Martin",(VLOOKUP(Table10[[#This Row],[SKU]],'All Skus'!$A:$AC,19,FALSE)),""))</f>
        <v>0</v>
      </c>
      <c r="P604" s="227">
        <f>(IF((VLOOKUP(Table10[[#This Row],[SKU]],'All Skus'!$A:$AC,2,FALSE))="Martin",(VLOOKUP(Table10[[#This Row],[SKU]],'All Skus'!$A:$AC,20,FALSE)),""))</f>
        <v>0</v>
      </c>
      <c r="Q604" s="227">
        <f>(IF((VLOOKUP(Table10[[#This Row],[SKU]],'All Skus'!$A:$AC,2,FALSE))="Martin",(VLOOKUP(Table10[[#This Row],[SKU]],'All Skus'!$A:$AC,21,FALSE)),""))</f>
        <v>0</v>
      </c>
      <c r="R604" s="224">
        <f>(IF((VLOOKUP(Table10[[#This Row],[SKU]],'All Skus'!$A:$AC,2,FALSE))="Martin",(VLOOKUP(Table10[[#This Row],[SKU]],'All Skus'!$A:$AC,22,FALSE)),""))</f>
        <v>0</v>
      </c>
      <c r="S604" s="223">
        <f>(IF((VLOOKUP(Table10[[#This Row],[SKU]],'All Skus'!$A:$AC,2,FALSE))="Martin",(VLOOKUP(Table10[[#This Row],[SKU]],'All Skus'!$A:$AC,23,FALSE)),""))</f>
        <v>0</v>
      </c>
      <c r="T604" s="212" t="str">
        <f>HYPERLINK((IF((VLOOKUP(Table10[[#This Row],[SKU]],'All Skus'!$A:$AC,2,FALSE))="Martin",(VLOOKUP(Table10[[#This Row],[SKU]],'All Skus'!$A:$AC,24,FALSE)),"")))</f>
        <v/>
      </c>
      <c r="U604" s="228">
        <v>602</v>
      </c>
    </row>
    <row r="605" spans="1:21" hidden="1">
      <c r="A605" s="90">
        <v>90721080</v>
      </c>
      <c r="B605" s="224" t="str">
        <f>(IF((VLOOKUP(Table10[[#This Row],[SKU]],'All Skus'!$A:$AC,2,FALSE))="Martin",(VLOOKUP(Table10[[#This Row],[SKU]],'All Skus'!$A:$AC,3,FALSE)),""))</f>
        <v>Power &amp; Processing</v>
      </c>
      <c r="C605" s="223" t="str">
        <f>(IF((VLOOKUP(Table10[[#This Row],[SKU]],'All Skus'!$A:$AC,2,FALSE))="Martin",(VLOOKUP(Table10[[#This Row],[SKU]],'All Skus'!$A:$AC,4,FALSE)),""))</f>
        <v>P3 PowerPort 1000 IP Install</v>
      </c>
      <c r="D605" s="224" t="str">
        <f>(IF((VLOOKUP(Table10[[#This Row],[SKU]],'All Skus'!$A:$AC,2,FALSE))="Martin",(VLOOKUP(Table10[[#This Row],[SKU]],'All Skus'!$A:$AC,5,FALSE)),""))</f>
        <v>MAR-P3</v>
      </c>
      <c r="E605" s="223">
        <f>(IF((VLOOKUP(Table10[[#This Row],[SKU]],'All Skus'!$A:$AC,2,FALSE))="Martin",(VLOOKUP(Table10[[#This Row],[SKU]],'All Skus'!$A:$AC,6,FALSE)),""))</f>
        <v>0</v>
      </c>
      <c r="F605" s="155">
        <f>(IF((VLOOKUP(Table10[[#This Row],[SKU]],'All Skus'!$A:$AC,2,FALSE))="Martin",(VLOOKUP(Table10[[#This Row],[SKU]],'All Skus'!$A:$AC,7,FALSE)),""))</f>
        <v>0</v>
      </c>
      <c r="G605" s="223" t="str">
        <f>(IF((VLOOKUP(Table10[[#This Row],[SKU]],'All Skus'!$A:$AC,2,FALSE))="Martin",(VLOOKUP(Table10[[#This Row],[SKU]],'All Skus'!$A:$AC,8,FALSE)),""))</f>
        <v>P3 PowerPort 1000 IP Install</v>
      </c>
      <c r="H605" s="223" t="str">
        <f>(IF((VLOOKUP(Table10[[#This Row],[SKU]],'All Skus'!$A:$AC,2,FALSE))="Martin",(VLOOKUP(Table10[[#This Row],[SKU]],'All Skus'!$A:$AC,9,FALSE)),""))</f>
        <v>P3 PowerPort 1000 IP Install</v>
      </c>
      <c r="I605" s="225">
        <f>(IF((VLOOKUP(Table10[[#This Row],[SKU]],'All Skus'!$A:$AC,2,FALSE))="Martin",(VLOOKUP(Table10[[#This Row],[SKU]],'All Skus'!$A:$AC,10,FALSE)),""))</f>
        <v>3531.43</v>
      </c>
      <c r="J605" s="226">
        <f>(IF((VLOOKUP(Table10[[#This Row],[SKU]],'All Skus'!$A:$AC,2,FALSE))="Martin",(VLOOKUP(Table10[[#This Row],[SKU]],'All Skus'!$A:$AC,11,FALSE)),""))</f>
        <v>3531.43</v>
      </c>
      <c r="K605" s="224">
        <f>(IF((VLOOKUP(Table10[[#This Row],[SKU]],'All Skus'!$A:$AC,2,FALSE))="Martin",(VLOOKUP(Table10[[#This Row],[SKU]],'All Skus'!$A:$AC,15,FALSE)),""))</f>
        <v>0</v>
      </c>
      <c r="L605" s="224">
        <f>(IF((VLOOKUP(Table10[[#This Row],[SKU]],'All Skus'!$A:$AC,2,FALSE))="Martin",(VLOOKUP(Table10[[#This Row],[SKU]],'All Skus'!$A:$AC,16,FALSE)),""))</f>
        <v>0</v>
      </c>
      <c r="M605" s="224">
        <f>(IF((VLOOKUP(Table10[[#This Row],[SKU]],'All Skus'!$A:$AC,2,FALSE))="Martin",(VLOOKUP(Table10[[#This Row],[SKU]],'All Skus'!$A:$AC,17,FALSE)),""))</f>
        <v>0</v>
      </c>
      <c r="N605" s="227">
        <f>(IF((VLOOKUP(Table10[[#This Row],[SKU]],'All Skus'!$A:$AC,2,FALSE))="Martin",(VLOOKUP(Table10[[#This Row],[SKU]],'All Skus'!$A:$AC,18,FALSE)),""))</f>
        <v>0</v>
      </c>
      <c r="O605" s="227">
        <f>(IF((VLOOKUP(Table10[[#This Row],[SKU]],'All Skus'!$A:$AC,2,FALSE))="Martin",(VLOOKUP(Table10[[#This Row],[SKU]],'All Skus'!$A:$AC,19,FALSE)),""))</f>
        <v>0</v>
      </c>
      <c r="P605" s="227">
        <f>(IF((VLOOKUP(Table10[[#This Row],[SKU]],'All Skus'!$A:$AC,2,FALSE))="Martin",(VLOOKUP(Table10[[#This Row],[SKU]],'All Skus'!$A:$AC,20,FALSE)),""))</f>
        <v>0</v>
      </c>
      <c r="Q605" s="227">
        <f>(IF((VLOOKUP(Table10[[#This Row],[SKU]],'All Skus'!$A:$AC,2,FALSE))="Martin",(VLOOKUP(Table10[[#This Row],[SKU]],'All Skus'!$A:$AC,21,FALSE)),""))</f>
        <v>0</v>
      </c>
      <c r="R605" s="224" t="str">
        <f>(IF((VLOOKUP(Table10[[#This Row],[SKU]],'All Skus'!$A:$AC,2,FALSE))="Martin",(VLOOKUP(Table10[[#This Row],[SKU]],'All Skus'!$A:$AC,22,FALSE)),""))</f>
        <v>TH</v>
      </c>
      <c r="S605" s="223">
        <f>(IF((VLOOKUP(Table10[[#This Row],[SKU]],'All Skus'!$A:$AC,2,FALSE))="Martin",(VLOOKUP(Table10[[#This Row],[SKU]],'All Skus'!$A:$AC,23,FALSE)),""))</f>
        <v>0</v>
      </c>
      <c r="T605" s="212" t="str">
        <f>HYPERLINK((IF((VLOOKUP(Table10[[#This Row],[SKU]],'All Skus'!$A:$AC,2,FALSE))="Martin",(VLOOKUP(Table10[[#This Row],[SKU]],'All Skus'!$A:$AC,24,FALSE)),"")))</f>
        <v>https://www.martin.com/en/product_families/p3</v>
      </c>
      <c r="U605" s="228">
        <v>603</v>
      </c>
    </row>
    <row r="606" spans="1:21" hidden="1">
      <c r="A606" s="115" t="s">
        <v>2265</v>
      </c>
      <c r="B606" s="224">
        <f>(IF((VLOOKUP(Table10[[#This Row],[SKU]],'All Skus'!$A:$AC,2,FALSE))="Martin",(VLOOKUP(Table10[[#This Row],[SKU]],'All Skus'!$A:$AC,3,FALSE)),""))</f>
        <v>0</v>
      </c>
      <c r="C606" s="223">
        <f>(IF((VLOOKUP(Table10[[#This Row],[SKU]],'All Skus'!$A:$AC,2,FALSE))="Martin",(VLOOKUP(Table10[[#This Row],[SKU]],'All Skus'!$A:$AC,4,FALSE)),""))</f>
        <v>0</v>
      </c>
      <c r="D606" s="224">
        <f>(IF((VLOOKUP(Table10[[#This Row],[SKU]],'All Skus'!$A:$AC,2,FALSE))="Martin",(VLOOKUP(Table10[[#This Row],[SKU]],'All Skus'!$A:$AC,5,FALSE)),""))</f>
        <v>0</v>
      </c>
      <c r="E606" s="223">
        <f>(IF((VLOOKUP(Table10[[#This Row],[SKU]],'All Skus'!$A:$AC,2,FALSE))="Martin",(VLOOKUP(Table10[[#This Row],[SKU]],'All Skus'!$A:$AC,6,FALSE)),""))</f>
        <v>0</v>
      </c>
      <c r="F606" s="155">
        <f>(IF((VLOOKUP(Table10[[#This Row],[SKU]],'All Skus'!$A:$AC,2,FALSE))="Martin",(VLOOKUP(Table10[[#This Row],[SKU]],'All Skus'!$A:$AC,7,FALSE)),""))</f>
        <v>0</v>
      </c>
      <c r="G606" s="223">
        <f>(IF((VLOOKUP(Table10[[#This Row],[SKU]],'All Skus'!$A:$AC,2,FALSE))="Martin",(VLOOKUP(Table10[[#This Row],[SKU]],'All Skus'!$A:$AC,8,FALSE)),""))</f>
        <v>0</v>
      </c>
      <c r="H606" s="223">
        <f>(IF((VLOOKUP(Table10[[#This Row],[SKU]],'All Skus'!$A:$AC,2,FALSE))="Martin",(VLOOKUP(Table10[[#This Row],[SKU]],'All Skus'!$A:$AC,9,FALSE)),""))</f>
        <v>0</v>
      </c>
      <c r="I606" s="225">
        <f>(IF((VLOOKUP(Table10[[#This Row],[SKU]],'All Skus'!$A:$AC,2,FALSE))="Martin",(VLOOKUP(Table10[[#This Row],[SKU]],'All Skus'!$A:$AC,10,FALSE)),""))</f>
        <v>0</v>
      </c>
      <c r="J606" s="226">
        <f>(IF((VLOOKUP(Table10[[#This Row],[SKU]],'All Skus'!$A:$AC,2,FALSE))="Martin",(VLOOKUP(Table10[[#This Row],[SKU]],'All Skus'!$A:$AC,11,FALSE)),""))</f>
        <v>0</v>
      </c>
      <c r="K606" s="224">
        <f>(IF((VLOOKUP(Table10[[#This Row],[SKU]],'All Skus'!$A:$AC,2,FALSE))="Martin",(VLOOKUP(Table10[[#This Row],[SKU]],'All Skus'!$A:$AC,15,FALSE)),""))</f>
        <v>0</v>
      </c>
      <c r="L606" s="224">
        <f>(IF((VLOOKUP(Table10[[#This Row],[SKU]],'All Skus'!$A:$AC,2,FALSE))="Martin",(VLOOKUP(Table10[[#This Row],[SKU]],'All Skus'!$A:$AC,16,FALSE)),""))</f>
        <v>0</v>
      </c>
      <c r="M606" s="224">
        <f>(IF((VLOOKUP(Table10[[#This Row],[SKU]],'All Skus'!$A:$AC,2,FALSE))="Martin",(VLOOKUP(Table10[[#This Row],[SKU]],'All Skus'!$A:$AC,17,FALSE)),""))</f>
        <v>0</v>
      </c>
      <c r="N606" s="227">
        <f>(IF((VLOOKUP(Table10[[#This Row],[SKU]],'All Skus'!$A:$AC,2,FALSE))="Martin",(VLOOKUP(Table10[[#This Row],[SKU]],'All Skus'!$A:$AC,18,FALSE)),""))</f>
        <v>0</v>
      </c>
      <c r="O606" s="227">
        <f>(IF((VLOOKUP(Table10[[#This Row],[SKU]],'All Skus'!$A:$AC,2,FALSE))="Martin",(VLOOKUP(Table10[[#This Row],[SKU]],'All Skus'!$A:$AC,19,FALSE)),""))</f>
        <v>0</v>
      </c>
      <c r="P606" s="227">
        <f>(IF((VLOOKUP(Table10[[#This Row],[SKU]],'All Skus'!$A:$AC,2,FALSE))="Martin",(VLOOKUP(Table10[[#This Row],[SKU]],'All Skus'!$A:$AC,20,FALSE)),""))</f>
        <v>0</v>
      </c>
      <c r="Q606" s="227">
        <f>(IF((VLOOKUP(Table10[[#This Row],[SKU]],'All Skus'!$A:$AC,2,FALSE))="Martin",(VLOOKUP(Table10[[#This Row],[SKU]],'All Skus'!$A:$AC,21,FALSE)),""))</f>
        <v>0</v>
      </c>
      <c r="R606" s="224">
        <f>(IF((VLOOKUP(Table10[[#This Row],[SKU]],'All Skus'!$A:$AC,2,FALSE))="Martin",(VLOOKUP(Table10[[#This Row],[SKU]],'All Skus'!$A:$AC,22,FALSE)),""))</f>
        <v>0</v>
      </c>
      <c r="S606" s="223">
        <f>(IF((VLOOKUP(Table10[[#This Row],[SKU]],'All Skus'!$A:$AC,2,FALSE))="Martin",(VLOOKUP(Table10[[#This Row],[SKU]],'All Skus'!$A:$AC,23,FALSE)),""))</f>
        <v>0</v>
      </c>
      <c r="T606" s="212" t="str">
        <f>HYPERLINK((IF((VLOOKUP(Table10[[#This Row],[SKU]],'All Skus'!$A:$AC,2,FALSE))="Martin",(VLOOKUP(Table10[[#This Row],[SKU]],'All Skus'!$A:$AC,24,FALSE)),"")))</f>
        <v/>
      </c>
      <c r="U606" s="228">
        <v>604</v>
      </c>
    </row>
    <row r="607" spans="1:21" hidden="1">
      <c r="A607" s="112">
        <v>90721094</v>
      </c>
      <c r="B607" s="224" t="str">
        <f>(IF((VLOOKUP(Table10[[#This Row],[SKU]],'All Skus'!$A:$AC,2,FALSE))="Martin",(VLOOKUP(Table10[[#This Row],[SKU]],'All Skus'!$A:$AC,3,FALSE)),""))</f>
        <v>Power &amp; Processing</v>
      </c>
      <c r="C607" s="223" t="str">
        <f>(IF((VLOOKUP(Table10[[#This Row],[SKU]],'All Skus'!$A:$AC,2,FALSE))="Martin",(VLOOKUP(Table10[[#This Row],[SKU]],'All Skus'!$A:$AC,4,FALSE)),""))</f>
        <v>DMX PowerPort 375</v>
      </c>
      <c r="D607" s="224" t="str">
        <f>(IF((VLOOKUP(Table10[[#This Row],[SKU]],'All Skus'!$A:$AC,2,FALSE))="Martin",(VLOOKUP(Table10[[#This Row],[SKU]],'All Skus'!$A:$AC,5,FALSE)),""))</f>
        <v>MAR-P3</v>
      </c>
      <c r="E607" s="223">
        <f>(IF((VLOOKUP(Table10[[#This Row],[SKU]],'All Skus'!$A:$AC,2,FALSE))="Martin",(VLOOKUP(Table10[[#This Row],[SKU]],'All Skus'!$A:$AC,6,FALSE)),""))</f>
        <v>0</v>
      </c>
      <c r="F607" s="155">
        <f>(IF((VLOOKUP(Table10[[#This Row],[SKU]],'All Skus'!$A:$AC,2,FALSE))="Martin",(VLOOKUP(Table10[[#This Row],[SKU]],'All Skus'!$A:$AC,7,FALSE)),""))</f>
        <v>0</v>
      </c>
      <c r="G607" s="223" t="str">
        <f>(IF((VLOOKUP(Table10[[#This Row],[SKU]],'All Skus'!$A:$AC,2,FALSE))="Martin",(VLOOKUP(Table10[[#This Row],[SKU]],'All Skus'!$A:$AC,8,FALSE)),""))</f>
        <v>DMX PowerPort 375</v>
      </c>
      <c r="H607" s="223" t="str">
        <f>(IF((VLOOKUP(Table10[[#This Row],[SKU]],'All Skus'!$A:$AC,2,FALSE))="Martin",(VLOOKUP(Table10[[#This Row],[SKU]],'All Skus'!$A:$AC,9,FALSE)),""))</f>
        <v>DMX PowerPort 375</v>
      </c>
      <c r="I607" s="225">
        <f>(IF((VLOOKUP(Table10[[#This Row],[SKU]],'All Skus'!$A:$AC,2,FALSE))="Martin",(VLOOKUP(Table10[[#This Row],[SKU]],'All Skus'!$A:$AC,10,FALSE)),""))</f>
        <v>682.82</v>
      </c>
      <c r="J607" s="226">
        <f>(IF((VLOOKUP(Table10[[#This Row],[SKU]],'All Skus'!$A:$AC,2,FALSE))="Martin",(VLOOKUP(Table10[[#This Row],[SKU]],'All Skus'!$A:$AC,11,FALSE)),""))</f>
        <v>682.82</v>
      </c>
      <c r="K607" s="224">
        <f>(IF((VLOOKUP(Table10[[#This Row],[SKU]],'All Skus'!$A:$AC,2,FALSE))="Martin",(VLOOKUP(Table10[[#This Row],[SKU]],'All Skus'!$A:$AC,15,FALSE)),""))</f>
        <v>1</v>
      </c>
      <c r="L607" s="224">
        <f>(IF((VLOOKUP(Table10[[#This Row],[SKU]],'All Skus'!$A:$AC,2,FALSE))="Martin",(VLOOKUP(Table10[[#This Row],[SKU]],'All Skus'!$A:$AC,16,FALSE)),""))</f>
        <v>688705006017</v>
      </c>
      <c r="M607" s="224">
        <f>(IF((VLOOKUP(Table10[[#This Row],[SKU]],'All Skus'!$A:$AC,2,FALSE))="Martin",(VLOOKUP(Table10[[#This Row],[SKU]],'All Skus'!$A:$AC,17,FALSE)),""))</f>
        <v>0</v>
      </c>
      <c r="N607" s="227">
        <f>(IF((VLOOKUP(Table10[[#This Row],[SKU]],'All Skus'!$A:$AC,2,FALSE))="Martin",(VLOOKUP(Table10[[#This Row],[SKU]],'All Skus'!$A:$AC,18,FALSE)),""))</f>
        <v>0</v>
      </c>
      <c r="O607" s="227">
        <f>(IF((VLOOKUP(Table10[[#This Row],[SKU]],'All Skus'!$A:$AC,2,FALSE))="Martin",(VLOOKUP(Table10[[#This Row],[SKU]],'All Skus'!$A:$AC,19,FALSE)),""))</f>
        <v>0</v>
      </c>
      <c r="P607" s="227">
        <f>(IF((VLOOKUP(Table10[[#This Row],[SKU]],'All Skus'!$A:$AC,2,FALSE))="Martin",(VLOOKUP(Table10[[#This Row],[SKU]],'All Skus'!$A:$AC,20,FALSE)),""))</f>
        <v>0</v>
      </c>
      <c r="Q607" s="227">
        <f>(IF((VLOOKUP(Table10[[#This Row],[SKU]],'All Skus'!$A:$AC,2,FALSE))="Martin",(VLOOKUP(Table10[[#This Row],[SKU]],'All Skus'!$A:$AC,21,FALSE)),""))</f>
        <v>0</v>
      </c>
      <c r="R607" s="224" t="str">
        <f>(IF((VLOOKUP(Table10[[#This Row],[SKU]],'All Skus'!$A:$AC,2,FALSE))="Martin",(VLOOKUP(Table10[[#This Row],[SKU]],'All Skus'!$A:$AC,22,FALSE)),""))</f>
        <v>CN</v>
      </c>
      <c r="S607" s="223">
        <f>(IF((VLOOKUP(Table10[[#This Row],[SKU]],'All Skus'!$A:$AC,2,FALSE))="Martin",(VLOOKUP(Table10[[#This Row],[SKU]],'All Skus'!$A:$AC,23,FALSE)),""))</f>
        <v>0</v>
      </c>
      <c r="T607" s="212" t="str">
        <f>HYPERLINK((IF((VLOOKUP(Table10[[#This Row],[SKU]],'All Skus'!$A:$AC,2,FALSE))="Martin",(VLOOKUP(Table10[[#This Row],[SKU]],'All Skus'!$A:$AC,24,FALSE)),"")))</f>
        <v/>
      </c>
      <c r="U607" s="228">
        <v>605</v>
      </c>
    </row>
    <row r="608" spans="1:21" hidden="1">
      <c r="A608" s="115" t="s">
        <v>2266</v>
      </c>
      <c r="B608" s="224">
        <f>(IF((VLOOKUP(Table10[[#This Row],[SKU]],'All Skus'!$A:$AC,2,FALSE))="Martin",(VLOOKUP(Table10[[#This Row],[SKU]],'All Skus'!$A:$AC,3,FALSE)),""))</f>
        <v>0</v>
      </c>
      <c r="C608" s="223">
        <f>(IF((VLOOKUP(Table10[[#This Row],[SKU]],'All Skus'!$A:$AC,2,FALSE))="Martin",(VLOOKUP(Table10[[#This Row],[SKU]],'All Skus'!$A:$AC,4,FALSE)),""))</f>
        <v>0</v>
      </c>
      <c r="D608" s="224">
        <f>(IF((VLOOKUP(Table10[[#This Row],[SKU]],'All Skus'!$A:$AC,2,FALSE))="Martin",(VLOOKUP(Table10[[#This Row],[SKU]],'All Skus'!$A:$AC,5,FALSE)),""))</f>
        <v>0</v>
      </c>
      <c r="E608" s="223">
        <f>(IF((VLOOKUP(Table10[[#This Row],[SKU]],'All Skus'!$A:$AC,2,FALSE))="Martin",(VLOOKUP(Table10[[#This Row],[SKU]],'All Skus'!$A:$AC,6,FALSE)),""))</f>
        <v>0</v>
      </c>
      <c r="F608" s="155">
        <f>(IF((VLOOKUP(Table10[[#This Row],[SKU]],'All Skus'!$A:$AC,2,FALSE))="Martin",(VLOOKUP(Table10[[#This Row],[SKU]],'All Skus'!$A:$AC,7,FALSE)),""))</f>
        <v>0</v>
      </c>
      <c r="G608" s="223">
        <f>(IF((VLOOKUP(Table10[[#This Row],[SKU]],'All Skus'!$A:$AC,2,FALSE))="Martin",(VLOOKUP(Table10[[#This Row],[SKU]],'All Skus'!$A:$AC,8,FALSE)),""))</f>
        <v>0</v>
      </c>
      <c r="H608" s="223">
        <f>(IF((VLOOKUP(Table10[[#This Row],[SKU]],'All Skus'!$A:$AC,2,FALSE))="Martin",(VLOOKUP(Table10[[#This Row],[SKU]],'All Skus'!$A:$AC,9,FALSE)),""))</f>
        <v>0</v>
      </c>
      <c r="I608" s="225">
        <f>(IF((VLOOKUP(Table10[[#This Row],[SKU]],'All Skus'!$A:$AC,2,FALSE))="Martin",(VLOOKUP(Table10[[#This Row],[SKU]],'All Skus'!$A:$AC,10,FALSE)),""))</f>
        <v>0</v>
      </c>
      <c r="J608" s="226">
        <f>(IF((VLOOKUP(Table10[[#This Row],[SKU]],'All Skus'!$A:$AC,2,FALSE))="Martin",(VLOOKUP(Table10[[#This Row],[SKU]],'All Skus'!$A:$AC,11,FALSE)),""))</f>
        <v>0</v>
      </c>
      <c r="K608" s="224">
        <f>(IF((VLOOKUP(Table10[[#This Row],[SKU]],'All Skus'!$A:$AC,2,FALSE))="Martin",(VLOOKUP(Table10[[#This Row],[SKU]],'All Skus'!$A:$AC,15,FALSE)),""))</f>
        <v>0</v>
      </c>
      <c r="L608" s="224">
        <f>(IF((VLOOKUP(Table10[[#This Row],[SKU]],'All Skus'!$A:$AC,2,FALSE))="Martin",(VLOOKUP(Table10[[#This Row],[SKU]],'All Skus'!$A:$AC,16,FALSE)),""))</f>
        <v>0</v>
      </c>
      <c r="M608" s="224">
        <f>(IF((VLOOKUP(Table10[[#This Row],[SKU]],'All Skus'!$A:$AC,2,FALSE))="Martin",(VLOOKUP(Table10[[#This Row],[SKU]],'All Skus'!$A:$AC,17,FALSE)),""))</f>
        <v>0</v>
      </c>
      <c r="N608" s="227">
        <f>(IF((VLOOKUP(Table10[[#This Row],[SKU]],'All Skus'!$A:$AC,2,FALSE))="Martin",(VLOOKUP(Table10[[#This Row],[SKU]],'All Skus'!$A:$AC,18,FALSE)),""))</f>
        <v>0</v>
      </c>
      <c r="O608" s="227">
        <f>(IF((VLOOKUP(Table10[[#This Row],[SKU]],'All Skus'!$A:$AC,2,FALSE))="Martin",(VLOOKUP(Table10[[#This Row],[SKU]],'All Skus'!$A:$AC,19,FALSE)),""))</f>
        <v>0</v>
      </c>
      <c r="P608" s="227">
        <f>(IF((VLOOKUP(Table10[[#This Row],[SKU]],'All Skus'!$A:$AC,2,FALSE))="Martin",(VLOOKUP(Table10[[#This Row],[SKU]],'All Skus'!$A:$AC,20,FALSE)),""))</f>
        <v>0</v>
      </c>
      <c r="Q608" s="227">
        <f>(IF((VLOOKUP(Table10[[#This Row],[SKU]],'All Skus'!$A:$AC,2,FALSE))="Martin",(VLOOKUP(Table10[[#This Row],[SKU]],'All Skus'!$A:$AC,21,FALSE)),""))</f>
        <v>0</v>
      </c>
      <c r="R608" s="224">
        <f>(IF((VLOOKUP(Table10[[#This Row],[SKU]],'All Skus'!$A:$AC,2,FALSE))="Martin",(VLOOKUP(Table10[[#This Row],[SKU]],'All Skus'!$A:$AC,22,FALSE)),""))</f>
        <v>0</v>
      </c>
      <c r="S608" s="223">
        <f>(IF((VLOOKUP(Table10[[#This Row],[SKU]],'All Skus'!$A:$AC,2,FALSE))="Martin",(VLOOKUP(Table10[[#This Row],[SKU]],'All Skus'!$A:$AC,23,FALSE)),""))</f>
        <v>0</v>
      </c>
      <c r="T608" s="212" t="str">
        <f>HYPERLINK((IF((VLOOKUP(Table10[[#This Row],[SKU]],'All Skus'!$A:$AC,2,FALSE))="Martin",(VLOOKUP(Table10[[#This Row],[SKU]],'All Skus'!$A:$AC,24,FALSE)),"")))</f>
        <v/>
      </c>
      <c r="U608" s="228">
        <v>606</v>
      </c>
    </row>
    <row r="609" spans="1:21" hidden="1">
      <c r="A609" s="112" t="s">
        <v>2267</v>
      </c>
      <c r="B609" s="224" t="str">
        <f>(IF((VLOOKUP(Table10[[#This Row],[SKU]],'All Skus'!$A:$AC,2,FALSE))="Martin",(VLOOKUP(Table10[[#This Row],[SKU]],'All Skus'!$A:$AC,3,FALSE)),""))</f>
        <v>Power &amp; Processing</v>
      </c>
      <c r="C609" s="223" t="str">
        <f>(IF((VLOOKUP(Table10[[#This Row],[SKU]],'All Skus'!$A:$AC,2,FALSE))="Martin",(VLOOKUP(Table10[[#This Row],[SKU]],'All Skus'!$A:$AC,4,FALSE)),""))</f>
        <v xml:space="preserve">Martin IP66 PSU, 48VDC, 240W,100-240VAC </v>
      </c>
      <c r="D609" s="224" t="str">
        <f>(IF((VLOOKUP(Table10[[#This Row],[SKU]],'All Skus'!$A:$AC,2,FALSE))="Martin",(VLOOKUP(Table10[[#This Row],[SKU]],'All Skus'!$A:$AC,5,FALSE)),""))</f>
        <v>MAR-P3</v>
      </c>
      <c r="E609" s="223">
        <f>(IF((VLOOKUP(Table10[[#This Row],[SKU]],'All Skus'!$A:$AC,2,FALSE))="Martin",(VLOOKUP(Table10[[#This Row],[SKU]],'All Skus'!$A:$AC,6,FALSE)),""))</f>
        <v>0</v>
      </c>
      <c r="F609" s="155">
        <f>(IF((VLOOKUP(Table10[[#This Row],[SKU]],'All Skus'!$A:$AC,2,FALSE))="Martin",(VLOOKUP(Table10[[#This Row],[SKU]],'All Skus'!$A:$AC,7,FALSE)),""))</f>
        <v>0</v>
      </c>
      <c r="G609" s="223" t="str">
        <f>(IF((VLOOKUP(Table10[[#This Row],[SKU]],'All Skus'!$A:$AC,2,FALSE))="Martin",(VLOOKUP(Table10[[#This Row],[SKU]],'All Skus'!$A:$AC,8,FALSE)),""))</f>
        <v xml:space="preserve">Martin IP66 PSU, 48VDC, 240W,100-240VAC </v>
      </c>
      <c r="H609" s="223" t="str">
        <f>(IF((VLOOKUP(Table10[[#This Row],[SKU]],'All Skus'!$A:$AC,2,FALSE))="Martin",(VLOOKUP(Table10[[#This Row],[SKU]],'All Skus'!$A:$AC,9,FALSE)),""))</f>
        <v xml:space="preserve">Martin IP66 PSU, 48VDC, 240W,100-240VAC </v>
      </c>
      <c r="I609" s="225">
        <f>(IF((VLOOKUP(Table10[[#This Row],[SKU]],'All Skus'!$A:$AC,2,FALSE))="Martin",(VLOOKUP(Table10[[#This Row],[SKU]],'All Skus'!$A:$AC,10,FALSE)),""))</f>
        <v>549.47</v>
      </c>
      <c r="J609" s="226">
        <f>(IF((VLOOKUP(Table10[[#This Row],[SKU]],'All Skus'!$A:$AC,2,FALSE))="Martin",(VLOOKUP(Table10[[#This Row],[SKU]],'All Skus'!$A:$AC,11,FALSE)),""))</f>
        <v>549.47</v>
      </c>
      <c r="K609" s="224">
        <f>(IF((VLOOKUP(Table10[[#This Row],[SKU]],'All Skus'!$A:$AC,2,FALSE))="Martin",(VLOOKUP(Table10[[#This Row],[SKU]],'All Skus'!$A:$AC,15,FALSE)),""))</f>
        <v>0</v>
      </c>
      <c r="L609" s="224">
        <f>(IF((VLOOKUP(Table10[[#This Row],[SKU]],'All Skus'!$A:$AC,2,FALSE))="Martin",(VLOOKUP(Table10[[#This Row],[SKU]],'All Skus'!$A:$AC,16,FALSE)),""))</f>
        <v>5706681233755</v>
      </c>
      <c r="M609" s="224">
        <f>(IF((VLOOKUP(Table10[[#This Row],[SKU]],'All Skus'!$A:$AC,2,FALSE))="Martin",(VLOOKUP(Table10[[#This Row],[SKU]],'All Skus'!$A:$AC,17,FALSE)),""))</f>
        <v>0</v>
      </c>
      <c r="N609" s="227">
        <f>(IF((VLOOKUP(Table10[[#This Row],[SKU]],'All Skus'!$A:$AC,2,FALSE))="Martin",(VLOOKUP(Table10[[#This Row],[SKU]],'All Skus'!$A:$AC,18,FALSE)),""))</f>
        <v>15.354339</v>
      </c>
      <c r="O609" s="227">
        <f>(IF((VLOOKUP(Table10[[#This Row],[SKU]],'All Skus'!$A:$AC,2,FALSE))="Martin",(VLOOKUP(Table10[[#This Row],[SKU]],'All Skus'!$A:$AC,19,FALSE)),""))</f>
        <v>15.354339</v>
      </c>
      <c r="P609" s="227">
        <f>(IF((VLOOKUP(Table10[[#This Row],[SKU]],'All Skus'!$A:$AC,2,FALSE))="Martin",(VLOOKUP(Table10[[#This Row],[SKU]],'All Skus'!$A:$AC,20,FALSE)),""))</f>
        <v>0</v>
      </c>
      <c r="Q609" s="227">
        <f>(IF((VLOOKUP(Table10[[#This Row],[SKU]],'All Skus'!$A:$AC,2,FALSE))="Martin",(VLOOKUP(Table10[[#This Row],[SKU]],'All Skus'!$A:$AC,21,FALSE)),""))</f>
        <v>0</v>
      </c>
      <c r="R609" s="224" t="str">
        <f>(IF((VLOOKUP(Table10[[#This Row],[SKU]],'All Skus'!$A:$AC,2,FALSE))="Martin",(VLOOKUP(Table10[[#This Row],[SKU]],'All Skus'!$A:$AC,22,FALSE)),""))</f>
        <v>HU</v>
      </c>
      <c r="S609" s="223">
        <f>(IF((VLOOKUP(Table10[[#This Row],[SKU]],'All Skus'!$A:$AC,2,FALSE))="Martin",(VLOOKUP(Table10[[#This Row],[SKU]],'All Skus'!$A:$AC,23,FALSE)),""))</f>
        <v>0</v>
      </c>
      <c r="T609" s="212" t="str">
        <f>HYPERLINK((IF((VLOOKUP(Table10[[#This Row],[SKU]],'All Skus'!$A:$AC,2,FALSE))="Martin",(VLOOKUP(Table10[[#This Row],[SKU]],'All Skus'!$A:$AC,24,FALSE)),"")))</f>
        <v/>
      </c>
      <c r="U609" s="228">
        <v>607</v>
      </c>
    </row>
    <row r="610" spans="1:21" hidden="1">
      <c r="A610" s="115" t="s">
        <v>2268</v>
      </c>
      <c r="B610" s="224">
        <f>(IF((VLOOKUP(Table10[[#This Row],[SKU]],'All Skus'!$A:$AC,2,FALSE))="Martin",(VLOOKUP(Table10[[#This Row],[SKU]],'All Skus'!$A:$AC,3,FALSE)),""))</f>
        <v>0</v>
      </c>
      <c r="C610" s="223">
        <f>(IF((VLOOKUP(Table10[[#This Row],[SKU]],'All Skus'!$A:$AC,2,FALSE))="Martin",(VLOOKUP(Table10[[#This Row],[SKU]],'All Skus'!$A:$AC,4,FALSE)),""))</f>
        <v>0</v>
      </c>
      <c r="D610" s="224">
        <f>(IF((VLOOKUP(Table10[[#This Row],[SKU]],'All Skus'!$A:$AC,2,FALSE))="Martin",(VLOOKUP(Table10[[#This Row],[SKU]],'All Skus'!$A:$AC,5,FALSE)),""))</f>
        <v>0</v>
      </c>
      <c r="E610" s="223">
        <f>(IF((VLOOKUP(Table10[[#This Row],[SKU]],'All Skus'!$A:$AC,2,FALSE))="Martin",(VLOOKUP(Table10[[#This Row],[SKU]],'All Skus'!$A:$AC,6,FALSE)),""))</f>
        <v>0</v>
      </c>
      <c r="F610" s="155">
        <f>(IF((VLOOKUP(Table10[[#This Row],[SKU]],'All Skus'!$A:$AC,2,FALSE))="Martin",(VLOOKUP(Table10[[#This Row],[SKU]],'All Skus'!$A:$AC,7,FALSE)),""))</f>
        <v>0</v>
      </c>
      <c r="G610" s="223">
        <f>(IF((VLOOKUP(Table10[[#This Row],[SKU]],'All Skus'!$A:$AC,2,FALSE))="Martin",(VLOOKUP(Table10[[#This Row],[SKU]],'All Skus'!$A:$AC,8,FALSE)),""))</f>
        <v>0</v>
      </c>
      <c r="H610" s="223">
        <f>(IF((VLOOKUP(Table10[[#This Row],[SKU]],'All Skus'!$A:$AC,2,FALSE))="Martin",(VLOOKUP(Table10[[#This Row],[SKU]],'All Skus'!$A:$AC,9,FALSE)),""))</f>
        <v>0</v>
      </c>
      <c r="I610" s="225">
        <f>(IF((VLOOKUP(Table10[[#This Row],[SKU]],'All Skus'!$A:$AC,2,FALSE))="Martin",(VLOOKUP(Table10[[#This Row],[SKU]],'All Skus'!$A:$AC,10,FALSE)),""))</f>
        <v>0</v>
      </c>
      <c r="J610" s="226">
        <f>(IF((VLOOKUP(Table10[[#This Row],[SKU]],'All Skus'!$A:$AC,2,FALSE))="Martin",(VLOOKUP(Table10[[#This Row],[SKU]],'All Skus'!$A:$AC,11,FALSE)),""))</f>
        <v>0</v>
      </c>
      <c r="K610" s="224">
        <f>(IF((VLOOKUP(Table10[[#This Row],[SKU]],'All Skus'!$A:$AC,2,FALSE))="Martin",(VLOOKUP(Table10[[#This Row],[SKU]],'All Skus'!$A:$AC,15,FALSE)),""))</f>
        <v>0</v>
      </c>
      <c r="L610" s="224">
        <f>(IF((VLOOKUP(Table10[[#This Row],[SKU]],'All Skus'!$A:$AC,2,FALSE))="Martin",(VLOOKUP(Table10[[#This Row],[SKU]],'All Skus'!$A:$AC,16,FALSE)),""))</f>
        <v>0</v>
      </c>
      <c r="M610" s="224">
        <f>(IF((VLOOKUP(Table10[[#This Row],[SKU]],'All Skus'!$A:$AC,2,FALSE))="Martin",(VLOOKUP(Table10[[#This Row],[SKU]],'All Skus'!$A:$AC,17,FALSE)),""))</f>
        <v>0</v>
      </c>
      <c r="N610" s="227">
        <f>(IF((VLOOKUP(Table10[[#This Row],[SKU]],'All Skus'!$A:$AC,2,FALSE))="Martin",(VLOOKUP(Table10[[#This Row],[SKU]],'All Skus'!$A:$AC,18,FALSE)),""))</f>
        <v>0</v>
      </c>
      <c r="O610" s="227">
        <f>(IF((VLOOKUP(Table10[[#This Row],[SKU]],'All Skus'!$A:$AC,2,FALSE))="Martin",(VLOOKUP(Table10[[#This Row],[SKU]],'All Skus'!$A:$AC,19,FALSE)),""))</f>
        <v>0</v>
      </c>
      <c r="P610" s="227">
        <f>(IF((VLOOKUP(Table10[[#This Row],[SKU]],'All Skus'!$A:$AC,2,FALSE))="Martin",(VLOOKUP(Table10[[#This Row],[SKU]],'All Skus'!$A:$AC,20,FALSE)),""))</f>
        <v>0</v>
      </c>
      <c r="Q610" s="227">
        <f>(IF((VLOOKUP(Table10[[#This Row],[SKU]],'All Skus'!$A:$AC,2,FALSE))="Martin",(VLOOKUP(Table10[[#This Row],[SKU]],'All Skus'!$A:$AC,21,FALSE)),""))</f>
        <v>0</v>
      </c>
      <c r="R610" s="224">
        <f>(IF((VLOOKUP(Table10[[#This Row],[SKU]],'All Skus'!$A:$AC,2,FALSE))="Martin",(VLOOKUP(Table10[[#This Row],[SKU]],'All Skus'!$A:$AC,22,FALSE)),""))</f>
        <v>0</v>
      </c>
      <c r="S610" s="223">
        <f>(IF((VLOOKUP(Table10[[#This Row],[SKU]],'All Skus'!$A:$AC,2,FALSE))="Martin",(VLOOKUP(Table10[[#This Row],[SKU]],'All Skus'!$A:$AC,23,FALSE)),""))</f>
        <v>0</v>
      </c>
      <c r="T610" s="212" t="str">
        <f>HYPERLINK((IF((VLOOKUP(Table10[[#This Row],[SKU]],'All Skus'!$A:$AC,2,FALSE))="Martin",(VLOOKUP(Table10[[#This Row],[SKU]],'All Skus'!$A:$AC,24,FALSE)),"")))</f>
        <v/>
      </c>
      <c r="U610" s="228">
        <v>608</v>
      </c>
    </row>
    <row r="611" spans="1:21" hidden="1">
      <c r="A611" s="111" t="s">
        <v>2269</v>
      </c>
      <c r="B611" s="224">
        <f>(IF((VLOOKUP(Table10[[#This Row],[SKU]],'All Skus'!$A:$AC,2,FALSE))="Martin",(VLOOKUP(Table10[[#This Row],[SKU]],'All Skus'!$A:$AC,3,FALSE)),""))</f>
        <v>0</v>
      </c>
      <c r="C611" s="223">
        <f>(IF((VLOOKUP(Table10[[#This Row],[SKU]],'All Skus'!$A:$AC,2,FALSE))="Martin",(VLOOKUP(Table10[[#This Row],[SKU]],'All Skus'!$A:$AC,4,FALSE)),""))</f>
        <v>0</v>
      </c>
      <c r="D611" s="224">
        <f>(IF((VLOOKUP(Table10[[#This Row],[SKU]],'All Skus'!$A:$AC,2,FALSE))="Martin",(VLOOKUP(Table10[[#This Row],[SKU]],'All Skus'!$A:$AC,5,FALSE)),""))</f>
        <v>0</v>
      </c>
      <c r="E611" s="223">
        <f>(IF((VLOOKUP(Table10[[#This Row],[SKU]],'All Skus'!$A:$AC,2,FALSE))="Martin",(VLOOKUP(Table10[[#This Row],[SKU]],'All Skus'!$A:$AC,6,FALSE)),""))</f>
        <v>0</v>
      </c>
      <c r="F611" s="155">
        <f>(IF((VLOOKUP(Table10[[#This Row],[SKU]],'All Skus'!$A:$AC,2,FALSE))="Martin",(VLOOKUP(Table10[[#This Row],[SKU]],'All Skus'!$A:$AC,7,FALSE)),""))</f>
        <v>0</v>
      </c>
      <c r="G611" s="223">
        <f>(IF((VLOOKUP(Table10[[#This Row],[SKU]],'All Skus'!$A:$AC,2,FALSE))="Martin",(VLOOKUP(Table10[[#This Row],[SKU]],'All Skus'!$A:$AC,8,FALSE)),""))</f>
        <v>0</v>
      </c>
      <c r="H611" s="223">
        <f>(IF((VLOOKUP(Table10[[#This Row],[SKU]],'All Skus'!$A:$AC,2,FALSE))="Martin",(VLOOKUP(Table10[[#This Row],[SKU]],'All Skus'!$A:$AC,9,FALSE)),""))</f>
        <v>0</v>
      </c>
      <c r="I611" s="225">
        <f>(IF((VLOOKUP(Table10[[#This Row],[SKU]],'All Skus'!$A:$AC,2,FALSE))="Martin",(VLOOKUP(Table10[[#This Row],[SKU]],'All Skus'!$A:$AC,10,FALSE)),""))</f>
        <v>0</v>
      </c>
      <c r="J611" s="226">
        <f>(IF((VLOOKUP(Table10[[#This Row],[SKU]],'All Skus'!$A:$AC,2,FALSE))="Martin",(VLOOKUP(Table10[[#This Row],[SKU]],'All Skus'!$A:$AC,11,FALSE)),""))</f>
        <v>0</v>
      </c>
      <c r="K611" s="224">
        <f>(IF((VLOOKUP(Table10[[#This Row],[SKU]],'All Skus'!$A:$AC,2,FALSE))="Martin",(VLOOKUP(Table10[[#This Row],[SKU]],'All Skus'!$A:$AC,15,FALSE)),""))</f>
        <v>0</v>
      </c>
      <c r="L611" s="224">
        <f>(IF((VLOOKUP(Table10[[#This Row],[SKU]],'All Skus'!$A:$AC,2,FALSE))="Martin",(VLOOKUP(Table10[[#This Row],[SKU]],'All Skus'!$A:$AC,16,FALSE)),""))</f>
        <v>0</v>
      </c>
      <c r="M611" s="224">
        <f>(IF((VLOOKUP(Table10[[#This Row],[SKU]],'All Skus'!$A:$AC,2,FALSE))="Martin",(VLOOKUP(Table10[[#This Row],[SKU]],'All Skus'!$A:$AC,17,FALSE)),""))</f>
        <v>0</v>
      </c>
      <c r="N611" s="227">
        <f>(IF((VLOOKUP(Table10[[#This Row],[SKU]],'All Skus'!$A:$AC,2,FALSE))="Martin",(VLOOKUP(Table10[[#This Row],[SKU]],'All Skus'!$A:$AC,18,FALSE)),""))</f>
        <v>0</v>
      </c>
      <c r="O611" s="227">
        <f>(IF((VLOOKUP(Table10[[#This Row],[SKU]],'All Skus'!$A:$AC,2,FALSE))="Martin",(VLOOKUP(Table10[[#This Row],[SKU]],'All Skus'!$A:$AC,19,FALSE)),""))</f>
        <v>0</v>
      </c>
      <c r="P611" s="227">
        <f>(IF((VLOOKUP(Table10[[#This Row],[SKU]],'All Skus'!$A:$AC,2,FALSE))="Martin",(VLOOKUP(Table10[[#This Row],[SKU]],'All Skus'!$A:$AC,20,FALSE)),""))</f>
        <v>0</v>
      </c>
      <c r="Q611" s="227">
        <f>(IF((VLOOKUP(Table10[[#This Row],[SKU]],'All Skus'!$A:$AC,2,FALSE))="Martin",(VLOOKUP(Table10[[#This Row],[SKU]],'All Skus'!$A:$AC,21,FALSE)),""))</f>
        <v>0</v>
      </c>
      <c r="R611" s="224">
        <f>(IF((VLOOKUP(Table10[[#This Row],[SKU]],'All Skus'!$A:$AC,2,FALSE))="Martin",(VLOOKUP(Table10[[#This Row],[SKU]],'All Skus'!$A:$AC,22,FALSE)),""))</f>
        <v>0</v>
      </c>
      <c r="S611" s="223">
        <f>(IF((VLOOKUP(Table10[[#This Row],[SKU]],'All Skus'!$A:$AC,2,FALSE))="Martin",(VLOOKUP(Table10[[#This Row],[SKU]],'All Skus'!$A:$AC,23,FALSE)),""))</f>
        <v>0</v>
      </c>
      <c r="T611" s="212" t="str">
        <f>HYPERLINK((IF((VLOOKUP(Table10[[#This Row],[SKU]],'All Skus'!$A:$AC,2,FALSE))="Martin",(VLOOKUP(Table10[[#This Row],[SKU]],'All Skus'!$A:$AC,24,FALSE)),"")))</f>
        <v/>
      </c>
      <c r="U611" s="228">
        <v>609</v>
      </c>
    </row>
    <row r="612" spans="1:21" hidden="1">
      <c r="A612" s="115" t="s">
        <v>2270</v>
      </c>
      <c r="B612" s="224">
        <f>(IF((VLOOKUP(Table10[[#This Row],[SKU]],'All Skus'!$A:$AC,2,FALSE))="Martin",(VLOOKUP(Table10[[#This Row],[SKU]],'All Skus'!$A:$AC,3,FALSE)),""))</f>
        <v>0</v>
      </c>
      <c r="C612" s="223">
        <f>(IF((VLOOKUP(Table10[[#This Row],[SKU]],'All Skus'!$A:$AC,2,FALSE))="Martin",(VLOOKUP(Table10[[#This Row],[SKU]],'All Skus'!$A:$AC,4,FALSE)),""))</f>
        <v>0</v>
      </c>
      <c r="D612" s="224">
        <f>(IF((VLOOKUP(Table10[[#This Row],[SKU]],'All Skus'!$A:$AC,2,FALSE))="Martin",(VLOOKUP(Table10[[#This Row],[SKU]],'All Skus'!$A:$AC,5,FALSE)),""))</f>
        <v>0</v>
      </c>
      <c r="E612" s="223">
        <f>(IF((VLOOKUP(Table10[[#This Row],[SKU]],'All Skus'!$A:$AC,2,FALSE))="Martin",(VLOOKUP(Table10[[#This Row],[SKU]],'All Skus'!$A:$AC,6,FALSE)),""))</f>
        <v>0</v>
      </c>
      <c r="F612" s="155">
        <f>(IF((VLOOKUP(Table10[[#This Row],[SKU]],'All Skus'!$A:$AC,2,FALSE))="Martin",(VLOOKUP(Table10[[#This Row],[SKU]],'All Skus'!$A:$AC,7,FALSE)),""))</f>
        <v>0</v>
      </c>
      <c r="G612" s="223">
        <f>(IF((VLOOKUP(Table10[[#This Row],[SKU]],'All Skus'!$A:$AC,2,FALSE))="Martin",(VLOOKUP(Table10[[#This Row],[SKU]],'All Skus'!$A:$AC,8,FALSE)),""))</f>
        <v>0</v>
      </c>
      <c r="H612" s="223">
        <f>(IF((VLOOKUP(Table10[[#This Row],[SKU]],'All Skus'!$A:$AC,2,FALSE))="Martin",(VLOOKUP(Table10[[#This Row],[SKU]],'All Skus'!$A:$AC,9,FALSE)),""))</f>
        <v>0</v>
      </c>
      <c r="I612" s="225">
        <f>(IF((VLOOKUP(Table10[[#This Row],[SKU]],'All Skus'!$A:$AC,2,FALSE))="Martin",(VLOOKUP(Table10[[#This Row],[SKU]],'All Skus'!$A:$AC,10,FALSE)),""))</f>
        <v>0</v>
      </c>
      <c r="J612" s="226">
        <f>(IF((VLOOKUP(Table10[[#This Row],[SKU]],'All Skus'!$A:$AC,2,FALSE))="Martin",(VLOOKUP(Table10[[#This Row],[SKU]],'All Skus'!$A:$AC,11,FALSE)),""))</f>
        <v>0</v>
      </c>
      <c r="K612" s="224">
        <f>(IF((VLOOKUP(Table10[[#This Row],[SKU]],'All Skus'!$A:$AC,2,FALSE))="Martin",(VLOOKUP(Table10[[#This Row],[SKU]],'All Skus'!$A:$AC,15,FALSE)),""))</f>
        <v>0</v>
      </c>
      <c r="L612" s="224">
        <f>(IF((VLOOKUP(Table10[[#This Row],[SKU]],'All Skus'!$A:$AC,2,FALSE))="Martin",(VLOOKUP(Table10[[#This Row],[SKU]],'All Skus'!$A:$AC,16,FALSE)),""))</f>
        <v>0</v>
      </c>
      <c r="M612" s="224">
        <f>(IF((VLOOKUP(Table10[[#This Row],[SKU]],'All Skus'!$A:$AC,2,FALSE))="Martin",(VLOOKUP(Table10[[#This Row],[SKU]],'All Skus'!$A:$AC,17,FALSE)),""))</f>
        <v>0</v>
      </c>
      <c r="N612" s="227">
        <f>(IF((VLOOKUP(Table10[[#This Row],[SKU]],'All Skus'!$A:$AC,2,FALSE))="Martin",(VLOOKUP(Table10[[#This Row],[SKU]],'All Skus'!$A:$AC,18,FALSE)),""))</f>
        <v>0</v>
      </c>
      <c r="O612" s="227">
        <f>(IF((VLOOKUP(Table10[[#This Row],[SKU]],'All Skus'!$A:$AC,2,FALSE))="Martin",(VLOOKUP(Table10[[#This Row],[SKU]],'All Skus'!$A:$AC,19,FALSE)),""))</f>
        <v>0</v>
      </c>
      <c r="P612" s="227">
        <f>(IF((VLOOKUP(Table10[[#This Row],[SKU]],'All Skus'!$A:$AC,2,FALSE))="Martin",(VLOOKUP(Table10[[#This Row],[SKU]],'All Skus'!$A:$AC,20,FALSE)),""))</f>
        <v>0</v>
      </c>
      <c r="Q612" s="227">
        <f>(IF((VLOOKUP(Table10[[#This Row],[SKU]],'All Skus'!$A:$AC,2,FALSE))="Martin",(VLOOKUP(Table10[[#This Row],[SKU]],'All Skus'!$A:$AC,21,FALSE)),""))</f>
        <v>0</v>
      </c>
      <c r="R612" s="224">
        <f>(IF((VLOOKUP(Table10[[#This Row],[SKU]],'All Skus'!$A:$AC,2,FALSE))="Martin",(VLOOKUP(Table10[[#This Row],[SKU]],'All Skus'!$A:$AC,22,FALSE)),""))</f>
        <v>0</v>
      </c>
      <c r="S612" s="223">
        <f>(IF((VLOOKUP(Table10[[#This Row],[SKU]],'All Skus'!$A:$AC,2,FALSE))="Martin",(VLOOKUP(Table10[[#This Row],[SKU]],'All Skus'!$A:$AC,23,FALSE)),""))</f>
        <v>0</v>
      </c>
      <c r="T612" s="212" t="str">
        <f>HYPERLINK((IF((VLOOKUP(Table10[[#This Row],[SKU]],'All Skus'!$A:$AC,2,FALSE))="Martin",(VLOOKUP(Table10[[#This Row],[SKU]],'All Skus'!$A:$AC,24,FALSE)),"")))</f>
        <v/>
      </c>
      <c r="U612" s="228">
        <v>610</v>
      </c>
    </row>
    <row r="613" spans="1:21" hidden="1">
      <c r="A613" s="112">
        <v>90280040</v>
      </c>
      <c r="B613" s="224">
        <f>(IF((VLOOKUP(Table10[[#This Row],[SKU]],'All Skus'!$A:$AC,2,FALSE))="Martin",(VLOOKUP(Table10[[#This Row],[SKU]],'All Skus'!$A:$AC,3,FALSE)),""))</f>
        <v>0</v>
      </c>
      <c r="C613" s="223" t="str">
        <f>(IF((VLOOKUP(Table10[[#This Row],[SKU]],'All Skus'!$A:$AC,2,FALSE))="Martin",(VLOOKUP(Table10[[#This Row],[SKU]],'All Skus'!$A:$AC,4,FALSE)),""))</f>
        <v xml:space="preserve">RUSH MH 5 Profile </v>
      </c>
      <c r="D613" s="224" t="str">
        <f>(IF((VLOOKUP(Table10[[#This Row],[SKU]],'All Skus'!$A:$AC,2,FALSE))="Martin",(VLOOKUP(Table10[[#This Row],[SKU]],'All Skus'!$A:$AC,5,FALSE)),""))</f>
        <v>MRU-MH</v>
      </c>
      <c r="E613" s="223">
        <f>(IF((VLOOKUP(Table10[[#This Row],[SKU]],'All Skus'!$A:$AC,2,FALSE))="Martin",(VLOOKUP(Table10[[#This Row],[SKU]],'All Skus'!$A:$AC,6,FALSE)),""))</f>
        <v>0</v>
      </c>
      <c r="F613" s="155">
        <f>(IF((VLOOKUP(Table10[[#This Row],[SKU]],'All Skus'!$A:$AC,2,FALSE))="Martin",(VLOOKUP(Table10[[#This Row],[SKU]],'All Skus'!$A:$AC,7,FALSE)),""))</f>
        <v>0</v>
      </c>
      <c r="G613" s="223" t="str">
        <f>(IF((VLOOKUP(Table10[[#This Row],[SKU]],'All Skus'!$A:$AC,2,FALSE))="Martin",(VLOOKUP(Table10[[#This Row],[SKU]],'All Skus'!$A:$AC,8,FALSE)),""))</f>
        <v xml:space="preserve">RUSH MH 5 Profile </v>
      </c>
      <c r="H613" s="223" t="str">
        <f>(IF((VLOOKUP(Table10[[#This Row],[SKU]],'All Skus'!$A:$AC,2,FALSE))="Martin",(VLOOKUP(Table10[[#This Row],[SKU]],'All Skus'!$A:$AC,9,FALSE)),""))</f>
        <v xml:space="preserve">RUSH MH 5 Profile </v>
      </c>
      <c r="I613" s="225">
        <f>(IF((VLOOKUP(Table10[[#This Row],[SKU]],'All Skus'!$A:$AC,2,FALSE))="Martin",(VLOOKUP(Table10[[#This Row],[SKU]],'All Skus'!$A:$AC,10,FALSE)),""))</f>
        <v>1976</v>
      </c>
      <c r="J613" s="226">
        <f>(IF((VLOOKUP(Table10[[#This Row],[SKU]],'All Skus'!$A:$AC,2,FALSE))="Martin",(VLOOKUP(Table10[[#This Row],[SKU]],'All Skus'!$A:$AC,11,FALSE)),""))</f>
        <v>1976</v>
      </c>
      <c r="K613" s="224">
        <f>(IF((VLOOKUP(Table10[[#This Row],[SKU]],'All Skus'!$A:$AC,2,FALSE))="Martin",(VLOOKUP(Table10[[#This Row],[SKU]],'All Skus'!$A:$AC,15,FALSE)),""))</f>
        <v>0</v>
      </c>
      <c r="L613" s="224">
        <f>(IF((VLOOKUP(Table10[[#This Row],[SKU]],'All Skus'!$A:$AC,2,FALSE))="Martin",(VLOOKUP(Table10[[#This Row],[SKU]],'All Skus'!$A:$AC,16,FALSE)),""))</f>
        <v>0</v>
      </c>
      <c r="M613" s="224">
        <f>(IF((VLOOKUP(Table10[[#This Row],[SKU]],'All Skus'!$A:$AC,2,FALSE))="Martin",(VLOOKUP(Table10[[#This Row],[SKU]],'All Skus'!$A:$AC,17,FALSE)),""))</f>
        <v>0</v>
      </c>
      <c r="N613" s="227">
        <f>(IF((VLOOKUP(Table10[[#This Row],[SKU]],'All Skus'!$A:$AC,2,FALSE))="Martin",(VLOOKUP(Table10[[#This Row],[SKU]],'All Skus'!$A:$AC,18,FALSE)),""))</f>
        <v>0</v>
      </c>
      <c r="O613" s="227">
        <f>(IF((VLOOKUP(Table10[[#This Row],[SKU]],'All Skus'!$A:$AC,2,FALSE))="Martin",(VLOOKUP(Table10[[#This Row],[SKU]],'All Skus'!$A:$AC,19,FALSE)),""))</f>
        <v>0</v>
      </c>
      <c r="P613" s="227">
        <f>(IF((VLOOKUP(Table10[[#This Row],[SKU]],'All Skus'!$A:$AC,2,FALSE))="Martin",(VLOOKUP(Table10[[#This Row],[SKU]],'All Skus'!$A:$AC,20,FALSE)),""))</f>
        <v>0</v>
      </c>
      <c r="Q613" s="227">
        <f>(IF((VLOOKUP(Table10[[#This Row],[SKU]],'All Skus'!$A:$AC,2,FALSE))="Martin",(VLOOKUP(Table10[[#This Row],[SKU]],'All Skus'!$A:$AC,21,FALSE)),""))</f>
        <v>0</v>
      </c>
      <c r="R613" s="224">
        <f>(IF((VLOOKUP(Table10[[#This Row],[SKU]],'All Skus'!$A:$AC,2,FALSE))="Martin",(VLOOKUP(Table10[[#This Row],[SKU]],'All Skus'!$A:$AC,22,FALSE)),""))</f>
        <v>0</v>
      </c>
      <c r="S613" s="223">
        <f>(IF((VLOOKUP(Table10[[#This Row],[SKU]],'All Skus'!$A:$AC,2,FALSE))="Martin",(VLOOKUP(Table10[[#This Row],[SKU]],'All Skus'!$A:$AC,23,FALSE)),""))</f>
        <v>0</v>
      </c>
      <c r="T613" s="212" t="str">
        <f>HYPERLINK((IF((VLOOKUP(Table10[[#This Row],[SKU]],'All Skus'!$A:$AC,2,FALSE))="Martin",(VLOOKUP(Table10[[#This Row],[SKU]],'All Skus'!$A:$AC,24,FALSE)),"")))</f>
        <v/>
      </c>
      <c r="U613" s="228">
        <v>611</v>
      </c>
    </row>
    <row r="614" spans="1:21" hidden="1">
      <c r="A614" s="115" t="s">
        <v>2271</v>
      </c>
      <c r="B614" s="224">
        <f>(IF((VLOOKUP(Table10[[#This Row],[SKU]],'All Skus'!$A:$AC,2,FALSE))="Martin",(VLOOKUP(Table10[[#This Row],[SKU]],'All Skus'!$A:$AC,3,FALSE)),""))</f>
        <v>0</v>
      </c>
      <c r="C614" s="223">
        <f>(IF((VLOOKUP(Table10[[#This Row],[SKU]],'All Skus'!$A:$AC,2,FALSE))="Martin",(VLOOKUP(Table10[[#This Row],[SKU]],'All Skus'!$A:$AC,4,FALSE)),""))</f>
        <v>0</v>
      </c>
      <c r="D614" s="224">
        <f>(IF((VLOOKUP(Table10[[#This Row],[SKU]],'All Skus'!$A:$AC,2,FALSE))="Martin",(VLOOKUP(Table10[[#This Row],[SKU]],'All Skus'!$A:$AC,5,FALSE)),""))</f>
        <v>0</v>
      </c>
      <c r="E614" s="223">
        <f>(IF((VLOOKUP(Table10[[#This Row],[SKU]],'All Skus'!$A:$AC,2,FALSE))="Martin",(VLOOKUP(Table10[[#This Row],[SKU]],'All Skus'!$A:$AC,6,FALSE)),""))</f>
        <v>0</v>
      </c>
      <c r="F614" s="155">
        <f>(IF((VLOOKUP(Table10[[#This Row],[SKU]],'All Skus'!$A:$AC,2,FALSE))="Martin",(VLOOKUP(Table10[[#This Row],[SKU]],'All Skus'!$A:$AC,7,FALSE)),""))</f>
        <v>0</v>
      </c>
      <c r="G614" s="223">
        <f>(IF((VLOOKUP(Table10[[#This Row],[SKU]],'All Skus'!$A:$AC,2,FALSE))="Martin",(VLOOKUP(Table10[[#This Row],[SKU]],'All Skus'!$A:$AC,8,FALSE)),""))</f>
        <v>0</v>
      </c>
      <c r="H614" s="223">
        <f>(IF((VLOOKUP(Table10[[#This Row],[SKU]],'All Skus'!$A:$AC,2,FALSE))="Martin",(VLOOKUP(Table10[[#This Row],[SKU]],'All Skus'!$A:$AC,9,FALSE)),""))</f>
        <v>0</v>
      </c>
      <c r="I614" s="225">
        <f>(IF((VLOOKUP(Table10[[#This Row],[SKU]],'All Skus'!$A:$AC,2,FALSE))="Martin",(VLOOKUP(Table10[[#This Row],[SKU]],'All Skus'!$A:$AC,10,FALSE)),""))</f>
        <v>0</v>
      </c>
      <c r="J614" s="226">
        <f>(IF((VLOOKUP(Table10[[#This Row],[SKU]],'All Skus'!$A:$AC,2,FALSE))="Martin",(VLOOKUP(Table10[[#This Row],[SKU]],'All Skus'!$A:$AC,11,FALSE)),""))</f>
        <v>0</v>
      </c>
      <c r="K614" s="224">
        <f>(IF((VLOOKUP(Table10[[#This Row],[SKU]],'All Skus'!$A:$AC,2,FALSE))="Martin",(VLOOKUP(Table10[[#This Row],[SKU]],'All Skus'!$A:$AC,15,FALSE)),""))</f>
        <v>0</v>
      </c>
      <c r="L614" s="224">
        <f>(IF((VLOOKUP(Table10[[#This Row],[SKU]],'All Skus'!$A:$AC,2,FALSE))="Martin",(VLOOKUP(Table10[[#This Row],[SKU]],'All Skus'!$A:$AC,16,FALSE)),""))</f>
        <v>0</v>
      </c>
      <c r="M614" s="224">
        <f>(IF((VLOOKUP(Table10[[#This Row],[SKU]],'All Skus'!$A:$AC,2,FALSE))="Martin",(VLOOKUP(Table10[[#This Row],[SKU]],'All Skus'!$A:$AC,17,FALSE)),""))</f>
        <v>0</v>
      </c>
      <c r="N614" s="227">
        <f>(IF((VLOOKUP(Table10[[#This Row],[SKU]],'All Skus'!$A:$AC,2,FALSE))="Martin",(VLOOKUP(Table10[[#This Row],[SKU]],'All Skus'!$A:$AC,18,FALSE)),""))</f>
        <v>0</v>
      </c>
      <c r="O614" s="227">
        <f>(IF((VLOOKUP(Table10[[#This Row],[SKU]],'All Skus'!$A:$AC,2,FALSE))="Martin",(VLOOKUP(Table10[[#This Row],[SKU]],'All Skus'!$A:$AC,19,FALSE)),""))</f>
        <v>0</v>
      </c>
      <c r="P614" s="227">
        <f>(IF((VLOOKUP(Table10[[#This Row],[SKU]],'All Skus'!$A:$AC,2,FALSE))="Martin",(VLOOKUP(Table10[[#This Row],[SKU]],'All Skus'!$A:$AC,20,FALSE)),""))</f>
        <v>0</v>
      </c>
      <c r="Q614" s="227">
        <f>(IF((VLOOKUP(Table10[[#This Row],[SKU]],'All Skus'!$A:$AC,2,FALSE))="Martin",(VLOOKUP(Table10[[#This Row],[SKU]],'All Skus'!$A:$AC,21,FALSE)),""))</f>
        <v>0</v>
      </c>
      <c r="R614" s="224">
        <f>(IF((VLOOKUP(Table10[[#This Row],[SKU]],'All Skus'!$A:$AC,2,FALSE))="Martin",(VLOOKUP(Table10[[#This Row],[SKU]],'All Skus'!$A:$AC,22,FALSE)),""))</f>
        <v>0</v>
      </c>
      <c r="S614" s="223">
        <f>(IF((VLOOKUP(Table10[[#This Row],[SKU]],'All Skus'!$A:$AC,2,FALSE))="Martin",(VLOOKUP(Table10[[#This Row],[SKU]],'All Skus'!$A:$AC,23,FALSE)),""))</f>
        <v>0</v>
      </c>
      <c r="T614" s="212" t="str">
        <f>HYPERLINK((IF((VLOOKUP(Table10[[#This Row],[SKU]],'All Skus'!$A:$AC,2,FALSE))="Martin",(VLOOKUP(Table10[[#This Row],[SKU]],'All Skus'!$A:$AC,24,FALSE)),"")))</f>
        <v/>
      </c>
      <c r="U614" s="228">
        <v>612</v>
      </c>
    </row>
    <row r="615" spans="1:21" hidden="1">
      <c r="A615" s="114">
        <v>91515039</v>
      </c>
      <c r="B615" s="224" t="str">
        <f>(IF((VLOOKUP(Table10[[#This Row],[SKU]],'All Skus'!$A:$AC,2,FALSE))="Martin",(VLOOKUP(Table10[[#This Row],[SKU]],'All Skus'!$A:$AC,3,FALSE)),""))</f>
        <v>Automated Lights</v>
      </c>
      <c r="C615" s="223" t="str">
        <f>(IF((VLOOKUP(Table10[[#This Row],[SKU]],'All Skus'!$A:$AC,2,FALSE))="Martin",(VLOOKUP(Table10[[#This Row],[SKU]],'All Skus'!$A:$AC,4,FALSE)),""))</f>
        <v>Flightcase for 2 x RUSH MH 7 Hybrid</v>
      </c>
      <c r="D615" s="224" t="str">
        <f>(IF((VLOOKUP(Table10[[#This Row],[SKU]],'All Skus'!$A:$AC,2,FALSE))="Martin",(VLOOKUP(Table10[[#This Row],[SKU]],'All Skus'!$A:$AC,5,FALSE)),""))</f>
        <v>MRU-MH</v>
      </c>
      <c r="E615" s="223">
        <f>(IF((VLOOKUP(Table10[[#This Row],[SKU]],'All Skus'!$A:$AC,2,FALSE))="Martin",(VLOOKUP(Table10[[#This Row],[SKU]],'All Skus'!$A:$AC,6,FALSE)),""))</f>
        <v>0</v>
      </c>
      <c r="F615" s="155" t="str">
        <f>(IF((VLOOKUP(Table10[[#This Row],[SKU]],'All Skus'!$A:$AC,2,FALSE))="Martin",(VLOOKUP(Table10[[#This Row],[SKU]],'All Skus'!$A:$AC,7,FALSE)),""))</f>
        <v>EOL soon – very limited availability</v>
      </c>
      <c r="G615" s="223" t="str">
        <f>(IF((VLOOKUP(Table10[[#This Row],[SKU]],'All Skus'!$A:$AC,2,FALSE))="Martin",(VLOOKUP(Table10[[#This Row],[SKU]],'All Skus'!$A:$AC,8,FALSE)),""))</f>
        <v>Flightcase for 2 x RUSH MH 7 Hybrid</v>
      </c>
      <c r="H615" s="223" t="str">
        <f>(IF((VLOOKUP(Table10[[#This Row],[SKU]],'All Skus'!$A:$AC,2,FALSE))="Martin",(VLOOKUP(Table10[[#This Row],[SKU]],'All Skus'!$A:$AC,9,FALSE)),""))</f>
        <v>Flightcase for 2 x RUSH MH 7 Hybrid</v>
      </c>
      <c r="I615" s="225">
        <f>(IF((VLOOKUP(Table10[[#This Row],[SKU]],'All Skus'!$A:$AC,2,FALSE))="Martin",(VLOOKUP(Table10[[#This Row],[SKU]],'All Skus'!$A:$AC,10,FALSE)),""))</f>
        <v>2499.16</v>
      </c>
      <c r="J615" s="226">
        <f>(IF((VLOOKUP(Table10[[#This Row],[SKU]],'All Skus'!$A:$AC,2,FALSE))="Martin",(VLOOKUP(Table10[[#This Row],[SKU]],'All Skus'!$A:$AC,11,FALSE)),""))</f>
        <v>2499.16</v>
      </c>
      <c r="K615" s="224">
        <f>(IF((VLOOKUP(Table10[[#This Row],[SKU]],'All Skus'!$A:$AC,2,FALSE))="Martin",(VLOOKUP(Table10[[#This Row],[SKU]],'All Skus'!$A:$AC,15,FALSE)),""))</f>
        <v>0</v>
      </c>
      <c r="L615" s="224">
        <f>(IF((VLOOKUP(Table10[[#This Row],[SKU]],'All Skus'!$A:$AC,2,FALSE))="Martin",(VLOOKUP(Table10[[#This Row],[SKU]],'All Skus'!$A:$AC,16,FALSE)),""))</f>
        <v>0</v>
      </c>
      <c r="M615" s="224">
        <f>(IF((VLOOKUP(Table10[[#This Row],[SKU]],'All Skus'!$A:$AC,2,FALSE))="Martin",(VLOOKUP(Table10[[#This Row],[SKU]],'All Skus'!$A:$AC,17,FALSE)),""))</f>
        <v>0</v>
      </c>
      <c r="N615" s="227">
        <f>(IF((VLOOKUP(Table10[[#This Row],[SKU]],'All Skus'!$A:$AC,2,FALSE))="Martin",(VLOOKUP(Table10[[#This Row],[SKU]],'All Skus'!$A:$AC,18,FALSE)),""))</f>
        <v>38.6</v>
      </c>
      <c r="O615" s="227">
        <f>(IF((VLOOKUP(Table10[[#This Row],[SKU]],'All Skus'!$A:$AC,2,FALSE))="Martin",(VLOOKUP(Table10[[#This Row],[SKU]],'All Skus'!$A:$AC,19,FALSE)),""))</f>
        <v>23.9</v>
      </c>
      <c r="P615" s="227">
        <f>(IF((VLOOKUP(Table10[[#This Row],[SKU]],'All Skus'!$A:$AC,2,FALSE))="Martin",(VLOOKUP(Table10[[#This Row],[SKU]],'All Skus'!$A:$AC,20,FALSE)),""))</f>
        <v>0</v>
      </c>
      <c r="Q615" s="227">
        <f>(IF((VLOOKUP(Table10[[#This Row],[SKU]],'All Skus'!$A:$AC,2,FALSE))="Martin",(VLOOKUP(Table10[[#This Row],[SKU]],'All Skus'!$A:$AC,21,FALSE)),""))</f>
        <v>0</v>
      </c>
      <c r="R615" s="224" t="str">
        <f>(IF((VLOOKUP(Table10[[#This Row],[SKU]],'All Skus'!$A:$AC,2,FALSE))="Martin",(VLOOKUP(Table10[[#This Row],[SKU]],'All Skus'!$A:$AC,22,FALSE)),""))</f>
        <v>DE</v>
      </c>
      <c r="S615" s="223">
        <f>(IF((VLOOKUP(Table10[[#This Row],[SKU]],'All Skus'!$A:$AC,2,FALSE))="Martin",(VLOOKUP(Table10[[#This Row],[SKU]],'All Skus'!$A:$AC,23,FALSE)),""))</f>
        <v>0</v>
      </c>
      <c r="T615" s="212" t="str">
        <f>HYPERLINK((IF((VLOOKUP(Table10[[#This Row],[SKU]],'All Skus'!$A:$AC,2,FALSE))="Martin",(VLOOKUP(Table10[[#This Row],[SKU]],'All Skus'!$A:$AC,24,FALSE)),"")))</f>
        <v>http://www.martin.com/en-us/product-details/rush-mh-7-hybrid</v>
      </c>
      <c r="U615" s="228">
        <v>613</v>
      </c>
    </row>
    <row r="616" spans="1:21" hidden="1">
      <c r="A616" s="115" t="s">
        <v>2272</v>
      </c>
      <c r="B616" s="224">
        <f>(IF((VLOOKUP(Table10[[#This Row],[SKU]],'All Skus'!$A:$AC,2,FALSE))="Martin",(VLOOKUP(Table10[[#This Row],[SKU]],'All Skus'!$A:$AC,3,FALSE)),""))</f>
        <v>0</v>
      </c>
      <c r="C616" s="223">
        <f>(IF((VLOOKUP(Table10[[#This Row],[SKU]],'All Skus'!$A:$AC,2,FALSE))="Martin",(VLOOKUP(Table10[[#This Row],[SKU]],'All Skus'!$A:$AC,4,FALSE)),""))</f>
        <v>0</v>
      </c>
      <c r="D616" s="224">
        <f>(IF((VLOOKUP(Table10[[#This Row],[SKU]],'All Skus'!$A:$AC,2,FALSE))="Martin",(VLOOKUP(Table10[[#This Row],[SKU]],'All Skus'!$A:$AC,5,FALSE)),""))</f>
        <v>0</v>
      </c>
      <c r="E616" s="223">
        <f>(IF((VLOOKUP(Table10[[#This Row],[SKU]],'All Skus'!$A:$AC,2,FALSE))="Martin",(VLOOKUP(Table10[[#This Row],[SKU]],'All Skus'!$A:$AC,6,FALSE)),""))</f>
        <v>0</v>
      </c>
      <c r="F616" s="155">
        <f>(IF((VLOOKUP(Table10[[#This Row],[SKU]],'All Skus'!$A:$AC,2,FALSE))="Martin",(VLOOKUP(Table10[[#This Row],[SKU]],'All Skus'!$A:$AC,7,FALSE)),""))</f>
        <v>0</v>
      </c>
      <c r="G616" s="223">
        <f>(IF((VLOOKUP(Table10[[#This Row],[SKU]],'All Skus'!$A:$AC,2,FALSE))="Martin",(VLOOKUP(Table10[[#This Row],[SKU]],'All Skus'!$A:$AC,8,FALSE)),""))</f>
        <v>0</v>
      </c>
      <c r="H616" s="223">
        <f>(IF((VLOOKUP(Table10[[#This Row],[SKU]],'All Skus'!$A:$AC,2,FALSE))="Martin",(VLOOKUP(Table10[[#This Row],[SKU]],'All Skus'!$A:$AC,9,FALSE)),""))</f>
        <v>0</v>
      </c>
      <c r="I616" s="225">
        <f>(IF((VLOOKUP(Table10[[#This Row],[SKU]],'All Skus'!$A:$AC,2,FALSE))="Martin",(VLOOKUP(Table10[[#This Row],[SKU]],'All Skus'!$A:$AC,10,FALSE)),""))</f>
        <v>0</v>
      </c>
      <c r="J616" s="226">
        <f>(IF((VLOOKUP(Table10[[#This Row],[SKU]],'All Skus'!$A:$AC,2,FALSE))="Martin",(VLOOKUP(Table10[[#This Row],[SKU]],'All Skus'!$A:$AC,11,FALSE)),""))</f>
        <v>0</v>
      </c>
      <c r="K616" s="224">
        <f>(IF((VLOOKUP(Table10[[#This Row],[SKU]],'All Skus'!$A:$AC,2,FALSE))="Martin",(VLOOKUP(Table10[[#This Row],[SKU]],'All Skus'!$A:$AC,15,FALSE)),""))</f>
        <v>0</v>
      </c>
      <c r="L616" s="224">
        <f>(IF((VLOOKUP(Table10[[#This Row],[SKU]],'All Skus'!$A:$AC,2,FALSE))="Martin",(VLOOKUP(Table10[[#This Row],[SKU]],'All Skus'!$A:$AC,16,FALSE)),""))</f>
        <v>0</v>
      </c>
      <c r="M616" s="224">
        <f>(IF((VLOOKUP(Table10[[#This Row],[SKU]],'All Skus'!$A:$AC,2,FALSE))="Martin",(VLOOKUP(Table10[[#This Row],[SKU]],'All Skus'!$A:$AC,17,FALSE)),""))</f>
        <v>0</v>
      </c>
      <c r="N616" s="227">
        <f>(IF((VLOOKUP(Table10[[#This Row],[SKU]],'All Skus'!$A:$AC,2,FALSE))="Martin",(VLOOKUP(Table10[[#This Row],[SKU]],'All Skus'!$A:$AC,18,FALSE)),""))</f>
        <v>0</v>
      </c>
      <c r="O616" s="227">
        <f>(IF((VLOOKUP(Table10[[#This Row],[SKU]],'All Skus'!$A:$AC,2,FALSE))="Martin",(VLOOKUP(Table10[[#This Row],[SKU]],'All Skus'!$A:$AC,19,FALSE)),""))</f>
        <v>0</v>
      </c>
      <c r="P616" s="227">
        <f>(IF((VLOOKUP(Table10[[#This Row],[SKU]],'All Skus'!$A:$AC,2,FALSE))="Martin",(VLOOKUP(Table10[[#This Row],[SKU]],'All Skus'!$A:$AC,20,FALSE)),""))</f>
        <v>0</v>
      </c>
      <c r="Q616" s="227">
        <f>(IF((VLOOKUP(Table10[[#This Row],[SKU]],'All Skus'!$A:$AC,2,FALSE))="Martin",(VLOOKUP(Table10[[#This Row],[SKU]],'All Skus'!$A:$AC,21,FALSE)),""))</f>
        <v>0</v>
      </c>
      <c r="R616" s="224">
        <f>(IF((VLOOKUP(Table10[[#This Row],[SKU]],'All Skus'!$A:$AC,2,FALSE))="Martin",(VLOOKUP(Table10[[#This Row],[SKU]],'All Skus'!$A:$AC,22,FALSE)),""))</f>
        <v>0</v>
      </c>
      <c r="S616" s="223">
        <f>(IF((VLOOKUP(Table10[[#This Row],[SKU]],'All Skus'!$A:$AC,2,FALSE))="Martin",(VLOOKUP(Table10[[#This Row],[SKU]],'All Skus'!$A:$AC,23,FALSE)),""))</f>
        <v>0</v>
      </c>
      <c r="T616" s="212" t="str">
        <f>HYPERLINK((IF((VLOOKUP(Table10[[#This Row],[SKU]],'All Skus'!$A:$AC,2,FALSE))="Martin",(VLOOKUP(Table10[[#This Row],[SKU]],'All Skus'!$A:$AC,24,FALSE)),"")))</f>
        <v/>
      </c>
      <c r="U616" s="228">
        <v>614</v>
      </c>
    </row>
    <row r="617" spans="1:21" hidden="1">
      <c r="A617" s="90">
        <v>90280120</v>
      </c>
      <c r="B617" s="224" t="str">
        <f>(IF((VLOOKUP(Table10[[#This Row],[SKU]],'All Skus'!$A:$AC,2,FALSE))="Martin",(VLOOKUP(Table10[[#This Row],[SKU]],'All Skus'!$A:$AC,3,FALSE)),""))</f>
        <v>LED</v>
      </c>
      <c r="C617" s="223" t="str">
        <f>(IF((VLOOKUP(Table10[[#This Row],[SKU]],'All Skus'!$A:$AC,2,FALSE))="Martin",(VLOOKUP(Table10[[#This Row],[SKU]],'All Skus'!$A:$AC,4,FALSE)),""))</f>
        <v>RUSH MH 10 Beam FX in cardboard box</v>
      </c>
      <c r="D617" s="224" t="str">
        <f>(IF((VLOOKUP(Table10[[#This Row],[SKU]],'All Skus'!$A:$AC,2,FALSE))="Martin",(VLOOKUP(Table10[[#This Row],[SKU]],'All Skus'!$A:$AC,5,FALSE)),""))</f>
        <v>MRU-MH</v>
      </c>
      <c r="E617" s="223">
        <f>(IF((VLOOKUP(Table10[[#This Row],[SKU]],'All Skus'!$A:$AC,2,FALSE))="Martin",(VLOOKUP(Table10[[#This Row],[SKU]],'All Skus'!$A:$AC,6,FALSE)),""))</f>
        <v>0</v>
      </c>
      <c r="F617" s="155" t="str">
        <f>(IF((VLOOKUP(Table10[[#This Row],[SKU]],'All Skus'!$A:$AC,2,FALSE))="Martin",(VLOOKUP(Table10[[#This Row],[SKU]],'All Skus'!$A:$AC,7,FALSE)),""))</f>
        <v>EOL soon – very limited availability</v>
      </c>
      <c r="G617" s="223" t="str">
        <f>(IF((VLOOKUP(Table10[[#This Row],[SKU]],'All Skus'!$A:$AC,2,FALSE))="Martin",(VLOOKUP(Table10[[#This Row],[SKU]],'All Skus'!$A:$AC,8,FALSE)),""))</f>
        <v>RUSH MH 10 Beam FX in cardboard box</v>
      </c>
      <c r="H617" s="223" t="str">
        <f>(IF((VLOOKUP(Table10[[#This Row],[SKU]],'All Skus'!$A:$AC,2,FALSE))="Martin",(VLOOKUP(Table10[[#This Row],[SKU]],'All Skus'!$A:$AC,9,FALSE)),""))</f>
        <v>RUSH MH 10 Beam FX in cardboard box</v>
      </c>
      <c r="I617" s="225">
        <f>(IF((VLOOKUP(Table10[[#This Row],[SKU]],'All Skus'!$A:$AC,2,FALSE))="Martin",(VLOOKUP(Table10[[#This Row],[SKU]],'All Skus'!$A:$AC,10,FALSE)),""))</f>
        <v>1666.93</v>
      </c>
      <c r="J617" s="226">
        <f>(IF((VLOOKUP(Table10[[#This Row],[SKU]],'All Skus'!$A:$AC,2,FALSE))="Martin",(VLOOKUP(Table10[[#This Row],[SKU]],'All Skus'!$A:$AC,11,FALSE)),""))</f>
        <v>1666.93</v>
      </c>
      <c r="K617" s="224">
        <f>(IF((VLOOKUP(Table10[[#This Row],[SKU]],'All Skus'!$A:$AC,2,FALSE))="Martin",(VLOOKUP(Table10[[#This Row],[SKU]],'All Skus'!$A:$AC,15,FALSE)),""))</f>
        <v>0</v>
      </c>
      <c r="L617" s="224">
        <f>(IF((VLOOKUP(Table10[[#This Row],[SKU]],'All Skus'!$A:$AC,2,FALSE))="Martin",(VLOOKUP(Table10[[#This Row],[SKU]],'All Skus'!$A:$AC,16,FALSE)),""))</f>
        <v>0</v>
      </c>
      <c r="M617" s="224">
        <f>(IF((VLOOKUP(Table10[[#This Row],[SKU]],'All Skus'!$A:$AC,2,FALSE))="Martin",(VLOOKUP(Table10[[#This Row],[SKU]],'All Skus'!$A:$AC,17,FALSE)),""))</f>
        <v>0</v>
      </c>
      <c r="N617" s="227">
        <f>(IF((VLOOKUP(Table10[[#This Row],[SKU]],'All Skus'!$A:$AC,2,FALSE))="Martin",(VLOOKUP(Table10[[#This Row],[SKU]],'All Skus'!$A:$AC,18,FALSE)),""))</f>
        <v>0</v>
      </c>
      <c r="O617" s="227">
        <f>(IF((VLOOKUP(Table10[[#This Row],[SKU]],'All Skus'!$A:$AC,2,FALSE))="Martin",(VLOOKUP(Table10[[#This Row],[SKU]],'All Skus'!$A:$AC,19,FALSE)),""))</f>
        <v>0</v>
      </c>
      <c r="P617" s="227">
        <f>(IF((VLOOKUP(Table10[[#This Row],[SKU]],'All Skus'!$A:$AC,2,FALSE))="Martin",(VLOOKUP(Table10[[#This Row],[SKU]],'All Skus'!$A:$AC,20,FALSE)),""))</f>
        <v>0</v>
      </c>
      <c r="Q617" s="227">
        <f>(IF((VLOOKUP(Table10[[#This Row],[SKU]],'All Skus'!$A:$AC,2,FALSE))="Martin",(VLOOKUP(Table10[[#This Row],[SKU]],'All Skus'!$A:$AC,21,FALSE)),""))</f>
        <v>0</v>
      </c>
      <c r="R617" s="224" t="str">
        <f>(IF((VLOOKUP(Table10[[#This Row],[SKU]],'All Skus'!$A:$AC,2,FALSE))="Martin",(VLOOKUP(Table10[[#This Row],[SKU]],'All Skus'!$A:$AC,22,FALSE)),""))</f>
        <v>CN</v>
      </c>
      <c r="S617" s="223" t="str">
        <f>(IF((VLOOKUP(Table10[[#This Row],[SKU]],'All Skus'!$A:$AC,2,FALSE))="Martin",(VLOOKUP(Table10[[#This Row],[SKU]],'All Skus'!$A:$AC,23,FALSE)),""))</f>
        <v>Non Compliant</v>
      </c>
      <c r="T617" s="212" t="str">
        <f>HYPERLINK((IF((VLOOKUP(Table10[[#This Row],[SKU]],'All Skus'!$A:$AC,2,FALSE))="Martin",(VLOOKUP(Table10[[#This Row],[SKU]],'All Skus'!$A:$AC,24,FALSE)),"")))</f>
        <v/>
      </c>
      <c r="U617" s="228">
        <v>615</v>
      </c>
    </row>
    <row r="618" spans="1:21" hidden="1">
      <c r="A618" s="115" t="s">
        <v>2273</v>
      </c>
      <c r="B618" s="224">
        <f>(IF((VLOOKUP(Table10[[#This Row],[SKU]],'All Skus'!$A:$AC,2,FALSE))="Martin",(VLOOKUP(Table10[[#This Row],[SKU]],'All Skus'!$A:$AC,3,FALSE)),""))</f>
        <v>0</v>
      </c>
      <c r="C618" s="223">
        <f>(IF((VLOOKUP(Table10[[#This Row],[SKU]],'All Skus'!$A:$AC,2,FALSE))="Martin",(VLOOKUP(Table10[[#This Row],[SKU]],'All Skus'!$A:$AC,4,FALSE)),""))</f>
        <v>0</v>
      </c>
      <c r="D618" s="224">
        <f>(IF((VLOOKUP(Table10[[#This Row],[SKU]],'All Skus'!$A:$AC,2,FALSE))="Martin",(VLOOKUP(Table10[[#This Row],[SKU]],'All Skus'!$A:$AC,5,FALSE)),""))</f>
        <v>0</v>
      </c>
      <c r="E618" s="223">
        <f>(IF((VLOOKUP(Table10[[#This Row],[SKU]],'All Skus'!$A:$AC,2,FALSE))="Martin",(VLOOKUP(Table10[[#This Row],[SKU]],'All Skus'!$A:$AC,6,FALSE)),""))</f>
        <v>0</v>
      </c>
      <c r="F618" s="155">
        <f>(IF((VLOOKUP(Table10[[#This Row],[SKU]],'All Skus'!$A:$AC,2,FALSE))="Martin",(VLOOKUP(Table10[[#This Row],[SKU]],'All Skus'!$A:$AC,7,FALSE)),""))</f>
        <v>0</v>
      </c>
      <c r="G618" s="223">
        <f>(IF((VLOOKUP(Table10[[#This Row],[SKU]],'All Skus'!$A:$AC,2,FALSE))="Martin",(VLOOKUP(Table10[[#This Row],[SKU]],'All Skus'!$A:$AC,8,FALSE)),""))</f>
        <v>0</v>
      </c>
      <c r="H618" s="223">
        <f>(IF((VLOOKUP(Table10[[#This Row],[SKU]],'All Skus'!$A:$AC,2,FALSE))="Martin",(VLOOKUP(Table10[[#This Row],[SKU]],'All Skus'!$A:$AC,9,FALSE)),""))</f>
        <v>0</v>
      </c>
      <c r="I618" s="225">
        <f>(IF((VLOOKUP(Table10[[#This Row],[SKU]],'All Skus'!$A:$AC,2,FALSE))="Martin",(VLOOKUP(Table10[[#This Row],[SKU]],'All Skus'!$A:$AC,10,FALSE)),""))</f>
        <v>0</v>
      </c>
      <c r="J618" s="226">
        <f>(IF((VLOOKUP(Table10[[#This Row],[SKU]],'All Skus'!$A:$AC,2,FALSE))="Martin",(VLOOKUP(Table10[[#This Row],[SKU]],'All Skus'!$A:$AC,11,FALSE)),""))</f>
        <v>0</v>
      </c>
      <c r="K618" s="224">
        <f>(IF((VLOOKUP(Table10[[#This Row],[SKU]],'All Skus'!$A:$AC,2,FALSE))="Martin",(VLOOKUP(Table10[[#This Row],[SKU]],'All Skus'!$A:$AC,15,FALSE)),""))</f>
        <v>0</v>
      </c>
      <c r="L618" s="224">
        <f>(IF((VLOOKUP(Table10[[#This Row],[SKU]],'All Skus'!$A:$AC,2,FALSE))="Martin",(VLOOKUP(Table10[[#This Row],[SKU]],'All Skus'!$A:$AC,16,FALSE)),""))</f>
        <v>0</v>
      </c>
      <c r="M618" s="224">
        <f>(IF((VLOOKUP(Table10[[#This Row],[SKU]],'All Skus'!$A:$AC,2,FALSE))="Martin",(VLOOKUP(Table10[[#This Row],[SKU]],'All Skus'!$A:$AC,17,FALSE)),""))</f>
        <v>0</v>
      </c>
      <c r="N618" s="227">
        <f>(IF((VLOOKUP(Table10[[#This Row],[SKU]],'All Skus'!$A:$AC,2,FALSE))="Martin",(VLOOKUP(Table10[[#This Row],[SKU]],'All Skus'!$A:$AC,18,FALSE)),""))</f>
        <v>0</v>
      </c>
      <c r="O618" s="227">
        <f>(IF((VLOOKUP(Table10[[#This Row],[SKU]],'All Skus'!$A:$AC,2,FALSE))="Martin",(VLOOKUP(Table10[[#This Row],[SKU]],'All Skus'!$A:$AC,19,FALSE)),""))</f>
        <v>0</v>
      </c>
      <c r="P618" s="227">
        <f>(IF((VLOOKUP(Table10[[#This Row],[SKU]],'All Skus'!$A:$AC,2,FALSE))="Martin",(VLOOKUP(Table10[[#This Row],[SKU]],'All Skus'!$A:$AC,20,FALSE)),""))</f>
        <v>0</v>
      </c>
      <c r="Q618" s="227">
        <f>(IF((VLOOKUP(Table10[[#This Row],[SKU]],'All Skus'!$A:$AC,2,FALSE))="Martin",(VLOOKUP(Table10[[#This Row],[SKU]],'All Skus'!$A:$AC,21,FALSE)),""))</f>
        <v>0</v>
      </c>
      <c r="R618" s="224">
        <f>(IF((VLOOKUP(Table10[[#This Row],[SKU]],'All Skus'!$A:$AC,2,FALSE))="Martin",(VLOOKUP(Table10[[#This Row],[SKU]],'All Skus'!$A:$AC,22,FALSE)),""))</f>
        <v>0</v>
      </c>
      <c r="S618" s="223">
        <f>(IF((VLOOKUP(Table10[[#This Row],[SKU]],'All Skus'!$A:$AC,2,FALSE))="Martin",(VLOOKUP(Table10[[#This Row],[SKU]],'All Skus'!$A:$AC,23,FALSE)),""))</f>
        <v>0</v>
      </c>
      <c r="T618" s="212" t="str">
        <f>HYPERLINK((IF((VLOOKUP(Table10[[#This Row],[SKU]],'All Skus'!$A:$AC,2,FALSE))="Martin",(VLOOKUP(Table10[[#This Row],[SKU]],'All Skus'!$A:$AC,24,FALSE)),"")))</f>
        <v/>
      </c>
      <c r="U618" s="228">
        <v>616</v>
      </c>
    </row>
    <row r="619" spans="1:21" hidden="1">
      <c r="A619" s="111" t="s">
        <v>2274</v>
      </c>
      <c r="B619" s="224">
        <f>(IF((VLOOKUP(Table10[[#This Row],[SKU]],'All Skus'!$A:$AC,2,FALSE))="Martin",(VLOOKUP(Table10[[#This Row],[SKU]],'All Skus'!$A:$AC,3,FALSE)),""))</f>
        <v>0</v>
      </c>
      <c r="C619" s="223">
        <f>(IF((VLOOKUP(Table10[[#This Row],[SKU]],'All Skus'!$A:$AC,2,FALSE))="Martin",(VLOOKUP(Table10[[#This Row],[SKU]],'All Skus'!$A:$AC,4,FALSE)),""))</f>
        <v>0</v>
      </c>
      <c r="D619" s="224">
        <f>(IF((VLOOKUP(Table10[[#This Row],[SKU]],'All Skus'!$A:$AC,2,FALSE))="Martin",(VLOOKUP(Table10[[#This Row],[SKU]],'All Skus'!$A:$AC,5,FALSE)),""))</f>
        <v>0</v>
      </c>
      <c r="E619" s="223">
        <f>(IF((VLOOKUP(Table10[[#This Row],[SKU]],'All Skus'!$A:$AC,2,FALSE))="Martin",(VLOOKUP(Table10[[#This Row],[SKU]],'All Skus'!$A:$AC,6,FALSE)),""))</f>
        <v>0</v>
      </c>
      <c r="F619" s="155">
        <f>(IF((VLOOKUP(Table10[[#This Row],[SKU]],'All Skus'!$A:$AC,2,FALSE))="Martin",(VLOOKUP(Table10[[#This Row],[SKU]],'All Skus'!$A:$AC,7,FALSE)),""))</f>
        <v>0</v>
      </c>
      <c r="G619" s="223">
        <f>(IF((VLOOKUP(Table10[[#This Row],[SKU]],'All Skus'!$A:$AC,2,FALSE))="Martin",(VLOOKUP(Table10[[#This Row],[SKU]],'All Skus'!$A:$AC,8,FALSE)),""))</f>
        <v>0</v>
      </c>
      <c r="H619" s="223">
        <f>(IF((VLOOKUP(Table10[[#This Row],[SKU]],'All Skus'!$A:$AC,2,FALSE))="Martin",(VLOOKUP(Table10[[#This Row],[SKU]],'All Skus'!$A:$AC,9,FALSE)),""))</f>
        <v>0</v>
      </c>
      <c r="I619" s="225">
        <f>(IF((VLOOKUP(Table10[[#This Row],[SKU]],'All Skus'!$A:$AC,2,FALSE))="Martin",(VLOOKUP(Table10[[#This Row],[SKU]],'All Skus'!$A:$AC,10,FALSE)),""))</f>
        <v>0</v>
      </c>
      <c r="J619" s="226">
        <f>(IF((VLOOKUP(Table10[[#This Row],[SKU]],'All Skus'!$A:$AC,2,FALSE))="Martin",(VLOOKUP(Table10[[#This Row],[SKU]],'All Skus'!$A:$AC,11,FALSE)),""))</f>
        <v>0</v>
      </c>
      <c r="K619" s="224">
        <f>(IF((VLOOKUP(Table10[[#This Row],[SKU]],'All Skus'!$A:$AC,2,FALSE))="Martin",(VLOOKUP(Table10[[#This Row],[SKU]],'All Skus'!$A:$AC,15,FALSE)),""))</f>
        <v>0</v>
      </c>
      <c r="L619" s="224">
        <f>(IF((VLOOKUP(Table10[[#This Row],[SKU]],'All Skus'!$A:$AC,2,FALSE))="Martin",(VLOOKUP(Table10[[#This Row],[SKU]],'All Skus'!$A:$AC,16,FALSE)),""))</f>
        <v>0</v>
      </c>
      <c r="M619" s="224">
        <f>(IF((VLOOKUP(Table10[[#This Row],[SKU]],'All Skus'!$A:$AC,2,FALSE))="Martin",(VLOOKUP(Table10[[#This Row],[SKU]],'All Skus'!$A:$AC,17,FALSE)),""))</f>
        <v>0</v>
      </c>
      <c r="N619" s="227">
        <f>(IF((VLOOKUP(Table10[[#This Row],[SKU]],'All Skus'!$A:$AC,2,FALSE))="Martin",(VLOOKUP(Table10[[#This Row],[SKU]],'All Skus'!$A:$AC,18,FALSE)),""))</f>
        <v>0</v>
      </c>
      <c r="O619" s="227">
        <f>(IF((VLOOKUP(Table10[[#This Row],[SKU]],'All Skus'!$A:$AC,2,FALSE))="Martin",(VLOOKUP(Table10[[#This Row],[SKU]],'All Skus'!$A:$AC,19,FALSE)),""))</f>
        <v>0</v>
      </c>
      <c r="P619" s="227">
        <f>(IF((VLOOKUP(Table10[[#This Row],[SKU]],'All Skus'!$A:$AC,2,FALSE))="Martin",(VLOOKUP(Table10[[#This Row],[SKU]],'All Skus'!$A:$AC,20,FALSE)),""))</f>
        <v>0</v>
      </c>
      <c r="Q619" s="227">
        <f>(IF((VLOOKUP(Table10[[#This Row],[SKU]],'All Skus'!$A:$AC,2,FALSE))="Martin",(VLOOKUP(Table10[[#This Row],[SKU]],'All Skus'!$A:$AC,21,FALSE)),""))</f>
        <v>0</v>
      </c>
      <c r="R619" s="224">
        <f>(IF((VLOOKUP(Table10[[#This Row],[SKU]],'All Skus'!$A:$AC,2,FALSE))="Martin",(VLOOKUP(Table10[[#This Row],[SKU]],'All Skus'!$A:$AC,22,FALSE)),""))</f>
        <v>0</v>
      </c>
      <c r="S619" s="223">
        <f>(IF((VLOOKUP(Table10[[#This Row],[SKU]],'All Skus'!$A:$AC,2,FALSE))="Martin",(VLOOKUP(Table10[[#This Row],[SKU]],'All Skus'!$A:$AC,23,FALSE)),""))</f>
        <v>0</v>
      </c>
      <c r="T619" s="212" t="str">
        <f>HYPERLINK((IF((VLOOKUP(Table10[[#This Row],[SKU]],'All Skus'!$A:$AC,2,FALSE))="Martin",(VLOOKUP(Table10[[#This Row],[SKU]],'All Skus'!$A:$AC,24,FALSE)),"")))</f>
        <v/>
      </c>
      <c r="U619" s="228">
        <v>617</v>
      </c>
    </row>
    <row r="620" spans="1:21" hidden="1">
      <c r="A620" s="115" t="s">
        <v>2275</v>
      </c>
      <c r="B620" s="224">
        <f>(IF((VLOOKUP(Table10[[#This Row],[SKU]],'All Skus'!$A:$AC,2,FALSE))="Martin",(VLOOKUP(Table10[[#This Row],[SKU]],'All Skus'!$A:$AC,3,FALSE)),""))</f>
        <v>0</v>
      </c>
      <c r="C620" s="223">
        <f>(IF((VLOOKUP(Table10[[#This Row],[SKU]],'All Skus'!$A:$AC,2,FALSE))="Martin",(VLOOKUP(Table10[[#This Row],[SKU]],'All Skus'!$A:$AC,4,FALSE)),""))</f>
        <v>0</v>
      </c>
      <c r="D620" s="224">
        <f>(IF((VLOOKUP(Table10[[#This Row],[SKU]],'All Skus'!$A:$AC,2,FALSE))="Martin",(VLOOKUP(Table10[[#This Row],[SKU]],'All Skus'!$A:$AC,5,FALSE)),""))</f>
        <v>0</v>
      </c>
      <c r="E620" s="223">
        <f>(IF((VLOOKUP(Table10[[#This Row],[SKU]],'All Skus'!$A:$AC,2,FALSE))="Martin",(VLOOKUP(Table10[[#This Row],[SKU]],'All Skus'!$A:$AC,6,FALSE)),""))</f>
        <v>0</v>
      </c>
      <c r="F620" s="155">
        <f>(IF((VLOOKUP(Table10[[#This Row],[SKU]],'All Skus'!$A:$AC,2,FALSE))="Martin",(VLOOKUP(Table10[[#This Row],[SKU]],'All Skus'!$A:$AC,7,FALSE)),""))</f>
        <v>0</v>
      </c>
      <c r="G620" s="223">
        <f>(IF((VLOOKUP(Table10[[#This Row],[SKU]],'All Skus'!$A:$AC,2,FALSE))="Martin",(VLOOKUP(Table10[[#This Row],[SKU]],'All Skus'!$A:$AC,8,FALSE)),""))</f>
        <v>0</v>
      </c>
      <c r="H620" s="223">
        <f>(IF((VLOOKUP(Table10[[#This Row],[SKU]],'All Skus'!$A:$AC,2,FALSE))="Martin",(VLOOKUP(Table10[[#This Row],[SKU]],'All Skus'!$A:$AC,9,FALSE)),""))</f>
        <v>0</v>
      </c>
      <c r="I620" s="225">
        <f>(IF((VLOOKUP(Table10[[#This Row],[SKU]],'All Skus'!$A:$AC,2,FALSE))="Martin",(VLOOKUP(Table10[[#This Row],[SKU]],'All Skus'!$A:$AC,10,FALSE)),""))</f>
        <v>0</v>
      </c>
      <c r="J620" s="226">
        <f>(IF((VLOOKUP(Table10[[#This Row],[SKU]],'All Skus'!$A:$AC,2,FALSE))="Martin",(VLOOKUP(Table10[[#This Row],[SKU]],'All Skus'!$A:$AC,11,FALSE)),""))</f>
        <v>0</v>
      </c>
      <c r="K620" s="224">
        <f>(IF((VLOOKUP(Table10[[#This Row],[SKU]],'All Skus'!$A:$AC,2,FALSE))="Martin",(VLOOKUP(Table10[[#This Row],[SKU]],'All Skus'!$A:$AC,15,FALSE)),""))</f>
        <v>0</v>
      </c>
      <c r="L620" s="224">
        <f>(IF((VLOOKUP(Table10[[#This Row],[SKU]],'All Skus'!$A:$AC,2,FALSE))="Martin",(VLOOKUP(Table10[[#This Row],[SKU]],'All Skus'!$A:$AC,16,FALSE)),""))</f>
        <v>0</v>
      </c>
      <c r="M620" s="224">
        <f>(IF((VLOOKUP(Table10[[#This Row],[SKU]],'All Skus'!$A:$AC,2,FALSE))="Martin",(VLOOKUP(Table10[[#This Row],[SKU]],'All Skus'!$A:$AC,17,FALSE)),""))</f>
        <v>0</v>
      </c>
      <c r="N620" s="227">
        <f>(IF((VLOOKUP(Table10[[#This Row],[SKU]],'All Skus'!$A:$AC,2,FALSE))="Martin",(VLOOKUP(Table10[[#This Row],[SKU]],'All Skus'!$A:$AC,18,FALSE)),""))</f>
        <v>0</v>
      </c>
      <c r="O620" s="227">
        <f>(IF((VLOOKUP(Table10[[#This Row],[SKU]],'All Skus'!$A:$AC,2,FALSE))="Martin",(VLOOKUP(Table10[[#This Row],[SKU]],'All Skus'!$A:$AC,19,FALSE)),""))</f>
        <v>0</v>
      </c>
      <c r="P620" s="227">
        <f>(IF((VLOOKUP(Table10[[#This Row],[SKU]],'All Skus'!$A:$AC,2,FALSE))="Martin",(VLOOKUP(Table10[[#This Row],[SKU]],'All Skus'!$A:$AC,20,FALSE)),""))</f>
        <v>0</v>
      </c>
      <c r="Q620" s="227">
        <f>(IF((VLOOKUP(Table10[[#This Row],[SKU]],'All Skus'!$A:$AC,2,FALSE))="Martin",(VLOOKUP(Table10[[#This Row],[SKU]],'All Skus'!$A:$AC,21,FALSE)),""))</f>
        <v>0</v>
      </c>
      <c r="R620" s="224">
        <f>(IF((VLOOKUP(Table10[[#This Row],[SKU]],'All Skus'!$A:$AC,2,FALSE))="Martin",(VLOOKUP(Table10[[#This Row],[SKU]],'All Skus'!$A:$AC,22,FALSE)),""))</f>
        <v>0</v>
      </c>
      <c r="S620" s="223">
        <f>(IF((VLOOKUP(Table10[[#This Row],[SKU]],'All Skus'!$A:$AC,2,FALSE))="Martin",(VLOOKUP(Table10[[#This Row],[SKU]],'All Skus'!$A:$AC,23,FALSE)),""))</f>
        <v>0</v>
      </c>
      <c r="T620" s="212" t="str">
        <f>HYPERLINK((IF((VLOOKUP(Table10[[#This Row],[SKU]],'All Skus'!$A:$AC,2,FALSE))="Martin",(VLOOKUP(Table10[[#This Row],[SKU]],'All Skus'!$A:$AC,24,FALSE)),"")))</f>
        <v/>
      </c>
      <c r="U620" s="228">
        <v>618</v>
      </c>
    </row>
    <row r="621" spans="1:21" hidden="1">
      <c r="A621" s="111" t="s">
        <v>2276</v>
      </c>
      <c r="B621" s="224">
        <f>(IF((VLOOKUP(Table10[[#This Row],[SKU]],'All Skus'!$A:$AC,2,FALSE))="Martin",(VLOOKUP(Table10[[#This Row],[SKU]],'All Skus'!$A:$AC,3,FALSE)),""))</f>
        <v>0</v>
      </c>
      <c r="C621" s="223">
        <f>(IF((VLOOKUP(Table10[[#This Row],[SKU]],'All Skus'!$A:$AC,2,FALSE))="Martin",(VLOOKUP(Table10[[#This Row],[SKU]],'All Skus'!$A:$AC,4,FALSE)),""))</f>
        <v>0</v>
      </c>
      <c r="D621" s="224">
        <f>(IF((VLOOKUP(Table10[[#This Row],[SKU]],'All Skus'!$A:$AC,2,FALSE))="Martin",(VLOOKUP(Table10[[#This Row],[SKU]],'All Skus'!$A:$AC,5,FALSE)),""))</f>
        <v>0</v>
      </c>
      <c r="E621" s="223">
        <f>(IF((VLOOKUP(Table10[[#This Row],[SKU]],'All Skus'!$A:$AC,2,FALSE))="Martin",(VLOOKUP(Table10[[#This Row],[SKU]],'All Skus'!$A:$AC,6,FALSE)),""))</f>
        <v>0</v>
      </c>
      <c r="F621" s="155">
        <f>(IF((VLOOKUP(Table10[[#This Row],[SKU]],'All Skus'!$A:$AC,2,FALSE))="Martin",(VLOOKUP(Table10[[#This Row],[SKU]],'All Skus'!$A:$AC,7,FALSE)),""))</f>
        <v>0</v>
      </c>
      <c r="G621" s="223">
        <f>(IF((VLOOKUP(Table10[[#This Row],[SKU]],'All Skus'!$A:$AC,2,FALSE))="Martin",(VLOOKUP(Table10[[#This Row],[SKU]],'All Skus'!$A:$AC,8,FALSE)),""))</f>
        <v>0</v>
      </c>
      <c r="H621" s="223">
        <f>(IF((VLOOKUP(Table10[[#This Row],[SKU]],'All Skus'!$A:$AC,2,FALSE))="Martin",(VLOOKUP(Table10[[#This Row],[SKU]],'All Skus'!$A:$AC,9,FALSE)),""))</f>
        <v>0</v>
      </c>
      <c r="I621" s="225">
        <f>(IF((VLOOKUP(Table10[[#This Row],[SKU]],'All Skus'!$A:$AC,2,FALSE))="Martin",(VLOOKUP(Table10[[#This Row],[SKU]],'All Skus'!$A:$AC,10,FALSE)),""))</f>
        <v>0</v>
      </c>
      <c r="J621" s="226">
        <f>(IF((VLOOKUP(Table10[[#This Row],[SKU]],'All Skus'!$A:$AC,2,FALSE))="Martin",(VLOOKUP(Table10[[#This Row],[SKU]],'All Skus'!$A:$AC,11,FALSE)),""))</f>
        <v>0</v>
      </c>
      <c r="K621" s="224">
        <f>(IF((VLOOKUP(Table10[[#This Row],[SKU]],'All Skus'!$A:$AC,2,FALSE))="Martin",(VLOOKUP(Table10[[#This Row],[SKU]],'All Skus'!$A:$AC,15,FALSE)),""))</f>
        <v>0</v>
      </c>
      <c r="L621" s="224">
        <f>(IF((VLOOKUP(Table10[[#This Row],[SKU]],'All Skus'!$A:$AC,2,FALSE))="Martin",(VLOOKUP(Table10[[#This Row],[SKU]],'All Skus'!$A:$AC,16,FALSE)),""))</f>
        <v>0</v>
      </c>
      <c r="M621" s="224">
        <f>(IF((VLOOKUP(Table10[[#This Row],[SKU]],'All Skus'!$A:$AC,2,FALSE))="Martin",(VLOOKUP(Table10[[#This Row],[SKU]],'All Skus'!$A:$AC,17,FALSE)),""))</f>
        <v>0</v>
      </c>
      <c r="N621" s="227">
        <f>(IF((VLOOKUP(Table10[[#This Row],[SKU]],'All Skus'!$A:$AC,2,FALSE))="Martin",(VLOOKUP(Table10[[#This Row],[SKU]],'All Skus'!$A:$AC,18,FALSE)),""))</f>
        <v>0</v>
      </c>
      <c r="O621" s="227">
        <f>(IF((VLOOKUP(Table10[[#This Row],[SKU]],'All Skus'!$A:$AC,2,FALSE))="Martin",(VLOOKUP(Table10[[#This Row],[SKU]],'All Skus'!$A:$AC,19,FALSE)),""))</f>
        <v>0</v>
      </c>
      <c r="P621" s="227">
        <f>(IF((VLOOKUP(Table10[[#This Row],[SKU]],'All Skus'!$A:$AC,2,FALSE))="Martin",(VLOOKUP(Table10[[#This Row],[SKU]],'All Skus'!$A:$AC,20,FALSE)),""))</f>
        <v>0</v>
      </c>
      <c r="Q621" s="227">
        <f>(IF((VLOOKUP(Table10[[#This Row],[SKU]],'All Skus'!$A:$AC,2,FALSE))="Martin",(VLOOKUP(Table10[[#This Row],[SKU]],'All Skus'!$A:$AC,21,FALSE)),""))</f>
        <v>0</v>
      </c>
      <c r="R621" s="224">
        <f>(IF((VLOOKUP(Table10[[#This Row],[SKU]],'All Skus'!$A:$AC,2,FALSE))="Martin",(VLOOKUP(Table10[[#This Row],[SKU]],'All Skus'!$A:$AC,22,FALSE)),""))</f>
        <v>0</v>
      </c>
      <c r="S621" s="223">
        <f>(IF((VLOOKUP(Table10[[#This Row],[SKU]],'All Skus'!$A:$AC,2,FALSE))="Martin",(VLOOKUP(Table10[[#This Row],[SKU]],'All Skus'!$A:$AC,23,FALSE)),""))</f>
        <v>0</v>
      </c>
      <c r="T621" s="212" t="str">
        <f>HYPERLINK((IF((VLOOKUP(Table10[[#This Row],[SKU]],'All Skus'!$A:$AC,2,FALSE))="Martin",(VLOOKUP(Table10[[#This Row],[SKU]],'All Skus'!$A:$AC,24,FALSE)),"")))</f>
        <v/>
      </c>
      <c r="U621" s="228">
        <v>619</v>
      </c>
    </row>
    <row r="622" spans="1:21" hidden="1">
      <c r="A622" s="115" t="s">
        <v>2277</v>
      </c>
      <c r="B622" s="224">
        <f>(IF((VLOOKUP(Table10[[#This Row],[SKU]],'All Skus'!$A:$AC,2,FALSE))="Martin",(VLOOKUP(Table10[[#This Row],[SKU]],'All Skus'!$A:$AC,3,FALSE)),""))</f>
        <v>0</v>
      </c>
      <c r="C622" s="223">
        <f>(IF((VLOOKUP(Table10[[#This Row],[SKU]],'All Skus'!$A:$AC,2,FALSE))="Martin",(VLOOKUP(Table10[[#This Row],[SKU]],'All Skus'!$A:$AC,4,FALSE)),""))</f>
        <v>0</v>
      </c>
      <c r="D622" s="224">
        <f>(IF((VLOOKUP(Table10[[#This Row],[SKU]],'All Skus'!$A:$AC,2,FALSE))="Martin",(VLOOKUP(Table10[[#This Row],[SKU]],'All Skus'!$A:$AC,5,FALSE)),""))</f>
        <v>0</v>
      </c>
      <c r="E622" s="223">
        <f>(IF((VLOOKUP(Table10[[#This Row],[SKU]],'All Skus'!$A:$AC,2,FALSE))="Martin",(VLOOKUP(Table10[[#This Row],[SKU]],'All Skus'!$A:$AC,6,FALSE)),""))</f>
        <v>0</v>
      </c>
      <c r="F622" s="155">
        <f>(IF((VLOOKUP(Table10[[#This Row],[SKU]],'All Skus'!$A:$AC,2,FALSE))="Martin",(VLOOKUP(Table10[[#This Row],[SKU]],'All Skus'!$A:$AC,7,FALSE)),""))</f>
        <v>0</v>
      </c>
      <c r="G622" s="223">
        <f>(IF((VLOOKUP(Table10[[#This Row],[SKU]],'All Skus'!$A:$AC,2,FALSE))="Martin",(VLOOKUP(Table10[[#This Row],[SKU]],'All Skus'!$A:$AC,8,FALSE)),""))</f>
        <v>0</v>
      </c>
      <c r="H622" s="223">
        <f>(IF((VLOOKUP(Table10[[#This Row],[SKU]],'All Skus'!$A:$AC,2,FALSE))="Martin",(VLOOKUP(Table10[[#This Row],[SKU]],'All Skus'!$A:$AC,9,FALSE)),""))</f>
        <v>0</v>
      </c>
      <c r="I622" s="225">
        <f>(IF((VLOOKUP(Table10[[#This Row],[SKU]],'All Skus'!$A:$AC,2,FALSE))="Martin",(VLOOKUP(Table10[[#This Row],[SKU]],'All Skus'!$A:$AC,10,FALSE)),""))</f>
        <v>0</v>
      </c>
      <c r="J622" s="226">
        <f>(IF((VLOOKUP(Table10[[#This Row],[SKU]],'All Skus'!$A:$AC,2,FALSE))="Martin",(VLOOKUP(Table10[[#This Row],[SKU]],'All Skus'!$A:$AC,11,FALSE)),""))</f>
        <v>0</v>
      </c>
      <c r="K622" s="224">
        <f>(IF((VLOOKUP(Table10[[#This Row],[SKU]],'All Skus'!$A:$AC,2,FALSE))="Martin",(VLOOKUP(Table10[[#This Row],[SKU]],'All Skus'!$A:$AC,15,FALSE)),""))</f>
        <v>0</v>
      </c>
      <c r="L622" s="224">
        <f>(IF((VLOOKUP(Table10[[#This Row],[SKU]],'All Skus'!$A:$AC,2,FALSE))="Martin",(VLOOKUP(Table10[[#This Row],[SKU]],'All Skus'!$A:$AC,16,FALSE)),""))</f>
        <v>0</v>
      </c>
      <c r="M622" s="224">
        <f>(IF((VLOOKUP(Table10[[#This Row],[SKU]],'All Skus'!$A:$AC,2,FALSE))="Martin",(VLOOKUP(Table10[[#This Row],[SKU]],'All Skus'!$A:$AC,17,FALSE)),""))</f>
        <v>0</v>
      </c>
      <c r="N622" s="227">
        <f>(IF((VLOOKUP(Table10[[#This Row],[SKU]],'All Skus'!$A:$AC,2,FALSE))="Martin",(VLOOKUP(Table10[[#This Row],[SKU]],'All Skus'!$A:$AC,18,FALSE)),""))</f>
        <v>0</v>
      </c>
      <c r="O622" s="227">
        <f>(IF((VLOOKUP(Table10[[#This Row],[SKU]],'All Skus'!$A:$AC,2,FALSE))="Martin",(VLOOKUP(Table10[[#This Row],[SKU]],'All Skus'!$A:$AC,19,FALSE)),""))</f>
        <v>0</v>
      </c>
      <c r="P622" s="227">
        <f>(IF((VLOOKUP(Table10[[#This Row],[SKU]],'All Skus'!$A:$AC,2,FALSE))="Martin",(VLOOKUP(Table10[[#This Row],[SKU]],'All Skus'!$A:$AC,20,FALSE)),""))</f>
        <v>0</v>
      </c>
      <c r="Q622" s="227">
        <f>(IF((VLOOKUP(Table10[[#This Row],[SKU]],'All Skus'!$A:$AC,2,FALSE))="Martin",(VLOOKUP(Table10[[#This Row],[SKU]],'All Skus'!$A:$AC,21,FALSE)),""))</f>
        <v>0</v>
      </c>
      <c r="R622" s="224">
        <f>(IF((VLOOKUP(Table10[[#This Row],[SKU]],'All Skus'!$A:$AC,2,FALSE))="Martin",(VLOOKUP(Table10[[#This Row],[SKU]],'All Skus'!$A:$AC,22,FALSE)),""))</f>
        <v>0</v>
      </c>
      <c r="S622" s="223">
        <f>(IF((VLOOKUP(Table10[[#This Row],[SKU]],'All Skus'!$A:$AC,2,FALSE))="Martin",(VLOOKUP(Table10[[#This Row],[SKU]],'All Skus'!$A:$AC,23,FALSE)),""))</f>
        <v>0</v>
      </c>
      <c r="T622" s="212" t="str">
        <f>HYPERLINK((IF((VLOOKUP(Table10[[#This Row],[SKU]],'All Skus'!$A:$AC,2,FALSE))="Martin",(VLOOKUP(Table10[[#This Row],[SKU]],'All Skus'!$A:$AC,24,FALSE)),"")))</f>
        <v/>
      </c>
      <c r="U622" s="228">
        <v>620</v>
      </c>
    </row>
    <row r="623" spans="1:21" hidden="1">
      <c r="A623" s="111" t="s">
        <v>2278</v>
      </c>
      <c r="B623" s="224">
        <f>(IF((VLOOKUP(Table10[[#This Row],[SKU]],'All Skus'!$A:$AC,2,FALSE))="Martin",(VLOOKUP(Table10[[#This Row],[SKU]],'All Skus'!$A:$AC,3,FALSE)),""))</f>
        <v>0</v>
      </c>
      <c r="C623" s="223">
        <f>(IF((VLOOKUP(Table10[[#This Row],[SKU]],'All Skus'!$A:$AC,2,FALSE))="Martin",(VLOOKUP(Table10[[#This Row],[SKU]],'All Skus'!$A:$AC,4,FALSE)),""))</f>
        <v>0</v>
      </c>
      <c r="D623" s="224">
        <f>(IF((VLOOKUP(Table10[[#This Row],[SKU]],'All Skus'!$A:$AC,2,FALSE))="Martin",(VLOOKUP(Table10[[#This Row],[SKU]],'All Skus'!$A:$AC,5,FALSE)),""))</f>
        <v>0</v>
      </c>
      <c r="E623" s="223">
        <f>(IF((VLOOKUP(Table10[[#This Row],[SKU]],'All Skus'!$A:$AC,2,FALSE))="Martin",(VLOOKUP(Table10[[#This Row],[SKU]],'All Skus'!$A:$AC,6,FALSE)),""))</f>
        <v>0</v>
      </c>
      <c r="F623" s="155">
        <f>(IF((VLOOKUP(Table10[[#This Row],[SKU]],'All Skus'!$A:$AC,2,FALSE))="Martin",(VLOOKUP(Table10[[#This Row],[SKU]],'All Skus'!$A:$AC,7,FALSE)),""))</f>
        <v>0</v>
      </c>
      <c r="G623" s="223">
        <f>(IF((VLOOKUP(Table10[[#This Row],[SKU]],'All Skus'!$A:$AC,2,FALSE))="Martin",(VLOOKUP(Table10[[#This Row],[SKU]],'All Skus'!$A:$AC,8,FALSE)),""))</f>
        <v>0</v>
      </c>
      <c r="H623" s="223">
        <f>(IF((VLOOKUP(Table10[[#This Row],[SKU]],'All Skus'!$A:$AC,2,FALSE))="Martin",(VLOOKUP(Table10[[#This Row],[SKU]],'All Skus'!$A:$AC,9,FALSE)),""))</f>
        <v>0</v>
      </c>
      <c r="I623" s="225">
        <f>(IF((VLOOKUP(Table10[[#This Row],[SKU]],'All Skus'!$A:$AC,2,FALSE))="Martin",(VLOOKUP(Table10[[#This Row],[SKU]],'All Skus'!$A:$AC,10,FALSE)),""))</f>
        <v>0</v>
      </c>
      <c r="J623" s="226">
        <f>(IF((VLOOKUP(Table10[[#This Row],[SKU]],'All Skus'!$A:$AC,2,FALSE))="Martin",(VLOOKUP(Table10[[#This Row],[SKU]],'All Skus'!$A:$AC,11,FALSE)),""))</f>
        <v>0</v>
      </c>
      <c r="K623" s="224">
        <f>(IF((VLOOKUP(Table10[[#This Row],[SKU]],'All Skus'!$A:$AC,2,FALSE))="Martin",(VLOOKUP(Table10[[#This Row],[SKU]],'All Skus'!$A:$AC,15,FALSE)),""))</f>
        <v>0</v>
      </c>
      <c r="L623" s="224">
        <f>(IF((VLOOKUP(Table10[[#This Row],[SKU]],'All Skus'!$A:$AC,2,FALSE))="Martin",(VLOOKUP(Table10[[#This Row],[SKU]],'All Skus'!$A:$AC,16,FALSE)),""))</f>
        <v>0</v>
      </c>
      <c r="M623" s="224">
        <f>(IF((VLOOKUP(Table10[[#This Row],[SKU]],'All Skus'!$A:$AC,2,FALSE))="Martin",(VLOOKUP(Table10[[#This Row],[SKU]],'All Skus'!$A:$AC,17,FALSE)),""))</f>
        <v>0</v>
      </c>
      <c r="N623" s="227">
        <f>(IF((VLOOKUP(Table10[[#This Row],[SKU]],'All Skus'!$A:$AC,2,FALSE))="Martin",(VLOOKUP(Table10[[#This Row],[SKU]],'All Skus'!$A:$AC,18,FALSE)),""))</f>
        <v>0</v>
      </c>
      <c r="O623" s="227">
        <f>(IF((VLOOKUP(Table10[[#This Row],[SKU]],'All Skus'!$A:$AC,2,FALSE))="Martin",(VLOOKUP(Table10[[#This Row],[SKU]],'All Skus'!$A:$AC,19,FALSE)),""))</f>
        <v>0</v>
      </c>
      <c r="P623" s="227">
        <f>(IF((VLOOKUP(Table10[[#This Row],[SKU]],'All Skus'!$A:$AC,2,FALSE))="Martin",(VLOOKUP(Table10[[#This Row],[SKU]],'All Skus'!$A:$AC,20,FALSE)),""))</f>
        <v>0</v>
      </c>
      <c r="Q623" s="227">
        <f>(IF((VLOOKUP(Table10[[#This Row],[SKU]],'All Skus'!$A:$AC,2,FALSE))="Martin",(VLOOKUP(Table10[[#This Row],[SKU]],'All Skus'!$A:$AC,21,FALSE)),""))</f>
        <v>0</v>
      </c>
      <c r="R623" s="224">
        <f>(IF((VLOOKUP(Table10[[#This Row],[SKU]],'All Skus'!$A:$AC,2,FALSE))="Martin",(VLOOKUP(Table10[[#This Row],[SKU]],'All Skus'!$A:$AC,22,FALSE)),""))</f>
        <v>0</v>
      </c>
      <c r="S623" s="223">
        <f>(IF((VLOOKUP(Table10[[#This Row],[SKU]],'All Skus'!$A:$AC,2,FALSE))="Martin",(VLOOKUP(Table10[[#This Row],[SKU]],'All Skus'!$A:$AC,23,FALSE)),""))</f>
        <v>0</v>
      </c>
      <c r="T623" s="212" t="str">
        <f>HYPERLINK((IF((VLOOKUP(Table10[[#This Row],[SKU]],'All Skus'!$A:$AC,2,FALSE))="Martin",(VLOOKUP(Table10[[#This Row],[SKU]],'All Skus'!$A:$AC,24,FALSE)),"")))</f>
        <v/>
      </c>
      <c r="U623" s="228">
        <v>621</v>
      </c>
    </row>
    <row r="624" spans="1:21" hidden="1">
      <c r="A624" s="115" t="s">
        <v>2279</v>
      </c>
      <c r="B624" s="224">
        <f>(IF((VLOOKUP(Table10[[#This Row],[SKU]],'All Skus'!$A:$AC,2,FALSE))="Martin",(VLOOKUP(Table10[[#This Row],[SKU]],'All Skus'!$A:$AC,3,FALSE)),""))</f>
        <v>0</v>
      </c>
      <c r="C624" s="223">
        <f>(IF((VLOOKUP(Table10[[#This Row],[SKU]],'All Skus'!$A:$AC,2,FALSE))="Martin",(VLOOKUP(Table10[[#This Row],[SKU]],'All Skus'!$A:$AC,4,FALSE)),""))</f>
        <v>0</v>
      </c>
      <c r="D624" s="224">
        <f>(IF((VLOOKUP(Table10[[#This Row],[SKU]],'All Skus'!$A:$AC,2,FALSE))="Martin",(VLOOKUP(Table10[[#This Row],[SKU]],'All Skus'!$A:$AC,5,FALSE)),""))</f>
        <v>0</v>
      </c>
      <c r="E624" s="223">
        <f>(IF((VLOOKUP(Table10[[#This Row],[SKU]],'All Skus'!$A:$AC,2,FALSE))="Martin",(VLOOKUP(Table10[[#This Row],[SKU]],'All Skus'!$A:$AC,6,FALSE)),""))</f>
        <v>0</v>
      </c>
      <c r="F624" s="155">
        <f>(IF((VLOOKUP(Table10[[#This Row],[SKU]],'All Skus'!$A:$AC,2,FALSE))="Martin",(VLOOKUP(Table10[[#This Row],[SKU]],'All Skus'!$A:$AC,7,FALSE)),""))</f>
        <v>0</v>
      </c>
      <c r="G624" s="223">
        <f>(IF((VLOOKUP(Table10[[#This Row],[SKU]],'All Skus'!$A:$AC,2,FALSE))="Martin",(VLOOKUP(Table10[[#This Row],[SKU]],'All Skus'!$A:$AC,8,FALSE)),""))</f>
        <v>0</v>
      </c>
      <c r="H624" s="223">
        <f>(IF((VLOOKUP(Table10[[#This Row],[SKU]],'All Skus'!$A:$AC,2,FALSE))="Martin",(VLOOKUP(Table10[[#This Row],[SKU]],'All Skus'!$A:$AC,9,FALSE)),""))</f>
        <v>0</v>
      </c>
      <c r="I624" s="225">
        <f>(IF((VLOOKUP(Table10[[#This Row],[SKU]],'All Skus'!$A:$AC,2,FALSE))="Martin",(VLOOKUP(Table10[[#This Row],[SKU]],'All Skus'!$A:$AC,10,FALSE)),""))</f>
        <v>0</v>
      </c>
      <c r="J624" s="226">
        <f>(IF((VLOOKUP(Table10[[#This Row],[SKU]],'All Skus'!$A:$AC,2,FALSE))="Martin",(VLOOKUP(Table10[[#This Row],[SKU]],'All Skus'!$A:$AC,11,FALSE)),""))</f>
        <v>0</v>
      </c>
      <c r="K624" s="224">
        <f>(IF((VLOOKUP(Table10[[#This Row],[SKU]],'All Skus'!$A:$AC,2,FALSE))="Martin",(VLOOKUP(Table10[[#This Row],[SKU]],'All Skus'!$A:$AC,15,FALSE)),""))</f>
        <v>0</v>
      </c>
      <c r="L624" s="224">
        <f>(IF((VLOOKUP(Table10[[#This Row],[SKU]],'All Skus'!$A:$AC,2,FALSE))="Martin",(VLOOKUP(Table10[[#This Row],[SKU]],'All Skus'!$A:$AC,16,FALSE)),""))</f>
        <v>0</v>
      </c>
      <c r="M624" s="224">
        <f>(IF((VLOOKUP(Table10[[#This Row],[SKU]],'All Skus'!$A:$AC,2,FALSE))="Martin",(VLOOKUP(Table10[[#This Row],[SKU]],'All Skus'!$A:$AC,17,FALSE)),""))</f>
        <v>0</v>
      </c>
      <c r="N624" s="227">
        <f>(IF((VLOOKUP(Table10[[#This Row],[SKU]],'All Skus'!$A:$AC,2,FALSE))="Martin",(VLOOKUP(Table10[[#This Row],[SKU]],'All Skus'!$A:$AC,18,FALSE)),""))</f>
        <v>0</v>
      </c>
      <c r="O624" s="227">
        <f>(IF((VLOOKUP(Table10[[#This Row],[SKU]],'All Skus'!$A:$AC,2,FALSE))="Martin",(VLOOKUP(Table10[[#This Row],[SKU]],'All Skus'!$A:$AC,19,FALSE)),""))</f>
        <v>0</v>
      </c>
      <c r="P624" s="227">
        <f>(IF((VLOOKUP(Table10[[#This Row],[SKU]],'All Skus'!$A:$AC,2,FALSE))="Martin",(VLOOKUP(Table10[[#This Row],[SKU]],'All Skus'!$A:$AC,20,FALSE)),""))</f>
        <v>0</v>
      </c>
      <c r="Q624" s="227">
        <f>(IF((VLOOKUP(Table10[[#This Row],[SKU]],'All Skus'!$A:$AC,2,FALSE))="Martin",(VLOOKUP(Table10[[#This Row],[SKU]],'All Skus'!$A:$AC,21,FALSE)),""))</f>
        <v>0</v>
      </c>
      <c r="R624" s="224">
        <f>(IF((VLOOKUP(Table10[[#This Row],[SKU]],'All Skus'!$A:$AC,2,FALSE))="Martin",(VLOOKUP(Table10[[#This Row],[SKU]],'All Skus'!$A:$AC,22,FALSE)),""))</f>
        <v>0</v>
      </c>
      <c r="S624" s="223">
        <f>(IF((VLOOKUP(Table10[[#This Row],[SKU]],'All Skus'!$A:$AC,2,FALSE))="Martin",(VLOOKUP(Table10[[#This Row],[SKU]],'All Skus'!$A:$AC,23,FALSE)),""))</f>
        <v>0</v>
      </c>
      <c r="T624" s="212" t="str">
        <f>HYPERLINK((IF((VLOOKUP(Table10[[#This Row],[SKU]],'All Skus'!$A:$AC,2,FALSE))="Martin",(VLOOKUP(Table10[[#This Row],[SKU]],'All Skus'!$A:$AC,24,FALSE)),"")))</f>
        <v/>
      </c>
      <c r="U624" s="228">
        <v>622</v>
      </c>
    </row>
    <row r="625" spans="1:21" hidden="1">
      <c r="A625" s="115" t="s">
        <v>2280</v>
      </c>
      <c r="B625" s="224">
        <f>(IF((VLOOKUP(Table10[[#This Row],[SKU]],'All Skus'!$A:$AC,2,FALSE))="Martin",(VLOOKUP(Table10[[#This Row],[SKU]],'All Skus'!$A:$AC,3,FALSE)),""))</f>
        <v>0</v>
      </c>
      <c r="C625" s="223">
        <f>(IF((VLOOKUP(Table10[[#This Row],[SKU]],'All Skus'!$A:$AC,2,FALSE))="Martin",(VLOOKUP(Table10[[#This Row],[SKU]],'All Skus'!$A:$AC,4,FALSE)),""))</f>
        <v>0</v>
      </c>
      <c r="D625" s="224">
        <f>(IF((VLOOKUP(Table10[[#This Row],[SKU]],'All Skus'!$A:$AC,2,FALSE))="Martin",(VLOOKUP(Table10[[#This Row],[SKU]],'All Skus'!$A:$AC,5,FALSE)),""))</f>
        <v>0</v>
      </c>
      <c r="E625" s="223">
        <f>(IF((VLOOKUP(Table10[[#This Row],[SKU]],'All Skus'!$A:$AC,2,FALSE))="Martin",(VLOOKUP(Table10[[#This Row],[SKU]],'All Skus'!$A:$AC,6,FALSE)),""))</f>
        <v>0</v>
      </c>
      <c r="F625" s="155">
        <f>(IF((VLOOKUP(Table10[[#This Row],[SKU]],'All Skus'!$A:$AC,2,FALSE))="Martin",(VLOOKUP(Table10[[#This Row],[SKU]],'All Skus'!$A:$AC,7,FALSE)),""))</f>
        <v>0</v>
      </c>
      <c r="G625" s="223">
        <f>(IF((VLOOKUP(Table10[[#This Row],[SKU]],'All Skus'!$A:$AC,2,FALSE))="Martin",(VLOOKUP(Table10[[#This Row],[SKU]],'All Skus'!$A:$AC,8,FALSE)),""))</f>
        <v>0</v>
      </c>
      <c r="H625" s="223">
        <f>(IF((VLOOKUP(Table10[[#This Row],[SKU]],'All Skus'!$A:$AC,2,FALSE))="Martin",(VLOOKUP(Table10[[#This Row],[SKU]],'All Skus'!$A:$AC,9,FALSE)),""))</f>
        <v>0</v>
      </c>
      <c r="I625" s="225">
        <f>(IF((VLOOKUP(Table10[[#This Row],[SKU]],'All Skus'!$A:$AC,2,FALSE))="Martin",(VLOOKUP(Table10[[#This Row],[SKU]],'All Skus'!$A:$AC,10,FALSE)),""))</f>
        <v>0</v>
      </c>
      <c r="J625" s="226">
        <f>(IF((VLOOKUP(Table10[[#This Row],[SKU]],'All Skus'!$A:$AC,2,FALSE))="Martin",(VLOOKUP(Table10[[#This Row],[SKU]],'All Skus'!$A:$AC,11,FALSE)),""))</f>
        <v>0</v>
      </c>
      <c r="K625" s="224">
        <f>(IF((VLOOKUP(Table10[[#This Row],[SKU]],'All Skus'!$A:$AC,2,FALSE))="Martin",(VLOOKUP(Table10[[#This Row],[SKU]],'All Skus'!$A:$AC,15,FALSE)),""))</f>
        <v>0</v>
      </c>
      <c r="L625" s="224">
        <f>(IF((VLOOKUP(Table10[[#This Row],[SKU]],'All Skus'!$A:$AC,2,FALSE))="Martin",(VLOOKUP(Table10[[#This Row],[SKU]],'All Skus'!$A:$AC,16,FALSE)),""))</f>
        <v>0</v>
      </c>
      <c r="M625" s="224">
        <f>(IF((VLOOKUP(Table10[[#This Row],[SKU]],'All Skus'!$A:$AC,2,FALSE))="Martin",(VLOOKUP(Table10[[#This Row],[SKU]],'All Skus'!$A:$AC,17,FALSE)),""))</f>
        <v>0</v>
      </c>
      <c r="N625" s="227">
        <f>(IF((VLOOKUP(Table10[[#This Row],[SKU]],'All Skus'!$A:$AC,2,FALSE))="Martin",(VLOOKUP(Table10[[#This Row],[SKU]],'All Skus'!$A:$AC,18,FALSE)),""))</f>
        <v>0</v>
      </c>
      <c r="O625" s="227">
        <f>(IF((VLOOKUP(Table10[[#This Row],[SKU]],'All Skus'!$A:$AC,2,FALSE))="Martin",(VLOOKUP(Table10[[#This Row],[SKU]],'All Skus'!$A:$AC,19,FALSE)),""))</f>
        <v>0</v>
      </c>
      <c r="P625" s="227">
        <f>(IF((VLOOKUP(Table10[[#This Row],[SKU]],'All Skus'!$A:$AC,2,FALSE))="Martin",(VLOOKUP(Table10[[#This Row],[SKU]],'All Skus'!$A:$AC,20,FALSE)),""))</f>
        <v>0</v>
      </c>
      <c r="Q625" s="227">
        <f>(IF((VLOOKUP(Table10[[#This Row],[SKU]],'All Skus'!$A:$AC,2,FALSE))="Martin",(VLOOKUP(Table10[[#This Row],[SKU]],'All Skus'!$A:$AC,21,FALSE)),""))</f>
        <v>0</v>
      </c>
      <c r="R625" s="224">
        <f>(IF((VLOOKUP(Table10[[#This Row],[SKU]],'All Skus'!$A:$AC,2,FALSE))="Martin",(VLOOKUP(Table10[[#This Row],[SKU]],'All Skus'!$A:$AC,22,FALSE)),""))</f>
        <v>0</v>
      </c>
      <c r="S625" s="223">
        <f>(IF((VLOOKUP(Table10[[#This Row],[SKU]],'All Skus'!$A:$AC,2,FALSE))="Martin",(VLOOKUP(Table10[[#This Row],[SKU]],'All Skus'!$A:$AC,23,FALSE)),""))</f>
        <v>0</v>
      </c>
      <c r="T625" s="212" t="str">
        <f>HYPERLINK((IF((VLOOKUP(Table10[[#This Row],[SKU]],'All Skus'!$A:$AC,2,FALSE))="Martin",(VLOOKUP(Table10[[#This Row],[SKU]],'All Skus'!$A:$AC,24,FALSE)),"")))</f>
        <v/>
      </c>
      <c r="U625" s="228">
        <v>623</v>
      </c>
    </row>
    <row r="626" spans="1:21" hidden="1">
      <c r="A626" s="115" t="s">
        <v>2281</v>
      </c>
      <c r="B626" s="224">
        <f>(IF((VLOOKUP(Table10[[#This Row],[SKU]],'All Skus'!$A:$AC,2,FALSE))="Martin",(VLOOKUP(Table10[[#This Row],[SKU]],'All Skus'!$A:$AC,3,FALSE)),""))</f>
        <v>0</v>
      </c>
      <c r="C626" s="223">
        <f>(IF((VLOOKUP(Table10[[#This Row],[SKU]],'All Skus'!$A:$AC,2,FALSE))="Martin",(VLOOKUP(Table10[[#This Row],[SKU]],'All Skus'!$A:$AC,4,FALSE)),""))</f>
        <v>0</v>
      </c>
      <c r="D626" s="224">
        <f>(IF((VLOOKUP(Table10[[#This Row],[SKU]],'All Skus'!$A:$AC,2,FALSE))="Martin",(VLOOKUP(Table10[[#This Row],[SKU]],'All Skus'!$A:$AC,5,FALSE)),""))</f>
        <v>0</v>
      </c>
      <c r="E626" s="223">
        <f>(IF((VLOOKUP(Table10[[#This Row],[SKU]],'All Skus'!$A:$AC,2,FALSE))="Martin",(VLOOKUP(Table10[[#This Row],[SKU]],'All Skus'!$A:$AC,6,FALSE)),""))</f>
        <v>0</v>
      </c>
      <c r="F626" s="155">
        <f>(IF((VLOOKUP(Table10[[#This Row],[SKU]],'All Skus'!$A:$AC,2,FALSE))="Martin",(VLOOKUP(Table10[[#This Row],[SKU]],'All Skus'!$A:$AC,7,FALSE)),""))</f>
        <v>0</v>
      </c>
      <c r="G626" s="223">
        <f>(IF((VLOOKUP(Table10[[#This Row],[SKU]],'All Skus'!$A:$AC,2,FALSE))="Martin",(VLOOKUP(Table10[[#This Row],[SKU]],'All Skus'!$A:$AC,8,FALSE)),""))</f>
        <v>0</v>
      </c>
      <c r="H626" s="223">
        <f>(IF((VLOOKUP(Table10[[#This Row],[SKU]],'All Skus'!$A:$AC,2,FALSE))="Martin",(VLOOKUP(Table10[[#This Row],[SKU]],'All Skus'!$A:$AC,9,FALSE)),""))</f>
        <v>0</v>
      </c>
      <c r="I626" s="225">
        <f>(IF((VLOOKUP(Table10[[#This Row],[SKU]],'All Skus'!$A:$AC,2,FALSE))="Martin",(VLOOKUP(Table10[[#This Row],[SKU]],'All Skus'!$A:$AC,10,FALSE)),""))</f>
        <v>0</v>
      </c>
      <c r="J626" s="226">
        <f>(IF((VLOOKUP(Table10[[#This Row],[SKU]],'All Skus'!$A:$AC,2,FALSE))="Martin",(VLOOKUP(Table10[[#This Row],[SKU]],'All Skus'!$A:$AC,11,FALSE)),""))</f>
        <v>0</v>
      </c>
      <c r="K626" s="224">
        <f>(IF((VLOOKUP(Table10[[#This Row],[SKU]],'All Skus'!$A:$AC,2,FALSE))="Martin",(VLOOKUP(Table10[[#This Row],[SKU]],'All Skus'!$A:$AC,15,FALSE)),""))</f>
        <v>0</v>
      </c>
      <c r="L626" s="224">
        <f>(IF((VLOOKUP(Table10[[#This Row],[SKU]],'All Skus'!$A:$AC,2,FALSE))="Martin",(VLOOKUP(Table10[[#This Row],[SKU]],'All Skus'!$A:$AC,16,FALSE)),""))</f>
        <v>0</v>
      </c>
      <c r="M626" s="224">
        <f>(IF((VLOOKUP(Table10[[#This Row],[SKU]],'All Skus'!$A:$AC,2,FALSE))="Martin",(VLOOKUP(Table10[[#This Row],[SKU]],'All Skus'!$A:$AC,17,FALSE)),""))</f>
        <v>0</v>
      </c>
      <c r="N626" s="227">
        <f>(IF((VLOOKUP(Table10[[#This Row],[SKU]],'All Skus'!$A:$AC,2,FALSE))="Martin",(VLOOKUP(Table10[[#This Row],[SKU]],'All Skus'!$A:$AC,18,FALSE)),""))</f>
        <v>0</v>
      </c>
      <c r="O626" s="227">
        <f>(IF((VLOOKUP(Table10[[#This Row],[SKU]],'All Skus'!$A:$AC,2,FALSE))="Martin",(VLOOKUP(Table10[[#This Row],[SKU]],'All Skus'!$A:$AC,19,FALSE)),""))</f>
        <v>0</v>
      </c>
      <c r="P626" s="227">
        <f>(IF((VLOOKUP(Table10[[#This Row],[SKU]],'All Skus'!$A:$AC,2,FALSE))="Martin",(VLOOKUP(Table10[[#This Row],[SKU]],'All Skus'!$A:$AC,20,FALSE)),""))</f>
        <v>0</v>
      </c>
      <c r="Q626" s="227">
        <f>(IF((VLOOKUP(Table10[[#This Row],[SKU]],'All Skus'!$A:$AC,2,FALSE))="Martin",(VLOOKUP(Table10[[#This Row],[SKU]],'All Skus'!$A:$AC,21,FALSE)),""))</f>
        <v>0</v>
      </c>
      <c r="R626" s="224">
        <f>(IF((VLOOKUP(Table10[[#This Row],[SKU]],'All Skus'!$A:$AC,2,FALSE))="Martin",(VLOOKUP(Table10[[#This Row],[SKU]],'All Skus'!$A:$AC,22,FALSE)),""))</f>
        <v>0</v>
      </c>
      <c r="S626" s="223">
        <f>(IF((VLOOKUP(Table10[[#This Row],[SKU]],'All Skus'!$A:$AC,2,FALSE))="Martin",(VLOOKUP(Table10[[#This Row],[SKU]],'All Skus'!$A:$AC,23,FALSE)),""))</f>
        <v>0</v>
      </c>
      <c r="T626" s="212" t="str">
        <f>HYPERLINK((IF((VLOOKUP(Table10[[#This Row],[SKU]],'All Skus'!$A:$AC,2,FALSE))="Martin",(VLOOKUP(Table10[[#This Row],[SKU]],'All Skus'!$A:$AC,24,FALSE)),"")))</f>
        <v/>
      </c>
      <c r="U626" s="228">
        <v>624</v>
      </c>
    </row>
    <row r="627" spans="1:21" hidden="1">
      <c r="A627" s="115" t="s">
        <v>2282</v>
      </c>
      <c r="B627" s="224">
        <f>(IF((VLOOKUP(Table10[[#This Row],[SKU]],'All Skus'!$A:$AC,2,FALSE))="Martin",(VLOOKUP(Table10[[#This Row],[SKU]],'All Skus'!$A:$AC,3,FALSE)),""))</f>
        <v>0</v>
      </c>
      <c r="C627" s="223">
        <f>(IF((VLOOKUP(Table10[[#This Row],[SKU]],'All Skus'!$A:$AC,2,FALSE))="Martin",(VLOOKUP(Table10[[#This Row],[SKU]],'All Skus'!$A:$AC,4,FALSE)),""))</f>
        <v>0</v>
      </c>
      <c r="D627" s="224">
        <f>(IF((VLOOKUP(Table10[[#This Row],[SKU]],'All Skus'!$A:$AC,2,FALSE))="Martin",(VLOOKUP(Table10[[#This Row],[SKU]],'All Skus'!$A:$AC,5,FALSE)),""))</f>
        <v>0</v>
      </c>
      <c r="E627" s="223">
        <f>(IF((VLOOKUP(Table10[[#This Row],[SKU]],'All Skus'!$A:$AC,2,FALSE))="Martin",(VLOOKUP(Table10[[#This Row],[SKU]],'All Skus'!$A:$AC,6,FALSE)),""))</f>
        <v>0</v>
      </c>
      <c r="F627" s="155">
        <f>(IF((VLOOKUP(Table10[[#This Row],[SKU]],'All Skus'!$A:$AC,2,FALSE))="Martin",(VLOOKUP(Table10[[#This Row],[SKU]],'All Skus'!$A:$AC,7,FALSE)),""))</f>
        <v>0</v>
      </c>
      <c r="G627" s="223">
        <f>(IF((VLOOKUP(Table10[[#This Row],[SKU]],'All Skus'!$A:$AC,2,FALSE))="Martin",(VLOOKUP(Table10[[#This Row],[SKU]],'All Skus'!$A:$AC,8,FALSE)),""))</f>
        <v>0</v>
      </c>
      <c r="H627" s="223">
        <f>(IF((VLOOKUP(Table10[[#This Row],[SKU]],'All Skus'!$A:$AC,2,FALSE))="Martin",(VLOOKUP(Table10[[#This Row],[SKU]],'All Skus'!$A:$AC,9,FALSE)),""))</f>
        <v>0</v>
      </c>
      <c r="I627" s="225">
        <f>(IF((VLOOKUP(Table10[[#This Row],[SKU]],'All Skus'!$A:$AC,2,FALSE))="Martin",(VLOOKUP(Table10[[#This Row],[SKU]],'All Skus'!$A:$AC,10,FALSE)),""))</f>
        <v>0</v>
      </c>
      <c r="J627" s="226">
        <f>(IF((VLOOKUP(Table10[[#This Row],[SKU]],'All Skus'!$A:$AC,2,FALSE))="Martin",(VLOOKUP(Table10[[#This Row],[SKU]],'All Skus'!$A:$AC,11,FALSE)),""))</f>
        <v>0</v>
      </c>
      <c r="K627" s="224">
        <f>(IF((VLOOKUP(Table10[[#This Row],[SKU]],'All Skus'!$A:$AC,2,FALSE))="Martin",(VLOOKUP(Table10[[#This Row],[SKU]],'All Skus'!$A:$AC,15,FALSE)),""))</f>
        <v>0</v>
      </c>
      <c r="L627" s="224">
        <f>(IF((VLOOKUP(Table10[[#This Row],[SKU]],'All Skus'!$A:$AC,2,FALSE))="Martin",(VLOOKUP(Table10[[#This Row],[SKU]],'All Skus'!$A:$AC,16,FALSE)),""))</f>
        <v>0</v>
      </c>
      <c r="M627" s="224">
        <f>(IF((VLOOKUP(Table10[[#This Row],[SKU]],'All Skus'!$A:$AC,2,FALSE))="Martin",(VLOOKUP(Table10[[#This Row],[SKU]],'All Skus'!$A:$AC,17,FALSE)),""))</f>
        <v>0</v>
      </c>
      <c r="N627" s="227">
        <f>(IF((VLOOKUP(Table10[[#This Row],[SKU]],'All Skus'!$A:$AC,2,FALSE))="Martin",(VLOOKUP(Table10[[#This Row],[SKU]],'All Skus'!$A:$AC,18,FALSE)),""))</f>
        <v>0</v>
      </c>
      <c r="O627" s="227">
        <f>(IF((VLOOKUP(Table10[[#This Row],[SKU]],'All Skus'!$A:$AC,2,FALSE))="Martin",(VLOOKUP(Table10[[#This Row],[SKU]],'All Skus'!$A:$AC,19,FALSE)),""))</f>
        <v>0</v>
      </c>
      <c r="P627" s="227">
        <f>(IF((VLOOKUP(Table10[[#This Row],[SKU]],'All Skus'!$A:$AC,2,FALSE))="Martin",(VLOOKUP(Table10[[#This Row],[SKU]],'All Skus'!$A:$AC,20,FALSE)),""))</f>
        <v>0</v>
      </c>
      <c r="Q627" s="227">
        <f>(IF((VLOOKUP(Table10[[#This Row],[SKU]],'All Skus'!$A:$AC,2,FALSE))="Martin",(VLOOKUP(Table10[[#This Row],[SKU]],'All Skus'!$A:$AC,21,FALSE)),""))</f>
        <v>0</v>
      </c>
      <c r="R627" s="224">
        <f>(IF((VLOOKUP(Table10[[#This Row],[SKU]],'All Skus'!$A:$AC,2,FALSE))="Martin",(VLOOKUP(Table10[[#This Row],[SKU]],'All Skus'!$A:$AC,22,FALSE)),""))</f>
        <v>0</v>
      </c>
      <c r="S627" s="223">
        <f>(IF((VLOOKUP(Table10[[#This Row],[SKU]],'All Skus'!$A:$AC,2,FALSE))="Martin",(VLOOKUP(Table10[[#This Row],[SKU]],'All Skus'!$A:$AC,23,FALSE)),""))</f>
        <v>0</v>
      </c>
      <c r="T627" s="212" t="str">
        <f>HYPERLINK((IF((VLOOKUP(Table10[[#This Row],[SKU]],'All Skus'!$A:$AC,2,FALSE))="Martin",(VLOOKUP(Table10[[#This Row],[SKU]],'All Skus'!$A:$AC,24,FALSE)),"")))</f>
        <v/>
      </c>
      <c r="U627" s="228">
        <v>625</v>
      </c>
    </row>
    <row r="628" spans="1:21" hidden="1">
      <c r="A628" s="115" t="s">
        <v>2283</v>
      </c>
      <c r="B628" s="224">
        <f>(IF((VLOOKUP(Table10[[#This Row],[SKU]],'All Skus'!$A:$AC,2,FALSE))="Martin",(VLOOKUP(Table10[[#This Row],[SKU]],'All Skus'!$A:$AC,3,FALSE)),""))</f>
        <v>0</v>
      </c>
      <c r="C628" s="223">
        <f>(IF((VLOOKUP(Table10[[#This Row],[SKU]],'All Skus'!$A:$AC,2,FALSE))="Martin",(VLOOKUP(Table10[[#This Row],[SKU]],'All Skus'!$A:$AC,4,FALSE)),""))</f>
        <v>0</v>
      </c>
      <c r="D628" s="224">
        <f>(IF((VLOOKUP(Table10[[#This Row],[SKU]],'All Skus'!$A:$AC,2,FALSE))="Martin",(VLOOKUP(Table10[[#This Row],[SKU]],'All Skus'!$A:$AC,5,FALSE)),""))</f>
        <v>0</v>
      </c>
      <c r="E628" s="223">
        <f>(IF((VLOOKUP(Table10[[#This Row],[SKU]],'All Skus'!$A:$AC,2,FALSE))="Martin",(VLOOKUP(Table10[[#This Row],[SKU]],'All Skus'!$A:$AC,6,FALSE)),""))</f>
        <v>0</v>
      </c>
      <c r="F628" s="155">
        <f>(IF((VLOOKUP(Table10[[#This Row],[SKU]],'All Skus'!$A:$AC,2,FALSE))="Martin",(VLOOKUP(Table10[[#This Row],[SKU]],'All Skus'!$A:$AC,7,FALSE)),""))</f>
        <v>0</v>
      </c>
      <c r="G628" s="223">
        <f>(IF((VLOOKUP(Table10[[#This Row],[SKU]],'All Skus'!$A:$AC,2,FALSE))="Martin",(VLOOKUP(Table10[[#This Row],[SKU]],'All Skus'!$A:$AC,8,FALSE)),""))</f>
        <v>0</v>
      </c>
      <c r="H628" s="223">
        <f>(IF((VLOOKUP(Table10[[#This Row],[SKU]],'All Skus'!$A:$AC,2,FALSE))="Martin",(VLOOKUP(Table10[[#This Row],[SKU]],'All Skus'!$A:$AC,9,FALSE)),""))</f>
        <v>0</v>
      </c>
      <c r="I628" s="225">
        <f>(IF((VLOOKUP(Table10[[#This Row],[SKU]],'All Skus'!$A:$AC,2,FALSE))="Martin",(VLOOKUP(Table10[[#This Row],[SKU]],'All Skus'!$A:$AC,10,FALSE)),""))</f>
        <v>0</v>
      </c>
      <c r="J628" s="226">
        <f>(IF((VLOOKUP(Table10[[#This Row],[SKU]],'All Skus'!$A:$AC,2,FALSE))="Martin",(VLOOKUP(Table10[[#This Row],[SKU]],'All Skus'!$A:$AC,11,FALSE)),""))</f>
        <v>0</v>
      </c>
      <c r="K628" s="224">
        <f>(IF((VLOOKUP(Table10[[#This Row],[SKU]],'All Skus'!$A:$AC,2,FALSE))="Martin",(VLOOKUP(Table10[[#This Row],[SKU]],'All Skus'!$A:$AC,15,FALSE)),""))</f>
        <v>0</v>
      </c>
      <c r="L628" s="224">
        <f>(IF((VLOOKUP(Table10[[#This Row],[SKU]],'All Skus'!$A:$AC,2,FALSE))="Martin",(VLOOKUP(Table10[[#This Row],[SKU]],'All Skus'!$A:$AC,16,FALSE)),""))</f>
        <v>0</v>
      </c>
      <c r="M628" s="224">
        <f>(IF((VLOOKUP(Table10[[#This Row],[SKU]],'All Skus'!$A:$AC,2,FALSE))="Martin",(VLOOKUP(Table10[[#This Row],[SKU]],'All Skus'!$A:$AC,17,FALSE)),""))</f>
        <v>0</v>
      </c>
      <c r="N628" s="227">
        <f>(IF((VLOOKUP(Table10[[#This Row],[SKU]],'All Skus'!$A:$AC,2,FALSE))="Martin",(VLOOKUP(Table10[[#This Row],[SKU]],'All Skus'!$A:$AC,18,FALSE)),""))</f>
        <v>0</v>
      </c>
      <c r="O628" s="227">
        <f>(IF((VLOOKUP(Table10[[#This Row],[SKU]],'All Skus'!$A:$AC,2,FALSE))="Martin",(VLOOKUP(Table10[[#This Row],[SKU]],'All Skus'!$A:$AC,19,FALSE)),""))</f>
        <v>0</v>
      </c>
      <c r="P628" s="227">
        <f>(IF((VLOOKUP(Table10[[#This Row],[SKU]],'All Skus'!$A:$AC,2,FALSE))="Martin",(VLOOKUP(Table10[[#This Row],[SKU]],'All Skus'!$A:$AC,20,FALSE)),""))</f>
        <v>0</v>
      </c>
      <c r="Q628" s="227">
        <f>(IF((VLOOKUP(Table10[[#This Row],[SKU]],'All Skus'!$A:$AC,2,FALSE))="Martin",(VLOOKUP(Table10[[#This Row],[SKU]],'All Skus'!$A:$AC,21,FALSE)),""))</f>
        <v>0</v>
      </c>
      <c r="R628" s="224">
        <f>(IF((VLOOKUP(Table10[[#This Row],[SKU]],'All Skus'!$A:$AC,2,FALSE))="Martin",(VLOOKUP(Table10[[#This Row],[SKU]],'All Skus'!$A:$AC,22,FALSE)),""))</f>
        <v>0</v>
      </c>
      <c r="S628" s="223">
        <f>(IF((VLOOKUP(Table10[[#This Row],[SKU]],'All Skus'!$A:$AC,2,FALSE))="Martin",(VLOOKUP(Table10[[#This Row],[SKU]],'All Skus'!$A:$AC,23,FALSE)),""))</f>
        <v>0</v>
      </c>
      <c r="T628" s="212" t="str">
        <f>HYPERLINK((IF((VLOOKUP(Table10[[#This Row],[SKU]],'All Skus'!$A:$AC,2,FALSE))="Martin",(VLOOKUP(Table10[[#This Row],[SKU]],'All Skus'!$A:$AC,24,FALSE)),"")))</f>
        <v/>
      </c>
      <c r="U628" s="228">
        <v>626</v>
      </c>
    </row>
    <row r="629" spans="1:21" hidden="1">
      <c r="A629" s="115" t="s">
        <v>2284</v>
      </c>
      <c r="B629" s="224">
        <f>(IF((VLOOKUP(Table10[[#This Row],[SKU]],'All Skus'!$A:$AC,2,FALSE))="Martin",(VLOOKUP(Table10[[#This Row],[SKU]],'All Skus'!$A:$AC,3,FALSE)),""))</f>
        <v>0</v>
      </c>
      <c r="C629" s="223">
        <f>(IF((VLOOKUP(Table10[[#This Row],[SKU]],'All Skus'!$A:$AC,2,FALSE))="Martin",(VLOOKUP(Table10[[#This Row],[SKU]],'All Skus'!$A:$AC,4,FALSE)),""))</f>
        <v>0</v>
      </c>
      <c r="D629" s="224">
        <f>(IF((VLOOKUP(Table10[[#This Row],[SKU]],'All Skus'!$A:$AC,2,FALSE))="Martin",(VLOOKUP(Table10[[#This Row],[SKU]],'All Skus'!$A:$AC,5,FALSE)),""))</f>
        <v>0</v>
      </c>
      <c r="E629" s="223">
        <f>(IF((VLOOKUP(Table10[[#This Row],[SKU]],'All Skus'!$A:$AC,2,FALSE))="Martin",(VLOOKUP(Table10[[#This Row],[SKU]],'All Skus'!$A:$AC,6,FALSE)),""))</f>
        <v>0</v>
      </c>
      <c r="F629" s="155">
        <f>(IF((VLOOKUP(Table10[[#This Row],[SKU]],'All Skus'!$A:$AC,2,FALSE))="Martin",(VLOOKUP(Table10[[#This Row],[SKU]],'All Skus'!$A:$AC,7,FALSE)),""))</f>
        <v>0</v>
      </c>
      <c r="G629" s="223">
        <f>(IF((VLOOKUP(Table10[[#This Row],[SKU]],'All Skus'!$A:$AC,2,FALSE))="Martin",(VLOOKUP(Table10[[#This Row],[SKU]],'All Skus'!$A:$AC,8,FALSE)),""))</f>
        <v>0</v>
      </c>
      <c r="H629" s="223">
        <f>(IF((VLOOKUP(Table10[[#This Row],[SKU]],'All Skus'!$A:$AC,2,FALSE))="Martin",(VLOOKUP(Table10[[#This Row],[SKU]],'All Skus'!$A:$AC,9,FALSE)),""))</f>
        <v>0</v>
      </c>
      <c r="I629" s="225">
        <f>(IF((VLOOKUP(Table10[[#This Row],[SKU]],'All Skus'!$A:$AC,2,FALSE))="Martin",(VLOOKUP(Table10[[#This Row],[SKU]],'All Skus'!$A:$AC,10,FALSE)),""))</f>
        <v>0</v>
      </c>
      <c r="J629" s="226">
        <f>(IF((VLOOKUP(Table10[[#This Row],[SKU]],'All Skus'!$A:$AC,2,FALSE))="Martin",(VLOOKUP(Table10[[#This Row],[SKU]],'All Skus'!$A:$AC,11,FALSE)),""))</f>
        <v>0</v>
      </c>
      <c r="K629" s="224">
        <f>(IF((VLOOKUP(Table10[[#This Row],[SKU]],'All Skus'!$A:$AC,2,FALSE))="Martin",(VLOOKUP(Table10[[#This Row],[SKU]],'All Skus'!$A:$AC,15,FALSE)),""))</f>
        <v>0</v>
      </c>
      <c r="L629" s="224">
        <f>(IF((VLOOKUP(Table10[[#This Row],[SKU]],'All Skus'!$A:$AC,2,FALSE))="Martin",(VLOOKUP(Table10[[#This Row],[SKU]],'All Skus'!$A:$AC,16,FALSE)),""))</f>
        <v>0</v>
      </c>
      <c r="M629" s="224">
        <f>(IF((VLOOKUP(Table10[[#This Row],[SKU]],'All Skus'!$A:$AC,2,FALSE))="Martin",(VLOOKUP(Table10[[#This Row],[SKU]],'All Skus'!$A:$AC,17,FALSE)),""))</f>
        <v>0</v>
      </c>
      <c r="N629" s="227">
        <f>(IF((VLOOKUP(Table10[[#This Row],[SKU]],'All Skus'!$A:$AC,2,FALSE))="Martin",(VLOOKUP(Table10[[#This Row],[SKU]],'All Skus'!$A:$AC,18,FALSE)),""))</f>
        <v>0</v>
      </c>
      <c r="O629" s="227">
        <f>(IF((VLOOKUP(Table10[[#This Row],[SKU]],'All Skus'!$A:$AC,2,FALSE))="Martin",(VLOOKUP(Table10[[#This Row],[SKU]],'All Skus'!$A:$AC,19,FALSE)),""))</f>
        <v>0</v>
      </c>
      <c r="P629" s="227">
        <f>(IF((VLOOKUP(Table10[[#This Row],[SKU]],'All Skus'!$A:$AC,2,FALSE))="Martin",(VLOOKUP(Table10[[#This Row],[SKU]],'All Skus'!$A:$AC,20,FALSE)),""))</f>
        <v>0</v>
      </c>
      <c r="Q629" s="227">
        <f>(IF((VLOOKUP(Table10[[#This Row],[SKU]],'All Skus'!$A:$AC,2,FALSE))="Martin",(VLOOKUP(Table10[[#This Row],[SKU]],'All Skus'!$A:$AC,21,FALSE)),""))</f>
        <v>0</v>
      </c>
      <c r="R629" s="224">
        <f>(IF((VLOOKUP(Table10[[#This Row],[SKU]],'All Skus'!$A:$AC,2,FALSE))="Martin",(VLOOKUP(Table10[[#This Row],[SKU]],'All Skus'!$A:$AC,22,FALSE)),""))</f>
        <v>0</v>
      </c>
      <c r="S629" s="223">
        <f>(IF((VLOOKUP(Table10[[#This Row],[SKU]],'All Skus'!$A:$AC,2,FALSE))="Martin",(VLOOKUP(Table10[[#This Row],[SKU]],'All Skus'!$A:$AC,23,FALSE)),""))</f>
        <v>0</v>
      </c>
      <c r="T629" s="212" t="str">
        <f>HYPERLINK((IF((VLOOKUP(Table10[[#This Row],[SKU]],'All Skus'!$A:$AC,2,FALSE))="Martin",(VLOOKUP(Table10[[#This Row],[SKU]],'All Skus'!$A:$AC,24,FALSE)),"")))</f>
        <v/>
      </c>
      <c r="U629" s="228">
        <v>627</v>
      </c>
    </row>
    <row r="630" spans="1:21" hidden="1">
      <c r="A630" s="112">
        <v>91611846</v>
      </c>
      <c r="B630" s="224" t="str">
        <f>(IF((VLOOKUP(Table10[[#This Row],[SKU]],'All Skus'!$A:$AC,2,FALSE))="Martin",(VLOOKUP(Table10[[#This Row],[SKU]],'All Skus'!$A:$AC,3,FALSE)),""))</f>
        <v>Linear</v>
      </c>
      <c r="C630" s="223" t="str">
        <f>(IF((VLOOKUP(Table10[[#This Row],[SKU]],'All Skus'!$A:$AC,2,FALSE))="Martin",(VLOOKUP(Table10[[#This Row],[SKU]],'All Skus'!$A:$AC,4,FALSE)),""))</f>
        <v>Power + Data Extension Cable with 6-pin custom connectors, 1 m (3.3 ft.)</v>
      </c>
      <c r="D630" s="224" t="str">
        <f>(IF((VLOOKUP(Table10[[#This Row],[SKU]],'All Skus'!$A:$AC,2,FALSE))="Martin",(VLOOKUP(Table10[[#This Row],[SKU]],'All Skus'!$A:$AC,5,FALSE)),""))</f>
        <v>MRU-SL</v>
      </c>
      <c r="E630" s="223">
        <f>(IF((VLOOKUP(Table10[[#This Row],[SKU]],'All Skus'!$A:$AC,2,FALSE))="Martin",(VLOOKUP(Table10[[#This Row],[SKU]],'All Skus'!$A:$AC,6,FALSE)),""))</f>
        <v>0</v>
      </c>
      <c r="F630" s="155" t="str">
        <f>(IF((VLOOKUP(Table10[[#This Row],[SKU]],'All Skus'!$A:$AC,2,FALSE))="Martin",(VLOOKUP(Table10[[#This Row],[SKU]],'All Skus'!$A:$AC,7,FALSE)),""))</f>
        <v>EOL stage – limited availability may apply</v>
      </c>
      <c r="G630" s="223" t="str">
        <f>(IF((VLOOKUP(Table10[[#This Row],[SKU]],'All Skus'!$A:$AC,2,FALSE))="Martin",(VLOOKUP(Table10[[#This Row],[SKU]],'All Skus'!$A:$AC,8,FALSE)),""))</f>
        <v>Power + Data Extension Cable with 6-pin custom connectors, 1 m (3.3 ft.)</v>
      </c>
      <c r="H630" s="223" t="str">
        <f>(IF((VLOOKUP(Table10[[#This Row],[SKU]],'All Skus'!$A:$AC,2,FALSE))="Martin",(VLOOKUP(Table10[[#This Row],[SKU]],'All Skus'!$A:$AC,9,FALSE)),""))</f>
        <v>Power + Data Extension Cable with 6-pin custom connectors, 1 m (3.3 ft.)</v>
      </c>
      <c r="I630" s="225">
        <f>(IF((VLOOKUP(Table10[[#This Row],[SKU]],'All Skus'!$A:$AC,2,FALSE))="Martin",(VLOOKUP(Table10[[#This Row],[SKU]],'All Skus'!$A:$AC,10,FALSE)),""))</f>
        <v>56.8</v>
      </c>
      <c r="J630" s="226">
        <f>(IF((VLOOKUP(Table10[[#This Row],[SKU]],'All Skus'!$A:$AC,2,FALSE))="Martin",(VLOOKUP(Table10[[#This Row],[SKU]],'All Skus'!$A:$AC,11,FALSE)),""))</f>
        <v>56.8</v>
      </c>
      <c r="K630" s="224">
        <f>(IF((VLOOKUP(Table10[[#This Row],[SKU]],'All Skus'!$A:$AC,2,FALSE))="Martin",(VLOOKUP(Table10[[#This Row],[SKU]],'All Skus'!$A:$AC,15,FALSE)),""))</f>
        <v>1.1000000000000001</v>
      </c>
      <c r="L630" s="224">
        <f>(IF((VLOOKUP(Table10[[#This Row],[SKU]],'All Skus'!$A:$AC,2,FALSE))="Martin",(VLOOKUP(Table10[[#This Row],[SKU]],'All Skus'!$A:$AC,16,FALSE)),""))</f>
        <v>0</v>
      </c>
      <c r="M630" s="224">
        <f>(IF((VLOOKUP(Table10[[#This Row],[SKU]],'All Skus'!$A:$AC,2,FALSE))="Martin",(VLOOKUP(Table10[[#This Row],[SKU]],'All Skus'!$A:$AC,17,FALSE)),""))</f>
        <v>0</v>
      </c>
      <c r="N630" s="227">
        <f>(IF((VLOOKUP(Table10[[#This Row],[SKU]],'All Skus'!$A:$AC,2,FALSE))="Martin",(VLOOKUP(Table10[[#This Row],[SKU]],'All Skus'!$A:$AC,18,FALSE)),""))</f>
        <v>13.39</v>
      </c>
      <c r="O630" s="227">
        <f>(IF((VLOOKUP(Table10[[#This Row],[SKU]],'All Skus'!$A:$AC,2,FALSE))="Martin",(VLOOKUP(Table10[[#This Row],[SKU]],'All Skus'!$A:$AC,19,FALSE)),""))</f>
        <v>10.63</v>
      </c>
      <c r="P630" s="227">
        <f>(IF((VLOOKUP(Table10[[#This Row],[SKU]],'All Skus'!$A:$AC,2,FALSE))="Martin",(VLOOKUP(Table10[[#This Row],[SKU]],'All Skus'!$A:$AC,20,FALSE)),""))</f>
        <v>0</v>
      </c>
      <c r="Q630" s="227">
        <f>(IF((VLOOKUP(Table10[[#This Row],[SKU]],'All Skus'!$A:$AC,2,FALSE))="Martin",(VLOOKUP(Table10[[#This Row],[SKU]],'All Skus'!$A:$AC,21,FALSE)),""))</f>
        <v>0</v>
      </c>
      <c r="R630" s="224" t="str">
        <f>(IF((VLOOKUP(Table10[[#This Row],[SKU]],'All Skus'!$A:$AC,2,FALSE))="Martin",(VLOOKUP(Table10[[#This Row],[SKU]],'All Skus'!$A:$AC,22,FALSE)),""))</f>
        <v>CN</v>
      </c>
      <c r="S630" s="223" t="str">
        <f>(IF((VLOOKUP(Table10[[#This Row],[SKU]],'All Skus'!$A:$AC,2,FALSE))="Martin",(VLOOKUP(Table10[[#This Row],[SKU]],'All Skus'!$A:$AC,23,FALSE)),""))</f>
        <v>Non Compliant</v>
      </c>
      <c r="T630" s="212" t="str">
        <f>HYPERLINK((IF((VLOOKUP(Table10[[#This Row],[SKU]],'All Skus'!$A:$AC,2,FALSE))="Martin",(VLOOKUP(Table10[[#This Row],[SKU]],'All Skus'!$A:$AC,24,FALSE)),"")))</f>
        <v/>
      </c>
      <c r="U630" s="228">
        <v>628</v>
      </c>
    </row>
    <row r="631" spans="1:21" hidden="1">
      <c r="A631" s="112">
        <v>91611847</v>
      </c>
      <c r="B631" s="224" t="str">
        <f>(IF((VLOOKUP(Table10[[#This Row],[SKU]],'All Skus'!$A:$AC,2,FALSE))="Martin",(VLOOKUP(Table10[[#This Row],[SKU]],'All Skus'!$A:$AC,3,FALSE)),""))</f>
        <v>Linear</v>
      </c>
      <c r="C631" s="223" t="str">
        <f>(IF((VLOOKUP(Table10[[#This Row],[SKU]],'All Skus'!$A:$AC,2,FALSE))="Martin",(VLOOKUP(Table10[[#This Row],[SKU]],'All Skus'!$A:$AC,4,FALSE)),""))</f>
        <v>Power + Data Extension Cable with 6-pin custom connectors, 5 m (16.4 ft.)</v>
      </c>
      <c r="D631" s="224" t="str">
        <f>(IF((VLOOKUP(Table10[[#This Row],[SKU]],'All Skus'!$A:$AC,2,FALSE))="Martin",(VLOOKUP(Table10[[#This Row],[SKU]],'All Skus'!$A:$AC,5,FALSE)),""))</f>
        <v>MRU-SL</v>
      </c>
      <c r="E631" s="223">
        <f>(IF((VLOOKUP(Table10[[#This Row],[SKU]],'All Skus'!$A:$AC,2,FALSE))="Martin",(VLOOKUP(Table10[[#This Row],[SKU]],'All Skus'!$A:$AC,6,FALSE)),""))</f>
        <v>0</v>
      </c>
      <c r="F631" s="155" t="str">
        <f>(IF((VLOOKUP(Table10[[#This Row],[SKU]],'All Skus'!$A:$AC,2,FALSE))="Martin",(VLOOKUP(Table10[[#This Row],[SKU]],'All Skus'!$A:$AC,7,FALSE)),""))</f>
        <v>EOL stage – limited availability may apply</v>
      </c>
      <c r="G631" s="223" t="str">
        <f>(IF((VLOOKUP(Table10[[#This Row],[SKU]],'All Skus'!$A:$AC,2,FALSE))="Martin",(VLOOKUP(Table10[[#This Row],[SKU]],'All Skus'!$A:$AC,8,FALSE)),""))</f>
        <v>Power + Data Extension Cable with 6-pin custom connectors, 5 m (16.4 ft.)</v>
      </c>
      <c r="H631" s="223" t="str">
        <f>(IF((VLOOKUP(Table10[[#This Row],[SKU]],'All Skus'!$A:$AC,2,FALSE))="Martin",(VLOOKUP(Table10[[#This Row],[SKU]],'All Skus'!$A:$AC,9,FALSE)),""))</f>
        <v>Power + Data Extension Cable with 6-pin custom connectors, 5 m (16.4 ft.)</v>
      </c>
      <c r="I631" s="225">
        <f>(IF((VLOOKUP(Table10[[#This Row],[SKU]],'All Skus'!$A:$AC,2,FALSE))="Martin",(VLOOKUP(Table10[[#This Row],[SKU]],'All Skus'!$A:$AC,10,FALSE)),""))</f>
        <v>93.84</v>
      </c>
      <c r="J631" s="226">
        <f>(IF((VLOOKUP(Table10[[#This Row],[SKU]],'All Skus'!$A:$AC,2,FALSE))="Martin",(VLOOKUP(Table10[[#This Row],[SKU]],'All Skus'!$A:$AC,11,FALSE)),""))</f>
        <v>93.84</v>
      </c>
      <c r="K631" s="224">
        <f>(IF((VLOOKUP(Table10[[#This Row],[SKU]],'All Skus'!$A:$AC,2,FALSE))="Martin",(VLOOKUP(Table10[[#This Row],[SKU]],'All Skus'!$A:$AC,15,FALSE)),""))</f>
        <v>3.3</v>
      </c>
      <c r="L631" s="224">
        <f>(IF((VLOOKUP(Table10[[#This Row],[SKU]],'All Skus'!$A:$AC,2,FALSE))="Martin",(VLOOKUP(Table10[[#This Row],[SKU]],'All Skus'!$A:$AC,16,FALSE)),""))</f>
        <v>0</v>
      </c>
      <c r="M631" s="224">
        <f>(IF((VLOOKUP(Table10[[#This Row],[SKU]],'All Skus'!$A:$AC,2,FALSE))="Martin",(VLOOKUP(Table10[[#This Row],[SKU]],'All Skus'!$A:$AC,17,FALSE)),""))</f>
        <v>0</v>
      </c>
      <c r="N631" s="227">
        <f>(IF((VLOOKUP(Table10[[#This Row],[SKU]],'All Skus'!$A:$AC,2,FALSE))="Martin",(VLOOKUP(Table10[[#This Row],[SKU]],'All Skus'!$A:$AC,18,FALSE)),""))</f>
        <v>13.39</v>
      </c>
      <c r="O631" s="227">
        <f>(IF((VLOOKUP(Table10[[#This Row],[SKU]],'All Skus'!$A:$AC,2,FALSE))="Martin",(VLOOKUP(Table10[[#This Row],[SKU]],'All Skus'!$A:$AC,19,FALSE)),""))</f>
        <v>10.63</v>
      </c>
      <c r="P631" s="227">
        <f>(IF((VLOOKUP(Table10[[#This Row],[SKU]],'All Skus'!$A:$AC,2,FALSE))="Martin",(VLOOKUP(Table10[[#This Row],[SKU]],'All Skus'!$A:$AC,20,FALSE)),""))</f>
        <v>0</v>
      </c>
      <c r="Q631" s="227">
        <f>(IF((VLOOKUP(Table10[[#This Row],[SKU]],'All Skus'!$A:$AC,2,FALSE))="Martin",(VLOOKUP(Table10[[#This Row],[SKU]],'All Skus'!$A:$AC,21,FALSE)),""))</f>
        <v>0</v>
      </c>
      <c r="R631" s="224" t="str">
        <f>(IF((VLOOKUP(Table10[[#This Row],[SKU]],'All Skus'!$A:$AC,2,FALSE))="Martin",(VLOOKUP(Table10[[#This Row],[SKU]],'All Skus'!$A:$AC,22,FALSE)),""))</f>
        <v>CN</v>
      </c>
      <c r="S631" s="223" t="str">
        <f>(IF((VLOOKUP(Table10[[#This Row],[SKU]],'All Skus'!$A:$AC,2,FALSE))="Martin",(VLOOKUP(Table10[[#This Row],[SKU]],'All Skus'!$A:$AC,23,FALSE)),""))</f>
        <v>Non Compliant</v>
      </c>
      <c r="T631" s="212" t="str">
        <f>HYPERLINK((IF((VLOOKUP(Table10[[#This Row],[SKU]],'All Skus'!$A:$AC,2,FALSE))="Martin",(VLOOKUP(Table10[[#This Row],[SKU]],'All Skus'!$A:$AC,24,FALSE)),"")))</f>
        <v/>
      </c>
      <c r="U631" s="228">
        <v>629</v>
      </c>
    </row>
    <row r="632" spans="1:21" hidden="1">
      <c r="A632" s="112">
        <v>91611848</v>
      </c>
      <c r="B632" s="224" t="str">
        <f>(IF((VLOOKUP(Table10[[#This Row],[SKU]],'All Skus'!$A:$AC,2,FALSE))="Martin",(VLOOKUP(Table10[[#This Row],[SKU]],'All Skus'!$A:$AC,3,FALSE)),""))</f>
        <v>Linear</v>
      </c>
      <c r="C632" s="223" t="str">
        <f>(IF((VLOOKUP(Table10[[#This Row],[SKU]],'All Skus'!$A:$AC,2,FALSE))="Martin",(VLOOKUP(Table10[[#This Row],[SKU]],'All Skus'!$A:$AC,4,FALSE)),""))</f>
        <v>Power + Data Extension Cable with 6-pin custom connectors, 10 m (32.8 ft.)</v>
      </c>
      <c r="D632" s="224" t="str">
        <f>(IF((VLOOKUP(Table10[[#This Row],[SKU]],'All Skus'!$A:$AC,2,FALSE))="Martin",(VLOOKUP(Table10[[#This Row],[SKU]],'All Skus'!$A:$AC,5,FALSE)),""))</f>
        <v>MRU-SL</v>
      </c>
      <c r="E632" s="223">
        <f>(IF((VLOOKUP(Table10[[#This Row],[SKU]],'All Skus'!$A:$AC,2,FALSE))="Martin",(VLOOKUP(Table10[[#This Row],[SKU]],'All Skus'!$A:$AC,6,FALSE)),""))</f>
        <v>0</v>
      </c>
      <c r="F632" s="155" t="str">
        <f>(IF((VLOOKUP(Table10[[#This Row],[SKU]],'All Skus'!$A:$AC,2,FALSE))="Martin",(VLOOKUP(Table10[[#This Row],[SKU]],'All Skus'!$A:$AC,7,FALSE)),""))</f>
        <v>EOL stage – limited availability may apply</v>
      </c>
      <c r="G632" s="223" t="str">
        <f>(IF((VLOOKUP(Table10[[#This Row],[SKU]],'All Skus'!$A:$AC,2,FALSE))="Martin",(VLOOKUP(Table10[[#This Row],[SKU]],'All Skus'!$A:$AC,8,FALSE)),""))</f>
        <v>Power + Data Extension Cable with 6-pin custom connectors, 10 m (32.8 ft.)</v>
      </c>
      <c r="H632" s="223" t="str">
        <f>(IF((VLOOKUP(Table10[[#This Row],[SKU]],'All Skus'!$A:$AC,2,FALSE))="Martin",(VLOOKUP(Table10[[#This Row],[SKU]],'All Skus'!$A:$AC,9,FALSE)),""))</f>
        <v>Power + Data Extension Cable with 6-pin custom connectors, 10 m (32.8 ft.)</v>
      </c>
      <c r="I632" s="225">
        <f>(IF((VLOOKUP(Table10[[#This Row],[SKU]],'All Skus'!$A:$AC,2,FALSE))="Martin",(VLOOKUP(Table10[[#This Row],[SKU]],'All Skus'!$A:$AC,10,FALSE)),""))</f>
        <v>150.63999999999999</v>
      </c>
      <c r="J632" s="226">
        <f>(IF((VLOOKUP(Table10[[#This Row],[SKU]],'All Skus'!$A:$AC,2,FALSE))="Martin",(VLOOKUP(Table10[[#This Row],[SKU]],'All Skus'!$A:$AC,11,FALSE)),""))</f>
        <v>150.63999999999999</v>
      </c>
      <c r="K632" s="224">
        <f>(IF((VLOOKUP(Table10[[#This Row],[SKU]],'All Skus'!$A:$AC,2,FALSE))="Martin",(VLOOKUP(Table10[[#This Row],[SKU]],'All Skus'!$A:$AC,15,FALSE)),""))</f>
        <v>6.62</v>
      </c>
      <c r="L632" s="224">
        <f>(IF((VLOOKUP(Table10[[#This Row],[SKU]],'All Skus'!$A:$AC,2,FALSE))="Martin",(VLOOKUP(Table10[[#This Row],[SKU]],'All Skus'!$A:$AC,16,FALSE)),""))</f>
        <v>0</v>
      </c>
      <c r="M632" s="224">
        <f>(IF((VLOOKUP(Table10[[#This Row],[SKU]],'All Skus'!$A:$AC,2,FALSE))="Martin",(VLOOKUP(Table10[[#This Row],[SKU]],'All Skus'!$A:$AC,17,FALSE)),""))</f>
        <v>0</v>
      </c>
      <c r="N632" s="227">
        <f>(IF((VLOOKUP(Table10[[#This Row],[SKU]],'All Skus'!$A:$AC,2,FALSE))="Martin",(VLOOKUP(Table10[[#This Row],[SKU]],'All Skus'!$A:$AC,18,FALSE)),""))</f>
        <v>13.39</v>
      </c>
      <c r="O632" s="227">
        <f>(IF((VLOOKUP(Table10[[#This Row],[SKU]],'All Skus'!$A:$AC,2,FALSE))="Martin",(VLOOKUP(Table10[[#This Row],[SKU]],'All Skus'!$A:$AC,19,FALSE)),""))</f>
        <v>10.63</v>
      </c>
      <c r="P632" s="227">
        <f>(IF((VLOOKUP(Table10[[#This Row],[SKU]],'All Skus'!$A:$AC,2,FALSE))="Martin",(VLOOKUP(Table10[[#This Row],[SKU]],'All Skus'!$A:$AC,20,FALSE)),""))</f>
        <v>0</v>
      </c>
      <c r="Q632" s="227">
        <f>(IF((VLOOKUP(Table10[[#This Row],[SKU]],'All Skus'!$A:$AC,2,FALSE))="Martin",(VLOOKUP(Table10[[#This Row],[SKU]],'All Skus'!$A:$AC,21,FALSE)),""))</f>
        <v>0</v>
      </c>
      <c r="R632" s="224" t="str">
        <f>(IF((VLOOKUP(Table10[[#This Row],[SKU]],'All Skus'!$A:$AC,2,FALSE))="Martin",(VLOOKUP(Table10[[#This Row],[SKU]],'All Skus'!$A:$AC,22,FALSE)),""))</f>
        <v>CN</v>
      </c>
      <c r="S632" s="223" t="str">
        <f>(IF((VLOOKUP(Table10[[#This Row],[SKU]],'All Skus'!$A:$AC,2,FALSE))="Martin",(VLOOKUP(Table10[[#This Row],[SKU]],'All Skus'!$A:$AC,23,FALSE)),""))</f>
        <v>Non Compliant</v>
      </c>
      <c r="T632" s="212" t="str">
        <f>HYPERLINK((IF((VLOOKUP(Table10[[#This Row],[SKU]],'All Skus'!$A:$AC,2,FALSE))="Martin",(VLOOKUP(Table10[[#This Row],[SKU]],'All Skus'!$A:$AC,24,FALSE)),"")))</f>
        <v/>
      </c>
      <c r="U632" s="228">
        <v>630</v>
      </c>
    </row>
    <row r="633" spans="1:21" hidden="1">
      <c r="A633" s="115" t="s">
        <v>2285</v>
      </c>
      <c r="B633" s="224">
        <f>(IF((VLOOKUP(Table10[[#This Row],[SKU]],'All Skus'!$A:$AC,2,FALSE))="Martin",(VLOOKUP(Table10[[#This Row],[SKU]],'All Skus'!$A:$AC,3,FALSE)),""))</f>
        <v>0</v>
      </c>
      <c r="C633" s="223">
        <f>(IF((VLOOKUP(Table10[[#This Row],[SKU]],'All Skus'!$A:$AC,2,FALSE))="Martin",(VLOOKUP(Table10[[#This Row],[SKU]],'All Skus'!$A:$AC,4,FALSE)),""))</f>
        <v>0</v>
      </c>
      <c r="D633" s="224">
        <f>(IF((VLOOKUP(Table10[[#This Row],[SKU]],'All Skus'!$A:$AC,2,FALSE))="Martin",(VLOOKUP(Table10[[#This Row],[SKU]],'All Skus'!$A:$AC,5,FALSE)),""))</f>
        <v>0</v>
      </c>
      <c r="E633" s="223">
        <f>(IF((VLOOKUP(Table10[[#This Row],[SKU]],'All Skus'!$A:$AC,2,FALSE))="Martin",(VLOOKUP(Table10[[#This Row],[SKU]],'All Skus'!$A:$AC,6,FALSE)),""))</f>
        <v>0</v>
      </c>
      <c r="F633" s="155">
        <f>(IF((VLOOKUP(Table10[[#This Row],[SKU]],'All Skus'!$A:$AC,2,FALSE))="Martin",(VLOOKUP(Table10[[#This Row],[SKU]],'All Skus'!$A:$AC,7,FALSE)),""))</f>
        <v>0</v>
      </c>
      <c r="G633" s="223">
        <f>(IF((VLOOKUP(Table10[[#This Row],[SKU]],'All Skus'!$A:$AC,2,FALSE))="Martin",(VLOOKUP(Table10[[#This Row],[SKU]],'All Skus'!$A:$AC,8,FALSE)),""))</f>
        <v>0</v>
      </c>
      <c r="H633" s="223">
        <f>(IF((VLOOKUP(Table10[[#This Row],[SKU]],'All Skus'!$A:$AC,2,FALSE))="Martin",(VLOOKUP(Table10[[#This Row],[SKU]],'All Skus'!$A:$AC,9,FALSE)),""))</f>
        <v>0</v>
      </c>
      <c r="I633" s="225">
        <f>(IF((VLOOKUP(Table10[[#This Row],[SKU]],'All Skus'!$A:$AC,2,FALSE))="Martin",(VLOOKUP(Table10[[#This Row],[SKU]],'All Skus'!$A:$AC,10,FALSE)),""))</f>
        <v>0</v>
      </c>
      <c r="J633" s="226">
        <f>(IF((VLOOKUP(Table10[[#This Row],[SKU]],'All Skus'!$A:$AC,2,FALSE))="Martin",(VLOOKUP(Table10[[#This Row],[SKU]],'All Skus'!$A:$AC,11,FALSE)),""))</f>
        <v>0</v>
      </c>
      <c r="K633" s="224">
        <f>(IF((VLOOKUP(Table10[[#This Row],[SKU]],'All Skus'!$A:$AC,2,FALSE))="Martin",(VLOOKUP(Table10[[#This Row],[SKU]],'All Skus'!$A:$AC,15,FALSE)),""))</f>
        <v>0</v>
      </c>
      <c r="L633" s="224">
        <f>(IF((VLOOKUP(Table10[[#This Row],[SKU]],'All Skus'!$A:$AC,2,FALSE))="Martin",(VLOOKUP(Table10[[#This Row],[SKU]],'All Skus'!$A:$AC,16,FALSE)),""))</f>
        <v>0</v>
      </c>
      <c r="M633" s="224">
        <f>(IF((VLOOKUP(Table10[[#This Row],[SKU]],'All Skus'!$A:$AC,2,FALSE))="Martin",(VLOOKUP(Table10[[#This Row],[SKU]],'All Skus'!$A:$AC,17,FALSE)),""))</f>
        <v>0</v>
      </c>
      <c r="N633" s="227">
        <f>(IF((VLOOKUP(Table10[[#This Row],[SKU]],'All Skus'!$A:$AC,2,FALSE))="Martin",(VLOOKUP(Table10[[#This Row],[SKU]],'All Skus'!$A:$AC,18,FALSE)),""))</f>
        <v>0</v>
      </c>
      <c r="O633" s="227">
        <f>(IF((VLOOKUP(Table10[[#This Row],[SKU]],'All Skus'!$A:$AC,2,FALSE))="Martin",(VLOOKUP(Table10[[#This Row],[SKU]],'All Skus'!$A:$AC,19,FALSE)),""))</f>
        <v>0</v>
      </c>
      <c r="P633" s="227">
        <f>(IF((VLOOKUP(Table10[[#This Row],[SKU]],'All Skus'!$A:$AC,2,FALSE))="Martin",(VLOOKUP(Table10[[#This Row],[SKU]],'All Skus'!$A:$AC,20,FALSE)),""))</f>
        <v>0</v>
      </c>
      <c r="Q633" s="227">
        <f>(IF((VLOOKUP(Table10[[#This Row],[SKU]],'All Skus'!$A:$AC,2,FALSE))="Martin",(VLOOKUP(Table10[[#This Row],[SKU]],'All Skus'!$A:$AC,21,FALSE)),""))</f>
        <v>0</v>
      </c>
      <c r="R633" s="224">
        <f>(IF((VLOOKUP(Table10[[#This Row],[SKU]],'All Skus'!$A:$AC,2,FALSE))="Martin",(VLOOKUP(Table10[[#This Row],[SKU]],'All Skus'!$A:$AC,22,FALSE)),""))</f>
        <v>0</v>
      </c>
      <c r="S633" s="223">
        <f>(IF((VLOOKUP(Table10[[#This Row],[SKU]],'All Skus'!$A:$AC,2,FALSE))="Martin",(VLOOKUP(Table10[[#This Row],[SKU]],'All Skus'!$A:$AC,23,FALSE)),""))</f>
        <v>0</v>
      </c>
      <c r="T633" s="212" t="str">
        <f>HYPERLINK((IF((VLOOKUP(Table10[[#This Row],[SKU]],'All Skus'!$A:$AC,2,FALSE))="Martin",(VLOOKUP(Table10[[#This Row],[SKU]],'All Skus'!$A:$AC,24,FALSE)),"")))</f>
        <v/>
      </c>
      <c r="U633" s="228">
        <v>631</v>
      </c>
    </row>
    <row r="634" spans="1:21" hidden="1">
      <c r="A634" s="115" t="s">
        <v>2286</v>
      </c>
      <c r="B634" s="224">
        <f>(IF((VLOOKUP(Table10[[#This Row],[SKU]],'All Skus'!$A:$AC,2,FALSE))="Martin",(VLOOKUP(Table10[[#This Row],[SKU]],'All Skus'!$A:$AC,3,FALSE)),""))</f>
        <v>0</v>
      </c>
      <c r="C634" s="223">
        <f>(IF((VLOOKUP(Table10[[#This Row],[SKU]],'All Skus'!$A:$AC,2,FALSE))="Martin",(VLOOKUP(Table10[[#This Row],[SKU]],'All Skus'!$A:$AC,4,FALSE)),""))</f>
        <v>0</v>
      </c>
      <c r="D634" s="224">
        <f>(IF((VLOOKUP(Table10[[#This Row],[SKU]],'All Skus'!$A:$AC,2,FALSE))="Martin",(VLOOKUP(Table10[[#This Row],[SKU]],'All Skus'!$A:$AC,5,FALSE)),""))</f>
        <v>0</v>
      </c>
      <c r="E634" s="223">
        <f>(IF((VLOOKUP(Table10[[#This Row],[SKU]],'All Skus'!$A:$AC,2,FALSE))="Martin",(VLOOKUP(Table10[[#This Row],[SKU]],'All Skus'!$A:$AC,6,FALSE)),""))</f>
        <v>0</v>
      </c>
      <c r="F634" s="155">
        <f>(IF((VLOOKUP(Table10[[#This Row],[SKU]],'All Skus'!$A:$AC,2,FALSE))="Martin",(VLOOKUP(Table10[[#This Row],[SKU]],'All Skus'!$A:$AC,7,FALSE)),""))</f>
        <v>0</v>
      </c>
      <c r="G634" s="223">
        <f>(IF((VLOOKUP(Table10[[#This Row],[SKU]],'All Skus'!$A:$AC,2,FALSE))="Martin",(VLOOKUP(Table10[[#This Row],[SKU]],'All Skus'!$A:$AC,8,FALSE)),""))</f>
        <v>0</v>
      </c>
      <c r="H634" s="223">
        <f>(IF((VLOOKUP(Table10[[#This Row],[SKU]],'All Skus'!$A:$AC,2,FALSE))="Martin",(VLOOKUP(Table10[[#This Row],[SKU]],'All Skus'!$A:$AC,9,FALSE)),""))</f>
        <v>0</v>
      </c>
      <c r="I634" s="225">
        <f>(IF((VLOOKUP(Table10[[#This Row],[SKU]],'All Skus'!$A:$AC,2,FALSE))="Martin",(VLOOKUP(Table10[[#This Row],[SKU]],'All Skus'!$A:$AC,10,FALSE)),""))</f>
        <v>0</v>
      </c>
      <c r="J634" s="226">
        <f>(IF((VLOOKUP(Table10[[#This Row],[SKU]],'All Skus'!$A:$AC,2,FALSE))="Martin",(VLOOKUP(Table10[[#This Row],[SKU]],'All Skus'!$A:$AC,11,FALSE)),""))</f>
        <v>0</v>
      </c>
      <c r="K634" s="224">
        <f>(IF((VLOOKUP(Table10[[#This Row],[SKU]],'All Skus'!$A:$AC,2,FALSE))="Martin",(VLOOKUP(Table10[[#This Row],[SKU]],'All Skus'!$A:$AC,15,FALSE)),""))</f>
        <v>0</v>
      </c>
      <c r="L634" s="224">
        <f>(IF((VLOOKUP(Table10[[#This Row],[SKU]],'All Skus'!$A:$AC,2,FALSE))="Martin",(VLOOKUP(Table10[[#This Row],[SKU]],'All Skus'!$A:$AC,16,FALSE)),""))</f>
        <v>0</v>
      </c>
      <c r="M634" s="224">
        <f>(IF((VLOOKUP(Table10[[#This Row],[SKU]],'All Skus'!$A:$AC,2,FALSE))="Martin",(VLOOKUP(Table10[[#This Row],[SKU]],'All Skus'!$A:$AC,17,FALSE)),""))</f>
        <v>0</v>
      </c>
      <c r="N634" s="227">
        <f>(IF((VLOOKUP(Table10[[#This Row],[SKU]],'All Skus'!$A:$AC,2,FALSE))="Martin",(VLOOKUP(Table10[[#This Row],[SKU]],'All Skus'!$A:$AC,18,FALSE)),""))</f>
        <v>0</v>
      </c>
      <c r="O634" s="227">
        <f>(IF((VLOOKUP(Table10[[#This Row],[SKU]],'All Skus'!$A:$AC,2,FALSE))="Martin",(VLOOKUP(Table10[[#This Row],[SKU]],'All Skus'!$A:$AC,19,FALSE)),""))</f>
        <v>0</v>
      </c>
      <c r="P634" s="227">
        <f>(IF((VLOOKUP(Table10[[#This Row],[SKU]],'All Skus'!$A:$AC,2,FALSE))="Martin",(VLOOKUP(Table10[[#This Row],[SKU]],'All Skus'!$A:$AC,20,FALSE)),""))</f>
        <v>0</v>
      </c>
      <c r="Q634" s="227">
        <f>(IF((VLOOKUP(Table10[[#This Row],[SKU]],'All Skus'!$A:$AC,2,FALSE))="Martin",(VLOOKUP(Table10[[#This Row],[SKU]],'All Skus'!$A:$AC,21,FALSE)),""))</f>
        <v>0</v>
      </c>
      <c r="R634" s="224">
        <f>(IF((VLOOKUP(Table10[[#This Row],[SKU]],'All Skus'!$A:$AC,2,FALSE))="Martin",(VLOOKUP(Table10[[#This Row],[SKU]],'All Skus'!$A:$AC,22,FALSE)),""))</f>
        <v>0</v>
      </c>
      <c r="S634" s="223">
        <f>(IF((VLOOKUP(Table10[[#This Row],[SKU]],'All Skus'!$A:$AC,2,FALSE))="Martin",(VLOOKUP(Table10[[#This Row],[SKU]],'All Skus'!$A:$AC,23,FALSE)),""))</f>
        <v>0</v>
      </c>
      <c r="T634" s="212" t="str">
        <f>HYPERLINK((IF((VLOOKUP(Table10[[#This Row],[SKU]],'All Skus'!$A:$AC,2,FALSE))="Martin",(VLOOKUP(Table10[[#This Row],[SKU]],'All Skus'!$A:$AC,24,FALSE)),"")))</f>
        <v/>
      </c>
      <c r="U634" s="228">
        <v>632</v>
      </c>
    </row>
    <row r="635" spans="1:21" hidden="1">
      <c r="A635" s="229">
        <v>90280117</v>
      </c>
      <c r="B635" s="224">
        <f>(IF((VLOOKUP(Table10[[#This Row],[SKU]],'All Skus'!$A:$AC,2,FALSE))="Martin",(VLOOKUP(Table10[[#This Row],[SKU]],'All Skus'!$A:$AC,3,FALSE)),""))</f>
        <v>0</v>
      </c>
      <c r="C635" s="223" t="str">
        <f>(IF((VLOOKUP(Table10[[#This Row],[SKU]],'All Skus'!$A:$AC,2,FALSE))="Martin",(VLOOKUP(Table10[[#This Row],[SKU]],'All Skus'!$A:$AC,4,FALSE)),""))</f>
        <v>THRILL MULTI- FX LED</v>
      </c>
      <c r="D635" s="224" t="str">
        <f>(IF((VLOOKUP(Table10[[#This Row],[SKU]],'All Skus'!$A:$AC,2,FALSE))="Martin",(VLOOKUP(Table10[[#This Row],[SKU]],'All Skus'!$A:$AC,5,FALSE)),""))</f>
        <v>MAR-THRIL</v>
      </c>
      <c r="E635" s="223">
        <f>(IF((VLOOKUP(Table10[[#This Row],[SKU]],'All Skus'!$A:$AC,2,FALSE))="Martin",(VLOOKUP(Table10[[#This Row],[SKU]],'All Skus'!$A:$AC,6,FALSE)),""))</f>
        <v>0</v>
      </c>
      <c r="F635" s="155">
        <f>(IF((VLOOKUP(Table10[[#This Row],[SKU]],'All Skus'!$A:$AC,2,FALSE))="Martin",(VLOOKUP(Table10[[#This Row],[SKU]],'All Skus'!$A:$AC,7,FALSE)),""))</f>
        <v>0</v>
      </c>
      <c r="G635" s="223" t="str">
        <f>(IF((VLOOKUP(Table10[[#This Row],[SKU]],'All Skus'!$A:$AC,2,FALSE))="Martin",(VLOOKUP(Table10[[#This Row],[SKU]],'All Skus'!$A:$AC,8,FALSE)),""))</f>
        <v>THRILL MULTI- FX LED</v>
      </c>
      <c r="H635" s="223" t="str">
        <f>(IF((VLOOKUP(Table10[[#This Row],[SKU]],'All Skus'!$A:$AC,2,FALSE))="Martin",(VLOOKUP(Table10[[#This Row],[SKU]],'All Skus'!$A:$AC,9,FALSE)),""))</f>
        <v>THRILL MULTI- FX LED</v>
      </c>
      <c r="I635" s="225">
        <f>(IF((VLOOKUP(Table10[[#This Row],[SKU]],'All Skus'!$A:$AC,2,FALSE))="Martin",(VLOOKUP(Table10[[#This Row],[SKU]],'All Skus'!$A:$AC,10,FALSE)),""))</f>
        <v>180</v>
      </c>
      <c r="J635" s="226">
        <f>(IF((VLOOKUP(Table10[[#This Row],[SKU]],'All Skus'!$A:$AC,2,FALSE))="Martin",(VLOOKUP(Table10[[#This Row],[SKU]],'All Skus'!$A:$AC,11,FALSE)),""))</f>
        <v>180</v>
      </c>
      <c r="K635" s="224">
        <f>(IF((VLOOKUP(Table10[[#This Row],[SKU]],'All Skus'!$A:$AC,2,FALSE))="Martin",(VLOOKUP(Table10[[#This Row],[SKU]],'All Skus'!$A:$AC,15,FALSE)),""))</f>
        <v>0</v>
      </c>
      <c r="L635" s="224">
        <f>(IF((VLOOKUP(Table10[[#This Row],[SKU]],'All Skus'!$A:$AC,2,FALSE))="Martin",(VLOOKUP(Table10[[#This Row],[SKU]],'All Skus'!$A:$AC,16,FALSE)),""))</f>
        <v>688705002958</v>
      </c>
      <c r="M635" s="224">
        <f>(IF((VLOOKUP(Table10[[#This Row],[SKU]],'All Skus'!$A:$AC,2,FALSE))="Martin",(VLOOKUP(Table10[[#This Row],[SKU]],'All Skus'!$A:$AC,17,FALSE)),""))</f>
        <v>0</v>
      </c>
      <c r="N635" s="227">
        <f>(IF((VLOOKUP(Table10[[#This Row],[SKU]],'All Skus'!$A:$AC,2,FALSE))="Martin",(VLOOKUP(Table10[[#This Row],[SKU]],'All Skus'!$A:$AC,18,FALSE)),""))</f>
        <v>0</v>
      </c>
      <c r="O635" s="227">
        <f>(IF((VLOOKUP(Table10[[#This Row],[SKU]],'All Skus'!$A:$AC,2,FALSE))="Martin",(VLOOKUP(Table10[[#This Row],[SKU]],'All Skus'!$A:$AC,19,FALSE)),""))</f>
        <v>0</v>
      </c>
      <c r="P635" s="227">
        <f>(IF((VLOOKUP(Table10[[#This Row],[SKU]],'All Skus'!$A:$AC,2,FALSE))="Martin",(VLOOKUP(Table10[[#This Row],[SKU]],'All Skus'!$A:$AC,20,FALSE)),""))</f>
        <v>0</v>
      </c>
      <c r="Q635" s="227">
        <f>(IF((VLOOKUP(Table10[[#This Row],[SKU]],'All Skus'!$A:$AC,2,FALSE))="Martin",(VLOOKUP(Table10[[#This Row],[SKU]],'All Skus'!$A:$AC,21,FALSE)),""))</f>
        <v>0</v>
      </c>
      <c r="R635" s="224">
        <f>(IF((VLOOKUP(Table10[[#This Row],[SKU]],'All Skus'!$A:$AC,2,FALSE))="Martin",(VLOOKUP(Table10[[#This Row],[SKU]],'All Skus'!$A:$AC,22,FALSE)),""))</f>
        <v>0</v>
      </c>
      <c r="S635" s="223">
        <f>(IF((VLOOKUP(Table10[[#This Row],[SKU]],'All Skus'!$A:$AC,2,FALSE))="Martin",(VLOOKUP(Table10[[#This Row],[SKU]],'All Skus'!$A:$AC,23,FALSE)),""))</f>
        <v>0</v>
      </c>
      <c r="T635" s="212" t="str">
        <f>HYPERLINK((IF((VLOOKUP(Table10[[#This Row],[SKU]],'All Skus'!$A:$AC,2,FALSE))="Martin",(VLOOKUP(Table10[[#This Row],[SKU]],'All Skus'!$A:$AC,24,FALSE)),"")))</f>
        <v/>
      </c>
      <c r="U635" s="228">
        <v>633</v>
      </c>
    </row>
    <row r="636" spans="1:21" hidden="1">
      <c r="A636" s="115" t="s">
        <v>2287</v>
      </c>
      <c r="B636" s="224">
        <f>(IF((VLOOKUP(Table10[[#This Row],[SKU]],'All Skus'!$A:$AC,2,FALSE))="Martin",(VLOOKUP(Table10[[#This Row],[SKU]],'All Skus'!$A:$AC,3,FALSE)),""))</f>
        <v>0</v>
      </c>
      <c r="C636" s="223">
        <f>(IF((VLOOKUP(Table10[[#This Row],[SKU]],'All Skus'!$A:$AC,2,FALSE))="Martin",(VLOOKUP(Table10[[#This Row],[SKU]],'All Skus'!$A:$AC,4,FALSE)),""))</f>
        <v>0</v>
      </c>
      <c r="D636" s="224">
        <f>(IF((VLOOKUP(Table10[[#This Row],[SKU]],'All Skus'!$A:$AC,2,FALSE))="Martin",(VLOOKUP(Table10[[#This Row],[SKU]],'All Skus'!$A:$AC,5,FALSE)),""))</f>
        <v>0</v>
      </c>
      <c r="E636" s="223">
        <f>(IF((VLOOKUP(Table10[[#This Row],[SKU]],'All Skus'!$A:$AC,2,FALSE))="Martin",(VLOOKUP(Table10[[#This Row],[SKU]],'All Skus'!$A:$AC,6,FALSE)),""))</f>
        <v>0</v>
      </c>
      <c r="F636" s="155">
        <f>(IF((VLOOKUP(Table10[[#This Row],[SKU]],'All Skus'!$A:$AC,2,FALSE))="Martin",(VLOOKUP(Table10[[#This Row],[SKU]],'All Skus'!$A:$AC,7,FALSE)),""))</f>
        <v>0</v>
      </c>
      <c r="G636" s="223">
        <f>(IF((VLOOKUP(Table10[[#This Row],[SKU]],'All Skus'!$A:$AC,2,FALSE))="Martin",(VLOOKUP(Table10[[#This Row],[SKU]],'All Skus'!$A:$AC,8,FALSE)),""))</f>
        <v>0</v>
      </c>
      <c r="H636" s="223">
        <f>(IF((VLOOKUP(Table10[[#This Row],[SKU]],'All Skus'!$A:$AC,2,FALSE))="Martin",(VLOOKUP(Table10[[#This Row],[SKU]],'All Skus'!$A:$AC,9,FALSE)),""))</f>
        <v>0</v>
      </c>
      <c r="I636" s="225">
        <f>(IF((VLOOKUP(Table10[[#This Row],[SKU]],'All Skus'!$A:$AC,2,FALSE))="Martin",(VLOOKUP(Table10[[#This Row],[SKU]],'All Skus'!$A:$AC,10,FALSE)),""))</f>
        <v>0</v>
      </c>
      <c r="J636" s="226">
        <f>(IF((VLOOKUP(Table10[[#This Row],[SKU]],'All Skus'!$A:$AC,2,FALSE))="Martin",(VLOOKUP(Table10[[#This Row],[SKU]],'All Skus'!$A:$AC,11,FALSE)),""))</f>
        <v>0</v>
      </c>
      <c r="K636" s="224">
        <f>(IF((VLOOKUP(Table10[[#This Row],[SKU]],'All Skus'!$A:$AC,2,FALSE))="Martin",(VLOOKUP(Table10[[#This Row],[SKU]],'All Skus'!$A:$AC,15,FALSE)),""))</f>
        <v>0</v>
      </c>
      <c r="L636" s="224">
        <f>(IF((VLOOKUP(Table10[[#This Row],[SKU]],'All Skus'!$A:$AC,2,FALSE))="Martin",(VLOOKUP(Table10[[#This Row],[SKU]],'All Skus'!$A:$AC,16,FALSE)),""))</f>
        <v>0</v>
      </c>
      <c r="M636" s="224">
        <f>(IF((VLOOKUP(Table10[[#This Row],[SKU]],'All Skus'!$A:$AC,2,FALSE))="Martin",(VLOOKUP(Table10[[#This Row],[SKU]],'All Skus'!$A:$AC,17,FALSE)),""))</f>
        <v>0</v>
      </c>
      <c r="N636" s="227">
        <f>(IF((VLOOKUP(Table10[[#This Row],[SKU]],'All Skus'!$A:$AC,2,FALSE))="Martin",(VLOOKUP(Table10[[#This Row],[SKU]],'All Skus'!$A:$AC,18,FALSE)),""))</f>
        <v>0</v>
      </c>
      <c r="O636" s="227">
        <f>(IF((VLOOKUP(Table10[[#This Row],[SKU]],'All Skus'!$A:$AC,2,FALSE))="Martin",(VLOOKUP(Table10[[#This Row],[SKU]],'All Skus'!$A:$AC,19,FALSE)),""))</f>
        <v>0</v>
      </c>
      <c r="P636" s="227">
        <f>(IF((VLOOKUP(Table10[[#This Row],[SKU]],'All Skus'!$A:$AC,2,FALSE))="Martin",(VLOOKUP(Table10[[#This Row],[SKU]],'All Skus'!$A:$AC,20,FALSE)),""))</f>
        <v>0</v>
      </c>
      <c r="Q636" s="227">
        <f>(IF((VLOOKUP(Table10[[#This Row],[SKU]],'All Skus'!$A:$AC,2,FALSE))="Martin",(VLOOKUP(Table10[[#This Row],[SKU]],'All Skus'!$A:$AC,21,FALSE)),""))</f>
        <v>0</v>
      </c>
      <c r="R636" s="224">
        <f>(IF((VLOOKUP(Table10[[#This Row],[SKU]],'All Skus'!$A:$AC,2,FALSE))="Martin",(VLOOKUP(Table10[[#This Row],[SKU]],'All Skus'!$A:$AC,22,FALSE)),""))</f>
        <v>0</v>
      </c>
      <c r="S636" s="223">
        <f>(IF((VLOOKUP(Table10[[#This Row],[SKU]],'All Skus'!$A:$AC,2,FALSE))="Martin",(VLOOKUP(Table10[[#This Row],[SKU]],'All Skus'!$A:$AC,23,FALSE)),""))</f>
        <v>0</v>
      </c>
      <c r="T636" s="212" t="str">
        <f>HYPERLINK((IF((VLOOKUP(Table10[[#This Row],[SKU]],'All Skus'!$A:$AC,2,FALSE))="Martin",(VLOOKUP(Table10[[#This Row],[SKU]],'All Skus'!$A:$AC,24,FALSE)),"")))</f>
        <v/>
      </c>
      <c r="U636" s="228">
        <v>634</v>
      </c>
    </row>
    <row r="637" spans="1:21" hidden="1">
      <c r="A637" s="111" t="s">
        <v>2288</v>
      </c>
      <c r="B637" s="224">
        <f>(IF((VLOOKUP(Table10[[#This Row],[SKU]],'All Skus'!$A:$AC,2,FALSE))="Martin",(VLOOKUP(Table10[[#This Row],[SKU]],'All Skus'!$A:$AC,3,FALSE)),""))</f>
        <v>0</v>
      </c>
      <c r="C637" s="223">
        <f>(IF((VLOOKUP(Table10[[#This Row],[SKU]],'All Skus'!$A:$AC,2,FALSE))="Martin",(VLOOKUP(Table10[[#This Row],[SKU]],'All Skus'!$A:$AC,4,FALSE)),""))</f>
        <v>0</v>
      </c>
      <c r="D637" s="224">
        <f>(IF((VLOOKUP(Table10[[#This Row],[SKU]],'All Skus'!$A:$AC,2,FALSE))="Martin",(VLOOKUP(Table10[[#This Row],[SKU]],'All Skus'!$A:$AC,5,FALSE)),""))</f>
        <v>0</v>
      </c>
      <c r="E637" s="223">
        <f>(IF((VLOOKUP(Table10[[#This Row],[SKU]],'All Skus'!$A:$AC,2,FALSE))="Martin",(VLOOKUP(Table10[[#This Row],[SKU]],'All Skus'!$A:$AC,6,FALSE)),""))</f>
        <v>0</v>
      </c>
      <c r="F637" s="155">
        <f>(IF((VLOOKUP(Table10[[#This Row],[SKU]],'All Skus'!$A:$AC,2,FALSE))="Martin",(VLOOKUP(Table10[[#This Row],[SKU]],'All Skus'!$A:$AC,7,FALSE)),""))</f>
        <v>0</v>
      </c>
      <c r="G637" s="223">
        <f>(IF((VLOOKUP(Table10[[#This Row],[SKU]],'All Skus'!$A:$AC,2,FALSE))="Martin",(VLOOKUP(Table10[[#This Row],[SKU]],'All Skus'!$A:$AC,8,FALSE)),""))</f>
        <v>0</v>
      </c>
      <c r="H637" s="223">
        <f>(IF((VLOOKUP(Table10[[#This Row],[SKU]],'All Skus'!$A:$AC,2,FALSE))="Martin",(VLOOKUP(Table10[[#This Row],[SKU]],'All Skus'!$A:$AC,9,FALSE)),""))</f>
        <v>0</v>
      </c>
      <c r="I637" s="225">
        <f>(IF((VLOOKUP(Table10[[#This Row],[SKU]],'All Skus'!$A:$AC,2,FALSE))="Martin",(VLOOKUP(Table10[[#This Row],[SKU]],'All Skus'!$A:$AC,10,FALSE)),""))</f>
        <v>0</v>
      </c>
      <c r="J637" s="226">
        <f>(IF((VLOOKUP(Table10[[#This Row],[SKU]],'All Skus'!$A:$AC,2,FALSE))="Martin",(VLOOKUP(Table10[[#This Row],[SKU]],'All Skus'!$A:$AC,11,FALSE)),""))</f>
        <v>0</v>
      </c>
      <c r="K637" s="224">
        <f>(IF((VLOOKUP(Table10[[#This Row],[SKU]],'All Skus'!$A:$AC,2,FALSE))="Martin",(VLOOKUP(Table10[[#This Row],[SKU]],'All Skus'!$A:$AC,15,FALSE)),""))</f>
        <v>0</v>
      </c>
      <c r="L637" s="224">
        <f>(IF((VLOOKUP(Table10[[#This Row],[SKU]],'All Skus'!$A:$AC,2,FALSE))="Martin",(VLOOKUP(Table10[[#This Row],[SKU]],'All Skus'!$A:$AC,16,FALSE)),""))</f>
        <v>0</v>
      </c>
      <c r="M637" s="224">
        <f>(IF((VLOOKUP(Table10[[#This Row],[SKU]],'All Skus'!$A:$AC,2,FALSE))="Martin",(VLOOKUP(Table10[[#This Row],[SKU]],'All Skus'!$A:$AC,17,FALSE)),""))</f>
        <v>0</v>
      </c>
      <c r="N637" s="227">
        <f>(IF((VLOOKUP(Table10[[#This Row],[SKU]],'All Skus'!$A:$AC,2,FALSE))="Martin",(VLOOKUP(Table10[[#This Row],[SKU]],'All Skus'!$A:$AC,18,FALSE)),""))</f>
        <v>0</v>
      </c>
      <c r="O637" s="227">
        <f>(IF((VLOOKUP(Table10[[#This Row],[SKU]],'All Skus'!$A:$AC,2,FALSE))="Martin",(VLOOKUP(Table10[[#This Row],[SKU]],'All Skus'!$A:$AC,19,FALSE)),""))</f>
        <v>0</v>
      </c>
      <c r="P637" s="227">
        <f>(IF((VLOOKUP(Table10[[#This Row],[SKU]],'All Skus'!$A:$AC,2,FALSE))="Martin",(VLOOKUP(Table10[[#This Row],[SKU]],'All Skus'!$A:$AC,20,FALSE)),""))</f>
        <v>0</v>
      </c>
      <c r="Q637" s="227">
        <f>(IF((VLOOKUP(Table10[[#This Row],[SKU]],'All Skus'!$A:$AC,2,FALSE))="Martin",(VLOOKUP(Table10[[#This Row],[SKU]],'All Skus'!$A:$AC,21,FALSE)),""))</f>
        <v>0</v>
      </c>
      <c r="R637" s="224">
        <f>(IF((VLOOKUP(Table10[[#This Row],[SKU]],'All Skus'!$A:$AC,2,FALSE))="Martin",(VLOOKUP(Table10[[#This Row],[SKU]],'All Skus'!$A:$AC,22,FALSE)),""))</f>
        <v>0</v>
      </c>
      <c r="S637" s="223">
        <f>(IF((VLOOKUP(Table10[[#This Row],[SKU]],'All Skus'!$A:$AC,2,FALSE))="Martin",(VLOOKUP(Table10[[#This Row],[SKU]],'All Skus'!$A:$AC,23,FALSE)),""))</f>
        <v>0</v>
      </c>
      <c r="T637" s="212" t="str">
        <f>HYPERLINK((IF((VLOOKUP(Table10[[#This Row],[SKU]],'All Skus'!$A:$AC,2,FALSE))="Martin",(VLOOKUP(Table10[[#This Row],[SKU]],'All Skus'!$A:$AC,24,FALSE)),"")))</f>
        <v/>
      </c>
      <c r="U637" s="228">
        <v>635</v>
      </c>
    </row>
    <row r="638" spans="1:21" hidden="1">
      <c r="A638" s="115" t="s">
        <v>2289</v>
      </c>
      <c r="B638" s="224">
        <f>(IF((VLOOKUP(Table10[[#This Row],[SKU]],'All Skus'!$A:$AC,2,FALSE))="Martin",(VLOOKUP(Table10[[#This Row],[SKU]],'All Skus'!$A:$AC,3,FALSE)),""))</f>
        <v>0</v>
      </c>
      <c r="C638" s="223">
        <f>(IF((VLOOKUP(Table10[[#This Row],[SKU]],'All Skus'!$A:$AC,2,FALSE))="Martin",(VLOOKUP(Table10[[#This Row],[SKU]],'All Skus'!$A:$AC,4,FALSE)),""))</f>
        <v>0</v>
      </c>
      <c r="D638" s="224">
        <f>(IF((VLOOKUP(Table10[[#This Row],[SKU]],'All Skus'!$A:$AC,2,FALSE))="Martin",(VLOOKUP(Table10[[#This Row],[SKU]],'All Skus'!$A:$AC,5,FALSE)),""))</f>
        <v>0</v>
      </c>
      <c r="E638" s="223">
        <f>(IF((VLOOKUP(Table10[[#This Row],[SKU]],'All Skus'!$A:$AC,2,FALSE))="Martin",(VLOOKUP(Table10[[#This Row],[SKU]],'All Skus'!$A:$AC,6,FALSE)),""))</f>
        <v>0</v>
      </c>
      <c r="F638" s="155">
        <f>(IF((VLOOKUP(Table10[[#This Row],[SKU]],'All Skus'!$A:$AC,2,FALSE))="Martin",(VLOOKUP(Table10[[#This Row],[SKU]],'All Skus'!$A:$AC,7,FALSE)),""))</f>
        <v>0</v>
      </c>
      <c r="G638" s="223">
        <f>(IF((VLOOKUP(Table10[[#This Row],[SKU]],'All Skus'!$A:$AC,2,FALSE))="Martin",(VLOOKUP(Table10[[#This Row],[SKU]],'All Skus'!$A:$AC,8,FALSE)),""))</f>
        <v>0</v>
      </c>
      <c r="H638" s="223">
        <f>(IF((VLOOKUP(Table10[[#This Row],[SKU]],'All Skus'!$A:$AC,2,FALSE))="Martin",(VLOOKUP(Table10[[#This Row],[SKU]],'All Skus'!$A:$AC,9,FALSE)),""))</f>
        <v>0</v>
      </c>
      <c r="I638" s="225">
        <f>(IF((VLOOKUP(Table10[[#This Row],[SKU]],'All Skus'!$A:$AC,2,FALSE))="Martin",(VLOOKUP(Table10[[#This Row],[SKU]],'All Skus'!$A:$AC,10,FALSE)),""))</f>
        <v>0</v>
      </c>
      <c r="J638" s="226">
        <f>(IF((VLOOKUP(Table10[[#This Row],[SKU]],'All Skus'!$A:$AC,2,FALSE))="Martin",(VLOOKUP(Table10[[#This Row],[SKU]],'All Skus'!$A:$AC,11,FALSE)),""))</f>
        <v>0</v>
      </c>
      <c r="K638" s="224">
        <f>(IF((VLOOKUP(Table10[[#This Row],[SKU]],'All Skus'!$A:$AC,2,FALSE))="Martin",(VLOOKUP(Table10[[#This Row],[SKU]],'All Skus'!$A:$AC,15,FALSE)),""))</f>
        <v>0</v>
      </c>
      <c r="L638" s="224">
        <f>(IF((VLOOKUP(Table10[[#This Row],[SKU]],'All Skus'!$A:$AC,2,FALSE))="Martin",(VLOOKUP(Table10[[#This Row],[SKU]],'All Skus'!$A:$AC,16,FALSE)),""))</f>
        <v>0</v>
      </c>
      <c r="M638" s="224">
        <f>(IF((VLOOKUP(Table10[[#This Row],[SKU]],'All Skus'!$A:$AC,2,FALSE))="Martin",(VLOOKUP(Table10[[#This Row],[SKU]],'All Skus'!$A:$AC,17,FALSE)),""))</f>
        <v>0</v>
      </c>
      <c r="N638" s="227">
        <f>(IF((VLOOKUP(Table10[[#This Row],[SKU]],'All Skus'!$A:$AC,2,FALSE))="Martin",(VLOOKUP(Table10[[#This Row],[SKU]],'All Skus'!$A:$AC,18,FALSE)),""))</f>
        <v>0</v>
      </c>
      <c r="O638" s="227">
        <f>(IF((VLOOKUP(Table10[[#This Row],[SKU]],'All Skus'!$A:$AC,2,FALSE))="Martin",(VLOOKUP(Table10[[#This Row],[SKU]],'All Skus'!$A:$AC,19,FALSE)),""))</f>
        <v>0</v>
      </c>
      <c r="P638" s="227">
        <f>(IF((VLOOKUP(Table10[[#This Row],[SKU]],'All Skus'!$A:$AC,2,FALSE))="Martin",(VLOOKUP(Table10[[#This Row],[SKU]],'All Skus'!$A:$AC,20,FALSE)),""))</f>
        <v>0</v>
      </c>
      <c r="Q638" s="227">
        <f>(IF((VLOOKUP(Table10[[#This Row],[SKU]],'All Skus'!$A:$AC,2,FALSE))="Martin",(VLOOKUP(Table10[[#This Row],[SKU]],'All Skus'!$A:$AC,21,FALSE)),""))</f>
        <v>0</v>
      </c>
      <c r="R638" s="224">
        <f>(IF((VLOOKUP(Table10[[#This Row],[SKU]],'All Skus'!$A:$AC,2,FALSE))="Martin",(VLOOKUP(Table10[[#This Row],[SKU]],'All Skus'!$A:$AC,22,FALSE)),""))</f>
        <v>0</v>
      </c>
      <c r="S638" s="223">
        <f>(IF((VLOOKUP(Table10[[#This Row],[SKU]],'All Skus'!$A:$AC,2,FALSE))="Martin",(VLOOKUP(Table10[[#This Row],[SKU]],'All Skus'!$A:$AC,23,FALSE)),""))</f>
        <v>0</v>
      </c>
      <c r="T638" s="212" t="str">
        <f>HYPERLINK((IF((VLOOKUP(Table10[[#This Row],[SKU]],'All Skus'!$A:$AC,2,FALSE))="Martin",(VLOOKUP(Table10[[#This Row],[SKU]],'All Skus'!$A:$AC,24,FALSE)),"")))</f>
        <v/>
      </c>
      <c r="U638" s="228">
        <v>636</v>
      </c>
    </row>
    <row r="639" spans="1:21" hidden="1">
      <c r="A639" s="114" t="s">
        <v>2290</v>
      </c>
      <c r="B639" s="224" t="str">
        <f>(IF((VLOOKUP(Table10[[#This Row],[SKU]],'All Skus'!$A:$AC,2,FALSE))="Martin",(VLOOKUP(Table10[[#This Row],[SKU]],'All Skus'!$A:$AC,3,FALSE)),""))</f>
        <v>Creative Pixels</v>
      </c>
      <c r="C639" s="223" t="str">
        <f>(IF((VLOOKUP(Table10[[#This Row],[SKU]],'All Skus'!$A:$AC,2,FALSE))="Martin",(VLOOKUP(Table10[[#This Row],[SKU]],'All Skus'!$A:$AC,4,FALSE)),""))</f>
        <v>VC-Grid 8x8 60 RGB</v>
      </c>
      <c r="D639" s="224" t="str">
        <f>(IF((VLOOKUP(Table10[[#This Row],[SKU]],'All Skus'!$A:$AC,2,FALSE))="Martin",(VLOOKUP(Table10[[#This Row],[SKU]],'All Skus'!$A:$AC,5,FALSE)),""))</f>
        <v>MAR-VC</v>
      </c>
      <c r="E639" s="223">
        <f>(IF((VLOOKUP(Table10[[#This Row],[SKU]],'All Skus'!$A:$AC,2,FALSE))="Martin",(VLOOKUP(Table10[[#This Row],[SKU]],'All Skus'!$A:$AC,6,FALSE)),""))</f>
        <v>0</v>
      </c>
      <c r="F639" s="155" t="str">
        <f>(IF((VLOOKUP(Table10[[#This Row],[SKU]],'All Skus'!$A:$AC,2,FALSE))="Martin",(VLOOKUP(Table10[[#This Row],[SKU]],'All Skus'!$A:$AC,7,FALSE)),""))</f>
        <v>EOL stage - Significant quantity on stock to sell</v>
      </c>
      <c r="G639" s="223" t="str">
        <f>(IF((VLOOKUP(Table10[[#This Row],[SKU]],'All Skus'!$A:$AC,2,FALSE))="Martin",(VLOOKUP(Table10[[#This Row],[SKU]],'All Skus'!$A:$AC,8,FALSE)),""))</f>
        <v>VC-Grid 8x8 60 RGB</v>
      </c>
      <c r="H639" s="223" t="str">
        <f>(IF((VLOOKUP(Table10[[#This Row],[SKU]],'All Skus'!$A:$AC,2,FALSE))="Martin",(VLOOKUP(Table10[[#This Row],[SKU]],'All Skus'!$A:$AC,9,FALSE)),""))</f>
        <v>VC-Grid 8x8 60 RGB</v>
      </c>
      <c r="I639" s="225">
        <f>(IF((VLOOKUP(Table10[[#This Row],[SKU]],'All Skus'!$A:$AC,2,FALSE))="Martin",(VLOOKUP(Table10[[#This Row],[SKU]],'All Skus'!$A:$AC,10,FALSE)),""))</f>
        <v>427.23</v>
      </c>
      <c r="J639" s="226">
        <f>(IF((VLOOKUP(Table10[[#This Row],[SKU]],'All Skus'!$A:$AC,2,FALSE))="Martin",(VLOOKUP(Table10[[#This Row],[SKU]],'All Skus'!$A:$AC,11,FALSE)),""))</f>
        <v>427.23</v>
      </c>
      <c r="K639" s="224" t="str">
        <f>(IF((VLOOKUP(Table10[[#This Row],[SKU]],'All Skus'!$A:$AC,2,FALSE))="Martin",(VLOOKUP(Table10[[#This Row],[SKU]],'All Skus'!$A:$AC,15,FALSE)),""))</f>
        <v/>
      </c>
      <c r="L639" s="224">
        <f>(IF((VLOOKUP(Table10[[#This Row],[SKU]],'All Skus'!$A:$AC,2,FALSE))="Martin",(VLOOKUP(Table10[[#This Row],[SKU]],'All Skus'!$A:$AC,16,FALSE)),""))</f>
        <v>5706681234493</v>
      </c>
      <c r="M639" s="224">
        <f>(IF((VLOOKUP(Table10[[#This Row],[SKU]],'All Skus'!$A:$AC,2,FALSE))="Martin",(VLOOKUP(Table10[[#This Row],[SKU]],'All Skus'!$A:$AC,17,FALSE)),""))</f>
        <v>0</v>
      </c>
      <c r="N639" s="227">
        <f>(IF((VLOOKUP(Table10[[#This Row],[SKU]],'All Skus'!$A:$AC,2,FALSE))="Martin",(VLOOKUP(Table10[[#This Row],[SKU]],'All Skus'!$A:$AC,18,FALSE)),""))</f>
        <v>0</v>
      </c>
      <c r="O639" s="227">
        <f>(IF((VLOOKUP(Table10[[#This Row],[SKU]],'All Skus'!$A:$AC,2,FALSE))="Martin",(VLOOKUP(Table10[[#This Row],[SKU]],'All Skus'!$A:$AC,19,FALSE)),""))</f>
        <v>0</v>
      </c>
      <c r="P639" s="227">
        <f>(IF((VLOOKUP(Table10[[#This Row],[SKU]],'All Skus'!$A:$AC,2,FALSE))="Martin",(VLOOKUP(Table10[[#This Row],[SKU]],'All Skus'!$A:$AC,20,FALSE)),""))</f>
        <v>0</v>
      </c>
      <c r="Q639" s="227">
        <f>(IF((VLOOKUP(Table10[[#This Row],[SKU]],'All Skus'!$A:$AC,2,FALSE))="Martin",(VLOOKUP(Table10[[#This Row],[SKU]],'All Skus'!$A:$AC,21,FALSE)),""))</f>
        <v>0</v>
      </c>
      <c r="R639" s="224" t="str">
        <f>(IF((VLOOKUP(Table10[[#This Row],[SKU]],'All Skus'!$A:$AC,2,FALSE))="Martin",(VLOOKUP(Table10[[#This Row],[SKU]],'All Skus'!$A:$AC,22,FALSE)),""))</f>
        <v>HU</v>
      </c>
      <c r="S639" s="223">
        <f>(IF((VLOOKUP(Table10[[#This Row],[SKU]],'All Skus'!$A:$AC,2,FALSE))="Martin",(VLOOKUP(Table10[[#This Row],[SKU]],'All Skus'!$A:$AC,23,FALSE)),""))</f>
        <v>0</v>
      </c>
      <c r="T639" s="212" t="str">
        <f>HYPERLINK((IF((VLOOKUP(Table10[[#This Row],[SKU]],'All Skus'!$A:$AC,2,FALSE))="Martin",(VLOOKUP(Table10[[#This Row],[SKU]],'All Skus'!$A:$AC,24,FALSE)),"")))</f>
        <v/>
      </c>
      <c r="U639" s="228">
        <v>637</v>
      </c>
    </row>
    <row r="640" spans="1:21" hidden="1">
      <c r="A640" s="114" t="s">
        <v>2291</v>
      </c>
      <c r="B640" s="224" t="str">
        <f>(IF((VLOOKUP(Table10[[#This Row],[SKU]],'All Skus'!$A:$AC,2,FALSE))="Martin",(VLOOKUP(Table10[[#This Row],[SKU]],'All Skus'!$A:$AC,3,FALSE)),""))</f>
        <v>Creative Pixels</v>
      </c>
      <c r="C640" s="223" t="str">
        <f>(IF((VLOOKUP(Table10[[#This Row],[SKU]],'All Skus'!$A:$AC,2,FALSE))="Martin",(VLOOKUP(Table10[[#This Row],[SKU]],'All Skus'!$A:$AC,4,FALSE)),""))</f>
        <v>VC-Grid 4x4 60 RGB</v>
      </c>
      <c r="D640" s="224" t="str">
        <f>(IF((VLOOKUP(Table10[[#This Row],[SKU]],'All Skus'!$A:$AC,2,FALSE))="Martin",(VLOOKUP(Table10[[#This Row],[SKU]],'All Skus'!$A:$AC,5,FALSE)),""))</f>
        <v>MAR-VC</v>
      </c>
      <c r="E640" s="223">
        <f>(IF((VLOOKUP(Table10[[#This Row],[SKU]],'All Skus'!$A:$AC,2,FALSE))="Martin",(VLOOKUP(Table10[[#This Row],[SKU]],'All Skus'!$A:$AC,6,FALSE)),""))</f>
        <v>0</v>
      </c>
      <c r="F640" s="155" t="str">
        <f>(IF((VLOOKUP(Table10[[#This Row],[SKU]],'All Skus'!$A:$AC,2,FALSE))="Martin",(VLOOKUP(Table10[[#This Row],[SKU]],'All Skus'!$A:$AC,7,FALSE)),""))</f>
        <v>EOL stage - Significant quantity on stock to sell</v>
      </c>
      <c r="G640" s="223" t="str">
        <f>(IF((VLOOKUP(Table10[[#This Row],[SKU]],'All Skus'!$A:$AC,2,FALSE))="Martin",(VLOOKUP(Table10[[#This Row],[SKU]],'All Skus'!$A:$AC,8,FALSE)),""))</f>
        <v>VC-Grid 4x4 60 RGB</v>
      </c>
      <c r="H640" s="223" t="str">
        <f>(IF((VLOOKUP(Table10[[#This Row],[SKU]],'All Skus'!$A:$AC,2,FALSE))="Martin",(VLOOKUP(Table10[[#This Row],[SKU]],'All Skus'!$A:$AC,9,FALSE)),""))</f>
        <v>VC-Grid 4x4 60 RGB</v>
      </c>
      <c r="I640" s="225">
        <f>(IF((VLOOKUP(Table10[[#This Row],[SKU]],'All Skus'!$A:$AC,2,FALSE))="Martin",(VLOOKUP(Table10[[#This Row],[SKU]],'All Skus'!$A:$AC,10,FALSE)),""))</f>
        <v>239.54</v>
      </c>
      <c r="J640" s="226">
        <f>(IF((VLOOKUP(Table10[[#This Row],[SKU]],'All Skus'!$A:$AC,2,FALSE))="Martin",(VLOOKUP(Table10[[#This Row],[SKU]],'All Skus'!$A:$AC,11,FALSE)),""))</f>
        <v>239.54</v>
      </c>
      <c r="K640" s="224" t="str">
        <f>(IF((VLOOKUP(Table10[[#This Row],[SKU]],'All Skus'!$A:$AC,2,FALSE))="Martin",(VLOOKUP(Table10[[#This Row],[SKU]],'All Skus'!$A:$AC,15,FALSE)),""))</f>
        <v/>
      </c>
      <c r="L640" s="224">
        <f>(IF((VLOOKUP(Table10[[#This Row],[SKU]],'All Skus'!$A:$AC,2,FALSE))="Martin",(VLOOKUP(Table10[[#This Row],[SKU]],'All Skus'!$A:$AC,16,FALSE)),""))</f>
        <v>5706681234509</v>
      </c>
      <c r="M640" s="224">
        <f>(IF((VLOOKUP(Table10[[#This Row],[SKU]],'All Skus'!$A:$AC,2,FALSE))="Martin",(VLOOKUP(Table10[[#This Row],[SKU]],'All Skus'!$A:$AC,17,FALSE)),""))</f>
        <v>0</v>
      </c>
      <c r="N640" s="227">
        <f>(IF((VLOOKUP(Table10[[#This Row],[SKU]],'All Skus'!$A:$AC,2,FALSE))="Martin",(VLOOKUP(Table10[[#This Row],[SKU]],'All Skus'!$A:$AC,18,FALSE)),""))</f>
        <v>0</v>
      </c>
      <c r="O640" s="227">
        <f>(IF((VLOOKUP(Table10[[#This Row],[SKU]],'All Skus'!$A:$AC,2,FALSE))="Martin",(VLOOKUP(Table10[[#This Row],[SKU]],'All Skus'!$A:$AC,19,FALSE)),""))</f>
        <v>0</v>
      </c>
      <c r="P640" s="227">
        <f>(IF((VLOOKUP(Table10[[#This Row],[SKU]],'All Skus'!$A:$AC,2,FALSE))="Martin",(VLOOKUP(Table10[[#This Row],[SKU]],'All Skus'!$A:$AC,20,FALSE)),""))</f>
        <v>0</v>
      </c>
      <c r="Q640" s="227">
        <f>(IF((VLOOKUP(Table10[[#This Row],[SKU]],'All Skus'!$A:$AC,2,FALSE))="Martin",(VLOOKUP(Table10[[#This Row],[SKU]],'All Skus'!$A:$AC,21,FALSE)),""))</f>
        <v>0</v>
      </c>
      <c r="R640" s="224" t="str">
        <f>(IF((VLOOKUP(Table10[[#This Row],[SKU]],'All Skus'!$A:$AC,2,FALSE))="Martin",(VLOOKUP(Table10[[#This Row],[SKU]],'All Skus'!$A:$AC,22,FALSE)),""))</f>
        <v>HU</v>
      </c>
      <c r="S640" s="223">
        <f>(IF((VLOOKUP(Table10[[#This Row],[SKU]],'All Skus'!$A:$AC,2,FALSE))="Martin",(VLOOKUP(Table10[[#This Row],[SKU]],'All Skus'!$A:$AC,23,FALSE)),""))</f>
        <v>0</v>
      </c>
      <c r="T640" s="212" t="str">
        <f>HYPERLINK((IF((VLOOKUP(Table10[[#This Row],[SKU]],'All Skus'!$A:$AC,2,FALSE))="Martin",(VLOOKUP(Table10[[#This Row],[SKU]],'All Skus'!$A:$AC,24,FALSE)),"")))</f>
        <v>http://www.martin.com/en-us/product-details/vc-grid-60</v>
      </c>
      <c r="U640" s="228">
        <v>638</v>
      </c>
    </row>
    <row r="641" spans="1:21" hidden="1">
      <c r="A641" s="115" t="s">
        <v>2292</v>
      </c>
      <c r="B641" s="224">
        <f>(IF((VLOOKUP(Table10[[#This Row],[SKU]],'All Skus'!$A:$AC,2,FALSE))="Martin",(VLOOKUP(Table10[[#This Row],[SKU]],'All Skus'!$A:$AC,3,FALSE)),""))</f>
        <v>0</v>
      </c>
      <c r="C641" s="223">
        <f>(IF((VLOOKUP(Table10[[#This Row],[SKU]],'All Skus'!$A:$AC,2,FALSE))="Martin",(VLOOKUP(Table10[[#This Row],[SKU]],'All Skus'!$A:$AC,4,FALSE)),""))</f>
        <v>0</v>
      </c>
      <c r="D641" s="224">
        <f>(IF((VLOOKUP(Table10[[#This Row],[SKU]],'All Skus'!$A:$AC,2,FALSE))="Martin",(VLOOKUP(Table10[[#This Row],[SKU]],'All Skus'!$A:$AC,5,FALSE)),""))</f>
        <v>0</v>
      </c>
      <c r="E641" s="223">
        <f>(IF((VLOOKUP(Table10[[#This Row],[SKU]],'All Skus'!$A:$AC,2,FALSE))="Martin",(VLOOKUP(Table10[[#This Row],[SKU]],'All Skus'!$A:$AC,6,FALSE)),""))</f>
        <v>0</v>
      </c>
      <c r="F641" s="155">
        <f>(IF((VLOOKUP(Table10[[#This Row],[SKU]],'All Skus'!$A:$AC,2,FALSE))="Martin",(VLOOKUP(Table10[[#This Row],[SKU]],'All Skus'!$A:$AC,7,FALSE)),""))</f>
        <v>0</v>
      </c>
      <c r="G641" s="223">
        <f>(IF((VLOOKUP(Table10[[#This Row],[SKU]],'All Skus'!$A:$AC,2,FALSE))="Martin",(VLOOKUP(Table10[[#This Row],[SKU]],'All Skus'!$A:$AC,8,FALSE)),""))</f>
        <v>0</v>
      </c>
      <c r="H641" s="223">
        <f>(IF((VLOOKUP(Table10[[#This Row],[SKU]],'All Skus'!$A:$AC,2,FALSE))="Martin",(VLOOKUP(Table10[[#This Row],[SKU]],'All Skus'!$A:$AC,9,FALSE)),""))</f>
        <v>0</v>
      </c>
      <c r="I641" s="225">
        <f>(IF((VLOOKUP(Table10[[#This Row],[SKU]],'All Skus'!$A:$AC,2,FALSE))="Martin",(VLOOKUP(Table10[[#This Row],[SKU]],'All Skus'!$A:$AC,10,FALSE)),""))</f>
        <v>0</v>
      </c>
      <c r="J641" s="226">
        <f>(IF((VLOOKUP(Table10[[#This Row],[SKU]],'All Skus'!$A:$AC,2,FALSE))="Martin",(VLOOKUP(Table10[[#This Row],[SKU]],'All Skus'!$A:$AC,11,FALSE)),""))</f>
        <v>0</v>
      </c>
      <c r="K641" s="224">
        <f>(IF((VLOOKUP(Table10[[#This Row],[SKU]],'All Skus'!$A:$AC,2,FALSE))="Martin",(VLOOKUP(Table10[[#This Row],[SKU]],'All Skus'!$A:$AC,15,FALSE)),""))</f>
        <v>0</v>
      </c>
      <c r="L641" s="224">
        <f>(IF((VLOOKUP(Table10[[#This Row],[SKU]],'All Skus'!$A:$AC,2,FALSE))="Martin",(VLOOKUP(Table10[[#This Row],[SKU]],'All Skus'!$A:$AC,16,FALSE)),""))</f>
        <v>0</v>
      </c>
      <c r="M641" s="224">
        <f>(IF((VLOOKUP(Table10[[#This Row],[SKU]],'All Skus'!$A:$AC,2,FALSE))="Martin",(VLOOKUP(Table10[[#This Row],[SKU]],'All Skus'!$A:$AC,17,FALSE)),""))</f>
        <v>0</v>
      </c>
      <c r="N641" s="227">
        <f>(IF((VLOOKUP(Table10[[#This Row],[SKU]],'All Skus'!$A:$AC,2,FALSE))="Martin",(VLOOKUP(Table10[[#This Row],[SKU]],'All Skus'!$A:$AC,18,FALSE)),""))</f>
        <v>0</v>
      </c>
      <c r="O641" s="227">
        <f>(IF((VLOOKUP(Table10[[#This Row],[SKU]],'All Skus'!$A:$AC,2,FALSE))="Martin",(VLOOKUP(Table10[[#This Row],[SKU]],'All Skus'!$A:$AC,19,FALSE)),""))</f>
        <v>0</v>
      </c>
      <c r="P641" s="227">
        <f>(IF((VLOOKUP(Table10[[#This Row],[SKU]],'All Skus'!$A:$AC,2,FALSE))="Martin",(VLOOKUP(Table10[[#This Row],[SKU]],'All Skus'!$A:$AC,20,FALSE)),""))</f>
        <v>0</v>
      </c>
      <c r="Q641" s="227">
        <f>(IF((VLOOKUP(Table10[[#This Row],[SKU]],'All Skus'!$A:$AC,2,FALSE))="Martin",(VLOOKUP(Table10[[#This Row],[SKU]],'All Skus'!$A:$AC,21,FALSE)),""))</f>
        <v>0</v>
      </c>
      <c r="R641" s="224">
        <f>(IF((VLOOKUP(Table10[[#This Row],[SKU]],'All Skus'!$A:$AC,2,FALSE))="Martin",(VLOOKUP(Table10[[#This Row],[SKU]],'All Skus'!$A:$AC,22,FALSE)),""))</f>
        <v>0</v>
      </c>
      <c r="S641" s="223">
        <f>(IF((VLOOKUP(Table10[[#This Row],[SKU]],'All Skus'!$A:$AC,2,FALSE))="Martin",(VLOOKUP(Table10[[#This Row],[SKU]],'All Skus'!$A:$AC,23,FALSE)),""))</f>
        <v>0</v>
      </c>
      <c r="T641" s="212" t="str">
        <f>HYPERLINK((IF((VLOOKUP(Table10[[#This Row],[SKU]],'All Skus'!$A:$AC,2,FALSE))="Martin",(VLOOKUP(Table10[[#This Row],[SKU]],'All Skus'!$A:$AC,24,FALSE)),"")))</f>
        <v/>
      </c>
      <c r="U641" s="228">
        <v>639</v>
      </c>
    </row>
    <row r="642" spans="1:21" hidden="1">
      <c r="A642" s="114" t="s">
        <v>2293</v>
      </c>
      <c r="B642" s="224" t="str">
        <f>(IF((VLOOKUP(Table10[[#This Row],[SKU]],'All Skus'!$A:$AC,2,FALSE))="Martin",(VLOOKUP(Table10[[#This Row],[SKU]],'All Skus'!$A:$AC,3,FALSE)),""))</f>
        <v>Creative Pixels</v>
      </c>
      <c r="C642" s="223" t="str">
        <f>(IF((VLOOKUP(Table10[[#This Row],[SKU]],'All Skus'!$A:$AC,2,FALSE))="Martin",(VLOOKUP(Table10[[#This Row],[SKU]],'All Skus'!$A:$AC,4,FALSE)),""))</f>
        <v>VC-Grid 8x8 30 RGB</v>
      </c>
      <c r="D642" s="224" t="str">
        <f>(IF((VLOOKUP(Table10[[#This Row],[SKU]],'All Skus'!$A:$AC,2,FALSE))="Martin",(VLOOKUP(Table10[[#This Row],[SKU]],'All Skus'!$A:$AC,5,FALSE)),""))</f>
        <v>MAR-VC</v>
      </c>
      <c r="E642" s="223">
        <f>(IF((VLOOKUP(Table10[[#This Row],[SKU]],'All Skus'!$A:$AC,2,FALSE))="Martin",(VLOOKUP(Table10[[#This Row],[SKU]],'All Skus'!$A:$AC,6,FALSE)),""))</f>
        <v>0</v>
      </c>
      <c r="F642" s="155" t="str">
        <f>(IF((VLOOKUP(Table10[[#This Row],[SKU]],'All Skus'!$A:$AC,2,FALSE))="Martin",(VLOOKUP(Table10[[#This Row],[SKU]],'All Skus'!$A:$AC,7,FALSE)),""))</f>
        <v>EOL stage - Significant quantity on stock to sell</v>
      </c>
      <c r="G642" s="223" t="str">
        <f>(IF((VLOOKUP(Table10[[#This Row],[SKU]],'All Skus'!$A:$AC,2,FALSE))="Martin",(VLOOKUP(Table10[[#This Row],[SKU]],'All Skus'!$A:$AC,8,FALSE)),""))</f>
        <v>VC-Grid 8x8 30 RGB</v>
      </c>
      <c r="H642" s="223" t="str">
        <f>(IF((VLOOKUP(Table10[[#This Row],[SKU]],'All Skus'!$A:$AC,2,FALSE))="Martin",(VLOOKUP(Table10[[#This Row],[SKU]],'All Skus'!$A:$AC,9,FALSE)),""))</f>
        <v>VC-Grid 8x8 30 RGB</v>
      </c>
      <c r="I642" s="225">
        <f>(IF((VLOOKUP(Table10[[#This Row],[SKU]],'All Skus'!$A:$AC,2,FALSE))="Martin",(VLOOKUP(Table10[[#This Row],[SKU]],'All Skus'!$A:$AC,10,FALSE)),""))</f>
        <v>311.16000000000003</v>
      </c>
      <c r="J642" s="226">
        <f>(IF((VLOOKUP(Table10[[#This Row],[SKU]],'All Skus'!$A:$AC,2,FALSE))="Martin",(VLOOKUP(Table10[[#This Row],[SKU]],'All Skus'!$A:$AC,11,FALSE)),""))</f>
        <v>311.16000000000003</v>
      </c>
      <c r="K642" s="224">
        <f>(IF((VLOOKUP(Table10[[#This Row],[SKU]],'All Skus'!$A:$AC,2,FALSE))="Martin",(VLOOKUP(Table10[[#This Row],[SKU]],'All Skus'!$A:$AC,15,FALSE)),""))</f>
        <v>0</v>
      </c>
      <c r="L642" s="224">
        <f>(IF((VLOOKUP(Table10[[#This Row],[SKU]],'All Skus'!$A:$AC,2,FALSE))="Martin",(VLOOKUP(Table10[[#This Row],[SKU]],'All Skus'!$A:$AC,16,FALSE)),""))</f>
        <v>5706681234486</v>
      </c>
      <c r="M642" s="224">
        <f>(IF((VLOOKUP(Table10[[#This Row],[SKU]],'All Skus'!$A:$AC,2,FALSE))="Martin",(VLOOKUP(Table10[[#This Row],[SKU]],'All Skus'!$A:$AC,17,FALSE)),""))</f>
        <v>0</v>
      </c>
      <c r="N642" s="227">
        <f>(IF((VLOOKUP(Table10[[#This Row],[SKU]],'All Skus'!$A:$AC,2,FALSE))="Martin",(VLOOKUP(Table10[[#This Row],[SKU]],'All Skus'!$A:$AC,18,FALSE)),""))</f>
        <v>0</v>
      </c>
      <c r="O642" s="227">
        <f>(IF((VLOOKUP(Table10[[#This Row],[SKU]],'All Skus'!$A:$AC,2,FALSE))="Martin",(VLOOKUP(Table10[[#This Row],[SKU]],'All Skus'!$A:$AC,19,FALSE)),""))</f>
        <v>0</v>
      </c>
      <c r="P642" s="227">
        <f>(IF((VLOOKUP(Table10[[#This Row],[SKU]],'All Skus'!$A:$AC,2,FALSE))="Martin",(VLOOKUP(Table10[[#This Row],[SKU]],'All Skus'!$A:$AC,20,FALSE)),""))</f>
        <v>0</v>
      </c>
      <c r="Q642" s="227">
        <f>(IF((VLOOKUP(Table10[[#This Row],[SKU]],'All Skus'!$A:$AC,2,FALSE))="Martin",(VLOOKUP(Table10[[#This Row],[SKU]],'All Skus'!$A:$AC,21,FALSE)),""))</f>
        <v>0</v>
      </c>
      <c r="R642" s="224" t="str">
        <f>(IF((VLOOKUP(Table10[[#This Row],[SKU]],'All Skus'!$A:$AC,2,FALSE))="Martin",(VLOOKUP(Table10[[#This Row],[SKU]],'All Skus'!$A:$AC,22,FALSE)),""))</f>
        <v>HU</v>
      </c>
      <c r="S642" s="223">
        <f>(IF((VLOOKUP(Table10[[#This Row],[SKU]],'All Skus'!$A:$AC,2,FALSE))="Martin",(VLOOKUP(Table10[[#This Row],[SKU]],'All Skus'!$A:$AC,23,FALSE)),""))</f>
        <v>0</v>
      </c>
      <c r="T642" s="212" t="str">
        <f>HYPERLINK((IF((VLOOKUP(Table10[[#This Row],[SKU]],'All Skus'!$A:$AC,2,FALSE))="Martin",(VLOOKUP(Table10[[#This Row],[SKU]],'All Skus'!$A:$AC,24,FALSE)),"")))</f>
        <v/>
      </c>
      <c r="U642" s="228">
        <v>640</v>
      </c>
    </row>
    <row r="643" spans="1:21" hidden="1">
      <c r="A643" s="115" t="s">
        <v>2294</v>
      </c>
      <c r="B643" s="224">
        <f>(IF((VLOOKUP(Table10[[#This Row],[SKU]],'All Skus'!$A:$AC,2,FALSE))="Martin",(VLOOKUP(Table10[[#This Row],[SKU]],'All Skus'!$A:$AC,3,FALSE)),""))</f>
        <v>0</v>
      </c>
      <c r="C643" s="223">
        <f>(IF((VLOOKUP(Table10[[#This Row],[SKU]],'All Skus'!$A:$AC,2,FALSE))="Martin",(VLOOKUP(Table10[[#This Row],[SKU]],'All Skus'!$A:$AC,4,FALSE)),""))</f>
        <v>0</v>
      </c>
      <c r="D643" s="224">
        <f>(IF((VLOOKUP(Table10[[#This Row],[SKU]],'All Skus'!$A:$AC,2,FALSE))="Martin",(VLOOKUP(Table10[[#This Row],[SKU]],'All Skus'!$A:$AC,5,FALSE)),""))</f>
        <v>0</v>
      </c>
      <c r="E643" s="223">
        <f>(IF((VLOOKUP(Table10[[#This Row],[SKU]],'All Skus'!$A:$AC,2,FALSE))="Martin",(VLOOKUP(Table10[[#This Row],[SKU]],'All Skus'!$A:$AC,6,FALSE)),""))</f>
        <v>0</v>
      </c>
      <c r="F643" s="155">
        <f>(IF((VLOOKUP(Table10[[#This Row],[SKU]],'All Skus'!$A:$AC,2,FALSE))="Martin",(VLOOKUP(Table10[[#This Row],[SKU]],'All Skus'!$A:$AC,7,FALSE)),""))</f>
        <v>0</v>
      </c>
      <c r="G643" s="223">
        <f>(IF((VLOOKUP(Table10[[#This Row],[SKU]],'All Skus'!$A:$AC,2,FALSE))="Martin",(VLOOKUP(Table10[[#This Row],[SKU]],'All Skus'!$A:$AC,8,FALSE)),""))</f>
        <v>0</v>
      </c>
      <c r="H643" s="223">
        <f>(IF((VLOOKUP(Table10[[#This Row],[SKU]],'All Skus'!$A:$AC,2,FALSE))="Martin",(VLOOKUP(Table10[[#This Row],[SKU]],'All Skus'!$A:$AC,9,FALSE)),""))</f>
        <v>0</v>
      </c>
      <c r="I643" s="225">
        <f>(IF((VLOOKUP(Table10[[#This Row],[SKU]],'All Skus'!$A:$AC,2,FALSE))="Martin",(VLOOKUP(Table10[[#This Row],[SKU]],'All Skus'!$A:$AC,10,FALSE)),""))</f>
        <v>0</v>
      </c>
      <c r="J643" s="226">
        <f>(IF((VLOOKUP(Table10[[#This Row],[SKU]],'All Skus'!$A:$AC,2,FALSE))="Martin",(VLOOKUP(Table10[[#This Row],[SKU]],'All Skus'!$A:$AC,11,FALSE)),""))</f>
        <v>0</v>
      </c>
      <c r="K643" s="224">
        <f>(IF((VLOOKUP(Table10[[#This Row],[SKU]],'All Skus'!$A:$AC,2,FALSE))="Martin",(VLOOKUP(Table10[[#This Row],[SKU]],'All Skus'!$A:$AC,15,FALSE)),""))</f>
        <v>0</v>
      </c>
      <c r="L643" s="224">
        <f>(IF((VLOOKUP(Table10[[#This Row],[SKU]],'All Skus'!$A:$AC,2,FALSE))="Martin",(VLOOKUP(Table10[[#This Row],[SKU]],'All Skus'!$A:$AC,16,FALSE)),""))</f>
        <v>0</v>
      </c>
      <c r="M643" s="224">
        <f>(IF((VLOOKUP(Table10[[#This Row],[SKU]],'All Skus'!$A:$AC,2,FALSE))="Martin",(VLOOKUP(Table10[[#This Row],[SKU]],'All Skus'!$A:$AC,17,FALSE)),""))</f>
        <v>0</v>
      </c>
      <c r="N643" s="227">
        <f>(IF((VLOOKUP(Table10[[#This Row],[SKU]],'All Skus'!$A:$AC,2,FALSE))="Martin",(VLOOKUP(Table10[[#This Row],[SKU]],'All Skus'!$A:$AC,18,FALSE)),""))</f>
        <v>0</v>
      </c>
      <c r="O643" s="227">
        <f>(IF((VLOOKUP(Table10[[#This Row],[SKU]],'All Skus'!$A:$AC,2,FALSE))="Martin",(VLOOKUP(Table10[[#This Row],[SKU]],'All Skus'!$A:$AC,19,FALSE)),""))</f>
        <v>0</v>
      </c>
      <c r="P643" s="227">
        <f>(IF((VLOOKUP(Table10[[#This Row],[SKU]],'All Skus'!$A:$AC,2,FALSE))="Martin",(VLOOKUP(Table10[[#This Row],[SKU]],'All Skus'!$A:$AC,20,FALSE)),""))</f>
        <v>0</v>
      </c>
      <c r="Q643" s="227">
        <f>(IF((VLOOKUP(Table10[[#This Row],[SKU]],'All Skus'!$A:$AC,2,FALSE))="Martin",(VLOOKUP(Table10[[#This Row],[SKU]],'All Skus'!$A:$AC,21,FALSE)),""))</f>
        <v>0</v>
      </c>
      <c r="R643" s="224">
        <f>(IF((VLOOKUP(Table10[[#This Row],[SKU]],'All Skus'!$A:$AC,2,FALSE))="Martin",(VLOOKUP(Table10[[#This Row],[SKU]],'All Skus'!$A:$AC,22,FALSE)),""))</f>
        <v>0</v>
      </c>
      <c r="S643" s="223">
        <f>(IF((VLOOKUP(Table10[[#This Row],[SKU]],'All Skus'!$A:$AC,2,FALSE))="Martin",(VLOOKUP(Table10[[#This Row],[SKU]],'All Skus'!$A:$AC,23,FALSE)),""))</f>
        <v>0</v>
      </c>
      <c r="T643" s="212" t="str">
        <f>HYPERLINK((IF((VLOOKUP(Table10[[#This Row],[SKU]],'All Skus'!$A:$AC,2,FALSE))="Martin",(VLOOKUP(Table10[[#This Row],[SKU]],'All Skus'!$A:$AC,24,FALSE)),"")))</f>
        <v/>
      </c>
      <c r="U643" s="228">
        <v>641</v>
      </c>
    </row>
    <row r="644" spans="1:21" hidden="1">
      <c r="A644" s="114" t="s">
        <v>2295</v>
      </c>
      <c r="B644" s="224" t="str">
        <f>(IF((VLOOKUP(Table10[[#This Row],[SKU]],'All Skus'!$A:$AC,2,FALSE))="Martin",(VLOOKUP(Table10[[#This Row],[SKU]],'All Skus'!$A:$AC,3,FALSE)),""))</f>
        <v>Creative Pixels</v>
      </c>
      <c r="C644" s="223" t="str">
        <f>(IF((VLOOKUP(Table10[[#This Row],[SKU]],'All Skus'!$A:$AC,2,FALSE))="Martin",(VLOOKUP(Table10[[#This Row],[SKU]],'All Skus'!$A:$AC,4,FALSE)),""))</f>
        <v>VC-Grid 8x8 25 RGB</v>
      </c>
      <c r="D644" s="224" t="str">
        <f>(IF((VLOOKUP(Table10[[#This Row],[SKU]],'All Skus'!$A:$AC,2,FALSE))="Martin",(VLOOKUP(Table10[[#This Row],[SKU]],'All Skus'!$A:$AC,5,FALSE)),""))</f>
        <v>MAR-VC</v>
      </c>
      <c r="E644" s="223">
        <f>(IF((VLOOKUP(Table10[[#This Row],[SKU]],'All Skus'!$A:$AC,2,FALSE))="Martin",(VLOOKUP(Table10[[#This Row],[SKU]],'All Skus'!$A:$AC,6,FALSE)),""))</f>
        <v>0</v>
      </c>
      <c r="F644" s="155" t="str">
        <f>(IF((VLOOKUP(Table10[[#This Row],[SKU]],'All Skus'!$A:$AC,2,FALSE))="Martin",(VLOOKUP(Table10[[#This Row],[SKU]],'All Skus'!$A:$AC,7,FALSE)),""))</f>
        <v>EOL stage - Limited availability may apply</v>
      </c>
      <c r="G644" s="223" t="str">
        <f>(IF((VLOOKUP(Table10[[#This Row],[SKU]],'All Skus'!$A:$AC,2,FALSE))="Martin",(VLOOKUP(Table10[[#This Row],[SKU]],'All Skus'!$A:$AC,8,FALSE)),""))</f>
        <v>VC-Grid 8x8 25 RGB</v>
      </c>
      <c r="H644" s="223" t="str">
        <f>(IF((VLOOKUP(Table10[[#This Row],[SKU]],'All Skus'!$A:$AC,2,FALSE))="Martin",(VLOOKUP(Table10[[#This Row],[SKU]],'All Skus'!$A:$AC,9,FALSE)),""))</f>
        <v>VC-Grid 8x8 25 RGB</v>
      </c>
      <c r="I644" s="225">
        <f>(IF((VLOOKUP(Table10[[#This Row],[SKU]],'All Skus'!$A:$AC,2,FALSE))="Martin",(VLOOKUP(Table10[[#This Row],[SKU]],'All Skus'!$A:$AC,10,FALSE)),""))</f>
        <v>285.23</v>
      </c>
      <c r="J644" s="226">
        <f>(IF((VLOOKUP(Table10[[#This Row],[SKU]],'All Skus'!$A:$AC,2,FALSE))="Martin",(VLOOKUP(Table10[[#This Row],[SKU]],'All Skus'!$A:$AC,11,FALSE)),""))</f>
        <v>285.23</v>
      </c>
      <c r="K644" s="224" t="str">
        <f>(IF((VLOOKUP(Table10[[#This Row],[SKU]],'All Skus'!$A:$AC,2,FALSE))="Martin",(VLOOKUP(Table10[[#This Row],[SKU]],'All Skus'!$A:$AC,15,FALSE)),""))</f>
        <v/>
      </c>
      <c r="L644" s="224">
        <f>(IF((VLOOKUP(Table10[[#This Row],[SKU]],'All Skus'!$A:$AC,2,FALSE))="Martin",(VLOOKUP(Table10[[#This Row],[SKU]],'All Skus'!$A:$AC,16,FALSE)),""))</f>
        <v>5706681234196</v>
      </c>
      <c r="M644" s="224">
        <f>(IF((VLOOKUP(Table10[[#This Row],[SKU]],'All Skus'!$A:$AC,2,FALSE))="Martin",(VLOOKUP(Table10[[#This Row],[SKU]],'All Skus'!$A:$AC,17,FALSE)),""))</f>
        <v>0</v>
      </c>
      <c r="N644" s="227">
        <f>(IF((VLOOKUP(Table10[[#This Row],[SKU]],'All Skus'!$A:$AC,2,FALSE))="Martin",(VLOOKUP(Table10[[#This Row],[SKU]],'All Skus'!$A:$AC,18,FALSE)),""))</f>
        <v>0</v>
      </c>
      <c r="O644" s="227">
        <f>(IF((VLOOKUP(Table10[[#This Row],[SKU]],'All Skus'!$A:$AC,2,FALSE))="Martin",(VLOOKUP(Table10[[#This Row],[SKU]],'All Skus'!$A:$AC,19,FALSE)),""))</f>
        <v>0</v>
      </c>
      <c r="P644" s="227">
        <f>(IF((VLOOKUP(Table10[[#This Row],[SKU]],'All Skus'!$A:$AC,2,FALSE))="Martin",(VLOOKUP(Table10[[#This Row],[SKU]],'All Skus'!$A:$AC,20,FALSE)),""))</f>
        <v>0</v>
      </c>
      <c r="Q644" s="227">
        <f>(IF((VLOOKUP(Table10[[#This Row],[SKU]],'All Skus'!$A:$AC,2,FALSE))="Martin",(VLOOKUP(Table10[[#This Row],[SKU]],'All Skus'!$A:$AC,21,FALSE)),""))</f>
        <v>0</v>
      </c>
      <c r="R644" s="224" t="str">
        <f>(IF((VLOOKUP(Table10[[#This Row],[SKU]],'All Skus'!$A:$AC,2,FALSE))="Martin",(VLOOKUP(Table10[[#This Row],[SKU]],'All Skus'!$A:$AC,22,FALSE)),""))</f>
        <v>HU</v>
      </c>
      <c r="S644" s="223">
        <f>(IF((VLOOKUP(Table10[[#This Row],[SKU]],'All Skus'!$A:$AC,2,FALSE))="Martin",(VLOOKUP(Table10[[#This Row],[SKU]],'All Skus'!$A:$AC,23,FALSE)),""))</f>
        <v>0</v>
      </c>
      <c r="T644" s="212" t="str">
        <f>HYPERLINK((IF((VLOOKUP(Table10[[#This Row],[SKU]],'All Skus'!$A:$AC,2,FALSE))="Martin",(VLOOKUP(Table10[[#This Row],[SKU]],'All Skus'!$A:$AC,24,FALSE)),"")))</f>
        <v/>
      </c>
      <c r="U644" s="228">
        <v>642</v>
      </c>
    </row>
    <row r="645" spans="1:21" hidden="1">
      <c r="A645" s="115" t="s">
        <v>2296</v>
      </c>
      <c r="B645" s="224">
        <f>(IF((VLOOKUP(Table10[[#This Row],[SKU]],'All Skus'!$A:$AC,2,FALSE))="Martin",(VLOOKUP(Table10[[#This Row],[SKU]],'All Skus'!$A:$AC,3,FALSE)),""))</f>
        <v>0</v>
      </c>
      <c r="C645" s="223">
        <f>(IF((VLOOKUP(Table10[[#This Row],[SKU]],'All Skus'!$A:$AC,2,FALSE))="Martin",(VLOOKUP(Table10[[#This Row],[SKU]],'All Skus'!$A:$AC,4,FALSE)),""))</f>
        <v>0</v>
      </c>
      <c r="D645" s="224">
        <f>(IF((VLOOKUP(Table10[[#This Row],[SKU]],'All Skus'!$A:$AC,2,FALSE))="Martin",(VLOOKUP(Table10[[#This Row],[SKU]],'All Skus'!$A:$AC,5,FALSE)),""))</f>
        <v>0</v>
      </c>
      <c r="E645" s="223">
        <f>(IF((VLOOKUP(Table10[[#This Row],[SKU]],'All Skus'!$A:$AC,2,FALSE))="Martin",(VLOOKUP(Table10[[#This Row],[SKU]],'All Skus'!$A:$AC,6,FALSE)),""))</f>
        <v>0</v>
      </c>
      <c r="F645" s="155">
        <f>(IF((VLOOKUP(Table10[[#This Row],[SKU]],'All Skus'!$A:$AC,2,FALSE))="Martin",(VLOOKUP(Table10[[#This Row],[SKU]],'All Skus'!$A:$AC,7,FALSE)),""))</f>
        <v>0</v>
      </c>
      <c r="G645" s="223">
        <f>(IF((VLOOKUP(Table10[[#This Row],[SKU]],'All Skus'!$A:$AC,2,FALSE))="Martin",(VLOOKUP(Table10[[#This Row],[SKU]],'All Skus'!$A:$AC,8,FALSE)),""))</f>
        <v>0</v>
      </c>
      <c r="H645" s="223">
        <f>(IF((VLOOKUP(Table10[[#This Row],[SKU]],'All Skus'!$A:$AC,2,FALSE))="Martin",(VLOOKUP(Table10[[#This Row],[SKU]],'All Skus'!$A:$AC,9,FALSE)),""))</f>
        <v>0</v>
      </c>
      <c r="I645" s="225">
        <f>(IF((VLOOKUP(Table10[[#This Row],[SKU]],'All Skus'!$A:$AC,2,FALSE))="Martin",(VLOOKUP(Table10[[#This Row],[SKU]],'All Skus'!$A:$AC,10,FALSE)),""))</f>
        <v>0</v>
      </c>
      <c r="J645" s="226">
        <f>(IF((VLOOKUP(Table10[[#This Row],[SKU]],'All Skus'!$A:$AC,2,FALSE))="Martin",(VLOOKUP(Table10[[#This Row],[SKU]],'All Skus'!$A:$AC,11,FALSE)),""))</f>
        <v>0</v>
      </c>
      <c r="K645" s="224">
        <f>(IF((VLOOKUP(Table10[[#This Row],[SKU]],'All Skus'!$A:$AC,2,FALSE))="Martin",(VLOOKUP(Table10[[#This Row],[SKU]],'All Skus'!$A:$AC,15,FALSE)),""))</f>
        <v>0</v>
      </c>
      <c r="L645" s="224">
        <f>(IF((VLOOKUP(Table10[[#This Row],[SKU]],'All Skus'!$A:$AC,2,FALSE))="Martin",(VLOOKUP(Table10[[#This Row],[SKU]],'All Skus'!$A:$AC,16,FALSE)),""))</f>
        <v>0</v>
      </c>
      <c r="M645" s="224">
        <f>(IF((VLOOKUP(Table10[[#This Row],[SKU]],'All Skus'!$A:$AC,2,FALSE))="Martin",(VLOOKUP(Table10[[#This Row],[SKU]],'All Skus'!$A:$AC,17,FALSE)),""))</f>
        <v>0</v>
      </c>
      <c r="N645" s="227">
        <f>(IF((VLOOKUP(Table10[[#This Row],[SKU]],'All Skus'!$A:$AC,2,FALSE))="Martin",(VLOOKUP(Table10[[#This Row],[SKU]],'All Skus'!$A:$AC,18,FALSE)),""))</f>
        <v>0</v>
      </c>
      <c r="O645" s="227">
        <f>(IF((VLOOKUP(Table10[[#This Row],[SKU]],'All Skus'!$A:$AC,2,FALSE))="Martin",(VLOOKUP(Table10[[#This Row],[SKU]],'All Skus'!$A:$AC,19,FALSE)),""))</f>
        <v>0</v>
      </c>
      <c r="P645" s="227">
        <f>(IF((VLOOKUP(Table10[[#This Row],[SKU]],'All Skus'!$A:$AC,2,FALSE))="Martin",(VLOOKUP(Table10[[#This Row],[SKU]],'All Skus'!$A:$AC,20,FALSE)),""))</f>
        <v>0</v>
      </c>
      <c r="Q645" s="227">
        <f>(IF((VLOOKUP(Table10[[#This Row],[SKU]],'All Skus'!$A:$AC,2,FALSE))="Martin",(VLOOKUP(Table10[[#This Row],[SKU]],'All Skus'!$A:$AC,21,FALSE)),""))</f>
        <v>0</v>
      </c>
      <c r="R645" s="224">
        <f>(IF((VLOOKUP(Table10[[#This Row],[SKU]],'All Skus'!$A:$AC,2,FALSE))="Martin",(VLOOKUP(Table10[[#This Row],[SKU]],'All Skus'!$A:$AC,22,FALSE)),""))</f>
        <v>0</v>
      </c>
      <c r="S645" s="223">
        <f>(IF((VLOOKUP(Table10[[#This Row],[SKU]],'All Skus'!$A:$AC,2,FALSE))="Martin",(VLOOKUP(Table10[[#This Row],[SKU]],'All Skus'!$A:$AC,23,FALSE)),""))</f>
        <v>0</v>
      </c>
      <c r="T645" s="212" t="str">
        <f>HYPERLINK((IF((VLOOKUP(Table10[[#This Row],[SKU]],'All Skus'!$A:$AC,2,FALSE))="Martin",(VLOOKUP(Table10[[#This Row],[SKU]],'All Skus'!$A:$AC,24,FALSE)),"")))</f>
        <v/>
      </c>
      <c r="U645" s="228">
        <v>643</v>
      </c>
    </row>
    <row r="646" spans="1:21" hidden="1">
      <c r="A646" s="114" t="s">
        <v>2297</v>
      </c>
      <c r="B646" s="224" t="str">
        <f>(IF((VLOOKUP(Table10[[#This Row],[SKU]],'All Skus'!$A:$AC,2,FALSE))="Martin",(VLOOKUP(Table10[[#This Row],[SKU]],'All Skus'!$A:$AC,3,FALSE)),""))</f>
        <v>Creative Pixels</v>
      </c>
      <c r="C646" s="223" t="str">
        <f>(IF((VLOOKUP(Table10[[#This Row],[SKU]],'All Skus'!$A:$AC,2,FALSE))="Martin",(VLOOKUP(Table10[[#This Row],[SKU]],'All Skus'!$A:$AC,4,FALSE)),""))</f>
        <v>VC-Grid 16x16 15 RGB</v>
      </c>
      <c r="D646" s="224" t="str">
        <f>(IF((VLOOKUP(Table10[[#This Row],[SKU]],'All Skus'!$A:$AC,2,FALSE))="Martin",(VLOOKUP(Table10[[#This Row],[SKU]],'All Skus'!$A:$AC,5,FALSE)),""))</f>
        <v>MAR-VC</v>
      </c>
      <c r="E646" s="223">
        <f>(IF((VLOOKUP(Table10[[#This Row],[SKU]],'All Skus'!$A:$AC,2,FALSE))="Martin",(VLOOKUP(Table10[[#This Row],[SKU]],'All Skus'!$A:$AC,6,FALSE)),""))</f>
        <v>0</v>
      </c>
      <c r="F646" s="155" t="str">
        <f>(IF((VLOOKUP(Table10[[#This Row],[SKU]],'All Skus'!$A:$AC,2,FALSE))="Martin",(VLOOKUP(Table10[[#This Row],[SKU]],'All Skus'!$A:$AC,7,FALSE)),""))</f>
        <v>EOL stage - Significant quantity on stock to sell</v>
      </c>
      <c r="G646" s="223" t="str">
        <f>(IF((VLOOKUP(Table10[[#This Row],[SKU]],'All Skus'!$A:$AC,2,FALSE))="Martin",(VLOOKUP(Table10[[#This Row],[SKU]],'All Skus'!$A:$AC,8,FALSE)),""))</f>
        <v>VC-Grid 16x16 15 RGB</v>
      </c>
      <c r="H646" s="223" t="str">
        <f>(IF((VLOOKUP(Table10[[#This Row],[SKU]],'All Skus'!$A:$AC,2,FALSE))="Martin",(VLOOKUP(Table10[[#This Row],[SKU]],'All Skus'!$A:$AC,9,FALSE)),""))</f>
        <v>VC-Grid 16x16 15 RGB</v>
      </c>
      <c r="I646" s="225">
        <f>(IF((VLOOKUP(Table10[[#This Row],[SKU]],'All Skus'!$A:$AC,2,FALSE))="Martin",(VLOOKUP(Table10[[#This Row],[SKU]],'All Skus'!$A:$AC,10,FALSE)),""))</f>
        <v>626.03</v>
      </c>
      <c r="J646" s="226">
        <f>(IF((VLOOKUP(Table10[[#This Row],[SKU]],'All Skus'!$A:$AC,2,FALSE))="Martin",(VLOOKUP(Table10[[#This Row],[SKU]],'All Skus'!$A:$AC,11,FALSE)),""))</f>
        <v>626.03</v>
      </c>
      <c r="K646" s="224" t="str">
        <f>(IF((VLOOKUP(Table10[[#This Row],[SKU]],'All Skus'!$A:$AC,2,FALSE))="Martin",(VLOOKUP(Table10[[#This Row],[SKU]],'All Skus'!$A:$AC,15,FALSE)),""))</f>
        <v/>
      </c>
      <c r="L646" s="224">
        <f>(IF((VLOOKUP(Table10[[#This Row],[SKU]],'All Skus'!$A:$AC,2,FALSE))="Martin",(VLOOKUP(Table10[[#This Row],[SKU]],'All Skus'!$A:$AC,16,FALSE)),""))</f>
        <v>5706681234479</v>
      </c>
      <c r="M646" s="224">
        <f>(IF((VLOOKUP(Table10[[#This Row],[SKU]],'All Skus'!$A:$AC,2,FALSE))="Martin",(VLOOKUP(Table10[[#This Row],[SKU]],'All Skus'!$A:$AC,17,FALSE)),""))</f>
        <v>0</v>
      </c>
      <c r="N646" s="227">
        <f>(IF((VLOOKUP(Table10[[#This Row],[SKU]],'All Skus'!$A:$AC,2,FALSE))="Martin",(VLOOKUP(Table10[[#This Row],[SKU]],'All Skus'!$A:$AC,18,FALSE)),""))</f>
        <v>0</v>
      </c>
      <c r="O646" s="227">
        <f>(IF((VLOOKUP(Table10[[#This Row],[SKU]],'All Skus'!$A:$AC,2,FALSE))="Martin",(VLOOKUP(Table10[[#This Row],[SKU]],'All Skus'!$A:$AC,19,FALSE)),""))</f>
        <v>0</v>
      </c>
      <c r="P646" s="227">
        <f>(IF((VLOOKUP(Table10[[#This Row],[SKU]],'All Skus'!$A:$AC,2,FALSE))="Martin",(VLOOKUP(Table10[[#This Row],[SKU]],'All Skus'!$A:$AC,20,FALSE)),""))</f>
        <v>0</v>
      </c>
      <c r="Q646" s="227">
        <f>(IF((VLOOKUP(Table10[[#This Row],[SKU]],'All Skus'!$A:$AC,2,FALSE))="Martin",(VLOOKUP(Table10[[#This Row],[SKU]],'All Skus'!$A:$AC,21,FALSE)),""))</f>
        <v>0</v>
      </c>
      <c r="R646" s="224" t="str">
        <f>(IF((VLOOKUP(Table10[[#This Row],[SKU]],'All Skus'!$A:$AC,2,FALSE))="Martin",(VLOOKUP(Table10[[#This Row],[SKU]],'All Skus'!$A:$AC,22,FALSE)),""))</f>
        <v>HU</v>
      </c>
      <c r="S646" s="223">
        <f>(IF((VLOOKUP(Table10[[#This Row],[SKU]],'All Skus'!$A:$AC,2,FALSE))="Martin",(VLOOKUP(Table10[[#This Row],[SKU]],'All Skus'!$A:$AC,23,FALSE)),""))</f>
        <v>0</v>
      </c>
      <c r="T646" s="212" t="str">
        <f>HYPERLINK((IF((VLOOKUP(Table10[[#This Row],[SKU]],'All Skus'!$A:$AC,2,FALSE))="Martin",(VLOOKUP(Table10[[#This Row],[SKU]],'All Skus'!$A:$AC,24,FALSE)),"")))</f>
        <v/>
      </c>
      <c r="U646" s="228">
        <v>644</v>
      </c>
    </row>
    <row r="647" spans="1:21" hidden="1">
      <c r="A647" s="115" t="s">
        <v>2298</v>
      </c>
      <c r="B647" s="224">
        <f>(IF((VLOOKUP(Table10[[#This Row],[SKU]],'All Skus'!$A:$AC,2,FALSE))="Martin",(VLOOKUP(Table10[[#This Row],[SKU]],'All Skus'!$A:$AC,3,FALSE)),""))</f>
        <v>0</v>
      </c>
      <c r="C647" s="223">
        <f>(IF((VLOOKUP(Table10[[#This Row],[SKU]],'All Skus'!$A:$AC,2,FALSE))="Martin",(VLOOKUP(Table10[[#This Row],[SKU]],'All Skus'!$A:$AC,4,FALSE)),""))</f>
        <v>0</v>
      </c>
      <c r="D647" s="224">
        <f>(IF((VLOOKUP(Table10[[#This Row],[SKU]],'All Skus'!$A:$AC,2,FALSE))="Martin",(VLOOKUP(Table10[[#This Row],[SKU]],'All Skus'!$A:$AC,5,FALSE)),""))</f>
        <v>0</v>
      </c>
      <c r="E647" s="223">
        <f>(IF((VLOOKUP(Table10[[#This Row],[SKU]],'All Skus'!$A:$AC,2,FALSE))="Martin",(VLOOKUP(Table10[[#This Row],[SKU]],'All Skus'!$A:$AC,6,FALSE)),""))</f>
        <v>0</v>
      </c>
      <c r="F647" s="155">
        <f>(IF((VLOOKUP(Table10[[#This Row],[SKU]],'All Skus'!$A:$AC,2,FALSE))="Martin",(VLOOKUP(Table10[[#This Row],[SKU]],'All Skus'!$A:$AC,7,FALSE)),""))</f>
        <v>0</v>
      </c>
      <c r="G647" s="223">
        <f>(IF((VLOOKUP(Table10[[#This Row],[SKU]],'All Skus'!$A:$AC,2,FALSE))="Martin",(VLOOKUP(Table10[[#This Row],[SKU]],'All Skus'!$A:$AC,8,FALSE)),""))</f>
        <v>0</v>
      </c>
      <c r="H647" s="223">
        <f>(IF((VLOOKUP(Table10[[#This Row],[SKU]],'All Skus'!$A:$AC,2,FALSE))="Martin",(VLOOKUP(Table10[[#This Row],[SKU]],'All Skus'!$A:$AC,9,FALSE)),""))</f>
        <v>0</v>
      </c>
      <c r="I647" s="225">
        <f>(IF((VLOOKUP(Table10[[#This Row],[SKU]],'All Skus'!$A:$AC,2,FALSE))="Martin",(VLOOKUP(Table10[[#This Row],[SKU]],'All Skus'!$A:$AC,10,FALSE)),""))</f>
        <v>0</v>
      </c>
      <c r="J647" s="226">
        <f>(IF((VLOOKUP(Table10[[#This Row],[SKU]],'All Skus'!$A:$AC,2,FALSE))="Martin",(VLOOKUP(Table10[[#This Row],[SKU]],'All Skus'!$A:$AC,11,FALSE)),""))</f>
        <v>0</v>
      </c>
      <c r="K647" s="224">
        <f>(IF((VLOOKUP(Table10[[#This Row],[SKU]],'All Skus'!$A:$AC,2,FALSE))="Martin",(VLOOKUP(Table10[[#This Row],[SKU]],'All Skus'!$A:$AC,15,FALSE)),""))</f>
        <v>0</v>
      </c>
      <c r="L647" s="224">
        <f>(IF((VLOOKUP(Table10[[#This Row],[SKU]],'All Skus'!$A:$AC,2,FALSE))="Martin",(VLOOKUP(Table10[[#This Row],[SKU]],'All Skus'!$A:$AC,16,FALSE)),""))</f>
        <v>0</v>
      </c>
      <c r="M647" s="224">
        <f>(IF((VLOOKUP(Table10[[#This Row],[SKU]],'All Skus'!$A:$AC,2,FALSE))="Martin",(VLOOKUP(Table10[[#This Row],[SKU]],'All Skus'!$A:$AC,17,FALSE)),""))</f>
        <v>0</v>
      </c>
      <c r="N647" s="227">
        <f>(IF((VLOOKUP(Table10[[#This Row],[SKU]],'All Skus'!$A:$AC,2,FALSE))="Martin",(VLOOKUP(Table10[[#This Row],[SKU]],'All Skus'!$A:$AC,18,FALSE)),""))</f>
        <v>0</v>
      </c>
      <c r="O647" s="227">
        <f>(IF((VLOOKUP(Table10[[#This Row],[SKU]],'All Skus'!$A:$AC,2,FALSE))="Martin",(VLOOKUP(Table10[[#This Row],[SKU]],'All Skus'!$A:$AC,19,FALSE)),""))</f>
        <v>0</v>
      </c>
      <c r="P647" s="227">
        <f>(IF((VLOOKUP(Table10[[#This Row],[SKU]],'All Skus'!$A:$AC,2,FALSE))="Martin",(VLOOKUP(Table10[[#This Row],[SKU]],'All Skus'!$A:$AC,20,FALSE)),""))</f>
        <v>0</v>
      </c>
      <c r="Q647" s="227">
        <f>(IF((VLOOKUP(Table10[[#This Row],[SKU]],'All Skus'!$A:$AC,2,FALSE))="Martin",(VLOOKUP(Table10[[#This Row],[SKU]],'All Skus'!$A:$AC,21,FALSE)),""))</f>
        <v>0</v>
      </c>
      <c r="R647" s="224">
        <f>(IF((VLOOKUP(Table10[[#This Row],[SKU]],'All Skus'!$A:$AC,2,FALSE))="Martin",(VLOOKUP(Table10[[#This Row],[SKU]],'All Skus'!$A:$AC,22,FALSE)),""))</f>
        <v>0</v>
      </c>
      <c r="S647" s="223">
        <f>(IF((VLOOKUP(Table10[[#This Row],[SKU]],'All Skus'!$A:$AC,2,FALSE))="Martin",(VLOOKUP(Table10[[#This Row],[SKU]],'All Skus'!$A:$AC,23,FALSE)),""))</f>
        <v>0</v>
      </c>
      <c r="T647" s="212" t="str">
        <f>HYPERLINK((IF((VLOOKUP(Table10[[#This Row],[SKU]],'All Skus'!$A:$AC,2,FALSE))="Martin",(VLOOKUP(Table10[[#This Row],[SKU]],'All Skus'!$A:$AC,24,FALSE)),"")))</f>
        <v/>
      </c>
      <c r="U647" s="228">
        <v>645</v>
      </c>
    </row>
    <row r="648" spans="1:21" hidden="1">
      <c r="A648" s="114" t="s">
        <v>2299</v>
      </c>
      <c r="B648" s="224" t="str">
        <f>(IF((VLOOKUP(Table10[[#This Row],[SKU]],'All Skus'!$A:$AC,2,FALSE))="Martin",(VLOOKUP(Table10[[#This Row],[SKU]],'All Skus'!$A:$AC,3,FALSE)),""))</f>
        <v>Creative Pixels</v>
      </c>
      <c r="C648" s="223" t="str">
        <f>(IF((VLOOKUP(Table10[[#This Row],[SKU]],'All Skus'!$A:$AC,2,FALSE))="Martin",(VLOOKUP(Table10[[#This Row],[SKU]],'All Skus'!$A:$AC,4,FALSE)),""))</f>
        <v>Set of 10 VC-Grid 15/30/60 Mounting Frames</v>
      </c>
      <c r="D648" s="224" t="str">
        <f>(IF((VLOOKUP(Table10[[#This Row],[SKU]],'All Skus'!$A:$AC,2,FALSE))="Martin",(VLOOKUP(Table10[[#This Row],[SKU]],'All Skus'!$A:$AC,5,FALSE)),""))</f>
        <v>MAR-VC</v>
      </c>
      <c r="E648" s="223">
        <f>(IF((VLOOKUP(Table10[[#This Row],[SKU]],'All Skus'!$A:$AC,2,FALSE))="Martin",(VLOOKUP(Table10[[#This Row],[SKU]],'All Skus'!$A:$AC,6,FALSE)),""))</f>
        <v>0</v>
      </c>
      <c r="F648" s="155" t="str">
        <f>(IF((VLOOKUP(Table10[[#This Row],[SKU]],'All Skus'!$A:$AC,2,FALSE))="Martin",(VLOOKUP(Table10[[#This Row],[SKU]],'All Skus'!$A:$AC,7,FALSE)),""))</f>
        <v>EOL pre-notice - Will be submitted for EOL soon - But will remain available to support final VC-Grid/Strip sales</v>
      </c>
      <c r="G648" s="223" t="str">
        <f>(IF((VLOOKUP(Table10[[#This Row],[SKU]],'All Skus'!$A:$AC,2,FALSE))="Martin",(VLOOKUP(Table10[[#This Row],[SKU]],'All Skus'!$A:$AC,8,FALSE)),""))</f>
        <v>Set of 10 VC-Grid 15/30/60 Mounting Frames</v>
      </c>
      <c r="H648" s="223" t="str">
        <f>(IF((VLOOKUP(Table10[[#This Row],[SKU]],'All Skus'!$A:$AC,2,FALSE))="Martin",(VLOOKUP(Table10[[#This Row],[SKU]],'All Skus'!$A:$AC,9,FALSE)),""))</f>
        <v>Set of 10 VC-Grid 15/30/60 Mounting Frames</v>
      </c>
      <c r="I648" s="225">
        <f>(IF((VLOOKUP(Table10[[#This Row],[SKU]],'All Skus'!$A:$AC,2,FALSE))="Martin",(VLOOKUP(Table10[[#This Row],[SKU]],'All Skus'!$A:$AC,10,FALSE)),""))</f>
        <v>102.49</v>
      </c>
      <c r="J648" s="226">
        <f>(IF((VLOOKUP(Table10[[#This Row],[SKU]],'All Skus'!$A:$AC,2,FALSE))="Martin",(VLOOKUP(Table10[[#This Row],[SKU]],'All Skus'!$A:$AC,11,FALSE)),""))</f>
        <v>102.49</v>
      </c>
      <c r="K648" s="224">
        <f>(IF((VLOOKUP(Table10[[#This Row],[SKU]],'All Skus'!$A:$AC,2,FALSE))="Martin",(VLOOKUP(Table10[[#This Row],[SKU]],'All Skus'!$A:$AC,15,FALSE)),""))</f>
        <v>0</v>
      </c>
      <c r="L648" s="224">
        <f>(IF((VLOOKUP(Table10[[#This Row],[SKU]],'All Skus'!$A:$AC,2,FALSE))="Martin",(VLOOKUP(Table10[[#This Row],[SKU]],'All Skus'!$A:$AC,16,FALSE)),""))</f>
        <v>0</v>
      </c>
      <c r="M648" s="224">
        <f>(IF((VLOOKUP(Table10[[#This Row],[SKU]],'All Skus'!$A:$AC,2,FALSE))="Martin",(VLOOKUP(Table10[[#This Row],[SKU]],'All Skus'!$A:$AC,17,FALSE)),""))</f>
        <v>0</v>
      </c>
      <c r="N648" s="227">
        <f>(IF((VLOOKUP(Table10[[#This Row],[SKU]],'All Skus'!$A:$AC,2,FALSE))="Martin",(VLOOKUP(Table10[[#This Row],[SKU]],'All Skus'!$A:$AC,18,FALSE)),""))</f>
        <v>0</v>
      </c>
      <c r="O648" s="227">
        <f>(IF((VLOOKUP(Table10[[#This Row],[SKU]],'All Skus'!$A:$AC,2,FALSE))="Martin",(VLOOKUP(Table10[[#This Row],[SKU]],'All Skus'!$A:$AC,19,FALSE)),""))</f>
        <v>0</v>
      </c>
      <c r="P648" s="227">
        <f>(IF((VLOOKUP(Table10[[#This Row],[SKU]],'All Skus'!$A:$AC,2,FALSE))="Martin",(VLOOKUP(Table10[[#This Row],[SKU]],'All Skus'!$A:$AC,20,FALSE)),""))</f>
        <v>0</v>
      </c>
      <c r="Q648" s="227">
        <f>(IF((VLOOKUP(Table10[[#This Row],[SKU]],'All Skus'!$A:$AC,2,FALSE))="Martin",(VLOOKUP(Table10[[#This Row],[SKU]],'All Skus'!$A:$AC,21,FALSE)),""))</f>
        <v>0</v>
      </c>
      <c r="R648" s="224" t="str">
        <f>(IF((VLOOKUP(Table10[[#This Row],[SKU]],'All Skus'!$A:$AC,2,FALSE))="Martin",(VLOOKUP(Table10[[#This Row],[SKU]],'All Skus'!$A:$AC,22,FALSE)),""))</f>
        <v>HU</v>
      </c>
      <c r="S648" s="223" t="str">
        <f>(IF((VLOOKUP(Table10[[#This Row],[SKU]],'All Skus'!$A:$AC,2,FALSE))="Martin",(VLOOKUP(Table10[[#This Row],[SKU]],'All Skus'!$A:$AC,23,FALSE)),""))</f>
        <v>Non Compliant</v>
      </c>
      <c r="T648" s="212" t="str">
        <f>HYPERLINK((IF((VLOOKUP(Table10[[#This Row],[SKU]],'All Skus'!$A:$AC,2,FALSE))="Martin",(VLOOKUP(Table10[[#This Row],[SKU]],'All Skus'!$A:$AC,24,FALSE)),"")))</f>
        <v>http://www.martin.com/en-us/product-details/vc-grid-60</v>
      </c>
      <c r="U648" s="228">
        <v>646</v>
      </c>
    </row>
    <row r="649" spans="1:21" hidden="1">
      <c r="A649" s="114" t="s">
        <v>2300</v>
      </c>
      <c r="B649" s="224" t="str">
        <f>(IF((VLOOKUP(Table10[[#This Row],[SKU]],'All Skus'!$A:$AC,2,FALSE))="Martin",(VLOOKUP(Table10[[#This Row],[SKU]],'All Skus'!$A:$AC,3,FALSE)),""))</f>
        <v>Creative Pixels</v>
      </c>
      <c r="C649" s="223" t="str">
        <f>(IF((VLOOKUP(Table10[[#This Row],[SKU]],'All Skus'!$A:$AC,2,FALSE))="Martin",(VLOOKUP(Table10[[#This Row],[SKU]],'All Skus'!$A:$AC,4,FALSE)),""))</f>
        <v>Set of 10 VC-Grid/Strip 25 Mounting Frames</v>
      </c>
      <c r="D649" s="224" t="str">
        <f>(IF((VLOOKUP(Table10[[#This Row],[SKU]],'All Skus'!$A:$AC,2,FALSE))="Martin",(VLOOKUP(Table10[[#This Row],[SKU]],'All Skus'!$A:$AC,5,FALSE)),""))</f>
        <v>MAR-VC</v>
      </c>
      <c r="E649" s="223">
        <f>(IF((VLOOKUP(Table10[[#This Row],[SKU]],'All Skus'!$A:$AC,2,FALSE))="Martin",(VLOOKUP(Table10[[#This Row],[SKU]],'All Skus'!$A:$AC,6,FALSE)),""))</f>
        <v>0</v>
      </c>
      <c r="F649" s="155" t="str">
        <f>(IF((VLOOKUP(Table10[[#This Row],[SKU]],'All Skus'!$A:$AC,2,FALSE))="Martin",(VLOOKUP(Table10[[#This Row],[SKU]],'All Skus'!$A:$AC,7,FALSE)),""))</f>
        <v>EOL pre-notice - Will be submitted for EOL soon - But will remain available to support final VC-Grid/Strip sales</v>
      </c>
      <c r="G649" s="223" t="str">
        <f>(IF((VLOOKUP(Table10[[#This Row],[SKU]],'All Skus'!$A:$AC,2,FALSE))="Martin",(VLOOKUP(Table10[[#This Row],[SKU]],'All Skus'!$A:$AC,8,FALSE)),""))</f>
        <v>Set of 10 VC-Grid/Strip 25 Mounting Frames</v>
      </c>
      <c r="H649" s="223" t="str">
        <f>(IF((VLOOKUP(Table10[[#This Row],[SKU]],'All Skus'!$A:$AC,2,FALSE))="Martin",(VLOOKUP(Table10[[#This Row],[SKU]],'All Skus'!$A:$AC,9,FALSE)),""))</f>
        <v>Set of 10 VC-Grid/Strip 25 Mounting Frames</v>
      </c>
      <c r="I649" s="225">
        <f>(IF((VLOOKUP(Table10[[#This Row],[SKU]],'All Skus'!$A:$AC,2,FALSE))="Martin",(VLOOKUP(Table10[[#This Row],[SKU]],'All Skus'!$A:$AC,10,FALSE)),""))</f>
        <v>102.49</v>
      </c>
      <c r="J649" s="226">
        <f>(IF((VLOOKUP(Table10[[#This Row],[SKU]],'All Skus'!$A:$AC,2,FALSE))="Martin",(VLOOKUP(Table10[[#This Row],[SKU]],'All Skus'!$A:$AC,11,FALSE)),""))</f>
        <v>102.49</v>
      </c>
      <c r="K649" s="224">
        <f>(IF((VLOOKUP(Table10[[#This Row],[SKU]],'All Skus'!$A:$AC,2,FALSE))="Martin",(VLOOKUP(Table10[[#This Row],[SKU]],'All Skus'!$A:$AC,15,FALSE)),""))</f>
        <v>0</v>
      </c>
      <c r="L649" s="224">
        <f>(IF((VLOOKUP(Table10[[#This Row],[SKU]],'All Skus'!$A:$AC,2,FALSE))="Martin",(VLOOKUP(Table10[[#This Row],[SKU]],'All Skus'!$A:$AC,16,FALSE)),""))</f>
        <v>5706681234806</v>
      </c>
      <c r="M649" s="224">
        <f>(IF((VLOOKUP(Table10[[#This Row],[SKU]],'All Skus'!$A:$AC,2,FALSE))="Martin",(VLOOKUP(Table10[[#This Row],[SKU]],'All Skus'!$A:$AC,17,FALSE)),""))</f>
        <v>0</v>
      </c>
      <c r="N649" s="227">
        <f>(IF((VLOOKUP(Table10[[#This Row],[SKU]],'All Skus'!$A:$AC,2,FALSE))="Martin",(VLOOKUP(Table10[[#This Row],[SKU]],'All Skus'!$A:$AC,18,FALSE)),""))</f>
        <v>0</v>
      </c>
      <c r="O649" s="227">
        <f>(IF((VLOOKUP(Table10[[#This Row],[SKU]],'All Skus'!$A:$AC,2,FALSE))="Martin",(VLOOKUP(Table10[[#This Row],[SKU]],'All Skus'!$A:$AC,19,FALSE)),""))</f>
        <v>5.9055150000000003</v>
      </c>
      <c r="P649" s="227">
        <f>(IF((VLOOKUP(Table10[[#This Row],[SKU]],'All Skus'!$A:$AC,2,FALSE))="Martin",(VLOOKUP(Table10[[#This Row],[SKU]],'All Skus'!$A:$AC,20,FALSE)),""))</f>
        <v>0</v>
      </c>
      <c r="Q649" s="227">
        <f>(IF((VLOOKUP(Table10[[#This Row],[SKU]],'All Skus'!$A:$AC,2,FALSE))="Martin",(VLOOKUP(Table10[[#This Row],[SKU]],'All Skus'!$A:$AC,21,FALSE)),""))</f>
        <v>0</v>
      </c>
      <c r="R649" s="224" t="str">
        <f>(IF((VLOOKUP(Table10[[#This Row],[SKU]],'All Skus'!$A:$AC,2,FALSE))="Martin",(VLOOKUP(Table10[[#This Row],[SKU]],'All Skus'!$A:$AC,22,FALSE)),""))</f>
        <v>HU</v>
      </c>
      <c r="S649" s="223" t="str">
        <f>(IF((VLOOKUP(Table10[[#This Row],[SKU]],'All Skus'!$A:$AC,2,FALSE))="Martin",(VLOOKUP(Table10[[#This Row],[SKU]],'All Skus'!$A:$AC,23,FALSE)),""))</f>
        <v>Non Compliant</v>
      </c>
      <c r="T649" s="212" t="str">
        <f>HYPERLINK((IF((VLOOKUP(Table10[[#This Row],[SKU]],'All Skus'!$A:$AC,2,FALSE))="Martin",(VLOOKUP(Table10[[#This Row],[SKU]],'All Skus'!$A:$AC,24,FALSE)),"")))</f>
        <v>http://www.martin.com/en-us/product-details/vc-grid</v>
      </c>
      <c r="U649" s="228">
        <v>647</v>
      </c>
    </row>
    <row r="650" spans="1:21" hidden="1">
      <c r="A650" s="114" t="s">
        <v>2301</v>
      </c>
      <c r="B650" s="224" t="str">
        <f>(IF((VLOOKUP(Table10[[#This Row],[SKU]],'All Skus'!$A:$AC,2,FALSE))="Martin",(VLOOKUP(Table10[[#This Row],[SKU]],'All Skus'!$A:$AC,3,FALSE)),""))</f>
        <v>Creative Pixels</v>
      </c>
      <c r="C650" s="223" t="str">
        <f>(IF((VLOOKUP(Table10[[#This Row],[SKU]],'All Skus'!$A:$AC,2,FALSE))="Martin",(VLOOKUP(Table10[[#This Row],[SKU]],'All Skus'!$A:$AC,4,FALSE)),""))</f>
        <v>Set of 8 VC-Grid/Strip 25 Lens Arrays Narrow</v>
      </c>
      <c r="D650" s="224" t="str">
        <f>(IF((VLOOKUP(Table10[[#This Row],[SKU]],'All Skus'!$A:$AC,2,FALSE))="Martin",(VLOOKUP(Table10[[#This Row],[SKU]],'All Skus'!$A:$AC,5,FALSE)),""))</f>
        <v>MAR-VC</v>
      </c>
      <c r="E650" s="223">
        <f>(IF((VLOOKUP(Table10[[#This Row],[SKU]],'All Skus'!$A:$AC,2,FALSE))="Martin",(VLOOKUP(Table10[[#This Row],[SKU]],'All Skus'!$A:$AC,6,FALSE)),""))</f>
        <v>0</v>
      </c>
      <c r="F650" s="155" t="str">
        <f>(IF((VLOOKUP(Table10[[#This Row],[SKU]],'All Skus'!$A:$AC,2,FALSE))="Martin",(VLOOKUP(Table10[[#This Row],[SKU]],'All Skus'!$A:$AC,7,FALSE)),""))</f>
        <v>EOL pre-notice - Will be submitted for EOL soon - But will remain available to support final VC-Grid/Strip sales</v>
      </c>
      <c r="G650" s="223" t="str">
        <f>(IF((VLOOKUP(Table10[[#This Row],[SKU]],'All Skus'!$A:$AC,2,FALSE))="Martin",(VLOOKUP(Table10[[#This Row],[SKU]],'All Skus'!$A:$AC,8,FALSE)),""))</f>
        <v>Set of 8 VC-Grid/Strip 25 Lens Arrays Narrow</v>
      </c>
      <c r="H650" s="223" t="str">
        <f>(IF((VLOOKUP(Table10[[#This Row],[SKU]],'All Skus'!$A:$AC,2,FALSE))="Martin",(VLOOKUP(Table10[[#This Row],[SKU]],'All Skus'!$A:$AC,9,FALSE)),""))</f>
        <v>Set of 8 VC-Grid/Strip 25 Lens Arrays Narrow</v>
      </c>
      <c r="I650" s="225">
        <f>(IF((VLOOKUP(Table10[[#This Row],[SKU]],'All Skus'!$A:$AC,2,FALSE))="Martin",(VLOOKUP(Table10[[#This Row],[SKU]],'All Skus'!$A:$AC,10,FALSE)),""))</f>
        <v>150.63999999999999</v>
      </c>
      <c r="J650" s="226">
        <f>(IF((VLOOKUP(Table10[[#This Row],[SKU]],'All Skus'!$A:$AC,2,FALSE))="Martin",(VLOOKUP(Table10[[#This Row],[SKU]],'All Skus'!$A:$AC,11,FALSE)),""))</f>
        <v>150.63999999999999</v>
      </c>
      <c r="K650" s="224">
        <f>(IF((VLOOKUP(Table10[[#This Row],[SKU]],'All Skus'!$A:$AC,2,FALSE))="Martin",(VLOOKUP(Table10[[#This Row],[SKU]],'All Skus'!$A:$AC,15,FALSE)),""))</f>
        <v>0</v>
      </c>
      <c r="L650" s="224">
        <f>(IF((VLOOKUP(Table10[[#This Row],[SKU]],'All Skus'!$A:$AC,2,FALSE))="Martin",(VLOOKUP(Table10[[#This Row],[SKU]],'All Skus'!$A:$AC,16,FALSE)),""))</f>
        <v>0</v>
      </c>
      <c r="M650" s="224">
        <f>(IF((VLOOKUP(Table10[[#This Row],[SKU]],'All Skus'!$A:$AC,2,FALSE))="Martin",(VLOOKUP(Table10[[#This Row],[SKU]],'All Skus'!$A:$AC,17,FALSE)),""))</f>
        <v>0</v>
      </c>
      <c r="N650" s="227">
        <f>(IF((VLOOKUP(Table10[[#This Row],[SKU]],'All Skus'!$A:$AC,2,FALSE))="Martin",(VLOOKUP(Table10[[#This Row],[SKU]],'All Skus'!$A:$AC,18,FALSE)),""))</f>
        <v>0</v>
      </c>
      <c r="O650" s="227">
        <f>(IF((VLOOKUP(Table10[[#This Row],[SKU]],'All Skus'!$A:$AC,2,FALSE))="Martin",(VLOOKUP(Table10[[#This Row],[SKU]],'All Skus'!$A:$AC,19,FALSE)),""))</f>
        <v>0</v>
      </c>
      <c r="P650" s="227">
        <f>(IF((VLOOKUP(Table10[[#This Row],[SKU]],'All Skus'!$A:$AC,2,FALSE))="Martin",(VLOOKUP(Table10[[#This Row],[SKU]],'All Skus'!$A:$AC,20,FALSE)),""))</f>
        <v>0</v>
      </c>
      <c r="Q650" s="227">
        <f>(IF((VLOOKUP(Table10[[#This Row],[SKU]],'All Skus'!$A:$AC,2,FALSE))="Martin",(VLOOKUP(Table10[[#This Row],[SKU]],'All Skus'!$A:$AC,21,FALSE)),""))</f>
        <v>0</v>
      </c>
      <c r="R650" s="224" t="str">
        <f>(IF((VLOOKUP(Table10[[#This Row],[SKU]],'All Skus'!$A:$AC,2,FALSE))="Martin",(VLOOKUP(Table10[[#This Row],[SKU]],'All Skus'!$A:$AC,22,FALSE)),""))</f>
        <v>HU</v>
      </c>
      <c r="S650" s="223">
        <f>(IF((VLOOKUP(Table10[[#This Row],[SKU]],'All Skus'!$A:$AC,2,FALSE))="Martin",(VLOOKUP(Table10[[#This Row],[SKU]],'All Skus'!$A:$AC,23,FALSE)),""))</f>
        <v>0</v>
      </c>
      <c r="T650" s="212" t="str">
        <f>HYPERLINK((IF((VLOOKUP(Table10[[#This Row],[SKU]],'All Skus'!$A:$AC,2,FALSE))="Martin",(VLOOKUP(Table10[[#This Row],[SKU]],'All Skus'!$A:$AC,24,FALSE)),"")))</f>
        <v>http://www.martin.com/en-us/product-details/vc-grid</v>
      </c>
      <c r="U650" s="228">
        <v>648</v>
      </c>
    </row>
    <row r="651" spans="1:21" hidden="1">
      <c r="A651" s="111" t="s">
        <v>2302</v>
      </c>
      <c r="B651" s="224">
        <f>(IF((VLOOKUP(Table10[[#This Row],[SKU]],'All Skus'!$A:$AC,2,FALSE))="Martin",(VLOOKUP(Table10[[#This Row],[SKU]],'All Skus'!$A:$AC,3,FALSE)),""))</f>
        <v>0</v>
      </c>
      <c r="C651" s="223">
        <f>(IF((VLOOKUP(Table10[[#This Row],[SKU]],'All Skus'!$A:$AC,2,FALSE))="Martin",(VLOOKUP(Table10[[#This Row],[SKU]],'All Skus'!$A:$AC,4,FALSE)),""))</f>
        <v>0</v>
      </c>
      <c r="D651" s="224">
        <f>(IF((VLOOKUP(Table10[[#This Row],[SKU]],'All Skus'!$A:$AC,2,FALSE))="Martin",(VLOOKUP(Table10[[#This Row],[SKU]],'All Skus'!$A:$AC,5,FALSE)),""))</f>
        <v>0</v>
      </c>
      <c r="E651" s="223">
        <f>(IF((VLOOKUP(Table10[[#This Row],[SKU]],'All Skus'!$A:$AC,2,FALSE))="Martin",(VLOOKUP(Table10[[#This Row],[SKU]],'All Skus'!$A:$AC,6,FALSE)),""))</f>
        <v>0</v>
      </c>
      <c r="F651" s="155">
        <f>(IF((VLOOKUP(Table10[[#This Row],[SKU]],'All Skus'!$A:$AC,2,FALSE))="Martin",(VLOOKUP(Table10[[#This Row],[SKU]],'All Skus'!$A:$AC,7,FALSE)),""))</f>
        <v>0</v>
      </c>
      <c r="G651" s="223">
        <f>(IF((VLOOKUP(Table10[[#This Row],[SKU]],'All Skus'!$A:$AC,2,FALSE))="Martin",(VLOOKUP(Table10[[#This Row],[SKU]],'All Skus'!$A:$AC,8,FALSE)),""))</f>
        <v>0</v>
      </c>
      <c r="H651" s="223">
        <f>(IF((VLOOKUP(Table10[[#This Row],[SKU]],'All Skus'!$A:$AC,2,FALSE))="Martin",(VLOOKUP(Table10[[#This Row],[SKU]],'All Skus'!$A:$AC,9,FALSE)),""))</f>
        <v>0</v>
      </c>
      <c r="I651" s="225">
        <f>(IF((VLOOKUP(Table10[[#This Row],[SKU]],'All Skus'!$A:$AC,2,FALSE))="Martin",(VLOOKUP(Table10[[#This Row],[SKU]],'All Skus'!$A:$AC,10,FALSE)),""))</f>
        <v>0</v>
      </c>
      <c r="J651" s="226">
        <f>(IF((VLOOKUP(Table10[[#This Row],[SKU]],'All Skus'!$A:$AC,2,FALSE))="Martin",(VLOOKUP(Table10[[#This Row],[SKU]],'All Skus'!$A:$AC,11,FALSE)),""))</f>
        <v>0</v>
      </c>
      <c r="K651" s="224">
        <f>(IF((VLOOKUP(Table10[[#This Row],[SKU]],'All Skus'!$A:$AC,2,FALSE))="Martin",(VLOOKUP(Table10[[#This Row],[SKU]],'All Skus'!$A:$AC,15,FALSE)),""))</f>
        <v>0</v>
      </c>
      <c r="L651" s="224">
        <f>(IF((VLOOKUP(Table10[[#This Row],[SKU]],'All Skus'!$A:$AC,2,FALSE))="Martin",(VLOOKUP(Table10[[#This Row],[SKU]],'All Skus'!$A:$AC,16,FALSE)),""))</f>
        <v>0</v>
      </c>
      <c r="M651" s="224">
        <f>(IF((VLOOKUP(Table10[[#This Row],[SKU]],'All Skus'!$A:$AC,2,FALSE))="Martin",(VLOOKUP(Table10[[#This Row],[SKU]],'All Skus'!$A:$AC,17,FALSE)),""))</f>
        <v>0</v>
      </c>
      <c r="N651" s="227">
        <f>(IF((VLOOKUP(Table10[[#This Row],[SKU]],'All Skus'!$A:$AC,2,FALSE))="Martin",(VLOOKUP(Table10[[#This Row],[SKU]],'All Skus'!$A:$AC,18,FALSE)),""))</f>
        <v>0</v>
      </c>
      <c r="O651" s="227">
        <f>(IF((VLOOKUP(Table10[[#This Row],[SKU]],'All Skus'!$A:$AC,2,FALSE))="Martin",(VLOOKUP(Table10[[#This Row],[SKU]],'All Skus'!$A:$AC,19,FALSE)),""))</f>
        <v>0</v>
      </c>
      <c r="P651" s="227">
        <f>(IF((VLOOKUP(Table10[[#This Row],[SKU]],'All Skus'!$A:$AC,2,FALSE))="Martin",(VLOOKUP(Table10[[#This Row],[SKU]],'All Skus'!$A:$AC,20,FALSE)),""))</f>
        <v>0</v>
      </c>
      <c r="Q651" s="227">
        <f>(IF((VLOOKUP(Table10[[#This Row],[SKU]],'All Skus'!$A:$AC,2,FALSE))="Martin",(VLOOKUP(Table10[[#This Row],[SKU]],'All Skus'!$A:$AC,21,FALSE)),""))</f>
        <v>0</v>
      </c>
      <c r="R651" s="224">
        <f>(IF((VLOOKUP(Table10[[#This Row],[SKU]],'All Skus'!$A:$AC,2,FALSE))="Martin",(VLOOKUP(Table10[[#This Row],[SKU]],'All Skus'!$A:$AC,22,FALSE)),""))</f>
        <v>0</v>
      </c>
      <c r="S651" s="223">
        <f>(IF((VLOOKUP(Table10[[#This Row],[SKU]],'All Skus'!$A:$AC,2,FALSE))="Martin",(VLOOKUP(Table10[[#This Row],[SKU]],'All Skus'!$A:$AC,23,FALSE)),""))</f>
        <v>0</v>
      </c>
      <c r="T651" s="212" t="str">
        <f>HYPERLINK((IF((VLOOKUP(Table10[[#This Row],[SKU]],'All Skus'!$A:$AC,2,FALSE))="Martin",(VLOOKUP(Table10[[#This Row],[SKU]],'All Skus'!$A:$AC,24,FALSE)),"")))</f>
        <v/>
      </c>
      <c r="U651" s="228">
        <v>649</v>
      </c>
    </row>
    <row r="652" spans="1:21" hidden="1">
      <c r="A652" s="115" t="s">
        <v>2303</v>
      </c>
      <c r="B652" s="224">
        <f>(IF((VLOOKUP(Table10[[#This Row],[SKU]],'All Skus'!$A:$AC,2,FALSE))="Martin",(VLOOKUP(Table10[[#This Row],[SKU]],'All Skus'!$A:$AC,3,FALSE)),""))</f>
        <v>0</v>
      </c>
      <c r="C652" s="223">
        <f>(IF((VLOOKUP(Table10[[#This Row],[SKU]],'All Skus'!$A:$AC,2,FALSE))="Martin",(VLOOKUP(Table10[[#This Row],[SKU]],'All Skus'!$A:$AC,4,FALSE)),""))</f>
        <v>0</v>
      </c>
      <c r="D652" s="224">
        <f>(IF((VLOOKUP(Table10[[#This Row],[SKU]],'All Skus'!$A:$AC,2,FALSE))="Martin",(VLOOKUP(Table10[[#This Row],[SKU]],'All Skus'!$A:$AC,5,FALSE)),""))</f>
        <v>0</v>
      </c>
      <c r="E652" s="223">
        <f>(IF((VLOOKUP(Table10[[#This Row],[SKU]],'All Skus'!$A:$AC,2,FALSE))="Martin",(VLOOKUP(Table10[[#This Row],[SKU]],'All Skus'!$A:$AC,6,FALSE)),""))</f>
        <v>0</v>
      </c>
      <c r="F652" s="155">
        <f>(IF((VLOOKUP(Table10[[#This Row],[SKU]],'All Skus'!$A:$AC,2,FALSE))="Martin",(VLOOKUP(Table10[[#This Row],[SKU]],'All Skus'!$A:$AC,7,FALSE)),""))</f>
        <v>0</v>
      </c>
      <c r="G652" s="223">
        <f>(IF((VLOOKUP(Table10[[#This Row],[SKU]],'All Skus'!$A:$AC,2,FALSE))="Martin",(VLOOKUP(Table10[[#This Row],[SKU]],'All Skus'!$A:$AC,8,FALSE)),""))</f>
        <v>0</v>
      </c>
      <c r="H652" s="223">
        <f>(IF((VLOOKUP(Table10[[#This Row],[SKU]],'All Skus'!$A:$AC,2,FALSE))="Martin",(VLOOKUP(Table10[[#This Row],[SKU]],'All Skus'!$A:$AC,9,FALSE)),""))</f>
        <v>0</v>
      </c>
      <c r="I652" s="225">
        <f>(IF((VLOOKUP(Table10[[#This Row],[SKU]],'All Skus'!$A:$AC,2,FALSE))="Martin",(VLOOKUP(Table10[[#This Row],[SKU]],'All Skus'!$A:$AC,10,FALSE)),""))</f>
        <v>0</v>
      </c>
      <c r="J652" s="226">
        <f>(IF((VLOOKUP(Table10[[#This Row],[SKU]],'All Skus'!$A:$AC,2,FALSE))="Martin",(VLOOKUP(Table10[[#This Row],[SKU]],'All Skus'!$A:$AC,11,FALSE)),""))</f>
        <v>0</v>
      </c>
      <c r="K652" s="224">
        <f>(IF((VLOOKUP(Table10[[#This Row],[SKU]],'All Skus'!$A:$AC,2,FALSE))="Martin",(VLOOKUP(Table10[[#This Row],[SKU]],'All Skus'!$A:$AC,15,FALSE)),""))</f>
        <v>0</v>
      </c>
      <c r="L652" s="224">
        <f>(IF((VLOOKUP(Table10[[#This Row],[SKU]],'All Skus'!$A:$AC,2,FALSE))="Martin",(VLOOKUP(Table10[[#This Row],[SKU]],'All Skus'!$A:$AC,16,FALSE)),""))</f>
        <v>0</v>
      </c>
      <c r="M652" s="224">
        <f>(IF((VLOOKUP(Table10[[#This Row],[SKU]],'All Skus'!$A:$AC,2,FALSE))="Martin",(VLOOKUP(Table10[[#This Row],[SKU]],'All Skus'!$A:$AC,17,FALSE)),""))</f>
        <v>0</v>
      </c>
      <c r="N652" s="227">
        <f>(IF((VLOOKUP(Table10[[#This Row],[SKU]],'All Skus'!$A:$AC,2,FALSE))="Martin",(VLOOKUP(Table10[[#This Row],[SKU]],'All Skus'!$A:$AC,18,FALSE)),""))</f>
        <v>0</v>
      </c>
      <c r="O652" s="227">
        <f>(IF((VLOOKUP(Table10[[#This Row],[SKU]],'All Skus'!$A:$AC,2,FALSE))="Martin",(VLOOKUP(Table10[[#This Row],[SKU]],'All Skus'!$A:$AC,19,FALSE)),""))</f>
        <v>0</v>
      </c>
      <c r="P652" s="227">
        <f>(IF((VLOOKUP(Table10[[#This Row],[SKU]],'All Skus'!$A:$AC,2,FALSE))="Martin",(VLOOKUP(Table10[[#This Row],[SKU]],'All Skus'!$A:$AC,20,FALSE)),""))</f>
        <v>0</v>
      </c>
      <c r="Q652" s="227">
        <f>(IF((VLOOKUP(Table10[[#This Row],[SKU]],'All Skus'!$A:$AC,2,FALSE))="Martin",(VLOOKUP(Table10[[#This Row],[SKU]],'All Skus'!$A:$AC,21,FALSE)),""))</f>
        <v>0</v>
      </c>
      <c r="R652" s="224">
        <f>(IF((VLOOKUP(Table10[[#This Row],[SKU]],'All Skus'!$A:$AC,2,FALSE))="Martin",(VLOOKUP(Table10[[#This Row],[SKU]],'All Skus'!$A:$AC,22,FALSE)),""))</f>
        <v>0</v>
      </c>
      <c r="S652" s="223">
        <f>(IF((VLOOKUP(Table10[[#This Row],[SKU]],'All Skus'!$A:$AC,2,FALSE))="Martin",(VLOOKUP(Table10[[#This Row],[SKU]],'All Skus'!$A:$AC,23,FALSE)),""))</f>
        <v>0</v>
      </c>
      <c r="T652" s="212" t="str">
        <f>HYPERLINK((IF((VLOOKUP(Table10[[#This Row],[SKU]],'All Skus'!$A:$AC,2,FALSE))="Martin",(VLOOKUP(Table10[[#This Row],[SKU]],'All Skus'!$A:$AC,24,FALSE)),"")))</f>
        <v/>
      </c>
      <c r="U652" s="228">
        <v>650</v>
      </c>
    </row>
    <row r="653" spans="1:21" hidden="1">
      <c r="A653" s="114" t="s">
        <v>2304</v>
      </c>
      <c r="B653" s="224" t="str">
        <f>(IF((VLOOKUP(Table10[[#This Row],[SKU]],'All Skus'!$A:$AC,2,FALSE))="Martin",(VLOOKUP(Table10[[#This Row],[SKU]],'All Skus'!$A:$AC,3,FALSE)),""))</f>
        <v>Creative Pixels</v>
      </c>
      <c r="C653" s="223" t="str">
        <f>(IF((VLOOKUP(Table10[[#This Row],[SKU]],'All Skus'!$A:$AC,2,FALSE))="Martin",(VLOOKUP(Table10[[#This Row],[SKU]],'All Skus'!$A:$AC,4,FALSE)),""))</f>
        <v>VC-Strip 8x1 60 RGB</v>
      </c>
      <c r="D653" s="224" t="str">
        <f>(IF((VLOOKUP(Table10[[#This Row],[SKU]],'All Skus'!$A:$AC,2,FALSE))="Martin",(VLOOKUP(Table10[[#This Row],[SKU]],'All Skus'!$A:$AC,5,FALSE)),""))</f>
        <v>MAR-VC</v>
      </c>
      <c r="E653" s="223">
        <f>(IF((VLOOKUP(Table10[[#This Row],[SKU]],'All Skus'!$A:$AC,2,FALSE))="Martin",(VLOOKUP(Table10[[#This Row],[SKU]],'All Skus'!$A:$AC,6,FALSE)),""))</f>
        <v>0</v>
      </c>
      <c r="F653" s="155" t="str">
        <f>(IF((VLOOKUP(Table10[[#This Row],[SKU]],'All Skus'!$A:$AC,2,FALSE))="Martin",(VLOOKUP(Table10[[#This Row],[SKU]],'All Skus'!$A:$AC,7,FALSE)),""))</f>
        <v>EOL stage - Significant quantity on stock to sell</v>
      </c>
      <c r="G653" s="223" t="str">
        <f>(IF((VLOOKUP(Table10[[#This Row],[SKU]],'All Skus'!$A:$AC,2,FALSE))="Martin",(VLOOKUP(Table10[[#This Row],[SKU]],'All Skus'!$A:$AC,8,FALSE)),""))</f>
        <v>VC-Strip 8x1 60 RGB</v>
      </c>
      <c r="H653" s="223" t="str">
        <f>(IF((VLOOKUP(Table10[[#This Row],[SKU]],'All Skus'!$A:$AC,2,FALSE))="Martin",(VLOOKUP(Table10[[#This Row],[SKU]],'All Skus'!$A:$AC,9,FALSE)),""))</f>
        <v>VC-Strip 8x1 60 RGB</v>
      </c>
      <c r="I653" s="225">
        <f>(IF((VLOOKUP(Table10[[#This Row],[SKU]],'All Skus'!$A:$AC,2,FALSE))="Martin",(VLOOKUP(Table10[[#This Row],[SKU]],'All Skus'!$A:$AC,10,FALSE)),""))</f>
        <v>156.82</v>
      </c>
      <c r="J653" s="226">
        <f>(IF((VLOOKUP(Table10[[#This Row],[SKU]],'All Skus'!$A:$AC,2,FALSE))="Martin",(VLOOKUP(Table10[[#This Row],[SKU]],'All Skus'!$A:$AC,11,FALSE)),""))</f>
        <v>156.82</v>
      </c>
      <c r="K653" s="224" t="str">
        <f>(IF((VLOOKUP(Table10[[#This Row],[SKU]],'All Skus'!$A:$AC,2,FALSE))="Martin",(VLOOKUP(Table10[[#This Row],[SKU]],'All Skus'!$A:$AC,15,FALSE)),""))</f>
        <v/>
      </c>
      <c r="L653" s="224">
        <f>(IF((VLOOKUP(Table10[[#This Row],[SKU]],'All Skus'!$A:$AC,2,FALSE))="Martin",(VLOOKUP(Table10[[#This Row],[SKU]],'All Skus'!$A:$AC,16,FALSE)),""))</f>
        <v>5706681234455</v>
      </c>
      <c r="M653" s="224">
        <f>(IF((VLOOKUP(Table10[[#This Row],[SKU]],'All Skus'!$A:$AC,2,FALSE))="Martin",(VLOOKUP(Table10[[#This Row],[SKU]],'All Skus'!$A:$AC,17,FALSE)),""))</f>
        <v>0</v>
      </c>
      <c r="N653" s="227">
        <f>(IF((VLOOKUP(Table10[[#This Row],[SKU]],'All Skus'!$A:$AC,2,FALSE))="Martin",(VLOOKUP(Table10[[#This Row],[SKU]],'All Skus'!$A:$AC,18,FALSE)),""))</f>
        <v>0</v>
      </c>
      <c r="O653" s="227">
        <f>(IF((VLOOKUP(Table10[[#This Row],[SKU]],'All Skus'!$A:$AC,2,FALSE))="Martin",(VLOOKUP(Table10[[#This Row],[SKU]],'All Skus'!$A:$AC,19,FALSE)),""))</f>
        <v>0</v>
      </c>
      <c r="P653" s="227">
        <f>(IF((VLOOKUP(Table10[[#This Row],[SKU]],'All Skus'!$A:$AC,2,FALSE))="Martin",(VLOOKUP(Table10[[#This Row],[SKU]],'All Skus'!$A:$AC,20,FALSE)),""))</f>
        <v>0</v>
      </c>
      <c r="Q653" s="227">
        <f>(IF((VLOOKUP(Table10[[#This Row],[SKU]],'All Skus'!$A:$AC,2,FALSE))="Martin",(VLOOKUP(Table10[[#This Row],[SKU]],'All Skus'!$A:$AC,21,FALSE)),""))</f>
        <v>0</v>
      </c>
      <c r="R653" s="224" t="str">
        <f>(IF((VLOOKUP(Table10[[#This Row],[SKU]],'All Skus'!$A:$AC,2,FALSE))="Martin",(VLOOKUP(Table10[[#This Row],[SKU]],'All Skus'!$A:$AC,22,FALSE)),""))</f>
        <v>HU</v>
      </c>
      <c r="S653" s="223">
        <f>(IF((VLOOKUP(Table10[[#This Row],[SKU]],'All Skus'!$A:$AC,2,FALSE))="Martin",(VLOOKUP(Table10[[#This Row],[SKU]],'All Skus'!$A:$AC,23,FALSE)),""))</f>
        <v>0</v>
      </c>
      <c r="T653" s="212" t="str">
        <f>HYPERLINK((IF((VLOOKUP(Table10[[#This Row],[SKU]],'All Skus'!$A:$AC,2,FALSE))="Martin",(VLOOKUP(Table10[[#This Row],[SKU]],'All Skus'!$A:$AC,24,FALSE)),"")))</f>
        <v/>
      </c>
      <c r="U653" s="228">
        <v>651</v>
      </c>
    </row>
    <row r="654" spans="1:21" hidden="1">
      <c r="A654" s="114" t="s">
        <v>2305</v>
      </c>
      <c r="B654" s="224" t="str">
        <f>(IF((VLOOKUP(Table10[[#This Row],[SKU]],'All Skus'!$A:$AC,2,FALSE))="Martin",(VLOOKUP(Table10[[#This Row],[SKU]],'All Skus'!$A:$AC,3,FALSE)),""))</f>
        <v>Creative Pixels</v>
      </c>
      <c r="C654" s="223" t="str">
        <f>(IF((VLOOKUP(Table10[[#This Row],[SKU]],'All Skus'!$A:$AC,2,FALSE))="Martin",(VLOOKUP(Table10[[#This Row],[SKU]],'All Skus'!$A:$AC,4,FALSE)),""))</f>
        <v>VC-Strip 4x1 60 RGB</v>
      </c>
      <c r="D654" s="224" t="str">
        <f>(IF((VLOOKUP(Table10[[#This Row],[SKU]],'All Skus'!$A:$AC,2,FALSE))="Martin",(VLOOKUP(Table10[[#This Row],[SKU]],'All Skus'!$A:$AC,5,FALSE)),""))</f>
        <v>MAR-VC</v>
      </c>
      <c r="E654" s="223">
        <f>(IF((VLOOKUP(Table10[[#This Row],[SKU]],'All Skus'!$A:$AC,2,FALSE))="Martin",(VLOOKUP(Table10[[#This Row],[SKU]],'All Skus'!$A:$AC,6,FALSE)),""))</f>
        <v>0</v>
      </c>
      <c r="F654" s="155" t="str">
        <f>(IF((VLOOKUP(Table10[[#This Row],[SKU]],'All Skus'!$A:$AC,2,FALSE))="Martin",(VLOOKUP(Table10[[#This Row],[SKU]],'All Skus'!$A:$AC,7,FALSE)),""))</f>
        <v>EOL stage - Significant quantity on stock to sell</v>
      </c>
      <c r="G654" s="223" t="str">
        <f>(IF((VLOOKUP(Table10[[#This Row],[SKU]],'All Skus'!$A:$AC,2,FALSE))="Martin",(VLOOKUP(Table10[[#This Row],[SKU]],'All Skus'!$A:$AC,8,FALSE)),""))</f>
        <v>VC-Strip 4x1 60 RGB</v>
      </c>
      <c r="H654" s="223" t="str">
        <f>(IF((VLOOKUP(Table10[[#This Row],[SKU]],'All Skus'!$A:$AC,2,FALSE))="Martin",(VLOOKUP(Table10[[#This Row],[SKU]],'All Skus'!$A:$AC,9,FALSE)),""))</f>
        <v>VC-Strip 4x1 60 RGB</v>
      </c>
      <c r="I654" s="225">
        <f>(IF((VLOOKUP(Table10[[#This Row],[SKU]],'All Skus'!$A:$AC,2,FALSE))="Martin",(VLOOKUP(Table10[[#This Row],[SKU]],'All Skus'!$A:$AC,10,FALSE)),""))</f>
        <v>145.69999999999999</v>
      </c>
      <c r="J654" s="226">
        <f>(IF((VLOOKUP(Table10[[#This Row],[SKU]],'All Skus'!$A:$AC,2,FALSE))="Martin",(VLOOKUP(Table10[[#This Row],[SKU]],'All Skus'!$A:$AC,11,FALSE)),""))</f>
        <v>145.69999999999999</v>
      </c>
      <c r="K654" s="224" t="str">
        <f>(IF((VLOOKUP(Table10[[#This Row],[SKU]],'All Skus'!$A:$AC,2,FALSE))="Martin",(VLOOKUP(Table10[[#This Row],[SKU]],'All Skus'!$A:$AC,15,FALSE)),""))</f>
        <v/>
      </c>
      <c r="L654" s="224">
        <f>(IF((VLOOKUP(Table10[[#This Row],[SKU]],'All Skus'!$A:$AC,2,FALSE))="Martin",(VLOOKUP(Table10[[#This Row],[SKU]],'All Skus'!$A:$AC,16,FALSE)),""))</f>
        <v>5706681234462</v>
      </c>
      <c r="M654" s="224">
        <f>(IF((VLOOKUP(Table10[[#This Row],[SKU]],'All Skus'!$A:$AC,2,FALSE))="Martin",(VLOOKUP(Table10[[#This Row],[SKU]],'All Skus'!$A:$AC,17,FALSE)),""))</f>
        <v>0</v>
      </c>
      <c r="N654" s="227">
        <f>(IF((VLOOKUP(Table10[[#This Row],[SKU]],'All Skus'!$A:$AC,2,FALSE))="Martin",(VLOOKUP(Table10[[#This Row],[SKU]],'All Skus'!$A:$AC,18,FALSE)),""))</f>
        <v>0</v>
      </c>
      <c r="O654" s="227">
        <f>(IF((VLOOKUP(Table10[[#This Row],[SKU]],'All Skus'!$A:$AC,2,FALSE))="Martin",(VLOOKUP(Table10[[#This Row],[SKU]],'All Skus'!$A:$AC,19,FALSE)),""))</f>
        <v>0</v>
      </c>
      <c r="P654" s="227">
        <f>(IF((VLOOKUP(Table10[[#This Row],[SKU]],'All Skus'!$A:$AC,2,FALSE))="Martin",(VLOOKUP(Table10[[#This Row],[SKU]],'All Skus'!$A:$AC,20,FALSE)),""))</f>
        <v>0</v>
      </c>
      <c r="Q654" s="227">
        <f>(IF((VLOOKUP(Table10[[#This Row],[SKU]],'All Skus'!$A:$AC,2,FALSE))="Martin",(VLOOKUP(Table10[[#This Row],[SKU]],'All Skus'!$A:$AC,21,FALSE)),""))</f>
        <v>0</v>
      </c>
      <c r="R654" s="224" t="str">
        <f>(IF((VLOOKUP(Table10[[#This Row],[SKU]],'All Skus'!$A:$AC,2,FALSE))="Martin",(VLOOKUP(Table10[[#This Row],[SKU]],'All Skus'!$A:$AC,22,FALSE)),""))</f>
        <v>HU</v>
      </c>
      <c r="S654" s="223">
        <f>(IF((VLOOKUP(Table10[[#This Row],[SKU]],'All Skus'!$A:$AC,2,FALSE))="Martin",(VLOOKUP(Table10[[#This Row],[SKU]],'All Skus'!$A:$AC,23,FALSE)),""))</f>
        <v>0</v>
      </c>
      <c r="T654" s="212" t="str">
        <f>HYPERLINK((IF((VLOOKUP(Table10[[#This Row],[SKU]],'All Skus'!$A:$AC,2,FALSE))="Martin",(VLOOKUP(Table10[[#This Row],[SKU]],'All Skus'!$A:$AC,24,FALSE)),"")))</f>
        <v>http://www.martin.com/en-us/product-details/vc-strip-60</v>
      </c>
      <c r="U654" s="228">
        <v>652</v>
      </c>
    </row>
    <row r="655" spans="1:21" hidden="1">
      <c r="A655" s="115" t="s">
        <v>2306</v>
      </c>
      <c r="B655" s="224">
        <f>(IF((VLOOKUP(Table10[[#This Row],[SKU]],'All Skus'!$A:$AC,2,FALSE))="Martin",(VLOOKUP(Table10[[#This Row],[SKU]],'All Skus'!$A:$AC,3,FALSE)),""))</f>
        <v>0</v>
      </c>
      <c r="C655" s="223">
        <f>(IF((VLOOKUP(Table10[[#This Row],[SKU]],'All Skus'!$A:$AC,2,FALSE))="Martin",(VLOOKUP(Table10[[#This Row],[SKU]],'All Skus'!$A:$AC,4,FALSE)),""))</f>
        <v>0</v>
      </c>
      <c r="D655" s="224">
        <f>(IF((VLOOKUP(Table10[[#This Row],[SKU]],'All Skus'!$A:$AC,2,FALSE))="Martin",(VLOOKUP(Table10[[#This Row],[SKU]],'All Skus'!$A:$AC,5,FALSE)),""))</f>
        <v>0</v>
      </c>
      <c r="E655" s="223">
        <f>(IF((VLOOKUP(Table10[[#This Row],[SKU]],'All Skus'!$A:$AC,2,FALSE))="Martin",(VLOOKUP(Table10[[#This Row],[SKU]],'All Skus'!$A:$AC,6,FALSE)),""))</f>
        <v>0</v>
      </c>
      <c r="F655" s="155">
        <f>(IF((VLOOKUP(Table10[[#This Row],[SKU]],'All Skus'!$A:$AC,2,FALSE))="Martin",(VLOOKUP(Table10[[#This Row],[SKU]],'All Skus'!$A:$AC,7,FALSE)),""))</f>
        <v>0</v>
      </c>
      <c r="G655" s="223">
        <f>(IF((VLOOKUP(Table10[[#This Row],[SKU]],'All Skus'!$A:$AC,2,FALSE))="Martin",(VLOOKUP(Table10[[#This Row],[SKU]],'All Skus'!$A:$AC,8,FALSE)),""))</f>
        <v>0</v>
      </c>
      <c r="H655" s="223">
        <f>(IF((VLOOKUP(Table10[[#This Row],[SKU]],'All Skus'!$A:$AC,2,FALSE))="Martin",(VLOOKUP(Table10[[#This Row],[SKU]],'All Skus'!$A:$AC,9,FALSE)),""))</f>
        <v>0</v>
      </c>
      <c r="I655" s="225">
        <f>(IF((VLOOKUP(Table10[[#This Row],[SKU]],'All Skus'!$A:$AC,2,FALSE))="Martin",(VLOOKUP(Table10[[#This Row],[SKU]],'All Skus'!$A:$AC,10,FALSE)),""))</f>
        <v>0</v>
      </c>
      <c r="J655" s="226">
        <f>(IF((VLOOKUP(Table10[[#This Row],[SKU]],'All Skus'!$A:$AC,2,FALSE))="Martin",(VLOOKUP(Table10[[#This Row],[SKU]],'All Skus'!$A:$AC,11,FALSE)),""))</f>
        <v>0</v>
      </c>
      <c r="K655" s="224">
        <f>(IF((VLOOKUP(Table10[[#This Row],[SKU]],'All Skus'!$A:$AC,2,FALSE))="Martin",(VLOOKUP(Table10[[#This Row],[SKU]],'All Skus'!$A:$AC,15,FALSE)),""))</f>
        <v>0</v>
      </c>
      <c r="L655" s="224">
        <f>(IF((VLOOKUP(Table10[[#This Row],[SKU]],'All Skus'!$A:$AC,2,FALSE))="Martin",(VLOOKUP(Table10[[#This Row],[SKU]],'All Skus'!$A:$AC,16,FALSE)),""))</f>
        <v>0</v>
      </c>
      <c r="M655" s="224">
        <f>(IF((VLOOKUP(Table10[[#This Row],[SKU]],'All Skus'!$A:$AC,2,FALSE))="Martin",(VLOOKUP(Table10[[#This Row],[SKU]],'All Skus'!$A:$AC,17,FALSE)),""))</f>
        <v>0</v>
      </c>
      <c r="N655" s="227">
        <f>(IF((VLOOKUP(Table10[[#This Row],[SKU]],'All Skus'!$A:$AC,2,FALSE))="Martin",(VLOOKUP(Table10[[#This Row],[SKU]],'All Skus'!$A:$AC,18,FALSE)),""))</f>
        <v>0</v>
      </c>
      <c r="O655" s="227">
        <f>(IF((VLOOKUP(Table10[[#This Row],[SKU]],'All Skus'!$A:$AC,2,FALSE))="Martin",(VLOOKUP(Table10[[#This Row],[SKU]],'All Skus'!$A:$AC,19,FALSE)),""))</f>
        <v>0</v>
      </c>
      <c r="P655" s="227">
        <f>(IF((VLOOKUP(Table10[[#This Row],[SKU]],'All Skus'!$A:$AC,2,FALSE))="Martin",(VLOOKUP(Table10[[#This Row],[SKU]],'All Skus'!$A:$AC,20,FALSE)),""))</f>
        <v>0</v>
      </c>
      <c r="Q655" s="227">
        <f>(IF((VLOOKUP(Table10[[#This Row],[SKU]],'All Skus'!$A:$AC,2,FALSE))="Martin",(VLOOKUP(Table10[[#This Row],[SKU]],'All Skus'!$A:$AC,21,FALSE)),""))</f>
        <v>0</v>
      </c>
      <c r="R655" s="224">
        <f>(IF((VLOOKUP(Table10[[#This Row],[SKU]],'All Skus'!$A:$AC,2,FALSE))="Martin",(VLOOKUP(Table10[[#This Row],[SKU]],'All Skus'!$A:$AC,22,FALSE)),""))</f>
        <v>0</v>
      </c>
      <c r="S655" s="223">
        <f>(IF((VLOOKUP(Table10[[#This Row],[SKU]],'All Skus'!$A:$AC,2,FALSE))="Martin",(VLOOKUP(Table10[[#This Row],[SKU]],'All Skus'!$A:$AC,23,FALSE)),""))</f>
        <v>0</v>
      </c>
      <c r="T655" s="212" t="str">
        <f>HYPERLINK((IF((VLOOKUP(Table10[[#This Row],[SKU]],'All Skus'!$A:$AC,2,FALSE))="Martin",(VLOOKUP(Table10[[#This Row],[SKU]],'All Skus'!$A:$AC,24,FALSE)),"")))</f>
        <v/>
      </c>
      <c r="U655" s="228">
        <v>653</v>
      </c>
    </row>
    <row r="656" spans="1:21" hidden="1">
      <c r="A656" s="114" t="s">
        <v>2307</v>
      </c>
      <c r="B656" s="224" t="str">
        <f>(IF((VLOOKUP(Table10[[#This Row],[SKU]],'All Skus'!$A:$AC,2,FALSE))="Martin",(VLOOKUP(Table10[[#This Row],[SKU]],'All Skus'!$A:$AC,3,FALSE)),""))</f>
        <v>Creative Pixels</v>
      </c>
      <c r="C656" s="223" t="str">
        <f>(IF((VLOOKUP(Table10[[#This Row],[SKU]],'All Skus'!$A:$AC,2,FALSE))="Martin",(VLOOKUP(Table10[[#This Row],[SKU]],'All Skus'!$A:$AC,4,FALSE)),""))</f>
        <v>VC-Strip 16x1 30 RGB</v>
      </c>
      <c r="D656" s="224" t="str">
        <f>(IF((VLOOKUP(Table10[[#This Row],[SKU]],'All Skus'!$A:$AC,2,FALSE))="Martin",(VLOOKUP(Table10[[#This Row],[SKU]],'All Skus'!$A:$AC,5,FALSE)),""))</f>
        <v>MAR-VC</v>
      </c>
      <c r="E656" s="223">
        <f>(IF((VLOOKUP(Table10[[#This Row],[SKU]],'All Skus'!$A:$AC,2,FALSE))="Martin",(VLOOKUP(Table10[[#This Row],[SKU]],'All Skus'!$A:$AC,6,FALSE)),""))</f>
        <v>0</v>
      </c>
      <c r="F656" s="155" t="str">
        <f>(IF((VLOOKUP(Table10[[#This Row],[SKU]],'All Skus'!$A:$AC,2,FALSE))="Martin",(VLOOKUP(Table10[[#This Row],[SKU]],'All Skus'!$A:$AC,7,FALSE)),""))</f>
        <v>EOL stage - Significant quantity on stock to sell</v>
      </c>
      <c r="G656" s="223" t="str">
        <f>(IF((VLOOKUP(Table10[[#This Row],[SKU]],'All Skus'!$A:$AC,2,FALSE))="Martin",(VLOOKUP(Table10[[#This Row],[SKU]],'All Skus'!$A:$AC,8,FALSE)),""))</f>
        <v>VC-Strip 16x1 30 RGB</v>
      </c>
      <c r="H656" s="223" t="str">
        <f>(IF((VLOOKUP(Table10[[#This Row],[SKU]],'All Skus'!$A:$AC,2,FALSE))="Martin",(VLOOKUP(Table10[[#This Row],[SKU]],'All Skus'!$A:$AC,9,FALSE)),""))</f>
        <v>VC-Strip 16x1 30 RGB</v>
      </c>
      <c r="I656" s="225">
        <f>(IF((VLOOKUP(Table10[[#This Row],[SKU]],'All Skus'!$A:$AC,2,FALSE))="Martin",(VLOOKUP(Table10[[#This Row],[SKU]],'All Skus'!$A:$AC,10,FALSE)),""))</f>
        <v>170.4</v>
      </c>
      <c r="J656" s="226">
        <f>(IF((VLOOKUP(Table10[[#This Row],[SKU]],'All Skus'!$A:$AC,2,FALSE))="Martin",(VLOOKUP(Table10[[#This Row],[SKU]],'All Skus'!$A:$AC,11,FALSE)),""))</f>
        <v>170.4</v>
      </c>
      <c r="K656" s="224" t="str">
        <f>(IF((VLOOKUP(Table10[[#This Row],[SKU]],'All Skus'!$A:$AC,2,FALSE))="Martin",(VLOOKUP(Table10[[#This Row],[SKU]],'All Skus'!$A:$AC,15,FALSE)),""))</f>
        <v/>
      </c>
      <c r="L656" s="224">
        <f>(IF((VLOOKUP(Table10[[#This Row],[SKU]],'All Skus'!$A:$AC,2,FALSE))="Martin",(VLOOKUP(Table10[[#This Row],[SKU]],'All Skus'!$A:$AC,16,FALSE)),""))</f>
        <v>5706681234431</v>
      </c>
      <c r="M656" s="224">
        <f>(IF((VLOOKUP(Table10[[#This Row],[SKU]],'All Skus'!$A:$AC,2,FALSE))="Martin",(VLOOKUP(Table10[[#This Row],[SKU]],'All Skus'!$A:$AC,17,FALSE)),""))</f>
        <v>0</v>
      </c>
      <c r="N656" s="227">
        <f>(IF((VLOOKUP(Table10[[#This Row],[SKU]],'All Skus'!$A:$AC,2,FALSE))="Martin",(VLOOKUP(Table10[[#This Row],[SKU]],'All Skus'!$A:$AC,18,FALSE)),""))</f>
        <v>0</v>
      </c>
      <c r="O656" s="227">
        <f>(IF((VLOOKUP(Table10[[#This Row],[SKU]],'All Skus'!$A:$AC,2,FALSE))="Martin",(VLOOKUP(Table10[[#This Row],[SKU]],'All Skus'!$A:$AC,19,FALSE)),""))</f>
        <v>0</v>
      </c>
      <c r="P656" s="227">
        <f>(IF((VLOOKUP(Table10[[#This Row],[SKU]],'All Skus'!$A:$AC,2,FALSE))="Martin",(VLOOKUP(Table10[[#This Row],[SKU]],'All Skus'!$A:$AC,20,FALSE)),""))</f>
        <v>0</v>
      </c>
      <c r="Q656" s="227">
        <f>(IF((VLOOKUP(Table10[[#This Row],[SKU]],'All Skus'!$A:$AC,2,FALSE))="Martin",(VLOOKUP(Table10[[#This Row],[SKU]],'All Skus'!$A:$AC,21,FALSE)),""))</f>
        <v>0</v>
      </c>
      <c r="R656" s="224" t="str">
        <f>(IF((VLOOKUP(Table10[[#This Row],[SKU]],'All Skus'!$A:$AC,2,FALSE))="Martin",(VLOOKUP(Table10[[#This Row],[SKU]],'All Skus'!$A:$AC,22,FALSE)),""))</f>
        <v>HU</v>
      </c>
      <c r="S656" s="223">
        <f>(IF((VLOOKUP(Table10[[#This Row],[SKU]],'All Skus'!$A:$AC,2,FALSE))="Martin",(VLOOKUP(Table10[[#This Row],[SKU]],'All Skus'!$A:$AC,23,FALSE)),""))</f>
        <v>0</v>
      </c>
      <c r="T656" s="212" t="str">
        <f>HYPERLINK((IF((VLOOKUP(Table10[[#This Row],[SKU]],'All Skus'!$A:$AC,2,FALSE))="Martin",(VLOOKUP(Table10[[#This Row],[SKU]],'All Skus'!$A:$AC,24,FALSE)),"")))</f>
        <v/>
      </c>
      <c r="U656" s="228">
        <v>654</v>
      </c>
    </row>
    <row r="657" spans="1:21" hidden="1">
      <c r="A657" s="114" t="s">
        <v>2308</v>
      </c>
      <c r="B657" s="224" t="str">
        <f>(IF((VLOOKUP(Table10[[#This Row],[SKU]],'All Skus'!$A:$AC,2,FALSE))="Martin",(VLOOKUP(Table10[[#This Row],[SKU]],'All Skus'!$A:$AC,3,FALSE)),""))</f>
        <v>Creative Pixels</v>
      </c>
      <c r="C657" s="223" t="str">
        <f>(IF((VLOOKUP(Table10[[#This Row],[SKU]],'All Skus'!$A:$AC,2,FALSE))="Martin",(VLOOKUP(Table10[[#This Row],[SKU]],'All Skus'!$A:$AC,4,FALSE)),""))</f>
        <v>VC-Strip 8x1 30 RGB</v>
      </c>
      <c r="D657" s="224" t="str">
        <f>(IF((VLOOKUP(Table10[[#This Row],[SKU]],'All Skus'!$A:$AC,2,FALSE))="Martin",(VLOOKUP(Table10[[#This Row],[SKU]],'All Skus'!$A:$AC,5,FALSE)),""))</f>
        <v>MAR-VC</v>
      </c>
      <c r="E657" s="223">
        <f>(IF((VLOOKUP(Table10[[#This Row],[SKU]],'All Skus'!$A:$AC,2,FALSE))="Martin",(VLOOKUP(Table10[[#This Row],[SKU]],'All Skus'!$A:$AC,6,FALSE)),""))</f>
        <v>0</v>
      </c>
      <c r="F657" s="155" t="str">
        <f>(IF((VLOOKUP(Table10[[#This Row],[SKU]],'All Skus'!$A:$AC,2,FALSE))="Martin",(VLOOKUP(Table10[[#This Row],[SKU]],'All Skus'!$A:$AC,7,FALSE)),""))</f>
        <v>EOL stage - Significant quantity on stock to sell</v>
      </c>
      <c r="G657" s="223" t="str">
        <f>(IF((VLOOKUP(Table10[[#This Row],[SKU]],'All Skus'!$A:$AC,2,FALSE))="Martin",(VLOOKUP(Table10[[#This Row],[SKU]],'All Skus'!$A:$AC,8,FALSE)),""))</f>
        <v>VC-Strip 8x1 30 RGB</v>
      </c>
      <c r="H657" s="223" t="str">
        <f>(IF((VLOOKUP(Table10[[#This Row],[SKU]],'All Skus'!$A:$AC,2,FALSE))="Martin",(VLOOKUP(Table10[[#This Row],[SKU]],'All Skus'!$A:$AC,9,FALSE)),""))</f>
        <v>VC-Strip 8x1 30 RGB</v>
      </c>
      <c r="I657" s="225">
        <f>(IF((VLOOKUP(Table10[[#This Row],[SKU]],'All Skus'!$A:$AC,2,FALSE))="Martin",(VLOOKUP(Table10[[#This Row],[SKU]],'All Skus'!$A:$AC,10,FALSE)),""))</f>
        <v>153.11000000000001</v>
      </c>
      <c r="J657" s="226">
        <f>(IF((VLOOKUP(Table10[[#This Row],[SKU]],'All Skus'!$A:$AC,2,FALSE))="Martin",(VLOOKUP(Table10[[#This Row],[SKU]],'All Skus'!$A:$AC,11,FALSE)),""))</f>
        <v>153.11000000000001</v>
      </c>
      <c r="K657" s="224">
        <f>(IF((VLOOKUP(Table10[[#This Row],[SKU]],'All Skus'!$A:$AC,2,FALSE))="Martin",(VLOOKUP(Table10[[#This Row],[SKU]],'All Skus'!$A:$AC,15,FALSE)),""))</f>
        <v>0</v>
      </c>
      <c r="L657" s="224">
        <f>(IF((VLOOKUP(Table10[[#This Row],[SKU]],'All Skus'!$A:$AC,2,FALSE))="Martin",(VLOOKUP(Table10[[#This Row],[SKU]],'All Skus'!$A:$AC,16,FALSE)),""))</f>
        <v>5706681234448</v>
      </c>
      <c r="M657" s="224">
        <f>(IF((VLOOKUP(Table10[[#This Row],[SKU]],'All Skus'!$A:$AC,2,FALSE))="Martin",(VLOOKUP(Table10[[#This Row],[SKU]],'All Skus'!$A:$AC,17,FALSE)),""))</f>
        <v>0</v>
      </c>
      <c r="N657" s="227">
        <f>(IF((VLOOKUP(Table10[[#This Row],[SKU]],'All Skus'!$A:$AC,2,FALSE))="Martin",(VLOOKUP(Table10[[#This Row],[SKU]],'All Skus'!$A:$AC,18,FALSE)),""))</f>
        <v>0</v>
      </c>
      <c r="O657" s="227">
        <f>(IF((VLOOKUP(Table10[[#This Row],[SKU]],'All Skus'!$A:$AC,2,FALSE))="Martin",(VLOOKUP(Table10[[#This Row],[SKU]],'All Skus'!$A:$AC,19,FALSE)),""))</f>
        <v>0</v>
      </c>
      <c r="P657" s="227">
        <f>(IF((VLOOKUP(Table10[[#This Row],[SKU]],'All Skus'!$A:$AC,2,FALSE))="Martin",(VLOOKUP(Table10[[#This Row],[SKU]],'All Skus'!$A:$AC,20,FALSE)),""))</f>
        <v>0</v>
      </c>
      <c r="Q657" s="227">
        <f>(IF((VLOOKUP(Table10[[#This Row],[SKU]],'All Skus'!$A:$AC,2,FALSE))="Martin",(VLOOKUP(Table10[[#This Row],[SKU]],'All Skus'!$A:$AC,21,FALSE)),""))</f>
        <v>0</v>
      </c>
      <c r="R657" s="224" t="str">
        <f>(IF((VLOOKUP(Table10[[#This Row],[SKU]],'All Skus'!$A:$AC,2,FALSE))="Martin",(VLOOKUP(Table10[[#This Row],[SKU]],'All Skus'!$A:$AC,22,FALSE)),""))</f>
        <v>HU</v>
      </c>
      <c r="S657" s="223">
        <f>(IF((VLOOKUP(Table10[[#This Row],[SKU]],'All Skus'!$A:$AC,2,FALSE))="Martin",(VLOOKUP(Table10[[#This Row],[SKU]],'All Skus'!$A:$AC,23,FALSE)),""))</f>
        <v>0</v>
      </c>
      <c r="T657" s="212" t="str">
        <f>HYPERLINK((IF((VLOOKUP(Table10[[#This Row],[SKU]],'All Skus'!$A:$AC,2,FALSE))="Martin",(VLOOKUP(Table10[[#This Row],[SKU]],'All Skus'!$A:$AC,24,FALSE)),"")))</f>
        <v>http://www.martin.com/en-us/product-details/vc-strip-30</v>
      </c>
      <c r="U657" s="228">
        <v>655</v>
      </c>
    </row>
    <row r="658" spans="1:21" hidden="1">
      <c r="A658" s="115" t="s">
        <v>2309</v>
      </c>
      <c r="B658" s="224">
        <f>(IF((VLOOKUP(Table10[[#This Row],[SKU]],'All Skus'!$A:$AC,2,FALSE))="Martin",(VLOOKUP(Table10[[#This Row],[SKU]],'All Skus'!$A:$AC,3,FALSE)),""))</f>
        <v>0</v>
      </c>
      <c r="C658" s="223">
        <f>(IF((VLOOKUP(Table10[[#This Row],[SKU]],'All Skus'!$A:$AC,2,FALSE))="Martin",(VLOOKUP(Table10[[#This Row],[SKU]],'All Skus'!$A:$AC,4,FALSE)),""))</f>
        <v>0</v>
      </c>
      <c r="D658" s="224">
        <f>(IF((VLOOKUP(Table10[[#This Row],[SKU]],'All Skus'!$A:$AC,2,FALSE))="Martin",(VLOOKUP(Table10[[#This Row],[SKU]],'All Skus'!$A:$AC,5,FALSE)),""))</f>
        <v>0</v>
      </c>
      <c r="E658" s="223">
        <f>(IF((VLOOKUP(Table10[[#This Row],[SKU]],'All Skus'!$A:$AC,2,FALSE))="Martin",(VLOOKUP(Table10[[#This Row],[SKU]],'All Skus'!$A:$AC,6,FALSE)),""))</f>
        <v>0</v>
      </c>
      <c r="F658" s="155">
        <f>(IF((VLOOKUP(Table10[[#This Row],[SKU]],'All Skus'!$A:$AC,2,FALSE))="Martin",(VLOOKUP(Table10[[#This Row],[SKU]],'All Skus'!$A:$AC,7,FALSE)),""))</f>
        <v>0</v>
      </c>
      <c r="G658" s="223">
        <f>(IF((VLOOKUP(Table10[[#This Row],[SKU]],'All Skus'!$A:$AC,2,FALSE))="Martin",(VLOOKUP(Table10[[#This Row],[SKU]],'All Skus'!$A:$AC,8,FALSE)),""))</f>
        <v>0</v>
      </c>
      <c r="H658" s="223">
        <f>(IF((VLOOKUP(Table10[[#This Row],[SKU]],'All Skus'!$A:$AC,2,FALSE))="Martin",(VLOOKUP(Table10[[#This Row],[SKU]],'All Skus'!$A:$AC,9,FALSE)),""))</f>
        <v>0</v>
      </c>
      <c r="I658" s="225">
        <f>(IF((VLOOKUP(Table10[[#This Row],[SKU]],'All Skus'!$A:$AC,2,FALSE))="Martin",(VLOOKUP(Table10[[#This Row],[SKU]],'All Skus'!$A:$AC,10,FALSE)),""))</f>
        <v>0</v>
      </c>
      <c r="J658" s="226">
        <f>(IF((VLOOKUP(Table10[[#This Row],[SKU]],'All Skus'!$A:$AC,2,FALSE))="Martin",(VLOOKUP(Table10[[#This Row],[SKU]],'All Skus'!$A:$AC,11,FALSE)),""))</f>
        <v>0</v>
      </c>
      <c r="K658" s="224">
        <f>(IF((VLOOKUP(Table10[[#This Row],[SKU]],'All Skus'!$A:$AC,2,FALSE))="Martin",(VLOOKUP(Table10[[#This Row],[SKU]],'All Skus'!$A:$AC,15,FALSE)),""))</f>
        <v>0</v>
      </c>
      <c r="L658" s="224">
        <f>(IF((VLOOKUP(Table10[[#This Row],[SKU]],'All Skus'!$A:$AC,2,FALSE))="Martin",(VLOOKUP(Table10[[#This Row],[SKU]],'All Skus'!$A:$AC,16,FALSE)),""))</f>
        <v>0</v>
      </c>
      <c r="M658" s="224">
        <f>(IF((VLOOKUP(Table10[[#This Row],[SKU]],'All Skus'!$A:$AC,2,FALSE))="Martin",(VLOOKUP(Table10[[#This Row],[SKU]],'All Skus'!$A:$AC,17,FALSE)),""))</f>
        <v>0</v>
      </c>
      <c r="N658" s="227">
        <f>(IF((VLOOKUP(Table10[[#This Row],[SKU]],'All Skus'!$A:$AC,2,FALSE))="Martin",(VLOOKUP(Table10[[#This Row],[SKU]],'All Skus'!$A:$AC,18,FALSE)),""))</f>
        <v>0</v>
      </c>
      <c r="O658" s="227">
        <f>(IF((VLOOKUP(Table10[[#This Row],[SKU]],'All Skus'!$A:$AC,2,FALSE))="Martin",(VLOOKUP(Table10[[#This Row],[SKU]],'All Skus'!$A:$AC,19,FALSE)),""))</f>
        <v>0</v>
      </c>
      <c r="P658" s="227">
        <f>(IF((VLOOKUP(Table10[[#This Row],[SKU]],'All Skus'!$A:$AC,2,FALSE))="Martin",(VLOOKUP(Table10[[#This Row],[SKU]],'All Skus'!$A:$AC,20,FALSE)),""))</f>
        <v>0</v>
      </c>
      <c r="Q658" s="227">
        <f>(IF((VLOOKUP(Table10[[#This Row],[SKU]],'All Skus'!$A:$AC,2,FALSE))="Martin",(VLOOKUP(Table10[[#This Row],[SKU]],'All Skus'!$A:$AC,21,FALSE)),""))</f>
        <v>0</v>
      </c>
      <c r="R658" s="224">
        <f>(IF((VLOOKUP(Table10[[#This Row],[SKU]],'All Skus'!$A:$AC,2,FALSE))="Martin",(VLOOKUP(Table10[[#This Row],[SKU]],'All Skus'!$A:$AC,22,FALSE)),""))</f>
        <v>0</v>
      </c>
      <c r="S658" s="223">
        <f>(IF((VLOOKUP(Table10[[#This Row],[SKU]],'All Skus'!$A:$AC,2,FALSE))="Martin",(VLOOKUP(Table10[[#This Row],[SKU]],'All Skus'!$A:$AC,23,FALSE)),""))</f>
        <v>0</v>
      </c>
      <c r="T658" s="212" t="str">
        <f>HYPERLINK((IF((VLOOKUP(Table10[[#This Row],[SKU]],'All Skus'!$A:$AC,2,FALSE))="Martin",(VLOOKUP(Table10[[#This Row],[SKU]],'All Skus'!$A:$AC,24,FALSE)),"")))</f>
        <v/>
      </c>
      <c r="U658" s="228">
        <v>656</v>
      </c>
    </row>
    <row r="659" spans="1:21" hidden="1">
      <c r="A659" s="114" t="s">
        <v>2310</v>
      </c>
      <c r="B659" s="224" t="str">
        <f>(IF((VLOOKUP(Table10[[#This Row],[SKU]],'All Skus'!$A:$AC,2,FALSE))="Martin",(VLOOKUP(Table10[[#This Row],[SKU]],'All Skus'!$A:$AC,3,FALSE)),""))</f>
        <v>Creative Pixels</v>
      </c>
      <c r="C659" s="223" t="str">
        <f>(IF((VLOOKUP(Table10[[#This Row],[SKU]],'All Skus'!$A:$AC,2,FALSE))="Martin",(VLOOKUP(Table10[[#This Row],[SKU]],'All Skus'!$A:$AC,4,FALSE)),""))</f>
        <v>VC-Strip 16x1 25 RGB</v>
      </c>
      <c r="D659" s="224" t="str">
        <f>(IF((VLOOKUP(Table10[[#This Row],[SKU]],'All Skus'!$A:$AC,2,FALSE))="Martin",(VLOOKUP(Table10[[#This Row],[SKU]],'All Skus'!$A:$AC,5,FALSE)),""))</f>
        <v>MAR-VC</v>
      </c>
      <c r="E659" s="223">
        <f>(IF((VLOOKUP(Table10[[#This Row],[SKU]],'All Skus'!$A:$AC,2,FALSE))="Martin",(VLOOKUP(Table10[[#This Row],[SKU]],'All Skus'!$A:$AC,6,FALSE)),""))</f>
        <v>0</v>
      </c>
      <c r="F659" s="155" t="str">
        <f>(IF((VLOOKUP(Table10[[#This Row],[SKU]],'All Skus'!$A:$AC,2,FALSE))="Martin",(VLOOKUP(Table10[[#This Row],[SKU]],'All Skus'!$A:$AC,7,FALSE)),""))</f>
        <v>EOL stage - Significant quantity on stock to sell</v>
      </c>
      <c r="G659" s="223" t="str">
        <f>(IF((VLOOKUP(Table10[[#This Row],[SKU]],'All Skus'!$A:$AC,2,FALSE))="Martin",(VLOOKUP(Table10[[#This Row],[SKU]],'All Skus'!$A:$AC,8,FALSE)),""))</f>
        <v>VC-Strip 16x1 25 RGB</v>
      </c>
      <c r="H659" s="223" t="str">
        <f>(IF((VLOOKUP(Table10[[#This Row],[SKU]],'All Skus'!$A:$AC,2,FALSE))="Martin",(VLOOKUP(Table10[[#This Row],[SKU]],'All Skus'!$A:$AC,9,FALSE)),""))</f>
        <v>VC-Strip 16x1 25 RGB</v>
      </c>
      <c r="I659" s="225">
        <f>(IF((VLOOKUP(Table10[[#This Row],[SKU]],'All Skus'!$A:$AC,2,FALSE))="Martin",(VLOOKUP(Table10[[#This Row],[SKU]],'All Skus'!$A:$AC,10,FALSE)),""))</f>
        <v>160.52000000000001</v>
      </c>
      <c r="J659" s="226">
        <f>(IF((VLOOKUP(Table10[[#This Row],[SKU]],'All Skus'!$A:$AC,2,FALSE))="Martin",(VLOOKUP(Table10[[#This Row],[SKU]],'All Skus'!$A:$AC,11,FALSE)),""))</f>
        <v>160.52000000000001</v>
      </c>
      <c r="K659" s="224" t="str">
        <f>(IF((VLOOKUP(Table10[[#This Row],[SKU]],'All Skus'!$A:$AC,2,FALSE))="Martin",(VLOOKUP(Table10[[#This Row],[SKU]],'All Skus'!$A:$AC,15,FALSE)),""))</f>
        <v/>
      </c>
      <c r="L659" s="224">
        <f>(IF((VLOOKUP(Table10[[#This Row],[SKU]],'All Skus'!$A:$AC,2,FALSE))="Martin",(VLOOKUP(Table10[[#This Row],[SKU]],'All Skus'!$A:$AC,16,FALSE)),""))</f>
        <v>5706681234349</v>
      </c>
      <c r="M659" s="224">
        <f>(IF((VLOOKUP(Table10[[#This Row],[SKU]],'All Skus'!$A:$AC,2,FALSE))="Martin",(VLOOKUP(Table10[[#This Row],[SKU]],'All Skus'!$A:$AC,17,FALSE)),""))</f>
        <v>0</v>
      </c>
      <c r="N659" s="227">
        <f>(IF((VLOOKUP(Table10[[#This Row],[SKU]],'All Skus'!$A:$AC,2,FALSE))="Martin",(VLOOKUP(Table10[[#This Row],[SKU]],'All Skus'!$A:$AC,18,FALSE)),""))</f>
        <v>0</v>
      </c>
      <c r="O659" s="227">
        <f>(IF((VLOOKUP(Table10[[#This Row],[SKU]],'All Skus'!$A:$AC,2,FALSE))="Martin",(VLOOKUP(Table10[[#This Row],[SKU]],'All Skus'!$A:$AC,19,FALSE)),""))</f>
        <v>0</v>
      </c>
      <c r="P659" s="227">
        <f>(IF((VLOOKUP(Table10[[#This Row],[SKU]],'All Skus'!$A:$AC,2,FALSE))="Martin",(VLOOKUP(Table10[[#This Row],[SKU]],'All Skus'!$A:$AC,20,FALSE)),""))</f>
        <v>0</v>
      </c>
      <c r="Q659" s="227">
        <f>(IF((VLOOKUP(Table10[[#This Row],[SKU]],'All Skus'!$A:$AC,2,FALSE))="Martin",(VLOOKUP(Table10[[#This Row],[SKU]],'All Skus'!$A:$AC,21,FALSE)),""))</f>
        <v>0</v>
      </c>
      <c r="R659" s="224" t="str">
        <f>(IF((VLOOKUP(Table10[[#This Row],[SKU]],'All Skus'!$A:$AC,2,FALSE))="Martin",(VLOOKUP(Table10[[#This Row],[SKU]],'All Skus'!$A:$AC,22,FALSE)),""))</f>
        <v>HU</v>
      </c>
      <c r="S659" s="223">
        <f>(IF((VLOOKUP(Table10[[#This Row],[SKU]],'All Skus'!$A:$AC,2,FALSE))="Martin",(VLOOKUP(Table10[[#This Row],[SKU]],'All Skus'!$A:$AC,23,FALSE)),""))</f>
        <v>0</v>
      </c>
      <c r="T659" s="212" t="str">
        <f>HYPERLINK((IF((VLOOKUP(Table10[[#This Row],[SKU]],'All Skus'!$A:$AC,2,FALSE))="Martin",(VLOOKUP(Table10[[#This Row],[SKU]],'All Skus'!$A:$AC,24,FALSE)),"")))</f>
        <v/>
      </c>
      <c r="U659" s="228">
        <v>657</v>
      </c>
    </row>
    <row r="660" spans="1:21" hidden="1">
      <c r="A660" s="114" t="s">
        <v>2311</v>
      </c>
      <c r="B660" s="224" t="str">
        <f>(IF((VLOOKUP(Table10[[#This Row],[SKU]],'All Skus'!$A:$AC,2,FALSE))="Martin",(VLOOKUP(Table10[[#This Row],[SKU]],'All Skus'!$A:$AC,3,FALSE)),""))</f>
        <v>Creative Pixels</v>
      </c>
      <c r="C660" s="223" t="str">
        <f>(IF((VLOOKUP(Table10[[#This Row],[SKU]],'All Skus'!$A:$AC,2,FALSE))="Martin",(VLOOKUP(Table10[[#This Row],[SKU]],'All Skus'!$A:$AC,4,FALSE)),""))</f>
        <v>VC-Strip 8x1 25 RGB</v>
      </c>
      <c r="D660" s="224" t="str">
        <f>(IF((VLOOKUP(Table10[[#This Row],[SKU]],'All Skus'!$A:$AC,2,FALSE))="Martin",(VLOOKUP(Table10[[#This Row],[SKU]],'All Skus'!$A:$AC,5,FALSE)),""))</f>
        <v>MAR-VC</v>
      </c>
      <c r="E660" s="223">
        <f>(IF((VLOOKUP(Table10[[#This Row],[SKU]],'All Skus'!$A:$AC,2,FALSE))="Martin",(VLOOKUP(Table10[[#This Row],[SKU]],'All Skus'!$A:$AC,6,FALSE)),""))</f>
        <v>0</v>
      </c>
      <c r="F660" s="155" t="str">
        <f>(IF((VLOOKUP(Table10[[#This Row],[SKU]],'All Skus'!$A:$AC,2,FALSE))="Martin",(VLOOKUP(Table10[[#This Row],[SKU]],'All Skus'!$A:$AC,7,FALSE)),""))</f>
        <v>EOL stage - Significant quantity on stock to sell</v>
      </c>
      <c r="G660" s="223" t="str">
        <f>(IF((VLOOKUP(Table10[[#This Row],[SKU]],'All Skus'!$A:$AC,2,FALSE))="Martin",(VLOOKUP(Table10[[#This Row],[SKU]],'All Skus'!$A:$AC,8,FALSE)),""))</f>
        <v>VC-Strip 8x1 25 RGB</v>
      </c>
      <c r="H660" s="223" t="str">
        <f>(IF((VLOOKUP(Table10[[#This Row],[SKU]],'All Skus'!$A:$AC,2,FALSE))="Martin",(VLOOKUP(Table10[[#This Row],[SKU]],'All Skus'!$A:$AC,9,FALSE)),""))</f>
        <v>VC-Strip 8x1 25 RGB</v>
      </c>
      <c r="I660" s="225">
        <f>(IF((VLOOKUP(Table10[[#This Row],[SKU]],'All Skus'!$A:$AC,2,FALSE))="Martin",(VLOOKUP(Table10[[#This Row],[SKU]],'All Skus'!$A:$AC,10,FALSE)),""))</f>
        <v>140.76</v>
      </c>
      <c r="J660" s="226">
        <f>(IF((VLOOKUP(Table10[[#This Row],[SKU]],'All Skus'!$A:$AC,2,FALSE))="Martin",(VLOOKUP(Table10[[#This Row],[SKU]],'All Skus'!$A:$AC,11,FALSE)),""))</f>
        <v>140.76</v>
      </c>
      <c r="K660" s="224" t="str">
        <f>(IF((VLOOKUP(Table10[[#This Row],[SKU]],'All Skus'!$A:$AC,2,FALSE))="Martin",(VLOOKUP(Table10[[#This Row],[SKU]],'All Skus'!$A:$AC,15,FALSE)),""))</f>
        <v/>
      </c>
      <c r="L660" s="224">
        <f>(IF((VLOOKUP(Table10[[#This Row],[SKU]],'All Skus'!$A:$AC,2,FALSE))="Martin",(VLOOKUP(Table10[[#This Row],[SKU]],'All Skus'!$A:$AC,16,FALSE)),""))</f>
        <v>5706681234370</v>
      </c>
      <c r="M660" s="224">
        <f>(IF((VLOOKUP(Table10[[#This Row],[SKU]],'All Skus'!$A:$AC,2,FALSE))="Martin",(VLOOKUP(Table10[[#This Row],[SKU]],'All Skus'!$A:$AC,17,FALSE)),""))</f>
        <v>0</v>
      </c>
      <c r="N660" s="227">
        <f>(IF((VLOOKUP(Table10[[#This Row],[SKU]],'All Skus'!$A:$AC,2,FALSE))="Martin",(VLOOKUP(Table10[[#This Row],[SKU]],'All Skus'!$A:$AC,18,FALSE)),""))</f>
        <v>0</v>
      </c>
      <c r="O660" s="227">
        <f>(IF((VLOOKUP(Table10[[#This Row],[SKU]],'All Skus'!$A:$AC,2,FALSE))="Martin",(VLOOKUP(Table10[[#This Row],[SKU]],'All Skus'!$A:$AC,19,FALSE)),""))</f>
        <v>0</v>
      </c>
      <c r="P660" s="227">
        <f>(IF((VLOOKUP(Table10[[#This Row],[SKU]],'All Skus'!$A:$AC,2,FALSE))="Martin",(VLOOKUP(Table10[[#This Row],[SKU]],'All Skus'!$A:$AC,20,FALSE)),""))</f>
        <v>0</v>
      </c>
      <c r="Q660" s="227">
        <f>(IF((VLOOKUP(Table10[[#This Row],[SKU]],'All Skus'!$A:$AC,2,FALSE))="Martin",(VLOOKUP(Table10[[#This Row],[SKU]],'All Skus'!$A:$AC,21,FALSE)),""))</f>
        <v>0</v>
      </c>
      <c r="R660" s="224" t="str">
        <f>(IF((VLOOKUP(Table10[[#This Row],[SKU]],'All Skus'!$A:$AC,2,FALSE))="Martin",(VLOOKUP(Table10[[#This Row],[SKU]],'All Skus'!$A:$AC,22,FALSE)),""))</f>
        <v>HU</v>
      </c>
      <c r="S660" s="223">
        <f>(IF((VLOOKUP(Table10[[#This Row],[SKU]],'All Skus'!$A:$AC,2,FALSE))="Martin",(VLOOKUP(Table10[[#This Row],[SKU]],'All Skus'!$A:$AC,23,FALSE)),""))</f>
        <v>0</v>
      </c>
      <c r="T660" s="212" t="str">
        <f>HYPERLINK((IF((VLOOKUP(Table10[[#This Row],[SKU]],'All Skus'!$A:$AC,2,FALSE))="Martin",(VLOOKUP(Table10[[#This Row],[SKU]],'All Skus'!$A:$AC,24,FALSE)),"")))</f>
        <v>http://www.martin.com/en-us/product-details/vc-strip</v>
      </c>
      <c r="U660" s="228">
        <v>658</v>
      </c>
    </row>
    <row r="661" spans="1:21" hidden="1">
      <c r="A661" s="115" t="s">
        <v>2312</v>
      </c>
      <c r="B661" s="224">
        <f>(IF((VLOOKUP(Table10[[#This Row],[SKU]],'All Skus'!$A:$AC,2,FALSE))="Martin",(VLOOKUP(Table10[[#This Row],[SKU]],'All Skus'!$A:$AC,3,FALSE)),""))</f>
        <v>0</v>
      </c>
      <c r="C661" s="223">
        <f>(IF((VLOOKUP(Table10[[#This Row],[SKU]],'All Skus'!$A:$AC,2,FALSE))="Martin",(VLOOKUP(Table10[[#This Row],[SKU]],'All Skus'!$A:$AC,4,FALSE)),""))</f>
        <v>0</v>
      </c>
      <c r="D661" s="224">
        <f>(IF((VLOOKUP(Table10[[#This Row],[SKU]],'All Skus'!$A:$AC,2,FALSE))="Martin",(VLOOKUP(Table10[[#This Row],[SKU]],'All Skus'!$A:$AC,5,FALSE)),""))</f>
        <v>0</v>
      </c>
      <c r="E661" s="223">
        <f>(IF((VLOOKUP(Table10[[#This Row],[SKU]],'All Skus'!$A:$AC,2,FALSE))="Martin",(VLOOKUP(Table10[[#This Row],[SKU]],'All Skus'!$A:$AC,6,FALSE)),""))</f>
        <v>0</v>
      </c>
      <c r="F661" s="155">
        <f>(IF((VLOOKUP(Table10[[#This Row],[SKU]],'All Skus'!$A:$AC,2,FALSE))="Martin",(VLOOKUP(Table10[[#This Row],[SKU]],'All Skus'!$A:$AC,7,FALSE)),""))</f>
        <v>0</v>
      </c>
      <c r="G661" s="223">
        <f>(IF((VLOOKUP(Table10[[#This Row],[SKU]],'All Skus'!$A:$AC,2,FALSE))="Martin",(VLOOKUP(Table10[[#This Row],[SKU]],'All Skus'!$A:$AC,8,FALSE)),""))</f>
        <v>0</v>
      </c>
      <c r="H661" s="223">
        <f>(IF((VLOOKUP(Table10[[#This Row],[SKU]],'All Skus'!$A:$AC,2,FALSE))="Martin",(VLOOKUP(Table10[[#This Row],[SKU]],'All Skus'!$A:$AC,9,FALSE)),""))</f>
        <v>0</v>
      </c>
      <c r="I661" s="225">
        <f>(IF((VLOOKUP(Table10[[#This Row],[SKU]],'All Skus'!$A:$AC,2,FALSE))="Martin",(VLOOKUP(Table10[[#This Row],[SKU]],'All Skus'!$A:$AC,10,FALSE)),""))</f>
        <v>0</v>
      </c>
      <c r="J661" s="226">
        <f>(IF((VLOOKUP(Table10[[#This Row],[SKU]],'All Skus'!$A:$AC,2,FALSE))="Martin",(VLOOKUP(Table10[[#This Row],[SKU]],'All Skus'!$A:$AC,11,FALSE)),""))</f>
        <v>0</v>
      </c>
      <c r="K661" s="224">
        <f>(IF((VLOOKUP(Table10[[#This Row],[SKU]],'All Skus'!$A:$AC,2,FALSE))="Martin",(VLOOKUP(Table10[[#This Row],[SKU]],'All Skus'!$A:$AC,15,FALSE)),""))</f>
        <v>0</v>
      </c>
      <c r="L661" s="224">
        <f>(IF((VLOOKUP(Table10[[#This Row],[SKU]],'All Skus'!$A:$AC,2,FALSE))="Martin",(VLOOKUP(Table10[[#This Row],[SKU]],'All Skus'!$A:$AC,16,FALSE)),""))</f>
        <v>0</v>
      </c>
      <c r="M661" s="224">
        <f>(IF((VLOOKUP(Table10[[#This Row],[SKU]],'All Skus'!$A:$AC,2,FALSE))="Martin",(VLOOKUP(Table10[[#This Row],[SKU]],'All Skus'!$A:$AC,17,FALSE)),""))</f>
        <v>0</v>
      </c>
      <c r="N661" s="227">
        <f>(IF((VLOOKUP(Table10[[#This Row],[SKU]],'All Skus'!$A:$AC,2,FALSE))="Martin",(VLOOKUP(Table10[[#This Row],[SKU]],'All Skus'!$A:$AC,18,FALSE)),""))</f>
        <v>0</v>
      </c>
      <c r="O661" s="227">
        <f>(IF((VLOOKUP(Table10[[#This Row],[SKU]],'All Skus'!$A:$AC,2,FALSE))="Martin",(VLOOKUP(Table10[[#This Row],[SKU]],'All Skus'!$A:$AC,19,FALSE)),""))</f>
        <v>0</v>
      </c>
      <c r="P661" s="227">
        <f>(IF((VLOOKUP(Table10[[#This Row],[SKU]],'All Skus'!$A:$AC,2,FALSE))="Martin",(VLOOKUP(Table10[[#This Row],[SKU]],'All Skus'!$A:$AC,20,FALSE)),""))</f>
        <v>0</v>
      </c>
      <c r="Q661" s="227">
        <f>(IF((VLOOKUP(Table10[[#This Row],[SKU]],'All Skus'!$A:$AC,2,FALSE))="Martin",(VLOOKUP(Table10[[#This Row],[SKU]],'All Skus'!$A:$AC,21,FALSE)),""))</f>
        <v>0</v>
      </c>
      <c r="R661" s="224">
        <f>(IF((VLOOKUP(Table10[[#This Row],[SKU]],'All Skus'!$A:$AC,2,FALSE))="Martin",(VLOOKUP(Table10[[#This Row],[SKU]],'All Skus'!$A:$AC,22,FALSE)),""))</f>
        <v>0</v>
      </c>
      <c r="S661" s="223">
        <f>(IF((VLOOKUP(Table10[[#This Row],[SKU]],'All Skus'!$A:$AC,2,FALSE))="Martin",(VLOOKUP(Table10[[#This Row],[SKU]],'All Skus'!$A:$AC,23,FALSE)),""))</f>
        <v>0</v>
      </c>
      <c r="T661" s="212" t="str">
        <f>HYPERLINK((IF((VLOOKUP(Table10[[#This Row],[SKU]],'All Skus'!$A:$AC,2,FALSE))="Martin",(VLOOKUP(Table10[[#This Row],[SKU]],'All Skus'!$A:$AC,24,FALSE)),"")))</f>
        <v/>
      </c>
      <c r="U661" s="228">
        <v>659</v>
      </c>
    </row>
    <row r="662" spans="1:21" hidden="1">
      <c r="A662" s="114" t="s">
        <v>2313</v>
      </c>
      <c r="B662" s="224" t="str">
        <f>(IF((VLOOKUP(Table10[[#This Row],[SKU]],'All Skus'!$A:$AC,2,FALSE))="Martin",(VLOOKUP(Table10[[#This Row],[SKU]],'All Skus'!$A:$AC,3,FALSE)),""))</f>
        <v>Creative Pixels</v>
      </c>
      <c r="C662" s="223" t="str">
        <f>(IF((VLOOKUP(Table10[[#This Row],[SKU]],'All Skus'!$A:$AC,2,FALSE))="Martin",(VLOOKUP(Table10[[#This Row],[SKU]],'All Skus'!$A:$AC,4,FALSE)),""))</f>
        <v>VC-Strip 32x1 15 RGB</v>
      </c>
      <c r="D662" s="224" t="str">
        <f>(IF((VLOOKUP(Table10[[#This Row],[SKU]],'All Skus'!$A:$AC,2,FALSE))="Martin",(VLOOKUP(Table10[[#This Row],[SKU]],'All Skus'!$A:$AC,5,FALSE)),""))</f>
        <v>MAR-VC</v>
      </c>
      <c r="E662" s="223">
        <f>(IF((VLOOKUP(Table10[[#This Row],[SKU]],'All Skus'!$A:$AC,2,FALSE))="Martin",(VLOOKUP(Table10[[#This Row],[SKU]],'All Skus'!$A:$AC,6,FALSE)),""))</f>
        <v>0</v>
      </c>
      <c r="F662" s="155" t="str">
        <f>(IF((VLOOKUP(Table10[[#This Row],[SKU]],'All Skus'!$A:$AC,2,FALSE))="Martin",(VLOOKUP(Table10[[#This Row],[SKU]],'All Skus'!$A:$AC,7,FALSE)),""))</f>
        <v>EOL stage - Limited availability may apply</v>
      </c>
      <c r="G662" s="223" t="str">
        <f>(IF((VLOOKUP(Table10[[#This Row],[SKU]],'All Skus'!$A:$AC,2,FALSE))="Martin",(VLOOKUP(Table10[[#This Row],[SKU]],'All Skus'!$A:$AC,8,FALSE)),""))</f>
        <v>VC-Strip 32x1 15 RGB</v>
      </c>
      <c r="H662" s="223" t="str">
        <f>(IF((VLOOKUP(Table10[[#This Row],[SKU]],'All Skus'!$A:$AC,2,FALSE))="Martin",(VLOOKUP(Table10[[#This Row],[SKU]],'All Skus'!$A:$AC,9,FALSE)),""))</f>
        <v>VC-Strip 32x1 15 RGB</v>
      </c>
      <c r="I662" s="225">
        <f>(IF((VLOOKUP(Table10[[#This Row],[SKU]],'All Skus'!$A:$AC,2,FALSE))="Martin",(VLOOKUP(Table10[[#This Row],[SKU]],'All Skus'!$A:$AC,10,FALSE)),""))</f>
        <v>198.8</v>
      </c>
      <c r="J662" s="226">
        <f>(IF((VLOOKUP(Table10[[#This Row],[SKU]],'All Skus'!$A:$AC,2,FALSE))="Martin",(VLOOKUP(Table10[[#This Row],[SKU]],'All Skus'!$A:$AC,11,FALSE)),""))</f>
        <v>198.8</v>
      </c>
      <c r="K662" s="224" t="str">
        <f>(IF((VLOOKUP(Table10[[#This Row],[SKU]],'All Skus'!$A:$AC,2,FALSE))="Martin",(VLOOKUP(Table10[[#This Row],[SKU]],'All Skus'!$A:$AC,15,FALSE)),""))</f>
        <v/>
      </c>
      <c r="L662" s="224">
        <f>(IF((VLOOKUP(Table10[[#This Row],[SKU]],'All Skus'!$A:$AC,2,FALSE))="Martin",(VLOOKUP(Table10[[#This Row],[SKU]],'All Skus'!$A:$AC,16,FALSE)),""))</f>
        <v>5706681234417</v>
      </c>
      <c r="M662" s="224">
        <f>(IF((VLOOKUP(Table10[[#This Row],[SKU]],'All Skus'!$A:$AC,2,FALSE))="Martin",(VLOOKUP(Table10[[#This Row],[SKU]],'All Skus'!$A:$AC,17,FALSE)),""))</f>
        <v>0</v>
      </c>
      <c r="N662" s="227">
        <f>(IF((VLOOKUP(Table10[[#This Row],[SKU]],'All Skus'!$A:$AC,2,FALSE))="Martin",(VLOOKUP(Table10[[#This Row],[SKU]],'All Skus'!$A:$AC,18,FALSE)),""))</f>
        <v>0</v>
      </c>
      <c r="O662" s="227">
        <f>(IF((VLOOKUP(Table10[[#This Row],[SKU]],'All Skus'!$A:$AC,2,FALSE))="Martin",(VLOOKUP(Table10[[#This Row],[SKU]],'All Skus'!$A:$AC,19,FALSE)),""))</f>
        <v>0</v>
      </c>
      <c r="P662" s="227">
        <f>(IF((VLOOKUP(Table10[[#This Row],[SKU]],'All Skus'!$A:$AC,2,FALSE))="Martin",(VLOOKUP(Table10[[#This Row],[SKU]],'All Skus'!$A:$AC,20,FALSE)),""))</f>
        <v>0</v>
      </c>
      <c r="Q662" s="227">
        <f>(IF((VLOOKUP(Table10[[#This Row],[SKU]],'All Skus'!$A:$AC,2,FALSE))="Martin",(VLOOKUP(Table10[[#This Row],[SKU]],'All Skus'!$A:$AC,21,FALSE)),""))</f>
        <v>0</v>
      </c>
      <c r="R662" s="224" t="str">
        <f>(IF((VLOOKUP(Table10[[#This Row],[SKU]],'All Skus'!$A:$AC,2,FALSE))="Martin",(VLOOKUP(Table10[[#This Row],[SKU]],'All Skus'!$A:$AC,22,FALSE)),""))</f>
        <v>HU</v>
      </c>
      <c r="S662" s="223">
        <f>(IF((VLOOKUP(Table10[[#This Row],[SKU]],'All Skus'!$A:$AC,2,FALSE))="Martin",(VLOOKUP(Table10[[#This Row],[SKU]],'All Skus'!$A:$AC,23,FALSE)),""))</f>
        <v>0</v>
      </c>
      <c r="T662" s="212" t="str">
        <f>HYPERLINK((IF((VLOOKUP(Table10[[#This Row],[SKU]],'All Skus'!$A:$AC,2,FALSE))="Martin",(VLOOKUP(Table10[[#This Row],[SKU]],'All Skus'!$A:$AC,24,FALSE)),"")))</f>
        <v/>
      </c>
      <c r="U662" s="228">
        <v>660</v>
      </c>
    </row>
    <row r="663" spans="1:21" hidden="1">
      <c r="A663" s="114" t="s">
        <v>2314</v>
      </c>
      <c r="B663" s="224" t="str">
        <f>(IF((VLOOKUP(Table10[[#This Row],[SKU]],'All Skus'!$A:$AC,2,FALSE))="Martin",(VLOOKUP(Table10[[#This Row],[SKU]],'All Skus'!$A:$AC,3,FALSE)),""))</f>
        <v>Creative Pixels</v>
      </c>
      <c r="C663" s="223" t="str">
        <f>(IF((VLOOKUP(Table10[[#This Row],[SKU]],'All Skus'!$A:$AC,2,FALSE))="Martin",(VLOOKUP(Table10[[#This Row],[SKU]],'All Skus'!$A:$AC,4,FALSE)),""))</f>
        <v xml:space="preserve">VC-Strip 16x1 15 RGB </v>
      </c>
      <c r="D663" s="224" t="str">
        <f>(IF((VLOOKUP(Table10[[#This Row],[SKU]],'All Skus'!$A:$AC,2,FALSE))="Martin",(VLOOKUP(Table10[[#This Row],[SKU]],'All Skus'!$A:$AC,5,FALSE)),""))</f>
        <v>MAR-VC</v>
      </c>
      <c r="E663" s="223">
        <f>(IF((VLOOKUP(Table10[[#This Row],[SKU]],'All Skus'!$A:$AC,2,FALSE))="Martin",(VLOOKUP(Table10[[#This Row],[SKU]],'All Skus'!$A:$AC,6,FALSE)),""))</f>
        <v>0</v>
      </c>
      <c r="F663" s="155" t="str">
        <f>(IF((VLOOKUP(Table10[[#This Row],[SKU]],'All Skus'!$A:$AC,2,FALSE))="Martin",(VLOOKUP(Table10[[#This Row],[SKU]],'All Skus'!$A:$AC,7,FALSE)),""))</f>
        <v>EOL stage - Limited availability may apply</v>
      </c>
      <c r="G663" s="223" t="str">
        <f>(IF((VLOOKUP(Table10[[#This Row],[SKU]],'All Skus'!$A:$AC,2,FALSE))="Martin",(VLOOKUP(Table10[[#This Row],[SKU]],'All Skus'!$A:$AC,8,FALSE)),""))</f>
        <v xml:space="preserve">VC-Strip 16x1 15 RGB </v>
      </c>
      <c r="H663" s="223" t="str">
        <f>(IF((VLOOKUP(Table10[[#This Row],[SKU]],'All Skus'!$A:$AC,2,FALSE))="Martin",(VLOOKUP(Table10[[#This Row],[SKU]],'All Skus'!$A:$AC,9,FALSE)),""))</f>
        <v xml:space="preserve">VC-Strip 16x1 15 RGB </v>
      </c>
      <c r="I663" s="225">
        <f>(IF((VLOOKUP(Table10[[#This Row],[SKU]],'All Skus'!$A:$AC,2,FALSE))="Martin",(VLOOKUP(Table10[[#This Row],[SKU]],'All Skus'!$A:$AC,10,FALSE)),""))</f>
        <v>166.69</v>
      </c>
      <c r="J663" s="226">
        <f>(IF((VLOOKUP(Table10[[#This Row],[SKU]],'All Skus'!$A:$AC,2,FALSE))="Martin",(VLOOKUP(Table10[[#This Row],[SKU]],'All Skus'!$A:$AC,11,FALSE)),""))</f>
        <v>166.69</v>
      </c>
      <c r="K663" s="224" t="str">
        <f>(IF((VLOOKUP(Table10[[#This Row],[SKU]],'All Skus'!$A:$AC,2,FALSE))="Martin",(VLOOKUP(Table10[[#This Row],[SKU]],'All Skus'!$A:$AC,15,FALSE)),""))</f>
        <v/>
      </c>
      <c r="L663" s="224">
        <f>(IF((VLOOKUP(Table10[[#This Row],[SKU]],'All Skus'!$A:$AC,2,FALSE))="Martin",(VLOOKUP(Table10[[#This Row],[SKU]],'All Skus'!$A:$AC,16,FALSE)),""))</f>
        <v>5706681234424</v>
      </c>
      <c r="M663" s="224">
        <f>(IF((VLOOKUP(Table10[[#This Row],[SKU]],'All Skus'!$A:$AC,2,FALSE))="Martin",(VLOOKUP(Table10[[#This Row],[SKU]],'All Skus'!$A:$AC,17,FALSE)),""))</f>
        <v>0</v>
      </c>
      <c r="N663" s="227">
        <f>(IF((VLOOKUP(Table10[[#This Row],[SKU]],'All Skus'!$A:$AC,2,FALSE))="Martin",(VLOOKUP(Table10[[#This Row],[SKU]],'All Skus'!$A:$AC,18,FALSE)),""))</f>
        <v>0</v>
      </c>
      <c r="O663" s="227">
        <f>(IF((VLOOKUP(Table10[[#This Row],[SKU]],'All Skus'!$A:$AC,2,FALSE))="Martin",(VLOOKUP(Table10[[#This Row],[SKU]],'All Skus'!$A:$AC,19,FALSE)),""))</f>
        <v>0</v>
      </c>
      <c r="P663" s="227">
        <f>(IF((VLOOKUP(Table10[[#This Row],[SKU]],'All Skus'!$A:$AC,2,FALSE))="Martin",(VLOOKUP(Table10[[#This Row],[SKU]],'All Skus'!$A:$AC,20,FALSE)),""))</f>
        <v>0</v>
      </c>
      <c r="Q663" s="227">
        <f>(IF((VLOOKUP(Table10[[#This Row],[SKU]],'All Skus'!$A:$AC,2,FALSE))="Martin",(VLOOKUP(Table10[[#This Row],[SKU]],'All Skus'!$A:$AC,21,FALSE)),""))</f>
        <v>0</v>
      </c>
      <c r="R663" s="224" t="str">
        <f>(IF((VLOOKUP(Table10[[#This Row],[SKU]],'All Skus'!$A:$AC,2,FALSE))="Martin",(VLOOKUP(Table10[[#This Row],[SKU]],'All Skus'!$A:$AC,22,FALSE)),""))</f>
        <v>HU</v>
      </c>
      <c r="S663" s="223">
        <f>(IF((VLOOKUP(Table10[[#This Row],[SKU]],'All Skus'!$A:$AC,2,FALSE))="Martin",(VLOOKUP(Table10[[#This Row],[SKU]],'All Skus'!$A:$AC,23,FALSE)),""))</f>
        <v>0</v>
      </c>
      <c r="T663" s="212" t="str">
        <f>HYPERLINK((IF((VLOOKUP(Table10[[#This Row],[SKU]],'All Skus'!$A:$AC,2,FALSE))="Martin",(VLOOKUP(Table10[[#This Row],[SKU]],'All Skus'!$A:$AC,24,FALSE)),"")))</f>
        <v>http://www.martin.com/en-us/product-details/vc-strip-15</v>
      </c>
      <c r="U663" s="228">
        <v>661</v>
      </c>
    </row>
    <row r="664" spans="1:21" hidden="1">
      <c r="A664" s="111" t="s">
        <v>2315</v>
      </c>
      <c r="B664" s="224">
        <f>(IF((VLOOKUP(Table10[[#This Row],[SKU]],'All Skus'!$A:$AC,2,FALSE))="Martin",(VLOOKUP(Table10[[#This Row],[SKU]],'All Skus'!$A:$AC,3,FALSE)),""))</f>
        <v>0</v>
      </c>
      <c r="C664" s="223">
        <f>(IF((VLOOKUP(Table10[[#This Row],[SKU]],'All Skus'!$A:$AC,2,FALSE))="Martin",(VLOOKUP(Table10[[#This Row],[SKU]],'All Skus'!$A:$AC,4,FALSE)),""))</f>
        <v>0</v>
      </c>
      <c r="D664" s="224">
        <f>(IF((VLOOKUP(Table10[[#This Row],[SKU]],'All Skus'!$A:$AC,2,FALSE))="Martin",(VLOOKUP(Table10[[#This Row],[SKU]],'All Skus'!$A:$AC,5,FALSE)),""))</f>
        <v>0</v>
      </c>
      <c r="E664" s="223">
        <f>(IF((VLOOKUP(Table10[[#This Row],[SKU]],'All Skus'!$A:$AC,2,FALSE))="Martin",(VLOOKUP(Table10[[#This Row],[SKU]],'All Skus'!$A:$AC,6,FALSE)),""))</f>
        <v>0</v>
      </c>
      <c r="F664" s="155">
        <f>(IF((VLOOKUP(Table10[[#This Row],[SKU]],'All Skus'!$A:$AC,2,FALSE))="Martin",(VLOOKUP(Table10[[#This Row],[SKU]],'All Skus'!$A:$AC,7,FALSE)),""))</f>
        <v>0</v>
      </c>
      <c r="G664" s="223">
        <f>(IF((VLOOKUP(Table10[[#This Row],[SKU]],'All Skus'!$A:$AC,2,FALSE))="Martin",(VLOOKUP(Table10[[#This Row],[SKU]],'All Skus'!$A:$AC,8,FALSE)),""))</f>
        <v>0</v>
      </c>
      <c r="H664" s="223">
        <f>(IF((VLOOKUP(Table10[[#This Row],[SKU]],'All Skus'!$A:$AC,2,FALSE))="Martin",(VLOOKUP(Table10[[#This Row],[SKU]],'All Skus'!$A:$AC,9,FALSE)),""))</f>
        <v>0</v>
      </c>
      <c r="I664" s="225">
        <f>(IF((VLOOKUP(Table10[[#This Row],[SKU]],'All Skus'!$A:$AC,2,FALSE))="Martin",(VLOOKUP(Table10[[#This Row],[SKU]],'All Skus'!$A:$AC,10,FALSE)),""))</f>
        <v>0</v>
      </c>
      <c r="J664" s="226">
        <f>(IF((VLOOKUP(Table10[[#This Row],[SKU]],'All Skus'!$A:$AC,2,FALSE))="Martin",(VLOOKUP(Table10[[#This Row],[SKU]],'All Skus'!$A:$AC,11,FALSE)),""))</f>
        <v>0</v>
      </c>
      <c r="K664" s="224">
        <f>(IF((VLOOKUP(Table10[[#This Row],[SKU]],'All Skus'!$A:$AC,2,FALSE))="Martin",(VLOOKUP(Table10[[#This Row],[SKU]],'All Skus'!$A:$AC,15,FALSE)),""))</f>
        <v>0</v>
      </c>
      <c r="L664" s="224">
        <f>(IF((VLOOKUP(Table10[[#This Row],[SKU]],'All Skus'!$A:$AC,2,FALSE))="Martin",(VLOOKUP(Table10[[#This Row],[SKU]],'All Skus'!$A:$AC,16,FALSE)),""))</f>
        <v>0</v>
      </c>
      <c r="M664" s="224">
        <f>(IF((VLOOKUP(Table10[[#This Row],[SKU]],'All Skus'!$A:$AC,2,FALSE))="Martin",(VLOOKUP(Table10[[#This Row],[SKU]],'All Skus'!$A:$AC,17,FALSE)),""))</f>
        <v>0</v>
      </c>
      <c r="N664" s="227">
        <f>(IF((VLOOKUP(Table10[[#This Row],[SKU]],'All Skus'!$A:$AC,2,FALSE))="Martin",(VLOOKUP(Table10[[#This Row],[SKU]],'All Skus'!$A:$AC,18,FALSE)),""))</f>
        <v>0</v>
      </c>
      <c r="O664" s="227">
        <f>(IF((VLOOKUP(Table10[[#This Row],[SKU]],'All Skus'!$A:$AC,2,FALSE))="Martin",(VLOOKUP(Table10[[#This Row],[SKU]],'All Skus'!$A:$AC,19,FALSE)),""))</f>
        <v>0</v>
      </c>
      <c r="P664" s="227">
        <f>(IF((VLOOKUP(Table10[[#This Row],[SKU]],'All Skus'!$A:$AC,2,FALSE))="Martin",(VLOOKUP(Table10[[#This Row],[SKU]],'All Skus'!$A:$AC,20,FALSE)),""))</f>
        <v>0</v>
      </c>
      <c r="Q664" s="227">
        <f>(IF((VLOOKUP(Table10[[#This Row],[SKU]],'All Skus'!$A:$AC,2,FALSE))="Martin",(VLOOKUP(Table10[[#This Row],[SKU]],'All Skus'!$A:$AC,21,FALSE)),""))</f>
        <v>0</v>
      </c>
      <c r="R664" s="224">
        <f>(IF((VLOOKUP(Table10[[#This Row],[SKU]],'All Skus'!$A:$AC,2,FALSE))="Martin",(VLOOKUP(Table10[[#This Row],[SKU]],'All Skus'!$A:$AC,22,FALSE)),""))</f>
        <v>0</v>
      </c>
      <c r="S664" s="223">
        <f>(IF((VLOOKUP(Table10[[#This Row],[SKU]],'All Skus'!$A:$AC,2,FALSE))="Martin",(VLOOKUP(Table10[[#This Row],[SKU]],'All Skus'!$A:$AC,23,FALSE)),""))</f>
        <v>0</v>
      </c>
      <c r="T664" s="212" t="str">
        <f>HYPERLINK((IF((VLOOKUP(Table10[[#This Row],[SKU]],'All Skus'!$A:$AC,2,FALSE))="Martin",(VLOOKUP(Table10[[#This Row],[SKU]],'All Skus'!$A:$AC,24,FALSE)),"")))</f>
        <v/>
      </c>
      <c r="U664" s="228">
        <v>662</v>
      </c>
    </row>
    <row r="665" spans="1:21" hidden="1">
      <c r="A665" s="115" t="s">
        <v>2316</v>
      </c>
      <c r="B665" s="224">
        <f>(IF((VLOOKUP(Table10[[#This Row],[SKU]],'All Skus'!$A:$AC,2,FALSE))="Martin",(VLOOKUP(Table10[[#This Row],[SKU]],'All Skus'!$A:$AC,3,FALSE)),""))</f>
        <v>0</v>
      </c>
      <c r="C665" s="223">
        <f>(IF((VLOOKUP(Table10[[#This Row],[SKU]],'All Skus'!$A:$AC,2,FALSE))="Martin",(VLOOKUP(Table10[[#This Row],[SKU]],'All Skus'!$A:$AC,4,FALSE)),""))</f>
        <v>0</v>
      </c>
      <c r="D665" s="224">
        <f>(IF((VLOOKUP(Table10[[#This Row],[SKU]],'All Skus'!$A:$AC,2,FALSE))="Martin",(VLOOKUP(Table10[[#This Row],[SKU]],'All Skus'!$A:$AC,5,FALSE)),""))</f>
        <v>0</v>
      </c>
      <c r="E665" s="223">
        <f>(IF((VLOOKUP(Table10[[#This Row],[SKU]],'All Skus'!$A:$AC,2,FALSE))="Martin",(VLOOKUP(Table10[[#This Row],[SKU]],'All Skus'!$A:$AC,6,FALSE)),""))</f>
        <v>0</v>
      </c>
      <c r="F665" s="155">
        <f>(IF((VLOOKUP(Table10[[#This Row],[SKU]],'All Skus'!$A:$AC,2,FALSE))="Martin",(VLOOKUP(Table10[[#This Row],[SKU]],'All Skus'!$A:$AC,7,FALSE)),""))</f>
        <v>0</v>
      </c>
      <c r="G665" s="223">
        <f>(IF((VLOOKUP(Table10[[#This Row],[SKU]],'All Skus'!$A:$AC,2,FALSE))="Martin",(VLOOKUP(Table10[[#This Row],[SKU]],'All Skus'!$A:$AC,8,FALSE)),""))</f>
        <v>0</v>
      </c>
      <c r="H665" s="223">
        <f>(IF((VLOOKUP(Table10[[#This Row],[SKU]],'All Skus'!$A:$AC,2,FALSE))="Martin",(VLOOKUP(Table10[[#This Row],[SKU]],'All Skus'!$A:$AC,9,FALSE)),""))</f>
        <v>0</v>
      </c>
      <c r="I665" s="225">
        <f>(IF((VLOOKUP(Table10[[#This Row],[SKU]],'All Skus'!$A:$AC,2,FALSE))="Martin",(VLOOKUP(Table10[[#This Row],[SKU]],'All Skus'!$A:$AC,10,FALSE)),""))</f>
        <v>0</v>
      </c>
      <c r="J665" s="226">
        <f>(IF((VLOOKUP(Table10[[#This Row],[SKU]],'All Skus'!$A:$AC,2,FALSE))="Martin",(VLOOKUP(Table10[[#This Row],[SKU]],'All Skus'!$A:$AC,11,FALSE)),""))</f>
        <v>0</v>
      </c>
      <c r="K665" s="224">
        <f>(IF((VLOOKUP(Table10[[#This Row],[SKU]],'All Skus'!$A:$AC,2,FALSE))="Martin",(VLOOKUP(Table10[[#This Row],[SKU]],'All Skus'!$A:$AC,15,FALSE)),""))</f>
        <v>0</v>
      </c>
      <c r="L665" s="224">
        <f>(IF((VLOOKUP(Table10[[#This Row],[SKU]],'All Skus'!$A:$AC,2,FALSE))="Martin",(VLOOKUP(Table10[[#This Row],[SKU]],'All Skus'!$A:$AC,16,FALSE)),""))</f>
        <v>0</v>
      </c>
      <c r="M665" s="224">
        <f>(IF((VLOOKUP(Table10[[#This Row],[SKU]],'All Skus'!$A:$AC,2,FALSE))="Martin",(VLOOKUP(Table10[[#This Row],[SKU]],'All Skus'!$A:$AC,17,FALSE)),""))</f>
        <v>0</v>
      </c>
      <c r="N665" s="227">
        <f>(IF((VLOOKUP(Table10[[#This Row],[SKU]],'All Skus'!$A:$AC,2,FALSE))="Martin",(VLOOKUP(Table10[[#This Row],[SKU]],'All Skus'!$A:$AC,18,FALSE)),""))</f>
        <v>0</v>
      </c>
      <c r="O665" s="227">
        <f>(IF((VLOOKUP(Table10[[#This Row],[SKU]],'All Skus'!$A:$AC,2,FALSE))="Martin",(VLOOKUP(Table10[[#This Row],[SKU]],'All Skus'!$A:$AC,19,FALSE)),""))</f>
        <v>0</v>
      </c>
      <c r="P665" s="227">
        <f>(IF((VLOOKUP(Table10[[#This Row],[SKU]],'All Skus'!$A:$AC,2,FALSE))="Martin",(VLOOKUP(Table10[[#This Row],[SKU]],'All Skus'!$A:$AC,20,FALSE)),""))</f>
        <v>0</v>
      </c>
      <c r="Q665" s="227">
        <f>(IF((VLOOKUP(Table10[[#This Row],[SKU]],'All Skus'!$A:$AC,2,FALSE))="Martin",(VLOOKUP(Table10[[#This Row],[SKU]],'All Skus'!$A:$AC,21,FALSE)),""))</f>
        <v>0</v>
      </c>
      <c r="R665" s="224">
        <f>(IF((VLOOKUP(Table10[[#This Row],[SKU]],'All Skus'!$A:$AC,2,FALSE))="Martin",(VLOOKUP(Table10[[#This Row],[SKU]],'All Skus'!$A:$AC,22,FALSE)),""))</f>
        <v>0</v>
      </c>
      <c r="S665" s="223">
        <f>(IF((VLOOKUP(Table10[[#This Row],[SKU]],'All Skus'!$A:$AC,2,FALSE))="Martin",(VLOOKUP(Table10[[#This Row],[SKU]],'All Skus'!$A:$AC,23,FALSE)),""))</f>
        <v>0</v>
      </c>
      <c r="T665" s="212" t="str">
        <f>HYPERLINK((IF((VLOOKUP(Table10[[#This Row],[SKU]],'All Skus'!$A:$AC,2,FALSE))="Martin",(VLOOKUP(Table10[[#This Row],[SKU]],'All Skus'!$A:$AC,24,FALSE)),"")))</f>
        <v/>
      </c>
      <c r="U665" s="228">
        <v>663</v>
      </c>
    </row>
    <row r="666" spans="1:21" hidden="1">
      <c r="A666" s="112" t="s">
        <v>2317</v>
      </c>
      <c r="B666" s="224" t="str">
        <f>(IF((VLOOKUP(Table10[[#This Row],[SKU]],'All Skus'!$A:$AC,2,FALSE))="Martin",(VLOOKUP(Table10[[#This Row],[SKU]],'All Skus'!$A:$AC,3,FALSE)),""))</f>
        <v>Linear</v>
      </c>
      <c r="C666" s="223" t="str">
        <f>(IF((VLOOKUP(Table10[[#This Row],[SKU]],'All Skus'!$A:$AC,2,FALSE))="Martin",(VLOOKUP(Table10[[#This Row],[SKU]],'All Skus'!$A:$AC,4,FALSE)),""))</f>
        <v>VC-Dot 1 RGB 100mm pitch 100pcs 2m lead-in</v>
      </c>
      <c r="D666" s="224" t="str">
        <f>(IF((VLOOKUP(Table10[[#This Row],[SKU]],'All Skus'!$A:$AC,2,FALSE))="Martin",(VLOOKUP(Table10[[#This Row],[SKU]],'All Skus'!$A:$AC,5,FALSE)),""))</f>
        <v>MAR-VC</v>
      </c>
      <c r="E666" s="223">
        <f>(IF((VLOOKUP(Table10[[#This Row],[SKU]],'All Skus'!$A:$AC,2,FALSE))="Martin",(VLOOKUP(Table10[[#This Row],[SKU]],'All Skus'!$A:$AC,6,FALSE)),""))</f>
        <v>0</v>
      </c>
      <c r="F666" s="155">
        <f>(IF((VLOOKUP(Table10[[#This Row],[SKU]],'All Skus'!$A:$AC,2,FALSE))="Martin",(VLOOKUP(Table10[[#This Row],[SKU]],'All Skus'!$A:$AC,7,FALSE)),""))</f>
        <v>0</v>
      </c>
      <c r="G666" s="223" t="str">
        <f>(IF((VLOOKUP(Table10[[#This Row],[SKU]],'All Skus'!$A:$AC,2,FALSE))="Martin",(VLOOKUP(Table10[[#This Row],[SKU]],'All Skus'!$A:$AC,8,FALSE)),""))</f>
        <v>VC-Dot 1 RGB 100mm pitch 100pcs 2m lead-in</v>
      </c>
      <c r="H666" s="223" t="str">
        <f>(IF((VLOOKUP(Table10[[#This Row],[SKU]],'All Skus'!$A:$AC,2,FALSE))="Martin",(VLOOKUP(Table10[[#This Row],[SKU]],'All Skus'!$A:$AC,9,FALSE)),""))</f>
        <v>VC-Dot 1 RGB 100mm pitch 100pcs 2m lead-in</v>
      </c>
      <c r="I666" s="225">
        <f>(IF((VLOOKUP(Table10[[#This Row],[SKU]],'All Skus'!$A:$AC,2,FALSE))="Martin",(VLOOKUP(Table10[[#This Row],[SKU]],'All Skus'!$A:$AC,10,FALSE)),""))</f>
        <v>1994.14</v>
      </c>
      <c r="J666" s="226">
        <f>(IF((VLOOKUP(Table10[[#This Row],[SKU]],'All Skus'!$A:$AC,2,FALSE))="Martin",(VLOOKUP(Table10[[#This Row],[SKU]],'All Skus'!$A:$AC,11,FALSE)),""))</f>
        <v>1994.14</v>
      </c>
      <c r="K666" s="224">
        <f>(IF((VLOOKUP(Table10[[#This Row],[SKU]],'All Skus'!$A:$AC,2,FALSE))="Martin",(VLOOKUP(Table10[[#This Row],[SKU]],'All Skus'!$A:$AC,15,FALSE)),""))</f>
        <v>0</v>
      </c>
      <c r="L666" s="224">
        <f>(IF((VLOOKUP(Table10[[#This Row],[SKU]],'All Skus'!$A:$AC,2,FALSE))="Martin",(VLOOKUP(Table10[[#This Row],[SKU]],'All Skus'!$A:$AC,16,FALSE)),""))</f>
        <v>5706681234523</v>
      </c>
      <c r="M666" s="224">
        <f>(IF((VLOOKUP(Table10[[#This Row],[SKU]],'All Skus'!$A:$AC,2,FALSE))="Martin",(VLOOKUP(Table10[[#This Row],[SKU]],'All Skus'!$A:$AC,17,FALSE)),""))</f>
        <v>0</v>
      </c>
      <c r="N666" s="227">
        <f>(IF((VLOOKUP(Table10[[#This Row],[SKU]],'All Skus'!$A:$AC,2,FALSE))="Martin",(VLOOKUP(Table10[[#This Row],[SKU]],'All Skus'!$A:$AC,18,FALSE)),""))</f>
        <v>0</v>
      </c>
      <c r="O666" s="227">
        <f>(IF((VLOOKUP(Table10[[#This Row],[SKU]],'All Skus'!$A:$AC,2,FALSE))="Martin",(VLOOKUP(Table10[[#This Row],[SKU]],'All Skus'!$A:$AC,19,FALSE)),""))</f>
        <v>0</v>
      </c>
      <c r="P666" s="227">
        <f>(IF((VLOOKUP(Table10[[#This Row],[SKU]],'All Skus'!$A:$AC,2,FALSE))="Martin",(VLOOKUP(Table10[[#This Row],[SKU]],'All Skus'!$A:$AC,20,FALSE)),""))</f>
        <v>0</v>
      </c>
      <c r="Q666" s="227">
        <f>(IF((VLOOKUP(Table10[[#This Row],[SKU]],'All Skus'!$A:$AC,2,FALSE))="Martin",(VLOOKUP(Table10[[#This Row],[SKU]],'All Skus'!$A:$AC,21,FALSE)),""))</f>
        <v>0</v>
      </c>
      <c r="R666" s="224" t="str">
        <f>(IF((VLOOKUP(Table10[[#This Row],[SKU]],'All Skus'!$A:$AC,2,FALSE))="Martin",(VLOOKUP(Table10[[#This Row],[SKU]],'All Skus'!$A:$AC,22,FALSE)),""))</f>
        <v>HU</v>
      </c>
      <c r="S666" s="223">
        <f>(IF((VLOOKUP(Table10[[#This Row],[SKU]],'All Skus'!$A:$AC,2,FALSE))="Martin",(VLOOKUP(Table10[[#This Row],[SKU]],'All Skus'!$A:$AC,23,FALSE)),""))</f>
        <v>0</v>
      </c>
      <c r="T666" s="212" t="str">
        <f>HYPERLINK((IF((VLOOKUP(Table10[[#This Row],[SKU]],'All Skus'!$A:$AC,2,FALSE))="Martin",(VLOOKUP(Table10[[#This Row],[SKU]],'All Skus'!$A:$AC,24,FALSE)),"")))</f>
        <v/>
      </c>
      <c r="U666" s="228">
        <v>664</v>
      </c>
    </row>
    <row r="667" spans="1:21" hidden="1">
      <c r="A667" s="115" t="s">
        <v>2318</v>
      </c>
      <c r="B667" s="224">
        <f>(IF((VLOOKUP(Table10[[#This Row],[SKU]],'All Skus'!$A:$AC,2,FALSE))="Martin",(VLOOKUP(Table10[[#This Row],[SKU]],'All Skus'!$A:$AC,3,FALSE)),""))</f>
        <v>0</v>
      </c>
      <c r="C667" s="223">
        <f>(IF((VLOOKUP(Table10[[#This Row],[SKU]],'All Skus'!$A:$AC,2,FALSE))="Martin",(VLOOKUP(Table10[[#This Row],[SKU]],'All Skus'!$A:$AC,4,FALSE)),""))</f>
        <v>0</v>
      </c>
      <c r="D667" s="224">
        <f>(IF((VLOOKUP(Table10[[#This Row],[SKU]],'All Skus'!$A:$AC,2,FALSE))="Martin",(VLOOKUP(Table10[[#This Row],[SKU]],'All Skus'!$A:$AC,5,FALSE)),""))</f>
        <v>0</v>
      </c>
      <c r="E667" s="223">
        <f>(IF((VLOOKUP(Table10[[#This Row],[SKU]],'All Skus'!$A:$AC,2,FALSE))="Martin",(VLOOKUP(Table10[[#This Row],[SKU]],'All Skus'!$A:$AC,6,FALSE)),""))</f>
        <v>0</v>
      </c>
      <c r="F667" s="155">
        <f>(IF((VLOOKUP(Table10[[#This Row],[SKU]],'All Skus'!$A:$AC,2,FALSE))="Martin",(VLOOKUP(Table10[[#This Row],[SKU]],'All Skus'!$A:$AC,7,FALSE)),""))</f>
        <v>0</v>
      </c>
      <c r="G667" s="223">
        <f>(IF((VLOOKUP(Table10[[#This Row],[SKU]],'All Skus'!$A:$AC,2,FALSE))="Martin",(VLOOKUP(Table10[[#This Row],[SKU]],'All Skus'!$A:$AC,8,FALSE)),""))</f>
        <v>0</v>
      </c>
      <c r="H667" s="223">
        <f>(IF((VLOOKUP(Table10[[#This Row],[SKU]],'All Skus'!$A:$AC,2,FALSE))="Martin",(VLOOKUP(Table10[[#This Row],[SKU]],'All Skus'!$A:$AC,9,FALSE)),""))</f>
        <v>0</v>
      </c>
      <c r="I667" s="225">
        <f>(IF((VLOOKUP(Table10[[#This Row],[SKU]],'All Skus'!$A:$AC,2,FALSE))="Martin",(VLOOKUP(Table10[[#This Row],[SKU]],'All Skus'!$A:$AC,10,FALSE)),""))</f>
        <v>0</v>
      </c>
      <c r="J667" s="226">
        <f>(IF((VLOOKUP(Table10[[#This Row],[SKU]],'All Skus'!$A:$AC,2,FALSE))="Martin",(VLOOKUP(Table10[[#This Row],[SKU]],'All Skus'!$A:$AC,11,FALSE)),""))</f>
        <v>0</v>
      </c>
      <c r="K667" s="224">
        <f>(IF((VLOOKUP(Table10[[#This Row],[SKU]],'All Skus'!$A:$AC,2,FALSE))="Martin",(VLOOKUP(Table10[[#This Row],[SKU]],'All Skus'!$A:$AC,15,FALSE)),""))</f>
        <v>0</v>
      </c>
      <c r="L667" s="224">
        <f>(IF((VLOOKUP(Table10[[#This Row],[SKU]],'All Skus'!$A:$AC,2,FALSE))="Martin",(VLOOKUP(Table10[[#This Row],[SKU]],'All Skus'!$A:$AC,16,FALSE)),""))</f>
        <v>0</v>
      </c>
      <c r="M667" s="224">
        <f>(IF((VLOOKUP(Table10[[#This Row],[SKU]],'All Skus'!$A:$AC,2,FALSE))="Martin",(VLOOKUP(Table10[[#This Row],[SKU]],'All Skus'!$A:$AC,17,FALSE)),""))</f>
        <v>0</v>
      </c>
      <c r="N667" s="227">
        <f>(IF((VLOOKUP(Table10[[#This Row],[SKU]],'All Skus'!$A:$AC,2,FALSE))="Martin",(VLOOKUP(Table10[[#This Row],[SKU]],'All Skus'!$A:$AC,18,FALSE)),""))</f>
        <v>0</v>
      </c>
      <c r="O667" s="227">
        <f>(IF((VLOOKUP(Table10[[#This Row],[SKU]],'All Skus'!$A:$AC,2,FALSE))="Martin",(VLOOKUP(Table10[[#This Row],[SKU]],'All Skus'!$A:$AC,19,FALSE)),""))</f>
        <v>0</v>
      </c>
      <c r="P667" s="227">
        <f>(IF((VLOOKUP(Table10[[#This Row],[SKU]],'All Skus'!$A:$AC,2,FALSE))="Martin",(VLOOKUP(Table10[[#This Row],[SKU]],'All Skus'!$A:$AC,20,FALSE)),""))</f>
        <v>0</v>
      </c>
      <c r="Q667" s="227">
        <f>(IF((VLOOKUP(Table10[[#This Row],[SKU]],'All Skus'!$A:$AC,2,FALSE))="Martin",(VLOOKUP(Table10[[#This Row],[SKU]],'All Skus'!$A:$AC,21,FALSE)),""))</f>
        <v>0</v>
      </c>
      <c r="R667" s="224">
        <f>(IF((VLOOKUP(Table10[[#This Row],[SKU]],'All Skus'!$A:$AC,2,FALSE))="Martin",(VLOOKUP(Table10[[#This Row],[SKU]],'All Skus'!$A:$AC,22,FALSE)),""))</f>
        <v>0</v>
      </c>
      <c r="S667" s="223">
        <f>(IF((VLOOKUP(Table10[[#This Row],[SKU]],'All Skus'!$A:$AC,2,FALSE))="Martin",(VLOOKUP(Table10[[#This Row],[SKU]],'All Skus'!$A:$AC,23,FALSE)),""))</f>
        <v>0</v>
      </c>
      <c r="T667" s="212" t="str">
        <f>HYPERLINK((IF((VLOOKUP(Table10[[#This Row],[SKU]],'All Skus'!$A:$AC,2,FALSE))="Martin",(VLOOKUP(Table10[[#This Row],[SKU]],'All Skus'!$A:$AC,24,FALSE)),"")))</f>
        <v/>
      </c>
      <c r="U667" s="228">
        <v>665</v>
      </c>
    </row>
    <row r="668" spans="1:21" hidden="1">
      <c r="A668" s="112" t="s">
        <v>2319</v>
      </c>
      <c r="B668" s="224" t="str">
        <f>(IF((VLOOKUP(Table10[[#This Row],[SKU]],'All Skus'!$A:$AC,2,FALSE))="Martin",(VLOOKUP(Table10[[#This Row],[SKU]],'All Skus'!$A:$AC,3,FALSE)),""))</f>
        <v>Linear</v>
      </c>
      <c r="C668" s="223" t="str">
        <f>(IF((VLOOKUP(Table10[[#This Row],[SKU]],'All Skus'!$A:$AC,2,FALSE))="Martin",(VLOOKUP(Table10[[#This Row],[SKU]],'All Skus'!$A:$AC,4,FALSE)),""))</f>
        <v>VC-Dot 4 RGB 200mm pitch 64pcs 2m lead-in </v>
      </c>
      <c r="D668" s="224" t="str">
        <f>(IF((VLOOKUP(Table10[[#This Row],[SKU]],'All Skus'!$A:$AC,2,FALSE))="Martin",(VLOOKUP(Table10[[#This Row],[SKU]],'All Skus'!$A:$AC,5,FALSE)),""))</f>
        <v>MAR-VC</v>
      </c>
      <c r="E668" s="223">
        <f>(IF((VLOOKUP(Table10[[#This Row],[SKU]],'All Skus'!$A:$AC,2,FALSE))="Martin",(VLOOKUP(Table10[[#This Row],[SKU]],'All Skus'!$A:$AC,6,FALSE)),""))</f>
        <v>0</v>
      </c>
      <c r="F668" s="155">
        <f>(IF((VLOOKUP(Table10[[#This Row],[SKU]],'All Skus'!$A:$AC,2,FALSE))="Martin",(VLOOKUP(Table10[[#This Row],[SKU]],'All Skus'!$A:$AC,7,FALSE)),""))</f>
        <v>0</v>
      </c>
      <c r="G668" s="223" t="str">
        <f>(IF((VLOOKUP(Table10[[#This Row],[SKU]],'All Skus'!$A:$AC,2,FALSE))="Martin",(VLOOKUP(Table10[[#This Row],[SKU]],'All Skus'!$A:$AC,8,FALSE)),""))</f>
        <v>VC-Dot 4 RGB 200mm pitch 64pcs 2m lead-in </v>
      </c>
      <c r="H668" s="223" t="str">
        <f>(IF((VLOOKUP(Table10[[#This Row],[SKU]],'All Skus'!$A:$AC,2,FALSE))="Martin",(VLOOKUP(Table10[[#This Row],[SKU]],'All Skus'!$A:$AC,9,FALSE)),""))</f>
        <v>VC-Dot 4 RGB 200mm pitch 64pcs 2m lead-in </v>
      </c>
      <c r="I668" s="225">
        <f>(IF((VLOOKUP(Table10[[#This Row],[SKU]],'All Skus'!$A:$AC,2,FALSE))="Martin",(VLOOKUP(Table10[[#This Row],[SKU]],'All Skus'!$A:$AC,10,FALSE)),""))</f>
        <v>2444.83</v>
      </c>
      <c r="J668" s="226">
        <f>(IF((VLOOKUP(Table10[[#This Row],[SKU]],'All Skus'!$A:$AC,2,FALSE))="Martin",(VLOOKUP(Table10[[#This Row],[SKU]],'All Skus'!$A:$AC,11,FALSE)),""))</f>
        <v>2444.83</v>
      </c>
      <c r="K668" s="224">
        <f>(IF((VLOOKUP(Table10[[#This Row],[SKU]],'All Skus'!$A:$AC,2,FALSE))="Martin",(VLOOKUP(Table10[[#This Row],[SKU]],'All Skus'!$A:$AC,15,FALSE)),""))</f>
        <v>0</v>
      </c>
      <c r="L668" s="224">
        <f>(IF((VLOOKUP(Table10[[#This Row],[SKU]],'All Skus'!$A:$AC,2,FALSE))="Martin",(VLOOKUP(Table10[[#This Row],[SKU]],'All Skus'!$A:$AC,16,FALSE)),""))</f>
        <v>5706681234264</v>
      </c>
      <c r="M668" s="224">
        <f>(IF((VLOOKUP(Table10[[#This Row],[SKU]],'All Skus'!$A:$AC,2,FALSE))="Martin",(VLOOKUP(Table10[[#This Row],[SKU]],'All Skus'!$A:$AC,17,FALSE)),""))</f>
        <v>0</v>
      </c>
      <c r="N668" s="227">
        <f>(IF((VLOOKUP(Table10[[#This Row],[SKU]],'All Skus'!$A:$AC,2,FALSE))="Martin",(VLOOKUP(Table10[[#This Row],[SKU]],'All Skus'!$A:$AC,18,FALSE)),""))</f>
        <v>0</v>
      </c>
      <c r="O668" s="227">
        <f>(IF((VLOOKUP(Table10[[#This Row],[SKU]],'All Skus'!$A:$AC,2,FALSE))="Martin",(VLOOKUP(Table10[[#This Row],[SKU]],'All Skus'!$A:$AC,19,FALSE)),""))</f>
        <v>0</v>
      </c>
      <c r="P668" s="227">
        <f>(IF((VLOOKUP(Table10[[#This Row],[SKU]],'All Skus'!$A:$AC,2,FALSE))="Martin",(VLOOKUP(Table10[[#This Row],[SKU]],'All Skus'!$A:$AC,20,FALSE)),""))</f>
        <v>0</v>
      </c>
      <c r="Q668" s="227">
        <f>(IF((VLOOKUP(Table10[[#This Row],[SKU]],'All Skus'!$A:$AC,2,FALSE))="Martin",(VLOOKUP(Table10[[#This Row],[SKU]],'All Skus'!$A:$AC,21,FALSE)),""))</f>
        <v>0</v>
      </c>
      <c r="R668" s="224" t="str">
        <f>(IF((VLOOKUP(Table10[[#This Row],[SKU]],'All Skus'!$A:$AC,2,FALSE))="Martin",(VLOOKUP(Table10[[#This Row],[SKU]],'All Skus'!$A:$AC,22,FALSE)),""))</f>
        <v>HU</v>
      </c>
      <c r="S668" s="223">
        <f>(IF((VLOOKUP(Table10[[#This Row],[SKU]],'All Skus'!$A:$AC,2,FALSE))="Martin",(VLOOKUP(Table10[[#This Row],[SKU]],'All Skus'!$A:$AC,23,FALSE)),""))</f>
        <v>0</v>
      </c>
      <c r="T668" s="212" t="str">
        <f>HYPERLINK((IF((VLOOKUP(Table10[[#This Row],[SKU]],'All Skus'!$A:$AC,2,FALSE))="Martin",(VLOOKUP(Table10[[#This Row],[SKU]],'All Skus'!$A:$AC,24,FALSE)),"")))</f>
        <v>http://www.martin.com/en-us/product-details/vc-dot-1</v>
      </c>
      <c r="U668" s="228">
        <v>666</v>
      </c>
    </row>
    <row r="669" spans="1:21" hidden="1">
      <c r="A669" s="115" t="s">
        <v>2320</v>
      </c>
      <c r="B669" s="224">
        <f>(IF((VLOOKUP(Table10[[#This Row],[SKU]],'All Skus'!$A:$AC,2,FALSE))="Martin",(VLOOKUP(Table10[[#This Row],[SKU]],'All Skus'!$A:$AC,3,FALSE)),""))</f>
        <v>0</v>
      </c>
      <c r="C669" s="223">
        <f>(IF((VLOOKUP(Table10[[#This Row],[SKU]],'All Skus'!$A:$AC,2,FALSE))="Martin",(VLOOKUP(Table10[[#This Row],[SKU]],'All Skus'!$A:$AC,4,FALSE)),""))</f>
        <v>0</v>
      </c>
      <c r="D669" s="224">
        <f>(IF((VLOOKUP(Table10[[#This Row],[SKU]],'All Skus'!$A:$AC,2,FALSE))="Martin",(VLOOKUP(Table10[[#This Row],[SKU]],'All Skus'!$A:$AC,5,FALSE)),""))</f>
        <v>0</v>
      </c>
      <c r="E669" s="223">
        <f>(IF((VLOOKUP(Table10[[#This Row],[SKU]],'All Skus'!$A:$AC,2,FALSE))="Martin",(VLOOKUP(Table10[[#This Row],[SKU]],'All Skus'!$A:$AC,6,FALSE)),""))</f>
        <v>0</v>
      </c>
      <c r="F669" s="155">
        <f>(IF((VLOOKUP(Table10[[#This Row],[SKU]],'All Skus'!$A:$AC,2,FALSE))="Martin",(VLOOKUP(Table10[[#This Row],[SKU]],'All Skus'!$A:$AC,7,FALSE)),""))</f>
        <v>0</v>
      </c>
      <c r="G669" s="223">
        <f>(IF((VLOOKUP(Table10[[#This Row],[SKU]],'All Skus'!$A:$AC,2,FALSE))="Martin",(VLOOKUP(Table10[[#This Row],[SKU]],'All Skus'!$A:$AC,8,FALSE)),""))</f>
        <v>0</v>
      </c>
      <c r="H669" s="223">
        <f>(IF((VLOOKUP(Table10[[#This Row],[SKU]],'All Skus'!$A:$AC,2,FALSE))="Martin",(VLOOKUP(Table10[[#This Row],[SKU]],'All Skus'!$A:$AC,9,FALSE)),""))</f>
        <v>0</v>
      </c>
      <c r="I669" s="225">
        <f>(IF((VLOOKUP(Table10[[#This Row],[SKU]],'All Skus'!$A:$AC,2,FALSE))="Martin",(VLOOKUP(Table10[[#This Row],[SKU]],'All Skus'!$A:$AC,10,FALSE)),""))</f>
        <v>0</v>
      </c>
      <c r="J669" s="226">
        <f>(IF((VLOOKUP(Table10[[#This Row],[SKU]],'All Skus'!$A:$AC,2,FALSE))="Martin",(VLOOKUP(Table10[[#This Row],[SKU]],'All Skus'!$A:$AC,11,FALSE)),""))</f>
        <v>0</v>
      </c>
      <c r="K669" s="224">
        <f>(IF((VLOOKUP(Table10[[#This Row],[SKU]],'All Skus'!$A:$AC,2,FALSE))="Martin",(VLOOKUP(Table10[[#This Row],[SKU]],'All Skus'!$A:$AC,15,FALSE)),""))</f>
        <v>0</v>
      </c>
      <c r="L669" s="224">
        <f>(IF((VLOOKUP(Table10[[#This Row],[SKU]],'All Skus'!$A:$AC,2,FALSE))="Martin",(VLOOKUP(Table10[[#This Row],[SKU]],'All Skus'!$A:$AC,16,FALSE)),""))</f>
        <v>0</v>
      </c>
      <c r="M669" s="224">
        <f>(IF((VLOOKUP(Table10[[#This Row],[SKU]],'All Skus'!$A:$AC,2,FALSE))="Martin",(VLOOKUP(Table10[[#This Row],[SKU]],'All Skus'!$A:$AC,17,FALSE)),""))</f>
        <v>0</v>
      </c>
      <c r="N669" s="227">
        <f>(IF((VLOOKUP(Table10[[#This Row],[SKU]],'All Skus'!$A:$AC,2,FALSE))="Martin",(VLOOKUP(Table10[[#This Row],[SKU]],'All Skus'!$A:$AC,18,FALSE)),""))</f>
        <v>0</v>
      </c>
      <c r="O669" s="227">
        <f>(IF((VLOOKUP(Table10[[#This Row],[SKU]],'All Skus'!$A:$AC,2,FALSE))="Martin",(VLOOKUP(Table10[[#This Row],[SKU]],'All Skus'!$A:$AC,19,FALSE)),""))</f>
        <v>0</v>
      </c>
      <c r="P669" s="227">
        <f>(IF((VLOOKUP(Table10[[#This Row],[SKU]],'All Skus'!$A:$AC,2,FALSE))="Martin",(VLOOKUP(Table10[[#This Row],[SKU]],'All Skus'!$A:$AC,20,FALSE)),""))</f>
        <v>0</v>
      </c>
      <c r="Q669" s="227">
        <f>(IF((VLOOKUP(Table10[[#This Row],[SKU]],'All Skus'!$A:$AC,2,FALSE))="Martin",(VLOOKUP(Table10[[#This Row],[SKU]],'All Skus'!$A:$AC,21,FALSE)),""))</f>
        <v>0</v>
      </c>
      <c r="R669" s="224">
        <f>(IF((VLOOKUP(Table10[[#This Row],[SKU]],'All Skus'!$A:$AC,2,FALSE))="Martin",(VLOOKUP(Table10[[#This Row],[SKU]],'All Skus'!$A:$AC,22,FALSE)),""))</f>
        <v>0</v>
      </c>
      <c r="S669" s="223">
        <f>(IF((VLOOKUP(Table10[[#This Row],[SKU]],'All Skus'!$A:$AC,2,FALSE))="Martin",(VLOOKUP(Table10[[#This Row],[SKU]],'All Skus'!$A:$AC,23,FALSE)),""))</f>
        <v>0</v>
      </c>
      <c r="T669" s="212" t="str">
        <f>HYPERLINK((IF((VLOOKUP(Table10[[#This Row],[SKU]],'All Skus'!$A:$AC,2,FALSE))="Martin",(VLOOKUP(Table10[[#This Row],[SKU]],'All Skus'!$A:$AC,24,FALSE)),"")))</f>
        <v/>
      </c>
      <c r="U669" s="228">
        <v>667</v>
      </c>
    </row>
    <row r="670" spans="1:21" hidden="1">
      <c r="A670" s="112" t="s">
        <v>2321</v>
      </c>
      <c r="B670" s="224" t="str">
        <f>(IF((VLOOKUP(Table10[[#This Row],[SKU]],'All Skus'!$A:$AC,2,FALSE))="Martin",(VLOOKUP(Table10[[#This Row],[SKU]],'All Skus'!$A:$AC,3,FALSE)),""))</f>
        <v>Linear</v>
      </c>
      <c r="C670" s="223" t="str">
        <f>(IF((VLOOKUP(Table10[[#This Row],[SKU]],'All Skus'!$A:$AC,2,FALSE))="Martin",(VLOOKUP(Table10[[#This Row],[SKU]],'All Skus'!$A:$AC,4,FALSE)),""))</f>
        <v>VC-Dot 9 RGB 400mm pitch 36pcs 2m lead-in</v>
      </c>
      <c r="D670" s="224" t="str">
        <f>(IF((VLOOKUP(Table10[[#This Row],[SKU]],'All Skus'!$A:$AC,2,FALSE))="Martin",(VLOOKUP(Table10[[#This Row],[SKU]],'All Skus'!$A:$AC,5,FALSE)),""))</f>
        <v>MAR-VC</v>
      </c>
      <c r="E670" s="223">
        <f>(IF((VLOOKUP(Table10[[#This Row],[SKU]],'All Skus'!$A:$AC,2,FALSE))="Martin",(VLOOKUP(Table10[[#This Row],[SKU]],'All Skus'!$A:$AC,6,FALSE)),""))</f>
        <v>0</v>
      </c>
      <c r="F670" s="155">
        <f>(IF((VLOOKUP(Table10[[#This Row],[SKU]],'All Skus'!$A:$AC,2,FALSE))="Martin",(VLOOKUP(Table10[[#This Row],[SKU]],'All Skus'!$A:$AC,7,FALSE)),""))</f>
        <v>0</v>
      </c>
      <c r="G670" s="223" t="str">
        <f>(IF((VLOOKUP(Table10[[#This Row],[SKU]],'All Skus'!$A:$AC,2,FALSE))="Martin",(VLOOKUP(Table10[[#This Row],[SKU]],'All Skus'!$A:$AC,8,FALSE)),""))</f>
        <v>VC-Dot 9 RGB 400mm pitch 36pcs 2m lead-in</v>
      </c>
      <c r="H670" s="223" t="str">
        <f>(IF((VLOOKUP(Table10[[#This Row],[SKU]],'All Skus'!$A:$AC,2,FALSE))="Martin",(VLOOKUP(Table10[[#This Row],[SKU]],'All Skus'!$A:$AC,9,FALSE)),""))</f>
        <v>VC-Dot 9 RGB 400mm pitch 36pcs 2m lead-in</v>
      </c>
      <c r="I670" s="225">
        <f>(IF((VLOOKUP(Table10[[#This Row],[SKU]],'All Skus'!$A:$AC,2,FALSE))="Martin",(VLOOKUP(Table10[[#This Row],[SKU]],'All Skus'!$A:$AC,10,FALSE)),""))</f>
        <v>2370.75</v>
      </c>
      <c r="J670" s="226">
        <f>(IF((VLOOKUP(Table10[[#This Row],[SKU]],'All Skus'!$A:$AC,2,FALSE))="Martin",(VLOOKUP(Table10[[#This Row],[SKU]],'All Skus'!$A:$AC,11,FALSE)),""))</f>
        <v>2370.75</v>
      </c>
      <c r="K670" s="224">
        <f>(IF((VLOOKUP(Table10[[#This Row],[SKU]],'All Skus'!$A:$AC,2,FALSE))="Martin",(VLOOKUP(Table10[[#This Row],[SKU]],'All Skus'!$A:$AC,15,FALSE)),""))</f>
        <v>0</v>
      </c>
      <c r="L670" s="224">
        <f>(IF((VLOOKUP(Table10[[#This Row],[SKU]],'All Skus'!$A:$AC,2,FALSE))="Martin",(VLOOKUP(Table10[[#This Row],[SKU]],'All Skus'!$A:$AC,16,FALSE)),""))</f>
        <v>5706681234301</v>
      </c>
      <c r="M670" s="224">
        <f>(IF((VLOOKUP(Table10[[#This Row],[SKU]],'All Skus'!$A:$AC,2,FALSE))="Martin",(VLOOKUP(Table10[[#This Row],[SKU]],'All Skus'!$A:$AC,17,FALSE)),""))</f>
        <v>0</v>
      </c>
      <c r="N670" s="227">
        <f>(IF((VLOOKUP(Table10[[#This Row],[SKU]],'All Skus'!$A:$AC,2,FALSE))="Martin",(VLOOKUP(Table10[[#This Row],[SKU]],'All Skus'!$A:$AC,18,FALSE)),""))</f>
        <v>0</v>
      </c>
      <c r="O670" s="227">
        <f>(IF((VLOOKUP(Table10[[#This Row],[SKU]],'All Skus'!$A:$AC,2,FALSE))="Martin",(VLOOKUP(Table10[[#This Row],[SKU]],'All Skus'!$A:$AC,19,FALSE)),""))</f>
        <v>0</v>
      </c>
      <c r="P670" s="227">
        <f>(IF((VLOOKUP(Table10[[#This Row],[SKU]],'All Skus'!$A:$AC,2,FALSE))="Martin",(VLOOKUP(Table10[[#This Row],[SKU]],'All Skus'!$A:$AC,20,FALSE)),""))</f>
        <v>0</v>
      </c>
      <c r="Q670" s="227">
        <f>(IF((VLOOKUP(Table10[[#This Row],[SKU]],'All Skus'!$A:$AC,2,FALSE))="Martin",(VLOOKUP(Table10[[#This Row],[SKU]],'All Skus'!$A:$AC,21,FALSE)),""))</f>
        <v>0</v>
      </c>
      <c r="R670" s="224" t="str">
        <f>(IF((VLOOKUP(Table10[[#This Row],[SKU]],'All Skus'!$A:$AC,2,FALSE))="Martin",(VLOOKUP(Table10[[#This Row],[SKU]],'All Skus'!$A:$AC,22,FALSE)),""))</f>
        <v>HU</v>
      </c>
      <c r="S670" s="223">
        <f>(IF((VLOOKUP(Table10[[#This Row],[SKU]],'All Skus'!$A:$AC,2,FALSE))="Martin",(VLOOKUP(Table10[[#This Row],[SKU]],'All Skus'!$A:$AC,23,FALSE)),""))</f>
        <v>0</v>
      </c>
      <c r="T670" s="212" t="str">
        <f>HYPERLINK((IF((VLOOKUP(Table10[[#This Row],[SKU]],'All Skus'!$A:$AC,2,FALSE))="Martin",(VLOOKUP(Table10[[#This Row],[SKU]],'All Skus'!$A:$AC,24,FALSE)),"")))</f>
        <v/>
      </c>
      <c r="U670" s="228">
        <v>668</v>
      </c>
    </row>
    <row r="671" spans="1:21" hidden="1">
      <c r="A671" s="115" t="s">
        <v>2322</v>
      </c>
      <c r="B671" s="224">
        <f>(IF((VLOOKUP(Table10[[#This Row],[SKU]],'All Skus'!$A:$AC,2,FALSE))="Martin",(VLOOKUP(Table10[[#This Row],[SKU]],'All Skus'!$A:$AC,3,FALSE)),""))</f>
        <v>0</v>
      </c>
      <c r="C671" s="223">
        <f>(IF((VLOOKUP(Table10[[#This Row],[SKU]],'All Skus'!$A:$AC,2,FALSE))="Martin",(VLOOKUP(Table10[[#This Row],[SKU]],'All Skus'!$A:$AC,4,FALSE)),""))</f>
        <v>0</v>
      </c>
      <c r="D671" s="224">
        <f>(IF((VLOOKUP(Table10[[#This Row],[SKU]],'All Skus'!$A:$AC,2,FALSE))="Martin",(VLOOKUP(Table10[[#This Row],[SKU]],'All Skus'!$A:$AC,5,FALSE)),""))</f>
        <v>0</v>
      </c>
      <c r="E671" s="223">
        <f>(IF((VLOOKUP(Table10[[#This Row],[SKU]],'All Skus'!$A:$AC,2,FALSE))="Martin",(VLOOKUP(Table10[[#This Row],[SKU]],'All Skus'!$A:$AC,6,FALSE)),""))</f>
        <v>0</v>
      </c>
      <c r="F671" s="155">
        <f>(IF((VLOOKUP(Table10[[#This Row],[SKU]],'All Skus'!$A:$AC,2,FALSE))="Martin",(VLOOKUP(Table10[[#This Row],[SKU]],'All Skus'!$A:$AC,7,FALSE)),""))</f>
        <v>0</v>
      </c>
      <c r="G671" s="223">
        <f>(IF((VLOOKUP(Table10[[#This Row],[SKU]],'All Skus'!$A:$AC,2,FALSE))="Martin",(VLOOKUP(Table10[[#This Row],[SKU]],'All Skus'!$A:$AC,8,FALSE)),""))</f>
        <v>0</v>
      </c>
      <c r="H671" s="223">
        <f>(IF((VLOOKUP(Table10[[#This Row],[SKU]],'All Skus'!$A:$AC,2,FALSE))="Martin",(VLOOKUP(Table10[[#This Row],[SKU]],'All Skus'!$A:$AC,9,FALSE)),""))</f>
        <v>0</v>
      </c>
      <c r="I671" s="225">
        <f>(IF((VLOOKUP(Table10[[#This Row],[SKU]],'All Skus'!$A:$AC,2,FALSE))="Martin",(VLOOKUP(Table10[[#This Row],[SKU]],'All Skus'!$A:$AC,10,FALSE)),""))</f>
        <v>0</v>
      </c>
      <c r="J671" s="226">
        <f>(IF((VLOOKUP(Table10[[#This Row],[SKU]],'All Skus'!$A:$AC,2,FALSE))="Martin",(VLOOKUP(Table10[[#This Row],[SKU]],'All Skus'!$A:$AC,11,FALSE)),""))</f>
        <v>0</v>
      </c>
      <c r="K671" s="224">
        <f>(IF((VLOOKUP(Table10[[#This Row],[SKU]],'All Skus'!$A:$AC,2,FALSE))="Martin",(VLOOKUP(Table10[[#This Row],[SKU]],'All Skus'!$A:$AC,15,FALSE)),""))</f>
        <v>0</v>
      </c>
      <c r="L671" s="224">
        <f>(IF((VLOOKUP(Table10[[#This Row],[SKU]],'All Skus'!$A:$AC,2,FALSE))="Martin",(VLOOKUP(Table10[[#This Row],[SKU]],'All Skus'!$A:$AC,16,FALSE)),""))</f>
        <v>0</v>
      </c>
      <c r="M671" s="224">
        <f>(IF((VLOOKUP(Table10[[#This Row],[SKU]],'All Skus'!$A:$AC,2,FALSE))="Martin",(VLOOKUP(Table10[[#This Row],[SKU]],'All Skus'!$A:$AC,17,FALSE)),""))</f>
        <v>0</v>
      </c>
      <c r="N671" s="227">
        <f>(IF((VLOOKUP(Table10[[#This Row],[SKU]],'All Skus'!$A:$AC,2,FALSE))="Martin",(VLOOKUP(Table10[[#This Row],[SKU]],'All Skus'!$A:$AC,18,FALSE)),""))</f>
        <v>0</v>
      </c>
      <c r="O671" s="227">
        <f>(IF((VLOOKUP(Table10[[#This Row],[SKU]],'All Skus'!$A:$AC,2,FALSE))="Martin",(VLOOKUP(Table10[[#This Row],[SKU]],'All Skus'!$A:$AC,19,FALSE)),""))</f>
        <v>0</v>
      </c>
      <c r="P671" s="227">
        <f>(IF((VLOOKUP(Table10[[#This Row],[SKU]],'All Skus'!$A:$AC,2,FALSE))="Martin",(VLOOKUP(Table10[[#This Row],[SKU]],'All Skus'!$A:$AC,20,FALSE)),""))</f>
        <v>0</v>
      </c>
      <c r="Q671" s="227">
        <f>(IF((VLOOKUP(Table10[[#This Row],[SKU]],'All Skus'!$A:$AC,2,FALSE))="Martin",(VLOOKUP(Table10[[#This Row],[SKU]],'All Skus'!$A:$AC,21,FALSE)),""))</f>
        <v>0</v>
      </c>
      <c r="R671" s="224">
        <f>(IF((VLOOKUP(Table10[[#This Row],[SKU]],'All Skus'!$A:$AC,2,FALSE))="Martin",(VLOOKUP(Table10[[#This Row],[SKU]],'All Skus'!$A:$AC,22,FALSE)),""))</f>
        <v>0</v>
      </c>
      <c r="S671" s="223">
        <f>(IF((VLOOKUP(Table10[[#This Row],[SKU]],'All Skus'!$A:$AC,2,FALSE))="Martin",(VLOOKUP(Table10[[#This Row],[SKU]],'All Skus'!$A:$AC,23,FALSE)),""))</f>
        <v>0</v>
      </c>
      <c r="T671" s="212" t="str">
        <f>HYPERLINK((IF((VLOOKUP(Table10[[#This Row],[SKU]],'All Skus'!$A:$AC,2,FALSE))="Martin",(VLOOKUP(Table10[[#This Row],[SKU]],'All Skus'!$A:$AC,24,FALSE)),"")))</f>
        <v/>
      </c>
      <c r="U671" s="228">
        <v>669</v>
      </c>
    </row>
    <row r="672" spans="1:21" hidden="1">
      <c r="A672" s="112">
        <v>90357040</v>
      </c>
      <c r="B672" s="224" t="str">
        <f>(IF((VLOOKUP(Table10[[#This Row],[SKU]],'All Skus'!$A:$AC,2,FALSE))="Martin",(VLOOKUP(Table10[[#This Row],[SKU]],'All Skus'!$A:$AC,3,FALSE)),""))</f>
        <v>Creative Pixels</v>
      </c>
      <c r="C672" s="223" t="str">
        <f>(IF((VLOOKUP(Table10[[#This Row],[SKU]],'All Skus'!$A:$AC,2,FALSE))="Martin",(VLOOKUP(Table10[[#This Row],[SKU]],'All Skus'!$A:$AC,4,FALSE)),""))</f>
        <v>VC-Feeder with M16 Connector</v>
      </c>
      <c r="D672" s="224" t="str">
        <f>(IF((VLOOKUP(Table10[[#This Row],[SKU]],'All Skus'!$A:$AC,2,FALSE))="Martin",(VLOOKUP(Table10[[#This Row],[SKU]],'All Skus'!$A:$AC,5,FALSE)),""))</f>
        <v>MAR-VC</v>
      </c>
      <c r="E672" s="223">
        <f>(IF((VLOOKUP(Table10[[#This Row],[SKU]],'All Skus'!$A:$AC,2,FALSE))="Martin",(VLOOKUP(Table10[[#This Row],[SKU]],'All Skus'!$A:$AC,6,FALSE)),""))</f>
        <v>0</v>
      </c>
      <c r="F672" s="155" t="str">
        <f>(IF((VLOOKUP(Table10[[#This Row],[SKU]],'All Skus'!$A:$AC,2,FALSE))="Martin",(VLOOKUP(Table10[[#This Row],[SKU]],'All Skus'!$A:$AC,7,FALSE)),""))</f>
        <v>Not for new designs - Use 90357041 instead</v>
      </c>
      <c r="G672" s="223" t="str">
        <f>(IF((VLOOKUP(Table10[[#This Row],[SKU]],'All Skus'!$A:$AC,2,FALSE))="Martin",(VLOOKUP(Table10[[#This Row],[SKU]],'All Skus'!$A:$AC,8,FALSE)),""))</f>
        <v>VC-Feeder with M16 Connector</v>
      </c>
      <c r="H672" s="223" t="str">
        <f>(IF((VLOOKUP(Table10[[#This Row],[SKU]],'All Skus'!$A:$AC,2,FALSE))="Martin",(VLOOKUP(Table10[[#This Row],[SKU]],'All Skus'!$A:$AC,9,FALSE)),""))</f>
        <v>VC-Feeder with M16 Connector</v>
      </c>
      <c r="I672" s="225">
        <f>(IF((VLOOKUP(Table10[[#This Row],[SKU]],'All Skus'!$A:$AC,2,FALSE))="Martin",(VLOOKUP(Table10[[#This Row],[SKU]],'All Skus'!$A:$AC,10,FALSE)),""))</f>
        <v>588.98</v>
      </c>
      <c r="J672" s="226">
        <f>(IF((VLOOKUP(Table10[[#This Row],[SKU]],'All Skus'!$A:$AC,2,FALSE))="Martin",(VLOOKUP(Table10[[#This Row],[SKU]],'All Skus'!$A:$AC,11,FALSE)),""))</f>
        <v>588.98</v>
      </c>
      <c r="K672" s="224">
        <f>(IF((VLOOKUP(Table10[[#This Row],[SKU]],'All Skus'!$A:$AC,2,FALSE))="Martin",(VLOOKUP(Table10[[#This Row],[SKU]],'All Skus'!$A:$AC,15,FALSE)),""))</f>
        <v>0</v>
      </c>
      <c r="L672" s="224">
        <f>(IF((VLOOKUP(Table10[[#This Row],[SKU]],'All Skus'!$A:$AC,2,FALSE))="Martin",(VLOOKUP(Table10[[#This Row],[SKU]],'All Skus'!$A:$AC,16,FALSE)),""))</f>
        <v>0</v>
      </c>
      <c r="M672" s="224">
        <f>(IF((VLOOKUP(Table10[[#This Row],[SKU]],'All Skus'!$A:$AC,2,FALSE))="Martin",(VLOOKUP(Table10[[#This Row],[SKU]],'All Skus'!$A:$AC,17,FALSE)),""))</f>
        <v>0</v>
      </c>
      <c r="N672" s="227">
        <f>(IF((VLOOKUP(Table10[[#This Row],[SKU]],'All Skus'!$A:$AC,2,FALSE))="Martin",(VLOOKUP(Table10[[#This Row],[SKU]],'All Skus'!$A:$AC,18,FALSE)),""))</f>
        <v>20.472452000000001</v>
      </c>
      <c r="O672" s="227">
        <f>(IF((VLOOKUP(Table10[[#This Row],[SKU]],'All Skus'!$A:$AC,2,FALSE))="Martin",(VLOOKUP(Table10[[#This Row],[SKU]],'All Skus'!$A:$AC,19,FALSE)),""))</f>
        <v>20.472452000000001</v>
      </c>
      <c r="P672" s="227">
        <f>(IF((VLOOKUP(Table10[[#This Row],[SKU]],'All Skus'!$A:$AC,2,FALSE))="Martin",(VLOOKUP(Table10[[#This Row],[SKU]],'All Skus'!$A:$AC,20,FALSE)),""))</f>
        <v>0</v>
      </c>
      <c r="Q672" s="227">
        <f>(IF((VLOOKUP(Table10[[#This Row],[SKU]],'All Skus'!$A:$AC,2,FALSE))="Martin",(VLOOKUP(Table10[[#This Row],[SKU]],'All Skus'!$A:$AC,21,FALSE)),""))</f>
        <v>0</v>
      </c>
      <c r="R672" s="224" t="str">
        <f>(IF((VLOOKUP(Table10[[#This Row],[SKU]],'All Skus'!$A:$AC,2,FALSE))="Martin",(VLOOKUP(Table10[[#This Row],[SKU]],'All Skus'!$A:$AC,22,FALSE)),""))</f>
        <v>TH</v>
      </c>
      <c r="S672" s="223">
        <f>(IF((VLOOKUP(Table10[[#This Row],[SKU]],'All Skus'!$A:$AC,2,FALSE))="Martin",(VLOOKUP(Table10[[#This Row],[SKU]],'All Skus'!$A:$AC,23,FALSE)),""))</f>
        <v>0</v>
      </c>
      <c r="T672" s="212" t="str">
        <f>HYPERLINK((IF((VLOOKUP(Table10[[#This Row],[SKU]],'All Skus'!$A:$AC,2,FALSE))="Martin",(VLOOKUP(Table10[[#This Row],[SKU]],'All Skus'!$A:$AC,24,FALSE)),"")))</f>
        <v/>
      </c>
      <c r="U672" s="228">
        <v>670</v>
      </c>
    </row>
    <row r="673" spans="1:21" hidden="1">
      <c r="A673" s="90">
        <v>90357041</v>
      </c>
      <c r="B673" s="224" t="str">
        <f>(IF((VLOOKUP(Table10[[#This Row],[SKU]],'All Skus'!$A:$AC,2,FALSE))="Martin",(VLOOKUP(Table10[[#This Row],[SKU]],'All Skus'!$A:$AC,3,FALSE)),""))</f>
        <v>Linear</v>
      </c>
      <c r="C673" s="223" t="str">
        <f>(IF((VLOOKUP(Table10[[#This Row],[SKU]],'All Skus'!$A:$AC,2,FALSE))="Martin",(VLOOKUP(Table10[[#This Row],[SKU]],'All Skus'!$A:$AC,4,FALSE)),""))</f>
        <v>VC-Feeder with BBD Connector</v>
      </c>
      <c r="D673" s="224" t="str">
        <f>(IF((VLOOKUP(Table10[[#This Row],[SKU]],'All Skus'!$A:$AC,2,FALSE))="Martin",(VLOOKUP(Table10[[#This Row],[SKU]],'All Skus'!$A:$AC,5,FALSE)),""))</f>
        <v>MAR-VC</v>
      </c>
      <c r="E673" s="223">
        <f>(IF((VLOOKUP(Table10[[#This Row],[SKU]],'All Skus'!$A:$AC,2,FALSE))="Martin",(VLOOKUP(Table10[[#This Row],[SKU]],'All Skus'!$A:$AC,6,FALSE)),""))</f>
        <v>0</v>
      </c>
      <c r="F673" s="155">
        <f>(IF((VLOOKUP(Table10[[#This Row],[SKU]],'All Skus'!$A:$AC,2,FALSE))="Martin",(VLOOKUP(Table10[[#This Row],[SKU]],'All Skus'!$A:$AC,7,FALSE)),""))</f>
        <v>0</v>
      </c>
      <c r="G673" s="223" t="str">
        <f>(IF((VLOOKUP(Table10[[#This Row],[SKU]],'All Skus'!$A:$AC,2,FALSE))="Martin",(VLOOKUP(Table10[[#This Row],[SKU]],'All Skus'!$A:$AC,8,FALSE)),""))</f>
        <v>VC-Feeder with BBD Connector</v>
      </c>
      <c r="H673" s="223" t="str">
        <f>(IF((VLOOKUP(Table10[[#This Row],[SKU]],'All Skus'!$A:$AC,2,FALSE))="Martin",(VLOOKUP(Table10[[#This Row],[SKU]],'All Skus'!$A:$AC,9,FALSE)),""))</f>
        <v>VC-Feeder with BBD Connector</v>
      </c>
      <c r="I673" s="225">
        <f>(IF((VLOOKUP(Table10[[#This Row],[SKU]],'All Skus'!$A:$AC,2,FALSE))="Martin",(VLOOKUP(Table10[[#This Row],[SKU]],'All Skus'!$A:$AC,10,FALSE)),""))</f>
        <v>588.98</v>
      </c>
      <c r="J673" s="226">
        <f>(IF((VLOOKUP(Table10[[#This Row],[SKU]],'All Skus'!$A:$AC,2,FALSE))="Martin",(VLOOKUP(Table10[[#This Row],[SKU]],'All Skus'!$A:$AC,11,FALSE)),""))</f>
        <v>588.98</v>
      </c>
      <c r="K673" s="224">
        <f>(IF((VLOOKUP(Table10[[#This Row],[SKU]],'All Skus'!$A:$AC,2,FALSE))="Martin",(VLOOKUP(Table10[[#This Row],[SKU]],'All Skus'!$A:$AC,15,FALSE)),""))</f>
        <v>0</v>
      </c>
      <c r="L673" s="224">
        <f>(IF((VLOOKUP(Table10[[#This Row],[SKU]],'All Skus'!$A:$AC,2,FALSE))="Martin",(VLOOKUP(Table10[[#This Row],[SKU]],'All Skus'!$A:$AC,16,FALSE)),""))</f>
        <v>5706681239313</v>
      </c>
      <c r="M673" s="224">
        <f>(IF((VLOOKUP(Table10[[#This Row],[SKU]],'All Skus'!$A:$AC,2,FALSE))="Martin",(VLOOKUP(Table10[[#This Row],[SKU]],'All Skus'!$A:$AC,17,FALSE)),""))</f>
        <v>0</v>
      </c>
      <c r="N673" s="227">
        <f>(IF((VLOOKUP(Table10[[#This Row],[SKU]],'All Skus'!$A:$AC,2,FALSE))="Martin",(VLOOKUP(Table10[[#This Row],[SKU]],'All Skus'!$A:$AC,18,FALSE)),""))</f>
        <v>0</v>
      </c>
      <c r="O673" s="227">
        <f>(IF((VLOOKUP(Table10[[#This Row],[SKU]],'All Skus'!$A:$AC,2,FALSE))="Martin",(VLOOKUP(Table10[[#This Row],[SKU]],'All Skus'!$A:$AC,19,FALSE)),""))</f>
        <v>0</v>
      </c>
      <c r="P673" s="227">
        <f>(IF((VLOOKUP(Table10[[#This Row],[SKU]],'All Skus'!$A:$AC,2,FALSE))="Martin",(VLOOKUP(Table10[[#This Row],[SKU]],'All Skus'!$A:$AC,20,FALSE)),""))</f>
        <v>0</v>
      </c>
      <c r="Q673" s="227">
        <f>(IF((VLOOKUP(Table10[[#This Row],[SKU]],'All Skus'!$A:$AC,2,FALSE))="Martin",(VLOOKUP(Table10[[#This Row],[SKU]],'All Skus'!$A:$AC,21,FALSE)),""))</f>
        <v>0</v>
      </c>
      <c r="R673" s="224" t="str">
        <f>(IF((VLOOKUP(Table10[[#This Row],[SKU]],'All Skus'!$A:$AC,2,FALSE))="Martin",(VLOOKUP(Table10[[#This Row],[SKU]],'All Skus'!$A:$AC,22,FALSE)),""))</f>
        <v>TH</v>
      </c>
      <c r="S673" s="223">
        <f>(IF((VLOOKUP(Table10[[#This Row],[SKU]],'All Skus'!$A:$AC,2,FALSE))="Martin",(VLOOKUP(Table10[[#This Row],[SKU]],'All Skus'!$A:$AC,23,FALSE)),""))</f>
        <v>0</v>
      </c>
      <c r="T673" s="212" t="str">
        <f>HYPERLINK((IF((VLOOKUP(Table10[[#This Row],[SKU]],'All Skus'!$A:$AC,2,FALSE))="Martin",(VLOOKUP(Table10[[#This Row],[SKU]],'All Skus'!$A:$AC,24,FALSE)),"")))</f>
        <v>http://www.martin.com/en-us/product-details/vc-feeder</v>
      </c>
      <c r="U673" s="228">
        <v>671</v>
      </c>
    </row>
    <row r="674" spans="1:21" hidden="1">
      <c r="A674" s="115" t="s">
        <v>2323</v>
      </c>
      <c r="B674" s="224">
        <f>(IF((VLOOKUP(Table10[[#This Row],[SKU]],'All Skus'!$A:$AC,2,FALSE))="Martin",(VLOOKUP(Table10[[#This Row],[SKU]],'All Skus'!$A:$AC,3,FALSE)),""))</f>
        <v>0</v>
      </c>
      <c r="C674" s="223">
        <f>(IF((VLOOKUP(Table10[[#This Row],[SKU]],'All Skus'!$A:$AC,2,FALSE))="Martin",(VLOOKUP(Table10[[#This Row],[SKU]],'All Skus'!$A:$AC,4,FALSE)),""))</f>
        <v>0</v>
      </c>
      <c r="D674" s="224">
        <f>(IF((VLOOKUP(Table10[[#This Row],[SKU]],'All Skus'!$A:$AC,2,FALSE))="Martin",(VLOOKUP(Table10[[#This Row],[SKU]],'All Skus'!$A:$AC,5,FALSE)),""))</f>
        <v>0</v>
      </c>
      <c r="E674" s="223">
        <f>(IF((VLOOKUP(Table10[[#This Row],[SKU]],'All Skus'!$A:$AC,2,FALSE))="Martin",(VLOOKUP(Table10[[#This Row],[SKU]],'All Skus'!$A:$AC,6,FALSE)),""))</f>
        <v>0</v>
      </c>
      <c r="F674" s="155">
        <f>(IF((VLOOKUP(Table10[[#This Row],[SKU]],'All Skus'!$A:$AC,2,FALSE))="Martin",(VLOOKUP(Table10[[#This Row],[SKU]],'All Skus'!$A:$AC,7,FALSE)),""))</f>
        <v>0</v>
      </c>
      <c r="G674" s="223">
        <f>(IF((VLOOKUP(Table10[[#This Row],[SKU]],'All Skus'!$A:$AC,2,FALSE))="Martin",(VLOOKUP(Table10[[#This Row],[SKU]],'All Skus'!$A:$AC,8,FALSE)),""))</f>
        <v>0</v>
      </c>
      <c r="H674" s="223">
        <f>(IF((VLOOKUP(Table10[[#This Row],[SKU]],'All Skus'!$A:$AC,2,FALSE))="Martin",(VLOOKUP(Table10[[#This Row],[SKU]],'All Skus'!$A:$AC,9,FALSE)),""))</f>
        <v>0</v>
      </c>
      <c r="I674" s="225">
        <f>(IF((VLOOKUP(Table10[[#This Row],[SKU]],'All Skus'!$A:$AC,2,FALSE))="Martin",(VLOOKUP(Table10[[#This Row],[SKU]],'All Skus'!$A:$AC,10,FALSE)),""))</f>
        <v>0</v>
      </c>
      <c r="J674" s="226">
        <f>(IF((VLOOKUP(Table10[[#This Row],[SKU]],'All Skus'!$A:$AC,2,FALSE))="Martin",(VLOOKUP(Table10[[#This Row],[SKU]],'All Skus'!$A:$AC,11,FALSE)),""))</f>
        <v>0</v>
      </c>
      <c r="K674" s="224">
        <f>(IF((VLOOKUP(Table10[[#This Row],[SKU]],'All Skus'!$A:$AC,2,FALSE))="Martin",(VLOOKUP(Table10[[#This Row],[SKU]],'All Skus'!$A:$AC,15,FALSE)),""))</f>
        <v>0</v>
      </c>
      <c r="L674" s="224">
        <f>(IF((VLOOKUP(Table10[[#This Row],[SKU]],'All Skus'!$A:$AC,2,FALSE))="Martin",(VLOOKUP(Table10[[#This Row],[SKU]],'All Skus'!$A:$AC,16,FALSE)),""))</f>
        <v>0</v>
      </c>
      <c r="M674" s="224">
        <f>(IF((VLOOKUP(Table10[[#This Row],[SKU]],'All Skus'!$A:$AC,2,FALSE))="Martin",(VLOOKUP(Table10[[#This Row],[SKU]],'All Skus'!$A:$AC,17,FALSE)),""))</f>
        <v>0</v>
      </c>
      <c r="N674" s="227">
        <f>(IF((VLOOKUP(Table10[[#This Row],[SKU]],'All Skus'!$A:$AC,2,FALSE))="Martin",(VLOOKUP(Table10[[#This Row],[SKU]],'All Skus'!$A:$AC,18,FALSE)),""))</f>
        <v>0</v>
      </c>
      <c r="O674" s="227">
        <f>(IF((VLOOKUP(Table10[[#This Row],[SKU]],'All Skus'!$A:$AC,2,FALSE))="Martin",(VLOOKUP(Table10[[#This Row],[SKU]],'All Skus'!$A:$AC,19,FALSE)),""))</f>
        <v>0</v>
      </c>
      <c r="P674" s="227">
        <f>(IF((VLOOKUP(Table10[[#This Row],[SKU]],'All Skus'!$A:$AC,2,FALSE))="Martin",(VLOOKUP(Table10[[#This Row],[SKU]],'All Skus'!$A:$AC,20,FALSE)),""))</f>
        <v>0</v>
      </c>
      <c r="Q674" s="227">
        <f>(IF((VLOOKUP(Table10[[#This Row],[SKU]],'All Skus'!$A:$AC,2,FALSE))="Martin",(VLOOKUP(Table10[[#This Row],[SKU]],'All Skus'!$A:$AC,21,FALSE)),""))</f>
        <v>0</v>
      </c>
      <c r="R674" s="224">
        <f>(IF((VLOOKUP(Table10[[#This Row],[SKU]],'All Skus'!$A:$AC,2,FALSE))="Martin",(VLOOKUP(Table10[[#This Row],[SKU]],'All Skus'!$A:$AC,22,FALSE)),""))</f>
        <v>0</v>
      </c>
      <c r="S674" s="223">
        <f>(IF((VLOOKUP(Table10[[#This Row],[SKU]],'All Skus'!$A:$AC,2,FALSE))="Martin",(VLOOKUP(Table10[[#This Row],[SKU]],'All Skus'!$A:$AC,23,FALSE)),""))</f>
        <v>0</v>
      </c>
      <c r="T674" s="212" t="str">
        <f>HYPERLINK((IF((VLOOKUP(Table10[[#This Row],[SKU]],'All Skus'!$A:$AC,2,FALSE))="Martin",(VLOOKUP(Table10[[#This Row],[SKU]],'All Skus'!$A:$AC,24,FALSE)),"")))</f>
        <v/>
      </c>
      <c r="U674" s="228">
        <v>672</v>
      </c>
    </row>
    <row r="675" spans="1:21" hidden="1">
      <c r="A675" s="112">
        <v>90357180</v>
      </c>
      <c r="B675" s="224" t="str">
        <f>(IF((VLOOKUP(Table10[[#This Row],[SKU]],'All Skus'!$A:$AC,2,FALSE))="Martin",(VLOOKUP(Table10[[#This Row],[SKU]],'All Skus'!$A:$AC,3,FALSE)),""))</f>
        <v>Linear</v>
      </c>
      <c r="C675" s="223" t="str">
        <f>(IF((VLOOKUP(Table10[[#This Row],[SKU]],'All Skus'!$A:$AC,2,FALSE))="Martin",(VLOOKUP(Table10[[#This Row],[SKU]],'All Skus'!$A:$AC,4,FALSE)),""))</f>
        <v>Set of 10 VC-Dot 1 Diffuser Domes</v>
      </c>
      <c r="D675" s="224" t="str">
        <f>(IF((VLOOKUP(Table10[[#This Row],[SKU]],'All Skus'!$A:$AC,2,FALSE))="Martin",(VLOOKUP(Table10[[#This Row],[SKU]],'All Skus'!$A:$AC,5,FALSE)),""))</f>
        <v>MAR-VC</v>
      </c>
      <c r="E675" s="223">
        <f>(IF((VLOOKUP(Table10[[#This Row],[SKU]],'All Skus'!$A:$AC,2,FALSE))="Martin",(VLOOKUP(Table10[[#This Row],[SKU]],'All Skus'!$A:$AC,6,FALSE)),""))</f>
        <v>0</v>
      </c>
      <c r="F675" s="155">
        <f>(IF((VLOOKUP(Table10[[#This Row],[SKU]],'All Skus'!$A:$AC,2,FALSE))="Martin",(VLOOKUP(Table10[[#This Row],[SKU]],'All Skus'!$A:$AC,7,FALSE)),""))</f>
        <v>0</v>
      </c>
      <c r="G675" s="223" t="str">
        <f>(IF((VLOOKUP(Table10[[#This Row],[SKU]],'All Skus'!$A:$AC,2,FALSE))="Martin",(VLOOKUP(Table10[[#This Row],[SKU]],'All Skus'!$A:$AC,8,FALSE)),""))</f>
        <v>Set of 10 VC-Dot 1 Diffuser Domes</v>
      </c>
      <c r="H675" s="223" t="str">
        <f>(IF((VLOOKUP(Table10[[#This Row],[SKU]],'All Skus'!$A:$AC,2,FALSE))="Martin",(VLOOKUP(Table10[[#This Row],[SKU]],'All Skus'!$A:$AC,9,FALSE)),""))</f>
        <v>Set of 10 VC-Dot 1 Diffuser Domes</v>
      </c>
      <c r="I675" s="225">
        <f>(IF((VLOOKUP(Table10[[#This Row],[SKU]],'All Skus'!$A:$AC,2,FALSE))="Martin",(VLOOKUP(Table10[[#This Row],[SKU]],'All Skus'!$A:$AC,10,FALSE)),""))</f>
        <v>12.35</v>
      </c>
      <c r="J675" s="226">
        <f>(IF((VLOOKUP(Table10[[#This Row],[SKU]],'All Skus'!$A:$AC,2,FALSE))="Martin",(VLOOKUP(Table10[[#This Row],[SKU]],'All Skus'!$A:$AC,11,FALSE)),""))</f>
        <v>12.35</v>
      </c>
      <c r="K675" s="224">
        <f>(IF((VLOOKUP(Table10[[#This Row],[SKU]],'All Skus'!$A:$AC,2,FALSE))="Martin",(VLOOKUP(Table10[[#This Row],[SKU]],'All Skus'!$A:$AC,15,FALSE)),""))</f>
        <v>0</v>
      </c>
      <c r="L675" s="224">
        <f>(IF((VLOOKUP(Table10[[#This Row],[SKU]],'All Skus'!$A:$AC,2,FALSE))="Martin",(VLOOKUP(Table10[[#This Row],[SKU]],'All Skus'!$A:$AC,16,FALSE)),""))</f>
        <v>5706681211319</v>
      </c>
      <c r="M675" s="224">
        <f>(IF((VLOOKUP(Table10[[#This Row],[SKU]],'All Skus'!$A:$AC,2,FALSE))="Martin",(VLOOKUP(Table10[[#This Row],[SKU]],'All Skus'!$A:$AC,17,FALSE)),""))</f>
        <v>0</v>
      </c>
      <c r="N675" s="227">
        <f>(IF((VLOOKUP(Table10[[#This Row],[SKU]],'All Skus'!$A:$AC,2,FALSE))="Martin",(VLOOKUP(Table10[[#This Row],[SKU]],'All Skus'!$A:$AC,18,FALSE)),""))</f>
        <v>0</v>
      </c>
      <c r="O675" s="227">
        <f>(IF((VLOOKUP(Table10[[#This Row],[SKU]],'All Skus'!$A:$AC,2,FALSE))="Martin",(VLOOKUP(Table10[[#This Row],[SKU]],'All Skus'!$A:$AC,19,FALSE)),""))</f>
        <v>0</v>
      </c>
      <c r="P675" s="227">
        <f>(IF((VLOOKUP(Table10[[#This Row],[SKU]],'All Skus'!$A:$AC,2,FALSE))="Martin",(VLOOKUP(Table10[[#This Row],[SKU]],'All Skus'!$A:$AC,20,FALSE)),""))</f>
        <v>0</v>
      </c>
      <c r="Q675" s="227">
        <f>(IF((VLOOKUP(Table10[[#This Row],[SKU]],'All Skus'!$A:$AC,2,FALSE))="Martin",(VLOOKUP(Table10[[#This Row],[SKU]],'All Skus'!$A:$AC,21,FALSE)),""))</f>
        <v>0</v>
      </c>
      <c r="R675" s="224" t="str">
        <f>(IF((VLOOKUP(Table10[[#This Row],[SKU]],'All Skus'!$A:$AC,2,FALSE))="Martin",(VLOOKUP(Table10[[#This Row],[SKU]],'All Skus'!$A:$AC,22,FALSE)),""))</f>
        <v>CN</v>
      </c>
      <c r="S675" s="223" t="str">
        <f>(IF((VLOOKUP(Table10[[#This Row],[SKU]],'All Skus'!$A:$AC,2,FALSE))="Martin",(VLOOKUP(Table10[[#This Row],[SKU]],'All Skus'!$A:$AC,23,FALSE)),""))</f>
        <v>Non Compliant</v>
      </c>
      <c r="T675" s="212" t="str">
        <f>HYPERLINK((IF((VLOOKUP(Table10[[#This Row],[SKU]],'All Skus'!$A:$AC,2,FALSE))="Martin",(VLOOKUP(Table10[[#This Row],[SKU]],'All Skus'!$A:$AC,24,FALSE)),"")))</f>
        <v>http://www.martin.com/en-us/product-details/vc-dot-1</v>
      </c>
      <c r="U675" s="228">
        <v>673</v>
      </c>
    </row>
    <row r="676" spans="1:21" hidden="1">
      <c r="A676" s="112">
        <v>91610110</v>
      </c>
      <c r="B676" s="224">
        <f>(IF((VLOOKUP(Table10[[#This Row],[SKU]],'All Skus'!$A:$AC,2,FALSE))="Martin",(VLOOKUP(Table10[[#This Row],[SKU]],'All Skus'!$A:$AC,3,FALSE)),""))</f>
        <v>0</v>
      </c>
      <c r="C676" s="223" t="str">
        <f>(IF((VLOOKUP(Table10[[#This Row],[SKU]],'All Skus'!$A:$AC,2,FALSE))="Martin",(VLOOKUP(Table10[[#This Row],[SKU]],'All Skus'!$A:$AC,4,FALSE)),""))</f>
        <v>Set of 10 VC-Dot 1 Smoked Diffuser Domes</v>
      </c>
      <c r="D676" s="224" t="str">
        <f>(IF((VLOOKUP(Table10[[#This Row],[SKU]],'All Skus'!$A:$AC,2,FALSE))="Martin",(VLOOKUP(Table10[[#This Row],[SKU]],'All Skus'!$A:$AC,5,FALSE)),""))</f>
        <v>MAR-VC</v>
      </c>
      <c r="E676" s="223">
        <f>(IF((VLOOKUP(Table10[[#This Row],[SKU]],'All Skus'!$A:$AC,2,FALSE))="Martin",(VLOOKUP(Table10[[#This Row],[SKU]],'All Skus'!$A:$AC,6,FALSE)),""))</f>
        <v>0</v>
      </c>
      <c r="F676" s="155">
        <f>(IF((VLOOKUP(Table10[[#This Row],[SKU]],'All Skus'!$A:$AC,2,FALSE))="Martin",(VLOOKUP(Table10[[#This Row],[SKU]],'All Skus'!$A:$AC,7,FALSE)),""))</f>
        <v>0</v>
      </c>
      <c r="G676" s="223" t="str">
        <f>(IF((VLOOKUP(Table10[[#This Row],[SKU]],'All Skus'!$A:$AC,2,FALSE))="Martin",(VLOOKUP(Table10[[#This Row],[SKU]],'All Skus'!$A:$AC,8,FALSE)),""))</f>
        <v>Set of 10 VC-Dot 1 Smoked Diffuser Domes</v>
      </c>
      <c r="H676" s="223" t="str">
        <f>(IF((VLOOKUP(Table10[[#This Row],[SKU]],'All Skus'!$A:$AC,2,FALSE))="Martin",(VLOOKUP(Table10[[#This Row],[SKU]],'All Skus'!$A:$AC,9,FALSE)),""))</f>
        <v>Set of 10 VC-Dot 1 Smoked Diffuser Domes</v>
      </c>
      <c r="I676" s="225">
        <f>(IF((VLOOKUP(Table10[[#This Row],[SKU]],'All Skus'!$A:$AC,2,FALSE))="Martin",(VLOOKUP(Table10[[#This Row],[SKU]],'All Skus'!$A:$AC,10,FALSE)),""))</f>
        <v>27.16</v>
      </c>
      <c r="J676" s="226">
        <f>(IF((VLOOKUP(Table10[[#This Row],[SKU]],'All Skus'!$A:$AC,2,FALSE))="Martin",(VLOOKUP(Table10[[#This Row],[SKU]],'All Skus'!$A:$AC,11,FALSE)),""))</f>
        <v>27.16</v>
      </c>
      <c r="K676" s="224">
        <f>(IF((VLOOKUP(Table10[[#This Row],[SKU]],'All Skus'!$A:$AC,2,FALSE))="Martin",(VLOOKUP(Table10[[#This Row],[SKU]],'All Skus'!$A:$AC,15,FALSE)),""))</f>
        <v>0</v>
      </c>
      <c r="L676" s="224">
        <f>(IF((VLOOKUP(Table10[[#This Row],[SKU]],'All Skus'!$A:$AC,2,FALSE))="Martin",(VLOOKUP(Table10[[#This Row],[SKU]],'All Skus'!$A:$AC,16,FALSE)),""))</f>
        <v>0</v>
      </c>
      <c r="M676" s="224">
        <f>(IF((VLOOKUP(Table10[[#This Row],[SKU]],'All Skus'!$A:$AC,2,FALSE))="Martin",(VLOOKUP(Table10[[#This Row],[SKU]],'All Skus'!$A:$AC,17,FALSE)),""))</f>
        <v>0</v>
      </c>
      <c r="N676" s="227">
        <f>(IF((VLOOKUP(Table10[[#This Row],[SKU]],'All Skus'!$A:$AC,2,FALSE))="Martin",(VLOOKUP(Table10[[#This Row],[SKU]],'All Skus'!$A:$AC,18,FALSE)),""))</f>
        <v>0</v>
      </c>
      <c r="O676" s="227">
        <f>(IF((VLOOKUP(Table10[[#This Row],[SKU]],'All Skus'!$A:$AC,2,FALSE))="Martin",(VLOOKUP(Table10[[#This Row],[SKU]],'All Skus'!$A:$AC,19,FALSE)),""))</f>
        <v>0</v>
      </c>
      <c r="P676" s="227">
        <f>(IF((VLOOKUP(Table10[[#This Row],[SKU]],'All Skus'!$A:$AC,2,FALSE))="Martin",(VLOOKUP(Table10[[#This Row],[SKU]],'All Skus'!$A:$AC,20,FALSE)),""))</f>
        <v>0</v>
      </c>
      <c r="Q676" s="227">
        <f>(IF((VLOOKUP(Table10[[#This Row],[SKU]],'All Skus'!$A:$AC,2,FALSE))="Martin",(VLOOKUP(Table10[[#This Row],[SKU]],'All Skus'!$A:$AC,21,FALSE)),""))</f>
        <v>0</v>
      </c>
      <c r="R676" s="224">
        <f>(IF((VLOOKUP(Table10[[#This Row],[SKU]],'All Skus'!$A:$AC,2,FALSE))="Martin",(VLOOKUP(Table10[[#This Row],[SKU]],'All Skus'!$A:$AC,22,FALSE)),""))</f>
        <v>0</v>
      </c>
      <c r="S676" s="223">
        <f>(IF((VLOOKUP(Table10[[#This Row],[SKU]],'All Skus'!$A:$AC,2,FALSE))="Martin",(VLOOKUP(Table10[[#This Row],[SKU]],'All Skus'!$A:$AC,23,FALSE)),""))</f>
        <v>0</v>
      </c>
      <c r="T676" s="212" t="str">
        <f>HYPERLINK((IF((VLOOKUP(Table10[[#This Row],[SKU]],'All Skus'!$A:$AC,2,FALSE))="Martin",(VLOOKUP(Table10[[#This Row],[SKU]],'All Skus'!$A:$AC,24,FALSE)),"")))</f>
        <v/>
      </c>
      <c r="U676" s="228">
        <v>674</v>
      </c>
    </row>
    <row r="677" spans="1:21" hidden="1">
      <c r="A677" s="112">
        <v>90357210</v>
      </c>
      <c r="B677" s="224" t="str">
        <f>(IF((VLOOKUP(Table10[[#This Row],[SKU]],'All Skus'!$A:$AC,2,FALSE))="Martin",(VLOOKUP(Table10[[#This Row],[SKU]],'All Skus'!$A:$AC,3,FALSE)),""))</f>
        <v>Linear</v>
      </c>
      <c r="C677" s="223" t="str">
        <f>(IF((VLOOKUP(Table10[[#This Row],[SKU]],'All Skus'!$A:$AC,2,FALSE))="Martin",(VLOOKUP(Table10[[#This Row],[SKU]],'All Skus'!$A:$AC,4,FALSE)),""))</f>
        <v>Set of 10 VC-Dot 1 Mounting Clips</v>
      </c>
      <c r="D677" s="224" t="str">
        <f>(IF((VLOOKUP(Table10[[#This Row],[SKU]],'All Skus'!$A:$AC,2,FALSE))="Martin",(VLOOKUP(Table10[[#This Row],[SKU]],'All Skus'!$A:$AC,5,FALSE)),""))</f>
        <v>MAR-VC</v>
      </c>
      <c r="E677" s="223">
        <f>(IF((VLOOKUP(Table10[[#This Row],[SKU]],'All Skus'!$A:$AC,2,FALSE))="Martin",(VLOOKUP(Table10[[#This Row],[SKU]],'All Skus'!$A:$AC,6,FALSE)),""))</f>
        <v>0</v>
      </c>
      <c r="F677" s="155">
        <f>(IF((VLOOKUP(Table10[[#This Row],[SKU]],'All Skus'!$A:$AC,2,FALSE))="Martin",(VLOOKUP(Table10[[#This Row],[SKU]],'All Skus'!$A:$AC,7,FALSE)),""))</f>
        <v>0</v>
      </c>
      <c r="G677" s="223" t="str">
        <f>(IF((VLOOKUP(Table10[[#This Row],[SKU]],'All Skus'!$A:$AC,2,FALSE))="Martin",(VLOOKUP(Table10[[#This Row],[SKU]],'All Skus'!$A:$AC,8,FALSE)),""))</f>
        <v>Set of 10 VC-Dot 1 Mounting Clips</v>
      </c>
      <c r="H677" s="223" t="str">
        <f>(IF((VLOOKUP(Table10[[#This Row],[SKU]],'All Skus'!$A:$AC,2,FALSE))="Martin",(VLOOKUP(Table10[[#This Row],[SKU]],'All Skus'!$A:$AC,9,FALSE)),""))</f>
        <v>Set of 10 VC-Dot 1 Mounting Clips</v>
      </c>
      <c r="I677" s="225">
        <f>(IF((VLOOKUP(Table10[[#This Row],[SKU]],'All Skus'!$A:$AC,2,FALSE))="Martin",(VLOOKUP(Table10[[#This Row],[SKU]],'All Skus'!$A:$AC,10,FALSE)),""))</f>
        <v>19.760000000000002</v>
      </c>
      <c r="J677" s="226">
        <f>(IF((VLOOKUP(Table10[[#This Row],[SKU]],'All Skus'!$A:$AC,2,FALSE))="Martin",(VLOOKUP(Table10[[#This Row],[SKU]],'All Skus'!$A:$AC,11,FALSE)),""))</f>
        <v>19.760000000000002</v>
      </c>
      <c r="K677" s="224">
        <f>(IF((VLOOKUP(Table10[[#This Row],[SKU]],'All Skus'!$A:$AC,2,FALSE))="Martin",(VLOOKUP(Table10[[#This Row],[SKU]],'All Skus'!$A:$AC,15,FALSE)),""))</f>
        <v>0</v>
      </c>
      <c r="L677" s="224">
        <f>(IF((VLOOKUP(Table10[[#This Row],[SKU]],'All Skus'!$A:$AC,2,FALSE))="Martin",(VLOOKUP(Table10[[#This Row],[SKU]],'All Skus'!$A:$AC,16,FALSE)),""))</f>
        <v>5706681211340</v>
      </c>
      <c r="M677" s="224">
        <f>(IF((VLOOKUP(Table10[[#This Row],[SKU]],'All Skus'!$A:$AC,2,FALSE))="Martin",(VLOOKUP(Table10[[#This Row],[SKU]],'All Skus'!$A:$AC,17,FALSE)),""))</f>
        <v>0</v>
      </c>
      <c r="N677" s="227">
        <f>(IF((VLOOKUP(Table10[[#This Row],[SKU]],'All Skus'!$A:$AC,2,FALSE))="Martin",(VLOOKUP(Table10[[#This Row],[SKU]],'All Skus'!$A:$AC,18,FALSE)),""))</f>
        <v>0</v>
      </c>
      <c r="O677" s="227">
        <f>(IF((VLOOKUP(Table10[[#This Row],[SKU]],'All Skus'!$A:$AC,2,FALSE))="Martin",(VLOOKUP(Table10[[#This Row],[SKU]],'All Skus'!$A:$AC,19,FALSE)),""))</f>
        <v>0</v>
      </c>
      <c r="P677" s="227">
        <f>(IF((VLOOKUP(Table10[[#This Row],[SKU]],'All Skus'!$A:$AC,2,FALSE))="Martin",(VLOOKUP(Table10[[#This Row],[SKU]],'All Skus'!$A:$AC,20,FALSE)),""))</f>
        <v>0</v>
      </c>
      <c r="Q677" s="227">
        <f>(IF((VLOOKUP(Table10[[#This Row],[SKU]],'All Skus'!$A:$AC,2,FALSE))="Martin",(VLOOKUP(Table10[[#This Row],[SKU]],'All Skus'!$A:$AC,21,FALSE)),""))</f>
        <v>0</v>
      </c>
      <c r="R677" s="224" t="str">
        <f>(IF((VLOOKUP(Table10[[#This Row],[SKU]],'All Skus'!$A:$AC,2,FALSE))="Martin",(VLOOKUP(Table10[[#This Row],[SKU]],'All Skus'!$A:$AC,22,FALSE)),""))</f>
        <v>CN</v>
      </c>
      <c r="S677" s="223" t="str">
        <f>(IF((VLOOKUP(Table10[[#This Row],[SKU]],'All Skus'!$A:$AC,2,FALSE))="Martin",(VLOOKUP(Table10[[#This Row],[SKU]],'All Skus'!$A:$AC,23,FALSE)),""))</f>
        <v>Non Compliant</v>
      </c>
      <c r="T677" s="212" t="str">
        <f>HYPERLINK((IF((VLOOKUP(Table10[[#This Row],[SKU]],'All Skus'!$A:$AC,2,FALSE))="Martin",(VLOOKUP(Table10[[#This Row],[SKU]],'All Skus'!$A:$AC,24,FALSE)),"")))</f>
        <v>http://www.martin.com/en-us/product-details/vc-dot-1</v>
      </c>
      <c r="U677" s="228">
        <v>675</v>
      </c>
    </row>
    <row r="678" spans="1:21" hidden="1">
      <c r="A678" s="90">
        <v>91611301</v>
      </c>
      <c r="B678" s="224">
        <f>(IF((VLOOKUP(Table10[[#This Row],[SKU]],'All Skus'!$A:$AC,2,FALSE))="Martin",(VLOOKUP(Table10[[#This Row],[SKU]],'All Skus'!$A:$AC,3,FALSE)),""))</f>
        <v>0</v>
      </c>
      <c r="C678" s="223" t="str">
        <f>(IF((VLOOKUP(Table10[[#This Row],[SKU]],'All Skus'!$A:$AC,2,FALSE))="Martin",(VLOOKUP(Table10[[#This Row],[SKU]],'All Skus'!$A:$AC,4,FALSE)),""))</f>
        <v>Mounting Bracket, VC-Dot 1</v>
      </c>
      <c r="D678" s="224" t="str">
        <f>(IF((VLOOKUP(Table10[[#This Row],[SKU]],'All Skus'!$A:$AC,2,FALSE))="Martin",(VLOOKUP(Table10[[#This Row],[SKU]],'All Skus'!$A:$AC,5,FALSE)),""))</f>
        <v>MAR-VC</v>
      </c>
      <c r="E678" s="223">
        <f>(IF((VLOOKUP(Table10[[#This Row],[SKU]],'All Skus'!$A:$AC,2,FALSE))="Martin",(VLOOKUP(Table10[[#This Row],[SKU]],'All Skus'!$A:$AC,6,FALSE)),""))</f>
        <v>0</v>
      </c>
      <c r="F678" s="155">
        <f>(IF((VLOOKUP(Table10[[#This Row],[SKU]],'All Skus'!$A:$AC,2,FALSE))="Martin",(VLOOKUP(Table10[[#This Row],[SKU]],'All Skus'!$A:$AC,7,FALSE)),""))</f>
        <v>0</v>
      </c>
      <c r="G678" s="223" t="str">
        <f>(IF((VLOOKUP(Table10[[#This Row],[SKU]],'All Skus'!$A:$AC,2,FALSE))="Martin",(VLOOKUP(Table10[[#This Row],[SKU]],'All Skus'!$A:$AC,8,FALSE)),""))</f>
        <v>Mounting Bracket, VC-Dot 1</v>
      </c>
      <c r="H678" s="223" t="str">
        <f>(IF((VLOOKUP(Table10[[#This Row],[SKU]],'All Skus'!$A:$AC,2,FALSE))="Martin",(VLOOKUP(Table10[[#This Row],[SKU]],'All Skus'!$A:$AC,9,FALSE)),""))</f>
        <v>Mounting Bracket, VC-Dot 1</v>
      </c>
      <c r="I678" s="225">
        <f>(IF((VLOOKUP(Table10[[#This Row],[SKU]],'All Skus'!$A:$AC,2,FALSE))="Martin",(VLOOKUP(Table10[[#This Row],[SKU]],'All Skus'!$A:$AC,10,FALSE)),""))</f>
        <v>7.41</v>
      </c>
      <c r="J678" s="226">
        <f>(IF((VLOOKUP(Table10[[#This Row],[SKU]],'All Skus'!$A:$AC,2,FALSE))="Martin",(VLOOKUP(Table10[[#This Row],[SKU]],'All Skus'!$A:$AC,11,FALSE)),""))</f>
        <v>7.41</v>
      </c>
      <c r="K678" s="224">
        <f>(IF((VLOOKUP(Table10[[#This Row],[SKU]],'All Skus'!$A:$AC,2,FALSE))="Martin",(VLOOKUP(Table10[[#This Row],[SKU]],'All Skus'!$A:$AC,15,FALSE)),""))</f>
        <v>0</v>
      </c>
      <c r="L678" s="224">
        <f>(IF((VLOOKUP(Table10[[#This Row],[SKU]],'All Skus'!$A:$AC,2,FALSE))="Martin",(VLOOKUP(Table10[[#This Row],[SKU]],'All Skus'!$A:$AC,16,FALSE)),""))</f>
        <v>0</v>
      </c>
      <c r="M678" s="224">
        <f>(IF((VLOOKUP(Table10[[#This Row],[SKU]],'All Skus'!$A:$AC,2,FALSE))="Martin",(VLOOKUP(Table10[[#This Row],[SKU]],'All Skus'!$A:$AC,17,FALSE)),""))</f>
        <v>0</v>
      </c>
      <c r="N678" s="227">
        <f>(IF((VLOOKUP(Table10[[#This Row],[SKU]],'All Skus'!$A:$AC,2,FALSE))="Martin",(VLOOKUP(Table10[[#This Row],[SKU]],'All Skus'!$A:$AC,18,FALSE)),""))</f>
        <v>0</v>
      </c>
      <c r="O678" s="227">
        <f>(IF((VLOOKUP(Table10[[#This Row],[SKU]],'All Skus'!$A:$AC,2,FALSE))="Martin",(VLOOKUP(Table10[[#This Row],[SKU]],'All Skus'!$A:$AC,19,FALSE)),""))</f>
        <v>0</v>
      </c>
      <c r="P678" s="227">
        <f>(IF((VLOOKUP(Table10[[#This Row],[SKU]],'All Skus'!$A:$AC,2,FALSE))="Martin",(VLOOKUP(Table10[[#This Row],[SKU]],'All Skus'!$A:$AC,20,FALSE)),""))</f>
        <v>0</v>
      </c>
      <c r="Q678" s="227">
        <f>(IF((VLOOKUP(Table10[[#This Row],[SKU]],'All Skus'!$A:$AC,2,FALSE))="Martin",(VLOOKUP(Table10[[#This Row],[SKU]],'All Skus'!$A:$AC,21,FALSE)),""))</f>
        <v>0</v>
      </c>
      <c r="R678" s="224">
        <f>(IF((VLOOKUP(Table10[[#This Row],[SKU]],'All Skus'!$A:$AC,2,FALSE))="Martin",(VLOOKUP(Table10[[#This Row],[SKU]],'All Skus'!$A:$AC,22,FALSE)),""))</f>
        <v>0</v>
      </c>
      <c r="S678" s="223">
        <f>(IF((VLOOKUP(Table10[[#This Row],[SKU]],'All Skus'!$A:$AC,2,FALSE))="Martin",(VLOOKUP(Table10[[#This Row],[SKU]],'All Skus'!$A:$AC,23,FALSE)),""))</f>
        <v>0</v>
      </c>
      <c r="T678" s="212" t="str">
        <f>HYPERLINK((IF((VLOOKUP(Table10[[#This Row],[SKU]],'All Skus'!$A:$AC,2,FALSE))="Martin",(VLOOKUP(Table10[[#This Row],[SKU]],'All Skus'!$A:$AC,24,FALSE)),"")))</f>
        <v/>
      </c>
      <c r="U678" s="228">
        <v>676</v>
      </c>
    </row>
    <row r="679" spans="1:21" hidden="1">
      <c r="A679" s="112" t="s">
        <v>2324</v>
      </c>
      <c r="B679" s="224">
        <f>(IF((VLOOKUP(Table10[[#This Row],[SKU]],'All Skus'!$A:$AC,2,FALSE))="Martin",(VLOOKUP(Table10[[#This Row],[SKU]],'All Skus'!$A:$AC,3,FALSE)),""))</f>
        <v>0</v>
      </c>
      <c r="C679" s="223" t="str">
        <f>(IF((VLOOKUP(Table10[[#This Row],[SKU]],'All Skus'!$A:$AC,2,FALSE))="Martin",(VLOOKUP(Table10[[#This Row],[SKU]],'All Skus'!$A:$AC,4,FALSE)),""))</f>
        <v>Set of 10 VC-Dot 1 TrussClips</v>
      </c>
      <c r="D679" s="224" t="str">
        <f>(IF((VLOOKUP(Table10[[#This Row],[SKU]],'All Skus'!$A:$AC,2,FALSE))="Martin",(VLOOKUP(Table10[[#This Row],[SKU]],'All Skus'!$A:$AC,5,FALSE)),""))</f>
        <v>MAR-VC</v>
      </c>
      <c r="E679" s="223">
        <f>(IF((VLOOKUP(Table10[[#This Row],[SKU]],'All Skus'!$A:$AC,2,FALSE))="Martin",(VLOOKUP(Table10[[#This Row],[SKU]],'All Skus'!$A:$AC,6,FALSE)),""))</f>
        <v>0</v>
      </c>
      <c r="F679" s="155">
        <f>(IF((VLOOKUP(Table10[[#This Row],[SKU]],'All Skus'!$A:$AC,2,FALSE))="Martin",(VLOOKUP(Table10[[#This Row],[SKU]],'All Skus'!$A:$AC,7,FALSE)),""))</f>
        <v>0</v>
      </c>
      <c r="G679" s="223" t="str">
        <f>(IF((VLOOKUP(Table10[[#This Row],[SKU]],'All Skus'!$A:$AC,2,FALSE))="Martin",(VLOOKUP(Table10[[#This Row],[SKU]],'All Skus'!$A:$AC,8,FALSE)),""))</f>
        <v>Set of 10 VC-Dot 1 TrussClips</v>
      </c>
      <c r="H679" s="223" t="str">
        <f>(IF((VLOOKUP(Table10[[#This Row],[SKU]],'All Skus'!$A:$AC,2,FALSE))="Martin",(VLOOKUP(Table10[[#This Row],[SKU]],'All Skus'!$A:$AC,9,FALSE)),""))</f>
        <v>Set of 10 VC-Dot 1 TrussClips</v>
      </c>
      <c r="I679" s="225">
        <f>(IF((VLOOKUP(Table10[[#This Row],[SKU]],'All Skus'!$A:$AC,2,FALSE))="Martin",(VLOOKUP(Table10[[#This Row],[SKU]],'All Skus'!$A:$AC,10,FALSE)),""))</f>
        <v>60.5</v>
      </c>
      <c r="J679" s="226">
        <f>(IF((VLOOKUP(Table10[[#This Row],[SKU]],'All Skus'!$A:$AC,2,FALSE))="Martin",(VLOOKUP(Table10[[#This Row],[SKU]],'All Skus'!$A:$AC,11,FALSE)),""))</f>
        <v>60.5</v>
      </c>
      <c r="K679" s="224">
        <f>(IF((VLOOKUP(Table10[[#This Row],[SKU]],'All Skus'!$A:$AC,2,FALSE))="Martin",(VLOOKUP(Table10[[#This Row],[SKU]],'All Skus'!$A:$AC,15,FALSE)),""))</f>
        <v>0</v>
      </c>
      <c r="L679" s="224">
        <f>(IF((VLOOKUP(Table10[[#This Row],[SKU]],'All Skus'!$A:$AC,2,FALSE))="Martin",(VLOOKUP(Table10[[#This Row],[SKU]],'All Skus'!$A:$AC,16,FALSE)),""))</f>
        <v>5706681234813</v>
      </c>
      <c r="M679" s="224">
        <f>(IF((VLOOKUP(Table10[[#This Row],[SKU]],'All Skus'!$A:$AC,2,FALSE))="Martin",(VLOOKUP(Table10[[#This Row],[SKU]],'All Skus'!$A:$AC,17,FALSE)),""))</f>
        <v>0</v>
      </c>
      <c r="N679" s="227">
        <f>(IF((VLOOKUP(Table10[[#This Row],[SKU]],'All Skus'!$A:$AC,2,FALSE))="Martin",(VLOOKUP(Table10[[#This Row],[SKU]],'All Skus'!$A:$AC,18,FALSE)),""))</f>
        <v>0</v>
      </c>
      <c r="O679" s="227">
        <f>(IF((VLOOKUP(Table10[[#This Row],[SKU]],'All Skus'!$A:$AC,2,FALSE))="Martin",(VLOOKUP(Table10[[#This Row],[SKU]],'All Skus'!$A:$AC,19,FALSE)),""))</f>
        <v>0</v>
      </c>
      <c r="P679" s="227">
        <f>(IF((VLOOKUP(Table10[[#This Row],[SKU]],'All Skus'!$A:$AC,2,FALSE))="Martin",(VLOOKUP(Table10[[#This Row],[SKU]],'All Skus'!$A:$AC,20,FALSE)),""))</f>
        <v>0</v>
      </c>
      <c r="Q679" s="227">
        <f>(IF((VLOOKUP(Table10[[#This Row],[SKU]],'All Skus'!$A:$AC,2,FALSE))="Martin",(VLOOKUP(Table10[[#This Row],[SKU]],'All Skus'!$A:$AC,21,FALSE)),""))</f>
        <v>0</v>
      </c>
      <c r="R679" s="224" t="str">
        <f>(IF((VLOOKUP(Table10[[#This Row],[SKU]],'All Skus'!$A:$AC,2,FALSE))="Martin",(VLOOKUP(Table10[[#This Row],[SKU]],'All Skus'!$A:$AC,22,FALSE)),""))</f>
        <v>HU</v>
      </c>
      <c r="S679" s="223">
        <f>(IF((VLOOKUP(Table10[[#This Row],[SKU]],'All Skus'!$A:$AC,2,FALSE))="Martin",(VLOOKUP(Table10[[#This Row],[SKU]],'All Skus'!$A:$AC,23,FALSE)),""))</f>
        <v>0</v>
      </c>
      <c r="T679" s="212" t="str">
        <f>HYPERLINK((IF((VLOOKUP(Table10[[#This Row],[SKU]],'All Skus'!$A:$AC,2,FALSE))="Martin",(VLOOKUP(Table10[[#This Row],[SKU]],'All Skus'!$A:$AC,24,FALSE)),"")))</f>
        <v/>
      </c>
      <c r="U679" s="228">
        <v>677</v>
      </c>
    </row>
    <row r="680" spans="1:21" hidden="1">
      <c r="A680" s="112">
        <v>91611374</v>
      </c>
      <c r="B680" s="224" t="str">
        <f>(IF((VLOOKUP(Table10[[#This Row],[SKU]],'All Skus'!$A:$AC,2,FALSE))="Martin",(VLOOKUP(Table10[[#This Row],[SKU]],'All Skus'!$A:$AC,3,FALSE)),""))</f>
        <v>Linear</v>
      </c>
      <c r="C680" s="223" t="str">
        <f>(IF((VLOOKUP(Table10[[#This Row],[SKU]],'All Skus'!$A:$AC,2,FALSE))="Martin",(VLOOKUP(Table10[[#This Row],[SKU]],'All Skus'!$A:$AC,4,FALSE)),""))</f>
        <v>VC-Dot 1 Aluminium Mounting Profile Black 2m</v>
      </c>
      <c r="D680" s="224" t="str">
        <f>(IF((VLOOKUP(Table10[[#This Row],[SKU]],'All Skus'!$A:$AC,2,FALSE))="Martin",(VLOOKUP(Table10[[#This Row],[SKU]],'All Skus'!$A:$AC,5,FALSE)),""))</f>
        <v>MAR-VC</v>
      </c>
      <c r="E680" s="223">
        <f>(IF((VLOOKUP(Table10[[#This Row],[SKU]],'All Skus'!$A:$AC,2,FALSE))="Martin",(VLOOKUP(Table10[[#This Row],[SKU]],'All Skus'!$A:$AC,6,FALSE)),""))</f>
        <v>0</v>
      </c>
      <c r="F680" s="155">
        <f>(IF((VLOOKUP(Table10[[#This Row],[SKU]],'All Skus'!$A:$AC,2,FALSE))="Martin",(VLOOKUP(Table10[[#This Row],[SKU]],'All Skus'!$A:$AC,7,FALSE)),""))</f>
        <v>0</v>
      </c>
      <c r="G680" s="223" t="str">
        <f>(IF((VLOOKUP(Table10[[#This Row],[SKU]],'All Skus'!$A:$AC,2,FALSE))="Martin",(VLOOKUP(Table10[[#This Row],[SKU]],'All Skus'!$A:$AC,8,FALSE)),""))</f>
        <v>VC-Dot 1 Aluminium Mounting Profile Black 2m</v>
      </c>
      <c r="H680" s="223" t="str">
        <f>(IF((VLOOKUP(Table10[[#This Row],[SKU]],'All Skus'!$A:$AC,2,FALSE))="Martin",(VLOOKUP(Table10[[#This Row],[SKU]],'All Skus'!$A:$AC,9,FALSE)),""))</f>
        <v>VC-Dot 1 Aluminium Mounting Profile Black 2m</v>
      </c>
      <c r="I680" s="225">
        <f>(IF((VLOOKUP(Table10[[#This Row],[SKU]],'All Skus'!$A:$AC,2,FALSE))="Martin",(VLOOKUP(Table10[[#This Row],[SKU]],'All Skus'!$A:$AC,10,FALSE)),""))</f>
        <v>38.28</v>
      </c>
      <c r="J680" s="226">
        <f>(IF((VLOOKUP(Table10[[#This Row],[SKU]],'All Skus'!$A:$AC,2,FALSE))="Martin",(VLOOKUP(Table10[[#This Row],[SKU]],'All Skus'!$A:$AC,11,FALSE)),""))</f>
        <v>38.28</v>
      </c>
      <c r="K680" s="224">
        <f>(IF((VLOOKUP(Table10[[#This Row],[SKU]],'All Skus'!$A:$AC,2,FALSE))="Martin",(VLOOKUP(Table10[[#This Row],[SKU]],'All Skus'!$A:$AC,15,FALSE)),""))</f>
        <v>0</v>
      </c>
      <c r="L680" s="224">
        <f>(IF((VLOOKUP(Table10[[#This Row],[SKU]],'All Skus'!$A:$AC,2,FALSE))="Martin",(VLOOKUP(Table10[[#This Row],[SKU]],'All Skus'!$A:$AC,16,FALSE)),""))</f>
        <v>5706681218141</v>
      </c>
      <c r="M680" s="224">
        <f>(IF((VLOOKUP(Table10[[#This Row],[SKU]],'All Skus'!$A:$AC,2,FALSE))="Martin",(VLOOKUP(Table10[[#This Row],[SKU]],'All Skus'!$A:$AC,17,FALSE)),""))</f>
        <v>0</v>
      </c>
      <c r="N680" s="227">
        <f>(IF((VLOOKUP(Table10[[#This Row],[SKU]],'All Skus'!$A:$AC,2,FALSE))="Martin",(VLOOKUP(Table10[[#This Row],[SKU]],'All Skus'!$A:$AC,18,FALSE)),""))</f>
        <v>0</v>
      </c>
      <c r="O680" s="227">
        <f>(IF((VLOOKUP(Table10[[#This Row],[SKU]],'All Skus'!$A:$AC,2,FALSE))="Martin",(VLOOKUP(Table10[[#This Row],[SKU]],'All Skus'!$A:$AC,19,FALSE)),""))</f>
        <v>0</v>
      </c>
      <c r="P680" s="227">
        <f>(IF((VLOOKUP(Table10[[#This Row],[SKU]],'All Skus'!$A:$AC,2,FALSE))="Martin",(VLOOKUP(Table10[[#This Row],[SKU]],'All Skus'!$A:$AC,20,FALSE)),""))</f>
        <v>0</v>
      </c>
      <c r="Q680" s="227">
        <f>(IF((VLOOKUP(Table10[[#This Row],[SKU]],'All Skus'!$A:$AC,2,FALSE))="Martin",(VLOOKUP(Table10[[#This Row],[SKU]],'All Skus'!$A:$AC,21,FALSE)),""))</f>
        <v>0</v>
      </c>
      <c r="R680" s="224" t="str">
        <f>(IF((VLOOKUP(Table10[[#This Row],[SKU]],'All Skus'!$A:$AC,2,FALSE))="Martin",(VLOOKUP(Table10[[#This Row],[SKU]],'All Skus'!$A:$AC,22,FALSE)),""))</f>
        <v>CN</v>
      </c>
      <c r="S680" s="223" t="str">
        <f>(IF((VLOOKUP(Table10[[#This Row],[SKU]],'All Skus'!$A:$AC,2,FALSE))="Martin",(VLOOKUP(Table10[[#This Row],[SKU]],'All Skus'!$A:$AC,23,FALSE)),""))</f>
        <v>Non Compliant</v>
      </c>
      <c r="T680" s="212" t="str">
        <f>HYPERLINK((IF((VLOOKUP(Table10[[#This Row],[SKU]],'All Skus'!$A:$AC,2,FALSE))="Martin",(VLOOKUP(Table10[[#This Row],[SKU]],'All Skus'!$A:$AC,24,FALSE)),"")))</f>
        <v>http://www.martin.com/en-us/product-details/vc-dot-1</v>
      </c>
      <c r="U680" s="228">
        <v>678</v>
      </c>
    </row>
    <row r="681" spans="1:21" hidden="1">
      <c r="A681" s="112">
        <v>91611375</v>
      </c>
      <c r="B681" s="224" t="str">
        <f>(IF((VLOOKUP(Table10[[#This Row],[SKU]],'All Skus'!$A:$AC,2,FALSE))="Martin",(VLOOKUP(Table10[[#This Row],[SKU]],'All Skus'!$A:$AC,3,FALSE)),""))</f>
        <v>Linear</v>
      </c>
      <c r="C681" s="223" t="str">
        <f>(IF((VLOOKUP(Table10[[#This Row],[SKU]],'All Skus'!$A:$AC,2,FALSE))="Martin",(VLOOKUP(Table10[[#This Row],[SKU]],'All Skus'!$A:$AC,4,FALSE)),""))</f>
        <v>VC-Dot 1 Aluminium Profile Cover Black 2m</v>
      </c>
      <c r="D681" s="224" t="str">
        <f>(IF((VLOOKUP(Table10[[#This Row],[SKU]],'All Skus'!$A:$AC,2,FALSE))="Martin",(VLOOKUP(Table10[[#This Row],[SKU]],'All Skus'!$A:$AC,5,FALSE)),""))</f>
        <v>MAR-VC</v>
      </c>
      <c r="E681" s="223">
        <f>(IF((VLOOKUP(Table10[[#This Row],[SKU]],'All Skus'!$A:$AC,2,FALSE))="Martin",(VLOOKUP(Table10[[#This Row],[SKU]],'All Skus'!$A:$AC,6,FALSE)),""))</f>
        <v>0</v>
      </c>
      <c r="F681" s="155">
        <f>(IF((VLOOKUP(Table10[[#This Row],[SKU]],'All Skus'!$A:$AC,2,FALSE))="Martin",(VLOOKUP(Table10[[#This Row],[SKU]],'All Skus'!$A:$AC,7,FALSE)),""))</f>
        <v>0</v>
      </c>
      <c r="G681" s="223" t="str">
        <f>(IF((VLOOKUP(Table10[[#This Row],[SKU]],'All Skus'!$A:$AC,2,FALSE))="Martin",(VLOOKUP(Table10[[#This Row],[SKU]],'All Skus'!$A:$AC,8,FALSE)),""))</f>
        <v>VC-Dot 1 Aluminium Profile Cover Black 2m</v>
      </c>
      <c r="H681" s="223" t="str">
        <f>(IF((VLOOKUP(Table10[[#This Row],[SKU]],'All Skus'!$A:$AC,2,FALSE))="Martin",(VLOOKUP(Table10[[#This Row],[SKU]],'All Skus'!$A:$AC,9,FALSE)),""))</f>
        <v>VC-Dot 1 Aluminium Profile Cover Black 2m</v>
      </c>
      <c r="I681" s="225">
        <f>(IF((VLOOKUP(Table10[[#This Row],[SKU]],'All Skus'!$A:$AC,2,FALSE))="Martin",(VLOOKUP(Table10[[#This Row],[SKU]],'All Skus'!$A:$AC,10,FALSE)),""))</f>
        <v>16.05</v>
      </c>
      <c r="J681" s="226">
        <f>(IF((VLOOKUP(Table10[[#This Row],[SKU]],'All Skus'!$A:$AC,2,FALSE))="Martin",(VLOOKUP(Table10[[#This Row],[SKU]],'All Skus'!$A:$AC,11,FALSE)),""))</f>
        <v>16.05</v>
      </c>
      <c r="K681" s="224">
        <f>(IF((VLOOKUP(Table10[[#This Row],[SKU]],'All Skus'!$A:$AC,2,FALSE))="Martin",(VLOOKUP(Table10[[#This Row],[SKU]],'All Skus'!$A:$AC,15,FALSE)),""))</f>
        <v>0</v>
      </c>
      <c r="L681" s="224">
        <f>(IF((VLOOKUP(Table10[[#This Row],[SKU]],'All Skus'!$A:$AC,2,FALSE))="Martin",(VLOOKUP(Table10[[#This Row],[SKU]],'All Skus'!$A:$AC,16,FALSE)),""))</f>
        <v>5706681218158</v>
      </c>
      <c r="M681" s="224">
        <f>(IF((VLOOKUP(Table10[[#This Row],[SKU]],'All Skus'!$A:$AC,2,FALSE))="Martin",(VLOOKUP(Table10[[#This Row],[SKU]],'All Skus'!$A:$AC,17,FALSE)),""))</f>
        <v>0</v>
      </c>
      <c r="N681" s="227">
        <f>(IF((VLOOKUP(Table10[[#This Row],[SKU]],'All Skus'!$A:$AC,2,FALSE))="Martin",(VLOOKUP(Table10[[#This Row],[SKU]],'All Skus'!$A:$AC,18,FALSE)),""))</f>
        <v>0</v>
      </c>
      <c r="O681" s="227">
        <f>(IF((VLOOKUP(Table10[[#This Row],[SKU]],'All Skus'!$A:$AC,2,FALSE))="Martin",(VLOOKUP(Table10[[#This Row],[SKU]],'All Skus'!$A:$AC,19,FALSE)),""))</f>
        <v>0</v>
      </c>
      <c r="P681" s="227">
        <f>(IF((VLOOKUP(Table10[[#This Row],[SKU]],'All Skus'!$A:$AC,2,FALSE))="Martin",(VLOOKUP(Table10[[#This Row],[SKU]],'All Skus'!$A:$AC,20,FALSE)),""))</f>
        <v>0</v>
      </c>
      <c r="Q681" s="227">
        <f>(IF((VLOOKUP(Table10[[#This Row],[SKU]],'All Skus'!$A:$AC,2,FALSE))="Martin",(VLOOKUP(Table10[[#This Row],[SKU]],'All Skus'!$A:$AC,21,FALSE)),""))</f>
        <v>0</v>
      </c>
      <c r="R681" s="224" t="str">
        <f>(IF((VLOOKUP(Table10[[#This Row],[SKU]],'All Skus'!$A:$AC,2,FALSE))="Martin",(VLOOKUP(Table10[[#This Row],[SKU]],'All Skus'!$A:$AC,22,FALSE)),""))</f>
        <v>CN</v>
      </c>
      <c r="S681" s="223" t="str">
        <f>(IF((VLOOKUP(Table10[[#This Row],[SKU]],'All Skus'!$A:$AC,2,FALSE))="Martin",(VLOOKUP(Table10[[#This Row],[SKU]],'All Skus'!$A:$AC,23,FALSE)),""))</f>
        <v>Non Compliant</v>
      </c>
      <c r="T681" s="212" t="str">
        <f>HYPERLINK((IF((VLOOKUP(Table10[[#This Row],[SKU]],'All Skus'!$A:$AC,2,FALSE))="Martin",(VLOOKUP(Table10[[#This Row],[SKU]],'All Skus'!$A:$AC,24,FALSE)),"")))</f>
        <v>http://www.martin.com/en-us/product-details/vc-dot-1</v>
      </c>
      <c r="U681" s="228">
        <v>679</v>
      </c>
    </row>
    <row r="682" spans="1:21" hidden="1">
      <c r="A682" s="112">
        <v>91611376</v>
      </c>
      <c r="B682" s="224" t="str">
        <f>(IF((VLOOKUP(Table10[[#This Row],[SKU]],'All Skus'!$A:$AC,2,FALSE))="Martin",(VLOOKUP(Table10[[#This Row],[SKU]],'All Skus'!$A:$AC,3,FALSE)),""))</f>
        <v>Linear</v>
      </c>
      <c r="C682" s="223" t="str">
        <f>(IF((VLOOKUP(Table10[[#This Row],[SKU]],'All Skus'!$A:$AC,2,FALSE))="Martin",(VLOOKUP(Table10[[#This Row],[SKU]],'All Skus'!$A:$AC,4,FALSE)),""))</f>
        <v>Set of 10 VC-Dot 1 Alu Profile Endcaps Black</v>
      </c>
      <c r="D682" s="224" t="str">
        <f>(IF((VLOOKUP(Table10[[#This Row],[SKU]],'All Skus'!$A:$AC,2,FALSE))="Martin",(VLOOKUP(Table10[[#This Row],[SKU]],'All Skus'!$A:$AC,5,FALSE)),""))</f>
        <v>MAR-VC</v>
      </c>
      <c r="E682" s="223">
        <f>(IF((VLOOKUP(Table10[[#This Row],[SKU]],'All Skus'!$A:$AC,2,FALSE))="Martin",(VLOOKUP(Table10[[#This Row],[SKU]],'All Skus'!$A:$AC,6,FALSE)),""))</f>
        <v>0</v>
      </c>
      <c r="F682" s="155">
        <f>(IF((VLOOKUP(Table10[[#This Row],[SKU]],'All Skus'!$A:$AC,2,FALSE))="Martin",(VLOOKUP(Table10[[#This Row],[SKU]],'All Skus'!$A:$AC,7,FALSE)),""))</f>
        <v>0</v>
      </c>
      <c r="G682" s="223" t="str">
        <f>(IF((VLOOKUP(Table10[[#This Row],[SKU]],'All Skus'!$A:$AC,2,FALSE))="Martin",(VLOOKUP(Table10[[#This Row],[SKU]],'All Skus'!$A:$AC,8,FALSE)),""))</f>
        <v>Set of 10 VC-Dot 1 Alu Profile Endcaps Black</v>
      </c>
      <c r="H682" s="223" t="str">
        <f>(IF((VLOOKUP(Table10[[#This Row],[SKU]],'All Skus'!$A:$AC,2,FALSE))="Martin",(VLOOKUP(Table10[[#This Row],[SKU]],'All Skus'!$A:$AC,9,FALSE)),""))</f>
        <v>Set of 10 VC-Dot 1 Alu Profile Endcaps Black</v>
      </c>
      <c r="I682" s="225">
        <f>(IF((VLOOKUP(Table10[[#This Row],[SKU]],'All Skus'!$A:$AC,2,FALSE))="Martin",(VLOOKUP(Table10[[#This Row],[SKU]],'All Skus'!$A:$AC,10,FALSE)),""))</f>
        <v>11.11</v>
      </c>
      <c r="J682" s="226">
        <f>(IF((VLOOKUP(Table10[[#This Row],[SKU]],'All Skus'!$A:$AC,2,FALSE))="Martin",(VLOOKUP(Table10[[#This Row],[SKU]],'All Skus'!$A:$AC,11,FALSE)),""))</f>
        <v>11.11</v>
      </c>
      <c r="K682" s="224">
        <f>(IF((VLOOKUP(Table10[[#This Row],[SKU]],'All Skus'!$A:$AC,2,FALSE))="Martin",(VLOOKUP(Table10[[#This Row],[SKU]],'All Skus'!$A:$AC,15,FALSE)),""))</f>
        <v>0</v>
      </c>
      <c r="L682" s="224">
        <f>(IF((VLOOKUP(Table10[[#This Row],[SKU]],'All Skus'!$A:$AC,2,FALSE))="Martin",(VLOOKUP(Table10[[#This Row],[SKU]],'All Skus'!$A:$AC,16,FALSE)),""))</f>
        <v>5706681218165</v>
      </c>
      <c r="M682" s="224">
        <f>(IF((VLOOKUP(Table10[[#This Row],[SKU]],'All Skus'!$A:$AC,2,FALSE))="Martin",(VLOOKUP(Table10[[#This Row],[SKU]],'All Skus'!$A:$AC,17,FALSE)),""))</f>
        <v>0</v>
      </c>
      <c r="N682" s="227">
        <f>(IF((VLOOKUP(Table10[[#This Row],[SKU]],'All Skus'!$A:$AC,2,FALSE))="Martin",(VLOOKUP(Table10[[#This Row],[SKU]],'All Skus'!$A:$AC,18,FALSE)),""))</f>
        <v>0</v>
      </c>
      <c r="O682" s="227">
        <f>(IF((VLOOKUP(Table10[[#This Row],[SKU]],'All Skus'!$A:$AC,2,FALSE))="Martin",(VLOOKUP(Table10[[#This Row],[SKU]],'All Skus'!$A:$AC,19,FALSE)),""))</f>
        <v>0</v>
      </c>
      <c r="P682" s="227">
        <f>(IF((VLOOKUP(Table10[[#This Row],[SKU]],'All Skus'!$A:$AC,2,FALSE))="Martin",(VLOOKUP(Table10[[#This Row],[SKU]],'All Skus'!$A:$AC,20,FALSE)),""))</f>
        <v>0</v>
      </c>
      <c r="Q682" s="227">
        <f>(IF((VLOOKUP(Table10[[#This Row],[SKU]],'All Skus'!$A:$AC,2,FALSE))="Martin",(VLOOKUP(Table10[[#This Row],[SKU]],'All Skus'!$A:$AC,21,FALSE)),""))</f>
        <v>0</v>
      </c>
      <c r="R682" s="224" t="str">
        <f>(IF((VLOOKUP(Table10[[#This Row],[SKU]],'All Skus'!$A:$AC,2,FALSE))="Martin",(VLOOKUP(Table10[[#This Row],[SKU]],'All Skus'!$A:$AC,22,FALSE)),""))</f>
        <v>CN</v>
      </c>
      <c r="S682" s="223" t="str">
        <f>(IF((VLOOKUP(Table10[[#This Row],[SKU]],'All Skus'!$A:$AC,2,FALSE))="Martin",(VLOOKUP(Table10[[#This Row],[SKU]],'All Skus'!$A:$AC,23,FALSE)),""))</f>
        <v>Non Compliant</v>
      </c>
      <c r="T682" s="212" t="str">
        <f>HYPERLINK((IF((VLOOKUP(Table10[[#This Row],[SKU]],'All Skus'!$A:$AC,2,FALSE))="Martin",(VLOOKUP(Table10[[#This Row],[SKU]],'All Skus'!$A:$AC,24,FALSE)),"")))</f>
        <v>http://www.martin.com/en-us/product-details/vc-dot-1</v>
      </c>
      <c r="U682" s="228">
        <v>680</v>
      </c>
    </row>
    <row r="683" spans="1:21" hidden="1">
      <c r="A683" s="112">
        <v>91611377</v>
      </c>
      <c r="B683" s="224" t="str">
        <f>(IF((VLOOKUP(Table10[[#This Row],[SKU]],'All Skus'!$A:$AC,2,FALSE))="Martin",(VLOOKUP(Table10[[#This Row],[SKU]],'All Skus'!$A:$AC,3,FALSE)),""))</f>
        <v>Linear</v>
      </c>
      <c r="C683" s="223" t="str">
        <f>(IF((VLOOKUP(Table10[[#This Row],[SKU]],'All Skus'!$A:$AC,2,FALSE))="Martin",(VLOOKUP(Table10[[#This Row],[SKU]],'All Skus'!$A:$AC,4,FALSE)),""))</f>
        <v>Set of 10 VC-Dot 1 Alu Profile CableEntry Endcaps Black</v>
      </c>
      <c r="D683" s="224" t="str">
        <f>(IF((VLOOKUP(Table10[[#This Row],[SKU]],'All Skus'!$A:$AC,2,FALSE))="Martin",(VLOOKUP(Table10[[#This Row],[SKU]],'All Skus'!$A:$AC,5,FALSE)),""))</f>
        <v>MAR-VC</v>
      </c>
      <c r="E683" s="223">
        <f>(IF((VLOOKUP(Table10[[#This Row],[SKU]],'All Skus'!$A:$AC,2,FALSE))="Martin",(VLOOKUP(Table10[[#This Row],[SKU]],'All Skus'!$A:$AC,6,FALSE)),""))</f>
        <v>0</v>
      </c>
      <c r="F683" s="155">
        <f>(IF((VLOOKUP(Table10[[#This Row],[SKU]],'All Skus'!$A:$AC,2,FALSE))="Martin",(VLOOKUP(Table10[[#This Row],[SKU]],'All Skus'!$A:$AC,7,FALSE)),""))</f>
        <v>0</v>
      </c>
      <c r="G683" s="223" t="str">
        <f>(IF((VLOOKUP(Table10[[#This Row],[SKU]],'All Skus'!$A:$AC,2,FALSE))="Martin",(VLOOKUP(Table10[[#This Row],[SKU]],'All Skus'!$A:$AC,8,FALSE)),""))</f>
        <v>Set of 10 VC-Dot 1 Alu Profile CableEntry Endcaps Black</v>
      </c>
      <c r="H683" s="223" t="str">
        <f>(IF((VLOOKUP(Table10[[#This Row],[SKU]],'All Skus'!$A:$AC,2,FALSE))="Martin",(VLOOKUP(Table10[[#This Row],[SKU]],'All Skus'!$A:$AC,9,FALSE)),""))</f>
        <v>Set of 10 VC-Dot 1 Alu Profile CableEntry Endcaps Black</v>
      </c>
      <c r="I683" s="225">
        <f>(IF((VLOOKUP(Table10[[#This Row],[SKU]],'All Skus'!$A:$AC,2,FALSE))="Martin",(VLOOKUP(Table10[[#This Row],[SKU]],'All Skus'!$A:$AC,10,FALSE)),""))</f>
        <v>11.11</v>
      </c>
      <c r="J683" s="226">
        <f>(IF((VLOOKUP(Table10[[#This Row],[SKU]],'All Skus'!$A:$AC,2,FALSE))="Martin",(VLOOKUP(Table10[[#This Row],[SKU]],'All Skus'!$A:$AC,11,FALSE)),""))</f>
        <v>11.11</v>
      </c>
      <c r="K683" s="224">
        <f>(IF((VLOOKUP(Table10[[#This Row],[SKU]],'All Skus'!$A:$AC,2,FALSE))="Martin",(VLOOKUP(Table10[[#This Row],[SKU]],'All Skus'!$A:$AC,15,FALSE)),""))</f>
        <v>0</v>
      </c>
      <c r="L683" s="224">
        <f>(IF((VLOOKUP(Table10[[#This Row],[SKU]],'All Skus'!$A:$AC,2,FALSE))="Martin",(VLOOKUP(Table10[[#This Row],[SKU]],'All Skus'!$A:$AC,16,FALSE)),""))</f>
        <v>5706681218172</v>
      </c>
      <c r="M683" s="224">
        <f>(IF((VLOOKUP(Table10[[#This Row],[SKU]],'All Skus'!$A:$AC,2,FALSE))="Martin",(VLOOKUP(Table10[[#This Row],[SKU]],'All Skus'!$A:$AC,17,FALSE)),""))</f>
        <v>0</v>
      </c>
      <c r="N683" s="227">
        <f>(IF((VLOOKUP(Table10[[#This Row],[SKU]],'All Skus'!$A:$AC,2,FALSE))="Martin",(VLOOKUP(Table10[[#This Row],[SKU]],'All Skus'!$A:$AC,18,FALSE)),""))</f>
        <v>0</v>
      </c>
      <c r="O683" s="227">
        <f>(IF((VLOOKUP(Table10[[#This Row],[SKU]],'All Skus'!$A:$AC,2,FALSE))="Martin",(VLOOKUP(Table10[[#This Row],[SKU]],'All Skus'!$A:$AC,19,FALSE)),""))</f>
        <v>0</v>
      </c>
      <c r="P683" s="227">
        <f>(IF((VLOOKUP(Table10[[#This Row],[SKU]],'All Skus'!$A:$AC,2,FALSE))="Martin",(VLOOKUP(Table10[[#This Row],[SKU]],'All Skus'!$A:$AC,20,FALSE)),""))</f>
        <v>0</v>
      </c>
      <c r="Q683" s="227">
        <f>(IF((VLOOKUP(Table10[[#This Row],[SKU]],'All Skus'!$A:$AC,2,FALSE))="Martin",(VLOOKUP(Table10[[#This Row],[SKU]],'All Skus'!$A:$AC,21,FALSE)),""))</f>
        <v>0</v>
      </c>
      <c r="R683" s="224" t="str">
        <f>(IF((VLOOKUP(Table10[[#This Row],[SKU]],'All Skus'!$A:$AC,2,FALSE))="Martin",(VLOOKUP(Table10[[#This Row],[SKU]],'All Skus'!$A:$AC,22,FALSE)),""))</f>
        <v>CN</v>
      </c>
      <c r="S683" s="223" t="str">
        <f>(IF((VLOOKUP(Table10[[#This Row],[SKU]],'All Skus'!$A:$AC,2,FALSE))="Martin",(VLOOKUP(Table10[[#This Row],[SKU]],'All Skus'!$A:$AC,23,FALSE)),""))</f>
        <v>Non Compliant</v>
      </c>
      <c r="T683" s="212" t="str">
        <f>HYPERLINK((IF((VLOOKUP(Table10[[#This Row],[SKU]],'All Skus'!$A:$AC,2,FALSE))="Martin",(VLOOKUP(Table10[[#This Row],[SKU]],'All Skus'!$A:$AC,24,FALSE)),"")))</f>
        <v>http://www.martin.com/en-us/product-details/vc-dot-1</v>
      </c>
      <c r="U683" s="228">
        <v>681</v>
      </c>
    </row>
    <row r="684" spans="1:21" hidden="1">
      <c r="A684" s="112">
        <v>91611386</v>
      </c>
      <c r="B684" s="224" t="str">
        <f>(IF((VLOOKUP(Table10[[#This Row],[SKU]],'All Skus'!$A:$AC,2,FALSE))="Martin",(VLOOKUP(Table10[[#This Row],[SKU]],'All Skus'!$A:$AC,3,FALSE)),""))</f>
        <v>Linear</v>
      </c>
      <c r="C684" s="223" t="str">
        <f>(IF((VLOOKUP(Table10[[#This Row],[SKU]],'All Skus'!$A:$AC,2,FALSE))="Martin",(VLOOKUP(Table10[[#This Row],[SKU]],'All Skus'!$A:$AC,4,FALSE)),""))</f>
        <v>VC-Dot 1 Aluminium Mounting Profile Grey 2m</v>
      </c>
      <c r="D684" s="224" t="str">
        <f>(IF((VLOOKUP(Table10[[#This Row],[SKU]],'All Skus'!$A:$AC,2,FALSE))="Martin",(VLOOKUP(Table10[[#This Row],[SKU]],'All Skus'!$A:$AC,5,FALSE)),""))</f>
        <v>MAR-VC</v>
      </c>
      <c r="E684" s="223">
        <f>(IF((VLOOKUP(Table10[[#This Row],[SKU]],'All Skus'!$A:$AC,2,FALSE))="Martin",(VLOOKUP(Table10[[#This Row],[SKU]],'All Skus'!$A:$AC,6,FALSE)),""))</f>
        <v>0</v>
      </c>
      <c r="F684" s="155">
        <f>(IF((VLOOKUP(Table10[[#This Row],[SKU]],'All Skus'!$A:$AC,2,FALSE))="Martin",(VLOOKUP(Table10[[#This Row],[SKU]],'All Skus'!$A:$AC,7,FALSE)),""))</f>
        <v>0</v>
      </c>
      <c r="G684" s="223" t="str">
        <f>(IF((VLOOKUP(Table10[[#This Row],[SKU]],'All Skus'!$A:$AC,2,FALSE))="Martin",(VLOOKUP(Table10[[#This Row],[SKU]],'All Skus'!$A:$AC,8,FALSE)),""))</f>
        <v>VC-Dot 1 Aluminium Mounting Profile Grey 2m</v>
      </c>
      <c r="H684" s="223" t="str">
        <f>(IF((VLOOKUP(Table10[[#This Row],[SKU]],'All Skus'!$A:$AC,2,FALSE))="Martin",(VLOOKUP(Table10[[#This Row],[SKU]],'All Skus'!$A:$AC,9,FALSE)),""))</f>
        <v>VC-Dot 1 Aluminium Mounting Profile Grey 2m</v>
      </c>
      <c r="I684" s="225">
        <f>(IF((VLOOKUP(Table10[[#This Row],[SKU]],'All Skus'!$A:$AC,2,FALSE))="Martin",(VLOOKUP(Table10[[#This Row],[SKU]],'All Skus'!$A:$AC,10,FALSE)),""))</f>
        <v>38.28</v>
      </c>
      <c r="J684" s="226">
        <f>(IF((VLOOKUP(Table10[[#This Row],[SKU]],'All Skus'!$A:$AC,2,FALSE))="Martin",(VLOOKUP(Table10[[#This Row],[SKU]],'All Skus'!$A:$AC,11,FALSE)),""))</f>
        <v>38.28</v>
      </c>
      <c r="K684" s="224">
        <f>(IF((VLOOKUP(Table10[[#This Row],[SKU]],'All Skus'!$A:$AC,2,FALSE))="Martin",(VLOOKUP(Table10[[#This Row],[SKU]],'All Skus'!$A:$AC,15,FALSE)),""))</f>
        <v>0</v>
      </c>
      <c r="L684" s="224">
        <f>(IF((VLOOKUP(Table10[[#This Row],[SKU]],'All Skus'!$A:$AC,2,FALSE))="Martin",(VLOOKUP(Table10[[#This Row],[SKU]],'All Skus'!$A:$AC,16,FALSE)),""))</f>
        <v>5706681218264</v>
      </c>
      <c r="M684" s="224">
        <f>(IF((VLOOKUP(Table10[[#This Row],[SKU]],'All Skus'!$A:$AC,2,FALSE))="Martin",(VLOOKUP(Table10[[#This Row],[SKU]],'All Skus'!$A:$AC,17,FALSE)),""))</f>
        <v>0</v>
      </c>
      <c r="N684" s="227">
        <f>(IF((VLOOKUP(Table10[[#This Row],[SKU]],'All Skus'!$A:$AC,2,FALSE))="Martin",(VLOOKUP(Table10[[#This Row],[SKU]],'All Skus'!$A:$AC,18,FALSE)),""))</f>
        <v>0</v>
      </c>
      <c r="O684" s="227">
        <f>(IF((VLOOKUP(Table10[[#This Row],[SKU]],'All Skus'!$A:$AC,2,FALSE))="Martin",(VLOOKUP(Table10[[#This Row],[SKU]],'All Skus'!$A:$AC,19,FALSE)),""))</f>
        <v>0</v>
      </c>
      <c r="P684" s="227">
        <f>(IF((VLOOKUP(Table10[[#This Row],[SKU]],'All Skus'!$A:$AC,2,FALSE))="Martin",(VLOOKUP(Table10[[#This Row],[SKU]],'All Skus'!$A:$AC,20,FALSE)),""))</f>
        <v>0</v>
      </c>
      <c r="Q684" s="227">
        <f>(IF((VLOOKUP(Table10[[#This Row],[SKU]],'All Skus'!$A:$AC,2,FALSE))="Martin",(VLOOKUP(Table10[[#This Row],[SKU]],'All Skus'!$A:$AC,21,FALSE)),""))</f>
        <v>0</v>
      </c>
      <c r="R684" s="224" t="str">
        <f>(IF((VLOOKUP(Table10[[#This Row],[SKU]],'All Skus'!$A:$AC,2,FALSE))="Martin",(VLOOKUP(Table10[[#This Row],[SKU]],'All Skus'!$A:$AC,22,FALSE)),""))</f>
        <v>CN</v>
      </c>
      <c r="S684" s="223" t="str">
        <f>(IF((VLOOKUP(Table10[[#This Row],[SKU]],'All Skus'!$A:$AC,2,FALSE))="Martin",(VLOOKUP(Table10[[#This Row],[SKU]],'All Skus'!$A:$AC,23,FALSE)),""))</f>
        <v>Non Compliant</v>
      </c>
      <c r="T684" s="212" t="str">
        <f>HYPERLINK((IF((VLOOKUP(Table10[[#This Row],[SKU]],'All Skus'!$A:$AC,2,FALSE))="Martin",(VLOOKUP(Table10[[#This Row],[SKU]],'All Skus'!$A:$AC,24,FALSE)),"")))</f>
        <v>http://www.martin.com/en-us/product-details/vc-dot-1</v>
      </c>
      <c r="U684" s="228">
        <v>682</v>
      </c>
    </row>
    <row r="685" spans="1:21" hidden="1">
      <c r="A685" s="112">
        <v>91611387</v>
      </c>
      <c r="B685" s="224" t="str">
        <f>(IF((VLOOKUP(Table10[[#This Row],[SKU]],'All Skus'!$A:$AC,2,FALSE))="Martin",(VLOOKUP(Table10[[#This Row],[SKU]],'All Skus'!$A:$AC,3,FALSE)),""))</f>
        <v>Linear</v>
      </c>
      <c r="C685" s="223" t="str">
        <f>(IF((VLOOKUP(Table10[[#This Row],[SKU]],'All Skus'!$A:$AC,2,FALSE))="Martin",(VLOOKUP(Table10[[#This Row],[SKU]],'All Skus'!$A:$AC,4,FALSE)),""))</f>
        <v>VC-Dot 1 Aluminium Profile Cover Grey 2m</v>
      </c>
      <c r="D685" s="224" t="str">
        <f>(IF((VLOOKUP(Table10[[#This Row],[SKU]],'All Skus'!$A:$AC,2,FALSE))="Martin",(VLOOKUP(Table10[[#This Row],[SKU]],'All Skus'!$A:$AC,5,FALSE)),""))</f>
        <v>MAR-VC</v>
      </c>
      <c r="E685" s="223">
        <f>(IF((VLOOKUP(Table10[[#This Row],[SKU]],'All Skus'!$A:$AC,2,FALSE))="Martin",(VLOOKUP(Table10[[#This Row],[SKU]],'All Skus'!$A:$AC,6,FALSE)),""))</f>
        <v>0</v>
      </c>
      <c r="F685" s="155">
        <f>(IF((VLOOKUP(Table10[[#This Row],[SKU]],'All Skus'!$A:$AC,2,FALSE))="Martin",(VLOOKUP(Table10[[#This Row],[SKU]],'All Skus'!$A:$AC,7,FALSE)),""))</f>
        <v>0</v>
      </c>
      <c r="G685" s="223" t="str">
        <f>(IF((VLOOKUP(Table10[[#This Row],[SKU]],'All Skus'!$A:$AC,2,FALSE))="Martin",(VLOOKUP(Table10[[#This Row],[SKU]],'All Skus'!$A:$AC,8,FALSE)),""))</f>
        <v>VC-Dot 1 Aluminium Profile Cover Grey 2m</v>
      </c>
      <c r="H685" s="223" t="str">
        <f>(IF((VLOOKUP(Table10[[#This Row],[SKU]],'All Skus'!$A:$AC,2,FALSE))="Martin",(VLOOKUP(Table10[[#This Row],[SKU]],'All Skus'!$A:$AC,9,FALSE)),""))</f>
        <v>VC-Dot 1 Aluminium Profile Cover Grey 2m</v>
      </c>
      <c r="I685" s="225">
        <f>(IF((VLOOKUP(Table10[[#This Row],[SKU]],'All Skus'!$A:$AC,2,FALSE))="Martin",(VLOOKUP(Table10[[#This Row],[SKU]],'All Skus'!$A:$AC,10,FALSE)),""))</f>
        <v>16.05</v>
      </c>
      <c r="J685" s="226">
        <f>(IF((VLOOKUP(Table10[[#This Row],[SKU]],'All Skus'!$A:$AC,2,FALSE))="Martin",(VLOOKUP(Table10[[#This Row],[SKU]],'All Skus'!$A:$AC,11,FALSE)),""))</f>
        <v>16.05</v>
      </c>
      <c r="K685" s="224">
        <f>(IF((VLOOKUP(Table10[[#This Row],[SKU]],'All Skus'!$A:$AC,2,FALSE))="Martin",(VLOOKUP(Table10[[#This Row],[SKU]],'All Skus'!$A:$AC,15,FALSE)),""))</f>
        <v>0</v>
      </c>
      <c r="L685" s="224">
        <f>(IF((VLOOKUP(Table10[[#This Row],[SKU]],'All Skus'!$A:$AC,2,FALSE))="Martin",(VLOOKUP(Table10[[#This Row],[SKU]],'All Skus'!$A:$AC,16,FALSE)),""))</f>
        <v>5706681218271</v>
      </c>
      <c r="M685" s="224">
        <f>(IF((VLOOKUP(Table10[[#This Row],[SKU]],'All Skus'!$A:$AC,2,FALSE))="Martin",(VLOOKUP(Table10[[#This Row],[SKU]],'All Skus'!$A:$AC,17,FALSE)),""))</f>
        <v>0</v>
      </c>
      <c r="N685" s="227">
        <f>(IF((VLOOKUP(Table10[[#This Row],[SKU]],'All Skus'!$A:$AC,2,FALSE))="Martin",(VLOOKUP(Table10[[#This Row],[SKU]],'All Skus'!$A:$AC,18,FALSE)),""))</f>
        <v>0</v>
      </c>
      <c r="O685" s="227">
        <f>(IF((VLOOKUP(Table10[[#This Row],[SKU]],'All Skus'!$A:$AC,2,FALSE))="Martin",(VLOOKUP(Table10[[#This Row],[SKU]],'All Skus'!$A:$AC,19,FALSE)),""))</f>
        <v>0</v>
      </c>
      <c r="P685" s="227">
        <f>(IF((VLOOKUP(Table10[[#This Row],[SKU]],'All Skus'!$A:$AC,2,FALSE))="Martin",(VLOOKUP(Table10[[#This Row],[SKU]],'All Skus'!$A:$AC,20,FALSE)),""))</f>
        <v>0</v>
      </c>
      <c r="Q685" s="227">
        <f>(IF((VLOOKUP(Table10[[#This Row],[SKU]],'All Skus'!$A:$AC,2,FALSE))="Martin",(VLOOKUP(Table10[[#This Row],[SKU]],'All Skus'!$A:$AC,21,FALSE)),""))</f>
        <v>0</v>
      </c>
      <c r="R685" s="224" t="str">
        <f>(IF((VLOOKUP(Table10[[#This Row],[SKU]],'All Skus'!$A:$AC,2,FALSE))="Martin",(VLOOKUP(Table10[[#This Row],[SKU]],'All Skus'!$A:$AC,22,FALSE)),""))</f>
        <v>CN</v>
      </c>
      <c r="S685" s="223" t="str">
        <f>(IF((VLOOKUP(Table10[[#This Row],[SKU]],'All Skus'!$A:$AC,2,FALSE))="Martin",(VLOOKUP(Table10[[#This Row],[SKU]],'All Skus'!$A:$AC,23,FALSE)),""))</f>
        <v>Non Compliant</v>
      </c>
      <c r="T685" s="212" t="str">
        <f>HYPERLINK((IF((VLOOKUP(Table10[[#This Row],[SKU]],'All Skus'!$A:$AC,2,FALSE))="Martin",(VLOOKUP(Table10[[#This Row],[SKU]],'All Skus'!$A:$AC,24,FALSE)),"")))</f>
        <v>http://www.martin.com/en-us/product-details/vc-dot-1</v>
      </c>
      <c r="U685" s="228">
        <v>683</v>
      </c>
    </row>
    <row r="686" spans="1:21" hidden="1">
      <c r="A686" s="112">
        <v>91611388</v>
      </c>
      <c r="B686" s="224" t="str">
        <f>(IF((VLOOKUP(Table10[[#This Row],[SKU]],'All Skus'!$A:$AC,2,FALSE))="Martin",(VLOOKUP(Table10[[#This Row],[SKU]],'All Skus'!$A:$AC,3,FALSE)),""))</f>
        <v>Linear</v>
      </c>
      <c r="C686" s="223" t="str">
        <f>(IF((VLOOKUP(Table10[[#This Row],[SKU]],'All Skus'!$A:$AC,2,FALSE))="Martin",(VLOOKUP(Table10[[#This Row],[SKU]],'All Skus'!$A:$AC,4,FALSE)),""))</f>
        <v>Set of 10 VC-Dot 1 Alu Profile Endcaps Grey</v>
      </c>
      <c r="D686" s="224" t="str">
        <f>(IF((VLOOKUP(Table10[[#This Row],[SKU]],'All Skus'!$A:$AC,2,FALSE))="Martin",(VLOOKUP(Table10[[#This Row],[SKU]],'All Skus'!$A:$AC,5,FALSE)),""))</f>
        <v>MAR-VC</v>
      </c>
      <c r="E686" s="223">
        <f>(IF((VLOOKUP(Table10[[#This Row],[SKU]],'All Skus'!$A:$AC,2,FALSE))="Martin",(VLOOKUP(Table10[[#This Row],[SKU]],'All Skus'!$A:$AC,6,FALSE)),""))</f>
        <v>0</v>
      </c>
      <c r="F686" s="155">
        <f>(IF((VLOOKUP(Table10[[#This Row],[SKU]],'All Skus'!$A:$AC,2,FALSE))="Martin",(VLOOKUP(Table10[[#This Row],[SKU]],'All Skus'!$A:$AC,7,FALSE)),""))</f>
        <v>0</v>
      </c>
      <c r="G686" s="223" t="str">
        <f>(IF((VLOOKUP(Table10[[#This Row],[SKU]],'All Skus'!$A:$AC,2,FALSE))="Martin",(VLOOKUP(Table10[[#This Row],[SKU]],'All Skus'!$A:$AC,8,FALSE)),""))</f>
        <v>Set of 10 VC-Dot 1 Alu Profile Endcaps Grey</v>
      </c>
      <c r="H686" s="223" t="str">
        <f>(IF((VLOOKUP(Table10[[#This Row],[SKU]],'All Skus'!$A:$AC,2,FALSE))="Martin",(VLOOKUP(Table10[[#This Row],[SKU]],'All Skus'!$A:$AC,9,FALSE)),""))</f>
        <v>Set of 10 VC-Dot 1 Alu Profile Endcaps Grey</v>
      </c>
      <c r="I686" s="225">
        <f>(IF((VLOOKUP(Table10[[#This Row],[SKU]],'All Skus'!$A:$AC,2,FALSE))="Martin",(VLOOKUP(Table10[[#This Row],[SKU]],'All Skus'!$A:$AC,10,FALSE)),""))</f>
        <v>11.11</v>
      </c>
      <c r="J686" s="226">
        <f>(IF((VLOOKUP(Table10[[#This Row],[SKU]],'All Skus'!$A:$AC,2,FALSE))="Martin",(VLOOKUP(Table10[[#This Row],[SKU]],'All Skus'!$A:$AC,11,FALSE)),""))</f>
        <v>11.11</v>
      </c>
      <c r="K686" s="224">
        <f>(IF((VLOOKUP(Table10[[#This Row],[SKU]],'All Skus'!$A:$AC,2,FALSE))="Martin",(VLOOKUP(Table10[[#This Row],[SKU]],'All Skus'!$A:$AC,15,FALSE)),""))</f>
        <v>0</v>
      </c>
      <c r="L686" s="224">
        <f>(IF((VLOOKUP(Table10[[#This Row],[SKU]],'All Skus'!$A:$AC,2,FALSE))="Martin",(VLOOKUP(Table10[[#This Row],[SKU]],'All Skus'!$A:$AC,16,FALSE)),""))</f>
        <v>5706681218288</v>
      </c>
      <c r="M686" s="224">
        <f>(IF((VLOOKUP(Table10[[#This Row],[SKU]],'All Skus'!$A:$AC,2,FALSE))="Martin",(VLOOKUP(Table10[[#This Row],[SKU]],'All Skus'!$A:$AC,17,FALSE)),""))</f>
        <v>0</v>
      </c>
      <c r="N686" s="227">
        <f>(IF((VLOOKUP(Table10[[#This Row],[SKU]],'All Skus'!$A:$AC,2,FALSE))="Martin",(VLOOKUP(Table10[[#This Row],[SKU]],'All Skus'!$A:$AC,18,FALSE)),""))</f>
        <v>0</v>
      </c>
      <c r="O686" s="227">
        <f>(IF((VLOOKUP(Table10[[#This Row],[SKU]],'All Skus'!$A:$AC,2,FALSE))="Martin",(VLOOKUP(Table10[[#This Row],[SKU]],'All Skus'!$A:$AC,19,FALSE)),""))</f>
        <v>0</v>
      </c>
      <c r="P686" s="227">
        <f>(IF((VLOOKUP(Table10[[#This Row],[SKU]],'All Skus'!$A:$AC,2,FALSE))="Martin",(VLOOKUP(Table10[[#This Row],[SKU]],'All Skus'!$A:$AC,20,FALSE)),""))</f>
        <v>0</v>
      </c>
      <c r="Q686" s="227">
        <f>(IF((VLOOKUP(Table10[[#This Row],[SKU]],'All Skus'!$A:$AC,2,FALSE))="Martin",(VLOOKUP(Table10[[#This Row],[SKU]],'All Skus'!$A:$AC,21,FALSE)),""))</f>
        <v>0</v>
      </c>
      <c r="R686" s="224" t="str">
        <f>(IF((VLOOKUP(Table10[[#This Row],[SKU]],'All Skus'!$A:$AC,2,FALSE))="Martin",(VLOOKUP(Table10[[#This Row],[SKU]],'All Skus'!$A:$AC,22,FALSE)),""))</f>
        <v>CN</v>
      </c>
      <c r="S686" s="223" t="str">
        <f>(IF((VLOOKUP(Table10[[#This Row],[SKU]],'All Skus'!$A:$AC,2,FALSE))="Martin",(VLOOKUP(Table10[[#This Row],[SKU]],'All Skus'!$A:$AC,23,FALSE)),""))</f>
        <v>Non Compliant</v>
      </c>
      <c r="T686" s="212" t="str">
        <f>HYPERLINK((IF((VLOOKUP(Table10[[#This Row],[SKU]],'All Skus'!$A:$AC,2,FALSE))="Martin",(VLOOKUP(Table10[[#This Row],[SKU]],'All Skus'!$A:$AC,24,FALSE)),"")))</f>
        <v>http://www.martin.com/en-us/product-details/vc-dot-1</v>
      </c>
      <c r="U686" s="228">
        <v>684</v>
      </c>
    </row>
    <row r="687" spans="1:21" hidden="1">
      <c r="A687" s="112">
        <v>91611389</v>
      </c>
      <c r="B687" s="224" t="str">
        <f>(IF((VLOOKUP(Table10[[#This Row],[SKU]],'All Skus'!$A:$AC,2,FALSE))="Martin",(VLOOKUP(Table10[[#This Row],[SKU]],'All Skus'!$A:$AC,3,FALSE)),""))</f>
        <v>Linear</v>
      </c>
      <c r="C687" s="223" t="str">
        <f>(IF((VLOOKUP(Table10[[#This Row],[SKU]],'All Skus'!$A:$AC,2,FALSE))="Martin",(VLOOKUP(Table10[[#This Row],[SKU]],'All Skus'!$A:$AC,4,FALSE)),""))</f>
        <v>Set of 10 VC-Dot 1 Alu Profile CableEntry Endcaps Grey</v>
      </c>
      <c r="D687" s="224" t="str">
        <f>(IF((VLOOKUP(Table10[[#This Row],[SKU]],'All Skus'!$A:$AC,2,FALSE))="Martin",(VLOOKUP(Table10[[#This Row],[SKU]],'All Skus'!$A:$AC,5,FALSE)),""))</f>
        <v>MAR-VC</v>
      </c>
      <c r="E687" s="223">
        <f>(IF((VLOOKUP(Table10[[#This Row],[SKU]],'All Skus'!$A:$AC,2,FALSE))="Martin",(VLOOKUP(Table10[[#This Row],[SKU]],'All Skus'!$A:$AC,6,FALSE)),""))</f>
        <v>0</v>
      </c>
      <c r="F687" s="155">
        <f>(IF((VLOOKUP(Table10[[#This Row],[SKU]],'All Skus'!$A:$AC,2,FALSE))="Martin",(VLOOKUP(Table10[[#This Row],[SKU]],'All Skus'!$A:$AC,7,FALSE)),""))</f>
        <v>0</v>
      </c>
      <c r="G687" s="223" t="str">
        <f>(IF((VLOOKUP(Table10[[#This Row],[SKU]],'All Skus'!$A:$AC,2,FALSE))="Martin",(VLOOKUP(Table10[[#This Row],[SKU]],'All Skus'!$A:$AC,8,FALSE)),""))</f>
        <v>Set of 10 VC-Dot 1 Alu Profile CableEntry Endcaps Grey</v>
      </c>
      <c r="H687" s="223" t="str">
        <f>(IF((VLOOKUP(Table10[[#This Row],[SKU]],'All Skus'!$A:$AC,2,FALSE))="Martin",(VLOOKUP(Table10[[#This Row],[SKU]],'All Skus'!$A:$AC,9,FALSE)),""))</f>
        <v>Set of 10 VC-Dot 1 Alu Profile CableEntry Endcaps Grey</v>
      </c>
      <c r="I687" s="225">
        <f>(IF((VLOOKUP(Table10[[#This Row],[SKU]],'All Skus'!$A:$AC,2,FALSE))="Martin",(VLOOKUP(Table10[[#This Row],[SKU]],'All Skus'!$A:$AC,10,FALSE)),""))</f>
        <v>11.11</v>
      </c>
      <c r="J687" s="226">
        <f>(IF((VLOOKUP(Table10[[#This Row],[SKU]],'All Skus'!$A:$AC,2,FALSE))="Martin",(VLOOKUP(Table10[[#This Row],[SKU]],'All Skus'!$A:$AC,11,FALSE)),""))</f>
        <v>11.11</v>
      </c>
      <c r="K687" s="224">
        <f>(IF((VLOOKUP(Table10[[#This Row],[SKU]],'All Skus'!$A:$AC,2,FALSE))="Martin",(VLOOKUP(Table10[[#This Row],[SKU]],'All Skus'!$A:$AC,15,FALSE)),""))</f>
        <v>0</v>
      </c>
      <c r="L687" s="224">
        <f>(IF((VLOOKUP(Table10[[#This Row],[SKU]],'All Skus'!$A:$AC,2,FALSE))="Martin",(VLOOKUP(Table10[[#This Row],[SKU]],'All Skus'!$A:$AC,16,FALSE)),""))</f>
        <v>5706681218295</v>
      </c>
      <c r="M687" s="224">
        <f>(IF((VLOOKUP(Table10[[#This Row],[SKU]],'All Skus'!$A:$AC,2,FALSE))="Martin",(VLOOKUP(Table10[[#This Row],[SKU]],'All Skus'!$A:$AC,17,FALSE)),""))</f>
        <v>0</v>
      </c>
      <c r="N687" s="227">
        <f>(IF((VLOOKUP(Table10[[#This Row],[SKU]],'All Skus'!$A:$AC,2,FALSE))="Martin",(VLOOKUP(Table10[[#This Row],[SKU]],'All Skus'!$A:$AC,18,FALSE)),""))</f>
        <v>0</v>
      </c>
      <c r="O687" s="227">
        <f>(IF((VLOOKUP(Table10[[#This Row],[SKU]],'All Skus'!$A:$AC,2,FALSE))="Martin",(VLOOKUP(Table10[[#This Row],[SKU]],'All Skus'!$A:$AC,19,FALSE)),""))</f>
        <v>0</v>
      </c>
      <c r="P687" s="227">
        <f>(IF((VLOOKUP(Table10[[#This Row],[SKU]],'All Skus'!$A:$AC,2,FALSE))="Martin",(VLOOKUP(Table10[[#This Row],[SKU]],'All Skus'!$A:$AC,20,FALSE)),""))</f>
        <v>0</v>
      </c>
      <c r="Q687" s="227">
        <f>(IF((VLOOKUP(Table10[[#This Row],[SKU]],'All Skus'!$A:$AC,2,FALSE))="Martin",(VLOOKUP(Table10[[#This Row],[SKU]],'All Skus'!$A:$AC,21,FALSE)),""))</f>
        <v>0</v>
      </c>
      <c r="R687" s="224" t="str">
        <f>(IF((VLOOKUP(Table10[[#This Row],[SKU]],'All Skus'!$A:$AC,2,FALSE))="Martin",(VLOOKUP(Table10[[#This Row],[SKU]],'All Skus'!$A:$AC,22,FALSE)),""))</f>
        <v>CN</v>
      </c>
      <c r="S687" s="223" t="str">
        <f>(IF((VLOOKUP(Table10[[#This Row],[SKU]],'All Skus'!$A:$AC,2,FALSE))="Martin",(VLOOKUP(Table10[[#This Row],[SKU]],'All Skus'!$A:$AC,23,FALSE)),""))</f>
        <v>Non Compliant</v>
      </c>
      <c r="T687" s="212" t="str">
        <f>HYPERLINK((IF((VLOOKUP(Table10[[#This Row],[SKU]],'All Skus'!$A:$AC,2,FALSE))="Martin",(VLOOKUP(Table10[[#This Row],[SKU]],'All Skus'!$A:$AC,24,FALSE)),"")))</f>
        <v>http://www.martin.com/en-us/product-details/vc-dot-1</v>
      </c>
      <c r="U687" s="228">
        <v>685</v>
      </c>
    </row>
    <row r="688" spans="1:21" hidden="1">
      <c r="A688" s="112">
        <v>91611410</v>
      </c>
      <c r="B688" s="224" t="str">
        <f>(IF((VLOOKUP(Table10[[#This Row],[SKU]],'All Skus'!$A:$AC,2,FALSE))="Martin",(VLOOKUP(Table10[[#This Row],[SKU]],'All Skus'!$A:$AC,3,FALSE)),""))</f>
        <v>Linear</v>
      </c>
      <c r="C688" s="223" t="str">
        <f>(IF((VLOOKUP(Table10[[#This Row],[SKU]],'All Skus'!$A:$AC,2,FALSE))="Martin",(VLOOKUP(Table10[[#This Row],[SKU]],'All Skus'!$A:$AC,4,FALSE)),""))</f>
        <v>VC-Dot 1 Plastic Mounting Profile Black 1.2m</v>
      </c>
      <c r="D688" s="224" t="str">
        <f>(IF((VLOOKUP(Table10[[#This Row],[SKU]],'All Skus'!$A:$AC,2,FALSE))="Martin",(VLOOKUP(Table10[[#This Row],[SKU]],'All Skus'!$A:$AC,5,FALSE)),""))</f>
        <v>MAR-VC</v>
      </c>
      <c r="E688" s="223">
        <f>(IF((VLOOKUP(Table10[[#This Row],[SKU]],'All Skus'!$A:$AC,2,FALSE))="Martin",(VLOOKUP(Table10[[#This Row],[SKU]],'All Skus'!$A:$AC,6,FALSE)),""))</f>
        <v>0</v>
      </c>
      <c r="F688" s="155" t="str">
        <f>(IF((VLOOKUP(Table10[[#This Row],[SKU]],'All Skus'!$A:$AC,2,FALSE))="Martin",(VLOOKUP(Table10[[#This Row],[SKU]],'All Skus'!$A:$AC,7,FALSE)),""))</f>
        <v>EOL soon – very limited availability</v>
      </c>
      <c r="G688" s="223" t="str">
        <f>(IF((VLOOKUP(Table10[[#This Row],[SKU]],'All Skus'!$A:$AC,2,FALSE))="Martin",(VLOOKUP(Table10[[#This Row],[SKU]],'All Skus'!$A:$AC,8,FALSE)),""))</f>
        <v>VC-Dot 1 Plastic Mounting Profile Black 1.2m</v>
      </c>
      <c r="H688" s="223" t="str">
        <f>(IF((VLOOKUP(Table10[[#This Row],[SKU]],'All Skus'!$A:$AC,2,FALSE))="Martin",(VLOOKUP(Table10[[#This Row],[SKU]],'All Skus'!$A:$AC,9,FALSE)),""))</f>
        <v>VC-Dot 1 Plastic Mounting Profile Black 1.2m</v>
      </c>
      <c r="I688" s="225">
        <f>(IF((VLOOKUP(Table10[[#This Row],[SKU]],'All Skus'!$A:$AC,2,FALSE))="Martin",(VLOOKUP(Table10[[#This Row],[SKU]],'All Skus'!$A:$AC,10,FALSE)),""))</f>
        <v>12.35</v>
      </c>
      <c r="J688" s="226">
        <f>(IF((VLOOKUP(Table10[[#This Row],[SKU]],'All Skus'!$A:$AC,2,FALSE))="Martin",(VLOOKUP(Table10[[#This Row],[SKU]],'All Skus'!$A:$AC,11,FALSE)),""))</f>
        <v>12.35</v>
      </c>
      <c r="K688" s="224">
        <f>(IF((VLOOKUP(Table10[[#This Row],[SKU]],'All Skus'!$A:$AC,2,FALSE))="Martin",(VLOOKUP(Table10[[#This Row],[SKU]],'All Skus'!$A:$AC,15,FALSE)),""))</f>
        <v>0</v>
      </c>
      <c r="L688" s="224">
        <f>(IF((VLOOKUP(Table10[[#This Row],[SKU]],'All Skus'!$A:$AC,2,FALSE))="Martin",(VLOOKUP(Table10[[#This Row],[SKU]],'All Skus'!$A:$AC,16,FALSE)),""))</f>
        <v>0</v>
      </c>
      <c r="M688" s="224">
        <f>(IF((VLOOKUP(Table10[[#This Row],[SKU]],'All Skus'!$A:$AC,2,FALSE))="Martin",(VLOOKUP(Table10[[#This Row],[SKU]],'All Skus'!$A:$AC,17,FALSE)),""))</f>
        <v>0</v>
      </c>
      <c r="N688" s="227">
        <f>(IF((VLOOKUP(Table10[[#This Row],[SKU]],'All Skus'!$A:$AC,2,FALSE))="Martin",(VLOOKUP(Table10[[#This Row],[SKU]],'All Skus'!$A:$AC,18,FALSE)),""))</f>
        <v>0</v>
      </c>
      <c r="O688" s="227">
        <f>(IF((VLOOKUP(Table10[[#This Row],[SKU]],'All Skus'!$A:$AC,2,FALSE))="Martin",(VLOOKUP(Table10[[#This Row],[SKU]],'All Skus'!$A:$AC,19,FALSE)),""))</f>
        <v>0</v>
      </c>
      <c r="P688" s="227">
        <f>(IF((VLOOKUP(Table10[[#This Row],[SKU]],'All Skus'!$A:$AC,2,FALSE))="Martin",(VLOOKUP(Table10[[#This Row],[SKU]],'All Skus'!$A:$AC,20,FALSE)),""))</f>
        <v>0</v>
      </c>
      <c r="Q688" s="227">
        <f>(IF((VLOOKUP(Table10[[#This Row],[SKU]],'All Skus'!$A:$AC,2,FALSE))="Martin",(VLOOKUP(Table10[[#This Row],[SKU]],'All Skus'!$A:$AC,21,FALSE)),""))</f>
        <v>0</v>
      </c>
      <c r="R688" s="224" t="str">
        <f>(IF((VLOOKUP(Table10[[#This Row],[SKU]],'All Skus'!$A:$AC,2,FALSE))="Martin",(VLOOKUP(Table10[[#This Row],[SKU]],'All Skus'!$A:$AC,22,FALSE)),""))</f>
        <v>CN</v>
      </c>
      <c r="S688" s="223" t="str">
        <f>(IF((VLOOKUP(Table10[[#This Row],[SKU]],'All Skus'!$A:$AC,2,FALSE))="Martin",(VLOOKUP(Table10[[#This Row],[SKU]],'All Skus'!$A:$AC,23,FALSE)),""))</f>
        <v>Non Compliant</v>
      </c>
      <c r="T688" s="212" t="str">
        <f>HYPERLINK((IF((VLOOKUP(Table10[[#This Row],[SKU]],'All Skus'!$A:$AC,2,FALSE))="Martin",(VLOOKUP(Table10[[#This Row],[SKU]],'All Skus'!$A:$AC,24,FALSE)),"")))</f>
        <v>http://www.martin.com/en-us/product-details/vc-dot-1</v>
      </c>
      <c r="U688" s="228">
        <v>686</v>
      </c>
    </row>
    <row r="689" spans="1:21" hidden="1">
      <c r="A689" s="112">
        <v>91611420</v>
      </c>
      <c r="B689" s="224" t="str">
        <f>(IF((VLOOKUP(Table10[[#This Row],[SKU]],'All Skus'!$A:$AC,2,FALSE))="Martin",(VLOOKUP(Table10[[#This Row],[SKU]],'All Skus'!$A:$AC,3,FALSE)),""))</f>
        <v>Linear</v>
      </c>
      <c r="C689" s="223" t="str">
        <f>(IF((VLOOKUP(Table10[[#This Row],[SKU]],'All Skus'!$A:$AC,2,FALSE))="Martin",(VLOOKUP(Table10[[#This Row],[SKU]],'All Skus'!$A:$AC,4,FALSE)),""))</f>
        <v>VC-Dot 1 Plastic Profile Cover Black 1.2m</v>
      </c>
      <c r="D689" s="224" t="str">
        <f>(IF((VLOOKUP(Table10[[#This Row],[SKU]],'All Skus'!$A:$AC,2,FALSE))="Martin",(VLOOKUP(Table10[[#This Row],[SKU]],'All Skus'!$A:$AC,5,FALSE)),""))</f>
        <v>MAR-VC</v>
      </c>
      <c r="E689" s="223">
        <f>(IF((VLOOKUP(Table10[[#This Row],[SKU]],'All Skus'!$A:$AC,2,FALSE))="Martin",(VLOOKUP(Table10[[#This Row],[SKU]],'All Skus'!$A:$AC,6,FALSE)),""))</f>
        <v>0</v>
      </c>
      <c r="F689" s="155" t="str">
        <f>(IF((VLOOKUP(Table10[[#This Row],[SKU]],'All Skus'!$A:$AC,2,FALSE))="Martin",(VLOOKUP(Table10[[#This Row],[SKU]],'All Skus'!$A:$AC,7,FALSE)),""))</f>
        <v>EOL soon – very limited availability</v>
      </c>
      <c r="G689" s="223" t="str">
        <f>(IF((VLOOKUP(Table10[[#This Row],[SKU]],'All Skus'!$A:$AC,2,FALSE))="Martin",(VLOOKUP(Table10[[#This Row],[SKU]],'All Skus'!$A:$AC,8,FALSE)),""))</f>
        <v>VC-Dot 1 Plastic Profile Cover Black 1.2m</v>
      </c>
      <c r="H689" s="223" t="str">
        <f>(IF((VLOOKUP(Table10[[#This Row],[SKU]],'All Skus'!$A:$AC,2,FALSE))="Martin",(VLOOKUP(Table10[[#This Row],[SKU]],'All Skus'!$A:$AC,9,FALSE)),""))</f>
        <v>VC-Dot 1 Plastic Profile Cover Black 1.2m</v>
      </c>
      <c r="I689" s="225">
        <f>(IF((VLOOKUP(Table10[[#This Row],[SKU]],'All Skus'!$A:$AC,2,FALSE))="Martin",(VLOOKUP(Table10[[#This Row],[SKU]],'All Skus'!$A:$AC,10,FALSE)),""))</f>
        <v>7.41</v>
      </c>
      <c r="J689" s="226">
        <f>(IF((VLOOKUP(Table10[[#This Row],[SKU]],'All Skus'!$A:$AC,2,FALSE))="Martin",(VLOOKUP(Table10[[#This Row],[SKU]],'All Skus'!$A:$AC,11,FALSE)),""))</f>
        <v>7.41</v>
      </c>
      <c r="K689" s="224">
        <f>(IF((VLOOKUP(Table10[[#This Row],[SKU]],'All Skus'!$A:$AC,2,FALSE))="Martin",(VLOOKUP(Table10[[#This Row],[SKU]],'All Skus'!$A:$AC,15,FALSE)),""))</f>
        <v>0</v>
      </c>
      <c r="L689" s="224">
        <f>(IF((VLOOKUP(Table10[[#This Row],[SKU]],'All Skus'!$A:$AC,2,FALSE))="Martin",(VLOOKUP(Table10[[#This Row],[SKU]],'All Skus'!$A:$AC,16,FALSE)),""))</f>
        <v>0</v>
      </c>
      <c r="M689" s="224">
        <f>(IF((VLOOKUP(Table10[[#This Row],[SKU]],'All Skus'!$A:$AC,2,FALSE))="Martin",(VLOOKUP(Table10[[#This Row],[SKU]],'All Skus'!$A:$AC,17,FALSE)),""))</f>
        <v>0</v>
      </c>
      <c r="N689" s="227">
        <f>(IF((VLOOKUP(Table10[[#This Row],[SKU]],'All Skus'!$A:$AC,2,FALSE))="Martin",(VLOOKUP(Table10[[#This Row],[SKU]],'All Skus'!$A:$AC,18,FALSE)),""))</f>
        <v>0</v>
      </c>
      <c r="O689" s="227">
        <f>(IF((VLOOKUP(Table10[[#This Row],[SKU]],'All Skus'!$A:$AC,2,FALSE))="Martin",(VLOOKUP(Table10[[#This Row],[SKU]],'All Skus'!$A:$AC,19,FALSE)),""))</f>
        <v>0</v>
      </c>
      <c r="P689" s="227">
        <f>(IF((VLOOKUP(Table10[[#This Row],[SKU]],'All Skus'!$A:$AC,2,FALSE))="Martin",(VLOOKUP(Table10[[#This Row],[SKU]],'All Skus'!$A:$AC,20,FALSE)),""))</f>
        <v>0</v>
      </c>
      <c r="Q689" s="227">
        <f>(IF((VLOOKUP(Table10[[#This Row],[SKU]],'All Skus'!$A:$AC,2,FALSE))="Martin",(VLOOKUP(Table10[[#This Row],[SKU]],'All Skus'!$A:$AC,21,FALSE)),""))</f>
        <v>0</v>
      </c>
      <c r="R689" s="224" t="str">
        <f>(IF((VLOOKUP(Table10[[#This Row],[SKU]],'All Skus'!$A:$AC,2,FALSE))="Martin",(VLOOKUP(Table10[[#This Row],[SKU]],'All Skus'!$A:$AC,22,FALSE)),""))</f>
        <v>CN</v>
      </c>
      <c r="S689" s="223" t="str">
        <f>(IF((VLOOKUP(Table10[[#This Row],[SKU]],'All Skus'!$A:$AC,2,FALSE))="Martin",(VLOOKUP(Table10[[#This Row],[SKU]],'All Skus'!$A:$AC,23,FALSE)),""))</f>
        <v>Non Compliant</v>
      </c>
      <c r="T689" s="212" t="str">
        <f>HYPERLINK((IF((VLOOKUP(Table10[[#This Row],[SKU]],'All Skus'!$A:$AC,2,FALSE))="Martin",(VLOOKUP(Table10[[#This Row],[SKU]],'All Skus'!$A:$AC,24,FALSE)),"")))</f>
        <v>http://www.martin.com/en-us/product-details/vc-dot-1</v>
      </c>
      <c r="U689" s="228">
        <v>687</v>
      </c>
    </row>
    <row r="690" spans="1:21" hidden="1">
      <c r="A690" s="115" t="s">
        <v>2325</v>
      </c>
      <c r="B690" s="224">
        <f>(IF((VLOOKUP(Table10[[#This Row],[SKU]],'All Skus'!$A:$AC,2,FALSE))="Martin",(VLOOKUP(Table10[[#This Row],[SKU]],'All Skus'!$A:$AC,3,FALSE)),""))</f>
        <v>0</v>
      </c>
      <c r="C690" s="223">
        <f>(IF((VLOOKUP(Table10[[#This Row],[SKU]],'All Skus'!$A:$AC,2,FALSE))="Martin",(VLOOKUP(Table10[[#This Row],[SKU]],'All Skus'!$A:$AC,4,FALSE)),""))</f>
        <v>0</v>
      </c>
      <c r="D690" s="224">
        <f>(IF((VLOOKUP(Table10[[#This Row],[SKU]],'All Skus'!$A:$AC,2,FALSE))="Martin",(VLOOKUP(Table10[[#This Row],[SKU]],'All Skus'!$A:$AC,5,FALSE)),""))</f>
        <v>0</v>
      </c>
      <c r="E690" s="223">
        <f>(IF((VLOOKUP(Table10[[#This Row],[SKU]],'All Skus'!$A:$AC,2,FALSE))="Martin",(VLOOKUP(Table10[[#This Row],[SKU]],'All Skus'!$A:$AC,6,FALSE)),""))</f>
        <v>0</v>
      </c>
      <c r="F690" s="155">
        <f>(IF((VLOOKUP(Table10[[#This Row],[SKU]],'All Skus'!$A:$AC,2,FALSE))="Martin",(VLOOKUP(Table10[[#This Row],[SKU]],'All Skus'!$A:$AC,7,FALSE)),""))</f>
        <v>0</v>
      </c>
      <c r="G690" s="223">
        <f>(IF((VLOOKUP(Table10[[#This Row],[SKU]],'All Skus'!$A:$AC,2,FALSE))="Martin",(VLOOKUP(Table10[[#This Row],[SKU]],'All Skus'!$A:$AC,8,FALSE)),""))</f>
        <v>0</v>
      </c>
      <c r="H690" s="223">
        <f>(IF((VLOOKUP(Table10[[#This Row],[SKU]],'All Skus'!$A:$AC,2,FALSE))="Martin",(VLOOKUP(Table10[[#This Row],[SKU]],'All Skus'!$A:$AC,9,FALSE)),""))</f>
        <v>0</v>
      </c>
      <c r="I690" s="225">
        <f>(IF((VLOOKUP(Table10[[#This Row],[SKU]],'All Skus'!$A:$AC,2,FALSE))="Martin",(VLOOKUP(Table10[[#This Row],[SKU]],'All Skus'!$A:$AC,10,FALSE)),""))</f>
        <v>0</v>
      </c>
      <c r="J690" s="226">
        <f>(IF((VLOOKUP(Table10[[#This Row],[SKU]],'All Skus'!$A:$AC,2,FALSE))="Martin",(VLOOKUP(Table10[[#This Row],[SKU]],'All Skus'!$A:$AC,11,FALSE)),""))</f>
        <v>0</v>
      </c>
      <c r="K690" s="224">
        <f>(IF((VLOOKUP(Table10[[#This Row],[SKU]],'All Skus'!$A:$AC,2,FALSE))="Martin",(VLOOKUP(Table10[[#This Row],[SKU]],'All Skus'!$A:$AC,15,FALSE)),""))</f>
        <v>0</v>
      </c>
      <c r="L690" s="224">
        <f>(IF((VLOOKUP(Table10[[#This Row],[SKU]],'All Skus'!$A:$AC,2,FALSE))="Martin",(VLOOKUP(Table10[[#This Row],[SKU]],'All Skus'!$A:$AC,16,FALSE)),""))</f>
        <v>0</v>
      </c>
      <c r="M690" s="224">
        <f>(IF((VLOOKUP(Table10[[#This Row],[SKU]],'All Skus'!$A:$AC,2,FALSE))="Martin",(VLOOKUP(Table10[[#This Row],[SKU]],'All Skus'!$A:$AC,17,FALSE)),""))</f>
        <v>0</v>
      </c>
      <c r="N690" s="227">
        <f>(IF((VLOOKUP(Table10[[#This Row],[SKU]],'All Skus'!$A:$AC,2,FALSE))="Martin",(VLOOKUP(Table10[[#This Row],[SKU]],'All Skus'!$A:$AC,18,FALSE)),""))</f>
        <v>0</v>
      </c>
      <c r="O690" s="227">
        <f>(IF((VLOOKUP(Table10[[#This Row],[SKU]],'All Skus'!$A:$AC,2,FALSE))="Martin",(VLOOKUP(Table10[[#This Row],[SKU]],'All Skus'!$A:$AC,19,FALSE)),""))</f>
        <v>0</v>
      </c>
      <c r="P690" s="227">
        <f>(IF((VLOOKUP(Table10[[#This Row],[SKU]],'All Skus'!$A:$AC,2,FALSE))="Martin",(VLOOKUP(Table10[[#This Row],[SKU]],'All Skus'!$A:$AC,20,FALSE)),""))</f>
        <v>0</v>
      </c>
      <c r="Q690" s="227">
        <f>(IF((VLOOKUP(Table10[[#This Row],[SKU]],'All Skus'!$A:$AC,2,FALSE))="Martin",(VLOOKUP(Table10[[#This Row],[SKU]],'All Skus'!$A:$AC,21,FALSE)),""))</f>
        <v>0</v>
      </c>
      <c r="R690" s="224">
        <f>(IF((VLOOKUP(Table10[[#This Row],[SKU]],'All Skus'!$A:$AC,2,FALSE))="Martin",(VLOOKUP(Table10[[#This Row],[SKU]],'All Skus'!$A:$AC,22,FALSE)),""))</f>
        <v>0</v>
      </c>
      <c r="S690" s="223">
        <f>(IF((VLOOKUP(Table10[[#This Row],[SKU]],'All Skus'!$A:$AC,2,FALSE))="Martin",(VLOOKUP(Table10[[#This Row],[SKU]],'All Skus'!$A:$AC,23,FALSE)),""))</f>
        <v>0</v>
      </c>
      <c r="T690" s="212" t="str">
        <f>HYPERLINK((IF((VLOOKUP(Table10[[#This Row],[SKU]],'All Skus'!$A:$AC,2,FALSE))="Martin",(VLOOKUP(Table10[[#This Row],[SKU]],'All Skus'!$A:$AC,24,FALSE)),"")))</f>
        <v/>
      </c>
      <c r="U690" s="228">
        <v>688</v>
      </c>
    </row>
    <row r="691" spans="1:21" hidden="1">
      <c r="A691" s="112">
        <v>90357190</v>
      </c>
      <c r="B691" s="224" t="str">
        <f>(IF((VLOOKUP(Table10[[#This Row],[SKU]],'All Skus'!$A:$AC,2,FALSE))="Martin",(VLOOKUP(Table10[[#This Row],[SKU]],'All Skus'!$A:$AC,3,FALSE)),""))</f>
        <v>Creative Pixels</v>
      </c>
      <c r="C691" s="223" t="str">
        <f>(IF((VLOOKUP(Table10[[#This Row],[SKU]],'All Skus'!$A:$AC,2,FALSE))="Martin",(VLOOKUP(Table10[[#This Row],[SKU]],'All Skus'!$A:$AC,4,FALSE)),""))</f>
        <v>Set of 10 VC-Dot 4 Diffuser Domes</v>
      </c>
      <c r="D691" s="224" t="str">
        <f>(IF((VLOOKUP(Table10[[#This Row],[SKU]],'All Skus'!$A:$AC,2,FALSE))="Martin",(VLOOKUP(Table10[[#This Row],[SKU]],'All Skus'!$A:$AC,5,FALSE)),""))</f>
        <v>MAR-VC</v>
      </c>
      <c r="E691" s="223">
        <f>(IF((VLOOKUP(Table10[[#This Row],[SKU]],'All Skus'!$A:$AC,2,FALSE))="Martin",(VLOOKUP(Table10[[#This Row],[SKU]],'All Skus'!$A:$AC,6,FALSE)),""))</f>
        <v>0</v>
      </c>
      <c r="F691" s="155">
        <f>(IF((VLOOKUP(Table10[[#This Row],[SKU]],'All Skus'!$A:$AC,2,FALSE))="Martin",(VLOOKUP(Table10[[#This Row],[SKU]],'All Skus'!$A:$AC,7,FALSE)),""))</f>
        <v>0</v>
      </c>
      <c r="G691" s="223" t="str">
        <f>(IF((VLOOKUP(Table10[[#This Row],[SKU]],'All Skus'!$A:$AC,2,FALSE))="Martin",(VLOOKUP(Table10[[#This Row],[SKU]],'All Skus'!$A:$AC,8,FALSE)),""))</f>
        <v>Set of 10 VC-Dot 4 Diffuser Domes</v>
      </c>
      <c r="H691" s="223" t="str">
        <f>(IF((VLOOKUP(Table10[[#This Row],[SKU]],'All Skus'!$A:$AC,2,FALSE))="Martin",(VLOOKUP(Table10[[#This Row],[SKU]],'All Skus'!$A:$AC,9,FALSE)),""))</f>
        <v>Set of 10 VC-Dot 4 Diffuser Domes</v>
      </c>
      <c r="I691" s="225">
        <f>(IF((VLOOKUP(Table10[[#This Row],[SKU]],'All Skus'!$A:$AC,2,FALSE))="Martin",(VLOOKUP(Table10[[#This Row],[SKU]],'All Skus'!$A:$AC,10,FALSE)),""))</f>
        <v>16.05</v>
      </c>
      <c r="J691" s="226">
        <f>(IF((VLOOKUP(Table10[[#This Row],[SKU]],'All Skus'!$A:$AC,2,FALSE))="Martin",(VLOOKUP(Table10[[#This Row],[SKU]],'All Skus'!$A:$AC,11,FALSE)),""))</f>
        <v>16.05</v>
      </c>
      <c r="K691" s="224">
        <f>(IF((VLOOKUP(Table10[[#This Row],[SKU]],'All Skus'!$A:$AC,2,FALSE))="Martin",(VLOOKUP(Table10[[#This Row],[SKU]],'All Skus'!$A:$AC,15,FALSE)),""))</f>
        <v>0</v>
      </c>
      <c r="L691" s="224">
        <f>(IF((VLOOKUP(Table10[[#This Row],[SKU]],'All Skus'!$A:$AC,2,FALSE))="Martin",(VLOOKUP(Table10[[#This Row],[SKU]],'All Skus'!$A:$AC,16,FALSE)),""))</f>
        <v>5706681211326</v>
      </c>
      <c r="M691" s="224">
        <f>(IF((VLOOKUP(Table10[[#This Row],[SKU]],'All Skus'!$A:$AC,2,FALSE))="Martin",(VLOOKUP(Table10[[#This Row],[SKU]],'All Skus'!$A:$AC,17,FALSE)),""))</f>
        <v>0</v>
      </c>
      <c r="N691" s="227">
        <f>(IF((VLOOKUP(Table10[[#This Row],[SKU]],'All Skus'!$A:$AC,2,FALSE))="Martin",(VLOOKUP(Table10[[#This Row],[SKU]],'All Skus'!$A:$AC,18,FALSE)),""))</f>
        <v>0</v>
      </c>
      <c r="O691" s="227">
        <f>(IF((VLOOKUP(Table10[[#This Row],[SKU]],'All Skus'!$A:$AC,2,FALSE))="Martin",(VLOOKUP(Table10[[#This Row],[SKU]],'All Skus'!$A:$AC,19,FALSE)),""))</f>
        <v>0</v>
      </c>
      <c r="P691" s="227">
        <f>(IF((VLOOKUP(Table10[[#This Row],[SKU]],'All Skus'!$A:$AC,2,FALSE))="Martin",(VLOOKUP(Table10[[#This Row],[SKU]],'All Skus'!$A:$AC,20,FALSE)),""))</f>
        <v>0</v>
      </c>
      <c r="Q691" s="227">
        <f>(IF((VLOOKUP(Table10[[#This Row],[SKU]],'All Skus'!$A:$AC,2,FALSE))="Martin",(VLOOKUP(Table10[[#This Row],[SKU]],'All Skus'!$A:$AC,21,FALSE)),""))</f>
        <v>0</v>
      </c>
      <c r="R691" s="224" t="str">
        <f>(IF((VLOOKUP(Table10[[#This Row],[SKU]],'All Skus'!$A:$AC,2,FALSE))="Martin",(VLOOKUP(Table10[[#This Row],[SKU]],'All Skus'!$A:$AC,22,FALSE)),""))</f>
        <v>TW</v>
      </c>
      <c r="S691" s="223" t="str">
        <f>(IF((VLOOKUP(Table10[[#This Row],[SKU]],'All Skus'!$A:$AC,2,FALSE))="Martin",(VLOOKUP(Table10[[#This Row],[SKU]],'All Skus'!$A:$AC,23,FALSE)),""))</f>
        <v>Non Compliant</v>
      </c>
      <c r="T691" s="212" t="str">
        <f>HYPERLINK((IF((VLOOKUP(Table10[[#This Row],[SKU]],'All Skus'!$A:$AC,2,FALSE))="Martin",(VLOOKUP(Table10[[#This Row],[SKU]],'All Skus'!$A:$AC,24,FALSE)),"")))</f>
        <v>http://www.martin.com/en-us/product-details/vc-dot-4</v>
      </c>
      <c r="U691" s="228">
        <v>689</v>
      </c>
    </row>
    <row r="692" spans="1:21" hidden="1">
      <c r="A692" s="112">
        <v>91610109</v>
      </c>
      <c r="B692" s="224" t="str">
        <f>(IF((VLOOKUP(Table10[[#This Row],[SKU]],'All Skus'!$A:$AC,2,FALSE))="Martin",(VLOOKUP(Table10[[#This Row],[SKU]],'All Skus'!$A:$AC,3,FALSE)),""))</f>
        <v>Creative Pixels</v>
      </c>
      <c r="C692" s="223" t="str">
        <f>(IF((VLOOKUP(Table10[[#This Row],[SKU]],'All Skus'!$A:$AC,2,FALSE))="Martin",(VLOOKUP(Table10[[#This Row],[SKU]],'All Skus'!$A:$AC,4,FALSE)),""))</f>
        <v>Set of 10 VC-Dot 4 Smoked Diffuser Domes</v>
      </c>
      <c r="D692" s="224" t="str">
        <f>(IF((VLOOKUP(Table10[[#This Row],[SKU]],'All Skus'!$A:$AC,2,FALSE))="Martin",(VLOOKUP(Table10[[#This Row],[SKU]],'All Skus'!$A:$AC,5,FALSE)),""))</f>
        <v>MAR-VC</v>
      </c>
      <c r="E692" s="223">
        <f>(IF((VLOOKUP(Table10[[#This Row],[SKU]],'All Skus'!$A:$AC,2,FALSE))="Martin",(VLOOKUP(Table10[[#This Row],[SKU]],'All Skus'!$A:$AC,6,FALSE)),""))</f>
        <v>0</v>
      </c>
      <c r="F692" s="155">
        <f>(IF((VLOOKUP(Table10[[#This Row],[SKU]],'All Skus'!$A:$AC,2,FALSE))="Martin",(VLOOKUP(Table10[[#This Row],[SKU]],'All Skus'!$A:$AC,7,FALSE)),""))</f>
        <v>0</v>
      </c>
      <c r="G692" s="223" t="str">
        <f>(IF((VLOOKUP(Table10[[#This Row],[SKU]],'All Skus'!$A:$AC,2,FALSE))="Martin",(VLOOKUP(Table10[[#This Row],[SKU]],'All Skus'!$A:$AC,8,FALSE)),""))</f>
        <v>Set of 10 VC-Dot 4 Smoked Diffuser Domes</v>
      </c>
      <c r="H692" s="223" t="str">
        <f>(IF((VLOOKUP(Table10[[#This Row],[SKU]],'All Skus'!$A:$AC,2,FALSE))="Martin",(VLOOKUP(Table10[[#This Row],[SKU]],'All Skus'!$A:$AC,9,FALSE)),""))</f>
        <v>Set of 10 VC-Dot 4 Smoked Diffuser Domes</v>
      </c>
      <c r="I692" s="225">
        <f>(IF((VLOOKUP(Table10[[#This Row],[SKU]],'All Skus'!$A:$AC,2,FALSE))="Martin",(VLOOKUP(Table10[[#This Row],[SKU]],'All Skus'!$A:$AC,10,FALSE)),""))</f>
        <v>32.1</v>
      </c>
      <c r="J692" s="226">
        <f>(IF((VLOOKUP(Table10[[#This Row],[SKU]],'All Skus'!$A:$AC,2,FALSE))="Martin",(VLOOKUP(Table10[[#This Row],[SKU]],'All Skus'!$A:$AC,11,FALSE)),""))</f>
        <v>32.1</v>
      </c>
      <c r="K692" s="224">
        <f>(IF((VLOOKUP(Table10[[#This Row],[SKU]],'All Skus'!$A:$AC,2,FALSE))="Martin",(VLOOKUP(Table10[[#This Row],[SKU]],'All Skus'!$A:$AC,15,FALSE)),""))</f>
        <v>0</v>
      </c>
      <c r="L692" s="224">
        <f>(IF((VLOOKUP(Table10[[#This Row],[SKU]],'All Skus'!$A:$AC,2,FALSE))="Martin",(VLOOKUP(Table10[[#This Row],[SKU]],'All Skus'!$A:$AC,16,FALSE)),""))</f>
        <v>0</v>
      </c>
      <c r="M692" s="224">
        <f>(IF((VLOOKUP(Table10[[#This Row],[SKU]],'All Skus'!$A:$AC,2,FALSE))="Martin",(VLOOKUP(Table10[[#This Row],[SKU]],'All Skus'!$A:$AC,17,FALSE)),""))</f>
        <v>0</v>
      </c>
      <c r="N692" s="227">
        <f>(IF((VLOOKUP(Table10[[#This Row],[SKU]],'All Skus'!$A:$AC,2,FALSE))="Martin",(VLOOKUP(Table10[[#This Row],[SKU]],'All Skus'!$A:$AC,18,FALSE)),""))</f>
        <v>0</v>
      </c>
      <c r="O692" s="227">
        <f>(IF((VLOOKUP(Table10[[#This Row],[SKU]],'All Skus'!$A:$AC,2,FALSE))="Martin",(VLOOKUP(Table10[[#This Row],[SKU]],'All Skus'!$A:$AC,19,FALSE)),""))</f>
        <v>0</v>
      </c>
      <c r="P692" s="227">
        <f>(IF((VLOOKUP(Table10[[#This Row],[SKU]],'All Skus'!$A:$AC,2,FALSE))="Martin",(VLOOKUP(Table10[[#This Row],[SKU]],'All Skus'!$A:$AC,20,FALSE)),""))</f>
        <v>0</v>
      </c>
      <c r="Q692" s="227">
        <f>(IF((VLOOKUP(Table10[[#This Row],[SKU]],'All Skus'!$A:$AC,2,FALSE))="Martin",(VLOOKUP(Table10[[#This Row],[SKU]],'All Skus'!$A:$AC,21,FALSE)),""))</f>
        <v>0</v>
      </c>
      <c r="R692" s="224" t="str">
        <f>(IF((VLOOKUP(Table10[[#This Row],[SKU]],'All Skus'!$A:$AC,2,FALSE))="Martin",(VLOOKUP(Table10[[#This Row],[SKU]],'All Skus'!$A:$AC,22,FALSE)),""))</f>
        <v>TW</v>
      </c>
      <c r="S692" s="223">
        <f>(IF((VLOOKUP(Table10[[#This Row],[SKU]],'All Skus'!$A:$AC,2,FALSE))="Martin",(VLOOKUP(Table10[[#This Row],[SKU]],'All Skus'!$A:$AC,23,FALSE)),""))</f>
        <v>0</v>
      </c>
      <c r="T692" s="212" t="str">
        <f>HYPERLINK((IF((VLOOKUP(Table10[[#This Row],[SKU]],'All Skus'!$A:$AC,2,FALSE))="Martin",(VLOOKUP(Table10[[#This Row],[SKU]],'All Skus'!$A:$AC,24,FALSE)),"")))</f>
        <v>http://www.martin.com/en-us/product-details/vc-dot-4</v>
      </c>
      <c r="U692" s="228">
        <v>690</v>
      </c>
    </row>
    <row r="693" spans="1:21" hidden="1">
      <c r="A693" s="112">
        <v>90357220</v>
      </c>
      <c r="B693" s="224" t="str">
        <f>(IF((VLOOKUP(Table10[[#This Row],[SKU]],'All Skus'!$A:$AC,2,FALSE))="Martin",(VLOOKUP(Table10[[#This Row],[SKU]],'All Skus'!$A:$AC,3,FALSE)),""))</f>
        <v>Creative Pixels</v>
      </c>
      <c r="C693" s="223" t="str">
        <f>(IF((VLOOKUP(Table10[[#This Row],[SKU]],'All Skus'!$A:$AC,2,FALSE))="Martin",(VLOOKUP(Table10[[#This Row],[SKU]],'All Skus'!$A:$AC,4,FALSE)),""))</f>
        <v>Set of 10 VC-Dot 4 Mounting Clips</v>
      </c>
      <c r="D693" s="224" t="str">
        <f>(IF((VLOOKUP(Table10[[#This Row],[SKU]],'All Skus'!$A:$AC,2,FALSE))="Martin",(VLOOKUP(Table10[[#This Row],[SKU]],'All Skus'!$A:$AC,5,FALSE)),""))</f>
        <v>MAR-VC</v>
      </c>
      <c r="E693" s="223">
        <f>(IF((VLOOKUP(Table10[[#This Row],[SKU]],'All Skus'!$A:$AC,2,FALSE))="Martin",(VLOOKUP(Table10[[#This Row],[SKU]],'All Skus'!$A:$AC,6,FALSE)),""))</f>
        <v>0</v>
      </c>
      <c r="F693" s="155">
        <f>(IF((VLOOKUP(Table10[[#This Row],[SKU]],'All Skus'!$A:$AC,2,FALSE))="Martin",(VLOOKUP(Table10[[#This Row],[SKU]],'All Skus'!$A:$AC,7,FALSE)),""))</f>
        <v>0</v>
      </c>
      <c r="G693" s="223" t="str">
        <f>(IF((VLOOKUP(Table10[[#This Row],[SKU]],'All Skus'!$A:$AC,2,FALSE))="Martin",(VLOOKUP(Table10[[#This Row],[SKU]],'All Skus'!$A:$AC,8,FALSE)),""))</f>
        <v>Set of 10 VC-Dot 4 Mounting Clips</v>
      </c>
      <c r="H693" s="223" t="str">
        <f>(IF((VLOOKUP(Table10[[#This Row],[SKU]],'All Skus'!$A:$AC,2,FALSE))="Martin",(VLOOKUP(Table10[[#This Row],[SKU]],'All Skus'!$A:$AC,9,FALSE)),""))</f>
        <v>Set of 10 VC-Dot 4 Mounting Clips</v>
      </c>
      <c r="I693" s="225">
        <f>(IF((VLOOKUP(Table10[[#This Row],[SKU]],'All Skus'!$A:$AC,2,FALSE))="Martin",(VLOOKUP(Table10[[#This Row],[SKU]],'All Skus'!$A:$AC,10,FALSE)),""))</f>
        <v>22.23</v>
      </c>
      <c r="J693" s="226">
        <f>(IF((VLOOKUP(Table10[[#This Row],[SKU]],'All Skus'!$A:$AC,2,FALSE))="Martin",(VLOOKUP(Table10[[#This Row],[SKU]],'All Skus'!$A:$AC,11,FALSE)),""))</f>
        <v>22.23</v>
      </c>
      <c r="K693" s="224">
        <f>(IF((VLOOKUP(Table10[[#This Row],[SKU]],'All Skus'!$A:$AC,2,FALSE))="Martin",(VLOOKUP(Table10[[#This Row],[SKU]],'All Skus'!$A:$AC,15,FALSE)),""))</f>
        <v>0</v>
      </c>
      <c r="L693" s="224">
        <f>(IF((VLOOKUP(Table10[[#This Row],[SKU]],'All Skus'!$A:$AC,2,FALSE))="Martin",(VLOOKUP(Table10[[#This Row],[SKU]],'All Skus'!$A:$AC,16,FALSE)),""))</f>
        <v>5706681211357</v>
      </c>
      <c r="M693" s="224">
        <f>(IF((VLOOKUP(Table10[[#This Row],[SKU]],'All Skus'!$A:$AC,2,FALSE))="Martin",(VLOOKUP(Table10[[#This Row],[SKU]],'All Skus'!$A:$AC,17,FALSE)),""))</f>
        <v>0</v>
      </c>
      <c r="N693" s="227">
        <f>(IF((VLOOKUP(Table10[[#This Row],[SKU]],'All Skus'!$A:$AC,2,FALSE))="Martin",(VLOOKUP(Table10[[#This Row],[SKU]],'All Skus'!$A:$AC,18,FALSE)),""))</f>
        <v>0</v>
      </c>
      <c r="O693" s="227">
        <f>(IF((VLOOKUP(Table10[[#This Row],[SKU]],'All Skus'!$A:$AC,2,FALSE))="Martin",(VLOOKUP(Table10[[#This Row],[SKU]],'All Skus'!$A:$AC,19,FALSE)),""))</f>
        <v>0</v>
      </c>
      <c r="P693" s="227">
        <f>(IF((VLOOKUP(Table10[[#This Row],[SKU]],'All Skus'!$A:$AC,2,FALSE))="Martin",(VLOOKUP(Table10[[#This Row],[SKU]],'All Skus'!$A:$AC,20,FALSE)),""))</f>
        <v>0</v>
      </c>
      <c r="Q693" s="227">
        <f>(IF((VLOOKUP(Table10[[#This Row],[SKU]],'All Skus'!$A:$AC,2,FALSE))="Martin",(VLOOKUP(Table10[[#This Row],[SKU]],'All Skus'!$A:$AC,21,FALSE)),""))</f>
        <v>0</v>
      </c>
      <c r="R693" s="224" t="str">
        <f>(IF((VLOOKUP(Table10[[#This Row],[SKU]],'All Skus'!$A:$AC,2,FALSE))="Martin",(VLOOKUP(Table10[[#This Row],[SKU]],'All Skus'!$A:$AC,22,FALSE)),""))</f>
        <v>TW</v>
      </c>
      <c r="S693" s="223" t="str">
        <f>(IF((VLOOKUP(Table10[[#This Row],[SKU]],'All Skus'!$A:$AC,2,FALSE))="Martin",(VLOOKUP(Table10[[#This Row],[SKU]],'All Skus'!$A:$AC,23,FALSE)),""))</f>
        <v>Non Compliant</v>
      </c>
      <c r="T693" s="212" t="str">
        <f>HYPERLINK((IF((VLOOKUP(Table10[[#This Row],[SKU]],'All Skus'!$A:$AC,2,FALSE))="Martin",(VLOOKUP(Table10[[#This Row],[SKU]],'All Skus'!$A:$AC,24,FALSE)),"")))</f>
        <v>http://www.martin.com/en-us/product-details/vc-dot-4</v>
      </c>
      <c r="U693" s="228">
        <v>691</v>
      </c>
    </row>
    <row r="694" spans="1:21" hidden="1">
      <c r="A694" s="90">
        <v>91611302</v>
      </c>
      <c r="B694" s="224">
        <f>(IF((VLOOKUP(Table10[[#This Row],[SKU]],'All Skus'!$A:$AC,2,FALSE))="Martin",(VLOOKUP(Table10[[#This Row],[SKU]],'All Skus'!$A:$AC,3,FALSE)),""))</f>
        <v>0</v>
      </c>
      <c r="C694" s="223" t="str">
        <f>(IF((VLOOKUP(Table10[[#This Row],[SKU]],'All Skus'!$A:$AC,2,FALSE))="Martin",(VLOOKUP(Table10[[#This Row],[SKU]],'All Skus'!$A:$AC,4,FALSE)),""))</f>
        <v>Mounting Bracket, VC-Dot 4</v>
      </c>
      <c r="D694" s="224" t="str">
        <f>(IF((VLOOKUP(Table10[[#This Row],[SKU]],'All Skus'!$A:$AC,2,FALSE))="Martin",(VLOOKUP(Table10[[#This Row],[SKU]],'All Skus'!$A:$AC,5,FALSE)),""))</f>
        <v>MAR-VC</v>
      </c>
      <c r="E694" s="223">
        <f>(IF((VLOOKUP(Table10[[#This Row],[SKU]],'All Skus'!$A:$AC,2,FALSE))="Martin",(VLOOKUP(Table10[[#This Row],[SKU]],'All Skus'!$A:$AC,6,FALSE)),""))</f>
        <v>0</v>
      </c>
      <c r="F694" s="155">
        <f>(IF((VLOOKUP(Table10[[#This Row],[SKU]],'All Skus'!$A:$AC,2,FALSE))="Martin",(VLOOKUP(Table10[[#This Row],[SKU]],'All Skus'!$A:$AC,7,FALSE)),""))</f>
        <v>0</v>
      </c>
      <c r="G694" s="223" t="str">
        <f>(IF((VLOOKUP(Table10[[#This Row],[SKU]],'All Skus'!$A:$AC,2,FALSE))="Martin",(VLOOKUP(Table10[[#This Row],[SKU]],'All Skus'!$A:$AC,8,FALSE)),""))</f>
        <v>Mounting Bracket, VC-Dot 4</v>
      </c>
      <c r="H694" s="223" t="str">
        <f>(IF((VLOOKUP(Table10[[#This Row],[SKU]],'All Skus'!$A:$AC,2,FALSE))="Martin",(VLOOKUP(Table10[[#This Row],[SKU]],'All Skus'!$A:$AC,9,FALSE)),""))</f>
        <v>Mounting Bracket, VC-Dot 4</v>
      </c>
      <c r="I694" s="225">
        <f>(IF((VLOOKUP(Table10[[#This Row],[SKU]],'All Skus'!$A:$AC,2,FALSE))="Martin",(VLOOKUP(Table10[[#This Row],[SKU]],'All Skus'!$A:$AC,10,FALSE)),""))</f>
        <v>8.64</v>
      </c>
      <c r="J694" s="226">
        <f>(IF((VLOOKUP(Table10[[#This Row],[SKU]],'All Skus'!$A:$AC,2,FALSE))="Martin",(VLOOKUP(Table10[[#This Row],[SKU]],'All Skus'!$A:$AC,11,FALSE)),""))</f>
        <v>8.64</v>
      </c>
      <c r="K694" s="224">
        <f>(IF((VLOOKUP(Table10[[#This Row],[SKU]],'All Skus'!$A:$AC,2,FALSE))="Martin",(VLOOKUP(Table10[[#This Row],[SKU]],'All Skus'!$A:$AC,15,FALSE)),""))</f>
        <v>0</v>
      </c>
      <c r="L694" s="224">
        <f>(IF((VLOOKUP(Table10[[#This Row],[SKU]],'All Skus'!$A:$AC,2,FALSE))="Martin",(VLOOKUP(Table10[[#This Row],[SKU]],'All Skus'!$A:$AC,16,FALSE)),""))</f>
        <v>0</v>
      </c>
      <c r="M694" s="224">
        <f>(IF((VLOOKUP(Table10[[#This Row],[SKU]],'All Skus'!$A:$AC,2,FALSE))="Martin",(VLOOKUP(Table10[[#This Row],[SKU]],'All Skus'!$A:$AC,17,FALSE)),""))</f>
        <v>0</v>
      </c>
      <c r="N694" s="227">
        <f>(IF((VLOOKUP(Table10[[#This Row],[SKU]],'All Skus'!$A:$AC,2,FALSE))="Martin",(VLOOKUP(Table10[[#This Row],[SKU]],'All Skus'!$A:$AC,18,FALSE)),""))</f>
        <v>0</v>
      </c>
      <c r="O694" s="227">
        <f>(IF((VLOOKUP(Table10[[#This Row],[SKU]],'All Skus'!$A:$AC,2,FALSE))="Martin",(VLOOKUP(Table10[[#This Row],[SKU]],'All Skus'!$A:$AC,19,FALSE)),""))</f>
        <v>0</v>
      </c>
      <c r="P694" s="227">
        <f>(IF((VLOOKUP(Table10[[#This Row],[SKU]],'All Skus'!$A:$AC,2,FALSE))="Martin",(VLOOKUP(Table10[[#This Row],[SKU]],'All Skus'!$A:$AC,20,FALSE)),""))</f>
        <v>0</v>
      </c>
      <c r="Q694" s="227">
        <f>(IF((VLOOKUP(Table10[[#This Row],[SKU]],'All Skus'!$A:$AC,2,FALSE))="Martin",(VLOOKUP(Table10[[#This Row],[SKU]],'All Skus'!$A:$AC,21,FALSE)),""))</f>
        <v>0</v>
      </c>
      <c r="R694" s="224">
        <f>(IF((VLOOKUP(Table10[[#This Row],[SKU]],'All Skus'!$A:$AC,2,FALSE))="Martin",(VLOOKUP(Table10[[#This Row],[SKU]],'All Skus'!$A:$AC,22,FALSE)),""))</f>
        <v>0</v>
      </c>
      <c r="S694" s="223">
        <f>(IF((VLOOKUP(Table10[[#This Row],[SKU]],'All Skus'!$A:$AC,2,FALSE))="Martin",(VLOOKUP(Table10[[#This Row],[SKU]],'All Skus'!$A:$AC,23,FALSE)),""))</f>
        <v>0</v>
      </c>
      <c r="T694" s="212" t="str">
        <f>HYPERLINK((IF((VLOOKUP(Table10[[#This Row],[SKU]],'All Skus'!$A:$AC,2,FALSE))="Martin",(VLOOKUP(Table10[[#This Row],[SKU]],'All Skus'!$A:$AC,24,FALSE)),"")))</f>
        <v/>
      </c>
      <c r="U694" s="228">
        <v>692</v>
      </c>
    </row>
    <row r="695" spans="1:21" hidden="1">
      <c r="A695" s="112" t="s">
        <v>2326</v>
      </c>
      <c r="B695" s="224">
        <f>(IF((VLOOKUP(Table10[[#This Row],[SKU]],'All Skus'!$A:$AC,2,FALSE))="Martin",(VLOOKUP(Table10[[#This Row],[SKU]],'All Skus'!$A:$AC,3,FALSE)),""))</f>
        <v>0</v>
      </c>
      <c r="C695" s="223" t="str">
        <f>(IF((VLOOKUP(Table10[[#This Row],[SKU]],'All Skus'!$A:$AC,2,FALSE))="Martin",(VLOOKUP(Table10[[#This Row],[SKU]],'All Skus'!$A:$AC,4,FALSE)),""))</f>
        <v>Set of 10 VC-Dot 4 TrussClips</v>
      </c>
      <c r="D695" s="224" t="str">
        <f>(IF((VLOOKUP(Table10[[#This Row],[SKU]],'All Skus'!$A:$AC,2,FALSE))="Martin",(VLOOKUP(Table10[[#This Row],[SKU]],'All Skus'!$A:$AC,5,FALSE)),""))</f>
        <v>MAR-VC</v>
      </c>
      <c r="E695" s="223">
        <f>(IF((VLOOKUP(Table10[[#This Row],[SKU]],'All Skus'!$A:$AC,2,FALSE))="Martin",(VLOOKUP(Table10[[#This Row],[SKU]],'All Skus'!$A:$AC,6,FALSE)),""))</f>
        <v>0</v>
      </c>
      <c r="F695" s="155">
        <f>(IF((VLOOKUP(Table10[[#This Row],[SKU]],'All Skus'!$A:$AC,2,FALSE))="Martin",(VLOOKUP(Table10[[#This Row],[SKU]],'All Skus'!$A:$AC,7,FALSE)),""))</f>
        <v>0</v>
      </c>
      <c r="G695" s="223" t="str">
        <f>(IF((VLOOKUP(Table10[[#This Row],[SKU]],'All Skus'!$A:$AC,2,FALSE))="Martin",(VLOOKUP(Table10[[#This Row],[SKU]],'All Skus'!$A:$AC,8,FALSE)),""))</f>
        <v>Set of 10 VC-Dot 4 TrussClips</v>
      </c>
      <c r="H695" s="223" t="str">
        <f>(IF((VLOOKUP(Table10[[#This Row],[SKU]],'All Skus'!$A:$AC,2,FALSE))="Martin",(VLOOKUP(Table10[[#This Row],[SKU]],'All Skus'!$A:$AC,9,FALSE)),""))</f>
        <v>Set of 10 VC-Dot 4 TrussClips</v>
      </c>
      <c r="I695" s="225">
        <f>(IF((VLOOKUP(Table10[[#This Row],[SKU]],'All Skus'!$A:$AC,2,FALSE))="Martin",(VLOOKUP(Table10[[#This Row],[SKU]],'All Skus'!$A:$AC,10,FALSE)),""))</f>
        <v>62.97</v>
      </c>
      <c r="J695" s="226">
        <f>(IF((VLOOKUP(Table10[[#This Row],[SKU]],'All Skus'!$A:$AC,2,FALSE))="Martin",(VLOOKUP(Table10[[#This Row],[SKU]],'All Skus'!$A:$AC,11,FALSE)),""))</f>
        <v>62.97</v>
      </c>
      <c r="K695" s="224">
        <f>(IF((VLOOKUP(Table10[[#This Row],[SKU]],'All Skus'!$A:$AC,2,FALSE))="Martin",(VLOOKUP(Table10[[#This Row],[SKU]],'All Skus'!$A:$AC,15,FALSE)),""))</f>
        <v>0</v>
      </c>
      <c r="L695" s="224">
        <f>(IF((VLOOKUP(Table10[[#This Row],[SKU]],'All Skus'!$A:$AC,2,FALSE))="Martin",(VLOOKUP(Table10[[#This Row],[SKU]],'All Skus'!$A:$AC,16,FALSE)),""))</f>
        <v>5706681234820</v>
      </c>
      <c r="M695" s="224">
        <f>(IF((VLOOKUP(Table10[[#This Row],[SKU]],'All Skus'!$A:$AC,2,FALSE))="Martin",(VLOOKUP(Table10[[#This Row],[SKU]],'All Skus'!$A:$AC,17,FALSE)),""))</f>
        <v>0</v>
      </c>
      <c r="N695" s="227">
        <f>(IF((VLOOKUP(Table10[[#This Row],[SKU]],'All Skus'!$A:$AC,2,FALSE))="Martin",(VLOOKUP(Table10[[#This Row],[SKU]],'All Skus'!$A:$AC,18,FALSE)),""))</f>
        <v>0</v>
      </c>
      <c r="O695" s="227">
        <f>(IF((VLOOKUP(Table10[[#This Row],[SKU]],'All Skus'!$A:$AC,2,FALSE))="Martin",(VLOOKUP(Table10[[#This Row],[SKU]],'All Skus'!$A:$AC,19,FALSE)),""))</f>
        <v>0</v>
      </c>
      <c r="P695" s="227">
        <f>(IF((VLOOKUP(Table10[[#This Row],[SKU]],'All Skus'!$A:$AC,2,FALSE))="Martin",(VLOOKUP(Table10[[#This Row],[SKU]],'All Skus'!$A:$AC,20,FALSE)),""))</f>
        <v>0</v>
      </c>
      <c r="Q695" s="227">
        <f>(IF((VLOOKUP(Table10[[#This Row],[SKU]],'All Skus'!$A:$AC,2,FALSE))="Martin",(VLOOKUP(Table10[[#This Row],[SKU]],'All Skus'!$A:$AC,21,FALSE)),""))</f>
        <v>0</v>
      </c>
      <c r="R695" s="224" t="str">
        <f>(IF((VLOOKUP(Table10[[#This Row],[SKU]],'All Skus'!$A:$AC,2,FALSE))="Martin",(VLOOKUP(Table10[[#This Row],[SKU]],'All Skus'!$A:$AC,22,FALSE)),""))</f>
        <v>HU</v>
      </c>
      <c r="S695" s="223">
        <f>(IF((VLOOKUP(Table10[[#This Row],[SKU]],'All Skus'!$A:$AC,2,FALSE))="Martin",(VLOOKUP(Table10[[#This Row],[SKU]],'All Skus'!$A:$AC,23,FALSE)),""))</f>
        <v>0</v>
      </c>
      <c r="T695" s="212" t="str">
        <f>HYPERLINK((IF((VLOOKUP(Table10[[#This Row],[SKU]],'All Skus'!$A:$AC,2,FALSE))="Martin",(VLOOKUP(Table10[[#This Row],[SKU]],'All Skus'!$A:$AC,24,FALSE)),"")))</f>
        <v/>
      </c>
      <c r="U695" s="228">
        <v>693</v>
      </c>
    </row>
    <row r="696" spans="1:21" hidden="1">
      <c r="A696" s="112">
        <v>91611378</v>
      </c>
      <c r="B696" s="224">
        <f>(IF((VLOOKUP(Table10[[#This Row],[SKU]],'All Skus'!$A:$AC,2,FALSE))="Martin",(VLOOKUP(Table10[[#This Row],[SKU]],'All Skus'!$A:$AC,3,FALSE)),""))</f>
        <v>0</v>
      </c>
      <c r="C696" s="223" t="str">
        <f>(IF((VLOOKUP(Table10[[#This Row],[SKU]],'All Skus'!$A:$AC,2,FALSE))="Martin",(VLOOKUP(Table10[[#This Row],[SKU]],'All Skus'!$A:$AC,4,FALSE)),""))</f>
        <v>VC-Dot 4 Aluminium Mounting Profile Black 2m</v>
      </c>
      <c r="D696" s="224" t="str">
        <f>(IF((VLOOKUP(Table10[[#This Row],[SKU]],'All Skus'!$A:$AC,2,FALSE))="Martin",(VLOOKUP(Table10[[#This Row],[SKU]],'All Skus'!$A:$AC,5,FALSE)),""))</f>
        <v>MAR-VC</v>
      </c>
      <c r="E696" s="223">
        <f>(IF((VLOOKUP(Table10[[#This Row],[SKU]],'All Skus'!$A:$AC,2,FALSE))="Martin",(VLOOKUP(Table10[[#This Row],[SKU]],'All Skus'!$A:$AC,6,FALSE)),""))</f>
        <v>0</v>
      </c>
      <c r="F696" s="155">
        <f>(IF((VLOOKUP(Table10[[#This Row],[SKU]],'All Skus'!$A:$AC,2,FALSE))="Martin",(VLOOKUP(Table10[[#This Row],[SKU]],'All Skus'!$A:$AC,7,FALSE)),""))</f>
        <v>0</v>
      </c>
      <c r="G696" s="223" t="str">
        <f>(IF((VLOOKUP(Table10[[#This Row],[SKU]],'All Skus'!$A:$AC,2,FALSE))="Martin",(VLOOKUP(Table10[[#This Row],[SKU]],'All Skus'!$A:$AC,8,FALSE)),""))</f>
        <v>VC-Dot 4 Aluminium Mounting Profile Black 2m</v>
      </c>
      <c r="H696" s="223" t="str">
        <f>(IF((VLOOKUP(Table10[[#This Row],[SKU]],'All Skus'!$A:$AC,2,FALSE))="Martin",(VLOOKUP(Table10[[#This Row],[SKU]],'All Skus'!$A:$AC,9,FALSE)),""))</f>
        <v>VC-Dot 4 Aluminium Mounting Profile Black 2m</v>
      </c>
      <c r="I696" s="225">
        <f>(IF((VLOOKUP(Table10[[#This Row],[SKU]],'All Skus'!$A:$AC,2,FALSE))="Martin",(VLOOKUP(Table10[[#This Row],[SKU]],'All Skus'!$A:$AC,10,FALSE)),""))</f>
        <v>43.22</v>
      </c>
      <c r="J696" s="226">
        <f>(IF((VLOOKUP(Table10[[#This Row],[SKU]],'All Skus'!$A:$AC,2,FALSE))="Martin",(VLOOKUP(Table10[[#This Row],[SKU]],'All Skus'!$A:$AC,11,FALSE)),""))</f>
        <v>43.22</v>
      </c>
      <c r="K696" s="224">
        <f>(IF((VLOOKUP(Table10[[#This Row],[SKU]],'All Skus'!$A:$AC,2,FALSE))="Martin",(VLOOKUP(Table10[[#This Row],[SKU]],'All Skus'!$A:$AC,15,FALSE)),""))</f>
        <v>0</v>
      </c>
      <c r="L696" s="224">
        <f>(IF((VLOOKUP(Table10[[#This Row],[SKU]],'All Skus'!$A:$AC,2,FALSE))="Martin",(VLOOKUP(Table10[[#This Row],[SKU]],'All Skus'!$A:$AC,16,FALSE)),""))</f>
        <v>5706681218189</v>
      </c>
      <c r="M696" s="224">
        <f>(IF((VLOOKUP(Table10[[#This Row],[SKU]],'All Skus'!$A:$AC,2,FALSE))="Martin",(VLOOKUP(Table10[[#This Row],[SKU]],'All Skus'!$A:$AC,17,FALSE)),""))</f>
        <v>0</v>
      </c>
      <c r="N696" s="227">
        <f>(IF((VLOOKUP(Table10[[#This Row],[SKU]],'All Skus'!$A:$AC,2,FALSE))="Martin",(VLOOKUP(Table10[[#This Row],[SKU]],'All Skus'!$A:$AC,18,FALSE)),""))</f>
        <v>0</v>
      </c>
      <c r="O696" s="227">
        <f>(IF((VLOOKUP(Table10[[#This Row],[SKU]],'All Skus'!$A:$AC,2,FALSE))="Martin",(VLOOKUP(Table10[[#This Row],[SKU]],'All Skus'!$A:$AC,19,FALSE)),""))</f>
        <v>0</v>
      </c>
      <c r="P696" s="227">
        <f>(IF((VLOOKUP(Table10[[#This Row],[SKU]],'All Skus'!$A:$AC,2,FALSE))="Martin",(VLOOKUP(Table10[[#This Row],[SKU]],'All Skus'!$A:$AC,20,FALSE)),""))</f>
        <v>0</v>
      </c>
      <c r="Q696" s="227">
        <f>(IF((VLOOKUP(Table10[[#This Row],[SKU]],'All Skus'!$A:$AC,2,FALSE))="Martin",(VLOOKUP(Table10[[#This Row],[SKU]],'All Skus'!$A:$AC,21,FALSE)),""))</f>
        <v>0</v>
      </c>
      <c r="R696" s="224">
        <f>(IF((VLOOKUP(Table10[[#This Row],[SKU]],'All Skus'!$A:$AC,2,FALSE))="Martin",(VLOOKUP(Table10[[#This Row],[SKU]],'All Skus'!$A:$AC,22,FALSE)),""))</f>
        <v>0</v>
      </c>
      <c r="S696" s="223">
        <f>(IF((VLOOKUP(Table10[[#This Row],[SKU]],'All Skus'!$A:$AC,2,FALSE))="Martin",(VLOOKUP(Table10[[#This Row],[SKU]],'All Skus'!$A:$AC,23,FALSE)),""))</f>
        <v>0</v>
      </c>
      <c r="T696" s="212" t="str">
        <f>HYPERLINK((IF((VLOOKUP(Table10[[#This Row],[SKU]],'All Skus'!$A:$AC,2,FALSE))="Martin",(VLOOKUP(Table10[[#This Row],[SKU]],'All Skus'!$A:$AC,24,FALSE)),"")))</f>
        <v/>
      </c>
      <c r="U696" s="228">
        <v>694</v>
      </c>
    </row>
    <row r="697" spans="1:21" hidden="1">
      <c r="A697" s="112">
        <v>91611379</v>
      </c>
      <c r="B697" s="224">
        <f>(IF((VLOOKUP(Table10[[#This Row],[SKU]],'All Skus'!$A:$AC,2,FALSE))="Martin",(VLOOKUP(Table10[[#This Row],[SKU]],'All Skus'!$A:$AC,3,FALSE)),""))</f>
        <v>0</v>
      </c>
      <c r="C697" s="223" t="str">
        <f>(IF((VLOOKUP(Table10[[#This Row],[SKU]],'All Skus'!$A:$AC,2,FALSE))="Martin",(VLOOKUP(Table10[[#This Row],[SKU]],'All Skus'!$A:$AC,4,FALSE)),""))</f>
        <v>VC-Dot 4 Aluminium Profile Cover Black 2m</v>
      </c>
      <c r="D697" s="224" t="str">
        <f>(IF((VLOOKUP(Table10[[#This Row],[SKU]],'All Skus'!$A:$AC,2,FALSE))="Martin",(VLOOKUP(Table10[[#This Row],[SKU]],'All Skus'!$A:$AC,5,FALSE)),""))</f>
        <v>MAR-VC</v>
      </c>
      <c r="E697" s="223">
        <f>(IF((VLOOKUP(Table10[[#This Row],[SKU]],'All Skus'!$A:$AC,2,FALSE))="Martin",(VLOOKUP(Table10[[#This Row],[SKU]],'All Skus'!$A:$AC,6,FALSE)),""))</f>
        <v>0</v>
      </c>
      <c r="F697" s="155">
        <f>(IF((VLOOKUP(Table10[[#This Row],[SKU]],'All Skus'!$A:$AC,2,FALSE))="Martin",(VLOOKUP(Table10[[#This Row],[SKU]],'All Skus'!$A:$AC,7,FALSE)),""))</f>
        <v>0</v>
      </c>
      <c r="G697" s="223" t="str">
        <f>(IF((VLOOKUP(Table10[[#This Row],[SKU]],'All Skus'!$A:$AC,2,FALSE))="Martin",(VLOOKUP(Table10[[#This Row],[SKU]],'All Skus'!$A:$AC,8,FALSE)),""))</f>
        <v>VC-Dot 4 Aluminium Profile Cover Black 2m</v>
      </c>
      <c r="H697" s="223" t="str">
        <f>(IF((VLOOKUP(Table10[[#This Row],[SKU]],'All Skus'!$A:$AC,2,FALSE))="Martin",(VLOOKUP(Table10[[#This Row],[SKU]],'All Skus'!$A:$AC,9,FALSE)),""))</f>
        <v>VC-Dot 4 Aluminium Profile Cover Black 2m</v>
      </c>
      <c r="I697" s="225">
        <f>(IF((VLOOKUP(Table10[[#This Row],[SKU]],'All Skus'!$A:$AC,2,FALSE))="Martin",(VLOOKUP(Table10[[#This Row],[SKU]],'All Skus'!$A:$AC,10,FALSE)),""))</f>
        <v>19.760000000000002</v>
      </c>
      <c r="J697" s="226">
        <f>(IF((VLOOKUP(Table10[[#This Row],[SKU]],'All Skus'!$A:$AC,2,FALSE))="Martin",(VLOOKUP(Table10[[#This Row],[SKU]],'All Skus'!$A:$AC,11,FALSE)),""))</f>
        <v>19.760000000000002</v>
      </c>
      <c r="K697" s="224">
        <f>(IF((VLOOKUP(Table10[[#This Row],[SKU]],'All Skus'!$A:$AC,2,FALSE))="Martin",(VLOOKUP(Table10[[#This Row],[SKU]],'All Skus'!$A:$AC,15,FALSE)),""))</f>
        <v>0</v>
      </c>
      <c r="L697" s="224">
        <f>(IF((VLOOKUP(Table10[[#This Row],[SKU]],'All Skus'!$A:$AC,2,FALSE))="Martin",(VLOOKUP(Table10[[#This Row],[SKU]],'All Skus'!$A:$AC,16,FALSE)),""))</f>
        <v>5706681218196</v>
      </c>
      <c r="M697" s="224">
        <f>(IF((VLOOKUP(Table10[[#This Row],[SKU]],'All Skus'!$A:$AC,2,FALSE))="Martin",(VLOOKUP(Table10[[#This Row],[SKU]],'All Skus'!$A:$AC,17,FALSE)),""))</f>
        <v>0</v>
      </c>
      <c r="N697" s="227">
        <f>(IF((VLOOKUP(Table10[[#This Row],[SKU]],'All Skus'!$A:$AC,2,FALSE))="Martin",(VLOOKUP(Table10[[#This Row],[SKU]],'All Skus'!$A:$AC,18,FALSE)),""))</f>
        <v>0</v>
      </c>
      <c r="O697" s="227">
        <f>(IF((VLOOKUP(Table10[[#This Row],[SKU]],'All Skus'!$A:$AC,2,FALSE))="Martin",(VLOOKUP(Table10[[#This Row],[SKU]],'All Skus'!$A:$AC,19,FALSE)),""))</f>
        <v>0</v>
      </c>
      <c r="P697" s="227">
        <f>(IF((VLOOKUP(Table10[[#This Row],[SKU]],'All Skus'!$A:$AC,2,FALSE))="Martin",(VLOOKUP(Table10[[#This Row],[SKU]],'All Skus'!$A:$AC,20,FALSE)),""))</f>
        <v>0</v>
      </c>
      <c r="Q697" s="227">
        <f>(IF((VLOOKUP(Table10[[#This Row],[SKU]],'All Skus'!$A:$AC,2,FALSE))="Martin",(VLOOKUP(Table10[[#This Row],[SKU]],'All Skus'!$A:$AC,21,FALSE)),""))</f>
        <v>0</v>
      </c>
      <c r="R697" s="224">
        <f>(IF((VLOOKUP(Table10[[#This Row],[SKU]],'All Skus'!$A:$AC,2,FALSE))="Martin",(VLOOKUP(Table10[[#This Row],[SKU]],'All Skus'!$A:$AC,22,FALSE)),""))</f>
        <v>0</v>
      </c>
      <c r="S697" s="223">
        <f>(IF((VLOOKUP(Table10[[#This Row],[SKU]],'All Skus'!$A:$AC,2,FALSE))="Martin",(VLOOKUP(Table10[[#This Row],[SKU]],'All Skus'!$A:$AC,23,FALSE)),""))</f>
        <v>0</v>
      </c>
      <c r="T697" s="212" t="str">
        <f>HYPERLINK((IF((VLOOKUP(Table10[[#This Row],[SKU]],'All Skus'!$A:$AC,2,FALSE))="Martin",(VLOOKUP(Table10[[#This Row],[SKU]],'All Skus'!$A:$AC,24,FALSE)),"")))</f>
        <v/>
      </c>
      <c r="U697" s="228">
        <v>695</v>
      </c>
    </row>
    <row r="698" spans="1:21" hidden="1">
      <c r="A698" s="112">
        <v>91611380</v>
      </c>
      <c r="B698" s="224" t="str">
        <f>(IF((VLOOKUP(Table10[[#This Row],[SKU]],'All Skus'!$A:$AC,2,FALSE))="Martin",(VLOOKUP(Table10[[#This Row],[SKU]],'All Skus'!$A:$AC,3,FALSE)),""))</f>
        <v>Linear</v>
      </c>
      <c r="C698" s="223" t="str">
        <f>(IF((VLOOKUP(Table10[[#This Row],[SKU]],'All Skus'!$A:$AC,2,FALSE))="Martin",(VLOOKUP(Table10[[#This Row],[SKU]],'All Skus'!$A:$AC,4,FALSE)),""))</f>
        <v>Set of 10 VC-Dot 4 Alu Profile Endcaps Black</v>
      </c>
      <c r="D698" s="224" t="str">
        <f>(IF((VLOOKUP(Table10[[#This Row],[SKU]],'All Skus'!$A:$AC,2,FALSE))="Martin",(VLOOKUP(Table10[[#This Row],[SKU]],'All Skus'!$A:$AC,5,FALSE)),""))</f>
        <v>MAR-VC</v>
      </c>
      <c r="E698" s="223">
        <f>(IF((VLOOKUP(Table10[[#This Row],[SKU]],'All Skus'!$A:$AC,2,FALSE))="Martin",(VLOOKUP(Table10[[#This Row],[SKU]],'All Skus'!$A:$AC,6,FALSE)),""))</f>
        <v>0</v>
      </c>
      <c r="F698" s="155">
        <f>(IF((VLOOKUP(Table10[[#This Row],[SKU]],'All Skus'!$A:$AC,2,FALSE))="Martin",(VLOOKUP(Table10[[#This Row],[SKU]],'All Skus'!$A:$AC,7,FALSE)),""))</f>
        <v>0</v>
      </c>
      <c r="G698" s="223" t="str">
        <f>(IF((VLOOKUP(Table10[[#This Row],[SKU]],'All Skus'!$A:$AC,2,FALSE))="Martin",(VLOOKUP(Table10[[#This Row],[SKU]],'All Skus'!$A:$AC,8,FALSE)),""))</f>
        <v>Set of 10 VC-Dot 4 Alu Profile Endcaps Black</v>
      </c>
      <c r="H698" s="223" t="str">
        <f>(IF((VLOOKUP(Table10[[#This Row],[SKU]],'All Skus'!$A:$AC,2,FALSE))="Martin",(VLOOKUP(Table10[[#This Row],[SKU]],'All Skus'!$A:$AC,9,FALSE)),""))</f>
        <v>Set of 10 VC-Dot 4 Alu Profile Endcaps Black</v>
      </c>
      <c r="I698" s="225">
        <f>(IF((VLOOKUP(Table10[[#This Row],[SKU]],'All Skus'!$A:$AC,2,FALSE))="Martin",(VLOOKUP(Table10[[#This Row],[SKU]],'All Skus'!$A:$AC,10,FALSE)),""))</f>
        <v>12.35</v>
      </c>
      <c r="J698" s="226">
        <f>(IF((VLOOKUP(Table10[[#This Row],[SKU]],'All Skus'!$A:$AC,2,FALSE))="Martin",(VLOOKUP(Table10[[#This Row],[SKU]],'All Skus'!$A:$AC,11,FALSE)),""))</f>
        <v>12.35</v>
      </c>
      <c r="K698" s="224">
        <f>(IF((VLOOKUP(Table10[[#This Row],[SKU]],'All Skus'!$A:$AC,2,FALSE))="Martin",(VLOOKUP(Table10[[#This Row],[SKU]],'All Skus'!$A:$AC,15,FALSE)),""))</f>
        <v>0</v>
      </c>
      <c r="L698" s="224">
        <f>(IF((VLOOKUP(Table10[[#This Row],[SKU]],'All Skus'!$A:$AC,2,FALSE))="Martin",(VLOOKUP(Table10[[#This Row],[SKU]],'All Skus'!$A:$AC,16,FALSE)),""))</f>
        <v>5706681218202</v>
      </c>
      <c r="M698" s="224">
        <f>(IF((VLOOKUP(Table10[[#This Row],[SKU]],'All Skus'!$A:$AC,2,FALSE))="Martin",(VLOOKUP(Table10[[#This Row],[SKU]],'All Skus'!$A:$AC,17,FALSE)),""))</f>
        <v>0</v>
      </c>
      <c r="N698" s="227">
        <f>(IF((VLOOKUP(Table10[[#This Row],[SKU]],'All Skus'!$A:$AC,2,FALSE))="Martin",(VLOOKUP(Table10[[#This Row],[SKU]],'All Skus'!$A:$AC,18,FALSE)),""))</f>
        <v>0</v>
      </c>
      <c r="O698" s="227">
        <f>(IF((VLOOKUP(Table10[[#This Row],[SKU]],'All Skus'!$A:$AC,2,FALSE))="Martin",(VLOOKUP(Table10[[#This Row],[SKU]],'All Skus'!$A:$AC,19,FALSE)),""))</f>
        <v>0</v>
      </c>
      <c r="P698" s="227">
        <f>(IF((VLOOKUP(Table10[[#This Row],[SKU]],'All Skus'!$A:$AC,2,FALSE))="Martin",(VLOOKUP(Table10[[#This Row],[SKU]],'All Skus'!$A:$AC,20,FALSE)),""))</f>
        <v>0</v>
      </c>
      <c r="Q698" s="227">
        <f>(IF((VLOOKUP(Table10[[#This Row],[SKU]],'All Skus'!$A:$AC,2,FALSE))="Martin",(VLOOKUP(Table10[[#This Row],[SKU]],'All Skus'!$A:$AC,21,FALSE)),""))</f>
        <v>0</v>
      </c>
      <c r="R698" s="224" t="str">
        <f>(IF((VLOOKUP(Table10[[#This Row],[SKU]],'All Skus'!$A:$AC,2,FALSE))="Martin",(VLOOKUP(Table10[[#This Row],[SKU]],'All Skus'!$A:$AC,22,FALSE)),""))</f>
        <v>CN</v>
      </c>
      <c r="S698" s="223" t="str">
        <f>(IF((VLOOKUP(Table10[[#This Row],[SKU]],'All Skus'!$A:$AC,2,FALSE))="Martin",(VLOOKUP(Table10[[#This Row],[SKU]],'All Skus'!$A:$AC,23,FALSE)),""))</f>
        <v>Non Compliant</v>
      </c>
      <c r="T698" s="212" t="str">
        <f>HYPERLINK((IF((VLOOKUP(Table10[[#This Row],[SKU]],'All Skus'!$A:$AC,2,FALSE))="Martin",(VLOOKUP(Table10[[#This Row],[SKU]],'All Skus'!$A:$AC,24,FALSE)),"")))</f>
        <v>http://www.martin.com/en-us/product-details/vc-dot-4</v>
      </c>
      <c r="U698" s="228">
        <v>696</v>
      </c>
    </row>
    <row r="699" spans="1:21" hidden="1">
      <c r="A699" s="112">
        <v>91611381</v>
      </c>
      <c r="B699" s="224" t="str">
        <f>(IF((VLOOKUP(Table10[[#This Row],[SKU]],'All Skus'!$A:$AC,2,FALSE))="Martin",(VLOOKUP(Table10[[#This Row],[SKU]],'All Skus'!$A:$AC,3,FALSE)),""))</f>
        <v>Linear</v>
      </c>
      <c r="C699" s="223" t="str">
        <f>(IF((VLOOKUP(Table10[[#This Row],[SKU]],'All Skus'!$A:$AC,2,FALSE))="Martin",(VLOOKUP(Table10[[#This Row],[SKU]],'All Skus'!$A:$AC,4,FALSE)),""))</f>
        <v>Set of 10 VC-Dot 4 Alu Profile CableEntry Endcaps Black</v>
      </c>
      <c r="D699" s="224" t="str">
        <f>(IF((VLOOKUP(Table10[[#This Row],[SKU]],'All Skus'!$A:$AC,2,FALSE))="Martin",(VLOOKUP(Table10[[#This Row],[SKU]],'All Skus'!$A:$AC,5,FALSE)),""))</f>
        <v>MAR-VC</v>
      </c>
      <c r="E699" s="223">
        <f>(IF((VLOOKUP(Table10[[#This Row],[SKU]],'All Skus'!$A:$AC,2,FALSE))="Martin",(VLOOKUP(Table10[[#This Row],[SKU]],'All Skus'!$A:$AC,6,FALSE)),""))</f>
        <v>0</v>
      </c>
      <c r="F699" s="155">
        <f>(IF((VLOOKUP(Table10[[#This Row],[SKU]],'All Skus'!$A:$AC,2,FALSE))="Martin",(VLOOKUP(Table10[[#This Row],[SKU]],'All Skus'!$A:$AC,7,FALSE)),""))</f>
        <v>0</v>
      </c>
      <c r="G699" s="223" t="str">
        <f>(IF((VLOOKUP(Table10[[#This Row],[SKU]],'All Skus'!$A:$AC,2,FALSE))="Martin",(VLOOKUP(Table10[[#This Row],[SKU]],'All Skus'!$A:$AC,8,FALSE)),""))</f>
        <v>Set of 10 VC-Dot 4 Alu Profile CableEntry Endcaps Black</v>
      </c>
      <c r="H699" s="223" t="str">
        <f>(IF((VLOOKUP(Table10[[#This Row],[SKU]],'All Skus'!$A:$AC,2,FALSE))="Martin",(VLOOKUP(Table10[[#This Row],[SKU]],'All Skus'!$A:$AC,9,FALSE)),""))</f>
        <v>Set of 10 VC-Dot 4 Alu Profile CableEntry Endcaps Black</v>
      </c>
      <c r="I699" s="225">
        <f>(IF((VLOOKUP(Table10[[#This Row],[SKU]],'All Skus'!$A:$AC,2,FALSE))="Martin",(VLOOKUP(Table10[[#This Row],[SKU]],'All Skus'!$A:$AC,10,FALSE)),""))</f>
        <v>12.35</v>
      </c>
      <c r="J699" s="226">
        <f>(IF((VLOOKUP(Table10[[#This Row],[SKU]],'All Skus'!$A:$AC,2,FALSE))="Martin",(VLOOKUP(Table10[[#This Row],[SKU]],'All Skus'!$A:$AC,11,FALSE)),""))</f>
        <v>12.35</v>
      </c>
      <c r="K699" s="224">
        <f>(IF((VLOOKUP(Table10[[#This Row],[SKU]],'All Skus'!$A:$AC,2,FALSE))="Martin",(VLOOKUP(Table10[[#This Row],[SKU]],'All Skus'!$A:$AC,15,FALSE)),""))</f>
        <v>0</v>
      </c>
      <c r="L699" s="224">
        <f>(IF((VLOOKUP(Table10[[#This Row],[SKU]],'All Skus'!$A:$AC,2,FALSE))="Martin",(VLOOKUP(Table10[[#This Row],[SKU]],'All Skus'!$A:$AC,16,FALSE)),""))</f>
        <v>5706681218219</v>
      </c>
      <c r="M699" s="224">
        <f>(IF((VLOOKUP(Table10[[#This Row],[SKU]],'All Skus'!$A:$AC,2,FALSE))="Martin",(VLOOKUP(Table10[[#This Row],[SKU]],'All Skus'!$A:$AC,17,FALSE)),""))</f>
        <v>0</v>
      </c>
      <c r="N699" s="227">
        <f>(IF((VLOOKUP(Table10[[#This Row],[SKU]],'All Skus'!$A:$AC,2,FALSE))="Martin",(VLOOKUP(Table10[[#This Row],[SKU]],'All Skus'!$A:$AC,18,FALSE)),""))</f>
        <v>0</v>
      </c>
      <c r="O699" s="227">
        <f>(IF((VLOOKUP(Table10[[#This Row],[SKU]],'All Skus'!$A:$AC,2,FALSE))="Martin",(VLOOKUP(Table10[[#This Row],[SKU]],'All Skus'!$A:$AC,19,FALSE)),""))</f>
        <v>0</v>
      </c>
      <c r="P699" s="227">
        <f>(IF((VLOOKUP(Table10[[#This Row],[SKU]],'All Skus'!$A:$AC,2,FALSE))="Martin",(VLOOKUP(Table10[[#This Row],[SKU]],'All Skus'!$A:$AC,20,FALSE)),""))</f>
        <v>0</v>
      </c>
      <c r="Q699" s="227">
        <f>(IF((VLOOKUP(Table10[[#This Row],[SKU]],'All Skus'!$A:$AC,2,FALSE))="Martin",(VLOOKUP(Table10[[#This Row],[SKU]],'All Skus'!$A:$AC,21,FALSE)),""))</f>
        <v>0</v>
      </c>
      <c r="R699" s="224">
        <f>(IF((VLOOKUP(Table10[[#This Row],[SKU]],'All Skus'!$A:$AC,2,FALSE))="Martin",(VLOOKUP(Table10[[#This Row],[SKU]],'All Skus'!$A:$AC,22,FALSE)),""))</f>
        <v>0</v>
      </c>
      <c r="S699" s="223" t="str">
        <f>(IF((VLOOKUP(Table10[[#This Row],[SKU]],'All Skus'!$A:$AC,2,FALSE))="Martin",(VLOOKUP(Table10[[#This Row],[SKU]],'All Skus'!$A:$AC,23,FALSE)),""))</f>
        <v>Non Compliant</v>
      </c>
      <c r="T699" s="212" t="str">
        <f>HYPERLINK((IF((VLOOKUP(Table10[[#This Row],[SKU]],'All Skus'!$A:$AC,2,FALSE))="Martin",(VLOOKUP(Table10[[#This Row],[SKU]],'All Skus'!$A:$AC,24,FALSE)),"")))</f>
        <v>http://www.martin.com/en-us/product-details/vc-dot-4</v>
      </c>
      <c r="U699" s="228">
        <v>697</v>
      </c>
    </row>
    <row r="700" spans="1:21" hidden="1">
      <c r="A700" s="112">
        <v>91611390</v>
      </c>
      <c r="B700" s="224" t="str">
        <f>(IF((VLOOKUP(Table10[[#This Row],[SKU]],'All Skus'!$A:$AC,2,FALSE))="Martin",(VLOOKUP(Table10[[#This Row],[SKU]],'All Skus'!$A:$AC,3,FALSE)),""))</f>
        <v>Linear</v>
      </c>
      <c r="C700" s="223" t="str">
        <f>(IF((VLOOKUP(Table10[[#This Row],[SKU]],'All Skus'!$A:$AC,2,FALSE))="Martin",(VLOOKUP(Table10[[#This Row],[SKU]],'All Skus'!$A:$AC,4,FALSE)),""))</f>
        <v>VC-Dot 4 Aluminium Mounting Profile Grey 2m</v>
      </c>
      <c r="D700" s="224" t="str">
        <f>(IF((VLOOKUP(Table10[[#This Row],[SKU]],'All Skus'!$A:$AC,2,FALSE))="Martin",(VLOOKUP(Table10[[#This Row],[SKU]],'All Skus'!$A:$AC,5,FALSE)),""))</f>
        <v>MAR-VC</v>
      </c>
      <c r="E700" s="223">
        <f>(IF((VLOOKUP(Table10[[#This Row],[SKU]],'All Skus'!$A:$AC,2,FALSE))="Martin",(VLOOKUP(Table10[[#This Row],[SKU]],'All Skus'!$A:$AC,6,FALSE)),""))</f>
        <v>0</v>
      </c>
      <c r="F700" s="155">
        <f>(IF((VLOOKUP(Table10[[#This Row],[SKU]],'All Skus'!$A:$AC,2,FALSE))="Martin",(VLOOKUP(Table10[[#This Row],[SKU]],'All Skus'!$A:$AC,7,FALSE)),""))</f>
        <v>0</v>
      </c>
      <c r="G700" s="223" t="str">
        <f>(IF((VLOOKUP(Table10[[#This Row],[SKU]],'All Skus'!$A:$AC,2,FALSE))="Martin",(VLOOKUP(Table10[[#This Row],[SKU]],'All Skus'!$A:$AC,8,FALSE)),""))</f>
        <v>VC-Dot 4 Aluminium Mounting Profile Grey 2m</v>
      </c>
      <c r="H700" s="223" t="str">
        <f>(IF((VLOOKUP(Table10[[#This Row],[SKU]],'All Skus'!$A:$AC,2,FALSE))="Martin",(VLOOKUP(Table10[[#This Row],[SKU]],'All Skus'!$A:$AC,9,FALSE)),""))</f>
        <v>VC-Dot 4 Aluminium Mounting Profile Grey 2m</v>
      </c>
      <c r="I700" s="225">
        <f>(IF((VLOOKUP(Table10[[#This Row],[SKU]],'All Skus'!$A:$AC,2,FALSE))="Martin",(VLOOKUP(Table10[[#This Row],[SKU]],'All Skus'!$A:$AC,10,FALSE)),""))</f>
        <v>43.22</v>
      </c>
      <c r="J700" s="226">
        <f>(IF((VLOOKUP(Table10[[#This Row],[SKU]],'All Skus'!$A:$AC,2,FALSE))="Martin",(VLOOKUP(Table10[[#This Row],[SKU]],'All Skus'!$A:$AC,11,FALSE)),""))</f>
        <v>43.22</v>
      </c>
      <c r="K700" s="224">
        <f>(IF((VLOOKUP(Table10[[#This Row],[SKU]],'All Skus'!$A:$AC,2,FALSE))="Martin",(VLOOKUP(Table10[[#This Row],[SKU]],'All Skus'!$A:$AC,15,FALSE)),""))</f>
        <v>0</v>
      </c>
      <c r="L700" s="224">
        <f>(IF((VLOOKUP(Table10[[#This Row],[SKU]],'All Skus'!$A:$AC,2,FALSE))="Martin",(VLOOKUP(Table10[[#This Row],[SKU]],'All Skus'!$A:$AC,16,FALSE)),""))</f>
        <v>5706681218301</v>
      </c>
      <c r="M700" s="224">
        <f>(IF((VLOOKUP(Table10[[#This Row],[SKU]],'All Skus'!$A:$AC,2,FALSE))="Martin",(VLOOKUP(Table10[[#This Row],[SKU]],'All Skus'!$A:$AC,17,FALSE)),""))</f>
        <v>0</v>
      </c>
      <c r="N700" s="227">
        <f>(IF((VLOOKUP(Table10[[#This Row],[SKU]],'All Skus'!$A:$AC,2,FALSE))="Martin",(VLOOKUP(Table10[[#This Row],[SKU]],'All Skus'!$A:$AC,18,FALSE)),""))</f>
        <v>0</v>
      </c>
      <c r="O700" s="227">
        <f>(IF((VLOOKUP(Table10[[#This Row],[SKU]],'All Skus'!$A:$AC,2,FALSE))="Martin",(VLOOKUP(Table10[[#This Row],[SKU]],'All Skus'!$A:$AC,19,FALSE)),""))</f>
        <v>0</v>
      </c>
      <c r="P700" s="227">
        <f>(IF((VLOOKUP(Table10[[#This Row],[SKU]],'All Skus'!$A:$AC,2,FALSE))="Martin",(VLOOKUP(Table10[[#This Row],[SKU]],'All Skus'!$A:$AC,20,FALSE)),""))</f>
        <v>0</v>
      </c>
      <c r="Q700" s="227">
        <f>(IF((VLOOKUP(Table10[[#This Row],[SKU]],'All Skus'!$A:$AC,2,FALSE))="Martin",(VLOOKUP(Table10[[#This Row],[SKU]],'All Skus'!$A:$AC,21,FALSE)),""))</f>
        <v>0</v>
      </c>
      <c r="R700" s="224">
        <f>(IF((VLOOKUP(Table10[[#This Row],[SKU]],'All Skus'!$A:$AC,2,FALSE))="Martin",(VLOOKUP(Table10[[#This Row],[SKU]],'All Skus'!$A:$AC,22,FALSE)),""))</f>
        <v>0</v>
      </c>
      <c r="S700" s="223" t="str">
        <f>(IF((VLOOKUP(Table10[[#This Row],[SKU]],'All Skus'!$A:$AC,2,FALSE))="Martin",(VLOOKUP(Table10[[#This Row],[SKU]],'All Skus'!$A:$AC,23,FALSE)),""))</f>
        <v>Non Compliant</v>
      </c>
      <c r="T700" s="212" t="str">
        <f>HYPERLINK((IF((VLOOKUP(Table10[[#This Row],[SKU]],'All Skus'!$A:$AC,2,FALSE))="Martin",(VLOOKUP(Table10[[#This Row],[SKU]],'All Skus'!$A:$AC,24,FALSE)),"")))</f>
        <v>http://www.martin.com/en-us/product-details/vc-dot-4</v>
      </c>
      <c r="U700" s="228">
        <v>698</v>
      </c>
    </row>
    <row r="701" spans="1:21" hidden="1">
      <c r="A701" s="112">
        <v>91611391</v>
      </c>
      <c r="B701" s="224" t="str">
        <f>(IF((VLOOKUP(Table10[[#This Row],[SKU]],'All Skus'!$A:$AC,2,FALSE))="Martin",(VLOOKUP(Table10[[#This Row],[SKU]],'All Skus'!$A:$AC,3,FALSE)),""))</f>
        <v>Linear</v>
      </c>
      <c r="C701" s="223" t="str">
        <f>(IF((VLOOKUP(Table10[[#This Row],[SKU]],'All Skus'!$A:$AC,2,FALSE))="Martin",(VLOOKUP(Table10[[#This Row],[SKU]],'All Skus'!$A:$AC,4,FALSE)),""))</f>
        <v>VC-Dot 4 Aluminium Profile Cover Grey 2m</v>
      </c>
      <c r="D701" s="224" t="str">
        <f>(IF((VLOOKUP(Table10[[#This Row],[SKU]],'All Skus'!$A:$AC,2,FALSE))="Martin",(VLOOKUP(Table10[[#This Row],[SKU]],'All Skus'!$A:$AC,5,FALSE)),""))</f>
        <v>MAR-VC</v>
      </c>
      <c r="E701" s="223">
        <f>(IF((VLOOKUP(Table10[[#This Row],[SKU]],'All Skus'!$A:$AC,2,FALSE))="Martin",(VLOOKUP(Table10[[#This Row],[SKU]],'All Skus'!$A:$AC,6,FALSE)),""))</f>
        <v>0</v>
      </c>
      <c r="F701" s="155">
        <f>(IF((VLOOKUP(Table10[[#This Row],[SKU]],'All Skus'!$A:$AC,2,FALSE))="Martin",(VLOOKUP(Table10[[#This Row],[SKU]],'All Skus'!$A:$AC,7,FALSE)),""))</f>
        <v>0</v>
      </c>
      <c r="G701" s="223" t="str">
        <f>(IF((VLOOKUP(Table10[[#This Row],[SKU]],'All Skus'!$A:$AC,2,FALSE))="Martin",(VLOOKUP(Table10[[#This Row],[SKU]],'All Skus'!$A:$AC,8,FALSE)),""))</f>
        <v>VC-Dot 4 Aluminium Profile Cover Grey 2m</v>
      </c>
      <c r="H701" s="223" t="str">
        <f>(IF((VLOOKUP(Table10[[#This Row],[SKU]],'All Skus'!$A:$AC,2,FALSE))="Martin",(VLOOKUP(Table10[[#This Row],[SKU]],'All Skus'!$A:$AC,9,FALSE)),""))</f>
        <v>VC-Dot 4 Aluminium Profile Cover Grey 2m</v>
      </c>
      <c r="I701" s="225">
        <f>(IF((VLOOKUP(Table10[[#This Row],[SKU]],'All Skus'!$A:$AC,2,FALSE))="Martin",(VLOOKUP(Table10[[#This Row],[SKU]],'All Skus'!$A:$AC,10,FALSE)),""))</f>
        <v>19.760000000000002</v>
      </c>
      <c r="J701" s="226">
        <f>(IF((VLOOKUP(Table10[[#This Row],[SKU]],'All Skus'!$A:$AC,2,FALSE))="Martin",(VLOOKUP(Table10[[#This Row],[SKU]],'All Skus'!$A:$AC,11,FALSE)),""))</f>
        <v>19.760000000000002</v>
      </c>
      <c r="K701" s="224">
        <f>(IF((VLOOKUP(Table10[[#This Row],[SKU]],'All Skus'!$A:$AC,2,FALSE))="Martin",(VLOOKUP(Table10[[#This Row],[SKU]],'All Skus'!$A:$AC,15,FALSE)),""))</f>
        <v>0</v>
      </c>
      <c r="L701" s="224">
        <f>(IF((VLOOKUP(Table10[[#This Row],[SKU]],'All Skus'!$A:$AC,2,FALSE))="Martin",(VLOOKUP(Table10[[#This Row],[SKU]],'All Skus'!$A:$AC,16,FALSE)),""))</f>
        <v>5706681218318</v>
      </c>
      <c r="M701" s="224">
        <f>(IF((VLOOKUP(Table10[[#This Row],[SKU]],'All Skus'!$A:$AC,2,FALSE))="Martin",(VLOOKUP(Table10[[#This Row],[SKU]],'All Skus'!$A:$AC,17,FALSE)),""))</f>
        <v>0</v>
      </c>
      <c r="N701" s="227">
        <f>(IF((VLOOKUP(Table10[[#This Row],[SKU]],'All Skus'!$A:$AC,2,FALSE))="Martin",(VLOOKUP(Table10[[#This Row],[SKU]],'All Skus'!$A:$AC,18,FALSE)),""))</f>
        <v>0</v>
      </c>
      <c r="O701" s="227">
        <f>(IF((VLOOKUP(Table10[[#This Row],[SKU]],'All Skus'!$A:$AC,2,FALSE))="Martin",(VLOOKUP(Table10[[#This Row],[SKU]],'All Skus'!$A:$AC,19,FALSE)),""))</f>
        <v>0</v>
      </c>
      <c r="P701" s="227">
        <f>(IF((VLOOKUP(Table10[[#This Row],[SKU]],'All Skus'!$A:$AC,2,FALSE))="Martin",(VLOOKUP(Table10[[#This Row],[SKU]],'All Skus'!$A:$AC,20,FALSE)),""))</f>
        <v>0</v>
      </c>
      <c r="Q701" s="227">
        <f>(IF((VLOOKUP(Table10[[#This Row],[SKU]],'All Skus'!$A:$AC,2,FALSE))="Martin",(VLOOKUP(Table10[[#This Row],[SKU]],'All Skus'!$A:$AC,21,FALSE)),""))</f>
        <v>0</v>
      </c>
      <c r="R701" s="224">
        <f>(IF((VLOOKUP(Table10[[#This Row],[SKU]],'All Skus'!$A:$AC,2,FALSE))="Martin",(VLOOKUP(Table10[[#This Row],[SKU]],'All Skus'!$A:$AC,22,FALSE)),""))</f>
        <v>0</v>
      </c>
      <c r="S701" s="223" t="str">
        <f>(IF((VLOOKUP(Table10[[#This Row],[SKU]],'All Skus'!$A:$AC,2,FALSE))="Martin",(VLOOKUP(Table10[[#This Row],[SKU]],'All Skus'!$A:$AC,23,FALSE)),""))</f>
        <v>Non Compliant</v>
      </c>
      <c r="T701" s="212" t="str">
        <f>HYPERLINK((IF((VLOOKUP(Table10[[#This Row],[SKU]],'All Skus'!$A:$AC,2,FALSE))="Martin",(VLOOKUP(Table10[[#This Row],[SKU]],'All Skus'!$A:$AC,24,FALSE)),"")))</f>
        <v>http://www.martin.com/en-us/product-details/vc-dot-4</v>
      </c>
      <c r="U701" s="228">
        <v>699</v>
      </c>
    </row>
    <row r="702" spans="1:21" hidden="1">
      <c r="A702" s="112">
        <v>91611392</v>
      </c>
      <c r="B702" s="224" t="str">
        <f>(IF((VLOOKUP(Table10[[#This Row],[SKU]],'All Skus'!$A:$AC,2,FALSE))="Martin",(VLOOKUP(Table10[[#This Row],[SKU]],'All Skus'!$A:$AC,3,FALSE)),""))</f>
        <v>Linear</v>
      </c>
      <c r="C702" s="223" t="str">
        <f>(IF((VLOOKUP(Table10[[#This Row],[SKU]],'All Skus'!$A:$AC,2,FALSE))="Martin",(VLOOKUP(Table10[[#This Row],[SKU]],'All Skus'!$A:$AC,4,FALSE)),""))</f>
        <v>Set of 10 VC-Dot 4 Alu Profile Endcaps Grey</v>
      </c>
      <c r="D702" s="224" t="str">
        <f>(IF((VLOOKUP(Table10[[#This Row],[SKU]],'All Skus'!$A:$AC,2,FALSE))="Martin",(VLOOKUP(Table10[[#This Row],[SKU]],'All Skus'!$A:$AC,5,FALSE)),""))</f>
        <v>MAR-VC</v>
      </c>
      <c r="E702" s="223">
        <f>(IF((VLOOKUP(Table10[[#This Row],[SKU]],'All Skus'!$A:$AC,2,FALSE))="Martin",(VLOOKUP(Table10[[#This Row],[SKU]],'All Skus'!$A:$AC,6,FALSE)),""))</f>
        <v>0</v>
      </c>
      <c r="F702" s="155">
        <f>(IF((VLOOKUP(Table10[[#This Row],[SKU]],'All Skus'!$A:$AC,2,FALSE))="Martin",(VLOOKUP(Table10[[#This Row],[SKU]],'All Skus'!$A:$AC,7,FALSE)),""))</f>
        <v>0</v>
      </c>
      <c r="G702" s="223" t="str">
        <f>(IF((VLOOKUP(Table10[[#This Row],[SKU]],'All Skus'!$A:$AC,2,FALSE))="Martin",(VLOOKUP(Table10[[#This Row],[SKU]],'All Skus'!$A:$AC,8,FALSE)),""))</f>
        <v>Set of 10 VC-Dot 4 Alu Profile Endcaps Grey</v>
      </c>
      <c r="H702" s="223" t="str">
        <f>(IF((VLOOKUP(Table10[[#This Row],[SKU]],'All Skus'!$A:$AC,2,FALSE))="Martin",(VLOOKUP(Table10[[#This Row],[SKU]],'All Skus'!$A:$AC,9,FALSE)),""))</f>
        <v>Set of 10 VC-Dot 4 Alu Profile Endcaps Grey</v>
      </c>
      <c r="I702" s="225">
        <f>(IF((VLOOKUP(Table10[[#This Row],[SKU]],'All Skus'!$A:$AC,2,FALSE))="Martin",(VLOOKUP(Table10[[#This Row],[SKU]],'All Skus'!$A:$AC,10,FALSE)),""))</f>
        <v>12.35</v>
      </c>
      <c r="J702" s="226">
        <f>(IF((VLOOKUP(Table10[[#This Row],[SKU]],'All Skus'!$A:$AC,2,FALSE))="Martin",(VLOOKUP(Table10[[#This Row],[SKU]],'All Skus'!$A:$AC,11,FALSE)),""))</f>
        <v>12.35</v>
      </c>
      <c r="K702" s="224">
        <f>(IF((VLOOKUP(Table10[[#This Row],[SKU]],'All Skus'!$A:$AC,2,FALSE))="Martin",(VLOOKUP(Table10[[#This Row],[SKU]],'All Skus'!$A:$AC,15,FALSE)),""))</f>
        <v>0</v>
      </c>
      <c r="L702" s="224">
        <f>(IF((VLOOKUP(Table10[[#This Row],[SKU]],'All Skus'!$A:$AC,2,FALSE))="Martin",(VLOOKUP(Table10[[#This Row],[SKU]],'All Skus'!$A:$AC,16,FALSE)),""))</f>
        <v>5706681218325</v>
      </c>
      <c r="M702" s="224">
        <f>(IF((VLOOKUP(Table10[[#This Row],[SKU]],'All Skus'!$A:$AC,2,FALSE))="Martin",(VLOOKUP(Table10[[#This Row],[SKU]],'All Skus'!$A:$AC,17,FALSE)),""))</f>
        <v>0</v>
      </c>
      <c r="N702" s="227">
        <f>(IF((VLOOKUP(Table10[[#This Row],[SKU]],'All Skus'!$A:$AC,2,FALSE))="Martin",(VLOOKUP(Table10[[#This Row],[SKU]],'All Skus'!$A:$AC,18,FALSE)),""))</f>
        <v>0</v>
      </c>
      <c r="O702" s="227">
        <f>(IF((VLOOKUP(Table10[[#This Row],[SKU]],'All Skus'!$A:$AC,2,FALSE))="Martin",(VLOOKUP(Table10[[#This Row],[SKU]],'All Skus'!$A:$AC,19,FALSE)),""))</f>
        <v>0</v>
      </c>
      <c r="P702" s="227">
        <f>(IF((VLOOKUP(Table10[[#This Row],[SKU]],'All Skus'!$A:$AC,2,FALSE))="Martin",(VLOOKUP(Table10[[#This Row],[SKU]],'All Skus'!$A:$AC,20,FALSE)),""))</f>
        <v>0</v>
      </c>
      <c r="Q702" s="227">
        <f>(IF((VLOOKUP(Table10[[#This Row],[SKU]],'All Skus'!$A:$AC,2,FALSE))="Martin",(VLOOKUP(Table10[[#This Row],[SKU]],'All Skus'!$A:$AC,21,FALSE)),""))</f>
        <v>0</v>
      </c>
      <c r="R702" s="224">
        <f>(IF((VLOOKUP(Table10[[#This Row],[SKU]],'All Skus'!$A:$AC,2,FALSE))="Martin",(VLOOKUP(Table10[[#This Row],[SKU]],'All Skus'!$A:$AC,22,FALSE)),""))</f>
        <v>0</v>
      </c>
      <c r="S702" s="223" t="str">
        <f>(IF((VLOOKUP(Table10[[#This Row],[SKU]],'All Skus'!$A:$AC,2,FALSE))="Martin",(VLOOKUP(Table10[[#This Row],[SKU]],'All Skus'!$A:$AC,23,FALSE)),""))</f>
        <v>Non Compliant</v>
      </c>
      <c r="T702" s="212" t="str">
        <f>HYPERLINK((IF((VLOOKUP(Table10[[#This Row],[SKU]],'All Skus'!$A:$AC,2,FALSE))="Martin",(VLOOKUP(Table10[[#This Row],[SKU]],'All Skus'!$A:$AC,24,FALSE)),"")))</f>
        <v>http://www.martin.com/en-us/product-details/vc-dot-4</v>
      </c>
      <c r="U702" s="228">
        <v>700</v>
      </c>
    </row>
    <row r="703" spans="1:21" hidden="1">
      <c r="A703" s="112">
        <v>91611393</v>
      </c>
      <c r="B703" s="224" t="str">
        <f>(IF((VLOOKUP(Table10[[#This Row],[SKU]],'All Skus'!$A:$AC,2,FALSE))="Martin",(VLOOKUP(Table10[[#This Row],[SKU]],'All Skus'!$A:$AC,3,FALSE)),""))</f>
        <v>Linear</v>
      </c>
      <c r="C703" s="223" t="str">
        <f>(IF((VLOOKUP(Table10[[#This Row],[SKU]],'All Skus'!$A:$AC,2,FALSE))="Martin",(VLOOKUP(Table10[[#This Row],[SKU]],'All Skus'!$A:$AC,4,FALSE)),""))</f>
        <v>Set of 10 VC-Dot 4 Alu Profile CableEntry Endcaps Grey</v>
      </c>
      <c r="D703" s="224" t="str">
        <f>(IF((VLOOKUP(Table10[[#This Row],[SKU]],'All Skus'!$A:$AC,2,FALSE))="Martin",(VLOOKUP(Table10[[#This Row],[SKU]],'All Skus'!$A:$AC,5,FALSE)),""))</f>
        <v>MAR-VC</v>
      </c>
      <c r="E703" s="223">
        <f>(IF((VLOOKUP(Table10[[#This Row],[SKU]],'All Skus'!$A:$AC,2,FALSE))="Martin",(VLOOKUP(Table10[[#This Row],[SKU]],'All Skus'!$A:$AC,6,FALSE)),""))</f>
        <v>0</v>
      </c>
      <c r="F703" s="155">
        <f>(IF((VLOOKUP(Table10[[#This Row],[SKU]],'All Skus'!$A:$AC,2,FALSE))="Martin",(VLOOKUP(Table10[[#This Row],[SKU]],'All Skus'!$A:$AC,7,FALSE)),""))</f>
        <v>0</v>
      </c>
      <c r="G703" s="223" t="str">
        <f>(IF((VLOOKUP(Table10[[#This Row],[SKU]],'All Skus'!$A:$AC,2,FALSE))="Martin",(VLOOKUP(Table10[[#This Row],[SKU]],'All Skus'!$A:$AC,8,FALSE)),""))</f>
        <v>Set of 10 VC-Dot 4 Alu Profile CableEntry Endcaps Grey</v>
      </c>
      <c r="H703" s="223" t="str">
        <f>(IF((VLOOKUP(Table10[[#This Row],[SKU]],'All Skus'!$A:$AC,2,FALSE))="Martin",(VLOOKUP(Table10[[#This Row],[SKU]],'All Skus'!$A:$AC,9,FALSE)),""))</f>
        <v>Set of 10 VC-Dot 4 Alu Profile CableEntry Endcaps Grey</v>
      </c>
      <c r="I703" s="225">
        <f>(IF((VLOOKUP(Table10[[#This Row],[SKU]],'All Skus'!$A:$AC,2,FALSE))="Martin",(VLOOKUP(Table10[[#This Row],[SKU]],'All Skus'!$A:$AC,10,FALSE)),""))</f>
        <v>12.35</v>
      </c>
      <c r="J703" s="226">
        <f>(IF((VLOOKUP(Table10[[#This Row],[SKU]],'All Skus'!$A:$AC,2,FALSE))="Martin",(VLOOKUP(Table10[[#This Row],[SKU]],'All Skus'!$A:$AC,11,FALSE)),""))</f>
        <v>12.35</v>
      </c>
      <c r="K703" s="224">
        <f>(IF((VLOOKUP(Table10[[#This Row],[SKU]],'All Skus'!$A:$AC,2,FALSE))="Martin",(VLOOKUP(Table10[[#This Row],[SKU]],'All Skus'!$A:$AC,15,FALSE)),""))</f>
        <v>0</v>
      </c>
      <c r="L703" s="224">
        <f>(IF((VLOOKUP(Table10[[#This Row],[SKU]],'All Skus'!$A:$AC,2,FALSE))="Martin",(VLOOKUP(Table10[[#This Row],[SKU]],'All Skus'!$A:$AC,16,FALSE)),""))</f>
        <v>5706681218332</v>
      </c>
      <c r="M703" s="224">
        <f>(IF((VLOOKUP(Table10[[#This Row],[SKU]],'All Skus'!$A:$AC,2,FALSE))="Martin",(VLOOKUP(Table10[[#This Row],[SKU]],'All Skus'!$A:$AC,17,FALSE)),""))</f>
        <v>0</v>
      </c>
      <c r="N703" s="227">
        <f>(IF((VLOOKUP(Table10[[#This Row],[SKU]],'All Skus'!$A:$AC,2,FALSE))="Martin",(VLOOKUP(Table10[[#This Row],[SKU]],'All Skus'!$A:$AC,18,FALSE)),""))</f>
        <v>0</v>
      </c>
      <c r="O703" s="227">
        <f>(IF((VLOOKUP(Table10[[#This Row],[SKU]],'All Skus'!$A:$AC,2,FALSE))="Martin",(VLOOKUP(Table10[[#This Row],[SKU]],'All Skus'!$A:$AC,19,FALSE)),""))</f>
        <v>0</v>
      </c>
      <c r="P703" s="227">
        <f>(IF((VLOOKUP(Table10[[#This Row],[SKU]],'All Skus'!$A:$AC,2,FALSE))="Martin",(VLOOKUP(Table10[[#This Row],[SKU]],'All Skus'!$A:$AC,20,FALSE)),""))</f>
        <v>0</v>
      </c>
      <c r="Q703" s="227">
        <f>(IF((VLOOKUP(Table10[[#This Row],[SKU]],'All Skus'!$A:$AC,2,FALSE))="Martin",(VLOOKUP(Table10[[#This Row],[SKU]],'All Skus'!$A:$AC,21,FALSE)),""))</f>
        <v>0</v>
      </c>
      <c r="R703" s="224">
        <f>(IF((VLOOKUP(Table10[[#This Row],[SKU]],'All Skus'!$A:$AC,2,FALSE))="Martin",(VLOOKUP(Table10[[#This Row],[SKU]],'All Skus'!$A:$AC,22,FALSE)),""))</f>
        <v>0</v>
      </c>
      <c r="S703" s="223" t="str">
        <f>(IF((VLOOKUP(Table10[[#This Row],[SKU]],'All Skus'!$A:$AC,2,FALSE))="Martin",(VLOOKUP(Table10[[#This Row],[SKU]],'All Skus'!$A:$AC,23,FALSE)),""))</f>
        <v>Non Compliant</v>
      </c>
      <c r="T703" s="212" t="str">
        <f>HYPERLINK((IF((VLOOKUP(Table10[[#This Row],[SKU]],'All Skus'!$A:$AC,2,FALSE))="Martin",(VLOOKUP(Table10[[#This Row],[SKU]],'All Skus'!$A:$AC,24,FALSE)),"")))</f>
        <v>http://www.martin.com/en-us/product-details/vc-dot-4</v>
      </c>
      <c r="U703" s="228">
        <v>701</v>
      </c>
    </row>
    <row r="704" spans="1:21" hidden="1">
      <c r="A704" s="112">
        <v>91611450</v>
      </c>
      <c r="B704" s="224" t="str">
        <f>(IF((VLOOKUP(Table10[[#This Row],[SKU]],'All Skus'!$A:$AC,2,FALSE))="Martin",(VLOOKUP(Table10[[#This Row],[SKU]],'All Skus'!$A:$AC,3,FALSE)),""))</f>
        <v>Linear</v>
      </c>
      <c r="C704" s="223" t="str">
        <f>(IF((VLOOKUP(Table10[[#This Row],[SKU]],'All Skus'!$A:$AC,2,FALSE))="Martin",(VLOOKUP(Table10[[#This Row],[SKU]],'All Skus'!$A:$AC,4,FALSE)),""))</f>
        <v>VC-Dot 4 Plastic Mounting Profile Black 1.2m</v>
      </c>
      <c r="D704" s="224" t="str">
        <f>(IF((VLOOKUP(Table10[[#This Row],[SKU]],'All Skus'!$A:$AC,2,FALSE))="Martin",(VLOOKUP(Table10[[#This Row],[SKU]],'All Skus'!$A:$AC,5,FALSE)),""))</f>
        <v>MAR-VC</v>
      </c>
      <c r="E704" s="223">
        <f>(IF((VLOOKUP(Table10[[#This Row],[SKU]],'All Skus'!$A:$AC,2,FALSE))="Martin",(VLOOKUP(Table10[[#This Row],[SKU]],'All Skus'!$A:$AC,6,FALSE)),""))</f>
        <v>0</v>
      </c>
      <c r="F704" s="155" t="str">
        <f>(IF((VLOOKUP(Table10[[#This Row],[SKU]],'All Skus'!$A:$AC,2,FALSE))="Martin",(VLOOKUP(Table10[[#This Row],[SKU]],'All Skus'!$A:$AC,7,FALSE)),""))</f>
        <v>EOL soon – very limited availability</v>
      </c>
      <c r="G704" s="223" t="str">
        <f>(IF((VLOOKUP(Table10[[#This Row],[SKU]],'All Skus'!$A:$AC,2,FALSE))="Martin",(VLOOKUP(Table10[[#This Row],[SKU]],'All Skus'!$A:$AC,8,FALSE)),""))</f>
        <v>VC-Dot 4 Plastic Mounting Profile Black 1.2m</v>
      </c>
      <c r="H704" s="223" t="str">
        <f>(IF((VLOOKUP(Table10[[#This Row],[SKU]],'All Skus'!$A:$AC,2,FALSE))="Martin",(VLOOKUP(Table10[[#This Row],[SKU]],'All Skus'!$A:$AC,9,FALSE)),""))</f>
        <v>VC-Dot 4 Plastic Mounting Profile Black 1.2m</v>
      </c>
      <c r="I704" s="225">
        <f>(IF((VLOOKUP(Table10[[#This Row],[SKU]],'All Skus'!$A:$AC,2,FALSE))="Martin",(VLOOKUP(Table10[[#This Row],[SKU]],'All Skus'!$A:$AC,10,FALSE)),""))</f>
        <v>14.82</v>
      </c>
      <c r="J704" s="226">
        <f>(IF((VLOOKUP(Table10[[#This Row],[SKU]],'All Skus'!$A:$AC,2,FALSE))="Martin",(VLOOKUP(Table10[[#This Row],[SKU]],'All Skus'!$A:$AC,11,FALSE)),""))</f>
        <v>14.82</v>
      </c>
      <c r="K704" s="224">
        <f>(IF((VLOOKUP(Table10[[#This Row],[SKU]],'All Skus'!$A:$AC,2,FALSE))="Martin",(VLOOKUP(Table10[[#This Row],[SKU]],'All Skus'!$A:$AC,15,FALSE)),""))</f>
        <v>0</v>
      </c>
      <c r="L704" s="224">
        <f>(IF((VLOOKUP(Table10[[#This Row],[SKU]],'All Skus'!$A:$AC,2,FALSE))="Martin",(VLOOKUP(Table10[[#This Row],[SKU]],'All Skus'!$A:$AC,16,FALSE)),""))</f>
        <v>0</v>
      </c>
      <c r="M704" s="224">
        <f>(IF((VLOOKUP(Table10[[#This Row],[SKU]],'All Skus'!$A:$AC,2,FALSE))="Martin",(VLOOKUP(Table10[[#This Row],[SKU]],'All Skus'!$A:$AC,17,FALSE)),""))</f>
        <v>0</v>
      </c>
      <c r="N704" s="227">
        <f>(IF((VLOOKUP(Table10[[#This Row],[SKU]],'All Skus'!$A:$AC,2,FALSE))="Martin",(VLOOKUP(Table10[[#This Row],[SKU]],'All Skus'!$A:$AC,18,FALSE)),""))</f>
        <v>0</v>
      </c>
      <c r="O704" s="227">
        <f>(IF((VLOOKUP(Table10[[#This Row],[SKU]],'All Skus'!$A:$AC,2,FALSE))="Martin",(VLOOKUP(Table10[[#This Row],[SKU]],'All Skus'!$A:$AC,19,FALSE)),""))</f>
        <v>0</v>
      </c>
      <c r="P704" s="227">
        <f>(IF((VLOOKUP(Table10[[#This Row],[SKU]],'All Skus'!$A:$AC,2,FALSE))="Martin",(VLOOKUP(Table10[[#This Row],[SKU]],'All Skus'!$A:$AC,20,FALSE)),""))</f>
        <v>0</v>
      </c>
      <c r="Q704" s="227">
        <f>(IF((VLOOKUP(Table10[[#This Row],[SKU]],'All Skus'!$A:$AC,2,FALSE))="Martin",(VLOOKUP(Table10[[#This Row],[SKU]],'All Skus'!$A:$AC,21,FALSE)),""))</f>
        <v>0</v>
      </c>
      <c r="R704" s="224">
        <f>(IF((VLOOKUP(Table10[[#This Row],[SKU]],'All Skus'!$A:$AC,2,FALSE))="Martin",(VLOOKUP(Table10[[#This Row],[SKU]],'All Skus'!$A:$AC,22,FALSE)),""))</f>
        <v>0</v>
      </c>
      <c r="S704" s="223" t="str">
        <f>(IF((VLOOKUP(Table10[[#This Row],[SKU]],'All Skus'!$A:$AC,2,FALSE))="Martin",(VLOOKUP(Table10[[#This Row],[SKU]],'All Skus'!$A:$AC,23,FALSE)),""))</f>
        <v>Non Compliant</v>
      </c>
      <c r="T704" s="212" t="str">
        <f>HYPERLINK((IF((VLOOKUP(Table10[[#This Row],[SKU]],'All Skus'!$A:$AC,2,FALSE))="Martin",(VLOOKUP(Table10[[#This Row],[SKU]],'All Skus'!$A:$AC,24,FALSE)),"")))</f>
        <v>http://www.martin.com/en-us/product-details/vc-dot-4</v>
      </c>
      <c r="U704" s="228">
        <v>702</v>
      </c>
    </row>
    <row r="705" spans="1:21" hidden="1">
      <c r="A705" s="112">
        <v>91611470</v>
      </c>
      <c r="B705" s="224" t="str">
        <f>(IF((VLOOKUP(Table10[[#This Row],[SKU]],'All Skus'!$A:$AC,2,FALSE))="Martin",(VLOOKUP(Table10[[#This Row],[SKU]],'All Skus'!$A:$AC,3,FALSE)),""))</f>
        <v>Linear</v>
      </c>
      <c r="C705" s="223" t="str">
        <f>(IF((VLOOKUP(Table10[[#This Row],[SKU]],'All Skus'!$A:$AC,2,FALSE))="Martin",(VLOOKUP(Table10[[#This Row],[SKU]],'All Skus'!$A:$AC,4,FALSE)),""))</f>
        <v>VC-Dot 4 Plastic Profile Cover Black 1.2m</v>
      </c>
      <c r="D705" s="224" t="str">
        <f>(IF((VLOOKUP(Table10[[#This Row],[SKU]],'All Skus'!$A:$AC,2,FALSE))="Martin",(VLOOKUP(Table10[[#This Row],[SKU]],'All Skus'!$A:$AC,5,FALSE)),""))</f>
        <v>MAR-VC</v>
      </c>
      <c r="E705" s="223">
        <f>(IF((VLOOKUP(Table10[[#This Row],[SKU]],'All Skus'!$A:$AC,2,FALSE))="Martin",(VLOOKUP(Table10[[#This Row],[SKU]],'All Skus'!$A:$AC,6,FALSE)),""))</f>
        <v>0</v>
      </c>
      <c r="F705" s="155" t="str">
        <f>(IF((VLOOKUP(Table10[[#This Row],[SKU]],'All Skus'!$A:$AC,2,FALSE))="Martin",(VLOOKUP(Table10[[#This Row],[SKU]],'All Skus'!$A:$AC,7,FALSE)),""))</f>
        <v>EOL soon – very limited availability</v>
      </c>
      <c r="G705" s="223" t="str">
        <f>(IF((VLOOKUP(Table10[[#This Row],[SKU]],'All Skus'!$A:$AC,2,FALSE))="Martin",(VLOOKUP(Table10[[#This Row],[SKU]],'All Skus'!$A:$AC,8,FALSE)),""))</f>
        <v>VC-Dot 4 Plastic Profile Cover Black 1.2m</v>
      </c>
      <c r="H705" s="223" t="str">
        <f>(IF((VLOOKUP(Table10[[#This Row],[SKU]],'All Skus'!$A:$AC,2,FALSE))="Martin",(VLOOKUP(Table10[[#This Row],[SKU]],'All Skus'!$A:$AC,9,FALSE)),""))</f>
        <v>VC-Dot 4 Plastic Profile Cover Black 1.2m</v>
      </c>
      <c r="I705" s="225">
        <f>(IF((VLOOKUP(Table10[[#This Row],[SKU]],'All Skus'!$A:$AC,2,FALSE))="Martin",(VLOOKUP(Table10[[#This Row],[SKU]],'All Skus'!$A:$AC,10,FALSE)),""))</f>
        <v>9.8800000000000008</v>
      </c>
      <c r="J705" s="226">
        <f>(IF((VLOOKUP(Table10[[#This Row],[SKU]],'All Skus'!$A:$AC,2,FALSE))="Martin",(VLOOKUP(Table10[[#This Row],[SKU]],'All Skus'!$A:$AC,11,FALSE)),""))</f>
        <v>9.8800000000000008</v>
      </c>
      <c r="K705" s="224">
        <f>(IF((VLOOKUP(Table10[[#This Row],[SKU]],'All Skus'!$A:$AC,2,FALSE))="Martin",(VLOOKUP(Table10[[#This Row],[SKU]],'All Skus'!$A:$AC,15,FALSE)),""))</f>
        <v>0</v>
      </c>
      <c r="L705" s="224">
        <f>(IF((VLOOKUP(Table10[[#This Row],[SKU]],'All Skus'!$A:$AC,2,FALSE))="Martin",(VLOOKUP(Table10[[#This Row],[SKU]],'All Skus'!$A:$AC,16,FALSE)),""))</f>
        <v>0</v>
      </c>
      <c r="M705" s="224">
        <f>(IF((VLOOKUP(Table10[[#This Row],[SKU]],'All Skus'!$A:$AC,2,FALSE))="Martin",(VLOOKUP(Table10[[#This Row],[SKU]],'All Skus'!$A:$AC,17,FALSE)),""))</f>
        <v>0</v>
      </c>
      <c r="N705" s="227">
        <f>(IF((VLOOKUP(Table10[[#This Row],[SKU]],'All Skus'!$A:$AC,2,FALSE))="Martin",(VLOOKUP(Table10[[#This Row],[SKU]],'All Skus'!$A:$AC,18,FALSE)),""))</f>
        <v>0</v>
      </c>
      <c r="O705" s="227">
        <f>(IF((VLOOKUP(Table10[[#This Row],[SKU]],'All Skus'!$A:$AC,2,FALSE))="Martin",(VLOOKUP(Table10[[#This Row],[SKU]],'All Skus'!$A:$AC,19,FALSE)),""))</f>
        <v>0</v>
      </c>
      <c r="P705" s="227">
        <f>(IF((VLOOKUP(Table10[[#This Row],[SKU]],'All Skus'!$A:$AC,2,FALSE))="Martin",(VLOOKUP(Table10[[#This Row],[SKU]],'All Skus'!$A:$AC,20,FALSE)),""))</f>
        <v>0</v>
      </c>
      <c r="Q705" s="227">
        <f>(IF((VLOOKUP(Table10[[#This Row],[SKU]],'All Skus'!$A:$AC,2,FALSE))="Martin",(VLOOKUP(Table10[[#This Row],[SKU]],'All Skus'!$A:$AC,21,FALSE)),""))</f>
        <v>0</v>
      </c>
      <c r="R705" s="224">
        <f>(IF((VLOOKUP(Table10[[#This Row],[SKU]],'All Skus'!$A:$AC,2,FALSE))="Martin",(VLOOKUP(Table10[[#This Row],[SKU]],'All Skus'!$A:$AC,22,FALSE)),""))</f>
        <v>0</v>
      </c>
      <c r="S705" s="223" t="str">
        <f>(IF((VLOOKUP(Table10[[#This Row],[SKU]],'All Skus'!$A:$AC,2,FALSE))="Martin",(VLOOKUP(Table10[[#This Row],[SKU]],'All Skus'!$A:$AC,23,FALSE)),""))</f>
        <v>Non Compliant</v>
      </c>
      <c r="T705" s="212" t="str">
        <f>HYPERLINK((IF((VLOOKUP(Table10[[#This Row],[SKU]],'All Skus'!$A:$AC,2,FALSE))="Martin",(VLOOKUP(Table10[[#This Row],[SKU]],'All Skus'!$A:$AC,24,FALSE)),"")))</f>
        <v>http://www.martin.com/en-us/product-details/vc-dot-4</v>
      </c>
      <c r="U705" s="228">
        <v>703</v>
      </c>
    </row>
    <row r="706" spans="1:21" hidden="1">
      <c r="A706" s="115" t="s">
        <v>2327</v>
      </c>
      <c r="B706" s="224">
        <f>(IF((VLOOKUP(Table10[[#This Row],[SKU]],'All Skus'!$A:$AC,2,FALSE))="Martin",(VLOOKUP(Table10[[#This Row],[SKU]],'All Skus'!$A:$AC,3,FALSE)),""))</f>
        <v>0</v>
      </c>
      <c r="C706" s="223">
        <f>(IF((VLOOKUP(Table10[[#This Row],[SKU]],'All Skus'!$A:$AC,2,FALSE))="Martin",(VLOOKUP(Table10[[#This Row],[SKU]],'All Skus'!$A:$AC,4,FALSE)),""))</f>
        <v>0</v>
      </c>
      <c r="D706" s="224">
        <f>(IF((VLOOKUP(Table10[[#This Row],[SKU]],'All Skus'!$A:$AC,2,FALSE))="Martin",(VLOOKUP(Table10[[#This Row],[SKU]],'All Skus'!$A:$AC,5,FALSE)),""))</f>
        <v>0</v>
      </c>
      <c r="E706" s="223">
        <f>(IF((VLOOKUP(Table10[[#This Row],[SKU]],'All Skus'!$A:$AC,2,FALSE))="Martin",(VLOOKUP(Table10[[#This Row],[SKU]],'All Skus'!$A:$AC,6,FALSE)),""))</f>
        <v>0</v>
      </c>
      <c r="F706" s="155">
        <f>(IF((VLOOKUP(Table10[[#This Row],[SKU]],'All Skus'!$A:$AC,2,FALSE))="Martin",(VLOOKUP(Table10[[#This Row],[SKU]],'All Skus'!$A:$AC,7,FALSE)),""))</f>
        <v>0</v>
      </c>
      <c r="G706" s="223">
        <f>(IF((VLOOKUP(Table10[[#This Row],[SKU]],'All Skus'!$A:$AC,2,FALSE))="Martin",(VLOOKUP(Table10[[#This Row],[SKU]],'All Skus'!$A:$AC,8,FALSE)),""))</f>
        <v>0</v>
      </c>
      <c r="H706" s="223">
        <f>(IF((VLOOKUP(Table10[[#This Row],[SKU]],'All Skus'!$A:$AC,2,FALSE))="Martin",(VLOOKUP(Table10[[#This Row],[SKU]],'All Skus'!$A:$AC,9,FALSE)),""))</f>
        <v>0</v>
      </c>
      <c r="I706" s="225">
        <f>(IF((VLOOKUP(Table10[[#This Row],[SKU]],'All Skus'!$A:$AC,2,FALSE))="Martin",(VLOOKUP(Table10[[#This Row],[SKU]],'All Skus'!$A:$AC,10,FALSE)),""))</f>
        <v>0</v>
      </c>
      <c r="J706" s="226">
        <f>(IF((VLOOKUP(Table10[[#This Row],[SKU]],'All Skus'!$A:$AC,2,FALSE))="Martin",(VLOOKUP(Table10[[#This Row],[SKU]],'All Skus'!$A:$AC,11,FALSE)),""))</f>
        <v>0</v>
      </c>
      <c r="K706" s="224">
        <f>(IF((VLOOKUP(Table10[[#This Row],[SKU]],'All Skus'!$A:$AC,2,FALSE))="Martin",(VLOOKUP(Table10[[#This Row],[SKU]],'All Skus'!$A:$AC,15,FALSE)),""))</f>
        <v>0</v>
      </c>
      <c r="L706" s="224">
        <f>(IF((VLOOKUP(Table10[[#This Row],[SKU]],'All Skus'!$A:$AC,2,FALSE))="Martin",(VLOOKUP(Table10[[#This Row],[SKU]],'All Skus'!$A:$AC,16,FALSE)),""))</f>
        <v>0</v>
      </c>
      <c r="M706" s="224">
        <f>(IF((VLOOKUP(Table10[[#This Row],[SKU]],'All Skus'!$A:$AC,2,FALSE))="Martin",(VLOOKUP(Table10[[#This Row],[SKU]],'All Skus'!$A:$AC,17,FALSE)),""))</f>
        <v>0</v>
      </c>
      <c r="N706" s="227">
        <f>(IF((VLOOKUP(Table10[[#This Row],[SKU]],'All Skus'!$A:$AC,2,FALSE))="Martin",(VLOOKUP(Table10[[#This Row],[SKU]],'All Skus'!$A:$AC,18,FALSE)),""))</f>
        <v>0</v>
      </c>
      <c r="O706" s="227">
        <f>(IF((VLOOKUP(Table10[[#This Row],[SKU]],'All Skus'!$A:$AC,2,FALSE))="Martin",(VLOOKUP(Table10[[#This Row],[SKU]],'All Skus'!$A:$AC,19,FALSE)),""))</f>
        <v>0</v>
      </c>
      <c r="P706" s="227">
        <f>(IF((VLOOKUP(Table10[[#This Row],[SKU]],'All Skus'!$A:$AC,2,FALSE))="Martin",(VLOOKUP(Table10[[#This Row],[SKU]],'All Skus'!$A:$AC,20,FALSE)),""))</f>
        <v>0</v>
      </c>
      <c r="Q706" s="227">
        <f>(IF((VLOOKUP(Table10[[#This Row],[SKU]],'All Skus'!$A:$AC,2,FALSE))="Martin",(VLOOKUP(Table10[[#This Row],[SKU]],'All Skus'!$A:$AC,21,FALSE)),""))</f>
        <v>0</v>
      </c>
      <c r="R706" s="224">
        <f>(IF((VLOOKUP(Table10[[#This Row],[SKU]],'All Skus'!$A:$AC,2,FALSE))="Martin",(VLOOKUP(Table10[[#This Row],[SKU]],'All Skus'!$A:$AC,22,FALSE)),""))</f>
        <v>0</v>
      </c>
      <c r="S706" s="223">
        <f>(IF((VLOOKUP(Table10[[#This Row],[SKU]],'All Skus'!$A:$AC,2,FALSE))="Martin",(VLOOKUP(Table10[[#This Row],[SKU]],'All Skus'!$A:$AC,23,FALSE)),""))</f>
        <v>0</v>
      </c>
      <c r="T706" s="212" t="str">
        <f>HYPERLINK((IF((VLOOKUP(Table10[[#This Row],[SKU]],'All Skus'!$A:$AC,2,FALSE))="Martin",(VLOOKUP(Table10[[#This Row],[SKU]],'All Skus'!$A:$AC,24,FALSE)),"")))</f>
        <v/>
      </c>
      <c r="U706" s="228">
        <v>704</v>
      </c>
    </row>
    <row r="707" spans="1:21" hidden="1">
      <c r="A707" s="112">
        <v>90357200</v>
      </c>
      <c r="B707" s="224" t="str">
        <f>(IF((VLOOKUP(Table10[[#This Row],[SKU]],'All Skus'!$A:$AC,2,FALSE))="Martin",(VLOOKUP(Table10[[#This Row],[SKU]],'All Skus'!$A:$AC,3,FALSE)),""))</f>
        <v>Linear</v>
      </c>
      <c r="C707" s="223" t="str">
        <f>(IF((VLOOKUP(Table10[[#This Row],[SKU]],'All Skus'!$A:$AC,2,FALSE))="Martin",(VLOOKUP(Table10[[#This Row],[SKU]],'All Skus'!$A:$AC,4,FALSE)),""))</f>
        <v>Set of 10 VC-Dot 9 Diffuser Domes</v>
      </c>
      <c r="D707" s="224" t="str">
        <f>(IF((VLOOKUP(Table10[[#This Row],[SKU]],'All Skus'!$A:$AC,2,FALSE))="Martin",(VLOOKUP(Table10[[#This Row],[SKU]],'All Skus'!$A:$AC,5,FALSE)),""))</f>
        <v>MAR-VC</v>
      </c>
      <c r="E707" s="223">
        <f>(IF((VLOOKUP(Table10[[#This Row],[SKU]],'All Skus'!$A:$AC,2,FALSE))="Martin",(VLOOKUP(Table10[[#This Row],[SKU]],'All Skus'!$A:$AC,6,FALSE)),""))</f>
        <v>0</v>
      </c>
      <c r="F707" s="155">
        <f>(IF((VLOOKUP(Table10[[#This Row],[SKU]],'All Skus'!$A:$AC,2,FALSE))="Martin",(VLOOKUP(Table10[[#This Row],[SKU]],'All Skus'!$A:$AC,7,FALSE)),""))</f>
        <v>0</v>
      </c>
      <c r="G707" s="223" t="str">
        <f>(IF((VLOOKUP(Table10[[#This Row],[SKU]],'All Skus'!$A:$AC,2,FALSE))="Martin",(VLOOKUP(Table10[[#This Row],[SKU]],'All Skus'!$A:$AC,8,FALSE)),""))</f>
        <v>Set of 10 VC-Dot 9 Diffuser Domes</v>
      </c>
      <c r="H707" s="223" t="str">
        <f>(IF((VLOOKUP(Table10[[#This Row],[SKU]],'All Skus'!$A:$AC,2,FALSE))="Martin",(VLOOKUP(Table10[[#This Row],[SKU]],'All Skus'!$A:$AC,9,FALSE)),""))</f>
        <v>Set of 10 VC-Dot 9 Diffuser Domes</v>
      </c>
      <c r="I707" s="225">
        <f>(IF((VLOOKUP(Table10[[#This Row],[SKU]],'All Skus'!$A:$AC,2,FALSE))="Martin",(VLOOKUP(Table10[[#This Row],[SKU]],'All Skus'!$A:$AC,10,FALSE)),""))</f>
        <v>18.52</v>
      </c>
      <c r="J707" s="226">
        <f>(IF((VLOOKUP(Table10[[#This Row],[SKU]],'All Skus'!$A:$AC,2,FALSE))="Martin",(VLOOKUP(Table10[[#This Row],[SKU]],'All Skus'!$A:$AC,11,FALSE)),""))</f>
        <v>18.52</v>
      </c>
      <c r="K707" s="224">
        <f>(IF((VLOOKUP(Table10[[#This Row],[SKU]],'All Skus'!$A:$AC,2,FALSE))="Martin",(VLOOKUP(Table10[[#This Row],[SKU]],'All Skus'!$A:$AC,15,FALSE)),""))</f>
        <v>0</v>
      </c>
      <c r="L707" s="224">
        <f>(IF((VLOOKUP(Table10[[#This Row],[SKU]],'All Skus'!$A:$AC,2,FALSE))="Martin",(VLOOKUP(Table10[[#This Row],[SKU]],'All Skus'!$A:$AC,16,FALSE)),""))</f>
        <v>5706681211333</v>
      </c>
      <c r="M707" s="224">
        <f>(IF((VLOOKUP(Table10[[#This Row],[SKU]],'All Skus'!$A:$AC,2,FALSE))="Martin",(VLOOKUP(Table10[[#This Row],[SKU]],'All Skus'!$A:$AC,17,FALSE)),""))</f>
        <v>0</v>
      </c>
      <c r="N707" s="227">
        <f>(IF((VLOOKUP(Table10[[#This Row],[SKU]],'All Skus'!$A:$AC,2,FALSE))="Martin",(VLOOKUP(Table10[[#This Row],[SKU]],'All Skus'!$A:$AC,18,FALSE)),""))</f>
        <v>0</v>
      </c>
      <c r="O707" s="227">
        <f>(IF((VLOOKUP(Table10[[#This Row],[SKU]],'All Skus'!$A:$AC,2,FALSE))="Martin",(VLOOKUP(Table10[[#This Row],[SKU]],'All Skus'!$A:$AC,19,FALSE)),""))</f>
        <v>0</v>
      </c>
      <c r="P707" s="227">
        <f>(IF((VLOOKUP(Table10[[#This Row],[SKU]],'All Skus'!$A:$AC,2,FALSE))="Martin",(VLOOKUP(Table10[[#This Row],[SKU]],'All Skus'!$A:$AC,20,FALSE)),""))</f>
        <v>0</v>
      </c>
      <c r="Q707" s="227">
        <f>(IF((VLOOKUP(Table10[[#This Row],[SKU]],'All Skus'!$A:$AC,2,FALSE))="Martin",(VLOOKUP(Table10[[#This Row],[SKU]],'All Skus'!$A:$AC,21,FALSE)),""))</f>
        <v>0</v>
      </c>
      <c r="R707" s="224" t="str">
        <f>(IF((VLOOKUP(Table10[[#This Row],[SKU]],'All Skus'!$A:$AC,2,FALSE))="Martin",(VLOOKUP(Table10[[#This Row],[SKU]],'All Skus'!$A:$AC,22,FALSE)),""))</f>
        <v>TW</v>
      </c>
      <c r="S707" s="223" t="str">
        <f>(IF((VLOOKUP(Table10[[#This Row],[SKU]],'All Skus'!$A:$AC,2,FALSE))="Martin",(VLOOKUP(Table10[[#This Row],[SKU]],'All Skus'!$A:$AC,23,FALSE)),""))</f>
        <v>Non Compliant</v>
      </c>
      <c r="T707" s="212" t="str">
        <f>HYPERLINK((IF((VLOOKUP(Table10[[#This Row],[SKU]],'All Skus'!$A:$AC,2,FALSE))="Martin",(VLOOKUP(Table10[[#This Row],[SKU]],'All Skus'!$A:$AC,24,FALSE)),"")))</f>
        <v>http://www.martin.com/en-us/product-details/vc-dot-9</v>
      </c>
      <c r="U707" s="228">
        <v>705</v>
      </c>
    </row>
    <row r="708" spans="1:21" hidden="1">
      <c r="A708" s="112">
        <v>91610108</v>
      </c>
      <c r="B708" s="224">
        <f>(IF((VLOOKUP(Table10[[#This Row],[SKU]],'All Skus'!$A:$AC,2,FALSE))="Martin",(VLOOKUP(Table10[[#This Row],[SKU]],'All Skus'!$A:$AC,3,FALSE)),""))</f>
        <v>0</v>
      </c>
      <c r="C708" s="223" t="str">
        <f>(IF((VLOOKUP(Table10[[#This Row],[SKU]],'All Skus'!$A:$AC,2,FALSE))="Martin",(VLOOKUP(Table10[[#This Row],[SKU]],'All Skus'!$A:$AC,4,FALSE)),""))</f>
        <v>Set of 10 VC-Dot 9 Smoked Diffuser Domes</v>
      </c>
      <c r="D708" s="224" t="str">
        <f>(IF((VLOOKUP(Table10[[#This Row],[SKU]],'All Skus'!$A:$AC,2,FALSE))="Martin",(VLOOKUP(Table10[[#This Row],[SKU]],'All Skus'!$A:$AC,5,FALSE)),""))</f>
        <v>MAR-VC</v>
      </c>
      <c r="E708" s="223">
        <f>(IF((VLOOKUP(Table10[[#This Row],[SKU]],'All Skus'!$A:$AC,2,FALSE))="Martin",(VLOOKUP(Table10[[#This Row],[SKU]],'All Skus'!$A:$AC,6,FALSE)),""))</f>
        <v>0</v>
      </c>
      <c r="F708" s="155">
        <f>(IF((VLOOKUP(Table10[[#This Row],[SKU]],'All Skus'!$A:$AC,2,FALSE))="Martin",(VLOOKUP(Table10[[#This Row],[SKU]],'All Skus'!$A:$AC,7,FALSE)),""))</f>
        <v>0</v>
      </c>
      <c r="G708" s="223" t="str">
        <f>(IF((VLOOKUP(Table10[[#This Row],[SKU]],'All Skus'!$A:$AC,2,FALSE))="Martin",(VLOOKUP(Table10[[#This Row],[SKU]],'All Skus'!$A:$AC,8,FALSE)),""))</f>
        <v>Set of 10 VC-Dot 9 Smoked Diffuser Domes</v>
      </c>
      <c r="H708" s="223" t="str">
        <f>(IF((VLOOKUP(Table10[[#This Row],[SKU]],'All Skus'!$A:$AC,2,FALSE))="Martin",(VLOOKUP(Table10[[#This Row],[SKU]],'All Skus'!$A:$AC,9,FALSE)),""))</f>
        <v>Set of 10 VC-Dot 9 Smoked Diffuser Domes</v>
      </c>
      <c r="I708" s="225">
        <f>(IF((VLOOKUP(Table10[[#This Row],[SKU]],'All Skus'!$A:$AC,2,FALSE))="Martin",(VLOOKUP(Table10[[#This Row],[SKU]],'All Skus'!$A:$AC,10,FALSE)),""))</f>
        <v>38.28</v>
      </c>
      <c r="J708" s="226">
        <f>(IF((VLOOKUP(Table10[[#This Row],[SKU]],'All Skus'!$A:$AC,2,FALSE))="Martin",(VLOOKUP(Table10[[#This Row],[SKU]],'All Skus'!$A:$AC,11,FALSE)),""))</f>
        <v>38.28</v>
      </c>
      <c r="K708" s="224">
        <f>(IF((VLOOKUP(Table10[[#This Row],[SKU]],'All Skus'!$A:$AC,2,FALSE))="Martin",(VLOOKUP(Table10[[#This Row],[SKU]],'All Skus'!$A:$AC,15,FALSE)),""))</f>
        <v>0</v>
      </c>
      <c r="L708" s="224">
        <f>(IF((VLOOKUP(Table10[[#This Row],[SKU]],'All Skus'!$A:$AC,2,FALSE))="Martin",(VLOOKUP(Table10[[#This Row],[SKU]],'All Skus'!$A:$AC,16,FALSE)),""))</f>
        <v>0</v>
      </c>
      <c r="M708" s="224">
        <f>(IF((VLOOKUP(Table10[[#This Row],[SKU]],'All Skus'!$A:$AC,2,FALSE))="Martin",(VLOOKUP(Table10[[#This Row],[SKU]],'All Skus'!$A:$AC,17,FALSE)),""))</f>
        <v>0</v>
      </c>
      <c r="N708" s="227">
        <f>(IF((VLOOKUP(Table10[[#This Row],[SKU]],'All Skus'!$A:$AC,2,FALSE))="Martin",(VLOOKUP(Table10[[#This Row],[SKU]],'All Skus'!$A:$AC,18,FALSE)),""))</f>
        <v>0</v>
      </c>
      <c r="O708" s="227">
        <f>(IF((VLOOKUP(Table10[[#This Row],[SKU]],'All Skus'!$A:$AC,2,FALSE))="Martin",(VLOOKUP(Table10[[#This Row],[SKU]],'All Skus'!$A:$AC,19,FALSE)),""))</f>
        <v>0</v>
      </c>
      <c r="P708" s="227">
        <f>(IF((VLOOKUP(Table10[[#This Row],[SKU]],'All Skus'!$A:$AC,2,FALSE))="Martin",(VLOOKUP(Table10[[#This Row],[SKU]],'All Skus'!$A:$AC,20,FALSE)),""))</f>
        <v>0</v>
      </c>
      <c r="Q708" s="227">
        <f>(IF((VLOOKUP(Table10[[#This Row],[SKU]],'All Skus'!$A:$AC,2,FALSE))="Martin",(VLOOKUP(Table10[[#This Row],[SKU]],'All Skus'!$A:$AC,21,FALSE)),""))</f>
        <v>0</v>
      </c>
      <c r="R708" s="224">
        <f>(IF((VLOOKUP(Table10[[#This Row],[SKU]],'All Skus'!$A:$AC,2,FALSE))="Martin",(VLOOKUP(Table10[[#This Row],[SKU]],'All Skus'!$A:$AC,22,FALSE)),""))</f>
        <v>0</v>
      </c>
      <c r="S708" s="223">
        <f>(IF((VLOOKUP(Table10[[#This Row],[SKU]],'All Skus'!$A:$AC,2,FALSE))="Martin",(VLOOKUP(Table10[[#This Row],[SKU]],'All Skus'!$A:$AC,23,FALSE)),""))</f>
        <v>0</v>
      </c>
      <c r="T708" s="212" t="str">
        <f>HYPERLINK((IF((VLOOKUP(Table10[[#This Row],[SKU]],'All Skus'!$A:$AC,2,FALSE))="Martin",(VLOOKUP(Table10[[#This Row],[SKU]],'All Skus'!$A:$AC,24,FALSE)),"")))</f>
        <v/>
      </c>
      <c r="U708" s="228">
        <v>706</v>
      </c>
    </row>
    <row r="709" spans="1:21" hidden="1">
      <c r="A709" s="112">
        <v>90357170</v>
      </c>
      <c r="B709" s="224" t="str">
        <f>(IF((VLOOKUP(Table10[[#This Row],[SKU]],'All Skus'!$A:$AC,2,FALSE))="Martin",(VLOOKUP(Table10[[#This Row],[SKU]],'All Skus'!$A:$AC,3,FALSE)),""))</f>
        <v>Linear</v>
      </c>
      <c r="C709" s="223" t="str">
        <f>(IF((VLOOKUP(Table10[[#This Row],[SKU]],'All Skus'!$A:$AC,2,FALSE))="Martin",(VLOOKUP(Table10[[#This Row],[SKU]],'All Skus'!$A:$AC,4,FALSE)),""))</f>
        <v>Set of 10 VC-Dot 9 Mounting Clips</v>
      </c>
      <c r="D709" s="224" t="str">
        <f>(IF((VLOOKUP(Table10[[#This Row],[SKU]],'All Skus'!$A:$AC,2,FALSE))="Martin",(VLOOKUP(Table10[[#This Row],[SKU]],'All Skus'!$A:$AC,5,FALSE)),""))</f>
        <v>MAR-VC</v>
      </c>
      <c r="E709" s="223">
        <f>(IF((VLOOKUP(Table10[[#This Row],[SKU]],'All Skus'!$A:$AC,2,FALSE))="Martin",(VLOOKUP(Table10[[#This Row],[SKU]],'All Skus'!$A:$AC,6,FALSE)),""))</f>
        <v>0</v>
      </c>
      <c r="F709" s="155">
        <f>(IF((VLOOKUP(Table10[[#This Row],[SKU]],'All Skus'!$A:$AC,2,FALSE))="Martin",(VLOOKUP(Table10[[#This Row],[SKU]],'All Skus'!$A:$AC,7,FALSE)),""))</f>
        <v>0</v>
      </c>
      <c r="G709" s="223" t="str">
        <f>(IF((VLOOKUP(Table10[[#This Row],[SKU]],'All Skus'!$A:$AC,2,FALSE))="Martin",(VLOOKUP(Table10[[#This Row],[SKU]],'All Skus'!$A:$AC,8,FALSE)),""))</f>
        <v>Set of 10 VC-Dot 9 Mounting Clips</v>
      </c>
      <c r="H709" s="223" t="str">
        <f>(IF((VLOOKUP(Table10[[#This Row],[SKU]],'All Skus'!$A:$AC,2,FALSE))="Martin",(VLOOKUP(Table10[[#This Row],[SKU]],'All Skus'!$A:$AC,9,FALSE)),""))</f>
        <v>Set of 10 VC-Dot 9 Mounting Clips</v>
      </c>
      <c r="I709" s="225">
        <f>(IF((VLOOKUP(Table10[[#This Row],[SKU]],'All Skus'!$A:$AC,2,FALSE))="Martin",(VLOOKUP(Table10[[#This Row],[SKU]],'All Skus'!$A:$AC,10,FALSE)),""))</f>
        <v>24.7</v>
      </c>
      <c r="J709" s="226">
        <f>(IF((VLOOKUP(Table10[[#This Row],[SKU]],'All Skus'!$A:$AC,2,FALSE))="Martin",(VLOOKUP(Table10[[#This Row],[SKU]],'All Skus'!$A:$AC,11,FALSE)),""))</f>
        <v>24.7</v>
      </c>
      <c r="K709" s="224">
        <f>(IF((VLOOKUP(Table10[[#This Row],[SKU]],'All Skus'!$A:$AC,2,FALSE))="Martin",(VLOOKUP(Table10[[#This Row],[SKU]],'All Skus'!$A:$AC,15,FALSE)),""))</f>
        <v>0</v>
      </c>
      <c r="L709" s="224">
        <f>(IF((VLOOKUP(Table10[[#This Row],[SKU]],'All Skus'!$A:$AC,2,FALSE))="Martin",(VLOOKUP(Table10[[#This Row],[SKU]],'All Skus'!$A:$AC,16,FALSE)),""))</f>
        <v>5706681210824</v>
      </c>
      <c r="M709" s="224">
        <f>(IF((VLOOKUP(Table10[[#This Row],[SKU]],'All Skus'!$A:$AC,2,FALSE))="Martin",(VLOOKUP(Table10[[#This Row],[SKU]],'All Skus'!$A:$AC,17,FALSE)),""))</f>
        <v>0</v>
      </c>
      <c r="N709" s="227">
        <f>(IF((VLOOKUP(Table10[[#This Row],[SKU]],'All Skus'!$A:$AC,2,FALSE))="Martin",(VLOOKUP(Table10[[#This Row],[SKU]],'All Skus'!$A:$AC,18,FALSE)),""))</f>
        <v>0</v>
      </c>
      <c r="O709" s="227">
        <f>(IF((VLOOKUP(Table10[[#This Row],[SKU]],'All Skus'!$A:$AC,2,FALSE))="Martin",(VLOOKUP(Table10[[#This Row],[SKU]],'All Skus'!$A:$AC,19,FALSE)),""))</f>
        <v>0</v>
      </c>
      <c r="P709" s="227">
        <f>(IF((VLOOKUP(Table10[[#This Row],[SKU]],'All Skus'!$A:$AC,2,FALSE))="Martin",(VLOOKUP(Table10[[#This Row],[SKU]],'All Skus'!$A:$AC,20,FALSE)),""))</f>
        <v>0</v>
      </c>
      <c r="Q709" s="227">
        <f>(IF((VLOOKUP(Table10[[#This Row],[SKU]],'All Skus'!$A:$AC,2,FALSE))="Martin",(VLOOKUP(Table10[[#This Row],[SKU]],'All Skus'!$A:$AC,21,FALSE)),""))</f>
        <v>0</v>
      </c>
      <c r="R709" s="224" t="str">
        <f>(IF((VLOOKUP(Table10[[#This Row],[SKU]],'All Skus'!$A:$AC,2,FALSE))="Martin",(VLOOKUP(Table10[[#This Row],[SKU]],'All Skus'!$A:$AC,22,FALSE)),""))</f>
        <v>TW</v>
      </c>
      <c r="S709" s="223" t="str">
        <f>(IF((VLOOKUP(Table10[[#This Row],[SKU]],'All Skus'!$A:$AC,2,FALSE))="Martin",(VLOOKUP(Table10[[#This Row],[SKU]],'All Skus'!$A:$AC,23,FALSE)),""))</f>
        <v>Non Compliant</v>
      </c>
      <c r="T709" s="212" t="str">
        <f>HYPERLINK((IF((VLOOKUP(Table10[[#This Row],[SKU]],'All Skus'!$A:$AC,2,FALSE))="Martin",(VLOOKUP(Table10[[#This Row],[SKU]],'All Skus'!$A:$AC,24,FALSE)),"")))</f>
        <v>http://www.martin.com/en-us/product-details/vc-dot-9</v>
      </c>
      <c r="U709" s="228">
        <v>707</v>
      </c>
    </row>
    <row r="710" spans="1:21" hidden="1">
      <c r="A710" s="90">
        <v>91611303</v>
      </c>
      <c r="B710" s="224">
        <f>(IF((VLOOKUP(Table10[[#This Row],[SKU]],'All Skus'!$A:$AC,2,FALSE))="Martin",(VLOOKUP(Table10[[#This Row],[SKU]],'All Skus'!$A:$AC,3,FALSE)),""))</f>
        <v>0</v>
      </c>
      <c r="C710" s="223" t="str">
        <f>(IF((VLOOKUP(Table10[[#This Row],[SKU]],'All Skus'!$A:$AC,2,FALSE))="Martin",(VLOOKUP(Table10[[#This Row],[SKU]],'All Skus'!$A:$AC,4,FALSE)),""))</f>
        <v>Mounting Bracket, VC-Dot 9</v>
      </c>
      <c r="D710" s="224" t="str">
        <f>(IF((VLOOKUP(Table10[[#This Row],[SKU]],'All Skus'!$A:$AC,2,FALSE))="Martin",(VLOOKUP(Table10[[#This Row],[SKU]],'All Skus'!$A:$AC,5,FALSE)),""))</f>
        <v>MAR-VC</v>
      </c>
      <c r="E710" s="223">
        <f>(IF((VLOOKUP(Table10[[#This Row],[SKU]],'All Skus'!$A:$AC,2,FALSE))="Martin",(VLOOKUP(Table10[[#This Row],[SKU]],'All Skus'!$A:$AC,6,FALSE)),""))</f>
        <v>0</v>
      </c>
      <c r="F710" s="155">
        <f>(IF((VLOOKUP(Table10[[#This Row],[SKU]],'All Skus'!$A:$AC,2,FALSE))="Martin",(VLOOKUP(Table10[[#This Row],[SKU]],'All Skus'!$A:$AC,7,FALSE)),""))</f>
        <v>0</v>
      </c>
      <c r="G710" s="223" t="str">
        <f>(IF((VLOOKUP(Table10[[#This Row],[SKU]],'All Skus'!$A:$AC,2,FALSE))="Martin",(VLOOKUP(Table10[[#This Row],[SKU]],'All Skus'!$A:$AC,8,FALSE)),""))</f>
        <v>Mounting Bracket, VC-Dot 9</v>
      </c>
      <c r="H710" s="223" t="str">
        <f>(IF((VLOOKUP(Table10[[#This Row],[SKU]],'All Skus'!$A:$AC,2,FALSE))="Martin",(VLOOKUP(Table10[[#This Row],[SKU]],'All Skus'!$A:$AC,9,FALSE)),""))</f>
        <v>Mounting Bracket, VC-Dot 9</v>
      </c>
      <c r="I710" s="225">
        <f>(IF((VLOOKUP(Table10[[#This Row],[SKU]],'All Skus'!$A:$AC,2,FALSE))="Martin",(VLOOKUP(Table10[[#This Row],[SKU]],'All Skus'!$A:$AC,10,FALSE)),""))</f>
        <v>8.64</v>
      </c>
      <c r="J710" s="226">
        <f>(IF((VLOOKUP(Table10[[#This Row],[SKU]],'All Skus'!$A:$AC,2,FALSE))="Martin",(VLOOKUP(Table10[[#This Row],[SKU]],'All Skus'!$A:$AC,11,FALSE)),""))</f>
        <v>8.64</v>
      </c>
      <c r="K710" s="224">
        <f>(IF((VLOOKUP(Table10[[#This Row],[SKU]],'All Skus'!$A:$AC,2,FALSE))="Martin",(VLOOKUP(Table10[[#This Row],[SKU]],'All Skus'!$A:$AC,15,FALSE)),""))</f>
        <v>0</v>
      </c>
      <c r="L710" s="224">
        <f>(IF((VLOOKUP(Table10[[#This Row],[SKU]],'All Skus'!$A:$AC,2,FALSE))="Martin",(VLOOKUP(Table10[[#This Row],[SKU]],'All Skus'!$A:$AC,16,FALSE)),""))</f>
        <v>0</v>
      </c>
      <c r="M710" s="224">
        <f>(IF((VLOOKUP(Table10[[#This Row],[SKU]],'All Skus'!$A:$AC,2,FALSE))="Martin",(VLOOKUP(Table10[[#This Row],[SKU]],'All Skus'!$A:$AC,17,FALSE)),""))</f>
        <v>0</v>
      </c>
      <c r="N710" s="227">
        <f>(IF((VLOOKUP(Table10[[#This Row],[SKU]],'All Skus'!$A:$AC,2,FALSE))="Martin",(VLOOKUP(Table10[[#This Row],[SKU]],'All Skus'!$A:$AC,18,FALSE)),""))</f>
        <v>0</v>
      </c>
      <c r="O710" s="227">
        <f>(IF((VLOOKUP(Table10[[#This Row],[SKU]],'All Skus'!$A:$AC,2,FALSE))="Martin",(VLOOKUP(Table10[[#This Row],[SKU]],'All Skus'!$A:$AC,19,FALSE)),""))</f>
        <v>0</v>
      </c>
      <c r="P710" s="227">
        <f>(IF((VLOOKUP(Table10[[#This Row],[SKU]],'All Skus'!$A:$AC,2,FALSE))="Martin",(VLOOKUP(Table10[[#This Row],[SKU]],'All Skus'!$A:$AC,20,FALSE)),""))</f>
        <v>0</v>
      </c>
      <c r="Q710" s="227">
        <f>(IF((VLOOKUP(Table10[[#This Row],[SKU]],'All Skus'!$A:$AC,2,FALSE))="Martin",(VLOOKUP(Table10[[#This Row],[SKU]],'All Skus'!$A:$AC,21,FALSE)),""))</f>
        <v>0</v>
      </c>
      <c r="R710" s="224">
        <f>(IF((VLOOKUP(Table10[[#This Row],[SKU]],'All Skus'!$A:$AC,2,FALSE))="Martin",(VLOOKUP(Table10[[#This Row],[SKU]],'All Skus'!$A:$AC,22,FALSE)),""))</f>
        <v>0</v>
      </c>
      <c r="S710" s="223">
        <f>(IF((VLOOKUP(Table10[[#This Row],[SKU]],'All Skus'!$A:$AC,2,FALSE))="Martin",(VLOOKUP(Table10[[#This Row],[SKU]],'All Skus'!$A:$AC,23,FALSE)),""))</f>
        <v>0</v>
      </c>
      <c r="T710" s="212" t="str">
        <f>HYPERLINK((IF((VLOOKUP(Table10[[#This Row],[SKU]],'All Skus'!$A:$AC,2,FALSE))="Martin",(VLOOKUP(Table10[[#This Row],[SKU]],'All Skus'!$A:$AC,24,FALSE)),"")))</f>
        <v/>
      </c>
      <c r="U710" s="228">
        <v>708</v>
      </c>
    </row>
    <row r="711" spans="1:21" hidden="1">
      <c r="A711" s="112" t="s">
        <v>2328</v>
      </c>
      <c r="B711" s="224">
        <f>(IF((VLOOKUP(Table10[[#This Row],[SKU]],'All Skus'!$A:$AC,2,FALSE))="Martin",(VLOOKUP(Table10[[#This Row],[SKU]],'All Skus'!$A:$AC,3,FALSE)),""))</f>
        <v>0</v>
      </c>
      <c r="C711" s="223" t="str">
        <f>(IF((VLOOKUP(Table10[[#This Row],[SKU]],'All Skus'!$A:$AC,2,FALSE))="Martin",(VLOOKUP(Table10[[#This Row],[SKU]],'All Skus'!$A:$AC,4,FALSE)),""))</f>
        <v>Set of 10 VC-Dot 9 TrussClips</v>
      </c>
      <c r="D711" s="224" t="str">
        <f>(IF((VLOOKUP(Table10[[#This Row],[SKU]],'All Skus'!$A:$AC,2,FALSE))="Martin",(VLOOKUP(Table10[[#This Row],[SKU]],'All Skus'!$A:$AC,5,FALSE)),""))</f>
        <v>MAR-VC</v>
      </c>
      <c r="E711" s="223">
        <f>(IF((VLOOKUP(Table10[[#This Row],[SKU]],'All Skus'!$A:$AC,2,FALSE))="Martin",(VLOOKUP(Table10[[#This Row],[SKU]],'All Skus'!$A:$AC,6,FALSE)),""))</f>
        <v>0</v>
      </c>
      <c r="F711" s="155">
        <f>(IF((VLOOKUP(Table10[[#This Row],[SKU]],'All Skus'!$A:$AC,2,FALSE))="Martin",(VLOOKUP(Table10[[#This Row],[SKU]],'All Skus'!$A:$AC,7,FALSE)),""))</f>
        <v>0</v>
      </c>
      <c r="G711" s="223" t="str">
        <f>(IF((VLOOKUP(Table10[[#This Row],[SKU]],'All Skus'!$A:$AC,2,FALSE))="Martin",(VLOOKUP(Table10[[#This Row],[SKU]],'All Skus'!$A:$AC,8,FALSE)),""))</f>
        <v>Set of 10 VC-Dot 9 TrussClips</v>
      </c>
      <c r="H711" s="223" t="str">
        <f>(IF((VLOOKUP(Table10[[#This Row],[SKU]],'All Skus'!$A:$AC,2,FALSE))="Martin",(VLOOKUP(Table10[[#This Row],[SKU]],'All Skus'!$A:$AC,9,FALSE)),""))</f>
        <v>Set of 10 VC-Dot 9 TrussClips</v>
      </c>
      <c r="I711" s="225">
        <f>(IF((VLOOKUP(Table10[[#This Row],[SKU]],'All Skus'!$A:$AC,2,FALSE))="Martin",(VLOOKUP(Table10[[#This Row],[SKU]],'All Skus'!$A:$AC,10,FALSE)),""))</f>
        <v>64.209999999999994</v>
      </c>
      <c r="J711" s="226">
        <f>(IF((VLOOKUP(Table10[[#This Row],[SKU]],'All Skus'!$A:$AC,2,FALSE))="Martin",(VLOOKUP(Table10[[#This Row],[SKU]],'All Skus'!$A:$AC,11,FALSE)),""))</f>
        <v>64.209999999999994</v>
      </c>
      <c r="K711" s="224">
        <f>(IF((VLOOKUP(Table10[[#This Row],[SKU]],'All Skus'!$A:$AC,2,FALSE))="Martin",(VLOOKUP(Table10[[#This Row],[SKU]],'All Skus'!$A:$AC,15,FALSE)),""))</f>
        <v>0</v>
      </c>
      <c r="L711" s="224">
        <f>(IF((VLOOKUP(Table10[[#This Row],[SKU]],'All Skus'!$A:$AC,2,FALSE))="Martin",(VLOOKUP(Table10[[#This Row],[SKU]],'All Skus'!$A:$AC,16,FALSE)),""))</f>
        <v>5706681234837</v>
      </c>
      <c r="M711" s="224">
        <f>(IF((VLOOKUP(Table10[[#This Row],[SKU]],'All Skus'!$A:$AC,2,FALSE))="Martin",(VLOOKUP(Table10[[#This Row],[SKU]],'All Skus'!$A:$AC,17,FALSE)),""))</f>
        <v>0</v>
      </c>
      <c r="N711" s="227">
        <f>(IF((VLOOKUP(Table10[[#This Row],[SKU]],'All Skus'!$A:$AC,2,FALSE))="Martin",(VLOOKUP(Table10[[#This Row],[SKU]],'All Skus'!$A:$AC,18,FALSE)),""))</f>
        <v>0</v>
      </c>
      <c r="O711" s="227">
        <f>(IF((VLOOKUP(Table10[[#This Row],[SKU]],'All Skus'!$A:$AC,2,FALSE))="Martin",(VLOOKUP(Table10[[#This Row],[SKU]],'All Skus'!$A:$AC,19,FALSE)),""))</f>
        <v>0</v>
      </c>
      <c r="P711" s="227">
        <f>(IF((VLOOKUP(Table10[[#This Row],[SKU]],'All Skus'!$A:$AC,2,FALSE))="Martin",(VLOOKUP(Table10[[#This Row],[SKU]],'All Skus'!$A:$AC,20,FALSE)),""))</f>
        <v>0</v>
      </c>
      <c r="Q711" s="227">
        <f>(IF((VLOOKUP(Table10[[#This Row],[SKU]],'All Skus'!$A:$AC,2,FALSE))="Martin",(VLOOKUP(Table10[[#This Row],[SKU]],'All Skus'!$A:$AC,21,FALSE)),""))</f>
        <v>0</v>
      </c>
      <c r="R711" s="224" t="str">
        <f>(IF((VLOOKUP(Table10[[#This Row],[SKU]],'All Skus'!$A:$AC,2,FALSE))="Martin",(VLOOKUP(Table10[[#This Row],[SKU]],'All Skus'!$A:$AC,22,FALSE)),""))</f>
        <v>HU</v>
      </c>
      <c r="S711" s="223">
        <f>(IF((VLOOKUP(Table10[[#This Row],[SKU]],'All Skus'!$A:$AC,2,FALSE))="Martin",(VLOOKUP(Table10[[#This Row],[SKU]],'All Skus'!$A:$AC,23,FALSE)),""))</f>
        <v>0</v>
      </c>
      <c r="T711" s="212" t="str">
        <f>HYPERLINK((IF((VLOOKUP(Table10[[#This Row],[SKU]],'All Skus'!$A:$AC,2,FALSE))="Martin",(VLOOKUP(Table10[[#This Row],[SKU]],'All Skus'!$A:$AC,24,FALSE)),"")))</f>
        <v/>
      </c>
      <c r="U711" s="228">
        <v>709</v>
      </c>
    </row>
    <row r="712" spans="1:21" hidden="1">
      <c r="A712" s="112">
        <v>91611382</v>
      </c>
      <c r="B712" s="224" t="str">
        <f>(IF((VLOOKUP(Table10[[#This Row],[SKU]],'All Skus'!$A:$AC,2,FALSE))="Martin",(VLOOKUP(Table10[[#This Row],[SKU]],'All Skus'!$A:$AC,3,FALSE)),""))</f>
        <v>Linear</v>
      </c>
      <c r="C712" s="223" t="str">
        <f>(IF((VLOOKUP(Table10[[#This Row],[SKU]],'All Skus'!$A:$AC,2,FALSE))="Martin",(VLOOKUP(Table10[[#This Row],[SKU]],'All Skus'!$A:$AC,4,FALSE)),""))</f>
        <v>VC-Dot 9 Aluminium Mounting Profile Black 2m</v>
      </c>
      <c r="D712" s="224" t="str">
        <f>(IF((VLOOKUP(Table10[[#This Row],[SKU]],'All Skus'!$A:$AC,2,FALSE))="Martin",(VLOOKUP(Table10[[#This Row],[SKU]],'All Skus'!$A:$AC,5,FALSE)),""))</f>
        <v>MAR-VC</v>
      </c>
      <c r="E712" s="223">
        <f>(IF((VLOOKUP(Table10[[#This Row],[SKU]],'All Skus'!$A:$AC,2,FALSE))="Martin",(VLOOKUP(Table10[[#This Row],[SKU]],'All Skus'!$A:$AC,6,FALSE)),""))</f>
        <v>0</v>
      </c>
      <c r="F712" s="155">
        <f>(IF((VLOOKUP(Table10[[#This Row],[SKU]],'All Skus'!$A:$AC,2,FALSE))="Martin",(VLOOKUP(Table10[[#This Row],[SKU]],'All Skus'!$A:$AC,7,FALSE)),""))</f>
        <v>0</v>
      </c>
      <c r="G712" s="223" t="str">
        <f>(IF((VLOOKUP(Table10[[#This Row],[SKU]],'All Skus'!$A:$AC,2,FALSE))="Martin",(VLOOKUP(Table10[[#This Row],[SKU]],'All Skus'!$A:$AC,8,FALSE)),""))</f>
        <v>VC-Dot 9 Aluminium Mounting Profile Black 2m</v>
      </c>
      <c r="H712" s="223" t="str">
        <f>(IF((VLOOKUP(Table10[[#This Row],[SKU]],'All Skus'!$A:$AC,2,FALSE))="Martin",(VLOOKUP(Table10[[#This Row],[SKU]],'All Skus'!$A:$AC,9,FALSE)),""))</f>
        <v>VC-Dot 9 Aluminium Mounting Profile Black 2m</v>
      </c>
      <c r="I712" s="225">
        <f>(IF((VLOOKUP(Table10[[#This Row],[SKU]],'All Skus'!$A:$AC,2,FALSE))="Martin",(VLOOKUP(Table10[[#This Row],[SKU]],'All Skus'!$A:$AC,10,FALSE)),""))</f>
        <v>48.16</v>
      </c>
      <c r="J712" s="226">
        <f>(IF((VLOOKUP(Table10[[#This Row],[SKU]],'All Skus'!$A:$AC,2,FALSE))="Martin",(VLOOKUP(Table10[[#This Row],[SKU]],'All Skus'!$A:$AC,11,FALSE)),""))</f>
        <v>48.16</v>
      </c>
      <c r="K712" s="224">
        <f>(IF((VLOOKUP(Table10[[#This Row],[SKU]],'All Skus'!$A:$AC,2,FALSE))="Martin",(VLOOKUP(Table10[[#This Row],[SKU]],'All Skus'!$A:$AC,15,FALSE)),""))</f>
        <v>0</v>
      </c>
      <c r="L712" s="224">
        <f>(IF((VLOOKUP(Table10[[#This Row],[SKU]],'All Skus'!$A:$AC,2,FALSE))="Martin",(VLOOKUP(Table10[[#This Row],[SKU]],'All Skus'!$A:$AC,16,FALSE)),""))</f>
        <v>5706681218226</v>
      </c>
      <c r="M712" s="224">
        <f>(IF((VLOOKUP(Table10[[#This Row],[SKU]],'All Skus'!$A:$AC,2,FALSE))="Martin",(VLOOKUP(Table10[[#This Row],[SKU]],'All Skus'!$A:$AC,17,FALSE)),""))</f>
        <v>0</v>
      </c>
      <c r="N712" s="227">
        <f>(IF((VLOOKUP(Table10[[#This Row],[SKU]],'All Skus'!$A:$AC,2,FALSE))="Martin",(VLOOKUP(Table10[[#This Row],[SKU]],'All Skus'!$A:$AC,18,FALSE)),""))</f>
        <v>0</v>
      </c>
      <c r="O712" s="227">
        <f>(IF((VLOOKUP(Table10[[#This Row],[SKU]],'All Skus'!$A:$AC,2,FALSE))="Martin",(VLOOKUP(Table10[[#This Row],[SKU]],'All Skus'!$A:$AC,19,FALSE)),""))</f>
        <v>0</v>
      </c>
      <c r="P712" s="227">
        <f>(IF((VLOOKUP(Table10[[#This Row],[SKU]],'All Skus'!$A:$AC,2,FALSE))="Martin",(VLOOKUP(Table10[[#This Row],[SKU]],'All Skus'!$A:$AC,20,FALSE)),""))</f>
        <v>0</v>
      </c>
      <c r="Q712" s="227">
        <f>(IF((VLOOKUP(Table10[[#This Row],[SKU]],'All Skus'!$A:$AC,2,FALSE))="Martin",(VLOOKUP(Table10[[#This Row],[SKU]],'All Skus'!$A:$AC,21,FALSE)),""))</f>
        <v>0</v>
      </c>
      <c r="R712" s="224" t="str">
        <f>(IF((VLOOKUP(Table10[[#This Row],[SKU]],'All Skus'!$A:$AC,2,FALSE))="Martin",(VLOOKUP(Table10[[#This Row],[SKU]],'All Skus'!$A:$AC,22,FALSE)),""))</f>
        <v>CN</v>
      </c>
      <c r="S712" s="223" t="str">
        <f>(IF((VLOOKUP(Table10[[#This Row],[SKU]],'All Skus'!$A:$AC,2,FALSE))="Martin",(VLOOKUP(Table10[[#This Row],[SKU]],'All Skus'!$A:$AC,23,FALSE)),""))</f>
        <v>Non Compliant</v>
      </c>
      <c r="T712" s="212" t="str">
        <f>HYPERLINK((IF((VLOOKUP(Table10[[#This Row],[SKU]],'All Skus'!$A:$AC,2,FALSE))="Martin",(VLOOKUP(Table10[[#This Row],[SKU]],'All Skus'!$A:$AC,24,FALSE)),"")))</f>
        <v>http://www.martin.com/en-us/product-details/vc-dot-9</v>
      </c>
      <c r="U712" s="228">
        <v>710</v>
      </c>
    </row>
    <row r="713" spans="1:21" hidden="1">
      <c r="A713" s="112">
        <v>91611383</v>
      </c>
      <c r="B713" s="224" t="str">
        <f>(IF((VLOOKUP(Table10[[#This Row],[SKU]],'All Skus'!$A:$AC,2,FALSE))="Martin",(VLOOKUP(Table10[[#This Row],[SKU]],'All Skus'!$A:$AC,3,FALSE)),""))</f>
        <v>Linear</v>
      </c>
      <c r="C713" s="223" t="str">
        <f>(IF((VLOOKUP(Table10[[#This Row],[SKU]],'All Skus'!$A:$AC,2,FALSE))="Martin",(VLOOKUP(Table10[[#This Row],[SKU]],'All Skus'!$A:$AC,4,FALSE)),""))</f>
        <v>VC-Dot 9 Aluminium Profile Cover Black 2m</v>
      </c>
      <c r="D713" s="224" t="str">
        <f>(IF((VLOOKUP(Table10[[#This Row],[SKU]],'All Skus'!$A:$AC,2,FALSE))="Martin",(VLOOKUP(Table10[[#This Row],[SKU]],'All Skus'!$A:$AC,5,FALSE)),""))</f>
        <v>MAR-VC</v>
      </c>
      <c r="E713" s="223">
        <f>(IF((VLOOKUP(Table10[[#This Row],[SKU]],'All Skus'!$A:$AC,2,FALSE))="Martin",(VLOOKUP(Table10[[#This Row],[SKU]],'All Skus'!$A:$AC,6,FALSE)),""))</f>
        <v>0</v>
      </c>
      <c r="F713" s="155">
        <f>(IF((VLOOKUP(Table10[[#This Row],[SKU]],'All Skus'!$A:$AC,2,FALSE))="Martin",(VLOOKUP(Table10[[#This Row],[SKU]],'All Skus'!$A:$AC,7,FALSE)),""))</f>
        <v>0</v>
      </c>
      <c r="G713" s="223" t="str">
        <f>(IF((VLOOKUP(Table10[[#This Row],[SKU]],'All Skus'!$A:$AC,2,FALSE))="Martin",(VLOOKUP(Table10[[#This Row],[SKU]],'All Skus'!$A:$AC,8,FALSE)),""))</f>
        <v>VC-Dot 9 Aluminium Profile Cover Black 2m</v>
      </c>
      <c r="H713" s="223" t="str">
        <f>(IF((VLOOKUP(Table10[[#This Row],[SKU]],'All Skus'!$A:$AC,2,FALSE))="Martin",(VLOOKUP(Table10[[#This Row],[SKU]],'All Skus'!$A:$AC,9,FALSE)),""))</f>
        <v>VC-Dot 9 Aluminium Profile Cover Black 2m</v>
      </c>
      <c r="I713" s="225">
        <f>(IF((VLOOKUP(Table10[[#This Row],[SKU]],'All Skus'!$A:$AC,2,FALSE))="Martin",(VLOOKUP(Table10[[#This Row],[SKU]],'All Skus'!$A:$AC,10,FALSE)),""))</f>
        <v>23.46</v>
      </c>
      <c r="J713" s="226">
        <f>(IF((VLOOKUP(Table10[[#This Row],[SKU]],'All Skus'!$A:$AC,2,FALSE))="Martin",(VLOOKUP(Table10[[#This Row],[SKU]],'All Skus'!$A:$AC,11,FALSE)),""))</f>
        <v>23.46</v>
      </c>
      <c r="K713" s="224">
        <f>(IF((VLOOKUP(Table10[[#This Row],[SKU]],'All Skus'!$A:$AC,2,FALSE))="Martin",(VLOOKUP(Table10[[#This Row],[SKU]],'All Skus'!$A:$AC,15,FALSE)),""))</f>
        <v>0</v>
      </c>
      <c r="L713" s="224">
        <f>(IF((VLOOKUP(Table10[[#This Row],[SKU]],'All Skus'!$A:$AC,2,FALSE))="Martin",(VLOOKUP(Table10[[#This Row],[SKU]],'All Skus'!$A:$AC,16,FALSE)),""))</f>
        <v>5706681218233</v>
      </c>
      <c r="M713" s="224">
        <f>(IF((VLOOKUP(Table10[[#This Row],[SKU]],'All Skus'!$A:$AC,2,FALSE))="Martin",(VLOOKUP(Table10[[#This Row],[SKU]],'All Skus'!$A:$AC,17,FALSE)),""))</f>
        <v>0</v>
      </c>
      <c r="N713" s="227">
        <f>(IF((VLOOKUP(Table10[[#This Row],[SKU]],'All Skus'!$A:$AC,2,FALSE))="Martin",(VLOOKUP(Table10[[#This Row],[SKU]],'All Skus'!$A:$AC,18,FALSE)),""))</f>
        <v>0</v>
      </c>
      <c r="O713" s="227">
        <f>(IF((VLOOKUP(Table10[[#This Row],[SKU]],'All Skus'!$A:$AC,2,FALSE))="Martin",(VLOOKUP(Table10[[#This Row],[SKU]],'All Skus'!$A:$AC,19,FALSE)),""))</f>
        <v>0</v>
      </c>
      <c r="P713" s="227">
        <f>(IF((VLOOKUP(Table10[[#This Row],[SKU]],'All Skus'!$A:$AC,2,FALSE))="Martin",(VLOOKUP(Table10[[#This Row],[SKU]],'All Skus'!$A:$AC,20,FALSE)),""))</f>
        <v>0</v>
      </c>
      <c r="Q713" s="227">
        <f>(IF((VLOOKUP(Table10[[#This Row],[SKU]],'All Skus'!$A:$AC,2,FALSE))="Martin",(VLOOKUP(Table10[[#This Row],[SKU]],'All Skus'!$A:$AC,21,FALSE)),""))</f>
        <v>0</v>
      </c>
      <c r="R713" s="224" t="str">
        <f>(IF((VLOOKUP(Table10[[#This Row],[SKU]],'All Skus'!$A:$AC,2,FALSE))="Martin",(VLOOKUP(Table10[[#This Row],[SKU]],'All Skus'!$A:$AC,22,FALSE)),""))</f>
        <v>CN</v>
      </c>
      <c r="S713" s="223" t="str">
        <f>(IF((VLOOKUP(Table10[[#This Row],[SKU]],'All Skus'!$A:$AC,2,FALSE))="Martin",(VLOOKUP(Table10[[#This Row],[SKU]],'All Skus'!$A:$AC,23,FALSE)),""))</f>
        <v>Non Compliant</v>
      </c>
      <c r="T713" s="212" t="str">
        <f>HYPERLINK((IF((VLOOKUP(Table10[[#This Row],[SKU]],'All Skus'!$A:$AC,2,FALSE))="Martin",(VLOOKUP(Table10[[#This Row],[SKU]],'All Skus'!$A:$AC,24,FALSE)),"")))</f>
        <v>http://www.martin.com/en-us/product-details/vc-dot-9</v>
      </c>
      <c r="U713" s="228">
        <v>711</v>
      </c>
    </row>
    <row r="714" spans="1:21" hidden="1">
      <c r="A714" s="112">
        <v>91611384</v>
      </c>
      <c r="B714" s="224" t="str">
        <f>(IF((VLOOKUP(Table10[[#This Row],[SKU]],'All Skus'!$A:$AC,2,FALSE))="Martin",(VLOOKUP(Table10[[#This Row],[SKU]],'All Skus'!$A:$AC,3,FALSE)),""))</f>
        <v>Linear</v>
      </c>
      <c r="C714" s="223" t="str">
        <f>(IF((VLOOKUP(Table10[[#This Row],[SKU]],'All Skus'!$A:$AC,2,FALSE))="Martin",(VLOOKUP(Table10[[#This Row],[SKU]],'All Skus'!$A:$AC,4,FALSE)),""))</f>
        <v>Set of 10 VC-Dot 9 Alu Profile Endcaps Black</v>
      </c>
      <c r="D714" s="224" t="str">
        <f>(IF((VLOOKUP(Table10[[#This Row],[SKU]],'All Skus'!$A:$AC,2,FALSE))="Martin",(VLOOKUP(Table10[[#This Row],[SKU]],'All Skus'!$A:$AC,5,FALSE)),""))</f>
        <v>MAR-VC</v>
      </c>
      <c r="E714" s="223">
        <f>(IF((VLOOKUP(Table10[[#This Row],[SKU]],'All Skus'!$A:$AC,2,FALSE))="Martin",(VLOOKUP(Table10[[#This Row],[SKU]],'All Skus'!$A:$AC,6,FALSE)),""))</f>
        <v>0</v>
      </c>
      <c r="F714" s="155">
        <f>(IF((VLOOKUP(Table10[[#This Row],[SKU]],'All Skus'!$A:$AC,2,FALSE))="Martin",(VLOOKUP(Table10[[#This Row],[SKU]],'All Skus'!$A:$AC,7,FALSE)),""))</f>
        <v>0</v>
      </c>
      <c r="G714" s="223" t="str">
        <f>(IF((VLOOKUP(Table10[[#This Row],[SKU]],'All Skus'!$A:$AC,2,FALSE))="Martin",(VLOOKUP(Table10[[#This Row],[SKU]],'All Skus'!$A:$AC,8,FALSE)),""))</f>
        <v>Set of 10 VC-Dot 9 Alu Profile Endcaps Black</v>
      </c>
      <c r="H714" s="223" t="str">
        <f>(IF((VLOOKUP(Table10[[#This Row],[SKU]],'All Skus'!$A:$AC,2,FALSE))="Martin",(VLOOKUP(Table10[[#This Row],[SKU]],'All Skus'!$A:$AC,9,FALSE)),""))</f>
        <v>Set of 10 VC-Dot 9 Alu Profile Endcaps Black</v>
      </c>
      <c r="I714" s="225">
        <f>(IF((VLOOKUP(Table10[[#This Row],[SKU]],'All Skus'!$A:$AC,2,FALSE))="Martin",(VLOOKUP(Table10[[#This Row],[SKU]],'All Skus'!$A:$AC,10,FALSE)),""))</f>
        <v>14.82</v>
      </c>
      <c r="J714" s="226">
        <f>(IF((VLOOKUP(Table10[[#This Row],[SKU]],'All Skus'!$A:$AC,2,FALSE))="Martin",(VLOOKUP(Table10[[#This Row],[SKU]],'All Skus'!$A:$AC,11,FALSE)),""))</f>
        <v>14.82</v>
      </c>
      <c r="K714" s="224">
        <f>(IF((VLOOKUP(Table10[[#This Row],[SKU]],'All Skus'!$A:$AC,2,FALSE))="Martin",(VLOOKUP(Table10[[#This Row],[SKU]],'All Skus'!$A:$AC,15,FALSE)),""))</f>
        <v>0</v>
      </c>
      <c r="L714" s="224">
        <f>(IF((VLOOKUP(Table10[[#This Row],[SKU]],'All Skus'!$A:$AC,2,FALSE))="Martin",(VLOOKUP(Table10[[#This Row],[SKU]],'All Skus'!$A:$AC,16,FALSE)),""))</f>
        <v>5706681218240</v>
      </c>
      <c r="M714" s="224">
        <f>(IF((VLOOKUP(Table10[[#This Row],[SKU]],'All Skus'!$A:$AC,2,FALSE))="Martin",(VLOOKUP(Table10[[#This Row],[SKU]],'All Skus'!$A:$AC,17,FALSE)),""))</f>
        <v>0</v>
      </c>
      <c r="N714" s="227">
        <f>(IF((VLOOKUP(Table10[[#This Row],[SKU]],'All Skus'!$A:$AC,2,FALSE))="Martin",(VLOOKUP(Table10[[#This Row],[SKU]],'All Skus'!$A:$AC,18,FALSE)),""))</f>
        <v>0</v>
      </c>
      <c r="O714" s="227">
        <f>(IF((VLOOKUP(Table10[[#This Row],[SKU]],'All Skus'!$A:$AC,2,FALSE))="Martin",(VLOOKUP(Table10[[#This Row],[SKU]],'All Skus'!$A:$AC,19,FALSE)),""))</f>
        <v>0</v>
      </c>
      <c r="P714" s="227">
        <f>(IF((VLOOKUP(Table10[[#This Row],[SKU]],'All Skus'!$A:$AC,2,FALSE))="Martin",(VLOOKUP(Table10[[#This Row],[SKU]],'All Skus'!$A:$AC,20,FALSE)),""))</f>
        <v>0</v>
      </c>
      <c r="Q714" s="227">
        <f>(IF((VLOOKUP(Table10[[#This Row],[SKU]],'All Skus'!$A:$AC,2,FALSE))="Martin",(VLOOKUP(Table10[[#This Row],[SKU]],'All Skus'!$A:$AC,21,FALSE)),""))</f>
        <v>0</v>
      </c>
      <c r="R714" s="224" t="str">
        <f>(IF((VLOOKUP(Table10[[#This Row],[SKU]],'All Skus'!$A:$AC,2,FALSE))="Martin",(VLOOKUP(Table10[[#This Row],[SKU]],'All Skus'!$A:$AC,22,FALSE)),""))</f>
        <v>CN</v>
      </c>
      <c r="S714" s="223" t="str">
        <f>(IF((VLOOKUP(Table10[[#This Row],[SKU]],'All Skus'!$A:$AC,2,FALSE))="Martin",(VLOOKUP(Table10[[#This Row],[SKU]],'All Skus'!$A:$AC,23,FALSE)),""))</f>
        <v>Non Compliant</v>
      </c>
      <c r="T714" s="212" t="str">
        <f>HYPERLINK((IF((VLOOKUP(Table10[[#This Row],[SKU]],'All Skus'!$A:$AC,2,FALSE))="Martin",(VLOOKUP(Table10[[#This Row],[SKU]],'All Skus'!$A:$AC,24,FALSE)),"")))</f>
        <v>http://www.martin.com/en-us/product-details/vc-dot-9</v>
      </c>
      <c r="U714" s="228">
        <v>712</v>
      </c>
    </row>
    <row r="715" spans="1:21" hidden="1">
      <c r="A715" s="112">
        <v>91611385</v>
      </c>
      <c r="B715" s="224" t="str">
        <f>(IF((VLOOKUP(Table10[[#This Row],[SKU]],'All Skus'!$A:$AC,2,FALSE))="Martin",(VLOOKUP(Table10[[#This Row],[SKU]],'All Skus'!$A:$AC,3,FALSE)),""))</f>
        <v>Linear</v>
      </c>
      <c r="C715" s="223" t="str">
        <f>(IF((VLOOKUP(Table10[[#This Row],[SKU]],'All Skus'!$A:$AC,2,FALSE))="Martin",(VLOOKUP(Table10[[#This Row],[SKU]],'All Skus'!$A:$AC,4,FALSE)),""))</f>
        <v>Set of 10 VC-Dot 9 Alu Profile CableEntry Endcaps Black</v>
      </c>
      <c r="D715" s="224" t="str">
        <f>(IF((VLOOKUP(Table10[[#This Row],[SKU]],'All Skus'!$A:$AC,2,FALSE))="Martin",(VLOOKUP(Table10[[#This Row],[SKU]],'All Skus'!$A:$AC,5,FALSE)),""))</f>
        <v>MAR-VC</v>
      </c>
      <c r="E715" s="223">
        <f>(IF((VLOOKUP(Table10[[#This Row],[SKU]],'All Skus'!$A:$AC,2,FALSE))="Martin",(VLOOKUP(Table10[[#This Row],[SKU]],'All Skus'!$A:$AC,6,FALSE)),""))</f>
        <v>0</v>
      </c>
      <c r="F715" s="155">
        <f>(IF((VLOOKUP(Table10[[#This Row],[SKU]],'All Skus'!$A:$AC,2,FALSE))="Martin",(VLOOKUP(Table10[[#This Row],[SKU]],'All Skus'!$A:$AC,7,FALSE)),""))</f>
        <v>0</v>
      </c>
      <c r="G715" s="223" t="str">
        <f>(IF((VLOOKUP(Table10[[#This Row],[SKU]],'All Skus'!$A:$AC,2,FALSE))="Martin",(VLOOKUP(Table10[[#This Row],[SKU]],'All Skus'!$A:$AC,8,FALSE)),""))</f>
        <v>Set of 10 VC-Dot 9 Alu Profile CableEntry Endcaps Black</v>
      </c>
      <c r="H715" s="223" t="str">
        <f>(IF((VLOOKUP(Table10[[#This Row],[SKU]],'All Skus'!$A:$AC,2,FALSE))="Martin",(VLOOKUP(Table10[[#This Row],[SKU]],'All Skus'!$A:$AC,9,FALSE)),""))</f>
        <v>Set of 10 VC-Dot 9 Alu Profile CableEntry Endcaps Black</v>
      </c>
      <c r="I715" s="225">
        <f>(IF((VLOOKUP(Table10[[#This Row],[SKU]],'All Skus'!$A:$AC,2,FALSE))="Martin",(VLOOKUP(Table10[[#This Row],[SKU]],'All Skus'!$A:$AC,10,FALSE)),""))</f>
        <v>14.82</v>
      </c>
      <c r="J715" s="226">
        <f>(IF((VLOOKUP(Table10[[#This Row],[SKU]],'All Skus'!$A:$AC,2,FALSE))="Martin",(VLOOKUP(Table10[[#This Row],[SKU]],'All Skus'!$A:$AC,11,FALSE)),""))</f>
        <v>14.82</v>
      </c>
      <c r="K715" s="224">
        <f>(IF((VLOOKUP(Table10[[#This Row],[SKU]],'All Skus'!$A:$AC,2,FALSE))="Martin",(VLOOKUP(Table10[[#This Row],[SKU]],'All Skus'!$A:$AC,15,FALSE)),""))</f>
        <v>0</v>
      </c>
      <c r="L715" s="224">
        <f>(IF((VLOOKUP(Table10[[#This Row],[SKU]],'All Skus'!$A:$AC,2,FALSE))="Martin",(VLOOKUP(Table10[[#This Row],[SKU]],'All Skus'!$A:$AC,16,FALSE)),""))</f>
        <v>5706681218257</v>
      </c>
      <c r="M715" s="224">
        <f>(IF((VLOOKUP(Table10[[#This Row],[SKU]],'All Skus'!$A:$AC,2,FALSE))="Martin",(VLOOKUP(Table10[[#This Row],[SKU]],'All Skus'!$A:$AC,17,FALSE)),""))</f>
        <v>0</v>
      </c>
      <c r="N715" s="227">
        <f>(IF((VLOOKUP(Table10[[#This Row],[SKU]],'All Skus'!$A:$AC,2,FALSE))="Martin",(VLOOKUP(Table10[[#This Row],[SKU]],'All Skus'!$A:$AC,18,FALSE)),""))</f>
        <v>0</v>
      </c>
      <c r="O715" s="227">
        <f>(IF((VLOOKUP(Table10[[#This Row],[SKU]],'All Skus'!$A:$AC,2,FALSE))="Martin",(VLOOKUP(Table10[[#This Row],[SKU]],'All Skus'!$A:$AC,19,FALSE)),""))</f>
        <v>0</v>
      </c>
      <c r="P715" s="227">
        <f>(IF((VLOOKUP(Table10[[#This Row],[SKU]],'All Skus'!$A:$AC,2,FALSE))="Martin",(VLOOKUP(Table10[[#This Row],[SKU]],'All Skus'!$A:$AC,20,FALSE)),""))</f>
        <v>0</v>
      </c>
      <c r="Q715" s="227">
        <f>(IF((VLOOKUP(Table10[[#This Row],[SKU]],'All Skus'!$A:$AC,2,FALSE))="Martin",(VLOOKUP(Table10[[#This Row],[SKU]],'All Skus'!$A:$AC,21,FALSE)),""))</f>
        <v>0</v>
      </c>
      <c r="R715" s="224" t="str">
        <f>(IF((VLOOKUP(Table10[[#This Row],[SKU]],'All Skus'!$A:$AC,2,FALSE))="Martin",(VLOOKUP(Table10[[#This Row],[SKU]],'All Skus'!$A:$AC,22,FALSE)),""))</f>
        <v>CN</v>
      </c>
      <c r="S715" s="223" t="str">
        <f>(IF((VLOOKUP(Table10[[#This Row],[SKU]],'All Skus'!$A:$AC,2,FALSE))="Martin",(VLOOKUP(Table10[[#This Row],[SKU]],'All Skus'!$A:$AC,23,FALSE)),""))</f>
        <v>Non Compliant</v>
      </c>
      <c r="T715" s="212" t="str">
        <f>HYPERLINK((IF((VLOOKUP(Table10[[#This Row],[SKU]],'All Skus'!$A:$AC,2,FALSE))="Martin",(VLOOKUP(Table10[[#This Row],[SKU]],'All Skus'!$A:$AC,24,FALSE)),"")))</f>
        <v>http://www.martin.com/en-us/product-details/vc-dot-9</v>
      </c>
      <c r="U715" s="228">
        <v>713</v>
      </c>
    </row>
    <row r="716" spans="1:21" hidden="1">
      <c r="A716" s="112">
        <v>91611394</v>
      </c>
      <c r="B716" s="224" t="str">
        <f>(IF((VLOOKUP(Table10[[#This Row],[SKU]],'All Skus'!$A:$AC,2,FALSE))="Martin",(VLOOKUP(Table10[[#This Row],[SKU]],'All Skus'!$A:$AC,3,FALSE)),""))</f>
        <v>Linear</v>
      </c>
      <c r="C716" s="223" t="str">
        <f>(IF((VLOOKUP(Table10[[#This Row],[SKU]],'All Skus'!$A:$AC,2,FALSE))="Martin",(VLOOKUP(Table10[[#This Row],[SKU]],'All Skus'!$A:$AC,4,FALSE)),""))</f>
        <v>VC-Dot 9 Aluminium Mounting Profile Grey 2m</v>
      </c>
      <c r="D716" s="224" t="str">
        <f>(IF((VLOOKUP(Table10[[#This Row],[SKU]],'All Skus'!$A:$AC,2,FALSE))="Martin",(VLOOKUP(Table10[[#This Row],[SKU]],'All Skus'!$A:$AC,5,FALSE)),""))</f>
        <v>MAR-VC</v>
      </c>
      <c r="E716" s="223">
        <f>(IF((VLOOKUP(Table10[[#This Row],[SKU]],'All Skus'!$A:$AC,2,FALSE))="Martin",(VLOOKUP(Table10[[#This Row],[SKU]],'All Skus'!$A:$AC,6,FALSE)),""))</f>
        <v>0</v>
      </c>
      <c r="F716" s="155">
        <f>(IF((VLOOKUP(Table10[[#This Row],[SKU]],'All Skus'!$A:$AC,2,FALSE))="Martin",(VLOOKUP(Table10[[#This Row],[SKU]],'All Skus'!$A:$AC,7,FALSE)),""))</f>
        <v>0</v>
      </c>
      <c r="G716" s="223" t="str">
        <f>(IF((VLOOKUP(Table10[[#This Row],[SKU]],'All Skus'!$A:$AC,2,FALSE))="Martin",(VLOOKUP(Table10[[#This Row],[SKU]],'All Skus'!$A:$AC,8,FALSE)),""))</f>
        <v>VC-Dot 9 Aluminium Mounting Profile Grey 2m</v>
      </c>
      <c r="H716" s="223" t="str">
        <f>(IF((VLOOKUP(Table10[[#This Row],[SKU]],'All Skus'!$A:$AC,2,FALSE))="Martin",(VLOOKUP(Table10[[#This Row],[SKU]],'All Skus'!$A:$AC,9,FALSE)),""))</f>
        <v>VC-Dot 9 Aluminium Mounting Profile Grey 2m</v>
      </c>
      <c r="I716" s="225">
        <f>(IF((VLOOKUP(Table10[[#This Row],[SKU]],'All Skus'!$A:$AC,2,FALSE))="Martin",(VLOOKUP(Table10[[#This Row],[SKU]],'All Skus'!$A:$AC,10,FALSE)),""))</f>
        <v>48.16</v>
      </c>
      <c r="J716" s="226">
        <f>(IF((VLOOKUP(Table10[[#This Row],[SKU]],'All Skus'!$A:$AC,2,FALSE))="Martin",(VLOOKUP(Table10[[#This Row],[SKU]],'All Skus'!$A:$AC,11,FALSE)),""))</f>
        <v>48.16</v>
      </c>
      <c r="K716" s="224">
        <f>(IF((VLOOKUP(Table10[[#This Row],[SKU]],'All Skus'!$A:$AC,2,FALSE))="Martin",(VLOOKUP(Table10[[#This Row],[SKU]],'All Skus'!$A:$AC,15,FALSE)),""))</f>
        <v>0</v>
      </c>
      <c r="L716" s="224">
        <f>(IF((VLOOKUP(Table10[[#This Row],[SKU]],'All Skus'!$A:$AC,2,FALSE))="Martin",(VLOOKUP(Table10[[#This Row],[SKU]],'All Skus'!$A:$AC,16,FALSE)),""))</f>
        <v>5706681218349</v>
      </c>
      <c r="M716" s="224">
        <f>(IF((VLOOKUP(Table10[[#This Row],[SKU]],'All Skus'!$A:$AC,2,FALSE))="Martin",(VLOOKUP(Table10[[#This Row],[SKU]],'All Skus'!$A:$AC,17,FALSE)),""))</f>
        <v>0</v>
      </c>
      <c r="N716" s="227">
        <f>(IF((VLOOKUP(Table10[[#This Row],[SKU]],'All Skus'!$A:$AC,2,FALSE))="Martin",(VLOOKUP(Table10[[#This Row],[SKU]],'All Skus'!$A:$AC,18,FALSE)),""))</f>
        <v>0</v>
      </c>
      <c r="O716" s="227">
        <f>(IF((VLOOKUP(Table10[[#This Row],[SKU]],'All Skus'!$A:$AC,2,FALSE))="Martin",(VLOOKUP(Table10[[#This Row],[SKU]],'All Skus'!$A:$AC,19,FALSE)),""))</f>
        <v>0</v>
      </c>
      <c r="P716" s="227">
        <f>(IF((VLOOKUP(Table10[[#This Row],[SKU]],'All Skus'!$A:$AC,2,FALSE))="Martin",(VLOOKUP(Table10[[#This Row],[SKU]],'All Skus'!$A:$AC,20,FALSE)),""))</f>
        <v>0</v>
      </c>
      <c r="Q716" s="227">
        <f>(IF((VLOOKUP(Table10[[#This Row],[SKU]],'All Skus'!$A:$AC,2,FALSE))="Martin",(VLOOKUP(Table10[[#This Row],[SKU]],'All Skus'!$A:$AC,21,FALSE)),""))</f>
        <v>0</v>
      </c>
      <c r="R716" s="224" t="str">
        <f>(IF((VLOOKUP(Table10[[#This Row],[SKU]],'All Skus'!$A:$AC,2,FALSE))="Martin",(VLOOKUP(Table10[[#This Row],[SKU]],'All Skus'!$A:$AC,22,FALSE)),""))</f>
        <v>CN</v>
      </c>
      <c r="S716" s="223" t="str">
        <f>(IF((VLOOKUP(Table10[[#This Row],[SKU]],'All Skus'!$A:$AC,2,FALSE))="Martin",(VLOOKUP(Table10[[#This Row],[SKU]],'All Skus'!$A:$AC,23,FALSE)),""))</f>
        <v>Non Compliant</v>
      </c>
      <c r="T716" s="212" t="str">
        <f>HYPERLINK((IF((VLOOKUP(Table10[[#This Row],[SKU]],'All Skus'!$A:$AC,2,FALSE))="Martin",(VLOOKUP(Table10[[#This Row],[SKU]],'All Skus'!$A:$AC,24,FALSE)),"")))</f>
        <v>http://www.martin.com/en-us/product-details/vc-dot-9</v>
      </c>
      <c r="U716" s="228">
        <v>714</v>
      </c>
    </row>
    <row r="717" spans="1:21" hidden="1">
      <c r="A717" s="112">
        <v>91611395</v>
      </c>
      <c r="B717" s="224" t="str">
        <f>(IF((VLOOKUP(Table10[[#This Row],[SKU]],'All Skus'!$A:$AC,2,FALSE))="Martin",(VLOOKUP(Table10[[#This Row],[SKU]],'All Skus'!$A:$AC,3,FALSE)),""))</f>
        <v>Linear</v>
      </c>
      <c r="C717" s="223" t="str">
        <f>(IF((VLOOKUP(Table10[[#This Row],[SKU]],'All Skus'!$A:$AC,2,FALSE))="Martin",(VLOOKUP(Table10[[#This Row],[SKU]],'All Skus'!$A:$AC,4,FALSE)),""))</f>
        <v>VC-Dot 9 Aluminium Profile Cover Grey 2m</v>
      </c>
      <c r="D717" s="224" t="str">
        <f>(IF((VLOOKUP(Table10[[#This Row],[SKU]],'All Skus'!$A:$AC,2,FALSE))="Martin",(VLOOKUP(Table10[[#This Row],[SKU]],'All Skus'!$A:$AC,5,FALSE)),""))</f>
        <v>MAR-VC</v>
      </c>
      <c r="E717" s="223">
        <f>(IF((VLOOKUP(Table10[[#This Row],[SKU]],'All Skus'!$A:$AC,2,FALSE))="Martin",(VLOOKUP(Table10[[#This Row],[SKU]],'All Skus'!$A:$AC,6,FALSE)),""))</f>
        <v>0</v>
      </c>
      <c r="F717" s="155">
        <f>(IF((VLOOKUP(Table10[[#This Row],[SKU]],'All Skus'!$A:$AC,2,FALSE))="Martin",(VLOOKUP(Table10[[#This Row],[SKU]],'All Skus'!$A:$AC,7,FALSE)),""))</f>
        <v>0</v>
      </c>
      <c r="G717" s="223" t="str">
        <f>(IF((VLOOKUP(Table10[[#This Row],[SKU]],'All Skus'!$A:$AC,2,FALSE))="Martin",(VLOOKUP(Table10[[#This Row],[SKU]],'All Skus'!$A:$AC,8,FALSE)),""))</f>
        <v>VC-Dot 9 Aluminium Profile Cover Grey 2m</v>
      </c>
      <c r="H717" s="223" t="str">
        <f>(IF((VLOOKUP(Table10[[#This Row],[SKU]],'All Skus'!$A:$AC,2,FALSE))="Martin",(VLOOKUP(Table10[[#This Row],[SKU]],'All Skus'!$A:$AC,9,FALSE)),""))</f>
        <v>VC-Dot 9 Aluminium Profile Cover Grey 2m</v>
      </c>
      <c r="I717" s="225">
        <f>(IF((VLOOKUP(Table10[[#This Row],[SKU]],'All Skus'!$A:$AC,2,FALSE))="Martin",(VLOOKUP(Table10[[#This Row],[SKU]],'All Skus'!$A:$AC,10,FALSE)),""))</f>
        <v>23.46</v>
      </c>
      <c r="J717" s="226">
        <f>(IF((VLOOKUP(Table10[[#This Row],[SKU]],'All Skus'!$A:$AC,2,FALSE))="Martin",(VLOOKUP(Table10[[#This Row],[SKU]],'All Skus'!$A:$AC,11,FALSE)),""))</f>
        <v>23.46</v>
      </c>
      <c r="K717" s="224">
        <f>(IF((VLOOKUP(Table10[[#This Row],[SKU]],'All Skus'!$A:$AC,2,FALSE))="Martin",(VLOOKUP(Table10[[#This Row],[SKU]],'All Skus'!$A:$AC,15,FALSE)),""))</f>
        <v>0</v>
      </c>
      <c r="L717" s="224">
        <f>(IF((VLOOKUP(Table10[[#This Row],[SKU]],'All Skus'!$A:$AC,2,FALSE))="Martin",(VLOOKUP(Table10[[#This Row],[SKU]],'All Skus'!$A:$AC,16,FALSE)),""))</f>
        <v>5706681218356</v>
      </c>
      <c r="M717" s="224">
        <f>(IF((VLOOKUP(Table10[[#This Row],[SKU]],'All Skus'!$A:$AC,2,FALSE))="Martin",(VLOOKUP(Table10[[#This Row],[SKU]],'All Skus'!$A:$AC,17,FALSE)),""))</f>
        <v>0</v>
      </c>
      <c r="N717" s="227">
        <f>(IF((VLOOKUP(Table10[[#This Row],[SKU]],'All Skus'!$A:$AC,2,FALSE))="Martin",(VLOOKUP(Table10[[#This Row],[SKU]],'All Skus'!$A:$AC,18,FALSE)),""))</f>
        <v>0</v>
      </c>
      <c r="O717" s="227">
        <f>(IF((VLOOKUP(Table10[[#This Row],[SKU]],'All Skus'!$A:$AC,2,FALSE))="Martin",(VLOOKUP(Table10[[#This Row],[SKU]],'All Skus'!$A:$AC,19,FALSE)),""))</f>
        <v>0</v>
      </c>
      <c r="P717" s="227">
        <f>(IF((VLOOKUP(Table10[[#This Row],[SKU]],'All Skus'!$A:$AC,2,FALSE))="Martin",(VLOOKUP(Table10[[#This Row],[SKU]],'All Skus'!$A:$AC,20,FALSE)),""))</f>
        <v>0</v>
      </c>
      <c r="Q717" s="227">
        <f>(IF((VLOOKUP(Table10[[#This Row],[SKU]],'All Skus'!$A:$AC,2,FALSE))="Martin",(VLOOKUP(Table10[[#This Row],[SKU]],'All Skus'!$A:$AC,21,FALSE)),""))</f>
        <v>0</v>
      </c>
      <c r="R717" s="224" t="str">
        <f>(IF((VLOOKUP(Table10[[#This Row],[SKU]],'All Skus'!$A:$AC,2,FALSE))="Martin",(VLOOKUP(Table10[[#This Row],[SKU]],'All Skus'!$A:$AC,22,FALSE)),""))</f>
        <v>CN</v>
      </c>
      <c r="S717" s="223" t="str">
        <f>(IF((VLOOKUP(Table10[[#This Row],[SKU]],'All Skus'!$A:$AC,2,FALSE))="Martin",(VLOOKUP(Table10[[#This Row],[SKU]],'All Skus'!$A:$AC,23,FALSE)),""))</f>
        <v>Non Compliant</v>
      </c>
      <c r="T717" s="212" t="str">
        <f>HYPERLINK((IF((VLOOKUP(Table10[[#This Row],[SKU]],'All Skus'!$A:$AC,2,FALSE))="Martin",(VLOOKUP(Table10[[#This Row],[SKU]],'All Skus'!$A:$AC,24,FALSE)),"")))</f>
        <v>http://www.martin.com/en-us/product-details/vc-dot-9</v>
      </c>
      <c r="U717" s="228">
        <v>715</v>
      </c>
    </row>
    <row r="718" spans="1:21" hidden="1">
      <c r="A718" s="112">
        <v>91611396</v>
      </c>
      <c r="B718" s="224" t="str">
        <f>(IF((VLOOKUP(Table10[[#This Row],[SKU]],'All Skus'!$A:$AC,2,FALSE))="Martin",(VLOOKUP(Table10[[#This Row],[SKU]],'All Skus'!$A:$AC,3,FALSE)),""))</f>
        <v>Linear</v>
      </c>
      <c r="C718" s="223" t="str">
        <f>(IF((VLOOKUP(Table10[[#This Row],[SKU]],'All Skus'!$A:$AC,2,FALSE))="Martin",(VLOOKUP(Table10[[#This Row],[SKU]],'All Skus'!$A:$AC,4,FALSE)),""))</f>
        <v>Set of 10 VC-Dot 9 Alu Profile Endcaps Grey</v>
      </c>
      <c r="D718" s="224" t="str">
        <f>(IF((VLOOKUP(Table10[[#This Row],[SKU]],'All Skus'!$A:$AC,2,FALSE))="Martin",(VLOOKUP(Table10[[#This Row],[SKU]],'All Skus'!$A:$AC,5,FALSE)),""))</f>
        <v>MAR-VC</v>
      </c>
      <c r="E718" s="223">
        <f>(IF((VLOOKUP(Table10[[#This Row],[SKU]],'All Skus'!$A:$AC,2,FALSE))="Martin",(VLOOKUP(Table10[[#This Row],[SKU]],'All Skus'!$A:$AC,6,FALSE)),""))</f>
        <v>0</v>
      </c>
      <c r="F718" s="155">
        <f>(IF((VLOOKUP(Table10[[#This Row],[SKU]],'All Skus'!$A:$AC,2,FALSE))="Martin",(VLOOKUP(Table10[[#This Row],[SKU]],'All Skus'!$A:$AC,7,FALSE)),""))</f>
        <v>0</v>
      </c>
      <c r="G718" s="223" t="str">
        <f>(IF((VLOOKUP(Table10[[#This Row],[SKU]],'All Skus'!$A:$AC,2,FALSE))="Martin",(VLOOKUP(Table10[[#This Row],[SKU]],'All Skus'!$A:$AC,8,FALSE)),""))</f>
        <v>Set of 10 VC-Dot 9 Alu Profile Endcaps Grey</v>
      </c>
      <c r="H718" s="223" t="str">
        <f>(IF((VLOOKUP(Table10[[#This Row],[SKU]],'All Skus'!$A:$AC,2,FALSE))="Martin",(VLOOKUP(Table10[[#This Row],[SKU]],'All Skus'!$A:$AC,9,FALSE)),""))</f>
        <v>Set of 10 VC-Dot 9 Alu Profile Endcaps Grey</v>
      </c>
      <c r="I718" s="225">
        <f>(IF((VLOOKUP(Table10[[#This Row],[SKU]],'All Skus'!$A:$AC,2,FALSE))="Martin",(VLOOKUP(Table10[[#This Row],[SKU]],'All Skus'!$A:$AC,10,FALSE)),""))</f>
        <v>14.82</v>
      </c>
      <c r="J718" s="226">
        <f>(IF((VLOOKUP(Table10[[#This Row],[SKU]],'All Skus'!$A:$AC,2,FALSE))="Martin",(VLOOKUP(Table10[[#This Row],[SKU]],'All Skus'!$A:$AC,11,FALSE)),""))</f>
        <v>14.82</v>
      </c>
      <c r="K718" s="224">
        <f>(IF((VLOOKUP(Table10[[#This Row],[SKU]],'All Skus'!$A:$AC,2,FALSE))="Martin",(VLOOKUP(Table10[[#This Row],[SKU]],'All Skus'!$A:$AC,15,FALSE)),""))</f>
        <v>0</v>
      </c>
      <c r="L718" s="224">
        <f>(IF((VLOOKUP(Table10[[#This Row],[SKU]],'All Skus'!$A:$AC,2,FALSE))="Martin",(VLOOKUP(Table10[[#This Row],[SKU]],'All Skus'!$A:$AC,16,FALSE)),""))</f>
        <v>5706681218370</v>
      </c>
      <c r="M718" s="224">
        <f>(IF((VLOOKUP(Table10[[#This Row],[SKU]],'All Skus'!$A:$AC,2,FALSE))="Martin",(VLOOKUP(Table10[[#This Row],[SKU]],'All Skus'!$A:$AC,17,FALSE)),""))</f>
        <v>0</v>
      </c>
      <c r="N718" s="227">
        <f>(IF((VLOOKUP(Table10[[#This Row],[SKU]],'All Skus'!$A:$AC,2,FALSE))="Martin",(VLOOKUP(Table10[[#This Row],[SKU]],'All Skus'!$A:$AC,18,FALSE)),""))</f>
        <v>0</v>
      </c>
      <c r="O718" s="227">
        <f>(IF((VLOOKUP(Table10[[#This Row],[SKU]],'All Skus'!$A:$AC,2,FALSE))="Martin",(VLOOKUP(Table10[[#This Row],[SKU]],'All Skus'!$A:$AC,19,FALSE)),""))</f>
        <v>0</v>
      </c>
      <c r="P718" s="227">
        <f>(IF((VLOOKUP(Table10[[#This Row],[SKU]],'All Skus'!$A:$AC,2,FALSE))="Martin",(VLOOKUP(Table10[[#This Row],[SKU]],'All Skus'!$A:$AC,20,FALSE)),""))</f>
        <v>0</v>
      </c>
      <c r="Q718" s="227">
        <f>(IF((VLOOKUP(Table10[[#This Row],[SKU]],'All Skus'!$A:$AC,2,FALSE))="Martin",(VLOOKUP(Table10[[#This Row],[SKU]],'All Skus'!$A:$AC,21,FALSE)),""))</f>
        <v>0</v>
      </c>
      <c r="R718" s="224" t="str">
        <f>(IF((VLOOKUP(Table10[[#This Row],[SKU]],'All Skus'!$A:$AC,2,FALSE))="Martin",(VLOOKUP(Table10[[#This Row],[SKU]],'All Skus'!$A:$AC,22,FALSE)),""))</f>
        <v>CN</v>
      </c>
      <c r="S718" s="223" t="str">
        <f>(IF((VLOOKUP(Table10[[#This Row],[SKU]],'All Skus'!$A:$AC,2,FALSE))="Martin",(VLOOKUP(Table10[[#This Row],[SKU]],'All Skus'!$A:$AC,23,FALSE)),""))</f>
        <v>Non Compliant</v>
      </c>
      <c r="T718" s="212" t="str">
        <f>HYPERLINK((IF((VLOOKUP(Table10[[#This Row],[SKU]],'All Skus'!$A:$AC,2,FALSE))="Martin",(VLOOKUP(Table10[[#This Row],[SKU]],'All Skus'!$A:$AC,24,FALSE)),"")))</f>
        <v>http://www.martin.com/en-us/product-details/vc-dot-9</v>
      </c>
      <c r="U718" s="228">
        <v>716</v>
      </c>
    </row>
    <row r="719" spans="1:21" hidden="1">
      <c r="A719" s="112">
        <v>91611397</v>
      </c>
      <c r="B719" s="224" t="str">
        <f>(IF((VLOOKUP(Table10[[#This Row],[SKU]],'All Skus'!$A:$AC,2,FALSE))="Martin",(VLOOKUP(Table10[[#This Row],[SKU]],'All Skus'!$A:$AC,3,FALSE)),""))</f>
        <v>Linear</v>
      </c>
      <c r="C719" s="223" t="str">
        <f>(IF((VLOOKUP(Table10[[#This Row],[SKU]],'All Skus'!$A:$AC,2,FALSE))="Martin",(VLOOKUP(Table10[[#This Row],[SKU]],'All Skus'!$A:$AC,4,FALSE)),""))</f>
        <v>Set of 10 VC-Dot 9 Alu Profile CableEntry Endcaps Grey</v>
      </c>
      <c r="D719" s="224" t="str">
        <f>(IF((VLOOKUP(Table10[[#This Row],[SKU]],'All Skus'!$A:$AC,2,FALSE))="Martin",(VLOOKUP(Table10[[#This Row],[SKU]],'All Skus'!$A:$AC,5,FALSE)),""))</f>
        <v>MAR-VC</v>
      </c>
      <c r="E719" s="223">
        <f>(IF((VLOOKUP(Table10[[#This Row],[SKU]],'All Skus'!$A:$AC,2,FALSE))="Martin",(VLOOKUP(Table10[[#This Row],[SKU]],'All Skus'!$A:$AC,6,FALSE)),""))</f>
        <v>0</v>
      </c>
      <c r="F719" s="155">
        <f>(IF((VLOOKUP(Table10[[#This Row],[SKU]],'All Skus'!$A:$AC,2,FALSE))="Martin",(VLOOKUP(Table10[[#This Row],[SKU]],'All Skus'!$A:$AC,7,FALSE)),""))</f>
        <v>0</v>
      </c>
      <c r="G719" s="223" t="str">
        <f>(IF((VLOOKUP(Table10[[#This Row],[SKU]],'All Skus'!$A:$AC,2,FALSE))="Martin",(VLOOKUP(Table10[[#This Row],[SKU]],'All Skus'!$A:$AC,8,FALSE)),""))</f>
        <v>Set of 10 VC-Dot 9 Alu Profile CableEntry Endcaps Grey</v>
      </c>
      <c r="H719" s="223" t="str">
        <f>(IF((VLOOKUP(Table10[[#This Row],[SKU]],'All Skus'!$A:$AC,2,FALSE))="Martin",(VLOOKUP(Table10[[#This Row],[SKU]],'All Skus'!$A:$AC,9,FALSE)),""))</f>
        <v>Set of 10 VC-Dot 9 Alu Profile CableEntry Endcaps Grey</v>
      </c>
      <c r="I719" s="225">
        <f>(IF((VLOOKUP(Table10[[#This Row],[SKU]],'All Skus'!$A:$AC,2,FALSE))="Martin",(VLOOKUP(Table10[[#This Row],[SKU]],'All Skus'!$A:$AC,10,FALSE)),""))</f>
        <v>14.82</v>
      </c>
      <c r="J719" s="226">
        <f>(IF((VLOOKUP(Table10[[#This Row],[SKU]],'All Skus'!$A:$AC,2,FALSE))="Martin",(VLOOKUP(Table10[[#This Row],[SKU]],'All Skus'!$A:$AC,11,FALSE)),""))</f>
        <v>14.82</v>
      </c>
      <c r="K719" s="224">
        <f>(IF((VLOOKUP(Table10[[#This Row],[SKU]],'All Skus'!$A:$AC,2,FALSE))="Martin",(VLOOKUP(Table10[[#This Row],[SKU]],'All Skus'!$A:$AC,15,FALSE)),""))</f>
        <v>0</v>
      </c>
      <c r="L719" s="224">
        <f>(IF((VLOOKUP(Table10[[#This Row],[SKU]],'All Skus'!$A:$AC,2,FALSE))="Martin",(VLOOKUP(Table10[[#This Row],[SKU]],'All Skus'!$A:$AC,16,FALSE)),""))</f>
        <v>5706681218370</v>
      </c>
      <c r="M719" s="224">
        <f>(IF((VLOOKUP(Table10[[#This Row],[SKU]],'All Skus'!$A:$AC,2,FALSE))="Martin",(VLOOKUP(Table10[[#This Row],[SKU]],'All Skus'!$A:$AC,17,FALSE)),""))</f>
        <v>0</v>
      </c>
      <c r="N719" s="227">
        <f>(IF((VLOOKUP(Table10[[#This Row],[SKU]],'All Skus'!$A:$AC,2,FALSE))="Martin",(VLOOKUP(Table10[[#This Row],[SKU]],'All Skus'!$A:$AC,18,FALSE)),""))</f>
        <v>0</v>
      </c>
      <c r="O719" s="227">
        <f>(IF((VLOOKUP(Table10[[#This Row],[SKU]],'All Skus'!$A:$AC,2,FALSE))="Martin",(VLOOKUP(Table10[[#This Row],[SKU]],'All Skus'!$A:$AC,19,FALSE)),""))</f>
        <v>0</v>
      </c>
      <c r="P719" s="227">
        <f>(IF((VLOOKUP(Table10[[#This Row],[SKU]],'All Skus'!$A:$AC,2,FALSE))="Martin",(VLOOKUP(Table10[[#This Row],[SKU]],'All Skus'!$A:$AC,20,FALSE)),""))</f>
        <v>0</v>
      </c>
      <c r="Q719" s="227">
        <f>(IF((VLOOKUP(Table10[[#This Row],[SKU]],'All Skus'!$A:$AC,2,FALSE))="Martin",(VLOOKUP(Table10[[#This Row],[SKU]],'All Skus'!$A:$AC,21,FALSE)),""))</f>
        <v>0</v>
      </c>
      <c r="R719" s="224" t="str">
        <f>(IF((VLOOKUP(Table10[[#This Row],[SKU]],'All Skus'!$A:$AC,2,FALSE))="Martin",(VLOOKUP(Table10[[#This Row],[SKU]],'All Skus'!$A:$AC,22,FALSE)),""))</f>
        <v>CN</v>
      </c>
      <c r="S719" s="223" t="str">
        <f>(IF((VLOOKUP(Table10[[#This Row],[SKU]],'All Skus'!$A:$AC,2,FALSE))="Martin",(VLOOKUP(Table10[[#This Row],[SKU]],'All Skus'!$A:$AC,23,FALSE)),""))</f>
        <v>Non Compliant</v>
      </c>
      <c r="T719" s="212" t="str">
        <f>HYPERLINK((IF((VLOOKUP(Table10[[#This Row],[SKU]],'All Skus'!$A:$AC,2,FALSE))="Martin",(VLOOKUP(Table10[[#This Row],[SKU]],'All Skus'!$A:$AC,24,FALSE)),"")))</f>
        <v>http://www.martin.com/en-us/product-details/vc-dot-9</v>
      </c>
      <c r="U719" s="228">
        <v>717</v>
      </c>
    </row>
    <row r="720" spans="1:21" hidden="1">
      <c r="A720" s="112">
        <v>91611490</v>
      </c>
      <c r="B720" s="224" t="str">
        <f>(IF((VLOOKUP(Table10[[#This Row],[SKU]],'All Skus'!$A:$AC,2,FALSE))="Martin",(VLOOKUP(Table10[[#This Row],[SKU]],'All Skus'!$A:$AC,3,FALSE)),""))</f>
        <v>Linear</v>
      </c>
      <c r="C720" s="223" t="str">
        <f>(IF((VLOOKUP(Table10[[#This Row],[SKU]],'All Skus'!$A:$AC,2,FALSE))="Martin",(VLOOKUP(Table10[[#This Row],[SKU]],'All Skus'!$A:$AC,4,FALSE)),""))</f>
        <v>VC-Dot 9 Plastic Mounting Profile Black 1.2m</v>
      </c>
      <c r="D720" s="224" t="str">
        <f>(IF((VLOOKUP(Table10[[#This Row],[SKU]],'All Skus'!$A:$AC,2,FALSE))="Martin",(VLOOKUP(Table10[[#This Row],[SKU]],'All Skus'!$A:$AC,5,FALSE)),""))</f>
        <v>MAR-VC</v>
      </c>
      <c r="E720" s="223">
        <f>(IF((VLOOKUP(Table10[[#This Row],[SKU]],'All Skus'!$A:$AC,2,FALSE))="Martin",(VLOOKUP(Table10[[#This Row],[SKU]],'All Skus'!$A:$AC,6,FALSE)),""))</f>
        <v>0</v>
      </c>
      <c r="F720" s="155" t="str">
        <f>(IF((VLOOKUP(Table10[[#This Row],[SKU]],'All Skus'!$A:$AC,2,FALSE))="Martin",(VLOOKUP(Table10[[#This Row],[SKU]],'All Skus'!$A:$AC,7,FALSE)),""))</f>
        <v>EOL soon – very limited availability</v>
      </c>
      <c r="G720" s="223" t="str">
        <f>(IF((VLOOKUP(Table10[[#This Row],[SKU]],'All Skus'!$A:$AC,2,FALSE))="Martin",(VLOOKUP(Table10[[#This Row],[SKU]],'All Skus'!$A:$AC,8,FALSE)),""))</f>
        <v>VC-Dot 9 Plastic Mounting Profile Black 1.2m</v>
      </c>
      <c r="H720" s="223" t="str">
        <f>(IF((VLOOKUP(Table10[[#This Row],[SKU]],'All Skus'!$A:$AC,2,FALSE))="Martin",(VLOOKUP(Table10[[#This Row],[SKU]],'All Skus'!$A:$AC,9,FALSE)),""))</f>
        <v>VC-Dot 9 Plastic Mounting Profile Black 1.2m</v>
      </c>
      <c r="I720" s="225">
        <f>(IF((VLOOKUP(Table10[[#This Row],[SKU]],'All Skus'!$A:$AC,2,FALSE))="Martin",(VLOOKUP(Table10[[#This Row],[SKU]],'All Skus'!$A:$AC,10,FALSE)),""))</f>
        <v>14.82</v>
      </c>
      <c r="J720" s="226">
        <f>(IF((VLOOKUP(Table10[[#This Row],[SKU]],'All Skus'!$A:$AC,2,FALSE))="Martin",(VLOOKUP(Table10[[#This Row],[SKU]],'All Skus'!$A:$AC,11,FALSE)),""))</f>
        <v>14.82</v>
      </c>
      <c r="K720" s="224">
        <f>(IF((VLOOKUP(Table10[[#This Row],[SKU]],'All Skus'!$A:$AC,2,FALSE))="Martin",(VLOOKUP(Table10[[#This Row],[SKU]],'All Skus'!$A:$AC,15,FALSE)),""))</f>
        <v>0</v>
      </c>
      <c r="L720" s="224">
        <f>(IF((VLOOKUP(Table10[[#This Row],[SKU]],'All Skus'!$A:$AC,2,FALSE))="Martin",(VLOOKUP(Table10[[#This Row],[SKU]],'All Skus'!$A:$AC,16,FALSE)),""))</f>
        <v>0</v>
      </c>
      <c r="M720" s="224">
        <f>(IF((VLOOKUP(Table10[[#This Row],[SKU]],'All Skus'!$A:$AC,2,FALSE))="Martin",(VLOOKUP(Table10[[#This Row],[SKU]],'All Skus'!$A:$AC,17,FALSE)),""))</f>
        <v>0</v>
      </c>
      <c r="N720" s="227">
        <f>(IF((VLOOKUP(Table10[[#This Row],[SKU]],'All Skus'!$A:$AC,2,FALSE))="Martin",(VLOOKUP(Table10[[#This Row],[SKU]],'All Skus'!$A:$AC,18,FALSE)),""))</f>
        <v>0</v>
      </c>
      <c r="O720" s="227">
        <f>(IF((VLOOKUP(Table10[[#This Row],[SKU]],'All Skus'!$A:$AC,2,FALSE))="Martin",(VLOOKUP(Table10[[#This Row],[SKU]],'All Skus'!$A:$AC,19,FALSE)),""))</f>
        <v>0</v>
      </c>
      <c r="P720" s="227">
        <f>(IF((VLOOKUP(Table10[[#This Row],[SKU]],'All Skus'!$A:$AC,2,FALSE))="Martin",(VLOOKUP(Table10[[#This Row],[SKU]],'All Skus'!$A:$AC,20,FALSE)),""))</f>
        <v>0</v>
      </c>
      <c r="Q720" s="227">
        <f>(IF((VLOOKUP(Table10[[#This Row],[SKU]],'All Skus'!$A:$AC,2,FALSE))="Martin",(VLOOKUP(Table10[[#This Row],[SKU]],'All Skus'!$A:$AC,21,FALSE)),""))</f>
        <v>0</v>
      </c>
      <c r="R720" s="224" t="str">
        <f>(IF((VLOOKUP(Table10[[#This Row],[SKU]],'All Skus'!$A:$AC,2,FALSE))="Martin",(VLOOKUP(Table10[[#This Row],[SKU]],'All Skus'!$A:$AC,22,FALSE)),""))</f>
        <v>CN</v>
      </c>
      <c r="S720" s="223" t="str">
        <f>(IF((VLOOKUP(Table10[[#This Row],[SKU]],'All Skus'!$A:$AC,2,FALSE))="Martin",(VLOOKUP(Table10[[#This Row],[SKU]],'All Skus'!$A:$AC,23,FALSE)),""))</f>
        <v>Non Compliant</v>
      </c>
      <c r="T720" s="212" t="str">
        <f>HYPERLINK((IF((VLOOKUP(Table10[[#This Row],[SKU]],'All Skus'!$A:$AC,2,FALSE))="Martin",(VLOOKUP(Table10[[#This Row],[SKU]],'All Skus'!$A:$AC,24,FALSE)),"")))</f>
        <v>http://www.martin.com/en-us/product-details/vc-dot-9</v>
      </c>
      <c r="U720" s="228">
        <v>718</v>
      </c>
    </row>
    <row r="721" spans="1:21" hidden="1">
      <c r="A721" s="112">
        <v>91611510</v>
      </c>
      <c r="B721" s="224" t="str">
        <f>(IF((VLOOKUP(Table10[[#This Row],[SKU]],'All Skus'!$A:$AC,2,FALSE))="Martin",(VLOOKUP(Table10[[#This Row],[SKU]],'All Skus'!$A:$AC,3,FALSE)),""))</f>
        <v>Linear</v>
      </c>
      <c r="C721" s="223" t="str">
        <f>(IF((VLOOKUP(Table10[[#This Row],[SKU]],'All Skus'!$A:$AC,2,FALSE))="Martin",(VLOOKUP(Table10[[#This Row],[SKU]],'All Skus'!$A:$AC,4,FALSE)),""))</f>
        <v>VC-Dot 9 Plastic Profile Cover Black 1.2m</v>
      </c>
      <c r="D721" s="224" t="str">
        <f>(IF((VLOOKUP(Table10[[#This Row],[SKU]],'All Skus'!$A:$AC,2,FALSE))="Martin",(VLOOKUP(Table10[[#This Row],[SKU]],'All Skus'!$A:$AC,5,FALSE)),""))</f>
        <v>MAR-VC</v>
      </c>
      <c r="E721" s="223">
        <f>(IF((VLOOKUP(Table10[[#This Row],[SKU]],'All Skus'!$A:$AC,2,FALSE))="Martin",(VLOOKUP(Table10[[#This Row],[SKU]],'All Skus'!$A:$AC,6,FALSE)),""))</f>
        <v>0</v>
      </c>
      <c r="F721" s="155" t="str">
        <f>(IF((VLOOKUP(Table10[[#This Row],[SKU]],'All Skus'!$A:$AC,2,FALSE))="Martin",(VLOOKUP(Table10[[#This Row],[SKU]],'All Skus'!$A:$AC,7,FALSE)),""))</f>
        <v>EOL soon – very limited availability</v>
      </c>
      <c r="G721" s="223" t="str">
        <f>(IF((VLOOKUP(Table10[[#This Row],[SKU]],'All Skus'!$A:$AC,2,FALSE))="Martin",(VLOOKUP(Table10[[#This Row],[SKU]],'All Skus'!$A:$AC,8,FALSE)),""))</f>
        <v>VC-Dot 9 Plastic Profile Cover Black 1.2m</v>
      </c>
      <c r="H721" s="223" t="str">
        <f>(IF((VLOOKUP(Table10[[#This Row],[SKU]],'All Skus'!$A:$AC,2,FALSE))="Martin",(VLOOKUP(Table10[[#This Row],[SKU]],'All Skus'!$A:$AC,9,FALSE)),""))</f>
        <v>VC-Dot 9 Plastic Profile Cover Black 1.2m</v>
      </c>
      <c r="I721" s="225">
        <f>(IF((VLOOKUP(Table10[[#This Row],[SKU]],'All Skus'!$A:$AC,2,FALSE))="Martin",(VLOOKUP(Table10[[#This Row],[SKU]],'All Skus'!$A:$AC,10,FALSE)),""))</f>
        <v>12.35</v>
      </c>
      <c r="J721" s="226">
        <f>(IF((VLOOKUP(Table10[[#This Row],[SKU]],'All Skus'!$A:$AC,2,FALSE))="Martin",(VLOOKUP(Table10[[#This Row],[SKU]],'All Skus'!$A:$AC,11,FALSE)),""))</f>
        <v>12.35</v>
      </c>
      <c r="K721" s="224">
        <f>(IF((VLOOKUP(Table10[[#This Row],[SKU]],'All Skus'!$A:$AC,2,FALSE))="Martin",(VLOOKUP(Table10[[#This Row],[SKU]],'All Skus'!$A:$AC,15,FALSE)),""))</f>
        <v>0</v>
      </c>
      <c r="L721" s="224">
        <f>(IF((VLOOKUP(Table10[[#This Row],[SKU]],'All Skus'!$A:$AC,2,FALSE))="Martin",(VLOOKUP(Table10[[#This Row],[SKU]],'All Skus'!$A:$AC,16,FALSE)),""))</f>
        <v>0</v>
      </c>
      <c r="M721" s="224">
        <f>(IF((VLOOKUP(Table10[[#This Row],[SKU]],'All Skus'!$A:$AC,2,FALSE))="Martin",(VLOOKUP(Table10[[#This Row],[SKU]],'All Skus'!$A:$AC,17,FALSE)),""))</f>
        <v>0</v>
      </c>
      <c r="N721" s="227">
        <f>(IF((VLOOKUP(Table10[[#This Row],[SKU]],'All Skus'!$A:$AC,2,FALSE))="Martin",(VLOOKUP(Table10[[#This Row],[SKU]],'All Skus'!$A:$AC,18,FALSE)),""))</f>
        <v>0</v>
      </c>
      <c r="O721" s="227">
        <f>(IF((VLOOKUP(Table10[[#This Row],[SKU]],'All Skus'!$A:$AC,2,FALSE))="Martin",(VLOOKUP(Table10[[#This Row],[SKU]],'All Skus'!$A:$AC,19,FALSE)),""))</f>
        <v>0</v>
      </c>
      <c r="P721" s="227">
        <f>(IF((VLOOKUP(Table10[[#This Row],[SKU]],'All Skus'!$A:$AC,2,FALSE))="Martin",(VLOOKUP(Table10[[#This Row],[SKU]],'All Skus'!$A:$AC,20,FALSE)),""))</f>
        <v>0</v>
      </c>
      <c r="Q721" s="227">
        <f>(IF((VLOOKUP(Table10[[#This Row],[SKU]],'All Skus'!$A:$AC,2,FALSE))="Martin",(VLOOKUP(Table10[[#This Row],[SKU]],'All Skus'!$A:$AC,21,FALSE)),""))</f>
        <v>0</v>
      </c>
      <c r="R721" s="224" t="str">
        <f>(IF((VLOOKUP(Table10[[#This Row],[SKU]],'All Skus'!$A:$AC,2,FALSE))="Martin",(VLOOKUP(Table10[[#This Row],[SKU]],'All Skus'!$A:$AC,22,FALSE)),""))</f>
        <v>CN</v>
      </c>
      <c r="S721" s="223" t="str">
        <f>(IF((VLOOKUP(Table10[[#This Row],[SKU]],'All Skus'!$A:$AC,2,FALSE))="Martin",(VLOOKUP(Table10[[#This Row],[SKU]],'All Skus'!$A:$AC,23,FALSE)),""))</f>
        <v>Non Compliant</v>
      </c>
      <c r="T721" s="212" t="str">
        <f>HYPERLINK((IF((VLOOKUP(Table10[[#This Row],[SKU]],'All Skus'!$A:$AC,2,FALSE))="Martin",(VLOOKUP(Table10[[#This Row],[SKU]],'All Skus'!$A:$AC,24,FALSE)),"")))</f>
        <v>http://www.martin.com/en-us/product-details/vc-dot-9</v>
      </c>
      <c r="U721" s="228">
        <v>719</v>
      </c>
    </row>
    <row r="722" spans="1:21" hidden="1">
      <c r="A722" s="115" t="s">
        <v>2329</v>
      </c>
      <c r="B722" s="224">
        <f>(IF((VLOOKUP(Table10[[#This Row],[SKU]],'All Skus'!$A:$AC,2,FALSE))="Martin",(VLOOKUP(Table10[[#This Row],[SKU]],'All Skus'!$A:$AC,3,FALSE)),""))</f>
        <v>0</v>
      </c>
      <c r="C722" s="223">
        <f>(IF((VLOOKUP(Table10[[#This Row],[SKU]],'All Skus'!$A:$AC,2,FALSE))="Martin",(VLOOKUP(Table10[[#This Row],[SKU]],'All Skus'!$A:$AC,4,FALSE)),""))</f>
        <v>0</v>
      </c>
      <c r="D722" s="224">
        <f>(IF((VLOOKUP(Table10[[#This Row],[SKU]],'All Skus'!$A:$AC,2,FALSE))="Martin",(VLOOKUP(Table10[[#This Row],[SKU]],'All Skus'!$A:$AC,5,FALSE)),""))</f>
        <v>0</v>
      </c>
      <c r="E722" s="223">
        <f>(IF((VLOOKUP(Table10[[#This Row],[SKU]],'All Skus'!$A:$AC,2,FALSE))="Martin",(VLOOKUP(Table10[[#This Row],[SKU]],'All Skus'!$A:$AC,6,FALSE)),""))</f>
        <v>0</v>
      </c>
      <c r="F722" s="155">
        <f>(IF((VLOOKUP(Table10[[#This Row],[SKU]],'All Skus'!$A:$AC,2,FALSE))="Martin",(VLOOKUP(Table10[[#This Row],[SKU]],'All Skus'!$A:$AC,7,FALSE)),""))</f>
        <v>0</v>
      </c>
      <c r="G722" s="223">
        <f>(IF((VLOOKUP(Table10[[#This Row],[SKU]],'All Skus'!$A:$AC,2,FALSE))="Martin",(VLOOKUP(Table10[[#This Row],[SKU]],'All Skus'!$A:$AC,8,FALSE)),""))</f>
        <v>0</v>
      </c>
      <c r="H722" s="223">
        <f>(IF((VLOOKUP(Table10[[#This Row],[SKU]],'All Skus'!$A:$AC,2,FALSE))="Martin",(VLOOKUP(Table10[[#This Row],[SKU]],'All Skus'!$A:$AC,9,FALSE)),""))</f>
        <v>0</v>
      </c>
      <c r="I722" s="225">
        <f>(IF((VLOOKUP(Table10[[#This Row],[SKU]],'All Skus'!$A:$AC,2,FALSE))="Martin",(VLOOKUP(Table10[[#This Row],[SKU]],'All Skus'!$A:$AC,10,FALSE)),""))</f>
        <v>0</v>
      </c>
      <c r="J722" s="226">
        <f>(IF((VLOOKUP(Table10[[#This Row],[SKU]],'All Skus'!$A:$AC,2,FALSE))="Martin",(VLOOKUP(Table10[[#This Row],[SKU]],'All Skus'!$A:$AC,11,FALSE)),""))</f>
        <v>0</v>
      </c>
      <c r="K722" s="224">
        <f>(IF((VLOOKUP(Table10[[#This Row],[SKU]],'All Skus'!$A:$AC,2,FALSE))="Martin",(VLOOKUP(Table10[[#This Row],[SKU]],'All Skus'!$A:$AC,15,FALSE)),""))</f>
        <v>0</v>
      </c>
      <c r="L722" s="224">
        <f>(IF((VLOOKUP(Table10[[#This Row],[SKU]],'All Skus'!$A:$AC,2,FALSE))="Martin",(VLOOKUP(Table10[[#This Row],[SKU]],'All Skus'!$A:$AC,16,FALSE)),""))</f>
        <v>0</v>
      </c>
      <c r="M722" s="224">
        <f>(IF((VLOOKUP(Table10[[#This Row],[SKU]],'All Skus'!$A:$AC,2,FALSE))="Martin",(VLOOKUP(Table10[[#This Row],[SKU]],'All Skus'!$A:$AC,17,FALSE)),""))</f>
        <v>0</v>
      </c>
      <c r="N722" s="227">
        <f>(IF((VLOOKUP(Table10[[#This Row],[SKU]],'All Skus'!$A:$AC,2,FALSE))="Martin",(VLOOKUP(Table10[[#This Row],[SKU]],'All Skus'!$A:$AC,18,FALSE)),""))</f>
        <v>0</v>
      </c>
      <c r="O722" s="227">
        <f>(IF((VLOOKUP(Table10[[#This Row],[SKU]],'All Skus'!$A:$AC,2,FALSE))="Martin",(VLOOKUP(Table10[[#This Row],[SKU]],'All Skus'!$A:$AC,19,FALSE)),""))</f>
        <v>0</v>
      </c>
      <c r="P722" s="227">
        <f>(IF((VLOOKUP(Table10[[#This Row],[SKU]],'All Skus'!$A:$AC,2,FALSE))="Martin",(VLOOKUP(Table10[[#This Row],[SKU]],'All Skus'!$A:$AC,20,FALSE)),""))</f>
        <v>0</v>
      </c>
      <c r="Q722" s="227">
        <f>(IF((VLOOKUP(Table10[[#This Row],[SKU]],'All Skus'!$A:$AC,2,FALSE))="Martin",(VLOOKUP(Table10[[#This Row],[SKU]],'All Skus'!$A:$AC,21,FALSE)),""))</f>
        <v>0</v>
      </c>
      <c r="R722" s="224">
        <f>(IF((VLOOKUP(Table10[[#This Row],[SKU]],'All Skus'!$A:$AC,2,FALSE))="Martin",(VLOOKUP(Table10[[#This Row],[SKU]],'All Skus'!$A:$AC,22,FALSE)),""))</f>
        <v>0</v>
      </c>
      <c r="S722" s="223">
        <f>(IF((VLOOKUP(Table10[[#This Row],[SKU]],'All Skus'!$A:$AC,2,FALSE))="Martin",(VLOOKUP(Table10[[#This Row],[SKU]],'All Skus'!$A:$AC,23,FALSE)),""))</f>
        <v>0</v>
      </c>
      <c r="T722" s="212" t="str">
        <f>HYPERLINK((IF((VLOOKUP(Table10[[#This Row],[SKU]],'All Skus'!$A:$AC,2,FALSE))="Martin",(VLOOKUP(Table10[[#This Row],[SKU]],'All Skus'!$A:$AC,24,FALSE)),"")))</f>
        <v/>
      </c>
      <c r="U722" s="228">
        <v>720</v>
      </c>
    </row>
    <row r="723" spans="1:21" hidden="1">
      <c r="A723" s="112" t="s">
        <v>2330</v>
      </c>
      <c r="B723" s="224" t="str">
        <f>(IF((VLOOKUP(Table10[[#This Row],[SKU]],'All Skus'!$A:$AC,2,FALSE))="Martin",(VLOOKUP(Table10[[#This Row],[SKU]],'All Skus'!$A:$AC,3,FALSE)),""))</f>
        <v>Linear</v>
      </c>
      <c r="C723" s="223" t="str">
        <f>(IF((VLOOKUP(Table10[[#This Row],[SKU]],'All Skus'!$A:$AC,2,FALSE))="Martin",(VLOOKUP(Table10[[#This Row],[SKU]],'All Skus'!$A:$AC,4,FALSE)),""))</f>
        <v>Set of 10 VC-Dot String Termination Caps</v>
      </c>
      <c r="D723" s="224" t="str">
        <f>(IF((VLOOKUP(Table10[[#This Row],[SKU]],'All Skus'!$A:$AC,2,FALSE))="Martin",(VLOOKUP(Table10[[#This Row],[SKU]],'All Skus'!$A:$AC,5,FALSE)),""))</f>
        <v>MAR-VC</v>
      </c>
      <c r="E723" s="223">
        <f>(IF((VLOOKUP(Table10[[#This Row],[SKU]],'All Skus'!$A:$AC,2,FALSE))="Martin",(VLOOKUP(Table10[[#This Row],[SKU]],'All Skus'!$A:$AC,6,FALSE)),""))</f>
        <v>0</v>
      </c>
      <c r="F723" s="155">
        <f>(IF((VLOOKUP(Table10[[#This Row],[SKU]],'All Skus'!$A:$AC,2,FALSE))="Martin",(VLOOKUP(Table10[[#This Row],[SKU]],'All Skus'!$A:$AC,7,FALSE)),""))</f>
        <v>0</v>
      </c>
      <c r="G723" s="223" t="str">
        <f>(IF((VLOOKUP(Table10[[#This Row],[SKU]],'All Skus'!$A:$AC,2,FALSE))="Martin",(VLOOKUP(Table10[[#This Row],[SKU]],'All Skus'!$A:$AC,8,FALSE)),""))</f>
        <v>Set of 10 VC-Dot String Termination Caps</v>
      </c>
      <c r="H723" s="223" t="str">
        <f>(IF((VLOOKUP(Table10[[#This Row],[SKU]],'All Skus'!$A:$AC,2,FALSE))="Martin",(VLOOKUP(Table10[[#This Row],[SKU]],'All Skus'!$A:$AC,9,FALSE)),""))</f>
        <v>Set of 10 VC-Dot String Termination Caps</v>
      </c>
      <c r="I723" s="225">
        <f>(IF((VLOOKUP(Table10[[#This Row],[SKU]],'All Skus'!$A:$AC,2,FALSE))="Martin",(VLOOKUP(Table10[[#This Row],[SKU]],'All Skus'!$A:$AC,10,FALSE)),""))</f>
        <v>24.7</v>
      </c>
      <c r="J723" s="226">
        <f>(IF((VLOOKUP(Table10[[#This Row],[SKU]],'All Skus'!$A:$AC,2,FALSE))="Martin",(VLOOKUP(Table10[[#This Row],[SKU]],'All Skus'!$A:$AC,11,FALSE)),""))</f>
        <v>24.7</v>
      </c>
      <c r="K723" s="224">
        <f>(IF((VLOOKUP(Table10[[#This Row],[SKU]],'All Skus'!$A:$AC,2,FALSE))="Martin",(VLOOKUP(Table10[[#This Row],[SKU]],'All Skus'!$A:$AC,15,FALSE)),""))</f>
        <v>0</v>
      </c>
      <c r="L723" s="224">
        <f>(IF((VLOOKUP(Table10[[#This Row],[SKU]],'All Skus'!$A:$AC,2,FALSE))="Martin",(VLOOKUP(Table10[[#This Row],[SKU]],'All Skus'!$A:$AC,16,FALSE)),""))</f>
        <v>5706681234837</v>
      </c>
      <c r="M723" s="224">
        <f>(IF((VLOOKUP(Table10[[#This Row],[SKU]],'All Skus'!$A:$AC,2,FALSE))="Martin",(VLOOKUP(Table10[[#This Row],[SKU]],'All Skus'!$A:$AC,17,FALSE)),""))</f>
        <v>0</v>
      </c>
      <c r="N723" s="227">
        <f>(IF((VLOOKUP(Table10[[#This Row],[SKU]],'All Skus'!$A:$AC,2,FALSE))="Martin",(VLOOKUP(Table10[[#This Row],[SKU]],'All Skus'!$A:$AC,18,FALSE)),""))</f>
        <v>0</v>
      </c>
      <c r="O723" s="227">
        <f>(IF((VLOOKUP(Table10[[#This Row],[SKU]],'All Skus'!$A:$AC,2,FALSE))="Martin",(VLOOKUP(Table10[[#This Row],[SKU]],'All Skus'!$A:$AC,19,FALSE)),""))</f>
        <v>0</v>
      </c>
      <c r="P723" s="227">
        <f>(IF((VLOOKUP(Table10[[#This Row],[SKU]],'All Skus'!$A:$AC,2,FALSE))="Martin",(VLOOKUP(Table10[[#This Row],[SKU]],'All Skus'!$A:$AC,20,FALSE)),""))</f>
        <v>0</v>
      </c>
      <c r="Q723" s="227">
        <f>(IF((VLOOKUP(Table10[[#This Row],[SKU]],'All Skus'!$A:$AC,2,FALSE))="Martin",(VLOOKUP(Table10[[#This Row],[SKU]],'All Skus'!$A:$AC,21,FALSE)),""))</f>
        <v>0</v>
      </c>
      <c r="R723" s="224" t="str">
        <f>(IF((VLOOKUP(Table10[[#This Row],[SKU]],'All Skus'!$A:$AC,2,FALSE))="Martin",(VLOOKUP(Table10[[#This Row],[SKU]],'All Skus'!$A:$AC,22,FALSE)),""))</f>
        <v>HU</v>
      </c>
      <c r="S723" s="223" t="str">
        <f>(IF((VLOOKUP(Table10[[#This Row],[SKU]],'All Skus'!$A:$AC,2,FALSE))="Martin",(VLOOKUP(Table10[[#This Row],[SKU]],'All Skus'!$A:$AC,23,FALSE)),""))</f>
        <v>Non Compliant</v>
      </c>
      <c r="T723" s="212" t="str">
        <f>HYPERLINK((IF((VLOOKUP(Table10[[#This Row],[SKU]],'All Skus'!$A:$AC,2,FALSE))="Martin",(VLOOKUP(Table10[[#This Row],[SKU]],'All Skus'!$A:$AC,24,FALSE)),"")))</f>
        <v>http://www.martin.com/en-us/product-details/vc-dot-1</v>
      </c>
      <c r="U723" s="228">
        <v>721</v>
      </c>
    </row>
    <row r="724" spans="1:21" hidden="1">
      <c r="A724" s="112">
        <v>90357230</v>
      </c>
      <c r="B724" s="224">
        <f>(IF((VLOOKUP(Table10[[#This Row],[SKU]],'All Skus'!$A:$AC,2,FALSE))="Martin",(VLOOKUP(Table10[[#This Row],[SKU]],'All Skus'!$A:$AC,3,FALSE)),""))</f>
        <v>0</v>
      </c>
      <c r="C724" s="223" t="str">
        <f>(IF((VLOOKUP(Table10[[#This Row],[SKU]],'All Skus'!$A:$AC,2,FALSE))="Martin",(VLOOKUP(Table10[[#This Row],[SKU]],'All Skus'!$A:$AC,4,FALSE)),""))</f>
        <v>10m of VC-Dot Ribbon Cable</v>
      </c>
      <c r="D724" s="224">
        <f>(IF((VLOOKUP(Table10[[#This Row],[SKU]],'All Skus'!$A:$AC,2,FALSE))="Martin",(VLOOKUP(Table10[[#This Row],[SKU]],'All Skus'!$A:$AC,5,FALSE)),""))</f>
        <v>41300000</v>
      </c>
      <c r="E724" s="223">
        <f>(IF((VLOOKUP(Table10[[#This Row],[SKU]],'All Skus'!$A:$AC,2,FALSE))="Martin",(VLOOKUP(Table10[[#This Row],[SKU]],'All Skus'!$A:$AC,6,FALSE)),""))</f>
        <v>0</v>
      </c>
      <c r="F724" s="155">
        <f>(IF((VLOOKUP(Table10[[#This Row],[SKU]],'All Skus'!$A:$AC,2,FALSE))="Martin",(VLOOKUP(Table10[[#This Row],[SKU]],'All Skus'!$A:$AC,7,FALSE)),""))</f>
        <v>0</v>
      </c>
      <c r="G724" s="223" t="str">
        <f>(IF((VLOOKUP(Table10[[#This Row],[SKU]],'All Skus'!$A:$AC,2,FALSE))="Martin",(VLOOKUP(Table10[[#This Row],[SKU]],'All Skus'!$A:$AC,8,FALSE)),""))</f>
        <v>10m of VC-Dot Ribbon Cable</v>
      </c>
      <c r="H724" s="223" t="str">
        <f>(IF((VLOOKUP(Table10[[#This Row],[SKU]],'All Skus'!$A:$AC,2,FALSE))="Martin",(VLOOKUP(Table10[[#This Row],[SKU]],'All Skus'!$A:$AC,9,FALSE)),""))</f>
        <v>10m of VC-Dot Ribbon Cable</v>
      </c>
      <c r="I724" s="225">
        <f>(IF((VLOOKUP(Table10[[#This Row],[SKU]],'All Skus'!$A:$AC,2,FALSE))="Martin",(VLOOKUP(Table10[[#This Row],[SKU]],'All Skus'!$A:$AC,10,FALSE)),""))</f>
        <v>18.52</v>
      </c>
      <c r="J724" s="226">
        <f>(IF((VLOOKUP(Table10[[#This Row],[SKU]],'All Skus'!$A:$AC,2,FALSE))="Martin",(VLOOKUP(Table10[[#This Row],[SKU]],'All Skus'!$A:$AC,11,FALSE)),""))</f>
        <v>18.52</v>
      </c>
      <c r="K724" s="224">
        <f>(IF((VLOOKUP(Table10[[#This Row],[SKU]],'All Skus'!$A:$AC,2,FALSE))="Martin",(VLOOKUP(Table10[[#This Row],[SKU]],'All Skus'!$A:$AC,15,FALSE)),""))</f>
        <v>0</v>
      </c>
      <c r="L724" s="224">
        <f>(IF((VLOOKUP(Table10[[#This Row],[SKU]],'All Skus'!$A:$AC,2,FALSE))="Martin",(VLOOKUP(Table10[[#This Row],[SKU]],'All Skus'!$A:$AC,16,FALSE)),""))</f>
        <v>0</v>
      </c>
      <c r="M724" s="224">
        <f>(IF((VLOOKUP(Table10[[#This Row],[SKU]],'All Skus'!$A:$AC,2,FALSE))="Martin",(VLOOKUP(Table10[[#This Row],[SKU]],'All Skus'!$A:$AC,17,FALSE)),""))</f>
        <v>0</v>
      </c>
      <c r="N724" s="227">
        <f>(IF((VLOOKUP(Table10[[#This Row],[SKU]],'All Skus'!$A:$AC,2,FALSE))="Martin",(VLOOKUP(Table10[[#This Row],[SKU]],'All Skus'!$A:$AC,18,FALSE)),""))</f>
        <v>0</v>
      </c>
      <c r="O724" s="227">
        <f>(IF((VLOOKUP(Table10[[#This Row],[SKU]],'All Skus'!$A:$AC,2,FALSE))="Martin",(VLOOKUP(Table10[[#This Row],[SKU]],'All Skus'!$A:$AC,19,FALSE)),""))</f>
        <v>0</v>
      </c>
      <c r="P724" s="227">
        <f>(IF((VLOOKUP(Table10[[#This Row],[SKU]],'All Skus'!$A:$AC,2,FALSE))="Martin",(VLOOKUP(Table10[[#This Row],[SKU]],'All Skus'!$A:$AC,20,FALSE)),""))</f>
        <v>0</v>
      </c>
      <c r="Q724" s="227">
        <f>(IF((VLOOKUP(Table10[[#This Row],[SKU]],'All Skus'!$A:$AC,2,FALSE))="Martin",(VLOOKUP(Table10[[#This Row],[SKU]],'All Skus'!$A:$AC,21,FALSE)),""))</f>
        <v>0</v>
      </c>
      <c r="R724" s="224">
        <f>(IF((VLOOKUP(Table10[[#This Row],[SKU]],'All Skus'!$A:$AC,2,FALSE))="Martin",(VLOOKUP(Table10[[#This Row],[SKU]],'All Skus'!$A:$AC,22,FALSE)),""))</f>
        <v>0</v>
      </c>
      <c r="S724" s="223">
        <f>(IF((VLOOKUP(Table10[[#This Row],[SKU]],'All Skus'!$A:$AC,2,FALSE))="Martin",(VLOOKUP(Table10[[#This Row],[SKU]],'All Skus'!$A:$AC,23,FALSE)),""))</f>
        <v>0</v>
      </c>
      <c r="T724" s="212" t="str">
        <f>HYPERLINK((IF((VLOOKUP(Table10[[#This Row],[SKU]],'All Skus'!$A:$AC,2,FALSE))="Martin",(VLOOKUP(Table10[[#This Row],[SKU]],'All Skus'!$A:$AC,24,FALSE)),"")))</f>
        <v/>
      </c>
      <c r="U724" s="228">
        <v>722</v>
      </c>
    </row>
    <row r="725" spans="1:21" hidden="1">
      <c r="A725" s="112" t="s">
        <v>2331</v>
      </c>
      <c r="B725" s="224" t="str">
        <f>(IF((VLOOKUP(Table10[[#This Row],[SKU]],'All Skus'!$A:$AC,2,FALSE))="Martin",(VLOOKUP(Table10[[#This Row],[SKU]],'All Skus'!$A:$AC,3,FALSE)),""))</f>
        <v>Linear</v>
      </c>
      <c r="C725" s="223" t="str">
        <f>(IF((VLOOKUP(Table10[[#This Row],[SKU]],'All Skus'!$A:$AC,2,FALSE))="Martin",(VLOOKUP(Table10[[#This Row],[SKU]],'All Skus'!$A:$AC,4,FALSE)),""))</f>
        <v>Set of 15 VC-Dot Splice Connectors</v>
      </c>
      <c r="D725" s="224" t="str">
        <f>(IF((VLOOKUP(Table10[[#This Row],[SKU]],'All Skus'!$A:$AC,2,FALSE))="Martin",(VLOOKUP(Table10[[#This Row],[SKU]],'All Skus'!$A:$AC,5,FALSE)),""))</f>
        <v>MAR-VC</v>
      </c>
      <c r="E725" s="223">
        <f>(IF((VLOOKUP(Table10[[#This Row],[SKU]],'All Skus'!$A:$AC,2,FALSE))="Martin",(VLOOKUP(Table10[[#This Row],[SKU]],'All Skus'!$A:$AC,6,FALSE)),""))</f>
        <v>0</v>
      </c>
      <c r="F725" s="155">
        <f>(IF((VLOOKUP(Table10[[#This Row],[SKU]],'All Skus'!$A:$AC,2,FALSE))="Martin",(VLOOKUP(Table10[[#This Row],[SKU]],'All Skus'!$A:$AC,7,FALSE)),""))</f>
        <v>0</v>
      </c>
      <c r="G725" s="223" t="str">
        <f>(IF((VLOOKUP(Table10[[#This Row],[SKU]],'All Skus'!$A:$AC,2,FALSE))="Martin",(VLOOKUP(Table10[[#This Row],[SKU]],'All Skus'!$A:$AC,8,FALSE)),""))</f>
        <v>Set of 15 VC-Dot Splice Connectors</v>
      </c>
      <c r="H725" s="223" t="str">
        <f>(IF((VLOOKUP(Table10[[#This Row],[SKU]],'All Skus'!$A:$AC,2,FALSE))="Martin",(VLOOKUP(Table10[[#This Row],[SKU]],'All Skus'!$A:$AC,9,FALSE)),""))</f>
        <v>Set of 15 VC-Dot Splice Connectors</v>
      </c>
      <c r="I725" s="225">
        <f>(IF((VLOOKUP(Table10[[#This Row],[SKU]],'All Skus'!$A:$AC,2,FALSE))="Martin",(VLOOKUP(Table10[[#This Row],[SKU]],'All Skus'!$A:$AC,10,FALSE)),""))</f>
        <v>64.209999999999994</v>
      </c>
      <c r="J725" s="226">
        <f>(IF((VLOOKUP(Table10[[#This Row],[SKU]],'All Skus'!$A:$AC,2,FALSE))="Martin",(VLOOKUP(Table10[[#This Row],[SKU]],'All Skus'!$A:$AC,11,FALSE)),""))</f>
        <v>64.209999999999994</v>
      </c>
      <c r="K725" s="224">
        <f>(IF((VLOOKUP(Table10[[#This Row],[SKU]],'All Skus'!$A:$AC,2,FALSE))="Martin",(VLOOKUP(Table10[[#This Row],[SKU]],'All Skus'!$A:$AC,15,FALSE)),""))</f>
        <v>0</v>
      </c>
      <c r="L725" s="224">
        <f>(IF((VLOOKUP(Table10[[#This Row],[SKU]],'All Skus'!$A:$AC,2,FALSE))="Martin",(VLOOKUP(Table10[[#This Row],[SKU]],'All Skus'!$A:$AC,16,FALSE)),""))</f>
        <v>5706681234752</v>
      </c>
      <c r="M725" s="224">
        <f>(IF((VLOOKUP(Table10[[#This Row],[SKU]],'All Skus'!$A:$AC,2,FALSE))="Martin",(VLOOKUP(Table10[[#This Row],[SKU]],'All Skus'!$A:$AC,17,FALSE)),""))</f>
        <v>0</v>
      </c>
      <c r="N725" s="227">
        <f>(IF((VLOOKUP(Table10[[#This Row],[SKU]],'All Skus'!$A:$AC,2,FALSE))="Martin",(VLOOKUP(Table10[[#This Row],[SKU]],'All Skus'!$A:$AC,18,FALSE)),""))</f>
        <v>0</v>
      </c>
      <c r="O725" s="227">
        <f>(IF((VLOOKUP(Table10[[#This Row],[SKU]],'All Skus'!$A:$AC,2,FALSE))="Martin",(VLOOKUP(Table10[[#This Row],[SKU]],'All Skus'!$A:$AC,19,FALSE)),""))</f>
        <v>0</v>
      </c>
      <c r="P725" s="227">
        <f>(IF((VLOOKUP(Table10[[#This Row],[SKU]],'All Skus'!$A:$AC,2,FALSE))="Martin",(VLOOKUP(Table10[[#This Row],[SKU]],'All Skus'!$A:$AC,20,FALSE)),""))</f>
        <v>0</v>
      </c>
      <c r="Q725" s="227">
        <f>(IF((VLOOKUP(Table10[[#This Row],[SKU]],'All Skus'!$A:$AC,2,FALSE))="Martin",(VLOOKUP(Table10[[#This Row],[SKU]],'All Skus'!$A:$AC,21,FALSE)),""))</f>
        <v>0</v>
      </c>
      <c r="R725" s="224" t="str">
        <f>(IF((VLOOKUP(Table10[[#This Row],[SKU]],'All Skus'!$A:$AC,2,FALSE))="Martin",(VLOOKUP(Table10[[#This Row],[SKU]],'All Skus'!$A:$AC,22,FALSE)),""))</f>
        <v>HU</v>
      </c>
      <c r="S725" s="223">
        <f>(IF((VLOOKUP(Table10[[#This Row],[SKU]],'All Skus'!$A:$AC,2,FALSE))="Martin",(VLOOKUP(Table10[[#This Row],[SKU]],'All Skus'!$A:$AC,23,FALSE)),""))</f>
        <v>0</v>
      </c>
      <c r="T725" s="212" t="str">
        <f>HYPERLINK((IF((VLOOKUP(Table10[[#This Row],[SKU]],'All Skus'!$A:$AC,2,FALSE))="Martin",(VLOOKUP(Table10[[#This Row],[SKU]],'All Skus'!$A:$AC,24,FALSE)),"")))</f>
        <v>http://www.martin.com/en-us/product-details/vc-dot-1</v>
      </c>
      <c r="U725" s="228">
        <v>723</v>
      </c>
    </row>
    <row r="726" spans="1:21" hidden="1">
      <c r="A726" s="115" t="s">
        <v>2332</v>
      </c>
      <c r="B726" s="224">
        <f>(IF((VLOOKUP(Table10[[#This Row],[SKU]],'All Skus'!$A:$AC,2,FALSE))="Martin",(VLOOKUP(Table10[[#This Row],[SKU]],'All Skus'!$A:$AC,3,FALSE)),""))</f>
        <v>0</v>
      </c>
      <c r="C726" s="223">
        <f>(IF((VLOOKUP(Table10[[#This Row],[SKU]],'All Skus'!$A:$AC,2,FALSE))="Martin",(VLOOKUP(Table10[[#This Row],[SKU]],'All Skus'!$A:$AC,4,FALSE)),""))</f>
        <v>0</v>
      </c>
      <c r="D726" s="224">
        <f>(IF((VLOOKUP(Table10[[#This Row],[SKU]],'All Skus'!$A:$AC,2,FALSE))="Martin",(VLOOKUP(Table10[[#This Row],[SKU]],'All Skus'!$A:$AC,5,FALSE)),""))</f>
        <v>0</v>
      </c>
      <c r="E726" s="223">
        <f>(IF((VLOOKUP(Table10[[#This Row],[SKU]],'All Skus'!$A:$AC,2,FALSE))="Martin",(VLOOKUP(Table10[[#This Row],[SKU]],'All Skus'!$A:$AC,6,FALSE)),""))</f>
        <v>0</v>
      </c>
      <c r="F726" s="155">
        <f>(IF((VLOOKUP(Table10[[#This Row],[SKU]],'All Skus'!$A:$AC,2,FALSE))="Martin",(VLOOKUP(Table10[[#This Row],[SKU]],'All Skus'!$A:$AC,7,FALSE)),""))</f>
        <v>0</v>
      </c>
      <c r="G726" s="223">
        <f>(IF((VLOOKUP(Table10[[#This Row],[SKU]],'All Skus'!$A:$AC,2,FALSE))="Martin",(VLOOKUP(Table10[[#This Row],[SKU]],'All Skus'!$A:$AC,8,FALSE)),""))</f>
        <v>0</v>
      </c>
      <c r="H726" s="223">
        <f>(IF((VLOOKUP(Table10[[#This Row],[SKU]],'All Skus'!$A:$AC,2,FALSE))="Martin",(VLOOKUP(Table10[[#This Row],[SKU]],'All Skus'!$A:$AC,9,FALSE)),""))</f>
        <v>0</v>
      </c>
      <c r="I726" s="225">
        <f>(IF((VLOOKUP(Table10[[#This Row],[SKU]],'All Skus'!$A:$AC,2,FALSE))="Martin",(VLOOKUP(Table10[[#This Row],[SKU]],'All Skus'!$A:$AC,10,FALSE)),""))</f>
        <v>0</v>
      </c>
      <c r="J726" s="226">
        <f>(IF((VLOOKUP(Table10[[#This Row],[SKU]],'All Skus'!$A:$AC,2,FALSE))="Martin",(VLOOKUP(Table10[[#This Row],[SKU]],'All Skus'!$A:$AC,11,FALSE)),""))</f>
        <v>0</v>
      </c>
      <c r="K726" s="224">
        <f>(IF((VLOOKUP(Table10[[#This Row],[SKU]],'All Skus'!$A:$AC,2,FALSE))="Martin",(VLOOKUP(Table10[[#This Row],[SKU]],'All Skus'!$A:$AC,15,FALSE)),""))</f>
        <v>0</v>
      </c>
      <c r="L726" s="224">
        <f>(IF((VLOOKUP(Table10[[#This Row],[SKU]],'All Skus'!$A:$AC,2,FALSE))="Martin",(VLOOKUP(Table10[[#This Row],[SKU]],'All Skus'!$A:$AC,16,FALSE)),""))</f>
        <v>0</v>
      </c>
      <c r="M726" s="224">
        <f>(IF((VLOOKUP(Table10[[#This Row],[SKU]],'All Skus'!$A:$AC,2,FALSE))="Martin",(VLOOKUP(Table10[[#This Row],[SKU]],'All Skus'!$A:$AC,17,FALSE)),""))</f>
        <v>0</v>
      </c>
      <c r="N726" s="227">
        <f>(IF((VLOOKUP(Table10[[#This Row],[SKU]],'All Skus'!$A:$AC,2,FALSE))="Martin",(VLOOKUP(Table10[[#This Row],[SKU]],'All Skus'!$A:$AC,18,FALSE)),""))</f>
        <v>0</v>
      </c>
      <c r="O726" s="227">
        <f>(IF((VLOOKUP(Table10[[#This Row],[SKU]],'All Skus'!$A:$AC,2,FALSE))="Martin",(VLOOKUP(Table10[[#This Row],[SKU]],'All Skus'!$A:$AC,19,FALSE)),""))</f>
        <v>0</v>
      </c>
      <c r="P726" s="227">
        <f>(IF((VLOOKUP(Table10[[#This Row],[SKU]],'All Skus'!$A:$AC,2,FALSE))="Martin",(VLOOKUP(Table10[[#This Row],[SKU]],'All Skus'!$A:$AC,20,FALSE)),""))</f>
        <v>0</v>
      </c>
      <c r="Q726" s="227">
        <f>(IF((VLOOKUP(Table10[[#This Row],[SKU]],'All Skus'!$A:$AC,2,FALSE))="Martin",(VLOOKUP(Table10[[#This Row],[SKU]],'All Skus'!$A:$AC,21,FALSE)),""))</f>
        <v>0</v>
      </c>
      <c r="R726" s="224">
        <f>(IF((VLOOKUP(Table10[[#This Row],[SKU]],'All Skus'!$A:$AC,2,FALSE))="Martin",(VLOOKUP(Table10[[#This Row],[SKU]],'All Skus'!$A:$AC,22,FALSE)),""))</f>
        <v>0</v>
      </c>
      <c r="S726" s="223">
        <f>(IF((VLOOKUP(Table10[[#This Row],[SKU]],'All Skus'!$A:$AC,2,FALSE))="Martin",(VLOOKUP(Table10[[#This Row],[SKU]],'All Skus'!$A:$AC,23,FALSE)),""))</f>
        <v>0</v>
      </c>
      <c r="T726" s="212" t="str">
        <f>HYPERLINK((IF((VLOOKUP(Table10[[#This Row],[SKU]],'All Skus'!$A:$AC,2,FALSE))="Martin",(VLOOKUP(Table10[[#This Row],[SKU]],'All Skus'!$A:$AC,24,FALSE)),"")))</f>
        <v/>
      </c>
      <c r="U726" s="228">
        <v>724</v>
      </c>
    </row>
    <row r="727" spans="1:21" hidden="1">
      <c r="A727" s="111" t="s">
        <v>2333</v>
      </c>
      <c r="B727" s="224">
        <f>(IF((VLOOKUP(Table10[[#This Row],[SKU]],'All Skus'!$A:$AC,2,FALSE))="Martin",(VLOOKUP(Table10[[#This Row],[SKU]],'All Skus'!$A:$AC,3,FALSE)),""))</f>
        <v>0</v>
      </c>
      <c r="C727" s="223">
        <f>(IF((VLOOKUP(Table10[[#This Row],[SKU]],'All Skus'!$A:$AC,2,FALSE))="Martin",(VLOOKUP(Table10[[#This Row],[SKU]],'All Skus'!$A:$AC,4,FALSE)),""))</f>
        <v>0</v>
      </c>
      <c r="D727" s="224">
        <f>(IF((VLOOKUP(Table10[[#This Row],[SKU]],'All Skus'!$A:$AC,2,FALSE))="Martin",(VLOOKUP(Table10[[#This Row],[SKU]],'All Skus'!$A:$AC,5,FALSE)),""))</f>
        <v>0</v>
      </c>
      <c r="E727" s="223">
        <f>(IF((VLOOKUP(Table10[[#This Row],[SKU]],'All Skus'!$A:$AC,2,FALSE))="Martin",(VLOOKUP(Table10[[#This Row],[SKU]],'All Skus'!$A:$AC,6,FALSE)),""))</f>
        <v>0</v>
      </c>
      <c r="F727" s="155">
        <f>(IF((VLOOKUP(Table10[[#This Row],[SKU]],'All Skus'!$A:$AC,2,FALSE))="Martin",(VLOOKUP(Table10[[#This Row],[SKU]],'All Skus'!$A:$AC,7,FALSE)),""))</f>
        <v>0</v>
      </c>
      <c r="G727" s="223">
        <f>(IF((VLOOKUP(Table10[[#This Row],[SKU]],'All Skus'!$A:$AC,2,FALSE))="Martin",(VLOOKUP(Table10[[#This Row],[SKU]],'All Skus'!$A:$AC,8,FALSE)),""))</f>
        <v>0</v>
      </c>
      <c r="H727" s="223">
        <f>(IF((VLOOKUP(Table10[[#This Row],[SKU]],'All Skus'!$A:$AC,2,FALSE))="Martin",(VLOOKUP(Table10[[#This Row],[SKU]],'All Skus'!$A:$AC,9,FALSE)),""))</f>
        <v>0</v>
      </c>
      <c r="I727" s="225">
        <f>(IF((VLOOKUP(Table10[[#This Row],[SKU]],'All Skus'!$A:$AC,2,FALSE))="Martin",(VLOOKUP(Table10[[#This Row],[SKU]],'All Skus'!$A:$AC,10,FALSE)),""))</f>
        <v>0</v>
      </c>
      <c r="J727" s="226">
        <f>(IF((VLOOKUP(Table10[[#This Row],[SKU]],'All Skus'!$A:$AC,2,FALSE))="Martin",(VLOOKUP(Table10[[#This Row],[SKU]],'All Skus'!$A:$AC,11,FALSE)),""))</f>
        <v>0</v>
      </c>
      <c r="K727" s="224">
        <f>(IF((VLOOKUP(Table10[[#This Row],[SKU]],'All Skus'!$A:$AC,2,FALSE))="Martin",(VLOOKUP(Table10[[#This Row],[SKU]],'All Skus'!$A:$AC,15,FALSE)),""))</f>
        <v>0</v>
      </c>
      <c r="L727" s="224">
        <f>(IF((VLOOKUP(Table10[[#This Row],[SKU]],'All Skus'!$A:$AC,2,FALSE))="Martin",(VLOOKUP(Table10[[#This Row],[SKU]],'All Skus'!$A:$AC,16,FALSE)),""))</f>
        <v>0</v>
      </c>
      <c r="M727" s="224">
        <f>(IF((VLOOKUP(Table10[[#This Row],[SKU]],'All Skus'!$A:$AC,2,FALSE))="Martin",(VLOOKUP(Table10[[#This Row],[SKU]],'All Skus'!$A:$AC,17,FALSE)),""))</f>
        <v>0</v>
      </c>
      <c r="N727" s="227">
        <f>(IF((VLOOKUP(Table10[[#This Row],[SKU]],'All Skus'!$A:$AC,2,FALSE))="Martin",(VLOOKUP(Table10[[#This Row],[SKU]],'All Skus'!$A:$AC,18,FALSE)),""))</f>
        <v>0</v>
      </c>
      <c r="O727" s="227">
        <f>(IF((VLOOKUP(Table10[[#This Row],[SKU]],'All Skus'!$A:$AC,2,FALSE))="Martin",(VLOOKUP(Table10[[#This Row],[SKU]],'All Skus'!$A:$AC,19,FALSE)),""))</f>
        <v>0</v>
      </c>
      <c r="P727" s="227">
        <f>(IF((VLOOKUP(Table10[[#This Row],[SKU]],'All Skus'!$A:$AC,2,FALSE))="Martin",(VLOOKUP(Table10[[#This Row],[SKU]],'All Skus'!$A:$AC,20,FALSE)),""))</f>
        <v>0</v>
      </c>
      <c r="Q727" s="227">
        <f>(IF((VLOOKUP(Table10[[#This Row],[SKU]],'All Skus'!$A:$AC,2,FALSE))="Martin",(VLOOKUP(Table10[[#This Row],[SKU]],'All Skus'!$A:$AC,21,FALSE)),""))</f>
        <v>0</v>
      </c>
      <c r="R727" s="224">
        <f>(IF((VLOOKUP(Table10[[#This Row],[SKU]],'All Skus'!$A:$AC,2,FALSE))="Martin",(VLOOKUP(Table10[[#This Row],[SKU]],'All Skus'!$A:$AC,22,FALSE)),""))</f>
        <v>0</v>
      </c>
      <c r="S727" s="223">
        <f>(IF((VLOOKUP(Table10[[#This Row],[SKU]],'All Skus'!$A:$AC,2,FALSE))="Martin",(VLOOKUP(Table10[[#This Row],[SKU]],'All Skus'!$A:$AC,23,FALSE)),""))</f>
        <v>0</v>
      </c>
      <c r="T727" s="212" t="str">
        <f>HYPERLINK((IF((VLOOKUP(Table10[[#This Row],[SKU]],'All Skus'!$A:$AC,2,FALSE))="Martin",(VLOOKUP(Table10[[#This Row],[SKU]],'All Skus'!$A:$AC,24,FALSE)),"")))</f>
        <v/>
      </c>
      <c r="U727" s="228">
        <v>725</v>
      </c>
    </row>
    <row r="728" spans="1:21" hidden="1">
      <c r="A728" s="115" t="s">
        <v>2334</v>
      </c>
      <c r="B728" s="224">
        <f>(IF((VLOOKUP(Table10[[#This Row],[SKU]],'All Skus'!$A:$AC,2,FALSE))="Martin",(VLOOKUP(Table10[[#This Row],[SKU]],'All Skus'!$A:$AC,3,FALSE)),""))</f>
        <v>0</v>
      </c>
      <c r="C728" s="223">
        <f>(IF((VLOOKUP(Table10[[#This Row],[SKU]],'All Skus'!$A:$AC,2,FALSE))="Martin",(VLOOKUP(Table10[[#This Row],[SKU]],'All Skus'!$A:$AC,4,FALSE)),""))</f>
        <v>0</v>
      </c>
      <c r="D728" s="224">
        <f>(IF((VLOOKUP(Table10[[#This Row],[SKU]],'All Skus'!$A:$AC,2,FALSE))="Martin",(VLOOKUP(Table10[[#This Row],[SKU]],'All Skus'!$A:$AC,5,FALSE)),""))</f>
        <v>0</v>
      </c>
      <c r="E728" s="223">
        <f>(IF((VLOOKUP(Table10[[#This Row],[SKU]],'All Skus'!$A:$AC,2,FALSE))="Martin",(VLOOKUP(Table10[[#This Row],[SKU]],'All Skus'!$A:$AC,6,FALSE)),""))</f>
        <v>0</v>
      </c>
      <c r="F728" s="155">
        <f>(IF((VLOOKUP(Table10[[#This Row],[SKU]],'All Skus'!$A:$AC,2,FALSE))="Martin",(VLOOKUP(Table10[[#This Row],[SKU]],'All Skus'!$A:$AC,7,FALSE)),""))</f>
        <v>0</v>
      </c>
      <c r="G728" s="223">
        <f>(IF((VLOOKUP(Table10[[#This Row],[SKU]],'All Skus'!$A:$AC,2,FALSE))="Martin",(VLOOKUP(Table10[[#This Row],[SKU]],'All Skus'!$A:$AC,8,FALSE)),""))</f>
        <v>0</v>
      </c>
      <c r="H728" s="223">
        <f>(IF((VLOOKUP(Table10[[#This Row],[SKU]],'All Skus'!$A:$AC,2,FALSE))="Martin",(VLOOKUP(Table10[[#This Row],[SKU]],'All Skus'!$A:$AC,9,FALSE)),""))</f>
        <v>0</v>
      </c>
      <c r="I728" s="225">
        <f>(IF((VLOOKUP(Table10[[#This Row],[SKU]],'All Skus'!$A:$AC,2,FALSE))="Martin",(VLOOKUP(Table10[[#This Row],[SKU]],'All Skus'!$A:$AC,10,FALSE)),""))</f>
        <v>0</v>
      </c>
      <c r="J728" s="226">
        <f>(IF((VLOOKUP(Table10[[#This Row],[SKU]],'All Skus'!$A:$AC,2,FALSE))="Martin",(VLOOKUP(Table10[[#This Row],[SKU]],'All Skus'!$A:$AC,11,FALSE)),""))</f>
        <v>0</v>
      </c>
      <c r="K728" s="224">
        <f>(IF((VLOOKUP(Table10[[#This Row],[SKU]],'All Skus'!$A:$AC,2,FALSE))="Martin",(VLOOKUP(Table10[[#This Row],[SKU]],'All Skus'!$A:$AC,15,FALSE)),""))</f>
        <v>0</v>
      </c>
      <c r="L728" s="224">
        <f>(IF((VLOOKUP(Table10[[#This Row],[SKU]],'All Skus'!$A:$AC,2,FALSE))="Martin",(VLOOKUP(Table10[[#This Row],[SKU]],'All Skus'!$A:$AC,16,FALSE)),""))</f>
        <v>0</v>
      </c>
      <c r="M728" s="224">
        <f>(IF((VLOOKUP(Table10[[#This Row],[SKU]],'All Skus'!$A:$AC,2,FALSE))="Martin",(VLOOKUP(Table10[[#This Row],[SKU]],'All Skus'!$A:$AC,17,FALSE)),""))</f>
        <v>0</v>
      </c>
      <c r="N728" s="227">
        <f>(IF((VLOOKUP(Table10[[#This Row],[SKU]],'All Skus'!$A:$AC,2,FALSE))="Martin",(VLOOKUP(Table10[[#This Row],[SKU]],'All Skus'!$A:$AC,18,FALSE)),""))</f>
        <v>0</v>
      </c>
      <c r="O728" s="227">
        <f>(IF((VLOOKUP(Table10[[#This Row],[SKU]],'All Skus'!$A:$AC,2,FALSE))="Martin",(VLOOKUP(Table10[[#This Row],[SKU]],'All Skus'!$A:$AC,19,FALSE)),""))</f>
        <v>0</v>
      </c>
      <c r="P728" s="227">
        <f>(IF((VLOOKUP(Table10[[#This Row],[SKU]],'All Skus'!$A:$AC,2,FALSE))="Martin",(VLOOKUP(Table10[[#This Row],[SKU]],'All Skus'!$A:$AC,20,FALSE)),""))</f>
        <v>0</v>
      </c>
      <c r="Q728" s="227">
        <f>(IF((VLOOKUP(Table10[[#This Row],[SKU]],'All Skus'!$A:$AC,2,FALSE))="Martin",(VLOOKUP(Table10[[#This Row],[SKU]],'All Skus'!$A:$AC,21,FALSE)),""))</f>
        <v>0</v>
      </c>
      <c r="R728" s="224">
        <f>(IF((VLOOKUP(Table10[[#This Row],[SKU]],'All Skus'!$A:$AC,2,FALSE))="Martin",(VLOOKUP(Table10[[#This Row],[SKU]],'All Skus'!$A:$AC,22,FALSE)),""))</f>
        <v>0</v>
      </c>
      <c r="S728" s="223">
        <f>(IF((VLOOKUP(Table10[[#This Row],[SKU]],'All Skus'!$A:$AC,2,FALSE))="Martin",(VLOOKUP(Table10[[#This Row],[SKU]],'All Skus'!$A:$AC,23,FALSE)),""))</f>
        <v>0</v>
      </c>
      <c r="T728" s="212" t="str">
        <f>HYPERLINK((IF((VLOOKUP(Table10[[#This Row],[SKU]],'All Skus'!$A:$AC,2,FALSE))="Martin",(VLOOKUP(Table10[[#This Row],[SKU]],'All Skus'!$A:$AC,24,FALSE)),"")))</f>
        <v/>
      </c>
      <c r="U728" s="228">
        <v>726</v>
      </c>
    </row>
    <row r="729" spans="1:21" hidden="1">
      <c r="A729" s="112" t="s">
        <v>2335</v>
      </c>
      <c r="B729" s="224">
        <f>(IF((VLOOKUP(Table10[[#This Row],[SKU]],'All Skus'!$A:$AC,2,FALSE))="Martin",(VLOOKUP(Table10[[#This Row],[SKU]],'All Skus'!$A:$AC,3,FALSE)),""))</f>
        <v>0</v>
      </c>
      <c r="C729" s="223" t="str">
        <f>(IF((VLOOKUP(Table10[[#This Row],[SKU]],'All Skus'!$A:$AC,2,FALSE))="Martin",(VLOOKUP(Table10[[#This Row],[SKU]],'All Skus'!$A:$AC,4,FALSE)),""))</f>
        <v>VDO Atomic Bold in cardboard</v>
      </c>
      <c r="D729" s="224" t="str">
        <f>(IF((VLOOKUP(Table10[[#This Row],[SKU]],'All Skus'!$A:$AC,2,FALSE))="Martin",(VLOOKUP(Table10[[#This Row],[SKU]],'All Skus'!$A:$AC,5,FALSE)),""))</f>
        <v>MAR-VDO</v>
      </c>
      <c r="E729" s="223">
        <f>(IF((VLOOKUP(Table10[[#This Row],[SKU]],'All Skus'!$A:$AC,2,FALSE))="Martin",(VLOOKUP(Table10[[#This Row],[SKU]],'All Skus'!$A:$AC,6,FALSE)),""))</f>
        <v>0</v>
      </c>
      <c r="F729" s="155">
        <f>(IF((VLOOKUP(Table10[[#This Row],[SKU]],'All Skus'!$A:$AC,2,FALSE))="Martin",(VLOOKUP(Table10[[#This Row],[SKU]],'All Skus'!$A:$AC,7,FALSE)),""))</f>
        <v>0</v>
      </c>
      <c r="G729" s="223" t="str">
        <f>(IF((VLOOKUP(Table10[[#This Row],[SKU]],'All Skus'!$A:$AC,2,FALSE))="Martin",(VLOOKUP(Table10[[#This Row],[SKU]],'All Skus'!$A:$AC,8,FALSE)),""))</f>
        <v>VDO Atomic Bold in cardboard</v>
      </c>
      <c r="H729" s="223" t="str">
        <f>(IF((VLOOKUP(Table10[[#This Row],[SKU]],'All Skus'!$A:$AC,2,FALSE))="Martin",(VLOOKUP(Table10[[#This Row],[SKU]],'All Skus'!$A:$AC,9,FALSE)),""))</f>
        <v>VDO Atomic Bold in cardboard</v>
      </c>
      <c r="I729" s="225">
        <f>(IF((VLOOKUP(Table10[[#This Row],[SKU]],'All Skus'!$A:$AC,2,FALSE))="Martin",(VLOOKUP(Table10[[#This Row],[SKU]],'All Skus'!$A:$AC,10,FALSE)),""))</f>
        <v>2018.84</v>
      </c>
      <c r="J729" s="226">
        <f>(IF((VLOOKUP(Table10[[#This Row],[SKU]],'All Skus'!$A:$AC,2,FALSE))="Martin",(VLOOKUP(Table10[[#This Row],[SKU]],'All Skus'!$A:$AC,11,FALSE)),""))</f>
        <v>2018.84</v>
      </c>
      <c r="K729" s="224">
        <f>(IF((VLOOKUP(Table10[[#This Row],[SKU]],'All Skus'!$A:$AC,2,FALSE))="Martin",(VLOOKUP(Table10[[#This Row],[SKU]],'All Skus'!$A:$AC,15,FALSE)),""))</f>
        <v>0</v>
      </c>
      <c r="L729" s="224">
        <f>(IF((VLOOKUP(Table10[[#This Row],[SKU]],'All Skus'!$A:$AC,2,FALSE))="Martin",(VLOOKUP(Table10[[#This Row],[SKU]],'All Skus'!$A:$AC,16,FALSE)),""))</f>
        <v>688705006550</v>
      </c>
      <c r="M729" s="224">
        <f>(IF((VLOOKUP(Table10[[#This Row],[SKU]],'All Skus'!$A:$AC,2,FALSE))="Martin",(VLOOKUP(Table10[[#This Row],[SKU]],'All Skus'!$A:$AC,17,FALSE)),""))</f>
        <v>0</v>
      </c>
      <c r="N729" s="227">
        <f>(IF((VLOOKUP(Table10[[#This Row],[SKU]],'All Skus'!$A:$AC,2,FALSE))="Martin",(VLOOKUP(Table10[[#This Row],[SKU]],'All Skus'!$A:$AC,18,FALSE)),""))</f>
        <v>0</v>
      </c>
      <c r="O729" s="227">
        <f>(IF((VLOOKUP(Table10[[#This Row],[SKU]],'All Skus'!$A:$AC,2,FALSE))="Martin",(VLOOKUP(Table10[[#This Row],[SKU]],'All Skus'!$A:$AC,19,FALSE)),""))</f>
        <v>0</v>
      </c>
      <c r="P729" s="227">
        <f>(IF((VLOOKUP(Table10[[#This Row],[SKU]],'All Skus'!$A:$AC,2,FALSE))="Martin",(VLOOKUP(Table10[[#This Row],[SKU]],'All Skus'!$A:$AC,20,FALSE)),""))</f>
        <v>0</v>
      </c>
      <c r="Q729" s="227">
        <f>(IF((VLOOKUP(Table10[[#This Row],[SKU]],'All Skus'!$A:$AC,2,FALSE))="Martin",(VLOOKUP(Table10[[#This Row],[SKU]],'All Skus'!$A:$AC,21,FALSE)),""))</f>
        <v>0</v>
      </c>
      <c r="R729" s="224" t="str">
        <f>(IF((VLOOKUP(Table10[[#This Row],[SKU]],'All Skus'!$A:$AC,2,FALSE))="Martin",(VLOOKUP(Table10[[#This Row],[SKU]],'All Skus'!$A:$AC,22,FALSE)),""))</f>
        <v>DE</v>
      </c>
      <c r="S729" s="223">
        <f>(IF((VLOOKUP(Table10[[#This Row],[SKU]],'All Skus'!$A:$AC,2,FALSE))="Martin",(VLOOKUP(Table10[[#This Row],[SKU]],'All Skus'!$A:$AC,23,FALSE)),""))</f>
        <v>0</v>
      </c>
      <c r="T729" s="212" t="str">
        <f>HYPERLINK((IF((VLOOKUP(Table10[[#This Row],[SKU]],'All Skus'!$A:$AC,2,FALSE))="Martin",(VLOOKUP(Table10[[#This Row],[SKU]],'All Skus'!$A:$AC,24,FALSE)),"")))</f>
        <v/>
      </c>
      <c r="U729" s="228">
        <v>727</v>
      </c>
    </row>
    <row r="730" spans="1:21" hidden="1">
      <c r="A730" s="115" t="s">
        <v>2336</v>
      </c>
      <c r="B730" s="224">
        <f>(IF((VLOOKUP(Table10[[#This Row],[SKU]],'All Skus'!$A:$AC,2,FALSE))="Martin",(VLOOKUP(Table10[[#This Row],[SKU]],'All Skus'!$A:$AC,3,FALSE)),""))</f>
        <v>0</v>
      </c>
      <c r="C730" s="223">
        <f>(IF((VLOOKUP(Table10[[#This Row],[SKU]],'All Skus'!$A:$AC,2,FALSE))="Martin",(VLOOKUP(Table10[[#This Row],[SKU]],'All Skus'!$A:$AC,4,FALSE)),""))</f>
        <v>0</v>
      </c>
      <c r="D730" s="224">
        <f>(IF((VLOOKUP(Table10[[#This Row],[SKU]],'All Skus'!$A:$AC,2,FALSE))="Martin",(VLOOKUP(Table10[[#This Row],[SKU]],'All Skus'!$A:$AC,5,FALSE)),""))</f>
        <v>0</v>
      </c>
      <c r="E730" s="223">
        <f>(IF((VLOOKUP(Table10[[#This Row],[SKU]],'All Skus'!$A:$AC,2,FALSE))="Martin",(VLOOKUP(Table10[[#This Row],[SKU]],'All Skus'!$A:$AC,6,FALSE)),""))</f>
        <v>0</v>
      </c>
      <c r="F730" s="155">
        <f>(IF((VLOOKUP(Table10[[#This Row],[SKU]],'All Skus'!$A:$AC,2,FALSE))="Martin",(VLOOKUP(Table10[[#This Row],[SKU]],'All Skus'!$A:$AC,7,FALSE)),""))</f>
        <v>0</v>
      </c>
      <c r="G730" s="223">
        <f>(IF((VLOOKUP(Table10[[#This Row],[SKU]],'All Skus'!$A:$AC,2,FALSE))="Martin",(VLOOKUP(Table10[[#This Row],[SKU]],'All Skus'!$A:$AC,8,FALSE)),""))</f>
        <v>0</v>
      </c>
      <c r="H730" s="223">
        <f>(IF((VLOOKUP(Table10[[#This Row],[SKU]],'All Skus'!$A:$AC,2,FALSE))="Martin",(VLOOKUP(Table10[[#This Row],[SKU]],'All Skus'!$A:$AC,9,FALSE)),""))</f>
        <v>0</v>
      </c>
      <c r="I730" s="225">
        <f>(IF((VLOOKUP(Table10[[#This Row],[SKU]],'All Skus'!$A:$AC,2,FALSE))="Martin",(VLOOKUP(Table10[[#This Row],[SKU]],'All Skus'!$A:$AC,10,FALSE)),""))</f>
        <v>0</v>
      </c>
      <c r="J730" s="226">
        <f>(IF((VLOOKUP(Table10[[#This Row],[SKU]],'All Skus'!$A:$AC,2,FALSE))="Martin",(VLOOKUP(Table10[[#This Row],[SKU]],'All Skus'!$A:$AC,11,FALSE)),""))</f>
        <v>0</v>
      </c>
      <c r="K730" s="224">
        <f>(IF((VLOOKUP(Table10[[#This Row],[SKU]],'All Skus'!$A:$AC,2,FALSE))="Martin",(VLOOKUP(Table10[[#This Row],[SKU]],'All Skus'!$A:$AC,15,FALSE)),""))</f>
        <v>0</v>
      </c>
      <c r="L730" s="224">
        <f>(IF((VLOOKUP(Table10[[#This Row],[SKU]],'All Skus'!$A:$AC,2,FALSE))="Martin",(VLOOKUP(Table10[[#This Row],[SKU]],'All Skus'!$A:$AC,16,FALSE)),""))</f>
        <v>0</v>
      </c>
      <c r="M730" s="224">
        <f>(IF((VLOOKUP(Table10[[#This Row],[SKU]],'All Skus'!$A:$AC,2,FALSE))="Martin",(VLOOKUP(Table10[[#This Row],[SKU]],'All Skus'!$A:$AC,17,FALSE)),""))</f>
        <v>0</v>
      </c>
      <c r="N730" s="227">
        <f>(IF((VLOOKUP(Table10[[#This Row],[SKU]],'All Skus'!$A:$AC,2,FALSE))="Martin",(VLOOKUP(Table10[[#This Row],[SKU]],'All Skus'!$A:$AC,18,FALSE)),""))</f>
        <v>0</v>
      </c>
      <c r="O730" s="227">
        <f>(IF((VLOOKUP(Table10[[#This Row],[SKU]],'All Skus'!$A:$AC,2,FALSE))="Martin",(VLOOKUP(Table10[[#This Row],[SKU]],'All Skus'!$A:$AC,19,FALSE)),""))</f>
        <v>0</v>
      </c>
      <c r="P730" s="227">
        <f>(IF((VLOOKUP(Table10[[#This Row],[SKU]],'All Skus'!$A:$AC,2,FALSE))="Martin",(VLOOKUP(Table10[[#This Row],[SKU]],'All Skus'!$A:$AC,20,FALSE)),""))</f>
        <v>0</v>
      </c>
      <c r="Q730" s="227">
        <f>(IF((VLOOKUP(Table10[[#This Row],[SKU]],'All Skus'!$A:$AC,2,FALSE))="Martin",(VLOOKUP(Table10[[#This Row],[SKU]],'All Skus'!$A:$AC,21,FALSE)),""))</f>
        <v>0</v>
      </c>
      <c r="R730" s="224">
        <f>(IF((VLOOKUP(Table10[[#This Row],[SKU]],'All Skus'!$A:$AC,2,FALSE))="Martin",(VLOOKUP(Table10[[#This Row],[SKU]],'All Skus'!$A:$AC,22,FALSE)),""))</f>
        <v>0</v>
      </c>
      <c r="S730" s="223">
        <f>(IF((VLOOKUP(Table10[[#This Row],[SKU]],'All Skus'!$A:$AC,2,FALSE))="Martin",(VLOOKUP(Table10[[#This Row],[SKU]],'All Skus'!$A:$AC,23,FALSE)),""))</f>
        <v>0</v>
      </c>
      <c r="T730" s="212" t="str">
        <f>HYPERLINK((IF((VLOOKUP(Table10[[#This Row],[SKU]],'All Skus'!$A:$AC,2,FALSE))="Martin",(VLOOKUP(Table10[[#This Row],[SKU]],'All Skus'!$A:$AC,24,FALSE)),"")))</f>
        <v/>
      </c>
      <c r="U730" s="228">
        <v>728</v>
      </c>
    </row>
    <row r="731" spans="1:21" hidden="1">
      <c r="A731" s="112">
        <v>90357701</v>
      </c>
      <c r="B731" s="224">
        <f>(IF((VLOOKUP(Table10[[#This Row],[SKU]],'All Skus'!$A:$AC,2,FALSE))="Martin",(VLOOKUP(Table10[[#This Row],[SKU]],'All Skus'!$A:$AC,3,FALSE)),""))</f>
        <v>0</v>
      </c>
      <c r="C731" s="223" t="str">
        <f>(IF((VLOOKUP(Table10[[#This Row],[SKU]],'All Skus'!$A:$AC,2,FALSE))="Martin",(VLOOKUP(Table10[[#This Row],[SKU]],'All Skus'!$A:$AC,4,FALSE)),""))</f>
        <v>VDO Atomic Dot CLD in cardboard</v>
      </c>
      <c r="D731" s="224" t="str">
        <f>(IF((VLOOKUP(Table10[[#This Row],[SKU]],'All Skus'!$A:$AC,2,FALSE))="Martin",(VLOOKUP(Table10[[#This Row],[SKU]],'All Skus'!$A:$AC,5,FALSE)),""))</f>
        <v>MAR-VDO</v>
      </c>
      <c r="E731" s="223">
        <f>(IF((VLOOKUP(Table10[[#This Row],[SKU]],'All Skus'!$A:$AC,2,FALSE))="Martin",(VLOOKUP(Table10[[#This Row],[SKU]],'All Skus'!$A:$AC,6,FALSE)),""))</f>
        <v>0</v>
      </c>
      <c r="F731" s="155">
        <f>(IF((VLOOKUP(Table10[[#This Row],[SKU]],'All Skus'!$A:$AC,2,FALSE))="Martin",(VLOOKUP(Table10[[#This Row],[SKU]],'All Skus'!$A:$AC,7,FALSE)),""))</f>
        <v>0</v>
      </c>
      <c r="G731" s="223" t="str">
        <f>(IF((VLOOKUP(Table10[[#This Row],[SKU]],'All Skus'!$A:$AC,2,FALSE))="Martin",(VLOOKUP(Table10[[#This Row],[SKU]],'All Skus'!$A:$AC,8,FALSE)),""))</f>
        <v>VDO Atomic Dot CLD in cardboard</v>
      </c>
      <c r="H731" s="223" t="str">
        <f>(IF((VLOOKUP(Table10[[#This Row],[SKU]],'All Skus'!$A:$AC,2,FALSE))="Martin",(VLOOKUP(Table10[[#This Row],[SKU]],'All Skus'!$A:$AC,9,FALSE)),""))</f>
        <v>VDO Atomic Dot CLD in cardboard</v>
      </c>
      <c r="I731" s="225">
        <f>(IF((VLOOKUP(Table10[[#This Row],[SKU]],'All Skus'!$A:$AC,2,FALSE))="Martin",(VLOOKUP(Table10[[#This Row],[SKU]],'All Skus'!$A:$AC,10,FALSE)),""))</f>
        <v>740.86</v>
      </c>
      <c r="J731" s="226">
        <f>(IF((VLOOKUP(Table10[[#This Row],[SKU]],'All Skus'!$A:$AC,2,FALSE))="Martin",(VLOOKUP(Table10[[#This Row],[SKU]],'All Skus'!$A:$AC,11,FALSE)),""))</f>
        <v>740.86</v>
      </c>
      <c r="K731" s="224">
        <f>(IF((VLOOKUP(Table10[[#This Row],[SKU]],'All Skus'!$A:$AC,2,FALSE))="Martin",(VLOOKUP(Table10[[#This Row],[SKU]],'All Skus'!$A:$AC,15,FALSE)),""))</f>
        <v>0</v>
      </c>
      <c r="L731" s="224">
        <f>(IF((VLOOKUP(Table10[[#This Row],[SKU]],'All Skus'!$A:$AC,2,FALSE))="Martin",(VLOOKUP(Table10[[#This Row],[SKU]],'All Skus'!$A:$AC,16,FALSE)),""))</f>
        <v>688705004167</v>
      </c>
      <c r="M731" s="224">
        <f>(IF((VLOOKUP(Table10[[#This Row],[SKU]],'All Skus'!$A:$AC,2,FALSE))="Martin",(VLOOKUP(Table10[[#This Row],[SKU]],'All Skus'!$A:$AC,17,FALSE)),""))</f>
        <v>0</v>
      </c>
      <c r="N731" s="227">
        <f>(IF((VLOOKUP(Table10[[#This Row],[SKU]],'All Skus'!$A:$AC,2,FALSE))="Martin",(VLOOKUP(Table10[[#This Row],[SKU]],'All Skus'!$A:$AC,18,FALSE)),""))</f>
        <v>0</v>
      </c>
      <c r="O731" s="227">
        <f>(IF((VLOOKUP(Table10[[#This Row],[SKU]],'All Skus'!$A:$AC,2,FALSE))="Martin",(VLOOKUP(Table10[[#This Row],[SKU]],'All Skus'!$A:$AC,19,FALSE)),""))</f>
        <v>0</v>
      </c>
      <c r="P731" s="227">
        <f>(IF((VLOOKUP(Table10[[#This Row],[SKU]],'All Skus'!$A:$AC,2,FALSE))="Martin",(VLOOKUP(Table10[[#This Row],[SKU]],'All Skus'!$A:$AC,20,FALSE)),""))</f>
        <v>0</v>
      </c>
      <c r="Q731" s="227">
        <f>(IF((VLOOKUP(Table10[[#This Row],[SKU]],'All Skus'!$A:$AC,2,FALSE))="Martin",(VLOOKUP(Table10[[#This Row],[SKU]],'All Skus'!$A:$AC,21,FALSE)),""))</f>
        <v>0</v>
      </c>
      <c r="R731" s="224" t="str">
        <f>(IF((VLOOKUP(Table10[[#This Row],[SKU]],'All Skus'!$A:$AC,2,FALSE))="Martin",(VLOOKUP(Table10[[#This Row],[SKU]],'All Skus'!$A:$AC,22,FALSE)),""))</f>
        <v>CN</v>
      </c>
      <c r="S731" s="223" t="str">
        <f>(IF((VLOOKUP(Table10[[#This Row],[SKU]],'All Skus'!$A:$AC,2,FALSE))="Martin",(VLOOKUP(Table10[[#This Row],[SKU]],'All Skus'!$A:$AC,23,FALSE)),""))</f>
        <v>Non Compliant</v>
      </c>
      <c r="T731" s="212" t="str">
        <f>HYPERLINK((IF((VLOOKUP(Table10[[#This Row],[SKU]],'All Skus'!$A:$AC,2,FALSE))="Martin",(VLOOKUP(Table10[[#This Row],[SKU]],'All Skus'!$A:$AC,24,FALSE)),"")))</f>
        <v/>
      </c>
      <c r="U731" s="228">
        <v>729</v>
      </c>
    </row>
    <row r="732" spans="1:21" hidden="1">
      <c r="A732" s="112">
        <v>90357702</v>
      </c>
      <c r="B732" s="224">
        <f>(IF((VLOOKUP(Table10[[#This Row],[SKU]],'All Skus'!$A:$AC,2,FALSE))="Martin",(VLOOKUP(Table10[[#This Row],[SKU]],'All Skus'!$A:$AC,3,FALSE)),""))</f>
        <v>0</v>
      </c>
      <c r="C732" s="223" t="str">
        <f>(IF((VLOOKUP(Table10[[#This Row],[SKU]],'All Skus'!$A:$AC,2,FALSE))="Martin",(VLOOKUP(Table10[[#This Row],[SKU]],'All Skus'!$A:$AC,4,FALSE)),""))</f>
        <v>VDO Atomic Dot WRM in cardboard</v>
      </c>
      <c r="D732" s="224" t="str">
        <f>(IF((VLOOKUP(Table10[[#This Row],[SKU]],'All Skus'!$A:$AC,2,FALSE))="Martin",(VLOOKUP(Table10[[#This Row],[SKU]],'All Skus'!$A:$AC,5,FALSE)),""))</f>
        <v>MAR-VDO</v>
      </c>
      <c r="E732" s="223">
        <f>(IF((VLOOKUP(Table10[[#This Row],[SKU]],'All Skus'!$A:$AC,2,FALSE))="Martin",(VLOOKUP(Table10[[#This Row],[SKU]],'All Skus'!$A:$AC,6,FALSE)),""))</f>
        <v>0</v>
      </c>
      <c r="F732" s="155">
        <f>(IF((VLOOKUP(Table10[[#This Row],[SKU]],'All Skus'!$A:$AC,2,FALSE))="Martin",(VLOOKUP(Table10[[#This Row],[SKU]],'All Skus'!$A:$AC,7,FALSE)),""))</f>
        <v>0</v>
      </c>
      <c r="G732" s="223" t="str">
        <f>(IF((VLOOKUP(Table10[[#This Row],[SKU]],'All Skus'!$A:$AC,2,FALSE))="Martin",(VLOOKUP(Table10[[#This Row],[SKU]],'All Skus'!$A:$AC,8,FALSE)),""))</f>
        <v>VDO Atomic Dot WRM in cardboard</v>
      </c>
      <c r="H732" s="223" t="str">
        <f>(IF((VLOOKUP(Table10[[#This Row],[SKU]],'All Skus'!$A:$AC,2,FALSE))="Martin",(VLOOKUP(Table10[[#This Row],[SKU]],'All Skus'!$A:$AC,9,FALSE)),""))</f>
        <v>VDO Atomic Dot WRM in cardboard</v>
      </c>
      <c r="I732" s="225">
        <f>(IF((VLOOKUP(Table10[[#This Row],[SKU]],'All Skus'!$A:$AC,2,FALSE))="Martin",(VLOOKUP(Table10[[#This Row],[SKU]],'All Skus'!$A:$AC,10,FALSE)),""))</f>
        <v>740.86</v>
      </c>
      <c r="J732" s="226">
        <f>(IF((VLOOKUP(Table10[[#This Row],[SKU]],'All Skus'!$A:$AC,2,FALSE))="Martin",(VLOOKUP(Table10[[#This Row],[SKU]],'All Skus'!$A:$AC,11,FALSE)),""))</f>
        <v>740.86</v>
      </c>
      <c r="K732" s="224">
        <f>(IF((VLOOKUP(Table10[[#This Row],[SKU]],'All Skus'!$A:$AC,2,FALSE))="Martin",(VLOOKUP(Table10[[#This Row],[SKU]],'All Skus'!$A:$AC,15,FALSE)),""))</f>
        <v>0</v>
      </c>
      <c r="L732" s="224">
        <f>(IF((VLOOKUP(Table10[[#This Row],[SKU]],'All Skus'!$A:$AC,2,FALSE))="Martin",(VLOOKUP(Table10[[#This Row],[SKU]],'All Skus'!$A:$AC,16,FALSE)),""))</f>
        <v>688705004174</v>
      </c>
      <c r="M732" s="224">
        <f>(IF((VLOOKUP(Table10[[#This Row],[SKU]],'All Skus'!$A:$AC,2,FALSE))="Martin",(VLOOKUP(Table10[[#This Row],[SKU]],'All Skus'!$A:$AC,17,FALSE)),""))</f>
        <v>0</v>
      </c>
      <c r="N732" s="227">
        <f>(IF((VLOOKUP(Table10[[#This Row],[SKU]],'All Skus'!$A:$AC,2,FALSE))="Martin",(VLOOKUP(Table10[[#This Row],[SKU]],'All Skus'!$A:$AC,18,FALSE)),""))</f>
        <v>0</v>
      </c>
      <c r="O732" s="227">
        <f>(IF((VLOOKUP(Table10[[#This Row],[SKU]],'All Skus'!$A:$AC,2,FALSE))="Martin",(VLOOKUP(Table10[[#This Row],[SKU]],'All Skus'!$A:$AC,19,FALSE)),""))</f>
        <v>0</v>
      </c>
      <c r="P732" s="227">
        <f>(IF((VLOOKUP(Table10[[#This Row],[SKU]],'All Skus'!$A:$AC,2,FALSE))="Martin",(VLOOKUP(Table10[[#This Row],[SKU]],'All Skus'!$A:$AC,20,FALSE)),""))</f>
        <v>0</v>
      </c>
      <c r="Q732" s="227">
        <f>(IF((VLOOKUP(Table10[[#This Row],[SKU]],'All Skus'!$A:$AC,2,FALSE))="Martin",(VLOOKUP(Table10[[#This Row],[SKU]],'All Skus'!$A:$AC,21,FALSE)),""))</f>
        <v>0</v>
      </c>
      <c r="R732" s="224" t="str">
        <f>(IF((VLOOKUP(Table10[[#This Row],[SKU]],'All Skus'!$A:$AC,2,FALSE))="Martin",(VLOOKUP(Table10[[#This Row],[SKU]],'All Skus'!$A:$AC,22,FALSE)),""))</f>
        <v>CN</v>
      </c>
      <c r="S732" s="223" t="str">
        <f>(IF((VLOOKUP(Table10[[#This Row],[SKU]],'All Skus'!$A:$AC,2,FALSE))="Martin",(VLOOKUP(Table10[[#This Row],[SKU]],'All Skus'!$A:$AC,23,FALSE)),""))</f>
        <v>Non Compliant</v>
      </c>
      <c r="T732" s="212" t="str">
        <f>HYPERLINK((IF((VLOOKUP(Table10[[#This Row],[SKU]],'All Skus'!$A:$AC,2,FALSE))="Martin",(VLOOKUP(Table10[[#This Row],[SKU]],'All Skus'!$A:$AC,24,FALSE)),"")))</f>
        <v/>
      </c>
      <c r="U732" s="228">
        <v>730</v>
      </c>
    </row>
    <row r="733" spans="1:21" hidden="1">
      <c r="A733" s="115" t="s">
        <v>2337</v>
      </c>
      <c r="B733" s="224">
        <f>(IF((VLOOKUP(Table10[[#This Row],[SKU]],'All Skus'!$A:$AC,2,FALSE))="Martin",(VLOOKUP(Table10[[#This Row],[SKU]],'All Skus'!$A:$AC,3,FALSE)),""))</f>
        <v>0</v>
      </c>
      <c r="C733" s="223">
        <f>(IF((VLOOKUP(Table10[[#This Row],[SKU]],'All Skus'!$A:$AC,2,FALSE))="Martin",(VLOOKUP(Table10[[#This Row],[SKU]],'All Skus'!$A:$AC,4,FALSE)),""))</f>
        <v>0</v>
      </c>
      <c r="D733" s="224">
        <f>(IF((VLOOKUP(Table10[[#This Row],[SKU]],'All Skus'!$A:$AC,2,FALSE))="Martin",(VLOOKUP(Table10[[#This Row],[SKU]],'All Skus'!$A:$AC,5,FALSE)),""))</f>
        <v>0</v>
      </c>
      <c r="E733" s="223">
        <f>(IF((VLOOKUP(Table10[[#This Row],[SKU]],'All Skus'!$A:$AC,2,FALSE))="Martin",(VLOOKUP(Table10[[#This Row],[SKU]],'All Skus'!$A:$AC,6,FALSE)),""))</f>
        <v>0</v>
      </c>
      <c r="F733" s="155">
        <f>(IF((VLOOKUP(Table10[[#This Row],[SKU]],'All Skus'!$A:$AC,2,FALSE))="Martin",(VLOOKUP(Table10[[#This Row],[SKU]],'All Skus'!$A:$AC,7,FALSE)),""))</f>
        <v>0</v>
      </c>
      <c r="G733" s="223">
        <f>(IF((VLOOKUP(Table10[[#This Row],[SKU]],'All Skus'!$A:$AC,2,FALSE))="Martin",(VLOOKUP(Table10[[#This Row],[SKU]],'All Skus'!$A:$AC,8,FALSE)),""))</f>
        <v>0</v>
      </c>
      <c r="H733" s="223">
        <f>(IF((VLOOKUP(Table10[[#This Row],[SKU]],'All Skus'!$A:$AC,2,FALSE))="Martin",(VLOOKUP(Table10[[#This Row],[SKU]],'All Skus'!$A:$AC,9,FALSE)),""))</f>
        <v>0</v>
      </c>
      <c r="I733" s="225">
        <f>(IF((VLOOKUP(Table10[[#This Row],[SKU]],'All Skus'!$A:$AC,2,FALSE))="Martin",(VLOOKUP(Table10[[#This Row],[SKU]],'All Skus'!$A:$AC,10,FALSE)),""))</f>
        <v>0</v>
      </c>
      <c r="J733" s="226">
        <f>(IF((VLOOKUP(Table10[[#This Row],[SKU]],'All Skus'!$A:$AC,2,FALSE))="Martin",(VLOOKUP(Table10[[#This Row],[SKU]],'All Skus'!$A:$AC,11,FALSE)),""))</f>
        <v>0</v>
      </c>
      <c r="K733" s="224">
        <f>(IF((VLOOKUP(Table10[[#This Row],[SKU]],'All Skus'!$A:$AC,2,FALSE))="Martin",(VLOOKUP(Table10[[#This Row],[SKU]],'All Skus'!$A:$AC,15,FALSE)),""))</f>
        <v>0</v>
      </c>
      <c r="L733" s="224">
        <f>(IF((VLOOKUP(Table10[[#This Row],[SKU]],'All Skus'!$A:$AC,2,FALSE))="Martin",(VLOOKUP(Table10[[#This Row],[SKU]],'All Skus'!$A:$AC,16,FALSE)),""))</f>
        <v>0</v>
      </c>
      <c r="M733" s="224">
        <f>(IF((VLOOKUP(Table10[[#This Row],[SKU]],'All Skus'!$A:$AC,2,FALSE))="Martin",(VLOOKUP(Table10[[#This Row],[SKU]],'All Skus'!$A:$AC,17,FALSE)),""))</f>
        <v>0</v>
      </c>
      <c r="N733" s="227">
        <f>(IF((VLOOKUP(Table10[[#This Row],[SKU]],'All Skus'!$A:$AC,2,FALSE))="Martin",(VLOOKUP(Table10[[#This Row],[SKU]],'All Skus'!$A:$AC,18,FALSE)),""))</f>
        <v>0</v>
      </c>
      <c r="O733" s="227">
        <f>(IF((VLOOKUP(Table10[[#This Row],[SKU]],'All Skus'!$A:$AC,2,FALSE))="Martin",(VLOOKUP(Table10[[#This Row],[SKU]],'All Skus'!$A:$AC,19,FALSE)),""))</f>
        <v>0</v>
      </c>
      <c r="P733" s="227">
        <f>(IF((VLOOKUP(Table10[[#This Row],[SKU]],'All Skus'!$A:$AC,2,FALSE))="Martin",(VLOOKUP(Table10[[#This Row],[SKU]],'All Skus'!$A:$AC,20,FALSE)),""))</f>
        <v>0</v>
      </c>
      <c r="Q733" s="227">
        <f>(IF((VLOOKUP(Table10[[#This Row],[SKU]],'All Skus'!$A:$AC,2,FALSE))="Martin",(VLOOKUP(Table10[[#This Row],[SKU]],'All Skus'!$A:$AC,21,FALSE)),""))</f>
        <v>0</v>
      </c>
      <c r="R733" s="224">
        <f>(IF((VLOOKUP(Table10[[#This Row],[SKU]],'All Skus'!$A:$AC,2,FALSE))="Martin",(VLOOKUP(Table10[[#This Row],[SKU]],'All Skus'!$A:$AC,22,FALSE)),""))</f>
        <v>0</v>
      </c>
      <c r="S733" s="223">
        <f>(IF((VLOOKUP(Table10[[#This Row],[SKU]],'All Skus'!$A:$AC,2,FALSE))="Martin",(VLOOKUP(Table10[[#This Row],[SKU]],'All Skus'!$A:$AC,23,FALSE)),""))</f>
        <v>0</v>
      </c>
      <c r="T733" s="212" t="str">
        <f>HYPERLINK((IF((VLOOKUP(Table10[[#This Row],[SKU]],'All Skus'!$A:$AC,2,FALSE))="Martin",(VLOOKUP(Table10[[#This Row],[SKU]],'All Skus'!$A:$AC,24,FALSE)),"")))</f>
        <v/>
      </c>
      <c r="U733" s="228">
        <v>731</v>
      </c>
    </row>
    <row r="734" spans="1:21" hidden="1">
      <c r="A734" s="112" t="s">
        <v>2338</v>
      </c>
      <c r="B734" s="224">
        <f>(IF((VLOOKUP(Table10[[#This Row],[SKU]],'All Skus'!$A:$AC,2,FALSE))="Martin",(VLOOKUP(Table10[[#This Row],[SKU]],'All Skus'!$A:$AC,3,FALSE)),""))</f>
        <v>0</v>
      </c>
      <c r="C734" s="223" t="str">
        <f>(IF((VLOOKUP(Table10[[#This Row],[SKU]],'All Skus'!$A:$AC,2,FALSE))="Martin",(VLOOKUP(Table10[[#This Row],[SKU]],'All Skus'!$A:$AC,4,FALSE)),""))</f>
        <v>VDO Atomic Bold Diffuser 60 Degrees</v>
      </c>
      <c r="D734" s="224" t="str">
        <f>(IF((VLOOKUP(Table10[[#This Row],[SKU]],'All Skus'!$A:$AC,2,FALSE))="Martin",(VLOOKUP(Table10[[#This Row],[SKU]],'All Skus'!$A:$AC,5,FALSE)),""))</f>
        <v>MAR-VDO</v>
      </c>
      <c r="E734" s="223">
        <f>(IF((VLOOKUP(Table10[[#This Row],[SKU]],'All Skus'!$A:$AC,2,FALSE))="Martin",(VLOOKUP(Table10[[#This Row],[SKU]],'All Skus'!$A:$AC,6,FALSE)),""))</f>
        <v>0</v>
      </c>
      <c r="F734" s="155">
        <f>(IF((VLOOKUP(Table10[[#This Row],[SKU]],'All Skus'!$A:$AC,2,FALSE))="Martin",(VLOOKUP(Table10[[#This Row],[SKU]],'All Skus'!$A:$AC,7,FALSE)),""))</f>
        <v>0</v>
      </c>
      <c r="G734" s="223" t="str">
        <f>(IF((VLOOKUP(Table10[[#This Row],[SKU]],'All Skus'!$A:$AC,2,FALSE))="Martin",(VLOOKUP(Table10[[#This Row],[SKU]],'All Skus'!$A:$AC,8,FALSE)),""))</f>
        <v>VDO Atomic Bold Diffuser 60 Degrees</v>
      </c>
      <c r="H734" s="223" t="str">
        <f>(IF((VLOOKUP(Table10[[#This Row],[SKU]],'All Skus'!$A:$AC,2,FALSE))="Martin",(VLOOKUP(Table10[[#This Row],[SKU]],'All Skus'!$A:$AC,9,FALSE)),""))</f>
        <v>VDO Atomic Bold Diffuser 60 Degrees</v>
      </c>
      <c r="I734" s="225">
        <f>(IF((VLOOKUP(Table10[[#This Row],[SKU]],'All Skus'!$A:$AC,2,FALSE))="Martin",(VLOOKUP(Table10[[#This Row],[SKU]],'All Skus'!$A:$AC,10,FALSE)),""))</f>
        <v>172.87</v>
      </c>
      <c r="J734" s="226">
        <f>(IF((VLOOKUP(Table10[[#This Row],[SKU]],'All Skus'!$A:$AC,2,FALSE))="Martin",(VLOOKUP(Table10[[#This Row],[SKU]],'All Skus'!$A:$AC,11,FALSE)),""))</f>
        <v>172.87</v>
      </c>
      <c r="K734" s="224">
        <f>(IF((VLOOKUP(Table10[[#This Row],[SKU]],'All Skus'!$A:$AC,2,FALSE))="Martin",(VLOOKUP(Table10[[#This Row],[SKU]],'All Skus'!$A:$AC,15,FALSE)),""))</f>
        <v>0</v>
      </c>
      <c r="L734" s="224">
        <f>(IF((VLOOKUP(Table10[[#This Row],[SKU]],'All Skus'!$A:$AC,2,FALSE))="Martin",(VLOOKUP(Table10[[#This Row],[SKU]],'All Skus'!$A:$AC,16,FALSE)),""))</f>
        <v>688705007243</v>
      </c>
      <c r="M734" s="224">
        <f>(IF((VLOOKUP(Table10[[#This Row],[SKU]],'All Skus'!$A:$AC,2,FALSE))="Martin",(VLOOKUP(Table10[[#This Row],[SKU]],'All Skus'!$A:$AC,17,FALSE)),""))</f>
        <v>0</v>
      </c>
      <c r="N734" s="227">
        <f>(IF((VLOOKUP(Table10[[#This Row],[SKU]],'All Skus'!$A:$AC,2,FALSE))="Martin",(VLOOKUP(Table10[[#This Row],[SKU]],'All Skus'!$A:$AC,18,FALSE)),""))</f>
        <v>0</v>
      </c>
      <c r="O734" s="227">
        <f>(IF((VLOOKUP(Table10[[#This Row],[SKU]],'All Skus'!$A:$AC,2,FALSE))="Martin",(VLOOKUP(Table10[[#This Row],[SKU]],'All Skus'!$A:$AC,19,FALSE)),""))</f>
        <v>0</v>
      </c>
      <c r="P734" s="227">
        <f>(IF((VLOOKUP(Table10[[#This Row],[SKU]],'All Skus'!$A:$AC,2,FALSE))="Martin",(VLOOKUP(Table10[[#This Row],[SKU]],'All Skus'!$A:$AC,20,FALSE)),""))</f>
        <v>0</v>
      </c>
      <c r="Q734" s="227">
        <f>(IF((VLOOKUP(Table10[[#This Row],[SKU]],'All Skus'!$A:$AC,2,FALSE))="Martin",(VLOOKUP(Table10[[#This Row],[SKU]],'All Skus'!$A:$AC,21,FALSE)),""))</f>
        <v>0</v>
      </c>
      <c r="R734" s="224" t="str">
        <f>(IF((VLOOKUP(Table10[[#This Row],[SKU]],'All Skus'!$A:$AC,2,FALSE))="Martin",(VLOOKUP(Table10[[#This Row],[SKU]],'All Skus'!$A:$AC,22,FALSE)),""))</f>
        <v>CN</v>
      </c>
      <c r="S734" s="223">
        <f>(IF((VLOOKUP(Table10[[#This Row],[SKU]],'All Skus'!$A:$AC,2,FALSE))="Martin",(VLOOKUP(Table10[[#This Row],[SKU]],'All Skus'!$A:$AC,23,FALSE)),""))</f>
        <v>0</v>
      </c>
      <c r="T734" s="212" t="str">
        <f>HYPERLINK((IF((VLOOKUP(Table10[[#This Row],[SKU]],'All Skus'!$A:$AC,2,FALSE))="Martin",(VLOOKUP(Table10[[#This Row],[SKU]],'All Skus'!$A:$AC,24,FALSE)),"")))</f>
        <v/>
      </c>
      <c r="U734" s="228">
        <v>732</v>
      </c>
    </row>
    <row r="735" spans="1:21" hidden="1">
      <c r="A735" s="112" t="s">
        <v>2339</v>
      </c>
      <c r="B735" s="224">
        <f>(IF((VLOOKUP(Table10[[#This Row],[SKU]],'All Skus'!$A:$AC,2,FALSE))="Martin",(VLOOKUP(Table10[[#This Row],[SKU]],'All Skus'!$A:$AC,3,FALSE)),""))</f>
        <v>0</v>
      </c>
      <c r="C735" s="223" t="str">
        <f>(IF((VLOOKUP(Table10[[#This Row],[SKU]],'All Skus'!$A:$AC,2,FALSE))="Martin",(VLOOKUP(Table10[[#This Row],[SKU]],'All Skus'!$A:$AC,4,FALSE)),""))</f>
        <v>VDO Atomic Bold Diffuser 30 Degrees</v>
      </c>
      <c r="D735" s="224" t="str">
        <f>(IF((VLOOKUP(Table10[[#This Row],[SKU]],'All Skus'!$A:$AC,2,FALSE))="Martin",(VLOOKUP(Table10[[#This Row],[SKU]],'All Skus'!$A:$AC,5,FALSE)),""))</f>
        <v>MAR-VDO</v>
      </c>
      <c r="E735" s="223">
        <f>(IF((VLOOKUP(Table10[[#This Row],[SKU]],'All Skus'!$A:$AC,2,FALSE))="Martin",(VLOOKUP(Table10[[#This Row],[SKU]],'All Skus'!$A:$AC,6,FALSE)),""))</f>
        <v>0</v>
      </c>
      <c r="F735" s="155">
        <f>(IF((VLOOKUP(Table10[[#This Row],[SKU]],'All Skus'!$A:$AC,2,FALSE))="Martin",(VLOOKUP(Table10[[#This Row],[SKU]],'All Skus'!$A:$AC,7,FALSE)),""))</f>
        <v>0</v>
      </c>
      <c r="G735" s="223" t="str">
        <f>(IF((VLOOKUP(Table10[[#This Row],[SKU]],'All Skus'!$A:$AC,2,FALSE))="Martin",(VLOOKUP(Table10[[#This Row],[SKU]],'All Skus'!$A:$AC,8,FALSE)),""))</f>
        <v>VDO Atomic Bold Diffuser 30 Degrees</v>
      </c>
      <c r="H735" s="223" t="str">
        <f>(IF((VLOOKUP(Table10[[#This Row],[SKU]],'All Skus'!$A:$AC,2,FALSE))="Martin",(VLOOKUP(Table10[[#This Row],[SKU]],'All Skus'!$A:$AC,9,FALSE)),""))</f>
        <v>VDO Atomic Bold Diffuser 30 Degrees</v>
      </c>
      <c r="I735" s="225">
        <f>(IF((VLOOKUP(Table10[[#This Row],[SKU]],'All Skus'!$A:$AC,2,FALSE))="Martin",(VLOOKUP(Table10[[#This Row],[SKU]],'All Skus'!$A:$AC,10,FALSE)),""))</f>
        <v>172.87</v>
      </c>
      <c r="J735" s="226">
        <f>(IF((VLOOKUP(Table10[[#This Row],[SKU]],'All Skus'!$A:$AC,2,FALSE))="Martin",(VLOOKUP(Table10[[#This Row],[SKU]],'All Skus'!$A:$AC,11,FALSE)),""))</f>
        <v>172.87</v>
      </c>
      <c r="K735" s="224">
        <f>(IF((VLOOKUP(Table10[[#This Row],[SKU]],'All Skus'!$A:$AC,2,FALSE))="Martin",(VLOOKUP(Table10[[#This Row],[SKU]],'All Skus'!$A:$AC,15,FALSE)),""))</f>
        <v>0</v>
      </c>
      <c r="L735" s="224">
        <f>(IF((VLOOKUP(Table10[[#This Row],[SKU]],'All Skus'!$A:$AC,2,FALSE))="Martin",(VLOOKUP(Table10[[#This Row],[SKU]],'All Skus'!$A:$AC,16,FALSE)),""))</f>
        <v>688705007229</v>
      </c>
      <c r="M735" s="224">
        <f>(IF((VLOOKUP(Table10[[#This Row],[SKU]],'All Skus'!$A:$AC,2,FALSE))="Martin",(VLOOKUP(Table10[[#This Row],[SKU]],'All Skus'!$A:$AC,17,FALSE)),""))</f>
        <v>0</v>
      </c>
      <c r="N735" s="227">
        <f>(IF((VLOOKUP(Table10[[#This Row],[SKU]],'All Skus'!$A:$AC,2,FALSE))="Martin",(VLOOKUP(Table10[[#This Row],[SKU]],'All Skus'!$A:$AC,18,FALSE)),""))</f>
        <v>0</v>
      </c>
      <c r="O735" s="227">
        <f>(IF((VLOOKUP(Table10[[#This Row],[SKU]],'All Skus'!$A:$AC,2,FALSE))="Martin",(VLOOKUP(Table10[[#This Row],[SKU]],'All Skus'!$A:$AC,19,FALSE)),""))</f>
        <v>0</v>
      </c>
      <c r="P735" s="227">
        <f>(IF((VLOOKUP(Table10[[#This Row],[SKU]],'All Skus'!$A:$AC,2,FALSE))="Martin",(VLOOKUP(Table10[[#This Row],[SKU]],'All Skus'!$A:$AC,20,FALSE)),""))</f>
        <v>0</v>
      </c>
      <c r="Q735" s="227">
        <f>(IF((VLOOKUP(Table10[[#This Row],[SKU]],'All Skus'!$A:$AC,2,FALSE))="Martin",(VLOOKUP(Table10[[#This Row],[SKU]],'All Skus'!$A:$AC,21,FALSE)),""))</f>
        <v>0</v>
      </c>
      <c r="R735" s="224" t="str">
        <f>(IF((VLOOKUP(Table10[[#This Row],[SKU]],'All Skus'!$A:$AC,2,FALSE))="Martin",(VLOOKUP(Table10[[#This Row],[SKU]],'All Skus'!$A:$AC,22,FALSE)),""))</f>
        <v>DE</v>
      </c>
      <c r="S735" s="223">
        <f>(IF((VLOOKUP(Table10[[#This Row],[SKU]],'All Skus'!$A:$AC,2,FALSE))="Martin",(VLOOKUP(Table10[[#This Row],[SKU]],'All Skus'!$A:$AC,23,FALSE)),""))</f>
        <v>0</v>
      </c>
      <c r="T735" s="212" t="str">
        <f>HYPERLINK((IF((VLOOKUP(Table10[[#This Row],[SKU]],'All Skus'!$A:$AC,2,FALSE))="Martin",(VLOOKUP(Table10[[#This Row],[SKU]],'All Skus'!$A:$AC,24,FALSE)),"")))</f>
        <v/>
      </c>
      <c r="U735" s="228">
        <v>733</v>
      </c>
    </row>
    <row r="736" spans="1:21" hidden="1">
      <c r="A736" s="112">
        <v>91610002</v>
      </c>
      <c r="B736" s="224">
        <f>(IF((VLOOKUP(Table10[[#This Row],[SKU]],'All Skus'!$A:$AC,2,FALSE))="Martin",(VLOOKUP(Table10[[#This Row],[SKU]],'All Skus'!$A:$AC,3,FALSE)),""))</f>
        <v>0</v>
      </c>
      <c r="C736" s="223" t="str">
        <f>(IF((VLOOKUP(Table10[[#This Row],[SKU]],'All Skus'!$A:$AC,2,FALSE))="Martin",(VLOOKUP(Table10[[#This Row],[SKU]],'All Skus'!$A:$AC,4,FALSE)),""))</f>
        <v>VDO Atomic Dot Diffuser 60 Degrees</v>
      </c>
      <c r="D736" s="224" t="str">
        <f>(IF((VLOOKUP(Table10[[#This Row],[SKU]],'All Skus'!$A:$AC,2,FALSE))="Martin",(VLOOKUP(Table10[[#This Row],[SKU]],'All Skus'!$A:$AC,5,FALSE)),""))</f>
        <v>MAR-VDO</v>
      </c>
      <c r="E736" s="223">
        <f>(IF((VLOOKUP(Table10[[#This Row],[SKU]],'All Skus'!$A:$AC,2,FALSE))="Martin",(VLOOKUP(Table10[[#This Row],[SKU]],'All Skus'!$A:$AC,6,FALSE)),""))</f>
        <v>0</v>
      </c>
      <c r="F736" s="155">
        <f>(IF((VLOOKUP(Table10[[#This Row],[SKU]],'All Skus'!$A:$AC,2,FALSE))="Martin",(VLOOKUP(Table10[[#This Row],[SKU]],'All Skus'!$A:$AC,7,FALSE)),""))</f>
        <v>0</v>
      </c>
      <c r="G736" s="223" t="str">
        <f>(IF((VLOOKUP(Table10[[#This Row],[SKU]],'All Skus'!$A:$AC,2,FALSE))="Martin",(VLOOKUP(Table10[[#This Row],[SKU]],'All Skus'!$A:$AC,8,FALSE)),""))</f>
        <v>VDO Atomic Dot Diffuser 60 Degrees</v>
      </c>
      <c r="H736" s="223" t="str">
        <f>(IF((VLOOKUP(Table10[[#This Row],[SKU]],'All Skus'!$A:$AC,2,FALSE))="Martin",(VLOOKUP(Table10[[#This Row],[SKU]],'All Skus'!$A:$AC,9,FALSE)),""))</f>
        <v>VDO Atomic Dot Diffuser 60 Degrees</v>
      </c>
      <c r="I736" s="225">
        <f>(IF((VLOOKUP(Table10[[#This Row],[SKU]],'All Skus'!$A:$AC,2,FALSE))="Martin",(VLOOKUP(Table10[[#This Row],[SKU]],'All Skus'!$A:$AC,10,FALSE)),""))</f>
        <v>43.22</v>
      </c>
      <c r="J736" s="226">
        <f>(IF((VLOOKUP(Table10[[#This Row],[SKU]],'All Skus'!$A:$AC,2,FALSE))="Martin",(VLOOKUP(Table10[[#This Row],[SKU]],'All Skus'!$A:$AC,11,FALSE)),""))</f>
        <v>43.22</v>
      </c>
      <c r="K736" s="224">
        <f>(IF((VLOOKUP(Table10[[#This Row],[SKU]],'All Skus'!$A:$AC,2,FALSE))="Martin",(VLOOKUP(Table10[[#This Row],[SKU]],'All Skus'!$A:$AC,15,FALSE)),""))</f>
        <v>0</v>
      </c>
      <c r="L736" s="224">
        <f>(IF((VLOOKUP(Table10[[#This Row],[SKU]],'All Skus'!$A:$AC,2,FALSE))="Martin",(VLOOKUP(Table10[[#This Row],[SKU]],'All Skus'!$A:$AC,16,FALSE)),""))</f>
        <v>0</v>
      </c>
      <c r="M736" s="224">
        <f>(IF((VLOOKUP(Table10[[#This Row],[SKU]],'All Skus'!$A:$AC,2,FALSE))="Martin",(VLOOKUP(Table10[[#This Row],[SKU]],'All Skus'!$A:$AC,17,FALSE)),""))</f>
        <v>0</v>
      </c>
      <c r="N736" s="227">
        <f>(IF((VLOOKUP(Table10[[#This Row],[SKU]],'All Skus'!$A:$AC,2,FALSE))="Martin",(VLOOKUP(Table10[[#This Row],[SKU]],'All Skus'!$A:$AC,18,FALSE)),""))</f>
        <v>0</v>
      </c>
      <c r="O736" s="227">
        <f>(IF((VLOOKUP(Table10[[#This Row],[SKU]],'All Skus'!$A:$AC,2,FALSE))="Martin",(VLOOKUP(Table10[[#This Row],[SKU]],'All Skus'!$A:$AC,19,FALSE)),""))</f>
        <v>0</v>
      </c>
      <c r="P736" s="227">
        <f>(IF((VLOOKUP(Table10[[#This Row],[SKU]],'All Skus'!$A:$AC,2,FALSE))="Martin",(VLOOKUP(Table10[[#This Row],[SKU]],'All Skus'!$A:$AC,20,FALSE)),""))</f>
        <v>0</v>
      </c>
      <c r="Q736" s="227">
        <f>(IF((VLOOKUP(Table10[[#This Row],[SKU]],'All Skus'!$A:$AC,2,FALSE))="Martin",(VLOOKUP(Table10[[#This Row],[SKU]],'All Skus'!$A:$AC,21,FALSE)),""))</f>
        <v>0</v>
      </c>
      <c r="R736" s="224" t="str">
        <f>(IF((VLOOKUP(Table10[[#This Row],[SKU]],'All Skus'!$A:$AC,2,FALSE))="Martin",(VLOOKUP(Table10[[#This Row],[SKU]],'All Skus'!$A:$AC,22,FALSE)),""))</f>
        <v>CN</v>
      </c>
      <c r="S736" s="223" t="str">
        <f>(IF((VLOOKUP(Table10[[#This Row],[SKU]],'All Skus'!$A:$AC,2,FALSE))="Martin",(VLOOKUP(Table10[[#This Row],[SKU]],'All Skus'!$A:$AC,23,FALSE)),""))</f>
        <v>Non Compliant</v>
      </c>
      <c r="T736" s="212" t="str">
        <f>HYPERLINK((IF((VLOOKUP(Table10[[#This Row],[SKU]],'All Skus'!$A:$AC,2,FALSE))="Martin",(VLOOKUP(Table10[[#This Row],[SKU]],'All Skus'!$A:$AC,24,FALSE)),"")))</f>
        <v/>
      </c>
      <c r="U736" s="228">
        <v>734</v>
      </c>
    </row>
    <row r="737" spans="1:21" hidden="1">
      <c r="A737" s="112">
        <v>91610005</v>
      </c>
      <c r="B737" s="224">
        <f>(IF((VLOOKUP(Table10[[#This Row],[SKU]],'All Skus'!$A:$AC,2,FALSE))="Martin",(VLOOKUP(Table10[[#This Row],[SKU]],'All Skus'!$A:$AC,3,FALSE)),""))</f>
        <v>0</v>
      </c>
      <c r="C737" s="223" t="str">
        <f>(IF((VLOOKUP(Table10[[#This Row],[SKU]],'All Skus'!$A:$AC,2,FALSE))="Martin",(VLOOKUP(Table10[[#This Row],[SKU]],'All Skus'!$A:$AC,4,FALSE)),""))</f>
        <v>VDO Atomic Dot Diffuser 30 Degrees</v>
      </c>
      <c r="D737" s="224" t="str">
        <f>(IF((VLOOKUP(Table10[[#This Row],[SKU]],'All Skus'!$A:$AC,2,FALSE))="Martin",(VLOOKUP(Table10[[#This Row],[SKU]],'All Skus'!$A:$AC,5,FALSE)),""))</f>
        <v>MAR-VDO</v>
      </c>
      <c r="E737" s="223">
        <f>(IF((VLOOKUP(Table10[[#This Row],[SKU]],'All Skus'!$A:$AC,2,FALSE))="Martin",(VLOOKUP(Table10[[#This Row],[SKU]],'All Skus'!$A:$AC,6,FALSE)),""))</f>
        <v>0</v>
      </c>
      <c r="F737" s="155">
        <f>(IF((VLOOKUP(Table10[[#This Row],[SKU]],'All Skus'!$A:$AC,2,FALSE))="Martin",(VLOOKUP(Table10[[#This Row],[SKU]],'All Skus'!$A:$AC,7,FALSE)),""))</f>
        <v>0</v>
      </c>
      <c r="G737" s="223" t="str">
        <f>(IF((VLOOKUP(Table10[[#This Row],[SKU]],'All Skus'!$A:$AC,2,FALSE))="Martin",(VLOOKUP(Table10[[#This Row],[SKU]],'All Skus'!$A:$AC,8,FALSE)),""))</f>
        <v>VDO Atomic Dot Diffuser 30 Degrees</v>
      </c>
      <c r="H737" s="223" t="str">
        <f>(IF((VLOOKUP(Table10[[#This Row],[SKU]],'All Skus'!$A:$AC,2,FALSE))="Martin",(VLOOKUP(Table10[[#This Row],[SKU]],'All Skus'!$A:$AC,9,FALSE)),""))</f>
        <v>VDO Atomic Dot Diffuser 30 Degrees</v>
      </c>
      <c r="I737" s="225">
        <f>(IF((VLOOKUP(Table10[[#This Row],[SKU]],'All Skus'!$A:$AC,2,FALSE))="Martin",(VLOOKUP(Table10[[#This Row],[SKU]],'All Skus'!$A:$AC,10,FALSE)),""))</f>
        <v>43.22</v>
      </c>
      <c r="J737" s="226">
        <f>(IF((VLOOKUP(Table10[[#This Row],[SKU]],'All Skus'!$A:$AC,2,FALSE))="Martin",(VLOOKUP(Table10[[#This Row],[SKU]],'All Skus'!$A:$AC,11,FALSE)),""))</f>
        <v>43.22</v>
      </c>
      <c r="K737" s="224">
        <f>(IF((VLOOKUP(Table10[[#This Row],[SKU]],'All Skus'!$A:$AC,2,FALSE))="Martin",(VLOOKUP(Table10[[#This Row],[SKU]],'All Skus'!$A:$AC,15,FALSE)),""))</f>
        <v>0</v>
      </c>
      <c r="L737" s="224">
        <f>(IF((VLOOKUP(Table10[[#This Row],[SKU]],'All Skus'!$A:$AC,2,FALSE))="Martin",(VLOOKUP(Table10[[#This Row],[SKU]],'All Skus'!$A:$AC,16,FALSE)),""))</f>
        <v>0</v>
      </c>
      <c r="M737" s="224">
        <f>(IF((VLOOKUP(Table10[[#This Row],[SKU]],'All Skus'!$A:$AC,2,FALSE))="Martin",(VLOOKUP(Table10[[#This Row],[SKU]],'All Skus'!$A:$AC,17,FALSE)),""))</f>
        <v>0</v>
      </c>
      <c r="N737" s="227">
        <f>(IF((VLOOKUP(Table10[[#This Row],[SKU]],'All Skus'!$A:$AC,2,FALSE))="Martin",(VLOOKUP(Table10[[#This Row],[SKU]],'All Skus'!$A:$AC,18,FALSE)),""))</f>
        <v>0</v>
      </c>
      <c r="O737" s="227">
        <f>(IF((VLOOKUP(Table10[[#This Row],[SKU]],'All Skus'!$A:$AC,2,FALSE))="Martin",(VLOOKUP(Table10[[#This Row],[SKU]],'All Skus'!$A:$AC,19,FALSE)),""))</f>
        <v>0</v>
      </c>
      <c r="P737" s="227">
        <f>(IF((VLOOKUP(Table10[[#This Row],[SKU]],'All Skus'!$A:$AC,2,FALSE))="Martin",(VLOOKUP(Table10[[#This Row],[SKU]],'All Skus'!$A:$AC,20,FALSE)),""))</f>
        <v>0</v>
      </c>
      <c r="Q737" s="227">
        <f>(IF((VLOOKUP(Table10[[#This Row],[SKU]],'All Skus'!$A:$AC,2,FALSE))="Martin",(VLOOKUP(Table10[[#This Row],[SKU]],'All Skus'!$A:$AC,21,FALSE)),""))</f>
        <v>0</v>
      </c>
      <c r="R737" s="224" t="str">
        <f>(IF((VLOOKUP(Table10[[#This Row],[SKU]],'All Skus'!$A:$AC,2,FALSE))="Martin",(VLOOKUP(Table10[[#This Row],[SKU]],'All Skus'!$A:$AC,22,FALSE)),""))</f>
        <v>CN</v>
      </c>
      <c r="S737" s="223" t="str">
        <f>(IF((VLOOKUP(Table10[[#This Row],[SKU]],'All Skus'!$A:$AC,2,FALSE))="Martin",(VLOOKUP(Table10[[#This Row],[SKU]],'All Skus'!$A:$AC,23,FALSE)),""))</f>
        <v>Non Compliant</v>
      </c>
      <c r="T737" s="212" t="str">
        <f>HYPERLINK((IF((VLOOKUP(Table10[[#This Row],[SKU]],'All Skus'!$A:$AC,2,FALSE))="Martin",(VLOOKUP(Table10[[#This Row],[SKU]],'All Skus'!$A:$AC,24,FALSE)),"")))</f>
        <v/>
      </c>
      <c r="U737" s="228">
        <v>735</v>
      </c>
    </row>
    <row r="738" spans="1:21" hidden="1">
      <c r="A738" s="229">
        <v>91610003</v>
      </c>
      <c r="B738" s="224">
        <f>(IF((VLOOKUP(Table10[[#This Row],[SKU]],'All Skus'!$A:$AC,2,FALSE))="Martin",(VLOOKUP(Table10[[#This Row],[SKU]],'All Skus'!$A:$AC,3,FALSE)),""))</f>
        <v>0</v>
      </c>
      <c r="C738" s="223" t="str">
        <f>(IF((VLOOKUP(Table10[[#This Row],[SKU]],'All Skus'!$A:$AC,2,FALSE))="Martin",(VLOOKUP(Table10[[#This Row],[SKU]],'All Skus'!$A:$AC,4,FALSE)),""))</f>
        <v>Set of 10 VDO Atomic Couplers</v>
      </c>
      <c r="D738" s="224" t="str">
        <f>(IF((VLOOKUP(Table10[[#This Row],[SKU]],'All Skus'!$A:$AC,2,FALSE))="Martin",(VLOOKUP(Table10[[#This Row],[SKU]],'All Skus'!$A:$AC,5,FALSE)),""))</f>
        <v>MAR-VDO</v>
      </c>
      <c r="E738" s="223">
        <f>(IF((VLOOKUP(Table10[[#This Row],[SKU]],'All Skus'!$A:$AC,2,FALSE))="Martin",(VLOOKUP(Table10[[#This Row],[SKU]],'All Skus'!$A:$AC,6,FALSE)),""))</f>
        <v>0</v>
      </c>
      <c r="F738" s="155">
        <f>(IF((VLOOKUP(Table10[[#This Row],[SKU]],'All Skus'!$A:$AC,2,FALSE))="Martin",(VLOOKUP(Table10[[#This Row],[SKU]],'All Skus'!$A:$AC,7,FALSE)),""))</f>
        <v>0</v>
      </c>
      <c r="G738" s="223" t="str">
        <f>(IF((VLOOKUP(Table10[[#This Row],[SKU]],'All Skus'!$A:$AC,2,FALSE))="Martin",(VLOOKUP(Table10[[#This Row],[SKU]],'All Skus'!$A:$AC,8,FALSE)),""))</f>
        <v>Set of 10 VDO Atomic Couplers</v>
      </c>
      <c r="H738" s="223" t="str">
        <f>(IF((VLOOKUP(Table10[[#This Row],[SKU]],'All Skus'!$A:$AC,2,FALSE))="Martin",(VLOOKUP(Table10[[#This Row],[SKU]],'All Skus'!$A:$AC,9,FALSE)),""))</f>
        <v>Set of 10 VDO Atomic Couplers</v>
      </c>
      <c r="I738" s="225">
        <f>(IF((VLOOKUP(Table10[[#This Row],[SKU]],'All Skus'!$A:$AC,2,FALSE))="Martin",(VLOOKUP(Table10[[#This Row],[SKU]],'All Skus'!$A:$AC,10,FALSE)),""))</f>
        <v>413.65</v>
      </c>
      <c r="J738" s="226">
        <f>(IF((VLOOKUP(Table10[[#This Row],[SKU]],'All Skus'!$A:$AC,2,FALSE))="Martin",(VLOOKUP(Table10[[#This Row],[SKU]],'All Skus'!$A:$AC,11,FALSE)),""))</f>
        <v>413.65</v>
      </c>
      <c r="K738" s="224">
        <f>(IF((VLOOKUP(Table10[[#This Row],[SKU]],'All Skus'!$A:$AC,2,FALSE))="Martin",(VLOOKUP(Table10[[#This Row],[SKU]],'All Skus'!$A:$AC,15,FALSE)),""))</f>
        <v>0</v>
      </c>
      <c r="L738" s="224">
        <f>(IF((VLOOKUP(Table10[[#This Row],[SKU]],'All Skus'!$A:$AC,2,FALSE))="Martin",(VLOOKUP(Table10[[#This Row],[SKU]],'All Skus'!$A:$AC,16,FALSE)),""))</f>
        <v>0</v>
      </c>
      <c r="M738" s="224">
        <f>(IF((VLOOKUP(Table10[[#This Row],[SKU]],'All Skus'!$A:$AC,2,FALSE))="Martin",(VLOOKUP(Table10[[#This Row],[SKU]],'All Skus'!$A:$AC,17,FALSE)),""))</f>
        <v>0</v>
      </c>
      <c r="N738" s="227">
        <f>(IF((VLOOKUP(Table10[[#This Row],[SKU]],'All Skus'!$A:$AC,2,FALSE))="Martin",(VLOOKUP(Table10[[#This Row],[SKU]],'All Skus'!$A:$AC,18,FALSE)),""))</f>
        <v>0</v>
      </c>
      <c r="O738" s="227">
        <f>(IF((VLOOKUP(Table10[[#This Row],[SKU]],'All Skus'!$A:$AC,2,FALSE))="Martin",(VLOOKUP(Table10[[#This Row],[SKU]],'All Skus'!$A:$AC,19,FALSE)),""))</f>
        <v>0</v>
      </c>
      <c r="P738" s="227">
        <f>(IF((VLOOKUP(Table10[[#This Row],[SKU]],'All Skus'!$A:$AC,2,FALSE))="Martin",(VLOOKUP(Table10[[#This Row],[SKU]],'All Skus'!$A:$AC,20,FALSE)),""))</f>
        <v>0</v>
      </c>
      <c r="Q738" s="227">
        <f>(IF((VLOOKUP(Table10[[#This Row],[SKU]],'All Skus'!$A:$AC,2,FALSE))="Martin",(VLOOKUP(Table10[[#This Row],[SKU]],'All Skus'!$A:$AC,21,FALSE)),""))</f>
        <v>0</v>
      </c>
      <c r="R738" s="224" t="str">
        <f>(IF((VLOOKUP(Table10[[#This Row],[SKU]],'All Skus'!$A:$AC,2,FALSE))="Martin",(VLOOKUP(Table10[[#This Row],[SKU]],'All Skus'!$A:$AC,22,FALSE)),""))</f>
        <v>CN</v>
      </c>
      <c r="S738" s="223" t="str">
        <f>(IF((VLOOKUP(Table10[[#This Row],[SKU]],'All Skus'!$A:$AC,2,FALSE))="Martin",(VLOOKUP(Table10[[#This Row],[SKU]],'All Skus'!$A:$AC,23,FALSE)),""))</f>
        <v>Non Compliant</v>
      </c>
      <c r="T738" s="212" t="str">
        <f>HYPERLINK((IF((VLOOKUP(Table10[[#This Row],[SKU]],'All Skus'!$A:$AC,2,FALSE))="Martin",(VLOOKUP(Table10[[#This Row],[SKU]],'All Skus'!$A:$AC,24,FALSE)),"")))</f>
        <v/>
      </c>
      <c r="U738" s="228">
        <v>736</v>
      </c>
    </row>
    <row r="739" spans="1:21" hidden="1">
      <c r="A739" s="112">
        <v>91610004</v>
      </c>
      <c r="B739" s="224">
        <f>(IF((VLOOKUP(Table10[[#This Row],[SKU]],'All Skus'!$A:$AC,2,FALSE))="Martin",(VLOOKUP(Table10[[#This Row],[SKU]],'All Skus'!$A:$AC,3,FALSE)),""))</f>
        <v>0</v>
      </c>
      <c r="C739" s="223" t="str">
        <f>(IF((VLOOKUP(Table10[[#This Row],[SKU]],'All Skus'!$A:$AC,2,FALSE))="Martin",(VLOOKUP(Table10[[#This Row],[SKU]],'All Skus'!$A:$AC,4,FALSE)),""))</f>
        <v>VDO Atomic Half Coupler</v>
      </c>
      <c r="D739" s="224" t="str">
        <f>(IF((VLOOKUP(Table10[[#This Row],[SKU]],'All Skus'!$A:$AC,2,FALSE))="Martin",(VLOOKUP(Table10[[#This Row],[SKU]],'All Skus'!$A:$AC,5,FALSE)),""))</f>
        <v>MAR-VDO</v>
      </c>
      <c r="E739" s="223">
        <f>(IF((VLOOKUP(Table10[[#This Row],[SKU]],'All Skus'!$A:$AC,2,FALSE))="Martin",(VLOOKUP(Table10[[#This Row],[SKU]],'All Skus'!$A:$AC,6,FALSE)),""))</f>
        <v>0</v>
      </c>
      <c r="F739" s="155">
        <f>(IF((VLOOKUP(Table10[[#This Row],[SKU]],'All Skus'!$A:$AC,2,FALSE))="Martin",(VLOOKUP(Table10[[#This Row],[SKU]],'All Skus'!$A:$AC,7,FALSE)),""))</f>
        <v>0</v>
      </c>
      <c r="G739" s="223" t="str">
        <f>(IF((VLOOKUP(Table10[[#This Row],[SKU]],'All Skus'!$A:$AC,2,FALSE))="Martin",(VLOOKUP(Table10[[#This Row],[SKU]],'All Skus'!$A:$AC,8,FALSE)),""))</f>
        <v>VDO Atomic Half Coupler</v>
      </c>
      <c r="H739" s="223" t="str">
        <f>(IF((VLOOKUP(Table10[[#This Row],[SKU]],'All Skus'!$A:$AC,2,FALSE))="Martin",(VLOOKUP(Table10[[#This Row],[SKU]],'All Skus'!$A:$AC,9,FALSE)),""))</f>
        <v>VDO Atomic Half Coupler</v>
      </c>
      <c r="I739" s="225">
        <f>(IF((VLOOKUP(Table10[[#This Row],[SKU]],'All Skus'!$A:$AC,2,FALSE))="Martin",(VLOOKUP(Table10[[#This Row],[SKU]],'All Skus'!$A:$AC,10,FALSE)),""))</f>
        <v>123.48</v>
      </c>
      <c r="J739" s="226">
        <f>(IF((VLOOKUP(Table10[[#This Row],[SKU]],'All Skus'!$A:$AC,2,FALSE))="Martin",(VLOOKUP(Table10[[#This Row],[SKU]],'All Skus'!$A:$AC,11,FALSE)),""))</f>
        <v>123.48</v>
      </c>
      <c r="K739" s="224">
        <f>(IF((VLOOKUP(Table10[[#This Row],[SKU]],'All Skus'!$A:$AC,2,FALSE))="Martin",(VLOOKUP(Table10[[#This Row],[SKU]],'All Skus'!$A:$AC,15,FALSE)),""))</f>
        <v>0</v>
      </c>
      <c r="L739" s="224">
        <f>(IF((VLOOKUP(Table10[[#This Row],[SKU]],'All Skus'!$A:$AC,2,FALSE))="Martin",(VLOOKUP(Table10[[#This Row],[SKU]],'All Skus'!$A:$AC,16,FALSE)),""))</f>
        <v>0</v>
      </c>
      <c r="M739" s="224">
        <f>(IF((VLOOKUP(Table10[[#This Row],[SKU]],'All Skus'!$A:$AC,2,FALSE))="Martin",(VLOOKUP(Table10[[#This Row],[SKU]],'All Skus'!$A:$AC,17,FALSE)),""))</f>
        <v>0</v>
      </c>
      <c r="N739" s="227">
        <f>(IF((VLOOKUP(Table10[[#This Row],[SKU]],'All Skus'!$A:$AC,2,FALSE))="Martin",(VLOOKUP(Table10[[#This Row],[SKU]],'All Skus'!$A:$AC,18,FALSE)),""))</f>
        <v>0</v>
      </c>
      <c r="O739" s="227">
        <f>(IF((VLOOKUP(Table10[[#This Row],[SKU]],'All Skus'!$A:$AC,2,FALSE))="Martin",(VLOOKUP(Table10[[#This Row],[SKU]],'All Skus'!$A:$AC,19,FALSE)),""))</f>
        <v>0</v>
      </c>
      <c r="P739" s="227">
        <f>(IF((VLOOKUP(Table10[[#This Row],[SKU]],'All Skus'!$A:$AC,2,FALSE))="Martin",(VLOOKUP(Table10[[#This Row],[SKU]],'All Skus'!$A:$AC,20,FALSE)),""))</f>
        <v>0</v>
      </c>
      <c r="Q739" s="227">
        <f>(IF((VLOOKUP(Table10[[#This Row],[SKU]],'All Skus'!$A:$AC,2,FALSE))="Martin",(VLOOKUP(Table10[[#This Row],[SKU]],'All Skus'!$A:$AC,21,FALSE)),""))</f>
        <v>0</v>
      </c>
      <c r="R739" s="224" t="str">
        <f>(IF((VLOOKUP(Table10[[#This Row],[SKU]],'All Skus'!$A:$AC,2,FALSE))="Martin",(VLOOKUP(Table10[[#This Row],[SKU]],'All Skus'!$A:$AC,22,FALSE)),""))</f>
        <v>GB</v>
      </c>
      <c r="S739" s="223">
        <f>(IF((VLOOKUP(Table10[[#This Row],[SKU]],'All Skus'!$A:$AC,2,FALSE))="Martin",(VLOOKUP(Table10[[#This Row],[SKU]],'All Skus'!$A:$AC,23,FALSE)),""))</f>
        <v>0</v>
      </c>
      <c r="T739" s="212" t="str">
        <f>HYPERLINK((IF((VLOOKUP(Table10[[#This Row],[SKU]],'All Skus'!$A:$AC,2,FALSE))="Martin",(VLOOKUP(Table10[[#This Row],[SKU]],'All Skus'!$A:$AC,24,FALSE)),"")))</f>
        <v/>
      </c>
      <c r="U739" s="228">
        <v>737</v>
      </c>
    </row>
    <row r="740" spans="1:21" hidden="1">
      <c r="A740" s="112">
        <v>91610006</v>
      </c>
      <c r="B740" s="224">
        <f>(IF((VLOOKUP(Table10[[#This Row],[SKU]],'All Skus'!$A:$AC,2,FALSE))="Martin",(VLOOKUP(Table10[[#This Row],[SKU]],'All Skus'!$A:$AC,3,FALSE)),""))</f>
        <v>0</v>
      </c>
      <c r="C740" s="223" t="str">
        <f>(IF((VLOOKUP(Table10[[#This Row],[SKU]],'All Skus'!$A:$AC,2,FALSE))="Martin",(VLOOKUP(Table10[[#This Row],[SKU]],'All Skus'!$A:$AC,4,FALSE)),""))</f>
        <v>VDO Atomic Interlock Adapter</v>
      </c>
      <c r="D740" s="224" t="str">
        <f>(IF((VLOOKUP(Table10[[#This Row],[SKU]],'All Skus'!$A:$AC,2,FALSE))="Martin",(VLOOKUP(Table10[[#This Row],[SKU]],'All Skus'!$A:$AC,5,FALSE)),""))</f>
        <v>MAR-VDO</v>
      </c>
      <c r="E740" s="223">
        <f>(IF((VLOOKUP(Table10[[#This Row],[SKU]],'All Skus'!$A:$AC,2,FALSE))="Martin",(VLOOKUP(Table10[[#This Row],[SKU]],'All Skus'!$A:$AC,6,FALSE)),""))</f>
        <v>0</v>
      </c>
      <c r="F740" s="155">
        <f>(IF((VLOOKUP(Table10[[#This Row],[SKU]],'All Skus'!$A:$AC,2,FALSE))="Martin",(VLOOKUP(Table10[[#This Row],[SKU]],'All Skus'!$A:$AC,7,FALSE)),""))</f>
        <v>0</v>
      </c>
      <c r="G740" s="223" t="str">
        <f>(IF((VLOOKUP(Table10[[#This Row],[SKU]],'All Skus'!$A:$AC,2,FALSE))="Martin",(VLOOKUP(Table10[[#This Row],[SKU]],'All Skus'!$A:$AC,8,FALSE)),""))</f>
        <v>VDO Atomic Interlock Adapter</v>
      </c>
      <c r="H740" s="223" t="str">
        <f>(IF((VLOOKUP(Table10[[#This Row],[SKU]],'All Skus'!$A:$AC,2,FALSE))="Martin",(VLOOKUP(Table10[[#This Row],[SKU]],'All Skus'!$A:$AC,9,FALSE)),""))</f>
        <v>VDO Atomic Interlock Adapter</v>
      </c>
      <c r="I740" s="225">
        <f>(IF((VLOOKUP(Table10[[#This Row],[SKU]],'All Skus'!$A:$AC,2,FALSE))="Martin",(VLOOKUP(Table10[[#This Row],[SKU]],'All Skus'!$A:$AC,10,FALSE)),""))</f>
        <v>61.74</v>
      </c>
      <c r="J740" s="226">
        <f>(IF((VLOOKUP(Table10[[#This Row],[SKU]],'All Skus'!$A:$AC,2,FALSE))="Martin",(VLOOKUP(Table10[[#This Row],[SKU]],'All Skus'!$A:$AC,11,FALSE)),""))</f>
        <v>61.74</v>
      </c>
      <c r="K740" s="224">
        <f>(IF((VLOOKUP(Table10[[#This Row],[SKU]],'All Skus'!$A:$AC,2,FALSE))="Martin",(VLOOKUP(Table10[[#This Row],[SKU]],'All Skus'!$A:$AC,15,FALSE)),""))</f>
        <v>0</v>
      </c>
      <c r="L740" s="224">
        <f>(IF((VLOOKUP(Table10[[#This Row],[SKU]],'All Skus'!$A:$AC,2,FALSE))="Martin",(VLOOKUP(Table10[[#This Row],[SKU]],'All Skus'!$A:$AC,16,FALSE)),""))</f>
        <v>0</v>
      </c>
      <c r="M740" s="224">
        <f>(IF((VLOOKUP(Table10[[#This Row],[SKU]],'All Skus'!$A:$AC,2,FALSE))="Martin",(VLOOKUP(Table10[[#This Row],[SKU]],'All Skus'!$A:$AC,17,FALSE)),""))</f>
        <v>0</v>
      </c>
      <c r="N740" s="227">
        <f>(IF((VLOOKUP(Table10[[#This Row],[SKU]],'All Skus'!$A:$AC,2,FALSE))="Martin",(VLOOKUP(Table10[[#This Row],[SKU]],'All Skus'!$A:$AC,18,FALSE)),""))</f>
        <v>0</v>
      </c>
      <c r="O740" s="227">
        <f>(IF((VLOOKUP(Table10[[#This Row],[SKU]],'All Skus'!$A:$AC,2,FALSE))="Martin",(VLOOKUP(Table10[[#This Row],[SKU]],'All Skus'!$A:$AC,19,FALSE)),""))</f>
        <v>0</v>
      </c>
      <c r="P740" s="227">
        <f>(IF((VLOOKUP(Table10[[#This Row],[SKU]],'All Skus'!$A:$AC,2,FALSE))="Martin",(VLOOKUP(Table10[[#This Row],[SKU]],'All Skus'!$A:$AC,20,FALSE)),""))</f>
        <v>0</v>
      </c>
      <c r="Q740" s="227">
        <f>(IF((VLOOKUP(Table10[[#This Row],[SKU]],'All Skus'!$A:$AC,2,FALSE))="Martin",(VLOOKUP(Table10[[#This Row],[SKU]],'All Skus'!$A:$AC,21,FALSE)),""))</f>
        <v>0</v>
      </c>
      <c r="R740" s="224" t="str">
        <f>(IF((VLOOKUP(Table10[[#This Row],[SKU]],'All Skus'!$A:$AC,2,FALSE))="Martin",(VLOOKUP(Table10[[#This Row],[SKU]],'All Skus'!$A:$AC,22,FALSE)),""))</f>
        <v>GB</v>
      </c>
      <c r="S740" s="223">
        <f>(IF((VLOOKUP(Table10[[#This Row],[SKU]],'All Skus'!$A:$AC,2,FALSE))="Martin",(VLOOKUP(Table10[[#This Row],[SKU]],'All Skus'!$A:$AC,23,FALSE)),""))</f>
        <v>0</v>
      </c>
      <c r="T740" s="212" t="str">
        <f>HYPERLINK((IF((VLOOKUP(Table10[[#This Row],[SKU]],'All Skus'!$A:$AC,2,FALSE))="Martin",(VLOOKUP(Table10[[#This Row],[SKU]],'All Skus'!$A:$AC,24,FALSE)),"")))</f>
        <v/>
      </c>
      <c r="U740" s="228">
        <v>738</v>
      </c>
    </row>
    <row r="741" spans="1:21" hidden="1">
      <c r="A741" s="112">
        <v>91610007</v>
      </c>
      <c r="B741" s="224">
        <f>(IF((VLOOKUP(Table10[[#This Row],[SKU]],'All Skus'!$A:$AC,2,FALSE))="Martin",(VLOOKUP(Table10[[#This Row],[SKU]],'All Skus'!$A:$AC,3,FALSE)),""))</f>
        <v>0</v>
      </c>
      <c r="C741" s="223" t="str">
        <f>(IF((VLOOKUP(Table10[[#This Row],[SKU]],'All Skus'!$A:$AC,2,FALSE))="Martin",(VLOOKUP(Table10[[#This Row],[SKU]],'All Skus'!$A:$AC,4,FALSE)),""))</f>
        <v>VDO Atomic Pivot Coupler</v>
      </c>
      <c r="D741" s="224" t="str">
        <f>(IF((VLOOKUP(Table10[[#This Row],[SKU]],'All Skus'!$A:$AC,2,FALSE))="Martin",(VLOOKUP(Table10[[#This Row],[SKU]],'All Skus'!$A:$AC,5,FALSE)),""))</f>
        <v>MAR-VDO</v>
      </c>
      <c r="E741" s="223">
        <f>(IF((VLOOKUP(Table10[[#This Row],[SKU]],'All Skus'!$A:$AC,2,FALSE))="Martin",(VLOOKUP(Table10[[#This Row],[SKU]],'All Skus'!$A:$AC,6,FALSE)),""))</f>
        <v>0</v>
      </c>
      <c r="F741" s="155">
        <f>(IF((VLOOKUP(Table10[[#This Row],[SKU]],'All Skus'!$A:$AC,2,FALSE))="Martin",(VLOOKUP(Table10[[#This Row],[SKU]],'All Skus'!$A:$AC,7,FALSE)),""))</f>
        <v>0</v>
      </c>
      <c r="G741" s="223" t="str">
        <f>(IF((VLOOKUP(Table10[[#This Row],[SKU]],'All Skus'!$A:$AC,2,FALSE))="Martin",(VLOOKUP(Table10[[#This Row],[SKU]],'All Skus'!$A:$AC,8,FALSE)),""))</f>
        <v>VDO Atomic Pivot Coupler</v>
      </c>
      <c r="H741" s="223" t="str">
        <f>(IF((VLOOKUP(Table10[[#This Row],[SKU]],'All Skus'!$A:$AC,2,FALSE))="Martin",(VLOOKUP(Table10[[#This Row],[SKU]],'All Skus'!$A:$AC,9,FALSE)),""))</f>
        <v>VDO Atomic Pivot Coupler</v>
      </c>
      <c r="I741" s="225">
        <f>(IF((VLOOKUP(Table10[[#This Row],[SKU]],'All Skus'!$A:$AC,2,FALSE))="Martin",(VLOOKUP(Table10[[#This Row],[SKU]],'All Skus'!$A:$AC,10,FALSE)),""))</f>
        <v>265.47000000000003</v>
      </c>
      <c r="J741" s="226">
        <f>(IF((VLOOKUP(Table10[[#This Row],[SKU]],'All Skus'!$A:$AC,2,FALSE))="Martin",(VLOOKUP(Table10[[#This Row],[SKU]],'All Skus'!$A:$AC,11,FALSE)),""))</f>
        <v>265.47000000000003</v>
      </c>
      <c r="K741" s="224">
        <f>(IF((VLOOKUP(Table10[[#This Row],[SKU]],'All Skus'!$A:$AC,2,FALSE))="Martin",(VLOOKUP(Table10[[#This Row],[SKU]],'All Skus'!$A:$AC,15,FALSE)),""))</f>
        <v>0</v>
      </c>
      <c r="L741" s="224">
        <f>(IF((VLOOKUP(Table10[[#This Row],[SKU]],'All Skus'!$A:$AC,2,FALSE))="Martin",(VLOOKUP(Table10[[#This Row],[SKU]],'All Skus'!$A:$AC,16,FALSE)),""))</f>
        <v>0</v>
      </c>
      <c r="M741" s="224">
        <f>(IF((VLOOKUP(Table10[[#This Row],[SKU]],'All Skus'!$A:$AC,2,FALSE))="Martin",(VLOOKUP(Table10[[#This Row],[SKU]],'All Skus'!$A:$AC,17,FALSE)),""))</f>
        <v>0</v>
      </c>
      <c r="N741" s="227">
        <f>(IF((VLOOKUP(Table10[[#This Row],[SKU]],'All Skus'!$A:$AC,2,FALSE))="Martin",(VLOOKUP(Table10[[#This Row],[SKU]],'All Skus'!$A:$AC,18,FALSE)),""))</f>
        <v>0</v>
      </c>
      <c r="O741" s="227">
        <f>(IF((VLOOKUP(Table10[[#This Row],[SKU]],'All Skus'!$A:$AC,2,FALSE))="Martin",(VLOOKUP(Table10[[#This Row],[SKU]],'All Skus'!$A:$AC,19,FALSE)),""))</f>
        <v>0</v>
      </c>
      <c r="P741" s="227">
        <f>(IF((VLOOKUP(Table10[[#This Row],[SKU]],'All Skus'!$A:$AC,2,FALSE))="Martin",(VLOOKUP(Table10[[#This Row],[SKU]],'All Skus'!$A:$AC,20,FALSE)),""))</f>
        <v>0</v>
      </c>
      <c r="Q741" s="227">
        <f>(IF((VLOOKUP(Table10[[#This Row],[SKU]],'All Skus'!$A:$AC,2,FALSE))="Martin",(VLOOKUP(Table10[[#This Row],[SKU]],'All Skus'!$A:$AC,21,FALSE)),""))</f>
        <v>0</v>
      </c>
      <c r="R741" s="224" t="str">
        <f>(IF((VLOOKUP(Table10[[#This Row],[SKU]],'All Skus'!$A:$AC,2,FALSE))="Martin",(VLOOKUP(Table10[[#This Row],[SKU]],'All Skus'!$A:$AC,22,FALSE)),""))</f>
        <v>GB</v>
      </c>
      <c r="S741" s="223">
        <f>(IF((VLOOKUP(Table10[[#This Row],[SKU]],'All Skus'!$A:$AC,2,FALSE))="Martin",(VLOOKUP(Table10[[#This Row],[SKU]],'All Skus'!$A:$AC,23,FALSE)),""))</f>
        <v>0</v>
      </c>
      <c r="T741" s="212" t="str">
        <f>HYPERLINK((IF((VLOOKUP(Table10[[#This Row],[SKU]],'All Skus'!$A:$AC,2,FALSE))="Martin",(VLOOKUP(Table10[[#This Row],[SKU]],'All Skus'!$A:$AC,24,FALSE)),"")))</f>
        <v/>
      </c>
      <c r="U741" s="228">
        <v>739</v>
      </c>
    </row>
    <row r="742" spans="1:21" hidden="1">
      <c r="A742" s="112" t="s">
        <v>2340</v>
      </c>
      <c r="B742" s="224">
        <f>(IF((VLOOKUP(Table10[[#This Row],[SKU]],'All Skus'!$A:$AC,2,FALSE))="Martin",(VLOOKUP(Table10[[#This Row],[SKU]],'All Skus'!$A:$AC,3,FALSE)),""))</f>
        <v>0</v>
      </c>
      <c r="C742" s="223" t="str">
        <f>(IF((VLOOKUP(Table10[[#This Row],[SKU]],'All Skus'!$A:$AC,2,FALSE))="Martin",(VLOOKUP(Table10[[#This Row],[SKU]],'All Skus'!$A:$AC,4,FALSE)),""))</f>
        <v>VDO Atomic Spigot Adapter 28mm</v>
      </c>
      <c r="D742" s="224" t="str">
        <f>(IF((VLOOKUP(Table10[[#This Row],[SKU]],'All Skus'!$A:$AC,2,FALSE))="Martin",(VLOOKUP(Table10[[#This Row],[SKU]],'All Skus'!$A:$AC,5,FALSE)),""))</f>
        <v>MAR-VDO</v>
      </c>
      <c r="E742" s="223">
        <f>(IF((VLOOKUP(Table10[[#This Row],[SKU]],'All Skus'!$A:$AC,2,FALSE))="Martin",(VLOOKUP(Table10[[#This Row],[SKU]],'All Skus'!$A:$AC,6,FALSE)),""))</f>
        <v>0</v>
      </c>
      <c r="F742" s="155">
        <f>(IF((VLOOKUP(Table10[[#This Row],[SKU]],'All Skus'!$A:$AC,2,FALSE))="Martin",(VLOOKUP(Table10[[#This Row],[SKU]],'All Skus'!$A:$AC,7,FALSE)),""))</f>
        <v>0</v>
      </c>
      <c r="G742" s="223" t="str">
        <f>(IF((VLOOKUP(Table10[[#This Row],[SKU]],'All Skus'!$A:$AC,2,FALSE))="Martin",(VLOOKUP(Table10[[#This Row],[SKU]],'All Skus'!$A:$AC,8,FALSE)),""))</f>
        <v>VDO Atomic Spigot Adapter 28mm</v>
      </c>
      <c r="H742" s="223" t="str">
        <f>(IF((VLOOKUP(Table10[[#This Row],[SKU]],'All Skus'!$A:$AC,2,FALSE))="Martin",(VLOOKUP(Table10[[#This Row],[SKU]],'All Skus'!$A:$AC,9,FALSE)),""))</f>
        <v>VDO Atomic Spigot Adapter 28mm</v>
      </c>
      <c r="I742" s="225">
        <f>(IF((VLOOKUP(Table10[[#This Row],[SKU]],'All Skus'!$A:$AC,2,FALSE))="Martin",(VLOOKUP(Table10[[#This Row],[SKU]],'All Skus'!$A:$AC,10,FALSE)),""))</f>
        <v>123.48</v>
      </c>
      <c r="J742" s="226">
        <f>(IF((VLOOKUP(Table10[[#This Row],[SKU]],'All Skus'!$A:$AC,2,FALSE))="Martin",(VLOOKUP(Table10[[#This Row],[SKU]],'All Skus'!$A:$AC,11,FALSE)),""))</f>
        <v>123.48</v>
      </c>
      <c r="K742" s="224">
        <f>(IF((VLOOKUP(Table10[[#This Row],[SKU]],'All Skus'!$A:$AC,2,FALSE))="Martin",(VLOOKUP(Table10[[#This Row],[SKU]],'All Skus'!$A:$AC,15,FALSE)),""))</f>
        <v>0</v>
      </c>
      <c r="L742" s="224">
        <f>(IF((VLOOKUP(Table10[[#This Row],[SKU]],'All Skus'!$A:$AC,2,FALSE))="Martin",(VLOOKUP(Table10[[#This Row],[SKU]],'All Skus'!$A:$AC,16,FALSE)),""))</f>
        <v>688705006574</v>
      </c>
      <c r="M742" s="224">
        <f>(IF((VLOOKUP(Table10[[#This Row],[SKU]],'All Skus'!$A:$AC,2,FALSE))="Martin",(VLOOKUP(Table10[[#This Row],[SKU]],'All Skus'!$A:$AC,17,FALSE)),""))</f>
        <v>0</v>
      </c>
      <c r="N742" s="227">
        <f>(IF((VLOOKUP(Table10[[#This Row],[SKU]],'All Skus'!$A:$AC,2,FALSE))="Martin",(VLOOKUP(Table10[[#This Row],[SKU]],'All Skus'!$A:$AC,18,FALSE)),""))</f>
        <v>0</v>
      </c>
      <c r="O742" s="227">
        <f>(IF((VLOOKUP(Table10[[#This Row],[SKU]],'All Skus'!$A:$AC,2,FALSE))="Martin",(VLOOKUP(Table10[[#This Row],[SKU]],'All Skus'!$A:$AC,19,FALSE)),""))</f>
        <v>0</v>
      </c>
      <c r="P742" s="227">
        <f>(IF((VLOOKUP(Table10[[#This Row],[SKU]],'All Skus'!$A:$AC,2,FALSE))="Martin",(VLOOKUP(Table10[[#This Row],[SKU]],'All Skus'!$A:$AC,20,FALSE)),""))</f>
        <v>0</v>
      </c>
      <c r="Q742" s="227">
        <f>(IF((VLOOKUP(Table10[[#This Row],[SKU]],'All Skus'!$A:$AC,2,FALSE))="Martin",(VLOOKUP(Table10[[#This Row],[SKU]],'All Skus'!$A:$AC,21,FALSE)),""))</f>
        <v>0</v>
      </c>
      <c r="R742" s="224" t="str">
        <f>(IF((VLOOKUP(Table10[[#This Row],[SKU]],'All Skus'!$A:$AC,2,FALSE))="Martin",(VLOOKUP(Table10[[#This Row],[SKU]],'All Skus'!$A:$AC,22,FALSE)),""))</f>
        <v>NE</v>
      </c>
      <c r="S742" s="223">
        <f>(IF((VLOOKUP(Table10[[#This Row],[SKU]],'All Skus'!$A:$AC,2,FALSE))="Martin",(VLOOKUP(Table10[[#This Row],[SKU]],'All Skus'!$A:$AC,23,FALSE)),""))</f>
        <v>0</v>
      </c>
      <c r="T742" s="212" t="str">
        <f>HYPERLINK((IF((VLOOKUP(Table10[[#This Row],[SKU]],'All Skus'!$A:$AC,2,FALSE))="Martin",(VLOOKUP(Table10[[#This Row],[SKU]],'All Skus'!$A:$AC,24,FALSE)),"")))</f>
        <v/>
      </c>
      <c r="U742" s="228">
        <v>740</v>
      </c>
    </row>
    <row r="743" spans="1:21" hidden="1">
      <c r="A743" s="112" t="s">
        <v>2341</v>
      </c>
      <c r="B743" s="224">
        <f>(IF((VLOOKUP(Table10[[#This Row],[SKU]],'All Skus'!$A:$AC,2,FALSE))="Martin",(VLOOKUP(Table10[[#This Row],[SKU]],'All Skus'!$A:$AC,3,FALSE)),""))</f>
        <v>0</v>
      </c>
      <c r="C743" s="223" t="str">
        <f>(IF((VLOOKUP(Table10[[#This Row],[SKU]],'All Skus'!$A:$AC,2,FALSE))="Martin",(VLOOKUP(Table10[[#This Row],[SKU]],'All Skus'!$A:$AC,4,FALSE)),""))</f>
        <v>VDO Atomic Bold Interlock Doubler</v>
      </c>
      <c r="D743" s="224" t="str">
        <f>(IF((VLOOKUP(Table10[[#This Row],[SKU]],'All Skus'!$A:$AC,2,FALSE))="Martin",(VLOOKUP(Table10[[#This Row],[SKU]],'All Skus'!$A:$AC,5,FALSE)),""))</f>
        <v>MAR-VDO</v>
      </c>
      <c r="E743" s="223">
        <f>(IF((VLOOKUP(Table10[[#This Row],[SKU]],'All Skus'!$A:$AC,2,FALSE))="Martin",(VLOOKUP(Table10[[#This Row],[SKU]],'All Skus'!$A:$AC,6,FALSE)),""))</f>
        <v>0</v>
      </c>
      <c r="F743" s="155">
        <f>(IF((VLOOKUP(Table10[[#This Row],[SKU]],'All Skus'!$A:$AC,2,FALSE))="Martin",(VLOOKUP(Table10[[#This Row],[SKU]],'All Skus'!$A:$AC,7,FALSE)),""))</f>
        <v>0</v>
      </c>
      <c r="G743" s="223" t="str">
        <f>(IF((VLOOKUP(Table10[[#This Row],[SKU]],'All Skus'!$A:$AC,2,FALSE))="Martin",(VLOOKUP(Table10[[#This Row],[SKU]],'All Skus'!$A:$AC,8,FALSE)),""))</f>
        <v>VDO Atomic Bold Interlock Doubler</v>
      </c>
      <c r="H743" s="223" t="str">
        <f>(IF((VLOOKUP(Table10[[#This Row],[SKU]],'All Skus'!$A:$AC,2,FALSE))="Martin",(VLOOKUP(Table10[[#This Row],[SKU]],'All Skus'!$A:$AC,9,FALSE)),""))</f>
        <v>VDO Atomic Bold Interlock Doubler</v>
      </c>
      <c r="I743" s="225">
        <f>(IF((VLOOKUP(Table10[[#This Row],[SKU]],'All Skus'!$A:$AC,2,FALSE))="Martin",(VLOOKUP(Table10[[#This Row],[SKU]],'All Skus'!$A:$AC,10,FALSE)),""))</f>
        <v>37.04</v>
      </c>
      <c r="J743" s="226">
        <f>(IF((VLOOKUP(Table10[[#This Row],[SKU]],'All Skus'!$A:$AC,2,FALSE))="Martin",(VLOOKUP(Table10[[#This Row],[SKU]],'All Skus'!$A:$AC,11,FALSE)),""))</f>
        <v>37.04</v>
      </c>
      <c r="K743" s="224">
        <f>(IF((VLOOKUP(Table10[[#This Row],[SKU]],'All Skus'!$A:$AC,2,FALSE))="Martin",(VLOOKUP(Table10[[#This Row],[SKU]],'All Skus'!$A:$AC,15,FALSE)),""))</f>
        <v>0</v>
      </c>
      <c r="L743" s="224">
        <f>(IF((VLOOKUP(Table10[[#This Row],[SKU]],'All Skus'!$A:$AC,2,FALSE))="Martin",(VLOOKUP(Table10[[#This Row],[SKU]],'All Skus'!$A:$AC,16,FALSE)),""))</f>
        <v>688705007540</v>
      </c>
      <c r="M743" s="224">
        <f>(IF((VLOOKUP(Table10[[#This Row],[SKU]],'All Skus'!$A:$AC,2,FALSE))="Martin",(VLOOKUP(Table10[[#This Row],[SKU]],'All Skus'!$A:$AC,17,FALSE)),""))</f>
        <v>0</v>
      </c>
      <c r="N743" s="227">
        <f>(IF((VLOOKUP(Table10[[#This Row],[SKU]],'All Skus'!$A:$AC,2,FALSE))="Martin",(VLOOKUP(Table10[[#This Row],[SKU]],'All Skus'!$A:$AC,18,FALSE)),""))</f>
        <v>0</v>
      </c>
      <c r="O743" s="227">
        <f>(IF((VLOOKUP(Table10[[#This Row],[SKU]],'All Skus'!$A:$AC,2,FALSE))="Martin",(VLOOKUP(Table10[[#This Row],[SKU]],'All Skus'!$A:$AC,19,FALSE)),""))</f>
        <v>0</v>
      </c>
      <c r="P743" s="227">
        <f>(IF((VLOOKUP(Table10[[#This Row],[SKU]],'All Skus'!$A:$AC,2,FALSE))="Martin",(VLOOKUP(Table10[[#This Row],[SKU]],'All Skus'!$A:$AC,20,FALSE)),""))</f>
        <v>0</v>
      </c>
      <c r="Q743" s="227">
        <f>(IF((VLOOKUP(Table10[[#This Row],[SKU]],'All Skus'!$A:$AC,2,FALSE))="Martin",(VLOOKUP(Table10[[#This Row],[SKU]],'All Skus'!$A:$AC,21,FALSE)),""))</f>
        <v>0</v>
      </c>
      <c r="R743" s="224" t="str">
        <f>(IF((VLOOKUP(Table10[[#This Row],[SKU]],'All Skus'!$A:$AC,2,FALSE))="Martin",(VLOOKUP(Table10[[#This Row],[SKU]],'All Skus'!$A:$AC,22,FALSE)),""))</f>
        <v>DE</v>
      </c>
      <c r="S743" s="223">
        <f>(IF((VLOOKUP(Table10[[#This Row],[SKU]],'All Skus'!$A:$AC,2,FALSE))="Martin",(VLOOKUP(Table10[[#This Row],[SKU]],'All Skus'!$A:$AC,23,FALSE)),""))</f>
        <v>0</v>
      </c>
      <c r="T743" s="212" t="str">
        <f>HYPERLINK((IF((VLOOKUP(Table10[[#This Row],[SKU]],'All Skus'!$A:$AC,2,FALSE))="Martin",(VLOOKUP(Table10[[#This Row],[SKU]],'All Skus'!$A:$AC,24,FALSE)),"")))</f>
        <v/>
      </c>
      <c r="U743" s="228">
        <v>741</v>
      </c>
    </row>
    <row r="744" spans="1:21" hidden="1">
      <c r="A744" s="112" t="s">
        <v>2342</v>
      </c>
      <c r="B744" s="224">
        <f>(IF((VLOOKUP(Table10[[#This Row],[SKU]],'All Skus'!$A:$AC,2,FALSE))="Martin",(VLOOKUP(Table10[[#This Row],[SKU]],'All Skus'!$A:$AC,3,FALSE)),""))</f>
        <v>0</v>
      </c>
      <c r="C744" s="223" t="str">
        <f>(IF((VLOOKUP(Table10[[#This Row],[SKU]],'All Skus'!$A:$AC,2,FALSE))="Martin",(VLOOKUP(Table10[[#This Row],[SKU]],'All Skus'!$A:$AC,4,FALSE)),""))</f>
        <v>VDO Atomic Bold Double Width Bracket</v>
      </c>
      <c r="D744" s="224" t="str">
        <f>(IF((VLOOKUP(Table10[[#This Row],[SKU]],'All Skus'!$A:$AC,2,FALSE))="Martin",(VLOOKUP(Table10[[#This Row],[SKU]],'All Skus'!$A:$AC,5,FALSE)),""))</f>
        <v>MAR-VDO</v>
      </c>
      <c r="E744" s="223">
        <f>(IF((VLOOKUP(Table10[[#This Row],[SKU]],'All Skus'!$A:$AC,2,FALSE))="Martin",(VLOOKUP(Table10[[#This Row],[SKU]],'All Skus'!$A:$AC,6,FALSE)),""))</f>
        <v>0</v>
      </c>
      <c r="F744" s="155">
        <f>(IF((VLOOKUP(Table10[[#This Row],[SKU]],'All Skus'!$A:$AC,2,FALSE))="Martin",(VLOOKUP(Table10[[#This Row],[SKU]],'All Skus'!$A:$AC,7,FALSE)),""))</f>
        <v>0</v>
      </c>
      <c r="G744" s="223" t="str">
        <f>(IF((VLOOKUP(Table10[[#This Row],[SKU]],'All Skus'!$A:$AC,2,FALSE))="Martin",(VLOOKUP(Table10[[#This Row],[SKU]],'All Skus'!$A:$AC,8,FALSE)),""))</f>
        <v>VDO Atomic Bold Double Width Bracket</v>
      </c>
      <c r="H744" s="223" t="str">
        <f>(IF((VLOOKUP(Table10[[#This Row],[SKU]],'All Skus'!$A:$AC,2,FALSE))="Martin",(VLOOKUP(Table10[[#This Row],[SKU]],'All Skus'!$A:$AC,9,FALSE)),""))</f>
        <v>VDO Atomic Bold Double Width Bracket</v>
      </c>
      <c r="I744" s="225">
        <f>(IF((VLOOKUP(Table10[[#This Row],[SKU]],'All Skus'!$A:$AC,2,FALSE))="Martin",(VLOOKUP(Table10[[#This Row],[SKU]],'All Skus'!$A:$AC,10,FALSE)),""))</f>
        <v>148.16999999999999</v>
      </c>
      <c r="J744" s="226">
        <f>(IF((VLOOKUP(Table10[[#This Row],[SKU]],'All Skus'!$A:$AC,2,FALSE))="Martin",(VLOOKUP(Table10[[#This Row],[SKU]],'All Skus'!$A:$AC,11,FALSE)),""))</f>
        <v>148.16999999999999</v>
      </c>
      <c r="K744" s="224">
        <f>(IF((VLOOKUP(Table10[[#This Row],[SKU]],'All Skus'!$A:$AC,2,FALSE))="Martin",(VLOOKUP(Table10[[#This Row],[SKU]],'All Skus'!$A:$AC,15,FALSE)),""))</f>
        <v>0</v>
      </c>
      <c r="L744" s="224">
        <f>(IF((VLOOKUP(Table10[[#This Row],[SKU]],'All Skus'!$A:$AC,2,FALSE))="Martin",(VLOOKUP(Table10[[#This Row],[SKU]],'All Skus'!$A:$AC,16,FALSE)),""))</f>
        <v>688705007564</v>
      </c>
      <c r="M744" s="224">
        <f>(IF((VLOOKUP(Table10[[#This Row],[SKU]],'All Skus'!$A:$AC,2,FALSE))="Martin",(VLOOKUP(Table10[[#This Row],[SKU]],'All Skus'!$A:$AC,17,FALSE)),""))</f>
        <v>0</v>
      </c>
      <c r="N744" s="227">
        <f>(IF((VLOOKUP(Table10[[#This Row],[SKU]],'All Skus'!$A:$AC,2,FALSE))="Martin",(VLOOKUP(Table10[[#This Row],[SKU]],'All Skus'!$A:$AC,18,FALSE)),""))</f>
        <v>0</v>
      </c>
      <c r="O744" s="227">
        <f>(IF((VLOOKUP(Table10[[#This Row],[SKU]],'All Skus'!$A:$AC,2,FALSE))="Martin",(VLOOKUP(Table10[[#This Row],[SKU]],'All Skus'!$A:$AC,19,FALSE)),""))</f>
        <v>0</v>
      </c>
      <c r="P744" s="227">
        <f>(IF((VLOOKUP(Table10[[#This Row],[SKU]],'All Skus'!$A:$AC,2,FALSE))="Martin",(VLOOKUP(Table10[[#This Row],[SKU]],'All Skus'!$A:$AC,20,FALSE)),""))</f>
        <v>0</v>
      </c>
      <c r="Q744" s="227">
        <f>(IF((VLOOKUP(Table10[[#This Row],[SKU]],'All Skus'!$A:$AC,2,FALSE))="Martin",(VLOOKUP(Table10[[#This Row],[SKU]],'All Skus'!$A:$AC,21,FALSE)),""))</f>
        <v>0</v>
      </c>
      <c r="R744" s="224" t="str">
        <f>(IF((VLOOKUP(Table10[[#This Row],[SKU]],'All Skus'!$A:$AC,2,FALSE))="Martin",(VLOOKUP(Table10[[#This Row],[SKU]],'All Skus'!$A:$AC,22,FALSE)),""))</f>
        <v>CN</v>
      </c>
      <c r="S744" s="223">
        <f>(IF((VLOOKUP(Table10[[#This Row],[SKU]],'All Skus'!$A:$AC,2,FALSE))="Martin",(VLOOKUP(Table10[[#This Row],[SKU]],'All Skus'!$A:$AC,23,FALSE)),""))</f>
        <v>0</v>
      </c>
      <c r="T744" s="212" t="str">
        <f>HYPERLINK((IF((VLOOKUP(Table10[[#This Row],[SKU]],'All Skus'!$A:$AC,2,FALSE))="Martin",(VLOOKUP(Table10[[#This Row],[SKU]],'All Skus'!$A:$AC,24,FALSE)),"")))</f>
        <v/>
      </c>
      <c r="U744" s="228">
        <v>742</v>
      </c>
    </row>
    <row r="745" spans="1:21" hidden="1">
      <c r="A745" s="112">
        <v>91616117</v>
      </c>
      <c r="B745" s="224" t="str">
        <f>(IF((VLOOKUP(Table10[[#This Row],[SKU]],'All Skus'!$A:$AC,2,FALSE))="Martin",(VLOOKUP(Table10[[#This Row],[SKU]],'All Skus'!$A:$AC,3,FALSE)),""))</f>
        <v>LED Video</v>
      </c>
      <c r="C745" s="223" t="str">
        <f>(IF((VLOOKUP(Table10[[#This Row],[SKU]],'All Skus'!$A:$AC,2,FALSE))="Martin",(VLOOKUP(Table10[[#This Row],[SKU]],'All Skus'!$A:$AC,4,FALSE)),""))</f>
        <v>VDO Atomic Dot Double Width Bracket</v>
      </c>
      <c r="D745" s="224" t="str">
        <f>(IF((VLOOKUP(Table10[[#This Row],[SKU]],'All Skus'!$A:$AC,2,FALSE))="Martin",(VLOOKUP(Table10[[#This Row],[SKU]],'All Skus'!$A:$AC,5,FALSE)),""))</f>
        <v>MAR-VDO</v>
      </c>
      <c r="E745" s="223">
        <f>(IF((VLOOKUP(Table10[[#This Row],[SKU]],'All Skus'!$A:$AC,2,FALSE))="Martin",(VLOOKUP(Table10[[#This Row],[SKU]],'All Skus'!$A:$AC,6,FALSE)),""))</f>
        <v>0</v>
      </c>
      <c r="F745" s="155">
        <f>(IF((VLOOKUP(Table10[[#This Row],[SKU]],'All Skus'!$A:$AC,2,FALSE))="Martin",(VLOOKUP(Table10[[#This Row],[SKU]],'All Skus'!$A:$AC,7,FALSE)),""))</f>
        <v>0</v>
      </c>
      <c r="G745" s="223" t="str">
        <f>(IF((VLOOKUP(Table10[[#This Row],[SKU]],'All Skus'!$A:$AC,2,FALSE))="Martin",(VLOOKUP(Table10[[#This Row],[SKU]],'All Skus'!$A:$AC,8,FALSE)),""))</f>
        <v>VDO Atomic Dot Double Width Bracket</v>
      </c>
      <c r="H745" s="223" t="str">
        <f>(IF((VLOOKUP(Table10[[#This Row],[SKU]],'All Skus'!$A:$AC,2,FALSE))="Martin",(VLOOKUP(Table10[[#This Row],[SKU]],'All Skus'!$A:$AC,9,FALSE)),""))</f>
        <v>VDO Atomic Dot Double Width Bracket</v>
      </c>
      <c r="I745" s="225">
        <f>(IF((VLOOKUP(Table10[[#This Row],[SKU]],'All Skus'!$A:$AC,2,FALSE))="Martin",(VLOOKUP(Table10[[#This Row],[SKU]],'All Skus'!$A:$AC,10,FALSE)),""))</f>
        <v>123.48</v>
      </c>
      <c r="J745" s="226">
        <f>(IF((VLOOKUP(Table10[[#This Row],[SKU]],'All Skus'!$A:$AC,2,FALSE))="Martin",(VLOOKUP(Table10[[#This Row],[SKU]],'All Skus'!$A:$AC,11,FALSE)),""))</f>
        <v>123.48</v>
      </c>
      <c r="K745" s="224">
        <f>(IF((VLOOKUP(Table10[[#This Row],[SKU]],'All Skus'!$A:$AC,2,FALSE))="Martin",(VLOOKUP(Table10[[#This Row],[SKU]],'All Skus'!$A:$AC,15,FALSE)),""))</f>
        <v>0</v>
      </c>
      <c r="L745" s="224">
        <f>(IF((VLOOKUP(Table10[[#This Row],[SKU]],'All Skus'!$A:$AC,2,FALSE))="Martin",(VLOOKUP(Table10[[#This Row],[SKU]],'All Skus'!$A:$AC,16,FALSE)),""))</f>
        <v>0</v>
      </c>
      <c r="M745" s="224">
        <f>(IF((VLOOKUP(Table10[[#This Row],[SKU]],'All Skus'!$A:$AC,2,FALSE))="Martin",(VLOOKUP(Table10[[#This Row],[SKU]],'All Skus'!$A:$AC,17,FALSE)),""))</f>
        <v>0</v>
      </c>
      <c r="N745" s="227">
        <f>(IF((VLOOKUP(Table10[[#This Row],[SKU]],'All Skus'!$A:$AC,2,FALSE))="Martin",(VLOOKUP(Table10[[#This Row],[SKU]],'All Skus'!$A:$AC,18,FALSE)),""))</f>
        <v>0</v>
      </c>
      <c r="O745" s="227">
        <f>(IF((VLOOKUP(Table10[[#This Row],[SKU]],'All Skus'!$A:$AC,2,FALSE))="Martin",(VLOOKUP(Table10[[#This Row],[SKU]],'All Skus'!$A:$AC,19,FALSE)),""))</f>
        <v>0</v>
      </c>
      <c r="P745" s="227">
        <f>(IF((VLOOKUP(Table10[[#This Row],[SKU]],'All Skus'!$A:$AC,2,FALSE))="Martin",(VLOOKUP(Table10[[#This Row],[SKU]],'All Skus'!$A:$AC,20,FALSE)),""))</f>
        <v>0</v>
      </c>
      <c r="Q745" s="227">
        <f>(IF((VLOOKUP(Table10[[#This Row],[SKU]],'All Skus'!$A:$AC,2,FALSE))="Martin",(VLOOKUP(Table10[[#This Row],[SKU]],'All Skus'!$A:$AC,21,FALSE)),""))</f>
        <v>0</v>
      </c>
      <c r="R745" s="224" t="str">
        <f>(IF((VLOOKUP(Table10[[#This Row],[SKU]],'All Skus'!$A:$AC,2,FALSE))="Martin",(VLOOKUP(Table10[[#This Row],[SKU]],'All Skus'!$A:$AC,22,FALSE)),""))</f>
        <v>CN</v>
      </c>
      <c r="S745" s="223">
        <f>(IF((VLOOKUP(Table10[[#This Row],[SKU]],'All Skus'!$A:$AC,2,FALSE))="Martin",(VLOOKUP(Table10[[#This Row],[SKU]],'All Skus'!$A:$AC,23,FALSE)),""))</f>
        <v>0</v>
      </c>
      <c r="T745" s="212" t="str">
        <f>HYPERLINK((IF((VLOOKUP(Table10[[#This Row],[SKU]],'All Skus'!$A:$AC,2,FALSE))="Martin",(VLOOKUP(Table10[[#This Row],[SKU]],'All Skus'!$A:$AC,24,FALSE)),"")))</f>
        <v/>
      </c>
      <c r="U745" s="228">
        <v>743</v>
      </c>
    </row>
    <row r="746" spans="1:21" hidden="1">
      <c r="A746" s="115" t="s">
        <v>2343</v>
      </c>
      <c r="B746" s="224">
        <f>(IF((VLOOKUP(Table10[[#This Row],[SKU]],'All Skus'!$A:$AC,2,FALSE))="Martin",(VLOOKUP(Table10[[#This Row],[SKU]],'All Skus'!$A:$AC,3,FALSE)),""))</f>
        <v>0</v>
      </c>
      <c r="C746" s="223">
        <f>(IF((VLOOKUP(Table10[[#This Row],[SKU]],'All Skus'!$A:$AC,2,FALSE))="Martin",(VLOOKUP(Table10[[#This Row],[SKU]],'All Skus'!$A:$AC,4,FALSE)),""))</f>
        <v>0</v>
      </c>
      <c r="D746" s="224">
        <f>(IF((VLOOKUP(Table10[[#This Row],[SKU]],'All Skus'!$A:$AC,2,FALSE))="Martin",(VLOOKUP(Table10[[#This Row],[SKU]],'All Skus'!$A:$AC,5,FALSE)),""))</f>
        <v>0</v>
      </c>
      <c r="E746" s="223">
        <f>(IF((VLOOKUP(Table10[[#This Row],[SKU]],'All Skus'!$A:$AC,2,FALSE))="Martin",(VLOOKUP(Table10[[#This Row],[SKU]],'All Skus'!$A:$AC,6,FALSE)),""))</f>
        <v>0</v>
      </c>
      <c r="F746" s="155">
        <f>(IF((VLOOKUP(Table10[[#This Row],[SKU]],'All Skus'!$A:$AC,2,FALSE))="Martin",(VLOOKUP(Table10[[#This Row],[SKU]],'All Skus'!$A:$AC,7,FALSE)),""))</f>
        <v>0</v>
      </c>
      <c r="G746" s="223">
        <f>(IF((VLOOKUP(Table10[[#This Row],[SKU]],'All Skus'!$A:$AC,2,FALSE))="Martin",(VLOOKUP(Table10[[#This Row],[SKU]],'All Skus'!$A:$AC,8,FALSE)),""))</f>
        <v>0</v>
      </c>
      <c r="H746" s="223">
        <f>(IF((VLOOKUP(Table10[[#This Row],[SKU]],'All Skus'!$A:$AC,2,FALSE))="Martin",(VLOOKUP(Table10[[#This Row],[SKU]],'All Skus'!$A:$AC,9,FALSE)),""))</f>
        <v>0</v>
      </c>
      <c r="I746" s="225">
        <f>(IF((VLOOKUP(Table10[[#This Row],[SKU]],'All Skus'!$A:$AC,2,FALSE))="Martin",(VLOOKUP(Table10[[#This Row],[SKU]],'All Skus'!$A:$AC,10,FALSE)),""))</f>
        <v>0</v>
      </c>
      <c r="J746" s="226">
        <f>(IF((VLOOKUP(Table10[[#This Row],[SKU]],'All Skus'!$A:$AC,2,FALSE))="Martin",(VLOOKUP(Table10[[#This Row],[SKU]],'All Skus'!$A:$AC,11,FALSE)),""))</f>
        <v>0</v>
      </c>
      <c r="K746" s="224">
        <f>(IF((VLOOKUP(Table10[[#This Row],[SKU]],'All Skus'!$A:$AC,2,FALSE))="Martin",(VLOOKUP(Table10[[#This Row],[SKU]],'All Skus'!$A:$AC,15,FALSE)),""))</f>
        <v>0</v>
      </c>
      <c r="L746" s="224">
        <f>(IF((VLOOKUP(Table10[[#This Row],[SKU]],'All Skus'!$A:$AC,2,FALSE))="Martin",(VLOOKUP(Table10[[#This Row],[SKU]],'All Skus'!$A:$AC,16,FALSE)),""))</f>
        <v>0</v>
      </c>
      <c r="M746" s="224">
        <f>(IF((VLOOKUP(Table10[[#This Row],[SKU]],'All Skus'!$A:$AC,2,FALSE))="Martin",(VLOOKUP(Table10[[#This Row],[SKU]],'All Skus'!$A:$AC,17,FALSE)),""))</f>
        <v>0</v>
      </c>
      <c r="N746" s="227">
        <f>(IF((VLOOKUP(Table10[[#This Row],[SKU]],'All Skus'!$A:$AC,2,FALSE))="Martin",(VLOOKUP(Table10[[#This Row],[SKU]],'All Skus'!$A:$AC,18,FALSE)),""))</f>
        <v>0</v>
      </c>
      <c r="O746" s="227">
        <f>(IF((VLOOKUP(Table10[[#This Row],[SKU]],'All Skus'!$A:$AC,2,FALSE))="Martin",(VLOOKUP(Table10[[#This Row],[SKU]],'All Skus'!$A:$AC,19,FALSE)),""))</f>
        <v>0</v>
      </c>
      <c r="P746" s="227">
        <f>(IF((VLOOKUP(Table10[[#This Row],[SKU]],'All Skus'!$A:$AC,2,FALSE))="Martin",(VLOOKUP(Table10[[#This Row],[SKU]],'All Skus'!$A:$AC,20,FALSE)),""))</f>
        <v>0</v>
      </c>
      <c r="Q746" s="227">
        <f>(IF((VLOOKUP(Table10[[#This Row],[SKU]],'All Skus'!$A:$AC,2,FALSE))="Martin",(VLOOKUP(Table10[[#This Row],[SKU]],'All Skus'!$A:$AC,21,FALSE)),""))</f>
        <v>0</v>
      </c>
      <c r="R746" s="224">
        <f>(IF((VLOOKUP(Table10[[#This Row],[SKU]],'All Skus'!$A:$AC,2,FALSE))="Martin",(VLOOKUP(Table10[[#This Row],[SKU]],'All Skus'!$A:$AC,22,FALSE)),""))</f>
        <v>0</v>
      </c>
      <c r="S746" s="223">
        <f>(IF((VLOOKUP(Table10[[#This Row],[SKU]],'All Skus'!$A:$AC,2,FALSE))="Martin",(VLOOKUP(Table10[[#This Row],[SKU]],'All Skus'!$A:$AC,23,FALSE)),""))</f>
        <v>0</v>
      </c>
      <c r="T746" s="212" t="str">
        <f>HYPERLINK((IF((VLOOKUP(Table10[[#This Row],[SKU]],'All Skus'!$A:$AC,2,FALSE))="Martin",(VLOOKUP(Table10[[#This Row],[SKU]],'All Skus'!$A:$AC,24,FALSE)),"")))</f>
        <v/>
      </c>
      <c r="U746" s="228">
        <v>744</v>
      </c>
    </row>
    <row r="747" spans="1:21" hidden="1">
      <c r="A747" s="112" t="s">
        <v>2344</v>
      </c>
      <c r="B747" s="224">
        <f>(IF((VLOOKUP(Table10[[#This Row],[SKU]],'All Skus'!$A:$AC,2,FALSE))="Martin",(VLOOKUP(Table10[[#This Row],[SKU]],'All Skus'!$A:$AC,3,FALSE)),""))</f>
        <v>0</v>
      </c>
      <c r="C747" s="223" t="str">
        <f>(IF((VLOOKUP(Table10[[#This Row],[SKU]],'All Skus'!$A:$AC,2,FALSE))="Martin",(VLOOKUP(Table10[[#This Row],[SKU]],'All Skus'!$A:$AC,4,FALSE)),""))</f>
        <v>Flightcase for 6 x VDO Atomic Bold</v>
      </c>
      <c r="D747" s="224" t="str">
        <f>(IF((VLOOKUP(Table10[[#This Row],[SKU]],'All Skus'!$A:$AC,2,FALSE))="Martin",(VLOOKUP(Table10[[#This Row],[SKU]],'All Skus'!$A:$AC,5,FALSE)),""))</f>
        <v>MAR-VDO</v>
      </c>
      <c r="E747" s="223">
        <f>(IF((VLOOKUP(Table10[[#This Row],[SKU]],'All Skus'!$A:$AC,2,FALSE))="Martin",(VLOOKUP(Table10[[#This Row],[SKU]],'All Skus'!$A:$AC,6,FALSE)),""))</f>
        <v>0</v>
      </c>
      <c r="F747" s="155">
        <f>(IF((VLOOKUP(Table10[[#This Row],[SKU]],'All Skus'!$A:$AC,2,FALSE))="Martin",(VLOOKUP(Table10[[#This Row],[SKU]],'All Skus'!$A:$AC,7,FALSE)),""))</f>
        <v>0</v>
      </c>
      <c r="G747" s="223" t="str">
        <f>(IF((VLOOKUP(Table10[[#This Row],[SKU]],'All Skus'!$A:$AC,2,FALSE))="Martin",(VLOOKUP(Table10[[#This Row],[SKU]],'All Skus'!$A:$AC,8,FALSE)),""))</f>
        <v>Flightcase for 6 x VDO Atomic Bold</v>
      </c>
      <c r="H747" s="223" t="str">
        <f>(IF((VLOOKUP(Table10[[#This Row],[SKU]],'All Skus'!$A:$AC,2,FALSE))="Martin",(VLOOKUP(Table10[[#This Row],[SKU]],'All Skus'!$A:$AC,9,FALSE)),""))</f>
        <v>Flightcase for 6 x VDO Atomic Bold</v>
      </c>
      <c r="I747" s="225">
        <f>(IF((VLOOKUP(Table10[[#This Row],[SKU]],'All Skus'!$A:$AC,2,FALSE))="Martin",(VLOOKUP(Table10[[#This Row],[SKU]],'All Skus'!$A:$AC,10,FALSE)),""))</f>
        <v>2494.2199999999998</v>
      </c>
      <c r="J747" s="226">
        <f>(IF((VLOOKUP(Table10[[#This Row],[SKU]],'All Skus'!$A:$AC,2,FALSE))="Martin",(VLOOKUP(Table10[[#This Row],[SKU]],'All Skus'!$A:$AC,11,FALSE)),""))</f>
        <v>2494.2199999999998</v>
      </c>
      <c r="K747" s="224">
        <f>(IF((VLOOKUP(Table10[[#This Row],[SKU]],'All Skus'!$A:$AC,2,FALSE))="Martin",(VLOOKUP(Table10[[#This Row],[SKU]],'All Skus'!$A:$AC,15,FALSE)),""))</f>
        <v>0</v>
      </c>
      <c r="L747" s="224">
        <f>(IF((VLOOKUP(Table10[[#This Row],[SKU]],'All Skus'!$A:$AC,2,FALSE))="Martin",(VLOOKUP(Table10[[#This Row],[SKU]],'All Skus'!$A:$AC,16,FALSE)),""))</f>
        <v>688705007601</v>
      </c>
      <c r="M747" s="224">
        <f>(IF((VLOOKUP(Table10[[#This Row],[SKU]],'All Skus'!$A:$AC,2,FALSE))="Martin",(VLOOKUP(Table10[[#This Row],[SKU]],'All Skus'!$A:$AC,17,FALSE)),""))</f>
        <v>0</v>
      </c>
      <c r="N747" s="227">
        <f>(IF((VLOOKUP(Table10[[#This Row],[SKU]],'All Skus'!$A:$AC,2,FALSE))="Martin",(VLOOKUP(Table10[[#This Row],[SKU]],'All Skus'!$A:$AC,18,FALSE)),""))</f>
        <v>0</v>
      </c>
      <c r="O747" s="227">
        <f>(IF((VLOOKUP(Table10[[#This Row],[SKU]],'All Skus'!$A:$AC,2,FALSE))="Martin",(VLOOKUP(Table10[[#This Row],[SKU]],'All Skus'!$A:$AC,19,FALSE)),""))</f>
        <v>0</v>
      </c>
      <c r="P747" s="227">
        <f>(IF((VLOOKUP(Table10[[#This Row],[SKU]],'All Skus'!$A:$AC,2,FALSE))="Martin",(VLOOKUP(Table10[[#This Row],[SKU]],'All Skus'!$A:$AC,20,FALSE)),""))</f>
        <v>0</v>
      </c>
      <c r="Q747" s="227">
        <f>(IF((VLOOKUP(Table10[[#This Row],[SKU]],'All Skus'!$A:$AC,2,FALSE))="Martin",(VLOOKUP(Table10[[#This Row],[SKU]],'All Skus'!$A:$AC,21,FALSE)),""))</f>
        <v>0</v>
      </c>
      <c r="R747" s="224" t="str">
        <f>(IF((VLOOKUP(Table10[[#This Row],[SKU]],'All Skus'!$A:$AC,2,FALSE))="Martin",(VLOOKUP(Table10[[#This Row],[SKU]],'All Skus'!$A:$AC,22,FALSE)),""))</f>
        <v>DE</v>
      </c>
      <c r="S747" s="223">
        <f>(IF((VLOOKUP(Table10[[#This Row],[SKU]],'All Skus'!$A:$AC,2,FALSE))="Martin",(VLOOKUP(Table10[[#This Row],[SKU]],'All Skus'!$A:$AC,23,FALSE)),""))</f>
        <v>0</v>
      </c>
      <c r="T747" s="212" t="str">
        <f>HYPERLINK((IF((VLOOKUP(Table10[[#This Row],[SKU]],'All Skus'!$A:$AC,2,FALSE))="Martin",(VLOOKUP(Table10[[#This Row],[SKU]],'All Skus'!$A:$AC,24,FALSE)),"")))</f>
        <v/>
      </c>
      <c r="U747" s="228">
        <v>745</v>
      </c>
    </row>
    <row r="748" spans="1:21" hidden="1">
      <c r="A748" s="115" t="s">
        <v>2345</v>
      </c>
      <c r="B748" s="224">
        <f>(IF((VLOOKUP(Table10[[#This Row],[SKU]],'All Skus'!$A:$AC,2,FALSE))="Martin",(VLOOKUP(Table10[[#This Row],[SKU]],'All Skus'!$A:$AC,3,FALSE)),""))</f>
        <v>0</v>
      </c>
      <c r="C748" s="223">
        <f>(IF((VLOOKUP(Table10[[#This Row],[SKU]],'All Skus'!$A:$AC,2,FALSE))="Martin",(VLOOKUP(Table10[[#This Row],[SKU]],'All Skus'!$A:$AC,4,FALSE)),""))</f>
        <v>0</v>
      </c>
      <c r="D748" s="224">
        <f>(IF((VLOOKUP(Table10[[#This Row],[SKU]],'All Skus'!$A:$AC,2,FALSE))="Martin",(VLOOKUP(Table10[[#This Row],[SKU]],'All Skus'!$A:$AC,5,FALSE)),""))</f>
        <v>0</v>
      </c>
      <c r="E748" s="223">
        <f>(IF((VLOOKUP(Table10[[#This Row],[SKU]],'All Skus'!$A:$AC,2,FALSE))="Martin",(VLOOKUP(Table10[[#This Row],[SKU]],'All Skus'!$A:$AC,6,FALSE)),""))</f>
        <v>0</v>
      </c>
      <c r="F748" s="155">
        <f>(IF((VLOOKUP(Table10[[#This Row],[SKU]],'All Skus'!$A:$AC,2,FALSE))="Martin",(VLOOKUP(Table10[[#This Row],[SKU]],'All Skus'!$A:$AC,7,FALSE)),""))</f>
        <v>0</v>
      </c>
      <c r="G748" s="223">
        <f>(IF((VLOOKUP(Table10[[#This Row],[SKU]],'All Skus'!$A:$AC,2,FALSE))="Martin",(VLOOKUP(Table10[[#This Row],[SKU]],'All Skus'!$A:$AC,8,FALSE)),""))</f>
        <v>0</v>
      </c>
      <c r="H748" s="223">
        <f>(IF((VLOOKUP(Table10[[#This Row],[SKU]],'All Skus'!$A:$AC,2,FALSE))="Martin",(VLOOKUP(Table10[[#This Row],[SKU]],'All Skus'!$A:$AC,9,FALSE)),""))</f>
        <v>0</v>
      </c>
      <c r="I748" s="225">
        <f>(IF((VLOOKUP(Table10[[#This Row],[SKU]],'All Skus'!$A:$AC,2,FALSE))="Martin",(VLOOKUP(Table10[[#This Row],[SKU]],'All Skus'!$A:$AC,10,FALSE)),""))</f>
        <v>0</v>
      </c>
      <c r="J748" s="226">
        <f>(IF((VLOOKUP(Table10[[#This Row],[SKU]],'All Skus'!$A:$AC,2,FALSE))="Martin",(VLOOKUP(Table10[[#This Row],[SKU]],'All Skus'!$A:$AC,11,FALSE)),""))</f>
        <v>0</v>
      </c>
      <c r="K748" s="224">
        <f>(IF((VLOOKUP(Table10[[#This Row],[SKU]],'All Skus'!$A:$AC,2,FALSE))="Martin",(VLOOKUP(Table10[[#This Row],[SKU]],'All Skus'!$A:$AC,15,FALSE)),""))</f>
        <v>0</v>
      </c>
      <c r="L748" s="224">
        <f>(IF((VLOOKUP(Table10[[#This Row],[SKU]],'All Skus'!$A:$AC,2,FALSE))="Martin",(VLOOKUP(Table10[[#This Row],[SKU]],'All Skus'!$A:$AC,16,FALSE)),""))</f>
        <v>0</v>
      </c>
      <c r="M748" s="224">
        <f>(IF((VLOOKUP(Table10[[#This Row],[SKU]],'All Skus'!$A:$AC,2,FALSE))="Martin",(VLOOKUP(Table10[[#This Row],[SKU]],'All Skus'!$A:$AC,17,FALSE)),""))</f>
        <v>0</v>
      </c>
      <c r="N748" s="227">
        <f>(IF((VLOOKUP(Table10[[#This Row],[SKU]],'All Skus'!$A:$AC,2,FALSE))="Martin",(VLOOKUP(Table10[[#This Row],[SKU]],'All Skus'!$A:$AC,18,FALSE)),""))</f>
        <v>0</v>
      </c>
      <c r="O748" s="227">
        <f>(IF((VLOOKUP(Table10[[#This Row],[SKU]],'All Skus'!$A:$AC,2,FALSE))="Martin",(VLOOKUP(Table10[[#This Row],[SKU]],'All Skus'!$A:$AC,19,FALSE)),""))</f>
        <v>0</v>
      </c>
      <c r="P748" s="227">
        <f>(IF((VLOOKUP(Table10[[#This Row],[SKU]],'All Skus'!$A:$AC,2,FALSE))="Martin",(VLOOKUP(Table10[[#This Row],[SKU]],'All Skus'!$A:$AC,20,FALSE)),""))</f>
        <v>0</v>
      </c>
      <c r="Q748" s="227">
        <f>(IF((VLOOKUP(Table10[[#This Row],[SKU]],'All Skus'!$A:$AC,2,FALSE))="Martin",(VLOOKUP(Table10[[#This Row],[SKU]],'All Skus'!$A:$AC,21,FALSE)),""))</f>
        <v>0</v>
      </c>
      <c r="R748" s="224">
        <f>(IF((VLOOKUP(Table10[[#This Row],[SKU]],'All Skus'!$A:$AC,2,FALSE))="Martin",(VLOOKUP(Table10[[#This Row],[SKU]],'All Skus'!$A:$AC,22,FALSE)),""))</f>
        <v>0</v>
      </c>
      <c r="S748" s="223">
        <f>(IF((VLOOKUP(Table10[[#This Row],[SKU]],'All Skus'!$A:$AC,2,FALSE))="Martin",(VLOOKUP(Table10[[#This Row],[SKU]],'All Skus'!$A:$AC,23,FALSE)),""))</f>
        <v>0</v>
      </c>
      <c r="T748" s="212" t="str">
        <f>HYPERLINK((IF((VLOOKUP(Table10[[#This Row],[SKU]],'All Skus'!$A:$AC,2,FALSE))="Martin",(VLOOKUP(Table10[[#This Row],[SKU]],'All Skus'!$A:$AC,24,FALSE)),"")))</f>
        <v/>
      </c>
      <c r="U748" s="228">
        <v>746</v>
      </c>
    </row>
    <row r="749" spans="1:21" hidden="1">
      <c r="A749" s="112">
        <v>91515053</v>
      </c>
      <c r="B749" s="224">
        <f>(IF((VLOOKUP(Table10[[#This Row],[SKU]],'All Skus'!$A:$AC,2,FALSE))="Martin",(VLOOKUP(Table10[[#This Row],[SKU]],'All Skus'!$A:$AC,3,FALSE)),""))</f>
        <v>0</v>
      </c>
      <c r="C749" s="223" t="str">
        <f>(IF((VLOOKUP(Table10[[#This Row],[SKU]],'All Skus'!$A:$AC,2,FALSE))="Martin",(VLOOKUP(Table10[[#This Row],[SKU]],'All Skus'!$A:$AC,4,FALSE)),""))</f>
        <v>Flightcase for 15 x VDO Atomic Dot</v>
      </c>
      <c r="D749" s="224" t="str">
        <f>(IF((VLOOKUP(Table10[[#This Row],[SKU]],'All Skus'!$A:$AC,2,FALSE))="Martin",(VLOOKUP(Table10[[#This Row],[SKU]],'All Skus'!$A:$AC,5,FALSE)),""))</f>
        <v>MAR-VDO</v>
      </c>
      <c r="E749" s="223">
        <f>(IF((VLOOKUP(Table10[[#This Row],[SKU]],'All Skus'!$A:$AC,2,FALSE))="Martin",(VLOOKUP(Table10[[#This Row],[SKU]],'All Skus'!$A:$AC,6,FALSE)),""))</f>
        <v>0</v>
      </c>
      <c r="F749" s="155">
        <f>(IF((VLOOKUP(Table10[[#This Row],[SKU]],'All Skus'!$A:$AC,2,FALSE))="Martin",(VLOOKUP(Table10[[#This Row],[SKU]],'All Skus'!$A:$AC,7,FALSE)),""))</f>
        <v>0</v>
      </c>
      <c r="G749" s="223" t="str">
        <f>(IF((VLOOKUP(Table10[[#This Row],[SKU]],'All Skus'!$A:$AC,2,FALSE))="Martin",(VLOOKUP(Table10[[#This Row],[SKU]],'All Skus'!$A:$AC,8,FALSE)),""))</f>
        <v>Flightcase for 15 x VDO Atomic Dot</v>
      </c>
      <c r="H749" s="223" t="str">
        <f>(IF((VLOOKUP(Table10[[#This Row],[SKU]],'All Skus'!$A:$AC,2,FALSE))="Martin",(VLOOKUP(Table10[[#This Row],[SKU]],'All Skus'!$A:$AC,9,FALSE)),""))</f>
        <v>Flightcase for 15 x VDO Atomic Dot</v>
      </c>
      <c r="I749" s="225">
        <f>(IF((VLOOKUP(Table10[[#This Row],[SKU]],'All Skus'!$A:$AC,2,FALSE))="Martin",(VLOOKUP(Table10[[#This Row],[SKU]],'All Skus'!$A:$AC,10,FALSE)),""))</f>
        <v>2301.6</v>
      </c>
      <c r="J749" s="226">
        <f>(IF((VLOOKUP(Table10[[#This Row],[SKU]],'All Skus'!$A:$AC,2,FALSE))="Martin",(VLOOKUP(Table10[[#This Row],[SKU]],'All Skus'!$A:$AC,11,FALSE)),""))</f>
        <v>2301.6</v>
      </c>
      <c r="K749" s="224">
        <f>(IF((VLOOKUP(Table10[[#This Row],[SKU]],'All Skus'!$A:$AC,2,FALSE))="Martin",(VLOOKUP(Table10[[#This Row],[SKU]],'All Skus'!$A:$AC,15,FALSE)),""))</f>
        <v>0</v>
      </c>
      <c r="L749" s="224">
        <f>(IF((VLOOKUP(Table10[[#This Row],[SKU]],'All Skus'!$A:$AC,2,FALSE))="Martin",(VLOOKUP(Table10[[#This Row],[SKU]],'All Skus'!$A:$AC,16,FALSE)),""))</f>
        <v>0</v>
      </c>
      <c r="M749" s="224">
        <f>(IF((VLOOKUP(Table10[[#This Row],[SKU]],'All Skus'!$A:$AC,2,FALSE))="Martin",(VLOOKUP(Table10[[#This Row],[SKU]],'All Skus'!$A:$AC,17,FALSE)),""))</f>
        <v>0</v>
      </c>
      <c r="N749" s="227">
        <f>(IF((VLOOKUP(Table10[[#This Row],[SKU]],'All Skus'!$A:$AC,2,FALSE))="Martin",(VLOOKUP(Table10[[#This Row],[SKU]],'All Skus'!$A:$AC,18,FALSE)),""))</f>
        <v>0</v>
      </c>
      <c r="O749" s="227">
        <f>(IF((VLOOKUP(Table10[[#This Row],[SKU]],'All Skus'!$A:$AC,2,FALSE))="Martin",(VLOOKUP(Table10[[#This Row],[SKU]],'All Skus'!$A:$AC,19,FALSE)),""))</f>
        <v>0</v>
      </c>
      <c r="P749" s="227">
        <f>(IF((VLOOKUP(Table10[[#This Row],[SKU]],'All Skus'!$A:$AC,2,FALSE))="Martin",(VLOOKUP(Table10[[#This Row],[SKU]],'All Skus'!$A:$AC,20,FALSE)),""))</f>
        <v>0</v>
      </c>
      <c r="Q749" s="227">
        <f>(IF((VLOOKUP(Table10[[#This Row],[SKU]],'All Skus'!$A:$AC,2,FALSE))="Martin",(VLOOKUP(Table10[[#This Row],[SKU]],'All Skus'!$A:$AC,21,FALSE)),""))</f>
        <v>0</v>
      </c>
      <c r="R749" s="224" t="str">
        <f>(IF((VLOOKUP(Table10[[#This Row],[SKU]],'All Skus'!$A:$AC,2,FALSE))="Martin",(VLOOKUP(Table10[[#This Row],[SKU]],'All Skus'!$A:$AC,22,FALSE)),""))</f>
        <v>DE</v>
      </c>
      <c r="S749" s="223">
        <f>(IF((VLOOKUP(Table10[[#This Row],[SKU]],'All Skus'!$A:$AC,2,FALSE))="Martin",(VLOOKUP(Table10[[#This Row],[SKU]],'All Skus'!$A:$AC,23,FALSE)),""))</f>
        <v>0</v>
      </c>
      <c r="T749" s="212" t="str">
        <f>HYPERLINK((IF((VLOOKUP(Table10[[#This Row],[SKU]],'All Skus'!$A:$AC,2,FALSE))="Martin",(VLOOKUP(Table10[[#This Row],[SKU]],'All Skus'!$A:$AC,24,FALSE)),"")))</f>
        <v/>
      </c>
      <c r="U749" s="228">
        <v>747</v>
      </c>
    </row>
    <row r="750" spans="1:21" hidden="1">
      <c r="A750" s="112">
        <v>91515054</v>
      </c>
      <c r="B750" s="224">
        <f>(IF((VLOOKUP(Table10[[#This Row],[SKU]],'All Skus'!$A:$AC,2,FALSE))="Martin",(VLOOKUP(Table10[[#This Row],[SKU]],'All Skus'!$A:$AC,3,FALSE)),""))</f>
        <v>0</v>
      </c>
      <c r="C750" s="223" t="str">
        <f>(IF((VLOOKUP(Table10[[#This Row],[SKU]],'All Skus'!$A:$AC,2,FALSE))="Martin",(VLOOKUP(Table10[[#This Row],[SKU]],'All Skus'!$A:$AC,4,FALSE)),""))</f>
        <v>Flightcase Extender for 15 x VDO Atomic Dot</v>
      </c>
      <c r="D750" s="224" t="str">
        <f>(IF((VLOOKUP(Table10[[#This Row],[SKU]],'All Skus'!$A:$AC,2,FALSE))="Martin",(VLOOKUP(Table10[[#This Row],[SKU]],'All Skus'!$A:$AC,5,FALSE)),""))</f>
        <v>MAR-VDO</v>
      </c>
      <c r="E750" s="223">
        <f>(IF((VLOOKUP(Table10[[#This Row],[SKU]],'All Skus'!$A:$AC,2,FALSE))="Martin",(VLOOKUP(Table10[[#This Row],[SKU]],'All Skus'!$A:$AC,6,FALSE)),""))</f>
        <v>0</v>
      </c>
      <c r="F750" s="155">
        <f>(IF((VLOOKUP(Table10[[#This Row],[SKU]],'All Skus'!$A:$AC,2,FALSE))="Martin",(VLOOKUP(Table10[[#This Row],[SKU]],'All Skus'!$A:$AC,7,FALSE)),""))</f>
        <v>0</v>
      </c>
      <c r="G750" s="223" t="str">
        <f>(IF((VLOOKUP(Table10[[#This Row],[SKU]],'All Skus'!$A:$AC,2,FALSE))="Martin",(VLOOKUP(Table10[[#This Row],[SKU]],'All Skus'!$A:$AC,8,FALSE)),""))</f>
        <v>Flightcase Extender for 15 x VDO Atomic Dot</v>
      </c>
      <c r="H750" s="223" t="str">
        <f>(IF((VLOOKUP(Table10[[#This Row],[SKU]],'All Skus'!$A:$AC,2,FALSE))="Martin",(VLOOKUP(Table10[[#This Row],[SKU]],'All Skus'!$A:$AC,9,FALSE)),""))</f>
        <v>Flightcase Extender for 15 x VDO Atomic Dot</v>
      </c>
      <c r="I750" s="225">
        <f>(IF((VLOOKUP(Table10[[#This Row],[SKU]],'All Skus'!$A:$AC,2,FALSE))="Martin",(VLOOKUP(Table10[[#This Row],[SKU]],'All Skus'!$A:$AC,10,FALSE)),""))</f>
        <v>1843.5</v>
      </c>
      <c r="J750" s="226">
        <f>(IF((VLOOKUP(Table10[[#This Row],[SKU]],'All Skus'!$A:$AC,2,FALSE))="Martin",(VLOOKUP(Table10[[#This Row],[SKU]],'All Skus'!$A:$AC,11,FALSE)),""))</f>
        <v>1843.5</v>
      </c>
      <c r="K750" s="224">
        <f>(IF((VLOOKUP(Table10[[#This Row],[SKU]],'All Skus'!$A:$AC,2,FALSE))="Martin",(VLOOKUP(Table10[[#This Row],[SKU]],'All Skus'!$A:$AC,15,FALSE)),""))</f>
        <v>0</v>
      </c>
      <c r="L750" s="224">
        <f>(IF((VLOOKUP(Table10[[#This Row],[SKU]],'All Skus'!$A:$AC,2,FALSE))="Martin",(VLOOKUP(Table10[[#This Row],[SKU]],'All Skus'!$A:$AC,16,FALSE)),""))</f>
        <v>0</v>
      </c>
      <c r="M750" s="224">
        <f>(IF((VLOOKUP(Table10[[#This Row],[SKU]],'All Skus'!$A:$AC,2,FALSE))="Martin",(VLOOKUP(Table10[[#This Row],[SKU]],'All Skus'!$A:$AC,17,FALSE)),""))</f>
        <v>0</v>
      </c>
      <c r="N750" s="227">
        <f>(IF((VLOOKUP(Table10[[#This Row],[SKU]],'All Skus'!$A:$AC,2,FALSE))="Martin",(VLOOKUP(Table10[[#This Row],[SKU]],'All Skus'!$A:$AC,18,FALSE)),""))</f>
        <v>0</v>
      </c>
      <c r="O750" s="227">
        <f>(IF((VLOOKUP(Table10[[#This Row],[SKU]],'All Skus'!$A:$AC,2,FALSE))="Martin",(VLOOKUP(Table10[[#This Row],[SKU]],'All Skus'!$A:$AC,19,FALSE)),""))</f>
        <v>0</v>
      </c>
      <c r="P750" s="227">
        <f>(IF((VLOOKUP(Table10[[#This Row],[SKU]],'All Skus'!$A:$AC,2,FALSE))="Martin",(VLOOKUP(Table10[[#This Row],[SKU]],'All Skus'!$A:$AC,20,FALSE)),""))</f>
        <v>0</v>
      </c>
      <c r="Q750" s="227">
        <f>(IF((VLOOKUP(Table10[[#This Row],[SKU]],'All Skus'!$A:$AC,2,FALSE))="Martin",(VLOOKUP(Table10[[#This Row],[SKU]],'All Skus'!$A:$AC,21,FALSE)),""))</f>
        <v>0</v>
      </c>
      <c r="R750" s="224" t="str">
        <f>(IF((VLOOKUP(Table10[[#This Row],[SKU]],'All Skus'!$A:$AC,2,FALSE))="Martin",(VLOOKUP(Table10[[#This Row],[SKU]],'All Skus'!$A:$AC,22,FALSE)),""))</f>
        <v>DE</v>
      </c>
      <c r="S750" s="223">
        <f>(IF((VLOOKUP(Table10[[#This Row],[SKU]],'All Skus'!$A:$AC,2,FALSE))="Martin",(VLOOKUP(Table10[[#This Row],[SKU]],'All Skus'!$A:$AC,23,FALSE)),""))</f>
        <v>0</v>
      </c>
      <c r="T750" s="212" t="str">
        <f>HYPERLINK((IF((VLOOKUP(Table10[[#This Row],[SKU]],'All Skus'!$A:$AC,2,FALSE))="Martin",(VLOOKUP(Table10[[#This Row],[SKU]],'All Skus'!$A:$AC,24,FALSE)),"")))</f>
        <v/>
      </c>
      <c r="U750" s="228">
        <v>748</v>
      </c>
    </row>
    <row r="751" spans="1:21" hidden="1">
      <c r="A751" s="111" t="s">
        <v>2346</v>
      </c>
      <c r="B751" s="224">
        <f>(IF((VLOOKUP(Table10[[#This Row],[SKU]],'All Skus'!$A:$AC,2,FALSE))="Martin",(VLOOKUP(Table10[[#This Row],[SKU]],'All Skus'!$A:$AC,3,FALSE)),""))</f>
        <v>0</v>
      </c>
      <c r="C751" s="223">
        <f>(IF((VLOOKUP(Table10[[#This Row],[SKU]],'All Skus'!$A:$AC,2,FALSE))="Martin",(VLOOKUP(Table10[[#This Row],[SKU]],'All Skus'!$A:$AC,4,FALSE)),""))</f>
        <v>0</v>
      </c>
      <c r="D751" s="224">
        <f>(IF((VLOOKUP(Table10[[#This Row],[SKU]],'All Skus'!$A:$AC,2,FALSE))="Martin",(VLOOKUP(Table10[[#This Row],[SKU]],'All Skus'!$A:$AC,5,FALSE)),""))</f>
        <v>0</v>
      </c>
      <c r="E751" s="223">
        <f>(IF((VLOOKUP(Table10[[#This Row],[SKU]],'All Skus'!$A:$AC,2,FALSE))="Martin",(VLOOKUP(Table10[[#This Row],[SKU]],'All Skus'!$A:$AC,6,FALSE)),""))</f>
        <v>0</v>
      </c>
      <c r="F751" s="155">
        <f>(IF((VLOOKUP(Table10[[#This Row],[SKU]],'All Skus'!$A:$AC,2,FALSE))="Martin",(VLOOKUP(Table10[[#This Row],[SKU]],'All Skus'!$A:$AC,7,FALSE)),""))</f>
        <v>0</v>
      </c>
      <c r="G751" s="223">
        <f>(IF((VLOOKUP(Table10[[#This Row],[SKU]],'All Skus'!$A:$AC,2,FALSE))="Martin",(VLOOKUP(Table10[[#This Row],[SKU]],'All Skus'!$A:$AC,8,FALSE)),""))</f>
        <v>0</v>
      </c>
      <c r="H751" s="223">
        <f>(IF((VLOOKUP(Table10[[#This Row],[SKU]],'All Skus'!$A:$AC,2,FALSE))="Martin",(VLOOKUP(Table10[[#This Row],[SKU]],'All Skus'!$A:$AC,9,FALSE)),""))</f>
        <v>0</v>
      </c>
      <c r="I751" s="225">
        <f>(IF((VLOOKUP(Table10[[#This Row],[SKU]],'All Skus'!$A:$AC,2,FALSE))="Martin",(VLOOKUP(Table10[[#This Row],[SKU]],'All Skus'!$A:$AC,10,FALSE)),""))</f>
        <v>0</v>
      </c>
      <c r="J751" s="226">
        <f>(IF((VLOOKUP(Table10[[#This Row],[SKU]],'All Skus'!$A:$AC,2,FALSE))="Martin",(VLOOKUP(Table10[[#This Row],[SKU]],'All Skus'!$A:$AC,11,FALSE)),""))</f>
        <v>0</v>
      </c>
      <c r="K751" s="224">
        <f>(IF((VLOOKUP(Table10[[#This Row],[SKU]],'All Skus'!$A:$AC,2,FALSE))="Martin",(VLOOKUP(Table10[[#This Row],[SKU]],'All Skus'!$A:$AC,15,FALSE)),""))</f>
        <v>0</v>
      </c>
      <c r="L751" s="224">
        <f>(IF((VLOOKUP(Table10[[#This Row],[SKU]],'All Skus'!$A:$AC,2,FALSE))="Martin",(VLOOKUP(Table10[[#This Row],[SKU]],'All Skus'!$A:$AC,16,FALSE)),""))</f>
        <v>0</v>
      </c>
      <c r="M751" s="224">
        <f>(IF((VLOOKUP(Table10[[#This Row],[SKU]],'All Skus'!$A:$AC,2,FALSE))="Martin",(VLOOKUP(Table10[[#This Row],[SKU]],'All Skus'!$A:$AC,17,FALSE)),""))</f>
        <v>0</v>
      </c>
      <c r="N751" s="227">
        <f>(IF((VLOOKUP(Table10[[#This Row],[SKU]],'All Skus'!$A:$AC,2,FALSE))="Martin",(VLOOKUP(Table10[[#This Row],[SKU]],'All Skus'!$A:$AC,18,FALSE)),""))</f>
        <v>0</v>
      </c>
      <c r="O751" s="227">
        <f>(IF((VLOOKUP(Table10[[#This Row],[SKU]],'All Skus'!$A:$AC,2,FALSE))="Martin",(VLOOKUP(Table10[[#This Row],[SKU]],'All Skus'!$A:$AC,19,FALSE)),""))</f>
        <v>0</v>
      </c>
      <c r="P751" s="227">
        <f>(IF((VLOOKUP(Table10[[#This Row],[SKU]],'All Skus'!$A:$AC,2,FALSE))="Martin",(VLOOKUP(Table10[[#This Row],[SKU]],'All Skus'!$A:$AC,20,FALSE)),""))</f>
        <v>0</v>
      </c>
      <c r="Q751" s="227">
        <f>(IF((VLOOKUP(Table10[[#This Row],[SKU]],'All Skus'!$A:$AC,2,FALSE))="Martin",(VLOOKUP(Table10[[#This Row],[SKU]],'All Skus'!$A:$AC,21,FALSE)),""))</f>
        <v>0</v>
      </c>
      <c r="R751" s="224">
        <f>(IF((VLOOKUP(Table10[[#This Row],[SKU]],'All Skus'!$A:$AC,2,FALSE))="Martin",(VLOOKUP(Table10[[#This Row],[SKU]],'All Skus'!$A:$AC,22,FALSE)),""))</f>
        <v>0</v>
      </c>
      <c r="S751" s="223">
        <f>(IF((VLOOKUP(Table10[[#This Row],[SKU]],'All Skus'!$A:$AC,2,FALSE))="Martin",(VLOOKUP(Table10[[#This Row],[SKU]],'All Skus'!$A:$AC,23,FALSE)),""))</f>
        <v>0</v>
      </c>
      <c r="T751" s="212" t="str">
        <f>HYPERLINK((IF((VLOOKUP(Table10[[#This Row],[SKU]],'All Skus'!$A:$AC,2,FALSE))="Martin",(VLOOKUP(Table10[[#This Row],[SKU]],'All Skus'!$A:$AC,24,FALSE)),"")))</f>
        <v/>
      </c>
      <c r="U751" s="228">
        <v>749</v>
      </c>
    </row>
    <row r="752" spans="1:21" hidden="1">
      <c r="A752" s="115" t="s">
        <v>2347</v>
      </c>
      <c r="B752" s="224">
        <f>(IF((VLOOKUP(Table10[[#This Row],[SKU]],'All Skus'!$A:$AC,2,FALSE))="Martin",(VLOOKUP(Table10[[#This Row],[SKU]],'All Skus'!$A:$AC,3,FALSE)),""))</f>
        <v>0</v>
      </c>
      <c r="C752" s="223">
        <f>(IF((VLOOKUP(Table10[[#This Row],[SKU]],'All Skus'!$A:$AC,2,FALSE))="Martin",(VLOOKUP(Table10[[#This Row],[SKU]],'All Skus'!$A:$AC,4,FALSE)),""))</f>
        <v>0</v>
      </c>
      <c r="D752" s="224">
        <f>(IF((VLOOKUP(Table10[[#This Row],[SKU]],'All Skus'!$A:$AC,2,FALSE))="Martin",(VLOOKUP(Table10[[#This Row],[SKU]],'All Skus'!$A:$AC,5,FALSE)),""))</f>
        <v>0</v>
      </c>
      <c r="E752" s="223">
        <f>(IF((VLOOKUP(Table10[[#This Row],[SKU]],'All Skus'!$A:$AC,2,FALSE))="Martin",(VLOOKUP(Table10[[#This Row],[SKU]],'All Skus'!$A:$AC,6,FALSE)),""))</f>
        <v>0</v>
      </c>
      <c r="F752" s="155">
        <f>(IF((VLOOKUP(Table10[[#This Row],[SKU]],'All Skus'!$A:$AC,2,FALSE))="Martin",(VLOOKUP(Table10[[#This Row],[SKU]],'All Skus'!$A:$AC,7,FALSE)),""))</f>
        <v>0</v>
      </c>
      <c r="G752" s="223">
        <f>(IF((VLOOKUP(Table10[[#This Row],[SKU]],'All Skus'!$A:$AC,2,FALSE))="Martin",(VLOOKUP(Table10[[#This Row],[SKU]],'All Skus'!$A:$AC,8,FALSE)),""))</f>
        <v>0</v>
      </c>
      <c r="H752" s="223">
        <f>(IF((VLOOKUP(Table10[[#This Row],[SKU]],'All Skus'!$A:$AC,2,FALSE))="Martin",(VLOOKUP(Table10[[#This Row],[SKU]],'All Skus'!$A:$AC,9,FALSE)),""))</f>
        <v>0</v>
      </c>
      <c r="I752" s="225">
        <f>(IF((VLOOKUP(Table10[[#This Row],[SKU]],'All Skus'!$A:$AC,2,FALSE))="Martin",(VLOOKUP(Table10[[#This Row],[SKU]],'All Skus'!$A:$AC,10,FALSE)),""))</f>
        <v>0</v>
      </c>
      <c r="J752" s="226">
        <f>(IF((VLOOKUP(Table10[[#This Row],[SKU]],'All Skus'!$A:$AC,2,FALSE))="Martin",(VLOOKUP(Table10[[#This Row],[SKU]],'All Skus'!$A:$AC,11,FALSE)),""))</f>
        <v>0</v>
      </c>
      <c r="K752" s="224">
        <f>(IF((VLOOKUP(Table10[[#This Row],[SKU]],'All Skus'!$A:$AC,2,FALSE))="Martin",(VLOOKUP(Table10[[#This Row],[SKU]],'All Skus'!$A:$AC,15,FALSE)),""))</f>
        <v>0</v>
      </c>
      <c r="L752" s="224">
        <f>(IF((VLOOKUP(Table10[[#This Row],[SKU]],'All Skus'!$A:$AC,2,FALSE))="Martin",(VLOOKUP(Table10[[#This Row],[SKU]],'All Skus'!$A:$AC,16,FALSE)),""))</f>
        <v>0</v>
      </c>
      <c r="M752" s="224">
        <f>(IF((VLOOKUP(Table10[[#This Row],[SKU]],'All Skus'!$A:$AC,2,FALSE))="Martin",(VLOOKUP(Table10[[#This Row],[SKU]],'All Skus'!$A:$AC,17,FALSE)),""))</f>
        <v>0</v>
      </c>
      <c r="N752" s="227">
        <f>(IF((VLOOKUP(Table10[[#This Row],[SKU]],'All Skus'!$A:$AC,2,FALSE))="Martin",(VLOOKUP(Table10[[#This Row],[SKU]],'All Skus'!$A:$AC,18,FALSE)),""))</f>
        <v>0</v>
      </c>
      <c r="O752" s="227">
        <f>(IF((VLOOKUP(Table10[[#This Row],[SKU]],'All Skus'!$A:$AC,2,FALSE))="Martin",(VLOOKUP(Table10[[#This Row],[SKU]],'All Skus'!$A:$AC,19,FALSE)),""))</f>
        <v>0</v>
      </c>
      <c r="P752" s="227">
        <f>(IF((VLOOKUP(Table10[[#This Row],[SKU]],'All Skus'!$A:$AC,2,FALSE))="Martin",(VLOOKUP(Table10[[#This Row],[SKU]],'All Skus'!$A:$AC,20,FALSE)),""))</f>
        <v>0</v>
      </c>
      <c r="Q752" s="227">
        <f>(IF((VLOOKUP(Table10[[#This Row],[SKU]],'All Skus'!$A:$AC,2,FALSE))="Martin",(VLOOKUP(Table10[[#This Row],[SKU]],'All Skus'!$A:$AC,21,FALSE)),""))</f>
        <v>0</v>
      </c>
      <c r="R752" s="224">
        <f>(IF((VLOOKUP(Table10[[#This Row],[SKU]],'All Skus'!$A:$AC,2,FALSE))="Martin",(VLOOKUP(Table10[[#This Row],[SKU]],'All Skus'!$A:$AC,22,FALSE)),""))</f>
        <v>0</v>
      </c>
      <c r="S752" s="223">
        <f>(IF((VLOOKUP(Table10[[#This Row],[SKU]],'All Skus'!$A:$AC,2,FALSE))="Martin",(VLOOKUP(Table10[[#This Row],[SKU]],'All Skus'!$A:$AC,23,FALSE)),""))</f>
        <v>0</v>
      </c>
      <c r="T752" s="212" t="str">
        <f>HYPERLINK((IF((VLOOKUP(Table10[[#This Row],[SKU]],'All Skus'!$A:$AC,2,FALSE))="Martin",(VLOOKUP(Table10[[#This Row],[SKU]],'All Skus'!$A:$AC,24,FALSE)),"")))</f>
        <v/>
      </c>
      <c r="U752" s="228">
        <v>750</v>
      </c>
    </row>
    <row r="753" spans="1:21" hidden="1">
      <c r="A753" s="112" t="s">
        <v>2348</v>
      </c>
      <c r="B753" s="224" t="str">
        <f>(IF((VLOOKUP(Table10[[#This Row],[SKU]],'All Skus'!$A:$AC,2,FALSE))="Martin",(VLOOKUP(Table10[[#This Row],[SKU]],'All Skus'!$A:$AC,3,FALSE)),""))</f>
        <v>LED Video</v>
      </c>
      <c r="C753" s="223" t="str">
        <f>(IF((VLOOKUP(Table10[[#This Row],[SKU]],'All Skus'!$A:$AC,2,FALSE))="Martin",(VLOOKUP(Table10[[#This Row],[SKU]],'All Skus'!$A:$AC,4,FALSE)),""))</f>
        <v>VDO Sceptron 10 320mm in cardboard</v>
      </c>
      <c r="D753" s="224" t="str">
        <f>(IF((VLOOKUP(Table10[[#This Row],[SKU]],'All Skus'!$A:$AC,2,FALSE))="Martin",(VLOOKUP(Table10[[#This Row],[SKU]],'All Skus'!$A:$AC,5,FALSE)),""))</f>
        <v>MAR-VDO</v>
      </c>
      <c r="E753" s="223">
        <f>(IF((VLOOKUP(Table10[[#This Row],[SKU]],'All Skus'!$A:$AC,2,FALSE))="Martin",(VLOOKUP(Table10[[#This Row],[SKU]],'All Skus'!$A:$AC,6,FALSE)),""))</f>
        <v>0</v>
      </c>
      <c r="F753" s="155">
        <f>(IF((VLOOKUP(Table10[[#This Row],[SKU]],'All Skus'!$A:$AC,2,FALSE))="Martin",(VLOOKUP(Table10[[#This Row],[SKU]],'All Skus'!$A:$AC,7,FALSE)),""))</f>
        <v>0</v>
      </c>
      <c r="G753" s="223" t="str">
        <f>(IF((VLOOKUP(Table10[[#This Row],[SKU]],'All Skus'!$A:$AC,2,FALSE))="Martin",(VLOOKUP(Table10[[#This Row],[SKU]],'All Skus'!$A:$AC,8,FALSE)),""))</f>
        <v>VDO Sceptron 10 320mm in cardboard</v>
      </c>
      <c r="H753" s="223" t="str">
        <f>(IF((VLOOKUP(Table10[[#This Row],[SKU]],'All Skus'!$A:$AC,2,FALSE))="Martin",(VLOOKUP(Table10[[#This Row],[SKU]],'All Skus'!$A:$AC,9,FALSE)),""))</f>
        <v>VDO Sceptron 10 320mm in cardboard</v>
      </c>
      <c r="I753" s="225">
        <f>(IF((VLOOKUP(Table10[[#This Row],[SKU]],'All Skus'!$A:$AC,2,FALSE))="Martin",(VLOOKUP(Table10[[#This Row],[SKU]],'All Skus'!$A:$AC,10,FALSE)),""))</f>
        <v>477.85</v>
      </c>
      <c r="J753" s="226">
        <f>(IF((VLOOKUP(Table10[[#This Row],[SKU]],'All Skus'!$A:$AC,2,FALSE))="Martin",(VLOOKUP(Table10[[#This Row],[SKU]],'All Skus'!$A:$AC,11,FALSE)),""))</f>
        <v>477.85</v>
      </c>
      <c r="K753" s="224">
        <f>(IF((VLOOKUP(Table10[[#This Row],[SKU]],'All Skus'!$A:$AC,2,FALSE))="Martin",(VLOOKUP(Table10[[#This Row],[SKU]],'All Skus'!$A:$AC,15,FALSE)),""))</f>
        <v>2</v>
      </c>
      <c r="L753" s="224">
        <f>(IF((VLOOKUP(Table10[[#This Row],[SKU]],'All Skus'!$A:$AC,2,FALSE))="Martin",(VLOOKUP(Table10[[#This Row],[SKU]],'All Skus'!$A:$AC,16,FALSE)),""))</f>
        <v>5706681234769</v>
      </c>
      <c r="M753" s="224">
        <f>(IF((VLOOKUP(Table10[[#This Row],[SKU]],'All Skus'!$A:$AC,2,FALSE))="Martin",(VLOOKUP(Table10[[#This Row],[SKU]],'All Skus'!$A:$AC,17,FALSE)),""))</f>
        <v>0</v>
      </c>
      <c r="N753" s="227">
        <f>(IF((VLOOKUP(Table10[[#This Row],[SKU]],'All Skus'!$A:$AC,2,FALSE))="Martin",(VLOOKUP(Table10[[#This Row],[SKU]],'All Skus'!$A:$AC,18,FALSE)),""))</f>
        <v>0</v>
      </c>
      <c r="O753" s="227">
        <f>(IF((VLOOKUP(Table10[[#This Row],[SKU]],'All Skus'!$A:$AC,2,FALSE))="Martin",(VLOOKUP(Table10[[#This Row],[SKU]],'All Skus'!$A:$AC,19,FALSE)),""))</f>
        <v>0</v>
      </c>
      <c r="P753" s="227">
        <f>(IF((VLOOKUP(Table10[[#This Row],[SKU]],'All Skus'!$A:$AC,2,FALSE))="Martin",(VLOOKUP(Table10[[#This Row],[SKU]],'All Skus'!$A:$AC,20,FALSE)),""))</f>
        <v>0</v>
      </c>
      <c r="Q753" s="227">
        <f>(IF((VLOOKUP(Table10[[#This Row],[SKU]],'All Skus'!$A:$AC,2,FALSE))="Martin",(VLOOKUP(Table10[[#This Row],[SKU]],'All Skus'!$A:$AC,21,FALSE)),""))</f>
        <v>0</v>
      </c>
      <c r="R753" s="224" t="str">
        <f>(IF((VLOOKUP(Table10[[#This Row],[SKU]],'All Skus'!$A:$AC,2,FALSE))="Martin",(VLOOKUP(Table10[[#This Row],[SKU]],'All Skus'!$A:$AC,22,FALSE)),""))</f>
        <v>HU</v>
      </c>
      <c r="S753" s="223">
        <f>(IF((VLOOKUP(Table10[[#This Row],[SKU]],'All Skus'!$A:$AC,2,FALSE))="Martin",(VLOOKUP(Table10[[#This Row],[SKU]],'All Skus'!$A:$AC,23,FALSE)),""))</f>
        <v>0</v>
      </c>
      <c r="T753" s="212" t="str">
        <f>HYPERLINK((IF((VLOOKUP(Table10[[#This Row],[SKU]],'All Skus'!$A:$AC,2,FALSE))="Martin",(VLOOKUP(Table10[[#This Row],[SKU]],'All Skus'!$A:$AC,24,FALSE)),"")))</f>
        <v/>
      </c>
      <c r="U753" s="228">
        <v>751</v>
      </c>
    </row>
    <row r="754" spans="1:21" hidden="1">
      <c r="A754" s="112" t="s">
        <v>2349</v>
      </c>
      <c r="B754" s="224" t="str">
        <f>(IF((VLOOKUP(Table10[[#This Row],[SKU]],'All Skus'!$A:$AC,2,FALSE))="Martin",(VLOOKUP(Table10[[#This Row],[SKU]],'All Skus'!$A:$AC,3,FALSE)),""))</f>
        <v>LED Video</v>
      </c>
      <c r="C754" s="223" t="str">
        <f>(IF((VLOOKUP(Table10[[#This Row],[SKU]],'All Skus'!$A:$AC,2,FALSE))="Martin",(VLOOKUP(Table10[[#This Row],[SKU]],'All Skus'!$A:$AC,4,FALSE)),""))</f>
        <v>VDO Sceptron 10 1000mm in cardboard</v>
      </c>
      <c r="D754" s="224" t="str">
        <f>(IF((VLOOKUP(Table10[[#This Row],[SKU]],'All Skus'!$A:$AC,2,FALSE))="Martin",(VLOOKUP(Table10[[#This Row],[SKU]],'All Skus'!$A:$AC,5,FALSE)),""))</f>
        <v>MAR-VDO</v>
      </c>
      <c r="E754" s="223">
        <f>(IF((VLOOKUP(Table10[[#This Row],[SKU]],'All Skus'!$A:$AC,2,FALSE))="Martin",(VLOOKUP(Table10[[#This Row],[SKU]],'All Skus'!$A:$AC,6,FALSE)),""))</f>
        <v>0</v>
      </c>
      <c r="F754" s="155">
        <f>(IF((VLOOKUP(Table10[[#This Row],[SKU]],'All Skus'!$A:$AC,2,FALSE))="Martin",(VLOOKUP(Table10[[#This Row],[SKU]],'All Skus'!$A:$AC,7,FALSE)),""))</f>
        <v>0</v>
      </c>
      <c r="G754" s="223" t="str">
        <f>(IF((VLOOKUP(Table10[[#This Row],[SKU]],'All Skus'!$A:$AC,2,FALSE))="Martin",(VLOOKUP(Table10[[#This Row],[SKU]],'All Skus'!$A:$AC,8,FALSE)),""))</f>
        <v>VDO Sceptron 10 1000mm in cardboard</v>
      </c>
      <c r="H754" s="223" t="str">
        <f>(IF((VLOOKUP(Table10[[#This Row],[SKU]],'All Skus'!$A:$AC,2,FALSE))="Martin",(VLOOKUP(Table10[[#This Row],[SKU]],'All Skus'!$A:$AC,9,FALSE)),""))</f>
        <v>VDO Sceptron 10 1000mm in cardboard</v>
      </c>
      <c r="I754" s="225">
        <f>(IF((VLOOKUP(Table10[[#This Row],[SKU]],'All Skus'!$A:$AC,2,FALSE))="Martin",(VLOOKUP(Table10[[#This Row],[SKU]],'All Skus'!$A:$AC,10,FALSE)),""))</f>
        <v>869.27</v>
      </c>
      <c r="J754" s="226">
        <f>(IF((VLOOKUP(Table10[[#This Row],[SKU]],'All Skus'!$A:$AC,2,FALSE))="Martin",(VLOOKUP(Table10[[#This Row],[SKU]],'All Skus'!$A:$AC,11,FALSE)),""))</f>
        <v>869.27</v>
      </c>
      <c r="K754" s="224">
        <f>(IF((VLOOKUP(Table10[[#This Row],[SKU]],'All Skus'!$A:$AC,2,FALSE))="Martin",(VLOOKUP(Table10[[#This Row],[SKU]],'All Skus'!$A:$AC,15,FALSE)),""))</f>
        <v>4</v>
      </c>
      <c r="L754" s="224">
        <f>(IF((VLOOKUP(Table10[[#This Row],[SKU]],'All Skus'!$A:$AC,2,FALSE))="Martin",(VLOOKUP(Table10[[#This Row],[SKU]],'All Skus'!$A:$AC,16,FALSE)),""))</f>
        <v>5706681234776</v>
      </c>
      <c r="M754" s="224">
        <f>(IF((VLOOKUP(Table10[[#This Row],[SKU]],'All Skus'!$A:$AC,2,FALSE))="Martin",(VLOOKUP(Table10[[#This Row],[SKU]],'All Skus'!$A:$AC,17,FALSE)),""))</f>
        <v>0</v>
      </c>
      <c r="N754" s="227">
        <f>(IF((VLOOKUP(Table10[[#This Row],[SKU]],'All Skus'!$A:$AC,2,FALSE))="Martin",(VLOOKUP(Table10[[#This Row],[SKU]],'All Skus'!$A:$AC,18,FALSE)),""))</f>
        <v>0</v>
      </c>
      <c r="O754" s="227">
        <f>(IF((VLOOKUP(Table10[[#This Row],[SKU]],'All Skus'!$A:$AC,2,FALSE))="Martin",(VLOOKUP(Table10[[#This Row],[SKU]],'All Skus'!$A:$AC,19,FALSE)),""))</f>
        <v>0</v>
      </c>
      <c r="P754" s="227">
        <f>(IF((VLOOKUP(Table10[[#This Row],[SKU]],'All Skus'!$A:$AC,2,FALSE))="Martin",(VLOOKUP(Table10[[#This Row],[SKU]],'All Skus'!$A:$AC,20,FALSE)),""))</f>
        <v>0</v>
      </c>
      <c r="Q754" s="227">
        <f>(IF((VLOOKUP(Table10[[#This Row],[SKU]],'All Skus'!$A:$AC,2,FALSE))="Martin",(VLOOKUP(Table10[[#This Row],[SKU]],'All Skus'!$A:$AC,21,FALSE)),""))</f>
        <v>0</v>
      </c>
      <c r="R754" s="224" t="str">
        <f>(IF((VLOOKUP(Table10[[#This Row],[SKU]],'All Skus'!$A:$AC,2,FALSE))="Martin",(VLOOKUP(Table10[[#This Row],[SKU]],'All Skus'!$A:$AC,22,FALSE)),""))</f>
        <v>HU</v>
      </c>
      <c r="S754" s="223">
        <f>(IF((VLOOKUP(Table10[[#This Row],[SKU]],'All Skus'!$A:$AC,2,FALSE))="Martin",(VLOOKUP(Table10[[#This Row],[SKU]],'All Skus'!$A:$AC,23,FALSE)),""))</f>
        <v>0</v>
      </c>
      <c r="T754" s="212" t="str">
        <f>HYPERLINK((IF((VLOOKUP(Table10[[#This Row],[SKU]],'All Skus'!$A:$AC,2,FALSE))="Martin",(VLOOKUP(Table10[[#This Row],[SKU]],'All Skus'!$A:$AC,24,FALSE)),"")))</f>
        <v>http://www.martin.com/en-us/product-details/vdo-sceptron-10</v>
      </c>
      <c r="U754" s="228">
        <v>752</v>
      </c>
    </row>
    <row r="755" spans="1:21" hidden="1">
      <c r="A755" s="115" t="s">
        <v>2350</v>
      </c>
      <c r="B755" s="224">
        <f>(IF((VLOOKUP(Table10[[#This Row],[SKU]],'All Skus'!$A:$AC,2,FALSE))="Martin",(VLOOKUP(Table10[[#This Row],[SKU]],'All Skus'!$A:$AC,3,FALSE)),""))</f>
        <v>0</v>
      </c>
      <c r="C755" s="223">
        <f>(IF((VLOOKUP(Table10[[#This Row],[SKU]],'All Skus'!$A:$AC,2,FALSE))="Martin",(VLOOKUP(Table10[[#This Row],[SKU]],'All Skus'!$A:$AC,4,FALSE)),""))</f>
        <v>0</v>
      </c>
      <c r="D755" s="224">
        <f>(IF((VLOOKUP(Table10[[#This Row],[SKU]],'All Skus'!$A:$AC,2,FALSE))="Martin",(VLOOKUP(Table10[[#This Row],[SKU]],'All Skus'!$A:$AC,5,FALSE)),""))</f>
        <v>0</v>
      </c>
      <c r="E755" s="223">
        <f>(IF((VLOOKUP(Table10[[#This Row],[SKU]],'All Skus'!$A:$AC,2,FALSE))="Martin",(VLOOKUP(Table10[[#This Row],[SKU]],'All Skus'!$A:$AC,6,FALSE)),""))</f>
        <v>0</v>
      </c>
      <c r="F755" s="155">
        <f>(IF((VLOOKUP(Table10[[#This Row],[SKU]],'All Skus'!$A:$AC,2,FALSE))="Martin",(VLOOKUP(Table10[[#This Row],[SKU]],'All Skus'!$A:$AC,7,FALSE)),""))</f>
        <v>0</v>
      </c>
      <c r="G755" s="223">
        <f>(IF((VLOOKUP(Table10[[#This Row],[SKU]],'All Skus'!$A:$AC,2,FALSE))="Martin",(VLOOKUP(Table10[[#This Row],[SKU]],'All Skus'!$A:$AC,8,FALSE)),""))</f>
        <v>0</v>
      </c>
      <c r="H755" s="223">
        <f>(IF((VLOOKUP(Table10[[#This Row],[SKU]],'All Skus'!$A:$AC,2,FALSE))="Martin",(VLOOKUP(Table10[[#This Row],[SKU]],'All Skus'!$A:$AC,9,FALSE)),""))</f>
        <v>0</v>
      </c>
      <c r="I755" s="225">
        <f>(IF((VLOOKUP(Table10[[#This Row],[SKU]],'All Skus'!$A:$AC,2,FALSE))="Martin",(VLOOKUP(Table10[[#This Row],[SKU]],'All Skus'!$A:$AC,10,FALSE)),""))</f>
        <v>0</v>
      </c>
      <c r="J755" s="226">
        <f>(IF((VLOOKUP(Table10[[#This Row],[SKU]],'All Skus'!$A:$AC,2,FALSE))="Martin",(VLOOKUP(Table10[[#This Row],[SKU]],'All Skus'!$A:$AC,11,FALSE)),""))</f>
        <v>0</v>
      </c>
      <c r="K755" s="224">
        <f>(IF((VLOOKUP(Table10[[#This Row],[SKU]],'All Skus'!$A:$AC,2,FALSE))="Martin",(VLOOKUP(Table10[[#This Row],[SKU]],'All Skus'!$A:$AC,15,FALSE)),""))</f>
        <v>0</v>
      </c>
      <c r="L755" s="224">
        <f>(IF((VLOOKUP(Table10[[#This Row],[SKU]],'All Skus'!$A:$AC,2,FALSE))="Martin",(VLOOKUP(Table10[[#This Row],[SKU]],'All Skus'!$A:$AC,16,FALSE)),""))</f>
        <v>0</v>
      </c>
      <c r="M755" s="224">
        <f>(IF((VLOOKUP(Table10[[#This Row],[SKU]],'All Skus'!$A:$AC,2,FALSE))="Martin",(VLOOKUP(Table10[[#This Row],[SKU]],'All Skus'!$A:$AC,17,FALSE)),""))</f>
        <v>0</v>
      </c>
      <c r="N755" s="227">
        <f>(IF((VLOOKUP(Table10[[#This Row],[SKU]],'All Skus'!$A:$AC,2,FALSE))="Martin",(VLOOKUP(Table10[[#This Row],[SKU]],'All Skus'!$A:$AC,18,FALSE)),""))</f>
        <v>0</v>
      </c>
      <c r="O755" s="227">
        <f>(IF((VLOOKUP(Table10[[#This Row],[SKU]],'All Skus'!$A:$AC,2,FALSE))="Martin",(VLOOKUP(Table10[[#This Row],[SKU]],'All Skus'!$A:$AC,19,FALSE)),""))</f>
        <v>0</v>
      </c>
      <c r="P755" s="227">
        <f>(IF((VLOOKUP(Table10[[#This Row],[SKU]],'All Skus'!$A:$AC,2,FALSE))="Martin",(VLOOKUP(Table10[[#This Row],[SKU]],'All Skus'!$A:$AC,20,FALSE)),""))</f>
        <v>0</v>
      </c>
      <c r="Q755" s="227">
        <f>(IF((VLOOKUP(Table10[[#This Row],[SKU]],'All Skus'!$A:$AC,2,FALSE))="Martin",(VLOOKUP(Table10[[#This Row],[SKU]],'All Skus'!$A:$AC,21,FALSE)),""))</f>
        <v>0</v>
      </c>
      <c r="R755" s="224">
        <f>(IF((VLOOKUP(Table10[[#This Row],[SKU]],'All Skus'!$A:$AC,2,FALSE))="Martin",(VLOOKUP(Table10[[#This Row],[SKU]],'All Skus'!$A:$AC,22,FALSE)),""))</f>
        <v>0</v>
      </c>
      <c r="S755" s="223">
        <f>(IF((VLOOKUP(Table10[[#This Row],[SKU]],'All Skus'!$A:$AC,2,FALSE))="Martin",(VLOOKUP(Table10[[#This Row],[SKU]],'All Skus'!$A:$AC,23,FALSE)),""))</f>
        <v>0</v>
      </c>
      <c r="T755" s="212" t="str">
        <f>HYPERLINK((IF((VLOOKUP(Table10[[#This Row],[SKU]],'All Skus'!$A:$AC,2,FALSE))="Martin",(VLOOKUP(Table10[[#This Row],[SKU]],'All Skus'!$A:$AC,24,FALSE)),"")))</f>
        <v/>
      </c>
      <c r="U755" s="228">
        <v>753</v>
      </c>
    </row>
    <row r="756" spans="1:21" hidden="1">
      <c r="A756" s="112" t="s">
        <v>2351</v>
      </c>
      <c r="B756" s="224" t="str">
        <f>(IF((VLOOKUP(Table10[[#This Row],[SKU]],'All Skus'!$A:$AC,2,FALSE))="Martin",(VLOOKUP(Table10[[#This Row],[SKU]],'All Skus'!$A:$AC,3,FALSE)),""))</f>
        <v>LED Video</v>
      </c>
      <c r="C756" s="223" t="str">
        <f>(IF((VLOOKUP(Table10[[#This Row],[SKU]],'All Skus'!$A:$AC,2,FALSE))="Martin",(VLOOKUP(Table10[[#This Row],[SKU]],'All Skus'!$A:$AC,4,FALSE)),""))</f>
        <v>VDO Sceptron 20 320mm in cardboard</v>
      </c>
      <c r="D756" s="224" t="str">
        <f>(IF((VLOOKUP(Table10[[#This Row],[SKU]],'All Skus'!$A:$AC,2,FALSE))="Martin",(VLOOKUP(Table10[[#This Row],[SKU]],'All Skus'!$A:$AC,5,FALSE)),""))</f>
        <v>MAR-VDO</v>
      </c>
      <c r="E756" s="223">
        <f>(IF((VLOOKUP(Table10[[#This Row],[SKU]],'All Skus'!$A:$AC,2,FALSE))="Martin",(VLOOKUP(Table10[[#This Row],[SKU]],'All Skus'!$A:$AC,6,FALSE)),""))</f>
        <v>0</v>
      </c>
      <c r="F756" s="155">
        <f>(IF((VLOOKUP(Table10[[#This Row],[SKU]],'All Skus'!$A:$AC,2,FALSE))="Martin",(VLOOKUP(Table10[[#This Row],[SKU]],'All Skus'!$A:$AC,7,FALSE)),""))</f>
        <v>0</v>
      </c>
      <c r="G756" s="223" t="str">
        <f>(IF((VLOOKUP(Table10[[#This Row],[SKU]],'All Skus'!$A:$AC,2,FALSE))="Martin",(VLOOKUP(Table10[[#This Row],[SKU]],'All Skus'!$A:$AC,8,FALSE)),""))</f>
        <v>VDO Sceptron 20 320mm in cardboard</v>
      </c>
      <c r="H756" s="223" t="str">
        <f>(IF((VLOOKUP(Table10[[#This Row],[SKU]],'All Skus'!$A:$AC,2,FALSE))="Martin",(VLOOKUP(Table10[[#This Row],[SKU]],'All Skus'!$A:$AC,9,FALSE)),""))</f>
        <v>VDO Sceptron 20 320mm in cardboard</v>
      </c>
      <c r="I756" s="225">
        <f>(IF((VLOOKUP(Table10[[#This Row],[SKU]],'All Skus'!$A:$AC,2,FALSE))="Martin",(VLOOKUP(Table10[[#This Row],[SKU]],'All Skus'!$A:$AC,10,FALSE)),""))</f>
        <v>417.35</v>
      </c>
      <c r="J756" s="226">
        <f>(IF((VLOOKUP(Table10[[#This Row],[SKU]],'All Skus'!$A:$AC,2,FALSE))="Martin",(VLOOKUP(Table10[[#This Row],[SKU]],'All Skus'!$A:$AC,11,FALSE)),""))</f>
        <v>417.35</v>
      </c>
      <c r="K756" s="224">
        <f>(IF((VLOOKUP(Table10[[#This Row],[SKU]],'All Skus'!$A:$AC,2,FALSE))="Martin",(VLOOKUP(Table10[[#This Row],[SKU]],'All Skus'!$A:$AC,15,FALSE)),""))</f>
        <v>2</v>
      </c>
      <c r="L756" s="224">
        <f>(IF((VLOOKUP(Table10[[#This Row],[SKU]],'All Skus'!$A:$AC,2,FALSE))="Martin",(VLOOKUP(Table10[[#This Row],[SKU]],'All Skus'!$A:$AC,16,FALSE)),""))</f>
        <v>5706681234967</v>
      </c>
      <c r="M756" s="224">
        <f>(IF((VLOOKUP(Table10[[#This Row],[SKU]],'All Skus'!$A:$AC,2,FALSE))="Martin",(VLOOKUP(Table10[[#This Row],[SKU]],'All Skus'!$A:$AC,17,FALSE)),""))</f>
        <v>0</v>
      </c>
      <c r="N756" s="227">
        <f>(IF((VLOOKUP(Table10[[#This Row],[SKU]],'All Skus'!$A:$AC,2,FALSE))="Martin",(VLOOKUP(Table10[[#This Row],[SKU]],'All Skus'!$A:$AC,18,FALSE)),""))</f>
        <v>0</v>
      </c>
      <c r="O756" s="227">
        <f>(IF((VLOOKUP(Table10[[#This Row],[SKU]],'All Skus'!$A:$AC,2,FALSE))="Martin",(VLOOKUP(Table10[[#This Row],[SKU]],'All Skus'!$A:$AC,19,FALSE)),""))</f>
        <v>0</v>
      </c>
      <c r="P756" s="227">
        <f>(IF((VLOOKUP(Table10[[#This Row],[SKU]],'All Skus'!$A:$AC,2,FALSE))="Martin",(VLOOKUP(Table10[[#This Row],[SKU]],'All Skus'!$A:$AC,20,FALSE)),""))</f>
        <v>0</v>
      </c>
      <c r="Q756" s="227">
        <f>(IF((VLOOKUP(Table10[[#This Row],[SKU]],'All Skus'!$A:$AC,2,FALSE))="Martin",(VLOOKUP(Table10[[#This Row],[SKU]],'All Skus'!$A:$AC,21,FALSE)),""))</f>
        <v>0</v>
      </c>
      <c r="R756" s="224" t="str">
        <f>(IF((VLOOKUP(Table10[[#This Row],[SKU]],'All Skus'!$A:$AC,2,FALSE))="Martin",(VLOOKUP(Table10[[#This Row],[SKU]],'All Skus'!$A:$AC,22,FALSE)),""))</f>
        <v>HU</v>
      </c>
      <c r="S756" s="223">
        <f>(IF((VLOOKUP(Table10[[#This Row],[SKU]],'All Skus'!$A:$AC,2,FALSE))="Martin",(VLOOKUP(Table10[[#This Row],[SKU]],'All Skus'!$A:$AC,23,FALSE)),""))</f>
        <v>0</v>
      </c>
      <c r="T756" s="212" t="str">
        <f>HYPERLINK((IF((VLOOKUP(Table10[[#This Row],[SKU]],'All Skus'!$A:$AC,2,FALSE))="Martin",(VLOOKUP(Table10[[#This Row],[SKU]],'All Skus'!$A:$AC,24,FALSE)),"")))</f>
        <v/>
      </c>
      <c r="U756" s="228">
        <v>754</v>
      </c>
    </row>
    <row r="757" spans="1:21" hidden="1">
      <c r="A757" s="112" t="s">
        <v>2352</v>
      </c>
      <c r="B757" s="224" t="str">
        <f>(IF((VLOOKUP(Table10[[#This Row],[SKU]],'All Skus'!$A:$AC,2,FALSE))="Martin",(VLOOKUP(Table10[[#This Row],[SKU]],'All Skus'!$A:$AC,3,FALSE)),""))</f>
        <v>LED Video</v>
      </c>
      <c r="C757" s="223" t="str">
        <f>(IF((VLOOKUP(Table10[[#This Row],[SKU]],'All Skus'!$A:$AC,2,FALSE))="Martin",(VLOOKUP(Table10[[#This Row],[SKU]],'All Skus'!$A:$AC,4,FALSE)),""))</f>
        <v>VDO Sceptron 20 1000mm in cardboard</v>
      </c>
      <c r="D757" s="224" t="str">
        <f>(IF((VLOOKUP(Table10[[#This Row],[SKU]],'All Skus'!$A:$AC,2,FALSE))="Martin",(VLOOKUP(Table10[[#This Row],[SKU]],'All Skus'!$A:$AC,5,FALSE)),""))</f>
        <v>MAR-VDO</v>
      </c>
      <c r="E757" s="223">
        <f>(IF((VLOOKUP(Table10[[#This Row],[SKU]],'All Skus'!$A:$AC,2,FALSE))="Martin",(VLOOKUP(Table10[[#This Row],[SKU]],'All Skus'!$A:$AC,6,FALSE)),""))</f>
        <v>0</v>
      </c>
      <c r="F757" s="155">
        <f>(IF((VLOOKUP(Table10[[#This Row],[SKU]],'All Skus'!$A:$AC,2,FALSE))="Martin",(VLOOKUP(Table10[[#This Row],[SKU]],'All Skus'!$A:$AC,7,FALSE)),""))</f>
        <v>0</v>
      </c>
      <c r="G757" s="223" t="str">
        <f>(IF((VLOOKUP(Table10[[#This Row],[SKU]],'All Skus'!$A:$AC,2,FALSE))="Martin",(VLOOKUP(Table10[[#This Row],[SKU]],'All Skus'!$A:$AC,8,FALSE)),""))</f>
        <v>VDO Sceptron 20 1000mm in cardboard</v>
      </c>
      <c r="H757" s="223" t="str">
        <f>(IF((VLOOKUP(Table10[[#This Row],[SKU]],'All Skus'!$A:$AC,2,FALSE))="Martin",(VLOOKUP(Table10[[#This Row],[SKU]],'All Skus'!$A:$AC,9,FALSE)),""))</f>
        <v>VDO Sceptron 20 1000mm in cardboard</v>
      </c>
      <c r="I757" s="225">
        <f>(IF((VLOOKUP(Table10[[#This Row],[SKU]],'All Skus'!$A:$AC,2,FALSE))="Martin",(VLOOKUP(Table10[[#This Row],[SKU]],'All Skus'!$A:$AC,10,FALSE)),""))</f>
        <v>695.17</v>
      </c>
      <c r="J757" s="226">
        <f>(IF((VLOOKUP(Table10[[#This Row],[SKU]],'All Skus'!$A:$AC,2,FALSE))="Martin",(VLOOKUP(Table10[[#This Row],[SKU]],'All Skus'!$A:$AC,11,FALSE)),""))</f>
        <v>695.17</v>
      </c>
      <c r="K757" s="224">
        <f>(IF((VLOOKUP(Table10[[#This Row],[SKU]],'All Skus'!$A:$AC,2,FALSE))="Martin",(VLOOKUP(Table10[[#This Row],[SKU]],'All Skus'!$A:$AC,15,FALSE)),""))</f>
        <v>4</v>
      </c>
      <c r="L757" s="224">
        <f>(IF((VLOOKUP(Table10[[#This Row],[SKU]],'All Skus'!$A:$AC,2,FALSE))="Martin",(VLOOKUP(Table10[[#This Row],[SKU]],'All Skus'!$A:$AC,16,FALSE)),""))</f>
        <v>5706681234981</v>
      </c>
      <c r="M757" s="224">
        <f>(IF((VLOOKUP(Table10[[#This Row],[SKU]],'All Skus'!$A:$AC,2,FALSE))="Martin",(VLOOKUP(Table10[[#This Row],[SKU]],'All Skus'!$A:$AC,17,FALSE)),""))</f>
        <v>0</v>
      </c>
      <c r="N757" s="227">
        <f>(IF((VLOOKUP(Table10[[#This Row],[SKU]],'All Skus'!$A:$AC,2,FALSE))="Martin",(VLOOKUP(Table10[[#This Row],[SKU]],'All Skus'!$A:$AC,18,FALSE)),""))</f>
        <v>0</v>
      </c>
      <c r="O757" s="227">
        <f>(IF((VLOOKUP(Table10[[#This Row],[SKU]],'All Skus'!$A:$AC,2,FALSE))="Martin",(VLOOKUP(Table10[[#This Row],[SKU]],'All Skus'!$A:$AC,19,FALSE)),""))</f>
        <v>0</v>
      </c>
      <c r="P757" s="227">
        <f>(IF((VLOOKUP(Table10[[#This Row],[SKU]],'All Skus'!$A:$AC,2,FALSE))="Martin",(VLOOKUP(Table10[[#This Row],[SKU]],'All Skus'!$A:$AC,20,FALSE)),""))</f>
        <v>0</v>
      </c>
      <c r="Q757" s="227">
        <f>(IF((VLOOKUP(Table10[[#This Row],[SKU]],'All Skus'!$A:$AC,2,FALSE))="Martin",(VLOOKUP(Table10[[#This Row],[SKU]],'All Skus'!$A:$AC,21,FALSE)),""))</f>
        <v>0</v>
      </c>
      <c r="R757" s="224" t="str">
        <f>(IF((VLOOKUP(Table10[[#This Row],[SKU]],'All Skus'!$A:$AC,2,FALSE))="Martin",(VLOOKUP(Table10[[#This Row],[SKU]],'All Skus'!$A:$AC,22,FALSE)),""))</f>
        <v>HU</v>
      </c>
      <c r="S757" s="223">
        <f>(IF((VLOOKUP(Table10[[#This Row],[SKU]],'All Skus'!$A:$AC,2,FALSE))="Martin",(VLOOKUP(Table10[[#This Row],[SKU]],'All Skus'!$A:$AC,23,FALSE)),""))</f>
        <v>0</v>
      </c>
      <c r="T757" s="212" t="str">
        <f>HYPERLINK((IF((VLOOKUP(Table10[[#This Row],[SKU]],'All Skus'!$A:$AC,2,FALSE))="Martin",(VLOOKUP(Table10[[#This Row],[SKU]],'All Skus'!$A:$AC,24,FALSE)),"")))</f>
        <v>http://www.martin.com/en-us/product-details/vdo-sceptron-20</v>
      </c>
      <c r="U757" s="228">
        <v>755</v>
      </c>
    </row>
    <row r="758" spans="1:21" hidden="1">
      <c r="A758" s="115" t="s">
        <v>2353</v>
      </c>
      <c r="B758" s="224">
        <f>(IF((VLOOKUP(Table10[[#This Row],[SKU]],'All Skus'!$A:$AC,2,FALSE))="Martin",(VLOOKUP(Table10[[#This Row],[SKU]],'All Skus'!$A:$AC,3,FALSE)),""))</f>
        <v>0</v>
      </c>
      <c r="C758" s="223">
        <f>(IF((VLOOKUP(Table10[[#This Row],[SKU]],'All Skus'!$A:$AC,2,FALSE))="Martin",(VLOOKUP(Table10[[#This Row],[SKU]],'All Skus'!$A:$AC,4,FALSE)),""))</f>
        <v>0</v>
      </c>
      <c r="D758" s="224">
        <f>(IF((VLOOKUP(Table10[[#This Row],[SKU]],'All Skus'!$A:$AC,2,FALSE))="Martin",(VLOOKUP(Table10[[#This Row],[SKU]],'All Skus'!$A:$AC,5,FALSE)),""))</f>
        <v>0</v>
      </c>
      <c r="E758" s="223">
        <f>(IF((VLOOKUP(Table10[[#This Row],[SKU]],'All Skus'!$A:$AC,2,FALSE))="Martin",(VLOOKUP(Table10[[#This Row],[SKU]],'All Skus'!$A:$AC,6,FALSE)),""))</f>
        <v>0</v>
      </c>
      <c r="F758" s="155">
        <f>(IF((VLOOKUP(Table10[[#This Row],[SKU]],'All Skus'!$A:$AC,2,FALSE))="Martin",(VLOOKUP(Table10[[#This Row],[SKU]],'All Skus'!$A:$AC,7,FALSE)),""))</f>
        <v>0</v>
      </c>
      <c r="G758" s="223">
        <f>(IF((VLOOKUP(Table10[[#This Row],[SKU]],'All Skus'!$A:$AC,2,FALSE))="Martin",(VLOOKUP(Table10[[#This Row],[SKU]],'All Skus'!$A:$AC,8,FALSE)),""))</f>
        <v>0</v>
      </c>
      <c r="H758" s="223">
        <f>(IF((VLOOKUP(Table10[[#This Row],[SKU]],'All Skus'!$A:$AC,2,FALSE))="Martin",(VLOOKUP(Table10[[#This Row],[SKU]],'All Skus'!$A:$AC,9,FALSE)),""))</f>
        <v>0</v>
      </c>
      <c r="I758" s="225">
        <f>(IF((VLOOKUP(Table10[[#This Row],[SKU]],'All Skus'!$A:$AC,2,FALSE))="Martin",(VLOOKUP(Table10[[#This Row],[SKU]],'All Skus'!$A:$AC,10,FALSE)),""))</f>
        <v>0</v>
      </c>
      <c r="J758" s="226">
        <f>(IF((VLOOKUP(Table10[[#This Row],[SKU]],'All Skus'!$A:$AC,2,FALSE))="Martin",(VLOOKUP(Table10[[#This Row],[SKU]],'All Skus'!$A:$AC,11,FALSE)),""))</f>
        <v>0</v>
      </c>
      <c r="K758" s="224">
        <f>(IF((VLOOKUP(Table10[[#This Row],[SKU]],'All Skus'!$A:$AC,2,FALSE))="Martin",(VLOOKUP(Table10[[#This Row],[SKU]],'All Skus'!$A:$AC,15,FALSE)),""))</f>
        <v>0</v>
      </c>
      <c r="L758" s="224">
        <f>(IF((VLOOKUP(Table10[[#This Row],[SKU]],'All Skus'!$A:$AC,2,FALSE))="Martin",(VLOOKUP(Table10[[#This Row],[SKU]],'All Skus'!$A:$AC,16,FALSE)),""))</f>
        <v>0</v>
      </c>
      <c r="M758" s="224">
        <f>(IF((VLOOKUP(Table10[[#This Row],[SKU]],'All Skus'!$A:$AC,2,FALSE))="Martin",(VLOOKUP(Table10[[#This Row],[SKU]],'All Skus'!$A:$AC,17,FALSE)),""))</f>
        <v>0</v>
      </c>
      <c r="N758" s="227">
        <f>(IF((VLOOKUP(Table10[[#This Row],[SKU]],'All Skus'!$A:$AC,2,FALSE))="Martin",(VLOOKUP(Table10[[#This Row],[SKU]],'All Skus'!$A:$AC,18,FALSE)),""))</f>
        <v>0</v>
      </c>
      <c r="O758" s="227">
        <f>(IF((VLOOKUP(Table10[[#This Row],[SKU]],'All Skus'!$A:$AC,2,FALSE))="Martin",(VLOOKUP(Table10[[#This Row],[SKU]],'All Skus'!$A:$AC,19,FALSE)),""))</f>
        <v>0</v>
      </c>
      <c r="P758" s="227">
        <f>(IF((VLOOKUP(Table10[[#This Row],[SKU]],'All Skus'!$A:$AC,2,FALSE))="Martin",(VLOOKUP(Table10[[#This Row],[SKU]],'All Skus'!$A:$AC,20,FALSE)),""))</f>
        <v>0</v>
      </c>
      <c r="Q758" s="227">
        <f>(IF((VLOOKUP(Table10[[#This Row],[SKU]],'All Skus'!$A:$AC,2,FALSE))="Martin",(VLOOKUP(Table10[[#This Row],[SKU]],'All Skus'!$A:$AC,21,FALSE)),""))</f>
        <v>0</v>
      </c>
      <c r="R758" s="224">
        <f>(IF((VLOOKUP(Table10[[#This Row],[SKU]],'All Skus'!$A:$AC,2,FALSE))="Martin",(VLOOKUP(Table10[[#This Row],[SKU]],'All Skus'!$A:$AC,22,FALSE)),""))</f>
        <v>0</v>
      </c>
      <c r="S758" s="223">
        <f>(IF((VLOOKUP(Table10[[#This Row],[SKU]],'All Skus'!$A:$AC,2,FALSE))="Martin",(VLOOKUP(Table10[[#This Row],[SKU]],'All Skus'!$A:$AC,23,FALSE)),""))</f>
        <v>0</v>
      </c>
      <c r="T758" s="212" t="str">
        <f>HYPERLINK((IF((VLOOKUP(Table10[[#This Row],[SKU]],'All Skus'!$A:$AC,2,FALSE))="Martin",(VLOOKUP(Table10[[#This Row],[SKU]],'All Skus'!$A:$AC,24,FALSE)),"")))</f>
        <v/>
      </c>
      <c r="U758" s="228">
        <v>756</v>
      </c>
    </row>
    <row r="759" spans="1:21" hidden="1">
      <c r="A759" s="112" t="s">
        <v>2354</v>
      </c>
      <c r="B759" s="224" t="str">
        <f>(IF((VLOOKUP(Table10[[#This Row],[SKU]],'All Skus'!$A:$AC,2,FALSE))="Martin",(VLOOKUP(Table10[[#This Row],[SKU]],'All Skus'!$A:$AC,3,FALSE)),""))</f>
        <v>LED Video</v>
      </c>
      <c r="C759" s="223" t="str">
        <f>(IF((VLOOKUP(Table10[[#This Row],[SKU]],'All Skus'!$A:$AC,2,FALSE))="Martin",(VLOOKUP(Table10[[#This Row],[SKU]],'All Skus'!$A:$AC,4,FALSE)),""))</f>
        <v>VDO Sceptron 40 320mm in cardboard</v>
      </c>
      <c r="D759" s="224" t="str">
        <f>(IF((VLOOKUP(Table10[[#This Row],[SKU]],'All Skus'!$A:$AC,2,FALSE))="Martin",(VLOOKUP(Table10[[#This Row],[SKU]],'All Skus'!$A:$AC,5,FALSE)),""))</f>
        <v>MAR-VDO</v>
      </c>
      <c r="E759" s="223">
        <f>(IF((VLOOKUP(Table10[[#This Row],[SKU]],'All Skus'!$A:$AC,2,FALSE))="Martin",(VLOOKUP(Table10[[#This Row],[SKU]],'All Skus'!$A:$AC,6,FALSE)),""))</f>
        <v>0</v>
      </c>
      <c r="F759" s="155">
        <f>(IF((VLOOKUP(Table10[[#This Row],[SKU]],'All Skus'!$A:$AC,2,FALSE))="Martin",(VLOOKUP(Table10[[#This Row],[SKU]],'All Skus'!$A:$AC,7,FALSE)),""))</f>
        <v>0</v>
      </c>
      <c r="G759" s="223" t="str">
        <f>(IF((VLOOKUP(Table10[[#This Row],[SKU]],'All Skus'!$A:$AC,2,FALSE))="Martin",(VLOOKUP(Table10[[#This Row],[SKU]],'All Skus'!$A:$AC,8,FALSE)),""))</f>
        <v>VDO Sceptron 40 320mm in cardboard</v>
      </c>
      <c r="H759" s="223" t="str">
        <f>(IF((VLOOKUP(Table10[[#This Row],[SKU]],'All Skus'!$A:$AC,2,FALSE))="Martin",(VLOOKUP(Table10[[#This Row],[SKU]],'All Skus'!$A:$AC,9,FALSE)),""))</f>
        <v>VDO Sceptron 40 320mm in cardboard</v>
      </c>
      <c r="I759" s="225">
        <f>(IF((VLOOKUP(Table10[[#This Row],[SKU]],'All Skus'!$A:$AC,2,FALSE))="Martin",(VLOOKUP(Table10[[#This Row],[SKU]],'All Skus'!$A:$AC,10,FALSE)),""))</f>
        <v>391.42</v>
      </c>
      <c r="J759" s="226">
        <f>(IF((VLOOKUP(Table10[[#This Row],[SKU]],'All Skus'!$A:$AC,2,FALSE))="Martin",(VLOOKUP(Table10[[#This Row],[SKU]],'All Skus'!$A:$AC,11,FALSE)),""))</f>
        <v>391.42</v>
      </c>
      <c r="K759" s="224">
        <f>(IF((VLOOKUP(Table10[[#This Row],[SKU]],'All Skus'!$A:$AC,2,FALSE))="Martin",(VLOOKUP(Table10[[#This Row],[SKU]],'All Skus'!$A:$AC,15,FALSE)),""))</f>
        <v>0</v>
      </c>
      <c r="L759" s="224">
        <f>(IF((VLOOKUP(Table10[[#This Row],[SKU]],'All Skus'!$A:$AC,2,FALSE))="Martin",(VLOOKUP(Table10[[#This Row],[SKU]],'All Skus'!$A:$AC,16,FALSE)),""))</f>
        <v>5706681234998</v>
      </c>
      <c r="M759" s="224">
        <f>(IF((VLOOKUP(Table10[[#This Row],[SKU]],'All Skus'!$A:$AC,2,FALSE))="Martin",(VLOOKUP(Table10[[#This Row],[SKU]],'All Skus'!$A:$AC,17,FALSE)),""))</f>
        <v>0</v>
      </c>
      <c r="N759" s="227">
        <f>(IF((VLOOKUP(Table10[[#This Row],[SKU]],'All Skus'!$A:$AC,2,FALSE))="Martin",(VLOOKUP(Table10[[#This Row],[SKU]],'All Skus'!$A:$AC,18,FALSE)),""))</f>
        <v>0</v>
      </c>
      <c r="O759" s="227">
        <f>(IF((VLOOKUP(Table10[[#This Row],[SKU]],'All Skus'!$A:$AC,2,FALSE))="Martin",(VLOOKUP(Table10[[#This Row],[SKU]],'All Skus'!$A:$AC,19,FALSE)),""))</f>
        <v>0</v>
      </c>
      <c r="P759" s="227">
        <f>(IF((VLOOKUP(Table10[[#This Row],[SKU]],'All Skus'!$A:$AC,2,FALSE))="Martin",(VLOOKUP(Table10[[#This Row],[SKU]],'All Skus'!$A:$AC,20,FALSE)),""))</f>
        <v>0</v>
      </c>
      <c r="Q759" s="227">
        <f>(IF((VLOOKUP(Table10[[#This Row],[SKU]],'All Skus'!$A:$AC,2,FALSE))="Martin",(VLOOKUP(Table10[[#This Row],[SKU]],'All Skus'!$A:$AC,21,FALSE)),""))</f>
        <v>0</v>
      </c>
      <c r="R759" s="224" t="str">
        <f>(IF((VLOOKUP(Table10[[#This Row],[SKU]],'All Skus'!$A:$AC,2,FALSE))="Martin",(VLOOKUP(Table10[[#This Row],[SKU]],'All Skus'!$A:$AC,22,FALSE)),""))</f>
        <v>HU</v>
      </c>
      <c r="S759" s="223">
        <f>(IF((VLOOKUP(Table10[[#This Row],[SKU]],'All Skus'!$A:$AC,2,FALSE))="Martin",(VLOOKUP(Table10[[#This Row],[SKU]],'All Skus'!$A:$AC,23,FALSE)),""))</f>
        <v>0</v>
      </c>
      <c r="T759" s="212" t="str">
        <f>HYPERLINK((IF((VLOOKUP(Table10[[#This Row],[SKU]],'All Skus'!$A:$AC,2,FALSE))="Martin",(VLOOKUP(Table10[[#This Row],[SKU]],'All Skus'!$A:$AC,24,FALSE)),"")))</f>
        <v/>
      </c>
      <c r="U759" s="228">
        <v>757</v>
      </c>
    </row>
    <row r="760" spans="1:21" hidden="1">
      <c r="A760" s="112" t="s">
        <v>2355</v>
      </c>
      <c r="B760" s="224" t="str">
        <f>(IF((VLOOKUP(Table10[[#This Row],[SKU]],'All Skus'!$A:$AC,2,FALSE))="Martin",(VLOOKUP(Table10[[#This Row],[SKU]],'All Skus'!$A:$AC,3,FALSE)),""))</f>
        <v>LED Video</v>
      </c>
      <c r="C760" s="223" t="str">
        <f>(IF((VLOOKUP(Table10[[#This Row],[SKU]],'All Skus'!$A:$AC,2,FALSE))="Martin",(VLOOKUP(Table10[[#This Row],[SKU]],'All Skus'!$A:$AC,4,FALSE)),""))</f>
        <v>VDO Sceptron 40 1000mm in cardboard</v>
      </c>
      <c r="D760" s="224" t="str">
        <f>(IF((VLOOKUP(Table10[[#This Row],[SKU]],'All Skus'!$A:$AC,2,FALSE))="Martin",(VLOOKUP(Table10[[#This Row],[SKU]],'All Skus'!$A:$AC,5,FALSE)),""))</f>
        <v>MAR-VDO</v>
      </c>
      <c r="E760" s="223">
        <f>(IF((VLOOKUP(Table10[[#This Row],[SKU]],'All Skus'!$A:$AC,2,FALSE))="Martin",(VLOOKUP(Table10[[#This Row],[SKU]],'All Skus'!$A:$AC,6,FALSE)),""))</f>
        <v>0</v>
      </c>
      <c r="F760" s="155">
        <f>(IF((VLOOKUP(Table10[[#This Row],[SKU]],'All Skus'!$A:$AC,2,FALSE))="Martin",(VLOOKUP(Table10[[#This Row],[SKU]],'All Skus'!$A:$AC,7,FALSE)),""))</f>
        <v>0</v>
      </c>
      <c r="G760" s="223" t="str">
        <f>(IF((VLOOKUP(Table10[[#This Row],[SKU]],'All Skus'!$A:$AC,2,FALSE))="Martin",(VLOOKUP(Table10[[#This Row],[SKU]],'All Skus'!$A:$AC,8,FALSE)),""))</f>
        <v>VDO Sceptron 40 1000mm in cardboard</v>
      </c>
      <c r="H760" s="223" t="str">
        <f>(IF((VLOOKUP(Table10[[#This Row],[SKU]],'All Skus'!$A:$AC,2,FALSE))="Martin",(VLOOKUP(Table10[[#This Row],[SKU]],'All Skus'!$A:$AC,9,FALSE)),""))</f>
        <v>VDO Sceptron 40 1000mm in cardboard</v>
      </c>
      <c r="I760" s="225">
        <f>(IF((VLOOKUP(Table10[[#This Row],[SKU]],'All Skus'!$A:$AC,2,FALSE))="Martin",(VLOOKUP(Table10[[#This Row],[SKU]],'All Skus'!$A:$AC,10,FALSE)),""))</f>
        <v>608.74</v>
      </c>
      <c r="J760" s="226">
        <f>(IF((VLOOKUP(Table10[[#This Row],[SKU]],'All Skus'!$A:$AC,2,FALSE))="Martin",(VLOOKUP(Table10[[#This Row],[SKU]],'All Skus'!$A:$AC,11,FALSE)),""))</f>
        <v>608.74</v>
      </c>
      <c r="K760" s="224">
        <f>(IF((VLOOKUP(Table10[[#This Row],[SKU]],'All Skus'!$A:$AC,2,FALSE))="Martin",(VLOOKUP(Table10[[#This Row],[SKU]],'All Skus'!$A:$AC,15,FALSE)),""))</f>
        <v>0</v>
      </c>
      <c r="L760" s="224">
        <f>(IF((VLOOKUP(Table10[[#This Row],[SKU]],'All Skus'!$A:$AC,2,FALSE))="Martin",(VLOOKUP(Table10[[#This Row],[SKU]],'All Skus'!$A:$AC,16,FALSE)),""))</f>
        <v>5706681235018</v>
      </c>
      <c r="M760" s="224">
        <f>(IF((VLOOKUP(Table10[[#This Row],[SKU]],'All Skus'!$A:$AC,2,FALSE))="Martin",(VLOOKUP(Table10[[#This Row],[SKU]],'All Skus'!$A:$AC,17,FALSE)),""))</f>
        <v>0</v>
      </c>
      <c r="N760" s="227">
        <f>(IF((VLOOKUP(Table10[[#This Row],[SKU]],'All Skus'!$A:$AC,2,FALSE))="Martin",(VLOOKUP(Table10[[#This Row],[SKU]],'All Skus'!$A:$AC,18,FALSE)),""))</f>
        <v>0</v>
      </c>
      <c r="O760" s="227">
        <f>(IF((VLOOKUP(Table10[[#This Row],[SKU]],'All Skus'!$A:$AC,2,FALSE))="Martin",(VLOOKUP(Table10[[#This Row],[SKU]],'All Skus'!$A:$AC,19,FALSE)),""))</f>
        <v>0</v>
      </c>
      <c r="P760" s="227">
        <f>(IF((VLOOKUP(Table10[[#This Row],[SKU]],'All Skus'!$A:$AC,2,FALSE))="Martin",(VLOOKUP(Table10[[#This Row],[SKU]],'All Skus'!$A:$AC,20,FALSE)),""))</f>
        <v>0</v>
      </c>
      <c r="Q760" s="227">
        <f>(IF((VLOOKUP(Table10[[#This Row],[SKU]],'All Skus'!$A:$AC,2,FALSE))="Martin",(VLOOKUP(Table10[[#This Row],[SKU]],'All Skus'!$A:$AC,21,FALSE)),""))</f>
        <v>0</v>
      </c>
      <c r="R760" s="224" t="str">
        <f>(IF((VLOOKUP(Table10[[#This Row],[SKU]],'All Skus'!$A:$AC,2,FALSE))="Martin",(VLOOKUP(Table10[[#This Row],[SKU]],'All Skus'!$A:$AC,22,FALSE)),""))</f>
        <v>HU</v>
      </c>
      <c r="S760" s="223">
        <f>(IF((VLOOKUP(Table10[[#This Row],[SKU]],'All Skus'!$A:$AC,2,FALSE))="Martin",(VLOOKUP(Table10[[#This Row],[SKU]],'All Skus'!$A:$AC,23,FALSE)),""))</f>
        <v>0</v>
      </c>
      <c r="T760" s="212" t="str">
        <f>HYPERLINK((IF((VLOOKUP(Table10[[#This Row],[SKU]],'All Skus'!$A:$AC,2,FALSE))="Martin",(VLOOKUP(Table10[[#This Row],[SKU]],'All Skus'!$A:$AC,24,FALSE)),"")))</f>
        <v>http://www.martin.com/en-us/product-details/vdo-sceptron-40</v>
      </c>
      <c r="U760" s="228">
        <v>758</v>
      </c>
    </row>
    <row r="761" spans="1:21" hidden="1">
      <c r="A761" s="115" t="s">
        <v>2356</v>
      </c>
      <c r="B761" s="224">
        <f>(IF((VLOOKUP(Table10[[#This Row],[SKU]],'All Skus'!$A:$AC,2,FALSE))="Martin",(VLOOKUP(Table10[[#This Row],[SKU]],'All Skus'!$A:$AC,3,FALSE)),""))</f>
        <v>0</v>
      </c>
      <c r="C761" s="223">
        <f>(IF((VLOOKUP(Table10[[#This Row],[SKU]],'All Skus'!$A:$AC,2,FALSE))="Martin",(VLOOKUP(Table10[[#This Row],[SKU]],'All Skus'!$A:$AC,4,FALSE)),""))</f>
        <v>0</v>
      </c>
      <c r="D761" s="224">
        <f>(IF((VLOOKUP(Table10[[#This Row],[SKU]],'All Skus'!$A:$AC,2,FALSE))="Martin",(VLOOKUP(Table10[[#This Row],[SKU]],'All Skus'!$A:$AC,5,FALSE)),""))</f>
        <v>0</v>
      </c>
      <c r="E761" s="223">
        <f>(IF((VLOOKUP(Table10[[#This Row],[SKU]],'All Skus'!$A:$AC,2,FALSE))="Martin",(VLOOKUP(Table10[[#This Row],[SKU]],'All Skus'!$A:$AC,6,FALSE)),""))</f>
        <v>0</v>
      </c>
      <c r="F761" s="155">
        <f>(IF((VLOOKUP(Table10[[#This Row],[SKU]],'All Skus'!$A:$AC,2,FALSE))="Martin",(VLOOKUP(Table10[[#This Row],[SKU]],'All Skus'!$A:$AC,7,FALSE)),""))</f>
        <v>0</v>
      </c>
      <c r="G761" s="223">
        <f>(IF((VLOOKUP(Table10[[#This Row],[SKU]],'All Skus'!$A:$AC,2,FALSE))="Martin",(VLOOKUP(Table10[[#This Row],[SKU]],'All Skus'!$A:$AC,8,FALSE)),""))</f>
        <v>0</v>
      </c>
      <c r="H761" s="223">
        <f>(IF((VLOOKUP(Table10[[#This Row],[SKU]],'All Skus'!$A:$AC,2,FALSE))="Martin",(VLOOKUP(Table10[[#This Row],[SKU]],'All Skus'!$A:$AC,9,FALSE)),""))</f>
        <v>0</v>
      </c>
      <c r="I761" s="225">
        <f>(IF((VLOOKUP(Table10[[#This Row],[SKU]],'All Skus'!$A:$AC,2,FALSE))="Martin",(VLOOKUP(Table10[[#This Row],[SKU]],'All Skus'!$A:$AC,10,FALSE)),""))</f>
        <v>0</v>
      </c>
      <c r="J761" s="226">
        <f>(IF((VLOOKUP(Table10[[#This Row],[SKU]],'All Skus'!$A:$AC,2,FALSE))="Martin",(VLOOKUP(Table10[[#This Row],[SKU]],'All Skus'!$A:$AC,11,FALSE)),""))</f>
        <v>0</v>
      </c>
      <c r="K761" s="224">
        <f>(IF((VLOOKUP(Table10[[#This Row],[SKU]],'All Skus'!$A:$AC,2,FALSE))="Martin",(VLOOKUP(Table10[[#This Row],[SKU]],'All Skus'!$A:$AC,15,FALSE)),""))</f>
        <v>0</v>
      </c>
      <c r="L761" s="224">
        <f>(IF((VLOOKUP(Table10[[#This Row],[SKU]],'All Skus'!$A:$AC,2,FALSE))="Martin",(VLOOKUP(Table10[[#This Row],[SKU]],'All Skus'!$A:$AC,16,FALSE)),""))</f>
        <v>0</v>
      </c>
      <c r="M761" s="224">
        <f>(IF((VLOOKUP(Table10[[#This Row],[SKU]],'All Skus'!$A:$AC,2,FALSE))="Martin",(VLOOKUP(Table10[[#This Row],[SKU]],'All Skus'!$A:$AC,17,FALSE)),""))</f>
        <v>0</v>
      </c>
      <c r="N761" s="227">
        <f>(IF((VLOOKUP(Table10[[#This Row],[SKU]],'All Skus'!$A:$AC,2,FALSE))="Martin",(VLOOKUP(Table10[[#This Row],[SKU]],'All Skus'!$A:$AC,18,FALSE)),""))</f>
        <v>0</v>
      </c>
      <c r="O761" s="227">
        <f>(IF((VLOOKUP(Table10[[#This Row],[SKU]],'All Skus'!$A:$AC,2,FALSE))="Martin",(VLOOKUP(Table10[[#This Row],[SKU]],'All Skus'!$A:$AC,19,FALSE)),""))</f>
        <v>0</v>
      </c>
      <c r="P761" s="227">
        <f>(IF((VLOOKUP(Table10[[#This Row],[SKU]],'All Skus'!$A:$AC,2,FALSE))="Martin",(VLOOKUP(Table10[[#This Row],[SKU]],'All Skus'!$A:$AC,20,FALSE)),""))</f>
        <v>0</v>
      </c>
      <c r="Q761" s="227">
        <f>(IF((VLOOKUP(Table10[[#This Row],[SKU]],'All Skus'!$A:$AC,2,FALSE))="Martin",(VLOOKUP(Table10[[#This Row],[SKU]],'All Skus'!$A:$AC,21,FALSE)),""))</f>
        <v>0</v>
      </c>
      <c r="R761" s="224">
        <f>(IF((VLOOKUP(Table10[[#This Row],[SKU]],'All Skus'!$A:$AC,2,FALSE))="Martin",(VLOOKUP(Table10[[#This Row],[SKU]],'All Skus'!$A:$AC,22,FALSE)),""))</f>
        <v>0</v>
      </c>
      <c r="S761" s="223">
        <f>(IF((VLOOKUP(Table10[[#This Row],[SKU]],'All Skus'!$A:$AC,2,FALSE))="Martin",(VLOOKUP(Table10[[#This Row],[SKU]],'All Skus'!$A:$AC,23,FALSE)),""))</f>
        <v>0</v>
      </c>
      <c r="T761" s="212" t="str">
        <f>HYPERLINK((IF((VLOOKUP(Table10[[#This Row],[SKU]],'All Skus'!$A:$AC,2,FALSE))="Martin",(VLOOKUP(Table10[[#This Row],[SKU]],'All Skus'!$A:$AC,24,FALSE)),"")))</f>
        <v/>
      </c>
      <c r="U761" s="228">
        <v>759</v>
      </c>
    </row>
    <row r="762" spans="1:21" hidden="1">
      <c r="A762" s="112">
        <v>91610111</v>
      </c>
      <c r="B762" s="224" t="str">
        <f>(IF((VLOOKUP(Table10[[#This Row],[SKU]],'All Skus'!$A:$AC,2,FALSE))="Martin",(VLOOKUP(Table10[[#This Row],[SKU]],'All Skus'!$A:$AC,3,FALSE)),""))</f>
        <v>LED Video</v>
      </c>
      <c r="C762" s="223" t="str">
        <f>(IF((VLOOKUP(Table10[[#This Row],[SKU]],'All Skus'!$A:$AC,2,FALSE))="Martin",(VLOOKUP(Table10[[#This Row],[SKU]],'All Skus'!$A:$AC,4,FALSE)),""))</f>
        <v>VDO Sceptron Flat Diffuser 320mm</v>
      </c>
      <c r="D762" s="224" t="str">
        <f>(IF((VLOOKUP(Table10[[#This Row],[SKU]],'All Skus'!$A:$AC,2,FALSE))="Martin",(VLOOKUP(Table10[[#This Row],[SKU]],'All Skus'!$A:$AC,5,FALSE)),""))</f>
        <v>MAR-VDO</v>
      </c>
      <c r="E762" s="223">
        <f>(IF((VLOOKUP(Table10[[#This Row],[SKU]],'All Skus'!$A:$AC,2,FALSE))="Martin",(VLOOKUP(Table10[[#This Row],[SKU]],'All Skus'!$A:$AC,6,FALSE)),""))</f>
        <v>0</v>
      </c>
      <c r="F762" s="155">
        <f>(IF((VLOOKUP(Table10[[#This Row],[SKU]],'All Skus'!$A:$AC,2,FALSE))="Martin",(VLOOKUP(Table10[[#This Row],[SKU]],'All Skus'!$A:$AC,7,FALSE)),""))</f>
        <v>0</v>
      </c>
      <c r="G762" s="223" t="str">
        <f>(IF((VLOOKUP(Table10[[#This Row],[SKU]],'All Skus'!$A:$AC,2,FALSE))="Martin",(VLOOKUP(Table10[[#This Row],[SKU]],'All Skus'!$A:$AC,8,FALSE)),""))</f>
        <v>VDO Sceptron Flat Diffuser 320mm</v>
      </c>
      <c r="H762" s="223" t="str">
        <f>(IF((VLOOKUP(Table10[[#This Row],[SKU]],'All Skus'!$A:$AC,2,FALSE))="Martin",(VLOOKUP(Table10[[#This Row],[SKU]],'All Skus'!$A:$AC,9,FALSE)),""))</f>
        <v>VDO Sceptron Flat Diffuser 320mm</v>
      </c>
      <c r="I762" s="225">
        <f>(IF((VLOOKUP(Table10[[#This Row],[SKU]],'All Skus'!$A:$AC,2,FALSE))="Martin",(VLOOKUP(Table10[[#This Row],[SKU]],'All Skus'!$A:$AC,10,FALSE)),""))</f>
        <v>28.4</v>
      </c>
      <c r="J762" s="226">
        <f>(IF((VLOOKUP(Table10[[#This Row],[SKU]],'All Skus'!$A:$AC,2,FALSE))="Martin",(VLOOKUP(Table10[[#This Row],[SKU]],'All Skus'!$A:$AC,11,FALSE)),""))</f>
        <v>28.4</v>
      </c>
      <c r="K762" s="224">
        <f>(IF((VLOOKUP(Table10[[#This Row],[SKU]],'All Skus'!$A:$AC,2,FALSE))="Martin",(VLOOKUP(Table10[[#This Row],[SKU]],'All Skus'!$A:$AC,15,FALSE)),""))</f>
        <v>0</v>
      </c>
      <c r="L762" s="224">
        <f>(IF((VLOOKUP(Table10[[#This Row],[SKU]],'All Skus'!$A:$AC,2,FALSE))="Martin",(VLOOKUP(Table10[[#This Row],[SKU]],'All Skus'!$A:$AC,16,FALSE)),""))</f>
        <v>0</v>
      </c>
      <c r="M762" s="224">
        <f>(IF((VLOOKUP(Table10[[#This Row],[SKU]],'All Skus'!$A:$AC,2,FALSE))="Martin",(VLOOKUP(Table10[[#This Row],[SKU]],'All Skus'!$A:$AC,17,FALSE)),""))</f>
        <v>0</v>
      </c>
      <c r="N762" s="227">
        <f>(IF((VLOOKUP(Table10[[#This Row],[SKU]],'All Skus'!$A:$AC,2,FALSE))="Martin",(VLOOKUP(Table10[[#This Row],[SKU]],'All Skus'!$A:$AC,18,FALSE)),""))</f>
        <v>1.3779535000000001</v>
      </c>
      <c r="O762" s="227">
        <f>(IF((VLOOKUP(Table10[[#This Row],[SKU]],'All Skus'!$A:$AC,2,FALSE))="Martin",(VLOOKUP(Table10[[#This Row],[SKU]],'All Skus'!$A:$AC,19,FALSE)),""))</f>
        <v>1.3779535000000001</v>
      </c>
      <c r="P762" s="227">
        <f>(IF((VLOOKUP(Table10[[#This Row],[SKU]],'All Skus'!$A:$AC,2,FALSE))="Martin",(VLOOKUP(Table10[[#This Row],[SKU]],'All Skus'!$A:$AC,20,FALSE)),""))</f>
        <v>0</v>
      </c>
      <c r="Q762" s="227">
        <f>(IF((VLOOKUP(Table10[[#This Row],[SKU]],'All Skus'!$A:$AC,2,FALSE))="Martin",(VLOOKUP(Table10[[#This Row],[SKU]],'All Skus'!$A:$AC,21,FALSE)),""))</f>
        <v>0</v>
      </c>
      <c r="R762" s="224" t="str">
        <f>(IF((VLOOKUP(Table10[[#This Row],[SKU]],'All Skus'!$A:$AC,2,FALSE))="Martin",(VLOOKUP(Table10[[#This Row],[SKU]],'All Skus'!$A:$AC,22,FALSE)),""))</f>
        <v>CN</v>
      </c>
      <c r="S762" s="223" t="str">
        <f>(IF((VLOOKUP(Table10[[#This Row],[SKU]],'All Skus'!$A:$AC,2,FALSE))="Martin",(VLOOKUP(Table10[[#This Row],[SKU]],'All Skus'!$A:$AC,23,FALSE)),""))</f>
        <v>Non Compliant</v>
      </c>
      <c r="T762" s="212" t="str">
        <f>HYPERLINK((IF((VLOOKUP(Table10[[#This Row],[SKU]],'All Skus'!$A:$AC,2,FALSE))="Martin",(VLOOKUP(Table10[[#This Row],[SKU]],'All Skus'!$A:$AC,24,FALSE)),"")))</f>
        <v>http://www.martin.com/en-us/product-details/vdo-sceptron-10</v>
      </c>
      <c r="U762" s="228">
        <v>760</v>
      </c>
    </row>
    <row r="763" spans="1:21" hidden="1">
      <c r="A763" s="112">
        <v>91610112</v>
      </c>
      <c r="B763" s="224" t="str">
        <f>(IF((VLOOKUP(Table10[[#This Row],[SKU]],'All Skus'!$A:$AC,2,FALSE))="Martin",(VLOOKUP(Table10[[#This Row],[SKU]],'All Skus'!$A:$AC,3,FALSE)),""))</f>
        <v>LED Video</v>
      </c>
      <c r="C763" s="223" t="str">
        <f>(IF((VLOOKUP(Table10[[#This Row],[SKU]],'All Skus'!$A:$AC,2,FALSE))="Martin",(VLOOKUP(Table10[[#This Row],[SKU]],'All Skus'!$A:$AC,4,FALSE)),""))</f>
        <v>VDO Sceptron Flat Diffuser 1000mm</v>
      </c>
      <c r="D763" s="224" t="str">
        <f>(IF((VLOOKUP(Table10[[#This Row],[SKU]],'All Skus'!$A:$AC,2,FALSE))="Martin",(VLOOKUP(Table10[[#This Row],[SKU]],'All Skus'!$A:$AC,5,FALSE)),""))</f>
        <v>MAR-VDO</v>
      </c>
      <c r="E763" s="223">
        <f>(IF((VLOOKUP(Table10[[#This Row],[SKU]],'All Skus'!$A:$AC,2,FALSE))="Martin",(VLOOKUP(Table10[[#This Row],[SKU]],'All Skus'!$A:$AC,6,FALSE)),""))</f>
        <v>0</v>
      </c>
      <c r="F763" s="155">
        <f>(IF((VLOOKUP(Table10[[#This Row],[SKU]],'All Skus'!$A:$AC,2,FALSE))="Martin",(VLOOKUP(Table10[[#This Row],[SKU]],'All Skus'!$A:$AC,7,FALSE)),""))</f>
        <v>0</v>
      </c>
      <c r="G763" s="223" t="str">
        <f>(IF((VLOOKUP(Table10[[#This Row],[SKU]],'All Skus'!$A:$AC,2,FALSE))="Martin",(VLOOKUP(Table10[[#This Row],[SKU]],'All Skus'!$A:$AC,8,FALSE)),""))</f>
        <v>VDO Sceptron Flat Diffuser 1000mm</v>
      </c>
      <c r="H763" s="223" t="str">
        <f>(IF((VLOOKUP(Table10[[#This Row],[SKU]],'All Skus'!$A:$AC,2,FALSE))="Martin",(VLOOKUP(Table10[[#This Row],[SKU]],'All Skus'!$A:$AC,9,FALSE)),""))</f>
        <v>VDO Sceptron Flat Diffuser 1000mm</v>
      </c>
      <c r="I763" s="225">
        <f>(IF((VLOOKUP(Table10[[#This Row],[SKU]],'All Skus'!$A:$AC,2,FALSE))="Martin",(VLOOKUP(Table10[[#This Row],[SKU]],'All Skus'!$A:$AC,10,FALSE)),""))</f>
        <v>34.57</v>
      </c>
      <c r="J763" s="226">
        <f>(IF((VLOOKUP(Table10[[#This Row],[SKU]],'All Skus'!$A:$AC,2,FALSE))="Martin",(VLOOKUP(Table10[[#This Row],[SKU]],'All Skus'!$A:$AC,11,FALSE)),""))</f>
        <v>34.57</v>
      </c>
      <c r="K763" s="224">
        <f>(IF((VLOOKUP(Table10[[#This Row],[SKU]],'All Skus'!$A:$AC,2,FALSE))="Martin",(VLOOKUP(Table10[[#This Row],[SKU]],'All Skus'!$A:$AC,15,FALSE)),""))</f>
        <v>0</v>
      </c>
      <c r="L763" s="224">
        <f>(IF((VLOOKUP(Table10[[#This Row],[SKU]],'All Skus'!$A:$AC,2,FALSE))="Martin",(VLOOKUP(Table10[[#This Row],[SKU]],'All Skus'!$A:$AC,16,FALSE)),""))</f>
        <v>0</v>
      </c>
      <c r="M763" s="224">
        <f>(IF((VLOOKUP(Table10[[#This Row],[SKU]],'All Skus'!$A:$AC,2,FALSE))="Martin",(VLOOKUP(Table10[[#This Row],[SKU]],'All Skus'!$A:$AC,17,FALSE)),""))</f>
        <v>0</v>
      </c>
      <c r="N763" s="227">
        <f>(IF((VLOOKUP(Table10[[#This Row],[SKU]],'All Skus'!$A:$AC,2,FALSE))="Martin",(VLOOKUP(Table10[[#This Row],[SKU]],'All Skus'!$A:$AC,18,FALSE)),""))</f>
        <v>1.3779535000000001</v>
      </c>
      <c r="O763" s="227">
        <f>(IF((VLOOKUP(Table10[[#This Row],[SKU]],'All Skus'!$A:$AC,2,FALSE))="Martin",(VLOOKUP(Table10[[#This Row],[SKU]],'All Skus'!$A:$AC,19,FALSE)),""))</f>
        <v>1.3779535000000001</v>
      </c>
      <c r="P763" s="227">
        <f>(IF((VLOOKUP(Table10[[#This Row],[SKU]],'All Skus'!$A:$AC,2,FALSE))="Martin",(VLOOKUP(Table10[[#This Row],[SKU]],'All Skus'!$A:$AC,20,FALSE)),""))</f>
        <v>0</v>
      </c>
      <c r="Q763" s="227">
        <f>(IF((VLOOKUP(Table10[[#This Row],[SKU]],'All Skus'!$A:$AC,2,FALSE))="Martin",(VLOOKUP(Table10[[#This Row],[SKU]],'All Skus'!$A:$AC,21,FALSE)),""))</f>
        <v>0</v>
      </c>
      <c r="R763" s="224" t="str">
        <f>(IF((VLOOKUP(Table10[[#This Row],[SKU]],'All Skus'!$A:$AC,2,FALSE))="Martin",(VLOOKUP(Table10[[#This Row],[SKU]],'All Skus'!$A:$AC,22,FALSE)),""))</f>
        <v>CN</v>
      </c>
      <c r="S763" s="223" t="str">
        <f>(IF((VLOOKUP(Table10[[#This Row],[SKU]],'All Skus'!$A:$AC,2,FALSE))="Martin",(VLOOKUP(Table10[[#This Row],[SKU]],'All Skus'!$A:$AC,23,FALSE)),""))</f>
        <v>Non Compliant</v>
      </c>
      <c r="T763" s="212" t="str">
        <f>HYPERLINK((IF((VLOOKUP(Table10[[#This Row],[SKU]],'All Skus'!$A:$AC,2,FALSE))="Martin",(VLOOKUP(Table10[[#This Row],[SKU]],'All Skus'!$A:$AC,24,FALSE)),"")))</f>
        <v>http://www.martin.com/en-us/product-details/vdo-sceptron-10</v>
      </c>
      <c r="U763" s="228">
        <v>761</v>
      </c>
    </row>
    <row r="764" spans="1:21" hidden="1">
      <c r="A764" s="112">
        <v>91610113</v>
      </c>
      <c r="B764" s="224" t="str">
        <f>(IF((VLOOKUP(Table10[[#This Row],[SKU]],'All Skus'!$A:$AC,2,FALSE))="Martin",(VLOOKUP(Table10[[#This Row],[SKU]],'All Skus'!$A:$AC,3,FALSE)),""))</f>
        <v>LED Video</v>
      </c>
      <c r="C764" s="223" t="str">
        <f>(IF((VLOOKUP(Table10[[#This Row],[SKU]],'All Skus'!$A:$AC,2,FALSE))="Martin",(VLOOKUP(Table10[[#This Row],[SKU]],'All Skus'!$A:$AC,4,FALSE)),""))</f>
        <v>VDO Sceptron Flat Smoked Diffuser 320mm</v>
      </c>
      <c r="D764" s="224" t="str">
        <f>(IF((VLOOKUP(Table10[[#This Row],[SKU]],'All Skus'!$A:$AC,2,FALSE))="Martin",(VLOOKUP(Table10[[#This Row],[SKU]],'All Skus'!$A:$AC,5,FALSE)),""))</f>
        <v>MAR-VDO</v>
      </c>
      <c r="E764" s="223">
        <f>(IF((VLOOKUP(Table10[[#This Row],[SKU]],'All Skus'!$A:$AC,2,FALSE))="Martin",(VLOOKUP(Table10[[#This Row],[SKU]],'All Skus'!$A:$AC,6,FALSE)),""))</f>
        <v>0</v>
      </c>
      <c r="F764" s="155">
        <f>(IF((VLOOKUP(Table10[[#This Row],[SKU]],'All Skus'!$A:$AC,2,FALSE))="Martin",(VLOOKUP(Table10[[#This Row],[SKU]],'All Skus'!$A:$AC,7,FALSE)),""))</f>
        <v>0</v>
      </c>
      <c r="G764" s="223" t="str">
        <f>(IF((VLOOKUP(Table10[[#This Row],[SKU]],'All Skus'!$A:$AC,2,FALSE))="Martin",(VLOOKUP(Table10[[#This Row],[SKU]],'All Skus'!$A:$AC,8,FALSE)),""))</f>
        <v>VDO Sceptron Flat Smoked Diffuser 320mm</v>
      </c>
      <c r="H764" s="223" t="str">
        <f>(IF((VLOOKUP(Table10[[#This Row],[SKU]],'All Skus'!$A:$AC,2,FALSE))="Martin",(VLOOKUP(Table10[[#This Row],[SKU]],'All Skus'!$A:$AC,9,FALSE)),""))</f>
        <v>VDO Sceptron Flat Smoked Diffuser 320mm</v>
      </c>
      <c r="I764" s="225">
        <f>(IF((VLOOKUP(Table10[[#This Row],[SKU]],'All Skus'!$A:$AC,2,FALSE))="Martin",(VLOOKUP(Table10[[#This Row],[SKU]],'All Skus'!$A:$AC,10,FALSE)),""))</f>
        <v>28.4</v>
      </c>
      <c r="J764" s="226">
        <f>(IF((VLOOKUP(Table10[[#This Row],[SKU]],'All Skus'!$A:$AC,2,FALSE))="Martin",(VLOOKUP(Table10[[#This Row],[SKU]],'All Skus'!$A:$AC,11,FALSE)),""))</f>
        <v>28.4</v>
      </c>
      <c r="K764" s="224">
        <f>(IF((VLOOKUP(Table10[[#This Row],[SKU]],'All Skus'!$A:$AC,2,FALSE))="Martin",(VLOOKUP(Table10[[#This Row],[SKU]],'All Skus'!$A:$AC,15,FALSE)),""))</f>
        <v>0</v>
      </c>
      <c r="L764" s="224">
        <f>(IF((VLOOKUP(Table10[[#This Row],[SKU]],'All Skus'!$A:$AC,2,FALSE))="Martin",(VLOOKUP(Table10[[#This Row],[SKU]],'All Skus'!$A:$AC,16,FALSE)),""))</f>
        <v>0</v>
      </c>
      <c r="M764" s="224">
        <f>(IF((VLOOKUP(Table10[[#This Row],[SKU]],'All Skus'!$A:$AC,2,FALSE))="Martin",(VLOOKUP(Table10[[#This Row],[SKU]],'All Skus'!$A:$AC,17,FALSE)),""))</f>
        <v>0</v>
      </c>
      <c r="N764" s="227">
        <f>(IF((VLOOKUP(Table10[[#This Row],[SKU]],'All Skus'!$A:$AC,2,FALSE))="Martin",(VLOOKUP(Table10[[#This Row],[SKU]],'All Skus'!$A:$AC,18,FALSE)),""))</f>
        <v>1.3779535000000001</v>
      </c>
      <c r="O764" s="227">
        <f>(IF((VLOOKUP(Table10[[#This Row],[SKU]],'All Skus'!$A:$AC,2,FALSE))="Martin",(VLOOKUP(Table10[[#This Row],[SKU]],'All Skus'!$A:$AC,19,FALSE)),""))</f>
        <v>1.3779535000000001</v>
      </c>
      <c r="P764" s="227">
        <f>(IF((VLOOKUP(Table10[[#This Row],[SKU]],'All Skus'!$A:$AC,2,FALSE))="Martin",(VLOOKUP(Table10[[#This Row],[SKU]],'All Skus'!$A:$AC,20,FALSE)),""))</f>
        <v>0</v>
      </c>
      <c r="Q764" s="227">
        <f>(IF((VLOOKUP(Table10[[#This Row],[SKU]],'All Skus'!$A:$AC,2,FALSE))="Martin",(VLOOKUP(Table10[[#This Row],[SKU]],'All Skus'!$A:$AC,21,FALSE)),""))</f>
        <v>0</v>
      </c>
      <c r="R764" s="224" t="str">
        <f>(IF((VLOOKUP(Table10[[#This Row],[SKU]],'All Skus'!$A:$AC,2,FALSE))="Martin",(VLOOKUP(Table10[[#This Row],[SKU]],'All Skus'!$A:$AC,22,FALSE)),""))</f>
        <v>CN</v>
      </c>
      <c r="S764" s="223" t="str">
        <f>(IF((VLOOKUP(Table10[[#This Row],[SKU]],'All Skus'!$A:$AC,2,FALSE))="Martin",(VLOOKUP(Table10[[#This Row],[SKU]],'All Skus'!$A:$AC,23,FALSE)),""))</f>
        <v>Non Compliant</v>
      </c>
      <c r="T764" s="212" t="str">
        <f>HYPERLINK((IF((VLOOKUP(Table10[[#This Row],[SKU]],'All Skus'!$A:$AC,2,FALSE))="Martin",(VLOOKUP(Table10[[#This Row],[SKU]],'All Skus'!$A:$AC,24,FALSE)),"")))</f>
        <v>http://www.martin.com/en-us/product-details/vdo-sceptron-10</v>
      </c>
      <c r="U764" s="228">
        <v>762</v>
      </c>
    </row>
    <row r="765" spans="1:21" hidden="1">
      <c r="A765" s="112">
        <v>91610114</v>
      </c>
      <c r="B765" s="224" t="str">
        <f>(IF((VLOOKUP(Table10[[#This Row],[SKU]],'All Skus'!$A:$AC,2,FALSE))="Martin",(VLOOKUP(Table10[[#This Row],[SKU]],'All Skus'!$A:$AC,3,FALSE)),""))</f>
        <v>LED Video</v>
      </c>
      <c r="C765" s="223" t="str">
        <f>(IF((VLOOKUP(Table10[[#This Row],[SKU]],'All Skus'!$A:$AC,2,FALSE))="Martin",(VLOOKUP(Table10[[#This Row],[SKU]],'All Skus'!$A:$AC,4,FALSE)),""))</f>
        <v>VDO Sceptron Flat Smoked Diffuser 1000mm</v>
      </c>
      <c r="D765" s="224" t="str">
        <f>(IF((VLOOKUP(Table10[[#This Row],[SKU]],'All Skus'!$A:$AC,2,FALSE))="Martin",(VLOOKUP(Table10[[#This Row],[SKU]],'All Skus'!$A:$AC,5,FALSE)),""))</f>
        <v>MAR-VDO</v>
      </c>
      <c r="E765" s="223">
        <f>(IF((VLOOKUP(Table10[[#This Row],[SKU]],'All Skus'!$A:$AC,2,FALSE))="Martin",(VLOOKUP(Table10[[#This Row],[SKU]],'All Skus'!$A:$AC,6,FALSE)),""))</f>
        <v>0</v>
      </c>
      <c r="F765" s="155">
        <f>(IF((VLOOKUP(Table10[[#This Row],[SKU]],'All Skus'!$A:$AC,2,FALSE))="Martin",(VLOOKUP(Table10[[#This Row],[SKU]],'All Skus'!$A:$AC,7,FALSE)),""))</f>
        <v>0</v>
      </c>
      <c r="G765" s="223" t="str">
        <f>(IF((VLOOKUP(Table10[[#This Row],[SKU]],'All Skus'!$A:$AC,2,FALSE))="Martin",(VLOOKUP(Table10[[#This Row],[SKU]],'All Skus'!$A:$AC,8,FALSE)),""))</f>
        <v>VDO Sceptron Flat Smoked Diffuser 1000mm</v>
      </c>
      <c r="H765" s="223" t="str">
        <f>(IF((VLOOKUP(Table10[[#This Row],[SKU]],'All Skus'!$A:$AC,2,FALSE))="Martin",(VLOOKUP(Table10[[#This Row],[SKU]],'All Skus'!$A:$AC,9,FALSE)),""))</f>
        <v>VDO Sceptron Flat Smoked Diffuser 1000mm</v>
      </c>
      <c r="I765" s="225">
        <f>(IF((VLOOKUP(Table10[[#This Row],[SKU]],'All Skus'!$A:$AC,2,FALSE))="Martin",(VLOOKUP(Table10[[#This Row],[SKU]],'All Skus'!$A:$AC,10,FALSE)),""))</f>
        <v>34.57</v>
      </c>
      <c r="J765" s="226">
        <f>(IF((VLOOKUP(Table10[[#This Row],[SKU]],'All Skus'!$A:$AC,2,FALSE))="Martin",(VLOOKUP(Table10[[#This Row],[SKU]],'All Skus'!$A:$AC,11,FALSE)),""))</f>
        <v>34.57</v>
      </c>
      <c r="K765" s="224">
        <f>(IF((VLOOKUP(Table10[[#This Row],[SKU]],'All Skus'!$A:$AC,2,FALSE))="Martin",(VLOOKUP(Table10[[#This Row],[SKU]],'All Skus'!$A:$AC,15,FALSE)),""))</f>
        <v>0</v>
      </c>
      <c r="L765" s="224">
        <f>(IF((VLOOKUP(Table10[[#This Row],[SKU]],'All Skus'!$A:$AC,2,FALSE))="Martin",(VLOOKUP(Table10[[#This Row],[SKU]],'All Skus'!$A:$AC,16,FALSE)),""))</f>
        <v>5706681230013</v>
      </c>
      <c r="M765" s="224">
        <f>(IF((VLOOKUP(Table10[[#This Row],[SKU]],'All Skus'!$A:$AC,2,FALSE))="Martin",(VLOOKUP(Table10[[#This Row],[SKU]],'All Skus'!$A:$AC,17,FALSE)),""))</f>
        <v>0</v>
      </c>
      <c r="N765" s="227">
        <f>(IF((VLOOKUP(Table10[[#This Row],[SKU]],'All Skus'!$A:$AC,2,FALSE))="Martin",(VLOOKUP(Table10[[#This Row],[SKU]],'All Skus'!$A:$AC,18,FALSE)),""))</f>
        <v>1.3779535000000001</v>
      </c>
      <c r="O765" s="227">
        <f>(IF((VLOOKUP(Table10[[#This Row],[SKU]],'All Skus'!$A:$AC,2,FALSE))="Martin",(VLOOKUP(Table10[[#This Row],[SKU]],'All Skus'!$A:$AC,19,FALSE)),""))</f>
        <v>1.3779535000000001</v>
      </c>
      <c r="P765" s="227">
        <f>(IF((VLOOKUP(Table10[[#This Row],[SKU]],'All Skus'!$A:$AC,2,FALSE))="Martin",(VLOOKUP(Table10[[#This Row],[SKU]],'All Skus'!$A:$AC,20,FALSE)),""))</f>
        <v>0</v>
      </c>
      <c r="Q765" s="227">
        <f>(IF((VLOOKUP(Table10[[#This Row],[SKU]],'All Skus'!$A:$AC,2,FALSE))="Martin",(VLOOKUP(Table10[[#This Row],[SKU]],'All Skus'!$A:$AC,21,FALSE)),""))</f>
        <v>0</v>
      </c>
      <c r="R765" s="224" t="str">
        <f>(IF((VLOOKUP(Table10[[#This Row],[SKU]],'All Skus'!$A:$AC,2,FALSE))="Martin",(VLOOKUP(Table10[[#This Row],[SKU]],'All Skus'!$A:$AC,22,FALSE)),""))</f>
        <v>CN</v>
      </c>
      <c r="S765" s="223" t="str">
        <f>(IF((VLOOKUP(Table10[[#This Row],[SKU]],'All Skus'!$A:$AC,2,FALSE))="Martin",(VLOOKUP(Table10[[#This Row],[SKU]],'All Skus'!$A:$AC,23,FALSE)),""))</f>
        <v>Non Compliant</v>
      </c>
      <c r="T765" s="212" t="str">
        <f>HYPERLINK((IF((VLOOKUP(Table10[[#This Row],[SKU]],'All Skus'!$A:$AC,2,FALSE))="Martin",(VLOOKUP(Table10[[#This Row],[SKU]],'All Skus'!$A:$AC,24,FALSE)),"")))</f>
        <v>http://www.martin.com/en-us/product-details/vdo-sceptron-10</v>
      </c>
      <c r="U765" s="228">
        <v>763</v>
      </c>
    </row>
    <row r="766" spans="1:21" hidden="1">
      <c r="A766" s="112">
        <v>91610115</v>
      </c>
      <c r="B766" s="224" t="str">
        <f>(IF((VLOOKUP(Table10[[#This Row],[SKU]],'All Skus'!$A:$AC,2,FALSE))="Martin",(VLOOKUP(Table10[[#This Row],[SKU]],'All Skus'!$A:$AC,3,FALSE)),""))</f>
        <v>LED Video</v>
      </c>
      <c r="C766" s="223" t="str">
        <f>(IF((VLOOKUP(Table10[[#This Row],[SKU]],'All Skus'!$A:$AC,2,FALSE))="Martin",(VLOOKUP(Table10[[#This Row],[SKU]],'All Skus'!$A:$AC,4,FALSE)),""))</f>
        <v>VDO Sceptron Rnd Diffuser 320mm</v>
      </c>
      <c r="D766" s="224" t="str">
        <f>(IF((VLOOKUP(Table10[[#This Row],[SKU]],'All Skus'!$A:$AC,2,FALSE))="Martin",(VLOOKUP(Table10[[#This Row],[SKU]],'All Skus'!$A:$AC,5,FALSE)),""))</f>
        <v>MAR-VDO</v>
      </c>
      <c r="E766" s="223">
        <f>(IF((VLOOKUP(Table10[[#This Row],[SKU]],'All Skus'!$A:$AC,2,FALSE))="Martin",(VLOOKUP(Table10[[#This Row],[SKU]],'All Skus'!$A:$AC,6,FALSE)),""))</f>
        <v>0</v>
      </c>
      <c r="F766" s="155">
        <f>(IF((VLOOKUP(Table10[[#This Row],[SKU]],'All Skus'!$A:$AC,2,FALSE))="Martin",(VLOOKUP(Table10[[#This Row],[SKU]],'All Skus'!$A:$AC,7,FALSE)),""))</f>
        <v>0</v>
      </c>
      <c r="G766" s="223" t="str">
        <f>(IF((VLOOKUP(Table10[[#This Row],[SKU]],'All Skus'!$A:$AC,2,FALSE))="Martin",(VLOOKUP(Table10[[#This Row],[SKU]],'All Skus'!$A:$AC,8,FALSE)),""))</f>
        <v>VDO Sceptron Rnd Diffuser 320mm</v>
      </c>
      <c r="H766" s="223" t="str">
        <f>(IF((VLOOKUP(Table10[[#This Row],[SKU]],'All Skus'!$A:$AC,2,FALSE))="Martin",(VLOOKUP(Table10[[#This Row],[SKU]],'All Skus'!$A:$AC,9,FALSE)),""))</f>
        <v>VDO Sceptron Rnd Diffuser 320mm</v>
      </c>
      <c r="I766" s="225">
        <f>(IF((VLOOKUP(Table10[[#This Row],[SKU]],'All Skus'!$A:$AC,2,FALSE))="Martin",(VLOOKUP(Table10[[#This Row],[SKU]],'All Skus'!$A:$AC,10,FALSE)),""))</f>
        <v>28.4</v>
      </c>
      <c r="J766" s="226">
        <f>(IF((VLOOKUP(Table10[[#This Row],[SKU]],'All Skus'!$A:$AC,2,FALSE))="Martin",(VLOOKUP(Table10[[#This Row],[SKU]],'All Skus'!$A:$AC,11,FALSE)),""))</f>
        <v>28.4</v>
      </c>
      <c r="K766" s="224">
        <f>(IF((VLOOKUP(Table10[[#This Row],[SKU]],'All Skus'!$A:$AC,2,FALSE))="Martin",(VLOOKUP(Table10[[#This Row],[SKU]],'All Skus'!$A:$AC,15,FALSE)),""))</f>
        <v>0</v>
      </c>
      <c r="L766" s="224">
        <f>(IF((VLOOKUP(Table10[[#This Row],[SKU]],'All Skus'!$A:$AC,2,FALSE))="Martin",(VLOOKUP(Table10[[#This Row],[SKU]],'All Skus'!$A:$AC,16,FALSE)),""))</f>
        <v>0</v>
      </c>
      <c r="M766" s="224">
        <f>(IF((VLOOKUP(Table10[[#This Row],[SKU]],'All Skus'!$A:$AC,2,FALSE))="Martin",(VLOOKUP(Table10[[#This Row],[SKU]],'All Skus'!$A:$AC,17,FALSE)),""))</f>
        <v>0</v>
      </c>
      <c r="N766" s="227">
        <f>(IF((VLOOKUP(Table10[[#This Row],[SKU]],'All Skus'!$A:$AC,2,FALSE))="Martin",(VLOOKUP(Table10[[#This Row],[SKU]],'All Skus'!$A:$AC,18,FALSE)),""))</f>
        <v>1.3779535000000001</v>
      </c>
      <c r="O766" s="227">
        <f>(IF((VLOOKUP(Table10[[#This Row],[SKU]],'All Skus'!$A:$AC,2,FALSE))="Martin",(VLOOKUP(Table10[[#This Row],[SKU]],'All Skus'!$A:$AC,19,FALSE)),""))</f>
        <v>1.3779535000000001</v>
      </c>
      <c r="P766" s="227">
        <f>(IF((VLOOKUP(Table10[[#This Row],[SKU]],'All Skus'!$A:$AC,2,FALSE))="Martin",(VLOOKUP(Table10[[#This Row],[SKU]],'All Skus'!$A:$AC,20,FALSE)),""))</f>
        <v>0</v>
      </c>
      <c r="Q766" s="227">
        <f>(IF((VLOOKUP(Table10[[#This Row],[SKU]],'All Skus'!$A:$AC,2,FALSE))="Martin",(VLOOKUP(Table10[[#This Row],[SKU]],'All Skus'!$A:$AC,21,FALSE)),""))</f>
        <v>0</v>
      </c>
      <c r="R766" s="224" t="str">
        <f>(IF((VLOOKUP(Table10[[#This Row],[SKU]],'All Skus'!$A:$AC,2,FALSE))="Martin",(VLOOKUP(Table10[[#This Row],[SKU]],'All Skus'!$A:$AC,22,FALSE)),""))</f>
        <v>CN</v>
      </c>
      <c r="S766" s="223" t="str">
        <f>(IF((VLOOKUP(Table10[[#This Row],[SKU]],'All Skus'!$A:$AC,2,FALSE))="Martin",(VLOOKUP(Table10[[#This Row],[SKU]],'All Skus'!$A:$AC,23,FALSE)),""))</f>
        <v>Non Compliant</v>
      </c>
      <c r="T766" s="212" t="str">
        <f>HYPERLINK((IF((VLOOKUP(Table10[[#This Row],[SKU]],'All Skus'!$A:$AC,2,FALSE))="Martin",(VLOOKUP(Table10[[#This Row],[SKU]],'All Skus'!$A:$AC,24,FALSE)),"")))</f>
        <v>http://www.martin.com/en-us/product-details/vdo-sceptron-10</v>
      </c>
      <c r="U766" s="228">
        <v>764</v>
      </c>
    </row>
    <row r="767" spans="1:21" hidden="1">
      <c r="A767" s="112">
        <v>91610116</v>
      </c>
      <c r="B767" s="224" t="str">
        <f>(IF((VLOOKUP(Table10[[#This Row],[SKU]],'All Skus'!$A:$AC,2,FALSE))="Martin",(VLOOKUP(Table10[[#This Row],[SKU]],'All Skus'!$A:$AC,3,FALSE)),""))</f>
        <v>LED Video</v>
      </c>
      <c r="C767" s="223" t="str">
        <f>(IF((VLOOKUP(Table10[[#This Row],[SKU]],'All Skus'!$A:$AC,2,FALSE))="Martin",(VLOOKUP(Table10[[#This Row],[SKU]],'All Skus'!$A:$AC,4,FALSE)),""))</f>
        <v>VDO Sceptron Rnd Diffuser 1000mm</v>
      </c>
      <c r="D767" s="224" t="str">
        <f>(IF((VLOOKUP(Table10[[#This Row],[SKU]],'All Skus'!$A:$AC,2,FALSE))="Martin",(VLOOKUP(Table10[[#This Row],[SKU]],'All Skus'!$A:$AC,5,FALSE)),""))</f>
        <v>MAR-VDO</v>
      </c>
      <c r="E767" s="223">
        <f>(IF((VLOOKUP(Table10[[#This Row],[SKU]],'All Skus'!$A:$AC,2,FALSE))="Martin",(VLOOKUP(Table10[[#This Row],[SKU]],'All Skus'!$A:$AC,6,FALSE)),""))</f>
        <v>0</v>
      </c>
      <c r="F767" s="155">
        <f>(IF((VLOOKUP(Table10[[#This Row],[SKU]],'All Skus'!$A:$AC,2,FALSE))="Martin",(VLOOKUP(Table10[[#This Row],[SKU]],'All Skus'!$A:$AC,7,FALSE)),""))</f>
        <v>0</v>
      </c>
      <c r="G767" s="223" t="str">
        <f>(IF((VLOOKUP(Table10[[#This Row],[SKU]],'All Skus'!$A:$AC,2,FALSE))="Martin",(VLOOKUP(Table10[[#This Row],[SKU]],'All Skus'!$A:$AC,8,FALSE)),""))</f>
        <v>VDO Sceptron Rnd Diffuser 1000mm</v>
      </c>
      <c r="H767" s="223" t="str">
        <f>(IF((VLOOKUP(Table10[[#This Row],[SKU]],'All Skus'!$A:$AC,2,FALSE))="Martin",(VLOOKUP(Table10[[#This Row],[SKU]],'All Skus'!$A:$AC,9,FALSE)),""))</f>
        <v>VDO Sceptron Rnd Diffuser 1000mm</v>
      </c>
      <c r="I767" s="225">
        <f>(IF((VLOOKUP(Table10[[#This Row],[SKU]],'All Skus'!$A:$AC,2,FALSE))="Martin",(VLOOKUP(Table10[[#This Row],[SKU]],'All Skus'!$A:$AC,10,FALSE)),""))</f>
        <v>34.57</v>
      </c>
      <c r="J767" s="226">
        <f>(IF((VLOOKUP(Table10[[#This Row],[SKU]],'All Skus'!$A:$AC,2,FALSE))="Martin",(VLOOKUP(Table10[[#This Row],[SKU]],'All Skus'!$A:$AC,11,FALSE)),""))</f>
        <v>34.57</v>
      </c>
      <c r="K767" s="224">
        <f>(IF((VLOOKUP(Table10[[#This Row],[SKU]],'All Skus'!$A:$AC,2,FALSE))="Martin",(VLOOKUP(Table10[[#This Row],[SKU]],'All Skus'!$A:$AC,15,FALSE)),""))</f>
        <v>0</v>
      </c>
      <c r="L767" s="224">
        <f>(IF((VLOOKUP(Table10[[#This Row],[SKU]],'All Skus'!$A:$AC,2,FALSE))="Martin",(VLOOKUP(Table10[[#This Row],[SKU]],'All Skus'!$A:$AC,16,FALSE)),""))</f>
        <v>0</v>
      </c>
      <c r="M767" s="224">
        <f>(IF((VLOOKUP(Table10[[#This Row],[SKU]],'All Skus'!$A:$AC,2,FALSE))="Martin",(VLOOKUP(Table10[[#This Row],[SKU]],'All Skus'!$A:$AC,17,FALSE)),""))</f>
        <v>0</v>
      </c>
      <c r="N767" s="227">
        <f>(IF((VLOOKUP(Table10[[#This Row],[SKU]],'All Skus'!$A:$AC,2,FALSE))="Martin",(VLOOKUP(Table10[[#This Row],[SKU]],'All Skus'!$A:$AC,18,FALSE)),""))</f>
        <v>1.3779535000000001</v>
      </c>
      <c r="O767" s="227">
        <f>(IF((VLOOKUP(Table10[[#This Row],[SKU]],'All Skus'!$A:$AC,2,FALSE))="Martin",(VLOOKUP(Table10[[#This Row],[SKU]],'All Skus'!$A:$AC,19,FALSE)),""))</f>
        <v>1.3779535000000001</v>
      </c>
      <c r="P767" s="227">
        <f>(IF((VLOOKUP(Table10[[#This Row],[SKU]],'All Skus'!$A:$AC,2,FALSE))="Martin",(VLOOKUP(Table10[[#This Row],[SKU]],'All Skus'!$A:$AC,20,FALSE)),""))</f>
        <v>0</v>
      </c>
      <c r="Q767" s="227">
        <f>(IF((VLOOKUP(Table10[[#This Row],[SKU]],'All Skus'!$A:$AC,2,FALSE))="Martin",(VLOOKUP(Table10[[#This Row],[SKU]],'All Skus'!$A:$AC,21,FALSE)),""))</f>
        <v>0</v>
      </c>
      <c r="R767" s="224" t="str">
        <f>(IF((VLOOKUP(Table10[[#This Row],[SKU]],'All Skus'!$A:$AC,2,FALSE))="Martin",(VLOOKUP(Table10[[#This Row],[SKU]],'All Skus'!$A:$AC,22,FALSE)),""))</f>
        <v>CN</v>
      </c>
      <c r="S767" s="223" t="str">
        <f>(IF((VLOOKUP(Table10[[#This Row],[SKU]],'All Skus'!$A:$AC,2,FALSE))="Martin",(VLOOKUP(Table10[[#This Row],[SKU]],'All Skus'!$A:$AC,23,FALSE)),""))</f>
        <v>Non Compliant</v>
      </c>
      <c r="T767" s="212" t="str">
        <f>HYPERLINK((IF((VLOOKUP(Table10[[#This Row],[SKU]],'All Skus'!$A:$AC,2,FALSE))="Martin",(VLOOKUP(Table10[[#This Row],[SKU]],'All Skus'!$A:$AC,24,FALSE)),"")))</f>
        <v>http://www.martin.com/en-us/product-details/vdo-sceptron-10</v>
      </c>
      <c r="U767" s="228">
        <v>765</v>
      </c>
    </row>
    <row r="768" spans="1:21" hidden="1">
      <c r="A768" s="112">
        <v>91610117</v>
      </c>
      <c r="B768" s="224" t="str">
        <f>(IF((VLOOKUP(Table10[[#This Row],[SKU]],'All Skus'!$A:$AC,2,FALSE))="Martin",(VLOOKUP(Table10[[#This Row],[SKU]],'All Skus'!$A:$AC,3,FALSE)),""))</f>
        <v>LED Video</v>
      </c>
      <c r="C768" s="223" t="str">
        <f>(IF((VLOOKUP(Table10[[#This Row],[SKU]],'All Skus'!$A:$AC,2,FALSE))="Martin",(VLOOKUP(Table10[[#This Row],[SKU]],'All Skus'!$A:$AC,4,FALSE)),""))</f>
        <v>VDO Sceptron Rnd Smoked Diffuser 320mm</v>
      </c>
      <c r="D768" s="224" t="str">
        <f>(IF((VLOOKUP(Table10[[#This Row],[SKU]],'All Skus'!$A:$AC,2,FALSE))="Martin",(VLOOKUP(Table10[[#This Row],[SKU]],'All Skus'!$A:$AC,5,FALSE)),""))</f>
        <v>MAR-VDO</v>
      </c>
      <c r="E768" s="223">
        <f>(IF((VLOOKUP(Table10[[#This Row],[SKU]],'All Skus'!$A:$AC,2,FALSE))="Martin",(VLOOKUP(Table10[[#This Row],[SKU]],'All Skus'!$A:$AC,6,FALSE)),""))</f>
        <v>0</v>
      </c>
      <c r="F768" s="155">
        <f>(IF((VLOOKUP(Table10[[#This Row],[SKU]],'All Skus'!$A:$AC,2,FALSE))="Martin",(VLOOKUP(Table10[[#This Row],[SKU]],'All Skus'!$A:$AC,7,FALSE)),""))</f>
        <v>0</v>
      </c>
      <c r="G768" s="223" t="str">
        <f>(IF((VLOOKUP(Table10[[#This Row],[SKU]],'All Skus'!$A:$AC,2,FALSE))="Martin",(VLOOKUP(Table10[[#This Row],[SKU]],'All Skus'!$A:$AC,8,FALSE)),""))</f>
        <v>VDO Sceptron Rnd Smoked Diffuser 320mm</v>
      </c>
      <c r="H768" s="223" t="str">
        <f>(IF((VLOOKUP(Table10[[#This Row],[SKU]],'All Skus'!$A:$AC,2,FALSE))="Martin",(VLOOKUP(Table10[[#This Row],[SKU]],'All Skus'!$A:$AC,9,FALSE)),""))</f>
        <v>VDO Sceptron Rnd Smoked Diffuser 320mm</v>
      </c>
      <c r="I768" s="225">
        <f>(IF((VLOOKUP(Table10[[#This Row],[SKU]],'All Skus'!$A:$AC,2,FALSE))="Martin",(VLOOKUP(Table10[[#This Row],[SKU]],'All Skus'!$A:$AC,10,FALSE)),""))</f>
        <v>25.93</v>
      </c>
      <c r="J768" s="226">
        <f>(IF((VLOOKUP(Table10[[#This Row],[SKU]],'All Skus'!$A:$AC,2,FALSE))="Martin",(VLOOKUP(Table10[[#This Row],[SKU]],'All Skus'!$A:$AC,11,FALSE)),""))</f>
        <v>25.93</v>
      </c>
      <c r="K768" s="224">
        <f>(IF((VLOOKUP(Table10[[#This Row],[SKU]],'All Skus'!$A:$AC,2,FALSE))="Martin",(VLOOKUP(Table10[[#This Row],[SKU]],'All Skus'!$A:$AC,15,FALSE)),""))</f>
        <v>0</v>
      </c>
      <c r="L768" s="224">
        <f>(IF((VLOOKUP(Table10[[#This Row],[SKU]],'All Skus'!$A:$AC,2,FALSE))="Martin",(VLOOKUP(Table10[[#This Row],[SKU]],'All Skus'!$A:$AC,16,FALSE)),""))</f>
        <v>5706681230044</v>
      </c>
      <c r="M768" s="224">
        <f>(IF((VLOOKUP(Table10[[#This Row],[SKU]],'All Skus'!$A:$AC,2,FALSE))="Martin",(VLOOKUP(Table10[[#This Row],[SKU]],'All Skus'!$A:$AC,17,FALSE)),""))</f>
        <v>0</v>
      </c>
      <c r="N768" s="227">
        <f>(IF((VLOOKUP(Table10[[#This Row],[SKU]],'All Skus'!$A:$AC,2,FALSE))="Martin",(VLOOKUP(Table10[[#This Row],[SKU]],'All Skus'!$A:$AC,18,FALSE)),""))</f>
        <v>1.3779535000000001</v>
      </c>
      <c r="O768" s="227">
        <f>(IF((VLOOKUP(Table10[[#This Row],[SKU]],'All Skus'!$A:$AC,2,FALSE))="Martin",(VLOOKUP(Table10[[#This Row],[SKU]],'All Skus'!$A:$AC,19,FALSE)),""))</f>
        <v>1.3779535000000001</v>
      </c>
      <c r="P768" s="227">
        <f>(IF((VLOOKUP(Table10[[#This Row],[SKU]],'All Skus'!$A:$AC,2,FALSE))="Martin",(VLOOKUP(Table10[[#This Row],[SKU]],'All Skus'!$A:$AC,20,FALSE)),""))</f>
        <v>0</v>
      </c>
      <c r="Q768" s="227">
        <f>(IF((VLOOKUP(Table10[[#This Row],[SKU]],'All Skus'!$A:$AC,2,FALSE))="Martin",(VLOOKUP(Table10[[#This Row],[SKU]],'All Skus'!$A:$AC,21,FALSE)),""))</f>
        <v>0</v>
      </c>
      <c r="R768" s="224" t="str">
        <f>(IF((VLOOKUP(Table10[[#This Row],[SKU]],'All Skus'!$A:$AC,2,FALSE))="Martin",(VLOOKUP(Table10[[#This Row],[SKU]],'All Skus'!$A:$AC,22,FALSE)),""))</f>
        <v>CN</v>
      </c>
      <c r="S768" s="223" t="str">
        <f>(IF((VLOOKUP(Table10[[#This Row],[SKU]],'All Skus'!$A:$AC,2,FALSE))="Martin",(VLOOKUP(Table10[[#This Row],[SKU]],'All Skus'!$A:$AC,23,FALSE)),""))</f>
        <v>Non Compliant</v>
      </c>
      <c r="T768" s="212" t="str">
        <f>HYPERLINK((IF((VLOOKUP(Table10[[#This Row],[SKU]],'All Skus'!$A:$AC,2,FALSE))="Martin",(VLOOKUP(Table10[[#This Row],[SKU]],'All Skus'!$A:$AC,24,FALSE)),"")))</f>
        <v>http://www.martin.com/en-us/product-details/vdo-sceptron-10</v>
      </c>
      <c r="U768" s="228">
        <v>766</v>
      </c>
    </row>
    <row r="769" spans="1:21" hidden="1">
      <c r="A769" s="112">
        <v>91610118</v>
      </c>
      <c r="B769" s="224" t="str">
        <f>(IF((VLOOKUP(Table10[[#This Row],[SKU]],'All Skus'!$A:$AC,2,FALSE))="Martin",(VLOOKUP(Table10[[#This Row],[SKU]],'All Skus'!$A:$AC,3,FALSE)),""))</f>
        <v>LED Video</v>
      </c>
      <c r="C769" s="223" t="str">
        <f>(IF((VLOOKUP(Table10[[#This Row],[SKU]],'All Skus'!$A:$AC,2,FALSE))="Martin",(VLOOKUP(Table10[[#This Row],[SKU]],'All Skus'!$A:$AC,4,FALSE)),""))</f>
        <v>VDO Sceptron Rnd Smoked Diffuser 1000mm</v>
      </c>
      <c r="D769" s="224" t="str">
        <f>(IF((VLOOKUP(Table10[[#This Row],[SKU]],'All Skus'!$A:$AC,2,FALSE))="Martin",(VLOOKUP(Table10[[#This Row],[SKU]],'All Skus'!$A:$AC,5,FALSE)),""))</f>
        <v>MAR-VDO</v>
      </c>
      <c r="E769" s="223">
        <f>(IF((VLOOKUP(Table10[[#This Row],[SKU]],'All Skus'!$A:$AC,2,FALSE))="Martin",(VLOOKUP(Table10[[#This Row],[SKU]],'All Skus'!$A:$AC,6,FALSE)),""))</f>
        <v>0</v>
      </c>
      <c r="F769" s="155">
        <f>(IF((VLOOKUP(Table10[[#This Row],[SKU]],'All Skus'!$A:$AC,2,FALSE))="Martin",(VLOOKUP(Table10[[#This Row],[SKU]],'All Skus'!$A:$AC,7,FALSE)),""))</f>
        <v>0</v>
      </c>
      <c r="G769" s="223" t="str">
        <f>(IF((VLOOKUP(Table10[[#This Row],[SKU]],'All Skus'!$A:$AC,2,FALSE))="Martin",(VLOOKUP(Table10[[#This Row],[SKU]],'All Skus'!$A:$AC,8,FALSE)),""))</f>
        <v>VDO Sceptron Rnd Smoked Diffuser 1000mm</v>
      </c>
      <c r="H769" s="223" t="str">
        <f>(IF((VLOOKUP(Table10[[#This Row],[SKU]],'All Skus'!$A:$AC,2,FALSE))="Martin",(VLOOKUP(Table10[[#This Row],[SKU]],'All Skus'!$A:$AC,9,FALSE)),""))</f>
        <v>VDO Sceptron Rnd Smoked Diffuser 1000mm</v>
      </c>
      <c r="I769" s="225">
        <f>(IF((VLOOKUP(Table10[[#This Row],[SKU]],'All Skus'!$A:$AC,2,FALSE))="Martin",(VLOOKUP(Table10[[#This Row],[SKU]],'All Skus'!$A:$AC,10,FALSE)),""))</f>
        <v>34.57</v>
      </c>
      <c r="J769" s="226">
        <f>(IF((VLOOKUP(Table10[[#This Row],[SKU]],'All Skus'!$A:$AC,2,FALSE))="Martin",(VLOOKUP(Table10[[#This Row],[SKU]],'All Skus'!$A:$AC,11,FALSE)),""))</f>
        <v>34.57</v>
      </c>
      <c r="K769" s="224">
        <f>(IF((VLOOKUP(Table10[[#This Row],[SKU]],'All Skus'!$A:$AC,2,FALSE))="Martin",(VLOOKUP(Table10[[#This Row],[SKU]],'All Skus'!$A:$AC,15,FALSE)),""))</f>
        <v>0</v>
      </c>
      <c r="L769" s="224">
        <f>(IF((VLOOKUP(Table10[[#This Row],[SKU]],'All Skus'!$A:$AC,2,FALSE))="Martin",(VLOOKUP(Table10[[#This Row],[SKU]],'All Skus'!$A:$AC,16,FALSE)),""))</f>
        <v>0</v>
      </c>
      <c r="M769" s="224">
        <f>(IF((VLOOKUP(Table10[[#This Row],[SKU]],'All Skus'!$A:$AC,2,FALSE))="Martin",(VLOOKUP(Table10[[#This Row],[SKU]],'All Skus'!$A:$AC,17,FALSE)),""))</f>
        <v>0</v>
      </c>
      <c r="N769" s="227">
        <f>(IF((VLOOKUP(Table10[[#This Row],[SKU]],'All Skus'!$A:$AC,2,FALSE))="Martin",(VLOOKUP(Table10[[#This Row],[SKU]],'All Skus'!$A:$AC,18,FALSE)),""))</f>
        <v>1.3779535000000001</v>
      </c>
      <c r="O769" s="227">
        <f>(IF((VLOOKUP(Table10[[#This Row],[SKU]],'All Skus'!$A:$AC,2,FALSE))="Martin",(VLOOKUP(Table10[[#This Row],[SKU]],'All Skus'!$A:$AC,19,FALSE)),""))</f>
        <v>1.3779535000000001</v>
      </c>
      <c r="P769" s="227">
        <f>(IF((VLOOKUP(Table10[[#This Row],[SKU]],'All Skus'!$A:$AC,2,FALSE))="Martin",(VLOOKUP(Table10[[#This Row],[SKU]],'All Skus'!$A:$AC,20,FALSE)),""))</f>
        <v>0</v>
      </c>
      <c r="Q769" s="227">
        <f>(IF((VLOOKUP(Table10[[#This Row],[SKU]],'All Skus'!$A:$AC,2,FALSE))="Martin",(VLOOKUP(Table10[[#This Row],[SKU]],'All Skus'!$A:$AC,21,FALSE)),""))</f>
        <v>0</v>
      </c>
      <c r="R769" s="224" t="str">
        <f>(IF((VLOOKUP(Table10[[#This Row],[SKU]],'All Skus'!$A:$AC,2,FALSE))="Martin",(VLOOKUP(Table10[[#This Row],[SKU]],'All Skus'!$A:$AC,22,FALSE)),""))</f>
        <v>CN</v>
      </c>
      <c r="S769" s="223" t="str">
        <f>(IF((VLOOKUP(Table10[[#This Row],[SKU]],'All Skus'!$A:$AC,2,FALSE))="Martin",(VLOOKUP(Table10[[#This Row],[SKU]],'All Skus'!$A:$AC,23,FALSE)),""))</f>
        <v>Non Compliant</v>
      </c>
      <c r="T769" s="212" t="str">
        <f>HYPERLINK((IF((VLOOKUP(Table10[[#This Row],[SKU]],'All Skus'!$A:$AC,2,FALSE))="Martin",(VLOOKUP(Table10[[#This Row],[SKU]],'All Skus'!$A:$AC,24,FALSE)),"")))</f>
        <v>http://www.martin.com/en-us/product-details/vdo-sceptron-10</v>
      </c>
      <c r="U769" s="228">
        <v>767</v>
      </c>
    </row>
    <row r="770" spans="1:21" hidden="1">
      <c r="A770" s="112">
        <v>91610119</v>
      </c>
      <c r="B770" s="224" t="str">
        <f>(IF((VLOOKUP(Table10[[#This Row],[SKU]],'All Skus'!$A:$AC,2,FALSE))="Martin",(VLOOKUP(Table10[[#This Row],[SKU]],'All Skus'!$A:$AC,3,FALSE)),""))</f>
        <v>LED Video</v>
      </c>
      <c r="C770" s="223" t="str">
        <f>(IF((VLOOKUP(Table10[[#This Row],[SKU]],'All Skus'!$A:$AC,2,FALSE))="Martin",(VLOOKUP(Table10[[#This Row],[SKU]],'All Skus'!$A:$AC,4,FALSE)),""))</f>
        <v>VDO Sceptron Squa Diffuser 320mm</v>
      </c>
      <c r="D770" s="224" t="str">
        <f>(IF((VLOOKUP(Table10[[#This Row],[SKU]],'All Skus'!$A:$AC,2,FALSE))="Martin",(VLOOKUP(Table10[[#This Row],[SKU]],'All Skus'!$A:$AC,5,FALSE)),""))</f>
        <v>MAR-VDO</v>
      </c>
      <c r="E770" s="223">
        <f>(IF((VLOOKUP(Table10[[#This Row],[SKU]],'All Skus'!$A:$AC,2,FALSE))="Martin",(VLOOKUP(Table10[[#This Row],[SKU]],'All Skus'!$A:$AC,6,FALSE)),""))</f>
        <v>0</v>
      </c>
      <c r="F770" s="155">
        <f>(IF((VLOOKUP(Table10[[#This Row],[SKU]],'All Skus'!$A:$AC,2,FALSE))="Martin",(VLOOKUP(Table10[[#This Row],[SKU]],'All Skus'!$A:$AC,7,FALSE)),""))</f>
        <v>0</v>
      </c>
      <c r="G770" s="223" t="str">
        <f>(IF((VLOOKUP(Table10[[#This Row],[SKU]],'All Skus'!$A:$AC,2,FALSE))="Martin",(VLOOKUP(Table10[[#This Row],[SKU]],'All Skus'!$A:$AC,8,FALSE)),""))</f>
        <v>VDO Sceptron Squa Diffuser 320mm</v>
      </c>
      <c r="H770" s="223" t="str">
        <f>(IF((VLOOKUP(Table10[[#This Row],[SKU]],'All Skus'!$A:$AC,2,FALSE))="Martin",(VLOOKUP(Table10[[#This Row],[SKU]],'All Skus'!$A:$AC,9,FALSE)),""))</f>
        <v>VDO Sceptron Squa Diffuser 320mm</v>
      </c>
      <c r="I770" s="225">
        <f>(IF((VLOOKUP(Table10[[#This Row],[SKU]],'All Skus'!$A:$AC,2,FALSE))="Martin",(VLOOKUP(Table10[[#This Row],[SKU]],'All Skus'!$A:$AC,10,FALSE)),""))</f>
        <v>28.4</v>
      </c>
      <c r="J770" s="226">
        <f>(IF((VLOOKUP(Table10[[#This Row],[SKU]],'All Skus'!$A:$AC,2,FALSE))="Martin",(VLOOKUP(Table10[[#This Row],[SKU]],'All Skus'!$A:$AC,11,FALSE)),""))</f>
        <v>28.4</v>
      </c>
      <c r="K770" s="224">
        <f>(IF((VLOOKUP(Table10[[#This Row],[SKU]],'All Skus'!$A:$AC,2,FALSE))="Martin",(VLOOKUP(Table10[[#This Row],[SKU]],'All Skus'!$A:$AC,15,FALSE)),""))</f>
        <v>0</v>
      </c>
      <c r="L770" s="224">
        <f>(IF((VLOOKUP(Table10[[#This Row],[SKU]],'All Skus'!$A:$AC,2,FALSE))="Martin",(VLOOKUP(Table10[[#This Row],[SKU]],'All Skus'!$A:$AC,16,FALSE)),""))</f>
        <v>0</v>
      </c>
      <c r="M770" s="224">
        <f>(IF((VLOOKUP(Table10[[#This Row],[SKU]],'All Skus'!$A:$AC,2,FALSE))="Martin",(VLOOKUP(Table10[[#This Row],[SKU]],'All Skus'!$A:$AC,17,FALSE)),""))</f>
        <v>0</v>
      </c>
      <c r="N770" s="227">
        <f>(IF((VLOOKUP(Table10[[#This Row],[SKU]],'All Skus'!$A:$AC,2,FALSE))="Martin",(VLOOKUP(Table10[[#This Row],[SKU]],'All Skus'!$A:$AC,18,FALSE)),""))</f>
        <v>1.3779535000000001</v>
      </c>
      <c r="O770" s="227">
        <f>(IF((VLOOKUP(Table10[[#This Row],[SKU]],'All Skus'!$A:$AC,2,FALSE))="Martin",(VLOOKUP(Table10[[#This Row],[SKU]],'All Skus'!$A:$AC,19,FALSE)),""))</f>
        <v>1.3779535000000001</v>
      </c>
      <c r="P770" s="227">
        <f>(IF((VLOOKUP(Table10[[#This Row],[SKU]],'All Skus'!$A:$AC,2,FALSE))="Martin",(VLOOKUP(Table10[[#This Row],[SKU]],'All Skus'!$A:$AC,20,FALSE)),""))</f>
        <v>0</v>
      </c>
      <c r="Q770" s="227">
        <f>(IF((VLOOKUP(Table10[[#This Row],[SKU]],'All Skus'!$A:$AC,2,FALSE))="Martin",(VLOOKUP(Table10[[#This Row],[SKU]],'All Skus'!$A:$AC,21,FALSE)),""))</f>
        <v>0</v>
      </c>
      <c r="R770" s="224" t="str">
        <f>(IF((VLOOKUP(Table10[[#This Row],[SKU]],'All Skus'!$A:$AC,2,FALSE))="Martin",(VLOOKUP(Table10[[#This Row],[SKU]],'All Skus'!$A:$AC,22,FALSE)),""))</f>
        <v>CN</v>
      </c>
      <c r="S770" s="223" t="str">
        <f>(IF((VLOOKUP(Table10[[#This Row],[SKU]],'All Skus'!$A:$AC,2,FALSE))="Martin",(VLOOKUP(Table10[[#This Row],[SKU]],'All Skus'!$A:$AC,23,FALSE)),""))</f>
        <v>Non Compliant</v>
      </c>
      <c r="T770" s="212" t="str">
        <f>HYPERLINK((IF((VLOOKUP(Table10[[#This Row],[SKU]],'All Skus'!$A:$AC,2,FALSE))="Martin",(VLOOKUP(Table10[[#This Row],[SKU]],'All Skus'!$A:$AC,24,FALSE)),"")))</f>
        <v>http://www.martin.com/en-us/product-details/vdo-sceptron-10</v>
      </c>
      <c r="U770" s="228">
        <v>768</v>
      </c>
    </row>
    <row r="771" spans="1:21" hidden="1">
      <c r="A771" s="112">
        <v>91610120</v>
      </c>
      <c r="B771" s="224" t="str">
        <f>(IF((VLOOKUP(Table10[[#This Row],[SKU]],'All Skus'!$A:$AC,2,FALSE))="Martin",(VLOOKUP(Table10[[#This Row],[SKU]],'All Skus'!$A:$AC,3,FALSE)),""))</f>
        <v>LED Video</v>
      </c>
      <c r="C771" s="223" t="str">
        <f>(IF((VLOOKUP(Table10[[#This Row],[SKU]],'All Skus'!$A:$AC,2,FALSE))="Martin",(VLOOKUP(Table10[[#This Row],[SKU]],'All Skus'!$A:$AC,4,FALSE)),""))</f>
        <v>VDO Sceptron Squa Diffuser 1000mm</v>
      </c>
      <c r="D771" s="224" t="str">
        <f>(IF((VLOOKUP(Table10[[#This Row],[SKU]],'All Skus'!$A:$AC,2,FALSE))="Martin",(VLOOKUP(Table10[[#This Row],[SKU]],'All Skus'!$A:$AC,5,FALSE)),""))</f>
        <v>MAR-VDO</v>
      </c>
      <c r="E771" s="223">
        <f>(IF((VLOOKUP(Table10[[#This Row],[SKU]],'All Skus'!$A:$AC,2,FALSE))="Martin",(VLOOKUP(Table10[[#This Row],[SKU]],'All Skus'!$A:$AC,6,FALSE)),""))</f>
        <v>0</v>
      </c>
      <c r="F771" s="155">
        <f>(IF((VLOOKUP(Table10[[#This Row],[SKU]],'All Skus'!$A:$AC,2,FALSE))="Martin",(VLOOKUP(Table10[[#This Row],[SKU]],'All Skus'!$A:$AC,7,FALSE)),""))</f>
        <v>0</v>
      </c>
      <c r="G771" s="223" t="str">
        <f>(IF((VLOOKUP(Table10[[#This Row],[SKU]],'All Skus'!$A:$AC,2,FALSE))="Martin",(VLOOKUP(Table10[[#This Row],[SKU]],'All Skus'!$A:$AC,8,FALSE)),""))</f>
        <v>VDO Sceptron Squa Diffuser 1000mm</v>
      </c>
      <c r="H771" s="223" t="str">
        <f>(IF((VLOOKUP(Table10[[#This Row],[SKU]],'All Skus'!$A:$AC,2,FALSE))="Martin",(VLOOKUP(Table10[[#This Row],[SKU]],'All Skus'!$A:$AC,9,FALSE)),""))</f>
        <v>VDO Sceptron Squa Diffuser 1000mm</v>
      </c>
      <c r="I771" s="225">
        <f>(IF((VLOOKUP(Table10[[#This Row],[SKU]],'All Skus'!$A:$AC,2,FALSE))="Martin",(VLOOKUP(Table10[[#This Row],[SKU]],'All Skus'!$A:$AC,10,FALSE)),""))</f>
        <v>34.57</v>
      </c>
      <c r="J771" s="226">
        <f>(IF((VLOOKUP(Table10[[#This Row],[SKU]],'All Skus'!$A:$AC,2,FALSE))="Martin",(VLOOKUP(Table10[[#This Row],[SKU]],'All Skus'!$A:$AC,11,FALSE)),""))</f>
        <v>34.57</v>
      </c>
      <c r="K771" s="224">
        <f>(IF((VLOOKUP(Table10[[#This Row],[SKU]],'All Skus'!$A:$AC,2,FALSE))="Martin",(VLOOKUP(Table10[[#This Row],[SKU]],'All Skus'!$A:$AC,15,FALSE)),""))</f>
        <v>0</v>
      </c>
      <c r="L771" s="224">
        <f>(IF((VLOOKUP(Table10[[#This Row],[SKU]],'All Skus'!$A:$AC,2,FALSE))="Martin",(VLOOKUP(Table10[[#This Row],[SKU]],'All Skus'!$A:$AC,16,FALSE)),""))</f>
        <v>0</v>
      </c>
      <c r="M771" s="224">
        <f>(IF((VLOOKUP(Table10[[#This Row],[SKU]],'All Skus'!$A:$AC,2,FALSE))="Martin",(VLOOKUP(Table10[[#This Row],[SKU]],'All Skus'!$A:$AC,17,FALSE)),""))</f>
        <v>0</v>
      </c>
      <c r="N771" s="227">
        <f>(IF((VLOOKUP(Table10[[#This Row],[SKU]],'All Skus'!$A:$AC,2,FALSE))="Martin",(VLOOKUP(Table10[[#This Row],[SKU]],'All Skus'!$A:$AC,18,FALSE)),""))</f>
        <v>1.3779535000000001</v>
      </c>
      <c r="O771" s="227">
        <f>(IF((VLOOKUP(Table10[[#This Row],[SKU]],'All Skus'!$A:$AC,2,FALSE))="Martin",(VLOOKUP(Table10[[#This Row],[SKU]],'All Skus'!$A:$AC,19,FALSE)),""))</f>
        <v>1.3779535000000001</v>
      </c>
      <c r="P771" s="227">
        <f>(IF((VLOOKUP(Table10[[#This Row],[SKU]],'All Skus'!$A:$AC,2,FALSE))="Martin",(VLOOKUP(Table10[[#This Row],[SKU]],'All Skus'!$A:$AC,20,FALSE)),""))</f>
        <v>0</v>
      </c>
      <c r="Q771" s="227">
        <f>(IF((VLOOKUP(Table10[[#This Row],[SKU]],'All Skus'!$A:$AC,2,FALSE))="Martin",(VLOOKUP(Table10[[#This Row],[SKU]],'All Skus'!$A:$AC,21,FALSE)),""))</f>
        <v>0</v>
      </c>
      <c r="R771" s="224" t="str">
        <f>(IF((VLOOKUP(Table10[[#This Row],[SKU]],'All Skus'!$A:$AC,2,FALSE))="Martin",(VLOOKUP(Table10[[#This Row],[SKU]],'All Skus'!$A:$AC,22,FALSE)),""))</f>
        <v>CN</v>
      </c>
      <c r="S771" s="223" t="str">
        <f>(IF((VLOOKUP(Table10[[#This Row],[SKU]],'All Skus'!$A:$AC,2,FALSE))="Martin",(VLOOKUP(Table10[[#This Row],[SKU]],'All Skus'!$A:$AC,23,FALSE)),""))</f>
        <v>Non Compliant</v>
      </c>
      <c r="T771" s="212" t="str">
        <f>HYPERLINK((IF((VLOOKUP(Table10[[#This Row],[SKU]],'All Skus'!$A:$AC,2,FALSE))="Martin",(VLOOKUP(Table10[[#This Row],[SKU]],'All Skus'!$A:$AC,24,FALSE)),"")))</f>
        <v>http://www.martin.com/en-us/product-details/vdo-sceptron-10</v>
      </c>
      <c r="U771" s="228">
        <v>769</v>
      </c>
    </row>
    <row r="772" spans="1:21" hidden="1">
      <c r="A772" s="112">
        <v>91610121</v>
      </c>
      <c r="B772" s="224" t="str">
        <f>(IF((VLOOKUP(Table10[[#This Row],[SKU]],'All Skus'!$A:$AC,2,FALSE))="Martin",(VLOOKUP(Table10[[#This Row],[SKU]],'All Skus'!$A:$AC,3,FALSE)),""))</f>
        <v>LED Video</v>
      </c>
      <c r="C772" s="223" t="str">
        <f>(IF((VLOOKUP(Table10[[#This Row],[SKU]],'All Skus'!$A:$AC,2,FALSE))="Martin",(VLOOKUP(Table10[[#This Row],[SKU]],'All Skus'!$A:$AC,4,FALSE)),""))</f>
        <v>VDO Sceptron Squa Smoked Diffuser 320mm</v>
      </c>
      <c r="D772" s="224" t="str">
        <f>(IF((VLOOKUP(Table10[[#This Row],[SKU]],'All Skus'!$A:$AC,2,FALSE))="Martin",(VLOOKUP(Table10[[#This Row],[SKU]],'All Skus'!$A:$AC,5,FALSE)),""))</f>
        <v>MAR-VDO</v>
      </c>
      <c r="E772" s="223">
        <f>(IF((VLOOKUP(Table10[[#This Row],[SKU]],'All Skus'!$A:$AC,2,FALSE))="Martin",(VLOOKUP(Table10[[#This Row],[SKU]],'All Skus'!$A:$AC,6,FALSE)),""))</f>
        <v>0</v>
      </c>
      <c r="F772" s="155">
        <f>(IF((VLOOKUP(Table10[[#This Row],[SKU]],'All Skus'!$A:$AC,2,FALSE))="Martin",(VLOOKUP(Table10[[#This Row],[SKU]],'All Skus'!$A:$AC,7,FALSE)),""))</f>
        <v>0</v>
      </c>
      <c r="G772" s="223" t="str">
        <f>(IF((VLOOKUP(Table10[[#This Row],[SKU]],'All Skus'!$A:$AC,2,FALSE))="Martin",(VLOOKUP(Table10[[#This Row],[SKU]],'All Skus'!$A:$AC,8,FALSE)),""))</f>
        <v>VDO Sceptron Squa Smoked Diffuser 320mm</v>
      </c>
      <c r="H772" s="223" t="str">
        <f>(IF((VLOOKUP(Table10[[#This Row],[SKU]],'All Skus'!$A:$AC,2,FALSE))="Martin",(VLOOKUP(Table10[[#This Row],[SKU]],'All Skus'!$A:$AC,9,FALSE)),""))</f>
        <v>VDO Sceptron Squa Smoked Diffuser 320mm</v>
      </c>
      <c r="I772" s="225">
        <f>(IF((VLOOKUP(Table10[[#This Row],[SKU]],'All Skus'!$A:$AC,2,FALSE))="Martin",(VLOOKUP(Table10[[#This Row],[SKU]],'All Skus'!$A:$AC,10,FALSE)),""))</f>
        <v>28.4</v>
      </c>
      <c r="J772" s="226">
        <f>(IF((VLOOKUP(Table10[[#This Row],[SKU]],'All Skus'!$A:$AC,2,FALSE))="Martin",(VLOOKUP(Table10[[#This Row],[SKU]],'All Skus'!$A:$AC,11,FALSE)),""))</f>
        <v>28.4</v>
      </c>
      <c r="K772" s="224">
        <f>(IF((VLOOKUP(Table10[[#This Row],[SKU]],'All Skus'!$A:$AC,2,FALSE))="Martin",(VLOOKUP(Table10[[#This Row],[SKU]],'All Skus'!$A:$AC,15,FALSE)),""))</f>
        <v>0</v>
      </c>
      <c r="L772" s="224">
        <f>(IF((VLOOKUP(Table10[[#This Row],[SKU]],'All Skus'!$A:$AC,2,FALSE))="Martin",(VLOOKUP(Table10[[#This Row],[SKU]],'All Skus'!$A:$AC,16,FALSE)),""))</f>
        <v>0</v>
      </c>
      <c r="M772" s="224">
        <f>(IF((VLOOKUP(Table10[[#This Row],[SKU]],'All Skus'!$A:$AC,2,FALSE))="Martin",(VLOOKUP(Table10[[#This Row],[SKU]],'All Skus'!$A:$AC,17,FALSE)),""))</f>
        <v>0</v>
      </c>
      <c r="N772" s="227">
        <f>(IF((VLOOKUP(Table10[[#This Row],[SKU]],'All Skus'!$A:$AC,2,FALSE))="Martin",(VLOOKUP(Table10[[#This Row],[SKU]],'All Skus'!$A:$AC,18,FALSE)),""))</f>
        <v>1.3779535000000001</v>
      </c>
      <c r="O772" s="227">
        <f>(IF((VLOOKUP(Table10[[#This Row],[SKU]],'All Skus'!$A:$AC,2,FALSE))="Martin",(VLOOKUP(Table10[[#This Row],[SKU]],'All Skus'!$A:$AC,19,FALSE)),""))</f>
        <v>1.3779535000000001</v>
      </c>
      <c r="P772" s="227">
        <f>(IF((VLOOKUP(Table10[[#This Row],[SKU]],'All Skus'!$A:$AC,2,FALSE))="Martin",(VLOOKUP(Table10[[#This Row],[SKU]],'All Skus'!$A:$AC,20,FALSE)),""))</f>
        <v>0</v>
      </c>
      <c r="Q772" s="227">
        <f>(IF((VLOOKUP(Table10[[#This Row],[SKU]],'All Skus'!$A:$AC,2,FALSE))="Martin",(VLOOKUP(Table10[[#This Row],[SKU]],'All Skus'!$A:$AC,21,FALSE)),""))</f>
        <v>0</v>
      </c>
      <c r="R772" s="224" t="str">
        <f>(IF((VLOOKUP(Table10[[#This Row],[SKU]],'All Skus'!$A:$AC,2,FALSE))="Martin",(VLOOKUP(Table10[[#This Row],[SKU]],'All Skus'!$A:$AC,22,FALSE)),""))</f>
        <v>CN</v>
      </c>
      <c r="S772" s="223" t="str">
        <f>(IF((VLOOKUP(Table10[[#This Row],[SKU]],'All Skus'!$A:$AC,2,FALSE))="Martin",(VLOOKUP(Table10[[#This Row],[SKU]],'All Skus'!$A:$AC,23,FALSE)),""))</f>
        <v>Non Compliant</v>
      </c>
      <c r="T772" s="212" t="str">
        <f>HYPERLINK((IF((VLOOKUP(Table10[[#This Row],[SKU]],'All Skus'!$A:$AC,2,FALSE))="Martin",(VLOOKUP(Table10[[#This Row],[SKU]],'All Skus'!$A:$AC,24,FALSE)),"")))</f>
        <v>http://www.martin.com/en-us/product-details/vdo-sceptron-10</v>
      </c>
      <c r="U772" s="228">
        <v>770</v>
      </c>
    </row>
    <row r="773" spans="1:21" hidden="1">
      <c r="A773" s="112">
        <v>91610122</v>
      </c>
      <c r="B773" s="224" t="str">
        <f>(IF((VLOOKUP(Table10[[#This Row],[SKU]],'All Skus'!$A:$AC,2,FALSE))="Martin",(VLOOKUP(Table10[[#This Row],[SKU]],'All Skus'!$A:$AC,3,FALSE)),""))</f>
        <v>LED Video</v>
      </c>
      <c r="C773" s="223" t="str">
        <f>(IF((VLOOKUP(Table10[[#This Row],[SKU]],'All Skus'!$A:$AC,2,FALSE))="Martin",(VLOOKUP(Table10[[#This Row],[SKU]],'All Skus'!$A:$AC,4,FALSE)),""))</f>
        <v>VDO Sceptron Squa Smoked Diffuser 1000mm</v>
      </c>
      <c r="D773" s="224" t="str">
        <f>(IF((VLOOKUP(Table10[[#This Row],[SKU]],'All Skus'!$A:$AC,2,FALSE))="Martin",(VLOOKUP(Table10[[#This Row],[SKU]],'All Skus'!$A:$AC,5,FALSE)),""))</f>
        <v>MAR-VDO</v>
      </c>
      <c r="E773" s="223">
        <f>(IF((VLOOKUP(Table10[[#This Row],[SKU]],'All Skus'!$A:$AC,2,FALSE))="Martin",(VLOOKUP(Table10[[#This Row],[SKU]],'All Skus'!$A:$AC,6,FALSE)),""))</f>
        <v>0</v>
      </c>
      <c r="F773" s="155">
        <f>(IF((VLOOKUP(Table10[[#This Row],[SKU]],'All Skus'!$A:$AC,2,FALSE))="Martin",(VLOOKUP(Table10[[#This Row],[SKU]],'All Skus'!$A:$AC,7,FALSE)),""))</f>
        <v>0</v>
      </c>
      <c r="G773" s="223" t="str">
        <f>(IF((VLOOKUP(Table10[[#This Row],[SKU]],'All Skus'!$A:$AC,2,FALSE))="Martin",(VLOOKUP(Table10[[#This Row],[SKU]],'All Skus'!$A:$AC,8,FALSE)),""))</f>
        <v>VDO Sceptron Squa Smoked Diffuser 1000mm</v>
      </c>
      <c r="H773" s="223" t="str">
        <f>(IF((VLOOKUP(Table10[[#This Row],[SKU]],'All Skus'!$A:$AC,2,FALSE))="Martin",(VLOOKUP(Table10[[#This Row],[SKU]],'All Skus'!$A:$AC,9,FALSE)),""))</f>
        <v>VDO Sceptron Squa Smoked Diffuser 1000mm</v>
      </c>
      <c r="I773" s="225">
        <f>(IF((VLOOKUP(Table10[[#This Row],[SKU]],'All Skus'!$A:$AC,2,FALSE))="Martin",(VLOOKUP(Table10[[#This Row],[SKU]],'All Skus'!$A:$AC,10,FALSE)),""))</f>
        <v>34.57</v>
      </c>
      <c r="J773" s="226">
        <f>(IF((VLOOKUP(Table10[[#This Row],[SKU]],'All Skus'!$A:$AC,2,FALSE))="Martin",(VLOOKUP(Table10[[#This Row],[SKU]],'All Skus'!$A:$AC,11,FALSE)),""))</f>
        <v>34.57</v>
      </c>
      <c r="K773" s="224">
        <f>(IF((VLOOKUP(Table10[[#This Row],[SKU]],'All Skus'!$A:$AC,2,FALSE))="Martin",(VLOOKUP(Table10[[#This Row],[SKU]],'All Skus'!$A:$AC,15,FALSE)),""))</f>
        <v>0</v>
      </c>
      <c r="L773" s="224">
        <f>(IF((VLOOKUP(Table10[[#This Row],[SKU]],'All Skus'!$A:$AC,2,FALSE))="Martin",(VLOOKUP(Table10[[#This Row],[SKU]],'All Skus'!$A:$AC,16,FALSE)),""))</f>
        <v>0</v>
      </c>
      <c r="M773" s="224">
        <f>(IF((VLOOKUP(Table10[[#This Row],[SKU]],'All Skus'!$A:$AC,2,FALSE))="Martin",(VLOOKUP(Table10[[#This Row],[SKU]],'All Skus'!$A:$AC,17,FALSE)),""))</f>
        <v>0</v>
      </c>
      <c r="N773" s="227">
        <f>(IF((VLOOKUP(Table10[[#This Row],[SKU]],'All Skus'!$A:$AC,2,FALSE))="Martin",(VLOOKUP(Table10[[#This Row],[SKU]],'All Skus'!$A:$AC,18,FALSE)),""))</f>
        <v>1.3779535000000001</v>
      </c>
      <c r="O773" s="227">
        <f>(IF((VLOOKUP(Table10[[#This Row],[SKU]],'All Skus'!$A:$AC,2,FALSE))="Martin",(VLOOKUP(Table10[[#This Row],[SKU]],'All Skus'!$A:$AC,19,FALSE)),""))</f>
        <v>1.3779535000000001</v>
      </c>
      <c r="P773" s="227">
        <f>(IF((VLOOKUP(Table10[[#This Row],[SKU]],'All Skus'!$A:$AC,2,FALSE))="Martin",(VLOOKUP(Table10[[#This Row],[SKU]],'All Skus'!$A:$AC,20,FALSE)),""))</f>
        <v>0</v>
      </c>
      <c r="Q773" s="227">
        <f>(IF((VLOOKUP(Table10[[#This Row],[SKU]],'All Skus'!$A:$AC,2,FALSE))="Martin",(VLOOKUP(Table10[[#This Row],[SKU]],'All Skus'!$A:$AC,21,FALSE)),""))</f>
        <v>0</v>
      </c>
      <c r="R773" s="224" t="str">
        <f>(IF((VLOOKUP(Table10[[#This Row],[SKU]],'All Skus'!$A:$AC,2,FALSE))="Martin",(VLOOKUP(Table10[[#This Row],[SKU]],'All Skus'!$A:$AC,22,FALSE)),""))</f>
        <v>CN</v>
      </c>
      <c r="S773" s="223" t="str">
        <f>(IF((VLOOKUP(Table10[[#This Row],[SKU]],'All Skus'!$A:$AC,2,FALSE))="Martin",(VLOOKUP(Table10[[#This Row],[SKU]],'All Skus'!$A:$AC,23,FALSE)),""))</f>
        <v>Non Compliant</v>
      </c>
      <c r="T773" s="212" t="str">
        <f>HYPERLINK((IF((VLOOKUP(Table10[[#This Row],[SKU]],'All Skus'!$A:$AC,2,FALSE))="Martin",(VLOOKUP(Table10[[#This Row],[SKU]],'All Skus'!$A:$AC,24,FALSE)),"")))</f>
        <v>http://www.martin.com/en-us/product-details/vdo-sceptron-10</v>
      </c>
      <c r="U773" s="228">
        <v>771</v>
      </c>
    </row>
    <row r="774" spans="1:21" hidden="1">
      <c r="A774" s="112">
        <v>91611630</v>
      </c>
      <c r="B774" s="224" t="str">
        <f>(IF((VLOOKUP(Table10[[#This Row],[SKU]],'All Skus'!$A:$AC,2,FALSE))="Martin",(VLOOKUP(Table10[[#This Row],[SKU]],'All Skus'!$A:$AC,3,FALSE)),""))</f>
        <v>LED Video</v>
      </c>
      <c r="C774" s="223" t="str">
        <f>(IF((VLOOKUP(Table10[[#This Row],[SKU]],'All Skus'!$A:$AC,2,FALSE))="Martin",(VLOOKUP(Table10[[#This Row],[SKU]],'All Skus'!$A:$AC,4,FALSE)),""))</f>
        <v>VDO Sceptron Tube Diffuser 320mm</v>
      </c>
      <c r="D774" s="224" t="str">
        <f>(IF((VLOOKUP(Table10[[#This Row],[SKU]],'All Skus'!$A:$AC,2,FALSE))="Martin",(VLOOKUP(Table10[[#This Row],[SKU]],'All Skus'!$A:$AC,5,FALSE)),""))</f>
        <v>MAR-VDO</v>
      </c>
      <c r="E774" s="223">
        <f>(IF((VLOOKUP(Table10[[#This Row],[SKU]],'All Skus'!$A:$AC,2,FALSE))="Martin",(VLOOKUP(Table10[[#This Row],[SKU]],'All Skus'!$A:$AC,6,FALSE)),""))</f>
        <v>0</v>
      </c>
      <c r="F774" s="155">
        <f>(IF((VLOOKUP(Table10[[#This Row],[SKU]],'All Skus'!$A:$AC,2,FALSE))="Martin",(VLOOKUP(Table10[[#This Row],[SKU]],'All Skus'!$A:$AC,7,FALSE)),""))</f>
        <v>0</v>
      </c>
      <c r="G774" s="223" t="str">
        <f>(IF((VLOOKUP(Table10[[#This Row],[SKU]],'All Skus'!$A:$AC,2,FALSE))="Martin",(VLOOKUP(Table10[[#This Row],[SKU]],'All Skus'!$A:$AC,8,FALSE)),""))</f>
        <v>VDO Sceptron Tube Diffuser 320mm</v>
      </c>
      <c r="H774" s="223" t="str">
        <f>(IF((VLOOKUP(Table10[[#This Row],[SKU]],'All Skus'!$A:$AC,2,FALSE))="Martin",(VLOOKUP(Table10[[#This Row],[SKU]],'All Skus'!$A:$AC,9,FALSE)),""))</f>
        <v>VDO Sceptron Tube Diffuser 320mm</v>
      </c>
      <c r="I774" s="225">
        <f>(IF((VLOOKUP(Table10[[#This Row],[SKU]],'All Skus'!$A:$AC,2,FALSE))="Martin",(VLOOKUP(Table10[[#This Row],[SKU]],'All Skus'!$A:$AC,10,FALSE)),""))</f>
        <v>28.4</v>
      </c>
      <c r="J774" s="226">
        <f>(IF((VLOOKUP(Table10[[#This Row],[SKU]],'All Skus'!$A:$AC,2,FALSE))="Martin",(VLOOKUP(Table10[[#This Row],[SKU]],'All Skus'!$A:$AC,11,FALSE)),""))</f>
        <v>28.4</v>
      </c>
      <c r="K774" s="224">
        <f>(IF((VLOOKUP(Table10[[#This Row],[SKU]],'All Skus'!$A:$AC,2,FALSE))="Martin",(VLOOKUP(Table10[[#This Row],[SKU]],'All Skus'!$A:$AC,15,FALSE)),""))</f>
        <v>0</v>
      </c>
      <c r="L774" s="224">
        <f>(IF((VLOOKUP(Table10[[#This Row],[SKU]],'All Skus'!$A:$AC,2,FALSE))="Martin",(VLOOKUP(Table10[[#This Row],[SKU]],'All Skus'!$A:$AC,16,FALSE)),""))</f>
        <v>0</v>
      </c>
      <c r="M774" s="224">
        <f>(IF((VLOOKUP(Table10[[#This Row],[SKU]],'All Skus'!$A:$AC,2,FALSE))="Martin",(VLOOKUP(Table10[[#This Row],[SKU]],'All Skus'!$A:$AC,17,FALSE)),""))</f>
        <v>0</v>
      </c>
      <c r="N774" s="227">
        <f>(IF((VLOOKUP(Table10[[#This Row],[SKU]],'All Skus'!$A:$AC,2,FALSE))="Martin",(VLOOKUP(Table10[[#This Row],[SKU]],'All Skus'!$A:$AC,18,FALSE)),""))</f>
        <v>2.1653555</v>
      </c>
      <c r="O774" s="227">
        <f>(IF((VLOOKUP(Table10[[#This Row],[SKU]],'All Skus'!$A:$AC,2,FALSE))="Martin",(VLOOKUP(Table10[[#This Row],[SKU]],'All Skus'!$A:$AC,19,FALSE)),""))</f>
        <v>2.1653555</v>
      </c>
      <c r="P774" s="227">
        <f>(IF((VLOOKUP(Table10[[#This Row],[SKU]],'All Skus'!$A:$AC,2,FALSE))="Martin",(VLOOKUP(Table10[[#This Row],[SKU]],'All Skus'!$A:$AC,20,FALSE)),""))</f>
        <v>0</v>
      </c>
      <c r="Q774" s="227">
        <f>(IF((VLOOKUP(Table10[[#This Row],[SKU]],'All Skus'!$A:$AC,2,FALSE))="Martin",(VLOOKUP(Table10[[#This Row],[SKU]],'All Skus'!$A:$AC,21,FALSE)),""))</f>
        <v>0</v>
      </c>
      <c r="R774" s="224" t="str">
        <f>(IF((VLOOKUP(Table10[[#This Row],[SKU]],'All Skus'!$A:$AC,2,FALSE))="Martin",(VLOOKUP(Table10[[#This Row],[SKU]],'All Skus'!$A:$AC,22,FALSE)),""))</f>
        <v>CN</v>
      </c>
      <c r="S774" s="223" t="str">
        <f>(IF((VLOOKUP(Table10[[#This Row],[SKU]],'All Skus'!$A:$AC,2,FALSE))="Martin",(VLOOKUP(Table10[[#This Row],[SKU]],'All Skus'!$A:$AC,23,FALSE)),""))</f>
        <v>Non Compliant</v>
      </c>
      <c r="T774" s="212" t="str">
        <f>HYPERLINK((IF((VLOOKUP(Table10[[#This Row],[SKU]],'All Skus'!$A:$AC,2,FALSE))="Martin",(VLOOKUP(Table10[[#This Row],[SKU]],'All Skus'!$A:$AC,24,FALSE)),"")))</f>
        <v>http://www.martin.com/en-us/product-details/vdo-sceptron-10</v>
      </c>
      <c r="U774" s="228">
        <v>772</v>
      </c>
    </row>
    <row r="775" spans="1:21" hidden="1">
      <c r="A775" s="112">
        <v>91611640</v>
      </c>
      <c r="B775" s="224" t="str">
        <f>(IF((VLOOKUP(Table10[[#This Row],[SKU]],'All Skus'!$A:$AC,2,FALSE))="Martin",(VLOOKUP(Table10[[#This Row],[SKU]],'All Skus'!$A:$AC,3,FALSE)),""))</f>
        <v>LED Video</v>
      </c>
      <c r="C775" s="223" t="str">
        <f>(IF((VLOOKUP(Table10[[#This Row],[SKU]],'All Skus'!$A:$AC,2,FALSE))="Martin",(VLOOKUP(Table10[[#This Row],[SKU]],'All Skus'!$A:$AC,4,FALSE)),""))</f>
        <v>VDO Sceptron Tube Diffuser 1000mm</v>
      </c>
      <c r="D775" s="224" t="str">
        <f>(IF((VLOOKUP(Table10[[#This Row],[SKU]],'All Skus'!$A:$AC,2,FALSE))="Martin",(VLOOKUP(Table10[[#This Row],[SKU]],'All Skus'!$A:$AC,5,FALSE)),""))</f>
        <v>MAR-VDO</v>
      </c>
      <c r="E775" s="223">
        <f>(IF((VLOOKUP(Table10[[#This Row],[SKU]],'All Skus'!$A:$AC,2,FALSE))="Martin",(VLOOKUP(Table10[[#This Row],[SKU]],'All Skus'!$A:$AC,6,FALSE)),""))</f>
        <v>0</v>
      </c>
      <c r="F775" s="155">
        <f>(IF((VLOOKUP(Table10[[#This Row],[SKU]],'All Skus'!$A:$AC,2,FALSE))="Martin",(VLOOKUP(Table10[[#This Row],[SKU]],'All Skus'!$A:$AC,7,FALSE)),""))</f>
        <v>0</v>
      </c>
      <c r="G775" s="223" t="str">
        <f>(IF((VLOOKUP(Table10[[#This Row],[SKU]],'All Skus'!$A:$AC,2,FALSE))="Martin",(VLOOKUP(Table10[[#This Row],[SKU]],'All Skus'!$A:$AC,8,FALSE)),""))</f>
        <v>VDO Sceptron Tube Diffuser 1000mm</v>
      </c>
      <c r="H775" s="223" t="str">
        <f>(IF((VLOOKUP(Table10[[#This Row],[SKU]],'All Skus'!$A:$AC,2,FALSE))="Martin",(VLOOKUP(Table10[[#This Row],[SKU]],'All Skus'!$A:$AC,9,FALSE)),""))</f>
        <v>VDO Sceptron Tube Diffuser 1000mm</v>
      </c>
      <c r="I775" s="225">
        <f>(IF((VLOOKUP(Table10[[#This Row],[SKU]],'All Skus'!$A:$AC,2,FALSE))="Martin",(VLOOKUP(Table10[[#This Row],[SKU]],'All Skus'!$A:$AC,10,FALSE)),""))</f>
        <v>34.57</v>
      </c>
      <c r="J775" s="226">
        <f>(IF((VLOOKUP(Table10[[#This Row],[SKU]],'All Skus'!$A:$AC,2,FALSE))="Martin",(VLOOKUP(Table10[[#This Row],[SKU]],'All Skus'!$A:$AC,11,FALSE)),""))</f>
        <v>34.57</v>
      </c>
      <c r="K775" s="224">
        <f>(IF((VLOOKUP(Table10[[#This Row],[SKU]],'All Skus'!$A:$AC,2,FALSE))="Martin",(VLOOKUP(Table10[[#This Row],[SKU]],'All Skus'!$A:$AC,15,FALSE)),""))</f>
        <v>0</v>
      </c>
      <c r="L775" s="224">
        <f>(IF((VLOOKUP(Table10[[#This Row],[SKU]],'All Skus'!$A:$AC,2,FALSE))="Martin",(VLOOKUP(Table10[[#This Row],[SKU]],'All Skus'!$A:$AC,16,FALSE)),""))</f>
        <v>0</v>
      </c>
      <c r="M775" s="224">
        <f>(IF((VLOOKUP(Table10[[#This Row],[SKU]],'All Skus'!$A:$AC,2,FALSE))="Martin",(VLOOKUP(Table10[[#This Row],[SKU]],'All Skus'!$A:$AC,17,FALSE)),""))</f>
        <v>0</v>
      </c>
      <c r="N775" s="227">
        <f>(IF((VLOOKUP(Table10[[#This Row],[SKU]],'All Skus'!$A:$AC,2,FALSE))="Martin",(VLOOKUP(Table10[[#This Row],[SKU]],'All Skus'!$A:$AC,18,FALSE)),""))</f>
        <v>2.1653555</v>
      </c>
      <c r="O775" s="227">
        <f>(IF((VLOOKUP(Table10[[#This Row],[SKU]],'All Skus'!$A:$AC,2,FALSE))="Martin",(VLOOKUP(Table10[[#This Row],[SKU]],'All Skus'!$A:$AC,19,FALSE)),""))</f>
        <v>2.1653555</v>
      </c>
      <c r="P775" s="227">
        <f>(IF((VLOOKUP(Table10[[#This Row],[SKU]],'All Skus'!$A:$AC,2,FALSE))="Martin",(VLOOKUP(Table10[[#This Row],[SKU]],'All Skus'!$A:$AC,20,FALSE)),""))</f>
        <v>0</v>
      </c>
      <c r="Q775" s="227">
        <f>(IF((VLOOKUP(Table10[[#This Row],[SKU]],'All Skus'!$A:$AC,2,FALSE))="Martin",(VLOOKUP(Table10[[#This Row],[SKU]],'All Skus'!$A:$AC,21,FALSE)),""))</f>
        <v>0</v>
      </c>
      <c r="R775" s="224" t="str">
        <f>(IF((VLOOKUP(Table10[[#This Row],[SKU]],'All Skus'!$A:$AC,2,FALSE))="Martin",(VLOOKUP(Table10[[#This Row],[SKU]],'All Skus'!$A:$AC,22,FALSE)),""))</f>
        <v>CN</v>
      </c>
      <c r="S775" s="223" t="str">
        <f>(IF((VLOOKUP(Table10[[#This Row],[SKU]],'All Skus'!$A:$AC,2,FALSE))="Martin",(VLOOKUP(Table10[[#This Row],[SKU]],'All Skus'!$A:$AC,23,FALSE)),""))</f>
        <v>Non Compliant</v>
      </c>
      <c r="T775" s="212" t="str">
        <f>HYPERLINK((IF((VLOOKUP(Table10[[#This Row],[SKU]],'All Skus'!$A:$AC,2,FALSE))="Martin",(VLOOKUP(Table10[[#This Row],[SKU]],'All Skus'!$A:$AC,24,FALSE)),"")))</f>
        <v>http://www.martin.com/en-us/product-details/vdo-sceptron-10</v>
      </c>
      <c r="U775" s="228">
        <v>773</v>
      </c>
    </row>
    <row r="776" spans="1:21" hidden="1">
      <c r="A776" s="112">
        <v>91611650</v>
      </c>
      <c r="B776" s="224" t="str">
        <f>(IF((VLOOKUP(Table10[[#This Row],[SKU]],'All Skus'!$A:$AC,2,FALSE))="Martin",(VLOOKUP(Table10[[#This Row],[SKU]],'All Skus'!$A:$AC,3,FALSE)),""))</f>
        <v>LED Video</v>
      </c>
      <c r="C776" s="223" t="str">
        <f>(IF((VLOOKUP(Table10[[#This Row],[SKU]],'All Skus'!$A:$AC,2,FALSE))="Martin",(VLOOKUP(Table10[[#This Row],[SKU]],'All Skus'!$A:$AC,4,FALSE)),""))</f>
        <v>VDO Sceptron Tube Smoked Diffuser 320mm</v>
      </c>
      <c r="D776" s="224" t="str">
        <f>(IF((VLOOKUP(Table10[[#This Row],[SKU]],'All Skus'!$A:$AC,2,FALSE))="Martin",(VLOOKUP(Table10[[#This Row],[SKU]],'All Skus'!$A:$AC,5,FALSE)),""))</f>
        <v>MAR-VDO</v>
      </c>
      <c r="E776" s="223">
        <f>(IF((VLOOKUP(Table10[[#This Row],[SKU]],'All Skus'!$A:$AC,2,FALSE))="Martin",(VLOOKUP(Table10[[#This Row],[SKU]],'All Skus'!$A:$AC,6,FALSE)),""))</f>
        <v>0</v>
      </c>
      <c r="F776" s="155">
        <f>(IF((VLOOKUP(Table10[[#This Row],[SKU]],'All Skus'!$A:$AC,2,FALSE))="Martin",(VLOOKUP(Table10[[#This Row],[SKU]],'All Skus'!$A:$AC,7,FALSE)),""))</f>
        <v>0</v>
      </c>
      <c r="G776" s="223" t="str">
        <f>(IF((VLOOKUP(Table10[[#This Row],[SKU]],'All Skus'!$A:$AC,2,FALSE))="Martin",(VLOOKUP(Table10[[#This Row],[SKU]],'All Skus'!$A:$AC,8,FALSE)),""))</f>
        <v>VDO Sceptron Tube Smoked Diffuser 320mm</v>
      </c>
      <c r="H776" s="223" t="str">
        <f>(IF((VLOOKUP(Table10[[#This Row],[SKU]],'All Skus'!$A:$AC,2,FALSE))="Martin",(VLOOKUP(Table10[[#This Row],[SKU]],'All Skus'!$A:$AC,9,FALSE)),""))</f>
        <v>VDO Sceptron Tube Smoked Diffuser 320mm</v>
      </c>
      <c r="I776" s="225">
        <f>(IF((VLOOKUP(Table10[[#This Row],[SKU]],'All Skus'!$A:$AC,2,FALSE))="Martin",(VLOOKUP(Table10[[#This Row],[SKU]],'All Skus'!$A:$AC,10,FALSE)),""))</f>
        <v>28.4</v>
      </c>
      <c r="J776" s="226">
        <f>(IF((VLOOKUP(Table10[[#This Row],[SKU]],'All Skus'!$A:$AC,2,FALSE))="Martin",(VLOOKUP(Table10[[#This Row],[SKU]],'All Skus'!$A:$AC,11,FALSE)),""))</f>
        <v>28.4</v>
      </c>
      <c r="K776" s="224">
        <f>(IF((VLOOKUP(Table10[[#This Row],[SKU]],'All Skus'!$A:$AC,2,FALSE))="Martin",(VLOOKUP(Table10[[#This Row],[SKU]],'All Skus'!$A:$AC,15,FALSE)),""))</f>
        <v>0</v>
      </c>
      <c r="L776" s="224">
        <f>(IF((VLOOKUP(Table10[[#This Row],[SKU]],'All Skus'!$A:$AC,2,FALSE))="Martin",(VLOOKUP(Table10[[#This Row],[SKU]],'All Skus'!$A:$AC,16,FALSE)),""))</f>
        <v>0</v>
      </c>
      <c r="M776" s="224">
        <f>(IF((VLOOKUP(Table10[[#This Row],[SKU]],'All Skus'!$A:$AC,2,FALSE))="Martin",(VLOOKUP(Table10[[#This Row],[SKU]],'All Skus'!$A:$AC,17,FALSE)),""))</f>
        <v>0</v>
      </c>
      <c r="N776" s="227">
        <f>(IF((VLOOKUP(Table10[[#This Row],[SKU]],'All Skus'!$A:$AC,2,FALSE))="Martin",(VLOOKUP(Table10[[#This Row],[SKU]],'All Skus'!$A:$AC,18,FALSE)),""))</f>
        <v>2.1653555</v>
      </c>
      <c r="O776" s="227">
        <f>(IF((VLOOKUP(Table10[[#This Row],[SKU]],'All Skus'!$A:$AC,2,FALSE))="Martin",(VLOOKUP(Table10[[#This Row],[SKU]],'All Skus'!$A:$AC,19,FALSE)),""))</f>
        <v>2.1653555</v>
      </c>
      <c r="P776" s="227">
        <f>(IF((VLOOKUP(Table10[[#This Row],[SKU]],'All Skus'!$A:$AC,2,FALSE))="Martin",(VLOOKUP(Table10[[#This Row],[SKU]],'All Skus'!$A:$AC,20,FALSE)),""))</f>
        <v>0</v>
      </c>
      <c r="Q776" s="227">
        <f>(IF((VLOOKUP(Table10[[#This Row],[SKU]],'All Skus'!$A:$AC,2,FALSE))="Martin",(VLOOKUP(Table10[[#This Row],[SKU]],'All Skus'!$A:$AC,21,FALSE)),""))</f>
        <v>0</v>
      </c>
      <c r="R776" s="224" t="str">
        <f>(IF((VLOOKUP(Table10[[#This Row],[SKU]],'All Skus'!$A:$AC,2,FALSE))="Martin",(VLOOKUP(Table10[[#This Row],[SKU]],'All Skus'!$A:$AC,22,FALSE)),""))</f>
        <v>CN</v>
      </c>
      <c r="S776" s="223" t="str">
        <f>(IF((VLOOKUP(Table10[[#This Row],[SKU]],'All Skus'!$A:$AC,2,FALSE))="Martin",(VLOOKUP(Table10[[#This Row],[SKU]],'All Skus'!$A:$AC,23,FALSE)),""))</f>
        <v>Non Compliant</v>
      </c>
      <c r="T776" s="212" t="str">
        <f>HYPERLINK((IF((VLOOKUP(Table10[[#This Row],[SKU]],'All Skus'!$A:$AC,2,FALSE))="Martin",(VLOOKUP(Table10[[#This Row],[SKU]],'All Skus'!$A:$AC,24,FALSE)),"")))</f>
        <v>http://www.martin.com/en-us/product-details/vdo-sceptron-10</v>
      </c>
      <c r="U776" s="228">
        <v>774</v>
      </c>
    </row>
    <row r="777" spans="1:21" hidden="1">
      <c r="A777" s="112">
        <v>91611660</v>
      </c>
      <c r="B777" s="224" t="str">
        <f>(IF((VLOOKUP(Table10[[#This Row],[SKU]],'All Skus'!$A:$AC,2,FALSE))="Martin",(VLOOKUP(Table10[[#This Row],[SKU]],'All Skus'!$A:$AC,3,FALSE)),""))</f>
        <v>LED Video</v>
      </c>
      <c r="C777" s="223" t="str">
        <f>(IF((VLOOKUP(Table10[[#This Row],[SKU]],'All Skus'!$A:$AC,2,FALSE))="Martin",(VLOOKUP(Table10[[#This Row],[SKU]],'All Skus'!$A:$AC,4,FALSE)),""))</f>
        <v>VDO Sceptron Tube Smoked Diffuser 1000mm</v>
      </c>
      <c r="D777" s="224" t="str">
        <f>(IF((VLOOKUP(Table10[[#This Row],[SKU]],'All Skus'!$A:$AC,2,FALSE))="Martin",(VLOOKUP(Table10[[#This Row],[SKU]],'All Skus'!$A:$AC,5,FALSE)),""))</f>
        <v>MAR-VDO</v>
      </c>
      <c r="E777" s="223">
        <f>(IF((VLOOKUP(Table10[[#This Row],[SKU]],'All Skus'!$A:$AC,2,FALSE))="Martin",(VLOOKUP(Table10[[#This Row],[SKU]],'All Skus'!$A:$AC,6,FALSE)),""))</f>
        <v>0</v>
      </c>
      <c r="F777" s="155">
        <f>(IF((VLOOKUP(Table10[[#This Row],[SKU]],'All Skus'!$A:$AC,2,FALSE))="Martin",(VLOOKUP(Table10[[#This Row],[SKU]],'All Skus'!$A:$AC,7,FALSE)),""))</f>
        <v>0</v>
      </c>
      <c r="G777" s="223" t="str">
        <f>(IF((VLOOKUP(Table10[[#This Row],[SKU]],'All Skus'!$A:$AC,2,FALSE))="Martin",(VLOOKUP(Table10[[#This Row],[SKU]],'All Skus'!$A:$AC,8,FALSE)),""))</f>
        <v>VDO Sceptron Tube Smoked Diffuser 1000mm</v>
      </c>
      <c r="H777" s="223" t="str">
        <f>(IF((VLOOKUP(Table10[[#This Row],[SKU]],'All Skus'!$A:$AC,2,FALSE))="Martin",(VLOOKUP(Table10[[#This Row],[SKU]],'All Skus'!$A:$AC,9,FALSE)),""))</f>
        <v>VDO Sceptron Tube Smoked Diffuser 1000mm</v>
      </c>
      <c r="I777" s="225">
        <f>(IF((VLOOKUP(Table10[[#This Row],[SKU]],'All Skus'!$A:$AC,2,FALSE))="Martin",(VLOOKUP(Table10[[#This Row],[SKU]],'All Skus'!$A:$AC,10,FALSE)),""))</f>
        <v>34.57</v>
      </c>
      <c r="J777" s="226">
        <f>(IF((VLOOKUP(Table10[[#This Row],[SKU]],'All Skus'!$A:$AC,2,FALSE))="Martin",(VLOOKUP(Table10[[#This Row],[SKU]],'All Skus'!$A:$AC,11,FALSE)),""))</f>
        <v>34.57</v>
      </c>
      <c r="K777" s="224">
        <f>(IF((VLOOKUP(Table10[[#This Row],[SKU]],'All Skus'!$A:$AC,2,FALSE))="Martin",(VLOOKUP(Table10[[#This Row],[SKU]],'All Skus'!$A:$AC,15,FALSE)),""))</f>
        <v>0</v>
      </c>
      <c r="L777" s="224">
        <f>(IF((VLOOKUP(Table10[[#This Row],[SKU]],'All Skus'!$A:$AC,2,FALSE))="Martin",(VLOOKUP(Table10[[#This Row],[SKU]],'All Skus'!$A:$AC,16,FALSE)),""))</f>
        <v>0</v>
      </c>
      <c r="M777" s="224">
        <f>(IF((VLOOKUP(Table10[[#This Row],[SKU]],'All Skus'!$A:$AC,2,FALSE))="Martin",(VLOOKUP(Table10[[#This Row],[SKU]],'All Skus'!$A:$AC,17,FALSE)),""))</f>
        <v>0</v>
      </c>
      <c r="N777" s="227">
        <f>(IF((VLOOKUP(Table10[[#This Row],[SKU]],'All Skus'!$A:$AC,2,FALSE))="Martin",(VLOOKUP(Table10[[#This Row],[SKU]],'All Skus'!$A:$AC,18,FALSE)),""))</f>
        <v>2.1653555</v>
      </c>
      <c r="O777" s="227">
        <f>(IF((VLOOKUP(Table10[[#This Row],[SKU]],'All Skus'!$A:$AC,2,FALSE))="Martin",(VLOOKUP(Table10[[#This Row],[SKU]],'All Skus'!$A:$AC,19,FALSE)),""))</f>
        <v>2.1653555</v>
      </c>
      <c r="P777" s="227">
        <f>(IF((VLOOKUP(Table10[[#This Row],[SKU]],'All Skus'!$A:$AC,2,FALSE))="Martin",(VLOOKUP(Table10[[#This Row],[SKU]],'All Skus'!$A:$AC,20,FALSE)),""))</f>
        <v>0</v>
      </c>
      <c r="Q777" s="227">
        <f>(IF((VLOOKUP(Table10[[#This Row],[SKU]],'All Skus'!$A:$AC,2,FALSE))="Martin",(VLOOKUP(Table10[[#This Row],[SKU]],'All Skus'!$A:$AC,21,FALSE)),""))</f>
        <v>0</v>
      </c>
      <c r="R777" s="224" t="str">
        <f>(IF((VLOOKUP(Table10[[#This Row],[SKU]],'All Skus'!$A:$AC,2,FALSE))="Martin",(VLOOKUP(Table10[[#This Row],[SKU]],'All Skus'!$A:$AC,22,FALSE)),""))</f>
        <v>CN</v>
      </c>
      <c r="S777" s="223" t="str">
        <f>(IF((VLOOKUP(Table10[[#This Row],[SKU]],'All Skus'!$A:$AC,2,FALSE))="Martin",(VLOOKUP(Table10[[#This Row],[SKU]],'All Skus'!$A:$AC,23,FALSE)),""))</f>
        <v>Non Compliant</v>
      </c>
      <c r="T777" s="212" t="str">
        <f>HYPERLINK((IF((VLOOKUP(Table10[[#This Row],[SKU]],'All Skus'!$A:$AC,2,FALSE))="Martin",(VLOOKUP(Table10[[#This Row],[SKU]],'All Skus'!$A:$AC,24,FALSE)),"")))</f>
        <v>http://www.martin.com/en-us/product-details/vdo-sceptron-10</v>
      </c>
      <c r="U777" s="228">
        <v>775</v>
      </c>
    </row>
    <row r="778" spans="1:21" hidden="1">
      <c r="A778" s="112">
        <v>91610126</v>
      </c>
      <c r="B778" s="224" t="str">
        <f>(IF((VLOOKUP(Table10[[#This Row],[SKU]],'All Skus'!$A:$AC,2,FALSE))="Martin",(VLOOKUP(Table10[[#This Row],[SKU]],'All Skus'!$A:$AC,3,FALSE)),""))</f>
        <v>LED Video</v>
      </c>
      <c r="C778" s="223" t="str">
        <f>(IF((VLOOKUP(Table10[[#This Row],[SKU]],'All Skus'!$A:$AC,2,FALSE))="Martin",(VLOOKUP(Table10[[#This Row],[SKU]],'All Skus'!$A:$AC,4,FALSE)),""))</f>
        <v>VDO Sceptron 10 NoBlend Diffuser 320mm</v>
      </c>
      <c r="D778" s="224" t="str">
        <f>(IF((VLOOKUP(Table10[[#This Row],[SKU]],'All Skus'!$A:$AC,2,FALSE))="Martin",(VLOOKUP(Table10[[#This Row],[SKU]],'All Skus'!$A:$AC,5,FALSE)),""))</f>
        <v>MAR-VDO</v>
      </c>
      <c r="E778" s="223">
        <f>(IF((VLOOKUP(Table10[[#This Row],[SKU]],'All Skus'!$A:$AC,2,FALSE))="Martin",(VLOOKUP(Table10[[#This Row],[SKU]],'All Skus'!$A:$AC,6,FALSE)),""))</f>
        <v>0</v>
      </c>
      <c r="F778" s="155">
        <f>(IF((VLOOKUP(Table10[[#This Row],[SKU]],'All Skus'!$A:$AC,2,FALSE))="Martin",(VLOOKUP(Table10[[#This Row],[SKU]],'All Skus'!$A:$AC,7,FALSE)),""))</f>
        <v>0</v>
      </c>
      <c r="G778" s="223" t="str">
        <f>(IF((VLOOKUP(Table10[[#This Row],[SKU]],'All Skus'!$A:$AC,2,FALSE))="Martin",(VLOOKUP(Table10[[#This Row],[SKU]],'All Skus'!$A:$AC,8,FALSE)),""))</f>
        <v>VDO Sceptron 10 NoBlend Diffuser 320mm</v>
      </c>
      <c r="H778" s="223" t="str">
        <f>(IF((VLOOKUP(Table10[[#This Row],[SKU]],'All Skus'!$A:$AC,2,FALSE))="Martin",(VLOOKUP(Table10[[#This Row],[SKU]],'All Skus'!$A:$AC,9,FALSE)),""))</f>
        <v>VDO Sceptron 10 NoBlend Diffuser 320mm</v>
      </c>
      <c r="I778" s="225">
        <f>(IF((VLOOKUP(Table10[[#This Row],[SKU]],'All Skus'!$A:$AC,2,FALSE))="Martin",(VLOOKUP(Table10[[#This Row],[SKU]],'All Skus'!$A:$AC,10,FALSE)),""))</f>
        <v>59.27</v>
      </c>
      <c r="J778" s="226">
        <f>(IF((VLOOKUP(Table10[[#This Row],[SKU]],'All Skus'!$A:$AC,2,FALSE))="Martin",(VLOOKUP(Table10[[#This Row],[SKU]],'All Skus'!$A:$AC,11,FALSE)),""))</f>
        <v>59.27</v>
      </c>
      <c r="K778" s="224">
        <f>(IF((VLOOKUP(Table10[[#This Row],[SKU]],'All Skus'!$A:$AC,2,FALSE))="Martin",(VLOOKUP(Table10[[#This Row],[SKU]],'All Skus'!$A:$AC,15,FALSE)),""))</f>
        <v>0</v>
      </c>
      <c r="L778" s="224">
        <f>(IF((VLOOKUP(Table10[[#This Row],[SKU]],'All Skus'!$A:$AC,2,FALSE))="Martin",(VLOOKUP(Table10[[#This Row],[SKU]],'All Skus'!$A:$AC,16,FALSE)),""))</f>
        <v>0</v>
      </c>
      <c r="M778" s="224">
        <f>(IF((VLOOKUP(Table10[[#This Row],[SKU]],'All Skus'!$A:$AC,2,FALSE))="Martin",(VLOOKUP(Table10[[#This Row],[SKU]],'All Skus'!$A:$AC,17,FALSE)),""))</f>
        <v>0</v>
      </c>
      <c r="N778" s="227">
        <f>(IF((VLOOKUP(Table10[[#This Row],[SKU]],'All Skus'!$A:$AC,2,FALSE))="Martin",(VLOOKUP(Table10[[#This Row],[SKU]],'All Skus'!$A:$AC,18,FALSE)),""))</f>
        <v>0</v>
      </c>
      <c r="O778" s="227">
        <f>(IF((VLOOKUP(Table10[[#This Row],[SKU]],'All Skus'!$A:$AC,2,FALSE))="Martin",(VLOOKUP(Table10[[#This Row],[SKU]],'All Skus'!$A:$AC,19,FALSE)),""))</f>
        <v>0</v>
      </c>
      <c r="P778" s="227">
        <f>(IF((VLOOKUP(Table10[[#This Row],[SKU]],'All Skus'!$A:$AC,2,FALSE))="Martin",(VLOOKUP(Table10[[#This Row],[SKU]],'All Skus'!$A:$AC,20,FALSE)),""))</f>
        <v>0</v>
      </c>
      <c r="Q778" s="227">
        <f>(IF((VLOOKUP(Table10[[#This Row],[SKU]],'All Skus'!$A:$AC,2,FALSE))="Martin",(VLOOKUP(Table10[[#This Row],[SKU]],'All Skus'!$A:$AC,21,FALSE)),""))</f>
        <v>0</v>
      </c>
      <c r="R778" s="224" t="str">
        <f>(IF((VLOOKUP(Table10[[#This Row],[SKU]],'All Skus'!$A:$AC,2,FALSE))="Martin",(VLOOKUP(Table10[[#This Row],[SKU]],'All Skus'!$A:$AC,22,FALSE)),""))</f>
        <v>CN</v>
      </c>
      <c r="S778" s="223" t="str">
        <f>(IF((VLOOKUP(Table10[[#This Row],[SKU]],'All Skus'!$A:$AC,2,FALSE))="Martin",(VLOOKUP(Table10[[#This Row],[SKU]],'All Skus'!$A:$AC,23,FALSE)),""))</f>
        <v>Non Compliant</v>
      </c>
      <c r="T778" s="212" t="str">
        <f>HYPERLINK((IF((VLOOKUP(Table10[[#This Row],[SKU]],'All Skus'!$A:$AC,2,FALSE))="Martin",(VLOOKUP(Table10[[#This Row],[SKU]],'All Skus'!$A:$AC,24,FALSE)),"")))</f>
        <v>http://www.martin.com/en-us/product-details/vdo-sceptron-10</v>
      </c>
      <c r="U778" s="228">
        <v>776</v>
      </c>
    </row>
    <row r="779" spans="1:21" hidden="1">
      <c r="A779" s="112">
        <v>91610127</v>
      </c>
      <c r="B779" s="224" t="str">
        <f>(IF((VLOOKUP(Table10[[#This Row],[SKU]],'All Skus'!$A:$AC,2,FALSE))="Martin",(VLOOKUP(Table10[[#This Row],[SKU]],'All Skus'!$A:$AC,3,FALSE)),""))</f>
        <v>LED Video</v>
      </c>
      <c r="C779" s="223" t="str">
        <f>(IF((VLOOKUP(Table10[[#This Row],[SKU]],'All Skus'!$A:$AC,2,FALSE))="Martin",(VLOOKUP(Table10[[#This Row],[SKU]],'All Skus'!$A:$AC,4,FALSE)),""))</f>
        <v>VDO Sceptron 10 NoBlend Diffuser 1000mm</v>
      </c>
      <c r="D779" s="224" t="str">
        <f>(IF((VLOOKUP(Table10[[#This Row],[SKU]],'All Skus'!$A:$AC,2,FALSE))="Martin",(VLOOKUP(Table10[[#This Row],[SKU]],'All Skus'!$A:$AC,5,FALSE)),""))</f>
        <v>MAR-VDO</v>
      </c>
      <c r="E779" s="223">
        <f>(IF((VLOOKUP(Table10[[#This Row],[SKU]],'All Skus'!$A:$AC,2,FALSE))="Martin",(VLOOKUP(Table10[[#This Row],[SKU]],'All Skus'!$A:$AC,6,FALSE)),""))</f>
        <v>0</v>
      </c>
      <c r="F779" s="155">
        <f>(IF((VLOOKUP(Table10[[#This Row],[SKU]],'All Skus'!$A:$AC,2,FALSE))="Martin",(VLOOKUP(Table10[[#This Row],[SKU]],'All Skus'!$A:$AC,7,FALSE)),""))</f>
        <v>0</v>
      </c>
      <c r="G779" s="223" t="str">
        <f>(IF((VLOOKUP(Table10[[#This Row],[SKU]],'All Skus'!$A:$AC,2,FALSE))="Martin",(VLOOKUP(Table10[[#This Row],[SKU]],'All Skus'!$A:$AC,8,FALSE)),""))</f>
        <v>VDO Sceptron 10 NoBlend Diffuser 1000mm</v>
      </c>
      <c r="H779" s="223" t="str">
        <f>(IF((VLOOKUP(Table10[[#This Row],[SKU]],'All Skus'!$A:$AC,2,FALSE))="Martin",(VLOOKUP(Table10[[#This Row],[SKU]],'All Skus'!$A:$AC,9,FALSE)),""))</f>
        <v>VDO Sceptron 10 NoBlend Diffuser 1000mm</v>
      </c>
      <c r="I779" s="225">
        <f>(IF((VLOOKUP(Table10[[#This Row],[SKU]],'All Skus'!$A:$AC,2,FALSE))="Martin",(VLOOKUP(Table10[[#This Row],[SKU]],'All Skus'!$A:$AC,10,FALSE)),""))</f>
        <v>206.21</v>
      </c>
      <c r="J779" s="226">
        <f>(IF((VLOOKUP(Table10[[#This Row],[SKU]],'All Skus'!$A:$AC,2,FALSE))="Martin",(VLOOKUP(Table10[[#This Row],[SKU]],'All Skus'!$A:$AC,11,FALSE)),""))</f>
        <v>206.21</v>
      </c>
      <c r="K779" s="224">
        <f>(IF((VLOOKUP(Table10[[#This Row],[SKU]],'All Skus'!$A:$AC,2,FALSE))="Martin",(VLOOKUP(Table10[[#This Row],[SKU]],'All Skus'!$A:$AC,15,FALSE)),""))</f>
        <v>0</v>
      </c>
      <c r="L779" s="224">
        <f>(IF((VLOOKUP(Table10[[#This Row],[SKU]],'All Skus'!$A:$AC,2,FALSE))="Martin",(VLOOKUP(Table10[[#This Row],[SKU]],'All Skus'!$A:$AC,16,FALSE)),""))</f>
        <v>0</v>
      </c>
      <c r="M779" s="224">
        <f>(IF((VLOOKUP(Table10[[#This Row],[SKU]],'All Skus'!$A:$AC,2,FALSE))="Martin",(VLOOKUP(Table10[[#This Row],[SKU]],'All Skus'!$A:$AC,17,FALSE)),""))</f>
        <v>0</v>
      </c>
      <c r="N779" s="227">
        <f>(IF((VLOOKUP(Table10[[#This Row],[SKU]],'All Skus'!$A:$AC,2,FALSE))="Martin",(VLOOKUP(Table10[[#This Row],[SKU]],'All Skus'!$A:$AC,18,FALSE)),""))</f>
        <v>0</v>
      </c>
      <c r="O779" s="227">
        <f>(IF((VLOOKUP(Table10[[#This Row],[SKU]],'All Skus'!$A:$AC,2,FALSE))="Martin",(VLOOKUP(Table10[[#This Row],[SKU]],'All Skus'!$A:$AC,19,FALSE)),""))</f>
        <v>0</v>
      </c>
      <c r="P779" s="227">
        <f>(IF((VLOOKUP(Table10[[#This Row],[SKU]],'All Skus'!$A:$AC,2,FALSE))="Martin",(VLOOKUP(Table10[[#This Row],[SKU]],'All Skus'!$A:$AC,20,FALSE)),""))</f>
        <v>0</v>
      </c>
      <c r="Q779" s="227">
        <f>(IF((VLOOKUP(Table10[[#This Row],[SKU]],'All Skus'!$A:$AC,2,FALSE))="Martin",(VLOOKUP(Table10[[#This Row],[SKU]],'All Skus'!$A:$AC,21,FALSE)),""))</f>
        <v>0</v>
      </c>
      <c r="R779" s="224" t="str">
        <f>(IF((VLOOKUP(Table10[[#This Row],[SKU]],'All Skus'!$A:$AC,2,FALSE))="Martin",(VLOOKUP(Table10[[#This Row],[SKU]],'All Skus'!$A:$AC,22,FALSE)),""))</f>
        <v>CN</v>
      </c>
      <c r="S779" s="223" t="str">
        <f>(IF((VLOOKUP(Table10[[#This Row],[SKU]],'All Skus'!$A:$AC,2,FALSE))="Martin",(VLOOKUP(Table10[[#This Row],[SKU]],'All Skus'!$A:$AC,23,FALSE)),""))</f>
        <v>Non Compliant</v>
      </c>
      <c r="T779" s="212" t="str">
        <f>HYPERLINK((IF((VLOOKUP(Table10[[#This Row],[SKU]],'All Skus'!$A:$AC,2,FALSE))="Martin",(VLOOKUP(Table10[[#This Row],[SKU]],'All Skus'!$A:$AC,24,FALSE)),"")))</f>
        <v>http://www.martin.com/en-us/product-details/vdo-sceptron-10</v>
      </c>
      <c r="U779" s="228">
        <v>777</v>
      </c>
    </row>
    <row r="780" spans="1:21" hidden="1">
      <c r="A780" s="112">
        <v>91610128</v>
      </c>
      <c r="B780" s="224" t="str">
        <f>(IF((VLOOKUP(Table10[[#This Row],[SKU]],'All Skus'!$A:$AC,2,FALSE))="Martin",(VLOOKUP(Table10[[#This Row],[SKU]],'All Skus'!$A:$AC,3,FALSE)),""))</f>
        <v>LED Video</v>
      </c>
      <c r="C780" s="223" t="str">
        <f>(IF((VLOOKUP(Table10[[#This Row],[SKU]],'All Skus'!$A:$AC,2,FALSE))="Martin",(VLOOKUP(Table10[[#This Row],[SKU]],'All Skus'!$A:$AC,4,FALSE)),""))</f>
        <v>VDO Sceptron 10 NoBlend Smok Dif. 320mm</v>
      </c>
      <c r="D780" s="224" t="str">
        <f>(IF((VLOOKUP(Table10[[#This Row],[SKU]],'All Skus'!$A:$AC,2,FALSE))="Martin",(VLOOKUP(Table10[[#This Row],[SKU]],'All Skus'!$A:$AC,5,FALSE)),""))</f>
        <v>MAR-VDO</v>
      </c>
      <c r="E780" s="223">
        <f>(IF((VLOOKUP(Table10[[#This Row],[SKU]],'All Skus'!$A:$AC,2,FALSE))="Martin",(VLOOKUP(Table10[[#This Row],[SKU]],'All Skus'!$A:$AC,6,FALSE)),""))</f>
        <v>0</v>
      </c>
      <c r="F780" s="155">
        <f>(IF((VLOOKUP(Table10[[#This Row],[SKU]],'All Skus'!$A:$AC,2,FALSE))="Martin",(VLOOKUP(Table10[[#This Row],[SKU]],'All Skus'!$A:$AC,7,FALSE)),""))</f>
        <v>0</v>
      </c>
      <c r="G780" s="223" t="str">
        <f>(IF((VLOOKUP(Table10[[#This Row],[SKU]],'All Skus'!$A:$AC,2,FALSE))="Martin",(VLOOKUP(Table10[[#This Row],[SKU]],'All Skus'!$A:$AC,8,FALSE)),""))</f>
        <v>VDO Sceptron 10 NoBlend Smok Dif. 320mm</v>
      </c>
      <c r="H780" s="223" t="str">
        <f>(IF((VLOOKUP(Table10[[#This Row],[SKU]],'All Skus'!$A:$AC,2,FALSE))="Martin",(VLOOKUP(Table10[[#This Row],[SKU]],'All Skus'!$A:$AC,9,FALSE)),""))</f>
        <v>VDO Sceptron 10 NoBlend Smok Dif. 320mm</v>
      </c>
      <c r="I780" s="225">
        <f>(IF((VLOOKUP(Table10[[#This Row],[SKU]],'All Skus'!$A:$AC,2,FALSE))="Martin",(VLOOKUP(Table10[[#This Row],[SKU]],'All Skus'!$A:$AC,10,FALSE)),""))</f>
        <v>59.27</v>
      </c>
      <c r="J780" s="226">
        <f>(IF((VLOOKUP(Table10[[#This Row],[SKU]],'All Skus'!$A:$AC,2,FALSE))="Martin",(VLOOKUP(Table10[[#This Row],[SKU]],'All Skus'!$A:$AC,11,FALSE)),""))</f>
        <v>59.27</v>
      </c>
      <c r="K780" s="224">
        <f>(IF((VLOOKUP(Table10[[#This Row],[SKU]],'All Skus'!$A:$AC,2,FALSE))="Martin",(VLOOKUP(Table10[[#This Row],[SKU]],'All Skus'!$A:$AC,15,FALSE)),""))</f>
        <v>0</v>
      </c>
      <c r="L780" s="224">
        <f>(IF((VLOOKUP(Table10[[#This Row],[SKU]],'All Skus'!$A:$AC,2,FALSE))="Martin",(VLOOKUP(Table10[[#This Row],[SKU]],'All Skus'!$A:$AC,16,FALSE)),""))</f>
        <v>0</v>
      </c>
      <c r="M780" s="224">
        <f>(IF((VLOOKUP(Table10[[#This Row],[SKU]],'All Skus'!$A:$AC,2,FALSE))="Martin",(VLOOKUP(Table10[[#This Row],[SKU]],'All Skus'!$A:$AC,17,FALSE)),""))</f>
        <v>0</v>
      </c>
      <c r="N780" s="227">
        <f>(IF((VLOOKUP(Table10[[#This Row],[SKU]],'All Skus'!$A:$AC,2,FALSE))="Martin",(VLOOKUP(Table10[[#This Row],[SKU]],'All Skus'!$A:$AC,18,FALSE)),""))</f>
        <v>0</v>
      </c>
      <c r="O780" s="227">
        <f>(IF((VLOOKUP(Table10[[#This Row],[SKU]],'All Skus'!$A:$AC,2,FALSE))="Martin",(VLOOKUP(Table10[[#This Row],[SKU]],'All Skus'!$A:$AC,19,FALSE)),""))</f>
        <v>0</v>
      </c>
      <c r="P780" s="227">
        <f>(IF((VLOOKUP(Table10[[#This Row],[SKU]],'All Skus'!$A:$AC,2,FALSE))="Martin",(VLOOKUP(Table10[[#This Row],[SKU]],'All Skus'!$A:$AC,20,FALSE)),""))</f>
        <v>0</v>
      </c>
      <c r="Q780" s="227">
        <f>(IF((VLOOKUP(Table10[[#This Row],[SKU]],'All Skus'!$A:$AC,2,FALSE))="Martin",(VLOOKUP(Table10[[#This Row],[SKU]],'All Skus'!$A:$AC,21,FALSE)),""))</f>
        <v>0</v>
      </c>
      <c r="R780" s="224" t="str">
        <f>(IF((VLOOKUP(Table10[[#This Row],[SKU]],'All Skus'!$A:$AC,2,FALSE))="Martin",(VLOOKUP(Table10[[#This Row],[SKU]],'All Skus'!$A:$AC,22,FALSE)),""))</f>
        <v>CN</v>
      </c>
      <c r="S780" s="223" t="str">
        <f>(IF((VLOOKUP(Table10[[#This Row],[SKU]],'All Skus'!$A:$AC,2,FALSE))="Martin",(VLOOKUP(Table10[[#This Row],[SKU]],'All Skus'!$A:$AC,23,FALSE)),""))</f>
        <v>Non Compliant</v>
      </c>
      <c r="T780" s="212" t="str">
        <f>HYPERLINK((IF((VLOOKUP(Table10[[#This Row],[SKU]],'All Skus'!$A:$AC,2,FALSE))="Martin",(VLOOKUP(Table10[[#This Row],[SKU]],'All Skus'!$A:$AC,24,FALSE)),"")))</f>
        <v>http://www.martin.com/en-us/product-details/vdo-sceptron-10</v>
      </c>
      <c r="U780" s="228">
        <v>778</v>
      </c>
    </row>
    <row r="781" spans="1:21" hidden="1">
      <c r="A781" s="112">
        <v>91610129</v>
      </c>
      <c r="B781" s="224" t="str">
        <f>(IF((VLOOKUP(Table10[[#This Row],[SKU]],'All Skus'!$A:$AC,2,FALSE))="Martin",(VLOOKUP(Table10[[#This Row],[SKU]],'All Skus'!$A:$AC,3,FALSE)),""))</f>
        <v>LED Video</v>
      </c>
      <c r="C781" s="223" t="str">
        <f>(IF((VLOOKUP(Table10[[#This Row],[SKU]],'All Skus'!$A:$AC,2,FALSE))="Martin",(VLOOKUP(Table10[[#This Row],[SKU]],'All Skus'!$A:$AC,4,FALSE)),""))</f>
        <v>VDO Sceptron 10 NoBlend Smok Dif. 1000mm</v>
      </c>
      <c r="D781" s="224" t="str">
        <f>(IF((VLOOKUP(Table10[[#This Row],[SKU]],'All Skus'!$A:$AC,2,FALSE))="Martin",(VLOOKUP(Table10[[#This Row],[SKU]],'All Skus'!$A:$AC,5,FALSE)),""))</f>
        <v>MAR-VDO</v>
      </c>
      <c r="E781" s="223">
        <f>(IF((VLOOKUP(Table10[[#This Row],[SKU]],'All Skus'!$A:$AC,2,FALSE))="Martin",(VLOOKUP(Table10[[#This Row],[SKU]],'All Skus'!$A:$AC,6,FALSE)),""))</f>
        <v>0</v>
      </c>
      <c r="F781" s="155">
        <f>(IF((VLOOKUP(Table10[[#This Row],[SKU]],'All Skus'!$A:$AC,2,FALSE))="Martin",(VLOOKUP(Table10[[#This Row],[SKU]],'All Skus'!$A:$AC,7,FALSE)),""))</f>
        <v>0</v>
      </c>
      <c r="G781" s="223" t="str">
        <f>(IF((VLOOKUP(Table10[[#This Row],[SKU]],'All Skus'!$A:$AC,2,FALSE))="Martin",(VLOOKUP(Table10[[#This Row],[SKU]],'All Skus'!$A:$AC,8,FALSE)),""))</f>
        <v>VDO Sceptron 10 NoBlend Smok Dif. 1000mm</v>
      </c>
      <c r="H781" s="223" t="str">
        <f>(IF((VLOOKUP(Table10[[#This Row],[SKU]],'All Skus'!$A:$AC,2,FALSE))="Martin",(VLOOKUP(Table10[[#This Row],[SKU]],'All Skus'!$A:$AC,9,FALSE)),""))</f>
        <v>VDO Sceptron 10 NoBlend Smok Dif. 1000mm</v>
      </c>
      <c r="I781" s="225">
        <f>(IF((VLOOKUP(Table10[[#This Row],[SKU]],'All Skus'!$A:$AC,2,FALSE))="Martin",(VLOOKUP(Table10[[#This Row],[SKU]],'All Skus'!$A:$AC,10,FALSE)),""))</f>
        <v>207.44</v>
      </c>
      <c r="J781" s="226">
        <f>(IF((VLOOKUP(Table10[[#This Row],[SKU]],'All Skus'!$A:$AC,2,FALSE))="Martin",(VLOOKUP(Table10[[#This Row],[SKU]],'All Skus'!$A:$AC,11,FALSE)),""))</f>
        <v>207.44</v>
      </c>
      <c r="K781" s="224">
        <f>(IF((VLOOKUP(Table10[[#This Row],[SKU]],'All Skus'!$A:$AC,2,FALSE))="Martin",(VLOOKUP(Table10[[#This Row],[SKU]],'All Skus'!$A:$AC,15,FALSE)),""))</f>
        <v>0</v>
      </c>
      <c r="L781" s="224">
        <f>(IF((VLOOKUP(Table10[[#This Row],[SKU]],'All Skus'!$A:$AC,2,FALSE))="Martin",(VLOOKUP(Table10[[#This Row],[SKU]],'All Skus'!$A:$AC,16,FALSE)),""))</f>
        <v>0</v>
      </c>
      <c r="M781" s="224">
        <f>(IF((VLOOKUP(Table10[[#This Row],[SKU]],'All Skus'!$A:$AC,2,FALSE))="Martin",(VLOOKUP(Table10[[#This Row],[SKU]],'All Skus'!$A:$AC,17,FALSE)),""))</f>
        <v>0</v>
      </c>
      <c r="N781" s="227">
        <f>(IF((VLOOKUP(Table10[[#This Row],[SKU]],'All Skus'!$A:$AC,2,FALSE))="Martin",(VLOOKUP(Table10[[#This Row],[SKU]],'All Skus'!$A:$AC,18,FALSE)),""))</f>
        <v>0</v>
      </c>
      <c r="O781" s="227">
        <f>(IF((VLOOKUP(Table10[[#This Row],[SKU]],'All Skus'!$A:$AC,2,FALSE))="Martin",(VLOOKUP(Table10[[#This Row],[SKU]],'All Skus'!$A:$AC,19,FALSE)),""))</f>
        <v>0</v>
      </c>
      <c r="P781" s="227">
        <f>(IF((VLOOKUP(Table10[[#This Row],[SKU]],'All Skus'!$A:$AC,2,FALSE))="Martin",(VLOOKUP(Table10[[#This Row],[SKU]],'All Skus'!$A:$AC,20,FALSE)),""))</f>
        <v>0</v>
      </c>
      <c r="Q781" s="227">
        <f>(IF((VLOOKUP(Table10[[#This Row],[SKU]],'All Skus'!$A:$AC,2,FALSE))="Martin",(VLOOKUP(Table10[[#This Row],[SKU]],'All Skus'!$A:$AC,21,FALSE)),""))</f>
        <v>0</v>
      </c>
      <c r="R781" s="224" t="str">
        <f>(IF((VLOOKUP(Table10[[#This Row],[SKU]],'All Skus'!$A:$AC,2,FALSE))="Martin",(VLOOKUP(Table10[[#This Row],[SKU]],'All Skus'!$A:$AC,22,FALSE)),""))</f>
        <v>CN</v>
      </c>
      <c r="S781" s="223" t="str">
        <f>(IF((VLOOKUP(Table10[[#This Row],[SKU]],'All Skus'!$A:$AC,2,FALSE))="Martin",(VLOOKUP(Table10[[#This Row],[SKU]],'All Skus'!$A:$AC,23,FALSE)),""))</f>
        <v>Non Compliant</v>
      </c>
      <c r="T781" s="212" t="str">
        <f>HYPERLINK((IF((VLOOKUP(Table10[[#This Row],[SKU]],'All Skus'!$A:$AC,2,FALSE))="Martin",(VLOOKUP(Table10[[#This Row],[SKU]],'All Skus'!$A:$AC,24,FALSE)),"")))</f>
        <v>http://www.martin.com/en-us/product-details/vdo-sceptron-10</v>
      </c>
      <c r="U781" s="228">
        <v>779</v>
      </c>
    </row>
    <row r="782" spans="1:21" hidden="1">
      <c r="A782" s="112">
        <v>91610130</v>
      </c>
      <c r="B782" s="224" t="str">
        <f>(IF((VLOOKUP(Table10[[#This Row],[SKU]],'All Skus'!$A:$AC,2,FALSE))="Martin",(VLOOKUP(Table10[[#This Row],[SKU]],'All Skus'!$A:$AC,3,FALSE)),""))</f>
        <v>LED Video</v>
      </c>
      <c r="C782" s="223" t="str">
        <f>(IF((VLOOKUP(Table10[[#This Row],[SKU]],'All Skus'!$A:$AC,2,FALSE))="Martin",(VLOOKUP(Table10[[#This Row],[SKU]],'All Skus'!$A:$AC,4,FALSE)),""))</f>
        <v>VDO Sceptron 20 NoBlend Diffuser 320mm</v>
      </c>
      <c r="D782" s="224" t="str">
        <f>(IF((VLOOKUP(Table10[[#This Row],[SKU]],'All Skus'!$A:$AC,2,FALSE))="Martin",(VLOOKUP(Table10[[#This Row],[SKU]],'All Skus'!$A:$AC,5,FALSE)),""))</f>
        <v>MAR-VDO</v>
      </c>
      <c r="E782" s="223">
        <f>(IF((VLOOKUP(Table10[[#This Row],[SKU]],'All Skus'!$A:$AC,2,FALSE))="Martin",(VLOOKUP(Table10[[#This Row],[SKU]],'All Skus'!$A:$AC,6,FALSE)),""))</f>
        <v>0</v>
      </c>
      <c r="F782" s="155">
        <f>(IF((VLOOKUP(Table10[[#This Row],[SKU]],'All Skus'!$A:$AC,2,FALSE))="Martin",(VLOOKUP(Table10[[#This Row],[SKU]],'All Skus'!$A:$AC,7,FALSE)),""))</f>
        <v>0</v>
      </c>
      <c r="G782" s="223" t="str">
        <f>(IF((VLOOKUP(Table10[[#This Row],[SKU]],'All Skus'!$A:$AC,2,FALSE))="Martin",(VLOOKUP(Table10[[#This Row],[SKU]],'All Skus'!$A:$AC,8,FALSE)),""))</f>
        <v>VDO Sceptron 20 NoBlend Diffuser 320mm</v>
      </c>
      <c r="H782" s="223" t="str">
        <f>(IF((VLOOKUP(Table10[[#This Row],[SKU]],'All Skus'!$A:$AC,2,FALSE))="Martin",(VLOOKUP(Table10[[#This Row],[SKU]],'All Skus'!$A:$AC,9,FALSE)),""))</f>
        <v>VDO Sceptron 20 NoBlend Diffuser 320mm</v>
      </c>
      <c r="I782" s="225">
        <f>(IF((VLOOKUP(Table10[[#This Row],[SKU]],'All Skus'!$A:$AC,2,FALSE))="Martin",(VLOOKUP(Table10[[#This Row],[SKU]],'All Skus'!$A:$AC,10,FALSE)),""))</f>
        <v>30.87</v>
      </c>
      <c r="J782" s="226">
        <f>(IF((VLOOKUP(Table10[[#This Row],[SKU]],'All Skus'!$A:$AC,2,FALSE))="Martin",(VLOOKUP(Table10[[#This Row],[SKU]],'All Skus'!$A:$AC,11,FALSE)),""))</f>
        <v>30.87</v>
      </c>
      <c r="K782" s="224">
        <f>(IF((VLOOKUP(Table10[[#This Row],[SKU]],'All Skus'!$A:$AC,2,FALSE))="Martin",(VLOOKUP(Table10[[#This Row],[SKU]],'All Skus'!$A:$AC,15,FALSE)),""))</f>
        <v>0</v>
      </c>
      <c r="L782" s="224">
        <f>(IF((VLOOKUP(Table10[[#This Row],[SKU]],'All Skus'!$A:$AC,2,FALSE))="Martin",(VLOOKUP(Table10[[#This Row],[SKU]],'All Skus'!$A:$AC,16,FALSE)),""))</f>
        <v>0</v>
      </c>
      <c r="M782" s="224">
        <f>(IF((VLOOKUP(Table10[[#This Row],[SKU]],'All Skus'!$A:$AC,2,FALSE))="Martin",(VLOOKUP(Table10[[#This Row],[SKU]],'All Skus'!$A:$AC,17,FALSE)),""))</f>
        <v>0</v>
      </c>
      <c r="N782" s="227">
        <f>(IF((VLOOKUP(Table10[[#This Row],[SKU]],'All Skus'!$A:$AC,2,FALSE))="Martin",(VLOOKUP(Table10[[#This Row],[SKU]],'All Skus'!$A:$AC,18,FALSE)),""))</f>
        <v>0</v>
      </c>
      <c r="O782" s="227">
        <f>(IF((VLOOKUP(Table10[[#This Row],[SKU]],'All Skus'!$A:$AC,2,FALSE))="Martin",(VLOOKUP(Table10[[#This Row],[SKU]],'All Skus'!$A:$AC,19,FALSE)),""))</f>
        <v>0</v>
      </c>
      <c r="P782" s="227">
        <f>(IF((VLOOKUP(Table10[[#This Row],[SKU]],'All Skus'!$A:$AC,2,FALSE))="Martin",(VLOOKUP(Table10[[#This Row],[SKU]],'All Skus'!$A:$AC,20,FALSE)),""))</f>
        <v>0</v>
      </c>
      <c r="Q782" s="227">
        <f>(IF((VLOOKUP(Table10[[#This Row],[SKU]],'All Skus'!$A:$AC,2,FALSE))="Martin",(VLOOKUP(Table10[[#This Row],[SKU]],'All Skus'!$A:$AC,21,FALSE)),""))</f>
        <v>0</v>
      </c>
      <c r="R782" s="224" t="str">
        <f>(IF((VLOOKUP(Table10[[#This Row],[SKU]],'All Skus'!$A:$AC,2,FALSE))="Martin",(VLOOKUP(Table10[[#This Row],[SKU]],'All Skus'!$A:$AC,22,FALSE)),""))</f>
        <v>CN</v>
      </c>
      <c r="S782" s="223" t="str">
        <f>(IF((VLOOKUP(Table10[[#This Row],[SKU]],'All Skus'!$A:$AC,2,FALSE))="Martin",(VLOOKUP(Table10[[#This Row],[SKU]],'All Skus'!$A:$AC,23,FALSE)),""))</f>
        <v>Non Compliant</v>
      </c>
      <c r="T782" s="212" t="str">
        <f>HYPERLINK((IF((VLOOKUP(Table10[[#This Row],[SKU]],'All Skus'!$A:$AC,2,FALSE))="Martin",(VLOOKUP(Table10[[#This Row],[SKU]],'All Skus'!$A:$AC,24,FALSE)),"")))</f>
        <v>http://www.martin.com/en-us/product-details/vdo-sceptron-10</v>
      </c>
      <c r="U782" s="228">
        <v>780</v>
      </c>
    </row>
    <row r="783" spans="1:21" hidden="1">
      <c r="A783" s="112">
        <v>91610131</v>
      </c>
      <c r="B783" s="224" t="str">
        <f>(IF((VLOOKUP(Table10[[#This Row],[SKU]],'All Skus'!$A:$AC,2,FALSE))="Martin",(VLOOKUP(Table10[[#This Row],[SKU]],'All Skus'!$A:$AC,3,FALSE)),""))</f>
        <v>LED Video</v>
      </c>
      <c r="C783" s="223" t="str">
        <f>(IF((VLOOKUP(Table10[[#This Row],[SKU]],'All Skus'!$A:$AC,2,FALSE))="Martin",(VLOOKUP(Table10[[#This Row],[SKU]],'All Skus'!$A:$AC,4,FALSE)),""))</f>
        <v>VDO Sceptron 20 NoBlend Diffuser 1000mm</v>
      </c>
      <c r="D783" s="224" t="str">
        <f>(IF((VLOOKUP(Table10[[#This Row],[SKU]],'All Skus'!$A:$AC,2,FALSE))="Martin",(VLOOKUP(Table10[[#This Row],[SKU]],'All Skus'!$A:$AC,5,FALSE)),""))</f>
        <v>MAR-VDO</v>
      </c>
      <c r="E783" s="223">
        <f>(IF((VLOOKUP(Table10[[#This Row],[SKU]],'All Skus'!$A:$AC,2,FALSE))="Martin",(VLOOKUP(Table10[[#This Row],[SKU]],'All Skus'!$A:$AC,6,FALSE)),""))</f>
        <v>0</v>
      </c>
      <c r="F783" s="155">
        <f>(IF((VLOOKUP(Table10[[#This Row],[SKU]],'All Skus'!$A:$AC,2,FALSE))="Martin",(VLOOKUP(Table10[[#This Row],[SKU]],'All Skus'!$A:$AC,7,FALSE)),""))</f>
        <v>0</v>
      </c>
      <c r="G783" s="223" t="str">
        <f>(IF((VLOOKUP(Table10[[#This Row],[SKU]],'All Skus'!$A:$AC,2,FALSE))="Martin",(VLOOKUP(Table10[[#This Row],[SKU]],'All Skus'!$A:$AC,8,FALSE)),""))</f>
        <v>VDO Sceptron 20 NoBlend Diffuser 1000mm</v>
      </c>
      <c r="H783" s="223" t="str">
        <f>(IF((VLOOKUP(Table10[[#This Row],[SKU]],'All Skus'!$A:$AC,2,FALSE))="Martin",(VLOOKUP(Table10[[#This Row],[SKU]],'All Skus'!$A:$AC,9,FALSE)),""))</f>
        <v>VDO Sceptron 20 NoBlend Diffuser 1000mm</v>
      </c>
      <c r="I783" s="225">
        <f>(IF((VLOOKUP(Table10[[#This Row],[SKU]],'All Skus'!$A:$AC,2,FALSE))="Martin",(VLOOKUP(Table10[[#This Row],[SKU]],'All Skus'!$A:$AC,10,FALSE)),""))</f>
        <v>161.75</v>
      </c>
      <c r="J783" s="226">
        <f>(IF((VLOOKUP(Table10[[#This Row],[SKU]],'All Skus'!$A:$AC,2,FALSE))="Martin",(VLOOKUP(Table10[[#This Row],[SKU]],'All Skus'!$A:$AC,11,FALSE)),""))</f>
        <v>161.75</v>
      </c>
      <c r="K783" s="224">
        <f>(IF((VLOOKUP(Table10[[#This Row],[SKU]],'All Skus'!$A:$AC,2,FALSE))="Martin",(VLOOKUP(Table10[[#This Row],[SKU]],'All Skus'!$A:$AC,15,FALSE)),""))</f>
        <v>0</v>
      </c>
      <c r="L783" s="224">
        <f>(IF((VLOOKUP(Table10[[#This Row],[SKU]],'All Skus'!$A:$AC,2,FALSE))="Martin",(VLOOKUP(Table10[[#This Row],[SKU]],'All Skus'!$A:$AC,16,FALSE)),""))</f>
        <v>0</v>
      </c>
      <c r="M783" s="224">
        <f>(IF((VLOOKUP(Table10[[#This Row],[SKU]],'All Skus'!$A:$AC,2,FALSE))="Martin",(VLOOKUP(Table10[[#This Row],[SKU]],'All Skus'!$A:$AC,17,FALSE)),""))</f>
        <v>0</v>
      </c>
      <c r="N783" s="227">
        <f>(IF((VLOOKUP(Table10[[#This Row],[SKU]],'All Skus'!$A:$AC,2,FALSE))="Martin",(VLOOKUP(Table10[[#This Row],[SKU]],'All Skus'!$A:$AC,18,FALSE)),""))</f>
        <v>0</v>
      </c>
      <c r="O783" s="227">
        <f>(IF((VLOOKUP(Table10[[#This Row],[SKU]],'All Skus'!$A:$AC,2,FALSE))="Martin",(VLOOKUP(Table10[[#This Row],[SKU]],'All Skus'!$A:$AC,19,FALSE)),""))</f>
        <v>0</v>
      </c>
      <c r="P783" s="227">
        <f>(IF((VLOOKUP(Table10[[#This Row],[SKU]],'All Skus'!$A:$AC,2,FALSE))="Martin",(VLOOKUP(Table10[[#This Row],[SKU]],'All Skus'!$A:$AC,20,FALSE)),""))</f>
        <v>0</v>
      </c>
      <c r="Q783" s="227">
        <f>(IF((VLOOKUP(Table10[[#This Row],[SKU]],'All Skus'!$A:$AC,2,FALSE))="Martin",(VLOOKUP(Table10[[#This Row],[SKU]],'All Skus'!$A:$AC,21,FALSE)),""))</f>
        <v>0</v>
      </c>
      <c r="R783" s="224" t="str">
        <f>(IF((VLOOKUP(Table10[[#This Row],[SKU]],'All Skus'!$A:$AC,2,FALSE))="Martin",(VLOOKUP(Table10[[#This Row],[SKU]],'All Skus'!$A:$AC,22,FALSE)),""))</f>
        <v>CN</v>
      </c>
      <c r="S783" s="223" t="str">
        <f>(IF((VLOOKUP(Table10[[#This Row],[SKU]],'All Skus'!$A:$AC,2,FALSE))="Martin",(VLOOKUP(Table10[[#This Row],[SKU]],'All Skus'!$A:$AC,23,FALSE)),""))</f>
        <v>Non Compliant</v>
      </c>
      <c r="T783" s="212" t="str">
        <f>HYPERLINK((IF((VLOOKUP(Table10[[#This Row],[SKU]],'All Skus'!$A:$AC,2,FALSE))="Martin",(VLOOKUP(Table10[[#This Row],[SKU]],'All Skus'!$A:$AC,24,FALSE)),"")))</f>
        <v>http://www.martin.com/en-us/product-details/vdo-sceptron-20</v>
      </c>
      <c r="U783" s="228">
        <v>781</v>
      </c>
    </row>
    <row r="784" spans="1:21" hidden="1">
      <c r="A784" s="112">
        <v>91610132</v>
      </c>
      <c r="B784" s="224" t="str">
        <f>(IF((VLOOKUP(Table10[[#This Row],[SKU]],'All Skus'!$A:$AC,2,FALSE))="Martin",(VLOOKUP(Table10[[#This Row],[SKU]],'All Skus'!$A:$AC,3,FALSE)),""))</f>
        <v>LED Video</v>
      </c>
      <c r="C784" s="223" t="str">
        <f>(IF((VLOOKUP(Table10[[#This Row],[SKU]],'All Skus'!$A:$AC,2,FALSE))="Martin",(VLOOKUP(Table10[[#This Row],[SKU]],'All Skus'!$A:$AC,4,FALSE)),""))</f>
        <v>VDO Sceptron 20 NoBlend Smok Dif. 320mm</v>
      </c>
      <c r="D784" s="224" t="str">
        <f>(IF((VLOOKUP(Table10[[#This Row],[SKU]],'All Skus'!$A:$AC,2,FALSE))="Martin",(VLOOKUP(Table10[[#This Row],[SKU]],'All Skus'!$A:$AC,5,FALSE)),""))</f>
        <v>MAR-VDO</v>
      </c>
      <c r="E784" s="223">
        <f>(IF((VLOOKUP(Table10[[#This Row],[SKU]],'All Skus'!$A:$AC,2,FALSE))="Martin",(VLOOKUP(Table10[[#This Row],[SKU]],'All Skus'!$A:$AC,6,FALSE)),""))</f>
        <v>0</v>
      </c>
      <c r="F784" s="155">
        <f>(IF((VLOOKUP(Table10[[#This Row],[SKU]],'All Skus'!$A:$AC,2,FALSE))="Martin",(VLOOKUP(Table10[[#This Row],[SKU]],'All Skus'!$A:$AC,7,FALSE)),""))</f>
        <v>0</v>
      </c>
      <c r="G784" s="223" t="str">
        <f>(IF((VLOOKUP(Table10[[#This Row],[SKU]],'All Skus'!$A:$AC,2,FALSE))="Martin",(VLOOKUP(Table10[[#This Row],[SKU]],'All Skus'!$A:$AC,8,FALSE)),""))</f>
        <v>VDO Sceptron 20 NoBlend Smok Dif. 320mm</v>
      </c>
      <c r="H784" s="223" t="str">
        <f>(IF((VLOOKUP(Table10[[#This Row],[SKU]],'All Skus'!$A:$AC,2,FALSE))="Martin",(VLOOKUP(Table10[[#This Row],[SKU]],'All Skus'!$A:$AC,9,FALSE)),""))</f>
        <v>VDO Sceptron 20 NoBlend Smok Dif. 320mm</v>
      </c>
      <c r="I784" s="225">
        <f>(IF((VLOOKUP(Table10[[#This Row],[SKU]],'All Skus'!$A:$AC,2,FALSE))="Martin",(VLOOKUP(Table10[[#This Row],[SKU]],'All Skus'!$A:$AC,10,FALSE)),""))</f>
        <v>30.87</v>
      </c>
      <c r="J784" s="226">
        <f>(IF((VLOOKUP(Table10[[#This Row],[SKU]],'All Skus'!$A:$AC,2,FALSE))="Martin",(VLOOKUP(Table10[[#This Row],[SKU]],'All Skus'!$A:$AC,11,FALSE)),""))</f>
        <v>30.87</v>
      </c>
      <c r="K784" s="224">
        <f>(IF((VLOOKUP(Table10[[#This Row],[SKU]],'All Skus'!$A:$AC,2,FALSE))="Martin",(VLOOKUP(Table10[[#This Row],[SKU]],'All Skus'!$A:$AC,15,FALSE)),""))</f>
        <v>0</v>
      </c>
      <c r="L784" s="224">
        <f>(IF((VLOOKUP(Table10[[#This Row],[SKU]],'All Skus'!$A:$AC,2,FALSE))="Martin",(VLOOKUP(Table10[[#This Row],[SKU]],'All Skus'!$A:$AC,16,FALSE)),""))</f>
        <v>0</v>
      </c>
      <c r="M784" s="224">
        <f>(IF((VLOOKUP(Table10[[#This Row],[SKU]],'All Skus'!$A:$AC,2,FALSE))="Martin",(VLOOKUP(Table10[[#This Row],[SKU]],'All Skus'!$A:$AC,17,FALSE)),""))</f>
        <v>0</v>
      </c>
      <c r="N784" s="227">
        <f>(IF((VLOOKUP(Table10[[#This Row],[SKU]],'All Skus'!$A:$AC,2,FALSE))="Martin",(VLOOKUP(Table10[[#This Row],[SKU]],'All Skus'!$A:$AC,18,FALSE)),""))</f>
        <v>0</v>
      </c>
      <c r="O784" s="227">
        <f>(IF((VLOOKUP(Table10[[#This Row],[SKU]],'All Skus'!$A:$AC,2,FALSE))="Martin",(VLOOKUP(Table10[[#This Row],[SKU]],'All Skus'!$A:$AC,19,FALSE)),""))</f>
        <v>0</v>
      </c>
      <c r="P784" s="227">
        <f>(IF((VLOOKUP(Table10[[#This Row],[SKU]],'All Skus'!$A:$AC,2,FALSE))="Martin",(VLOOKUP(Table10[[#This Row],[SKU]],'All Skus'!$A:$AC,20,FALSE)),""))</f>
        <v>0</v>
      </c>
      <c r="Q784" s="227">
        <f>(IF((VLOOKUP(Table10[[#This Row],[SKU]],'All Skus'!$A:$AC,2,FALSE))="Martin",(VLOOKUP(Table10[[#This Row],[SKU]],'All Skus'!$A:$AC,21,FALSE)),""))</f>
        <v>0</v>
      </c>
      <c r="R784" s="224" t="str">
        <f>(IF((VLOOKUP(Table10[[#This Row],[SKU]],'All Skus'!$A:$AC,2,FALSE))="Martin",(VLOOKUP(Table10[[#This Row],[SKU]],'All Skus'!$A:$AC,22,FALSE)),""))</f>
        <v>CN</v>
      </c>
      <c r="S784" s="223" t="str">
        <f>(IF((VLOOKUP(Table10[[#This Row],[SKU]],'All Skus'!$A:$AC,2,FALSE))="Martin",(VLOOKUP(Table10[[#This Row],[SKU]],'All Skus'!$A:$AC,23,FALSE)),""))</f>
        <v>Non Compliant</v>
      </c>
      <c r="T784" s="212" t="str">
        <f>HYPERLINK((IF((VLOOKUP(Table10[[#This Row],[SKU]],'All Skus'!$A:$AC,2,FALSE))="Martin",(VLOOKUP(Table10[[#This Row],[SKU]],'All Skus'!$A:$AC,24,FALSE)),"")))</f>
        <v>http://www.martin.com/en-us/product-details/vdo-sceptron-10</v>
      </c>
      <c r="U784" s="228">
        <v>782</v>
      </c>
    </row>
    <row r="785" spans="1:21" hidden="1">
      <c r="A785" s="112">
        <v>91610133</v>
      </c>
      <c r="B785" s="224" t="str">
        <f>(IF((VLOOKUP(Table10[[#This Row],[SKU]],'All Skus'!$A:$AC,2,FALSE))="Martin",(VLOOKUP(Table10[[#This Row],[SKU]],'All Skus'!$A:$AC,3,FALSE)),""))</f>
        <v>LED Video</v>
      </c>
      <c r="C785" s="223" t="str">
        <f>(IF((VLOOKUP(Table10[[#This Row],[SKU]],'All Skus'!$A:$AC,2,FALSE))="Martin",(VLOOKUP(Table10[[#This Row],[SKU]],'All Skus'!$A:$AC,4,FALSE)),""))</f>
        <v>VDO Sceptron 20 NoBlend Smok Dif. 1000mm</v>
      </c>
      <c r="D785" s="224" t="str">
        <f>(IF((VLOOKUP(Table10[[#This Row],[SKU]],'All Skus'!$A:$AC,2,FALSE))="Martin",(VLOOKUP(Table10[[#This Row],[SKU]],'All Skus'!$A:$AC,5,FALSE)),""))</f>
        <v>MAR-VDO</v>
      </c>
      <c r="E785" s="223">
        <f>(IF((VLOOKUP(Table10[[#This Row],[SKU]],'All Skus'!$A:$AC,2,FALSE))="Martin",(VLOOKUP(Table10[[#This Row],[SKU]],'All Skus'!$A:$AC,6,FALSE)),""))</f>
        <v>0</v>
      </c>
      <c r="F785" s="155">
        <f>(IF((VLOOKUP(Table10[[#This Row],[SKU]],'All Skus'!$A:$AC,2,FALSE))="Martin",(VLOOKUP(Table10[[#This Row],[SKU]],'All Skus'!$A:$AC,7,FALSE)),""))</f>
        <v>0</v>
      </c>
      <c r="G785" s="223" t="str">
        <f>(IF((VLOOKUP(Table10[[#This Row],[SKU]],'All Skus'!$A:$AC,2,FALSE))="Martin",(VLOOKUP(Table10[[#This Row],[SKU]],'All Skus'!$A:$AC,8,FALSE)),""))</f>
        <v>VDO Sceptron 20 NoBlend Smok Dif. 1000mm</v>
      </c>
      <c r="H785" s="223" t="str">
        <f>(IF((VLOOKUP(Table10[[#This Row],[SKU]],'All Skus'!$A:$AC,2,FALSE))="Martin",(VLOOKUP(Table10[[#This Row],[SKU]],'All Skus'!$A:$AC,9,FALSE)),""))</f>
        <v>VDO Sceptron 20 NoBlend Smok Dif. 1000mm</v>
      </c>
      <c r="I785" s="225">
        <f>(IF((VLOOKUP(Table10[[#This Row],[SKU]],'All Skus'!$A:$AC,2,FALSE))="Martin",(VLOOKUP(Table10[[#This Row],[SKU]],'All Skus'!$A:$AC,10,FALSE)),""))</f>
        <v>171.63</v>
      </c>
      <c r="J785" s="226">
        <f>(IF((VLOOKUP(Table10[[#This Row],[SKU]],'All Skus'!$A:$AC,2,FALSE))="Martin",(VLOOKUP(Table10[[#This Row],[SKU]],'All Skus'!$A:$AC,11,FALSE)),""))</f>
        <v>171.63</v>
      </c>
      <c r="K785" s="224">
        <f>(IF((VLOOKUP(Table10[[#This Row],[SKU]],'All Skus'!$A:$AC,2,FALSE))="Martin",(VLOOKUP(Table10[[#This Row],[SKU]],'All Skus'!$A:$AC,15,FALSE)),""))</f>
        <v>0</v>
      </c>
      <c r="L785" s="224">
        <f>(IF((VLOOKUP(Table10[[#This Row],[SKU]],'All Skus'!$A:$AC,2,FALSE))="Martin",(VLOOKUP(Table10[[#This Row],[SKU]],'All Skus'!$A:$AC,16,FALSE)),""))</f>
        <v>0</v>
      </c>
      <c r="M785" s="224">
        <f>(IF((VLOOKUP(Table10[[#This Row],[SKU]],'All Skus'!$A:$AC,2,FALSE))="Martin",(VLOOKUP(Table10[[#This Row],[SKU]],'All Skus'!$A:$AC,17,FALSE)),""))</f>
        <v>0</v>
      </c>
      <c r="N785" s="227">
        <f>(IF((VLOOKUP(Table10[[#This Row],[SKU]],'All Skus'!$A:$AC,2,FALSE))="Martin",(VLOOKUP(Table10[[#This Row],[SKU]],'All Skus'!$A:$AC,18,FALSE)),""))</f>
        <v>0</v>
      </c>
      <c r="O785" s="227">
        <f>(IF((VLOOKUP(Table10[[#This Row],[SKU]],'All Skus'!$A:$AC,2,FALSE))="Martin",(VLOOKUP(Table10[[#This Row],[SKU]],'All Skus'!$A:$AC,19,FALSE)),""))</f>
        <v>0</v>
      </c>
      <c r="P785" s="227">
        <f>(IF((VLOOKUP(Table10[[#This Row],[SKU]],'All Skus'!$A:$AC,2,FALSE))="Martin",(VLOOKUP(Table10[[#This Row],[SKU]],'All Skus'!$A:$AC,20,FALSE)),""))</f>
        <v>0</v>
      </c>
      <c r="Q785" s="227">
        <f>(IF((VLOOKUP(Table10[[#This Row],[SKU]],'All Skus'!$A:$AC,2,FALSE))="Martin",(VLOOKUP(Table10[[#This Row],[SKU]],'All Skus'!$A:$AC,21,FALSE)),""))</f>
        <v>0</v>
      </c>
      <c r="R785" s="224" t="str">
        <f>(IF((VLOOKUP(Table10[[#This Row],[SKU]],'All Skus'!$A:$AC,2,FALSE))="Martin",(VLOOKUP(Table10[[#This Row],[SKU]],'All Skus'!$A:$AC,22,FALSE)),""))</f>
        <v>CN</v>
      </c>
      <c r="S785" s="223" t="str">
        <f>(IF((VLOOKUP(Table10[[#This Row],[SKU]],'All Skus'!$A:$AC,2,FALSE))="Martin",(VLOOKUP(Table10[[#This Row],[SKU]],'All Skus'!$A:$AC,23,FALSE)),""))</f>
        <v>Non Compliant</v>
      </c>
      <c r="T785" s="212" t="str">
        <f>HYPERLINK((IF((VLOOKUP(Table10[[#This Row],[SKU]],'All Skus'!$A:$AC,2,FALSE))="Martin",(VLOOKUP(Table10[[#This Row],[SKU]],'All Skus'!$A:$AC,24,FALSE)),"")))</f>
        <v>http://www.martin.com/en-us/product-details/vdo-sceptron-10</v>
      </c>
      <c r="U785" s="228">
        <v>783</v>
      </c>
    </row>
    <row r="786" spans="1:21" hidden="1">
      <c r="A786" s="112">
        <v>91610134</v>
      </c>
      <c r="B786" s="224" t="str">
        <f>(IF((VLOOKUP(Table10[[#This Row],[SKU]],'All Skus'!$A:$AC,2,FALSE))="Martin",(VLOOKUP(Table10[[#This Row],[SKU]],'All Skus'!$A:$AC,3,FALSE)),""))</f>
        <v>LED Video</v>
      </c>
      <c r="C786" s="223" t="str">
        <f>(IF((VLOOKUP(Table10[[#This Row],[SKU]],'All Skus'!$A:$AC,2,FALSE))="Martin",(VLOOKUP(Table10[[#This Row],[SKU]],'All Skus'!$A:$AC,4,FALSE)),""))</f>
        <v>VDO Sceptron 40 NoBlend Diffuser 320mm</v>
      </c>
      <c r="D786" s="224" t="str">
        <f>(IF((VLOOKUP(Table10[[#This Row],[SKU]],'All Skus'!$A:$AC,2,FALSE))="Martin",(VLOOKUP(Table10[[#This Row],[SKU]],'All Skus'!$A:$AC,5,FALSE)),""))</f>
        <v>MAR-VDO</v>
      </c>
      <c r="E786" s="223">
        <f>(IF((VLOOKUP(Table10[[#This Row],[SKU]],'All Skus'!$A:$AC,2,FALSE))="Martin",(VLOOKUP(Table10[[#This Row],[SKU]],'All Skus'!$A:$AC,6,FALSE)),""))</f>
        <v>0</v>
      </c>
      <c r="F786" s="155">
        <f>(IF((VLOOKUP(Table10[[#This Row],[SKU]],'All Skus'!$A:$AC,2,FALSE))="Martin",(VLOOKUP(Table10[[#This Row],[SKU]],'All Skus'!$A:$AC,7,FALSE)),""))</f>
        <v>0</v>
      </c>
      <c r="G786" s="223" t="str">
        <f>(IF((VLOOKUP(Table10[[#This Row],[SKU]],'All Skus'!$A:$AC,2,FALSE))="Martin",(VLOOKUP(Table10[[#This Row],[SKU]],'All Skus'!$A:$AC,8,FALSE)),""))</f>
        <v>VDO Sceptron 40 NoBlend Diffuser 320mm</v>
      </c>
      <c r="H786" s="223" t="str">
        <f>(IF((VLOOKUP(Table10[[#This Row],[SKU]],'All Skus'!$A:$AC,2,FALSE))="Martin",(VLOOKUP(Table10[[#This Row],[SKU]],'All Skus'!$A:$AC,9,FALSE)),""))</f>
        <v>VDO Sceptron 40 NoBlend Diffuser 320mm</v>
      </c>
      <c r="I786" s="225">
        <f>(IF((VLOOKUP(Table10[[#This Row],[SKU]],'All Skus'!$A:$AC,2,FALSE))="Martin",(VLOOKUP(Table10[[#This Row],[SKU]],'All Skus'!$A:$AC,10,FALSE)),""))</f>
        <v>29.63</v>
      </c>
      <c r="J786" s="226">
        <f>(IF((VLOOKUP(Table10[[#This Row],[SKU]],'All Skus'!$A:$AC,2,FALSE))="Martin",(VLOOKUP(Table10[[#This Row],[SKU]],'All Skus'!$A:$AC,11,FALSE)),""))</f>
        <v>29.63</v>
      </c>
      <c r="K786" s="224">
        <f>(IF((VLOOKUP(Table10[[#This Row],[SKU]],'All Skus'!$A:$AC,2,FALSE))="Martin",(VLOOKUP(Table10[[#This Row],[SKU]],'All Skus'!$A:$AC,15,FALSE)),""))</f>
        <v>0</v>
      </c>
      <c r="L786" s="224">
        <f>(IF((VLOOKUP(Table10[[#This Row],[SKU]],'All Skus'!$A:$AC,2,FALSE))="Martin",(VLOOKUP(Table10[[#This Row],[SKU]],'All Skus'!$A:$AC,16,FALSE)),""))</f>
        <v>0</v>
      </c>
      <c r="M786" s="224">
        <f>(IF((VLOOKUP(Table10[[#This Row],[SKU]],'All Skus'!$A:$AC,2,FALSE))="Martin",(VLOOKUP(Table10[[#This Row],[SKU]],'All Skus'!$A:$AC,17,FALSE)),""))</f>
        <v>0</v>
      </c>
      <c r="N786" s="227">
        <f>(IF((VLOOKUP(Table10[[#This Row],[SKU]],'All Skus'!$A:$AC,2,FALSE))="Martin",(VLOOKUP(Table10[[#This Row],[SKU]],'All Skus'!$A:$AC,18,FALSE)),""))</f>
        <v>0</v>
      </c>
      <c r="O786" s="227">
        <f>(IF((VLOOKUP(Table10[[#This Row],[SKU]],'All Skus'!$A:$AC,2,FALSE))="Martin",(VLOOKUP(Table10[[#This Row],[SKU]],'All Skus'!$A:$AC,19,FALSE)),""))</f>
        <v>0</v>
      </c>
      <c r="P786" s="227">
        <f>(IF((VLOOKUP(Table10[[#This Row],[SKU]],'All Skus'!$A:$AC,2,FALSE))="Martin",(VLOOKUP(Table10[[#This Row],[SKU]],'All Skus'!$A:$AC,20,FALSE)),""))</f>
        <v>0</v>
      </c>
      <c r="Q786" s="227">
        <f>(IF((VLOOKUP(Table10[[#This Row],[SKU]],'All Skus'!$A:$AC,2,FALSE))="Martin",(VLOOKUP(Table10[[#This Row],[SKU]],'All Skus'!$A:$AC,21,FALSE)),""))</f>
        <v>0</v>
      </c>
      <c r="R786" s="224" t="str">
        <f>(IF((VLOOKUP(Table10[[#This Row],[SKU]],'All Skus'!$A:$AC,2,FALSE))="Martin",(VLOOKUP(Table10[[#This Row],[SKU]],'All Skus'!$A:$AC,22,FALSE)),""))</f>
        <v>CN</v>
      </c>
      <c r="S786" s="223" t="str">
        <f>(IF((VLOOKUP(Table10[[#This Row],[SKU]],'All Skus'!$A:$AC,2,FALSE))="Martin",(VLOOKUP(Table10[[#This Row],[SKU]],'All Skus'!$A:$AC,23,FALSE)),""))</f>
        <v>Non Compliant</v>
      </c>
      <c r="T786" s="212" t="str">
        <f>HYPERLINK((IF((VLOOKUP(Table10[[#This Row],[SKU]],'All Skus'!$A:$AC,2,FALSE))="Martin",(VLOOKUP(Table10[[#This Row],[SKU]],'All Skus'!$A:$AC,24,FALSE)),"")))</f>
        <v>http://www.martin.com/en-us/product-details/vdo-sceptron-10</v>
      </c>
      <c r="U786" s="228">
        <v>784</v>
      </c>
    </row>
    <row r="787" spans="1:21" hidden="1">
      <c r="A787" s="112">
        <v>91610135</v>
      </c>
      <c r="B787" s="224" t="str">
        <f>(IF((VLOOKUP(Table10[[#This Row],[SKU]],'All Skus'!$A:$AC,2,FALSE))="Martin",(VLOOKUP(Table10[[#This Row],[SKU]],'All Skus'!$A:$AC,3,FALSE)),""))</f>
        <v>LED Video</v>
      </c>
      <c r="C787" s="223" t="str">
        <f>(IF((VLOOKUP(Table10[[#This Row],[SKU]],'All Skus'!$A:$AC,2,FALSE))="Martin",(VLOOKUP(Table10[[#This Row],[SKU]],'All Skus'!$A:$AC,4,FALSE)),""))</f>
        <v>VDO Sceptron 40 NoBlend Diffuser 1000mm</v>
      </c>
      <c r="D787" s="224" t="str">
        <f>(IF((VLOOKUP(Table10[[#This Row],[SKU]],'All Skus'!$A:$AC,2,FALSE))="Martin",(VLOOKUP(Table10[[#This Row],[SKU]],'All Skus'!$A:$AC,5,FALSE)),""))</f>
        <v>MAR-VDO</v>
      </c>
      <c r="E787" s="223">
        <f>(IF((VLOOKUP(Table10[[#This Row],[SKU]],'All Skus'!$A:$AC,2,FALSE))="Martin",(VLOOKUP(Table10[[#This Row],[SKU]],'All Skus'!$A:$AC,6,FALSE)),""))</f>
        <v>0</v>
      </c>
      <c r="F787" s="155">
        <f>(IF((VLOOKUP(Table10[[#This Row],[SKU]],'All Skus'!$A:$AC,2,FALSE))="Martin",(VLOOKUP(Table10[[#This Row],[SKU]],'All Skus'!$A:$AC,7,FALSE)),""))</f>
        <v>0</v>
      </c>
      <c r="G787" s="223" t="str">
        <f>(IF((VLOOKUP(Table10[[#This Row],[SKU]],'All Skus'!$A:$AC,2,FALSE))="Martin",(VLOOKUP(Table10[[#This Row],[SKU]],'All Skus'!$A:$AC,8,FALSE)),""))</f>
        <v>VDO Sceptron 40 NoBlend Diffuser 1000mm</v>
      </c>
      <c r="H787" s="223" t="str">
        <f>(IF((VLOOKUP(Table10[[#This Row],[SKU]],'All Skus'!$A:$AC,2,FALSE))="Martin",(VLOOKUP(Table10[[#This Row],[SKU]],'All Skus'!$A:$AC,9,FALSE)),""))</f>
        <v>VDO Sceptron 40 NoBlend Diffuser 1000mm</v>
      </c>
      <c r="I787" s="225">
        <f>(IF((VLOOKUP(Table10[[#This Row],[SKU]],'All Skus'!$A:$AC,2,FALSE))="Martin",(VLOOKUP(Table10[[#This Row],[SKU]],'All Skus'!$A:$AC,10,FALSE)),""))</f>
        <v>161.75</v>
      </c>
      <c r="J787" s="226">
        <f>(IF((VLOOKUP(Table10[[#This Row],[SKU]],'All Skus'!$A:$AC,2,FALSE))="Martin",(VLOOKUP(Table10[[#This Row],[SKU]],'All Skus'!$A:$AC,11,FALSE)),""))</f>
        <v>161.75</v>
      </c>
      <c r="K787" s="224">
        <f>(IF((VLOOKUP(Table10[[#This Row],[SKU]],'All Skus'!$A:$AC,2,FALSE))="Martin",(VLOOKUP(Table10[[#This Row],[SKU]],'All Skus'!$A:$AC,15,FALSE)),""))</f>
        <v>0</v>
      </c>
      <c r="L787" s="224">
        <f>(IF((VLOOKUP(Table10[[#This Row],[SKU]],'All Skus'!$A:$AC,2,FALSE))="Martin",(VLOOKUP(Table10[[#This Row],[SKU]],'All Skus'!$A:$AC,16,FALSE)),""))</f>
        <v>0</v>
      </c>
      <c r="M787" s="224">
        <f>(IF((VLOOKUP(Table10[[#This Row],[SKU]],'All Skus'!$A:$AC,2,FALSE))="Martin",(VLOOKUP(Table10[[#This Row],[SKU]],'All Skus'!$A:$AC,17,FALSE)),""))</f>
        <v>0</v>
      </c>
      <c r="N787" s="227">
        <f>(IF((VLOOKUP(Table10[[#This Row],[SKU]],'All Skus'!$A:$AC,2,FALSE))="Martin",(VLOOKUP(Table10[[#This Row],[SKU]],'All Skus'!$A:$AC,18,FALSE)),""))</f>
        <v>0</v>
      </c>
      <c r="O787" s="227">
        <f>(IF((VLOOKUP(Table10[[#This Row],[SKU]],'All Skus'!$A:$AC,2,FALSE))="Martin",(VLOOKUP(Table10[[#This Row],[SKU]],'All Skus'!$A:$AC,19,FALSE)),""))</f>
        <v>0</v>
      </c>
      <c r="P787" s="227">
        <f>(IF((VLOOKUP(Table10[[#This Row],[SKU]],'All Skus'!$A:$AC,2,FALSE))="Martin",(VLOOKUP(Table10[[#This Row],[SKU]],'All Skus'!$A:$AC,20,FALSE)),""))</f>
        <v>0</v>
      </c>
      <c r="Q787" s="227">
        <f>(IF((VLOOKUP(Table10[[#This Row],[SKU]],'All Skus'!$A:$AC,2,FALSE))="Martin",(VLOOKUP(Table10[[#This Row],[SKU]],'All Skus'!$A:$AC,21,FALSE)),""))</f>
        <v>0</v>
      </c>
      <c r="R787" s="224" t="str">
        <f>(IF((VLOOKUP(Table10[[#This Row],[SKU]],'All Skus'!$A:$AC,2,FALSE))="Martin",(VLOOKUP(Table10[[#This Row],[SKU]],'All Skus'!$A:$AC,22,FALSE)),""))</f>
        <v>CN</v>
      </c>
      <c r="S787" s="223" t="str">
        <f>(IF((VLOOKUP(Table10[[#This Row],[SKU]],'All Skus'!$A:$AC,2,FALSE))="Martin",(VLOOKUP(Table10[[#This Row],[SKU]],'All Skus'!$A:$AC,23,FALSE)),""))</f>
        <v>Non Compliant</v>
      </c>
      <c r="T787" s="212" t="str">
        <f>HYPERLINK((IF((VLOOKUP(Table10[[#This Row],[SKU]],'All Skus'!$A:$AC,2,FALSE))="Martin",(VLOOKUP(Table10[[#This Row],[SKU]],'All Skus'!$A:$AC,24,FALSE)),"")))</f>
        <v>http://www.martin.com/en-us/product-details/vdo-sceptron-10</v>
      </c>
      <c r="U787" s="228">
        <v>785</v>
      </c>
    </row>
    <row r="788" spans="1:21" hidden="1">
      <c r="A788" s="112">
        <v>91610136</v>
      </c>
      <c r="B788" s="224" t="str">
        <f>(IF((VLOOKUP(Table10[[#This Row],[SKU]],'All Skus'!$A:$AC,2,FALSE))="Martin",(VLOOKUP(Table10[[#This Row],[SKU]],'All Skus'!$A:$AC,3,FALSE)),""))</f>
        <v>LED Video</v>
      </c>
      <c r="C788" s="223" t="str">
        <f>(IF((VLOOKUP(Table10[[#This Row],[SKU]],'All Skus'!$A:$AC,2,FALSE))="Martin",(VLOOKUP(Table10[[#This Row],[SKU]],'All Skus'!$A:$AC,4,FALSE)),""))</f>
        <v>VDO Sceptron 40 NoBlend Smok Dif. 320mm</v>
      </c>
      <c r="D788" s="224" t="str">
        <f>(IF((VLOOKUP(Table10[[#This Row],[SKU]],'All Skus'!$A:$AC,2,FALSE))="Martin",(VLOOKUP(Table10[[#This Row],[SKU]],'All Skus'!$A:$AC,5,FALSE)),""))</f>
        <v>MAR-VDO</v>
      </c>
      <c r="E788" s="223">
        <f>(IF((VLOOKUP(Table10[[#This Row],[SKU]],'All Skus'!$A:$AC,2,FALSE))="Martin",(VLOOKUP(Table10[[#This Row],[SKU]],'All Skus'!$A:$AC,6,FALSE)),""))</f>
        <v>0</v>
      </c>
      <c r="F788" s="155">
        <f>(IF((VLOOKUP(Table10[[#This Row],[SKU]],'All Skus'!$A:$AC,2,FALSE))="Martin",(VLOOKUP(Table10[[#This Row],[SKU]],'All Skus'!$A:$AC,7,FALSE)),""))</f>
        <v>0</v>
      </c>
      <c r="G788" s="223" t="str">
        <f>(IF((VLOOKUP(Table10[[#This Row],[SKU]],'All Skus'!$A:$AC,2,FALSE))="Martin",(VLOOKUP(Table10[[#This Row],[SKU]],'All Skus'!$A:$AC,8,FALSE)),""))</f>
        <v>VDO Sceptron 40 NoBlend Smok Dif. 320mm</v>
      </c>
      <c r="H788" s="223" t="str">
        <f>(IF((VLOOKUP(Table10[[#This Row],[SKU]],'All Skus'!$A:$AC,2,FALSE))="Martin",(VLOOKUP(Table10[[#This Row],[SKU]],'All Skus'!$A:$AC,9,FALSE)),""))</f>
        <v>VDO Sceptron 40 NoBlend Smok Dif. 320mm</v>
      </c>
      <c r="I788" s="225">
        <f>(IF((VLOOKUP(Table10[[#This Row],[SKU]],'All Skus'!$A:$AC,2,FALSE))="Martin",(VLOOKUP(Table10[[#This Row],[SKU]],'All Skus'!$A:$AC,10,FALSE)),""))</f>
        <v>29.63</v>
      </c>
      <c r="J788" s="226">
        <f>(IF((VLOOKUP(Table10[[#This Row],[SKU]],'All Skus'!$A:$AC,2,FALSE))="Martin",(VLOOKUP(Table10[[#This Row],[SKU]],'All Skus'!$A:$AC,11,FALSE)),""))</f>
        <v>29.63</v>
      </c>
      <c r="K788" s="224">
        <f>(IF((VLOOKUP(Table10[[#This Row],[SKU]],'All Skus'!$A:$AC,2,FALSE))="Martin",(VLOOKUP(Table10[[#This Row],[SKU]],'All Skus'!$A:$AC,15,FALSE)),""))</f>
        <v>0</v>
      </c>
      <c r="L788" s="224">
        <f>(IF((VLOOKUP(Table10[[#This Row],[SKU]],'All Skus'!$A:$AC,2,FALSE))="Martin",(VLOOKUP(Table10[[#This Row],[SKU]],'All Skus'!$A:$AC,16,FALSE)),""))</f>
        <v>0</v>
      </c>
      <c r="M788" s="224">
        <f>(IF((VLOOKUP(Table10[[#This Row],[SKU]],'All Skus'!$A:$AC,2,FALSE))="Martin",(VLOOKUP(Table10[[#This Row],[SKU]],'All Skus'!$A:$AC,17,FALSE)),""))</f>
        <v>0</v>
      </c>
      <c r="N788" s="227">
        <f>(IF((VLOOKUP(Table10[[#This Row],[SKU]],'All Skus'!$A:$AC,2,FALSE))="Martin",(VLOOKUP(Table10[[#This Row],[SKU]],'All Skus'!$A:$AC,18,FALSE)),""))</f>
        <v>0</v>
      </c>
      <c r="O788" s="227">
        <f>(IF((VLOOKUP(Table10[[#This Row],[SKU]],'All Skus'!$A:$AC,2,FALSE))="Martin",(VLOOKUP(Table10[[#This Row],[SKU]],'All Skus'!$A:$AC,19,FALSE)),""))</f>
        <v>0</v>
      </c>
      <c r="P788" s="227">
        <f>(IF((VLOOKUP(Table10[[#This Row],[SKU]],'All Skus'!$A:$AC,2,FALSE))="Martin",(VLOOKUP(Table10[[#This Row],[SKU]],'All Skus'!$A:$AC,20,FALSE)),""))</f>
        <v>0</v>
      </c>
      <c r="Q788" s="227">
        <f>(IF((VLOOKUP(Table10[[#This Row],[SKU]],'All Skus'!$A:$AC,2,FALSE))="Martin",(VLOOKUP(Table10[[#This Row],[SKU]],'All Skus'!$A:$AC,21,FALSE)),""))</f>
        <v>0</v>
      </c>
      <c r="R788" s="224" t="str">
        <f>(IF((VLOOKUP(Table10[[#This Row],[SKU]],'All Skus'!$A:$AC,2,FALSE))="Martin",(VLOOKUP(Table10[[#This Row],[SKU]],'All Skus'!$A:$AC,22,FALSE)),""))</f>
        <v>CN</v>
      </c>
      <c r="S788" s="223" t="str">
        <f>(IF((VLOOKUP(Table10[[#This Row],[SKU]],'All Skus'!$A:$AC,2,FALSE))="Martin",(VLOOKUP(Table10[[#This Row],[SKU]],'All Skus'!$A:$AC,23,FALSE)),""))</f>
        <v>Non Compliant</v>
      </c>
      <c r="T788" s="212" t="str">
        <f>HYPERLINK((IF((VLOOKUP(Table10[[#This Row],[SKU]],'All Skus'!$A:$AC,2,FALSE))="Martin",(VLOOKUP(Table10[[#This Row],[SKU]],'All Skus'!$A:$AC,24,FALSE)),"")))</f>
        <v>http://www.martin.com/en-us/product-details/vdo-sceptron-10</v>
      </c>
      <c r="U788" s="228">
        <v>786</v>
      </c>
    </row>
    <row r="789" spans="1:21" hidden="1">
      <c r="A789" s="112">
        <v>91610137</v>
      </c>
      <c r="B789" s="224" t="str">
        <f>(IF((VLOOKUP(Table10[[#This Row],[SKU]],'All Skus'!$A:$AC,2,FALSE))="Martin",(VLOOKUP(Table10[[#This Row],[SKU]],'All Skus'!$A:$AC,3,FALSE)),""))</f>
        <v>LED Video</v>
      </c>
      <c r="C789" s="223" t="str">
        <f>(IF((VLOOKUP(Table10[[#This Row],[SKU]],'All Skus'!$A:$AC,2,FALSE))="Martin",(VLOOKUP(Table10[[#This Row],[SKU]],'All Skus'!$A:$AC,4,FALSE)),""))</f>
        <v>VDO Sceptron 40 NoBlend Smok Dif. 1000mm</v>
      </c>
      <c r="D789" s="224" t="str">
        <f>(IF((VLOOKUP(Table10[[#This Row],[SKU]],'All Skus'!$A:$AC,2,FALSE))="Martin",(VLOOKUP(Table10[[#This Row],[SKU]],'All Skus'!$A:$AC,5,FALSE)),""))</f>
        <v>MAR-VDO</v>
      </c>
      <c r="E789" s="223">
        <f>(IF((VLOOKUP(Table10[[#This Row],[SKU]],'All Skus'!$A:$AC,2,FALSE))="Martin",(VLOOKUP(Table10[[#This Row],[SKU]],'All Skus'!$A:$AC,6,FALSE)),""))</f>
        <v>0</v>
      </c>
      <c r="F789" s="155">
        <f>(IF((VLOOKUP(Table10[[#This Row],[SKU]],'All Skus'!$A:$AC,2,FALSE))="Martin",(VLOOKUP(Table10[[#This Row],[SKU]],'All Skus'!$A:$AC,7,FALSE)),""))</f>
        <v>0</v>
      </c>
      <c r="G789" s="223" t="str">
        <f>(IF((VLOOKUP(Table10[[#This Row],[SKU]],'All Skus'!$A:$AC,2,FALSE))="Martin",(VLOOKUP(Table10[[#This Row],[SKU]],'All Skus'!$A:$AC,8,FALSE)),""))</f>
        <v>VDO Sceptron 40 NoBlend Smok Dif. 1000mm</v>
      </c>
      <c r="H789" s="223" t="str">
        <f>(IF((VLOOKUP(Table10[[#This Row],[SKU]],'All Skus'!$A:$AC,2,FALSE))="Martin",(VLOOKUP(Table10[[#This Row],[SKU]],'All Skus'!$A:$AC,9,FALSE)),""))</f>
        <v>VDO Sceptron 40 NoBlend Smok Dif. 1000mm</v>
      </c>
      <c r="I789" s="225">
        <f>(IF((VLOOKUP(Table10[[#This Row],[SKU]],'All Skus'!$A:$AC,2,FALSE))="Martin",(VLOOKUP(Table10[[#This Row],[SKU]],'All Skus'!$A:$AC,10,FALSE)),""))</f>
        <v>151.88</v>
      </c>
      <c r="J789" s="226">
        <f>(IF((VLOOKUP(Table10[[#This Row],[SKU]],'All Skus'!$A:$AC,2,FALSE))="Martin",(VLOOKUP(Table10[[#This Row],[SKU]],'All Skus'!$A:$AC,11,FALSE)),""))</f>
        <v>151.88</v>
      </c>
      <c r="K789" s="224">
        <f>(IF((VLOOKUP(Table10[[#This Row],[SKU]],'All Skus'!$A:$AC,2,FALSE))="Martin",(VLOOKUP(Table10[[#This Row],[SKU]],'All Skus'!$A:$AC,15,FALSE)),""))</f>
        <v>0</v>
      </c>
      <c r="L789" s="224">
        <f>(IF((VLOOKUP(Table10[[#This Row],[SKU]],'All Skus'!$A:$AC,2,FALSE))="Martin",(VLOOKUP(Table10[[#This Row],[SKU]],'All Skus'!$A:$AC,16,FALSE)),""))</f>
        <v>0</v>
      </c>
      <c r="M789" s="224">
        <f>(IF((VLOOKUP(Table10[[#This Row],[SKU]],'All Skus'!$A:$AC,2,FALSE))="Martin",(VLOOKUP(Table10[[#This Row],[SKU]],'All Skus'!$A:$AC,17,FALSE)),""))</f>
        <v>0</v>
      </c>
      <c r="N789" s="227">
        <f>(IF((VLOOKUP(Table10[[#This Row],[SKU]],'All Skus'!$A:$AC,2,FALSE))="Martin",(VLOOKUP(Table10[[#This Row],[SKU]],'All Skus'!$A:$AC,18,FALSE)),""))</f>
        <v>0</v>
      </c>
      <c r="O789" s="227">
        <f>(IF((VLOOKUP(Table10[[#This Row],[SKU]],'All Skus'!$A:$AC,2,FALSE))="Martin",(VLOOKUP(Table10[[#This Row],[SKU]],'All Skus'!$A:$AC,19,FALSE)),""))</f>
        <v>0</v>
      </c>
      <c r="P789" s="227">
        <f>(IF((VLOOKUP(Table10[[#This Row],[SKU]],'All Skus'!$A:$AC,2,FALSE))="Martin",(VLOOKUP(Table10[[#This Row],[SKU]],'All Skus'!$A:$AC,20,FALSE)),""))</f>
        <v>0</v>
      </c>
      <c r="Q789" s="227">
        <f>(IF((VLOOKUP(Table10[[#This Row],[SKU]],'All Skus'!$A:$AC,2,FALSE))="Martin",(VLOOKUP(Table10[[#This Row],[SKU]],'All Skus'!$A:$AC,21,FALSE)),""))</f>
        <v>0</v>
      </c>
      <c r="R789" s="224" t="str">
        <f>(IF((VLOOKUP(Table10[[#This Row],[SKU]],'All Skus'!$A:$AC,2,FALSE))="Martin",(VLOOKUP(Table10[[#This Row],[SKU]],'All Skus'!$A:$AC,22,FALSE)),""))</f>
        <v>CN</v>
      </c>
      <c r="S789" s="223" t="str">
        <f>(IF((VLOOKUP(Table10[[#This Row],[SKU]],'All Skus'!$A:$AC,2,FALSE))="Martin",(VLOOKUP(Table10[[#This Row],[SKU]],'All Skus'!$A:$AC,23,FALSE)),""))</f>
        <v>Non Compliant</v>
      </c>
      <c r="T789" s="212" t="str">
        <f>HYPERLINK((IF((VLOOKUP(Table10[[#This Row],[SKU]],'All Skus'!$A:$AC,2,FALSE))="Martin",(VLOOKUP(Table10[[#This Row],[SKU]],'All Skus'!$A:$AC,24,FALSE)),"")))</f>
        <v>http://www.martin.com/en-us/product-details/vdo-sceptron-10</v>
      </c>
      <c r="U789" s="228">
        <v>787</v>
      </c>
    </row>
    <row r="790" spans="1:21" hidden="1">
      <c r="A790" s="112">
        <v>91611670</v>
      </c>
      <c r="B790" s="224" t="str">
        <f>(IF((VLOOKUP(Table10[[#This Row],[SKU]],'All Skus'!$A:$AC,2,FALSE))="Martin",(VLOOKUP(Table10[[#This Row],[SKU]],'All Skus'!$A:$AC,3,FALSE)),""))</f>
        <v>LED Video</v>
      </c>
      <c r="C790" s="223" t="str">
        <f>(IF((VLOOKUP(Table10[[#This Row],[SKU]],'All Skus'!$A:$AC,2,FALSE))="Martin",(VLOOKUP(Table10[[#This Row],[SKU]],'All Skus'!$A:$AC,4,FALSE)),""))</f>
        <v>VDO Sceptron Asymmetric Lens 320mm</v>
      </c>
      <c r="D790" s="224" t="str">
        <f>(IF((VLOOKUP(Table10[[#This Row],[SKU]],'All Skus'!$A:$AC,2,FALSE))="Martin",(VLOOKUP(Table10[[#This Row],[SKU]],'All Skus'!$A:$AC,5,FALSE)),""))</f>
        <v>MAR-VDO</v>
      </c>
      <c r="E790" s="223">
        <f>(IF((VLOOKUP(Table10[[#This Row],[SKU]],'All Skus'!$A:$AC,2,FALSE))="Martin",(VLOOKUP(Table10[[#This Row],[SKU]],'All Skus'!$A:$AC,6,FALSE)),""))</f>
        <v>0</v>
      </c>
      <c r="F790" s="155">
        <f>(IF((VLOOKUP(Table10[[#This Row],[SKU]],'All Skus'!$A:$AC,2,FALSE))="Martin",(VLOOKUP(Table10[[#This Row],[SKU]],'All Skus'!$A:$AC,7,FALSE)),""))</f>
        <v>0</v>
      </c>
      <c r="G790" s="223" t="str">
        <f>(IF((VLOOKUP(Table10[[#This Row],[SKU]],'All Skus'!$A:$AC,2,FALSE))="Martin",(VLOOKUP(Table10[[#This Row],[SKU]],'All Skus'!$A:$AC,8,FALSE)),""))</f>
        <v>VDO Sceptron Asymmetric Lens 320mm</v>
      </c>
      <c r="H790" s="223" t="str">
        <f>(IF((VLOOKUP(Table10[[#This Row],[SKU]],'All Skus'!$A:$AC,2,FALSE))="Martin",(VLOOKUP(Table10[[#This Row],[SKU]],'All Skus'!$A:$AC,9,FALSE)),""))</f>
        <v>VDO Sceptron Asymmetric Lens 320mm</v>
      </c>
      <c r="I790" s="225">
        <f>(IF((VLOOKUP(Table10[[#This Row],[SKU]],'All Skus'!$A:$AC,2,FALSE))="Martin",(VLOOKUP(Table10[[#This Row],[SKU]],'All Skus'!$A:$AC,10,FALSE)),""))</f>
        <v>28.4</v>
      </c>
      <c r="J790" s="226">
        <f>(IF((VLOOKUP(Table10[[#This Row],[SKU]],'All Skus'!$A:$AC,2,FALSE))="Martin",(VLOOKUP(Table10[[#This Row],[SKU]],'All Skus'!$A:$AC,11,FALSE)),""))</f>
        <v>28.4</v>
      </c>
      <c r="K790" s="224">
        <f>(IF((VLOOKUP(Table10[[#This Row],[SKU]],'All Skus'!$A:$AC,2,FALSE))="Martin",(VLOOKUP(Table10[[#This Row],[SKU]],'All Skus'!$A:$AC,15,FALSE)),""))</f>
        <v>0</v>
      </c>
      <c r="L790" s="224">
        <f>(IF((VLOOKUP(Table10[[#This Row],[SKU]],'All Skus'!$A:$AC,2,FALSE))="Martin",(VLOOKUP(Table10[[#This Row],[SKU]],'All Skus'!$A:$AC,16,FALSE)),""))</f>
        <v>0</v>
      </c>
      <c r="M790" s="224">
        <f>(IF((VLOOKUP(Table10[[#This Row],[SKU]],'All Skus'!$A:$AC,2,FALSE))="Martin",(VLOOKUP(Table10[[#This Row],[SKU]],'All Skus'!$A:$AC,17,FALSE)),""))</f>
        <v>0</v>
      </c>
      <c r="N790" s="227">
        <f>(IF((VLOOKUP(Table10[[#This Row],[SKU]],'All Skus'!$A:$AC,2,FALSE))="Martin",(VLOOKUP(Table10[[#This Row],[SKU]],'All Skus'!$A:$AC,18,FALSE)),""))</f>
        <v>0</v>
      </c>
      <c r="O790" s="227">
        <f>(IF((VLOOKUP(Table10[[#This Row],[SKU]],'All Skus'!$A:$AC,2,FALSE))="Martin",(VLOOKUP(Table10[[#This Row],[SKU]],'All Skus'!$A:$AC,19,FALSE)),""))</f>
        <v>0</v>
      </c>
      <c r="P790" s="227">
        <f>(IF((VLOOKUP(Table10[[#This Row],[SKU]],'All Skus'!$A:$AC,2,FALSE))="Martin",(VLOOKUP(Table10[[#This Row],[SKU]],'All Skus'!$A:$AC,20,FALSE)),""))</f>
        <v>0</v>
      </c>
      <c r="Q790" s="227">
        <f>(IF((VLOOKUP(Table10[[#This Row],[SKU]],'All Skus'!$A:$AC,2,FALSE))="Martin",(VLOOKUP(Table10[[#This Row],[SKU]],'All Skus'!$A:$AC,21,FALSE)),""))</f>
        <v>0</v>
      </c>
      <c r="R790" s="224" t="str">
        <f>(IF((VLOOKUP(Table10[[#This Row],[SKU]],'All Skus'!$A:$AC,2,FALSE))="Martin",(VLOOKUP(Table10[[#This Row],[SKU]],'All Skus'!$A:$AC,22,FALSE)),""))</f>
        <v>CN</v>
      </c>
      <c r="S790" s="223" t="str">
        <f>(IF((VLOOKUP(Table10[[#This Row],[SKU]],'All Skus'!$A:$AC,2,FALSE))="Martin",(VLOOKUP(Table10[[#This Row],[SKU]],'All Skus'!$A:$AC,23,FALSE)),""))</f>
        <v>Non Compliant</v>
      </c>
      <c r="T790" s="212" t="str">
        <f>HYPERLINK((IF((VLOOKUP(Table10[[#This Row],[SKU]],'All Skus'!$A:$AC,2,FALSE))="Martin",(VLOOKUP(Table10[[#This Row],[SKU]],'All Skus'!$A:$AC,24,FALSE)),"")))</f>
        <v>http://www.martin.com/en-us/product-details/vdo-sceptron-10</v>
      </c>
      <c r="U790" s="228">
        <v>788</v>
      </c>
    </row>
    <row r="791" spans="1:21" hidden="1">
      <c r="A791" s="112">
        <v>91611680</v>
      </c>
      <c r="B791" s="224">
        <f>(IF((VLOOKUP(Table10[[#This Row],[SKU]],'All Skus'!$A:$AC,2,FALSE))="Martin",(VLOOKUP(Table10[[#This Row],[SKU]],'All Skus'!$A:$AC,3,FALSE)),""))</f>
        <v>0</v>
      </c>
      <c r="C791" s="223" t="str">
        <f>(IF((VLOOKUP(Table10[[#This Row],[SKU]],'All Skus'!$A:$AC,2,FALSE))="Martin",(VLOOKUP(Table10[[#This Row],[SKU]],'All Skus'!$A:$AC,4,FALSE)),""))</f>
        <v>VDO Sceptron Asymmetric Lens 1000mm</v>
      </c>
      <c r="D791" s="224" t="str">
        <f>(IF((VLOOKUP(Table10[[#This Row],[SKU]],'All Skus'!$A:$AC,2,FALSE))="Martin",(VLOOKUP(Table10[[#This Row],[SKU]],'All Skus'!$A:$AC,5,FALSE)),""))</f>
        <v>MAR-VDO</v>
      </c>
      <c r="E791" s="223">
        <f>(IF((VLOOKUP(Table10[[#This Row],[SKU]],'All Skus'!$A:$AC,2,FALSE))="Martin",(VLOOKUP(Table10[[#This Row],[SKU]],'All Skus'!$A:$AC,6,FALSE)),""))</f>
        <v>0</v>
      </c>
      <c r="F791" s="155">
        <f>(IF((VLOOKUP(Table10[[#This Row],[SKU]],'All Skus'!$A:$AC,2,FALSE))="Martin",(VLOOKUP(Table10[[#This Row],[SKU]],'All Skus'!$A:$AC,7,FALSE)),""))</f>
        <v>0</v>
      </c>
      <c r="G791" s="223" t="str">
        <f>(IF((VLOOKUP(Table10[[#This Row],[SKU]],'All Skus'!$A:$AC,2,FALSE))="Martin",(VLOOKUP(Table10[[#This Row],[SKU]],'All Skus'!$A:$AC,8,FALSE)),""))</f>
        <v>VDO Sceptron Asymmetric Lens 1000mm</v>
      </c>
      <c r="H791" s="223" t="str">
        <f>(IF((VLOOKUP(Table10[[#This Row],[SKU]],'All Skus'!$A:$AC,2,FALSE))="Martin",(VLOOKUP(Table10[[#This Row],[SKU]],'All Skus'!$A:$AC,9,FALSE)),""))</f>
        <v>VDO Sceptron Asymmetric Lens 1000mm</v>
      </c>
      <c r="I791" s="225">
        <f>(IF((VLOOKUP(Table10[[#This Row],[SKU]],'All Skus'!$A:$AC,2,FALSE))="Martin",(VLOOKUP(Table10[[#This Row],[SKU]],'All Skus'!$A:$AC,10,FALSE)),""))</f>
        <v>62.97</v>
      </c>
      <c r="J791" s="226">
        <f>(IF((VLOOKUP(Table10[[#This Row],[SKU]],'All Skus'!$A:$AC,2,FALSE))="Martin",(VLOOKUP(Table10[[#This Row],[SKU]],'All Skus'!$A:$AC,11,FALSE)),""))</f>
        <v>62.97</v>
      </c>
      <c r="K791" s="224">
        <f>(IF((VLOOKUP(Table10[[#This Row],[SKU]],'All Skus'!$A:$AC,2,FALSE))="Martin",(VLOOKUP(Table10[[#This Row],[SKU]],'All Skus'!$A:$AC,15,FALSE)),""))</f>
        <v>0</v>
      </c>
      <c r="L791" s="224">
        <f>(IF((VLOOKUP(Table10[[#This Row],[SKU]],'All Skus'!$A:$AC,2,FALSE))="Martin",(VLOOKUP(Table10[[#This Row],[SKU]],'All Skus'!$A:$AC,16,FALSE)),""))</f>
        <v>0</v>
      </c>
      <c r="M791" s="224">
        <f>(IF((VLOOKUP(Table10[[#This Row],[SKU]],'All Skus'!$A:$AC,2,FALSE))="Martin",(VLOOKUP(Table10[[#This Row],[SKU]],'All Skus'!$A:$AC,17,FALSE)),""))</f>
        <v>0</v>
      </c>
      <c r="N791" s="227">
        <f>(IF((VLOOKUP(Table10[[#This Row],[SKU]],'All Skus'!$A:$AC,2,FALSE))="Martin",(VLOOKUP(Table10[[#This Row],[SKU]],'All Skus'!$A:$AC,18,FALSE)),""))</f>
        <v>0</v>
      </c>
      <c r="O791" s="227">
        <f>(IF((VLOOKUP(Table10[[#This Row],[SKU]],'All Skus'!$A:$AC,2,FALSE))="Martin",(VLOOKUP(Table10[[#This Row],[SKU]],'All Skus'!$A:$AC,19,FALSE)),""))</f>
        <v>0</v>
      </c>
      <c r="P791" s="227">
        <f>(IF((VLOOKUP(Table10[[#This Row],[SKU]],'All Skus'!$A:$AC,2,FALSE))="Martin",(VLOOKUP(Table10[[#This Row],[SKU]],'All Skus'!$A:$AC,20,FALSE)),""))</f>
        <v>0</v>
      </c>
      <c r="Q791" s="227">
        <f>(IF((VLOOKUP(Table10[[#This Row],[SKU]],'All Skus'!$A:$AC,2,FALSE))="Martin",(VLOOKUP(Table10[[#This Row],[SKU]],'All Skus'!$A:$AC,21,FALSE)),""))</f>
        <v>0</v>
      </c>
      <c r="R791" s="224">
        <f>(IF((VLOOKUP(Table10[[#This Row],[SKU]],'All Skus'!$A:$AC,2,FALSE))="Martin",(VLOOKUP(Table10[[#This Row],[SKU]],'All Skus'!$A:$AC,22,FALSE)),""))</f>
        <v>0</v>
      </c>
      <c r="S791" s="223">
        <f>(IF((VLOOKUP(Table10[[#This Row],[SKU]],'All Skus'!$A:$AC,2,FALSE))="Martin",(VLOOKUP(Table10[[#This Row],[SKU]],'All Skus'!$A:$AC,23,FALSE)),""))</f>
        <v>0</v>
      </c>
      <c r="T791" s="212" t="str">
        <f>HYPERLINK((IF((VLOOKUP(Table10[[#This Row],[SKU]],'All Skus'!$A:$AC,2,FALSE))="Martin",(VLOOKUP(Table10[[#This Row],[SKU]],'All Skus'!$A:$AC,24,FALSE)),"")))</f>
        <v/>
      </c>
      <c r="U791" s="228">
        <v>789</v>
      </c>
    </row>
    <row r="792" spans="1:21" hidden="1">
      <c r="A792" s="112">
        <v>91610140</v>
      </c>
      <c r="B792" s="224" t="str">
        <f>(IF((VLOOKUP(Table10[[#This Row],[SKU]],'All Skus'!$A:$AC,2,FALSE))="Martin",(VLOOKUP(Table10[[#This Row],[SKU]],'All Skus'!$A:$AC,3,FALSE)),""))</f>
        <v>LED Video</v>
      </c>
      <c r="C792" s="223" t="str">
        <f>(IF((VLOOKUP(Table10[[#This Row],[SKU]],'All Skus'!$A:$AC,2,FALSE))="Martin",(VLOOKUP(Table10[[#This Row],[SKU]],'All Skus'!$A:$AC,4,FALSE)),""))</f>
        <v>VDO Sceptron 20 Lens Array Narrow 320mm</v>
      </c>
      <c r="D792" s="224" t="str">
        <f>(IF((VLOOKUP(Table10[[#This Row],[SKU]],'All Skus'!$A:$AC,2,FALSE))="Martin",(VLOOKUP(Table10[[#This Row],[SKU]],'All Skus'!$A:$AC,5,FALSE)),""))</f>
        <v>MAR-VDO</v>
      </c>
      <c r="E792" s="223">
        <f>(IF((VLOOKUP(Table10[[#This Row],[SKU]],'All Skus'!$A:$AC,2,FALSE))="Martin",(VLOOKUP(Table10[[#This Row],[SKU]],'All Skus'!$A:$AC,6,FALSE)),""))</f>
        <v>0</v>
      </c>
      <c r="F792" s="155">
        <f>(IF((VLOOKUP(Table10[[#This Row],[SKU]],'All Skus'!$A:$AC,2,FALSE))="Martin",(VLOOKUP(Table10[[#This Row],[SKU]],'All Skus'!$A:$AC,7,FALSE)),""))</f>
        <v>0</v>
      </c>
      <c r="G792" s="223" t="str">
        <f>(IF((VLOOKUP(Table10[[#This Row],[SKU]],'All Skus'!$A:$AC,2,FALSE))="Martin",(VLOOKUP(Table10[[#This Row],[SKU]],'All Skus'!$A:$AC,8,FALSE)),""))</f>
        <v>VDO Sceptron 20 Lens Array Narrow 320mm</v>
      </c>
      <c r="H792" s="223" t="str">
        <f>(IF((VLOOKUP(Table10[[#This Row],[SKU]],'All Skus'!$A:$AC,2,FALSE))="Martin",(VLOOKUP(Table10[[#This Row],[SKU]],'All Skus'!$A:$AC,9,FALSE)),""))</f>
        <v>VDO Sceptron 20 Lens Array Narrow 320mm</v>
      </c>
      <c r="I792" s="225">
        <f>(IF((VLOOKUP(Table10[[#This Row],[SKU]],'All Skus'!$A:$AC,2,FALSE))="Martin",(VLOOKUP(Table10[[#This Row],[SKU]],'All Skus'!$A:$AC,10,FALSE)),""))</f>
        <v>55.56</v>
      </c>
      <c r="J792" s="226">
        <f>(IF((VLOOKUP(Table10[[#This Row],[SKU]],'All Skus'!$A:$AC,2,FALSE))="Martin",(VLOOKUP(Table10[[#This Row],[SKU]],'All Skus'!$A:$AC,11,FALSE)),""))</f>
        <v>55.56</v>
      </c>
      <c r="K792" s="224">
        <f>(IF((VLOOKUP(Table10[[#This Row],[SKU]],'All Skus'!$A:$AC,2,FALSE))="Martin",(VLOOKUP(Table10[[#This Row],[SKU]],'All Skus'!$A:$AC,15,FALSE)),""))</f>
        <v>0</v>
      </c>
      <c r="L792" s="224">
        <f>(IF((VLOOKUP(Table10[[#This Row],[SKU]],'All Skus'!$A:$AC,2,FALSE))="Martin",(VLOOKUP(Table10[[#This Row],[SKU]],'All Skus'!$A:$AC,16,FALSE)),""))</f>
        <v>0</v>
      </c>
      <c r="M792" s="224">
        <f>(IF((VLOOKUP(Table10[[#This Row],[SKU]],'All Skus'!$A:$AC,2,FALSE))="Martin",(VLOOKUP(Table10[[#This Row],[SKU]],'All Skus'!$A:$AC,17,FALSE)),""))</f>
        <v>0</v>
      </c>
      <c r="N792" s="227">
        <f>(IF((VLOOKUP(Table10[[#This Row],[SKU]],'All Skus'!$A:$AC,2,FALSE))="Martin",(VLOOKUP(Table10[[#This Row],[SKU]],'All Skus'!$A:$AC,18,FALSE)),""))</f>
        <v>0</v>
      </c>
      <c r="O792" s="227">
        <f>(IF((VLOOKUP(Table10[[#This Row],[SKU]],'All Skus'!$A:$AC,2,FALSE))="Martin",(VLOOKUP(Table10[[#This Row],[SKU]],'All Skus'!$A:$AC,19,FALSE)),""))</f>
        <v>0</v>
      </c>
      <c r="P792" s="227">
        <f>(IF((VLOOKUP(Table10[[#This Row],[SKU]],'All Skus'!$A:$AC,2,FALSE))="Martin",(VLOOKUP(Table10[[#This Row],[SKU]],'All Skus'!$A:$AC,20,FALSE)),""))</f>
        <v>0</v>
      </c>
      <c r="Q792" s="227">
        <f>(IF((VLOOKUP(Table10[[#This Row],[SKU]],'All Skus'!$A:$AC,2,FALSE))="Martin",(VLOOKUP(Table10[[#This Row],[SKU]],'All Skus'!$A:$AC,21,FALSE)),""))</f>
        <v>0</v>
      </c>
      <c r="R792" s="224" t="str">
        <f>(IF((VLOOKUP(Table10[[#This Row],[SKU]],'All Skus'!$A:$AC,2,FALSE))="Martin",(VLOOKUP(Table10[[#This Row],[SKU]],'All Skus'!$A:$AC,22,FALSE)),""))</f>
        <v>CN</v>
      </c>
      <c r="S792" s="223" t="str">
        <f>(IF((VLOOKUP(Table10[[#This Row],[SKU]],'All Skus'!$A:$AC,2,FALSE))="Martin",(VLOOKUP(Table10[[#This Row],[SKU]],'All Skus'!$A:$AC,23,FALSE)),""))</f>
        <v>Non Compliant</v>
      </c>
      <c r="T792" s="212" t="str">
        <f>HYPERLINK((IF((VLOOKUP(Table10[[#This Row],[SKU]],'All Skus'!$A:$AC,2,FALSE))="Martin",(VLOOKUP(Table10[[#This Row],[SKU]],'All Skus'!$A:$AC,24,FALSE)),"")))</f>
        <v>http://www.martin.com/en-us/product-details/vdo-sceptron-20</v>
      </c>
      <c r="U792" s="228">
        <v>790</v>
      </c>
    </row>
    <row r="793" spans="1:21" hidden="1">
      <c r="A793" s="112">
        <v>91610141</v>
      </c>
      <c r="B793" s="224" t="str">
        <f>(IF((VLOOKUP(Table10[[#This Row],[SKU]],'All Skus'!$A:$AC,2,FALSE))="Martin",(VLOOKUP(Table10[[#This Row],[SKU]],'All Skus'!$A:$AC,3,FALSE)),""))</f>
        <v>LED Video</v>
      </c>
      <c r="C793" s="223" t="str">
        <f>(IF((VLOOKUP(Table10[[#This Row],[SKU]],'All Skus'!$A:$AC,2,FALSE))="Martin",(VLOOKUP(Table10[[#This Row],[SKU]],'All Skus'!$A:$AC,4,FALSE)),""))</f>
        <v>VDO Sceptron 20 Lens Array Narrow 1000mm</v>
      </c>
      <c r="D793" s="224" t="str">
        <f>(IF((VLOOKUP(Table10[[#This Row],[SKU]],'All Skus'!$A:$AC,2,FALSE))="Martin",(VLOOKUP(Table10[[#This Row],[SKU]],'All Skus'!$A:$AC,5,FALSE)),""))</f>
        <v>MAR-VDO</v>
      </c>
      <c r="E793" s="223">
        <f>(IF((VLOOKUP(Table10[[#This Row],[SKU]],'All Skus'!$A:$AC,2,FALSE))="Martin",(VLOOKUP(Table10[[#This Row],[SKU]],'All Skus'!$A:$AC,6,FALSE)),""))</f>
        <v>0</v>
      </c>
      <c r="F793" s="155">
        <f>(IF((VLOOKUP(Table10[[#This Row],[SKU]],'All Skus'!$A:$AC,2,FALSE))="Martin",(VLOOKUP(Table10[[#This Row],[SKU]],'All Skus'!$A:$AC,7,FALSE)),""))</f>
        <v>0</v>
      </c>
      <c r="G793" s="223" t="str">
        <f>(IF((VLOOKUP(Table10[[#This Row],[SKU]],'All Skus'!$A:$AC,2,FALSE))="Martin",(VLOOKUP(Table10[[#This Row],[SKU]],'All Skus'!$A:$AC,8,FALSE)),""))</f>
        <v>VDO Sceptron 20 Lens Array Narrow 1000mm</v>
      </c>
      <c r="H793" s="223" t="str">
        <f>(IF((VLOOKUP(Table10[[#This Row],[SKU]],'All Skus'!$A:$AC,2,FALSE))="Martin",(VLOOKUP(Table10[[#This Row],[SKU]],'All Skus'!$A:$AC,9,FALSE)),""))</f>
        <v>VDO Sceptron 20 Lens Array Narrow 1000mm</v>
      </c>
      <c r="I793" s="225">
        <f>(IF((VLOOKUP(Table10[[#This Row],[SKU]],'All Skus'!$A:$AC,2,FALSE))="Martin",(VLOOKUP(Table10[[#This Row],[SKU]],'All Skus'!$A:$AC,10,FALSE)),""))</f>
        <v>158.05000000000001</v>
      </c>
      <c r="J793" s="226">
        <f>(IF((VLOOKUP(Table10[[#This Row],[SKU]],'All Skus'!$A:$AC,2,FALSE))="Martin",(VLOOKUP(Table10[[#This Row],[SKU]],'All Skus'!$A:$AC,11,FALSE)),""))</f>
        <v>158.05000000000001</v>
      </c>
      <c r="K793" s="224">
        <f>(IF((VLOOKUP(Table10[[#This Row],[SKU]],'All Skus'!$A:$AC,2,FALSE))="Martin",(VLOOKUP(Table10[[#This Row],[SKU]],'All Skus'!$A:$AC,15,FALSE)),""))</f>
        <v>0</v>
      </c>
      <c r="L793" s="224">
        <f>(IF((VLOOKUP(Table10[[#This Row],[SKU]],'All Skus'!$A:$AC,2,FALSE))="Martin",(VLOOKUP(Table10[[#This Row],[SKU]],'All Skus'!$A:$AC,16,FALSE)),""))</f>
        <v>0</v>
      </c>
      <c r="M793" s="224">
        <f>(IF((VLOOKUP(Table10[[#This Row],[SKU]],'All Skus'!$A:$AC,2,FALSE))="Martin",(VLOOKUP(Table10[[#This Row],[SKU]],'All Skus'!$A:$AC,17,FALSE)),""))</f>
        <v>0</v>
      </c>
      <c r="N793" s="227">
        <f>(IF((VLOOKUP(Table10[[#This Row],[SKU]],'All Skus'!$A:$AC,2,FALSE))="Martin",(VLOOKUP(Table10[[#This Row],[SKU]],'All Skus'!$A:$AC,18,FALSE)),""))</f>
        <v>0</v>
      </c>
      <c r="O793" s="227">
        <f>(IF((VLOOKUP(Table10[[#This Row],[SKU]],'All Skus'!$A:$AC,2,FALSE))="Martin",(VLOOKUP(Table10[[#This Row],[SKU]],'All Skus'!$A:$AC,19,FALSE)),""))</f>
        <v>0</v>
      </c>
      <c r="P793" s="227">
        <f>(IF((VLOOKUP(Table10[[#This Row],[SKU]],'All Skus'!$A:$AC,2,FALSE))="Martin",(VLOOKUP(Table10[[#This Row],[SKU]],'All Skus'!$A:$AC,20,FALSE)),""))</f>
        <v>0</v>
      </c>
      <c r="Q793" s="227">
        <f>(IF((VLOOKUP(Table10[[#This Row],[SKU]],'All Skus'!$A:$AC,2,FALSE))="Martin",(VLOOKUP(Table10[[#This Row],[SKU]],'All Skus'!$A:$AC,21,FALSE)),""))</f>
        <v>0</v>
      </c>
      <c r="R793" s="224" t="str">
        <f>(IF((VLOOKUP(Table10[[#This Row],[SKU]],'All Skus'!$A:$AC,2,FALSE))="Martin",(VLOOKUP(Table10[[#This Row],[SKU]],'All Skus'!$A:$AC,22,FALSE)),""))</f>
        <v>CN</v>
      </c>
      <c r="S793" s="223" t="str">
        <f>(IF((VLOOKUP(Table10[[#This Row],[SKU]],'All Skus'!$A:$AC,2,FALSE))="Martin",(VLOOKUP(Table10[[#This Row],[SKU]],'All Skus'!$A:$AC,23,FALSE)),""))</f>
        <v>Non Compliant</v>
      </c>
      <c r="T793" s="212" t="str">
        <f>HYPERLINK((IF((VLOOKUP(Table10[[#This Row],[SKU]],'All Skus'!$A:$AC,2,FALSE))="Martin",(VLOOKUP(Table10[[#This Row],[SKU]],'All Skus'!$A:$AC,24,FALSE)),"")))</f>
        <v>http://www.martin.com/en-us/product-details/vdo-sceptron-20</v>
      </c>
      <c r="U793" s="228">
        <v>791</v>
      </c>
    </row>
    <row r="794" spans="1:21" hidden="1">
      <c r="A794" s="112">
        <v>91610142</v>
      </c>
      <c r="B794" s="224" t="str">
        <f>(IF((VLOOKUP(Table10[[#This Row],[SKU]],'All Skus'!$A:$AC,2,FALSE))="Martin",(VLOOKUP(Table10[[#This Row],[SKU]],'All Skus'!$A:$AC,3,FALSE)),""))</f>
        <v>LED Video</v>
      </c>
      <c r="C794" s="223" t="str">
        <f>(IF((VLOOKUP(Table10[[#This Row],[SKU]],'All Skus'!$A:$AC,2,FALSE))="Martin",(VLOOKUP(Table10[[#This Row],[SKU]],'All Skus'!$A:$AC,4,FALSE)),""))</f>
        <v>VDO Sceptron 40 Lens Array Narrow 320mm</v>
      </c>
      <c r="D794" s="224" t="str">
        <f>(IF((VLOOKUP(Table10[[#This Row],[SKU]],'All Skus'!$A:$AC,2,FALSE))="Martin",(VLOOKUP(Table10[[#This Row],[SKU]],'All Skus'!$A:$AC,5,FALSE)),""))</f>
        <v>MAR-VDO</v>
      </c>
      <c r="E794" s="223">
        <f>(IF((VLOOKUP(Table10[[#This Row],[SKU]],'All Skus'!$A:$AC,2,FALSE))="Martin",(VLOOKUP(Table10[[#This Row],[SKU]],'All Skus'!$A:$AC,6,FALSE)),""))</f>
        <v>0</v>
      </c>
      <c r="F794" s="155">
        <f>(IF((VLOOKUP(Table10[[#This Row],[SKU]],'All Skus'!$A:$AC,2,FALSE))="Martin",(VLOOKUP(Table10[[#This Row],[SKU]],'All Skus'!$A:$AC,7,FALSE)),""))</f>
        <v>0</v>
      </c>
      <c r="G794" s="223" t="str">
        <f>(IF((VLOOKUP(Table10[[#This Row],[SKU]],'All Skus'!$A:$AC,2,FALSE))="Martin",(VLOOKUP(Table10[[#This Row],[SKU]],'All Skus'!$A:$AC,8,FALSE)),""))</f>
        <v>VDO Sceptron 40 Lens Array Narrow 320mm</v>
      </c>
      <c r="H794" s="223" t="str">
        <f>(IF((VLOOKUP(Table10[[#This Row],[SKU]],'All Skus'!$A:$AC,2,FALSE))="Martin",(VLOOKUP(Table10[[#This Row],[SKU]],'All Skus'!$A:$AC,9,FALSE)),""))</f>
        <v>VDO Sceptron 40 Lens Array Narrow 320mm</v>
      </c>
      <c r="I794" s="225">
        <f>(IF((VLOOKUP(Table10[[#This Row],[SKU]],'All Skus'!$A:$AC,2,FALSE))="Martin",(VLOOKUP(Table10[[#This Row],[SKU]],'All Skus'!$A:$AC,10,FALSE)),""))</f>
        <v>39.51</v>
      </c>
      <c r="J794" s="226">
        <f>(IF((VLOOKUP(Table10[[#This Row],[SKU]],'All Skus'!$A:$AC,2,FALSE))="Martin",(VLOOKUP(Table10[[#This Row],[SKU]],'All Skus'!$A:$AC,11,FALSE)),""))</f>
        <v>39.51</v>
      </c>
      <c r="K794" s="224">
        <f>(IF((VLOOKUP(Table10[[#This Row],[SKU]],'All Skus'!$A:$AC,2,FALSE))="Martin",(VLOOKUP(Table10[[#This Row],[SKU]],'All Skus'!$A:$AC,15,FALSE)),""))</f>
        <v>0</v>
      </c>
      <c r="L794" s="224">
        <f>(IF((VLOOKUP(Table10[[#This Row],[SKU]],'All Skus'!$A:$AC,2,FALSE))="Martin",(VLOOKUP(Table10[[#This Row],[SKU]],'All Skus'!$A:$AC,16,FALSE)),""))</f>
        <v>0</v>
      </c>
      <c r="M794" s="224">
        <f>(IF((VLOOKUP(Table10[[#This Row],[SKU]],'All Skus'!$A:$AC,2,FALSE))="Martin",(VLOOKUP(Table10[[#This Row],[SKU]],'All Skus'!$A:$AC,17,FALSE)),""))</f>
        <v>0</v>
      </c>
      <c r="N794" s="227">
        <f>(IF((VLOOKUP(Table10[[#This Row],[SKU]],'All Skus'!$A:$AC,2,FALSE))="Martin",(VLOOKUP(Table10[[#This Row],[SKU]],'All Skus'!$A:$AC,18,FALSE)),""))</f>
        <v>0</v>
      </c>
      <c r="O794" s="227">
        <f>(IF((VLOOKUP(Table10[[#This Row],[SKU]],'All Skus'!$A:$AC,2,FALSE))="Martin",(VLOOKUP(Table10[[#This Row],[SKU]],'All Skus'!$A:$AC,19,FALSE)),""))</f>
        <v>0</v>
      </c>
      <c r="P794" s="227">
        <f>(IF((VLOOKUP(Table10[[#This Row],[SKU]],'All Skus'!$A:$AC,2,FALSE))="Martin",(VLOOKUP(Table10[[#This Row],[SKU]],'All Skus'!$A:$AC,20,FALSE)),""))</f>
        <v>0</v>
      </c>
      <c r="Q794" s="227">
        <f>(IF((VLOOKUP(Table10[[#This Row],[SKU]],'All Skus'!$A:$AC,2,FALSE))="Martin",(VLOOKUP(Table10[[#This Row],[SKU]],'All Skus'!$A:$AC,21,FALSE)),""))</f>
        <v>0</v>
      </c>
      <c r="R794" s="224" t="str">
        <f>(IF((VLOOKUP(Table10[[#This Row],[SKU]],'All Skus'!$A:$AC,2,FALSE))="Martin",(VLOOKUP(Table10[[#This Row],[SKU]],'All Skus'!$A:$AC,22,FALSE)),""))</f>
        <v>CN</v>
      </c>
      <c r="S794" s="223" t="str">
        <f>(IF((VLOOKUP(Table10[[#This Row],[SKU]],'All Skus'!$A:$AC,2,FALSE))="Martin",(VLOOKUP(Table10[[#This Row],[SKU]],'All Skus'!$A:$AC,23,FALSE)),""))</f>
        <v>Non Compliant</v>
      </c>
      <c r="T794" s="212" t="str">
        <f>HYPERLINK((IF((VLOOKUP(Table10[[#This Row],[SKU]],'All Skus'!$A:$AC,2,FALSE))="Martin",(VLOOKUP(Table10[[#This Row],[SKU]],'All Skus'!$A:$AC,24,FALSE)),"")))</f>
        <v>http://www.martin.com/en-us/product-details/vdo-sceptron-40</v>
      </c>
      <c r="U794" s="228">
        <v>792</v>
      </c>
    </row>
    <row r="795" spans="1:21" hidden="1">
      <c r="A795" s="112">
        <v>91610143</v>
      </c>
      <c r="B795" s="224" t="str">
        <f>(IF((VLOOKUP(Table10[[#This Row],[SKU]],'All Skus'!$A:$AC,2,FALSE))="Martin",(VLOOKUP(Table10[[#This Row],[SKU]],'All Skus'!$A:$AC,3,FALSE)),""))</f>
        <v>LED Video</v>
      </c>
      <c r="C795" s="223" t="str">
        <f>(IF((VLOOKUP(Table10[[#This Row],[SKU]],'All Skus'!$A:$AC,2,FALSE))="Martin",(VLOOKUP(Table10[[#This Row],[SKU]],'All Skus'!$A:$AC,4,FALSE)),""))</f>
        <v>VDO Sceptron 40 Lens Array Narrow 1000mm</v>
      </c>
      <c r="D795" s="224" t="str">
        <f>(IF((VLOOKUP(Table10[[#This Row],[SKU]],'All Skus'!$A:$AC,2,FALSE))="Martin",(VLOOKUP(Table10[[#This Row],[SKU]],'All Skus'!$A:$AC,5,FALSE)),""))</f>
        <v>MAR-VDO</v>
      </c>
      <c r="E795" s="223">
        <f>(IF((VLOOKUP(Table10[[#This Row],[SKU]],'All Skus'!$A:$AC,2,FALSE))="Martin",(VLOOKUP(Table10[[#This Row],[SKU]],'All Skus'!$A:$AC,6,FALSE)),""))</f>
        <v>0</v>
      </c>
      <c r="F795" s="155">
        <f>(IF((VLOOKUP(Table10[[#This Row],[SKU]],'All Skus'!$A:$AC,2,FALSE))="Martin",(VLOOKUP(Table10[[#This Row],[SKU]],'All Skus'!$A:$AC,7,FALSE)),""))</f>
        <v>0</v>
      </c>
      <c r="G795" s="223" t="str">
        <f>(IF((VLOOKUP(Table10[[#This Row],[SKU]],'All Skus'!$A:$AC,2,FALSE))="Martin",(VLOOKUP(Table10[[#This Row],[SKU]],'All Skus'!$A:$AC,8,FALSE)),""))</f>
        <v>VDO Sceptron 40 Lens Array Narrow 1000mm</v>
      </c>
      <c r="H795" s="223" t="str">
        <f>(IF((VLOOKUP(Table10[[#This Row],[SKU]],'All Skus'!$A:$AC,2,FALSE))="Martin",(VLOOKUP(Table10[[#This Row],[SKU]],'All Skus'!$A:$AC,9,FALSE)),""))</f>
        <v>VDO Sceptron 40 Lens Array Narrow 1000mm</v>
      </c>
      <c r="I795" s="225">
        <f>(IF((VLOOKUP(Table10[[#This Row],[SKU]],'All Skus'!$A:$AC,2,FALSE))="Martin",(VLOOKUP(Table10[[#This Row],[SKU]],'All Skus'!$A:$AC,10,FALSE)),""))</f>
        <v>113.6</v>
      </c>
      <c r="J795" s="226">
        <f>(IF((VLOOKUP(Table10[[#This Row],[SKU]],'All Skus'!$A:$AC,2,FALSE))="Martin",(VLOOKUP(Table10[[#This Row],[SKU]],'All Skus'!$A:$AC,11,FALSE)),""))</f>
        <v>113.6</v>
      </c>
      <c r="K795" s="224">
        <f>(IF((VLOOKUP(Table10[[#This Row],[SKU]],'All Skus'!$A:$AC,2,FALSE))="Martin",(VLOOKUP(Table10[[#This Row],[SKU]],'All Skus'!$A:$AC,15,FALSE)),""))</f>
        <v>0</v>
      </c>
      <c r="L795" s="224">
        <f>(IF((VLOOKUP(Table10[[#This Row],[SKU]],'All Skus'!$A:$AC,2,FALSE))="Martin",(VLOOKUP(Table10[[#This Row],[SKU]],'All Skus'!$A:$AC,16,FALSE)),""))</f>
        <v>0</v>
      </c>
      <c r="M795" s="224">
        <f>(IF((VLOOKUP(Table10[[#This Row],[SKU]],'All Skus'!$A:$AC,2,FALSE))="Martin",(VLOOKUP(Table10[[#This Row],[SKU]],'All Skus'!$A:$AC,17,FALSE)),""))</f>
        <v>0</v>
      </c>
      <c r="N795" s="227">
        <f>(IF((VLOOKUP(Table10[[#This Row],[SKU]],'All Skus'!$A:$AC,2,FALSE))="Martin",(VLOOKUP(Table10[[#This Row],[SKU]],'All Skus'!$A:$AC,18,FALSE)),""))</f>
        <v>0</v>
      </c>
      <c r="O795" s="227">
        <f>(IF((VLOOKUP(Table10[[#This Row],[SKU]],'All Skus'!$A:$AC,2,FALSE))="Martin",(VLOOKUP(Table10[[#This Row],[SKU]],'All Skus'!$A:$AC,19,FALSE)),""))</f>
        <v>0</v>
      </c>
      <c r="P795" s="227">
        <f>(IF((VLOOKUP(Table10[[#This Row],[SKU]],'All Skus'!$A:$AC,2,FALSE))="Martin",(VLOOKUP(Table10[[#This Row],[SKU]],'All Skus'!$A:$AC,20,FALSE)),""))</f>
        <v>0</v>
      </c>
      <c r="Q795" s="227">
        <f>(IF((VLOOKUP(Table10[[#This Row],[SKU]],'All Skus'!$A:$AC,2,FALSE))="Martin",(VLOOKUP(Table10[[#This Row],[SKU]],'All Skus'!$A:$AC,21,FALSE)),""))</f>
        <v>0</v>
      </c>
      <c r="R795" s="224" t="str">
        <f>(IF((VLOOKUP(Table10[[#This Row],[SKU]],'All Skus'!$A:$AC,2,FALSE))="Martin",(VLOOKUP(Table10[[#This Row],[SKU]],'All Skus'!$A:$AC,22,FALSE)),""))</f>
        <v>CN</v>
      </c>
      <c r="S795" s="223" t="str">
        <f>(IF((VLOOKUP(Table10[[#This Row],[SKU]],'All Skus'!$A:$AC,2,FALSE))="Martin",(VLOOKUP(Table10[[#This Row],[SKU]],'All Skus'!$A:$AC,23,FALSE)),""))</f>
        <v>Non Compliant</v>
      </c>
      <c r="T795" s="212" t="str">
        <f>HYPERLINK((IF((VLOOKUP(Table10[[#This Row],[SKU]],'All Skus'!$A:$AC,2,FALSE))="Martin",(VLOOKUP(Table10[[#This Row],[SKU]],'All Skus'!$A:$AC,24,FALSE)),"")))</f>
        <v>http://www.martin.com/en-us/product-details/vdo-sceptron-40</v>
      </c>
      <c r="U795" s="228">
        <v>793</v>
      </c>
    </row>
    <row r="796" spans="1:21" hidden="1">
      <c r="A796" s="115" t="s">
        <v>2357</v>
      </c>
      <c r="B796" s="224">
        <f>(IF((VLOOKUP(Table10[[#This Row],[SKU]],'All Skus'!$A:$AC,2,FALSE))="Martin",(VLOOKUP(Table10[[#This Row],[SKU]],'All Skus'!$A:$AC,3,FALSE)),""))</f>
        <v>0</v>
      </c>
      <c r="C796" s="223">
        <f>(IF((VLOOKUP(Table10[[#This Row],[SKU]],'All Skus'!$A:$AC,2,FALSE))="Martin",(VLOOKUP(Table10[[#This Row],[SKU]],'All Skus'!$A:$AC,4,FALSE)),""))</f>
        <v>0</v>
      </c>
      <c r="D796" s="224">
        <f>(IF((VLOOKUP(Table10[[#This Row],[SKU]],'All Skus'!$A:$AC,2,FALSE))="Martin",(VLOOKUP(Table10[[#This Row],[SKU]],'All Skus'!$A:$AC,5,FALSE)),""))</f>
        <v>0</v>
      </c>
      <c r="E796" s="223">
        <f>(IF((VLOOKUP(Table10[[#This Row],[SKU]],'All Skus'!$A:$AC,2,FALSE))="Martin",(VLOOKUP(Table10[[#This Row],[SKU]],'All Skus'!$A:$AC,6,FALSE)),""))</f>
        <v>0</v>
      </c>
      <c r="F796" s="155">
        <f>(IF((VLOOKUP(Table10[[#This Row],[SKU]],'All Skus'!$A:$AC,2,FALSE))="Martin",(VLOOKUP(Table10[[#This Row],[SKU]],'All Skus'!$A:$AC,7,FALSE)),""))</f>
        <v>0</v>
      </c>
      <c r="G796" s="223">
        <f>(IF((VLOOKUP(Table10[[#This Row],[SKU]],'All Skus'!$A:$AC,2,FALSE))="Martin",(VLOOKUP(Table10[[#This Row],[SKU]],'All Skus'!$A:$AC,8,FALSE)),""))</f>
        <v>0</v>
      </c>
      <c r="H796" s="223">
        <f>(IF((VLOOKUP(Table10[[#This Row],[SKU]],'All Skus'!$A:$AC,2,FALSE))="Martin",(VLOOKUP(Table10[[#This Row],[SKU]],'All Skus'!$A:$AC,9,FALSE)),""))</f>
        <v>0</v>
      </c>
      <c r="I796" s="225">
        <f>(IF((VLOOKUP(Table10[[#This Row],[SKU]],'All Skus'!$A:$AC,2,FALSE))="Martin",(VLOOKUP(Table10[[#This Row],[SKU]],'All Skus'!$A:$AC,10,FALSE)),""))</f>
        <v>0</v>
      </c>
      <c r="J796" s="226">
        <f>(IF((VLOOKUP(Table10[[#This Row],[SKU]],'All Skus'!$A:$AC,2,FALSE))="Martin",(VLOOKUP(Table10[[#This Row],[SKU]],'All Skus'!$A:$AC,11,FALSE)),""))</f>
        <v>0</v>
      </c>
      <c r="K796" s="224">
        <f>(IF((VLOOKUP(Table10[[#This Row],[SKU]],'All Skus'!$A:$AC,2,FALSE))="Martin",(VLOOKUP(Table10[[#This Row],[SKU]],'All Skus'!$A:$AC,15,FALSE)),""))</f>
        <v>0</v>
      </c>
      <c r="L796" s="224">
        <f>(IF((VLOOKUP(Table10[[#This Row],[SKU]],'All Skus'!$A:$AC,2,FALSE))="Martin",(VLOOKUP(Table10[[#This Row],[SKU]],'All Skus'!$A:$AC,16,FALSE)),""))</f>
        <v>0</v>
      </c>
      <c r="M796" s="224">
        <f>(IF((VLOOKUP(Table10[[#This Row],[SKU]],'All Skus'!$A:$AC,2,FALSE))="Martin",(VLOOKUP(Table10[[#This Row],[SKU]],'All Skus'!$A:$AC,17,FALSE)),""))</f>
        <v>0</v>
      </c>
      <c r="N796" s="227">
        <f>(IF((VLOOKUP(Table10[[#This Row],[SKU]],'All Skus'!$A:$AC,2,FALSE))="Martin",(VLOOKUP(Table10[[#This Row],[SKU]],'All Skus'!$A:$AC,18,FALSE)),""))</f>
        <v>0</v>
      </c>
      <c r="O796" s="227">
        <f>(IF((VLOOKUP(Table10[[#This Row],[SKU]],'All Skus'!$A:$AC,2,FALSE))="Martin",(VLOOKUP(Table10[[#This Row],[SKU]],'All Skus'!$A:$AC,19,FALSE)),""))</f>
        <v>0</v>
      </c>
      <c r="P796" s="227">
        <f>(IF((VLOOKUP(Table10[[#This Row],[SKU]],'All Skus'!$A:$AC,2,FALSE))="Martin",(VLOOKUP(Table10[[#This Row],[SKU]],'All Skus'!$A:$AC,20,FALSE)),""))</f>
        <v>0</v>
      </c>
      <c r="Q796" s="227">
        <f>(IF((VLOOKUP(Table10[[#This Row],[SKU]],'All Skus'!$A:$AC,2,FALSE))="Martin",(VLOOKUP(Table10[[#This Row],[SKU]],'All Skus'!$A:$AC,21,FALSE)),""))</f>
        <v>0</v>
      </c>
      <c r="R796" s="224">
        <f>(IF((VLOOKUP(Table10[[#This Row],[SKU]],'All Skus'!$A:$AC,2,FALSE))="Martin",(VLOOKUP(Table10[[#This Row],[SKU]],'All Skus'!$A:$AC,22,FALSE)),""))</f>
        <v>0</v>
      </c>
      <c r="S796" s="223">
        <f>(IF((VLOOKUP(Table10[[#This Row],[SKU]],'All Skus'!$A:$AC,2,FALSE))="Martin",(VLOOKUP(Table10[[#This Row],[SKU]],'All Skus'!$A:$AC,23,FALSE)),""))</f>
        <v>0</v>
      </c>
      <c r="T796" s="212" t="str">
        <f>HYPERLINK((IF((VLOOKUP(Table10[[#This Row],[SKU]],'All Skus'!$A:$AC,2,FALSE))="Martin",(VLOOKUP(Table10[[#This Row],[SKU]],'All Skus'!$A:$AC,24,FALSE)),"")))</f>
        <v/>
      </c>
      <c r="U796" s="228">
        <v>794</v>
      </c>
    </row>
    <row r="797" spans="1:21" hidden="1">
      <c r="A797" s="112">
        <v>91515030</v>
      </c>
      <c r="B797" s="224" t="str">
        <f>(IF((VLOOKUP(Table10[[#This Row],[SKU]],'All Skus'!$A:$AC,2,FALSE))="Martin",(VLOOKUP(Table10[[#This Row],[SKU]],'All Skus'!$A:$AC,3,FALSE)),""))</f>
        <v>LED Video</v>
      </c>
      <c r="C797" s="223" t="str">
        <f>(IF((VLOOKUP(Table10[[#This Row],[SKU]],'All Skus'!$A:$AC,2,FALSE))="Martin",(VLOOKUP(Table10[[#This Row],[SKU]],'All Skus'!$A:$AC,4,FALSE)),""))</f>
        <v>Flightcase for 10 x VDO Sceptron 1000mm</v>
      </c>
      <c r="D797" s="224" t="str">
        <f>(IF((VLOOKUP(Table10[[#This Row],[SKU]],'All Skus'!$A:$AC,2,FALSE))="Martin",(VLOOKUP(Table10[[#This Row],[SKU]],'All Skus'!$A:$AC,5,FALSE)),""))</f>
        <v>MAR-VDO</v>
      </c>
      <c r="E797" s="223">
        <f>(IF((VLOOKUP(Table10[[#This Row],[SKU]],'All Skus'!$A:$AC,2,FALSE))="Martin",(VLOOKUP(Table10[[#This Row],[SKU]],'All Skus'!$A:$AC,6,FALSE)),""))</f>
        <v>0</v>
      </c>
      <c r="F797" s="155">
        <f>(IF((VLOOKUP(Table10[[#This Row],[SKU]],'All Skus'!$A:$AC,2,FALSE))="Martin",(VLOOKUP(Table10[[#This Row],[SKU]],'All Skus'!$A:$AC,7,FALSE)),""))</f>
        <v>0</v>
      </c>
      <c r="G797" s="223" t="str">
        <f>(IF((VLOOKUP(Table10[[#This Row],[SKU]],'All Skus'!$A:$AC,2,FALSE))="Martin",(VLOOKUP(Table10[[#This Row],[SKU]],'All Skus'!$A:$AC,8,FALSE)),""))</f>
        <v>Flightcase for 10 x VDO Sceptron 1000mm</v>
      </c>
      <c r="H797" s="223" t="str">
        <f>(IF((VLOOKUP(Table10[[#This Row],[SKU]],'All Skus'!$A:$AC,2,FALSE))="Martin",(VLOOKUP(Table10[[#This Row],[SKU]],'All Skus'!$A:$AC,9,FALSE)),""))</f>
        <v>Flightcase for 10 x VDO Sceptron 1000mm</v>
      </c>
      <c r="I797" s="225">
        <f>(IF((VLOOKUP(Table10[[#This Row],[SKU]],'All Skus'!$A:$AC,2,FALSE))="Martin",(VLOOKUP(Table10[[#This Row],[SKU]],'All Skus'!$A:$AC,10,FALSE)),""))</f>
        <v>2086.75</v>
      </c>
      <c r="J797" s="226">
        <f>(IF((VLOOKUP(Table10[[#This Row],[SKU]],'All Skus'!$A:$AC,2,FALSE))="Martin",(VLOOKUP(Table10[[#This Row],[SKU]],'All Skus'!$A:$AC,11,FALSE)),""))</f>
        <v>2086.75</v>
      </c>
      <c r="K797" s="224">
        <f>(IF((VLOOKUP(Table10[[#This Row],[SKU]],'All Skus'!$A:$AC,2,FALSE))="Martin",(VLOOKUP(Table10[[#This Row],[SKU]],'All Skus'!$A:$AC,15,FALSE)),""))</f>
        <v>0</v>
      </c>
      <c r="L797" s="224">
        <f>(IF((VLOOKUP(Table10[[#This Row],[SKU]],'All Skus'!$A:$AC,2,FALSE))="Martin",(VLOOKUP(Table10[[#This Row],[SKU]],'All Skus'!$A:$AC,16,FALSE)),""))</f>
        <v>5706681224548</v>
      </c>
      <c r="M797" s="224">
        <f>(IF((VLOOKUP(Table10[[#This Row],[SKU]],'All Skus'!$A:$AC,2,FALSE))="Martin",(VLOOKUP(Table10[[#This Row],[SKU]],'All Skus'!$A:$AC,17,FALSE)),""))</f>
        <v>0</v>
      </c>
      <c r="N797" s="227">
        <f>(IF((VLOOKUP(Table10[[#This Row],[SKU]],'All Skus'!$A:$AC,2,FALSE))="Martin",(VLOOKUP(Table10[[#This Row],[SKU]],'All Skus'!$A:$AC,18,FALSE)),""))</f>
        <v>47.244120000000002</v>
      </c>
      <c r="O797" s="227">
        <f>(IF((VLOOKUP(Table10[[#This Row],[SKU]],'All Skus'!$A:$AC,2,FALSE))="Martin",(VLOOKUP(Table10[[#This Row],[SKU]],'All Skus'!$A:$AC,19,FALSE)),""))</f>
        <v>47.244120000000002</v>
      </c>
      <c r="P797" s="227">
        <f>(IF((VLOOKUP(Table10[[#This Row],[SKU]],'All Skus'!$A:$AC,2,FALSE))="Martin",(VLOOKUP(Table10[[#This Row],[SKU]],'All Skus'!$A:$AC,20,FALSE)),""))</f>
        <v>0</v>
      </c>
      <c r="Q797" s="227">
        <f>(IF((VLOOKUP(Table10[[#This Row],[SKU]],'All Skus'!$A:$AC,2,FALSE))="Martin",(VLOOKUP(Table10[[#This Row],[SKU]],'All Skus'!$A:$AC,21,FALSE)),""))</f>
        <v>0</v>
      </c>
      <c r="R797" s="224" t="str">
        <f>(IF((VLOOKUP(Table10[[#This Row],[SKU]],'All Skus'!$A:$AC,2,FALSE))="Martin",(VLOOKUP(Table10[[#This Row],[SKU]],'All Skus'!$A:$AC,22,FALSE)),""))</f>
        <v>DE</v>
      </c>
      <c r="S797" s="223">
        <f>(IF((VLOOKUP(Table10[[#This Row],[SKU]],'All Skus'!$A:$AC,2,FALSE))="Martin",(VLOOKUP(Table10[[#This Row],[SKU]],'All Skus'!$A:$AC,23,FALSE)),""))</f>
        <v>0</v>
      </c>
      <c r="T797" s="212" t="str">
        <f>HYPERLINK((IF((VLOOKUP(Table10[[#This Row],[SKU]],'All Skus'!$A:$AC,2,FALSE))="Martin",(VLOOKUP(Table10[[#This Row],[SKU]],'All Skus'!$A:$AC,24,FALSE)),"")))</f>
        <v>http://www.martin.com/en-us/product-details/vdo-sceptron-10</v>
      </c>
      <c r="U797" s="228">
        <v>795</v>
      </c>
    </row>
    <row r="798" spans="1:21" hidden="1">
      <c r="A798" s="112">
        <v>91515031</v>
      </c>
      <c r="B798" s="224" t="str">
        <f>(IF((VLOOKUP(Table10[[#This Row],[SKU]],'All Skus'!$A:$AC,2,FALSE))="Martin",(VLOOKUP(Table10[[#This Row],[SKU]],'All Skus'!$A:$AC,3,FALSE)),""))</f>
        <v>LED Video</v>
      </c>
      <c r="C798" s="223" t="str">
        <f>(IF((VLOOKUP(Table10[[#This Row],[SKU]],'All Skus'!$A:$AC,2,FALSE))="Martin",(VLOOKUP(Table10[[#This Row],[SKU]],'All Skus'!$A:$AC,4,FALSE)),""))</f>
        <v>Flightcase Extender for 10 x VDO Sceptron 1000mm</v>
      </c>
      <c r="D798" s="224" t="str">
        <f>(IF((VLOOKUP(Table10[[#This Row],[SKU]],'All Skus'!$A:$AC,2,FALSE))="Martin",(VLOOKUP(Table10[[#This Row],[SKU]],'All Skus'!$A:$AC,5,FALSE)),""))</f>
        <v>MAR-VDO</v>
      </c>
      <c r="E798" s="223">
        <f>(IF((VLOOKUP(Table10[[#This Row],[SKU]],'All Skus'!$A:$AC,2,FALSE))="Martin",(VLOOKUP(Table10[[#This Row],[SKU]],'All Skus'!$A:$AC,6,FALSE)),""))</f>
        <v>0</v>
      </c>
      <c r="F798" s="155">
        <f>(IF((VLOOKUP(Table10[[#This Row],[SKU]],'All Skus'!$A:$AC,2,FALSE))="Martin",(VLOOKUP(Table10[[#This Row],[SKU]],'All Skus'!$A:$AC,7,FALSE)),""))</f>
        <v>0</v>
      </c>
      <c r="G798" s="223" t="str">
        <f>(IF((VLOOKUP(Table10[[#This Row],[SKU]],'All Skus'!$A:$AC,2,FALSE))="Martin",(VLOOKUP(Table10[[#This Row],[SKU]],'All Skus'!$A:$AC,8,FALSE)),""))</f>
        <v>Flightcase Extender for 10 x VDO Sceptron 1000mm</v>
      </c>
      <c r="H798" s="223" t="str">
        <f>(IF((VLOOKUP(Table10[[#This Row],[SKU]],'All Skus'!$A:$AC,2,FALSE))="Martin",(VLOOKUP(Table10[[#This Row],[SKU]],'All Skus'!$A:$AC,9,FALSE)),""))</f>
        <v>Flightcase Extender for 10 x VDO Sceptron 1000mm</v>
      </c>
      <c r="I798" s="225">
        <f>(IF((VLOOKUP(Table10[[#This Row],[SKU]],'All Skus'!$A:$AC,2,FALSE))="Martin",(VLOOKUP(Table10[[#This Row],[SKU]],'All Skus'!$A:$AC,10,FALSE)),""))</f>
        <v>1565.68</v>
      </c>
      <c r="J798" s="226">
        <f>(IF((VLOOKUP(Table10[[#This Row],[SKU]],'All Skus'!$A:$AC,2,FALSE))="Martin",(VLOOKUP(Table10[[#This Row],[SKU]],'All Skus'!$A:$AC,11,FALSE)),""))</f>
        <v>1565.68</v>
      </c>
      <c r="K798" s="224">
        <f>(IF((VLOOKUP(Table10[[#This Row],[SKU]],'All Skus'!$A:$AC,2,FALSE))="Martin",(VLOOKUP(Table10[[#This Row],[SKU]],'All Skus'!$A:$AC,15,FALSE)),""))</f>
        <v>0</v>
      </c>
      <c r="L798" s="224">
        <f>(IF((VLOOKUP(Table10[[#This Row],[SKU]],'All Skus'!$A:$AC,2,FALSE))="Martin",(VLOOKUP(Table10[[#This Row],[SKU]],'All Skus'!$A:$AC,16,FALSE)),""))</f>
        <v>5706681224555</v>
      </c>
      <c r="M798" s="224">
        <f>(IF((VLOOKUP(Table10[[#This Row],[SKU]],'All Skus'!$A:$AC,2,FALSE))="Martin",(VLOOKUP(Table10[[#This Row],[SKU]],'All Skus'!$A:$AC,17,FALSE)),""))</f>
        <v>0</v>
      </c>
      <c r="N798" s="227">
        <f>(IF((VLOOKUP(Table10[[#This Row],[SKU]],'All Skus'!$A:$AC,2,FALSE))="Martin",(VLOOKUP(Table10[[#This Row],[SKU]],'All Skus'!$A:$AC,18,FALSE)),""))</f>
        <v>47.244120000000002</v>
      </c>
      <c r="O798" s="227">
        <f>(IF((VLOOKUP(Table10[[#This Row],[SKU]],'All Skus'!$A:$AC,2,FALSE))="Martin",(VLOOKUP(Table10[[#This Row],[SKU]],'All Skus'!$A:$AC,19,FALSE)),""))</f>
        <v>47.244120000000002</v>
      </c>
      <c r="P798" s="227">
        <f>(IF((VLOOKUP(Table10[[#This Row],[SKU]],'All Skus'!$A:$AC,2,FALSE))="Martin",(VLOOKUP(Table10[[#This Row],[SKU]],'All Skus'!$A:$AC,20,FALSE)),""))</f>
        <v>0</v>
      </c>
      <c r="Q798" s="227">
        <f>(IF((VLOOKUP(Table10[[#This Row],[SKU]],'All Skus'!$A:$AC,2,FALSE))="Martin",(VLOOKUP(Table10[[#This Row],[SKU]],'All Skus'!$A:$AC,21,FALSE)),""))</f>
        <v>0</v>
      </c>
      <c r="R798" s="224" t="str">
        <f>(IF((VLOOKUP(Table10[[#This Row],[SKU]],'All Skus'!$A:$AC,2,FALSE))="Martin",(VLOOKUP(Table10[[#This Row],[SKU]],'All Skus'!$A:$AC,22,FALSE)),""))</f>
        <v>DE</v>
      </c>
      <c r="S798" s="223">
        <f>(IF((VLOOKUP(Table10[[#This Row],[SKU]],'All Skus'!$A:$AC,2,FALSE))="Martin",(VLOOKUP(Table10[[#This Row],[SKU]],'All Skus'!$A:$AC,23,FALSE)),""))</f>
        <v>0</v>
      </c>
      <c r="T798" s="212" t="str">
        <f>HYPERLINK((IF((VLOOKUP(Table10[[#This Row],[SKU]],'All Skus'!$A:$AC,2,FALSE))="Martin",(VLOOKUP(Table10[[#This Row],[SKU]],'All Skus'!$A:$AC,24,FALSE)),"")))</f>
        <v>http://www.martin.com/en-us/product-details/vdo-sceptron-10</v>
      </c>
      <c r="U798" s="228">
        <v>796</v>
      </c>
    </row>
    <row r="799" spans="1:21" hidden="1">
      <c r="A799" s="111" t="s">
        <v>2358</v>
      </c>
      <c r="B799" s="224">
        <f>(IF((VLOOKUP(Table10[[#This Row],[SKU]],'All Skus'!$A:$AC,2,FALSE))="Martin",(VLOOKUP(Table10[[#This Row],[SKU]],'All Skus'!$A:$AC,3,FALSE)),""))</f>
        <v>0</v>
      </c>
      <c r="C799" s="223">
        <f>(IF((VLOOKUP(Table10[[#This Row],[SKU]],'All Skus'!$A:$AC,2,FALSE))="Martin",(VLOOKUP(Table10[[#This Row],[SKU]],'All Skus'!$A:$AC,4,FALSE)),""))</f>
        <v>0</v>
      </c>
      <c r="D799" s="224">
        <f>(IF((VLOOKUP(Table10[[#This Row],[SKU]],'All Skus'!$A:$AC,2,FALSE))="Martin",(VLOOKUP(Table10[[#This Row],[SKU]],'All Skus'!$A:$AC,5,FALSE)),""))</f>
        <v>0</v>
      </c>
      <c r="E799" s="223">
        <f>(IF((VLOOKUP(Table10[[#This Row],[SKU]],'All Skus'!$A:$AC,2,FALSE))="Martin",(VLOOKUP(Table10[[#This Row],[SKU]],'All Skus'!$A:$AC,6,FALSE)),""))</f>
        <v>0</v>
      </c>
      <c r="F799" s="155">
        <f>(IF((VLOOKUP(Table10[[#This Row],[SKU]],'All Skus'!$A:$AC,2,FALSE))="Martin",(VLOOKUP(Table10[[#This Row],[SKU]],'All Skus'!$A:$AC,7,FALSE)),""))</f>
        <v>0</v>
      </c>
      <c r="G799" s="223">
        <f>(IF((VLOOKUP(Table10[[#This Row],[SKU]],'All Skus'!$A:$AC,2,FALSE))="Martin",(VLOOKUP(Table10[[#This Row],[SKU]],'All Skus'!$A:$AC,8,FALSE)),""))</f>
        <v>0</v>
      </c>
      <c r="H799" s="223">
        <f>(IF((VLOOKUP(Table10[[#This Row],[SKU]],'All Skus'!$A:$AC,2,FALSE))="Martin",(VLOOKUP(Table10[[#This Row],[SKU]],'All Skus'!$A:$AC,9,FALSE)),""))</f>
        <v>0</v>
      </c>
      <c r="I799" s="225">
        <f>(IF((VLOOKUP(Table10[[#This Row],[SKU]],'All Skus'!$A:$AC,2,FALSE))="Martin",(VLOOKUP(Table10[[#This Row],[SKU]],'All Skus'!$A:$AC,10,FALSE)),""))</f>
        <v>0</v>
      </c>
      <c r="J799" s="226">
        <f>(IF((VLOOKUP(Table10[[#This Row],[SKU]],'All Skus'!$A:$AC,2,FALSE))="Martin",(VLOOKUP(Table10[[#This Row],[SKU]],'All Skus'!$A:$AC,11,FALSE)),""))</f>
        <v>0</v>
      </c>
      <c r="K799" s="224">
        <f>(IF((VLOOKUP(Table10[[#This Row],[SKU]],'All Skus'!$A:$AC,2,FALSE))="Martin",(VLOOKUP(Table10[[#This Row],[SKU]],'All Skus'!$A:$AC,15,FALSE)),""))</f>
        <v>0</v>
      </c>
      <c r="L799" s="224">
        <f>(IF((VLOOKUP(Table10[[#This Row],[SKU]],'All Skus'!$A:$AC,2,FALSE))="Martin",(VLOOKUP(Table10[[#This Row],[SKU]],'All Skus'!$A:$AC,16,FALSE)),""))</f>
        <v>0</v>
      </c>
      <c r="M799" s="224">
        <f>(IF((VLOOKUP(Table10[[#This Row],[SKU]],'All Skus'!$A:$AC,2,FALSE))="Martin",(VLOOKUP(Table10[[#This Row],[SKU]],'All Skus'!$A:$AC,17,FALSE)),""))</f>
        <v>0</v>
      </c>
      <c r="N799" s="227">
        <f>(IF((VLOOKUP(Table10[[#This Row],[SKU]],'All Skus'!$A:$AC,2,FALSE))="Martin",(VLOOKUP(Table10[[#This Row],[SKU]],'All Skus'!$A:$AC,18,FALSE)),""))</f>
        <v>0</v>
      </c>
      <c r="O799" s="227">
        <f>(IF((VLOOKUP(Table10[[#This Row],[SKU]],'All Skus'!$A:$AC,2,FALSE))="Martin",(VLOOKUP(Table10[[#This Row],[SKU]],'All Skus'!$A:$AC,19,FALSE)),""))</f>
        <v>0</v>
      </c>
      <c r="P799" s="227">
        <f>(IF((VLOOKUP(Table10[[#This Row],[SKU]],'All Skus'!$A:$AC,2,FALSE))="Martin",(VLOOKUP(Table10[[#This Row],[SKU]],'All Skus'!$A:$AC,20,FALSE)),""))</f>
        <v>0</v>
      </c>
      <c r="Q799" s="227">
        <f>(IF((VLOOKUP(Table10[[#This Row],[SKU]],'All Skus'!$A:$AC,2,FALSE))="Martin",(VLOOKUP(Table10[[#This Row],[SKU]],'All Skus'!$A:$AC,21,FALSE)),""))</f>
        <v>0</v>
      </c>
      <c r="R799" s="224">
        <f>(IF((VLOOKUP(Table10[[#This Row],[SKU]],'All Skus'!$A:$AC,2,FALSE))="Martin",(VLOOKUP(Table10[[#This Row],[SKU]],'All Skus'!$A:$AC,22,FALSE)),""))</f>
        <v>0</v>
      </c>
      <c r="S799" s="223">
        <f>(IF((VLOOKUP(Table10[[#This Row],[SKU]],'All Skus'!$A:$AC,2,FALSE))="Martin",(VLOOKUP(Table10[[#This Row],[SKU]],'All Skus'!$A:$AC,23,FALSE)),""))</f>
        <v>0</v>
      </c>
      <c r="T799" s="212" t="str">
        <f>HYPERLINK((IF((VLOOKUP(Table10[[#This Row],[SKU]],'All Skus'!$A:$AC,2,FALSE))="Martin",(VLOOKUP(Table10[[#This Row],[SKU]],'All Skus'!$A:$AC,24,FALSE)),"")))</f>
        <v/>
      </c>
      <c r="U799" s="228">
        <v>797</v>
      </c>
    </row>
    <row r="800" spans="1:21" hidden="1">
      <c r="A800" s="115" t="s">
        <v>2359</v>
      </c>
      <c r="B800" s="224">
        <f>(IF((VLOOKUP(Table10[[#This Row],[SKU]],'All Skus'!$A:$AC,2,FALSE))="Martin",(VLOOKUP(Table10[[#This Row],[SKU]],'All Skus'!$A:$AC,3,FALSE)),""))</f>
        <v>0</v>
      </c>
      <c r="C800" s="223">
        <f>(IF((VLOOKUP(Table10[[#This Row],[SKU]],'All Skus'!$A:$AC,2,FALSE))="Martin",(VLOOKUP(Table10[[#This Row],[SKU]],'All Skus'!$A:$AC,4,FALSE)),""))</f>
        <v>0</v>
      </c>
      <c r="D800" s="224">
        <f>(IF((VLOOKUP(Table10[[#This Row],[SKU]],'All Skus'!$A:$AC,2,FALSE))="Martin",(VLOOKUP(Table10[[#This Row],[SKU]],'All Skus'!$A:$AC,5,FALSE)),""))</f>
        <v>0</v>
      </c>
      <c r="E800" s="223">
        <f>(IF((VLOOKUP(Table10[[#This Row],[SKU]],'All Skus'!$A:$AC,2,FALSE))="Martin",(VLOOKUP(Table10[[#This Row],[SKU]],'All Skus'!$A:$AC,6,FALSE)),""))</f>
        <v>0</v>
      </c>
      <c r="F800" s="155">
        <f>(IF((VLOOKUP(Table10[[#This Row],[SKU]],'All Skus'!$A:$AC,2,FALSE))="Martin",(VLOOKUP(Table10[[#This Row],[SKU]],'All Skus'!$A:$AC,7,FALSE)),""))</f>
        <v>0</v>
      </c>
      <c r="G800" s="223">
        <f>(IF((VLOOKUP(Table10[[#This Row],[SKU]],'All Skus'!$A:$AC,2,FALSE))="Martin",(VLOOKUP(Table10[[#This Row],[SKU]],'All Skus'!$A:$AC,8,FALSE)),""))</f>
        <v>0</v>
      </c>
      <c r="H800" s="223">
        <f>(IF((VLOOKUP(Table10[[#This Row],[SKU]],'All Skus'!$A:$AC,2,FALSE))="Martin",(VLOOKUP(Table10[[#This Row],[SKU]],'All Skus'!$A:$AC,9,FALSE)),""))</f>
        <v>0</v>
      </c>
      <c r="I800" s="225">
        <f>(IF((VLOOKUP(Table10[[#This Row],[SKU]],'All Skus'!$A:$AC,2,FALSE))="Martin",(VLOOKUP(Table10[[#This Row],[SKU]],'All Skus'!$A:$AC,10,FALSE)),""))</f>
        <v>0</v>
      </c>
      <c r="J800" s="226">
        <f>(IF((VLOOKUP(Table10[[#This Row],[SKU]],'All Skus'!$A:$AC,2,FALSE))="Martin",(VLOOKUP(Table10[[#This Row],[SKU]],'All Skus'!$A:$AC,11,FALSE)),""))</f>
        <v>0</v>
      </c>
      <c r="K800" s="224">
        <f>(IF((VLOOKUP(Table10[[#This Row],[SKU]],'All Skus'!$A:$AC,2,FALSE))="Martin",(VLOOKUP(Table10[[#This Row],[SKU]],'All Skus'!$A:$AC,15,FALSE)),""))</f>
        <v>0</v>
      </c>
      <c r="L800" s="224">
        <f>(IF((VLOOKUP(Table10[[#This Row],[SKU]],'All Skus'!$A:$AC,2,FALSE))="Martin",(VLOOKUP(Table10[[#This Row],[SKU]],'All Skus'!$A:$AC,16,FALSE)),""))</f>
        <v>0</v>
      </c>
      <c r="M800" s="224">
        <f>(IF((VLOOKUP(Table10[[#This Row],[SKU]],'All Skus'!$A:$AC,2,FALSE))="Martin",(VLOOKUP(Table10[[#This Row],[SKU]],'All Skus'!$A:$AC,17,FALSE)),""))</f>
        <v>0</v>
      </c>
      <c r="N800" s="227">
        <f>(IF((VLOOKUP(Table10[[#This Row],[SKU]],'All Skus'!$A:$AC,2,FALSE))="Martin",(VLOOKUP(Table10[[#This Row],[SKU]],'All Skus'!$A:$AC,18,FALSE)),""))</f>
        <v>0</v>
      </c>
      <c r="O800" s="227">
        <f>(IF((VLOOKUP(Table10[[#This Row],[SKU]],'All Skus'!$A:$AC,2,FALSE))="Martin",(VLOOKUP(Table10[[#This Row],[SKU]],'All Skus'!$A:$AC,19,FALSE)),""))</f>
        <v>0</v>
      </c>
      <c r="P800" s="227">
        <f>(IF((VLOOKUP(Table10[[#This Row],[SKU]],'All Skus'!$A:$AC,2,FALSE))="Martin",(VLOOKUP(Table10[[#This Row],[SKU]],'All Skus'!$A:$AC,20,FALSE)),""))</f>
        <v>0</v>
      </c>
      <c r="Q800" s="227">
        <f>(IF((VLOOKUP(Table10[[#This Row],[SKU]],'All Skus'!$A:$AC,2,FALSE))="Martin",(VLOOKUP(Table10[[#This Row],[SKU]],'All Skus'!$A:$AC,21,FALSE)),""))</f>
        <v>0</v>
      </c>
      <c r="R800" s="224">
        <f>(IF((VLOOKUP(Table10[[#This Row],[SKU]],'All Skus'!$A:$AC,2,FALSE))="Martin",(VLOOKUP(Table10[[#This Row],[SKU]],'All Skus'!$A:$AC,22,FALSE)),""))</f>
        <v>0</v>
      </c>
      <c r="S800" s="223">
        <f>(IF((VLOOKUP(Table10[[#This Row],[SKU]],'All Skus'!$A:$AC,2,FALSE))="Martin",(VLOOKUP(Table10[[#This Row],[SKU]],'All Skus'!$A:$AC,23,FALSE)),""))</f>
        <v>0</v>
      </c>
      <c r="T800" s="212" t="str">
        <f>HYPERLINK((IF((VLOOKUP(Table10[[#This Row],[SKU]],'All Skus'!$A:$AC,2,FALSE))="Martin",(VLOOKUP(Table10[[#This Row],[SKU]],'All Skus'!$A:$AC,24,FALSE)),"")))</f>
        <v/>
      </c>
      <c r="U800" s="228">
        <v>798</v>
      </c>
    </row>
    <row r="801" spans="1:21" hidden="1">
      <c r="A801" s="112" t="s">
        <v>2360</v>
      </c>
      <c r="B801" s="224" t="str">
        <f>(IF((VLOOKUP(Table10[[#This Row],[SKU]],'All Skus'!$A:$AC,2,FALSE))="Martin",(VLOOKUP(Table10[[#This Row],[SKU]],'All Skus'!$A:$AC,3,FALSE)),""))</f>
        <v>LED Video</v>
      </c>
      <c r="C801" s="223" t="str">
        <f>(IF((VLOOKUP(Table10[[#This Row],[SKU]],'All Skus'!$A:$AC,2,FALSE))="Martin",(VLOOKUP(Table10[[#This Row],[SKU]],'All Skus'!$A:$AC,4,FALSE)),""))</f>
        <v>VDO Fatron 20 1000mm in cardboard</v>
      </c>
      <c r="D801" s="224" t="str">
        <f>(IF((VLOOKUP(Table10[[#This Row],[SKU]],'All Skus'!$A:$AC,2,FALSE))="Martin",(VLOOKUP(Table10[[#This Row],[SKU]],'All Skus'!$A:$AC,5,FALSE)),""))</f>
        <v>MAR-VDO</v>
      </c>
      <c r="E801" s="223">
        <f>(IF((VLOOKUP(Table10[[#This Row],[SKU]],'All Skus'!$A:$AC,2,FALSE))="Martin",(VLOOKUP(Table10[[#This Row],[SKU]],'All Skus'!$A:$AC,6,FALSE)),""))</f>
        <v>0</v>
      </c>
      <c r="F801" s="155">
        <f>(IF((VLOOKUP(Table10[[#This Row],[SKU]],'All Skus'!$A:$AC,2,FALSE))="Martin",(VLOOKUP(Table10[[#This Row],[SKU]],'All Skus'!$A:$AC,7,FALSE)),""))</f>
        <v>0</v>
      </c>
      <c r="G801" s="223" t="str">
        <f>(IF((VLOOKUP(Table10[[#This Row],[SKU]],'All Skus'!$A:$AC,2,FALSE))="Martin",(VLOOKUP(Table10[[#This Row],[SKU]],'All Skus'!$A:$AC,8,FALSE)),""))</f>
        <v>VDO Fatron 20 1000mm in cardboard</v>
      </c>
      <c r="H801" s="223" t="str">
        <f>(IF((VLOOKUP(Table10[[#This Row],[SKU]],'All Skus'!$A:$AC,2,FALSE))="Martin",(VLOOKUP(Table10[[#This Row],[SKU]],'All Skus'!$A:$AC,9,FALSE)),""))</f>
        <v>VDO Fatron 20 1000mm in cardboard</v>
      </c>
      <c r="I801" s="225">
        <f>(IF((VLOOKUP(Table10[[#This Row],[SKU]],'All Skus'!$A:$AC,2,FALSE))="Martin",(VLOOKUP(Table10[[#This Row],[SKU]],'All Skus'!$A:$AC,10,FALSE)),""))</f>
        <v>1284.1500000000001</v>
      </c>
      <c r="J801" s="226">
        <f>(IF((VLOOKUP(Table10[[#This Row],[SKU]],'All Skus'!$A:$AC,2,FALSE))="Martin",(VLOOKUP(Table10[[#This Row],[SKU]],'All Skus'!$A:$AC,11,FALSE)),""))</f>
        <v>1284.1500000000001</v>
      </c>
      <c r="K801" s="224">
        <f>(IF((VLOOKUP(Table10[[#This Row],[SKU]],'All Skus'!$A:$AC,2,FALSE))="Martin",(VLOOKUP(Table10[[#This Row],[SKU]],'All Skus'!$A:$AC,15,FALSE)),""))</f>
        <v>0</v>
      </c>
      <c r="L801" s="224">
        <f>(IF((VLOOKUP(Table10[[#This Row],[SKU]],'All Skus'!$A:$AC,2,FALSE))="Martin",(VLOOKUP(Table10[[#This Row],[SKU]],'All Skus'!$A:$AC,16,FALSE)),""))</f>
        <v>5706681236985</v>
      </c>
      <c r="M801" s="224">
        <f>(IF((VLOOKUP(Table10[[#This Row],[SKU]],'All Skus'!$A:$AC,2,FALSE))="Martin",(VLOOKUP(Table10[[#This Row],[SKU]],'All Skus'!$A:$AC,17,FALSE)),""))</f>
        <v>0</v>
      </c>
      <c r="N801" s="227">
        <f>(IF((VLOOKUP(Table10[[#This Row],[SKU]],'All Skus'!$A:$AC,2,FALSE))="Martin",(VLOOKUP(Table10[[#This Row],[SKU]],'All Skus'!$A:$AC,18,FALSE)),""))</f>
        <v>0</v>
      </c>
      <c r="O801" s="227">
        <f>(IF((VLOOKUP(Table10[[#This Row],[SKU]],'All Skus'!$A:$AC,2,FALSE))="Martin",(VLOOKUP(Table10[[#This Row],[SKU]],'All Skus'!$A:$AC,19,FALSE)),""))</f>
        <v>0</v>
      </c>
      <c r="P801" s="227">
        <f>(IF((VLOOKUP(Table10[[#This Row],[SKU]],'All Skus'!$A:$AC,2,FALSE))="Martin",(VLOOKUP(Table10[[#This Row],[SKU]],'All Skus'!$A:$AC,20,FALSE)),""))</f>
        <v>0</v>
      </c>
      <c r="Q801" s="227">
        <f>(IF((VLOOKUP(Table10[[#This Row],[SKU]],'All Skus'!$A:$AC,2,FALSE))="Martin",(VLOOKUP(Table10[[#This Row],[SKU]],'All Skus'!$A:$AC,21,FALSE)),""))</f>
        <v>0</v>
      </c>
      <c r="R801" s="224" t="str">
        <f>(IF((VLOOKUP(Table10[[#This Row],[SKU]],'All Skus'!$A:$AC,2,FALSE))="Martin",(VLOOKUP(Table10[[#This Row],[SKU]],'All Skus'!$A:$AC,22,FALSE)),""))</f>
        <v>HU</v>
      </c>
      <c r="S801" s="223">
        <f>(IF((VLOOKUP(Table10[[#This Row],[SKU]],'All Skus'!$A:$AC,2,FALSE))="Martin",(VLOOKUP(Table10[[#This Row],[SKU]],'All Skus'!$A:$AC,23,FALSE)),""))</f>
        <v>0</v>
      </c>
      <c r="T801" s="212" t="str">
        <f>HYPERLINK((IF((VLOOKUP(Table10[[#This Row],[SKU]],'All Skus'!$A:$AC,2,FALSE))="Martin",(VLOOKUP(Table10[[#This Row],[SKU]],'All Skus'!$A:$AC,24,FALSE)),"")))</f>
        <v/>
      </c>
      <c r="U801" s="228">
        <v>799</v>
      </c>
    </row>
    <row r="802" spans="1:21" hidden="1">
      <c r="A802" s="112" t="s">
        <v>2361</v>
      </c>
      <c r="B802" s="224" t="str">
        <f>(IF((VLOOKUP(Table10[[#This Row],[SKU]],'All Skus'!$A:$AC,2,FALSE))="Martin",(VLOOKUP(Table10[[#This Row],[SKU]],'All Skus'!$A:$AC,3,FALSE)),""))</f>
        <v>LED Video</v>
      </c>
      <c r="C802" s="223" t="str">
        <f>(IF((VLOOKUP(Table10[[#This Row],[SKU]],'All Skus'!$A:$AC,2,FALSE))="Martin",(VLOOKUP(Table10[[#This Row],[SKU]],'All Skus'!$A:$AC,4,FALSE)),""))</f>
        <v>VDO Fatron 20 320mm in cardboard</v>
      </c>
      <c r="D802" s="224" t="str">
        <f>(IF((VLOOKUP(Table10[[#This Row],[SKU]],'All Skus'!$A:$AC,2,FALSE))="Martin",(VLOOKUP(Table10[[#This Row],[SKU]],'All Skus'!$A:$AC,5,FALSE)),""))</f>
        <v>MAR-VDO</v>
      </c>
      <c r="E802" s="223">
        <f>(IF((VLOOKUP(Table10[[#This Row],[SKU]],'All Skus'!$A:$AC,2,FALSE))="Martin",(VLOOKUP(Table10[[#This Row],[SKU]],'All Skus'!$A:$AC,6,FALSE)),""))</f>
        <v>0</v>
      </c>
      <c r="F802" s="155">
        <f>(IF((VLOOKUP(Table10[[#This Row],[SKU]],'All Skus'!$A:$AC,2,FALSE))="Martin",(VLOOKUP(Table10[[#This Row],[SKU]],'All Skus'!$A:$AC,7,FALSE)),""))</f>
        <v>0</v>
      </c>
      <c r="G802" s="223" t="str">
        <f>(IF((VLOOKUP(Table10[[#This Row],[SKU]],'All Skus'!$A:$AC,2,FALSE))="Martin",(VLOOKUP(Table10[[#This Row],[SKU]],'All Skus'!$A:$AC,8,FALSE)),""))</f>
        <v>VDO Fatron 20 320mm in cardboard</v>
      </c>
      <c r="H802" s="223" t="str">
        <f>(IF((VLOOKUP(Table10[[#This Row],[SKU]],'All Skus'!$A:$AC,2,FALSE))="Martin",(VLOOKUP(Table10[[#This Row],[SKU]],'All Skus'!$A:$AC,9,FALSE)),""))</f>
        <v>VDO Fatron 20 320mm in cardboard</v>
      </c>
      <c r="I802" s="225">
        <f>(IF((VLOOKUP(Table10[[#This Row],[SKU]],'All Skus'!$A:$AC,2,FALSE))="Martin",(VLOOKUP(Table10[[#This Row],[SKU]],'All Skus'!$A:$AC,10,FALSE)),""))</f>
        <v>706.29</v>
      </c>
      <c r="J802" s="226">
        <f>(IF((VLOOKUP(Table10[[#This Row],[SKU]],'All Skus'!$A:$AC,2,FALSE))="Martin",(VLOOKUP(Table10[[#This Row],[SKU]],'All Skus'!$A:$AC,11,FALSE)),""))</f>
        <v>706.29</v>
      </c>
      <c r="K802" s="224">
        <f>(IF((VLOOKUP(Table10[[#This Row],[SKU]],'All Skus'!$A:$AC,2,FALSE))="Martin",(VLOOKUP(Table10[[#This Row],[SKU]],'All Skus'!$A:$AC,15,FALSE)),""))</f>
        <v>0</v>
      </c>
      <c r="L802" s="224">
        <f>(IF((VLOOKUP(Table10[[#This Row],[SKU]],'All Skus'!$A:$AC,2,FALSE))="Martin",(VLOOKUP(Table10[[#This Row],[SKU]],'All Skus'!$A:$AC,16,FALSE)),""))</f>
        <v>5706681236978</v>
      </c>
      <c r="M802" s="224">
        <f>(IF((VLOOKUP(Table10[[#This Row],[SKU]],'All Skus'!$A:$AC,2,FALSE))="Martin",(VLOOKUP(Table10[[#This Row],[SKU]],'All Skus'!$A:$AC,17,FALSE)),""))</f>
        <v>0</v>
      </c>
      <c r="N802" s="227">
        <f>(IF((VLOOKUP(Table10[[#This Row],[SKU]],'All Skus'!$A:$AC,2,FALSE))="Martin",(VLOOKUP(Table10[[#This Row],[SKU]],'All Skus'!$A:$AC,18,FALSE)),""))</f>
        <v>0</v>
      </c>
      <c r="O802" s="227">
        <f>(IF((VLOOKUP(Table10[[#This Row],[SKU]],'All Skus'!$A:$AC,2,FALSE))="Martin",(VLOOKUP(Table10[[#This Row],[SKU]],'All Skus'!$A:$AC,19,FALSE)),""))</f>
        <v>0</v>
      </c>
      <c r="P802" s="227">
        <f>(IF((VLOOKUP(Table10[[#This Row],[SKU]],'All Skus'!$A:$AC,2,FALSE))="Martin",(VLOOKUP(Table10[[#This Row],[SKU]],'All Skus'!$A:$AC,20,FALSE)),""))</f>
        <v>0</v>
      </c>
      <c r="Q802" s="227">
        <f>(IF((VLOOKUP(Table10[[#This Row],[SKU]],'All Skus'!$A:$AC,2,FALSE))="Martin",(VLOOKUP(Table10[[#This Row],[SKU]],'All Skus'!$A:$AC,21,FALSE)),""))</f>
        <v>0</v>
      </c>
      <c r="R802" s="224" t="str">
        <f>(IF((VLOOKUP(Table10[[#This Row],[SKU]],'All Skus'!$A:$AC,2,FALSE))="Martin",(VLOOKUP(Table10[[#This Row],[SKU]],'All Skus'!$A:$AC,22,FALSE)),""))</f>
        <v>HU</v>
      </c>
      <c r="S802" s="223">
        <f>(IF((VLOOKUP(Table10[[#This Row],[SKU]],'All Skus'!$A:$AC,2,FALSE))="Martin",(VLOOKUP(Table10[[#This Row],[SKU]],'All Skus'!$A:$AC,23,FALSE)),""))</f>
        <v>0</v>
      </c>
      <c r="T802" s="212" t="str">
        <f>HYPERLINK((IF((VLOOKUP(Table10[[#This Row],[SKU]],'All Skus'!$A:$AC,2,FALSE))="Martin",(VLOOKUP(Table10[[#This Row],[SKU]],'All Skus'!$A:$AC,24,FALSE)),"")))</f>
        <v/>
      </c>
      <c r="U802" s="228">
        <v>800</v>
      </c>
    </row>
    <row r="803" spans="1:21" hidden="1">
      <c r="A803" s="115" t="s">
        <v>2362</v>
      </c>
      <c r="B803" s="224">
        <f>(IF((VLOOKUP(Table10[[#This Row],[SKU]],'All Skus'!$A:$AC,2,FALSE))="Martin",(VLOOKUP(Table10[[#This Row],[SKU]],'All Skus'!$A:$AC,3,FALSE)),""))</f>
        <v>0</v>
      </c>
      <c r="C803" s="223">
        <f>(IF((VLOOKUP(Table10[[#This Row],[SKU]],'All Skus'!$A:$AC,2,FALSE))="Martin",(VLOOKUP(Table10[[#This Row],[SKU]],'All Skus'!$A:$AC,4,FALSE)),""))</f>
        <v>0</v>
      </c>
      <c r="D803" s="224">
        <f>(IF((VLOOKUP(Table10[[#This Row],[SKU]],'All Skus'!$A:$AC,2,FALSE))="Martin",(VLOOKUP(Table10[[#This Row],[SKU]],'All Skus'!$A:$AC,5,FALSE)),""))</f>
        <v>0</v>
      </c>
      <c r="E803" s="223">
        <f>(IF((VLOOKUP(Table10[[#This Row],[SKU]],'All Skus'!$A:$AC,2,FALSE))="Martin",(VLOOKUP(Table10[[#This Row],[SKU]],'All Skus'!$A:$AC,6,FALSE)),""))</f>
        <v>0</v>
      </c>
      <c r="F803" s="155">
        <f>(IF((VLOOKUP(Table10[[#This Row],[SKU]],'All Skus'!$A:$AC,2,FALSE))="Martin",(VLOOKUP(Table10[[#This Row],[SKU]],'All Skus'!$A:$AC,7,FALSE)),""))</f>
        <v>0</v>
      </c>
      <c r="G803" s="223">
        <f>(IF((VLOOKUP(Table10[[#This Row],[SKU]],'All Skus'!$A:$AC,2,FALSE))="Martin",(VLOOKUP(Table10[[#This Row],[SKU]],'All Skus'!$A:$AC,8,FALSE)),""))</f>
        <v>0</v>
      </c>
      <c r="H803" s="223">
        <f>(IF((VLOOKUP(Table10[[#This Row],[SKU]],'All Skus'!$A:$AC,2,FALSE))="Martin",(VLOOKUP(Table10[[#This Row],[SKU]],'All Skus'!$A:$AC,9,FALSE)),""))</f>
        <v>0</v>
      </c>
      <c r="I803" s="225">
        <f>(IF((VLOOKUP(Table10[[#This Row],[SKU]],'All Skus'!$A:$AC,2,FALSE))="Martin",(VLOOKUP(Table10[[#This Row],[SKU]],'All Skus'!$A:$AC,10,FALSE)),""))</f>
        <v>0</v>
      </c>
      <c r="J803" s="226">
        <f>(IF((VLOOKUP(Table10[[#This Row],[SKU]],'All Skus'!$A:$AC,2,FALSE))="Martin",(VLOOKUP(Table10[[#This Row],[SKU]],'All Skus'!$A:$AC,11,FALSE)),""))</f>
        <v>0</v>
      </c>
      <c r="K803" s="224">
        <f>(IF((VLOOKUP(Table10[[#This Row],[SKU]],'All Skus'!$A:$AC,2,FALSE))="Martin",(VLOOKUP(Table10[[#This Row],[SKU]],'All Skus'!$A:$AC,15,FALSE)),""))</f>
        <v>0</v>
      </c>
      <c r="L803" s="224">
        <f>(IF((VLOOKUP(Table10[[#This Row],[SKU]],'All Skus'!$A:$AC,2,FALSE))="Martin",(VLOOKUP(Table10[[#This Row],[SKU]],'All Skus'!$A:$AC,16,FALSE)),""))</f>
        <v>0</v>
      </c>
      <c r="M803" s="224">
        <f>(IF((VLOOKUP(Table10[[#This Row],[SKU]],'All Skus'!$A:$AC,2,FALSE))="Martin",(VLOOKUP(Table10[[#This Row],[SKU]],'All Skus'!$A:$AC,17,FALSE)),""))</f>
        <v>0</v>
      </c>
      <c r="N803" s="227">
        <f>(IF((VLOOKUP(Table10[[#This Row],[SKU]],'All Skus'!$A:$AC,2,FALSE))="Martin",(VLOOKUP(Table10[[#This Row],[SKU]],'All Skus'!$A:$AC,18,FALSE)),""))</f>
        <v>0</v>
      </c>
      <c r="O803" s="227">
        <f>(IF((VLOOKUP(Table10[[#This Row],[SKU]],'All Skus'!$A:$AC,2,FALSE))="Martin",(VLOOKUP(Table10[[#This Row],[SKU]],'All Skus'!$A:$AC,19,FALSE)),""))</f>
        <v>0</v>
      </c>
      <c r="P803" s="227">
        <f>(IF((VLOOKUP(Table10[[#This Row],[SKU]],'All Skus'!$A:$AC,2,FALSE))="Martin",(VLOOKUP(Table10[[#This Row],[SKU]],'All Skus'!$A:$AC,20,FALSE)),""))</f>
        <v>0</v>
      </c>
      <c r="Q803" s="227">
        <f>(IF((VLOOKUP(Table10[[#This Row],[SKU]],'All Skus'!$A:$AC,2,FALSE))="Martin",(VLOOKUP(Table10[[#This Row],[SKU]],'All Skus'!$A:$AC,21,FALSE)),""))</f>
        <v>0</v>
      </c>
      <c r="R803" s="224">
        <f>(IF((VLOOKUP(Table10[[#This Row],[SKU]],'All Skus'!$A:$AC,2,FALSE))="Martin",(VLOOKUP(Table10[[#This Row],[SKU]],'All Skus'!$A:$AC,22,FALSE)),""))</f>
        <v>0</v>
      </c>
      <c r="S803" s="223">
        <f>(IF((VLOOKUP(Table10[[#This Row],[SKU]],'All Skus'!$A:$AC,2,FALSE))="Martin",(VLOOKUP(Table10[[#This Row],[SKU]],'All Skus'!$A:$AC,23,FALSE)),""))</f>
        <v>0</v>
      </c>
      <c r="T803" s="212" t="str">
        <f>HYPERLINK((IF((VLOOKUP(Table10[[#This Row],[SKU]],'All Skus'!$A:$AC,2,FALSE))="Martin",(VLOOKUP(Table10[[#This Row],[SKU]],'All Skus'!$A:$AC,24,FALSE)),"")))</f>
        <v/>
      </c>
      <c r="U803" s="228">
        <v>801</v>
      </c>
    </row>
    <row r="804" spans="1:21" hidden="1">
      <c r="A804" s="112">
        <v>91611809</v>
      </c>
      <c r="B804" s="224" t="str">
        <f>(IF((VLOOKUP(Table10[[#This Row],[SKU]],'All Skus'!$A:$AC,2,FALSE))="Martin",(VLOOKUP(Table10[[#This Row],[SKU]],'All Skus'!$A:$AC,3,FALSE)),""))</f>
        <v>LED Video</v>
      </c>
      <c r="C804" s="223" t="str">
        <f>(IF((VLOOKUP(Table10[[#This Row],[SKU]],'All Skus'!$A:$AC,2,FALSE))="Martin",(VLOOKUP(Table10[[#This Row],[SKU]],'All Skus'!$A:$AC,4,FALSE)),""))</f>
        <v>VDO Fatron Flat Diffuser 320mm</v>
      </c>
      <c r="D804" s="224" t="str">
        <f>(IF((VLOOKUP(Table10[[#This Row],[SKU]],'All Skus'!$A:$AC,2,FALSE))="Martin",(VLOOKUP(Table10[[#This Row],[SKU]],'All Skus'!$A:$AC,5,FALSE)),""))</f>
        <v>MAR-VDO</v>
      </c>
      <c r="E804" s="223">
        <f>(IF((VLOOKUP(Table10[[#This Row],[SKU]],'All Skus'!$A:$AC,2,FALSE))="Martin",(VLOOKUP(Table10[[#This Row],[SKU]],'All Skus'!$A:$AC,6,FALSE)),""))</f>
        <v>0</v>
      </c>
      <c r="F804" s="155">
        <f>(IF((VLOOKUP(Table10[[#This Row],[SKU]],'All Skus'!$A:$AC,2,FALSE))="Martin",(VLOOKUP(Table10[[#This Row],[SKU]],'All Skus'!$A:$AC,7,FALSE)),""))</f>
        <v>0</v>
      </c>
      <c r="G804" s="223" t="str">
        <f>(IF((VLOOKUP(Table10[[#This Row],[SKU]],'All Skus'!$A:$AC,2,FALSE))="Martin",(VLOOKUP(Table10[[#This Row],[SKU]],'All Skus'!$A:$AC,8,FALSE)),""))</f>
        <v>VDO Fatron Flat Diffuser 320mm</v>
      </c>
      <c r="H804" s="223" t="str">
        <f>(IF((VLOOKUP(Table10[[#This Row],[SKU]],'All Skus'!$A:$AC,2,FALSE))="Martin",(VLOOKUP(Table10[[#This Row],[SKU]],'All Skus'!$A:$AC,9,FALSE)),""))</f>
        <v>VDO Fatron Flat Diffuser 320mm</v>
      </c>
      <c r="I804" s="225">
        <f>(IF((VLOOKUP(Table10[[#This Row],[SKU]],'All Skus'!$A:$AC,2,FALSE))="Martin",(VLOOKUP(Table10[[#This Row],[SKU]],'All Skus'!$A:$AC,10,FALSE)),""))</f>
        <v>34.57</v>
      </c>
      <c r="J804" s="226">
        <f>(IF((VLOOKUP(Table10[[#This Row],[SKU]],'All Skus'!$A:$AC,2,FALSE))="Martin",(VLOOKUP(Table10[[#This Row],[SKU]],'All Skus'!$A:$AC,11,FALSE)),""))</f>
        <v>34.57</v>
      </c>
      <c r="K804" s="224">
        <f>(IF((VLOOKUP(Table10[[#This Row],[SKU]],'All Skus'!$A:$AC,2,FALSE))="Martin",(VLOOKUP(Table10[[#This Row],[SKU]],'All Skus'!$A:$AC,15,FALSE)),""))</f>
        <v>0</v>
      </c>
      <c r="L804" s="224">
        <f>(IF((VLOOKUP(Table10[[#This Row],[SKU]],'All Skus'!$A:$AC,2,FALSE))="Martin",(VLOOKUP(Table10[[#This Row],[SKU]],'All Skus'!$A:$AC,16,FALSE)),""))</f>
        <v>0</v>
      </c>
      <c r="M804" s="224">
        <f>(IF((VLOOKUP(Table10[[#This Row],[SKU]],'All Skus'!$A:$AC,2,FALSE))="Martin",(VLOOKUP(Table10[[#This Row],[SKU]],'All Skus'!$A:$AC,17,FALSE)),""))</f>
        <v>0</v>
      </c>
      <c r="N804" s="227">
        <f>(IF((VLOOKUP(Table10[[#This Row],[SKU]],'All Skus'!$A:$AC,2,FALSE))="Martin",(VLOOKUP(Table10[[#This Row],[SKU]],'All Skus'!$A:$AC,18,FALSE)),""))</f>
        <v>0</v>
      </c>
      <c r="O804" s="227">
        <f>(IF((VLOOKUP(Table10[[#This Row],[SKU]],'All Skus'!$A:$AC,2,FALSE))="Martin",(VLOOKUP(Table10[[#This Row],[SKU]],'All Skus'!$A:$AC,19,FALSE)),""))</f>
        <v>0</v>
      </c>
      <c r="P804" s="227">
        <f>(IF((VLOOKUP(Table10[[#This Row],[SKU]],'All Skus'!$A:$AC,2,FALSE))="Martin",(VLOOKUP(Table10[[#This Row],[SKU]],'All Skus'!$A:$AC,20,FALSE)),""))</f>
        <v>0</v>
      </c>
      <c r="Q804" s="227">
        <f>(IF((VLOOKUP(Table10[[#This Row],[SKU]],'All Skus'!$A:$AC,2,FALSE))="Martin",(VLOOKUP(Table10[[#This Row],[SKU]],'All Skus'!$A:$AC,21,FALSE)),""))</f>
        <v>0</v>
      </c>
      <c r="R804" s="224" t="str">
        <f>(IF((VLOOKUP(Table10[[#This Row],[SKU]],'All Skus'!$A:$AC,2,FALSE))="Martin",(VLOOKUP(Table10[[#This Row],[SKU]],'All Skus'!$A:$AC,22,FALSE)),""))</f>
        <v>CN</v>
      </c>
      <c r="S804" s="223" t="str">
        <f>(IF((VLOOKUP(Table10[[#This Row],[SKU]],'All Skus'!$A:$AC,2,FALSE))="Martin",(VLOOKUP(Table10[[#This Row],[SKU]],'All Skus'!$A:$AC,23,FALSE)),""))</f>
        <v>Non Compliant</v>
      </c>
      <c r="T804" s="212" t="str">
        <f>HYPERLINK((IF((VLOOKUP(Table10[[#This Row],[SKU]],'All Skus'!$A:$AC,2,FALSE))="Martin",(VLOOKUP(Table10[[#This Row],[SKU]],'All Skus'!$A:$AC,24,FALSE)),"")))</f>
        <v/>
      </c>
      <c r="U804" s="228">
        <v>802</v>
      </c>
    </row>
    <row r="805" spans="1:21" hidden="1">
      <c r="A805" s="112">
        <v>91611810</v>
      </c>
      <c r="B805" s="224" t="str">
        <f>(IF((VLOOKUP(Table10[[#This Row],[SKU]],'All Skus'!$A:$AC,2,FALSE))="Martin",(VLOOKUP(Table10[[#This Row],[SKU]],'All Skus'!$A:$AC,3,FALSE)),""))</f>
        <v>LED Video</v>
      </c>
      <c r="C805" s="223" t="str">
        <f>(IF((VLOOKUP(Table10[[#This Row],[SKU]],'All Skus'!$A:$AC,2,FALSE))="Martin",(VLOOKUP(Table10[[#This Row],[SKU]],'All Skus'!$A:$AC,4,FALSE)),""))</f>
        <v>VDO Fatron Flat Diffuser 1000mm</v>
      </c>
      <c r="D805" s="224" t="str">
        <f>(IF((VLOOKUP(Table10[[#This Row],[SKU]],'All Skus'!$A:$AC,2,FALSE))="Martin",(VLOOKUP(Table10[[#This Row],[SKU]],'All Skus'!$A:$AC,5,FALSE)),""))</f>
        <v>MAR-VDO</v>
      </c>
      <c r="E805" s="223">
        <f>(IF((VLOOKUP(Table10[[#This Row],[SKU]],'All Skus'!$A:$AC,2,FALSE))="Martin",(VLOOKUP(Table10[[#This Row],[SKU]],'All Skus'!$A:$AC,6,FALSE)),""))</f>
        <v>0</v>
      </c>
      <c r="F805" s="155">
        <f>(IF((VLOOKUP(Table10[[#This Row],[SKU]],'All Skus'!$A:$AC,2,FALSE))="Martin",(VLOOKUP(Table10[[#This Row],[SKU]],'All Skus'!$A:$AC,7,FALSE)),""))</f>
        <v>0</v>
      </c>
      <c r="G805" s="223" t="str">
        <f>(IF((VLOOKUP(Table10[[#This Row],[SKU]],'All Skus'!$A:$AC,2,FALSE))="Martin",(VLOOKUP(Table10[[#This Row],[SKU]],'All Skus'!$A:$AC,8,FALSE)),""))</f>
        <v>VDO Fatron Flat Diffuser 1000mm</v>
      </c>
      <c r="H805" s="223" t="str">
        <f>(IF((VLOOKUP(Table10[[#This Row],[SKU]],'All Skus'!$A:$AC,2,FALSE))="Martin",(VLOOKUP(Table10[[#This Row],[SKU]],'All Skus'!$A:$AC,9,FALSE)),""))</f>
        <v>VDO Fatron Flat Diffuser 1000mm</v>
      </c>
      <c r="I805" s="225">
        <f>(IF((VLOOKUP(Table10[[#This Row],[SKU]],'All Skus'!$A:$AC,2,FALSE))="Martin",(VLOOKUP(Table10[[#This Row],[SKU]],'All Skus'!$A:$AC,10,FALSE)),""))</f>
        <v>51.86</v>
      </c>
      <c r="J805" s="226">
        <f>(IF((VLOOKUP(Table10[[#This Row],[SKU]],'All Skus'!$A:$AC,2,FALSE))="Martin",(VLOOKUP(Table10[[#This Row],[SKU]],'All Skus'!$A:$AC,11,FALSE)),""))</f>
        <v>51.86</v>
      </c>
      <c r="K805" s="224">
        <f>(IF((VLOOKUP(Table10[[#This Row],[SKU]],'All Skus'!$A:$AC,2,FALSE))="Martin",(VLOOKUP(Table10[[#This Row],[SKU]],'All Skus'!$A:$AC,15,FALSE)),""))</f>
        <v>0</v>
      </c>
      <c r="L805" s="224">
        <f>(IF((VLOOKUP(Table10[[#This Row],[SKU]],'All Skus'!$A:$AC,2,FALSE))="Martin",(VLOOKUP(Table10[[#This Row],[SKU]],'All Skus'!$A:$AC,16,FALSE)),""))</f>
        <v>0</v>
      </c>
      <c r="M805" s="224">
        <f>(IF((VLOOKUP(Table10[[#This Row],[SKU]],'All Skus'!$A:$AC,2,FALSE))="Martin",(VLOOKUP(Table10[[#This Row],[SKU]],'All Skus'!$A:$AC,17,FALSE)),""))</f>
        <v>0</v>
      </c>
      <c r="N805" s="227">
        <f>(IF((VLOOKUP(Table10[[#This Row],[SKU]],'All Skus'!$A:$AC,2,FALSE))="Martin",(VLOOKUP(Table10[[#This Row],[SKU]],'All Skus'!$A:$AC,18,FALSE)),""))</f>
        <v>0</v>
      </c>
      <c r="O805" s="227">
        <f>(IF((VLOOKUP(Table10[[#This Row],[SKU]],'All Skus'!$A:$AC,2,FALSE))="Martin",(VLOOKUP(Table10[[#This Row],[SKU]],'All Skus'!$A:$AC,19,FALSE)),""))</f>
        <v>0</v>
      </c>
      <c r="P805" s="227">
        <f>(IF((VLOOKUP(Table10[[#This Row],[SKU]],'All Skus'!$A:$AC,2,FALSE))="Martin",(VLOOKUP(Table10[[#This Row],[SKU]],'All Skus'!$A:$AC,20,FALSE)),""))</f>
        <v>0</v>
      </c>
      <c r="Q805" s="227">
        <f>(IF((VLOOKUP(Table10[[#This Row],[SKU]],'All Skus'!$A:$AC,2,FALSE))="Martin",(VLOOKUP(Table10[[#This Row],[SKU]],'All Skus'!$A:$AC,21,FALSE)),""))</f>
        <v>0</v>
      </c>
      <c r="R805" s="224" t="str">
        <f>(IF((VLOOKUP(Table10[[#This Row],[SKU]],'All Skus'!$A:$AC,2,FALSE))="Martin",(VLOOKUP(Table10[[#This Row],[SKU]],'All Skus'!$A:$AC,22,FALSE)),""))</f>
        <v>CN</v>
      </c>
      <c r="S805" s="223" t="str">
        <f>(IF((VLOOKUP(Table10[[#This Row],[SKU]],'All Skus'!$A:$AC,2,FALSE))="Martin",(VLOOKUP(Table10[[#This Row],[SKU]],'All Skus'!$A:$AC,23,FALSE)),""))</f>
        <v>Non Compliant</v>
      </c>
      <c r="T805" s="212" t="str">
        <f>HYPERLINK((IF((VLOOKUP(Table10[[#This Row],[SKU]],'All Skus'!$A:$AC,2,FALSE))="Martin",(VLOOKUP(Table10[[#This Row],[SKU]],'All Skus'!$A:$AC,24,FALSE)),"")))</f>
        <v/>
      </c>
      <c r="U805" s="228">
        <v>803</v>
      </c>
    </row>
    <row r="806" spans="1:21" hidden="1">
      <c r="A806" s="112">
        <v>91611811</v>
      </c>
      <c r="B806" s="224" t="str">
        <f>(IF((VLOOKUP(Table10[[#This Row],[SKU]],'All Skus'!$A:$AC,2,FALSE))="Martin",(VLOOKUP(Table10[[#This Row],[SKU]],'All Skus'!$A:$AC,3,FALSE)),""))</f>
        <v>LED Video</v>
      </c>
      <c r="C806" s="223" t="str">
        <f>(IF((VLOOKUP(Table10[[#This Row],[SKU]],'All Skus'!$A:$AC,2,FALSE))="Martin",(VLOOKUP(Table10[[#This Row],[SKU]],'All Skus'!$A:$AC,4,FALSE)),""))</f>
        <v>VDO Fatron Flat Smoked Diffuser 320mm</v>
      </c>
      <c r="D806" s="224" t="str">
        <f>(IF((VLOOKUP(Table10[[#This Row],[SKU]],'All Skus'!$A:$AC,2,FALSE))="Martin",(VLOOKUP(Table10[[#This Row],[SKU]],'All Skus'!$A:$AC,5,FALSE)),""))</f>
        <v>MAR-VDO</v>
      </c>
      <c r="E806" s="223">
        <f>(IF((VLOOKUP(Table10[[#This Row],[SKU]],'All Skus'!$A:$AC,2,FALSE))="Martin",(VLOOKUP(Table10[[#This Row],[SKU]],'All Skus'!$A:$AC,6,FALSE)),""))</f>
        <v>0</v>
      </c>
      <c r="F806" s="155">
        <f>(IF((VLOOKUP(Table10[[#This Row],[SKU]],'All Skus'!$A:$AC,2,FALSE))="Martin",(VLOOKUP(Table10[[#This Row],[SKU]],'All Skus'!$A:$AC,7,FALSE)),""))</f>
        <v>0</v>
      </c>
      <c r="G806" s="223" t="str">
        <f>(IF((VLOOKUP(Table10[[#This Row],[SKU]],'All Skus'!$A:$AC,2,FALSE))="Martin",(VLOOKUP(Table10[[#This Row],[SKU]],'All Skus'!$A:$AC,8,FALSE)),""))</f>
        <v>VDO Fatron Flat Smoked Diffuser 320mm</v>
      </c>
      <c r="H806" s="223" t="str">
        <f>(IF((VLOOKUP(Table10[[#This Row],[SKU]],'All Skus'!$A:$AC,2,FALSE))="Martin",(VLOOKUP(Table10[[#This Row],[SKU]],'All Skus'!$A:$AC,9,FALSE)),""))</f>
        <v>VDO Fatron Flat Smoked Diffuser 320mm</v>
      </c>
      <c r="I806" s="225">
        <f>(IF((VLOOKUP(Table10[[#This Row],[SKU]],'All Skus'!$A:$AC,2,FALSE))="Martin",(VLOOKUP(Table10[[#This Row],[SKU]],'All Skus'!$A:$AC,10,FALSE)),""))</f>
        <v>34.57</v>
      </c>
      <c r="J806" s="226">
        <f>(IF((VLOOKUP(Table10[[#This Row],[SKU]],'All Skus'!$A:$AC,2,FALSE))="Martin",(VLOOKUP(Table10[[#This Row],[SKU]],'All Skus'!$A:$AC,11,FALSE)),""))</f>
        <v>34.57</v>
      </c>
      <c r="K806" s="224">
        <f>(IF((VLOOKUP(Table10[[#This Row],[SKU]],'All Skus'!$A:$AC,2,FALSE))="Martin",(VLOOKUP(Table10[[#This Row],[SKU]],'All Skus'!$A:$AC,15,FALSE)),""))</f>
        <v>0</v>
      </c>
      <c r="L806" s="224">
        <f>(IF((VLOOKUP(Table10[[#This Row],[SKU]],'All Skus'!$A:$AC,2,FALSE))="Martin",(VLOOKUP(Table10[[#This Row],[SKU]],'All Skus'!$A:$AC,16,FALSE)),""))</f>
        <v>0</v>
      </c>
      <c r="M806" s="224">
        <f>(IF((VLOOKUP(Table10[[#This Row],[SKU]],'All Skus'!$A:$AC,2,FALSE))="Martin",(VLOOKUP(Table10[[#This Row],[SKU]],'All Skus'!$A:$AC,17,FALSE)),""))</f>
        <v>0</v>
      </c>
      <c r="N806" s="227">
        <f>(IF((VLOOKUP(Table10[[#This Row],[SKU]],'All Skus'!$A:$AC,2,FALSE))="Martin",(VLOOKUP(Table10[[#This Row],[SKU]],'All Skus'!$A:$AC,18,FALSE)),""))</f>
        <v>0</v>
      </c>
      <c r="O806" s="227">
        <f>(IF((VLOOKUP(Table10[[#This Row],[SKU]],'All Skus'!$A:$AC,2,FALSE))="Martin",(VLOOKUP(Table10[[#This Row],[SKU]],'All Skus'!$A:$AC,19,FALSE)),""))</f>
        <v>0</v>
      </c>
      <c r="P806" s="227">
        <f>(IF((VLOOKUP(Table10[[#This Row],[SKU]],'All Skus'!$A:$AC,2,FALSE))="Martin",(VLOOKUP(Table10[[#This Row],[SKU]],'All Skus'!$A:$AC,20,FALSE)),""))</f>
        <v>0</v>
      </c>
      <c r="Q806" s="227">
        <f>(IF((VLOOKUP(Table10[[#This Row],[SKU]],'All Skus'!$A:$AC,2,FALSE))="Martin",(VLOOKUP(Table10[[#This Row],[SKU]],'All Skus'!$A:$AC,21,FALSE)),""))</f>
        <v>0</v>
      </c>
      <c r="R806" s="224" t="str">
        <f>(IF((VLOOKUP(Table10[[#This Row],[SKU]],'All Skus'!$A:$AC,2,FALSE))="Martin",(VLOOKUP(Table10[[#This Row],[SKU]],'All Skus'!$A:$AC,22,FALSE)),""))</f>
        <v>CN</v>
      </c>
      <c r="S806" s="223" t="str">
        <f>(IF((VLOOKUP(Table10[[#This Row],[SKU]],'All Skus'!$A:$AC,2,FALSE))="Martin",(VLOOKUP(Table10[[#This Row],[SKU]],'All Skus'!$A:$AC,23,FALSE)),""))</f>
        <v>Non Compliant</v>
      </c>
      <c r="T806" s="212" t="str">
        <f>HYPERLINK((IF((VLOOKUP(Table10[[#This Row],[SKU]],'All Skus'!$A:$AC,2,FALSE))="Martin",(VLOOKUP(Table10[[#This Row],[SKU]],'All Skus'!$A:$AC,24,FALSE)),"")))</f>
        <v/>
      </c>
      <c r="U806" s="228">
        <v>804</v>
      </c>
    </row>
    <row r="807" spans="1:21" hidden="1">
      <c r="A807" s="112">
        <v>91611812</v>
      </c>
      <c r="B807" s="224" t="str">
        <f>(IF((VLOOKUP(Table10[[#This Row],[SKU]],'All Skus'!$A:$AC,2,FALSE))="Martin",(VLOOKUP(Table10[[#This Row],[SKU]],'All Skus'!$A:$AC,3,FALSE)),""))</f>
        <v>LED Video</v>
      </c>
      <c r="C807" s="223" t="str">
        <f>(IF((VLOOKUP(Table10[[#This Row],[SKU]],'All Skus'!$A:$AC,2,FALSE))="Martin",(VLOOKUP(Table10[[#This Row],[SKU]],'All Skus'!$A:$AC,4,FALSE)),""))</f>
        <v>VDO Fatron Flat Smoked Diffuser 1000mm</v>
      </c>
      <c r="D807" s="224" t="str">
        <f>(IF((VLOOKUP(Table10[[#This Row],[SKU]],'All Skus'!$A:$AC,2,FALSE))="Martin",(VLOOKUP(Table10[[#This Row],[SKU]],'All Skus'!$A:$AC,5,FALSE)),""))</f>
        <v>MAR-VDO</v>
      </c>
      <c r="E807" s="223">
        <f>(IF((VLOOKUP(Table10[[#This Row],[SKU]],'All Skus'!$A:$AC,2,FALSE))="Martin",(VLOOKUP(Table10[[#This Row],[SKU]],'All Skus'!$A:$AC,6,FALSE)),""))</f>
        <v>0</v>
      </c>
      <c r="F807" s="155">
        <f>(IF((VLOOKUP(Table10[[#This Row],[SKU]],'All Skus'!$A:$AC,2,FALSE))="Martin",(VLOOKUP(Table10[[#This Row],[SKU]],'All Skus'!$A:$AC,7,FALSE)),""))</f>
        <v>0</v>
      </c>
      <c r="G807" s="223" t="str">
        <f>(IF((VLOOKUP(Table10[[#This Row],[SKU]],'All Skus'!$A:$AC,2,FALSE))="Martin",(VLOOKUP(Table10[[#This Row],[SKU]],'All Skus'!$A:$AC,8,FALSE)),""))</f>
        <v>VDO Fatron Flat Smoked Diffuser 1000mm</v>
      </c>
      <c r="H807" s="223" t="str">
        <f>(IF((VLOOKUP(Table10[[#This Row],[SKU]],'All Skus'!$A:$AC,2,FALSE))="Martin",(VLOOKUP(Table10[[#This Row],[SKU]],'All Skus'!$A:$AC,9,FALSE)),""))</f>
        <v>VDO Fatron Flat Smoked Diffuser 1000mm</v>
      </c>
      <c r="I807" s="225">
        <f>(IF((VLOOKUP(Table10[[#This Row],[SKU]],'All Skus'!$A:$AC,2,FALSE))="Martin",(VLOOKUP(Table10[[#This Row],[SKU]],'All Skus'!$A:$AC,10,FALSE)),""))</f>
        <v>51.86</v>
      </c>
      <c r="J807" s="226">
        <f>(IF((VLOOKUP(Table10[[#This Row],[SKU]],'All Skus'!$A:$AC,2,FALSE))="Martin",(VLOOKUP(Table10[[#This Row],[SKU]],'All Skus'!$A:$AC,11,FALSE)),""))</f>
        <v>51.86</v>
      </c>
      <c r="K807" s="224">
        <f>(IF((VLOOKUP(Table10[[#This Row],[SKU]],'All Skus'!$A:$AC,2,FALSE))="Martin",(VLOOKUP(Table10[[#This Row],[SKU]],'All Skus'!$A:$AC,15,FALSE)),""))</f>
        <v>0</v>
      </c>
      <c r="L807" s="224">
        <f>(IF((VLOOKUP(Table10[[#This Row],[SKU]],'All Skus'!$A:$AC,2,FALSE))="Martin",(VLOOKUP(Table10[[#This Row],[SKU]],'All Skus'!$A:$AC,16,FALSE)),""))</f>
        <v>0</v>
      </c>
      <c r="M807" s="224">
        <f>(IF((VLOOKUP(Table10[[#This Row],[SKU]],'All Skus'!$A:$AC,2,FALSE))="Martin",(VLOOKUP(Table10[[#This Row],[SKU]],'All Skus'!$A:$AC,17,FALSE)),""))</f>
        <v>0</v>
      </c>
      <c r="N807" s="227">
        <f>(IF((VLOOKUP(Table10[[#This Row],[SKU]],'All Skus'!$A:$AC,2,FALSE))="Martin",(VLOOKUP(Table10[[#This Row],[SKU]],'All Skus'!$A:$AC,18,FALSE)),""))</f>
        <v>0</v>
      </c>
      <c r="O807" s="227">
        <f>(IF((VLOOKUP(Table10[[#This Row],[SKU]],'All Skus'!$A:$AC,2,FALSE))="Martin",(VLOOKUP(Table10[[#This Row],[SKU]],'All Skus'!$A:$AC,19,FALSE)),""))</f>
        <v>0</v>
      </c>
      <c r="P807" s="227">
        <f>(IF((VLOOKUP(Table10[[#This Row],[SKU]],'All Skus'!$A:$AC,2,FALSE))="Martin",(VLOOKUP(Table10[[#This Row],[SKU]],'All Skus'!$A:$AC,20,FALSE)),""))</f>
        <v>0</v>
      </c>
      <c r="Q807" s="227">
        <f>(IF((VLOOKUP(Table10[[#This Row],[SKU]],'All Skus'!$A:$AC,2,FALSE))="Martin",(VLOOKUP(Table10[[#This Row],[SKU]],'All Skus'!$A:$AC,21,FALSE)),""))</f>
        <v>0</v>
      </c>
      <c r="R807" s="224" t="str">
        <f>(IF((VLOOKUP(Table10[[#This Row],[SKU]],'All Skus'!$A:$AC,2,FALSE))="Martin",(VLOOKUP(Table10[[#This Row],[SKU]],'All Skus'!$A:$AC,22,FALSE)),""))</f>
        <v>CN</v>
      </c>
      <c r="S807" s="223" t="str">
        <f>(IF((VLOOKUP(Table10[[#This Row],[SKU]],'All Skus'!$A:$AC,2,FALSE))="Martin",(VLOOKUP(Table10[[#This Row],[SKU]],'All Skus'!$A:$AC,23,FALSE)),""))</f>
        <v>Non Compliant</v>
      </c>
      <c r="T807" s="212" t="str">
        <f>HYPERLINK((IF((VLOOKUP(Table10[[#This Row],[SKU]],'All Skus'!$A:$AC,2,FALSE))="Martin",(VLOOKUP(Table10[[#This Row],[SKU]],'All Skus'!$A:$AC,24,FALSE)),"")))</f>
        <v/>
      </c>
      <c r="U807" s="228">
        <v>805</v>
      </c>
    </row>
    <row r="808" spans="1:21" hidden="1">
      <c r="A808" s="112">
        <v>91611820</v>
      </c>
      <c r="B808" s="224" t="str">
        <f>(IF((VLOOKUP(Table10[[#This Row],[SKU]],'All Skus'!$A:$AC,2,FALSE))="Martin",(VLOOKUP(Table10[[#This Row],[SKU]],'All Skus'!$A:$AC,3,FALSE)),""))</f>
        <v>LED Video</v>
      </c>
      <c r="C808" s="223" t="str">
        <f>(IF((VLOOKUP(Table10[[#This Row],[SKU]],'All Skus'!$A:$AC,2,FALSE))="Martin",(VLOOKUP(Table10[[#This Row],[SKU]],'All Skus'!$A:$AC,4,FALSE)),""))</f>
        <v>VDO Fatron Squa Smoked Diffuser 1000mm</v>
      </c>
      <c r="D808" s="224" t="str">
        <f>(IF((VLOOKUP(Table10[[#This Row],[SKU]],'All Skus'!$A:$AC,2,FALSE))="Martin",(VLOOKUP(Table10[[#This Row],[SKU]],'All Skus'!$A:$AC,5,FALSE)),""))</f>
        <v>MAR-VDO</v>
      </c>
      <c r="E808" s="223">
        <f>(IF((VLOOKUP(Table10[[#This Row],[SKU]],'All Skus'!$A:$AC,2,FALSE))="Martin",(VLOOKUP(Table10[[#This Row],[SKU]],'All Skus'!$A:$AC,6,FALSE)),""))</f>
        <v>0</v>
      </c>
      <c r="F808" s="155">
        <f>(IF((VLOOKUP(Table10[[#This Row],[SKU]],'All Skus'!$A:$AC,2,FALSE))="Martin",(VLOOKUP(Table10[[#This Row],[SKU]],'All Skus'!$A:$AC,7,FALSE)),""))</f>
        <v>0</v>
      </c>
      <c r="G808" s="223" t="str">
        <f>(IF((VLOOKUP(Table10[[#This Row],[SKU]],'All Skus'!$A:$AC,2,FALSE))="Martin",(VLOOKUP(Table10[[#This Row],[SKU]],'All Skus'!$A:$AC,8,FALSE)),""))</f>
        <v>VDO Fatron Squa Smoked Diffuser 1000mm</v>
      </c>
      <c r="H808" s="223" t="str">
        <f>(IF((VLOOKUP(Table10[[#This Row],[SKU]],'All Skus'!$A:$AC,2,FALSE))="Martin",(VLOOKUP(Table10[[#This Row],[SKU]],'All Skus'!$A:$AC,9,FALSE)),""))</f>
        <v>VDO Fatron Squa Smoked Diffuser 1000mm</v>
      </c>
      <c r="I808" s="225">
        <f>(IF((VLOOKUP(Table10[[#This Row],[SKU]],'All Skus'!$A:$AC,2,FALSE))="Martin",(VLOOKUP(Table10[[#This Row],[SKU]],'All Skus'!$A:$AC,10,FALSE)),""))</f>
        <v>49.39</v>
      </c>
      <c r="J808" s="226">
        <f>(IF((VLOOKUP(Table10[[#This Row],[SKU]],'All Skus'!$A:$AC,2,FALSE))="Martin",(VLOOKUP(Table10[[#This Row],[SKU]],'All Skus'!$A:$AC,11,FALSE)),""))</f>
        <v>49.39</v>
      </c>
      <c r="K808" s="224">
        <f>(IF((VLOOKUP(Table10[[#This Row],[SKU]],'All Skus'!$A:$AC,2,FALSE))="Martin",(VLOOKUP(Table10[[#This Row],[SKU]],'All Skus'!$A:$AC,15,FALSE)),""))</f>
        <v>0</v>
      </c>
      <c r="L808" s="224">
        <f>(IF((VLOOKUP(Table10[[#This Row],[SKU]],'All Skus'!$A:$AC,2,FALSE))="Martin",(VLOOKUP(Table10[[#This Row],[SKU]],'All Skus'!$A:$AC,16,FALSE)),""))</f>
        <v>0</v>
      </c>
      <c r="M808" s="224">
        <f>(IF((VLOOKUP(Table10[[#This Row],[SKU]],'All Skus'!$A:$AC,2,FALSE))="Martin",(VLOOKUP(Table10[[#This Row],[SKU]],'All Skus'!$A:$AC,17,FALSE)),""))</f>
        <v>0</v>
      </c>
      <c r="N808" s="227">
        <f>(IF((VLOOKUP(Table10[[#This Row],[SKU]],'All Skus'!$A:$AC,2,FALSE))="Martin",(VLOOKUP(Table10[[#This Row],[SKU]],'All Skus'!$A:$AC,18,FALSE)),""))</f>
        <v>0</v>
      </c>
      <c r="O808" s="227">
        <f>(IF((VLOOKUP(Table10[[#This Row],[SKU]],'All Skus'!$A:$AC,2,FALSE))="Martin",(VLOOKUP(Table10[[#This Row],[SKU]],'All Skus'!$A:$AC,19,FALSE)),""))</f>
        <v>0</v>
      </c>
      <c r="P808" s="227">
        <f>(IF((VLOOKUP(Table10[[#This Row],[SKU]],'All Skus'!$A:$AC,2,FALSE))="Martin",(VLOOKUP(Table10[[#This Row],[SKU]],'All Skus'!$A:$AC,20,FALSE)),""))</f>
        <v>0</v>
      </c>
      <c r="Q808" s="227">
        <f>(IF((VLOOKUP(Table10[[#This Row],[SKU]],'All Skus'!$A:$AC,2,FALSE))="Martin",(VLOOKUP(Table10[[#This Row],[SKU]],'All Skus'!$A:$AC,21,FALSE)),""))</f>
        <v>0</v>
      </c>
      <c r="R808" s="224" t="str">
        <f>(IF((VLOOKUP(Table10[[#This Row],[SKU]],'All Skus'!$A:$AC,2,FALSE))="Martin",(VLOOKUP(Table10[[#This Row],[SKU]],'All Skus'!$A:$AC,22,FALSE)),""))</f>
        <v>CN</v>
      </c>
      <c r="S808" s="223" t="str">
        <f>(IF((VLOOKUP(Table10[[#This Row],[SKU]],'All Skus'!$A:$AC,2,FALSE))="Martin",(VLOOKUP(Table10[[#This Row],[SKU]],'All Skus'!$A:$AC,23,FALSE)),""))</f>
        <v>Non Compliant</v>
      </c>
      <c r="T808" s="212" t="str">
        <f>HYPERLINK((IF((VLOOKUP(Table10[[#This Row],[SKU]],'All Skus'!$A:$AC,2,FALSE))="Martin",(VLOOKUP(Table10[[#This Row],[SKU]],'All Skus'!$A:$AC,24,FALSE)),"")))</f>
        <v/>
      </c>
      <c r="U808" s="228">
        <v>806</v>
      </c>
    </row>
    <row r="809" spans="1:21" hidden="1">
      <c r="A809" s="112">
        <v>91611819</v>
      </c>
      <c r="B809" s="224" t="str">
        <f>(IF((VLOOKUP(Table10[[#This Row],[SKU]],'All Skus'!$A:$AC,2,FALSE))="Martin",(VLOOKUP(Table10[[#This Row],[SKU]],'All Skus'!$A:$AC,3,FALSE)),""))</f>
        <v>LED Video</v>
      </c>
      <c r="C809" s="223" t="str">
        <f>(IF((VLOOKUP(Table10[[#This Row],[SKU]],'All Skus'!$A:$AC,2,FALSE))="Martin",(VLOOKUP(Table10[[#This Row],[SKU]],'All Skus'!$A:$AC,4,FALSE)),""))</f>
        <v>VDO Fatron Squa Smoked Diffuser 320mm</v>
      </c>
      <c r="D809" s="224" t="str">
        <f>(IF((VLOOKUP(Table10[[#This Row],[SKU]],'All Skus'!$A:$AC,2,FALSE))="Martin",(VLOOKUP(Table10[[#This Row],[SKU]],'All Skus'!$A:$AC,5,FALSE)),""))</f>
        <v>MAR-VDO</v>
      </c>
      <c r="E809" s="223">
        <f>(IF((VLOOKUP(Table10[[#This Row],[SKU]],'All Skus'!$A:$AC,2,FALSE))="Martin",(VLOOKUP(Table10[[#This Row],[SKU]],'All Skus'!$A:$AC,6,FALSE)),""))</f>
        <v>0</v>
      </c>
      <c r="F809" s="155">
        <f>(IF((VLOOKUP(Table10[[#This Row],[SKU]],'All Skus'!$A:$AC,2,FALSE))="Martin",(VLOOKUP(Table10[[#This Row],[SKU]],'All Skus'!$A:$AC,7,FALSE)),""))</f>
        <v>0</v>
      </c>
      <c r="G809" s="223" t="str">
        <f>(IF((VLOOKUP(Table10[[#This Row],[SKU]],'All Skus'!$A:$AC,2,FALSE))="Martin",(VLOOKUP(Table10[[#This Row],[SKU]],'All Skus'!$A:$AC,8,FALSE)),""))</f>
        <v>VDO Fatron Squa Smoked Diffuser 320mm</v>
      </c>
      <c r="H809" s="223" t="str">
        <f>(IF((VLOOKUP(Table10[[#This Row],[SKU]],'All Skus'!$A:$AC,2,FALSE))="Martin",(VLOOKUP(Table10[[#This Row],[SKU]],'All Skus'!$A:$AC,9,FALSE)),""))</f>
        <v>VDO Fatron Squa Smoked Diffuser 320mm</v>
      </c>
      <c r="I809" s="225">
        <f>(IF((VLOOKUP(Table10[[#This Row],[SKU]],'All Skus'!$A:$AC,2,FALSE))="Martin",(VLOOKUP(Table10[[#This Row],[SKU]],'All Skus'!$A:$AC,10,FALSE)),""))</f>
        <v>32.1</v>
      </c>
      <c r="J809" s="226">
        <f>(IF((VLOOKUP(Table10[[#This Row],[SKU]],'All Skus'!$A:$AC,2,FALSE))="Martin",(VLOOKUP(Table10[[#This Row],[SKU]],'All Skus'!$A:$AC,11,FALSE)),""))</f>
        <v>32.1</v>
      </c>
      <c r="K809" s="224">
        <f>(IF((VLOOKUP(Table10[[#This Row],[SKU]],'All Skus'!$A:$AC,2,FALSE))="Martin",(VLOOKUP(Table10[[#This Row],[SKU]],'All Skus'!$A:$AC,15,FALSE)),""))</f>
        <v>0</v>
      </c>
      <c r="L809" s="224">
        <f>(IF((VLOOKUP(Table10[[#This Row],[SKU]],'All Skus'!$A:$AC,2,FALSE))="Martin",(VLOOKUP(Table10[[#This Row],[SKU]],'All Skus'!$A:$AC,16,FALSE)),""))</f>
        <v>0</v>
      </c>
      <c r="M809" s="224">
        <f>(IF((VLOOKUP(Table10[[#This Row],[SKU]],'All Skus'!$A:$AC,2,FALSE))="Martin",(VLOOKUP(Table10[[#This Row],[SKU]],'All Skus'!$A:$AC,17,FALSE)),""))</f>
        <v>0</v>
      </c>
      <c r="N809" s="227">
        <f>(IF((VLOOKUP(Table10[[#This Row],[SKU]],'All Skus'!$A:$AC,2,FALSE))="Martin",(VLOOKUP(Table10[[#This Row],[SKU]],'All Skus'!$A:$AC,18,FALSE)),""))</f>
        <v>0</v>
      </c>
      <c r="O809" s="227">
        <f>(IF((VLOOKUP(Table10[[#This Row],[SKU]],'All Skus'!$A:$AC,2,FALSE))="Martin",(VLOOKUP(Table10[[#This Row],[SKU]],'All Skus'!$A:$AC,19,FALSE)),""))</f>
        <v>0</v>
      </c>
      <c r="P809" s="227">
        <f>(IF((VLOOKUP(Table10[[#This Row],[SKU]],'All Skus'!$A:$AC,2,FALSE))="Martin",(VLOOKUP(Table10[[#This Row],[SKU]],'All Skus'!$A:$AC,20,FALSE)),""))</f>
        <v>0</v>
      </c>
      <c r="Q809" s="227">
        <f>(IF((VLOOKUP(Table10[[#This Row],[SKU]],'All Skus'!$A:$AC,2,FALSE))="Martin",(VLOOKUP(Table10[[#This Row],[SKU]],'All Skus'!$A:$AC,21,FALSE)),""))</f>
        <v>0</v>
      </c>
      <c r="R809" s="224" t="str">
        <f>(IF((VLOOKUP(Table10[[#This Row],[SKU]],'All Skus'!$A:$AC,2,FALSE))="Martin",(VLOOKUP(Table10[[#This Row],[SKU]],'All Skus'!$A:$AC,22,FALSE)),""))</f>
        <v>CN</v>
      </c>
      <c r="S809" s="223" t="str">
        <f>(IF((VLOOKUP(Table10[[#This Row],[SKU]],'All Skus'!$A:$AC,2,FALSE))="Martin",(VLOOKUP(Table10[[#This Row],[SKU]],'All Skus'!$A:$AC,23,FALSE)),""))</f>
        <v>Non Compliant</v>
      </c>
      <c r="T809" s="212" t="str">
        <f>HYPERLINK((IF((VLOOKUP(Table10[[#This Row],[SKU]],'All Skus'!$A:$AC,2,FALSE))="Martin",(VLOOKUP(Table10[[#This Row],[SKU]],'All Skus'!$A:$AC,24,FALSE)),"")))</f>
        <v/>
      </c>
      <c r="U809" s="228">
        <v>807</v>
      </c>
    </row>
    <row r="810" spans="1:21" hidden="1">
      <c r="A810" s="112">
        <v>91611818</v>
      </c>
      <c r="B810" s="224" t="str">
        <f>(IF((VLOOKUP(Table10[[#This Row],[SKU]],'All Skus'!$A:$AC,2,FALSE))="Martin",(VLOOKUP(Table10[[#This Row],[SKU]],'All Skus'!$A:$AC,3,FALSE)),""))</f>
        <v>LED Video</v>
      </c>
      <c r="C810" s="223" t="str">
        <f>(IF((VLOOKUP(Table10[[#This Row],[SKU]],'All Skus'!$A:$AC,2,FALSE))="Martin",(VLOOKUP(Table10[[#This Row],[SKU]],'All Skus'!$A:$AC,4,FALSE)),""))</f>
        <v>VDO Fatron Squa Diffuser 1000mm</v>
      </c>
      <c r="D810" s="224" t="str">
        <f>(IF((VLOOKUP(Table10[[#This Row],[SKU]],'All Skus'!$A:$AC,2,FALSE))="Martin",(VLOOKUP(Table10[[#This Row],[SKU]],'All Skus'!$A:$AC,5,FALSE)),""))</f>
        <v>MAR-VDO</v>
      </c>
      <c r="E810" s="223">
        <f>(IF((VLOOKUP(Table10[[#This Row],[SKU]],'All Skus'!$A:$AC,2,FALSE))="Martin",(VLOOKUP(Table10[[#This Row],[SKU]],'All Skus'!$A:$AC,6,FALSE)),""))</f>
        <v>0</v>
      </c>
      <c r="F810" s="155">
        <f>(IF((VLOOKUP(Table10[[#This Row],[SKU]],'All Skus'!$A:$AC,2,FALSE))="Martin",(VLOOKUP(Table10[[#This Row],[SKU]],'All Skus'!$A:$AC,7,FALSE)),""))</f>
        <v>0</v>
      </c>
      <c r="G810" s="223" t="str">
        <f>(IF((VLOOKUP(Table10[[#This Row],[SKU]],'All Skus'!$A:$AC,2,FALSE))="Martin",(VLOOKUP(Table10[[#This Row],[SKU]],'All Skus'!$A:$AC,8,FALSE)),""))</f>
        <v>VDO Fatron Squa Diffuser 1000mm</v>
      </c>
      <c r="H810" s="223" t="str">
        <f>(IF((VLOOKUP(Table10[[#This Row],[SKU]],'All Skus'!$A:$AC,2,FALSE))="Martin",(VLOOKUP(Table10[[#This Row],[SKU]],'All Skus'!$A:$AC,9,FALSE)),""))</f>
        <v>VDO Fatron Squa Diffuser 1000mm</v>
      </c>
      <c r="I810" s="225">
        <f>(IF((VLOOKUP(Table10[[#This Row],[SKU]],'All Skus'!$A:$AC,2,FALSE))="Martin",(VLOOKUP(Table10[[#This Row],[SKU]],'All Skus'!$A:$AC,10,FALSE)),""))</f>
        <v>49.39</v>
      </c>
      <c r="J810" s="226">
        <f>(IF((VLOOKUP(Table10[[#This Row],[SKU]],'All Skus'!$A:$AC,2,FALSE))="Martin",(VLOOKUP(Table10[[#This Row],[SKU]],'All Skus'!$A:$AC,11,FALSE)),""))</f>
        <v>49.39</v>
      </c>
      <c r="K810" s="224">
        <f>(IF((VLOOKUP(Table10[[#This Row],[SKU]],'All Skus'!$A:$AC,2,FALSE))="Martin",(VLOOKUP(Table10[[#This Row],[SKU]],'All Skus'!$A:$AC,15,FALSE)),""))</f>
        <v>0</v>
      </c>
      <c r="L810" s="224">
        <f>(IF((VLOOKUP(Table10[[#This Row],[SKU]],'All Skus'!$A:$AC,2,FALSE))="Martin",(VLOOKUP(Table10[[#This Row],[SKU]],'All Skus'!$A:$AC,16,FALSE)),""))</f>
        <v>0</v>
      </c>
      <c r="M810" s="224">
        <f>(IF((VLOOKUP(Table10[[#This Row],[SKU]],'All Skus'!$A:$AC,2,FALSE))="Martin",(VLOOKUP(Table10[[#This Row],[SKU]],'All Skus'!$A:$AC,17,FALSE)),""))</f>
        <v>0</v>
      </c>
      <c r="N810" s="227">
        <f>(IF((VLOOKUP(Table10[[#This Row],[SKU]],'All Skus'!$A:$AC,2,FALSE))="Martin",(VLOOKUP(Table10[[#This Row],[SKU]],'All Skus'!$A:$AC,18,FALSE)),""))</f>
        <v>0</v>
      </c>
      <c r="O810" s="227">
        <f>(IF((VLOOKUP(Table10[[#This Row],[SKU]],'All Skus'!$A:$AC,2,FALSE))="Martin",(VLOOKUP(Table10[[#This Row],[SKU]],'All Skus'!$A:$AC,19,FALSE)),""))</f>
        <v>0</v>
      </c>
      <c r="P810" s="227">
        <f>(IF((VLOOKUP(Table10[[#This Row],[SKU]],'All Skus'!$A:$AC,2,FALSE))="Martin",(VLOOKUP(Table10[[#This Row],[SKU]],'All Skus'!$A:$AC,20,FALSE)),""))</f>
        <v>0</v>
      </c>
      <c r="Q810" s="227">
        <f>(IF((VLOOKUP(Table10[[#This Row],[SKU]],'All Skus'!$A:$AC,2,FALSE))="Martin",(VLOOKUP(Table10[[#This Row],[SKU]],'All Skus'!$A:$AC,21,FALSE)),""))</f>
        <v>0</v>
      </c>
      <c r="R810" s="224" t="str">
        <f>(IF((VLOOKUP(Table10[[#This Row],[SKU]],'All Skus'!$A:$AC,2,FALSE))="Martin",(VLOOKUP(Table10[[#This Row],[SKU]],'All Skus'!$A:$AC,22,FALSE)),""))</f>
        <v>CN</v>
      </c>
      <c r="S810" s="223" t="str">
        <f>(IF((VLOOKUP(Table10[[#This Row],[SKU]],'All Skus'!$A:$AC,2,FALSE))="Martin",(VLOOKUP(Table10[[#This Row],[SKU]],'All Skus'!$A:$AC,23,FALSE)),""))</f>
        <v>Non Compliant</v>
      </c>
      <c r="T810" s="212" t="str">
        <f>HYPERLINK((IF((VLOOKUP(Table10[[#This Row],[SKU]],'All Skus'!$A:$AC,2,FALSE))="Martin",(VLOOKUP(Table10[[#This Row],[SKU]],'All Skus'!$A:$AC,24,FALSE)),"")))</f>
        <v/>
      </c>
      <c r="U810" s="228">
        <v>808</v>
      </c>
    </row>
    <row r="811" spans="1:21" hidden="1">
      <c r="A811" s="112">
        <v>91611817</v>
      </c>
      <c r="B811" s="224" t="str">
        <f>(IF((VLOOKUP(Table10[[#This Row],[SKU]],'All Skus'!$A:$AC,2,FALSE))="Martin",(VLOOKUP(Table10[[#This Row],[SKU]],'All Skus'!$A:$AC,3,FALSE)),""))</f>
        <v>LED Video</v>
      </c>
      <c r="C811" s="223" t="str">
        <f>(IF((VLOOKUP(Table10[[#This Row],[SKU]],'All Skus'!$A:$AC,2,FALSE))="Martin",(VLOOKUP(Table10[[#This Row],[SKU]],'All Skus'!$A:$AC,4,FALSE)),""))</f>
        <v>VDO Fatron Squa Diffuser 320mm</v>
      </c>
      <c r="D811" s="224" t="str">
        <f>(IF((VLOOKUP(Table10[[#This Row],[SKU]],'All Skus'!$A:$AC,2,FALSE))="Martin",(VLOOKUP(Table10[[#This Row],[SKU]],'All Skus'!$A:$AC,5,FALSE)),""))</f>
        <v>MAR-VDO</v>
      </c>
      <c r="E811" s="223">
        <f>(IF((VLOOKUP(Table10[[#This Row],[SKU]],'All Skus'!$A:$AC,2,FALSE))="Martin",(VLOOKUP(Table10[[#This Row],[SKU]],'All Skus'!$A:$AC,6,FALSE)),""))</f>
        <v>0</v>
      </c>
      <c r="F811" s="155">
        <f>(IF((VLOOKUP(Table10[[#This Row],[SKU]],'All Skus'!$A:$AC,2,FALSE))="Martin",(VLOOKUP(Table10[[#This Row],[SKU]],'All Skus'!$A:$AC,7,FALSE)),""))</f>
        <v>0</v>
      </c>
      <c r="G811" s="223" t="str">
        <f>(IF((VLOOKUP(Table10[[#This Row],[SKU]],'All Skus'!$A:$AC,2,FALSE))="Martin",(VLOOKUP(Table10[[#This Row],[SKU]],'All Skus'!$A:$AC,8,FALSE)),""))</f>
        <v>VDO Fatron Squa Diffuser 320mm</v>
      </c>
      <c r="H811" s="223" t="str">
        <f>(IF((VLOOKUP(Table10[[#This Row],[SKU]],'All Skus'!$A:$AC,2,FALSE))="Martin",(VLOOKUP(Table10[[#This Row],[SKU]],'All Skus'!$A:$AC,9,FALSE)),""))</f>
        <v>VDO Fatron Squa Diffuser 320mm</v>
      </c>
      <c r="I811" s="225">
        <f>(IF((VLOOKUP(Table10[[#This Row],[SKU]],'All Skus'!$A:$AC,2,FALSE))="Martin",(VLOOKUP(Table10[[#This Row],[SKU]],'All Skus'!$A:$AC,10,FALSE)),""))</f>
        <v>32.1</v>
      </c>
      <c r="J811" s="226">
        <f>(IF((VLOOKUP(Table10[[#This Row],[SKU]],'All Skus'!$A:$AC,2,FALSE))="Martin",(VLOOKUP(Table10[[#This Row],[SKU]],'All Skus'!$A:$AC,11,FALSE)),""))</f>
        <v>32.1</v>
      </c>
      <c r="K811" s="224">
        <f>(IF((VLOOKUP(Table10[[#This Row],[SKU]],'All Skus'!$A:$AC,2,FALSE))="Martin",(VLOOKUP(Table10[[#This Row],[SKU]],'All Skus'!$A:$AC,15,FALSE)),""))</f>
        <v>0</v>
      </c>
      <c r="L811" s="224">
        <f>(IF((VLOOKUP(Table10[[#This Row],[SKU]],'All Skus'!$A:$AC,2,FALSE))="Martin",(VLOOKUP(Table10[[#This Row],[SKU]],'All Skus'!$A:$AC,16,FALSE)),""))</f>
        <v>0</v>
      </c>
      <c r="M811" s="224">
        <f>(IF((VLOOKUP(Table10[[#This Row],[SKU]],'All Skus'!$A:$AC,2,FALSE))="Martin",(VLOOKUP(Table10[[#This Row],[SKU]],'All Skus'!$A:$AC,17,FALSE)),""))</f>
        <v>0</v>
      </c>
      <c r="N811" s="227">
        <f>(IF((VLOOKUP(Table10[[#This Row],[SKU]],'All Skus'!$A:$AC,2,FALSE))="Martin",(VLOOKUP(Table10[[#This Row],[SKU]],'All Skus'!$A:$AC,18,FALSE)),""))</f>
        <v>0</v>
      </c>
      <c r="O811" s="227">
        <f>(IF((VLOOKUP(Table10[[#This Row],[SKU]],'All Skus'!$A:$AC,2,FALSE))="Martin",(VLOOKUP(Table10[[#This Row],[SKU]],'All Skus'!$A:$AC,19,FALSE)),""))</f>
        <v>0</v>
      </c>
      <c r="P811" s="227">
        <f>(IF((VLOOKUP(Table10[[#This Row],[SKU]],'All Skus'!$A:$AC,2,FALSE))="Martin",(VLOOKUP(Table10[[#This Row],[SKU]],'All Skus'!$A:$AC,20,FALSE)),""))</f>
        <v>0</v>
      </c>
      <c r="Q811" s="227">
        <f>(IF((VLOOKUP(Table10[[#This Row],[SKU]],'All Skus'!$A:$AC,2,FALSE))="Martin",(VLOOKUP(Table10[[#This Row],[SKU]],'All Skus'!$A:$AC,21,FALSE)),""))</f>
        <v>0</v>
      </c>
      <c r="R811" s="224" t="str">
        <f>(IF((VLOOKUP(Table10[[#This Row],[SKU]],'All Skus'!$A:$AC,2,FALSE))="Martin",(VLOOKUP(Table10[[#This Row],[SKU]],'All Skus'!$A:$AC,22,FALSE)),""))</f>
        <v>CN</v>
      </c>
      <c r="S811" s="223" t="str">
        <f>(IF((VLOOKUP(Table10[[#This Row],[SKU]],'All Skus'!$A:$AC,2,FALSE))="Martin",(VLOOKUP(Table10[[#This Row],[SKU]],'All Skus'!$A:$AC,23,FALSE)),""))</f>
        <v>Non Compliant</v>
      </c>
      <c r="T811" s="212" t="str">
        <f>HYPERLINK((IF((VLOOKUP(Table10[[#This Row],[SKU]],'All Skus'!$A:$AC,2,FALSE))="Martin",(VLOOKUP(Table10[[#This Row],[SKU]],'All Skus'!$A:$AC,24,FALSE)),"")))</f>
        <v/>
      </c>
      <c r="U811" s="228">
        <v>809</v>
      </c>
    </row>
    <row r="812" spans="1:21" hidden="1">
      <c r="A812" s="112">
        <v>91611816</v>
      </c>
      <c r="B812" s="224" t="str">
        <f>(IF((VLOOKUP(Table10[[#This Row],[SKU]],'All Skus'!$A:$AC,2,FALSE))="Martin",(VLOOKUP(Table10[[#This Row],[SKU]],'All Skus'!$A:$AC,3,FALSE)),""))</f>
        <v>LED Video</v>
      </c>
      <c r="C812" s="223" t="str">
        <f>(IF((VLOOKUP(Table10[[#This Row],[SKU]],'All Skus'!$A:$AC,2,FALSE))="Martin",(VLOOKUP(Table10[[#This Row],[SKU]],'All Skus'!$A:$AC,4,FALSE)),""))</f>
        <v>VDO Fatron Rnd Smoked Diffuser 1000mm</v>
      </c>
      <c r="D812" s="224" t="str">
        <f>(IF((VLOOKUP(Table10[[#This Row],[SKU]],'All Skus'!$A:$AC,2,FALSE))="Martin",(VLOOKUP(Table10[[#This Row],[SKU]],'All Skus'!$A:$AC,5,FALSE)),""))</f>
        <v>MAR-VDO</v>
      </c>
      <c r="E812" s="223">
        <f>(IF((VLOOKUP(Table10[[#This Row],[SKU]],'All Skus'!$A:$AC,2,FALSE))="Martin",(VLOOKUP(Table10[[#This Row],[SKU]],'All Skus'!$A:$AC,6,FALSE)),""))</f>
        <v>0</v>
      </c>
      <c r="F812" s="155">
        <f>(IF((VLOOKUP(Table10[[#This Row],[SKU]],'All Skus'!$A:$AC,2,FALSE))="Martin",(VLOOKUP(Table10[[#This Row],[SKU]],'All Skus'!$A:$AC,7,FALSE)),""))</f>
        <v>0</v>
      </c>
      <c r="G812" s="223" t="str">
        <f>(IF((VLOOKUP(Table10[[#This Row],[SKU]],'All Skus'!$A:$AC,2,FALSE))="Martin",(VLOOKUP(Table10[[#This Row],[SKU]],'All Skus'!$A:$AC,8,FALSE)),""))</f>
        <v>VDO Fatron Rnd Smoked Diffuser 1000mm</v>
      </c>
      <c r="H812" s="223" t="str">
        <f>(IF((VLOOKUP(Table10[[#This Row],[SKU]],'All Skus'!$A:$AC,2,FALSE))="Martin",(VLOOKUP(Table10[[#This Row],[SKU]],'All Skus'!$A:$AC,9,FALSE)),""))</f>
        <v>VDO Fatron Rnd Smoked Diffuser 1000mm</v>
      </c>
      <c r="I812" s="225">
        <f>(IF((VLOOKUP(Table10[[#This Row],[SKU]],'All Skus'!$A:$AC,2,FALSE))="Martin",(VLOOKUP(Table10[[#This Row],[SKU]],'All Skus'!$A:$AC,10,FALSE)),""))</f>
        <v>49.39</v>
      </c>
      <c r="J812" s="226">
        <f>(IF((VLOOKUP(Table10[[#This Row],[SKU]],'All Skus'!$A:$AC,2,FALSE))="Martin",(VLOOKUP(Table10[[#This Row],[SKU]],'All Skus'!$A:$AC,11,FALSE)),""))</f>
        <v>49.39</v>
      </c>
      <c r="K812" s="224">
        <f>(IF((VLOOKUP(Table10[[#This Row],[SKU]],'All Skus'!$A:$AC,2,FALSE))="Martin",(VLOOKUP(Table10[[#This Row],[SKU]],'All Skus'!$A:$AC,15,FALSE)),""))</f>
        <v>0</v>
      </c>
      <c r="L812" s="224">
        <f>(IF((VLOOKUP(Table10[[#This Row],[SKU]],'All Skus'!$A:$AC,2,FALSE))="Martin",(VLOOKUP(Table10[[#This Row],[SKU]],'All Skus'!$A:$AC,16,FALSE)),""))</f>
        <v>0</v>
      </c>
      <c r="M812" s="224">
        <f>(IF((VLOOKUP(Table10[[#This Row],[SKU]],'All Skus'!$A:$AC,2,FALSE))="Martin",(VLOOKUP(Table10[[#This Row],[SKU]],'All Skus'!$A:$AC,17,FALSE)),""))</f>
        <v>0</v>
      </c>
      <c r="N812" s="227">
        <f>(IF((VLOOKUP(Table10[[#This Row],[SKU]],'All Skus'!$A:$AC,2,FALSE))="Martin",(VLOOKUP(Table10[[#This Row],[SKU]],'All Skus'!$A:$AC,18,FALSE)),""))</f>
        <v>0</v>
      </c>
      <c r="O812" s="227">
        <f>(IF((VLOOKUP(Table10[[#This Row],[SKU]],'All Skus'!$A:$AC,2,FALSE))="Martin",(VLOOKUP(Table10[[#This Row],[SKU]],'All Skus'!$A:$AC,19,FALSE)),""))</f>
        <v>0</v>
      </c>
      <c r="P812" s="227">
        <f>(IF((VLOOKUP(Table10[[#This Row],[SKU]],'All Skus'!$A:$AC,2,FALSE))="Martin",(VLOOKUP(Table10[[#This Row],[SKU]],'All Skus'!$A:$AC,20,FALSE)),""))</f>
        <v>0</v>
      </c>
      <c r="Q812" s="227">
        <f>(IF((VLOOKUP(Table10[[#This Row],[SKU]],'All Skus'!$A:$AC,2,FALSE))="Martin",(VLOOKUP(Table10[[#This Row],[SKU]],'All Skus'!$A:$AC,21,FALSE)),""))</f>
        <v>0</v>
      </c>
      <c r="R812" s="224" t="str">
        <f>(IF((VLOOKUP(Table10[[#This Row],[SKU]],'All Skus'!$A:$AC,2,FALSE))="Martin",(VLOOKUP(Table10[[#This Row],[SKU]],'All Skus'!$A:$AC,22,FALSE)),""))</f>
        <v>CN</v>
      </c>
      <c r="S812" s="223" t="str">
        <f>(IF((VLOOKUP(Table10[[#This Row],[SKU]],'All Skus'!$A:$AC,2,FALSE))="Martin",(VLOOKUP(Table10[[#This Row],[SKU]],'All Skus'!$A:$AC,23,FALSE)),""))</f>
        <v>Non Compliant</v>
      </c>
      <c r="T812" s="212" t="str">
        <f>HYPERLINK((IF((VLOOKUP(Table10[[#This Row],[SKU]],'All Skus'!$A:$AC,2,FALSE))="Martin",(VLOOKUP(Table10[[#This Row],[SKU]],'All Skus'!$A:$AC,24,FALSE)),"")))</f>
        <v/>
      </c>
      <c r="U812" s="228">
        <v>810</v>
      </c>
    </row>
    <row r="813" spans="1:21" hidden="1">
      <c r="A813" s="112">
        <v>91611815</v>
      </c>
      <c r="B813" s="224" t="str">
        <f>(IF((VLOOKUP(Table10[[#This Row],[SKU]],'All Skus'!$A:$AC,2,FALSE))="Martin",(VLOOKUP(Table10[[#This Row],[SKU]],'All Skus'!$A:$AC,3,FALSE)),""))</f>
        <v>LED Video</v>
      </c>
      <c r="C813" s="223" t="str">
        <f>(IF((VLOOKUP(Table10[[#This Row],[SKU]],'All Skus'!$A:$AC,2,FALSE))="Martin",(VLOOKUP(Table10[[#This Row],[SKU]],'All Skus'!$A:$AC,4,FALSE)),""))</f>
        <v>VDO Fatron Rnd Smoked Diffuser 320mm</v>
      </c>
      <c r="D813" s="224" t="str">
        <f>(IF((VLOOKUP(Table10[[#This Row],[SKU]],'All Skus'!$A:$AC,2,FALSE))="Martin",(VLOOKUP(Table10[[#This Row],[SKU]],'All Skus'!$A:$AC,5,FALSE)),""))</f>
        <v>MAR-VDO</v>
      </c>
      <c r="E813" s="223">
        <f>(IF((VLOOKUP(Table10[[#This Row],[SKU]],'All Skus'!$A:$AC,2,FALSE))="Martin",(VLOOKUP(Table10[[#This Row],[SKU]],'All Skus'!$A:$AC,6,FALSE)),""))</f>
        <v>0</v>
      </c>
      <c r="F813" s="155">
        <f>(IF((VLOOKUP(Table10[[#This Row],[SKU]],'All Skus'!$A:$AC,2,FALSE))="Martin",(VLOOKUP(Table10[[#This Row],[SKU]],'All Skus'!$A:$AC,7,FALSE)),""))</f>
        <v>0</v>
      </c>
      <c r="G813" s="223" t="str">
        <f>(IF((VLOOKUP(Table10[[#This Row],[SKU]],'All Skus'!$A:$AC,2,FALSE))="Martin",(VLOOKUP(Table10[[#This Row],[SKU]],'All Skus'!$A:$AC,8,FALSE)),""))</f>
        <v>VDO Fatron Rnd Smoked Diffuser 320mm</v>
      </c>
      <c r="H813" s="223" t="str">
        <f>(IF((VLOOKUP(Table10[[#This Row],[SKU]],'All Skus'!$A:$AC,2,FALSE))="Martin",(VLOOKUP(Table10[[#This Row],[SKU]],'All Skus'!$A:$AC,9,FALSE)),""))</f>
        <v>VDO Fatron Rnd Smoked Diffuser 320mm</v>
      </c>
      <c r="I813" s="225">
        <f>(IF((VLOOKUP(Table10[[#This Row],[SKU]],'All Skus'!$A:$AC,2,FALSE))="Martin",(VLOOKUP(Table10[[#This Row],[SKU]],'All Skus'!$A:$AC,10,FALSE)),""))</f>
        <v>32.1</v>
      </c>
      <c r="J813" s="226">
        <f>(IF((VLOOKUP(Table10[[#This Row],[SKU]],'All Skus'!$A:$AC,2,FALSE))="Martin",(VLOOKUP(Table10[[#This Row],[SKU]],'All Skus'!$A:$AC,11,FALSE)),""))</f>
        <v>32.1</v>
      </c>
      <c r="K813" s="224">
        <f>(IF((VLOOKUP(Table10[[#This Row],[SKU]],'All Skus'!$A:$AC,2,FALSE))="Martin",(VLOOKUP(Table10[[#This Row],[SKU]],'All Skus'!$A:$AC,15,FALSE)),""))</f>
        <v>0</v>
      </c>
      <c r="L813" s="224">
        <f>(IF((VLOOKUP(Table10[[#This Row],[SKU]],'All Skus'!$A:$AC,2,FALSE))="Martin",(VLOOKUP(Table10[[#This Row],[SKU]],'All Skus'!$A:$AC,16,FALSE)),""))</f>
        <v>0</v>
      </c>
      <c r="M813" s="224">
        <f>(IF((VLOOKUP(Table10[[#This Row],[SKU]],'All Skus'!$A:$AC,2,FALSE))="Martin",(VLOOKUP(Table10[[#This Row],[SKU]],'All Skus'!$A:$AC,17,FALSE)),""))</f>
        <v>0</v>
      </c>
      <c r="N813" s="227">
        <f>(IF((VLOOKUP(Table10[[#This Row],[SKU]],'All Skus'!$A:$AC,2,FALSE))="Martin",(VLOOKUP(Table10[[#This Row],[SKU]],'All Skus'!$A:$AC,18,FALSE)),""))</f>
        <v>0</v>
      </c>
      <c r="O813" s="227">
        <f>(IF((VLOOKUP(Table10[[#This Row],[SKU]],'All Skus'!$A:$AC,2,FALSE))="Martin",(VLOOKUP(Table10[[#This Row],[SKU]],'All Skus'!$A:$AC,19,FALSE)),""))</f>
        <v>0</v>
      </c>
      <c r="P813" s="227">
        <f>(IF((VLOOKUP(Table10[[#This Row],[SKU]],'All Skus'!$A:$AC,2,FALSE))="Martin",(VLOOKUP(Table10[[#This Row],[SKU]],'All Skus'!$A:$AC,20,FALSE)),""))</f>
        <v>0</v>
      </c>
      <c r="Q813" s="227">
        <f>(IF((VLOOKUP(Table10[[#This Row],[SKU]],'All Skus'!$A:$AC,2,FALSE))="Martin",(VLOOKUP(Table10[[#This Row],[SKU]],'All Skus'!$A:$AC,21,FALSE)),""))</f>
        <v>0</v>
      </c>
      <c r="R813" s="224" t="str">
        <f>(IF((VLOOKUP(Table10[[#This Row],[SKU]],'All Skus'!$A:$AC,2,FALSE))="Martin",(VLOOKUP(Table10[[#This Row],[SKU]],'All Skus'!$A:$AC,22,FALSE)),""))</f>
        <v>CN</v>
      </c>
      <c r="S813" s="223" t="str">
        <f>(IF((VLOOKUP(Table10[[#This Row],[SKU]],'All Skus'!$A:$AC,2,FALSE))="Martin",(VLOOKUP(Table10[[#This Row],[SKU]],'All Skus'!$A:$AC,23,FALSE)),""))</f>
        <v>Non Compliant</v>
      </c>
      <c r="T813" s="212" t="str">
        <f>HYPERLINK((IF((VLOOKUP(Table10[[#This Row],[SKU]],'All Skus'!$A:$AC,2,FALSE))="Martin",(VLOOKUP(Table10[[#This Row],[SKU]],'All Skus'!$A:$AC,24,FALSE)),"")))</f>
        <v/>
      </c>
      <c r="U813" s="228">
        <v>811</v>
      </c>
    </row>
    <row r="814" spans="1:21" hidden="1">
      <c r="A814" s="112">
        <v>91611814</v>
      </c>
      <c r="B814" s="224" t="str">
        <f>(IF((VLOOKUP(Table10[[#This Row],[SKU]],'All Skus'!$A:$AC,2,FALSE))="Martin",(VLOOKUP(Table10[[#This Row],[SKU]],'All Skus'!$A:$AC,3,FALSE)),""))</f>
        <v>LED Video</v>
      </c>
      <c r="C814" s="223" t="str">
        <f>(IF((VLOOKUP(Table10[[#This Row],[SKU]],'All Skus'!$A:$AC,2,FALSE))="Martin",(VLOOKUP(Table10[[#This Row],[SKU]],'All Skus'!$A:$AC,4,FALSE)),""))</f>
        <v>VDO Fatron Rnd Diffuser 1000mm</v>
      </c>
      <c r="D814" s="224" t="str">
        <f>(IF((VLOOKUP(Table10[[#This Row],[SKU]],'All Skus'!$A:$AC,2,FALSE))="Martin",(VLOOKUP(Table10[[#This Row],[SKU]],'All Skus'!$A:$AC,5,FALSE)),""))</f>
        <v>MAR-VDO</v>
      </c>
      <c r="E814" s="223">
        <f>(IF((VLOOKUP(Table10[[#This Row],[SKU]],'All Skus'!$A:$AC,2,FALSE))="Martin",(VLOOKUP(Table10[[#This Row],[SKU]],'All Skus'!$A:$AC,6,FALSE)),""))</f>
        <v>0</v>
      </c>
      <c r="F814" s="155">
        <f>(IF((VLOOKUP(Table10[[#This Row],[SKU]],'All Skus'!$A:$AC,2,FALSE))="Martin",(VLOOKUP(Table10[[#This Row],[SKU]],'All Skus'!$A:$AC,7,FALSE)),""))</f>
        <v>0</v>
      </c>
      <c r="G814" s="223" t="str">
        <f>(IF((VLOOKUP(Table10[[#This Row],[SKU]],'All Skus'!$A:$AC,2,FALSE))="Martin",(VLOOKUP(Table10[[#This Row],[SKU]],'All Skus'!$A:$AC,8,FALSE)),""))</f>
        <v>VDO Fatron Rnd Diffuser 1000mm</v>
      </c>
      <c r="H814" s="223" t="str">
        <f>(IF((VLOOKUP(Table10[[#This Row],[SKU]],'All Skus'!$A:$AC,2,FALSE))="Martin",(VLOOKUP(Table10[[#This Row],[SKU]],'All Skus'!$A:$AC,9,FALSE)),""))</f>
        <v>VDO Fatron Rnd Diffuser 1000mm</v>
      </c>
      <c r="I814" s="225">
        <f>(IF((VLOOKUP(Table10[[#This Row],[SKU]],'All Skus'!$A:$AC,2,FALSE))="Martin",(VLOOKUP(Table10[[#This Row],[SKU]],'All Skus'!$A:$AC,10,FALSE)),""))</f>
        <v>49.39</v>
      </c>
      <c r="J814" s="226">
        <f>(IF((VLOOKUP(Table10[[#This Row],[SKU]],'All Skus'!$A:$AC,2,FALSE))="Martin",(VLOOKUP(Table10[[#This Row],[SKU]],'All Skus'!$A:$AC,11,FALSE)),""))</f>
        <v>49.39</v>
      </c>
      <c r="K814" s="224">
        <f>(IF((VLOOKUP(Table10[[#This Row],[SKU]],'All Skus'!$A:$AC,2,FALSE))="Martin",(VLOOKUP(Table10[[#This Row],[SKU]],'All Skus'!$A:$AC,15,FALSE)),""))</f>
        <v>0</v>
      </c>
      <c r="L814" s="224">
        <f>(IF((VLOOKUP(Table10[[#This Row],[SKU]],'All Skus'!$A:$AC,2,FALSE))="Martin",(VLOOKUP(Table10[[#This Row],[SKU]],'All Skus'!$A:$AC,16,FALSE)),""))</f>
        <v>0</v>
      </c>
      <c r="M814" s="224">
        <f>(IF((VLOOKUP(Table10[[#This Row],[SKU]],'All Skus'!$A:$AC,2,FALSE))="Martin",(VLOOKUP(Table10[[#This Row],[SKU]],'All Skus'!$A:$AC,17,FALSE)),""))</f>
        <v>0</v>
      </c>
      <c r="N814" s="227">
        <f>(IF((VLOOKUP(Table10[[#This Row],[SKU]],'All Skus'!$A:$AC,2,FALSE))="Martin",(VLOOKUP(Table10[[#This Row],[SKU]],'All Skus'!$A:$AC,18,FALSE)),""))</f>
        <v>0</v>
      </c>
      <c r="O814" s="227">
        <f>(IF((VLOOKUP(Table10[[#This Row],[SKU]],'All Skus'!$A:$AC,2,FALSE))="Martin",(VLOOKUP(Table10[[#This Row],[SKU]],'All Skus'!$A:$AC,19,FALSE)),""))</f>
        <v>0</v>
      </c>
      <c r="P814" s="227">
        <f>(IF((VLOOKUP(Table10[[#This Row],[SKU]],'All Skus'!$A:$AC,2,FALSE))="Martin",(VLOOKUP(Table10[[#This Row],[SKU]],'All Skus'!$A:$AC,20,FALSE)),""))</f>
        <v>0</v>
      </c>
      <c r="Q814" s="227">
        <f>(IF((VLOOKUP(Table10[[#This Row],[SKU]],'All Skus'!$A:$AC,2,FALSE))="Martin",(VLOOKUP(Table10[[#This Row],[SKU]],'All Skus'!$A:$AC,21,FALSE)),""))</f>
        <v>0</v>
      </c>
      <c r="R814" s="224" t="str">
        <f>(IF((VLOOKUP(Table10[[#This Row],[SKU]],'All Skus'!$A:$AC,2,FALSE))="Martin",(VLOOKUP(Table10[[#This Row],[SKU]],'All Skus'!$A:$AC,22,FALSE)),""))</f>
        <v>CN</v>
      </c>
      <c r="S814" s="223" t="str">
        <f>(IF((VLOOKUP(Table10[[#This Row],[SKU]],'All Skus'!$A:$AC,2,FALSE))="Martin",(VLOOKUP(Table10[[#This Row],[SKU]],'All Skus'!$A:$AC,23,FALSE)),""))</f>
        <v>Non Compliant</v>
      </c>
      <c r="T814" s="212" t="str">
        <f>HYPERLINK((IF((VLOOKUP(Table10[[#This Row],[SKU]],'All Skus'!$A:$AC,2,FALSE))="Martin",(VLOOKUP(Table10[[#This Row],[SKU]],'All Skus'!$A:$AC,24,FALSE)),"")))</f>
        <v/>
      </c>
      <c r="U814" s="228">
        <v>812</v>
      </c>
    </row>
    <row r="815" spans="1:21" hidden="1">
      <c r="A815" s="112">
        <v>91611813</v>
      </c>
      <c r="B815" s="224" t="str">
        <f>(IF((VLOOKUP(Table10[[#This Row],[SKU]],'All Skus'!$A:$AC,2,FALSE))="Martin",(VLOOKUP(Table10[[#This Row],[SKU]],'All Skus'!$A:$AC,3,FALSE)),""))</f>
        <v>LED Video</v>
      </c>
      <c r="C815" s="223" t="str">
        <f>(IF((VLOOKUP(Table10[[#This Row],[SKU]],'All Skus'!$A:$AC,2,FALSE))="Martin",(VLOOKUP(Table10[[#This Row],[SKU]],'All Skus'!$A:$AC,4,FALSE)),""))</f>
        <v>VDO Fatron Rnd Diffuser 320mm</v>
      </c>
      <c r="D815" s="224" t="str">
        <f>(IF((VLOOKUP(Table10[[#This Row],[SKU]],'All Skus'!$A:$AC,2,FALSE))="Martin",(VLOOKUP(Table10[[#This Row],[SKU]],'All Skus'!$A:$AC,5,FALSE)),""))</f>
        <v>MAR-VDO</v>
      </c>
      <c r="E815" s="223">
        <f>(IF((VLOOKUP(Table10[[#This Row],[SKU]],'All Skus'!$A:$AC,2,FALSE))="Martin",(VLOOKUP(Table10[[#This Row],[SKU]],'All Skus'!$A:$AC,6,FALSE)),""))</f>
        <v>0</v>
      </c>
      <c r="F815" s="155">
        <f>(IF((VLOOKUP(Table10[[#This Row],[SKU]],'All Skus'!$A:$AC,2,FALSE))="Martin",(VLOOKUP(Table10[[#This Row],[SKU]],'All Skus'!$A:$AC,7,FALSE)),""))</f>
        <v>0</v>
      </c>
      <c r="G815" s="223" t="str">
        <f>(IF((VLOOKUP(Table10[[#This Row],[SKU]],'All Skus'!$A:$AC,2,FALSE))="Martin",(VLOOKUP(Table10[[#This Row],[SKU]],'All Skus'!$A:$AC,8,FALSE)),""))</f>
        <v>VDO Fatron Rnd Diffuser 320mm</v>
      </c>
      <c r="H815" s="223" t="str">
        <f>(IF((VLOOKUP(Table10[[#This Row],[SKU]],'All Skus'!$A:$AC,2,FALSE))="Martin",(VLOOKUP(Table10[[#This Row],[SKU]],'All Skus'!$A:$AC,9,FALSE)),""))</f>
        <v>VDO Fatron Rnd Diffuser 320mm</v>
      </c>
      <c r="I815" s="225">
        <f>(IF((VLOOKUP(Table10[[#This Row],[SKU]],'All Skus'!$A:$AC,2,FALSE))="Martin",(VLOOKUP(Table10[[#This Row],[SKU]],'All Skus'!$A:$AC,10,FALSE)),""))</f>
        <v>32.1</v>
      </c>
      <c r="J815" s="226">
        <f>(IF((VLOOKUP(Table10[[#This Row],[SKU]],'All Skus'!$A:$AC,2,FALSE))="Martin",(VLOOKUP(Table10[[#This Row],[SKU]],'All Skus'!$A:$AC,11,FALSE)),""))</f>
        <v>32.1</v>
      </c>
      <c r="K815" s="224">
        <f>(IF((VLOOKUP(Table10[[#This Row],[SKU]],'All Skus'!$A:$AC,2,FALSE))="Martin",(VLOOKUP(Table10[[#This Row],[SKU]],'All Skus'!$A:$AC,15,FALSE)),""))</f>
        <v>0</v>
      </c>
      <c r="L815" s="224">
        <f>(IF((VLOOKUP(Table10[[#This Row],[SKU]],'All Skus'!$A:$AC,2,FALSE))="Martin",(VLOOKUP(Table10[[#This Row],[SKU]],'All Skus'!$A:$AC,16,FALSE)),""))</f>
        <v>0</v>
      </c>
      <c r="M815" s="224">
        <f>(IF((VLOOKUP(Table10[[#This Row],[SKU]],'All Skus'!$A:$AC,2,FALSE))="Martin",(VLOOKUP(Table10[[#This Row],[SKU]],'All Skus'!$A:$AC,17,FALSE)),""))</f>
        <v>0</v>
      </c>
      <c r="N815" s="227">
        <f>(IF((VLOOKUP(Table10[[#This Row],[SKU]],'All Skus'!$A:$AC,2,FALSE))="Martin",(VLOOKUP(Table10[[#This Row],[SKU]],'All Skus'!$A:$AC,18,FALSE)),""))</f>
        <v>0</v>
      </c>
      <c r="O815" s="227">
        <f>(IF((VLOOKUP(Table10[[#This Row],[SKU]],'All Skus'!$A:$AC,2,FALSE))="Martin",(VLOOKUP(Table10[[#This Row],[SKU]],'All Skus'!$A:$AC,19,FALSE)),""))</f>
        <v>0</v>
      </c>
      <c r="P815" s="227">
        <f>(IF((VLOOKUP(Table10[[#This Row],[SKU]],'All Skus'!$A:$AC,2,FALSE))="Martin",(VLOOKUP(Table10[[#This Row],[SKU]],'All Skus'!$A:$AC,20,FALSE)),""))</f>
        <v>0</v>
      </c>
      <c r="Q815" s="227">
        <f>(IF((VLOOKUP(Table10[[#This Row],[SKU]],'All Skus'!$A:$AC,2,FALSE))="Martin",(VLOOKUP(Table10[[#This Row],[SKU]],'All Skus'!$A:$AC,21,FALSE)),""))</f>
        <v>0</v>
      </c>
      <c r="R815" s="224" t="str">
        <f>(IF((VLOOKUP(Table10[[#This Row],[SKU]],'All Skus'!$A:$AC,2,FALSE))="Martin",(VLOOKUP(Table10[[#This Row],[SKU]],'All Skus'!$A:$AC,22,FALSE)),""))</f>
        <v>CN</v>
      </c>
      <c r="S815" s="223" t="str">
        <f>(IF((VLOOKUP(Table10[[#This Row],[SKU]],'All Skus'!$A:$AC,2,FALSE))="Martin",(VLOOKUP(Table10[[#This Row],[SKU]],'All Skus'!$A:$AC,23,FALSE)),""))</f>
        <v>Non Compliant</v>
      </c>
      <c r="T815" s="212" t="str">
        <f>HYPERLINK((IF((VLOOKUP(Table10[[#This Row],[SKU]],'All Skus'!$A:$AC,2,FALSE))="Martin",(VLOOKUP(Table10[[#This Row],[SKU]],'All Skus'!$A:$AC,24,FALSE)),"")))</f>
        <v/>
      </c>
      <c r="U815" s="228">
        <v>813</v>
      </c>
    </row>
    <row r="816" spans="1:21" hidden="1">
      <c r="A816" s="112">
        <v>91611825</v>
      </c>
      <c r="B816" s="224" t="str">
        <f>(IF((VLOOKUP(Table10[[#This Row],[SKU]],'All Skus'!$A:$AC,2,FALSE))="Martin",(VLOOKUP(Table10[[#This Row],[SKU]],'All Skus'!$A:$AC,3,FALSE)),""))</f>
        <v>LED Video</v>
      </c>
      <c r="C816" s="223" t="str">
        <f>(IF((VLOOKUP(Table10[[#This Row],[SKU]],'All Skus'!$A:$AC,2,FALSE))="Martin",(VLOOKUP(Table10[[#This Row],[SKU]],'All Skus'!$A:$AC,4,FALSE)),""))</f>
        <v>VDO Fatron 20 NoBlend Diffuser 320mm</v>
      </c>
      <c r="D816" s="224" t="str">
        <f>(IF((VLOOKUP(Table10[[#This Row],[SKU]],'All Skus'!$A:$AC,2,FALSE))="Martin",(VLOOKUP(Table10[[#This Row],[SKU]],'All Skus'!$A:$AC,5,FALSE)),""))</f>
        <v>MAR-VDO</v>
      </c>
      <c r="E816" s="223">
        <f>(IF((VLOOKUP(Table10[[#This Row],[SKU]],'All Skus'!$A:$AC,2,FALSE))="Martin",(VLOOKUP(Table10[[#This Row],[SKU]],'All Skus'!$A:$AC,6,FALSE)),""))</f>
        <v>0</v>
      </c>
      <c r="F816" s="155">
        <f>(IF((VLOOKUP(Table10[[#This Row],[SKU]],'All Skus'!$A:$AC,2,FALSE))="Martin",(VLOOKUP(Table10[[#This Row],[SKU]],'All Skus'!$A:$AC,7,FALSE)),""))</f>
        <v>0</v>
      </c>
      <c r="G816" s="223" t="str">
        <f>(IF((VLOOKUP(Table10[[#This Row],[SKU]],'All Skus'!$A:$AC,2,FALSE))="Martin",(VLOOKUP(Table10[[#This Row],[SKU]],'All Skus'!$A:$AC,8,FALSE)),""))</f>
        <v>VDO Fatron 20 NoBlend Diffuser 320mm</v>
      </c>
      <c r="H816" s="223" t="str">
        <f>(IF((VLOOKUP(Table10[[#This Row],[SKU]],'All Skus'!$A:$AC,2,FALSE))="Martin",(VLOOKUP(Table10[[#This Row],[SKU]],'All Skus'!$A:$AC,9,FALSE)),""))</f>
        <v>VDO Fatron 20 NoBlend Diffuser 320mm</v>
      </c>
      <c r="I816" s="225">
        <f>(IF((VLOOKUP(Table10[[#This Row],[SKU]],'All Skus'!$A:$AC,2,FALSE))="Martin",(VLOOKUP(Table10[[#This Row],[SKU]],'All Skus'!$A:$AC,10,FALSE)),""))</f>
        <v>145.69999999999999</v>
      </c>
      <c r="J816" s="226">
        <f>(IF((VLOOKUP(Table10[[#This Row],[SKU]],'All Skus'!$A:$AC,2,FALSE))="Martin",(VLOOKUP(Table10[[#This Row],[SKU]],'All Skus'!$A:$AC,11,FALSE)),""))</f>
        <v>145.69999999999999</v>
      </c>
      <c r="K816" s="224">
        <f>(IF((VLOOKUP(Table10[[#This Row],[SKU]],'All Skus'!$A:$AC,2,FALSE))="Martin",(VLOOKUP(Table10[[#This Row],[SKU]],'All Skus'!$A:$AC,15,FALSE)),""))</f>
        <v>0</v>
      </c>
      <c r="L816" s="224">
        <f>(IF((VLOOKUP(Table10[[#This Row],[SKU]],'All Skus'!$A:$AC,2,FALSE))="Martin",(VLOOKUP(Table10[[#This Row],[SKU]],'All Skus'!$A:$AC,16,FALSE)),""))</f>
        <v>0</v>
      </c>
      <c r="M816" s="224">
        <f>(IF((VLOOKUP(Table10[[#This Row],[SKU]],'All Skus'!$A:$AC,2,FALSE))="Martin",(VLOOKUP(Table10[[#This Row],[SKU]],'All Skus'!$A:$AC,17,FALSE)),""))</f>
        <v>0</v>
      </c>
      <c r="N816" s="227">
        <f>(IF((VLOOKUP(Table10[[#This Row],[SKU]],'All Skus'!$A:$AC,2,FALSE))="Martin",(VLOOKUP(Table10[[#This Row],[SKU]],'All Skus'!$A:$AC,18,FALSE)),""))</f>
        <v>0</v>
      </c>
      <c r="O816" s="227">
        <f>(IF((VLOOKUP(Table10[[#This Row],[SKU]],'All Skus'!$A:$AC,2,FALSE))="Martin",(VLOOKUP(Table10[[#This Row],[SKU]],'All Skus'!$A:$AC,19,FALSE)),""))</f>
        <v>0</v>
      </c>
      <c r="P816" s="227">
        <f>(IF((VLOOKUP(Table10[[#This Row],[SKU]],'All Skus'!$A:$AC,2,FALSE))="Martin",(VLOOKUP(Table10[[#This Row],[SKU]],'All Skus'!$A:$AC,20,FALSE)),""))</f>
        <v>0</v>
      </c>
      <c r="Q816" s="227">
        <f>(IF((VLOOKUP(Table10[[#This Row],[SKU]],'All Skus'!$A:$AC,2,FALSE))="Martin",(VLOOKUP(Table10[[#This Row],[SKU]],'All Skus'!$A:$AC,21,FALSE)),""))</f>
        <v>0</v>
      </c>
      <c r="R816" s="224" t="str">
        <f>(IF((VLOOKUP(Table10[[#This Row],[SKU]],'All Skus'!$A:$AC,2,FALSE))="Martin",(VLOOKUP(Table10[[#This Row],[SKU]],'All Skus'!$A:$AC,22,FALSE)),""))</f>
        <v>CN</v>
      </c>
      <c r="S816" s="223" t="str">
        <f>(IF((VLOOKUP(Table10[[#This Row],[SKU]],'All Skus'!$A:$AC,2,FALSE))="Martin",(VLOOKUP(Table10[[#This Row],[SKU]],'All Skus'!$A:$AC,23,FALSE)),""))</f>
        <v>Non Compliant</v>
      </c>
      <c r="T816" s="212" t="str">
        <f>HYPERLINK((IF((VLOOKUP(Table10[[#This Row],[SKU]],'All Skus'!$A:$AC,2,FALSE))="Martin",(VLOOKUP(Table10[[#This Row],[SKU]],'All Skus'!$A:$AC,24,FALSE)),"")))</f>
        <v/>
      </c>
      <c r="U816" s="228">
        <v>814</v>
      </c>
    </row>
    <row r="817" spans="1:21" hidden="1">
      <c r="A817" s="112">
        <v>91611826</v>
      </c>
      <c r="B817" s="224" t="str">
        <f>(IF((VLOOKUP(Table10[[#This Row],[SKU]],'All Skus'!$A:$AC,2,FALSE))="Martin",(VLOOKUP(Table10[[#This Row],[SKU]],'All Skus'!$A:$AC,3,FALSE)),""))</f>
        <v>LED Video</v>
      </c>
      <c r="C817" s="223" t="str">
        <f>(IF((VLOOKUP(Table10[[#This Row],[SKU]],'All Skus'!$A:$AC,2,FALSE))="Martin",(VLOOKUP(Table10[[#This Row],[SKU]],'All Skus'!$A:$AC,4,FALSE)),""))</f>
        <v>VDO Fatron 20 NoBlend Diffuser 1000mm</v>
      </c>
      <c r="D817" s="224" t="str">
        <f>(IF((VLOOKUP(Table10[[#This Row],[SKU]],'All Skus'!$A:$AC,2,FALSE))="Martin",(VLOOKUP(Table10[[#This Row],[SKU]],'All Skus'!$A:$AC,5,FALSE)),""))</f>
        <v>MAR-VDO</v>
      </c>
      <c r="E817" s="223">
        <f>(IF((VLOOKUP(Table10[[#This Row],[SKU]],'All Skus'!$A:$AC,2,FALSE))="Martin",(VLOOKUP(Table10[[#This Row],[SKU]],'All Skus'!$A:$AC,6,FALSE)),""))</f>
        <v>0</v>
      </c>
      <c r="F817" s="155">
        <f>(IF((VLOOKUP(Table10[[#This Row],[SKU]],'All Skus'!$A:$AC,2,FALSE))="Martin",(VLOOKUP(Table10[[#This Row],[SKU]],'All Skus'!$A:$AC,7,FALSE)),""))</f>
        <v>0</v>
      </c>
      <c r="G817" s="223" t="str">
        <f>(IF((VLOOKUP(Table10[[#This Row],[SKU]],'All Skus'!$A:$AC,2,FALSE))="Martin",(VLOOKUP(Table10[[#This Row],[SKU]],'All Skus'!$A:$AC,8,FALSE)),""))</f>
        <v>VDO Fatron 20 NoBlend Diffuser 1000mm</v>
      </c>
      <c r="H817" s="223" t="str">
        <f>(IF((VLOOKUP(Table10[[#This Row],[SKU]],'All Skus'!$A:$AC,2,FALSE))="Martin",(VLOOKUP(Table10[[#This Row],[SKU]],'All Skus'!$A:$AC,9,FALSE)),""))</f>
        <v>VDO Fatron 20 NoBlend Diffuser 1000mm</v>
      </c>
      <c r="I817" s="225">
        <f>(IF((VLOOKUP(Table10[[#This Row],[SKU]],'All Skus'!$A:$AC,2,FALSE))="Martin",(VLOOKUP(Table10[[#This Row],[SKU]],'All Skus'!$A:$AC,10,FALSE)),""))</f>
        <v>332.15</v>
      </c>
      <c r="J817" s="226">
        <f>(IF((VLOOKUP(Table10[[#This Row],[SKU]],'All Skus'!$A:$AC,2,FALSE))="Martin",(VLOOKUP(Table10[[#This Row],[SKU]],'All Skus'!$A:$AC,11,FALSE)),""))</f>
        <v>332.15</v>
      </c>
      <c r="K817" s="224">
        <f>(IF((VLOOKUP(Table10[[#This Row],[SKU]],'All Skus'!$A:$AC,2,FALSE))="Martin",(VLOOKUP(Table10[[#This Row],[SKU]],'All Skus'!$A:$AC,15,FALSE)),""))</f>
        <v>0</v>
      </c>
      <c r="L817" s="224">
        <f>(IF((VLOOKUP(Table10[[#This Row],[SKU]],'All Skus'!$A:$AC,2,FALSE))="Martin",(VLOOKUP(Table10[[#This Row],[SKU]],'All Skus'!$A:$AC,16,FALSE)),""))</f>
        <v>0</v>
      </c>
      <c r="M817" s="224">
        <f>(IF((VLOOKUP(Table10[[#This Row],[SKU]],'All Skus'!$A:$AC,2,FALSE))="Martin",(VLOOKUP(Table10[[#This Row],[SKU]],'All Skus'!$A:$AC,17,FALSE)),""))</f>
        <v>0</v>
      </c>
      <c r="N817" s="227">
        <f>(IF((VLOOKUP(Table10[[#This Row],[SKU]],'All Skus'!$A:$AC,2,FALSE))="Martin",(VLOOKUP(Table10[[#This Row],[SKU]],'All Skus'!$A:$AC,18,FALSE)),""))</f>
        <v>0</v>
      </c>
      <c r="O817" s="227">
        <f>(IF((VLOOKUP(Table10[[#This Row],[SKU]],'All Skus'!$A:$AC,2,FALSE))="Martin",(VLOOKUP(Table10[[#This Row],[SKU]],'All Skus'!$A:$AC,19,FALSE)),""))</f>
        <v>0</v>
      </c>
      <c r="P817" s="227">
        <f>(IF((VLOOKUP(Table10[[#This Row],[SKU]],'All Skus'!$A:$AC,2,FALSE))="Martin",(VLOOKUP(Table10[[#This Row],[SKU]],'All Skus'!$A:$AC,20,FALSE)),""))</f>
        <v>0</v>
      </c>
      <c r="Q817" s="227">
        <f>(IF((VLOOKUP(Table10[[#This Row],[SKU]],'All Skus'!$A:$AC,2,FALSE))="Martin",(VLOOKUP(Table10[[#This Row],[SKU]],'All Skus'!$A:$AC,21,FALSE)),""))</f>
        <v>0</v>
      </c>
      <c r="R817" s="224" t="str">
        <f>(IF((VLOOKUP(Table10[[#This Row],[SKU]],'All Skus'!$A:$AC,2,FALSE))="Martin",(VLOOKUP(Table10[[#This Row],[SKU]],'All Skus'!$A:$AC,22,FALSE)),""))</f>
        <v>CN</v>
      </c>
      <c r="S817" s="223" t="str">
        <f>(IF((VLOOKUP(Table10[[#This Row],[SKU]],'All Skus'!$A:$AC,2,FALSE))="Martin",(VLOOKUP(Table10[[#This Row],[SKU]],'All Skus'!$A:$AC,23,FALSE)),""))</f>
        <v>Non Compliant</v>
      </c>
      <c r="T817" s="212" t="str">
        <f>HYPERLINK((IF((VLOOKUP(Table10[[#This Row],[SKU]],'All Skus'!$A:$AC,2,FALSE))="Martin",(VLOOKUP(Table10[[#This Row],[SKU]],'All Skus'!$A:$AC,24,FALSE)),"")))</f>
        <v/>
      </c>
      <c r="U817" s="228">
        <v>815</v>
      </c>
    </row>
    <row r="818" spans="1:21" hidden="1">
      <c r="A818" s="112">
        <v>91611827</v>
      </c>
      <c r="B818" s="224" t="str">
        <f>(IF((VLOOKUP(Table10[[#This Row],[SKU]],'All Skus'!$A:$AC,2,FALSE))="Martin",(VLOOKUP(Table10[[#This Row],[SKU]],'All Skus'!$A:$AC,3,FALSE)),""))</f>
        <v>LED Video</v>
      </c>
      <c r="C818" s="223" t="str">
        <f>(IF((VLOOKUP(Table10[[#This Row],[SKU]],'All Skus'!$A:$AC,2,FALSE))="Martin",(VLOOKUP(Table10[[#This Row],[SKU]],'All Skus'!$A:$AC,4,FALSE)),""))</f>
        <v>VDO Fatron 20 NoBlend Smok Dif. 320mm</v>
      </c>
      <c r="D818" s="224" t="str">
        <f>(IF((VLOOKUP(Table10[[#This Row],[SKU]],'All Skus'!$A:$AC,2,FALSE))="Martin",(VLOOKUP(Table10[[#This Row],[SKU]],'All Skus'!$A:$AC,5,FALSE)),""))</f>
        <v>MAR-VDO</v>
      </c>
      <c r="E818" s="223">
        <f>(IF((VLOOKUP(Table10[[#This Row],[SKU]],'All Skus'!$A:$AC,2,FALSE))="Martin",(VLOOKUP(Table10[[#This Row],[SKU]],'All Skus'!$A:$AC,6,FALSE)),""))</f>
        <v>0</v>
      </c>
      <c r="F818" s="155">
        <f>(IF((VLOOKUP(Table10[[#This Row],[SKU]],'All Skus'!$A:$AC,2,FALSE))="Martin",(VLOOKUP(Table10[[#This Row],[SKU]],'All Skus'!$A:$AC,7,FALSE)),""))</f>
        <v>0</v>
      </c>
      <c r="G818" s="223" t="str">
        <f>(IF((VLOOKUP(Table10[[#This Row],[SKU]],'All Skus'!$A:$AC,2,FALSE))="Martin",(VLOOKUP(Table10[[#This Row],[SKU]],'All Skus'!$A:$AC,8,FALSE)),""))</f>
        <v>VDO Fatron 20 NoBlend Smok Dif. 320mm</v>
      </c>
      <c r="H818" s="223" t="str">
        <f>(IF((VLOOKUP(Table10[[#This Row],[SKU]],'All Skus'!$A:$AC,2,FALSE))="Martin",(VLOOKUP(Table10[[#This Row],[SKU]],'All Skus'!$A:$AC,9,FALSE)),""))</f>
        <v>VDO Fatron 20 NoBlend Smok Dif. 320mm</v>
      </c>
      <c r="I818" s="225">
        <f>(IF((VLOOKUP(Table10[[#This Row],[SKU]],'All Skus'!$A:$AC,2,FALSE))="Martin",(VLOOKUP(Table10[[#This Row],[SKU]],'All Skus'!$A:$AC,10,FALSE)),""))</f>
        <v>145.69999999999999</v>
      </c>
      <c r="J818" s="226">
        <f>(IF((VLOOKUP(Table10[[#This Row],[SKU]],'All Skus'!$A:$AC,2,FALSE))="Martin",(VLOOKUP(Table10[[#This Row],[SKU]],'All Skus'!$A:$AC,11,FALSE)),""))</f>
        <v>145.69999999999999</v>
      </c>
      <c r="K818" s="224">
        <f>(IF((VLOOKUP(Table10[[#This Row],[SKU]],'All Skus'!$A:$AC,2,FALSE))="Martin",(VLOOKUP(Table10[[#This Row],[SKU]],'All Skus'!$A:$AC,15,FALSE)),""))</f>
        <v>0</v>
      </c>
      <c r="L818" s="224">
        <f>(IF((VLOOKUP(Table10[[#This Row],[SKU]],'All Skus'!$A:$AC,2,FALSE))="Martin",(VLOOKUP(Table10[[#This Row],[SKU]],'All Skus'!$A:$AC,16,FALSE)),""))</f>
        <v>0</v>
      </c>
      <c r="M818" s="224">
        <f>(IF((VLOOKUP(Table10[[#This Row],[SKU]],'All Skus'!$A:$AC,2,FALSE))="Martin",(VLOOKUP(Table10[[#This Row],[SKU]],'All Skus'!$A:$AC,17,FALSE)),""))</f>
        <v>0</v>
      </c>
      <c r="N818" s="227">
        <f>(IF((VLOOKUP(Table10[[#This Row],[SKU]],'All Skus'!$A:$AC,2,FALSE))="Martin",(VLOOKUP(Table10[[#This Row],[SKU]],'All Skus'!$A:$AC,18,FALSE)),""))</f>
        <v>0</v>
      </c>
      <c r="O818" s="227">
        <f>(IF((VLOOKUP(Table10[[#This Row],[SKU]],'All Skus'!$A:$AC,2,FALSE))="Martin",(VLOOKUP(Table10[[#This Row],[SKU]],'All Skus'!$A:$AC,19,FALSE)),""))</f>
        <v>0</v>
      </c>
      <c r="P818" s="227">
        <f>(IF((VLOOKUP(Table10[[#This Row],[SKU]],'All Skus'!$A:$AC,2,FALSE))="Martin",(VLOOKUP(Table10[[#This Row],[SKU]],'All Skus'!$A:$AC,20,FALSE)),""))</f>
        <v>0</v>
      </c>
      <c r="Q818" s="227">
        <f>(IF((VLOOKUP(Table10[[#This Row],[SKU]],'All Skus'!$A:$AC,2,FALSE))="Martin",(VLOOKUP(Table10[[#This Row],[SKU]],'All Skus'!$A:$AC,21,FALSE)),""))</f>
        <v>0</v>
      </c>
      <c r="R818" s="224" t="str">
        <f>(IF((VLOOKUP(Table10[[#This Row],[SKU]],'All Skus'!$A:$AC,2,FALSE))="Martin",(VLOOKUP(Table10[[#This Row],[SKU]],'All Skus'!$A:$AC,22,FALSE)),""))</f>
        <v>CN</v>
      </c>
      <c r="S818" s="223" t="str">
        <f>(IF((VLOOKUP(Table10[[#This Row],[SKU]],'All Skus'!$A:$AC,2,FALSE))="Martin",(VLOOKUP(Table10[[#This Row],[SKU]],'All Skus'!$A:$AC,23,FALSE)),""))</f>
        <v>Non Compliant</v>
      </c>
      <c r="T818" s="212" t="str">
        <f>HYPERLINK((IF((VLOOKUP(Table10[[#This Row],[SKU]],'All Skus'!$A:$AC,2,FALSE))="Martin",(VLOOKUP(Table10[[#This Row],[SKU]],'All Skus'!$A:$AC,24,FALSE)),"")))</f>
        <v/>
      </c>
      <c r="U818" s="228">
        <v>816</v>
      </c>
    </row>
    <row r="819" spans="1:21" hidden="1">
      <c r="A819" s="112">
        <v>91611828</v>
      </c>
      <c r="B819" s="224" t="str">
        <f>(IF((VLOOKUP(Table10[[#This Row],[SKU]],'All Skus'!$A:$AC,2,FALSE))="Martin",(VLOOKUP(Table10[[#This Row],[SKU]],'All Skus'!$A:$AC,3,FALSE)),""))</f>
        <v>LED Video</v>
      </c>
      <c r="C819" s="223" t="str">
        <f>(IF((VLOOKUP(Table10[[#This Row],[SKU]],'All Skus'!$A:$AC,2,FALSE))="Martin",(VLOOKUP(Table10[[#This Row],[SKU]],'All Skus'!$A:$AC,4,FALSE)),""))</f>
        <v>VDO Fatron 20 NoBlend Smok Dif. 1000mm</v>
      </c>
      <c r="D819" s="224" t="str">
        <f>(IF((VLOOKUP(Table10[[#This Row],[SKU]],'All Skus'!$A:$AC,2,FALSE))="Martin",(VLOOKUP(Table10[[#This Row],[SKU]],'All Skus'!$A:$AC,5,FALSE)),""))</f>
        <v>MAR-VDO</v>
      </c>
      <c r="E819" s="223">
        <f>(IF((VLOOKUP(Table10[[#This Row],[SKU]],'All Skus'!$A:$AC,2,FALSE))="Martin",(VLOOKUP(Table10[[#This Row],[SKU]],'All Skus'!$A:$AC,6,FALSE)),""))</f>
        <v>0</v>
      </c>
      <c r="F819" s="155">
        <f>(IF((VLOOKUP(Table10[[#This Row],[SKU]],'All Skus'!$A:$AC,2,FALSE))="Martin",(VLOOKUP(Table10[[#This Row],[SKU]],'All Skus'!$A:$AC,7,FALSE)),""))</f>
        <v>0</v>
      </c>
      <c r="G819" s="223" t="str">
        <f>(IF((VLOOKUP(Table10[[#This Row],[SKU]],'All Skus'!$A:$AC,2,FALSE))="Martin",(VLOOKUP(Table10[[#This Row],[SKU]],'All Skus'!$A:$AC,8,FALSE)),""))</f>
        <v>VDO Fatron 20 NoBlend Smok Dif. 1000mm</v>
      </c>
      <c r="H819" s="223" t="str">
        <f>(IF((VLOOKUP(Table10[[#This Row],[SKU]],'All Skus'!$A:$AC,2,FALSE))="Martin",(VLOOKUP(Table10[[#This Row],[SKU]],'All Skus'!$A:$AC,9,FALSE)),""))</f>
        <v>VDO Fatron 20 NoBlend Smok Dif. 1000mm</v>
      </c>
      <c r="I819" s="225">
        <f>(IF((VLOOKUP(Table10[[#This Row],[SKU]],'All Skus'!$A:$AC,2,FALSE))="Martin",(VLOOKUP(Table10[[#This Row],[SKU]],'All Skus'!$A:$AC,10,FALSE)),""))</f>
        <v>332.15</v>
      </c>
      <c r="J819" s="226">
        <f>(IF((VLOOKUP(Table10[[#This Row],[SKU]],'All Skus'!$A:$AC,2,FALSE))="Martin",(VLOOKUP(Table10[[#This Row],[SKU]],'All Skus'!$A:$AC,11,FALSE)),""))</f>
        <v>332.15</v>
      </c>
      <c r="K819" s="224">
        <f>(IF((VLOOKUP(Table10[[#This Row],[SKU]],'All Skus'!$A:$AC,2,FALSE))="Martin",(VLOOKUP(Table10[[#This Row],[SKU]],'All Skus'!$A:$AC,15,FALSE)),""))</f>
        <v>0</v>
      </c>
      <c r="L819" s="224">
        <f>(IF((VLOOKUP(Table10[[#This Row],[SKU]],'All Skus'!$A:$AC,2,FALSE))="Martin",(VLOOKUP(Table10[[#This Row],[SKU]],'All Skus'!$A:$AC,16,FALSE)),""))</f>
        <v>0</v>
      </c>
      <c r="M819" s="224">
        <f>(IF((VLOOKUP(Table10[[#This Row],[SKU]],'All Skus'!$A:$AC,2,FALSE))="Martin",(VLOOKUP(Table10[[#This Row],[SKU]],'All Skus'!$A:$AC,17,FALSE)),""))</f>
        <v>0</v>
      </c>
      <c r="N819" s="227">
        <f>(IF((VLOOKUP(Table10[[#This Row],[SKU]],'All Skus'!$A:$AC,2,FALSE))="Martin",(VLOOKUP(Table10[[#This Row],[SKU]],'All Skus'!$A:$AC,18,FALSE)),""))</f>
        <v>0</v>
      </c>
      <c r="O819" s="227">
        <f>(IF((VLOOKUP(Table10[[#This Row],[SKU]],'All Skus'!$A:$AC,2,FALSE))="Martin",(VLOOKUP(Table10[[#This Row],[SKU]],'All Skus'!$A:$AC,19,FALSE)),""))</f>
        <v>0</v>
      </c>
      <c r="P819" s="227">
        <f>(IF((VLOOKUP(Table10[[#This Row],[SKU]],'All Skus'!$A:$AC,2,FALSE))="Martin",(VLOOKUP(Table10[[#This Row],[SKU]],'All Skus'!$A:$AC,20,FALSE)),""))</f>
        <v>0</v>
      </c>
      <c r="Q819" s="227">
        <f>(IF((VLOOKUP(Table10[[#This Row],[SKU]],'All Skus'!$A:$AC,2,FALSE))="Martin",(VLOOKUP(Table10[[#This Row],[SKU]],'All Skus'!$A:$AC,21,FALSE)),""))</f>
        <v>0</v>
      </c>
      <c r="R819" s="224" t="str">
        <f>(IF((VLOOKUP(Table10[[#This Row],[SKU]],'All Skus'!$A:$AC,2,FALSE))="Martin",(VLOOKUP(Table10[[#This Row],[SKU]],'All Skus'!$A:$AC,22,FALSE)),""))</f>
        <v>CN</v>
      </c>
      <c r="S819" s="223" t="str">
        <f>(IF((VLOOKUP(Table10[[#This Row],[SKU]],'All Skus'!$A:$AC,2,FALSE))="Martin",(VLOOKUP(Table10[[#This Row],[SKU]],'All Skus'!$A:$AC,23,FALSE)),""))</f>
        <v>Non Compliant</v>
      </c>
      <c r="T819" s="212" t="str">
        <f>HYPERLINK((IF((VLOOKUP(Table10[[#This Row],[SKU]],'All Skus'!$A:$AC,2,FALSE))="Martin",(VLOOKUP(Table10[[#This Row],[SKU]],'All Skus'!$A:$AC,24,FALSE)),"")))</f>
        <v/>
      </c>
      <c r="U819" s="228">
        <v>817</v>
      </c>
    </row>
    <row r="820" spans="1:21" hidden="1">
      <c r="A820" s="112">
        <v>91611831</v>
      </c>
      <c r="B820" s="224" t="str">
        <f>(IF((VLOOKUP(Table10[[#This Row],[SKU]],'All Skus'!$A:$AC,2,FALSE))="Martin",(VLOOKUP(Table10[[#This Row],[SKU]],'All Skus'!$A:$AC,3,FALSE)),""))</f>
        <v>LED Video</v>
      </c>
      <c r="C820" s="223" t="str">
        <f>(IF((VLOOKUP(Table10[[#This Row],[SKU]],'All Skus'!$A:$AC,2,FALSE))="Martin",(VLOOKUP(Table10[[#This Row],[SKU]],'All Skus'!$A:$AC,4,FALSE)),""))</f>
        <v>VDO Fatron 20 Lens Array Narrow 320mm</v>
      </c>
      <c r="D820" s="224" t="str">
        <f>(IF((VLOOKUP(Table10[[#This Row],[SKU]],'All Skus'!$A:$AC,2,FALSE))="Martin",(VLOOKUP(Table10[[#This Row],[SKU]],'All Skus'!$A:$AC,5,FALSE)),""))</f>
        <v>MAR-VDO</v>
      </c>
      <c r="E820" s="223">
        <f>(IF((VLOOKUP(Table10[[#This Row],[SKU]],'All Skus'!$A:$AC,2,FALSE))="Martin",(VLOOKUP(Table10[[#This Row],[SKU]],'All Skus'!$A:$AC,6,FALSE)),""))</f>
        <v>0</v>
      </c>
      <c r="F820" s="155">
        <f>(IF((VLOOKUP(Table10[[#This Row],[SKU]],'All Skus'!$A:$AC,2,FALSE))="Martin",(VLOOKUP(Table10[[#This Row],[SKU]],'All Skus'!$A:$AC,7,FALSE)),""))</f>
        <v>0</v>
      </c>
      <c r="G820" s="223" t="str">
        <f>(IF((VLOOKUP(Table10[[#This Row],[SKU]],'All Skus'!$A:$AC,2,FALSE))="Martin",(VLOOKUP(Table10[[#This Row],[SKU]],'All Skus'!$A:$AC,8,FALSE)),""))</f>
        <v>VDO Fatron 20 Lens Array Narrow 320mm</v>
      </c>
      <c r="H820" s="223" t="str">
        <f>(IF((VLOOKUP(Table10[[#This Row],[SKU]],'All Skus'!$A:$AC,2,FALSE))="Martin",(VLOOKUP(Table10[[#This Row],[SKU]],'All Skus'!$A:$AC,9,FALSE)),""))</f>
        <v>VDO Fatron 20 Lens Array Narrow 320mm</v>
      </c>
      <c r="I820" s="225">
        <f>(IF((VLOOKUP(Table10[[#This Row],[SKU]],'All Skus'!$A:$AC,2,FALSE))="Martin",(VLOOKUP(Table10[[#This Row],[SKU]],'All Skus'!$A:$AC,10,FALSE)),""))</f>
        <v>182.75</v>
      </c>
      <c r="J820" s="226">
        <f>(IF((VLOOKUP(Table10[[#This Row],[SKU]],'All Skus'!$A:$AC,2,FALSE))="Martin",(VLOOKUP(Table10[[#This Row],[SKU]],'All Skus'!$A:$AC,11,FALSE)),""))</f>
        <v>182.75</v>
      </c>
      <c r="K820" s="224">
        <f>(IF((VLOOKUP(Table10[[#This Row],[SKU]],'All Skus'!$A:$AC,2,FALSE))="Martin",(VLOOKUP(Table10[[#This Row],[SKU]],'All Skus'!$A:$AC,15,FALSE)),""))</f>
        <v>0</v>
      </c>
      <c r="L820" s="224">
        <f>(IF((VLOOKUP(Table10[[#This Row],[SKU]],'All Skus'!$A:$AC,2,FALSE))="Martin",(VLOOKUP(Table10[[#This Row],[SKU]],'All Skus'!$A:$AC,16,FALSE)),""))</f>
        <v>0</v>
      </c>
      <c r="M820" s="224">
        <f>(IF((VLOOKUP(Table10[[#This Row],[SKU]],'All Skus'!$A:$AC,2,FALSE))="Martin",(VLOOKUP(Table10[[#This Row],[SKU]],'All Skus'!$A:$AC,17,FALSE)),""))</f>
        <v>0</v>
      </c>
      <c r="N820" s="227">
        <f>(IF((VLOOKUP(Table10[[#This Row],[SKU]],'All Skus'!$A:$AC,2,FALSE))="Martin",(VLOOKUP(Table10[[#This Row],[SKU]],'All Skus'!$A:$AC,18,FALSE)),""))</f>
        <v>0</v>
      </c>
      <c r="O820" s="227">
        <f>(IF((VLOOKUP(Table10[[#This Row],[SKU]],'All Skus'!$A:$AC,2,FALSE))="Martin",(VLOOKUP(Table10[[#This Row],[SKU]],'All Skus'!$A:$AC,19,FALSE)),""))</f>
        <v>0</v>
      </c>
      <c r="P820" s="227">
        <f>(IF((VLOOKUP(Table10[[#This Row],[SKU]],'All Skus'!$A:$AC,2,FALSE))="Martin",(VLOOKUP(Table10[[#This Row],[SKU]],'All Skus'!$A:$AC,20,FALSE)),""))</f>
        <v>0</v>
      </c>
      <c r="Q820" s="227">
        <f>(IF((VLOOKUP(Table10[[#This Row],[SKU]],'All Skus'!$A:$AC,2,FALSE))="Martin",(VLOOKUP(Table10[[#This Row],[SKU]],'All Skus'!$A:$AC,21,FALSE)),""))</f>
        <v>0</v>
      </c>
      <c r="R820" s="224" t="str">
        <f>(IF((VLOOKUP(Table10[[#This Row],[SKU]],'All Skus'!$A:$AC,2,FALSE))="Martin",(VLOOKUP(Table10[[#This Row],[SKU]],'All Skus'!$A:$AC,22,FALSE)),""))</f>
        <v>CN</v>
      </c>
      <c r="S820" s="223" t="str">
        <f>(IF((VLOOKUP(Table10[[#This Row],[SKU]],'All Skus'!$A:$AC,2,FALSE))="Martin",(VLOOKUP(Table10[[#This Row],[SKU]],'All Skus'!$A:$AC,23,FALSE)),""))</f>
        <v>Non Compliant</v>
      </c>
      <c r="T820" s="212" t="str">
        <f>HYPERLINK((IF((VLOOKUP(Table10[[#This Row],[SKU]],'All Skus'!$A:$AC,2,FALSE))="Martin",(VLOOKUP(Table10[[#This Row],[SKU]],'All Skus'!$A:$AC,24,FALSE)),"")))</f>
        <v/>
      </c>
      <c r="U820" s="228">
        <v>818</v>
      </c>
    </row>
    <row r="821" spans="1:21" hidden="1">
      <c r="A821" s="112">
        <v>91611832</v>
      </c>
      <c r="B821" s="224" t="str">
        <f>(IF((VLOOKUP(Table10[[#This Row],[SKU]],'All Skus'!$A:$AC,2,FALSE))="Martin",(VLOOKUP(Table10[[#This Row],[SKU]],'All Skus'!$A:$AC,3,FALSE)),""))</f>
        <v>LED Video</v>
      </c>
      <c r="C821" s="223" t="str">
        <f>(IF((VLOOKUP(Table10[[#This Row],[SKU]],'All Skus'!$A:$AC,2,FALSE))="Martin",(VLOOKUP(Table10[[#This Row],[SKU]],'All Skus'!$A:$AC,4,FALSE)),""))</f>
        <v>VDO Fatron 20 Lens Array Narrow 1000mm</v>
      </c>
      <c r="D821" s="224" t="str">
        <f>(IF((VLOOKUP(Table10[[#This Row],[SKU]],'All Skus'!$A:$AC,2,FALSE))="Martin",(VLOOKUP(Table10[[#This Row],[SKU]],'All Skus'!$A:$AC,5,FALSE)),""))</f>
        <v>MAR-VDO</v>
      </c>
      <c r="E821" s="223">
        <f>(IF((VLOOKUP(Table10[[#This Row],[SKU]],'All Skus'!$A:$AC,2,FALSE))="Martin",(VLOOKUP(Table10[[#This Row],[SKU]],'All Skus'!$A:$AC,6,FALSE)),""))</f>
        <v>0</v>
      </c>
      <c r="F821" s="155">
        <f>(IF((VLOOKUP(Table10[[#This Row],[SKU]],'All Skus'!$A:$AC,2,FALSE))="Martin",(VLOOKUP(Table10[[#This Row],[SKU]],'All Skus'!$A:$AC,7,FALSE)),""))</f>
        <v>0</v>
      </c>
      <c r="G821" s="223" t="str">
        <f>(IF((VLOOKUP(Table10[[#This Row],[SKU]],'All Skus'!$A:$AC,2,FALSE))="Martin",(VLOOKUP(Table10[[#This Row],[SKU]],'All Skus'!$A:$AC,8,FALSE)),""))</f>
        <v>VDO Fatron 20 Lens Array Narrow 1000mm</v>
      </c>
      <c r="H821" s="223" t="str">
        <f>(IF((VLOOKUP(Table10[[#This Row],[SKU]],'All Skus'!$A:$AC,2,FALSE))="Martin",(VLOOKUP(Table10[[#This Row],[SKU]],'All Skus'!$A:$AC,9,FALSE)),""))</f>
        <v>VDO Fatron 20 Lens Array Narrow 1000mm</v>
      </c>
      <c r="I821" s="225">
        <f>(IF((VLOOKUP(Table10[[#This Row],[SKU]],'All Skus'!$A:$AC,2,FALSE))="Martin",(VLOOKUP(Table10[[#This Row],[SKU]],'All Skus'!$A:$AC,10,FALSE)),""))</f>
        <v>455.63</v>
      </c>
      <c r="J821" s="226">
        <f>(IF((VLOOKUP(Table10[[#This Row],[SKU]],'All Skus'!$A:$AC,2,FALSE))="Martin",(VLOOKUP(Table10[[#This Row],[SKU]],'All Skus'!$A:$AC,11,FALSE)),""))</f>
        <v>455.63</v>
      </c>
      <c r="K821" s="224">
        <f>(IF((VLOOKUP(Table10[[#This Row],[SKU]],'All Skus'!$A:$AC,2,FALSE))="Martin",(VLOOKUP(Table10[[#This Row],[SKU]],'All Skus'!$A:$AC,15,FALSE)),""))</f>
        <v>0</v>
      </c>
      <c r="L821" s="224">
        <f>(IF((VLOOKUP(Table10[[#This Row],[SKU]],'All Skus'!$A:$AC,2,FALSE))="Martin",(VLOOKUP(Table10[[#This Row],[SKU]],'All Skus'!$A:$AC,16,FALSE)),""))</f>
        <v>0</v>
      </c>
      <c r="M821" s="224">
        <f>(IF((VLOOKUP(Table10[[#This Row],[SKU]],'All Skus'!$A:$AC,2,FALSE))="Martin",(VLOOKUP(Table10[[#This Row],[SKU]],'All Skus'!$A:$AC,17,FALSE)),""))</f>
        <v>0</v>
      </c>
      <c r="N821" s="227">
        <f>(IF((VLOOKUP(Table10[[#This Row],[SKU]],'All Skus'!$A:$AC,2,FALSE))="Martin",(VLOOKUP(Table10[[#This Row],[SKU]],'All Skus'!$A:$AC,18,FALSE)),""))</f>
        <v>0</v>
      </c>
      <c r="O821" s="227">
        <f>(IF((VLOOKUP(Table10[[#This Row],[SKU]],'All Skus'!$A:$AC,2,FALSE))="Martin",(VLOOKUP(Table10[[#This Row],[SKU]],'All Skus'!$A:$AC,19,FALSE)),""))</f>
        <v>0</v>
      </c>
      <c r="P821" s="227">
        <f>(IF((VLOOKUP(Table10[[#This Row],[SKU]],'All Skus'!$A:$AC,2,FALSE))="Martin",(VLOOKUP(Table10[[#This Row],[SKU]],'All Skus'!$A:$AC,20,FALSE)),""))</f>
        <v>0</v>
      </c>
      <c r="Q821" s="227">
        <f>(IF((VLOOKUP(Table10[[#This Row],[SKU]],'All Skus'!$A:$AC,2,FALSE))="Martin",(VLOOKUP(Table10[[#This Row],[SKU]],'All Skus'!$A:$AC,21,FALSE)),""))</f>
        <v>0</v>
      </c>
      <c r="R821" s="224" t="str">
        <f>(IF((VLOOKUP(Table10[[#This Row],[SKU]],'All Skus'!$A:$AC,2,FALSE))="Martin",(VLOOKUP(Table10[[#This Row],[SKU]],'All Skus'!$A:$AC,22,FALSE)),""))</f>
        <v>CN</v>
      </c>
      <c r="S821" s="223">
        <f>(IF((VLOOKUP(Table10[[#This Row],[SKU]],'All Skus'!$A:$AC,2,FALSE))="Martin",(VLOOKUP(Table10[[#This Row],[SKU]],'All Skus'!$A:$AC,23,FALSE)),""))</f>
        <v>0</v>
      </c>
      <c r="T821" s="212" t="str">
        <f>HYPERLINK((IF((VLOOKUP(Table10[[#This Row],[SKU]],'All Skus'!$A:$AC,2,FALSE))="Martin",(VLOOKUP(Table10[[#This Row],[SKU]],'All Skus'!$A:$AC,24,FALSE)),"")))</f>
        <v/>
      </c>
      <c r="U821" s="228">
        <v>819</v>
      </c>
    </row>
    <row r="822" spans="1:21" hidden="1">
      <c r="A822" s="115" t="s">
        <v>2363</v>
      </c>
      <c r="B822" s="224">
        <f>(IF((VLOOKUP(Table10[[#This Row],[SKU]],'All Skus'!$A:$AC,2,FALSE))="Martin",(VLOOKUP(Table10[[#This Row],[SKU]],'All Skus'!$A:$AC,3,FALSE)),""))</f>
        <v>0</v>
      </c>
      <c r="C822" s="223">
        <f>(IF((VLOOKUP(Table10[[#This Row],[SKU]],'All Skus'!$A:$AC,2,FALSE))="Martin",(VLOOKUP(Table10[[#This Row],[SKU]],'All Skus'!$A:$AC,4,FALSE)),""))</f>
        <v>0</v>
      </c>
      <c r="D822" s="224">
        <f>(IF((VLOOKUP(Table10[[#This Row],[SKU]],'All Skus'!$A:$AC,2,FALSE))="Martin",(VLOOKUP(Table10[[#This Row],[SKU]],'All Skus'!$A:$AC,5,FALSE)),""))</f>
        <v>0</v>
      </c>
      <c r="E822" s="223">
        <f>(IF((VLOOKUP(Table10[[#This Row],[SKU]],'All Skus'!$A:$AC,2,FALSE))="Martin",(VLOOKUP(Table10[[#This Row],[SKU]],'All Skus'!$A:$AC,6,FALSE)),""))</f>
        <v>0</v>
      </c>
      <c r="F822" s="155">
        <f>(IF((VLOOKUP(Table10[[#This Row],[SKU]],'All Skus'!$A:$AC,2,FALSE))="Martin",(VLOOKUP(Table10[[#This Row],[SKU]],'All Skus'!$A:$AC,7,FALSE)),""))</f>
        <v>0</v>
      </c>
      <c r="G822" s="223">
        <f>(IF((VLOOKUP(Table10[[#This Row],[SKU]],'All Skus'!$A:$AC,2,FALSE))="Martin",(VLOOKUP(Table10[[#This Row],[SKU]],'All Skus'!$A:$AC,8,FALSE)),""))</f>
        <v>0</v>
      </c>
      <c r="H822" s="223">
        <f>(IF((VLOOKUP(Table10[[#This Row],[SKU]],'All Skus'!$A:$AC,2,FALSE))="Martin",(VLOOKUP(Table10[[#This Row],[SKU]],'All Skus'!$A:$AC,9,FALSE)),""))</f>
        <v>0</v>
      </c>
      <c r="I822" s="225">
        <f>(IF((VLOOKUP(Table10[[#This Row],[SKU]],'All Skus'!$A:$AC,2,FALSE))="Martin",(VLOOKUP(Table10[[#This Row],[SKU]],'All Skus'!$A:$AC,10,FALSE)),""))</f>
        <v>0</v>
      </c>
      <c r="J822" s="226">
        <f>(IF((VLOOKUP(Table10[[#This Row],[SKU]],'All Skus'!$A:$AC,2,FALSE))="Martin",(VLOOKUP(Table10[[#This Row],[SKU]],'All Skus'!$A:$AC,11,FALSE)),""))</f>
        <v>0</v>
      </c>
      <c r="K822" s="224">
        <f>(IF((VLOOKUP(Table10[[#This Row],[SKU]],'All Skus'!$A:$AC,2,FALSE))="Martin",(VLOOKUP(Table10[[#This Row],[SKU]],'All Skus'!$A:$AC,15,FALSE)),""))</f>
        <v>0</v>
      </c>
      <c r="L822" s="224">
        <f>(IF((VLOOKUP(Table10[[#This Row],[SKU]],'All Skus'!$A:$AC,2,FALSE))="Martin",(VLOOKUP(Table10[[#This Row],[SKU]],'All Skus'!$A:$AC,16,FALSE)),""))</f>
        <v>0</v>
      </c>
      <c r="M822" s="224">
        <f>(IF((VLOOKUP(Table10[[#This Row],[SKU]],'All Skus'!$A:$AC,2,FALSE))="Martin",(VLOOKUP(Table10[[#This Row],[SKU]],'All Skus'!$A:$AC,17,FALSE)),""))</f>
        <v>0</v>
      </c>
      <c r="N822" s="227">
        <f>(IF((VLOOKUP(Table10[[#This Row],[SKU]],'All Skus'!$A:$AC,2,FALSE))="Martin",(VLOOKUP(Table10[[#This Row],[SKU]],'All Skus'!$A:$AC,18,FALSE)),""))</f>
        <v>0</v>
      </c>
      <c r="O822" s="227">
        <f>(IF((VLOOKUP(Table10[[#This Row],[SKU]],'All Skus'!$A:$AC,2,FALSE))="Martin",(VLOOKUP(Table10[[#This Row],[SKU]],'All Skus'!$A:$AC,19,FALSE)),""))</f>
        <v>0</v>
      </c>
      <c r="P822" s="227">
        <f>(IF((VLOOKUP(Table10[[#This Row],[SKU]],'All Skus'!$A:$AC,2,FALSE))="Martin",(VLOOKUP(Table10[[#This Row],[SKU]],'All Skus'!$A:$AC,20,FALSE)),""))</f>
        <v>0</v>
      </c>
      <c r="Q822" s="227">
        <f>(IF((VLOOKUP(Table10[[#This Row],[SKU]],'All Skus'!$A:$AC,2,FALSE))="Martin",(VLOOKUP(Table10[[#This Row],[SKU]],'All Skus'!$A:$AC,21,FALSE)),""))</f>
        <v>0</v>
      </c>
      <c r="R822" s="224">
        <f>(IF((VLOOKUP(Table10[[#This Row],[SKU]],'All Skus'!$A:$AC,2,FALSE))="Martin",(VLOOKUP(Table10[[#This Row],[SKU]],'All Skus'!$A:$AC,22,FALSE)),""))</f>
        <v>0</v>
      </c>
      <c r="S822" s="223">
        <f>(IF((VLOOKUP(Table10[[#This Row],[SKU]],'All Skus'!$A:$AC,2,FALSE))="Martin",(VLOOKUP(Table10[[#This Row],[SKU]],'All Skus'!$A:$AC,23,FALSE)),""))</f>
        <v>0</v>
      </c>
      <c r="T822" s="212" t="str">
        <f>HYPERLINK((IF((VLOOKUP(Table10[[#This Row],[SKU]],'All Skus'!$A:$AC,2,FALSE))="Martin",(VLOOKUP(Table10[[#This Row],[SKU]],'All Skus'!$A:$AC,24,FALSE)),"")))</f>
        <v/>
      </c>
      <c r="U822" s="228">
        <v>820</v>
      </c>
    </row>
    <row r="823" spans="1:21" hidden="1">
      <c r="A823" s="112">
        <v>91515045</v>
      </c>
      <c r="B823" s="224" t="str">
        <f>(IF((VLOOKUP(Table10[[#This Row],[SKU]],'All Skus'!$A:$AC,2,FALSE))="Martin",(VLOOKUP(Table10[[#This Row],[SKU]],'All Skus'!$A:$AC,3,FALSE)),""))</f>
        <v>LED Video</v>
      </c>
      <c r="C823" s="223" t="str">
        <f>(IF((VLOOKUP(Table10[[#This Row],[SKU]],'All Skus'!$A:$AC,2,FALSE))="Martin",(VLOOKUP(Table10[[#This Row],[SKU]],'All Skus'!$A:$AC,4,FALSE)),""))</f>
        <v>Flightcase for 5 x VDO Fatron 1000mm</v>
      </c>
      <c r="D823" s="224" t="str">
        <f>(IF((VLOOKUP(Table10[[#This Row],[SKU]],'All Skus'!$A:$AC,2,FALSE))="Martin",(VLOOKUP(Table10[[#This Row],[SKU]],'All Skus'!$A:$AC,5,FALSE)),""))</f>
        <v>MAR-VDO</v>
      </c>
      <c r="E823" s="223">
        <f>(IF((VLOOKUP(Table10[[#This Row],[SKU]],'All Skus'!$A:$AC,2,FALSE))="Martin",(VLOOKUP(Table10[[#This Row],[SKU]],'All Skus'!$A:$AC,6,FALSE)),""))</f>
        <v>0</v>
      </c>
      <c r="F823" s="155">
        <f>(IF((VLOOKUP(Table10[[#This Row],[SKU]],'All Skus'!$A:$AC,2,FALSE))="Martin",(VLOOKUP(Table10[[#This Row],[SKU]],'All Skus'!$A:$AC,7,FALSE)),""))</f>
        <v>0</v>
      </c>
      <c r="G823" s="223" t="str">
        <f>(IF((VLOOKUP(Table10[[#This Row],[SKU]],'All Skus'!$A:$AC,2,FALSE))="Martin",(VLOOKUP(Table10[[#This Row],[SKU]],'All Skus'!$A:$AC,8,FALSE)),""))</f>
        <v>Flightcase for 5 x VDO Fatron 1000mm</v>
      </c>
      <c r="H823" s="223" t="str">
        <f>(IF((VLOOKUP(Table10[[#This Row],[SKU]],'All Skus'!$A:$AC,2,FALSE))="Martin",(VLOOKUP(Table10[[#This Row],[SKU]],'All Skus'!$A:$AC,9,FALSE)),""))</f>
        <v>Flightcase for 5 x VDO Fatron 1000mm</v>
      </c>
      <c r="I823" s="225">
        <f>(IF((VLOOKUP(Table10[[#This Row],[SKU]],'All Skus'!$A:$AC,2,FALSE))="Martin",(VLOOKUP(Table10[[#This Row],[SKU]],'All Skus'!$A:$AC,10,FALSE)),""))</f>
        <v>1962.04</v>
      </c>
      <c r="J823" s="226">
        <f>(IF((VLOOKUP(Table10[[#This Row],[SKU]],'All Skus'!$A:$AC,2,FALSE))="Martin",(VLOOKUP(Table10[[#This Row],[SKU]],'All Skus'!$A:$AC,11,FALSE)),""))</f>
        <v>1962.04</v>
      </c>
      <c r="K823" s="224">
        <f>(IF((VLOOKUP(Table10[[#This Row],[SKU]],'All Skus'!$A:$AC,2,FALSE))="Martin",(VLOOKUP(Table10[[#This Row],[SKU]],'All Skus'!$A:$AC,15,FALSE)),""))</f>
        <v>0</v>
      </c>
      <c r="L823" s="224">
        <f>(IF((VLOOKUP(Table10[[#This Row],[SKU]],'All Skus'!$A:$AC,2,FALSE))="Martin",(VLOOKUP(Table10[[#This Row],[SKU]],'All Skus'!$A:$AC,16,FALSE)),""))</f>
        <v>688705000800</v>
      </c>
      <c r="M823" s="224">
        <f>(IF((VLOOKUP(Table10[[#This Row],[SKU]],'All Skus'!$A:$AC,2,FALSE))="Martin",(VLOOKUP(Table10[[#This Row],[SKU]],'All Skus'!$A:$AC,17,FALSE)),""))</f>
        <v>0</v>
      </c>
      <c r="N823" s="227">
        <f>(IF((VLOOKUP(Table10[[#This Row],[SKU]],'All Skus'!$A:$AC,2,FALSE))="Martin",(VLOOKUP(Table10[[#This Row],[SKU]],'All Skus'!$A:$AC,18,FALSE)),""))</f>
        <v>0</v>
      </c>
      <c r="O823" s="227">
        <f>(IF((VLOOKUP(Table10[[#This Row],[SKU]],'All Skus'!$A:$AC,2,FALSE))="Martin",(VLOOKUP(Table10[[#This Row],[SKU]],'All Skus'!$A:$AC,19,FALSE)),""))</f>
        <v>0</v>
      </c>
      <c r="P823" s="227">
        <f>(IF((VLOOKUP(Table10[[#This Row],[SKU]],'All Skus'!$A:$AC,2,FALSE))="Martin",(VLOOKUP(Table10[[#This Row],[SKU]],'All Skus'!$A:$AC,20,FALSE)),""))</f>
        <v>0</v>
      </c>
      <c r="Q823" s="227">
        <f>(IF((VLOOKUP(Table10[[#This Row],[SKU]],'All Skus'!$A:$AC,2,FALSE))="Martin",(VLOOKUP(Table10[[#This Row],[SKU]],'All Skus'!$A:$AC,21,FALSE)),""))</f>
        <v>0</v>
      </c>
      <c r="R823" s="224" t="str">
        <f>(IF((VLOOKUP(Table10[[#This Row],[SKU]],'All Skus'!$A:$AC,2,FALSE))="Martin",(VLOOKUP(Table10[[#This Row],[SKU]],'All Skus'!$A:$AC,22,FALSE)),""))</f>
        <v>DE</v>
      </c>
      <c r="S823" s="223">
        <f>(IF((VLOOKUP(Table10[[#This Row],[SKU]],'All Skus'!$A:$AC,2,FALSE))="Martin",(VLOOKUP(Table10[[#This Row],[SKU]],'All Skus'!$A:$AC,23,FALSE)),""))</f>
        <v>0</v>
      </c>
      <c r="T823" s="212" t="str">
        <f>HYPERLINK((IF((VLOOKUP(Table10[[#This Row],[SKU]],'All Skus'!$A:$AC,2,FALSE))="Martin",(VLOOKUP(Table10[[#This Row],[SKU]],'All Skus'!$A:$AC,24,FALSE)),"")))</f>
        <v/>
      </c>
      <c r="U823" s="228">
        <v>821</v>
      </c>
    </row>
    <row r="824" spans="1:21" hidden="1">
      <c r="A824" s="112">
        <v>91515046</v>
      </c>
      <c r="B824" s="224" t="str">
        <f>(IF((VLOOKUP(Table10[[#This Row],[SKU]],'All Skus'!$A:$AC,2,FALSE))="Martin",(VLOOKUP(Table10[[#This Row],[SKU]],'All Skus'!$A:$AC,3,FALSE)),""))</f>
        <v>LED Video</v>
      </c>
      <c r="C824" s="223" t="str">
        <f>(IF((VLOOKUP(Table10[[#This Row],[SKU]],'All Skus'!$A:$AC,2,FALSE))="Martin",(VLOOKUP(Table10[[#This Row],[SKU]],'All Skus'!$A:$AC,4,FALSE)),""))</f>
        <v>Flightcase Extender for 5 x VDO Fatron 1000mm</v>
      </c>
      <c r="D824" s="224" t="str">
        <f>(IF((VLOOKUP(Table10[[#This Row],[SKU]],'All Skus'!$A:$AC,2,FALSE))="Martin",(VLOOKUP(Table10[[#This Row],[SKU]],'All Skus'!$A:$AC,5,FALSE)),""))</f>
        <v>MAR-VDO</v>
      </c>
      <c r="E824" s="223">
        <f>(IF((VLOOKUP(Table10[[#This Row],[SKU]],'All Skus'!$A:$AC,2,FALSE))="Martin",(VLOOKUP(Table10[[#This Row],[SKU]],'All Skus'!$A:$AC,6,FALSE)),""))</f>
        <v>0</v>
      </c>
      <c r="F824" s="155">
        <f>(IF((VLOOKUP(Table10[[#This Row],[SKU]],'All Skus'!$A:$AC,2,FALSE))="Martin",(VLOOKUP(Table10[[#This Row],[SKU]],'All Skus'!$A:$AC,7,FALSE)),""))</f>
        <v>0</v>
      </c>
      <c r="G824" s="223" t="str">
        <f>(IF((VLOOKUP(Table10[[#This Row],[SKU]],'All Skus'!$A:$AC,2,FALSE))="Martin",(VLOOKUP(Table10[[#This Row],[SKU]],'All Skus'!$A:$AC,8,FALSE)),""))</f>
        <v>Flightcase Extender for 5 x VDO Fatron 1000mm</v>
      </c>
      <c r="H824" s="223" t="str">
        <f>(IF((VLOOKUP(Table10[[#This Row],[SKU]],'All Skus'!$A:$AC,2,FALSE))="Martin",(VLOOKUP(Table10[[#This Row],[SKU]],'All Skus'!$A:$AC,9,FALSE)),""))</f>
        <v>Flightcase Extender for 5 x VDO Fatron 1000mm</v>
      </c>
      <c r="I824" s="225">
        <f>(IF((VLOOKUP(Table10[[#This Row],[SKU]],'All Skus'!$A:$AC,2,FALSE))="Martin",(VLOOKUP(Table10[[#This Row],[SKU]],'All Skus'!$A:$AC,10,FALSE)),""))</f>
        <v>1471.84</v>
      </c>
      <c r="J824" s="226">
        <f>(IF((VLOOKUP(Table10[[#This Row],[SKU]],'All Skus'!$A:$AC,2,FALSE))="Martin",(VLOOKUP(Table10[[#This Row],[SKU]],'All Skus'!$A:$AC,11,FALSE)),""))</f>
        <v>1471.84</v>
      </c>
      <c r="K824" s="224">
        <f>(IF((VLOOKUP(Table10[[#This Row],[SKU]],'All Skus'!$A:$AC,2,FALSE))="Martin",(VLOOKUP(Table10[[#This Row],[SKU]],'All Skus'!$A:$AC,15,FALSE)),""))</f>
        <v>0</v>
      </c>
      <c r="L824" s="224">
        <f>(IF((VLOOKUP(Table10[[#This Row],[SKU]],'All Skus'!$A:$AC,2,FALSE))="Martin",(VLOOKUP(Table10[[#This Row],[SKU]],'All Skus'!$A:$AC,16,FALSE)),""))</f>
        <v>0</v>
      </c>
      <c r="M824" s="224">
        <f>(IF((VLOOKUP(Table10[[#This Row],[SKU]],'All Skus'!$A:$AC,2,FALSE))="Martin",(VLOOKUP(Table10[[#This Row],[SKU]],'All Skus'!$A:$AC,17,FALSE)),""))</f>
        <v>0</v>
      </c>
      <c r="N824" s="227">
        <f>(IF((VLOOKUP(Table10[[#This Row],[SKU]],'All Skus'!$A:$AC,2,FALSE))="Martin",(VLOOKUP(Table10[[#This Row],[SKU]],'All Skus'!$A:$AC,18,FALSE)),""))</f>
        <v>0</v>
      </c>
      <c r="O824" s="227">
        <f>(IF((VLOOKUP(Table10[[#This Row],[SKU]],'All Skus'!$A:$AC,2,FALSE))="Martin",(VLOOKUP(Table10[[#This Row],[SKU]],'All Skus'!$A:$AC,19,FALSE)),""))</f>
        <v>0</v>
      </c>
      <c r="P824" s="227">
        <f>(IF((VLOOKUP(Table10[[#This Row],[SKU]],'All Skus'!$A:$AC,2,FALSE))="Martin",(VLOOKUP(Table10[[#This Row],[SKU]],'All Skus'!$A:$AC,20,FALSE)),""))</f>
        <v>0</v>
      </c>
      <c r="Q824" s="227">
        <f>(IF((VLOOKUP(Table10[[#This Row],[SKU]],'All Skus'!$A:$AC,2,FALSE))="Martin",(VLOOKUP(Table10[[#This Row],[SKU]],'All Skus'!$A:$AC,21,FALSE)),""))</f>
        <v>0</v>
      </c>
      <c r="R824" s="224" t="str">
        <f>(IF((VLOOKUP(Table10[[#This Row],[SKU]],'All Skus'!$A:$AC,2,FALSE))="Martin",(VLOOKUP(Table10[[#This Row],[SKU]],'All Skus'!$A:$AC,22,FALSE)),""))</f>
        <v>DE</v>
      </c>
      <c r="S824" s="223">
        <f>(IF((VLOOKUP(Table10[[#This Row],[SKU]],'All Skus'!$A:$AC,2,FALSE))="Martin",(VLOOKUP(Table10[[#This Row],[SKU]],'All Skus'!$A:$AC,23,FALSE)),""))</f>
        <v>0</v>
      </c>
      <c r="T824" s="212" t="str">
        <f>HYPERLINK((IF((VLOOKUP(Table10[[#This Row],[SKU]],'All Skus'!$A:$AC,2,FALSE))="Martin",(VLOOKUP(Table10[[#This Row],[SKU]],'All Skus'!$A:$AC,24,FALSE)),"")))</f>
        <v/>
      </c>
      <c r="U824" s="228">
        <v>822</v>
      </c>
    </row>
    <row r="825" spans="1:21" hidden="1">
      <c r="A825" s="111" t="s">
        <v>2364</v>
      </c>
      <c r="B825" s="224">
        <f>(IF((VLOOKUP(Table10[[#This Row],[SKU]],'All Skus'!$A:$AC,2,FALSE))="Martin",(VLOOKUP(Table10[[#This Row],[SKU]],'All Skus'!$A:$AC,3,FALSE)),""))</f>
        <v>0</v>
      </c>
      <c r="C825" s="223">
        <f>(IF((VLOOKUP(Table10[[#This Row],[SKU]],'All Skus'!$A:$AC,2,FALSE))="Martin",(VLOOKUP(Table10[[#This Row],[SKU]],'All Skus'!$A:$AC,4,FALSE)),""))</f>
        <v>0</v>
      </c>
      <c r="D825" s="224">
        <f>(IF((VLOOKUP(Table10[[#This Row],[SKU]],'All Skus'!$A:$AC,2,FALSE))="Martin",(VLOOKUP(Table10[[#This Row],[SKU]],'All Skus'!$A:$AC,5,FALSE)),""))</f>
        <v>0</v>
      </c>
      <c r="E825" s="223">
        <f>(IF((VLOOKUP(Table10[[#This Row],[SKU]],'All Skus'!$A:$AC,2,FALSE))="Martin",(VLOOKUP(Table10[[#This Row],[SKU]],'All Skus'!$A:$AC,6,FALSE)),""))</f>
        <v>0</v>
      </c>
      <c r="F825" s="155">
        <f>(IF((VLOOKUP(Table10[[#This Row],[SKU]],'All Skus'!$A:$AC,2,FALSE))="Martin",(VLOOKUP(Table10[[#This Row],[SKU]],'All Skus'!$A:$AC,7,FALSE)),""))</f>
        <v>0</v>
      </c>
      <c r="G825" s="223">
        <f>(IF((VLOOKUP(Table10[[#This Row],[SKU]],'All Skus'!$A:$AC,2,FALSE))="Martin",(VLOOKUP(Table10[[#This Row],[SKU]],'All Skus'!$A:$AC,8,FALSE)),""))</f>
        <v>0</v>
      </c>
      <c r="H825" s="223">
        <f>(IF((VLOOKUP(Table10[[#This Row],[SKU]],'All Skus'!$A:$AC,2,FALSE))="Martin",(VLOOKUP(Table10[[#This Row],[SKU]],'All Skus'!$A:$AC,9,FALSE)),""))</f>
        <v>0</v>
      </c>
      <c r="I825" s="225">
        <f>(IF((VLOOKUP(Table10[[#This Row],[SKU]],'All Skus'!$A:$AC,2,FALSE))="Martin",(VLOOKUP(Table10[[#This Row],[SKU]],'All Skus'!$A:$AC,10,FALSE)),""))</f>
        <v>0</v>
      </c>
      <c r="J825" s="226">
        <f>(IF((VLOOKUP(Table10[[#This Row],[SKU]],'All Skus'!$A:$AC,2,FALSE))="Martin",(VLOOKUP(Table10[[#This Row],[SKU]],'All Skus'!$A:$AC,11,FALSE)),""))</f>
        <v>0</v>
      </c>
      <c r="K825" s="224">
        <f>(IF((VLOOKUP(Table10[[#This Row],[SKU]],'All Skus'!$A:$AC,2,FALSE))="Martin",(VLOOKUP(Table10[[#This Row],[SKU]],'All Skus'!$A:$AC,15,FALSE)),""))</f>
        <v>0</v>
      </c>
      <c r="L825" s="224">
        <f>(IF((VLOOKUP(Table10[[#This Row],[SKU]],'All Skus'!$A:$AC,2,FALSE))="Martin",(VLOOKUP(Table10[[#This Row],[SKU]],'All Skus'!$A:$AC,16,FALSE)),""))</f>
        <v>0</v>
      </c>
      <c r="M825" s="224">
        <f>(IF((VLOOKUP(Table10[[#This Row],[SKU]],'All Skus'!$A:$AC,2,FALSE))="Martin",(VLOOKUP(Table10[[#This Row],[SKU]],'All Skus'!$A:$AC,17,FALSE)),""))</f>
        <v>0</v>
      </c>
      <c r="N825" s="227">
        <f>(IF((VLOOKUP(Table10[[#This Row],[SKU]],'All Skus'!$A:$AC,2,FALSE))="Martin",(VLOOKUP(Table10[[#This Row],[SKU]],'All Skus'!$A:$AC,18,FALSE)),""))</f>
        <v>0</v>
      </c>
      <c r="O825" s="227">
        <f>(IF((VLOOKUP(Table10[[#This Row],[SKU]],'All Skus'!$A:$AC,2,FALSE))="Martin",(VLOOKUP(Table10[[#This Row],[SKU]],'All Skus'!$A:$AC,19,FALSE)),""))</f>
        <v>0</v>
      </c>
      <c r="P825" s="227">
        <f>(IF((VLOOKUP(Table10[[#This Row],[SKU]],'All Skus'!$A:$AC,2,FALSE))="Martin",(VLOOKUP(Table10[[#This Row],[SKU]],'All Skus'!$A:$AC,20,FALSE)),""))</f>
        <v>0</v>
      </c>
      <c r="Q825" s="227">
        <f>(IF((VLOOKUP(Table10[[#This Row],[SKU]],'All Skus'!$A:$AC,2,FALSE))="Martin",(VLOOKUP(Table10[[#This Row],[SKU]],'All Skus'!$A:$AC,21,FALSE)),""))</f>
        <v>0</v>
      </c>
      <c r="R825" s="224">
        <f>(IF((VLOOKUP(Table10[[#This Row],[SKU]],'All Skus'!$A:$AC,2,FALSE))="Martin",(VLOOKUP(Table10[[#This Row],[SKU]],'All Skus'!$A:$AC,22,FALSE)),""))</f>
        <v>0</v>
      </c>
      <c r="S825" s="223">
        <f>(IF((VLOOKUP(Table10[[#This Row],[SKU]],'All Skus'!$A:$AC,2,FALSE))="Martin",(VLOOKUP(Table10[[#This Row],[SKU]],'All Skus'!$A:$AC,23,FALSE)),""))</f>
        <v>0</v>
      </c>
      <c r="T825" s="212" t="str">
        <f>HYPERLINK((IF((VLOOKUP(Table10[[#This Row],[SKU]],'All Skus'!$A:$AC,2,FALSE))="Martin",(VLOOKUP(Table10[[#This Row],[SKU]],'All Skus'!$A:$AC,24,FALSE)),"")))</f>
        <v/>
      </c>
      <c r="U825" s="228">
        <v>823</v>
      </c>
    </row>
    <row r="826" spans="1:21" hidden="1">
      <c r="A826" s="115" t="s">
        <v>2365</v>
      </c>
      <c r="B826" s="224">
        <f>(IF((VLOOKUP(Table10[[#This Row],[SKU]],'All Skus'!$A:$AC,2,FALSE))="Martin",(VLOOKUP(Table10[[#This Row],[SKU]],'All Skus'!$A:$AC,3,FALSE)),""))</f>
        <v>0</v>
      </c>
      <c r="C826" s="223">
        <f>(IF((VLOOKUP(Table10[[#This Row],[SKU]],'All Skus'!$A:$AC,2,FALSE))="Martin",(VLOOKUP(Table10[[#This Row],[SKU]],'All Skus'!$A:$AC,4,FALSE)),""))</f>
        <v>0</v>
      </c>
      <c r="D826" s="224">
        <f>(IF((VLOOKUP(Table10[[#This Row],[SKU]],'All Skus'!$A:$AC,2,FALSE))="Martin",(VLOOKUP(Table10[[#This Row],[SKU]],'All Skus'!$A:$AC,5,FALSE)),""))</f>
        <v>0</v>
      </c>
      <c r="E826" s="223">
        <f>(IF((VLOOKUP(Table10[[#This Row],[SKU]],'All Skus'!$A:$AC,2,FALSE))="Martin",(VLOOKUP(Table10[[#This Row],[SKU]],'All Skus'!$A:$AC,6,FALSE)),""))</f>
        <v>0</v>
      </c>
      <c r="F826" s="155">
        <f>(IF((VLOOKUP(Table10[[#This Row],[SKU]],'All Skus'!$A:$AC,2,FALSE))="Martin",(VLOOKUP(Table10[[#This Row],[SKU]],'All Skus'!$A:$AC,7,FALSE)),""))</f>
        <v>0</v>
      </c>
      <c r="G826" s="223">
        <f>(IF((VLOOKUP(Table10[[#This Row],[SKU]],'All Skus'!$A:$AC,2,FALSE))="Martin",(VLOOKUP(Table10[[#This Row],[SKU]],'All Skus'!$A:$AC,8,FALSE)),""))</f>
        <v>0</v>
      </c>
      <c r="H826" s="223">
        <f>(IF((VLOOKUP(Table10[[#This Row],[SKU]],'All Skus'!$A:$AC,2,FALSE))="Martin",(VLOOKUP(Table10[[#This Row],[SKU]],'All Skus'!$A:$AC,9,FALSE)),""))</f>
        <v>0</v>
      </c>
      <c r="I826" s="225">
        <f>(IF((VLOOKUP(Table10[[#This Row],[SKU]],'All Skus'!$A:$AC,2,FALSE))="Martin",(VLOOKUP(Table10[[#This Row],[SKU]],'All Skus'!$A:$AC,10,FALSE)),""))</f>
        <v>0</v>
      </c>
      <c r="J826" s="226">
        <f>(IF((VLOOKUP(Table10[[#This Row],[SKU]],'All Skus'!$A:$AC,2,FALSE))="Martin",(VLOOKUP(Table10[[#This Row],[SKU]],'All Skus'!$A:$AC,11,FALSE)),""))</f>
        <v>0</v>
      </c>
      <c r="K826" s="224">
        <f>(IF((VLOOKUP(Table10[[#This Row],[SKU]],'All Skus'!$A:$AC,2,FALSE))="Martin",(VLOOKUP(Table10[[#This Row],[SKU]],'All Skus'!$A:$AC,15,FALSE)),""))</f>
        <v>0</v>
      </c>
      <c r="L826" s="224">
        <f>(IF((VLOOKUP(Table10[[#This Row],[SKU]],'All Skus'!$A:$AC,2,FALSE))="Martin",(VLOOKUP(Table10[[#This Row],[SKU]],'All Skus'!$A:$AC,16,FALSE)),""))</f>
        <v>0</v>
      </c>
      <c r="M826" s="224">
        <f>(IF((VLOOKUP(Table10[[#This Row],[SKU]],'All Skus'!$A:$AC,2,FALSE))="Martin",(VLOOKUP(Table10[[#This Row],[SKU]],'All Skus'!$A:$AC,17,FALSE)),""))</f>
        <v>0</v>
      </c>
      <c r="N826" s="227">
        <f>(IF((VLOOKUP(Table10[[#This Row],[SKU]],'All Skus'!$A:$AC,2,FALSE))="Martin",(VLOOKUP(Table10[[#This Row],[SKU]],'All Skus'!$A:$AC,18,FALSE)),""))</f>
        <v>0</v>
      </c>
      <c r="O826" s="227">
        <f>(IF((VLOOKUP(Table10[[#This Row],[SKU]],'All Skus'!$A:$AC,2,FALSE))="Martin",(VLOOKUP(Table10[[#This Row],[SKU]],'All Skus'!$A:$AC,19,FALSE)),""))</f>
        <v>0</v>
      </c>
      <c r="P826" s="227">
        <f>(IF((VLOOKUP(Table10[[#This Row],[SKU]],'All Skus'!$A:$AC,2,FALSE))="Martin",(VLOOKUP(Table10[[#This Row],[SKU]],'All Skus'!$A:$AC,20,FALSE)),""))</f>
        <v>0</v>
      </c>
      <c r="Q826" s="227">
        <f>(IF((VLOOKUP(Table10[[#This Row],[SKU]],'All Skus'!$A:$AC,2,FALSE))="Martin",(VLOOKUP(Table10[[#This Row],[SKU]],'All Skus'!$A:$AC,21,FALSE)),""))</f>
        <v>0</v>
      </c>
      <c r="R826" s="224">
        <f>(IF((VLOOKUP(Table10[[#This Row],[SKU]],'All Skus'!$A:$AC,2,FALSE))="Martin",(VLOOKUP(Table10[[#This Row],[SKU]],'All Skus'!$A:$AC,22,FALSE)),""))</f>
        <v>0</v>
      </c>
      <c r="S826" s="223">
        <f>(IF((VLOOKUP(Table10[[#This Row],[SKU]],'All Skus'!$A:$AC,2,FALSE))="Martin",(VLOOKUP(Table10[[#This Row],[SKU]],'All Skus'!$A:$AC,23,FALSE)),""))</f>
        <v>0</v>
      </c>
      <c r="T826" s="212" t="str">
        <f>HYPERLINK((IF((VLOOKUP(Table10[[#This Row],[SKU]],'All Skus'!$A:$AC,2,FALSE))="Martin",(VLOOKUP(Table10[[#This Row],[SKU]],'All Skus'!$A:$AC,24,FALSE)),"")))</f>
        <v/>
      </c>
      <c r="U826" s="228">
        <v>824</v>
      </c>
    </row>
    <row r="827" spans="1:21" hidden="1">
      <c r="A827" s="112" t="s">
        <v>2366</v>
      </c>
      <c r="B827" s="224" t="str">
        <f>(IF((VLOOKUP(Table10[[#This Row],[SKU]],'All Skus'!$A:$AC,2,FALSE))="Martin",(VLOOKUP(Table10[[#This Row],[SKU]],'All Skus'!$A:$AC,3,FALSE)),""))</f>
        <v>LED Video</v>
      </c>
      <c r="C827" s="223" t="str">
        <f>(IF((VLOOKUP(Table10[[#This Row],[SKU]],'All Skus'!$A:$AC,2,FALSE))="Martin",(VLOOKUP(Table10[[#This Row],[SKU]],'All Skus'!$A:$AC,4,FALSE)),""))</f>
        <v>VDO Dotron in cardboard</v>
      </c>
      <c r="D827" s="224" t="str">
        <f>(IF((VLOOKUP(Table10[[#This Row],[SKU]],'All Skus'!$A:$AC,2,FALSE))="Martin",(VLOOKUP(Table10[[#This Row],[SKU]],'All Skus'!$A:$AC,5,FALSE)),""))</f>
        <v>MAR-VDO</v>
      </c>
      <c r="E827" s="223">
        <f>(IF((VLOOKUP(Table10[[#This Row],[SKU]],'All Skus'!$A:$AC,2,FALSE))="Martin",(VLOOKUP(Table10[[#This Row],[SKU]],'All Skus'!$A:$AC,6,FALSE)),""))</f>
        <v>0</v>
      </c>
      <c r="F827" s="155">
        <f>(IF((VLOOKUP(Table10[[#This Row],[SKU]],'All Skus'!$A:$AC,2,FALSE))="Martin",(VLOOKUP(Table10[[#This Row],[SKU]],'All Skus'!$A:$AC,7,FALSE)),""))</f>
        <v>0</v>
      </c>
      <c r="G827" s="223" t="str">
        <f>(IF((VLOOKUP(Table10[[#This Row],[SKU]],'All Skus'!$A:$AC,2,FALSE))="Martin",(VLOOKUP(Table10[[#This Row],[SKU]],'All Skus'!$A:$AC,8,FALSE)),""))</f>
        <v>VDO Dotron in cardboard</v>
      </c>
      <c r="H827" s="223" t="str">
        <f>(IF((VLOOKUP(Table10[[#This Row],[SKU]],'All Skus'!$A:$AC,2,FALSE))="Martin",(VLOOKUP(Table10[[#This Row],[SKU]],'All Skus'!$A:$AC,9,FALSE)),""))</f>
        <v>VDO Dotron in cardboard</v>
      </c>
      <c r="I827" s="225">
        <f>(IF((VLOOKUP(Table10[[#This Row],[SKU]],'All Skus'!$A:$AC,2,FALSE))="Martin",(VLOOKUP(Table10[[#This Row],[SKU]],'All Skus'!$A:$AC,10,FALSE)),""))</f>
        <v>395.12</v>
      </c>
      <c r="J827" s="226">
        <f>(IF((VLOOKUP(Table10[[#This Row],[SKU]],'All Skus'!$A:$AC,2,FALSE))="Martin",(VLOOKUP(Table10[[#This Row],[SKU]],'All Skus'!$A:$AC,11,FALSE)),""))</f>
        <v>395.12</v>
      </c>
      <c r="K827" s="224">
        <f>(IF((VLOOKUP(Table10[[#This Row],[SKU]],'All Skus'!$A:$AC,2,FALSE))="Martin",(VLOOKUP(Table10[[#This Row],[SKU]],'All Skus'!$A:$AC,15,FALSE)),""))</f>
        <v>0</v>
      </c>
      <c r="L827" s="224">
        <f>(IF((VLOOKUP(Table10[[#This Row],[SKU]],'All Skus'!$A:$AC,2,FALSE))="Martin",(VLOOKUP(Table10[[#This Row],[SKU]],'All Skus'!$A:$AC,16,FALSE)),""))</f>
        <v>0</v>
      </c>
      <c r="M827" s="224">
        <f>(IF((VLOOKUP(Table10[[#This Row],[SKU]],'All Skus'!$A:$AC,2,FALSE))="Martin",(VLOOKUP(Table10[[#This Row],[SKU]],'All Skus'!$A:$AC,17,FALSE)),""))</f>
        <v>0</v>
      </c>
      <c r="N827" s="227">
        <f>(IF((VLOOKUP(Table10[[#This Row],[SKU]],'All Skus'!$A:$AC,2,FALSE))="Martin",(VLOOKUP(Table10[[#This Row],[SKU]],'All Skus'!$A:$AC,18,FALSE)),""))</f>
        <v>0</v>
      </c>
      <c r="O827" s="227">
        <f>(IF((VLOOKUP(Table10[[#This Row],[SKU]],'All Skus'!$A:$AC,2,FALSE))="Martin",(VLOOKUP(Table10[[#This Row],[SKU]],'All Skus'!$A:$AC,19,FALSE)),""))</f>
        <v>0</v>
      </c>
      <c r="P827" s="227">
        <f>(IF((VLOOKUP(Table10[[#This Row],[SKU]],'All Skus'!$A:$AC,2,FALSE))="Martin",(VLOOKUP(Table10[[#This Row],[SKU]],'All Skus'!$A:$AC,20,FALSE)),""))</f>
        <v>0</v>
      </c>
      <c r="Q827" s="227">
        <f>(IF((VLOOKUP(Table10[[#This Row],[SKU]],'All Skus'!$A:$AC,2,FALSE))="Martin",(VLOOKUP(Table10[[#This Row],[SKU]],'All Skus'!$A:$AC,21,FALSE)),""))</f>
        <v>0</v>
      </c>
      <c r="R827" s="224" t="str">
        <f>(IF((VLOOKUP(Table10[[#This Row],[SKU]],'All Skus'!$A:$AC,2,FALSE))="Martin",(VLOOKUP(Table10[[#This Row],[SKU]],'All Skus'!$A:$AC,22,FALSE)),""))</f>
        <v>HU</v>
      </c>
      <c r="S827" s="223" t="str">
        <f>(IF((VLOOKUP(Table10[[#This Row],[SKU]],'All Skus'!$A:$AC,2,FALSE))="Martin",(VLOOKUP(Table10[[#This Row],[SKU]],'All Skus'!$A:$AC,23,FALSE)),""))</f>
        <v>Non Compliant</v>
      </c>
      <c r="T827" s="212" t="str">
        <f>HYPERLINK((IF((VLOOKUP(Table10[[#This Row],[SKU]],'All Skus'!$A:$AC,2,FALSE))="Martin",(VLOOKUP(Table10[[#This Row],[SKU]],'All Skus'!$A:$AC,24,FALSE)),"")))</f>
        <v/>
      </c>
      <c r="U827" s="228">
        <v>825</v>
      </c>
    </row>
    <row r="828" spans="1:21" hidden="1">
      <c r="A828" s="115" t="s">
        <v>2367</v>
      </c>
      <c r="B828" s="224">
        <f>(IF((VLOOKUP(Table10[[#This Row],[SKU]],'All Skus'!$A:$AC,2,FALSE))="Martin",(VLOOKUP(Table10[[#This Row],[SKU]],'All Skus'!$A:$AC,3,FALSE)),""))</f>
        <v>0</v>
      </c>
      <c r="C828" s="223">
        <f>(IF((VLOOKUP(Table10[[#This Row],[SKU]],'All Skus'!$A:$AC,2,FALSE))="Martin",(VLOOKUP(Table10[[#This Row],[SKU]],'All Skus'!$A:$AC,4,FALSE)),""))</f>
        <v>0</v>
      </c>
      <c r="D828" s="224">
        <f>(IF((VLOOKUP(Table10[[#This Row],[SKU]],'All Skus'!$A:$AC,2,FALSE))="Martin",(VLOOKUP(Table10[[#This Row],[SKU]],'All Skus'!$A:$AC,5,FALSE)),""))</f>
        <v>0</v>
      </c>
      <c r="E828" s="223">
        <f>(IF((VLOOKUP(Table10[[#This Row],[SKU]],'All Skus'!$A:$AC,2,FALSE))="Martin",(VLOOKUP(Table10[[#This Row],[SKU]],'All Skus'!$A:$AC,6,FALSE)),""))</f>
        <v>0</v>
      </c>
      <c r="F828" s="155">
        <f>(IF((VLOOKUP(Table10[[#This Row],[SKU]],'All Skus'!$A:$AC,2,FALSE))="Martin",(VLOOKUP(Table10[[#This Row],[SKU]],'All Skus'!$A:$AC,7,FALSE)),""))</f>
        <v>0</v>
      </c>
      <c r="G828" s="223">
        <f>(IF((VLOOKUP(Table10[[#This Row],[SKU]],'All Skus'!$A:$AC,2,FALSE))="Martin",(VLOOKUP(Table10[[#This Row],[SKU]],'All Skus'!$A:$AC,8,FALSE)),""))</f>
        <v>0</v>
      </c>
      <c r="H828" s="223">
        <f>(IF((VLOOKUP(Table10[[#This Row],[SKU]],'All Skus'!$A:$AC,2,FALSE))="Martin",(VLOOKUP(Table10[[#This Row],[SKU]],'All Skus'!$A:$AC,9,FALSE)),""))</f>
        <v>0</v>
      </c>
      <c r="I828" s="225">
        <f>(IF((VLOOKUP(Table10[[#This Row],[SKU]],'All Skus'!$A:$AC,2,FALSE))="Martin",(VLOOKUP(Table10[[#This Row],[SKU]],'All Skus'!$A:$AC,10,FALSE)),""))</f>
        <v>0</v>
      </c>
      <c r="J828" s="226">
        <f>(IF((VLOOKUP(Table10[[#This Row],[SKU]],'All Skus'!$A:$AC,2,FALSE))="Martin",(VLOOKUP(Table10[[#This Row],[SKU]],'All Skus'!$A:$AC,11,FALSE)),""))</f>
        <v>0</v>
      </c>
      <c r="K828" s="224">
        <f>(IF((VLOOKUP(Table10[[#This Row],[SKU]],'All Skus'!$A:$AC,2,FALSE))="Martin",(VLOOKUP(Table10[[#This Row],[SKU]],'All Skus'!$A:$AC,15,FALSE)),""))</f>
        <v>0</v>
      </c>
      <c r="L828" s="224">
        <f>(IF((VLOOKUP(Table10[[#This Row],[SKU]],'All Skus'!$A:$AC,2,FALSE))="Martin",(VLOOKUP(Table10[[#This Row],[SKU]],'All Skus'!$A:$AC,16,FALSE)),""))</f>
        <v>0</v>
      </c>
      <c r="M828" s="224">
        <f>(IF((VLOOKUP(Table10[[#This Row],[SKU]],'All Skus'!$A:$AC,2,FALSE))="Martin",(VLOOKUP(Table10[[#This Row],[SKU]],'All Skus'!$A:$AC,17,FALSE)),""))</f>
        <v>0</v>
      </c>
      <c r="N828" s="227">
        <f>(IF((VLOOKUP(Table10[[#This Row],[SKU]],'All Skus'!$A:$AC,2,FALSE))="Martin",(VLOOKUP(Table10[[#This Row],[SKU]],'All Skus'!$A:$AC,18,FALSE)),""))</f>
        <v>0</v>
      </c>
      <c r="O828" s="227">
        <f>(IF((VLOOKUP(Table10[[#This Row],[SKU]],'All Skus'!$A:$AC,2,FALSE))="Martin",(VLOOKUP(Table10[[#This Row],[SKU]],'All Skus'!$A:$AC,19,FALSE)),""))</f>
        <v>0</v>
      </c>
      <c r="P828" s="227">
        <f>(IF((VLOOKUP(Table10[[#This Row],[SKU]],'All Skus'!$A:$AC,2,FALSE))="Martin",(VLOOKUP(Table10[[#This Row],[SKU]],'All Skus'!$A:$AC,20,FALSE)),""))</f>
        <v>0</v>
      </c>
      <c r="Q828" s="227">
        <f>(IF((VLOOKUP(Table10[[#This Row],[SKU]],'All Skus'!$A:$AC,2,FALSE))="Martin",(VLOOKUP(Table10[[#This Row],[SKU]],'All Skus'!$A:$AC,21,FALSE)),""))</f>
        <v>0</v>
      </c>
      <c r="R828" s="224">
        <f>(IF((VLOOKUP(Table10[[#This Row],[SKU]],'All Skus'!$A:$AC,2,FALSE))="Martin",(VLOOKUP(Table10[[#This Row],[SKU]],'All Skus'!$A:$AC,22,FALSE)),""))</f>
        <v>0</v>
      </c>
      <c r="S828" s="223">
        <f>(IF((VLOOKUP(Table10[[#This Row],[SKU]],'All Skus'!$A:$AC,2,FALSE))="Martin",(VLOOKUP(Table10[[#This Row],[SKU]],'All Skus'!$A:$AC,23,FALSE)),""))</f>
        <v>0</v>
      </c>
      <c r="T828" s="212" t="str">
        <f>HYPERLINK((IF((VLOOKUP(Table10[[#This Row],[SKU]],'All Skus'!$A:$AC,2,FALSE))="Martin",(VLOOKUP(Table10[[#This Row],[SKU]],'All Skus'!$A:$AC,24,FALSE)),"")))</f>
        <v/>
      </c>
      <c r="U828" s="228">
        <v>826</v>
      </c>
    </row>
    <row r="829" spans="1:21" hidden="1">
      <c r="A829" s="90">
        <v>91611808</v>
      </c>
      <c r="B829" s="224" t="str">
        <f>(IF((VLOOKUP(Table10[[#This Row],[SKU]],'All Skus'!$A:$AC,2,FALSE))="Martin",(VLOOKUP(Table10[[#This Row],[SKU]],'All Skus'!$A:$AC,3,FALSE)),""))</f>
        <v>LED Video</v>
      </c>
      <c r="C829" s="223" t="str">
        <f>(IF((VLOOKUP(Table10[[#This Row],[SKU]],'All Skus'!$A:$AC,2,FALSE))="Martin",(VLOOKUP(Table10[[#This Row],[SKU]],'All Skus'!$A:$AC,4,FALSE)),""))</f>
        <v>VDO Dotron Lens Array Narrow</v>
      </c>
      <c r="D829" s="224" t="str">
        <f>(IF((VLOOKUP(Table10[[#This Row],[SKU]],'All Skus'!$A:$AC,2,FALSE))="Martin",(VLOOKUP(Table10[[#This Row],[SKU]],'All Skus'!$A:$AC,5,FALSE)),""))</f>
        <v>MAR-VDO</v>
      </c>
      <c r="E829" s="223">
        <f>(IF((VLOOKUP(Table10[[#This Row],[SKU]],'All Skus'!$A:$AC,2,FALSE))="Martin",(VLOOKUP(Table10[[#This Row],[SKU]],'All Skus'!$A:$AC,6,FALSE)),""))</f>
        <v>0</v>
      </c>
      <c r="F829" s="155">
        <f>(IF((VLOOKUP(Table10[[#This Row],[SKU]],'All Skus'!$A:$AC,2,FALSE))="Martin",(VLOOKUP(Table10[[#This Row],[SKU]],'All Skus'!$A:$AC,7,FALSE)),""))</f>
        <v>0</v>
      </c>
      <c r="G829" s="223" t="str">
        <f>(IF((VLOOKUP(Table10[[#This Row],[SKU]],'All Skus'!$A:$AC,2,FALSE))="Martin",(VLOOKUP(Table10[[#This Row],[SKU]],'All Skus'!$A:$AC,8,FALSE)),""))</f>
        <v>VDO Dotron Lens Array Narrow</v>
      </c>
      <c r="H829" s="223" t="str">
        <f>(IF((VLOOKUP(Table10[[#This Row],[SKU]],'All Skus'!$A:$AC,2,FALSE))="Martin",(VLOOKUP(Table10[[#This Row],[SKU]],'All Skus'!$A:$AC,9,FALSE)),""))</f>
        <v>VDO Dotron Lens Array Narrow</v>
      </c>
      <c r="I829" s="225">
        <f>(IF((VLOOKUP(Table10[[#This Row],[SKU]],'All Skus'!$A:$AC,2,FALSE))="Martin",(VLOOKUP(Table10[[#This Row],[SKU]],'All Skus'!$A:$AC,10,FALSE)),""))</f>
        <v>32.1</v>
      </c>
      <c r="J829" s="226">
        <f>(IF((VLOOKUP(Table10[[#This Row],[SKU]],'All Skus'!$A:$AC,2,FALSE))="Martin",(VLOOKUP(Table10[[#This Row],[SKU]],'All Skus'!$A:$AC,11,FALSE)),""))</f>
        <v>32.1</v>
      </c>
      <c r="K829" s="224">
        <f>(IF((VLOOKUP(Table10[[#This Row],[SKU]],'All Skus'!$A:$AC,2,FALSE))="Martin",(VLOOKUP(Table10[[#This Row],[SKU]],'All Skus'!$A:$AC,15,FALSE)),""))</f>
        <v>0</v>
      </c>
      <c r="L829" s="224">
        <f>(IF((VLOOKUP(Table10[[#This Row],[SKU]],'All Skus'!$A:$AC,2,FALSE))="Martin",(VLOOKUP(Table10[[#This Row],[SKU]],'All Skus'!$A:$AC,16,FALSE)),""))</f>
        <v>0</v>
      </c>
      <c r="M829" s="224">
        <f>(IF((VLOOKUP(Table10[[#This Row],[SKU]],'All Skus'!$A:$AC,2,FALSE))="Martin",(VLOOKUP(Table10[[#This Row],[SKU]],'All Skus'!$A:$AC,17,FALSE)),""))</f>
        <v>0</v>
      </c>
      <c r="N829" s="227">
        <f>(IF((VLOOKUP(Table10[[#This Row],[SKU]],'All Skus'!$A:$AC,2,FALSE))="Martin",(VLOOKUP(Table10[[#This Row],[SKU]],'All Skus'!$A:$AC,18,FALSE)),""))</f>
        <v>0</v>
      </c>
      <c r="O829" s="227">
        <f>(IF((VLOOKUP(Table10[[#This Row],[SKU]],'All Skus'!$A:$AC,2,FALSE))="Martin",(VLOOKUP(Table10[[#This Row],[SKU]],'All Skus'!$A:$AC,19,FALSE)),""))</f>
        <v>0</v>
      </c>
      <c r="P829" s="227">
        <f>(IF((VLOOKUP(Table10[[#This Row],[SKU]],'All Skus'!$A:$AC,2,FALSE))="Martin",(VLOOKUP(Table10[[#This Row],[SKU]],'All Skus'!$A:$AC,20,FALSE)),""))</f>
        <v>0</v>
      </c>
      <c r="Q829" s="227">
        <f>(IF((VLOOKUP(Table10[[#This Row],[SKU]],'All Skus'!$A:$AC,2,FALSE))="Martin",(VLOOKUP(Table10[[#This Row],[SKU]],'All Skus'!$A:$AC,21,FALSE)),""))</f>
        <v>0</v>
      </c>
      <c r="R829" s="224" t="str">
        <f>(IF((VLOOKUP(Table10[[#This Row],[SKU]],'All Skus'!$A:$AC,2,FALSE))="Martin",(VLOOKUP(Table10[[#This Row],[SKU]],'All Skus'!$A:$AC,22,FALSE)),""))</f>
        <v>CN</v>
      </c>
      <c r="S829" s="223" t="str">
        <f>(IF((VLOOKUP(Table10[[#This Row],[SKU]],'All Skus'!$A:$AC,2,FALSE))="Martin",(VLOOKUP(Table10[[#This Row],[SKU]],'All Skus'!$A:$AC,23,FALSE)),""))</f>
        <v>Non Compliant</v>
      </c>
      <c r="T829" s="212" t="str">
        <f>HYPERLINK((IF((VLOOKUP(Table10[[#This Row],[SKU]],'All Skus'!$A:$AC,2,FALSE))="Martin",(VLOOKUP(Table10[[#This Row],[SKU]],'All Skus'!$A:$AC,24,FALSE)),"")))</f>
        <v/>
      </c>
      <c r="U829" s="228">
        <v>827</v>
      </c>
    </row>
    <row r="830" spans="1:21" hidden="1">
      <c r="A830" s="90">
        <v>91611807</v>
      </c>
      <c r="B830" s="224" t="str">
        <f>(IF((VLOOKUP(Table10[[#This Row],[SKU]],'All Skus'!$A:$AC,2,FALSE))="Martin",(VLOOKUP(Table10[[#This Row],[SKU]],'All Skus'!$A:$AC,3,FALSE)),""))</f>
        <v>LED Video</v>
      </c>
      <c r="C830" s="223" t="str">
        <f>(IF((VLOOKUP(Table10[[#This Row],[SKU]],'All Skus'!$A:$AC,2,FALSE))="Martin",(VLOOKUP(Table10[[#This Row],[SKU]],'All Skus'!$A:$AC,4,FALSE)),""))</f>
        <v>VDO Dotron Dome Smoked Diffuser</v>
      </c>
      <c r="D830" s="224" t="str">
        <f>(IF((VLOOKUP(Table10[[#This Row],[SKU]],'All Skus'!$A:$AC,2,FALSE))="Martin",(VLOOKUP(Table10[[#This Row],[SKU]],'All Skus'!$A:$AC,5,FALSE)),""))</f>
        <v>MAR-VDO</v>
      </c>
      <c r="E830" s="223">
        <f>(IF((VLOOKUP(Table10[[#This Row],[SKU]],'All Skus'!$A:$AC,2,FALSE))="Martin",(VLOOKUP(Table10[[#This Row],[SKU]],'All Skus'!$A:$AC,6,FALSE)),""))</f>
        <v>0</v>
      </c>
      <c r="F830" s="155">
        <f>(IF((VLOOKUP(Table10[[#This Row],[SKU]],'All Skus'!$A:$AC,2,FALSE))="Martin",(VLOOKUP(Table10[[#This Row],[SKU]],'All Skus'!$A:$AC,7,FALSE)),""))</f>
        <v>0</v>
      </c>
      <c r="G830" s="223" t="str">
        <f>(IF((VLOOKUP(Table10[[#This Row],[SKU]],'All Skus'!$A:$AC,2,FALSE))="Martin",(VLOOKUP(Table10[[#This Row],[SKU]],'All Skus'!$A:$AC,8,FALSE)),""))</f>
        <v>VDO Dotron Dome Smoked Diffuser</v>
      </c>
      <c r="H830" s="223" t="str">
        <f>(IF((VLOOKUP(Table10[[#This Row],[SKU]],'All Skus'!$A:$AC,2,FALSE))="Martin",(VLOOKUP(Table10[[#This Row],[SKU]],'All Skus'!$A:$AC,9,FALSE)),""))</f>
        <v>VDO Dotron Dome Smoked Diffuser</v>
      </c>
      <c r="I830" s="225">
        <f>(IF((VLOOKUP(Table10[[#This Row],[SKU]],'All Skus'!$A:$AC,2,FALSE))="Martin",(VLOOKUP(Table10[[#This Row],[SKU]],'All Skus'!$A:$AC,10,FALSE)),""))</f>
        <v>4.9400000000000004</v>
      </c>
      <c r="J830" s="226">
        <f>(IF((VLOOKUP(Table10[[#This Row],[SKU]],'All Skus'!$A:$AC,2,FALSE))="Martin",(VLOOKUP(Table10[[#This Row],[SKU]],'All Skus'!$A:$AC,11,FALSE)),""))</f>
        <v>4.9400000000000004</v>
      </c>
      <c r="K830" s="224">
        <f>(IF((VLOOKUP(Table10[[#This Row],[SKU]],'All Skus'!$A:$AC,2,FALSE))="Martin",(VLOOKUP(Table10[[#This Row],[SKU]],'All Skus'!$A:$AC,15,FALSE)),""))</f>
        <v>0</v>
      </c>
      <c r="L830" s="224">
        <f>(IF((VLOOKUP(Table10[[#This Row],[SKU]],'All Skus'!$A:$AC,2,FALSE))="Martin",(VLOOKUP(Table10[[#This Row],[SKU]],'All Skus'!$A:$AC,16,FALSE)),""))</f>
        <v>0</v>
      </c>
      <c r="M830" s="224">
        <f>(IF((VLOOKUP(Table10[[#This Row],[SKU]],'All Skus'!$A:$AC,2,FALSE))="Martin",(VLOOKUP(Table10[[#This Row],[SKU]],'All Skus'!$A:$AC,17,FALSE)),""))</f>
        <v>0</v>
      </c>
      <c r="N830" s="227">
        <f>(IF((VLOOKUP(Table10[[#This Row],[SKU]],'All Skus'!$A:$AC,2,FALSE))="Martin",(VLOOKUP(Table10[[#This Row],[SKU]],'All Skus'!$A:$AC,18,FALSE)),""))</f>
        <v>0</v>
      </c>
      <c r="O830" s="227">
        <f>(IF((VLOOKUP(Table10[[#This Row],[SKU]],'All Skus'!$A:$AC,2,FALSE))="Martin",(VLOOKUP(Table10[[#This Row],[SKU]],'All Skus'!$A:$AC,19,FALSE)),""))</f>
        <v>0</v>
      </c>
      <c r="P830" s="227">
        <f>(IF((VLOOKUP(Table10[[#This Row],[SKU]],'All Skus'!$A:$AC,2,FALSE))="Martin",(VLOOKUP(Table10[[#This Row],[SKU]],'All Skus'!$A:$AC,20,FALSE)),""))</f>
        <v>0</v>
      </c>
      <c r="Q830" s="227">
        <f>(IF((VLOOKUP(Table10[[#This Row],[SKU]],'All Skus'!$A:$AC,2,FALSE))="Martin",(VLOOKUP(Table10[[#This Row],[SKU]],'All Skus'!$A:$AC,21,FALSE)),""))</f>
        <v>0</v>
      </c>
      <c r="R830" s="224" t="str">
        <f>(IF((VLOOKUP(Table10[[#This Row],[SKU]],'All Skus'!$A:$AC,2,FALSE))="Martin",(VLOOKUP(Table10[[#This Row],[SKU]],'All Skus'!$A:$AC,22,FALSE)),""))</f>
        <v>CN</v>
      </c>
      <c r="S830" s="223" t="str">
        <f>(IF((VLOOKUP(Table10[[#This Row],[SKU]],'All Skus'!$A:$AC,2,FALSE))="Martin",(VLOOKUP(Table10[[#This Row],[SKU]],'All Skus'!$A:$AC,23,FALSE)),""))</f>
        <v>Non Compliant</v>
      </c>
      <c r="T830" s="212" t="str">
        <f>HYPERLINK((IF((VLOOKUP(Table10[[#This Row],[SKU]],'All Skus'!$A:$AC,2,FALSE))="Martin",(VLOOKUP(Table10[[#This Row],[SKU]],'All Skus'!$A:$AC,24,FALSE)),"")))</f>
        <v/>
      </c>
      <c r="U830" s="228">
        <v>828</v>
      </c>
    </row>
    <row r="831" spans="1:21" hidden="1">
      <c r="A831" s="90">
        <v>91611806</v>
      </c>
      <c r="B831" s="224" t="str">
        <f>(IF((VLOOKUP(Table10[[#This Row],[SKU]],'All Skus'!$A:$AC,2,FALSE))="Martin",(VLOOKUP(Table10[[#This Row],[SKU]],'All Skus'!$A:$AC,3,FALSE)),""))</f>
        <v>LED Video</v>
      </c>
      <c r="C831" s="223" t="str">
        <f>(IF((VLOOKUP(Table10[[#This Row],[SKU]],'All Skus'!$A:$AC,2,FALSE))="Martin",(VLOOKUP(Table10[[#This Row],[SKU]],'All Skus'!$A:$AC,4,FALSE)),""))</f>
        <v>VDO Dotron Dome Diffuser</v>
      </c>
      <c r="D831" s="224" t="str">
        <f>(IF((VLOOKUP(Table10[[#This Row],[SKU]],'All Skus'!$A:$AC,2,FALSE))="Martin",(VLOOKUP(Table10[[#This Row],[SKU]],'All Skus'!$A:$AC,5,FALSE)),""))</f>
        <v>MAR-VDO</v>
      </c>
      <c r="E831" s="223">
        <f>(IF((VLOOKUP(Table10[[#This Row],[SKU]],'All Skus'!$A:$AC,2,FALSE))="Martin",(VLOOKUP(Table10[[#This Row],[SKU]],'All Skus'!$A:$AC,6,FALSE)),""))</f>
        <v>0</v>
      </c>
      <c r="F831" s="155">
        <f>(IF((VLOOKUP(Table10[[#This Row],[SKU]],'All Skus'!$A:$AC,2,FALSE))="Martin",(VLOOKUP(Table10[[#This Row],[SKU]],'All Skus'!$A:$AC,7,FALSE)),""))</f>
        <v>0</v>
      </c>
      <c r="G831" s="223" t="str">
        <f>(IF((VLOOKUP(Table10[[#This Row],[SKU]],'All Skus'!$A:$AC,2,FALSE))="Martin",(VLOOKUP(Table10[[#This Row],[SKU]],'All Skus'!$A:$AC,8,FALSE)),""))</f>
        <v>VDO Dotron Dome Diffuser</v>
      </c>
      <c r="H831" s="223" t="str">
        <f>(IF((VLOOKUP(Table10[[#This Row],[SKU]],'All Skus'!$A:$AC,2,FALSE))="Martin",(VLOOKUP(Table10[[#This Row],[SKU]],'All Skus'!$A:$AC,9,FALSE)),""))</f>
        <v>VDO Dotron Dome Diffuser</v>
      </c>
      <c r="I831" s="225">
        <f>(IF((VLOOKUP(Table10[[#This Row],[SKU]],'All Skus'!$A:$AC,2,FALSE))="Martin",(VLOOKUP(Table10[[#This Row],[SKU]],'All Skus'!$A:$AC,10,FALSE)),""))</f>
        <v>4.9400000000000004</v>
      </c>
      <c r="J831" s="226">
        <f>(IF((VLOOKUP(Table10[[#This Row],[SKU]],'All Skus'!$A:$AC,2,FALSE))="Martin",(VLOOKUP(Table10[[#This Row],[SKU]],'All Skus'!$A:$AC,11,FALSE)),""))</f>
        <v>4.9400000000000004</v>
      </c>
      <c r="K831" s="224">
        <f>(IF((VLOOKUP(Table10[[#This Row],[SKU]],'All Skus'!$A:$AC,2,FALSE))="Martin",(VLOOKUP(Table10[[#This Row],[SKU]],'All Skus'!$A:$AC,15,FALSE)),""))</f>
        <v>0</v>
      </c>
      <c r="L831" s="224">
        <f>(IF((VLOOKUP(Table10[[#This Row],[SKU]],'All Skus'!$A:$AC,2,FALSE))="Martin",(VLOOKUP(Table10[[#This Row],[SKU]],'All Skus'!$A:$AC,16,FALSE)),""))</f>
        <v>0</v>
      </c>
      <c r="M831" s="224">
        <f>(IF((VLOOKUP(Table10[[#This Row],[SKU]],'All Skus'!$A:$AC,2,FALSE))="Martin",(VLOOKUP(Table10[[#This Row],[SKU]],'All Skus'!$A:$AC,17,FALSE)),""))</f>
        <v>0</v>
      </c>
      <c r="N831" s="227">
        <f>(IF((VLOOKUP(Table10[[#This Row],[SKU]],'All Skus'!$A:$AC,2,FALSE))="Martin",(VLOOKUP(Table10[[#This Row],[SKU]],'All Skus'!$A:$AC,18,FALSE)),""))</f>
        <v>0</v>
      </c>
      <c r="O831" s="227">
        <f>(IF((VLOOKUP(Table10[[#This Row],[SKU]],'All Skus'!$A:$AC,2,FALSE))="Martin",(VLOOKUP(Table10[[#This Row],[SKU]],'All Skus'!$A:$AC,19,FALSE)),""))</f>
        <v>0</v>
      </c>
      <c r="P831" s="227">
        <f>(IF((VLOOKUP(Table10[[#This Row],[SKU]],'All Skus'!$A:$AC,2,FALSE))="Martin",(VLOOKUP(Table10[[#This Row],[SKU]],'All Skus'!$A:$AC,20,FALSE)),""))</f>
        <v>0</v>
      </c>
      <c r="Q831" s="227">
        <f>(IF((VLOOKUP(Table10[[#This Row],[SKU]],'All Skus'!$A:$AC,2,FALSE))="Martin",(VLOOKUP(Table10[[#This Row],[SKU]],'All Skus'!$A:$AC,21,FALSE)),""))</f>
        <v>0</v>
      </c>
      <c r="R831" s="224" t="str">
        <f>(IF((VLOOKUP(Table10[[#This Row],[SKU]],'All Skus'!$A:$AC,2,FALSE))="Martin",(VLOOKUP(Table10[[#This Row],[SKU]],'All Skus'!$A:$AC,22,FALSE)),""))</f>
        <v>CN</v>
      </c>
      <c r="S831" s="223" t="str">
        <f>(IF((VLOOKUP(Table10[[#This Row],[SKU]],'All Skus'!$A:$AC,2,FALSE))="Martin",(VLOOKUP(Table10[[#This Row],[SKU]],'All Skus'!$A:$AC,23,FALSE)),""))</f>
        <v>Non Compliant</v>
      </c>
      <c r="T831" s="212" t="str">
        <f>HYPERLINK((IF((VLOOKUP(Table10[[#This Row],[SKU]],'All Skus'!$A:$AC,2,FALSE))="Martin",(VLOOKUP(Table10[[#This Row],[SKU]],'All Skus'!$A:$AC,24,FALSE)),"")))</f>
        <v/>
      </c>
      <c r="U831" s="228">
        <v>829</v>
      </c>
    </row>
    <row r="832" spans="1:21" hidden="1">
      <c r="A832" s="90">
        <v>91611805</v>
      </c>
      <c r="B832" s="224" t="str">
        <f>(IF((VLOOKUP(Table10[[#This Row],[SKU]],'All Skus'!$A:$AC,2,FALSE))="Martin",(VLOOKUP(Table10[[#This Row],[SKU]],'All Skus'!$A:$AC,3,FALSE)),""))</f>
        <v>LED Video</v>
      </c>
      <c r="C832" s="223" t="str">
        <f>(IF((VLOOKUP(Table10[[#This Row],[SKU]],'All Skus'!$A:$AC,2,FALSE))="Martin",(VLOOKUP(Table10[[#This Row],[SKU]],'All Skus'!$A:$AC,4,FALSE)),""))</f>
        <v>VDO Dotron Flat Smoked Diffuser</v>
      </c>
      <c r="D832" s="224" t="str">
        <f>(IF((VLOOKUP(Table10[[#This Row],[SKU]],'All Skus'!$A:$AC,2,FALSE))="Martin",(VLOOKUP(Table10[[#This Row],[SKU]],'All Skus'!$A:$AC,5,FALSE)),""))</f>
        <v>MAR-VDO</v>
      </c>
      <c r="E832" s="223">
        <f>(IF((VLOOKUP(Table10[[#This Row],[SKU]],'All Skus'!$A:$AC,2,FALSE))="Martin",(VLOOKUP(Table10[[#This Row],[SKU]],'All Skus'!$A:$AC,6,FALSE)),""))</f>
        <v>0</v>
      </c>
      <c r="F832" s="155">
        <f>(IF((VLOOKUP(Table10[[#This Row],[SKU]],'All Skus'!$A:$AC,2,FALSE))="Martin",(VLOOKUP(Table10[[#This Row],[SKU]],'All Skus'!$A:$AC,7,FALSE)),""))</f>
        <v>0</v>
      </c>
      <c r="G832" s="223" t="str">
        <f>(IF((VLOOKUP(Table10[[#This Row],[SKU]],'All Skus'!$A:$AC,2,FALSE))="Martin",(VLOOKUP(Table10[[#This Row],[SKU]],'All Skus'!$A:$AC,8,FALSE)),""))</f>
        <v>VDO Dotron Flat Smoked Diffuser</v>
      </c>
      <c r="H832" s="223" t="str">
        <f>(IF((VLOOKUP(Table10[[#This Row],[SKU]],'All Skus'!$A:$AC,2,FALSE))="Martin",(VLOOKUP(Table10[[#This Row],[SKU]],'All Skus'!$A:$AC,9,FALSE)),""))</f>
        <v>VDO Dotron Flat Smoked Diffuser</v>
      </c>
      <c r="I832" s="225">
        <f>(IF((VLOOKUP(Table10[[#This Row],[SKU]],'All Skus'!$A:$AC,2,FALSE))="Martin",(VLOOKUP(Table10[[#This Row],[SKU]],'All Skus'!$A:$AC,10,FALSE)),""))</f>
        <v>4.9400000000000004</v>
      </c>
      <c r="J832" s="226">
        <f>(IF((VLOOKUP(Table10[[#This Row],[SKU]],'All Skus'!$A:$AC,2,FALSE))="Martin",(VLOOKUP(Table10[[#This Row],[SKU]],'All Skus'!$A:$AC,11,FALSE)),""))</f>
        <v>4.9400000000000004</v>
      </c>
      <c r="K832" s="224">
        <f>(IF((VLOOKUP(Table10[[#This Row],[SKU]],'All Skus'!$A:$AC,2,FALSE))="Martin",(VLOOKUP(Table10[[#This Row],[SKU]],'All Skus'!$A:$AC,15,FALSE)),""))</f>
        <v>0</v>
      </c>
      <c r="L832" s="224">
        <f>(IF((VLOOKUP(Table10[[#This Row],[SKU]],'All Skus'!$A:$AC,2,FALSE))="Martin",(VLOOKUP(Table10[[#This Row],[SKU]],'All Skus'!$A:$AC,16,FALSE)),""))</f>
        <v>0</v>
      </c>
      <c r="M832" s="224">
        <f>(IF((VLOOKUP(Table10[[#This Row],[SKU]],'All Skus'!$A:$AC,2,FALSE))="Martin",(VLOOKUP(Table10[[#This Row],[SKU]],'All Skus'!$A:$AC,17,FALSE)),""))</f>
        <v>0</v>
      </c>
      <c r="N832" s="227">
        <f>(IF((VLOOKUP(Table10[[#This Row],[SKU]],'All Skus'!$A:$AC,2,FALSE))="Martin",(VLOOKUP(Table10[[#This Row],[SKU]],'All Skus'!$A:$AC,18,FALSE)),""))</f>
        <v>0</v>
      </c>
      <c r="O832" s="227">
        <f>(IF((VLOOKUP(Table10[[#This Row],[SKU]],'All Skus'!$A:$AC,2,FALSE))="Martin",(VLOOKUP(Table10[[#This Row],[SKU]],'All Skus'!$A:$AC,19,FALSE)),""))</f>
        <v>0</v>
      </c>
      <c r="P832" s="227">
        <f>(IF((VLOOKUP(Table10[[#This Row],[SKU]],'All Skus'!$A:$AC,2,FALSE))="Martin",(VLOOKUP(Table10[[#This Row],[SKU]],'All Skus'!$A:$AC,20,FALSE)),""))</f>
        <v>0</v>
      </c>
      <c r="Q832" s="227">
        <f>(IF((VLOOKUP(Table10[[#This Row],[SKU]],'All Skus'!$A:$AC,2,FALSE))="Martin",(VLOOKUP(Table10[[#This Row],[SKU]],'All Skus'!$A:$AC,21,FALSE)),""))</f>
        <v>0</v>
      </c>
      <c r="R832" s="224" t="str">
        <f>(IF((VLOOKUP(Table10[[#This Row],[SKU]],'All Skus'!$A:$AC,2,FALSE))="Martin",(VLOOKUP(Table10[[#This Row],[SKU]],'All Skus'!$A:$AC,22,FALSE)),""))</f>
        <v>CN</v>
      </c>
      <c r="S832" s="223" t="str">
        <f>(IF((VLOOKUP(Table10[[#This Row],[SKU]],'All Skus'!$A:$AC,2,FALSE))="Martin",(VLOOKUP(Table10[[#This Row],[SKU]],'All Skus'!$A:$AC,23,FALSE)),""))</f>
        <v>Non Compliant</v>
      </c>
      <c r="T832" s="212" t="str">
        <f>HYPERLINK((IF((VLOOKUP(Table10[[#This Row],[SKU]],'All Skus'!$A:$AC,2,FALSE))="Martin",(VLOOKUP(Table10[[#This Row],[SKU]],'All Skus'!$A:$AC,24,FALSE)),"")))</f>
        <v/>
      </c>
      <c r="U832" s="228">
        <v>830</v>
      </c>
    </row>
    <row r="833" spans="1:21" hidden="1">
      <c r="A833" s="90">
        <v>91611804</v>
      </c>
      <c r="B833" s="224" t="str">
        <f>(IF((VLOOKUP(Table10[[#This Row],[SKU]],'All Skus'!$A:$AC,2,FALSE))="Martin",(VLOOKUP(Table10[[#This Row],[SKU]],'All Skus'!$A:$AC,3,FALSE)),""))</f>
        <v>LED Video</v>
      </c>
      <c r="C833" s="223" t="str">
        <f>(IF((VLOOKUP(Table10[[#This Row],[SKU]],'All Skus'!$A:$AC,2,FALSE))="Martin",(VLOOKUP(Table10[[#This Row],[SKU]],'All Skus'!$A:$AC,4,FALSE)),""))</f>
        <v>VDO Dotron Flat Diffuser</v>
      </c>
      <c r="D833" s="224" t="str">
        <f>(IF((VLOOKUP(Table10[[#This Row],[SKU]],'All Skus'!$A:$AC,2,FALSE))="Martin",(VLOOKUP(Table10[[#This Row],[SKU]],'All Skus'!$A:$AC,5,FALSE)),""))</f>
        <v>MAR-VDO</v>
      </c>
      <c r="E833" s="223">
        <f>(IF((VLOOKUP(Table10[[#This Row],[SKU]],'All Skus'!$A:$AC,2,FALSE))="Martin",(VLOOKUP(Table10[[#This Row],[SKU]],'All Skus'!$A:$AC,6,FALSE)),""))</f>
        <v>0</v>
      </c>
      <c r="F833" s="155">
        <f>(IF((VLOOKUP(Table10[[#This Row],[SKU]],'All Skus'!$A:$AC,2,FALSE))="Martin",(VLOOKUP(Table10[[#This Row],[SKU]],'All Skus'!$A:$AC,7,FALSE)),""))</f>
        <v>0</v>
      </c>
      <c r="G833" s="223" t="str">
        <f>(IF((VLOOKUP(Table10[[#This Row],[SKU]],'All Skus'!$A:$AC,2,FALSE))="Martin",(VLOOKUP(Table10[[#This Row],[SKU]],'All Skus'!$A:$AC,8,FALSE)),""))</f>
        <v>VDO Dotron Flat Diffuser</v>
      </c>
      <c r="H833" s="223" t="str">
        <f>(IF((VLOOKUP(Table10[[#This Row],[SKU]],'All Skus'!$A:$AC,2,FALSE))="Martin",(VLOOKUP(Table10[[#This Row],[SKU]],'All Skus'!$A:$AC,9,FALSE)),""))</f>
        <v>VDO Dotron Flat Diffuser</v>
      </c>
      <c r="I833" s="225">
        <f>(IF((VLOOKUP(Table10[[#This Row],[SKU]],'All Skus'!$A:$AC,2,FALSE))="Martin",(VLOOKUP(Table10[[#This Row],[SKU]],'All Skus'!$A:$AC,10,FALSE)),""))</f>
        <v>4.9400000000000004</v>
      </c>
      <c r="J833" s="226">
        <f>(IF((VLOOKUP(Table10[[#This Row],[SKU]],'All Skus'!$A:$AC,2,FALSE))="Martin",(VLOOKUP(Table10[[#This Row],[SKU]],'All Skus'!$A:$AC,11,FALSE)),""))</f>
        <v>4.9400000000000004</v>
      </c>
      <c r="K833" s="224">
        <f>(IF((VLOOKUP(Table10[[#This Row],[SKU]],'All Skus'!$A:$AC,2,FALSE))="Martin",(VLOOKUP(Table10[[#This Row],[SKU]],'All Skus'!$A:$AC,15,FALSE)),""))</f>
        <v>0</v>
      </c>
      <c r="L833" s="224">
        <f>(IF((VLOOKUP(Table10[[#This Row],[SKU]],'All Skus'!$A:$AC,2,FALSE))="Martin",(VLOOKUP(Table10[[#This Row],[SKU]],'All Skus'!$A:$AC,16,FALSE)),""))</f>
        <v>0</v>
      </c>
      <c r="M833" s="224">
        <f>(IF((VLOOKUP(Table10[[#This Row],[SKU]],'All Skus'!$A:$AC,2,FALSE))="Martin",(VLOOKUP(Table10[[#This Row],[SKU]],'All Skus'!$A:$AC,17,FALSE)),""))</f>
        <v>0</v>
      </c>
      <c r="N833" s="227">
        <f>(IF((VLOOKUP(Table10[[#This Row],[SKU]],'All Skus'!$A:$AC,2,FALSE))="Martin",(VLOOKUP(Table10[[#This Row],[SKU]],'All Skus'!$A:$AC,18,FALSE)),""))</f>
        <v>0</v>
      </c>
      <c r="O833" s="227">
        <f>(IF((VLOOKUP(Table10[[#This Row],[SKU]],'All Skus'!$A:$AC,2,FALSE))="Martin",(VLOOKUP(Table10[[#This Row],[SKU]],'All Skus'!$A:$AC,19,FALSE)),""))</f>
        <v>0</v>
      </c>
      <c r="P833" s="227">
        <f>(IF((VLOOKUP(Table10[[#This Row],[SKU]],'All Skus'!$A:$AC,2,FALSE))="Martin",(VLOOKUP(Table10[[#This Row],[SKU]],'All Skus'!$A:$AC,20,FALSE)),""))</f>
        <v>0</v>
      </c>
      <c r="Q833" s="227">
        <f>(IF((VLOOKUP(Table10[[#This Row],[SKU]],'All Skus'!$A:$AC,2,FALSE))="Martin",(VLOOKUP(Table10[[#This Row],[SKU]],'All Skus'!$A:$AC,21,FALSE)),""))</f>
        <v>0</v>
      </c>
      <c r="R833" s="224" t="str">
        <f>(IF((VLOOKUP(Table10[[#This Row],[SKU]],'All Skus'!$A:$AC,2,FALSE))="Martin",(VLOOKUP(Table10[[#This Row],[SKU]],'All Skus'!$A:$AC,22,FALSE)),""))</f>
        <v>CN</v>
      </c>
      <c r="S833" s="223" t="str">
        <f>(IF((VLOOKUP(Table10[[#This Row],[SKU]],'All Skus'!$A:$AC,2,FALSE))="Martin",(VLOOKUP(Table10[[#This Row],[SKU]],'All Skus'!$A:$AC,23,FALSE)),""))</f>
        <v>Non Compliant</v>
      </c>
      <c r="T833" s="212" t="str">
        <f>HYPERLINK((IF((VLOOKUP(Table10[[#This Row],[SKU]],'All Skus'!$A:$AC,2,FALSE))="Martin",(VLOOKUP(Table10[[#This Row],[SKU]],'All Skus'!$A:$AC,24,FALSE)),"")))</f>
        <v/>
      </c>
      <c r="U833" s="228">
        <v>831</v>
      </c>
    </row>
    <row r="834" spans="1:21" hidden="1">
      <c r="A834" s="115" t="s">
        <v>2368</v>
      </c>
      <c r="B834" s="224">
        <f>(IF((VLOOKUP(Table10[[#This Row],[SKU]],'All Skus'!$A:$AC,2,FALSE))="Martin",(VLOOKUP(Table10[[#This Row],[SKU]],'All Skus'!$A:$AC,3,FALSE)),""))</f>
        <v>0</v>
      </c>
      <c r="C834" s="223">
        <f>(IF((VLOOKUP(Table10[[#This Row],[SKU]],'All Skus'!$A:$AC,2,FALSE))="Martin",(VLOOKUP(Table10[[#This Row],[SKU]],'All Skus'!$A:$AC,4,FALSE)),""))</f>
        <v>0</v>
      </c>
      <c r="D834" s="224">
        <f>(IF((VLOOKUP(Table10[[#This Row],[SKU]],'All Skus'!$A:$AC,2,FALSE))="Martin",(VLOOKUP(Table10[[#This Row],[SKU]],'All Skus'!$A:$AC,5,FALSE)),""))</f>
        <v>0</v>
      </c>
      <c r="E834" s="223">
        <f>(IF((VLOOKUP(Table10[[#This Row],[SKU]],'All Skus'!$A:$AC,2,FALSE))="Martin",(VLOOKUP(Table10[[#This Row],[SKU]],'All Skus'!$A:$AC,6,FALSE)),""))</f>
        <v>0</v>
      </c>
      <c r="F834" s="155">
        <f>(IF((VLOOKUP(Table10[[#This Row],[SKU]],'All Skus'!$A:$AC,2,FALSE))="Martin",(VLOOKUP(Table10[[#This Row],[SKU]],'All Skus'!$A:$AC,7,FALSE)),""))</f>
        <v>0</v>
      </c>
      <c r="G834" s="223">
        <f>(IF((VLOOKUP(Table10[[#This Row],[SKU]],'All Skus'!$A:$AC,2,FALSE))="Martin",(VLOOKUP(Table10[[#This Row],[SKU]],'All Skus'!$A:$AC,8,FALSE)),""))</f>
        <v>0</v>
      </c>
      <c r="H834" s="223">
        <f>(IF((VLOOKUP(Table10[[#This Row],[SKU]],'All Skus'!$A:$AC,2,FALSE))="Martin",(VLOOKUP(Table10[[#This Row],[SKU]],'All Skus'!$A:$AC,9,FALSE)),""))</f>
        <v>0</v>
      </c>
      <c r="I834" s="225">
        <f>(IF((VLOOKUP(Table10[[#This Row],[SKU]],'All Skus'!$A:$AC,2,FALSE))="Martin",(VLOOKUP(Table10[[#This Row],[SKU]],'All Skus'!$A:$AC,10,FALSE)),""))</f>
        <v>0</v>
      </c>
      <c r="J834" s="226">
        <f>(IF((VLOOKUP(Table10[[#This Row],[SKU]],'All Skus'!$A:$AC,2,FALSE))="Martin",(VLOOKUP(Table10[[#This Row],[SKU]],'All Skus'!$A:$AC,11,FALSE)),""))</f>
        <v>0</v>
      </c>
      <c r="K834" s="224">
        <f>(IF((VLOOKUP(Table10[[#This Row],[SKU]],'All Skus'!$A:$AC,2,FALSE))="Martin",(VLOOKUP(Table10[[#This Row],[SKU]],'All Skus'!$A:$AC,15,FALSE)),""))</f>
        <v>0</v>
      </c>
      <c r="L834" s="224">
        <f>(IF((VLOOKUP(Table10[[#This Row],[SKU]],'All Skus'!$A:$AC,2,FALSE))="Martin",(VLOOKUP(Table10[[#This Row],[SKU]],'All Skus'!$A:$AC,16,FALSE)),""))</f>
        <v>0</v>
      </c>
      <c r="M834" s="224">
        <f>(IF((VLOOKUP(Table10[[#This Row],[SKU]],'All Skus'!$A:$AC,2,FALSE))="Martin",(VLOOKUP(Table10[[#This Row],[SKU]],'All Skus'!$A:$AC,17,FALSE)),""))</f>
        <v>0</v>
      </c>
      <c r="N834" s="227">
        <f>(IF((VLOOKUP(Table10[[#This Row],[SKU]],'All Skus'!$A:$AC,2,FALSE))="Martin",(VLOOKUP(Table10[[#This Row],[SKU]],'All Skus'!$A:$AC,18,FALSE)),""))</f>
        <v>0</v>
      </c>
      <c r="O834" s="227">
        <f>(IF((VLOOKUP(Table10[[#This Row],[SKU]],'All Skus'!$A:$AC,2,FALSE))="Martin",(VLOOKUP(Table10[[#This Row],[SKU]],'All Skus'!$A:$AC,19,FALSE)),""))</f>
        <v>0</v>
      </c>
      <c r="P834" s="227">
        <f>(IF((VLOOKUP(Table10[[#This Row],[SKU]],'All Skus'!$A:$AC,2,FALSE))="Martin",(VLOOKUP(Table10[[#This Row],[SKU]],'All Skus'!$A:$AC,20,FALSE)),""))</f>
        <v>0</v>
      </c>
      <c r="Q834" s="227">
        <f>(IF((VLOOKUP(Table10[[#This Row],[SKU]],'All Skus'!$A:$AC,2,FALSE))="Martin",(VLOOKUP(Table10[[#This Row],[SKU]],'All Skus'!$A:$AC,21,FALSE)),""))</f>
        <v>0</v>
      </c>
      <c r="R834" s="224">
        <f>(IF((VLOOKUP(Table10[[#This Row],[SKU]],'All Skus'!$A:$AC,2,FALSE))="Martin",(VLOOKUP(Table10[[#This Row],[SKU]],'All Skus'!$A:$AC,22,FALSE)),""))</f>
        <v>0</v>
      </c>
      <c r="S834" s="223">
        <f>(IF((VLOOKUP(Table10[[#This Row],[SKU]],'All Skus'!$A:$AC,2,FALSE))="Martin",(VLOOKUP(Table10[[#This Row],[SKU]],'All Skus'!$A:$AC,23,FALSE)),""))</f>
        <v>0</v>
      </c>
      <c r="T834" s="212" t="str">
        <f>HYPERLINK((IF((VLOOKUP(Table10[[#This Row],[SKU]],'All Skus'!$A:$AC,2,FALSE))="Martin",(VLOOKUP(Table10[[#This Row],[SKU]],'All Skus'!$A:$AC,24,FALSE)),"")))</f>
        <v/>
      </c>
      <c r="U834" s="228">
        <v>832</v>
      </c>
    </row>
    <row r="835" spans="1:21" hidden="1">
      <c r="A835" s="90">
        <v>91515043</v>
      </c>
      <c r="B835" s="224">
        <f>(IF((VLOOKUP(Table10[[#This Row],[SKU]],'All Skus'!$A:$AC,2,FALSE))="Martin",(VLOOKUP(Table10[[#This Row],[SKU]],'All Skus'!$A:$AC,3,FALSE)),""))</f>
        <v>0</v>
      </c>
      <c r="C835" s="223" t="str">
        <f>(IF((VLOOKUP(Table10[[#This Row],[SKU]],'All Skus'!$A:$AC,2,FALSE))="Martin",(VLOOKUP(Table10[[#This Row],[SKU]],'All Skus'!$A:$AC,4,FALSE)),""))</f>
        <v>Flightcase for 24x VDO Dotron</v>
      </c>
      <c r="D835" s="224" t="str">
        <f>(IF((VLOOKUP(Table10[[#This Row],[SKU]],'All Skus'!$A:$AC,2,FALSE))="Martin",(VLOOKUP(Table10[[#This Row],[SKU]],'All Skus'!$A:$AC,5,FALSE)),""))</f>
        <v>MAR-VDO</v>
      </c>
      <c r="E835" s="223">
        <f>(IF((VLOOKUP(Table10[[#This Row],[SKU]],'All Skus'!$A:$AC,2,FALSE))="Martin",(VLOOKUP(Table10[[#This Row],[SKU]],'All Skus'!$A:$AC,6,FALSE)),""))</f>
        <v>0</v>
      </c>
      <c r="F835" s="155">
        <f>(IF((VLOOKUP(Table10[[#This Row],[SKU]],'All Skus'!$A:$AC,2,FALSE))="Martin",(VLOOKUP(Table10[[#This Row],[SKU]],'All Skus'!$A:$AC,7,FALSE)),""))</f>
        <v>0</v>
      </c>
      <c r="G835" s="223" t="str">
        <f>(IF((VLOOKUP(Table10[[#This Row],[SKU]],'All Skus'!$A:$AC,2,FALSE))="Martin",(VLOOKUP(Table10[[#This Row],[SKU]],'All Skus'!$A:$AC,8,FALSE)),""))</f>
        <v>Flightcase for 24x VDO Dotron</v>
      </c>
      <c r="H835" s="223" t="str">
        <f>(IF((VLOOKUP(Table10[[#This Row],[SKU]],'All Skus'!$A:$AC,2,FALSE))="Martin",(VLOOKUP(Table10[[#This Row],[SKU]],'All Skus'!$A:$AC,9,FALSE)),""))</f>
        <v>Flightcase for 24x VDO Dotron</v>
      </c>
      <c r="I835" s="225">
        <f>(IF((VLOOKUP(Table10[[#This Row],[SKU]],'All Skus'!$A:$AC,2,FALSE))="Martin",(VLOOKUP(Table10[[#This Row],[SKU]],'All Skus'!$A:$AC,10,FALSE)),""))</f>
        <v>1454.55</v>
      </c>
      <c r="J835" s="226">
        <f>(IF((VLOOKUP(Table10[[#This Row],[SKU]],'All Skus'!$A:$AC,2,FALSE))="Martin",(VLOOKUP(Table10[[#This Row],[SKU]],'All Skus'!$A:$AC,11,FALSE)),""))</f>
        <v>1454.55</v>
      </c>
      <c r="K835" s="224">
        <f>(IF((VLOOKUP(Table10[[#This Row],[SKU]],'All Skus'!$A:$AC,2,FALSE))="Martin",(VLOOKUP(Table10[[#This Row],[SKU]],'All Skus'!$A:$AC,15,FALSE)),""))</f>
        <v>0</v>
      </c>
      <c r="L835" s="224">
        <f>(IF((VLOOKUP(Table10[[#This Row],[SKU]],'All Skus'!$A:$AC,2,FALSE))="Martin",(VLOOKUP(Table10[[#This Row],[SKU]],'All Skus'!$A:$AC,16,FALSE)),""))</f>
        <v>688705000794</v>
      </c>
      <c r="M835" s="224">
        <f>(IF((VLOOKUP(Table10[[#This Row],[SKU]],'All Skus'!$A:$AC,2,FALSE))="Martin",(VLOOKUP(Table10[[#This Row],[SKU]],'All Skus'!$A:$AC,17,FALSE)),""))</f>
        <v>0</v>
      </c>
      <c r="N835" s="227">
        <f>(IF((VLOOKUP(Table10[[#This Row],[SKU]],'All Skus'!$A:$AC,2,FALSE))="Martin",(VLOOKUP(Table10[[#This Row],[SKU]],'All Skus'!$A:$AC,18,FALSE)),""))</f>
        <v>0</v>
      </c>
      <c r="O835" s="227">
        <f>(IF((VLOOKUP(Table10[[#This Row],[SKU]],'All Skus'!$A:$AC,2,FALSE))="Martin",(VLOOKUP(Table10[[#This Row],[SKU]],'All Skus'!$A:$AC,19,FALSE)),""))</f>
        <v>0</v>
      </c>
      <c r="P835" s="227">
        <f>(IF((VLOOKUP(Table10[[#This Row],[SKU]],'All Skus'!$A:$AC,2,FALSE))="Martin",(VLOOKUP(Table10[[#This Row],[SKU]],'All Skus'!$A:$AC,20,FALSE)),""))</f>
        <v>0</v>
      </c>
      <c r="Q835" s="227">
        <f>(IF((VLOOKUP(Table10[[#This Row],[SKU]],'All Skus'!$A:$AC,2,FALSE))="Martin",(VLOOKUP(Table10[[#This Row],[SKU]],'All Skus'!$A:$AC,21,FALSE)),""))</f>
        <v>0</v>
      </c>
      <c r="R835" s="224">
        <f>(IF((VLOOKUP(Table10[[#This Row],[SKU]],'All Skus'!$A:$AC,2,FALSE))="Martin",(VLOOKUP(Table10[[#This Row],[SKU]],'All Skus'!$A:$AC,22,FALSE)),""))</f>
        <v>0</v>
      </c>
      <c r="S835" s="223">
        <f>(IF((VLOOKUP(Table10[[#This Row],[SKU]],'All Skus'!$A:$AC,2,FALSE))="Martin",(VLOOKUP(Table10[[#This Row],[SKU]],'All Skus'!$A:$AC,23,FALSE)),""))</f>
        <v>0</v>
      </c>
      <c r="T835" s="212" t="str">
        <f>HYPERLINK((IF((VLOOKUP(Table10[[#This Row],[SKU]],'All Skus'!$A:$AC,2,FALSE))="Martin",(VLOOKUP(Table10[[#This Row],[SKU]],'All Skus'!$A:$AC,24,FALSE)),"")))</f>
        <v/>
      </c>
      <c r="U835" s="228">
        <v>833</v>
      </c>
    </row>
    <row r="836" spans="1:21" hidden="1">
      <c r="A836" s="90">
        <v>91515044</v>
      </c>
      <c r="B836" s="224" t="str">
        <f>(IF((VLOOKUP(Table10[[#This Row],[SKU]],'All Skus'!$A:$AC,2,FALSE))="Martin",(VLOOKUP(Table10[[#This Row],[SKU]],'All Skus'!$A:$AC,3,FALSE)),""))</f>
        <v>LED Video</v>
      </c>
      <c r="C836" s="223" t="str">
        <f>(IF((VLOOKUP(Table10[[#This Row],[SKU]],'All Skus'!$A:$AC,2,FALSE))="Martin",(VLOOKUP(Table10[[#This Row],[SKU]],'All Skus'!$A:$AC,4,FALSE)),""))</f>
        <v>Flightcase Extender for 24x Dotron</v>
      </c>
      <c r="D836" s="224" t="str">
        <f>(IF((VLOOKUP(Table10[[#This Row],[SKU]],'All Skus'!$A:$AC,2,FALSE))="Martin",(VLOOKUP(Table10[[#This Row],[SKU]],'All Skus'!$A:$AC,5,FALSE)),""))</f>
        <v>MAR-VDO</v>
      </c>
      <c r="E836" s="223">
        <f>(IF((VLOOKUP(Table10[[#This Row],[SKU]],'All Skus'!$A:$AC,2,FALSE))="Martin",(VLOOKUP(Table10[[#This Row],[SKU]],'All Skus'!$A:$AC,6,FALSE)),""))</f>
        <v>0</v>
      </c>
      <c r="F836" s="155">
        <f>(IF((VLOOKUP(Table10[[#This Row],[SKU]],'All Skus'!$A:$AC,2,FALSE))="Martin",(VLOOKUP(Table10[[#This Row],[SKU]],'All Skus'!$A:$AC,7,FALSE)),""))</f>
        <v>0</v>
      </c>
      <c r="G836" s="223" t="str">
        <f>(IF((VLOOKUP(Table10[[#This Row],[SKU]],'All Skus'!$A:$AC,2,FALSE))="Martin",(VLOOKUP(Table10[[#This Row],[SKU]],'All Skus'!$A:$AC,8,FALSE)),""))</f>
        <v>Flightcase Extender for 24x Dotron</v>
      </c>
      <c r="H836" s="223" t="str">
        <f>(IF((VLOOKUP(Table10[[#This Row],[SKU]],'All Skus'!$A:$AC,2,FALSE))="Martin",(VLOOKUP(Table10[[#This Row],[SKU]],'All Skus'!$A:$AC,9,FALSE)),""))</f>
        <v>Flightcase Extender for 24x Dotron</v>
      </c>
      <c r="I836" s="225">
        <f>(IF((VLOOKUP(Table10[[#This Row],[SKU]],'All Skus'!$A:$AC,2,FALSE))="Martin",(VLOOKUP(Table10[[#This Row],[SKU]],'All Skus'!$A:$AC,10,FALSE)),""))</f>
        <v>1045.8499999999999</v>
      </c>
      <c r="J836" s="226">
        <f>(IF((VLOOKUP(Table10[[#This Row],[SKU]],'All Skus'!$A:$AC,2,FALSE))="Martin",(VLOOKUP(Table10[[#This Row],[SKU]],'All Skus'!$A:$AC,11,FALSE)),""))</f>
        <v>1045.8499999999999</v>
      </c>
      <c r="K836" s="224">
        <f>(IF((VLOOKUP(Table10[[#This Row],[SKU]],'All Skus'!$A:$AC,2,FALSE))="Martin",(VLOOKUP(Table10[[#This Row],[SKU]],'All Skus'!$A:$AC,15,FALSE)),""))</f>
        <v>0</v>
      </c>
      <c r="L836" s="224">
        <f>(IF((VLOOKUP(Table10[[#This Row],[SKU]],'All Skus'!$A:$AC,2,FALSE))="Martin",(VLOOKUP(Table10[[#This Row],[SKU]],'All Skus'!$A:$AC,16,FALSE)),""))</f>
        <v>0</v>
      </c>
      <c r="M836" s="224">
        <f>(IF((VLOOKUP(Table10[[#This Row],[SKU]],'All Skus'!$A:$AC,2,FALSE))="Martin",(VLOOKUP(Table10[[#This Row],[SKU]],'All Skus'!$A:$AC,17,FALSE)),""))</f>
        <v>0</v>
      </c>
      <c r="N836" s="227">
        <f>(IF((VLOOKUP(Table10[[#This Row],[SKU]],'All Skus'!$A:$AC,2,FALSE))="Martin",(VLOOKUP(Table10[[#This Row],[SKU]],'All Skus'!$A:$AC,18,FALSE)),""))</f>
        <v>0</v>
      </c>
      <c r="O836" s="227">
        <f>(IF((VLOOKUP(Table10[[#This Row],[SKU]],'All Skus'!$A:$AC,2,FALSE))="Martin",(VLOOKUP(Table10[[#This Row],[SKU]],'All Skus'!$A:$AC,19,FALSE)),""))</f>
        <v>0</v>
      </c>
      <c r="P836" s="227">
        <f>(IF((VLOOKUP(Table10[[#This Row],[SKU]],'All Skus'!$A:$AC,2,FALSE))="Martin",(VLOOKUP(Table10[[#This Row],[SKU]],'All Skus'!$A:$AC,20,FALSE)),""))</f>
        <v>0</v>
      </c>
      <c r="Q836" s="227">
        <f>(IF((VLOOKUP(Table10[[#This Row],[SKU]],'All Skus'!$A:$AC,2,FALSE))="Martin",(VLOOKUP(Table10[[#This Row],[SKU]],'All Skus'!$A:$AC,21,FALSE)),""))</f>
        <v>0</v>
      </c>
      <c r="R836" s="224" t="str">
        <f>(IF((VLOOKUP(Table10[[#This Row],[SKU]],'All Skus'!$A:$AC,2,FALSE))="Martin",(VLOOKUP(Table10[[#This Row],[SKU]],'All Skus'!$A:$AC,22,FALSE)),""))</f>
        <v>DE</v>
      </c>
      <c r="S836" s="223">
        <f>(IF((VLOOKUP(Table10[[#This Row],[SKU]],'All Skus'!$A:$AC,2,FALSE))="Martin",(VLOOKUP(Table10[[#This Row],[SKU]],'All Skus'!$A:$AC,23,FALSE)),""))</f>
        <v>0</v>
      </c>
      <c r="T836" s="212" t="str">
        <f>HYPERLINK((IF((VLOOKUP(Table10[[#This Row],[SKU]],'All Skus'!$A:$AC,2,FALSE))="Martin",(VLOOKUP(Table10[[#This Row],[SKU]],'All Skus'!$A:$AC,24,FALSE)),"")))</f>
        <v/>
      </c>
      <c r="U836" s="228">
        <v>834</v>
      </c>
    </row>
    <row r="837" spans="1:21" hidden="1">
      <c r="A837" s="111" t="s">
        <v>2369</v>
      </c>
      <c r="B837" s="224">
        <f>(IF((VLOOKUP(Table10[[#This Row],[SKU]],'All Skus'!$A:$AC,2,FALSE))="Martin",(VLOOKUP(Table10[[#This Row],[SKU]],'All Skus'!$A:$AC,3,FALSE)),""))</f>
        <v>0</v>
      </c>
      <c r="C837" s="223">
        <f>(IF((VLOOKUP(Table10[[#This Row],[SKU]],'All Skus'!$A:$AC,2,FALSE))="Martin",(VLOOKUP(Table10[[#This Row],[SKU]],'All Skus'!$A:$AC,4,FALSE)),""))</f>
        <v>0</v>
      </c>
      <c r="D837" s="224">
        <f>(IF((VLOOKUP(Table10[[#This Row],[SKU]],'All Skus'!$A:$AC,2,FALSE))="Martin",(VLOOKUP(Table10[[#This Row],[SKU]],'All Skus'!$A:$AC,5,FALSE)),""))</f>
        <v>0</v>
      </c>
      <c r="E837" s="223">
        <f>(IF((VLOOKUP(Table10[[#This Row],[SKU]],'All Skus'!$A:$AC,2,FALSE))="Martin",(VLOOKUP(Table10[[#This Row],[SKU]],'All Skus'!$A:$AC,6,FALSE)),""))</f>
        <v>0</v>
      </c>
      <c r="F837" s="155">
        <f>(IF((VLOOKUP(Table10[[#This Row],[SKU]],'All Skus'!$A:$AC,2,FALSE))="Martin",(VLOOKUP(Table10[[#This Row],[SKU]],'All Skus'!$A:$AC,7,FALSE)),""))</f>
        <v>0</v>
      </c>
      <c r="G837" s="223">
        <f>(IF((VLOOKUP(Table10[[#This Row],[SKU]],'All Skus'!$A:$AC,2,FALSE))="Martin",(VLOOKUP(Table10[[#This Row],[SKU]],'All Skus'!$A:$AC,8,FALSE)),""))</f>
        <v>0</v>
      </c>
      <c r="H837" s="223">
        <f>(IF((VLOOKUP(Table10[[#This Row],[SKU]],'All Skus'!$A:$AC,2,FALSE))="Martin",(VLOOKUP(Table10[[#This Row],[SKU]],'All Skus'!$A:$AC,9,FALSE)),""))</f>
        <v>0</v>
      </c>
      <c r="I837" s="225">
        <f>(IF((VLOOKUP(Table10[[#This Row],[SKU]],'All Skus'!$A:$AC,2,FALSE))="Martin",(VLOOKUP(Table10[[#This Row],[SKU]],'All Skus'!$A:$AC,10,FALSE)),""))</f>
        <v>0</v>
      </c>
      <c r="J837" s="226">
        <f>(IF((VLOOKUP(Table10[[#This Row],[SKU]],'All Skus'!$A:$AC,2,FALSE))="Martin",(VLOOKUP(Table10[[#This Row],[SKU]],'All Skus'!$A:$AC,11,FALSE)),""))</f>
        <v>0</v>
      </c>
      <c r="K837" s="224">
        <f>(IF((VLOOKUP(Table10[[#This Row],[SKU]],'All Skus'!$A:$AC,2,FALSE))="Martin",(VLOOKUP(Table10[[#This Row],[SKU]],'All Skus'!$A:$AC,15,FALSE)),""))</f>
        <v>0</v>
      </c>
      <c r="L837" s="224">
        <f>(IF((VLOOKUP(Table10[[#This Row],[SKU]],'All Skus'!$A:$AC,2,FALSE))="Martin",(VLOOKUP(Table10[[#This Row],[SKU]],'All Skus'!$A:$AC,16,FALSE)),""))</f>
        <v>0</v>
      </c>
      <c r="M837" s="224">
        <f>(IF((VLOOKUP(Table10[[#This Row],[SKU]],'All Skus'!$A:$AC,2,FALSE))="Martin",(VLOOKUP(Table10[[#This Row],[SKU]],'All Skus'!$A:$AC,17,FALSE)),""))</f>
        <v>0</v>
      </c>
      <c r="N837" s="227">
        <f>(IF((VLOOKUP(Table10[[#This Row],[SKU]],'All Skus'!$A:$AC,2,FALSE))="Martin",(VLOOKUP(Table10[[#This Row],[SKU]],'All Skus'!$A:$AC,18,FALSE)),""))</f>
        <v>0</v>
      </c>
      <c r="O837" s="227">
        <f>(IF((VLOOKUP(Table10[[#This Row],[SKU]],'All Skus'!$A:$AC,2,FALSE))="Martin",(VLOOKUP(Table10[[#This Row],[SKU]],'All Skus'!$A:$AC,19,FALSE)),""))</f>
        <v>0</v>
      </c>
      <c r="P837" s="227">
        <f>(IF((VLOOKUP(Table10[[#This Row],[SKU]],'All Skus'!$A:$AC,2,FALSE))="Martin",(VLOOKUP(Table10[[#This Row],[SKU]],'All Skus'!$A:$AC,20,FALSE)),""))</f>
        <v>0</v>
      </c>
      <c r="Q837" s="227">
        <f>(IF((VLOOKUP(Table10[[#This Row],[SKU]],'All Skus'!$A:$AC,2,FALSE))="Martin",(VLOOKUP(Table10[[#This Row],[SKU]],'All Skus'!$A:$AC,21,FALSE)),""))</f>
        <v>0</v>
      </c>
      <c r="R837" s="224">
        <f>(IF((VLOOKUP(Table10[[#This Row],[SKU]],'All Skus'!$A:$AC,2,FALSE))="Martin",(VLOOKUP(Table10[[#This Row],[SKU]],'All Skus'!$A:$AC,22,FALSE)),""))</f>
        <v>0</v>
      </c>
      <c r="S837" s="223">
        <f>(IF((VLOOKUP(Table10[[#This Row],[SKU]],'All Skus'!$A:$AC,2,FALSE))="Martin",(VLOOKUP(Table10[[#This Row],[SKU]],'All Skus'!$A:$AC,23,FALSE)),""))</f>
        <v>0</v>
      </c>
      <c r="T837" s="212" t="str">
        <f>HYPERLINK((IF((VLOOKUP(Table10[[#This Row],[SKU]],'All Skus'!$A:$AC,2,FALSE))="Martin",(VLOOKUP(Table10[[#This Row],[SKU]],'All Skus'!$A:$AC,24,FALSE)),"")))</f>
        <v/>
      </c>
      <c r="U837" s="228">
        <v>835</v>
      </c>
    </row>
    <row r="838" spans="1:21" hidden="1">
      <c r="A838" s="112">
        <v>91610123</v>
      </c>
      <c r="B838" s="224" t="str">
        <f>(IF((VLOOKUP(Table10[[#This Row],[SKU]],'All Skus'!$A:$AC,2,FALSE))="Martin",(VLOOKUP(Table10[[#This Row],[SKU]],'All Skus'!$A:$AC,3,FALSE)),""))</f>
        <v>LED Video</v>
      </c>
      <c r="C838" s="223" t="str">
        <f>(IF((VLOOKUP(Table10[[#This Row],[SKU]],'All Skus'!$A:$AC,2,FALSE))="Martin",(VLOOKUP(Table10[[#This Row],[SKU]],'All Skus'!$A:$AC,4,FALSE)),""))</f>
        <v>Set of 10 VDO Sceptron/Fatron Sliding Brackets</v>
      </c>
      <c r="D838" s="224" t="str">
        <f>(IF((VLOOKUP(Table10[[#This Row],[SKU]],'All Skus'!$A:$AC,2,FALSE))="Martin",(VLOOKUP(Table10[[#This Row],[SKU]],'All Skus'!$A:$AC,5,FALSE)),""))</f>
        <v>MAR-VDO</v>
      </c>
      <c r="E838" s="223">
        <f>(IF((VLOOKUP(Table10[[#This Row],[SKU]],'All Skus'!$A:$AC,2,FALSE))="Martin",(VLOOKUP(Table10[[#This Row],[SKU]],'All Skus'!$A:$AC,6,FALSE)),""))</f>
        <v>0</v>
      </c>
      <c r="F838" s="155">
        <f>(IF((VLOOKUP(Table10[[#This Row],[SKU]],'All Skus'!$A:$AC,2,FALSE))="Martin",(VLOOKUP(Table10[[#This Row],[SKU]],'All Skus'!$A:$AC,7,FALSE)),""))</f>
        <v>0</v>
      </c>
      <c r="G838" s="223" t="str">
        <f>(IF((VLOOKUP(Table10[[#This Row],[SKU]],'All Skus'!$A:$AC,2,FALSE))="Martin",(VLOOKUP(Table10[[#This Row],[SKU]],'All Skus'!$A:$AC,8,FALSE)),""))</f>
        <v>Set of 10 VDO Sceptron/Fatron Sliding Brackets</v>
      </c>
      <c r="H838" s="223" t="str">
        <f>(IF((VLOOKUP(Table10[[#This Row],[SKU]],'All Skus'!$A:$AC,2,FALSE))="Martin",(VLOOKUP(Table10[[#This Row],[SKU]],'All Skus'!$A:$AC,9,FALSE)),""))</f>
        <v>Set of 10 VDO Sceptron/Fatron Sliding Brackets</v>
      </c>
      <c r="I838" s="225">
        <f>(IF((VLOOKUP(Table10[[#This Row],[SKU]],'All Skus'!$A:$AC,2,FALSE))="Martin",(VLOOKUP(Table10[[#This Row],[SKU]],'All Skus'!$A:$AC,10,FALSE)),""))</f>
        <v>217.32</v>
      </c>
      <c r="J838" s="226">
        <f>(IF((VLOOKUP(Table10[[#This Row],[SKU]],'All Skus'!$A:$AC,2,FALSE))="Martin",(VLOOKUP(Table10[[#This Row],[SKU]],'All Skus'!$A:$AC,11,FALSE)),""))</f>
        <v>217.32</v>
      </c>
      <c r="K838" s="224">
        <f>(IF((VLOOKUP(Table10[[#This Row],[SKU]],'All Skus'!$A:$AC,2,FALSE))="Martin",(VLOOKUP(Table10[[#This Row],[SKU]],'All Skus'!$A:$AC,15,FALSE)),""))</f>
        <v>0</v>
      </c>
      <c r="L838" s="224">
        <f>(IF((VLOOKUP(Table10[[#This Row],[SKU]],'All Skus'!$A:$AC,2,FALSE))="Martin",(VLOOKUP(Table10[[#This Row],[SKU]],'All Skus'!$A:$AC,16,FALSE)),""))</f>
        <v>0</v>
      </c>
      <c r="M838" s="224">
        <f>(IF((VLOOKUP(Table10[[#This Row],[SKU]],'All Skus'!$A:$AC,2,FALSE))="Martin",(VLOOKUP(Table10[[#This Row],[SKU]],'All Skus'!$A:$AC,17,FALSE)),""))</f>
        <v>0</v>
      </c>
      <c r="N838" s="227">
        <f>(IF((VLOOKUP(Table10[[#This Row],[SKU]],'All Skus'!$A:$AC,2,FALSE))="Martin",(VLOOKUP(Table10[[#This Row],[SKU]],'All Skus'!$A:$AC,18,FALSE)),""))</f>
        <v>7.8740199999999998</v>
      </c>
      <c r="O838" s="227">
        <f>(IF((VLOOKUP(Table10[[#This Row],[SKU]],'All Skus'!$A:$AC,2,FALSE))="Martin",(VLOOKUP(Table10[[#This Row],[SKU]],'All Skus'!$A:$AC,19,FALSE)),""))</f>
        <v>7.8740199999999998</v>
      </c>
      <c r="P838" s="227">
        <f>(IF((VLOOKUP(Table10[[#This Row],[SKU]],'All Skus'!$A:$AC,2,FALSE))="Martin",(VLOOKUP(Table10[[#This Row],[SKU]],'All Skus'!$A:$AC,20,FALSE)),""))</f>
        <v>0</v>
      </c>
      <c r="Q838" s="227">
        <f>(IF((VLOOKUP(Table10[[#This Row],[SKU]],'All Skus'!$A:$AC,2,FALSE))="Martin",(VLOOKUP(Table10[[#This Row],[SKU]],'All Skus'!$A:$AC,21,FALSE)),""))</f>
        <v>0</v>
      </c>
      <c r="R838" s="224" t="str">
        <f>(IF((VLOOKUP(Table10[[#This Row],[SKU]],'All Skus'!$A:$AC,2,FALSE))="Martin",(VLOOKUP(Table10[[#This Row],[SKU]],'All Skus'!$A:$AC,22,FALSE)),""))</f>
        <v>CN</v>
      </c>
      <c r="S838" s="223" t="str">
        <f>(IF((VLOOKUP(Table10[[#This Row],[SKU]],'All Skus'!$A:$AC,2,FALSE))="Martin",(VLOOKUP(Table10[[#This Row],[SKU]],'All Skus'!$A:$AC,23,FALSE)),""))</f>
        <v>Non Compliant</v>
      </c>
      <c r="T838" s="212" t="str">
        <f>HYPERLINK((IF((VLOOKUP(Table10[[#This Row],[SKU]],'All Skus'!$A:$AC,2,FALSE))="Martin",(VLOOKUP(Table10[[#This Row],[SKU]],'All Skus'!$A:$AC,24,FALSE)),"")))</f>
        <v>http://www.martin.com/en-us/product-details/vdo-sceptron-10</v>
      </c>
      <c r="U838" s="228">
        <v>836</v>
      </c>
    </row>
    <row r="839" spans="1:21" hidden="1">
      <c r="A839" s="112">
        <v>91611790</v>
      </c>
      <c r="B839" s="224" t="str">
        <f>(IF((VLOOKUP(Table10[[#This Row],[SKU]],'All Skus'!$A:$AC,2,FALSE))="Martin",(VLOOKUP(Table10[[#This Row],[SKU]],'All Skus'!$A:$AC,3,FALSE)),""))</f>
        <v>LED Video</v>
      </c>
      <c r="C839" s="223" t="str">
        <f>(IF((VLOOKUP(Table10[[#This Row],[SKU]],'All Skus'!$A:$AC,2,FALSE))="Martin",(VLOOKUP(Table10[[#This Row],[SKU]],'All Skus'!$A:$AC,4,FALSE)),""))</f>
        <v>Low Profile VDO Sceptron/Fatron Half Coupler</v>
      </c>
      <c r="D839" s="224" t="str">
        <f>(IF((VLOOKUP(Table10[[#This Row],[SKU]],'All Skus'!$A:$AC,2,FALSE))="Martin",(VLOOKUP(Table10[[#This Row],[SKU]],'All Skus'!$A:$AC,5,FALSE)),""))</f>
        <v>MAR-VDO</v>
      </c>
      <c r="E839" s="223">
        <f>(IF((VLOOKUP(Table10[[#This Row],[SKU]],'All Skus'!$A:$AC,2,FALSE))="Martin",(VLOOKUP(Table10[[#This Row],[SKU]],'All Skus'!$A:$AC,6,FALSE)),""))</f>
        <v>0</v>
      </c>
      <c r="F839" s="155">
        <f>(IF((VLOOKUP(Table10[[#This Row],[SKU]],'All Skus'!$A:$AC,2,FALSE))="Martin",(VLOOKUP(Table10[[#This Row],[SKU]],'All Skus'!$A:$AC,7,FALSE)),""))</f>
        <v>0</v>
      </c>
      <c r="G839" s="223" t="str">
        <f>(IF((VLOOKUP(Table10[[#This Row],[SKU]],'All Skus'!$A:$AC,2,FALSE))="Martin",(VLOOKUP(Table10[[#This Row],[SKU]],'All Skus'!$A:$AC,8,FALSE)),""))</f>
        <v>Low Profile VDO Sceptron/Fatron Half Coupler</v>
      </c>
      <c r="H839" s="223" t="str">
        <f>(IF((VLOOKUP(Table10[[#This Row],[SKU]],'All Skus'!$A:$AC,2,FALSE))="Martin",(VLOOKUP(Table10[[#This Row],[SKU]],'All Skus'!$A:$AC,9,FALSE)),""))</f>
        <v>Low Profile VDO Sceptron/Fatron Half Coupler</v>
      </c>
      <c r="I839" s="225">
        <f>(IF((VLOOKUP(Table10[[#This Row],[SKU]],'All Skus'!$A:$AC,2,FALSE))="Martin",(VLOOKUP(Table10[[#This Row],[SKU]],'All Skus'!$A:$AC,10,FALSE)),""))</f>
        <v>43.22</v>
      </c>
      <c r="J839" s="226">
        <f>(IF((VLOOKUP(Table10[[#This Row],[SKU]],'All Skus'!$A:$AC,2,FALSE))="Martin",(VLOOKUP(Table10[[#This Row],[SKU]],'All Skus'!$A:$AC,11,FALSE)),""))</f>
        <v>43.22</v>
      </c>
      <c r="K839" s="224">
        <f>(IF((VLOOKUP(Table10[[#This Row],[SKU]],'All Skus'!$A:$AC,2,FALSE))="Martin",(VLOOKUP(Table10[[#This Row],[SKU]],'All Skus'!$A:$AC,15,FALSE)),""))</f>
        <v>0</v>
      </c>
      <c r="L839" s="224">
        <f>(IF((VLOOKUP(Table10[[#This Row],[SKU]],'All Skus'!$A:$AC,2,FALSE))="Martin",(VLOOKUP(Table10[[#This Row],[SKU]],'All Skus'!$A:$AC,16,FALSE)),""))</f>
        <v>0</v>
      </c>
      <c r="M839" s="224">
        <f>(IF((VLOOKUP(Table10[[#This Row],[SKU]],'All Skus'!$A:$AC,2,FALSE))="Martin",(VLOOKUP(Table10[[#This Row],[SKU]],'All Skus'!$A:$AC,17,FALSE)),""))</f>
        <v>0</v>
      </c>
      <c r="N839" s="227">
        <f>(IF((VLOOKUP(Table10[[#This Row],[SKU]],'All Skus'!$A:$AC,2,FALSE))="Martin",(VLOOKUP(Table10[[#This Row],[SKU]],'All Skus'!$A:$AC,18,FALSE)),""))</f>
        <v>0</v>
      </c>
      <c r="O839" s="227">
        <f>(IF((VLOOKUP(Table10[[#This Row],[SKU]],'All Skus'!$A:$AC,2,FALSE))="Martin",(VLOOKUP(Table10[[#This Row],[SKU]],'All Skus'!$A:$AC,19,FALSE)),""))</f>
        <v>0</v>
      </c>
      <c r="P839" s="227">
        <f>(IF((VLOOKUP(Table10[[#This Row],[SKU]],'All Skus'!$A:$AC,2,FALSE))="Martin",(VLOOKUP(Table10[[#This Row],[SKU]],'All Skus'!$A:$AC,20,FALSE)),""))</f>
        <v>0</v>
      </c>
      <c r="Q839" s="227">
        <f>(IF((VLOOKUP(Table10[[#This Row],[SKU]],'All Skus'!$A:$AC,2,FALSE))="Martin",(VLOOKUP(Table10[[#This Row],[SKU]],'All Skus'!$A:$AC,21,FALSE)),""))</f>
        <v>0</v>
      </c>
      <c r="R839" s="224" t="str">
        <f>(IF((VLOOKUP(Table10[[#This Row],[SKU]],'All Skus'!$A:$AC,2,FALSE))="Martin",(VLOOKUP(Table10[[#This Row],[SKU]],'All Skus'!$A:$AC,22,FALSE)),""))</f>
        <v>GB</v>
      </c>
      <c r="S839" s="223">
        <f>(IF((VLOOKUP(Table10[[#This Row],[SKU]],'All Skus'!$A:$AC,2,FALSE))="Martin",(VLOOKUP(Table10[[#This Row],[SKU]],'All Skus'!$A:$AC,23,FALSE)),""))</f>
        <v>0</v>
      </c>
      <c r="T839" s="212" t="str">
        <f>HYPERLINK((IF((VLOOKUP(Table10[[#This Row],[SKU]],'All Skus'!$A:$AC,2,FALSE))="Martin",(VLOOKUP(Table10[[#This Row],[SKU]],'All Skus'!$A:$AC,24,FALSE)),"")))</f>
        <v>http://www.martin.com/en-us/product-details/vdo-sceptron-10</v>
      </c>
      <c r="U839" s="228">
        <v>837</v>
      </c>
    </row>
    <row r="840" spans="1:21" hidden="1">
      <c r="A840" s="112">
        <v>91611791</v>
      </c>
      <c r="B840" s="224" t="str">
        <f>(IF((VLOOKUP(Table10[[#This Row],[SKU]],'All Skus'!$A:$AC,2,FALSE))="Martin",(VLOOKUP(Table10[[#This Row],[SKU]],'All Skus'!$A:$AC,3,FALSE)),""))</f>
        <v>LED Video</v>
      </c>
      <c r="C840" s="223" t="str">
        <f>(IF((VLOOKUP(Table10[[#This Row],[SKU]],'All Skus'!$A:$AC,2,FALSE))="Martin",(VLOOKUP(Table10[[#This Row],[SKU]],'All Skus'!$A:$AC,4,FALSE)),""))</f>
        <v>VDO Sceptron/Fatron Spigot Adapter 28mm</v>
      </c>
      <c r="D840" s="224" t="str">
        <f>(IF((VLOOKUP(Table10[[#This Row],[SKU]],'All Skus'!$A:$AC,2,FALSE))="Martin",(VLOOKUP(Table10[[#This Row],[SKU]],'All Skus'!$A:$AC,5,FALSE)),""))</f>
        <v>MAR-VDO</v>
      </c>
      <c r="E840" s="223">
        <f>(IF((VLOOKUP(Table10[[#This Row],[SKU]],'All Skus'!$A:$AC,2,FALSE))="Martin",(VLOOKUP(Table10[[#This Row],[SKU]],'All Skus'!$A:$AC,6,FALSE)),""))</f>
        <v>0</v>
      </c>
      <c r="F840" s="155">
        <f>(IF((VLOOKUP(Table10[[#This Row],[SKU]],'All Skus'!$A:$AC,2,FALSE))="Martin",(VLOOKUP(Table10[[#This Row],[SKU]],'All Skus'!$A:$AC,7,FALSE)),""))</f>
        <v>0</v>
      </c>
      <c r="G840" s="223" t="str">
        <f>(IF((VLOOKUP(Table10[[#This Row],[SKU]],'All Skus'!$A:$AC,2,FALSE))="Martin",(VLOOKUP(Table10[[#This Row],[SKU]],'All Skus'!$A:$AC,8,FALSE)),""))</f>
        <v>VDO Sceptron/Fatron Spigot Adapter 28mm</v>
      </c>
      <c r="H840" s="223" t="str">
        <f>(IF((VLOOKUP(Table10[[#This Row],[SKU]],'All Skus'!$A:$AC,2,FALSE))="Martin",(VLOOKUP(Table10[[#This Row],[SKU]],'All Skus'!$A:$AC,9,FALSE)),""))</f>
        <v>VDO Sceptron/Fatron Spigot Adapter 28mm</v>
      </c>
      <c r="I840" s="225">
        <f>(IF((VLOOKUP(Table10[[#This Row],[SKU]],'All Skus'!$A:$AC,2,FALSE))="Martin",(VLOOKUP(Table10[[#This Row],[SKU]],'All Skus'!$A:$AC,10,FALSE)),""))</f>
        <v>45.69</v>
      </c>
      <c r="J840" s="226">
        <f>(IF((VLOOKUP(Table10[[#This Row],[SKU]],'All Skus'!$A:$AC,2,FALSE))="Martin",(VLOOKUP(Table10[[#This Row],[SKU]],'All Skus'!$A:$AC,11,FALSE)),""))</f>
        <v>45.69</v>
      </c>
      <c r="K840" s="224">
        <f>(IF((VLOOKUP(Table10[[#This Row],[SKU]],'All Skus'!$A:$AC,2,FALSE))="Martin",(VLOOKUP(Table10[[#This Row],[SKU]],'All Skus'!$A:$AC,15,FALSE)),""))</f>
        <v>0</v>
      </c>
      <c r="L840" s="224">
        <f>(IF((VLOOKUP(Table10[[#This Row],[SKU]],'All Skus'!$A:$AC,2,FALSE))="Martin",(VLOOKUP(Table10[[#This Row],[SKU]],'All Skus'!$A:$AC,16,FALSE)),""))</f>
        <v>0</v>
      </c>
      <c r="M840" s="224">
        <f>(IF((VLOOKUP(Table10[[#This Row],[SKU]],'All Skus'!$A:$AC,2,FALSE))="Martin",(VLOOKUP(Table10[[#This Row],[SKU]],'All Skus'!$A:$AC,17,FALSE)),""))</f>
        <v>0</v>
      </c>
      <c r="N840" s="227">
        <f>(IF((VLOOKUP(Table10[[#This Row],[SKU]],'All Skus'!$A:$AC,2,FALSE))="Martin",(VLOOKUP(Table10[[#This Row],[SKU]],'All Skus'!$A:$AC,18,FALSE)),""))</f>
        <v>0</v>
      </c>
      <c r="O840" s="227">
        <f>(IF((VLOOKUP(Table10[[#This Row],[SKU]],'All Skus'!$A:$AC,2,FALSE))="Martin",(VLOOKUP(Table10[[#This Row],[SKU]],'All Skus'!$A:$AC,19,FALSE)),""))</f>
        <v>0</v>
      </c>
      <c r="P840" s="227">
        <f>(IF((VLOOKUP(Table10[[#This Row],[SKU]],'All Skus'!$A:$AC,2,FALSE))="Martin",(VLOOKUP(Table10[[#This Row],[SKU]],'All Skus'!$A:$AC,20,FALSE)),""))</f>
        <v>0</v>
      </c>
      <c r="Q840" s="227">
        <f>(IF((VLOOKUP(Table10[[#This Row],[SKU]],'All Skus'!$A:$AC,2,FALSE))="Martin",(VLOOKUP(Table10[[#This Row],[SKU]],'All Skus'!$A:$AC,21,FALSE)),""))</f>
        <v>0</v>
      </c>
      <c r="R840" s="224" t="str">
        <f>(IF((VLOOKUP(Table10[[#This Row],[SKU]],'All Skus'!$A:$AC,2,FALSE))="Martin",(VLOOKUP(Table10[[#This Row],[SKU]],'All Skus'!$A:$AC,22,FALSE)),""))</f>
        <v>GB</v>
      </c>
      <c r="S840" s="223">
        <f>(IF((VLOOKUP(Table10[[#This Row],[SKU]],'All Skus'!$A:$AC,2,FALSE))="Martin",(VLOOKUP(Table10[[#This Row],[SKU]],'All Skus'!$A:$AC,23,FALSE)),""))</f>
        <v>0</v>
      </c>
      <c r="T840" s="212" t="str">
        <f>HYPERLINK((IF((VLOOKUP(Table10[[#This Row],[SKU]],'All Skus'!$A:$AC,2,FALSE))="Martin",(VLOOKUP(Table10[[#This Row],[SKU]],'All Skus'!$A:$AC,24,FALSE)),"")))</f>
        <v>http://www.martin.com/en-us/product-details/vdo-sceptron-10</v>
      </c>
      <c r="U840" s="228">
        <v>838</v>
      </c>
    </row>
    <row r="841" spans="1:21" hidden="1">
      <c r="A841" s="112">
        <v>91611792</v>
      </c>
      <c r="B841" s="224" t="str">
        <f>(IF((VLOOKUP(Table10[[#This Row],[SKU]],'All Skus'!$A:$AC,2,FALSE))="Martin",(VLOOKUP(Table10[[#This Row],[SKU]],'All Skus'!$A:$AC,3,FALSE)),""))</f>
        <v>LED Video</v>
      </c>
      <c r="C841" s="223" t="str">
        <f>(IF((VLOOKUP(Table10[[#This Row],[SKU]],'All Skus'!$A:$AC,2,FALSE))="Martin",(VLOOKUP(Table10[[#This Row],[SKU]],'All Skus'!$A:$AC,4,FALSE)),""))</f>
        <v>Set of 2 VDO Sceptron/Fatron Floorstands</v>
      </c>
      <c r="D841" s="224" t="str">
        <f>(IF((VLOOKUP(Table10[[#This Row],[SKU]],'All Skus'!$A:$AC,2,FALSE))="Martin",(VLOOKUP(Table10[[#This Row],[SKU]],'All Skus'!$A:$AC,5,FALSE)),""))</f>
        <v>MAR-VDO</v>
      </c>
      <c r="E841" s="223">
        <f>(IF((VLOOKUP(Table10[[#This Row],[SKU]],'All Skus'!$A:$AC,2,FALSE))="Martin",(VLOOKUP(Table10[[#This Row],[SKU]],'All Skus'!$A:$AC,6,FALSE)),""))</f>
        <v>0</v>
      </c>
      <c r="F841" s="155">
        <f>(IF((VLOOKUP(Table10[[#This Row],[SKU]],'All Skus'!$A:$AC,2,FALSE))="Martin",(VLOOKUP(Table10[[#This Row],[SKU]],'All Skus'!$A:$AC,7,FALSE)),""))</f>
        <v>0</v>
      </c>
      <c r="G841" s="223" t="str">
        <f>(IF((VLOOKUP(Table10[[#This Row],[SKU]],'All Skus'!$A:$AC,2,FALSE))="Martin",(VLOOKUP(Table10[[#This Row],[SKU]],'All Skus'!$A:$AC,8,FALSE)),""))</f>
        <v>Set of 2 VDO Sceptron/Fatron Floorstands</v>
      </c>
      <c r="H841" s="223" t="str">
        <f>(IF((VLOOKUP(Table10[[#This Row],[SKU]],'All Skus'!$A:$AC,2,FALSE))="Martin",(VLOOKUP(Table10[[#This Row],[SKU]],'All Skus'!$A:$AC,9,FALSE)),""))</f>
        <v>Set of 2 VDO Sceptron/Fatron Floorstands</v>
      </c>
      <c r="I841" s="225">
        <f>(IF((VLOOKUP(Table10[[#This Row],[SKU]],'All Skus'!$A:$AC,2,FALSE))="Martin",(VLOOKUP(Table10[[#This Row],[SKU]],'All Skus'!$A:$AC,10,FALSE)),""))</f>
        <v>62.97</v>
      </c>
      <c r="J841" s="226">
        <f>(IF((VLOOKUP(Table10[[#This Row],[SKU]],'All Skus'!$A:$AC,2,FALSE))="Martin",(VLOOKUP(Table10[[#This Row],[SKU]],'All Skus'!$A:$AC,11,FALSE)),""))</f>
        <v>62.97</v>
      </c>
      <c r="K841" s="224">
        <f>(IF((VLOOKUP(Table10[[#This Row],[SKU]],'All Skus'!$A:$AC,2,FALSE))="Martin",(VLOOKUP(Table10[[#This Row],[SKU]],'All Skus'!$A:$AC,15,FALSE)),""))</f>
        <v>0</v>
      </c>
      <c r="L841" s="224">
        <f>(IF((VLOOKUP(Table10[[#This Row],[SKU]],'All Skus'!$A:$AC,2,FALSE))="Martin",(VLOOKUP(Table10[[#This Row],[SKU]],'All Skus'!$A:$AC,16,FALSE)),""))</f>
        <v>0</v>
      </c>
      <c r="M841" s="224">
        <f>(IF((VLOOKUP(Table10[[#This Row],[SKU]],'All Skus'!$A:$AC,2,FALSE))="Martin",(VLOOKUP(Table10[[#This Row],[SKU]],'All Skus'!$A:$AC,17,FALSE)),""))</f>
        <v>0</v>
      </c>
      <c r="N841" s="227">
        <f>(IF((VLOOKUP(Table10[[#This Row],[SKU]],'All Skus'!$A:$AC,2,FALSE))="Martin",(VLOOKUP(Table10[[#This Row],[SKU]],'All Skus'!$A:$AC,18,FALSE)),""))</f>
        <v>0</v>
      </c>
      <c r="O841" s="227">
        <f>(IF((VLOOKUP(Table10[[#This Row],[SKU]],'All Skus'!$A:$AC,2,FALSE))="Martin",(VLOOKUP(Table10[[#This Row],[SKU]],'All Skus'!$A:$AC,19,FALSE)),""))</f>
        <v>0</v>
      </c>
      <c r="P841" s="227">
        <f>(IF((VLOOKUP(Table10[[#This Row],[SKU]],'All Skus'!$A:$AC,2,FALSE))="Martin",(VLOOKUP(Table10[[#This Row],[SKU]],'All Skus'!$A:$AC,20,FALSE)),""))</f>
        <v>0</v>
      </c>
      <c r="Q841" s="227">
        <f>(IF((VLOOKUP(Table10[[#This Row],[SKU]],'All Skus'!$A:$AC,2,FALSE))="Martin",(VLOOKUP(Table10[[#This Row],[SKU]],'All Skus'!$A:$AC,21,FALSE)),""))</f>
        <v>0</v>
      </c>
      <c r="R841" s="224" t="str">
        <f>(IF((VLOOKUP(Table10[[#This Row],[SKU]],'All Skus'!$A:$AC,2,FALSE))="Martin",(VLOOKUP(Table10[[#This Row],[SKU]],'All Skus'!$A:$AC,22,FALSE)),""))</f>
        <v>GB</v>
      </c>
      <c r="S841" s="223">
        <f>(IF((VLOOKUP(Table10[[#This Row],[SKU]],'All Skus'!$A:$AC,2,FALSE))="Martin",(VLOOKUP(Table10[[#This Row],[SKU]],'All Skus'!$A:$AC,23,FALSE)),""))</f>
        <v>0</v>
      </c>
      <c r="T841" s="212" t="str">
        <f>HYPERLINK((IF((VLOOKUP(Table10[[#This Row],[SKU]],'All Skus'!$A:$AC,2,FALSE))="Martin",(VLOOKUP(Table10[[#This Row],[SKU]],'All Skus'!$A:$AC,24,FALSE)),"")))</f>
        <v>http://www.martin.com/en-us/product-details/vdo-sceptron-10</v>
      </c>
      <c r="U841" s="228">
        <v>839</v>
      </c>
    </row>
    <row r="842" spans="1:21" hidden="1">
      <c r="A842" s="112">
        <v>91611793</v>
      </c>
      <c r="B842" s="224" t="str">
        <f>(IF((VLOOKUP(Table10[[#This Row],[SKU]],'All Skus'!$A:$AC,2,FALSE))="Martin",(VLOOKUP(Table10[[#This Row],[SKU]],'All Skus'!$A:$AC,3,FALSE)),""))</f>
        <v>LED Video</v>
      </c>
      <c r="C842" s="223" t="str">
        <f>(IF((VLOOKUP(Table10[[#This Row],[SKU]],'All Skus'!$A:$AC,2,FALSE))="Martin",(VLOOKUP(Table10[[#This Row],[SKU]],'All Skus'!$A:$AC,4,FALSE)),""))</f>
        <v>VDO Sceptron Pivot Coupler</v>
      </c>
      <c r="D842" s="224" t="str">
        <f>(IF((VLOOKUP(Table10[[#This Row],[SKU]],'All Skus'!$A:$AC,2,FALSE))="Martin",(VLOOKUP(Table10[[#This Row],[SKU]],'All Skus'!$A:$AC,5,FALSE)),""))</f>
        <v>MAR-VDO</v>
      </c>
      <c r="E842" s="223">
        <f>(IF((VLOOKUP(Table10[[#This Row],[SKU]],'All Skus'!$A:$AC,2,FALSE))="Martin",(VLOOKUP(Table10[[#This Row],[SKU]],'All Skus'!$A:$AC,6,FALSE)),""))</f>
        <v>0</v>
      </c>
      <c r="F842" s="155">
        <f>(IF((VLOOKUP(Table10[[#This Row],[SKU]],'All Skus'!$A:$AC,2,FALSE))="Martin",(VLOOKUP(Table10[[#This Row],[SKU]],'All Skus'!$A:$AC,7,FALSE)),""))</f>
        <v>0</v>
      </c>
      <c r="G842" s="223" t="str">
        <f>(IF((VLOOKUP(Table10[[#This Row],[SKU]],'All Skus'!$A:$AC,2,FALSE))="Martin",(VLOOKUP(Table10[[#This Row],[SKU]],'All Skus'!$A:$AC,8,FALSE)),""))</f>
        <v>VDO Sceptron Pivot Coupler</v>
      </c>
      <c r="H842" s="223" t="str">
        <f>(IF((VLOOKUP(Table10[[#This Row],[SKU]],'All Skus'!$A:$AC,2,FALSE))="Martin",(VLOOKUP(Table10[[#This Row],[SKU]],'All Skus'!$A:$AC,9,FALSE)),""))</f>
        <v>VDO Sceptron Pivot Coupler</v>
      </c>
      <c r="I842" s="225">
        <f>(IF((VLOOKUP(Table10[[#This Row],[SKU]],'All Skus'!$A:$AC,2,FALSE))="Martin",(VLOOKUP(Table10[[#This Row],[SKU]],'All Skus'!$A:$AC,10,FALSE)),""))</f>
        <v>128.41999999999999</v>
      </c>
      <c r="J842" s="226">
        <f>(IF((VLOOKUP(Table10[[#This Row],[SKU]],'All Skus'!$A:$AC,2,FALSE))="Martin",(VLOOKUP(Table10[[#This Row],[SKU]],'All Skus'!$A:$AC,11,FALSE)),""))</f>
        <v>128.41999999999999</v>
      </c>
      <c r="K842" s="224">
        <f>(IF((VLOOKUP(Table10[[#This Row],[SKU]],'All Skus'!$A:$AC,2,FALSE))="Martin",(VLOOKUP(Table10[[#This Row],[SKU]],'All Skus'!$A:$AC,15,FALSE)),""))</f>
        <v>0</v>
      </c>
      <c r="L842" s="224">
        <f>(IF((VLOOKUP(Table10[[#This Row],[SKU]],'All Skus'!$A:$AC,2,FALSE))="Martin",(VLOOKUP(Table10[[#This Row],[SKU]],'All Skus'!$A:$AC,16,FALSE)),""))</f>
        <v>0</v>
      </c>
      <c r="M842" s="224">
        <f>(IF((VLOOKUP(Table10[[#This Row],[SKU]],'All Skus'!$A:$AC,2,FALSE))="Martin",(VLOOKUP(Table10[[#This Row],[SKU]],'All Skus'!$A:$AC,17,FALSE)),""))</f>
        <v>0</v>
      </c>
      <c r="N842" s="227">
        <f>(IF((VLOOKUP(Table10[[#This Row],[SKU]],'All Skus'!$A:$AC,2,FALSE))="Martin",(VLOOKUP(Table10[[#This Row],[SKU]],'All Skus'!$A:$AC,18,FALSE)),""))</f>
        <v>0</v>
      </c>
      <c r="O842" s="227">
        <f>(IF((VLOOKUP(Table10[[#This Row],[SKU]],'All Skus'!$A:$AC,2,FALSE))="Martin",(VLOOKUP(Table10[[#This Row],[SKU]],'All Skus'!$A:$AC,19,FALSE)),""))</f>
        <v>0</v>
      </c>
      <c r="P842" s="227">
        <f>(IF((VLOOKUP(Table10[[#This Row],[SKU]],'All Skus'!$A:$AC,2,FALSE))="Martin",(VLOOKUP(Table10[[#This Row],[SKU]],'All Skus'!$A:$AC,20,FALSE)),""))</f>
        <v>0</v>
      </c>
      <c r="Q842" s="227">
        <f>(IF((VLOOKUP(Table10[[#This Row],[SKU]],'All Skus'!$A:$AC,2,FALSE))="Martin",(VLOOKUP(Table10[[#This Row],[SKU]],'All Skus'!$A:$AC,21,FALSE)),""))</f>
        <v>0</v>
      </c>
      <c r="R842" s="224" t="str">
        <f>(IF((VLOOKUP(Table10[[#This Row],[SKU]],'All Skus'!$A:$AC,2,FALSE))="Martin",(VLOOKUP(Table10[[#This Row],[SKU]],'All Skus'!$A:$AC,22,FALSE)),""))</f>
        <v>GB</v>
      </c>
      <c r="S842" s="223">
        <f>(IF((VLOOKUP(Table10[[#This Row],[SKU]],'All Skus'!$A:$AC,2,FALSE))="Martin",(VLOOKUP(Table10[[#This Row],[SKU]],'All Skus'!$A:$AC,23,FALSE)),""))</f>
        <v>0</v>
      </c>
      <c r="T842" s="212" t="str">
        <f>HYPERLINK((IF((VLOOKUP(Table10[[#This Row],[SKU]],'All Skus'!$A:$AC,2,FALSE))="Martin",(VLOOKUP(Table10[[#This Row],[SKU]],'All Skus'!$A:$AC,24,FALSE)),"")))</f>
        <v>http://www.martin.com/en-us/product-details/vdo-sceptron-10</v>
      </c>
      <c r="U842" s="228">
        <v>840</v>
      </c>
    </row>
    <row r="843" spans="1:21" hidden="1">
      <c r="A843" s="112">
        <v>91610124</v>
      </c>
      <c r="B843" s="224" t="str">
        <f>(IF((VLOOKUP(Table10[[#This Row],[SKU]],'All Skus'!$A:$AC,2,FALSE))="Martin",(VLOOKUP(Table10[[#This Row],[SKU]],'All Skus'!$A:$AC,3,FALSE)),""))</f>
        <v>LED Video</v>
      </c>
      <c r="C843" s="223" t="str">
        <f>(IF((VLOOKUP(Table10[[#This Row],[SKU]],'All Skus'!$A:$AC,2,FALSE))="Martin",(VLOOKUP(Table10[[#This Row],[SKU]],'All Skus'!$A:$AC,4,FALSE)),""))</f>
        <v>Set of 10 VDO Sceptron Linear Aligners</v>
      </c>
      <c r="D843" s="224" t="str">
        <f>(IF((VLOOKUP(Table10[[#This Row],[SKU]],'All Skus'!$A:$AC,2,FALSE))="Martin",(VLOOKUP(Table10[[#This Row],[SKU]],'All Skus'!$A:$AC,5,FALSE)),""))</f>
        <v>MAR-VDO</v>
      </c>
      <c r="E843" s="223">
        <f>(IF((VLOOKUP(Table10[[#This Row],[SKU]],'All Skus'!$A:$AC,2,FALSE))="Martin",(VLOOKUP(Table10[[#This Row],[SKU]],'All Skus'!$A:$AC,6,FALSE)),""))</f>
        <v>0</v>
      </c>
      <c r="F843" s="155">
        <f>(IF((VLOOKUP(Table10[[#This Row],[SKU]],'All Skus'!$A:$AC,2,FALSE))="Martin",(VLOOKUP(Table10[[#This Row],[SKU]],'All Skus'!$A:$AC,7,FALSE)),""))</f>
        <v>0</v>
      </c>
      <c r="G843" s="223" t="str">
        <f>(IF((VLOOKUP(Table10[[#This Row],[SKU]],'All Skus'!$A:$AC,2,FALSE))="Martin",(VLOOKUP(Table10[[#This Row],[SKU]],'All Skus'!$A:$AC,8,FALSE)),""))</f>
        <v>Set of 10 VDO Sceptron Linear Aligners</v>
      </c>
      <c r="H843" s="223" t="str">
        <f>(IF((VLOOKUP(Table10[[#This Row],[SKU]],'All Skus'!$A:$AC,2,FALSE))="Martin",(VLOOKUP(Table10[[#This Row],[SKU]],'All Skus'!$A:$AC,9,FALSE)),""))</f>
        <v>Set of 10 VDO Sceptron Linear Aligners</v>
      </c>
      <c r="I843" s="225">
        <f>(IF((VLOOKUP(Table10[[#This Row],[SKU]],'All Skus'!$A:$AC,2,FALSE))="Martin",(VLOOKUP(Table10[[#This Row],[SKU]],'All Skus'!$A:$AC,10,FALSE)),""))</f>
        <v>217.32</v>
      </c>
      <c r="J843" s="226">
        <f>(IF((VLOOKUP(Table10[[#This Row],[SKU]],'All Skus'!$A:$AC,2,FALSE))="Martin",(VLOOKUP(Table10[[#This Row],[SKU]],'All Skus'!$A:$AC,11,FALSE)),""))</f>
        <v>217.32</v>
      </c>
      <c r="K843" s="224">
        <f>(IF((VLOOKUP(Table10[[#This Row],[SKU]],'All Skus'!$A:$AC,2,FALSE))="Martin",(VLOOKUP(Table10[[#This Row],[SKU]],'All Skus'!$A:$AC,15,FALSE)),""))</f>
        <v>0</v>
      </c>
      <c r="L843" s="224">
        <f>(IF((VLOOKUP(Table10[[#This Row],[SKU]],'All Skus'!$A:$AC,2,FALSE))="Martin",(VLOOKUP(Table10[[#This Row],[SKU]],'All Skus'!$A:$AC,16,FALSE)),""))</f>
        <v>0</v>
      </c>
      <c r="M843" s="224">
        <f>(IF((VLOOKUP(Table10[[#This Row],[SKU]],'All Skus'!$A:$AC,2,FALSE))="Martin",(VLOOKUP(Table10[[#This Row],[SKU]],'All Skus'!$A:$AC,17,FALSE)),""))</f>
        <v>0</v>
      </c>
      <c r="N843" s="227">
        <f>(IF((VLOOKUP(Table10[[#This Row],[SKU]],'All Skus'!$A:$AC,2,FALSE))="Martin",(VLOOKUP(Table10[[#This Row],[SKU]],'All Skus'!$A:$AC,18,FALSE)),""))</f>
        <v>0</v>
      </c>
      <c r="O843" s="227">
        <f>(IF((VLOOKUP(Table10[[#This Row],[SKU]],'All Skus'!$A:$AC,2,FALSE))="Martin",(VLOOKUP(Table10[[#This Row],[SKU]],'All Skus'!$A:$AC,19,FALSE)),""))</f>
        <v>0</v>
      </c>
      <c r="P843" s="227">
        <f>(IF((VLOOKUP(Table10[[#This Row],[SKU]],'All Skus'!$A:$AC,2,FALSE))="Martin",(VLOOKUP(Table10[[#This Row],[SKU]],'All Skus'!$A:$AC,20,FALSE)),""))</f>
        <v>0</v>
      </c>
      <c r="Q843" s="227">
        <f>(IF((VLOOKUP(Table10[[#This Row],[SKU]],'All Skus'!$A:$AC,2,FALSE))="Martin",(VLOOKUP(Table10[[#This Row],[SKU]],'All Skus'!$A:$AC,21,FALSE)),""))</f>
        <v>0</v>
      </c>
      <c r="R843" s="224" t="str">
        <f>(IF((VLOOKUP(Table10[[#This Row],[SKU]],'All Skus'!$A:$AC,2,FALSE))="Martin",(VLOOKUP(Table10[[#This Row],[SKU]],'All Skus'!$A:$AC,22,FALSE)),""))</f>
        <v>CN</v>
      </c>
      <c r="S843" s="223" t="str">
        <f>(IF((VLOOKUP(Table10[[#This Row],[SKU]],'All Skus'!$A:$AC,2,FALSE))="Martin",(VLOOKUP(Table10[[#This Row],[SKU]],'All Skus'!$A:$AC,23,FALSE)),""))</f>
        <v>Non Compliant</v>
      </c>
      <c r="T843" s="212" t="str">
        <f>HYPERLINK((IF((VLOOKUP(Table10[[#This Row],[SKU]],'All Skus'!$A:$AC,2,FALSE))="Martin",(VLOOKUP(Table10[[#This Row],[SKU]],'All Skus'!$A:$AC,24,FALSE)),"")))</f>
        <v>http://www.martin.com/en-us/product-details/vdo-sceptron-10</v>
      </c>
      <c r="U843" s="228">
        <v>841</v>
      </c>
    </row>
    <row r="844" spans="1:21" hidden="1">
      <c r="A844" s="112">
        <v>91610125</v>
      </c>
      <c r="B844" s="224" t="str">
        <f>(IF((VLOOKUP(Table10[[#This Row],[SKU]],'All Skus'!$A:$AC,2,FALSE))="Martin",(VLOOKUP(Table10[[#This Row],[SKU]],'All Skus'!$A:$AC,3,FALSE)),""))</f>
        <v>LED Video</v>
      </c>
      <c r="C844" s="223" t="str">
        <f>(IF((VLOOKUP(Table10[[#This Row],[SKU]],'All Skus'!$A:$AC,2,FALSE))="Martin",(VLOOKUP(Table10[[#This Row],[SKU]],'All Skus'!$A:$AC,4,FALSE)),""))</f>
        <v>Set of 10 VDO Sceptron Spacers 30/40/50mm</v>
      </c>
      <c r="D844" s="224" t="str">
        <f>(IF((VLOOKUP(Table10[[#This Row],[SKU]],'All Skus'!$A:$AC,2,FALSE))="Martin",(VLOOKUP(Table10[[#This Row],[SKU]],'All Skus'!$A:$AC,5,FALSE)),""))</f>
        <v>MAR-VDO</v>
      </c>
      <c r="E844" s="223">
        <f>(IF((VLOOKUP(Table10[[#This Row],[SKU]],'All Skus'!$A:$AC,2,FALSE))="Martin",(VLOOKUP(Table10[[#This Row],[SKU]],'All Skus'!$A:$AC,6,FALSE)),""))</f>
        <v>0</v>
      </c>
      <c r="F844" s="155">
        <f>(IF((VLOOKUP(Table10[[#This Row],[SKU]],'All Skus'!$A:$AC,2,FALSE))="Martin",(VLOOKUP(Table10[[#This Row],[SKU]],'All Skus'!$A:$AC,7,FALSE)),""))</f>
        <v>0</v>
      </c>
      <c r="G844" s="223" t="str">
        <f>(IF((VLOOKUP(Table10[[#This Row],[SKU]],'All Skus'!$A:$AC,2,FALSE))="Martin",(VLOOKUP(Table10[[#This Row],[SKU]],'All Skus'!$A:$AC,8,FALSE)),""))</f>
        <v>Set of 10 VDO Sceptron Spacers 30/40/50mm</v>
      </c>
      <c r="H844" s="223" t="str">
        <f>(IF((VLOOKUP(Table10[[#This Row],[SKU]],'All Skus'!$A:$AC,2,FALSE))="Martin",(VLOOKUP(Table10[[#This Row],[SKU]],'All Skus'!$A:$AC,9,FALSE)),""))</f>
        <v>Set of 10 VDO Sceptron Spacers 30/40/50mm</v>
      </c>
      <c r="I844" s="225">
        <f>(IF((VLOOKUP(Table10[[#This Row],[SKU]],'All Skus'!$A:$AC,2,FALSE))="Martin",(VLOOKUP(Table10[[#This Row],[SKU]],'All Skus'!$A:$AC,10,FALSE)),""))</f>
        <v>204.97</v>
      </c>
      <c r="J844" s="226">
        <f>(IF((VLOOKUP(Table10[[#This Row],[SKU]],'All Skus'!$A:$AC,2,FALSE))="Martin",(VLOOKUP(Table10[[#This Row],[SKU]],'All Skus'!$A:$AC,11,FALSE)),""))</f>
        <v>204.97</v>
      </c>
      <c r="K844" s="224">
        <f>(IF((VLOOKUP(Table10[[#This Row],[SKU]],'All Skus'!$A:$AC,2,FALSE))="Martin",(VLOOKUP(Table10[[#This Row],[SKU]],'All Skus'!$A:$AC,15,FALSE)),""))</f>
        <v>0</v>
      </c>
      <c r="L844" s="224">
        <f>(IF((VLOOKUP(Table10[[#This Row],[SKU]],'All Skus'!$A:$AC,2,FALSE))="Martin",(VLOOKUP(Table10[[#This Row],[SKU]],'All Skus'!$A:$AC,16,FALSE)),""))</f>
        <v>0</v>
      </c>
      <c r="M844" s="224">
        <f>(IF((VLOOKUP(Table10[[#This Row],[SKU]],'All Skus'!$A:$AC,2,FALSE))="Martin",(VLOOKUP(Table10[[#This Row],[SKU]],'All Skus'!$A:$AC,17,FALSE)),""))</f>
        <v>0</v>
      </c>
      <c r="N844" s="227">
        <f>(IF((VLOOKUP(Table10[[#This Row],[SKU]],'All Skus'!$A:$AC,2,FALSE))="Martin",(VLOOKUP(Table10[[#This Row],[SKU]],'All Skus'!$A:$AC,18,FALSE)),""))</f>
        <v>0</v>
      </c>
      <c r="O844" s="227">
        <f>(IF((VLOOKUP(Table10[[#This Row],[SKU]],'All Skus'!$A:$AC,2,FALSE))="Martin",(VLOOKUP(Table10[[#This Row],[SKU]],'All Skus'!$A:$AC,19,FALSE)),""))</f>
        <v>0</v>
      </c>
      <c r="P844" s="227">
        <f>(IF((VLOOKUP(Table10[[#This Row],[SKU]],'All Skus'!$A:$AC,2,FALSE))="Martin",(VLOOKUP(Table10[[#This Row],[SKU]],'All Skus'!$A:$AC,20,FALSE)),""))</f>
        <v>0</v>
      </c>
      <c r="Q844" s="227">
        <f>(IF((VLOOKUP(Table10[[#This Row],[SKU]],'All Skus'!$A:$AC,2,FALSE))="Martin",(VLOOKUP(Table10[[#This Row],[SKU]],'All Skus'!$A:$AC,21,FALSE)),""))</f>
        <v>0</v>
      </c>
      <c r="R844" s="224" t="str">
        <f>(IF((VLOOKUP(Table10[[#This Row],[SKU]],'All Skus'!$A:$AC,2,FALSE))="Martin",(VLOOKUP(Table10[[#This Row],[SKU]],'All Skus'!$A:$AC,22,FALSE)),""))</f>
        <v>CN</v>
      </c>
      <c r="S844" s="223" t="str">
        <f>(IF((VLOOKUP(Table10[[#This Row],[SKU]],'All Skus'!$A:$AC,2,FALSE))="Martin",(VLOOKUP(Table10[[#This Row],[SKU]],'All Skus'!$A:$AC,23,FALSE)),""))</f>
        <v>Non Compliant</v>
      </c>
      <c r="T844" s="212" t="str">
        <f>HYPERLINK((IF((VLOOKUP(Table10[[#This Row],[SKU]],'All Skus'!$A:$AC,2,FALSE))="Martin",(VLOOKUP(Table10[[#This Row],[SKU]],'All Skus'!$A:$AC,24,FALSE)),"")))</f>
        <v>http://www.martin.com/en-us/product-details/vdo-sceptron-10</v>
      </c>
      <c r="U844" s="228">
        <v>842</v>
      </c>
    </row>
    <row r="845" spans="1:21" hidden="1">
      <c r="A845" s="112">
        <v>91610138</v>
      </c>
      <c r="B845" s="224" t="str">
        <f>(IF((VLOOKUP(Table10[[#This Row],[SKU]],'All Skus'!$A:$AC,2,FALSE))="Martin",(VLOOKUP(Table10[[#This Row],[SKU]],'All Skus'!$A:$AC,3,FALSE)),""))</f>
        <v>LED Video</v>
      </c>
      <c r="C845" s="223" t="str">
        <f>(IF((VLOOKUP(Table10[[#This Row],[SKU]],'All Skus'!$A:$AC,2,FALSE))="Martin",(VLOOKUP(Table10[[#This Row],[SKU]],'All Skus'!$A:$AC,4,FALSE)),""))</f>
        <v>Set of 10 VDO Sceptron Spacers 60/70/80mm</v>
      </c>
      <c r="D845" s="224" t="str">
        <f>(IF((VLOOKUP(Table10[[#This Row],[SKU]],'All Skus'!$A:$AC,2,FALSE))="Martin",(VLOOKUP(Table10[[#This Row],[SKU]],'All Skus'!$A:$AC,5,FALSE)),""))</f>
        <v>MAR-VDO</v>
      </c>
      <c r="E845" s="223">
        <f>(IF((VLOOKUP(Table10[[#This Row],[SKU]],'All Skus'!$A:$AC,2,FALSE))="Martin",(VLOOKUP(Table10[[#This Row],[SKU]],'All Skus'!$A:$AC,6,FALSE)),""))</f>
        <v>0</v>
      </c>
      <c r="F845" s="155">
        <f>(IF((VLOOKUP(Table10[[#This Row],[SKU]],'All Skus'!$A:$AC,2,FALSE))="Martin",(VLOOKUP(Table10[[#This Row],[SKU]],'All Skus'!$A:$AC,7,FALSE)),""))</f>
        <v>0</v>
      </c>
      <c r="G845" s="223" t="str">
        <f>(IF((VLOOKUP(Table10[[#This Row],[SKU]],'All Skus'!$A:$AC,2,FALSE))="Martin",(VLOOKUP(Table10[[#This Row],[SKU]],'All Skus'!$A:$AC,8,FALSE)),""))</f>
        <v>Set of 10 VDO Sceptron Spacers 60/70/80mm</v>
      </c>
      <c r="H845" s="223" t="str">
        <f>(IF((VLOOKUP(Table10[[#This Row],[SKU]],'All Skus'!$A:$AC,2,FALSE))="Martin",(VLOOKUP(Table10[[#This Row],[SKU]],'All Skus'!$A:$AC,9,FALSE)),""))</f>
        <v>Set of 10 VDO Sceptron Spacers 60/70/80mm</v>
      </c>
      <c r="I845" s="225">
        <f>(IF((VLOOKUP(Table10[[#This Row],[SKU]],'All Skus'!$A:$AC,2,FALSE))="Martin",(VLOOKUP(Table10[[#This Row],[SKU]],'All Skus'!$A:$AC,10,FALSE)),""))</f>
        <v>217.32</v>
      </c>
      <c r="J845" s="226">
        <f>(IF((VLOOKUP(Table10[[#This Row],[SKU]],'All Skus'!$A:$AC,2,FALSE))="Martin",(VLOOKUP(Table10[[#This Row],[SKU]],'All Skus'!$A:$AC,11,FALSE)),""))</f>
        <v>217.32</v>
      </c>
      <c r="K845" s="224">
        <f>(IF((VLOOKUP(Table10[[#This Row],[SKU]],'All Skus'!$A:$AC,2,FALSE))="Martin",(VLOOKUP(Table10[[#This Row],[SKU]],'All Skus'!$A:$AC,15,FALSE)),""))</f>
        <v>0</v>
      </c>
      <c r="L845" s="224">
        <f>(IF((VLOOKUP(Table10[[#This Row],[SKU]],'All Skus'!$A:$AC,2,FALSE))="Martin",(VLOOKUP(Table10[[#This Row],[SKU]],'All Skus'!$A:$AC,16,FALSE)),""))</f>
        <v>5706681230129</v>
      </c>
      <c r="M845" s="224">
        <f>(IF((VLOOKUP(Table10[[#This Row],[SKU]],'All Skus'!$A:$AC,2,FALSE))="Martin",(VLOOKUP(Table10[[#This Row],[SKU]],'All Skus'!$A:$AC,17,FALSE)),""))</f>
        <v>0</v>
      </c>
      <c r="N845" s="227">
        <f>(IF((VLOOKUP(Table10[[#This Row],[SKU]],'All Skus'!$A:$AC,2,FALSE))="Martin",(VLOOKUP(Table10[[#This Row],[SKU]],'All Skus'!$A:$AC,18,FALSE)),""))</f>
        <v>0</v>
      </c>
      <c r="O845" s="227">
        <f>(IF((VLOOKUP(Table10[[#This Row],[SKU]],'All Skus'!$A:$AC,2,FALSE))="Martin",(VLOOKUP(Table10[[#This Row],[SKU]],'All Skus'!$A:$AC,19,FALSE)),""))</f>
        <v>0</v>
      </c>
      <c r="P845" s="227">
        <f>(IF((VLOOKUP(Table10[[#This Row],[SKU]],'All Skus'!$A:$AC,2,FALSE))="Martin",(VLOOKUP(Table10[[#This Row],[SKU]],'All Skus'!$A:$AC,20,FALSE)),""))</f>
        <v>0</v>
      </c>
      <c r="Q845" s="227">
        <f>(IF((VLOOKUP(Table10[[#This Row],[SKU]],'All Skus'!$A:$AC,2,FALSE))="Martin",(VLOOKUP(Table10[[#This Row],[SKU]],'All Skus'!$A:$AC,21,FALSE)),""))</f>
        <v>0</v>
      </c>
      <c r="R845" s="224" t="str">
        <f>(IF((VLOOKUP(Table10[[#This Row],[SKU]],'All Skus'!$A:$AC,2,FALSE))="Martin",(VLOOKUP(Table10[[#This Row],[SKU]],'All Skus'!$A:$AC,22,FALSE)),""))</f>
        <v>CN</v>
      </c>
      <c r="S845" s="223" t="str">
        <f>(IF((VLOOKUP(Table10[[#This Row],[SKU]],'All Skus'!$A:$AC,2,FALSE))="Martin",(VLOOKUP(Table10[[#This Row],[SKU]],'All Skus'!$A:$AC,23,FALSE)),""))</f>
        <v>Non Compliant</v>
      </c>
      <c r="T845" s="212" t="str">
        <f>HYPERLINK((IF((VLOOKUP(Table10[[#This Row],[SKU]],'All Skus'!$A:$AC,2,FALSE))="Martin",(VLOOKUP(Table10[[#This Row],[SKU]],'All Skus'!$A:$AC,24,FALSE)),"")))</f>
        <v>http://www.martin.com/en-us/product-details/vdo-sceptron-10</v>
      </c>
      <c r="U845" s="228">
        <v>843</v>
      </c>
    </row>
    <row r="846" spans="1:21" hidden="1">
      <c r="A846" s="112">
        <v>91611836</v>
      </c>
      <c r="B846" s="224" t="str">
        <f>(IF((VLOOKUP(Table10[[#This Row],[SKU]],'All Skus'!$A:$AC,2,FALSE))="Martin",(VLOOKUP(Table10[[#This Row],[SKU]],'All Skus'!$A:$AC,3,FALSE)),""))</f>
        <v>LED Video</v>
      </c>
      <c r="C846" s="223" t="str">
        <f>(IF((VLOOKUP(Table10[[#This Row],[SKU]],'All Skus'!$A:$AC,2,FALSE))="Martin",(VLOOKUP(Table10[[#This Row],[SKU]],'All Skus'!$A:$AC,4,FALSE)),""))</f>
        <v>VDO Sceptron DiffuserLens Removal Insert</v>
      </c>
      <c r="D846" s="224" t="str">
        <f>(IF((VLOOKUP(Table10[[#This Row],[SKU]],'All Skus'!$A:$AC,2,FALSE))="Martin",(VLOOKUP(Table10[[#This Row],[SKU]],'All Skus'!$A:$AC,5,FALSE)),""))</f>
        <v>MAR-VDO</v>
      </c>
      <c r="E846" s="223">
        <f>(IF((VLOOKUP(Table10[[#This Row],[SKU]],'All Skus'!$A:$AC,2,FALSE))="Martin",(VLOOKUP(Table10[[#This Row],[SKU]],'All Skus'!$A:$AC,6,FALSE)),""))</f>
        <v>0</v>
      </c>
      <c r="F846" s="155">
        <f>(IF((VLOOKUP(Table10[[#This Row],[SKU]],'All Skus'!$A:$AC,2,FALSE))="Martin",(VLOOKUP(Table10[[#This Row],[SKU]],'All Skus'!$A:$AC,7,FALSE)),""))</f>
        <v>0</v>
      </c>
      <c r="G846" s="223" t="str">
        <f>(IF((VLOOKUP(Table10[[#This Row],[SKU]],'All Skus'!$A:$AC,2,FALSE))="Martin",(VLOOKUP(Table10[[#This Row],[SKU]],'All Skus'!$A:$AC,8,FALSE)),""))</f>
        <v>VDO Sceptron DiffuserLens Removal Insert</v>
      </c>
      <c r="H846" s="223" t="str">
        <f>(IF((VLOOKUP(Table10[[#This Row],[SKU]],'All Skus'!$A:$AC,2,FALSE))="Martin",(VLOOKUP(Table10[[#This Row],[SKU]],'All Skus'!$A:$AC,9,FALSE)),""))</f>
        <v>VDO Sceptron DiffuserLens Removal Insert</v>
      </c>
      <c r="I846" s="225">
        <f>(IF((VLOOKUP(Table10[[#This Row],[SKU]],'All Skus'!$A:$AC,2,FALSE))="Martin",(VLOOKUP(Table10[[#This Row],[SKU]],'All Skus'!$A:$AC,10,FALSE)),""))</f>
        <v>51.86</v>
      </c>
      <c r="J846" s="226">
        <f>(IF((VLOOKUP(Table10[[#This Row],[SKU]],'All Skus'!$A:$AC,2,FALSE))="Martin",(VLOOKUP(Table10[[#This Row],[SKU]],'All Skus'!$A:$AC,11,FALSE)),""))</f>
        <v>51.86</v>
      </c>
      <c r="K846" s="224">
        <f>(IF((VLOOKUP(Table10[[#This Row],[SKU]],'All Skus'!$A:$AC,2,FALSE))="Martin",(VLOOKUP(Table10[[#This Row],[SKU]],'All Skus'!$A:$AC,15,FALSE)),""))</f>
        <v>0</v>
      </c>
      <c r="L846" s="224">
        <f>(IF((VLOOKUP(Table10[[#This Row],[SKU]],'All Skus'!$A:$AC,2,FALSE))="Martin",(VLOOKUP(Table10[[#This Row],[SKU]],'All Skus'!$A:$AC,16,FALSE)),""))</f>
        <v>0</v>
      </c>
      <c r="M846" s="224">
        <f>(IF((VLOOKUP(Table10[[#This Row],[SKU]],'All Skus'!$A:$AC,2,FALSE))="Martin",(VLOOKUP(Table10[[#This Row],[SKU]],'All Skus'!$A:$AC,17,FALSE)),""))</f>
        <v>0</v>
      </c>
      <c r="N846" s="227">
        <f>(IF((VLOOKUP(Table10[[#This Row],[SKU]],'All Skus'!$A:$AC,2,FALSE))="Martin",(VLOOKUP(Table10[[#This Row],[SKU]],'All Skus'!$A:$AC,18,FALSE)),""))</f>
        <v>0</v>
      </c>
      <c r="O846" s="227">
        <f>(IF((VLOOKUP(Table10[[#This Row],[SKU]],'All Skus'!$A:$AC,2,FALSE))="Martin",(VLOOKUP(Table10[[#This Row],[SKU]],'All Skus'!$A:$AC,19,FALSE)),""))</f>
        <v>0</v>
      </c>
      <c r="P846" s="227">
        <f>(IF((VLOOKUP(Table10[[#This Row],[SKU]],'All Skus'!$A:$AC,2,FALSE))="Martin",(VLOOKUP(Table10[[#This Row],[SKU]],'All Skus'!$A:$AC,20,FALSE)),""))</f>
        <v>0</v>
      </c>
      <c r="Q846" s="227">
        <f>(IF((VLOOKUP(Table10[[#This Row],[SKU]],'All Skus'!$A:$AC,2,FALSE))="Martin",(VLOOKUP(Table10[[#This Row],[SKU]],'All Skus'!$A:$AC,21,FALSE)),""))</f>
        <v>0</v>
      </c>
      <c r="R846" s="224" t="str">
        <f>(IF((VLOOKUP(Table10[[#This Row],[SKU]],'All Skus'!$A:$AC,2,FALSE))="Martin",(VLOOKUP(Table10[[#This Row],[SKU]],'All Skus'!$A:$AC,22,FALSE)),""))</f>
        <v>CN</v>
      </c>
      <c r="S846" s="223" t="str">
        <f>(IF((VLOOKUP(Table10[[#This Row],[SKU]],'All Skus'!$A:$AC,2,FALSE))="Martin",(VLOOKUP(Table10[[#This Row],[SKU]],'All Skus'!$A:$AC,23,FALSE)),""))</f>
        <v>Non Compliant</v>
      </c>
      <c r="T846" s="212" t="str">
        <f>HYPERLINK((IF((VLOOKUP(Table10[[#This Row],[SKU]],'All Skus'!$A:$AC,2,FALSE))="Martin",(VLOOKUP(Table10[[#This Row],[SKU]],'All Skus'!$A:$AC,24,FALSE)),"")))</f>
        <v>http://www.martin.com/en-us/product-details/vdo-sceptron-10</v>
      </c>
      <c r="U846" s="228">
        <v>844</v>
      </c>
    </row>
    <row r="847" spans="1:21" hidden="1">
      <c r="A847" s="90">
        <v>91611843</v>
      </c>
      <c r="B847" s="224" t="str">
        <f>(IF((VLOOKUP(Table10[[#This Row],[SKU]],'All Skus'!$A:$AC,2,FALSE))="Martin",(VLOOKUP(Table10[[#This Row],[SKU]],'All Skus'!$A:$AC,3,FALSE)),""))</f>
        <v>LED Video</v>
      </c>
      <c r="C847" s="223" t="str">
        <f>(IF((VLOOKUP(Table10[[#This Row],[SKU]],'All Skus'!$A:$AC,2,FALSE))="Martin",(VLOOKUP(Table10[[#This Row],[SKU]],'All Skus'!$A:$AC,4,FALSE)),""))</f>
        <v>VDO Sceptron/Fatron Linear Coupler</v>
      </c>
      <c r="D847" s="224" t="str">
        <f>(IF((VLOOKUP(Table10[[#This Row],[SKU]],'All Skus'!$A:$AC,2,FALSE))="Martin",(VLOOKUP(Table10[[#This Row],[SKU]],'All Skus'!$A:$AC,5,FALSE)),""))</f>
        <v>MAR-VDO</v>
      </c>
      <c r="E847" s="223">
        <f>(IF((VLOOKUP(Table10[[#This Row],[SKU]],'All Skus'!$A:$AC,2,FALSE))="Martin",(VLOOKUP(Table10[[#This Row],[SKU]],'All Skus'!$A:$AC,6,FALSE)),""))</f>
        <v>0</v>
      </c>
      <c r="F847" s="155">
        <f>(IF((VLOOKUP(Table10[[#This Row],[SKU]],'All Skus'!$A:$AC,2,FALSE))="Martin",(VLOOKUP(Table10[[#This Row],[SKU]],'All Skus'!$A:$AC,7,FALSE)),""))</f>
        <v>0</v>
      </c>
      <c r="G847" s="223" t="str">
        <f>(IF((VLOOKUP(Table10[[#This Row],[SKU]],'All Skus'!$A:$AC,2,FALSE))="Martin",(VLOOKUP(Table10[[#This Row],[SKU]],'All Skus'!$A:$AC,8,FALSE)),""))</f>
        <v>VDO Sceptron/Fatron Linear Coupler</v>
      </c>
      <c r="H847" s="223" t="str">
        <f>(IF((VLOOKUP(Table10[[#This Row],[SKU]],'All Skus'!$A:$AC,2,FALSE))="Martin",(VLOOKUP(Table10[[#This Row],[SKU]],'All Skus'!$A:$AC,9,FALSE)),""))</f>
        <v>VDO Sceptron/Fatron Linear Coupler</v>
      </c>
      <c r="I847" s="225">
        <f>(IF((VLOOKUP(Table10[[#This Row],[SKU]],'All Skus'!$A:$AC,2,FALSE))="Martin",(VLOOKUP(Table10[[#This Row],[SKU]],'All Skus'!$A:$AC,10,FALSE)),""))</f>
        <v>41.98</v>
      </c>
      <c r="J847" s="226">
        <f>(IF((VLOOKUP(Table10[[#This Row],[SKU]],'All Skus'!$A:$AC,2,FALSE))="Martin",(VLOOKUP(Table10[[#This Row],[SKU]],'All Skus'!$A:$AC,11,FALSE)),""))</f>
        <v>41.98</v>
      </c>
      <c r="K847" s="224">
        <f>(IF((VLOOKUP(Table10[[#This Row],[SKU]],'All Skus'!$A:$AC,2,FALSE))="Martin",(VLOOKUP(Table10[[#This Row],[SKU]],'All Skus'!$A:$AC,15,FALSE)),""))</f>
        <v>0</v>
      </c>
      <c r="L847" s="224">
        <f>(IF((VLOOKUP(Table10[[#This Row],[SKU]],'All Skus'!$A:$AC,2,FALSE))="Martin",(VLOOKUP(Table10[[#This Row],[SKU]],'All Skus'!$A:$AC,16,FALSE)),""))</f>
        <v>0</v>
      </c>
      <c r="M847" s="224">
        <f>(IF((VLOOKUP(Table10[[#This Row],[SKU]],'All Skus'!$A:$AC,2,FALSE))="Martin",(VLOOKUP(Table10[[#This Row],[SKU]],'All Skus'!$A:$AC,17,FALSE)),""))</f>
        <v>0</v>
      </c>
      <c r="N847" s="227">
        <f>(IF((VLOOKUP(Table10[[#This Row],[SKU]],'All Skus'!$A:$AC,2,FALSE))="Martin",(VLOOKUP(Table10[[#This Row],[SKU]],'All Skus'!$A:$AC,18,FALSE)),""))</f>
        <v>0</v>
      </c>
      <c r="O847" s="227">
        <f>(IF((VLOOKUP(Table10[[#This Row],[SKU]],'All Skus'!$A:$AC,2,FALSE))="Martin",(VLOOKUP(Table10[[#This Row],[SKU]],'All Skus'!$A:$AC,19,FALSE)),""))</f>
        <v>0</v>
      </c>
      <c r="P847" s="227">
        <f>(IF((VLOOKUP(Table10[[#This Row],[SKU]],'All Skus'!$A:$AC,2,FALSE))="Martin",(VLOOKUP(Table10[[#This Row],[SKU]],'All Skus'!$A:$AC,20,FALSE)),""))</f>
        <v>0</v>
      </c>
      <c r="Q847" s="227">
        <f>(IF((VLOOKUP(Table10[[#This Row],[SKU]],'All Skus'!$A:$AC,2,FALSE))="Martin",(VLOOKUP(Table10[[#This Row],[SKU]],'All Skus'!$A:$AC,21,FALSE)),""))</f>
        <v>0</v>
      </c>
      <c r="R847" s="224" t="str">
        <f>(IF((VLOOKUP(Table10[[#This Row],[SKU]],'All Skus'!$A:$AC,2,FALSE))="Martin",(VLOOKUP(Table10[[#This Row],[SKU]],'All Skus'!$A:$AC,22,FALSE)),""))</f>
        <v>GB</v>
      </c>
      <c r="S847" s="223">
        <f>(IF((VLOOKUP(Table10[[#This Row],[SKU]],'All Skus'!$A:$AC,2,FALSE))="Martin",(VLOOKUP(Table10[[#This Row],[SKU]],'All Skus'!$A:$AC,23,FALSE)),""))</f>
        <v>0</v>
      </c>
      <c r="T847" s="212" t="str">
        <f>HYPERLINK((IF((VLOOKUP(Table10[[#This Row],[SKU]],'All Skus'!$A:$AC,2,FALSE))="Martin",(VLOOKUP(Table10[[#This Row],[SKU]],'All Skus'!$A:$AC,24,FALSE)),"")))</f>
        <v>http://www.martin.com/en-us/product-details/vdo-sceptron-20</v>
      </c>
      <c r="U847" s="228">
        <v>845</v>
      </c>
    </row>
    <row r="848" spans="1:21" hidden="1">
      <c r="A848" s="90">
        <v>91610164</v>
      </c>
      <c r="B848" s="224" t="str">
        <f>(IF((VLOOKUP(Table10[[#This Row],[SKU]],'All Skus'!$A:$AC,2,FALSE))="Martin",(VLOOKUP(Table10[[#This Row],[SKU]],'All Skus'!$A:$AC,3,FALSE)),""))</f>
        <v>LED Video</v>
      </c>
      <c r="C848" s="223" t="str">
        <f>(IF((VLOOKUP(Table10[[#This Row],[SKU]],'All Skus'!$A:$AC,2,FALSE))="Martin",(VLOOKUP(Table10[[#This Row],[SKU]],'All Skus'!$A:$AC,4,FALSE)),""))</f>
        <v>VDO Fatron Curving Coupler</v>
      </c>
      <c r="D848" s="224" t="str">
        <f>(IF((VLOOKUP(Table10[[#This Row],[SKU]],'All Skus'!$A:$AC,2,FALSE))="Martin",(VLOOKUP(Table10[[#This Row],[SKU]],'All Skus'!$A:$AC,5,FALSE)),""))</f>
        <v>MAR-VDO</v>
      </c>
      <c r="E848" s="223">
        <f>(IF((VLOOKUP(Table10[[#This Row],[SKU]],'All Skus'!$A:$AC,2,FALSE))="Martin",(VLOOKUP(Table10[[#This Row],[SKU]],'All Skus'!$A:$AC,6,FALSE)),""))</f>
        <v>0</v>
      </c>
      <c r="F848" s="155">
        <f>(IF((VLOOKUP(Table10[[#This Row],[SKU]],'All Skus'!$A:$AC,2,FALSE))="Martin",(VLOOKUP(Table10[[#This Row],[SKU]],'All Skus'!$A:$AC,7,FALSE)),""))</f>
        <v>0</v>
      </c>
      <c r="G848" s="223" t="str">
        <f>(IF((VLOOKUP(Table10[[#This Row],[SKU]],'All Skus'!$A:$AC,2,FALSE))="Martin",(VLOOKUP(Table10[[#This Row],[SKU]],'All Skus'!$A:$AC,8,FALSE)),""))</f>
        <v>VDO Fatron Curving Coupler</v>
      </c>
      <c r="H848" s="223" t="str">
        <f>(IF((VLOOKUP(Table10[[#This Row],[SKU]],'All Skus'!$A:$AC,2,FALSE))="Martin",(VLOOKUP(Table10[[#This Row],[SKU]],'All Skus'!$A:$AC,9,FALSE)),""))</f>
        <v>VDO Fatron Curving Coupler</v>
      </c>
      <c r="I848" s="225">
        <f>(IF((VLOOKUP(Table10[[#This Row],[SKU]],'All Skus'!$A:$AC,2,FALSE))="Martin",(VLOOKUP(Table10[[#This Row],[SKU]],'All Skus'!$A:$AC,10,FALSE)),""))</f>
        <v>56.8</v>
      </c>
      <c r="J848" s="226">
        <f>(IF((VLOOKUP(Table10[[#This Row],[SKU]],'All Skus'!$A:$AC,2,FALSE))="Martin",(VLOOKUP(Table10[[#This Row],[SKU]],'All Skus'!$A:$AC,11,FALSE)),""))</f>
        <v>56.8</v>
      </c>
      <c r="K848" s="224">
        <f>(IF((VLOOKUP(Table10[[#This Row],[SKU]],'All Skus'!$A:$AC,2,FALSE))="Martin",(VLOOKUP(Table10[[#This Row],[SKU]],'All Skus'!$A:$AC,15,FALSE)),""))</f>
        <v>0</v>
      </c>
      <c r="L848" s="224">
        <f>(IF((VLOOKUP(Table10[[#This Row],[SKU]],'All Skus'!$A:$AC,2,FALSE))="Martin",(VLOOKUP(Table10[[#This Row],[SKU]],'All Skus'!$A:$AC,16,FALSE)),""))</f>
        <v>0</v>
      </c>
      <c r="M848" s="224">
        <f>(IF((VLOOKUP(Table10[[#This Row],[SKU]],'All Skus'!$A:$AC,2,FALSE))="Martin",(VLOOKUP(Table10[[#This Row],[SKU]],'All Skus'!$A:$AC,17,FALSE)),""))</f>
        <v>0</v>
      </c>
      <c r="N848" s="227">
        <f>(IF((VLOOKUP(Table10[[#This Row],[SKU]],'All Skus'!$A:$AC,2,FALSE))="Martin",(VLOOKUP(Table10[[#This Row],[SKU]],'All Skus'!$A:$AC,18,FALSE)),""))</f>
        <v>0</v>
      </c>
      <c r="O848" s="227">
        <f>(IF((VLOOKUP(Table10[[#This Row],[SKU]],'All Skus'!$A:$AC,2,FALSE))="Martin",(VLOOKUP(Table10[[#This Row],[SKU]],'All Skus'!$A:$AC,19,FALSE)),""))</f>
        <v>0</v>
      </c>
      <c r="P848" s="227">
        <f>(IF((VLOOKUP(Table10[[#This Row],[SKU]],'All Skus'!$A:$AC,2,FALSE))="Martin",(VLOOKUP(Table10[[#This Row],[SKU]],'All Skus'!$A:$AC,20,FALSE)),""))</f>
        <v>0</v>
      </c>
      <c r="Q848" s="227">
        <f>(IF((VLOOKUP(Table10[[#This Row],[SKU]],'All Skus'!$A:$AC,2,FALSE))="Martin",(VLOOKUP(Table10[[#This Row],[SKU]],'All Skus'!$A:$AC,21,FALSE)),""))</f>
        <v>0</v>
      </c>
      <c r="R848" s="224" t="str">
        <f>(IF((VLOOKUP(Table10[[#This Row],[SKU]],'All Skus'!$A:$AC,2,FALSE))="Martin",(VLOOKUP(Table10[[#This Row],[SKU]],'All Skus'!$A:$AC,22,FALSE)),""))</f>
        <v>GB</v>
      </c>
      <c r="S848" s="223">
        <f>(IF((VLOOKUP(Table10[[#This Row],[SKU]],'All Skus'!$A:$AC,2,FALSE))="Martin",(VLOOKUP(Table10[[#This Row],[SKU]],'All Skus'!$A:$AC,23,FALSE)),""))</f>
        <v>0</v>
      </c>
      <c r="T848" s="212" t="str">
        <f>HYPERLINK((IF((VLOOKUP(Table10[[#This Row],[SKU]],'All Skus'!$A:$AC,2,FALSE))="Martin",(VLOOKUP(Table10[[#This Row],[SKU]],'All Skus'!$A:$AC,24,FALSE)),"")))</f>
        <v/>
      </c>
      <c r="U848" s="228">
        <v>846</v>
      </c>
    </row>
    <row r="849" spans="1:21" hidden="1">
      <c r="A849" s="90">
        <v>91611803</v>
      </c>
      <c r="B849" s="224" t="str">
        <f>(IF((VLOOKUP(Table10[[#This Row],[SKU]],'All Skus'!$A:$AC,2,FALSE))="Martin",(VLOOKUP(Table10[[#This Row],[SKU]],'All Skus'!$A:$AC,3,FALSE)),""))</f>
        <v>LED Video</v>
      </c>
      <c r="C849" s="223" t="str">
        <f>(IF((VLOOKUP(Table10[[#This Row],[SKU]],'All Skus'!$A:$AC,2,FALSE))="Martin",(VLOOKUP(Table10[[#This Row],[SKU]],'All Skus'!$A:$AC,4,FALSE)),""))</f>
        <v>VDO Dotron Flange Bracket</v>
      </c>
      <c r="D849" s="224" t="str">
        <f>(IF((VLOOKUP(Table10[[#This Row],[SKU]],'All Skus'!$A:$AC,2,FALSE))="Martin",(VLOOKUP(Table10[[#This Row],[SKU]],'All Skus'!$A:$AC,5,FALSE)),""))</f>
        <v>MAR-VDO</v>
      </c>
      <c r="E849" s="223">
        <f>(IF((VLOOKUP(Table10[[#This Row],[SKU]],'All Skus'!$A:$AC,2,FALSE))="Martin",(VLOOKUP(Table10[[#This Row],[SKU]],'All Skus'!$A:$AC,6,FALSE)),""))</f>
        <v>0</v>
      </c>
      <c r="F849" s="155">
        <f>(IF((VLOOKUP(Table10[[#This Row],[SKU]],'All Skus'!$A:$AC,2,FALSE))="Martin",(VLOOKUP(Table10[[#This Row],[SKU]],'All Skus'!$A:$AC,7,FALSE)),""))</f>
        <v>0</v>
      </c>
      <c r="G849" s="223" t="str">
        <f>(IF((VLOOKUP(Table10[[#This Row],[SKU]],'All Skus'!$A:$AC,2,FALSE))="Martin",(VLOOKUP(Table10[[#This Row],[SKU]],'All Skus'!$A:$AC,8,FALSE)),""))</f>
        <v>VDO Dotron Flange Bracket</v>
      </c>
      <c r="H849" s="223" t="str">
        <f>(IF((VLOOKUP(Table10[[#This Row],[SKU]],'All Skus'!$A:$AC,2,FALSE))="Martin",(VLOOKUP(Table10[[#This Row],[SKU]],'All Skus'!$A:$AC,9,FALSE)),""))</f>
        <v>VDO Dotron Flange Bracket</v>
      </c>
      <c r="I849" s="225">
        <f>(IF((VLOOKUP(Table10[[#This Row],[SKU]],'All Skus'!$A:$AC,2,FALSE))="Martin",(VLOOKUP(Table10[[#This Row],[SKU]],'All Skus'!$A:$AC,10,FALSE)),""))</f>
        <v>12.35</v>
      </c>
      <c r="J849" s="226">
        <f>(IF((VLOOKUP(Table10[[#This Row],[SKU]],'All Skus'!$A:$AC,2,FALSE))="Martin",(VLOOKUP(Table10[[#This Row],[SKU]],'All Skus'!$A:$AC,11,FALSE)),""))</f>
        <v>12.35</v>
      </c>
      <c r="K849" s="224">
        <f>(IF((VLOOKUP(Table10[[#This Row],[SKU]],'All Skus'!$A:$AC,2,FALSE))="Martin",(VLOOKUP(Table10[[#This Row],[SKU]],'All Skus'!$A:$AC,15,FALSE)),""))</f>
        <v>0</v>
      </c>
      <c r="L849" s="224">
        <f>(IF((VLOOKUP(Table10[[#This Row],[SKU]],'All Skus'!$A:$AC,2,FALSE))="Martin",(VLOOKUP(Table10[[#This Row],[SKU]],'All Skus'!$A:$AC,16,FALSE)),""))</f>
        <v>0</v>
      </c>
      <c r="M849" s="224">
        <f>(IF((VLOOKUP(Table10[[#This Row],[SKU]],'All Skus'!$A:$AC,2,FALSE))="Martin",(VLOOKUP(Table10[[#This Row],[SKU]],'All Skus'!$A:$AC,17,FALSE)),""))</f>
        <v>0</v>
      </c>
      <c r="N849" s="227">
        <f>(IF((VLOOKUP(Table10[[#This Row],[SKU]],'All Skus'!$A:$AC,2,FALSE))="Martin",(VLOOKUP(Table10[[#This Row],[SKU]],'All Skus'!$A:$AC,18,FALSE)),""))</f>
        <v>0</v>
      </c>
      <c r="O849" s="227">
        <f>(IF((VLOOKUP(Table10[[#This Row],[SKU]],'All Skus'!$A:$AC,2,FALSE))="Martin",(VLOOKUP(Table10[[#This Row],[SKU]],'All Skus'!$A:$AC,19,FALSE)),""))</f>
        <v>0</v>
      </c>
      <c r="P849" s="227">
        <f>(IF((VLOOKUP(Table10[[#This Row],[SKU]],'All Skus'!$A:$AC,2,FALSE))="Martin",(VLOOKUP(Table10[[#This Row],[SKU]],'All Skus'!$A:$AC,20,FALSE)),""))</f>
        <v>0</v>
      </c>
      <c r="Q849" s="227">
        <f>(IF((VLOOKUP(Table10[[#This Row],[SKU]],'All Skus'!$A:$AC,2,FALSE))="Martin",(VLOOKUP(Table10[[#This Row],[SKU]],'All Skus'!$A:$AC,21,FALSE)),""))</f>
        <v>0</v>
      </c>
      <c r="R849" s="224" t="str">
        <f>(IF((VLOOKUP(Table10[[#This Row],[SKU]],'All Skus'!$A:$AC,2,FALSE))="Martin",(VLOOKUP(Table10[[#This Row],[SKU]],'All Skus'!$A:$AC,22,FALSE)),""))</f>
        <v>CN</v>
      </c>
      <c r="S849" s="223" t="str">
        <f>(IF((VLOOKUP(Table10[[#This Row],[SKU]],'All Skus'!$A:$AC,2,FALSE))="Martin",(VLOOKUP(Table10[[#This Row],[SKU]],'All Skus'!$A:$AC,23,FALSE)),""))</f>
        <v>Non Compliant</v>
      </c>
      <c r="T849" s="212" t="str">
        <f>HYPERLINK((IF((VLOOKUP(Table10[[#This Row],[SKU]],'All Skus'!$A:$AC,2,FALSE))="Martin",(VLOOKUP(Table10[[#This Row],[SKU]],'All Skus'!$A:$AC,24,FALSE)),"")))</f>
        <v/>
      </c>
      <c r="U849" s="228">
        <v>847</v>
      </c>
    </row>
    <row r="850" spans="1:21" hidden="1">
      <c r="A850" s="90">
        <v>91611802</v>
      </c>
      <c r="B850" s="224" t="str">
        <f>(IF((VLOOKUP(Table10[[#This Row],[SKU]],'All Skus'!$A:$AC,2,FALSE))="Martin",(VLOOKUP(Table10[[#This Row],[SKU]],'All Skus'!$A:$AC,3,FALSE)),""))</f>
        <v>LED Video</v>
      </c>
      <c r="C850" s="223" t="str">
        <f>(IF((VLOOKUP(Table10[[#This Row],[SKU]],'All Skus'!$A:$AC,2,FALSE))="Martin",(VLOOKUP(Table10[[#This Row],[SKU]],'All Skus'!$A:$AC,4,FALSE)),""))</f>
        <v>VDO Dotron Half Coupler</v>
      </c>
      <c r="D850" s="224" t="str">
        <f>(IF((VLOOKUP(Table10[[#This Row],[SKU]],'All Skus'!$A:$AC,2,FALSE))="Martin",(VLOOKUP(Table10[[#This Row],[SKU]],'All Skus'!$A:$AC,5,FALSE)),""))</f>
        <v>MAR-VDO</v>
      </c>
      <c r="E850" s="223">
        <f>(IF((VLOOKUP(Table10[[#This Row],[SKU]],'All Skus'!$A:$AC,2,FALSE))="Martin",(VLOOKUP(Table10[[#This Row],[SKU]],'All Skus'!$A:$AC,6,FALSE)),""))</f>
        <v>0</v>
      </c>
      <c r="F850" s="155">
        <f>(IF((VLOOKUP(Table10[[#This Row],[SKU]],'All Skus'!$A:$AC,2,FALSE))="Martin",(VLOOKUP(Table10[[#This Row],[SKU]],'All Skus'!$A:$AC,7,FALSE)),""))</f>
        <v>0</v>
      </c>
      <c r="G850" s="223" t="str">
        <f>(IF((VLOOKUP(Table10[[#This Row],[SKU]],'All Skus'!$A:$AC,2,FALSE))="Martin",(VLOOKUP(Table10[[#This Row],[SKU]],'All Skus'!$A:$AC,8,FALSE)),""))</f>
        <v>VDO Dotron Half Coupler</v>
      </c>
      <c r="H850" s="223" t="str">
        <f>(IF((VLOOKUP(Table10[[#This Row],[SKU]],'All Skus'!$A:$AC,2,FALSE))="Martin",(VLOOKUP(Table10[[#This Row],[SKU]],'All Skus'!$A:$AC,9,FALSE)),""))</f>
        <v>VDO Dotron Half Coupler</v>
      </c>
      <c r="I850" s="225">
        <f>(IF((VLOOKUP(Table10[[#This Row],[SKU]],'All Skus'!$A:$AC,2,FALSE))="Martin",(VLOOKUP(Table10[[#This Row],[SKU]],'All Skus'!$A:$AC,10,FALSE)),""))</f>
        <v>39.51</v>
      </c>
      <c r="J850" s="226">
        <f>(IF((VLOOKUP(Table10[[#This Row],[SKU]],'All Skus'!$A:$AC,2,FALSE))="Martin",(VLOOKUP(Table10[[#This Row],[SKU]],'All Skus'!$A:$AC,11,FALSE)),""))</f>
        <v>39.51</v>
      </c>
      <c r="K850" s="224">
        <f>(IF((VLOOKUP(Table10[[#This Row],[SKU]],'All Skus'!$A:$AC,2,FALSE))="Martin",(VLOOKUP(Table10[[#This Row],[SKU]],'All Skus'!$A:$AC,15,FALSE)),""))</f>
        <v>0</v>
      </c>
      <c r="L850" s="224">
        <f>(IF((VLOOKUP(Table10[[#This Row],[SKU]],'All Skus'!$A:$AC,2,FALSE))="Martin",(VLOOKUP(Table10[[#This Row],[SKU]],'All Skus'!$A:$AC,16,FALSE)),""))</f>
        <v>0</v>
      </c>
      <c r="M850" s="224">
        <f>(IF((VLOOKUP(Table10[[#This Row],[SKU]],'All Skus'!$A:$AC,2,FALSE))="Martin",(VLOOKUP(Table10[[#This Row],[SKU]],'All Skus'!$A:$AC,17,FALSE)),""))</f>
        <v>0</v>
      </c>
      <c r="N850" s="227">
        <f>(IF((VLOOKUP(Table10[[#This Row],[SKU]],'All Skus'!$A:$AC,2,FALSE))="Martin",(VLOOKUP(Table10[[#This Row],[SKU]],'All Skus'!$A:$AC,18,FALSE)),""))</f>
        <v>0</v>
      </c>
      <c r="O850" s="227">
        <f>(IF((VLOOKUP(Table10[[#This Row],[SKU]],'All Skus'!$A:$AC,2,FALSE))="Martin",(VLOOKUP(Table10[[#This Row],[SKU]],'All Skus'!$A:$AC,19,FALSE)),""))</f>
        <v>0</v>
      </c>
      <c r="P850" s="227">
        <f>(IF((VLOOKUP(Table10[[#This Row],[SKU]],'All Skus'!$A:$AC,2,FALSE))="Martin",(VLOOKUP(Table10[[#This Row],[SKU]],'All Skus'!$A:$AC,20,FALSE)),""))</f>
        <v>0</v>
      </c>
      <c r="Q850" s="227">
        <f>(IF((VLOOKUP(Table10[[#This Row],[SKU]],'All Skus'!$A:$AC,2,FALSE))="Martin",(VLOOKUP(Table10[[#This Row],[SKU]],'All Skus'!$A:$AC,21,FALSE)),""))</f>
        <v>0</v>
      </c>
      <c r="R850" s="224" t="str">
        <f>(IF((VLOOKUP(Table10[[#This Row],[SKU]],'All Skus'!$A:$AC,2,FALSE))="Martin",(VLOOKUP(Table10[[#This Row],[SKU]],'All Skus'!$A:$AC,22,FALSE)),""))</f>
        <v>GB</v>
      </c>
      <c r="S850" s="223">
        <f>(IF((VLOOKUP(Table10[[#This Row],[SKU]],'All Skus'!$A:$AC,2,FALSE))="Martin",(VLOOKUP(Table10[[#This Row],[SKU]],'All Skus'!$A:$AC,23,FALSE)),""))</f>
        <v>0</v>
      </c>
      <c r="T850" s="212" t="str">
        <f>HYPERLINK((IF((VLOOKUP(Table10[[#This Row],[SKU]],'All Skus'!$A:$AC,2,FALSE))="Martin",(VLOOKUP(Table10[[#This Row],[SKU]],'All Skus'!$A:$AC,24,FALSE)),"")))</f>
        <v/>
      </c>
      <c r="U850" s="228">
        <v>848</v>
      </c>
    </row>
    <row r="851" spans="1:21" hidden="1">
      <c r="A851" s="90">
        <v>91616071</v>
      </c>
      <c r="B851" s="224" t="str">
        <f>(IF((VLOOKUP(Table10[[#This Row],[SKU]],'All Skus'!$A:$AC,2,FALSE))="Martin",(VLOOKUP(Table10[[#This Row],[SKU]],'All Skus'!$A:$AC,3,FALSE)),""))</f>
        <v>LED Video</v>
      </c>
      <c r="C851" s="223" t="str">
        <f>(IF((VLOOKUP(Table10[[#This Row],[SKU]],'All Skus'!$A:$AC,2,FALSE))="Martin",(VLOOKUP(Table10[[#This Row],[SKU]],'All Skus'!$A:$AC,4,FALSE)),""))</f>
        <v>VDO Dotron to VDO Sceptron/Fatron Coupler</v>
      </c>
      <c r="D851" s="224" t="str">
        <f>(IF((VLOOKUP(Table10[[#This Row],[SKU]],'All Skus'!$A:$AC,2,FALSE))="Martin",(VLOOKUP(Table10[[#This Row],[SKU]],'All Skus'!$A:$AC,5,FALSE)),""))</f>
        <v>MAR-VDO</v>
      </c>
      <c r="E851" s="223">
        <f>(IF((VLOOKUP(Table10[[#This Row],[SKU]],'All Skus'!$A:$AC,2,FALSE))="Martin",(VLOOKUP(Table10[[#This Row],[SKU]],'All Skus'!$A:$AC,6,FALSE)),""))</f>
        <v>0</v>
      </c>
      <c r="F851" s="155">
        <f>(IF((VLOOKUP(Table10[[#This Row],[SKU]],'All Skus'!$A:$AC,2,FALSE))="Martin",(VLOOKUP(Table10[[#This Row],[SKU]],'All Skus'!$A:$AC,7,FALSE)),""))</f>
        <v>0</v>
      </c>
      <c r="G851" s="223" t="str">
        <f>(IF((VLOOKUP(Table10[[#This Row],[SKU]],'All Skus'!$A:$AC,2,FALSE))="Martin",(VLOOKUP(Table10[[#This Row],[SKU]],'All Skus'!$A:$AC,8,FALSE)),""))</f>
        <v>VDO Dotron to VDO Sceptron/Fatron Coupler</v>
      </c>
      <c r="H851" s="223" t="str">
        <f>(IF((VLOOKUP(Table10[[#This Row],[SKU]],'All Skus'!$A:$AC,2,FALSE))="Martin",(VLOOKUP(Table10[[#This Row],[SKU]],'All Skus'!$A:$AC,9,FALSE)),""))</f>
        <v>VDO Dotron to VDO Sceptron/Fatron Coupler</v>
      </c>
      <c r="I851" s="225">
        <f>(IF((VLOOKUP(Table10[[#This Row],[SKU]],'All Skus'!$A:$AC,2,FALSE))="Martin",(VLOOKUP(Table10[[#This Row],[SKU]],'All Skus'!$A:$AC,10,FALSE)),""))</f>
        <v>40.75</v>
      </c>
      <c r="J851" s="226">
        <f>(IF((VLOOKUP(Table10[[#This Row],[SKU]],'All Skus'!$A:$AC,2,FALSE))="Martin",(VLOOKUP(Table10[[#This Row],[SKU]],'All Skus'!$A:$AC,11,FALSE)),""))</f>
        <v>40.75</v>
      </c>
      <c r="K851" s="224">
        <f>(IF((VLOOKUP(Table10[[#This Row],[SKU]],'All Skus'!$A:$AC,2,FALSE))="Martin",(VLOOKUP(Table10[[#This Row],[SKU]],'All Skus'!$A:$AC,15,FALSE)),""))</f>
        <v>0</v>
      </c>
      <c r="L851" s="224">
        <f>(IF((VLOOKUP(Table10[[#This Row],[SKU]],'All Skus'!$A:$AC,2,FALSE))="Martin",(VLOOKUP(Table10[[#This Row],[SKU]],'All Skus'!$A:$AC,16,FALSE)),""))</f>
        <v>0</v>
      </c>
      <c r="M851" s="224">
        <f>(IF((VLOOKUP(Table10[[#This Row],[SKU]],'All Skus'!$A:$AC,2,FALSE))="Martin",(VLOOKUP(Table10[[#This Row],[SKU]],'All Skus'!$A:$AC,17,FALSE)),""))</f>
        <v>0</v>
      </c>
      <c r="N851" s="227">
        <f>(IF((VLOOKUP(Table10[[#This Row],[SKU]],'All Skus'!$A:$AC,2,FALSE))="Martin",(VLOOKUP(Table10[[#This Row],[SKU]],'All Skus'!$A:$AC,18,FALSE)),""))</f>
        <v>0</v>
      </c>
      <c r="O851" s="227">
        <f>(IF((VLOOKUP(Table10[[#This Row],[SKU]],'All Skus'!$A:$AC,2,FALSE))="Martin",(VLOOKUP(Table10[[#This Row],[SKU]],'All Skus'!$A:$AC,19,FALSE)),""))</f>
        <v>0</v>
      </c>
      <c r="P851" s="227">
        <f>(IF((VLOOKUP(Table10[[#This Row],[SKU]],'All Skus'!$A:$AC,2,FALSE))="Martin",(VLOOKUP(Table10[[#This Row],[SKU]],'All Skus'!$A:$AC,20,FALSE)),""))</f>
        <v>0</v>
      </c>
      <c r="Q851" s="227">
        <f>(IF((VLOOKUP(Table10[[#This Row],[SKU]],'All Skus'!$A:$AC,2,FALSE))="Martin",(VLOOKUP(Table10[[#This Row],[SKU]],'All Skus'!$A:$AC,21,FALSE)),""))</f>
        <v>0</v>
      </c>
      <c r="R851" s="224" t="str">
        <f>(IF((VLOOKUP(Table10[[#This Row],[SKU]],'All Skus'!$A:$AC,2,FALSE))="Martin",(VLOOKUP(Table10[[#This Row],[SKU]],'All Skus'!$A:$AC,22,FALSE)),""))</f>
        <v>GB</v>
      </c>
      <c r="S851" s="223">
        <f>(IF((VLOOKUP(Table10[[#This Row],[SKU]],'All Skus'!$A:$AC,2,FALSE))="Martin",(VLOOKUP(Table10[[#This Row],[SKU]],'All Skus'!$A:$AC,23,FALSE)),""))</f>
        <v>0</v>
      </c>
      <c r="T851" s="212" t="str">
        <f>HYPERLINK((IF((VLOOKUP(Table10[[#This Row],[SKU]],'All Skus'!$A:$AC,2,FALSE))="Martin",(VLOOKUP(Table10[[#This Row],[SKU]],'All Skus'!$A:$AC,24,FALSE)),"")))</f>
        <v/>
      </c>
      <c r="U851" s="228">
        <v>849</v>
      </c>
    </row>
    <row r="852" spans="1:21" hidden="1">
      <c r="A852" s="90">
        <v>91616072</v>
      </c>
      <c r="B852" s="224" t="str">
        <f>(IF((VLOOKUP(Table10[[#This Row],[SKU]],'All Skus'!$A:$AC,2,FALSE))="Martin",(VLOOKUP(Table10[[#This Row],[SKU]],'All Skus'!$A:$AC,3,FALSE)),""))</f>
        <v>LED Video</v>
      </c>
      <c r="C852" s="223" t="str">
        <f>(IF((VLOOKUP(Table10[[#This Row],[SKU]],'All Skus'!$A:$AC,2,FALSE))="Martin",(VLOOKUP(Table10[[#This Row],[SKU]],'All Skus'!$A:$AC,4,FALSE)),""))</f>
        <v>VDO Dotron to VDO Sceptron/Fatron Pivot Coupler</v>
      </c>
      <c r="D852" s="224" t="str">
        <f>(IF((VLOOKUP(Table10[[#This Row],[SKU]],'All Skus'!$A:$AC,2,FALSE))="Martin",(VLOOKUP(Table10[[#This Row],[SKU]],'All Skus'!$A:$AC,5,FALSE)),""))</f>
        <v>MAR-VDO</v>
      </c>
      <c r="E852" s="223">
        <f>(IF((VLOOKUP(Table10[[#This Row],[SKU]],'All Skus'!$A:$AC,2,FALSE))="Martin",(VLOOKUP(Table10[[#This Row],[SKU]],'All Skus'!$A:$AC,6,FALSE)),""))</f>
        <v>0</v>
      </c>
      <c r="F852" s="155">
        <f>(IF((VLOOKUP(Table10[[#This Row],[SKU]],'All Skus'!$A:$AC,2,FALSE))="Martin",(VLOOKUP(Table10[[#This Row],[SKU]],'All Skus'!$A:$AC,7,FALSE)),""))</f>
        <v>0</v>
      </c>
      <c r="G852" s="223" t="str">
        <f>(IF((VLOOKUP(Table10[[#This Row],[SKU]],'All Skus'!$A:$AC,2,FALSE))="Martin",(VLOOKUP(Table10[[#This Row],[SKU]],'All Skus'!$A:$AC,8,FALSE)),""))</f>
        <v>VDO Dotron to VDO Sceptron/Fatron Pivot Coupler</v>
      </c>
      <c r="H852" s="223" t="str">
        <f>(IF((VLOOKUP(Table10[[#This Row],[SKU]],'All Skus'!$A:$AC,2,FALSE))="Martin",(VLOOKUP(Table10[[#This Row],[SKU]],'All Skus'!$A:$AC,9,FALSE)),""))</f>
        <v>VDO Dotron to VDO Sceptron/Fatron Pivot Coupler</v>
      </c>
      <c r="I852" s="225">
        <f>(IF((VLOOKUP(Table10[[#This Row],[SKU]],'All Skus'!$A:$AC,2,FALSE))="Martin",(VLOOKUP(Table10[[#This Row],[SKU]],'All Skus'!$A:$AC,10,FALSE)),""))</f>
        <v>114.83</v>
      </c>
      <c r="J852" s="226">
        <f>(IF((VLOOKUP(Table10[[#This Row],[SKU]],'All Skus'!$A:$AC,2,FALSE))="Martin",(VLOOKUP(Table10[[#This Row],[SKU]],'All Skus'!$A:$AC,11,FALSE)),""))</f>
        <v>114.83</v>
      </c>
      <c r="K852" s="224">
        <f>(IF((VLOOKUP(Table10[[#This Row],[SKU]],'All Skus'!$A:$AC,2,FALSE))="Martin",(VLOOKUP(Table10[[#This Row],[SKU]],'All Skus'!$A:$AC,15,FALSE)),""))</f>
        <v>0</v>
      </c>
      <c r="L852" s="224">
        <f>(IF((VLOOKUP(Table10[[#This Row],[SKU]],'All Skus'!$A:$AC,2,FALSE))="Martin",(VLOOKUP(Table10[[#This Row],[SKU]],'All Skus'!$A:$AC,16,FALSE)),""))</f>
        <v>0</v>
      </c>
      <c r="M852" s="224">
        <f>(IF((VLOOKUP(Table10[[#This Row],[SKU]],'All Skus'!$A:$AC,2,FALSE))="Martin",(VLOOKUP(Table10[[#This Row],[SKU]],'All Skus'!$A:$AC,17,FALSE)),""))</f>
        <v>0</v>
      </c>
      <c r="N852" s="227">
        <f>(IF((VLOOKUP(Table10[[#This Row],[SKU]],'All Skus'!$A:$AC,2,FALSE))="Martin",(VLOOKUP(Table10[[#This Row],[SKU]],'All Skus'!$A:$AC,18,FALSE)),""))</f>
        <v>0</v>
      </c>
      <c r="O852" s="227">
        <f>(IF((VLOOKUP(Table10[[#This Row],[SKU]],'All Skus'!$A:$AC,2,FALSE))="Martin",(VLOOKUP(Table10[[#This Row],[SKU]],'All Skus'!$A:$AC,19,FALSE)),""))</f>
        <v>0</v>
      </c>
      <c r="P852" s="227">
        <f>(IF((VLOOKUP(Table10[[#This Row],[SKU]],'All Skus'!$A:$AC,2,FALSE))="Martin",(VLOOKUP(Table10[[#This Row],[SKU]],'All Skus'!$A:$AC,20,FALSE)),""))</f>
        <v>0</v>
      </c>
      <c r="Q852" s="227">
        <f>(IF((VLOOKUP(Table10[[#This Row],[SKU]],'All Skus'!$A:$AC,2,FALSE))="Martin",(VLOOKUP(Table10[[#This Row],[SKU]],'All Skus'!$A:$AC,21,FALSE)),""))</f>
        <v>0</v>
      </c>
      <c r="R852" s="224" t="str">
        <f>(IF((VLOOKUP(Table10[[#This Row],[SKU]],'All Skus'!$A:$AC,2,FALSE))="Martin",(VLOOKUP(Table10[[#This Row],[SKU]],'All Skus'!$A:$AC,22,FALSE)),""))</f>
        <v>GB</v>
      </c>
      <c r="S852" s="223">
        <f>(IF((VLOOKUP(Table10[[#This Row],[SKU]],'All Skus'!$A:$AC,2,FALSE))="Martin",(VLOOKUP(Table10[[#This Row],[SKU]],'All Skus'!$A:$AC,23,FALSE)),""))</f>
        <v>0</v>
      </c>
      <c r="T852" s="212" t="str">
        <f>HYPERLINK((IF((VLOOKUP(Table10[[#This Row],[SKU]],'All Skus'!$A:$AC,2,FALSE))="Martin",(VLOOKUP(Table10[[#This Row],[SKU]],'All Skus'!$A:$AC,24,FALSE)),"")))</f>
        <v/>
      </c>
      <c r="U852" s="228">
        <v>850</v>
      </c>
    </row>
    <row r="853" spans="1:21" hidden="1">
      <c r="A853" s="90">
        <v>91616100</v>
      </c>
      <c r="B853" s="224">
        <f>(IF((VLOOKUP(Table10[[#This Row],[SKU]],'All Skus'!$A:$AC,2,FALSE))="Martin",(VLOOKUP(Table10[[#This Row],[SKU]],'All Skus'!$A:$AC,3,FALSE)),""))</f>
        <v>0</v>
      </c>
      <c r="C853" s="223" t="str">
        <f>(IF((VLOOKUP(Table10[[#This Row],[SKU]],'All Skus'!$A:$AC,2,FALSE))="Martin",(VLOOKUP(Table10[[#This Row],[SKU]],'All Skus'!$A:$AC,4,FALSE)),""))</f>
        <v>VDO Dotron MultiRig Bar 1000mm</v>
      </c>
      <c r="D853" s="224" t="str">
        <f>(IF((VLOOKUP(Table10[[#This Row],[SKU]],'All Skus'!$A:$AC,2,FALSE))="Martin",(VLOOKUP(Table10[[#This Row],[SKU]],'All Skus'!$A:$AC,5,FALSE)),""))</f>
        <v>MAR-VDO</v>
      </c>
      <c r="E853" s="223">
        <f>(IF((VLOOKUP(Table10[[#This Row],[SKU]],'All Skus'!$A:$AC,2,FALSE))="Martin",(VLOOKUP(Table10[[#This Row],[SKU]],'All Skus'!$A:$AC,6,FALSE)),""))</f>
        <v>0</v>
      </c>
      <c r="F853" s="155">
        <f>(IF((VLOOKUP(Table10[[#This Row],[SKU]],'All Skus'!$A:$AC,2,FALSE))="Martin",(VLOOKUP(Table10[[#This Row],[SKU]],'All Skus'!$A:$AC,7,FALSE)),""))</f>
        <v>0</v>
      </c>
      <c r="G853" s="223" t="str">
        <f>(IF((VLOOKUP(Table10[[#This Row],[SKU]],'All Skus'!$A:$AC,2,FALSE))="Martin",(VLOOKUP(Table10[[#This Row],[SKU]],'All Skus'!$A:$AC,8,FALSE)),""))</f>
        <v>VDO Dotron MultiRig Bar 1000mm</v>
      </c>
      <c r="H853" s="223" t="str">
        <f>(IF((VLOOKUP(Table10[[#This Row],[SKU]],'All Skus'!$A:$AC,2,FALSE))="Martin",(VLOOKUP(Table10[[#This Row],[SKU]],'All Skus'!$A:$AC,9,FALSE)),""))</f>
        <v>VDO Dotron MultiRig Bar 1000mm</v>
      </c>
      <c r="I853" s="225">
        <f>(IF((VLOOKUP(Table10[[#This Row],[SKU]],'All Skus'!$A:$AC,2,FALSE))="Martin",(VLOOKUP(Table10[[#This Row],[SKU]],'All Skus'!$A:$AC,10,FALSE)),""))</f>
        <v>111.13</v>
      </c>
      <c r="J853" s="226">
        <f>(IF((VLOOKUP(Table10[[#This Row],[SKU]],'All Skus'!$A:$AC,2,FALSE))="Martin",(VLOOKUP(Table10[[#This Row],[SKU]],'All Skus'!$A:$AC,11,FALSE)),""))</f>
        <v>111.13</v>
      </c>
      <c r="K853" s="224">
        <f>(IF((VLOOKUP(Table10[[#This Row],[SKU]],'All Skus'!$A:$AC,2,FALSE))="Martin",(VLOOKUP(Table10[[#This Row],[SKU]],'All Skus'!$A:$AC,15,FALSE)),""))</f>
        <v>0</v>
      </c>
      <c r="L853" s="224">
        <f>(IF((VLOOKUP(Table10[[#This Row],[SKU]],'All Skus'!$A:$AC,2,FALSE))="Martin",(VLOOKUP(Table10[[#This Row],[SKU]],'All Skus'!$A:$AC,16,FALSE)),""))</f>
        <v>0</v>
      </c>
      <c r="M853" s="224">
        <f>(IF((VLOOKUP(Table10[[#This Row],[SKU]],'All Skus'!$A:$AC,2,FALSE))="Martin",(VLOOKUP(Table10[[#This Row],[SKU]],'All Skus'!$A:$AC,17,FALSE)),""))</f>
        <v>0</v>
      </c>
      <c r="N853" s="227">
        <f>(IF((VLOOKUP(Table10[[#This Row],[SKU]],'All Skus'!$A:$AC,2,FALSE))="Martin",(VLOOKUP(Table10[[#This Row],[SKU]],'All Skus'!$A:$AC,18,FALSE)),""))</f>
        <v>0</v>
      </c>
      <c r="O853" s="227">
        <f>(IF((VLOOKUP(Table10[[#This Row],[SKU]],'All Skus'!$A:$AC,2,FALSE))="Martin",(VLOOKUP(Table10[[#This Row],[SKU]],'All Skus'!$A:$AC,19,FALSE)),""))</f>
        <v>0</v>
      </c>
      <c r="P853" s="227">
        <f>(IF((VLOOKUP(Table10[[#This Row],[SKU]],'All Skus'!$A:$AC,2,FALSE))="Martin",(VLOOKUP(Table10[[#This Row],[SKU]],'All Skus'!$A:$AC,20,FALSE)),""))</f>
        <v>0</v>
      </c>
      <c r="Q853" s="227">
        <f>(IF((VLOOKUP(Table10[[#This Row],[SKU]],'All Skus'!$A:$AC,2,FALSE))="Martin",(VLOOKUP(Table10[[#This Row],[SKU]],'All Skus'!$A:$AC,21,FALSE)),""))</f>
        <v>0</v>
      </c>
      <c r="R853" s="224">
        <f>(IF((VLOOKUP(Table10[[#This Row],[SKU]],'All Skus'!$A:$AC,2,FALSE))="Martin",(VLOOKUP(Table10[[#This Row],[SKU]],'All Skus'!$A:$AC,22,FALSE)),""))</f>
        <v>0</v>
      </c>
      <c r="S853" s="223">
        <f>(IF((VLOOKUP(Table10[[#This Row],[SKU]],'All Skus'!$A:$AC,2,FALSE))="Martin",(VLOOKUP(Table10[[#This Row],[SKU]],'All Skus'!$A:$AC,23,FALSE)),""))</f>
        <v>0</v>
      </c>
      <c r="T853" s="212" t="str">
        <f>HYPERLINK((IF((VLOOKUP(Table10[[#This Row],[SKU]],'All Skus'!$A:$AC,2,FALSE))="Martin",(VLOOKUP(Table10[[#This Row],[SKU]],'All Skus'!$A:$AC,24,FALSE)),"")))</f>
        <v/>
      </c>
      <c r="U853" s="228">
        <v>851</v>
      </c>
    </row>
    <row r="854" spans="1:21" hidden="1">
      <c r="A854" s="115" t="s">
        <v>2370</v>
      </c>
      <c r="B854" s="224">
        <f>(IF((VLOOKUP(Table10[[#This Row],[SKU]],'All Skus'!$A:$AC,2,FALSE))="Martin",(VLOOKUP(Table10[[#This Row],[SKU]],'All Skus'!$A:$AC,3,FALSE)),""))</f>
        <v>0</v>
      </c>
      <c r="C854" s="223">
        <f>(IF((VLOOKUP(Table10[[#This Row],[SKU]],'All Skus'!$A:$AC,2,FALSE))="Martin",(VLOOKUP(Table10[[#This Row],[SKU]],'All Skus'!$A:$AC,4,FALSE)),""))</f>
        <v>0</v>
      </c>
      <c r="D854" s="224">
        <f>(IF((VLOOKUP(Table10[[#This Row],[SKU]],'All Skus'!$A:$AC,2,FALSE))="Martin",(VLOOKUP(Table10[[#This Row],[SKU]],'All Skus'!$A:$AC,5,FALSE)),""))</f>
        <v>0</v>
      </c>
      <c r="E854" s="223">
        <f>(IF((VLOOKUP(Table10[[#This Row],[SKU]],'All Skus'!$A:$AC,2,FALSE))="Martin",(VLOOKUP(Table10[[#This Row],[SKU]],'All Skus'!$A:$AC,6,FALSE)),""))</f>
        <v>0</v>
      </c>
      <c r="F854" s="155">
        <f>(IF((VLOOKUP(Table10[[#This Row],[SKU]],'All Skus'!$A:$AC,2,FALSE))="Martin",(VLOOKUP(Table10[[#This Row],[SKU]],'All Skus'!$A:$AC,7,FALSE)),""))</f>
        <v>0</v>
      </c>
      <c r="G854" s="223">
        <f>(IF((VLOOKUP(Table10[[#This Row],[SKU]],'All Skus'!$A:$AC,2,FALSE))="Martin",(VLOOKUP(Table10[[#This Row],[SKU]],'All Skus'!$A:$AC,8,FALSE)),""))</f>
        <v>0</v>
      </c>
      <c r="H854" s="223">
        <f>(IF((VLOOKUP(Table10[[#This Row],[SKU]],'All Skus'!$A:$AC,2,FALSE))="Martin",(VLOOKUP(Table10[[#This Row],[SKU]],'All Skus'!$A:$AC,9,FALSE)),""))</f>
        <v>0</v>
      </c>
      <c r="I854" s="225">
        <f>(IF((VLOOKUP(Table10[[#This Row],[SKU]],'All Skus'!$A:$AC,2,FALSE))="Martin",(VLOOKUP(Table10[[#This Row],[SKU]],'All Skus'!$A:$AC,10,FALSE)),""))</f>
        <v>0</v>
      </c>
      <c r="J854" s="226">
        <f>(IF((VLOOKUP(Table10[[#This Row],[SKU]],'All Skus'!$A:$AC,2,FALSE))="Martin",(VLOOKUP(Table10[[#This Row],[SKU]],'All Skus'!$A:$AC,11,FALSE)),""))</f>
        <v>0</v>
      </c>
      <c r="K854" s="224">
        <f>(IF((VLOOKUP(Table10[[#This Row],[SKU]],'All Skus'!$A:$AC,2,FALSE))="Martin",(VLOOKUP(Table10[[#This Row],[SKU]],'All Skus'!$A:$AC,15,FALSE)),""))</f>
        <v>0</v>
      </c>
      <c r="L854" s="224">
        <f>(IF((VLOOKUP(Table10[[#This Row],[SKU]],'All Skus'!$A:$AC,2,FALSE))="Martin",(VLOOKUP(Table10[[#This Row],[SKU]],'All Skus'!$A:$AC,16,FALSE)),""))</f>
        <v>0</v>
      </c>
      <c r="M854" s="224">
        <f>(IF((VLOOKUP(Table10[[#This Row],[SKU]],'All Skus'!$A:$AC,2,FALSE))="Martin",(VLOOKUP(Table10[[#This Row],[SKU]],'All Skus'!$A:$AC,17,FALSE)),""))</f>
        <v>0</v>
      </c>
      <c r="N854" s="227">
        <f>(IF((VLOOKUP(Table10[[#This Row],[SKU]],'All Skus'!$A:$AC,2,FALSE))="Martin",(VLOOKUP(Table10[[#This Row],[SKU]],'All Skus'!$A:$AC,18,FALSE)),""))</f>
        <v>0</v>
      </c>
      <c r="O854" s="227">
        <f>(IF((VLOOKUP(Table10[[#This Row],[SKU]],'All Skus'!$A:$AC,2,FALSE))="Martin",(VLOOKUP(Table10[[#This Row],[SKU]],'All Skus'!$A:$AC,19,FALSE)),""))</f>
        <v>0</v>
      </c>
      <c r="P854" s="227">
        <f>(IF((VLOOKUP(Table10[[#This Row],[SKU]],'All Skus'!$A:$AC,2,FALSE))="Martin",(VLOOKUP(Table10[[#This Row],[SKU]],'All Skus'!$A:$AC,20,FALSE)),""))</f>
        <v>0</v>
      </c>
      <c r="Q854" s="227">
        <f>(IF((VLOOKUP(Table10[[#This Row],[SKU]],'All Skus'!$A:$AC,2,FALSE))="Martin",(VLOOKUP(Table10[[#This Row],[SKU]],'All Skus'!$A:$AC,21,FALSE)),""))</f>
        <v>0</v>
      </c>
      <c r="R854" s="224">
        <f>(IF((VLOOKUP(Table10[[#This Row],[SKU]],'All Skus'!$A:$AC,2,FALSE))="Martin",(VLOOKUP(Table10[[#This Row],[SKU]],'All Skus'!$A:$AC,22,FALSE)),""))</f>
        <v>0</v>
      </c>
      <c r="S854" s="223">
        <f>(IF((VLOOKUP(Table10[[#This Row],[SKU]],'All Skus'!$A:$AC,2,FALSE))="Martin",(VLOOKUP(Table10[[#This Row],[SKU]],'All Skus'!$A:$AC,23,FALSE)),""))</f>
        <v>0</v>
      </c>
      <c r="T854" s="212" t="str">
        <f>HYPERLINK((IF((VLOOKUP(Table10[[#This Row],[SKU]],'All Skus'!$A:$AC,2,FALSE))="Martin",(VLOOKUP(Table10[[#This Row],[SKU]],'All Skus'!$A:$AC,24,FALSE)),"")))</f>
        <v/>
      </c>
      <c r="U854" s="228">
        <v>852</v>
      </c>
    </row>
    <row r="855" spans="1:21" hidden="1">
      <c r="A855" s="111" t="s">
        <v>2371</v>
      </c>
      <c r="B855" s="224">
        <f>(IF((VLOOKUP(Table10[[#This Row],[SKU]],'All Skus'!$A:$AC,2,FALSE))="Martin",(VLOOKUP(Table10[[#This Row],[SKU]],'All Skus'!$A:$AC,3,FALSE)),""))</f>
        <v>0</v>
      </c>
      <c r="C855" s="223">
        <f>(IF((VLOOKUP(Table10[[#This Row],[SKU]],'All Skus'!$A:$AC,2,FALSE))="Martin",(VLOOKUP(Table10[[#This Row],[SKU]],'All Skus'!$A:$AC,4,FALSE)),""))</f>
        <v>0</v>
      </c>
      <c r="D855" s="224">
        <f>(IF((VLOOKUP(Table10[[#This Row],[SKU]],'All Skus'!$A:$AC,2,FALSE))="Martin",(VLOOKUP(Table10[[#This Row],[SKU]],'All Skus'!$A:$AC,5,FALSE)),""))</f>
        <v>0</v>
      </c>
      <c r="E855" s="223">
        <f>(IF((VLOOKUP(Table10[[#This Row],[SKU]],'All Skus'!$A:$AC,2,FALSE))="Martin",(VLOOKUP(Table10[[#This Row],[SKU]],'All Skus'!$A:$AC,6,FALSE)),""))</f>
        <v>0</v>
      </c>
      <c r="F855" s="155">
        <f>(IF((VLOOKUP(Table10[[#This Row],[SKU]],'All Skus'!$A:$AC,2,FALSE))="Martin",(VLOOKUP(Table10[[#This Row],[SKU]],'All Skus'!$A:$AC,7,FALSE)),""))</f>
        <v>0</v>
      </c>
      <c r="G855" s="223">
        <f>(IF((VLOOKUP(Table10[[#This Row],[SKU]],'All Skus'!$A:$AC,2,FALSE))="Martin",(VLOOKUP(Table10[[#This Row],[SKU]],'All Skus'!$A:$AC,8,FALSE)),""))</f>
        <v>0</v>
      </c>
      <c r="H855" s="223">
        <f>(IF((VLOOKUP(Table10[[#This Row],[SKU]],'All Skus'!$A:$AC,2,FALSE))="Martin",(VLOOKUP(Table10[[#This Row],[SKU]],'All Skus'!$A:$AC,9,FALSE)),""))</f>
        <v>0</v>
      </c>
      <c r="I855" s="225">
        <f>(IF((VLOOKUP(Table10[[#This Row],[SKU]],'All Skus'!$A:$AC,2,FALSE))="Martin",(VLOOKUP(Table10[[#This Row],[SKU]],'All Skus'!$A:$AC,10,FALSE)),""))</f>
        <v>0</v>
      </c>
      <c r="J855" s="226">
        <f>(IF((VLOOKUP(Table10[[#This Row],[SKU]],'All Skus'!$A:$AC,2,FALSE))="Martin",(VLOOKUP(Table10[[#This Row],[SKU]],'All Skus'!$A:$AC,11,FALSE)),""))</f>
        <v>0</v>
      </c>
      <c r="K855" s="224">
        <f>(IF((VLOOKUP(Table10[[#This Row],[SKU]],'All Skus'!$A:$AC,2,FALSE))="Martin",(VLOOKUP(Table10[[#This Row],[SKU]],'All Skus'!$A:$AC,15,FALSE)),""))</f>
        <v>0</v>
      </c>
      <c r="L855" s="224">
        <f>(IF((VLOOKUP(Table10[[#This Row],[SKU]],'All Skus'!$A:$AC,2,FALSE))="Martin",(VLOOKUP(Table10[[#This Row],[SKU]],'All Skus'!$A:$AC,16,FALSE)),""))</f>
        <v>0</v>
      </c>
      <c r="M855" s="224">
        <f>(IF((VLOOKUP(Table10[[#This Row],[SKU]],'All Skus'!$A:$AC,2,FALSE))="Martin",(VLOOKUP(Table10[[#This Row],[SKU]],'All Skus'!$A:$AC,17,FALSE)),""))</f>
        <v>0</v>
      </c>
      <c r="N855" s="227">
        <f>(IF((VLOOKUP(Table10[[#This Row],[SKU]],'All Skus'!$A:$AC,2,FALSE))="Martin",(VLOOKUP(Table10[[#This Row],[SKU]],'All Skus'!$A:$AC,18,FALSE)),""))</f>
        <v>0</v>
      </c>
      <c r="O855" s="227">
        <f>(IF((VLOOKUP(Table10[[#This Row],[SKU]],'All Skus'!$A:$AC,2,FALSE))="Martin",(VLOOKUP(Table10[[#This Row],[SKU]],'All Skus'!$A:$AC,19,FALSE)),""))</f>
        <v>0</v>
      </c>
      <c r="P855" s="227">
        <f>(IF((VLOOKUP(Table10[[#This Row],[SKU]],'All Skus'!$A:$AC,2,FALSE))="Martin",(VLOOKUP(Table10[[#This Row],[SKU]],'All Skus'!$A:$AC,20,FALSE)),""))</f>
        <v>0</v>
      </c>
      <c r="Q855" s="227">
        <f>(IF((VLOOKUP(Table10[[#This Row],[SKU]],'All Skus'!$A:$AC,2,FALSE))="Martin",(VLOOKUP(Table10[[#This Row],[SKU]],'All Skus'!$A:$AC,21,FALSE)),""))</f>
        <v>0</v>
      </c>
      <c r="R855" s="224">
        <f>(IF((VLOOKUP(Table10[[#This Row],[SKU]],'All Skus'!$A:$AC,2,FALSE))="Martin",(VLOOKUP(Table10[[#This Row],[SKU]],'All Skus'!$A:$AC,22,FALSE)),""))</f>
        <v>0</v>
      </c>
      <c r="S855" s="223">
        <f>(IF((VLOOKUP(Table10[[#This Row],[SKU]],'All Skus'!$A:$AC,2,FALSE))="Martin",(VLOOKUP(Table10[[#This Row],[SKU]],'All Skus'!$A:$AC,23,FALSE)),""))</f>
        <v>0</v>
      </c>
      <c r="T855" s="212" t="str">
        <f>HYPERLINK((IF((VLOOKUP(Table10[[#This Row],[SKU]],'All Skus'!$A:$AC,2,FALSE))="Martin",(VLOOKUP(Table10[[#This Row],[SKU]],'All Skus'!$A:$AC,24,FALSE)),"")))</f>
        <v/>
      </c>
      <c r="U855" s="228">
        <v>853</v>
      </c>
    </row>
    <row r="856" spans="1:21" hidden="1">
      <c r="A856" s="115" t="s">
        <v>2372</v>
      </c>
      <c r="B856" s="224">
        <f>(IF((VLOOKUP(Table10[[#This Row],[SKU]],'All Skus'!$A:$AC,2,FALSE))="Martin",(VLOOKUP(Table10[[#This Row],[SKU]],'All Skus'!$A:$AC,3,FALSE)),""))</f>
        <v>0</v>
      </c>
      <c r="C856" s="223">
        <f>(IF((VLOOKUP(Table10[[#This Row],[SKU]],'All Skus'!$A:$AC,2,FALSE))="Martin",(VLOOKUP(Table10[[#This Row],[SKU]],'All Skus'!$A:$AC,4,FALSE)),""))</f>
        <v>0</v>
      </c>
      <c r="D856" s="224">
        <f>(IF((VLOOKUP(Table10[[#This Row],[SKU]],'All Skus'!$A:$AC,2,FALSE))="Martin",(VLOOKUP(Table10[[#This Row],[SKU]],'All Skus'!$A:$AC,5,FALSE)),""))</f>
        <v>0</v>
      </c>
      <c r="E856" s="223">
        <f>(IF((VLOOKUP(Table10[[#This Row],[SKU]],'All Skus'!$A:$AC,2,FALSE))="Martin",(VLOOKUP(Table10[[#This Row],[SKU]],'All Skus'!$A:$AC,6,FALSE)),""))</f>
        <v>0</v>
      </c>
      <c r="F856" s="155">
        <f>(IF((VLOOKUP(Table10[[#This Row],[SKU]],'All Skus'!$A:$AC,2,FALSE))="Martin",(VLOOKUP(Table10[[#This Row],[SKU]],'All Skus'!$A:$AC,7,FALSE)),""))</f>
        <v>0</v>
      </c>
      <c r="G856" s="223">
        <f>(IF((VLOOKUP(Table10[[#This Row],[SKU]],'All Skus'!$A:$AC,2,FALSE))="Martin",(VLOOKUP(Table10[[#This Row],[SKU]],'All Skus'!$A:$AC,8,FALSE)),""))</f>
        <v>0</v>
      </c>
      <c r="H856" s="223">
        <f>(IF((VLOOKUP(Table10[[#This Row],[SKU]],'All Skus'!$A:$AC,2,FALSE))="Martin",(VLOOKUP(Table10[[#This Row],[SKU]],'All Skus'!$A:$AC,9,FALSE)),""))</f>
        <v>0</v>
      </c>
      <c r="I856" s="225">
        <f>(IF((VLOOKUP(Table10[[#This Row],[SKU]],'All Skus'!$A:$AC,2,FALSE))="Martin",(VLOOKUP(Table10[[#This Row],[SKU]],'All Skus'!$A:$AC,10,FALSE)),""))</f>
        <v>0</v>
      </c>
      <c r="J856" s="226">
        <f>(IF((VLOOKUP(Table10[[#This Row],[SKU]],'All Skus'!$A:$AC,2,FALSE))="Martin",(VLOOKUP(Table10[[#This Row],[SKU]],'All Skus'!$A:$AC,11,FALSE)),""))</f>
        <v>0</v>
      </c>
      <c r="K856" s="224">
        <f>(IF((VLOOKUP(Table10[[#This Row],[SKU]],'All Skus'!$A:$AC,2,FALSE))="Martin",(VLOOKUP(Table10[[#This Row],[SKU]],'All Skus'!$A:$AC,15,FALSE)),""))</f>
        <v>0</v>
      </c>
      <c r="L856" s="224">
        <f>(IF((VLOOKUP(Table10[[#This Row],[SKU]],'All Skus'!$A:$AC,2,FALSE))="Martin",(VLOOKUP(Table10[[#This Row],[SKU]],'All Skus'!$A:$AC,16,FALSE)),""))</f>
        <v>0</v>
      </c>
      <c r="M856" s="224">
        <f>(IF((VLOOKUP(Table10[[#This Row],[SKU]],'All Skus'!$A:$AC,2,FALSE))="Martin",(VLOOKUP(Table10[[#This Row],[SKU]],'All Skus'!$A:$AC,17,FALSE)),""))</f>
        <v>0</v>
      </c>
      <c r="N856" s="227">
        <f>(IF((VLOOKUP(Table10[[#This Row],[SKU]],'All Skus'!$A:$AC,2,FALSE))="Martin",(VLOOKUP(Table10[[#This Row],[SKU]],'All Skus'!$A:$AC,18,FALSE)),""))</f>
        <v>0</v>
      </c>
      <c r="O856" s="227">
        <f>(IF((VLOOKUP(Table10[[#This Row],[SKU]],'All Skus'!$A:$AC,2,FALSE))="Martin",(VLOOKUP(Table10[[#This Row],[SKU]],'All Skus'!$A:$AC,19,FALSE)),""))</f>
        <v>0</v>
      </c>
      <c r="P856" s="227">
        <f>(IF((VLOOKUP(Table10[[#This Row],[SKU]],'All Skus'!$A:$AC,2,FALSE))="Martin",(VLOOKUP(Table10[[#This Row],[SKU]],'All Skus'!$A:$AC,20,FALSE)),""))</f>
        <v>0</v>
      </c>
      <c r="Q856" s="227">
        <f>(IF((VLOOKUP(Table10[[#This Row],[SKU]],'All Skus'!$A:$AC,2,FALSE))="Martin",(VLOOKUP(Table10[[#This Row],[SKU]],'All Skus'!$A:$AC,21,FALSE)),""))</f>
        <v>0</v>
      </c>
      <c r="R856" s="224">
        <f>(IF((VLOOKUP(Table10[[#This Row],[SKU]],'All Skus'!$A:$AC,2,FALSE))="Martin",(VLOOKUP(Table10[[#This Row],[SKU]],'All Skus'!$A:$AC,22,FALSE)),""))</f>
        <v>0</v>
      </c>
      <c r="S856" s="223">
        <f>(IF((VLOOKUP(Table10[[#This Row],[SKU]],'All Skus'!$A:$AC,2,FALSE))="Martin",(VLOOKUP(Table10[[#This Row],[SKU]],'All Skus'!$A:$AC,23,FALSE)),""))</f>
        <v>0</v>
      </c>
      <c r="T856" s="212" t="str">
        <f>HYPERLINK((IF((VLOOKUP(Table10[[#This Row],[SKU]],'All Skus'!$A:$AC,2,FALSE))="Martin",(VLOOKUP(Table10[[#This Row],[SKU]],'All Skus'!$A:$AC,24,FALSE)),"")))</f>
        <v/>
      </c>
      <c r="U856" s="228">
        <v>854</v>
      </c>
    </row>
    <row r="857" spans="1:21" hidden="1">
      <c r="A857" s="90">
        <v>91311001</v>
      </c>
      <c r="B857" s="224" t="str">
        <f>(IF((VLOOKUP(Table10[[#This Row],[SKU]],'All Skus'!$A:$AC,2,FALSE))="Martin",(VLOOKUP(Table10[[#This Row],[SKU]],'All Skus'!$A:$AC,3,FALSE)),""))</f>
        <v>DemoKits</v>
      </c>
      <c r="C857" s="223" t="str">
        <f>(IF((VLOOKUP(Table10[[#This Row],[SKU]],'All Skus'!$A:$AC,2,FALSE))="Martin",(VLOOKUP(Table10[[#This Row],[SKU]],'All Skus'!$A:$AC,4,FALSE)),""))</f>
        <v>VDO Atomic Dot Family Demo Suitcase</v>
      </c>
      <c r="D857" s="224" t="str">
        <f>(IF((VLOOKUP(Table10[[#This Row],[SKU]],'All Skus'!$A:$AC,2,FALSE))="Martin",(VLOOKUP(Table10[[#This Row],[SKU]],'All Skus'!$A:$AC,5,FALSE)),""))</f>
        <v>MAR-VDO</v>
      </c>
      <c r="E857" s="223">
        <f>(IF((VLOOKUP(Table10[[#This Row],[SKU]],'All Skus'!$A:$AC,2,FALSE))="Martin",(VLOOKUP(Table10[[#This Row],[SKU]],'All Skus'!$A:$AC,6,FALSE)),""))</f>
        <v>0</v>
      </c>
      <c r="F857" s="155" t="str">
        <f>(IF((VLOOKUP(Table10[[#This Row],[SKU]],'All Skus'!$A:$AC,2,FALSE))="Martin",(VLOOKUP(Table10[[#This Row],[SKU]],'All Skus'!$A:$AC,7,FALSE)),""))</f>
        <v>EOL soon – very limited availability</v>
      </c>
      <c r="G857" s="223" t="str">
        <f>(IF((VLOOKUP(Table10[[#This Row],[SKU]],'All Skus'!$A:$AC,2,FALSE))="Martin",(VLOOKUP(Table10[[#This Row],[SKU]],'All Skus'!$A:$AC,8,FALSE)),""))</f>
        <v>VDO Atomic Dot Family Demo Suitcase</v>
      </c>
      <c r="H857" s="223" t="str">
        <f>(IF((VLOOKUP(Table10[[#This Row],[SKU]],'All Skus'!$A:$AC,2,FALSE))="Martin",(VLOOKUP(Table10[[#This Row],[SKU]],'All Skus'!$A:$AC,9,FALSE)),""))</f>
        <v>VDO Atomic Dot Family Demo Suitcase</v>
      </c>
      <c r="I857" s="225">
        <f>(IF((VLOOKUP(Table10[[#This Row],[SKU]],'All Skus'!$A:$AC,2,FALSE))="Martin",(VLOOKUP(Table10[[#This Row],[SKU]],'All Skus'!$A:$AC,10,FALSE)),""))</f>
        <v>3512.9</v>
      </c>
      <c r="J857" s="226">
        <f>(IF((VLOOKUP(Table10[[#This Row],[SKU]],'All Skus'!$A:$AC,2,FALSE))="Martin",(VLOOKUP(Table10[[#This Row],[SKU]],'All Skus'!$A:$AC,11,FALSE)),""))</f>
        <v>3512.9</v>
      </c>
      <c r="K857" s="224">
        <f>(IF((VLOOKUP(Table10[[#This Row],[SKU]],'All Skus'!$A:$AC,2,FALSE))="Martin",(VLOOKUP(Table10[[#This Row],[SKU]],'All Skus'!$A:$AC,15,FALSE)),""))</f>
        <v>0</v>
      </c>
      <c r="L857" s="224">
        <f>(IF((VLOOKUP(Table10[[#This Row],[SKU]],'All Skus'!$A:$AC,2,FALSE))="Martin",(VLOOKUP(Table10[[#This Row],[SKU]],'All Skus'!$A:$AC,16,FALSE)),""))</f>
        <v>688705004198</v>
      </c>
      <c r="M857" s="224">
        <f>(IF((VLOOKUP(Table10[[#This Row],[SKU]],'All Skus'!$A:$AC,2,FALSE))="Martin",(VLOOKUP(Table10[[#This Row],[SKU]],'All Skus'!$A:$AC,17,FALSE)),""))</f>
        <v>0</v>
      </c>
      <c r="N857" s="227">
        <f>(IF((VLOOKUP(Table10[[#This Row],[SKU]],'All Skus'!$A:$AC,2,FALSE))="Martin",(VLOOKUP(Table10[[#This Row],[SKU]],'All Skus'!$A:$AC,18,FALSE)),""))</f>
        <v>0</v>
      </c>
      <c r="O857" s="227">
        <f>(IF((VLOOKUP(Table10[[#This Row],[SKU]],'All Skus'!$A:$AC,2,FALSE))="Martin",(VLOOKUP(Table10[[#This Row],[SKU]],'All Skus'!$A:$AC,19,FALSE)),""))</f>
        <v>0</v>
      </c>
      <c r="P857" s="227">
        <f>(IF((VLOOKUP(Table10[[#This Row],[SKU]],'All Skus'!$A:$AC,2,FALSE))="Martin",(VLOOKUP(Table10[[#This Row],[SKU]],'All Skus'!$A:$AC,20,FALSE)),""))</f>
        <v>0</v>
      </c>
      <c r="Q857" s="227">
        <f>(IF((VLOOKUP(Table10[[#This Row],[SKU]],'All Skus'!$A:$AC,2,FALSE))="Martin",(VLOOKUP(Table10[[#This Row],[SKU]],'All Skus'!$A:$AC,21,FALSE)),""))</f>
        <v>0</v>
      </c>
      <c r="R857" s="224" t="str">
        <f>(IF((VLOOKUP(Table10[[#This Row],[SKU]],'All Skus'!$A:$AC,2,FALSE))="Martin",(VLOOKUP(Table10[[#This Row],[SKU]],'All Skus'!$A:$AC,22,FALSE)),""))</f>
        <v>CN</v>
      </c>
      <c r="S857" s="223" t="str">
        <f>(IF((VLOOKUP(Table10[[#This Row],[SKU]],'All Skus'!$A:$AC,2,FALSE))="Martin",(VLOOKUP(Table10[[#This Row],[SKU]],'All Skus'!$A:$AC,23,FALSE)),""))</f>
        <v>Non Compliant</v>
      </c>
      <c r="T857" s="212" t="str">
        <f>HYPERLINK((IF((VLOOKUP(Table10[[#This Row],[SKU]],'All Skus'!$A:$AC,2,FALSE))="Martin",(VLOOKUP(Table10[[#This Row],[SKU]],'All Skus'!$A:$AC,24,FALSE)),"")))</f>
        <v/>
      </c>
      <c r="U857" s="228">
        <v>855</v>
      </c>
    </row>
    <row r="858" spans="1:21" hidden="1">
      <c r="A858" s="115" t="s">
        <v>2373</v>
      </c>
      <c r="B858" s="224">
        <f>(IF((VLOOKUP(Table10[[#This Row],[SKU]],'All Skus'!$A:$AC,2,FALSE))="Martin",(VLOOKUP(Table10[[#This Row],[SKU]],'All Skus'!$A:$AC,3,FALSE)),""))</f>
        <v>0</v>
      </c>
      <c r="C858" s="223">
        <f>(IF((VLOOKUP(Table10[[#This Row],[SKU]],'All Skus'!$A:$AC,2,FALSE))="Martin",(VLOOKUP(Table10[[#This Row],[SKU]],'All Skus'!$A:$AC,4,FALSE)),""))</f>
        <v>0</v>
      </c>
      <c r="D858" s="224">
        <f>(IF((VLOOKUP(Table10[[#This Row],[SKU]],'All Skus'!$A:$AC,2,FALSE))="Martin",(VLOOKUP(Table10[[#This Row],[SKU]],'All Skus'!$A:$AC,5,FALSE)),""))</f>
        <v>0</v>
      </c>
      <c r="E858" s="223">
        <f>(IF((VLOOKUP(Table10[[#This Row],[SKU]],'All Skus'!$A:$AC,2,FALSE))="Martin",(VLOOKUP(Table10[[#This Row],[SKU]],'All Skus'!$A:$AC,6,FALSE)),""))</f>
        <v>0</v>
      </c>
      <c r="F858" s="155">
        <f>(IF((VLOOKUP(Table10[[#This Row],[SKU]],'All Skus'!$A:$AC,2,FALSE))="Martin",(VLOOKUP(Table10[[#This Row],[SKU]],'All Skus'!$A:$AC,7,FALSE)),""))</f>
        <v>0</v>
      </c>
      <c r="G858" s="223">
        <f>(IF((VLOOKUP(Table10[[#This Row],[SKU]],'All Skus'!$A:$AC,2,FALSE))="Martin",(VLOOKUP(Table10[[#This Row],[SKU]],'All Skus'!$A:$AC,8,FALSE)),""))</f>
        <v>0</v>
      </c>
      <c r="H858" s="223">
        <f>(IF((VLOOKUP(Table10[[#This Row],[SKU]],'All Skus'!$A:$AC,2,FALSE))="Martin",(VLOOKUP(Table10[[#This Row],[SKU]],'All Skus'!$A:$AC,9,FALSE)),""))</f>
        <v>0</v>
      </c>
      <c r="I858" s="225">
        <f>(IF((VLOOKUP(Table10[[#This Row],[SKU]],'All Skus'!$A:$AC,2,FALSE))="Martin",(VLOOKUP(Table10[[#This Row],[SKU]],'All Skus'!$A:$AC,10,FALSE)),""))</f>
        <v>0</v>
      </c>
      <c r="J858" s="226">
        <f>(IF((VLOOKUP(Table10[[#This Row],[SKU]],'All Skus'!$A:$AC,2,FALSE))="Martin",(VLOOKUP(Table10[[#This Row],[SKU]],'All Skus'!$A:$AC,11,FALSE)),""))</f>
        <v>0</v>
      </c>
      <c r="K858" s="224">
        <f>(IF((VLOOKUP(Table10[[#This Row],[SKU]],'All Skus'!$A:$AC,2,FALSE))="Martin",(VLOOKUP(Table10[[#This Row],[SKU]],'All Skus'!$A:$AC,15,FALSE)),""))</f>
        <v>0</v>
      </c>
      <c r="L858" s="224">
        <f>(IF((VLOOKUP(Table10[[#This Row],[SKU]],'All Skus'!$A:$AC,2,FALSE))="Martin",(VLOOKUP(Table10[[#This Row],[SKU]],'All Skus'!$A:$AC,16,FALSE)),""))</f>
        <v>0</v>
      </c>
      <c r="M858" s="224">
        <f>(IF((VLOOKUP(Table10[[#This Row],[SKU]],'All Skus'!$A:$AC,2,FALSE))="Martin",(VLOOKUP(Table10[[#This Row],[SKU]],'All Skus'!$A:$AC,17,FALSE)),""))</f>
        <v>0</v>
      </c>
      <c r="N858" s="227">
        <f>(IF((VLOOKUP(Table10[[#This Row],[SKU]],'All Skus'!$A:$AC,2,FALSE))="Martin",(VLOOKUP(Table10[[#This Row],[SKU]],'All Skus'!$A:$AC,18,FALSE)),""))</f>
        <v>0</v>
      </c>
      <c r="O858" s="227">
        <f>(IF((VLOOKUP(Table10[[#This Row],[SKU]],'All Skus'!$A:$AC,2,FALSE))="Martin",(VLOOKUP(Table10[[#This Row],[SKU]],'All Skus'!$A:$AC,19,FALSE)),""))</f>
        <v>0</v>
      </c>
      <c r="P858" s="227">
        <f>(IF((VLOOKUP(Table10[[#This Row],[SKU]],'All Skus'!$A:$AC,2,FALSE))="Martin",(VLOOKUP(Table10[[#This Row],[SKU]],'All Skus'!$A:$AC,20,FALSE)),""))</f>
        <v>0</v>
      </c>
      <c r="Q858" s="227">
        <f>(IF((VLOOKUP(Table10[[#This Row],[SKU]],'All Skus'!$A:$AC,2,FALSE))="Martin",(VLOOKUP(Table10[[#This Row],[SKU]],'All Skus'!$A:$AC,21,FALSE)),""))</f>
        <v>0</v>
      </c>
      <c r="R858" s="224">
        <f>(IF((VLOOKUP(Table10[[#This Row],[SKU]],'All Skus'!$A:$AC,2,FALSE))="Martin",(VLOOKUP(Table10[[#This Row],[SKU]],'All Skus'!$A:$AC,22,FALSE)),""))</f>
        <v>0</v>
      </c>
      <c r="S858" s="223">
        <f>(IF((VLOOKUP(Table10[[#This Row],[SKU]],'All Skus'!$A:$AC,2,FALSE))="Martin",(VLOOKUP(Table10[[#This Row],[SKU]],'All Skus'!$A:$AC,23,FALSE)),""))</f>
        <v>0</v>
      </c>
      <c r="T858" s="212" t="str">
        <f>HYPERLINK((IF((VLOOKUP(Table10[[#This Row],[SKU]],'All Skus'!$A:$AC,2,FALSE))="Martin",(VLOOKUP(Table10[[#This Row],[SKU]],'All Skus'!$A:$AC,24,FALSE)),"")))</f>
        <v/>
      </c>
      <c r="U858" s="228">
        <v>856</v>
      </c>
    </row>
    <row r="859" spans="1:21" hidden="1">
      <c r="A859" s="90">
        <v>91311244</v>
      </c>
      <c r="B859" s="224" t="str">
        <f>(IF((VLOOKUP(Table10[[#This Row],[SKU]],'All Skus'!$A:$AC,2,FALSE))="Martin",(VLOOKUP(Table10[[#This Row],[SKU]],'All Skus'!$A:$AC,3,FALSE)),""))</f>
        <v>DemoKits</v>
      </c>
      <c r="C859" s="223" t="str">
        <f>(IF((VLOOKUP(Table10[[#This Row],[SKU]],'All Skus'!$A:$AC,2,FALSE))="Martin",(VLOOKUP(Table10[[#This Row],[SKU]],'All Skus'!$A:$AC,4,FALSE)),""))</f>
        <v>VDO Fatron Family Demo Suitcase</v>
      </c>
      <c r="D859" s="224" t="str">
        <f>(IF((VLOOKUP(Table10[[#This Row],[SKU]],'All Skus'!$A:$AC,2,FALSE))="Martin",(VLOOKUP(Table10[[#This Row],[SKU]],'All Skus'!$A:$AC,5,FALSE)),""))</f>
        <v>MAR-VDO</v>
      </c>
      <c r="E859" s="223">
        <f>(IF((VLOOKUP(Table10[[#This Row],[SKU]],'All Skus'!$A:$AC,2,FALSE))="Martin",(VLOOKUP(Table10[[#This Row],[SKU]],'All Skus'!$A:$AC,6,FALSE)),""))</f>
        <v>0</v>
      </c>
      <c r="F859" s="155" t="str">
        <f>(IF((VLOOKUP(Table10[[#This Row],[SKU]],'All Skus'!$A:$AC,2,FALSE))="Martin",(VLOOKUP(Table10[[#This Row],[SKU]],'All Skus'!$A:$AC,7,FALSE)),""))</f>
        <v>EOL soon – very limited availability</v>
      </c>
      <c r="G859" s="223" t="str">
        <f>(IF((VLOOKUP(Table10[[#This Row],[SKU]],'All Skus'!$A:$AC,2,FALSE))="Martin",(VLOOKUP(Table10[[#This Row],[SKU]],'All Skus'!$A:$AC,8,FALSE)),""))</f>
        <v>VDO Fatron Family Demo Suitcase</v>
      </c>
      <c r="H859" s="223" t="str">
        <f>(IF((VLOOKUP(Table10[[#This Row],[SKU]],'All Skus'!$A:$AC,2,FALSE))="Martin",(VLOOKUP(Table10[[#This Row],[SKU]],'All Skus'!$A:$AC,9,FALSE)),""))</f>
        <v>VDO Fatron Family Demo Suitcase</v>
      </c>
      <c r="I859" s="225">
        <f>(IF((VLOOKUP(Table10[[#This Row],[SKU]],'All Skus'!$A:$AC,2,FALSE))="Martin",(VLOOKUP(Table10[[#This Row],[SKU]],'All Skus'!$A:$AC,10,FALSE)),""))</f>
        <v>5077.3500000000004</v>
      </c>
      <c r="J859" s="226">
        <f>(IF((VLOOKUP(Table10[[#This Row],[SKU]],'All Skus'!$A:$AC,2,FALSE))="Martin",(VLOOKUP(Table10[[#This Row],[SKU]],'All Skus'!$A:$AC,11,FALSE)),""))</f>
        <v>5077.3500000000004</v>
      </c>
      <c r="K859" s="224">
        <f>(IF((VLOOKUP(Table10[[#This Row],[SKU]],'All Skus'!$A:$AC,2,FALSE))="Martin",(VLOOKUP(Table10[[#This Row],[SKU]],'All Skus'!$A:$AC,15,FALSE)),""))</f>
        <v>0</v>
      </c>
      <c r="L859" s="224">
        <f>(IF((VLOOKUP(Table10[[#This Row],[SKU]],'All Skus'!$A:$AC,2,FALSE))="Martin",(VLOOKUP(Table10[[#This Row],[SKU]],'All Skus'!$A:$AC,16,FALSE)),""))</f>
        <v>0</v>
      </c>
      <c r="M859" s="224">
        <f>(IF((VLOOKUP(Table10[[#This Row],[SKU]],'All Skus'!$A:$AC,2,FALSE))="Martin",(VLOOKUP(Table10[[#This Row],[SKU]],'All Skus'!$A:$AC,17,FALSE)),""))</f>
        <v>0</v>
      </c>
      <c r="N859" s="227">
        <f>(IF((VLOOKUP(Table10[[#This Row],[SKU]],'All Skus'!$A:$AC,2,FALSE))="Martin",(VLOOKUP(Table10[[#This Row],[SKU]],'All Skus'!$A:$AC,18,FALSE)),""))</f>
        <v>0</v>
      </c>
      <c r="O859" s="227">
        <f>(IF((VLOOKUP(Table10[[#This Row],[SKU]],'All Skus'!$A:$AC,2,FALSE))="Martin",(VLOOKUP(Table10[[#This Row],[SKU]],'All Skus'!$A:$AC,19,FALSE)),""))</f>
        <v>0</v>
      </c>
      <c r="P859" s="227">
        <f>(IF((VLOOKUP(Table10[[#This Row],[SKU]],'All Skus'!$A:$AC,2,FALSE))="Martin",(VLOOKUP(Table10[[#This Row],[SKU]],'All Skus'!$A:$AC,20,FALSE)),""))</f>
        <v>0</v>
      </c>
      <c r="Q859" s="227">
        <f>(IF((VLOOKUP(Table10[[#This Row],[SKU]],'All Skus'!$A:$AC,2,FALSE))="Martin",(VLOOKUP(Table10[[#This Row],[SKU]],'All Skus'!$A:$AC,21,FALSE)),""))</f>
        <v>0</v>
      </c>
      <c r="R859" s="224" t="str">
        <f>(IF((VLOOKUP(Table10[[#This Row],[SKU]],'All Skus'!$A:$AC,2,FALSE))="Martin",(VLOOKUP(Table10[[#This Row],[SKU]],'All Skus'!$A:$AC,22,FALSE)),""))</f>
        <v>DE</v>
      </c>
      <c r="S859" s="223">
        <f>(IF((VLOOKUP(Table10[[#This Row],[SKU]],'All Skus'!$A:$AC,2,FALSE))="Martin",(VLOOKUP(Table10[[#This Row],[SKU]],'All Skus'!$A:$AC,23,FALSE)),""))</f>
        <v>0</v>
      </c>
      <c r="T859" s="212" t="str">
        <f>HYPERLINK((IF((VLOOKUP(Table10[[#This Row],[SKU]],'All Skus'!$A:$AC,2,FALSE))="Martin",(VLOOKUP(Table10[[#This Row],[SKU]],'All Skus'!$A:$AC,24,FALSE)),"")))</f>
        <v/>
      </c>
      <c r="U859" s="228">
        <v>857</v>
      </c>
    </row>
    <row r="860" spans="1:21" hidden="1">
      <c r="A860" s="115" t="s">
        <v>2374</v>
      </c>
      <c r="B860" s="224">
        <f>(IF((VLOOKUP(Table10[[#This Row],[SKU]],'All Skus'!$A:$AC,2,FALSE))="Martin",(VLOOKUP(Table10[[#This Row],[SKU]],'All Skus'!$A:$AC,3,FALSE)),""))</f>
        <v>0</v>
      </c>
      <c r="C860" s="223">
        <f>(IF((VLOOKUP(Table10[[#This Row],[SKU]],'All Skus'!$A:$AC,2,FALSE))="Martin",(VLOOKUP(Table10[[#This Row],[SKU]],'All Skus'!$A:$AC,4,FALSE)),""))</f>
        <v>0</v>
      </c>
      <c r="D860" s="224">
        <f>(IF((VLOOKUP(Table10[[#This Row],[SKU]],'All Skus'!$A:$AC,2,FALSE))="Martin",(VLOOKUP(Table10[[#This Row],[SKU]],'All Skus'!$A:$AC,5,FALSE)),""))</f>
        <v>0</v>
      </c>
      <c r="E860" s="223">
        <f>(IF((VLOOKUP(Table10[[#This Row],[SKU]],'All Skus'!$A:$AC,2,FALSE))="Martin",(VLOOKUP(Table10[[#This Row],[SKU]],'All Skus'!$A:$AC,6,FALSE)),""))</f>
        <v>0</v>
      </c>
      <c r="F860" s="155">
        <f>(IF((VLOOKUP(Table10[[#This Row],[SKU]],'All Skus'!$A:$AC,2,FALSE))="Martin",(VLOOKUP(Table10[[#This Row],[SKU]],'All Skus'!$A:$AC,7,FALSE)),""))</f>
        <v>0</v>
      </c>
      <c r="G860" s="223">
        <f>(IF((VLOOKUP(Table10[[#This Row],[SKU]],'All Skus'!$A:$AC,2,FALSE))="Martin",(VLOOKUP(Table10[[#This Row],[SKU]],'All Skus'!$A:$AC,8,FALSE)),""))</f>
        <v>0</v>
      </c>
      <c r="H860" s="223">
        <f>(IF((VLOOKUP(Table10[[#This Row],[SKU]],'All Skus'!$A:$AC,2,FALSE))="Martin",(VLOOKUP(Table10[[#This Row],[SKU]],'All Skus'!$A:$AC,9,FALSE)),""))</f>
        <v>0</v>
      </c>
      <c r="I860" s="225">
        <f>(IF((VLOOKUP(Table10[[#This Row],[SKU]],'All Skus'!$A:$AC,2,FALSE))="Martin",(VLOOKUP(Table10[[#This Row],[SKU]],'All Skus'!$A:$AC,10,FALSE)),""))</f>
        <v>0</v>
      </c>
      <c r="J860" s="226">
        <f>(IF((VLOOKUP(Table10[[#This Row],[SKU]],'All Skus'!$A:$AC,2,FALSE))="Martin",(VLOOKUP(Table10[[#This Row],[SKU]],'All Skus'!$A:$AC,11,FALSE)),""))</f>
        <v>0</v>
      </c>
      <c r="K860" s="224">
        <f>(IF((VLOOKUP(Table10[[#This Row],[SKU]],'All Skus'!$A:$AC,2,FALSE))="Martin",(VLOOKUP(Table10[[#This Row],[SKU]],'All Skus'!$A:$AC,15,FALSE)),""))</f>
        <v>0</v>
      </c>
      <c r="L860" s="224">
        <f>(IF((VLOOKUP(Table10[[#This Row],[SKU]],'All Skus'!$A:$AC,2,FALSE))="Martin",(VLOOKUP(Table10[[#This Row],[SKU]],'All Skus'!$A:$AC,16,FALSE)),""))</f>
        <v>0</v>
      </c>
      <c r="M860" s="224">
        <f>(IF((VLOOKUP(Table10[[#This Row],[SKU]],'All Skus'!$A:$AC,2,FALSE))="Martin",(VLOOKUP(Table10[[#This Row],[SKU]],'All Skus'!$A:$AC,17,FALSE)),""))</f>
        <v>0</v>
      </c>
      <c r="N860" s="227">
        <f>(IF((VLOOKUP(Table10[[#This Row],[SKU]],'All Skus'!$A:$AC,2,FALSE))="Martin",(VLOOKUP(Table10[[#This Row],[SKU]],'All Skus'!$A:$AC,18,FALSE)),""))</f>
        <v>0</v>
      </c>
      <c r="O860" s="227">
        <f>(IF((VLOOKUP(Table10[[#This Row],[SKU]],'All Skus'!$A:$AC,2,FALSE))="Martin",(VLOOKUP(Table10[[#This Row],[SKU]],'All Skus'!$A:$AC,19,FALSE)),""))</f>
        <v>0</v>
      </c>
      <c r="P860" s="227">
        <f>(IF((VLOOKUP(Table10[[#This Row],[SKU]],'All Skus'!$A:$AC,2,FALSE))="Martin",(VLOOKUP(Table10[[#This Row],[SKU]],'All Skus'!$A:$AC,20,FALSE)),""))</f>
        <v>0</v>
      </c>
      <c r="Q860" s="227">
        <f>(IF((VLOOKUP(Table10[[#This Row],[SKU]],'All Skus'!$A:$AC,2,FALSE))="Martin",(VLOOKUP(Table10[[#This Row],[SKU]],'All Skus'!$A:$AC,21,FALSE)),""))</f>
        <v>0</v>
      </c>
      <c r="R860" s="224">
        <f>(IF((VLOOKUP(Table10[[#This Row],[SKU]],'All Skus'!$A:$AC,2,FALSE))="Martin",(VLOOKUP(Table10[[#This Row],[SKU]],'All Skus'!$A:$AC,22,FALSE)),""))</f>
        <v>0</v>
      </c>
      <c r="S860" s="223">
        <f>(IF((VLOOKUP(Table10[[#This Row],[SKU]],'All Skus'!$A:$AC,2,FALSE))="Martin",(VLOOKUP(Table10[[#This Row],[SKU]],'All Skus'!$A:$AC,23,FALSE)),""))</f>
        <v>0</v>
      </c>
      <c r="T860" s="212" t="str">
        <f>HYPERLINK((IF((VLOOKUP(Table10[[#This Row],[SKU]],'All Skus'!$A:$AC,2,FALSE))="Martin",(VLOOKUP(Table10[[#This Row],[SKU]],'All Skus'!$A:$AC,24,FALSE)),"")))</f>
        <v/>
      </c>
      <c r="U860" s="228">
        <v>858</v>
      </c>
    </row>
    <row r="861" spans="1:21" hidden="1">
      <c r="A861" s="90">
        <v>91311245</v>
      </c>
      <c r="B861" s="224" t="str">
        <f>(IF((VLOOKUP(Table10[[#This Row],[SKU]],'All Skus'!$A:$AC,2,FALSE))="Martin",(VLOOKUP(Table10[[#This Row],[SKU]],'All Skus'!$A:$AC,3,FALSE)),""))</f>
        <v>DemoKits</v>
      </c>
      <c r="C861" s="223" t="str">
        <f>(IF((VLOOKUP(Table10[[#This Row],[SKU]],'All Skus'!$A:$AC,2,FALSE))="Martin",(VLOOKUP(Table10[[#This Row],[SKU]],'All Skus'!$A:$AC,4,FALSE)),""))</f>
        <v>VDO Dotron Family Demo Suitcase</v>
      </c>
      <c r="D861" s="224" t="str">
        <f>(IF((VLOOKUP(Table10[[#This Row],[SKU]],'All Skus'!$A:$AC,2,FALSE))="Martin",(VLOOKUP(Table10[[#This Row],[SKU]],'All Skus'!$A:$AC,5,FALSE)),""))</f>
        <v>MAR-VDO</v>
      </c>
      <c r="E861" s="223">
        <f>(IF((VLOOKUP(Table10[[#This Row],[SKU]],'All Skus'!$A:$AC,2,FALSE))="Martin",(VLOOKUP(Table10[[#This Row],[SKU]],'All Skus'!$A:$AC,6,FALSE)),""))</f>
        <v>0</v>
      </c>
      <c r="F861" s="155" t="str">
        <f>(IF((VLOOKUP(Table10[[#This Row],[SKU]],'All Skus'!$A:$AC,2,FALSE))="Martin",(VLOOKUP(Table10[[#This Row],[SKU]],'All Skus'!$A:$AC,7,FALSE)),""))</f>
        <v>EOL soon – very limited availability</v>
      </c>
      <c r="G861" s="223" t="str">
        <f>(IF((VLOOKUP(Table10[[#This Row],[SKU]],'All Skus'!$A:$AC,2,FALSE))="Martin",(VLOOKUP(Table10[[#This Row],[SKU]],'All Skus'!$A:$AC,8,FALSE)),""))</f>
        <v>VDO Dotron Family Demo Suitcase</v>
      </c>
      <c r="H861" s="223" t="str">
        <f>(IF((VLOOKUP(Table10[[#This Row],[SKU]],'All Skus'!$A:$AC,2,FALSE))="Martin",(VLOOKUP(Table10[[#This Row],[SKU]],'All Skus'!$A:$AC,9,FALSE)),""))</f>
        <v>VDO Dotron Family Demo Suitcase</v>
      </c>
      <c r="I861" s="225">
        <f>(IF((VLOOKUP(Table10[[#This Row],[SKU]],'All Skus'!$A:$AC,2,FALSE))="Martin",(VLOOKUP(Table10[[#This Row],[SKU]],'All Skus'!$A:$AC,10,FALSE)),""))</f>
        <v>5679.91</v>
      </c>
      <c r="J861" s="226">
        <f>(IF((VLOOKUP(Table10[[#This Row],[SKU]],'All Skus'!$A:$AC,2,FALSE))="Martin",(VLOOKUP(Table10[[#This Row],[SKU]],'All Skus'!$A:$AC,11,FALSE)),""))</f>
        <v>5679.91</v>
      </c>
      <c r="K861" s="224">
        <f>(IF((VLOOKUP(Table10[[#This Row],[SKU]],'All Skus'!$A:$AC,2,FALSE))="Martin",(VLOOKUP(Table10[[#This Row],[SKU]],'All Skus'!$A:$AC,15,FALSE)),""))</f>
        <v>0</v>
      </c>
      <c r="L861" s="224">
        <f>(IF((VLOOKUP(Table10[[#This Row],[SKU]],'All Skus'!$A:$AC,2,FALSE))="Martin",(VLOOKUP(Table10[[#This Row],[SKU]],'All Skus'!$A:$AC,16,FALSE)),""))</f>
        <v>0</v>
      </c>
      <c r="M861" s="224">
        <f>(IF((VLOOKUP(Table10[[#This Row],[SKU]],'All Skus'!$A:$AC,2,FALSE))="Martin",(VLOOKUP(Table10[[#This Row],[SKU]],'All Skus'!$A:$AC,17,FALSE)),""))</f>
        <v>0</v>
      </c>
      <c r="N861" s="227">
        <f>(IF((VLOOKUP(Table10[[#This Row],[SKU]],'All Skus'!$A:$AC,2,FALSE))="Martin",(VLOOKUP(Table10[[#This Row],[SKU]],'All Skus'!$A:$AC,18,FALSE)),""))</f>
        <v>0</v>
      </c>
      <c r="O861" s="227">
        <f>(IF((VLOOKUP(Table10[[#This Row],[SKU]],'All Skus'!$A:$AC,2,FALSE))="Martin",(VLOOKUP(Table10[[#This Row],[SKU]],'All Skus'!$A:$AC,19,FALSE)),""))</f>
        <v>0</v>
      </c>
      <c r="P861" s="227">
        <f>(IF((VLOOKUP(Table10[[#This Row],[SKU]],'All Skus'!$A:$AC,2,FALSE))="Martin",(VLOOKUP(Table10[[#This Row],[SKU]],'All Skus'!$A:$AC,20,FALSE)),""))</f>
        <v>0</v>
      </c>
      <c r="Q861" s="227">
        <f>(IF((VLOOKUP(Table10[[#This Row],[SKU]],'All Skus'!$A:$AC,2,FALSE))="Martin",(VLOOKUP(Table10[[#This Row],[SKU]],'All Skus'!$A:$AC,21,FALSE)),""))</f>
        <v>0</v>
      </c>
      <c r="R861" s="224" t="str">
        <f>(IF((VLOOKUP(Table10[[#This Row],[SKU]],'All Skus'!$A:$AC,2,FALSE))="Martin",(VLOOKUP(Table10[[#This Row],[SKU]],'All Skus'!$A:$AC,22,FALSE)),""))</f>
        <v>DE</v>
      </c>
      <c r="S861" s="223">
        <f>(IF((VLOOKUP(Table10[[#This Row],[SKU]],'All Skus'!$A:$AC,2,FALSE))="Martin",(VLOOKUP(Table10[[#This Row],[SKU]],'All Skus'!$A:$AC,23,FALSE)),""))</f>
        <v>0</v>
      </c>
      <c r="T861" s="212" t="str">
        <f>HYPERLINK((IF((VLOOKUP(Table10[[#This Row],[SKU]],'All Skus'!$A:$AC,2,FALSE))="Martin",(VLOOKUP(Table10[[#This Row],[SKU]],'All Skus'!$A:$AC,24,FALSE)),"")))</f>
        <v/>
      </c>
      <c r="U861" s="228">
        <v>859</v>
      </c>
    </row>
    <row r="862" spans="1:21" hidden="1">
      <c r="A862" s="111" t="s">
        <v>2375</v>
      </c>
      <c r="B862" s="224">
        <f>(IF((VLOOKUP(Table10[[#This Row],[SKU]],'All Skus'!$A:$AC,2,FALSE))="Martin",(VLOOKUP(Table10[[#This Row],[SKU]],'All Skus'!$A:$AC,3,FALSE)),""))</f>
        <v>0</v>
      </c>
      <c r="C862" s="223">
        <f>(IF((VLOOKUP(Table10[[#This Row],[SKU]],'All Skus'!$A:$AC,2,FALSE))="Martin",(VLOOKUP(Table10[[#This Row],[SKU]],'All Skus'!$A:$AC,4,FALSE)),""))</f>
        <v>0</v>
      </c>
      <c r="D862" s="224">
        <f>(IF((VLOOKUP(Table10[[#This Row],[SKU]],'All Skus'!$A:$AC,2,FALSE))="Martin",(VLOOKUP(Table10[[#This Row],[SKU]],'All Skus'!$A:$AC,5,FALSE)),""))</f>
        <v>0</v>
      </c>
      <c r="E862" s="223">
        <f>(IF((VLOOKUP(Table10[[#This Row],[SKU]],'All Skus'!$A:$AC,2,FALSE))="Martin",(VLOOKUP(Table10[[#This Row],[SKU]],'All Skus'!$A:$AC,6,FALSE)),""))</f>
        <v>0</v>
      </c>
      <c r="F862" s="155">
        <f>(IF((VLOOKUP(Table10[[#This Row],[SKU]],'All Skus'!$A:$AC,2,FALSE))="Martin",(VLOOKUP(Table10[[#This Row],[SKU]],'All Skus'!$A:$AC,7,FALSE)),""))</f>
        <v>0</v>
      </c>
      <c r="G862" s="223">
        <f>(IF((VLOOKUP(Table10[[#This Row],[SKU]],'All Skus'!$A:$AC,2,FALSE))="Martin",(VLOOKUP(Table10[[#This Row],[SKU]],'All Skus'!$A:$AC,8,FALSE)),""))</f>
        <v>0</v>
      </c>
      <c r="H862" s="223">
        <f>(IF((VLOOKUP(Table10[[#This Row],[SKU]],'All Skus'!$A:$AC,2,FALSE))="Martin",(VLOOKUP(Table10[[#This Row],[SKU]],'All Skus'!$A:$AC,9,FALSE)),""))</f>
        <v>0</v>
      </c>
      <c r="I862" s="225">
        <f>(IF((VLOOKUP(Table10[[#This Row],[SKU]],'All Skus'!$A:$AC,2,FALSE))="Martin",(VLOOKUP(Table10[[#This Row],[SKU]],'All Skus'!$A:$AC,10,FALSE)),""))</f>
        <v>0</v>
      </c>
      <c r="J862" s="226">
        <f>(IF((VLOOKUP(Table10[[#This Row],[SKU]],'All Skus'!$A:$AC,2,FALSE))="Martin",(VLOOKUP(Table10[[#This Row],[SKU]],'All Skus'!$A:$AC,11,FALSE)),""))</f>
        <v>0</v>
      </c>
      <c r="K862" s="224">
        <f>(IF((VLOOKUP(Table10[[#This Row],[SKU]],'All Skus'!$A:$AC,2,FALSE))="Martin",(VLOOKUP(Table10[[#This Row],[SKU]],'All Skus'!$A:$AC,15,FALSE)),""))</f>
        <v>0</v>
      </c>
      <c r="L862" s="224">
        <f>(IF((VLOOKUP(Table10[[#This Row],[SKU]],'All Skus'!$A:$AC,2,FALSE))="Martin",(VLOOKUP(Table10[[#This Row],[SKU]],'All Skus'!$A:$AC,16,FALSE)),""))</f>
        <v>0</v>
      </c>
      <c r="M862" s="224">
        <f>(IF((VLOOKUP(Table10[[#This Row],[SKU]],'All Skus'!$A:$AC,2,FALSE))="Martin",(VLOOKUP(Table10[[#This Row],[SKU]],'All Skus'!$A:$AC,17,FALSE)),""))</f>
        <v>0</v>
      </c>
      <c r="N862" s="227">
        <f>(IF((VLOOKUP(Table10[[#This Row],[SKU]],'All Skus'!$A:$AC,2,FALSE))="Martin",(VLOOKUP(Table10[[#This Row],[SKU]],'All Skus'!$A:$AC,18,FALSE)),""))</f>
        <v>0</v>
      </c>
      <c r="O862" s="227">
        <f>(IF((VLOOKUP(Table10[[#This Row],[SKU]],'All Skus'!$A:$AC,2,FALSE))="Martin",(VLOOKUP(Table10[[#This Row],[SKU]],'All Skus'!$A:$AC,19,FALSE)),""))</f>
        <v>0</v>
      </c>
      <c r="P862" s="227">
        <f>(IF((VLOOKUP(Table10[[#This Row],[SKU]],'All Skus'!$A:$AC,2,FALSE))="Martin",(VLOOKUP(Table10[[#This Row],[SKU]],'All Skus'!$A:$AC,20,FALSE)),""))</f>
        <v>0</v>
      </c>
      <c r="Q862" s="227">
        <f>(IF((VLOOKUP(Table10[[#This Row],[SKU]],'All Skus'!$A:$AC,2,FALSE))="Martin",(VLOOKUP(Table10[[#This Row],[SKU]],'All Skus'!$A:$AC,21,FALSE)),""))</f>
        <v>0</v>
      </c>
      <c r="R862" s="224">
        <f>(IF((VLOOKUP(Table10[[#This Row],[SKU]],'All Skus'!$A:$AC,2,FALSE))="Martin",(VLOOKUP(Table10[[#This Row],[SKU]],'All Skus'!$A:$AC,22,FALSE)),""))</f>
        <v>0</v>
      </c>
      <c r="S862" s="223">
        <f>(IF((VLOOKUP(Table10[[#This Row],[SKU]],'All Skus'!$A:$AC,2,FALSE))="Martin",(VLOOKUP(Table10[[#This Row],[SKU]],'All Skus'!$A:$AC,23,FALSE)),""))</f>
        <v>0</v>
      </c>
      <c r="T862" s="212" t="str">
        <f>HYPERLINK((IF((VLOOKUP(Table10[[#This Row],[SKU]],'All Skus'!$A:$AC,2,FALSE))="Martin",(VLOOKUP(Table10[[#This Row],[SKU]],'All Skus'!$A:$AC,24,FALSE)),"")))</f>
        <v/>
      </c>
      <c r="U862" s="228">
        <v>860</v>
      </c>
    </row>
    <row r="863" spans="1:21" hidden="1">
      <c r="A863" s="115" t="s">
        <v>2376</v>
      </c>
      <c r="B863" s="224">
        <f>(IF((VLOOKUP(Table10[[#This Row],[SKU]],'All Skus'!$A:$AC,2,FALSE))="Martin",(VLOOKUP(Table10[[#This Row],[SKU]],'All Skus'!$A:$AC,3,FALSE)),""))</f>
        <v>0</v>
      </c>
      <c r="C863" s="223">
        <f>(IF((VLOOKUP(Table10[[#This Row],[SKU]],'All Skus'!$A:$AC,2,FALSE))="Martin",(VLOOKUP(Table10[[#This Row],[SKU]],'All Skus'!$A:$AC,4,FALSE)),""))</f>
        <v>0</v>
      </c>
      <c r="D863" s="224">
        <f>(IF((VLOOKUP(Table10[[#This Row],[SKU]],'All Skus'!$A:$AC,2,FALSE))="Martin",(VLOOKUP(Table10[[#This Row],[SKU]],'All Skus'!$A:$AC,5,FALSE)),""))</f>
        <v>0</v>
      </c>
      <c r="E863" s="223">
        <f>(IF((VLOOKUP(Table10[[#This Row],[SKU]],'All Skus'!$A:$AC,2,FALSE))="Martin",(VLOOKUP(Table10[[#This Row],[SKU]],'All Skus'!$A:$AC,6,FALSE)),""))</f>
        <v>0</v>
      </c>
      <c r="F863" s="155">
        <f>(IF((VLOOKUP(Table10[[#This Row],[SKU]],'All Skus'!$A:$AC,2,FALSE))="Martin",(VLOOKUP(Table10[[#This Row],[SKU]],'All Skus'!$A:$AC,7,FALSE)),""))</f>
        <v>0</v>
      </c>
      <c r="G863" s="223">
        <f>(IF((VLOOKUP(Table10[[#This Row],[SKU]],'All Skus'!$A:$AC,2,FALSE))="Martin",(VLOOKUP(Table10[[#This Row],[SKU]],'All Skus'!$A:$AC,8,FALSE)),""))</f>
        <v>0</v>
      </c>
      <c r="H863" s="223">
        <f>(IF((VLOOKUP(Table10[[#This Row],[SKU]],'All Skus'!$A:$AC,2,FALSE))="Martin",(VLOOKUP(Table10[[#This Row],[SKU]],'All Skus'!$A:$AC,9,FALSE)),""))</f>
        <v>0</v>
      </c>
      <c r="I863" s="225">
        <f>(IF((VLOOKUP(Table10[[#This Row],[SKU]],'All Skus'!$A:$AC,2,FALSE))="Martin",(VLOOKUP(Table10[[#This Row],[SKU]],'All Skus'!$A:$AC,10,FALSE)),""))</f>
        <v>0</v>
      </c>
      <c r="J863" s="226">
        <f>(IF((VLOOKUP(Table10[[#This Row],[SKU]],'All Skus'!$A:$AC,2,FALSE))="Martin",(VLOOKUP(Table10[[#This Row],[SKU]],'All Skus'!$A:$AC,11,FALSE)),""))</f>
        <v>0</v>
      </c>
      <c r="K863" s="224">
        <f>(IF((VLOOKUP(Table10[[#This Row],[SKU]],'All Skus'!$A:$AC,2,FALSE))="Martin",(VLOOKUP(Table10[[#This Row],[SKU]],'All Skus'!$A:$AC,15,FALSE)),""))</f>
        <v>0</v>
      </c>
      <c r="L863" s="224">
        <f>(IF((VLOOKUP(Table10[[#This Row],[SKU]],'All Skus'!$A:$AC,2,FALSE))="Martin",(VLOOKUP(Table10[[#This Row],[SKU]],'All Skus'!$A:$AC,16,FALSE)),""))</f>
        <v>0</v>
      </c>
      <c r="M863" s="224">
        <f>(IF((VLOOKUP(Table10[[#This Row],[SKU]],'All Skus'!$A:$AC,2,FALSE))="Martin",(VLOOKUP(Table10[[#This Row],[SKU]],'All Skus'!$A:$AC,17,FALSE)),""))</f>
        <v>0</v>
      </c>
      <c r="N863" s="227">
        <f>(IF((VLOOKUP(Table10[[#This Row],[SKU]],'All Skus'!$A:$AC,2,FALSE))="Martin",(VLOOKUP(Table10[[#This Row],[SKU]],'All Skus'!$A:$AC,18,FALSE)),""))</f>
        <v>0</v>
      </c>
      <c r="O863" s="227">
        <f>(IF((VLOOKUP(Table10[[#This Row],[SKU]],'All Skus'!$A:$AC,2,FALSE))="Martin",(VLOOKUP(Table10[[#This Row],[SKU]],'All Skus'!$A:$AC,19,FALSE)),""))</f>
        <v>0</v>
      </c>
      <c r="P863" s="227">
        <f>(IF((VLOOKUP(Table10[[#This Row],[SKU]],'All Skus'!$A:$AC,2,FALSE))="Martin",(VLOOKUP(Table10[[#This Row],[SKU]],'All Skus'!$A:$AC,20,FALSE)),""))</f>
        <v>0</v>
      </c>
      <c r="Q863" s="227">
        <f>(IF((VLOOKUP(Table10[[#This Row],[SKU]],'All Skus'!$A:$AC,2,FALSE))="Martin",(VLOOKUP(Table10[[#This Row],[SKU]],'All Skus'!$A:$AC,21,FALSE)),""))</f>
        <v>0</v>
      </c>
      <c r="R863" s="224">
        <f>(IF((VLOOKUP(Table10[[#This Row],[SKU]],'All Skus'!$A:$AC,2,FALSE))="Martin",(VLOOKUP(Table10[[#This Row],[SKU]],'All Skus'!$A:$AC,22,FALSE)),""))</f>
        <v>0</v>
      </c>
      <c r="S863" s="223">
        <f>(IF((VLOOKUP(Table10[[#This Row],[SKU]],'All Skus'!$A:$AC,2,FALSE))="Martin",(VLOOKUP(Table10[[#This Row],[SKU]],'All Skus'!$A:$AC,23,FALSE)),""))</f>
        <v>0</v>
      </c>
      <c r="T863" s="212" t="str">
        <f>HYPERLINK((IF((VLOOKUP(Table10[[#This Row],[SKU]],'All Skus'!$A:$AC,2,FALSE))="Martin",(VLOOKUP(Table10[[#This Row],[SKU]],'All Skus'!$A:$AC,24,FALSE)),"")))</f>
        <v/>
      </c>
      <c r="U863" s="228">
        <v>861</v>
      </c>
    </row>
    <row r="864" spans="1:21" hidden="1">
      <c r="A864" s="90">
        <v>91311190</v>
      </c>
      <c r="B864" s="224" t="str">
        <f>(IF((VLOOKUP(Table10[[#This Row],[SKU]],'All Skus'!$A:$AC,2,FALSE))="Martin",(VLOOKUP(Table10[[#This Row],[SKU]],'All Skus'!$A:$AC,3,FALSE)),""))</f>
        <v>DemoKits</v>
      </c>
      <c r="C864" s="223" t="str">
        <f>(IF((VLOOKUP(Table10[[#This Row],[SKU]],'All Skus'!$A:$AC,2,FALSE))="Martin",(VLOOKUP(Table10[[#This Row],[SKU]],'All Skus'!$A:$AC,4,FALSE)),""))</f>
        <v>VC-Grid/Strip Family Demo Suitcase</v>
      </c>
      <c r="D864" s="224" t="str">
        <f>(IF((VLOOKUP(Table10[[#This Row],[SKU]],'All Skus'!$A:$AC,2,FALSE))="Martin",(VLOOKUP(Table10[[#This Row],[SKU]],'All Skus'!$A:$AC,5,FALSE)),""))</f>
        <v>MAR-VC</v>
      </c>
      <c r="E864" s="223">
        <f>(IF((VLOOKUP(Table10[[#This Row],[SKU]],'All Skus'!$A:$AC,2,FALSE))="Martin",(VLOOKUP(Table10[[#This Row],[SKU]],'All Skus'!$A:$AC,6,FALSE)),""))</f>
        <v>0</v>
      </c>
      <c r="F864" s="155" t="str">
        <f>(IF((VLOOKUP(Table10[[#This Row],[SKU]],'All Skus'!$A:$AC,2,FALSE))="Martin",(VLOOKUP(Table10[[#This Row],[SKU]],'All Skus'!$A:$AC,7,FALSE)),""))</f>
        <v>EOL soon – very limited availability</v>
      </c>
      <c r="G864" s="223" t="str">
        <f>(IF((VLOOKUP(Table10[[#This Row],[SKU]],'All Skus'!$A:$AC,2,FALSE))="Martin",(VLOOKUP(Table10[[#This Row],[SKU]],'All Skus'!$A:$AC,8,FALSE)),""))</f>
        <v>VC-Grid/Strip Family Demo Suitcase</v>
      </c>
      <c r="H864" s="223" t="str">
        <f>(IF((VLOOKUP(Table10[[#This Row],[SKU]],'All Skus'!$A:$AC,2,FALSE))="Martin",(VLOOKUP(Table10[[#This Row],[SKU]],'All Skus'!$A:$AC,9,FALSE)),""))</f>
        <v>VC-Grid/Strip Family Demo Suitcase</v>
      </c>
      <c r="I864" s="225">
        <f>(IF((VLOOKUP(Table10[[#This Row],[SKU]],'All Skus'!$A:$AC,2,FALSE))="Martin",(VLOOKUP(Table10[[#This Row],[SKU]],'All Skus'!$A:$AC,10,FALSE)),""))</f>
        <v>5432.96</v>
      </c>
      <c r="J864" s="226">
        <f>(IF((VLOOKUP(Table10[[#This Row],[SKU]],'All Skus'!$A:$AC,2,FALSE))="Martin",(VLOOKUP(Table10[[#This Row],[SKU]],'All Skus'!$A:$AC,11,FALSE)),""))</f>
        <v>5432.96</v>
      </c>
      <c r="K864" s="224">
        <f>(IF((VLOOKUP(Table10[[#This Row],[SKU]],'All Skus'!$A:$AC,2,FALSE))="Martin",(VLOOKUP(Table10[[#This Row],[SKU]],'All Skus'!$A:$AC,15,FALSE)),""))</f>
        <v>0</v>
      </c>
      <c r="L864" s="224">
        <f>(IF((VLOOKUP(Table10[[#This Row],[SKU]],'All Skus'!$A:$AC,2,FALSE))="Martin",(VLOOKUP(Table10[[#This Row],[SKU]],'All Skus'!$A:$AC,16,FALSE)),""))</f>
        <v>5706681235940</v>
      </c>
      <c r="M864" s="224">
        <f>(IF((VLOOKUP(Table10[[#This Row],[SKU]],'All Skus'!$A:$AC,2,FALSE))="Martin",(VLOOKUP(Table10[[#This Row],[SKU]],'All Skus'!$A:$AC,17,FALSE)),""))</f>
        <v>0</v>
      </c>
      <c r="N864" s="227">
        <f>(IF((VLOOKUP(Table10[[#This Row],[SKU]],'All Skus'!$A:$AC,2,FALSE))="Martin",(VLOOKUP(Table10[[#This Row],[SKU]],'All Skus'!$A:$AC,18,FALSE)),""))</f>
        <v>0</v>
      </c>
      <c r="O864" s="227">
        <f>(IF((VLOOKUP(Table10[[#This Row],[SKU]],'All Skus'!$A:$AC,2,FALSE))="Martin",(VLOOKUP(Table10[[#This Row],[SKU]],'All Skus'!$A:$AC,19,FALSE)),""))</f>
        <v>0</v>
      </c>
      <c r="P864" s="227">
        <f>(IF((VLOOKUP(Table10[[#This Row],[SKU]],'All Skus'!$A:$AC,2,FALSE))="Martin",(VLOOKUP(Table10[[#This Row],[SKU]],'All Skus'!$A:$AC,20,FALSE)),""))</f>
        <v>0</v>
      </c>
      <c r="Q864" s="227">
        <f>(IF((VLOOKUP(Table10[[#This Row],[SKU]],'All Skus'!$A:$AC,2,FALSE))="Martin",(VLOOKUP(Table10[[#This Row],[SKU]],'All Skus'!$A:$AC,21,FALSE)),""))</f>
        <v>0</v>
      </c>
      <c r="R864" s="224" t="str">
        <f>(IF((VLOOKUP(Table10[[#This Row],[SKU]],'All Skus'!$A:$AC,2,FALSE))="Martin",(VLOOKUP(Table10[[#This Row],[SKU]],'All Skus'!$A:$AC,22,FALSE)),""))</f>
        <v>DE</v>
      </c>
      <c r="S864" s="223">
        <f>(IF((VLOOKUP(Table10[[#This Row],[SKU]],'All Skus'!$A:$AC,2,FALSE))="Martin",(VLOOKUP(Table10[[#This Row],[SKU]],'All Skus'!$A:$AC,23,FALSE)),""))</f>
        <v>0</v>
      </c>
      <c r="T864" s="212" t="str">
        <f>HYPERLINK((IF((VLOOKUP(Table10[[#This Row],[SKU]],'All Skus'!$A:$AC,2,FALSE))="Martin",(VLOOKUP(Table10[[#This Row],[SKU]],'All Skus'!$A:$AC,24,FALSE)),"")))</f>
        <v/>
      </c>
      <c r="U864" s="228">
        <v>862</v>
      </c>
    </row>
    <row r="865" spans="1:21" hidden="1">
      <c r="A865" s="115" t="s">
        <v>2377</v>
      </c>
      <c r="B865" s="224">
        <f>(IF((VLOOKUP(Table10[[#This Row],[SKU]],'All Skus'!$A:$AC,2,FALSE))="Martin",(VLOOKUP(Table10[[#This Row],[SKU]],'All Skus'!$A:$AC,3,FALSE)),""))</f>
        <v>0</v>
      </c>
      <c r="C865" s="223">
        <f>(IF((VLOOKUP(Table10[[#This Row],[SKU]],'All Skus'!$A:$AC,2,FALSE))="Martin",(VLOOKUP(Table10[[#This Row],[SKU]],'All Skus'!$A:$AC,4,FALSE)),""))</f>
        <v>0</v>
      </c>
      <c r="D865" s="224">
        <f>(IF((VLOOKUP(Table10[[#This Row],[SKU]],'All Skus'!$A:$AC,2,FALSE))="Martin",(VLOOKUP(Table10[[#This Row],[SKU]],'All Skus'!$A:$AC,5,FALSE)),""))</f>
        <v>0</v>
      </c>
      <c r="E865" s="223">
        <f>(IF((VLOOKUP(Table10[[#This Row],[SKU]],'All Skus'!$A:$AC,2,FALSE))="Martin",(VLOOKUP(Table10[[#This Row],[SKU]],'All Skus'!$A:$AC,6,FALSE)),""))</f>
        <v>0</v>
      </c>
      <c r="F865" s="155">
        <f>(IF((VLOOKUP(Table10[[#This Row],[SKU]],'All Skus'!$A:$AC,2,FALSE))="Martin",(VLOOKUP(Table10[[#This Row],[SKU]],'All Skus'!$A:$AC,7,FALSE)),""))</f>
        <v>0</v>
      </c>
      <c r="G865" s="223">
        <f>(IF((VLOOKUP(Table10[[#This Row],[SKU]],'All Skus'!$A:$AC,2,FALSE))="Martin",(VLOOKUP(Table10[[#This Row],[SKU]],'All Skus'!$A:$AC,8,FALSE)),""))</f>
        <v>0</v>
      </c>
      <c r="H865" s="223">
        <f>(IF((VLOOKUP(Table10[[#This Row],[SKU]],'All Skus'!$A:$AC,2,FALSE))="Martin",(VLOOKUP(Table10[[#This Row],[SKU]],'All Skus'!$A:$AC,9,FALSE)),""))</f>
        <v>0</v>
      </c>
      <c r="I865" s="225">
        <f>(IF((VLOOKUP(Table10[[#This Row],[SKU]],'All Skus'!$A:$AC,2,FALSE))="Martin",(VLOOKUP(Table10[[#This Row],[SKU]],'All Skus'!$A:$AC,10,FALSE)),""))</f>
        <v>0</v>
      </c>
      <c r="J865" s="226">
        <f>(IF((VLOOKUP(Table10[[#This Row],[SKU]],'All Skus'!$A:$AC,2,FALSE))="Martin",(VLOOKUP(Table10[[#This Row],[SKU]],'All Skus'!$A:$AC,11,FALSE)),""))</f>
        <v>0</v>
      </c>
      <c r="K865" s="224">
        <f>(IF((VLOOKUP(Table10[[#This Row],[SKU]],'All Skus'!$A:$AC,2,FALSE))="Martin",(VLOOKUP(Table10[[#This Row],[SKU]],'All Skus'!$A:$AC,15,FALSE)),""))</f>
        <v>0</v>
      </c>
      <c r="L865" s="224">
        <f>(IF((VLOOKUP(Table10[[#This Row],[SKU]],'All Skus'!$A:$AC,2,FALSE))="Martin",(VLOOKUP(Table10[[#This Row],[SKU]],'All Skus'!$A:$AC,16,FALSE)),""))</f>
        <v>0</v>
      </c>
      <c r="M865" s="224">
        <f>(IF((VLOOKUP(Table10[[#This Row],[SKU]],'All Skus'!$A:$AC,2,FALSE))="Martin",(VLOOKUP(Table10[[#This Row],[SKU]],'All Skus'!$A:$AC,17,FALSE)),""))</f>
        <v>0</v>
      </c>
      <c r="N865" s="227">
        <f>(IF((VLOOKUP(Table10[[#This Row],[SKU]],'All Skus'!$A:$AC,2,FALSE))="Martin",(VLOOKUP(Table10[[#This Row],[SKU]],'All Skus'!$A:$AC,18,FALSE)),""))</f>
        <v>0</v>
      </c>
      <c r="O865" s="227">
        <f>(IF((VLOOKUP(Table10[[#This Row],[SKU]],'All Skus'!$A:$AC,2,FALSE))="Martin",(VLOOKUP(Table10[[#This Row],[SKU]],'All Skus'!$A:$AC,19,FALSE)),""))</f>
        <v>0</v>
      </c>
      <c r="P865" s="227">
        <f>(IF((VLOOKUP(Table10[[#This Row],[SKU]],'All Skus'!$A:$AC,2,FALSE))="Martin",(VLOOKUP(Table10[[#This Row],[SKU]],'All Skus'!$A:$AC,20,FALSE)),""))</f>
        <v>0</v>
      </c>
      <c r="Q865" s="227">
        <f>(IF((VLOOKUP(Table10[[#This Row],[SKU]],'All Skus'!$A:$AC,2,FALSE))="Martin",(VLOOKUP(Table10[[#This Row],[SKU]],'All Skus'!$A:$AC,21,FALSE)),""))</f>
        <v>0</v>
      </c>
      <c r="R865" s="224">
        <f>(IF((VLOOKUP(Table10[[#This Row],[SKU]],'All Skus'!$A:$AC,2,FALSE))="Martin",(VLOOKUP(Table10[[#This Row],[SKU]],'All Skus'!$A:$AC,22,FALSE)),""))</f>
        <v>0</v>
      </c>
      <c r="S865" s="223">
        <f>(IF((VLOOKUP(Table10[[#This Row],[SKU]],'All Skus'!$A:$AC,2,FALSE))="Martin",(VLOOKUP(Table10[[#This Row],[SKU]],'All Skus'!$A:$AC,23,FALSE)),""))</f>
        <v>0</v>
      </c>
      <c r="T865" s="212" t="str">
        <f>HYPERLINK((IF((VLOOKUP(Table10[[#This Row],[SKU]],'All Skus'!$A:$AC,2,FALSE))="Martin",(VLOOKUP(Table10[[#This Row],[SKU]],'All Skus'!$A:$AC,24,FALSE)),"")))</f>
        <v/>
      </c>
      <c r="U865" s="228">
        <v>863</v>
      </c>
    </row>
    <row r="866" spans="1:21" hidden="1">
      <c r="A866" s="90">
        <v>91311230</v>
      </c>
      <c r="B866" s="224" t="str">
        <f>(IF((VLOOKUP(Table10[[#This Row],[SKU]],'All Skus'!$A:$AC,2,FALSE))="Martin",(VLOOKUP(Table10[[#This Row],[SKU]],'All Skus'!$A:$AC,3,FALSE)),""))</f>
        <v>DemoKits</v>
      </c>
      <c r="C866" s="223" t="str">
        <f>(IF((VLOOKUP(Table10[[#This Row],[SKU]],'All Skus'!$A:$AC,2,FALSE))="Martin",(VLOOKUP(Table10[[#This Row],[SKU]],'All Skus'!$A:$AC,4,FALSE)),""))</f>
        <v>VC-Dot Family Demo Suitcase</v>
      </c>
      <c r="D866" s="224" t="str">
        <f>(IF((VLOOKUP(Table10[[#This Row],[SKU]],'All Skus'!$A:$AC,2,FALSE))="Martin",(VLOOKUP(Table10[[#This Row],[SKU]],'All Skus'!$A:$AC,5,FALSE)),""))</f>
        <v>MAR-VC</v>
      </c>
      <c r="E866" s="223">
        <f>(IF((VLOOKUP(Table10[[#This Row],[SKU]],'All Skus'!$A:$AC,2,FALSE))="Martin",(VLOOKUP(Table10[[#This Row],[SKU]],'All Skus'!$A:$AC,6,FALSE)),""))</f>
        <v>0</v>
      </c>
      <c r="F866" s="155" t="str">
        <f>(IF((VLOOKUP(Table10[[#This Row],[SKU]],'All Skus'!$A:$AC,2,FALSE))="Martin",(VLOOKUP(Table10[[#This Row],[SKU]],'All Skus'!$A:$AC,7,FALSE)),""))</f>
        <v>EOL soon – very limited availability</v>
      </c>
      <c r="G866" s="223" t="str">
        <f>(IF((VLOOKUP(Table10[[#This Row],[SKU]],'All Skus'!$A:$AC,2,FALSE))="Martin",(VLOOKUP(Table10[[#This Row],[SKU]],'All Skus'!$A:$AC,8,FALSE)),""))</f>
        <v>VC-Dot Family Demo Suitcase</v>
      </c>
      <c r="H866" s="223" t="str">
        <f>(IF((VLOOKUP(Table10[[#This Row],[SKU]],'All Skus'!$A:$AC,2,FALSE))="Martin",(VLOOKUP(Table10[[#This Row],[SKU]],'All Skus'!$A:$AC,9,FALSE)),""))</f>
        <v>VC-Dot Family Demo Suitcase</v>
      </c>
      <c r="I866" s="225">
        <f>(IF((VLOOKUP(Table10[[#This Row],[SKU]],'All Skus'!$A:$AC,2,FALSE))="Martin",(VLOOKUP(Table10[[#This Row],[SKU]],'All Skus'!$A:$AC,10,FALSE)),""))</f>
        <v>7285.11</v>
      </c>
      <c r="J866" s="226">
        <f>(IF((VLOOKUP(Table10[[#This Row],[SKU]],'All Skus'!$A:$AC,2,FALSE))="Martin",(VLOOKUP(Table10[[#This Row],[SKU]],'All Skus'!$A:$AC,11,FALSE)),""))</f>
        <v>7285.11</v>
      </c>
      <c r="K866" s="224">
        <f>(IF((VLOOKUP(Table10[[#This Row],[SKU]],'All Skus'!$A:$AC,2,FALSE))="Martin",(VLOOKUP(Table10[[#This Row],[SKU]],'All Skus'!$A:$AC,15,FALSE)),""))</f>
        <v>0</v>
      </c>
      <c r="L866" s="224">
        <f>(IF((VLOOKUP(Table10[[#This Row],[SKU]],'All Skus'!$A:$AC,2,FALSE))="Martin",(VLOOKUP(Table10[[#This Row],[SKU]],'All Skus'!$A:$AC,16,FALSE)),""))</f>
        <v>0</v>
      </c>
      <c r="M866" s="224">
        <f>(IF((VLOOKUP(Table10[[#This Row],[SKU]],'All Skus'!$A:$AC,2,FALSE))="Martin",(VLOOKUP(Table10[[#This Row],[SKU]],'All Skus'!$A:$AC,17,FALSE)),""))</f>
        <v>0</v>
      </c>
      <c r="N866" s="227">
        <f>(IF((VLOOKUP(Table10[[#This Row],[SKU]],'All Skus'!$A:$AC,2,FALSE))="Martin",(VLOOKUP(Table10[[#This Row],[SKU]],'All Skus'!$A:$AC,18,FALSE)),""))</f>
        <v>0</v>
      </c>
      <c r="O866" s="227">
        <f>(IF((VLOOKUP(Table10[[#This Row],[SKU]],'All Skus'!$A:$AC,2,FALSE))="Martin",(VLOOKUP(Table10[[#This Row],[SKU]],'All Skus'!$A:$AC,19,FALSE)),""))</f>
        <v>0</v>
      </c>
      <c r="P866" s="227">
        <f>(IF((VLOOKUP(Table10[[#This Row],[SKU]],'All Skus'!$A:$AC,2,FALSE))="Martin",(VLOOKUP(Table10[[#This Row],[SKU]],'All Skus'!$A:$AC,20,FALSE)),""))</f>
        <v>0</v>
      </c>
      <c r="Q866" s="227">
        <f>(IF((VLOOKUP(Table10[[#This Row],[SKU]],'All Skus'!$A:$AC,2,FALSE))="Martin",(VLOOKUP(Table10[[#This Row],[SKU]],'All Skus'!$A:$AC,21,FALSE)),""))</f>
        <v>0</v>
      </c>
      <c r="R866" s="224" t="str">
        <f>(IF((VLOOKUP(Table10[[#This Row],[SKU]],'All Skus'!$A:$AC,2,FALSE))="Martin",(VLOOKUP(Table10[[#This Row],[SKU]],'All Skus'!$A:$AC,22,FALSE)),""))</f>
        <v>DE</v>
      </c>
      <c r="S866" s="223">
        <f>(IF((VLOOKUP(Table10[[#This Row],[SKU]],'All Skus'!$A:$AC,2,FALSE))="Martin",(VLOOKUP(Table10[[#This Row],[SKU]],'All Skus'!$A:$AC,23,FALSE)),""))</f>
        <v>0</v>
      </c>
      <c r="T866" s="212" t="str">
        <f>HYPERLINK((IF((VLOOKUP(Table10[[#This Row],[SKU]],'All Skus'!$A:$AC,2,FALSE))="Martin",(VLOOKUP(Table10[[#This Row],[SKU]],'All Skus'!$A:$AC,24,FALSE)),"")))</f>
        <v/>
      </c>
      <c r="U866" s="228">
        <v>864</v>
      </c>
    </row>
    <row r="867" spans="1:21" hidden="1">
      <c r="A867" s="111" t="s">
        <v>2378</v>
      </c>
      <c r="B867" s="224">
        <f>(IF((VLOOKUP(Table10[[#This Row],[SKU]],'All Skus'!$A:$AC,2,FALSE))="Martin",(VLOOKUP(Table10[[#This Row],[SKU]],'All Skus'!$A:$AC,3,FALSE)),""))</f>
        <v>0</v>
      </c>
      <c r="C867" s="223">
        <f>(IF((VLOOKUP(Table10[[#This Row],[SKU]],'All Skus'!$A:$AC,2,FALSE))="Martin",(VLOOKUP(Table10[[#This Row],[SKU]],'All Skus'!$A:$AC,4,FALSE)),""))</f>
        <v>0</v>
      </c>
      <c r="D867" s="224">
        <f>(IF((VLOOKUP(Table10[[#This Row],[SKU]],'All Skus'!$A:$AC,2,FALSE))="Martin",(VLOOKUP(Table10[[#This Row],[SKU]],'All Skus'!$A:$AC,5,FALSE)),""))</f>
        <v>0</v>
      </c>
      <c r="E867" s="223">
        <f>(IF((VLOOKUP(Table10[[#This Row],[SKU]],'All Skus'!$A:$AC,2,FALSE))="Martin",(VLOOKUP(Table10[[#This Row],[SKU]],'All Skus'!$A:$AC,6,FALSE)),""))</f>
        <v>0</v>
      </c>
      <c r="F867" s="155">
        <f>(IF((VLOOKUP(Table10[[#This Row],[SKU]],'All Skus'!$A:$AC,2,FALSE))="Martin",(VLOOKUP(Table10[[#This Row],[SKU]],'All Skus'!$A:$AC,7,FALSE)),""))</f>
        <v>0</v>
      </c>
      <c r="G867" s="223">
        <f>(IF((VLOOKUP(Table10[[#This Row],[SKU]],'All Skus'!$A:$AC,2,FALSE))="Martin",(VLOOKUP(Table10[[#This Row],[SKU]],'All Skus'!$A:$AC,8,FALSE)),""))</f>
        <v>0</v>
      </c>
      <c r="H867" s="223">
        <f>(IF((VLOOKUP(Table10[[#This Row],[SKU]],'All Skus'!$A:$AC,2,FALSE))="Martin",(VLOOKUP(Table10[[#This Row],[SKU]],'All Skus'!$A:$AC,9,FALSE)),""))</f>
        <v>0</v>
      </c>
      <c r="I867" s="225">
        <f>(IF((VLOOKUP(Table10[[#This Row],[SKU]],'All Skus'!$A:$AC,2,FALSE))="Martin",(VLOOKUP(Table10[[#This Row],[SKU]],'All Skus'!$A:$AC,10,FALSE)),""))</f>
        <v>0</v>
      </c>
      <c r="J867" s="226">
        <f>(IF((VLOOKUP(Table10[[#This Row],[SKU]],'All Skus'!$A:$AC,2,FALSE))="Martin",(VLOOKUP(Table10[[#This Row],[SKU]],'All Skus'!$A:$AC,11,FALSE)),""))</f>
        <v>0</v>
      </c>
      <c r="K867" s="224">
        <f>(IF((VLOOKUP(Table10[[#This Row],[SKU]],'All Skus'!$A:$AC,2,FALSE))="Martin",(VLOOKUP(Table10[[#This Row],[SKU]],'All Skus'!$A:$AC,15,FALSE)),""))</f>
        <v>0</v>
      </c>
      <c r="L867" s="224">
        <f>(IF((VLOOKUP(Table10[[#This Row],[SKU]],'All Skus'!$A:$AC,2,FALSE))="Martin",(VLOOKUP(Table10[[#This Row],[SKU]],'All Skus'!$A:$AC,16,FALSE)),""))</f>
        <v>0</v>
      </c>
      <c r="M867" s="224">
        <f>(IF((VLOOKUP(Table10[[#This Row],[SKU]],'All Skus'!$A:$AC,2,FALSE))="Martin",(VLOOKUP(Table10[[#This Row],[SKU]],'All Skus'!$A:$AC,17,FALSE)),""))</f>
        <v>0</v>
      </c>
      <c r="N867" s="227">
        <f>(IF((VLOOKUP(Table10[[#This Row],[SKU]],'All Skus'!$A:$AC,2,FALSE))="Martin",(VLOOKUP(Table10[[#This Row],[SKU]],'All Skus'!$A:$AC,18,FALSE)),""))</f>
        <v>0</v>
      </c>
      <c r="O867" s="227">
        <f>(IF((VLOOKUP(Table10[[#This Row],[SKU]],'All Skus'!$A:$AC,2,FALSE))="Martin",(VLOOKUP(Table10[[#This Row],[SKU]],'All Skus'!$A:$AC,19,FALSE)),""))</f>
        <v>0</v>
      </c>
      <c r="P867" s="227">
        <f>(IF((VLOOKUP(Table10[[#This Row],[SKU]],'All Skus'!$A:$AC,2,FALSE))="Martin",(VLOOKUP(Table10[[#This Row],[SKU]],'All Skus'!$A:$AC,20,FALSE)),""))</f>
        <v>0</v>
      </c>
      <c r="Q867" s="227">
        <f>(IF((VLOOKUP(Table10[[#This Row],[SKU]],'All Skus'!$A:$AC,2,FALSE))="Martin",(VLOOKUP(Table10[[#This Row],[SKU]],'All Skus'!$A:$AC,21,FALSE)),""))</f>
        <v>0</v>
      </c>
      <c r="R867" s="224">
        <f>(IF((VLOOKUP(Table10[[#This Row],[SKU]],'All Skus'!$A:$AC,2,FALSE))="Martin",(VLOOKUP(Table10[[#This Row],[SKU]],'All Skus'!$A:$AC,22,FALSE)),""))</f>
        <v>0</v>
      </c>
      <c r="S867" s="223">
        <f>(IF((VLOOKUP(Table10[[#This Row],[SKU]],'All Skus'!$A:$AC,2,FALSE))="Martin",(VLOOKUP(Table10[[#This Row],[SKU]],'All Skus'!$A:$AC,23,FALSE)),""))</f>
        <v>0</v>
      </c>
      <c r="T867" s="212" t="str">
        <f>HYPERLINK((IF((VLOOKUP(Table10[[#This Row],[SKU]],'All Skus'!$A:$AC,2,FALSE))="Martin",(VLOOKUP(Table10[[#This Row],[SKU]],'All Skus'!$A:$AC,24,FALSE)),"")))</f>
        <v/>
      </c>
      <c r="U867" s="228">
        <v>865</v>
      </c>
    </row>
    <row r="868" spans="1:21" hidden="1">
      <c r="A868" s="115" t="s">
        <v>2379</v>
      </c>
      <c r="B868" s="224">
        <f>(IF((VLOOKUP(Table10[[#This Row],[SKU]],'All Skus'!$A:$AC,2,FALSE))="Martin",(VLOOKUP(Table10[[#This Row],[SKU]],'All Skus'!$A:$AC,3,FALSE)),""))</f>
        <v>0</v>
      </c>
      <c r="C868" s="223">
        <f>(IF((VLOOKUP(Table10[[#This Row],[SKU]],'All Skus'!$A:$AC,2,FALSE))="Martin",(VLOOKUP(Table10[[#This Row],[SKU]],'All Skus'!$A:$AC,4,FALSE)),""))</f>
        <v>0</v>
      </c>
      <c r="D868" s="224">
        <f>(IF((VLOOKUP(Table10[[#This Row],[SKU]],'All Skus'!$A:$AC,2,FALSE))="Martin",(VLOOKUP(Table10[[#This Row],[SKU]],'All Skus'!$A:$AC,5,FALSE)),""))</f>
        <v>0</v>
      </c>
      <c r="E868" s="223">
        <f>(IF((VLOOKUP(Table10[[#This Row],[SKU]],'All Skus'!$A:$AC,2,FALSE))="Martin",(VLOOKUP(Table10[[#This Row],[SKU]],'All Skus'!$A:$AC,6,FALSE)),""))</f>
        <v>0</v>
      </c>
      <c r="F868" s="155">
        <f>(IF((VLOOKUP(Table10[[#This Row],[SKU]],'All Skus'!$A:$AC,2,FALSE))="Martin",(VLOOKUP(Table10[[#This Row],[SKU]],'All Skus'!$A:$AC,7,FALSE)),""))</f>
        <v>0</v>
      </c>
      <c r="G868" s="223">
        <f>(IF((VLOOKUP(Table10[[#This Row],[SKU]],'All Skus'!$A:$AC,2,FALSE))="Martin",(VLOOKUP(Table10[[#This Row],[SKU]],'All Skus'!$A:$AC,8,FALSE)),""))</f>
        <v>0</v>
      </c>
      <c r="H868" s="223">
        <f>(IF((VLOOKUP(Table10[[#This Row],[SKU]],'All Skus'!$A:$AC,2,FALSE))="Martin",(VLOOKUP(Table10[[#This Row],[SKU]],'All Skus'!$A:$AC,9,FALSE)),""))</f>
        <v>0</v>
      </c>
      <c r="I868" s="225">
        <f>(IF((VLOOKUP(Table10[[#This Row],[SKU]],'All Skus'!$A:$AC,2,FALSE))="Martin",(VLOOKUP(Table10[[#This Row],[SKU]],'All Skus'!$A:$AC,10,FALSE)),""))</f>
        <v>0</v>
      </c>
      <c r="J868" s="226">
        <f>(IF((VLOOKUP(Table10[[#This Row],[SKU]],'All Skus'!$A:$AC,2,FALSE))="Martin",(VLOOKUP(Table10[[#This Row],[SKU]],'All Skus'!$A:$AC,11,FALSE)),""))</f>
        <v>0</v>
      </c>
      <c r="K868" s="224">
        <f>(IF((VLOOKUP(Table10[[#This Row],[SKU]],'All Skus'!$A:$AC,2,FALSE))="Martin",(VLOOKUP(Table10[[#This Row],[SKU]],'All Skus'!$A:$AC,15,FALSE)),""))</f>
        <v>0</v>
      </c>
      <c r="L868" s="224">
        <f>(IF((VLOOKUP(Table10[[#This Row],[SKU]],'All Skus'!$A:$AC,2,FALSE))="Martin",(VLOOKUP(Table10[[#This Row],[SKU]],'All Skus'!$A:$AC,16,FALSE)),""))</f>
        <v>0</v>
      </c>
      <c r="M868" s="224">
        <f>(IF((VLOOKUP(Table10[[#This Row],[SKU]],'All Skus'!$A:$AC,2,FALSE))="Martin",(VLOOKUP(Table10[[#This Row],[SKU]],'All Skus'!$A:$AC,17,FALSE)),""))</f>
        <v>0</v>
      </c>
      <c r="N868" s="227">
        <f>(IF((VLOOKUP(Table10[[#This Row],[SKU]],'All Skus'!$A:$AC,2,FALSE))="Martin",(VLOOKUP(Table10[[#This Row],[SKU]],'All Skus'!$A:$AC,18,FALSE)),""))</f>
        <v>0</v>
      </c>
      <c r="O868" s="227">
        <f>(IF((VLOOKUP(Table10[[#This Row],[SKU]],'All Skus'!$A:$AC,2,FALSE))="Martin",(VLOOKUP(Table10[[#This Row],[SKU]],'All Skus'!$A:$AC,19,FALSE)),""))</f>
        <v>0</v>
      </c>
      <c r="P868" s="227">
        <f>(IF((VLOOKUP(Table10[[#This Row],[SKU]],'All Skus'!$A:$AC,2,FALSE))="Martin",(VLOOKUP(Table10[[#This Row],[SKU]],'All Skus'!$A:$AC,20,FALSE)),""))</f>
        <v>0</v>
      </c>
      <c r="Q868" s="227">
        <f>(IF((VLOOKUP(Table10[[#This Row],[SKU]],'All Skus'!$A:$AC,2,FALSE))="Martin",(VLOOKUP(Table10[[#This Row],[SKU]],'All Skus'!$A:$AC,21,FALSE)),""))</f>
        <v>0</v>
      </c>
      <c r="R868" s="224">
        <f>(IF((VLOOKUP(Table10[[#This Row],[SKU]],'All Skus'!$A:$AC,2,FALSE))="Martin",(VLOOKUP(Table10[[#This Row],[SKU]],'All Skus'!$A:$AC,22,FALSE)),""))</f>
        <v>0</v>
      </c>
      <c r="S868" s="223">
        <f>(IF((VLOOKUP(Table10[[#This Row],[SKU]],'All Skus'!$A:$AC,2,FALSE))="Martin",(VLOOKUP(Table10[[#This Row],[SKU]],'All Skus'!$A:$AC,23,FALSE)),""))</f>
        <v>0</v>
      </c>
      <c r="T868" s="212" t="str">
        <f>HYPERLINK((IF((VLOOKUP(Table10[[#This Row],[SKU]],'All Skus'!$A:$AC,2,FALSE))="Martin",(VLOOKUP(Table10[[#This Row],[SKU]],'All Skus'!$A:$AC,24,FALSE)),"")))</f>
        <v/>
      </c>
      <c r="U868" s="228">
        <v>866</v>
      </c>
    </row>
    <row r="869" spans="1:21" hidden="1">
      <c r="A869" s="90">
        <v>91311220</v>
      </c>
      <c r="B869" s="224" t="str">
        <f>(IF((VLOOKUP(Table10[[#This Row],[SKU]],'All Skus'!$A:$AC,2,FALSE))="Martin",(VLOOKUP(Table10[[#This Row],[SKU]],'All Skus'!$A:$AC,3,FALSE)),""))</f>
        <v>DemoKits</v>
      </c>
      <c r="C869" s="223" t="str">
        <f>(IF((VLOOKUP(Table10[[#This Row],[SKU]],'All Skus'!$A:$AC,2,FALSE))="Martin",(VLOOKUP(Table10[[#This Row],[SKU]],'All Skus'!$A:$AC,4,FALSE)),""))</f>
        <v>Exterior PixLine Family Demo Suitcase</v>
      </c>
      <c r="D869" s="224" t="str">
        <f>(IF((VLOOKUP(Table10[[#This Row],[SKU]],'All Skus'!$A:$AC,2,FALSE))="Martin",(VLOOKUP(Table10[[#This Row],[SKU]],'All Skus'!$A:$AC,5,FALSE)),""))</f>
        <v>EXT-CREAT</v>
      </c>
      <c r="E869" s="223">
        <f>(IF((VLOOKUP(Table10[[#This Row],[SKU]],'All Skus'!$A:$AC,2,FALSE))="Martin",(VLOOKUP(Table10[[#This Row],[SKU]],'All Skus'!$A:$AC,6,FALSE)),""))</f>
        <v>0</v>
      </c>
      <c r="F869" s="155" t="str">
        <f>(IF((VLOOKUP(Table10[[#This Row],[SKU]],'All Skus'!$A:$AC,2,FALSE))="Martin",(VLOOKUP(Table10[[#This Row],[SKU]],'All Skus'!$A:$AC,7,FALSE)),""))</f>
        <v>EOL soon – very limited availability</v>
      </c>
      <c r="G869" s="223" t="str">
        <f>(IF((VLOOKUP(Table10[[#This Row],[SKU]],'All Skus'!$A:$AC,2,FALSE))="Martin",(VLOOKUP(Table10[[#This Row],[SKU]],'All Skus'!$A:$AC,8,FALSE)),""))</f>
        <v>Exterior PixLine Family Demo Suitcase</v>
      </c>
      <c r="H869" s="223" t="str">
        <f>(IF((VLOOKUP(Table10[[#This Row],[SKU]],'All Skus'!$A:$AC,2,FALSE))="Martin",(VLOOKUP(Table10[[#This Row],[SKU]],'All Skus'!$A:$AC,9,FALSE)),""))</f>
        <v>Exterior PixLine Family Demo Suitcase</v>
      </c>
      <c r="I869" s="225">
        <f>(IF((VLOOKUP(Table10[[#This Row],[SKU]],'All Skus'!$A:$AC,2,FALSE))="Martin",(VLOOKUP(Table10[[#This Row],[SKU]],'All Skus'!$A:$AC,10,FALSE)),""))</f>
        <v>11427.74</v>
      </c>
      <c r="J869" s="226">
        <f>(IF((VLOOKUP(Table10[[#This Row],[SKU]],'All Skus'!$A:$AC,2,FALSE))="Martin",(VLOOKUP(Table10[[#This Row],[SKU]],'All Skus'!$A:$AC,11,FALSE)),""))</f>
        <v>11427.74</v>
      </c>
      <c r="K869" s="224">
        <f>(IF((VLOOKUP(Table10[[#This Row],[SKU]],'All Skus'!$A:$AC,2,FALSE))="Martin",(VLOOKUP(Table10[[#This Row],[SKU]],'All Skus'!$A:$AC,15,FALSE)),""))</f>
        <v>0</v>
      </c>
      <c r="L869" s="224">
        <f>(IF((VLOOKUP(Table10[[#This Row],[SKU]],'All Skus'!$A:$AC,2,FALSE))="Martin",(VLOOKUP(Table10[[#This Row],[SKU]],'All Skus'!$A:$AC,16,FALSE)),""))</f>
        <v>5706681230679</v>
      </c>
      <c r="M869" s="224">
        <f>(IF((VLOOKUP(Table10[[#This Row],[SKU]],'All Skus'!$A:$AC,2,FALSE))="Martin",(VLOOKUP(Table10[[#This Row],[SKU]],'All Skus'!$A:$AC,17,FALSE)),""))</f>
        <v>0</v>
      </c>
      <c r="N869" s="227">
        <f>(IF((VLOOKUP(Table10[[#This Row],[SKU]],'All Skus'!$A:$AC,2,FALSE))="Martin",(VLOOKUP(Table10[[#This Row],[SKU]],'All Skus'!$A:$AC,18,FALSE)),""))</f>
        <v>0</v>
      </c>
      <c r="O869" s="227">
        <f>(IF((VLOOKUP(Table10[[#This Row],[SKU]],'All Skus'!$A:$AC,2,FALSE))="Martin",(VLOOKUP(Table10[[#This Row],[SKU]],'All Skus'!$A:$AC,19,FALSE)),""))</f>
        <v>0</v>
      </c>
      <c r="P869" s="227">
        <f>(IF((VLOOKUP(Table10[[#This Row],[SKU]],'All Skus'!$A:$AC,2,FALSE))="Martin",(VLOOKUP(Table10[[#This Row],[SKU]],'All Skus'!$A:$AC,20,FALSE)),""))</f>
        <v>0</v>
      </c>
      <c r="Q869" s="227">
        <f>(IF((VLOOKUP(Table10[[#This Row],[SKU]],'All Skus'!$A:$AC,2,FALSE))="Martin",(VLOOKUP(Table10[[#This Row],[SKU]],'All Skus'!$A:$AC,21,FALSE)),""))</f>
        <v>0</v>
      </c>
      <c r="R869" s="224" t="str">
        <f>(IF((VLOOKUP(Table10[[#This Row],[SKU]],'All Skus'!$A:$AC,2,FALSE))="Martin",(VLOOKUP(Table10[[#This Row],[SKU]],'All Skus'!$A:$AC,22,FALSE)),""))</f>
        <v>DE</v>
      </c>
      <c r="S869" s="223">
        <f>(IF((VLOOKUP(Table10[[#This Row],[SKU]],'All Skus'!$A:$AC,2,FALSE))="Martin",(VLOOKUP(Table10[[#This Row],[SKU]],'All Skus'!$A:$AC,23,FALSE)),""))</f>
        <v>0</v>
      </c>
      <c r="T869" s="212" t="str">
        <f>HYPERLINK((IF((VLOOKUP(Table10[[#This Row],[SKU]],'All Skus'!$A:$AC,2,FALSE))="Martin",(VLOOKUP(Table10[[#This Row],[SKU]],'All Skus'!$A:$AC,24,FALSE)),"")))</f>
        <v/>
      </c>
      <c r="U869" s="228">
        <v>867</v>
      </c>
    </row>
    <row r="870" spans="1:21" hidden="1">
      <c r="A870" s="115" t="s">
        <v>2380</v>
      </c>
      <c r="B870" s="224">
        <f>(IF((VLOOKUP(Table10[[#This Row],[SKU]],'All Skus'!$A:$AC,2,FALSE))="Martin",(VLOOKUP(Table10[[#This Row],[SKU]],'All Skus'!$A:$AC,3,FALSE)),""))</f>
        <v>0</v>
      </c>
      <c r="C870" s="223">
        <f>(IF((VLOOKUP(Table10[[#This Row],[SKU]],'All Skus'!$A:$AC,2,FALSE))="Martin",(VLOOKUP(Table10[[#This Row],[SKU]],'All Skus'!$A:$AC,4,FALSE)),""))</f>
        <v>0</v>
      </c>
      <c r="D870" s="224">
        <f>(IF((VLOOKUP(Table10[[#This Row],[SKU]],'All Skus'!$A:$AC,2,FALSE))="Martin",(VLOOKUP(Table10[[#This Row],[SKU]],'All Skus'!$A:$AC,5,FALSE)),""))</f>
        <v>0</v>
      </c>
      <c r="E870" s="223">
        <f>(IF((VLOOKUP(Table10[[#This Row],[SKU]],'All Skus'!$A:$AC,2,FALSE))="Martin",(VLOOKUP(Table10[[#This Row],[SKU]],'All Skus'!$A:$AC,6,FALSE)),""))</f>
        <v>0</v>
      </c>
      <c r="F870" s="155">
        <f>(IF((VLOOKUP(Table10[[#This Row],[SKU]],'All Skus'!$A:$AC,2,FALSE))="Martin",(VLOOKUP(Table10[[#This Row],[SKU]],'All Skus'!$A:$AC,7,FALSE)),""))</f>
        <v>0</v>
      </c>
      <c r="G870" s="223">
        <f>(IF((VLOOKUP(Table10[[#This Row],[SKU]],'All Skus'!$A:$AC,2,FALSE))="Martin",(VLOOKUP(Table10[[#This Row],[SKU]],'All Skus'!$A:$AC,8,FALSE)),""))</f>
        <v>0</v>
      </c>
      <c r="H870" s="223">
        <f>(IF((VLOOKUP(Table10[[#This Row],[SKU]],'All Skus'!$A:$AC,2,FALSE))="Martin",(VLOOKUP(Table10[[#This Row],[SKU]],'All Skus'!$A:$AC,9,FALSE)),""))</f>
        <v>0</v>
      </c>
      <c r="I870" s="225">
        <f>(IF((VLOOKUP(Table10[[#This Row],[SKU]],'All Skus'!$A:$AC,2,FALSE))="Martin",(VLOOKUP(Table10[[#This Row],[SKU]],'All Skus'!$A:$AC,10,FALSE)),""))</f>
        <v>0</v>
      </c>
      <c r="J870" s="226">
        <f>(IF((VLOOKUP(Table10[[#This Row],[SKU]],'All Skus'!$A:$AC,2,FALSE))="Martin",(VLOOKUP(Table10[[#This Row],[SKU]],'All Skus'!$A:$AC,11,FALSE)),""))</f>
        <v>0</v>
      </c>
      <c r="K870" s="224">
        <f>(IF((VLOOKUP(Table10[[#This Row],[SKU]],'All Skus'!$A:$AC,2,FALSE))="Martin",(VLOOKUP(Table10[[#This Row],[SKU]],'All Skus'!$A:$AC,15,FALSE)),""))</f>
        <v>0</v>
      </c>
      <c r="L870" s="224">
        <f>(IF((VLOOKUP(Table10[[#This Row],[SKU]],'All Skus'!$A:$AC,2,FALSE))="Martin",(VLOOKUP(Table10[[#This Row],[SKU]],'All Skus'!$A:$AC,16,FALSE)),""))</f>
        <v>0</v>
      </c>
      <c r="M870" s="224">
        <f>(IF((VLOOKUP(Table10[[#This Row],[SKU]],'All Skus'!$A:$AC,2,FALSE))="Martin",(VLOOKUP(Table10[[#This Row],[SKU]],'All Skus'!$A:$AC,17,FALSE)),""))</f>
        <v>0</v>
      </c>
      <c r="N870" s="227">
        <f>(IF((VLOOKUP(Table10[[#This Row],[SKU]],'All Skus'!$A:$AC,2,FALSE))="Martin",(VLOOKUP(Table10[[#This Row],[SKU]],'All Skus'!$A:$AC,18,FALSE)),""))</f>
        <v>0</v>
      </c>
      <c r="O870" s="227">
        <f>(IF((VLOOKUP(Table10[[#This Row],[SKU]],'All Skus'!$A:$AC,2,FALSE))="Martin",(VLOOKUP(Table10[[#This Row],[SKU]],'All Skus'!$A:$AC,19,FALSE)),""))</f>
        <v>0</v>
      </c>
      <c r="P870" s="227">
        <f>(IF((VLOOKUP(Table10[[#This Row],[SKU]],'All Skus'!$A:$AC,2,FALSE))="Martin",(VLOOKUP(Table10[[#This Row],[SKU]],'All Skus'!$A:$AC,20,FALSE)),""))</f>
        <v>0</v>
      </c>
      <c r="Q870" s="227">
        <f>(IF((VLOOKUP(Table10[[#This Row],[SKU]],'All Skus'!$A:$AC,2,FALSE))="Martin",(VLOOKUP(Table10[[#This Row],[SKU]],'All Skus'!$A:$AC,21,FALSE)),""))</f>
        <v>0</v>
      </c>
      <c r="R870" s="224">
        <f>(IF((VLOOKUP(Table10[[#This Row],[SKU]],'All Skus'!$A:$AC,2,FALSE))="Martin",(VLOOKUP(Table10[[#This Row],[SKU]],'All Skus'!$A:$AC,22,FALSE)),""))</f>
        <v>0</v>
      </c>
      <c r="S870" s="223">
        <f>(IF((VLOOKUP(Table10[[#This Row],[SKU]],'All Skus'!$A:$AC,2,FALSE))="Martin",(VLOOKUP(Table10[[#This Row],[SKU]],'All Skus'!$A:$AC,23,FALSE)),""))</f>
        <v>0</v>
      </c>
      <c r="T870" s="212" t="str">
        <f>HYPERLINK((IF((VLOOKUP(Table10[[#This Row],[SKU]],'All Skus'!$A:$AC,2,FALSE))="Martin",(VLOOKUP(Table10[[#This Row],[SKU]],'All Skus'!$A:$AC,24,FALSE)),"")))</f>
        <v/>
      </c>
      <c r="U870" s="228">
        <v>868</v>
      </c>
    </row>
    <row r="871" spans="1:21" hidden="1">
      <c r="A871" s="90">
        <v>91311246</v>
      </c>
      <c r="B871" s="224" t="str">
        <f>(IF((VLOOKUP(Table10[[#This Row],[SKU]],'All Skus'!$A:$AC,2,FALSE))="Martin",(VLOOKUP(Table10[[#This Row],[SKU]],'All Skus'!$A:$AC,3,FALSE)),""))</f>
        <v>DemoKits</v>
      </c>
      <c r="C871" s="223" t="str">
        <f>(IF((VLOOKUP(Table10[[#This Row],[SKU]],'All Skus'!$A:$AC,2,FALSE))="Martin",(VLOOKUP(Table10[[#This Row],[SKU]],'All Skus'!$A:$AC,4,FALSE)),""))</f>
        <v>Exterior Dot-HP Family Demo Suitcase</v>
      </c>
      <c r="D871" s="224" t="str">
        <f>(IF((VLOOKUP(Table10[[#This Row],[SKU]],'All Skus'!$A:$AC,2,FALSE))="Martin",(VLOOKUP(Table10[[#This Row],[SKU]],'All Skus'!$A:$AC,5,FALSE)),""))</f>
        <v>EXT-CREAT</v>
      </c>
      <c r="E871" s="223">
        <f>(IF((VLOOKUP(Table10[[#This Row],[SKU]],'All Skus'!$A:$AC,2,FALSE))="Martin",(VLOOKUP(Table10[[#This Row],[SKU]],'All Skus'!$A:$AC,6,FALSE)),""))</f>
        <v>0</v>
      </c>
      <c r="F871" s="155" t="str">
        <f>(IF((VLOOKUP(Table10[[#This Row],[SKU]],'All Skus'!$A:$AC,2,FALSE))="Martin",(VLOOKUP(Table10[[#This Row],[SKU]],'All Skus'!$A:$AC,7,FALSE)),""))</f>
        <v>EOL soon – very limited availability</v>
      </c>
      <c r="G871" s="223" t="str">
        <f>(IF((VLOOKUP(Table10[[#This Row],[SKU]],'All Skus'!$A:$AC,2,FALSE))="Martin",(VLOOKUP(Table10[[#This Row],[SKU]],'All Skus'!$A:$AC,8,FALSE)),""))</f>
        <v>Exterior Dot-HP Family Demo Suitcase</v>
      </c>
      <c r="H871" s="223" t="str">
        <f>(IF((VLOOKUP(Table10[[#This Row],[SKU]],'All Skus'!$A:$AC,2,FALSE))="Martin",(VLOOKUP(Table10[[#This Row],[SKU]],'All Skus'!$A:$AC,9,FALSE)),""))</f>
        <v>Exterior Dot-HP Family Demo Suitcase</v>
      </c>
      <c r="I871" s="225">
        <f>(IF((VLOOKUP(Table10[[#This Row],[SKU]],'All Skus'!$A:$AC,2,FALSE))="Martin",(VLOOKUP(Table10[[#This Row],[SKU]],'All Skus'!$A:$AC,10,FALSE)),""))</f>
        <v>9317.5300000000007</v>
      </c>
      <c r="J871" s="226">
        <f>(IF((VLOOKUP(Table10[[#This Row],[SKU]],'All Skus'!$A:$AC,2,FALSE))="Martin",(VLOOKUP(Table10[[#This Row],[SKU]],'All Skus'!$A:$AC,11,FALSE)),""))</f>
        <v>9317.5300000000007</v>
      </c>
      <c r="K871" s="224">
        <f>(IF((VLOOKUP(Table10[[#This Row],[SKU]],'All Skus'!$A:$AC,2,FALSE))="Martin",(VLOOKUP(Table10[[#This Row],[SKU]],'All Skus'!$A:$AC,15,FALSE)),""))</f>
        <v>0</v>
      </c>
      <c r="L871" s="224">
        <f>(IF((VLOOKUP(Table10[[#This Row],[SKU]],'All Skus'!$A:$AC,2,FALSE))="Martin",(VLOOKUP(Table10[[#This Row],[SKU]],'All Skus'!$A:$AC,16,FALSE)),""))</f>
        <v>688705000732</v>
      </c>
      <c r="M871" s="224">
        <f>(IF((VLOOKUP(Table10[[#This Row],[SKU]],'All Skus'!$A:$AC,2,FALSE))="Martin",(VLOOKUP(Table10[[#This Row],[SKU]],'All Skus'!$A:$AC,17,FALSE)),""))</f>
        <v>0</v>
      </c>
      <c r="N871" s="227">
        <f>(IF((VLOOKUP(Table10[[#This Row],[SKU]],'All Skus'!$A:$AC,2,FALSE))="Martin",(VLOOKUP(Table10[[#This Row],[SKU]],'All Skus'!$A:$AC,18,FALSE)),""))</f>
        <v>0</v>
      </c>
      <c r="O871" s="227">
        <f>(IF((VLOOKUP(Table10[[#This Row],[SKU]],'All Skus'!$A:$AC,2,FALSE))="Martin",(VLOOKUP(Table10[[#This Row],[SKU]],'All Skus'!$A:$AC,19,FALSE)),""))</f>
        <v>0</v>
      </c>
      <c r="P871" s="227">
        <f>(IF((VLOOKUP(Table10[[#This Row],[SKU]],'All Skus'!$A:$AC,2,FALSE))="Martin",(VLOOKUP(Table10[[#This Row],[SKU]],'All Skus'!$A:$AC,20,FALSE)),""))</f>
        <v>0</v>
      </c>
      <c r="Q871" s="227">
        <f>(IF((VLOOKUP(Table10[[#This Row],[SKU]],'All Skus'!$A:$AC,2,FALSE))="Martin",(VLOOKUP(Table10[[#This Row],[SKU]],'All Skus'!$A:$AC,21,FALSE)),""))</f>
        <v>0</v>
      </c>
      <c r="R871" s="224" t="str">
        <f>(IF((VLOOKUP(Table10[[#This Row],[SKU]],'All Skus'!$A:$AC,2,FALSE))="Martin",(VLOOKUP(Table10[[#This Row],[SKU]],'All Skus'!$A:$AC,22,FALSE)),""))</f>
        <v>DE</v>
      </c>
      <c r="S871" s="223">
        <f>(IF((VLOOKUP(Table10[[#This Row],[SKU]],'All Skus'!$A:$AC,2,FALSE))="Martin",(VLOOKUP(Table10[[#This Row],[SKU]],'All Skus'!$A:$AC,23,FALSE)),""))</f>
        <v>0</v>
      </c>
      <c r="T871" s="212" t="str">
        <f>HYPERLINK((IF((VLOOKUP(Table10[[#This Row],[SKU]],'All Skus'!$A:$AC,2,FALSE))="Martin",(VLOOKUP(Table10[[#This Row],[SKU]],'All Skus'!$A:$AC,24,FALSE)),"")))</f>
        <v/>
      </c>
      <c r="U871" s="228">
        <v>869</v>
      </c>
    </row>
    <row r="872" spans="1:21" hidden="1">
      <c r="A872" s="115" t="s">
        <v>2381</v>
      </c>
      <c r="B872" s="224">
        <f>(IF((VLOOKUP(Table10[[#This Row],[SKU]],'All Skus'!$A:$AC,2,FALSE))="Martin",(VLOOKUP(Table10[[#This Row],[SKU]],'All Skus'!$A:$AC,3,FALSE)),""))</f>
        <v>0</v>
      </c>
      <c r="C872" s="223">
        <f>(IF((VLOOKUP(Table10[[#This Row],[SKU]],'All Skus'!$A:$AC,2,FALSE))="Martin",(VLOOKUP(Table10[[#This Row],[SKU]],'All Skus'!$A:$AC,4,FALSE)),""))</f>
        <v>0</v>
      </c>
      <c r="D872" s="224">
        <f>(IF((VLOOKUP(Table10[[#This Row],[SKU]],'All Skus'!$A:$AC,2,FALSE))="Martin",(VLOOKUP(Table10[[#This Row],[SKU]],'All Skus'!$A:$AC,5,FALSE)),""))</f>
        <v>0</v>
      </c>
      <c r="E872" s="223">
        <f>(IF((VLOOKUP(Table10[[#This Row],[SKU]],'All Skus'!$A:$AC,2,FALSE))="Martin",(VLOOKUP(Table10[[#This Row],[SKU]],'All Skus'!$A:$AC,6,FALSE)),""))</f>
        <v>0</v>
      </c>
      <c r="F872" s="155">
        <f>(IF((VLOOKUP(Table10[[#This Row],[SKU]],'All Skus'!$A:$AC,2,FALSE))="Martin",(VLOOKUP(Table10[[#This Row],[SKU]],'All Skus'!$A:$AC,7,FALSE)),""))</f>
        <v>0</v>
      </c>
      <c r="G872" s="223">
        <f>(IF((VLOOKUP(Table10[[#This Row],[SKU]],'All Skus'!$A:$AC,2,FALSE))="Martin",(VLOOKUP(Table10[[#This Row],[SKU]],'All Skus'!$A:$AC,8,FALSE)),""))</f>
        <v>0</v>
      </c>
      <c r="H872" s="223">
        <f>(IF((VLOOKUP(Table10[[#This Row],[SKU]],'All Skus'!$A:$AC,2,FALSE))="Martin",(VLOOKUP(Table10[[#This Row],[SKU]],'All Skus'!$A:$AC,9,FALSE)),""))</f>
        <v>0</v>
      </c>
      <c r="I872" s="225">
        <f>(IF((VLOOKUP(Table10[[#This Row],[SKU]],'All Skus'!$A:$AC,2,FALSE))="Martin",(VLOOKUP(Table10[[#This Row],[SKU]],'All Skus'!$A:$AC,10,FALSE)),""))</f>
        <v>0</v>
      </c>
      <c r="J872" s="226">
        <f>(IF((VLOOKUP(Table10[[#This Row],[SKU]],'All Skus'!$A:$AC,2,FALSE))="Martin",(VLOOKUP(Table10[[#This Row],[SKU]],'All Skus'!$A:$AC,11,FALSE)),""))</f>
        <v>0</v>
      </c>
      <c r="K872" s="224">
        <f>(IF((VLOOKUP(Table10[[#This Row],[SKU]],'All Skus'!$A:$AC,2,FALSE))="Martin",(VLOOKUP(Table10[[#This Row],[SKU]],'All Skus'!$A:$AC,15,FALSE)),""))</f>
        <v>0</v>
      </c>
      <c r="L872" s="224">
        <f>(IF((VLOOKUP(Table10[[#This Row],[SKU]],'All Skus'!$A:$AC,2,FALSE))="Martin",(VLOOKUP(Table10[[#This Row],[SKU]],'All Skus'!$A:$AC,16,FALSE)),""))</f>
        <v>0</v>
      </c>
      <c r="M872" s="224">
        <f>(IF((VLOOKUP(Table10[[#This Row],[SKU]],'All Skus'!$A:$AC,2,FALSE))="Martin",(VLOOKUP(Table10[[#This Row],[SKU]],'All Skus'!$A:$AC,17,FALSE)),""))</f>
        <v>0</v>
      </c>
      <c r="N872" s="227">
        <f>(IF((VLOOKUP(Table10[[#This Row],[SKU]],'All Skus'!$A:$AC,2,FALSE))="Martin",(VLOOKUP(Table10[[#This Row],[SKU]],'All Skus'!$A:$AC,18,FALSE)),""))</f>
        <v>0</v>
      </c>
      <c r="O872" s="227">
        <f>(IF((VLOOKUP(Table10[[#This Row],[SKU]],'All Skus'!$A:$AC,2,FALSE))="Martin",(VLOOKUP(Table10[[#This Row],[SKU]],'All Skus'!$A:$AC,19,FALSE)),""))</f>
        <v>0</v>
      </c>
      <c r="P872" s="227">
        <f>(IF((VLOOKUP(Table10[[#This Row],[SKU]],'All Skus'!$A:$AC,2,FALSE))="Martin",(VLOOKUP(Table10[[#This Row],[SKU]],'All Skus'!$A:$AC,20,FALSE)),""))</f>
        <v>0</v>
      </c>
      <c r="Q872" s="227">
        <f>(IF((VLOOKUP(Table10[[#This Row],[SKU]],'All Skus'!$A:$AC,2,FALSE))="Martin",(VLOOKUP(Table10[[#This Row],[SKU]],'All Skus'!$A:$AC,21,FALSE)),""))</f>
        <v>0</v>
      </c>
      <c r="R872" s="224">
        <f>(IF((VLOOKUP(Table10[[#This Row],[SKU]],'All Skus'!$A:$AC,2,FALSE))="Martin",(VLOOKUP(Table10[[#This Row],[SKU]],'All Skus'!$A:$AC,22,FALSE)),""))</f>
        <v>0</v>
      </c>
      <c r="S872" s="223">
        <f>(IF((VLOOKUP(Table10[[#This Row],[SKU]],'All Skus'!$A:$AC,2,FALSE))="Martin",(VLOOKUP(Table10[[#This Row],[SKU]],'All Skus'!$A:$AC,23,FALSE)),""))</f>
        <v>0</v>
      </c>
      <c r="T872" s="212" t="str">
        <f>HYPERLINK((IF((VLOOKUP(Table10[[#This Row],[SKU]],'All Skus'!$A:$AC,2,FALSE))="Martin",(VLOOKUP(Table10[[#This Row],[SKU]],'All Skus'!$A:$AC,24,FALSE)),"")))</f>
        <v/>
      </c>
      <c r="U872" s="228">
        <v>870</v>
      </c>
    </row>
    <row r="873" spans="1:21" hidden="1">
      <c r="A873" s="90">
        <v>90310040</v>
      </c>
      <c r="B873" s="224" t="str">
        <f>(IF((VLOOKUP(Table10[[#This Row],[SKU]],'All Skus'!$A:$AC,2,FALSE))="Martin",(VLOOKUP(Table10[[#This Row],[SKU]],'All Skus'!$A:$AC,3,FALSE)),""))</f>
        <v>DemoKits</v>
      </c>
      <c r="C873" s="223" t="str">
        <f>(IF((VLOOKUP(Table10[[#This Row],[SKU]],'All Skus'!$A:$AC,2,FALSE))="Martin",(VLOOKUP(Table10[[#This Row],[SKU]],'All Skus'!$A:$AC,4,FALSE)),""))</f>
        <v>EXTERIOR LINEAR DEMO CASE, EU</v>
      </c>
      <c r="D873" s="224" t="str">
        <f>(IF((VLOOKUP(Table10[[#This Row],[SKU]],'All Skus'!$A:$AC,2,FALSE))="Martin",(VLOOKUP(Table10[[#This Row],[SKU]],'All Skus'!$A:$AC,5,FALSE)),""))</f>
        <v>EXT-LIN</v>
      </c>
      <c r="E873" s="223">
        <f>(IF((VLOOKUP(Table10[[#This Row],[SKU]],'All Skus'!$A:$AC,2,FALSE))="Martin",(VLOOKUP(Table10[[#This Row],[SKU]],'All Skus'!$A:$AC,6,FALSE)),""))</f>
        <v>0</v>
      </c>
      <c r="F873" s="155" t="str">
        <f>(IF((VLOOKUP(Table10[[#This Row],[SKU]],'All Skus'!$A:$AC,2,FALSE))="Martin",(VLOOKUP(Table10[[#This Row],[SKU]],'All Skus'!$A:$AC,7,FALSE)),""))</f>
        <v>EOL soon – very limited availability</v>
      </c>
      <c r="G873" s="223" t="str">
        <f>(IF((VLOOKUP(Table10[[#This Row],[SKU]],'All Skus'!$A:$AC,2,FALSE))="Martin",(VLOOKUP(Table10[[#This Row],[SKU]],'All Skus'!$A:$AC,8,FALSE)),""))</f>
        <v>EXTERIOR LINEAR DEMO CASE, EU</v>
      </c>
      <c r="H873" s="223" t="str">
        <f>(IF((VLOOKUP(Table10[[#This Row],[SKU]],'All Skus'!$A:$AC,2,FALSE))="Martin",(VLOOKUP(Table10[[#This Row],[SKU]],'All Skus'!$A:$AC,9,FALSE)),""))</f>
        <v>EXTERIOR LINEAR DEMO CASE, EU</v>
      </c>
      <c r="I873" s="225">
        <f>(IF((VLOOKUP(Table10[[#This Row],[SKU]],'All Skus'!$A:$AC,2,FALSE))="Martin",(VLOOKUP(Table10[[#This Row],[SKU]],'All Skus'!$A:$AC,10,FALSE)),""))</f>
        <v>4148.8100000000004</v>
      </c>
      <c r="J873" s="226">
        <f>(IF((VLOOKUP(Table10[[#This Row],[SKU]],'All Skus'!$A:$AC,2,FALSE))="Martin",(VLOOKUP(Table10[[#This Row],[SKU]],'All Skus'!$A:$AC,11,FALSE)),""))</f>
        <v>4148.8100000000004</v>
      </c>
      <c r="K873" s="224">
        <f>(IF((VLOOKUP(Table10[[#This Row],[SKU]],'All Skus'!$A:$AC,2,FALSE))="Martin",(VLOOKUP(Table10[[#This Row],[SKU]],'All Skus'!$A:$AC,15,FALSE)),""))</f>
        <v>0</v>
      </c>
      <c r="L873" s="224">
        <f>(IF((VLOOKUP(Table10[[#This Row],[SKU]],'All Skus'!$A:$AC,2,FALSE))="Martin",(VLOOKUP(Table10[[#This Row],[SKU]],'All Skus'!$A:$AC,16,FALSE)),""))</f>
        <v>688705000695</v>
      </c>
      <c r="M873" s="224">
        <f>(IF((VLOOKUP(Table10[[#This Row],[SKU]],'All Skus'!$A:$AC,2,FALSE))="Martin",(VLOOKUP(Table10[[#This Row],[SKU]],'All Skus'!$A:$AC,17,FALSE)),""))</f>
        <v>0</v>
      </c>
      <c r="N873" s="227">
        <f>(IF((VLOOKUP(Table10[[#This Row],[SKU]],'All Skus'!$A:$AC,2,FALSE))="Martin",(VLOOKUP(Table10[[#This Row],[SKU]],'All Skus'!$A:$AC,18,FALSE)),""))</f>
        <v>0</v>
      </c>
      <c r="O873" s="227">
        <f>(IF((VLOOKUP(Table10[[#This Row],[SKU]],'All Skus'!$A:$AC,2,FALSE))="Martin",(VLOOKUP(Table10[[#This Row],[SKU]],'All Skus'!$A:$AC,19,FALSE)),""))</f>
        <v>0</v>
      </c>
      <c r="P873" s="227">
        <f>(IF((VLOOKUP(Table10[[#This Row],[SKU]],'All Skus'!$A:$AC,2,FALSE))="Martin",(VLOOKUP(Table10[[#This Row],[SKU]],'All Skus'!$A:$AC,20,FALSE)),""))</f>
        <v>0</v>
      </c>
      <c r="Q873" s="227">
        <f>(IF((VLOOKUP(Table10[[#This Row],[SKU]],'All Skus'!$A:$AC,2,FALSE))="Martin",(VLOOKUP(Table10[[#This Row],[SKU]],'All Skus'!$A:$AC,21,FALSE)),""))</f>
        <v>0</v>
      </c>
      <c r="R873" s="224" t="str">
        <f>(IF((VLOOKUP(Table10[[#This Row],[SKU]],'All Skus'!$A:$AC,2,FALSE))="Martin",(VLOOKUP(Table10[[#This Row],[SKU]],'All Skus'!$A:$AC,22,FALSE)),""))</f>
        <v>CN</v>
      </c>
      <c r="S873" s="223" t="str">
        <f>(IF((VLOOKUP(Table10[[#This Row],[SKU]],'All Skus'!$A:$AC,2,FALSE))="Martin",(VLOOKUP(Table10[[#This Row],[SKU]],'All Skus'!$A:$AC,23,FALSE)),""))</f>
        <v>Non Compliant</v>
      </c>
      <c r="T873" s="212" t="str">
        <f>HYPERLINK((IF((VLOOKUP(Table10[[#This Row],[SKU]],'All Skus'!$A:$AC,2,FALSE))="Martin",(VLOOKUP(Table10[[#This Row],[SKU]],'All Skus'!$A:$AC,24,FALSE)),"")))</f>
        <v/>
      </c>
      <c r="U873" s="228">
        <v>871</v>
      </c>
    </row>
    <row r="874" spans="1:21" hidden="1">
      <c r="A874" s="90">
        <v>90310041</v>
      </c>
      <c r="B874" s="224" t="str">
        <f>(IF((VLOOKUP(Table10[[#This Row],[SKU]],'All Skus'!$A:$AC,2,FALSE))="Martin",(VLOOKUP(Table10[[#This Row],[SKU]],'All Skus'!$A:$AC,3,FALSE)),""))</f>
        <v>DemoKits</v>
      </c>
      <c r="C874" s="223" t="str">
        <f>(IF((VLOOKUP(Table10[[#This Row],[SKU]],'All Skus'!$A:$AC,2,FALSE))="Martin",(VLOOKUP(Table10[[#This Row],[SKU]],'All Skus'!$A:$AC,4,FALSE)),""))</f>
        <v>EXTERIOR LINEAR DEMO CASE, US</v>
      </c>
      <c r="D874" s="224" t="str">
        <f>(IF((VLOOKUP(Table10[[#This Row],[SKU]],'All Skus'!$A:$AC,2,FALSE))="Martin",(VLOOKUP(Table10[[#This Row],[SKU]],'All Skus'!$A:$AC,5,FALSE)),""))</f>
        <v>EXT-LIN</v>
      </c>
      <c r="E874" s="223">
        <f>(IF((VLOOKUP(Table10[[#This Row],[SKU]],'All Skus'!$A:$AC,2,FALSE))="Martin",(VLOOKUP(Table10[[#This Row],[SKU]],'All Skus'!$A:$AC,6,FALSE)),""))</f>
        <v>0</v>
      </c>
      <c r="F874" s="155" t="str">
        <f>(IF((VLOOKUP(Table10[[#This Row],[SKU]],'All Skus'!$A:$AC,2,FALSE))="Martin",(VLOOKUP(Table10[[#This Row],[SKU]],'All Skus'!$A:$AC,7,FALSE)),""))</f>
        <v>EOL soon – very limited availability</v>
      </c>
      <c r="G874" s="223" t="str">
        <f>(IF((VLOOKUP(Table10[[#This Row],[SKU]],'All Skus'!$A:$AC,2,FALSE))="Martin",(VLOOKUP(Table10[[#This Row],[SKU]],'All Skus'!$A:$AC,8,FALSE)),""))</f>
        <v>EXTERIOR LINEAR DEMO CASE, US</v>
      </c>
      <c r="H874" s="223" t="str">
        <f>(IF((VLOOKUP(Table10[[#This Row],[SKU]],'All Skus'!$A:$AC,2,FALSE))="Martin",(VLOOKUP(Table10[[#This Row],[SKU]],'All Skus'!$A:$AC,9,FALSE)),""))</f>
        <v>EXTERIOR LINEAR DEMO CASE, US</v>
      </c>
      <c r="I874" s="225">
        <f>(IF((VLOOKUP(Table10[[#This Row],[SKU]],'All Skus'!$A:$AC,2,FALSE))="Martin",(VLOOKUP(Table10[[#This Row],[SKU]],'All Skus'!$A:$AC,10,FALSE)),""))</f>
        <v>4153.75</v>
      </c>
      <c r="J874" s="226">
        <f>(IF((VLOOKUP(Table10[[#This Row],[SKU]],'All Skus'!$A:$AC,2,FALSE))="Martin",(VLOOKUP(Table10[[#This Row],[SKU]],'All Skus'!$A:$AC,11,FALSE)),""))</f>
        <v>4153.75</v>
      </c>
      <c r="K874" s="224">
        <f>(IF((VLOOKUP(Table10[[#This Row],[SKU]],'All Skus'!$A:$AC,2,FALSE))="Martin",(VLOOKUP(Table10[[#This Row],[SKU]],'All Skus'!$A:$AC,15,FALSE)),""))</f>
        <v>0</v>
      </c>
      <c r="L874" s="224">
        <f>(IF((VLOOKUP(Table10[[#This Row],[SKU]],'All Skus'!$A:$AC,2,FALSE))="Martin",(VLOOKUP(Table10[[#This Row],[SKU]],'All Skus'!$A:$AC,16,FALSE)),""))</f>
        <v>0</v>
      </c>
      <c r="M874" s="224">
        <f>(IF((VLOOKUP(Table10[[#This Row],[SKU]],'All Skus'!$A:$AC,2,FALSE))="Martin",(VLOOKUP(Table10[[#This Row],[SKU]],'All Skus'!$A:$AC,17,FALSE)),""))</f>
        <v>0</v>
      </c>
      <c r="N874" s="227">
        <f>(IF((VLOOKUP(Table10[[#This Row],[SKU]],'All Skus'!$A:$AC,2,FALSE))="Martin",(VLOOKUP(Table10[[#This Row],[SKU]],'All Skus'!$A:$AC,18,FALSE)),""))</f>
        <v>0</v>
      </c>
      <c r="O874" s="227">
        <f>(IF((VLOOKUP(Table10[[#This Row],[SKU]],'All Skus'!$A:$AC,2,FALSE))="Martin",(VLOOKUP(Table10[[#This Row],[SKU]],'All Skus'!$A:$AC,19,FALSE)),""))</f>
        <v>0</v>
      </c>
      <c r="P874" s="227">
        <f>(IF((VLOOKUP(Table10[[#This Row],[SKU]],'All Skus'!$A:$AC,2,FALSE))="Martin",(VLOOKUP(Table10[[#This Row],[SKU]],'All Skus'!$A:$AC,20,FALSE)),""))</f>
        <v>0</v>
      </c>
      <c r="Q874" s="227">
        <f>(IF((VLOOKUP(Table10[[#This Row],[SKU]],'All Skus'!$A:$AC,2,FALSE))="Martin",(VLOOKUP(Table10[[#This Row],[SKU]],'All Skus'!$A:$AC,21,FALSE)),""))</f>
        <v>0</v>
      </c>
      <c r="R874" s="224" t="str">
        <f>(IF((VLOOKUP(Table10[[#This Row],[SKU]],'All Skus'!$A:$AC,2,FALSE))="Martin",(VLOOKUP(Table10[[#This Row],[SKU]],'All Skus'!$A:$AC,22,FALSE)),""))</f>
        <v>CN</v>
      </c>
      <c r="S874" s="223" t="str">
        <f>(IF((VLOOKUP(Table10[[#This Row],[SKU]],'All Skus'!$A:$AC,2,FALSE))="Martin",(VLOOKUP(Table10[[#This Row],[SKU]],'All Skus'!$A:$AC,23,FALSE)),""))</f>
        <v>Non Compliant</v>
      </c>
      <c r="T874" s="212" t="str">
        <f>HYPERLINK((IF((VLOOKUP(Table10[[#This Row],[SKU]],'All Skus'!$A:$AC,2,FALSE))="Martin",(VLOOKUP(Table10[[#This Row],[SKU]],'All Skus'!$A:$AC,24,FALSE)),"")))</f>
        <v/>
      </c>
      <c r="U874" s="228">
        <v>872</v>
      </c>
    </row>
    <row r="875" spans="1:21" hidden="1">
      <c r="A875" s="90">
        <v>90310053</v>
      </c>
      <c r="B875" s="224" t="str">
        <f>(IF((VLOOKUP(Table10[[#This Row],[SKU]],'All Skus'!$A:$AC,2,FALSE))="Martin",(VLOOKUP(Table10[[#This Row],[SKU]],'All Skus'!$A:$AC,3,FALSE)),""))</f>
        <v>DemoKits</v>
      </c>
      <c r="C875" s="223" t="str">
        <f>(IF((VLOOKUP(Table10[[#This Row],[SKU]],'All Skus'!$A:$AC,2,FALSE))="Martin",(VLOOKUP(Table10[[#This Row],[SKU]],'All Skus'!$A:$AC,4,FALSE)),""))</f>
        <v>EXTERIOR LINEAR QUAD DEMO, EU</v>
      </c>
      <c r="D875" s="224" t="str">
        <f>(IF((VLOOKUP(Table10[[#This Row],[SKU]],'All Skus'!$A:$AC,2,FALSE))="Martin",(VLOOKUP(Table10[[#This Row],[SKU]],'All Skus'!$A:$AC,5,FALSE)),""))</f>
        <v>EXT-LIN</v>
      </c>
      <c r="E875" s="223">
        <f>(IF((VLOOKUP(Table10[[#This Row],[SKU]],'All Skus'!$A:$AC,2,FALSE))="Martin",(VLOOKUP(Table10[[#This Row],[SKU]],'All Skus'!$A:$AC,6,FALSE)),""))</f>
        <v>0</v>
      </c>
      <c r="F875" s="155" t="str">
        <f>(IF((VLOOKUP(Table10[[#This Row],[SKU]],'All Skus'!$A:$AC,2,FALSE))="Martin",(VLOOKUP(Table10[[#This Row],[SKU]],'All Skus'!$A:$AC,7,FALSE)),""))</f>
        <v>EOL soon – very limited availability</v>
      </c>
      <c r="G875" s="223" t="str">
        <f>(IF((VLOOKUP(Table10[[#This Row],[SKU]],'All Skus'!$A:$AC,2,FALSE))="Martin",(VLOOKUP(Table10[[#This Row],[SKU]],'All Skus'!$A:$AC,8,FALSE)),""))</f>
        <v>EXTERIOR LINEAR QUAD DEMO, EU</v>
      </c>
      <c r="H875" s="223" t="str">
        <f>(IF((VLOOKUP(Table10[[#This Row],[SKU]],'All Skus'!$A:$AC,2,FALSE))="Martin",(VLOOKUP(Table10[[#This Row],[SKU]],'All Skus'!$A:$AC,9,FALSE)),""))</f>
        <v>EXTERIOR LINEAR QUAD DEMO, EU</v>
      </c>
      <c r="I875" s="225">
        <f>(IF((VLOOKUP(Table10[[#This Row],[SKU]],'All Skus'!$A:$AC,2,FALSE))="Martin",(VLOOKUP(Table10[[#This Row],[SKU]],'All Skus'!$A:$AC,10,FALSE)),""))</f>
        <v>4987.21</v>
      </c>
      <c r="J875" s="226">
        <f>(IF((VLOOKUP(Table10[[#This Row],[SKU]],'All Skus'!$A:$AC,2,FALSE))="Martin",(VLOOKUP(Table10[[#This Row],[SKU]],'All Skus'!$A:$AC,11,FALSE)),""))</f>
        <v>4987.21</v>
      </c>
      <c r="K875" s="224">
        <f>(IF((VLOOKUP(Table10[[#This Row],[SKU]],'All Skus'!$A:$AC,2,FALSE))="Martin",(VLOOKUP(Table10[[#This Row],[SKU]],'All Skus'!$A:$AC,15,FALSE)),""))</f>
        <v>0</v>
      </c>
      <c r="L875" s="224">
        <f>(IF((VLOOKUP(Table10[[#This Row],[SKU]],'All Skus'!$A:$AC,2,FALSE))="Martin",(VLOOKUP(Table10[[#This Row],[SKU]],'All Skus'!$A:$AC,16,FALSE)),""))</f>
        <v>688705002149</v>
      </c>
      <c r="M875" s="224">
        <f>(IF((VLOOKUP(Table10[[#This Row],[SKU]],'All Skus'!$A:$AC,2,FALSE))="Martin",(VLOOKUP(Table10[[#This Row],[SKU]],'All Skus'!$A:$AC,17,FALSE)),""))</f>
        <v>0</v>
      </c>
      <c r="N875" s="227">
        <f>(IF((VLOOKUP(Table10[[#This Row],[SKU]],'All Skus'!$A:$AC,2,FALSE))="Martin",(VLOOKUP(Table10[[#This Row],[SKU]],'All Skus'!$A:$AC,18,FALSE)),""))</f>
        <v>0</v>
      </c>
      <c r="O875" s="227">
        <f>(IF((VLOOKUP(Table10[[#This Row],[SKU]],'All Skus'!$A:$AC,2,FALSE))="Martin",(VLOOKUP(Table10[[#This Row],[SKU]],'All Skus'!$A:$AC,19,FALSE)),""))</f>
        <v>0</v>
      </c>
      <c r="P875" s="227">
        <f>(IF((VLOOKUP(Table10[[#This Row],[SKU]],'All Skus'!$A:$AC,2,FALSE))="Martin",(VLOOKUP(Table10[[#This Row],[SKU]],'All Skus'!$A:$AC,20,FALSE)),""))</f>
        <v>0</v>
      </c>
      <c r="Q875" s="227">
        <f>(IF((VLOOKUP(Table10[[#This Row],[SKU]],'All Skus'!$A:$AC,2,FALSE))="Martin",(VLOOKUP(Table10[[#This Row],[SKU]],'All Skus'!$A:$AC,21,FALSE)),""))</f>
        <v>0</v>
      </c>
      <c r="R875" s="224" t="str">
        <f>(IF((VLOOKUP(Table10[[#This Row],[SKU]],'All Skus'!$A:$AC,2,FALSE))="Martin",(VLOOKUP(Table10[[#This Row],[SKU]],'All Skus'!$A:$AC,22,FALSE)),""))</f>
        <v>CN</v>
      </c>
      <c r="S875" s="223" t="str">
        <f>(IF((VLOOKUP(Table10[[#This Row],[SKU]],'All Skus'!$A:$AC,2,FALSE))="Martin",(VLOOKUP(Table10[[#This Row],[SKU]],'All Skus'!$A:$AC,23,FALSE)),""))</f>
        <v>Non Compliant</v>
      </c>
      <c r="T875" s="212" t="str">
        <f>HYPERLINK((IF((VLOOKUP(Table10[[#This Row],[SKU]],'All Skus'!$A:$AC,2,FALSE))="Martin",(VLOOKUP(Table10[[#This Row],[SKU]],'All Skus'!$A:$AC,24,FALSE)),"")))</f>
        <v/>
      </c>
      <c r="U875" s="228">
        <v>873</v>
      </c>
    </row>
    <row r="876" spans="1:21" hidden="1">
      <c r="A876" s="90">
        <v>90310054</v>
      </c>
      <c r="B876" s="224" t="str">
        <f>(IF((VLOOKUP(Table10[[#This Row],[SKU]],'All Skus'!$A:$AC,2,FALSE))="Martin",(VLOOKUP(Table10[[#This Row],[SKU]],'All Skus'!$A:$AC,3,FALSE)),""))</f>
        <v>DemoKits</v>
      </c>
      <c r="C876" s="223" t="str">
        <f>(IF((VLOOKUP(Table10[[#This Row],[SKU]],'All Skus'!$A:$AC,2,FALSE))="Martin",(VLOOKUP(Table10[[#This Row],[SKU]],'All Skus'!$A:$AC,4,FALSE)),""))</f>
        <v>EXTERIOR LINEAR QUAD DEMO, US</v>
      </c>
      <c r="D876" s="224" t="str">
        <f>(IF((VLOOKUP(Table10[[#This Row],[SKU]],'All Skus'!$A:$AC,2,FALSE))="Martin",(VLOOKUP(Table10[[#This Row],[SKU]],'All Skus'!$A:$AC,5,FALSE)),""))</f>
        <v>EXT-LIN</v>
      </c>
      <c r="E876" s="223">
        <f>(IF((VLOOKUP(Table10[[#This Row],[SKU]],'All Skus'!$A:$AC,2,FALSE))="Martin",(VLOOKUP(Table10[[#This Row],[SKU]],'All Skus'!$A:$AC,6,FALSE)),""))</f>
        <v>0</v>
      </c>
      <c r="F876" s="155" t="str">
        <f>(IF((VLOOKUP(Table10[[#This Row],[SKU]],'All Skus'!$A:$AC,2,FALSE))="Martin",(VLOOKUP(Table10[[#This Row],[SKU]],'All Skus'!$A:$AC,7,FALSE)),""))</f>
        <v>EOL soon – very limited availability</v>
      </c>
      <c r="G876" s="223" t="str">
        <f>(IF((VLOOKUP(Table10[[#This Row],[SKU]],'All Skus'!$A:$AC,2,FALSE))="Martin",(VLOOKUP(Table10[[#This Row],[SKU]],'All Skus'!$A:$AC,8,FALSE)),""))</f>
        <v>EXTERIOR LINEAR QUAD DEMO, US</v>
      </c>
      <c r="H876" s="223" t="str">
        <f>(IF((VLOOKUP(Table10[[#This Row],[SKU]],'All Skus'!$A:$AC,2,FALSE))="Martin",(VLOOKUP(Table10[[#This Row],[SKU]],'All Skus'!$A:$AC,9,FALSE)),""))</f>
        <v>EXTERIOR LINEAR QUAD DEMO, US</v>
      </c>
      <c r="I876" s="225">
        <f>(IF((VLOOKUP(Table10[[#This Row],[SKU]],'All Skus'!$A:$AC,2,FALSE))="Martin",(VLOOKUP(Table10[[#This Row],[SKU]],'All Skus'!$A:$AC,10,FALSE)),""))</f>
        <v>4987.21</v>
      </c>
      <c r="J876" s="226">
        <f>(IF((VLOOKUP(Table10[[#This Row],[SKU]],'All Skus'!$A:$AC,2,FALSE))="Martin",(VLOOKUP(Table10[[#This Row],[SKU]],'All Skus'!$A:$AC,11,FALSE)),""))</f>
        <v>4987.21</v>
      </c>
      <c r="K876" s="224">
        <f>(IF((VLOOKUP(Table10[[#This Row],[SKU]],'All Skus'!$A:$AC,2,FALSE))="Martin",(VLOOKUP(Table10[[#This Row],[SKU]],'All Skus'!$A:$AC,15,FALSE)),""))</f>
        <v>0</v>
      </c>
      <c r="L876" s="224">
        <f>(IF((VLOOKUP(Table10[[#This Row],[SKU]],'All Skus'!$A:$AC,2,FALSE))="Martin",(VLOOKUP(Table10[[#This Row],[SKU]],'All Skus'!$A:$AC,16,FALSE)),""))</f>
        <v>688705002903</v>
      </c>
      <c r="M876" s="224">
        <f>(IF((VLOOKUP(Table10[[#This Row],[SKU]],'All Skus'!$A:$AC,2,FALSE))="Martin",(VLOOKUP(Table10[[#This Row],[SKU]],'All Skus'!$A:$AC,17,FALSE)),""))</f>
        <v>0</v>
      </c>
      <c r="N876" s="227">
        <f>(IF((VLOOKUP(Table10[[#This Row],[SKU]],'All Skus'!$A:$AC,2,FALSE))="Martin",(VLOOKUP(Table10[[#This Row],[SKU]],'All Skus'!$A:$AC,18,FALSE)),""))</f>
        <v>0</v>
      </c>
      <c r="O876" s="227">
        <f>(IF((VLOOKUP(Table10[[#This Row],[SKU]],'All Skus'!$A:$AC,2,FALSE))="Martin",(VLOOKUP(Table10[[#This Row],[SKU]],'All Skus'!$A:$AC,19,FALSE)),""))</f>
        <v>0</v>
      </c>
      <c r="P876" s="227">
        <f>(IF((VLOOKUP(Table10[[#This Row],[SKU]],'All Skus'!$A:$AC,2,FALSE))="Martin",(VLOOKUP(Table10[[#This Row],[SKU]],'All Skus'!$A:$AC,20,FALSE)),""))</f>
        <v>0</v>
      </c>
      <c r="Q876" s="227">
        <f>(IF((VLOOKUP(Table10[[#This Row],[SKU]],'All Skus'!$A:$AC,2,FALSE))="Martin",(VLOOKUP(Table10[[#This Row],[SKU]],'All Skus'!$A:$AC,21,FALSE)),""))</f>
        <v>0</v>
      </c>
      <c r="R876" s="224" t="str">
        <f>(IF((VLOOKUP(Table10[[#This Row],[SKU]],'All Skus'!$A:$AC,2,FALSE))="Martin",(VLOOKUP(Table10[[#This Row],[SKU]],'All Skus'!$A:$AC,22,FALSE)),""))</f>
        <v>CN</v>
      </c>
      <c r="S876" s="223" t="str">
        <f>(IF((VLOOKUP(Table10[[#This Row],[SKU]],'All Skus'!$A:$AC,2,FALSE))="Martin",(VLOOKUP(Table10[[#This Row],[SKU]],'All Skus'!$A:$AC,23,FALSE)),""))</f>
        <v>Non Compliant</v>
      </c>
      <c r="T876" s="212" t="str">
        <f>HYPERLINK((IF((VLOOKUP(Table10[[#This Row],[SKU]],'All Skus'!$A:$AC,2,FALSE))="Martin",(VLOOKUP(Table10[[#This Row],[SKU]],'All Skus'!$A:$AC,24,FALSE)),"")))</f>
        <v/>
      </c>
      <c r="U876" s="228">
        <v>874</v>
      </c>
    </row>
    <row r="877" spans="1:21" hidden="1">
      <c r="A877" s="115" t="s">
        <v>2382</v>
      </c>
      <c r="B877" s="224">
        <f>(IF((VLOOKUP(Table10[[#This Row],[SKU]],'All Skus'!$A:$AC,2,FALSE))="Martin",(VLOOKUP(Table10[[#This Row],[SKU]],'All Skus'!$A:$AC,3,FALSE)),""))</f>
        <v>0</v>
      </c>
      <c r="C877" s="223">
        <f>(IF((VLOOKUP(Table10[[#This Row],[SKU]],'All Skus'!$A:$AC,2,FALSE))="Martin",(VLOOKUP(Table10[[#This Row],[SKU]],'All Skus'!$A:$AC,4,FALSE)),""))</f>
        <v>0</v>
      </c>
      <c r="D877" s="224">
        <f>(IF((VLOOKUP(Table10[[#This Row],[SKU]],'All Skus'!$A:$AC,2,FALSE))="Martin",(VLOOKUP(Table10[[#This Row],[SKU]],'All Skus'!$A:$AC,5,FALSE)),""))</f>
        <v>0</v>
      </c>
      <c r="E877" s="223">
        <f>(IF((VLOOKUP(Table10[[#This Row],[SKU]],'All Skus'!$A:$AC,2,FALSE))="Martin",(VLOOKUP(Table10[[#This Row],[SKU]],'All Skus'!$A:$AC,6,FALSE)),""))</f>
        <v>0</v>
      </c>
      <c r="F877" s="155">
        <f>(IF((VLOOKUP(Table10[[#This Row],[SKU]],'All Skus'!$A:$AC,2,FALSE))="Martin",(VLOOKUP(Table10[[#This Row],[SKU]],'All Skus'!$A:$AC,7,FALSE)),""))</f>
        <v>0</v>
      </c>
      <c r="G877" s="223">
        <f>(IF((VLOOKUP(Table10[[#This Row],[SKU]],'All Skus'!$A:$AC,2,FALSE))="Martin",(VLOOKUP(Table10[[#This Row],[SKU]],'All Skus'!$A:$AC,8,FALSE)),""))</f>
        <v>0</v>
      </c>
      <c r="H877" s="223">
        <f>(IF((VLOOKUP(Table10[[#This Row],[SKU]],'All Skus'!$A:$AC,2,FALSE))="Martin",(VLOOKUP(Table10[[#This Row],[SKU]],'All Skus'!$A:$AC,9,FALSE)),""))</f>
        <v>0</v>
      </c>
      <c r="I877" s="225">
        <f>(IF((VLOOKUP(Table10[[#This Row],[SKU]],'All Skus'!$A:$AC,2,FALSE))="Martin",(VLOOKUP(Table10[[#This Row],[SKU]],'All Skus'!$A:$AC,10,FALSE)),""))</f>
        <v>0</v>
      </c>
      <c r="J877" s="226">
        <f>(IF((VLOOKUP(Table10[[#This Row],[SKU]],'All Skus'!$A:$AC,2,FALSE))="Martin",(VLOOKUP(Table10[[#This Row],[SKU]],'All Skus'!$A:$AC,11,FALSE)),""))</f>
        <v>0</v>
      </c>
      <c r="K877" s="224">
        <f>(IF((VLOOKUP(Table10[[#This Row],[SKU]],'All Skus'!$A:$AC,2,FALSE))="Martin",(VLOOKUP(Table10[[#This Row],[SKU]],'All Skus'!$A:$AC,15,FALSE)),""))</f>
        <v>0</v>
      </c>
      <c r="L877" s="224">
        <f>(IF((VLOOKUP(Table10[[#This Row],[SKU]],'All Skus'!$A:$AC,2,FALSE))="Martin",(VLOOKUP(Table10[[#This Row],[SKU]],'All Skus'!$A:$AC,16,FALSE)),""))</f>
        <v>0</v>
      </c>
      <c r="M877" s="224">
        <f>(IF((VLOOKUP(Table10[[#This Row],[SKU]],'All Skus'!$A:$AC,2,FALSE))="Martin",(VLOOKUP(Table10[[#This Row],[SKU]],'All Skus'!$A:$AC,17,FALSE)),""))</f>
        <v>0</v>
      </c>
      <c r="N877" s="227">
        <f>(IF((VLOOKUP(Table10[[#This Row],[SKU]],'All Skus'!$A:$AC,2,FALSE))="Martin",(VLOOKUP(Table10[[#This Row],[SKU]],'All Skus'!$A:$AC,18,FALSE)),""))</f>
        <v>0</v>
      </c>
      <c r="O877" s="227">
        <f>(IF((VLOOKUP(Table10[[#This Row],[SKU]],'All Skus'!$A:$AC,2,FALSE))="Martin",(VLOOKUP(Table10[[#This Row],[SKU]],'All Skus'!$A:$AC,19,FALSE)),""))</f>
        <v>0</v>
      </c>
      <c r="P877" s="227">
        <f>(IF((VLOOKUP(Table10[[#This Row],[SKU]],'All Skus'!$A:$AC,2,FALSE))="Martin",(VLOOKUP(Table10[[#This Row],[SKU]],'All Skus'!$A:$AC,20,FALSE)),""))</f>
        <v>0</v>
      </c>
      <c r="Q877" s="227">
        <f>(IF((VLOOKUP(Table10[[#This Row],[SKU]],'All Skus'!$A:$AC,2,FALSE))="Martin",(VLOOKUP(Table10[[#This Row],[SKU]],'All Skus'!$A:$AC,21,FALSE)),""))</f>
        <v>0</v>
      </c>
      <c r="R877" s="224">
        <f>(IF((VLOOKUP(Table10[[#This Row],[SKU]],'All Skus'!$A:$AC,2,FALSE))="Martin",(VLOOKUP(Table10[[#This Row],[SKU]],'All Skus'!$A:$AC,22,FALSE)),""))</f>
        <v>0</v>
      </c>
      <c r="S877" s="223">
        <f>(IF((VLOOKUP(Table10[[#This Row],[SKU]],'All Skus'!$A:$AC,2,FALSE))="Martin",(VLOOKUP(Table10[[#This Row],[SKU]],'All Skus'!$A:$AC,23,FALSE)),""))</f>
        <v>0</v>
      </c>
      <c r="T877" s="212" t="str">
        <f>HYPERLINK((IF((VLOOKUP(Table10[[#This Row],[SKU]],'All Skus'!$A:$AC,2,FALSE))="Martin",(VLOOKUP(Table10[[#This Row],[SKU]],'All Skus'!$A:$AC,24,FALSE)),"")))</f>
        <v/>
      </c>
      <c r="U877" s="228">
        <v>875</v>
      </c>
    </row>
    <row r="878" spans="1:21" hidden="1">
      <c r="A878" s="90">
        <v>90310046</v>
      </c>
      <c r="B878" s="224" t="str">
        <f>(IF((VLOOKUP(Table10[[#This Row],[SKU]],'All Skus'!$A:$AC,2,FALSE))="Martin",(VLOOKUP(Table10[[#This Row],[SKU]],'All Skus'!$A:$AC,3,FALSE)),""))</f>
        <v>DemoKits</v>
      </c>
      <c r="C878" s="223" t="str">
        <f>(IF((VLOOKUP(Table10[[#This Row],[SKU]],'All Skus'!$A:$AC,2,FALSE))="Martin",(VLOOKUP(Table10[[#This Row],[SKU]],'All Skus'!$A:$AC,4,FALSE)),""))</f>
        <v>EXTERIOR WASH 100/200 DEMO CASE, EU vers</v>
      </c>
      <c r="D878" s="224" t="str">
        <f>(IF((VLOOKUP(Table10[[#This Row],[SKU]],'All Skus'!$A:$AC,2,FALSE))="Martin",(VLOOKUP(Table10[[#This Row],[SKU]],'All Skus'!$A:$AC,5,FALSE)),""))</f>
        <v>EXT-WASH</v>
      </c>
      <c r="E878" s="223">
        <f>(IF((VLOOKUP(Table10[[#This Row],[SKU]],'All Skus'!$A:$AC,2,FALSE))="Martin",(VLOOKUP(Table10[[#This Row],[SKU]],'All Skus'!$A:$AC,6,FALSE)),""))</f>
        <v>0</v>
      </c>
      <c r="F878" s="155" t="str">
        <f>(IF((VLOOKUP(Table10[[#This Row],[SKU]],'All Skus'!$A:$AC,2,FALSE))="Martin",(VLOOKUP(Table10[[#This Row],[SKU]],'All Skus'!$A:$AC,7,FALSE)),""))</f>
        <v>EOL soon – very limited availability</v>
      </c>
      <c r="G878" s="223" t="str">
        <f>(IF((VLOOKUP(Table10[[#This Row],[SKU]],'All Skus'!$A:$AC,2,FALSE))="Martin",(VLOOKUP(Table10[[#This Row],[SKU]],'All Skus'!$A:$AC,8,FALSE)),""))</f>
        <v>EXTERIOR WASH 100/200 DEMO CASE, EU vers</v>
      </c>
      <c r="H878" s="223" t="str">
        <f>(IF((VLOOKUP(Table10[[#This Row],[SKU]],'All Skus'!$A:$AC,2,FALSE))="Martin",(VLOOKUP(Table10[[#This Row],[SKU]],'All Skus'!$A:$AC,9,FALSE)),""))</f>
        <v>EXTERIOR WASH 100/200 DEMO CASE, EU vers</v>
      </c>
      <c r="I878" s="225">
        <f>(IF((VLOOKUP(Table10[[#This Row],[SKU]],'All Skus'!$A:$AC,2,FALSE))="Martin",(VLOOKUP(Table10[[#This Row],[SKU]],'All Skus'!$A:$AC,10,FALSE)),""))</f>
        <v>6931.97</v>
      </c>
      <c r="J878" s="226">
        <f>(IF((VLOOKUP(Table10[[#This Row],[SKU]],'All Skus'!$A:$AC,2,FALSE))="Martin",(VLOOKUP(Table10[[#This Row],[SKU]],'All Skus'!$A:$AC,11,FALSE)),""))</f>
        <v>6931.97</v>
      </c>
      <c r="K878" s="224">
        <f>(IF((VLOOKUP(Table10[[#This Row],[SKU]],'All Skus'!$A:$AC,2,FALSE))="Martin",(VLOOKUP(Table10[[#This Row],[SKU]],'All Skus'!$A:$AC,15,FALSE)),""))</f>
        <v>0</v>
      </c>
      <c r="L878" s="224">
        <f>(IF((VLOOKUP(Table10[[#This Row],[SKU]],'All Skus'!$A:$AC,2,FALSE))="Martin",(VLOOKUP(Table10[[#This Row],[SKU]],'All Skus'!$A:$AC,16,FALSE)),""))</f>
        <v>688705001715</v>
      </c>
      <c r="M878" s="224">
        <f>(IF((VLOOKUP(Table10[[#This Row],[SKU]],'All Skus'!$A:$AC,2,FALSE))="Martin",(VLOOKUP(Table10[[#This Row],[SKU]],'All Skus'!$A:$AC,17,FALSE)),""))</f>
        <v>0</v>
      </c>
      <c r="N878" s="227">
        <f>(IF((VLOOKUP(Table10[[#This Row],[SKU]],'All Skus'!$A:$AC,2,FALSE))="Martin",(VLOOKUP(Table10[[#This Row],[SKU]],'All Skus'!$A:$AC,18,FALSE)),""))</f>
        <v>0</v>
      </c>
      <c r="O878" s="227">
        <f>(IF((VLOOKUP(Table10[[#This Row],[SKU]],'All Skus'!$A:$AC,2,FALSE))="Martin",(VLOOKUP(Table10[[#This Row],[SKU]],'All Skus'!$A:$AC,19,FALSE)),""))</f>
        <v>0</v>
      </c>
      <c r="P878" s="227">
        <f>(IF((VLOOKUP(Table10[[#This Row],[SKU]],'All Skus'!$A:$AC,2,FALSE))="Martin",(VLOOKUP(Table10[[#This Row],[SKU]],'All Skus'!$A:$AC,20,FALSE)),""))</f>
        <v>0</v>
      </c>
      <c r="Q878" s="227">
        <f>(IF((VLOOKUP(Table10[[#This Row],[SKU]],'All Skus'!$A:$AC,2,FALSE))="Martin",(VLOOKUP(Table10[[#This Row],[SKU]],'All Skus'!$A:$AC,21,FALSE)),""))</f>
        <v>0</v>
      </c>
      <c r="R878" s="224" t="str">
        <f>(IF((VLOOKUP(Table10[[#This Row],[SKU]],'All Skus'!$A:$AC,2,FALSE))="Martin",(VLOOKUP(Table10[[#This Row],[SKU]],'All Skus'!$A:$AC,22,FALSE)),""))</f>
        <v>CN</v>
      </c>
      <c r="S878" s="223" t="str">
        <f>(IF((VLOOKUP(Table10[[#This Row],[SKU]],'All Skus'!$A:$AC,2,FALSE))="Martin",(VLOOKUP(Table10[[#This Row],[SKU]],'All Skus'!$A:$AC,23,FALSE)),""))</f>
        <v>Non Compliant</v>
      </c>
      <c r="T878" s="212" t="str">
        <f>HYPERLINK((IF((VLOOKUP(Table10[[#This Row],[SKU]],'All Skus'!$A:$AC,2,FALSE))="Martin",(VLOOKUP(Table10[[#This Row],[SKU]],'All Skus'!$A:$AC,24,FALSE)),"")))</f>
        <v/>
      </c>
      <c r="U878" s="228">
        <v>876</v>
      </c>
    </row>
    <row r="879" spans="1:21" hidden="1">
      <c r="A879" s="90">
        <v>90310000</v>
      </c>
      <c r="B879" s="224" t="str">
        <f>(IF((VLOOKUP(Table10[[#This Row],[SKU]],'All Skus'!$A:$AC,2,FALSE))="Martin",(VLOOKUP(Table10[[#This Row],[SKU]],'All Skus'!$A:$AC,3,FALSE)),""))</f>
        <v>DemoKits</v>
      </c>
      <c r="C879" s="223" t="str">
        <f>(IF((VLOOKUP(Table10[[#This Row],[SKU]],'All Skus'!$A:$AC,2,FALSE))="Martin",(VLOOKUP(Table10[[#This Row],[SKU]],'All Skus'!$A:$AC,4,FALSE)),""))</f>
        <v>EXTERIOR WASH 100/200 DEMO CASE, US vers</v>
      </c>
      <c r="D879" s="224" t="str">
        <f>(IF((VLOOKUP(Table10[[#This Row],[SKU]],'All Skus'!$A:$AC,2,FALSE))="Martin",(VLOOKUP(Table10[[#This Row],[SKU]],'All Skus'!$A:$AC,5,FALSE)),""))</f>
        <v>EXT-WASH</v>
      </c>
      <c r="E879" s="223">
        <f>(IF((VLOOKUP(Table10[[#This Row],[SKU]],'All Skus'!$A:$AC,2,FALSE))="Martin",(VLOOKUP(Table10[[#This Row],[SKU]],'All Skus'!$A:$AC,6,FALSE)),""))</f>
        <v>0</v>
      </c>
      <c r="F879" s="155" t="str">
        <f>(IF((VLOOKUP(Table10[[#This Row],[SKU]],'All Skus'!$A:$AC,2,FALSE))="Martin",(VLOOKUP(Table10[[#This Row],[SKU]],'All Skus'!$A:$AC,7,FALSE)),""))</f>
        <v>EOL soon – very limited availability</v>
      </c>
      <c r="G879" s="223" t="str">
        <f>(IF((VLOOKUP(Table10[[#This Row],[SKU]],'All Skus'!$A:$AC,2,FALSE))="Martin",(VLOOKUP(Table10[[#This Row],[SKU]],'All Skus'!$A:$AC,8,FALSE)),""))</f>
        <v>EXTERIOR WASH 100/200 DEMO CASE, US vers</v>
      </c>
      <c r="H879" s="223" t="str">
        <f>(IF((VLOOKUP(Table10[[#This Row],[SKU]],'All Skus'!$A:$AC,2,FALSE))="Martin",(VLOOKUP(Table10[[#This Row],[SKU]],'All Skus'!$A:$AC,9,FALSE)),""))</f>
        <v>EXTERIOR WASH 100/200 DEMO CASE, US vers</v>
      </c>
      <c r="I879" s="225">
        <f>(IF((VLOOKUP(Table10[[#This Row],[SKU]],'All Skus'!$A:$AC,2,FALSE))="Martin",(VLOOKUP(Table10[[#This Row],[SKU]],'All Skus'!$A:$AC,10,FALSE)),""))</f>
        <v>6931.97</v>
      </c>
      <c r="J879" s="226">
        <f>(IF((VLOOKUP(Table10[[#This Row],[SKU]],'All Skus'!$A:$AC,2,FALSE))="Martin",(VLOOKUP(Table10[[#This Row],[SKU]],'All Skus'!$A:$AC,11,FALSE)),""))</f>
        <v>6931.97</v>
      </c>
      <c r="K879" s="224">
        <f>(IF((VLOOKUP(Table10[[#This Row],[SKU]],'All Skus'!$A:$AC,2,FALSE))="Martin",(VLOOKUP(Table10[[#This Row],[SKU]],'All Skus'!$A:$AC,15,FALSE)),""))</f>
        <v>0</v>
      </c>
      <c r="L879" s="224">
        <f>(IF((VLOOKUP(Table10[[#This Row],[SKU]],'All Skus'!$A:$AC,2,FALSE))="Martin",(VLOOKUP(Table10[[#This Row],[SKU]],'All Skus'!$A:$AC,16,FALSE)),""))</f>
        <v>688705001951</v>
      </c>
      <c r="M879" s="224">
        <f>(IF((VLOOKUP(Table10[[#This Row],[SKU]],'All Skus'!$A:$AC,2,FALSE))="Martin",(VLOOKUP(Table10[[#This Row],[SKU]],'All Skus'!$A:$AC,17,FALSE)),""))</f>
        <v>0</v>
      </c>
      <c r="N879" s="227">
        <f>(IF((VLOOKUP(Table10[[#This Row],[SKU]],'All Skus'!$A:$AC,2,FALSE))="Martin",(VLOOKUP(Table10[[#This Row],[SKU]],'All Skus'!$A:$AC,18,FALSE)),""))</f>
        <v>0</v>
      </c>
      <c r="O879" s="227">
        <f>(IF((VLOOKUP(Table10[[#This Row],[SKU]],'All Skus'!$A:$AC,2,FALSE))="Martin",(VLOOKUP(Table10[[#This Row],[SKU]],'All Skus'!$A:$AC,19,FALSE)),""))</f>
        <v>0</v>
      </c>
      <c r="P879" s="227">
        <f>(IF((VLOOKUP(Table10[[#This Row],[SKU]],'All Skus'!$A:$AC,2,FALSE))="Martin",(VLOOKUP(Table10[[#This Row],[SKU]],'All Skus'!$A:$AC,20,FALSE)),""))</f>
        <v>0</v>
      </c>
      <c r="Q879" s="227">
        <f>(IF((VLOOKUP(Table10[[#This Row],[SKU]],'All Skus'!$A:$AC,2,FALSE))="Martin",(VLOOKUP(Table10[[#This Row],[SKU]],'All Skus'!$A:$AC,21,FALSE)),""))</f>
        <v>0</v>
      </c>
      <c r="R879" s="224" t="str">
        <f>(IF((VLOOKUP(Table10[[#This Row],[SKU]],'All Skus'!$A:$AC,2,FALSE))="Martin",(VLOOKUP(Table10[[#This Row],[SKU]],'All Skus'!$A:$AC,22,FALSE)),""))</f>
        <v>CN</v>
      </c>
      <c r="S879" s="223" t="str">
        <f>(IF((VLOOKUP(Table10[[#This Row],[SKU]],'All Skus'!$A:$AC,2,FALSE))="Martin",(VLOOKUP(Table10[[#This Row],[SKU]],'All Skus'!$A:$AC,23,FALSE)),""))</f>
        <v>Non Compliant</v>
      </c>
      <c r="T879" s="212" t="str">
        <f>HYPERLINK((IF((VLOOKUP(Table10[[#This Row],[SKU]],'All Skus'!$A:$AC,2,FALSE))="Martin",(VLOOKUP(Table10[[#This Row],[SKU]],'All Skus'!$A:$AC,24,FALSE)),"")))</f>
        <v/>
      </c>
      <c r="U879" s="228">
        <v>877</v>
      </c>
    </row>
    <row r="880" spans="1:21" hidden="1">
      <c r="A880" s="90">
        <v>90310048</v>
      </c>
      <c r="B880" s="224" t="str">
        <f>(IF((VLOOKUP(Table10[[#This Row],[SKU]],'All Skus'!$A:$AC,2,FALSE))="Martin",(VLOOKUP(Table10[[#This Row],[SKU]],'All Skus'!$A:$AC,3,FALSE)),""))</f>
        <v>DemoKits</v>
      </c>
      <c r="C880" s="223" t="str">
        <f>(IF((VLOOKUP(Table10[[#This Row],[SKU]],'All Skus'!$A:$AC,2,FALSE))="Martin",(VLOOKUP(Table10[[#This Row],[SKU]],'All Skus'!$A:$AC,4,FALSE)),""))</f>
        <v>EXTERIOR WASH 300 DEMO CASE, EU version</v>
      </c>
      <c r="D880" s="224" t="str">
        <f>(IF((VLOOKUP(Table10[[#This Row],[SKU]],'All Skus'!$A:$AC,2,FALSE))="Martin",(VLOOKUP(Table10[[#This Row],[SKU]],'All Skus'!$A:$AC,5,FALSE)),""))</f>
        <v>EXT-WASH</v>
      </c>
      <c r="E880" s="223">
        <f>(IF((VLOOKUP(Table10[[#This Row],[SKU]],'All Skus'!$A:$AC,2,FALSE))="Martin",(VLOOKUP(Table10[[#This Row],[SKU]],'All Skus'!$A:$AC,6,FALSE)),""))</f>
        <v>0</v>
      </c>
      <c r="F880" s="155" t="str">
        <f>(IF((VLOOKUP(Table10[[#This Row],[SKU]],'All Skus'!$A:$AC,2,FALSE))="Martin",(VLOOKUP(Table10[[#This Row],[SKU]],'All Skus'!$A:$AC,7,FALSE)),""))</f>
        <v>EOL soon – very limited availability</v>
      </c>
      <c r="G880" s="223" t="str">
        <f>(IF((VLOOKUP(Table10[[#This Row],[SKU]],'All Skus'!$A:$AC,2,FALSE))="Martin",(VLOOKUP(Table10[[#This Row],[SKU]],'All Skus'!$A:$AC,8,FALSE)),""))</f>
        <v>EXTERIOR WASH 300 DEMO CASE, EU version</v>
      </c>
      <c r="H880" s="223" t="str">
        <f>(IF((VLOOKUP(Table10[[#This Row],[SKU]],'All Skus'!$A:$AC,2,FALSE))="Martin",(VLOOKUP(Table10[[#This Row],[SKU]],'All Skus'!$A:$AC,9,FALSE)),""))</f>
        <v>EXTERIOR WASH 300 DEMO CASE, EU version</v>
      </c>
      <c r="I880" s="225">
        <f>(IF((VLOOKUP(Table10[[#This Row],[SKU]],'All Skus'!$A:$AC,2,FALSE))="Martin",(VLOOKUP(Table10[[#This Row],[SKU]],'All Skus'!$A:$AC,10,FALSE)),""))</f>
        <v>6931.97</v>
      </c>
      <c r="J880" s="226">
        <f>(IF((VLOOKUP(Table10[[#This Row],[SKU]],'All Skus'!$A:$AC,2,FALSE))="Martin",(VLOOKUP(Table10[[#This Row],[SKU]],'All Skus'!$A:$AC,11,FALSE)),""))</f>
        <v>6931.97</v>
      </c>
      <c r="K880" s="224">
        <f>(IF((VLOOKUP(Table10[[#This Row],[SKU]],'All Skus'!$A:$AC,2,FALSE))="Martin",(VLOOKUP(Table10[[#This Row],[SKU]],'All Skus'!$A:$AC,15,FALSE)),""))</f>
        <v>0</v>
      </c>
      <c r="L880" s="224">
        <f>(IF((VLOOKUP(Table10[[#This Row],[SKU]],'All Skus'!$A:$AC,2,FALSE))="Martin",(VLOOKUP(Table10[[#This Row],[SKU]],'All Skus'!$A:$AC,16,FALSE)),""))</f>
        <v>688705001807</v>
      </c>
      <c r="M880" s="224">
        <f>(IF((VLOOKUP(Table10[[#This Row],[SKU]],'All Skus'!$A:$AC,2,FALSE))="Martin",(VLOOKUP(Table10[[#This Row],[SKU]],'All Skus'!$A:$AC,17,FALSE)),""))</f>
        <v>0</v>
      </c>
      <c r="N880" s="227">
        <f>(IF((VLOOKUP(Table10[[#This Row],[SKU]],'All Skus'!$A:$AC,2,FALSE))="Martin",(VLOOKUP(Table10[[#This Row],[SKU]],'All Skus'!$A:$AC,18,FALSE)),""))</f>
        <v>0</v>
      </c>
      <c r="O880" s="227">
        <f>(IF((VLOOKUP(Table10[[#This Row],[SKU]],'All Skus'!$A:$AC,2,FALSE))="Martin",(VLOOKUP(Table10[[#This Row],[SKU]],'All Skus'!$A:$AC,19,FALSE)),""))</f>
        <v>0</v>
      </c>
      <c r="P880" s="227">
        <f>(IF((VLOOKUP(Table10[[#This Row],[SKU]],'All Skus'!$A:$AC,2,FALSE))="Martin",(VLOOKUP(Table10[[#This Row],[SKU]],'All Skus'!$A:$AC,20,FALSE)),""))</f>
        <v>0</v>
      </c>
      <c r="Q880" s="227">
        <f>(IF((VLOOKUP(Table10[[#This Row],[SKU]],'All Skus'!$A:$AC,2,FALSE))="Martin",(VLOOKUP(Table10[[#This Row],[SKU]],'All Skus'!$A:$AC,21,FALSE)),""))</f>
        <v>0</v>
      </c>
      <c r="R880" s="224" t="str">
        <f>(IF((VLOOKUP(Table10[[#This Row],[SKU]],'All Skus'!$A:$AC,2,FALSE))="Martin",(VLOOKUP(Table10[[#This Row],[SKU]],'All Skus'!$A:$AC,22,FALSE)),""))</f>
        <v>CN</v>
      </c>
      <c r="S880" s="223" t="str">
        <f>(IF((VLOOKUP(Table10[[#This Row],[SKU]],'All Skus'!$A:$AC,2,FALSE))="Martin",(VLOOKUP(Table10[[#This Row],[SKU]],'All Skus'!$A:$AC,23,FALSE)),""))</f>
        <v>Non Compliant</v>
      </c>
      <c r="T880" s="212" t="str">
        <f>HYPERLINK((IF((VLOOKUP(Table10[[#This Row],[SKU]],'All Skus'!$A:$AC,2,FALSE))="Martin",(VLOOKUP(Table10[[#This Row],[SKU]],'All Skus'!$A:$AC,24,FALSE)),"")))</f>
        <v/>
      </c>
      <c r="U880" s="228">
        <v>878</v>
      </c>
    </row>
    <row r="881" spans="1:23" hidden="1">
      <c r="A881" s="90">
        <v>90310001</v>
      </c>
      <c r="B881" s="224" t="str">
        <f>(IF((VLOOKUP(Table10[[#This Row],[SKU]],'All Skus'!$A:$AC,2,FALSE))="Martin",(VLOOKUP(Table10[[#This Row],[SKU]],'All Skus'!$A:$AC,3,FALSE)),""))</f>
        <v>DemoKits</v>
      </c>
      <c r="C881" s="223" t="str">
        <f>(IF((VLOOKUP(Table10[[#This Row],[SKU]],'All Skus'!$A:$AC,2,FALSE))="Martin",(VLOOKUP(Table10[[#This Row],[SKU]],'All Skus'!$A:$AC,4,FALSE)),""))</f>
        <v>EXTERIOR WASH 300 DEMO CASE, US version</v>
      </c>
      <c r="D881" s="224" t="str">
        <f>(IF((VLOOKUP(Table10[[#This Row],[SKU]],'All Skus'!$A:$AC,2,FALSE))="Martin",(VLOOKUP(Table10[[#This Row],[SKU]],'All Skus'!$A:$AC,5,FALSE)),""))</f>
        <v>EXT-WASH</v>
      </c>
      <c r="E881" s="223">
        <f>(IF((VLOOKUP(Table10[[#This Row],[SKU]],'All Skus'!$A:$AC,2,FALSE))="Martin",(VLOOKUP(Table10[[#This Row],[SKU]],'All Skus'!$A:$AC,6,FALSE)),""))</f>
        <v>0</v>
      </c>
      <c r="F881" s="155" t="str">
        <f>(IF((VLOOKUP(Table10[[#This Row],[SKU]],'All Skus'!$A:$AC,2,FALSE))="Martin",(VLOOKUP(Table10[[#This Row],[SKU]],'All Skus'!$A:$AC,7,FALSE)),""))</f>
        <v>EOL soon – very limited availability</v>
      </c>
      <c r="G881" s="223" t="str">
        <f>(IF((VLOOKUP(Table10[[#This Row],[SKU]],'All Skus'!$A:$AC,2,FALSE))="Martin",(VLOOKUP(Table10[[#This Row],[SKU]],'All Skus'!$A:$AC,8,FALSE)),""))</f>
        <v>EXTERIOR WASH 300 DEMO CASE, US version</v>
      </c>
      <c r="H881" s="223" t="str">
        <f>(IF((VLOOKUP(Table10[[#This Row],[SKU]],'All Skus'!$A:$AC,2,FALSE))="Martin",(VLOOKUP(Table10[[#This Row],[SKU]],'All Skus'!$A:$AC,9,FALSE)),""))</f>
        <v>EXTERIOR WASH 300 DEMO CASE, US version</v>
      </c>
      <c r="I881" s="225">
        <f>(IF((VLOOKUP(Table10[[#This Row],[SKU]],'All Skus'!$A:$AC,2,FALSE))="Martin",(VLOOKUP(Table10[[#This Row],[SKU]],'All Skus'!$A:$AC,10,FALSE)),""))</f>
        <v>6931.97</v>
      </c>
      <c r="J881" s="226">
        <f>(IF((VLOOKUP(Table10[[#This Row],[SKU]],'All Skus'!$A:$AC,2,FALSE))="Martin",(VLOOKUP(Table10[[#This Row],[SKU]],'All Skus'!$A:$AC,11,FALSE)),""))</f>
        <v>6931.97</v>
      </c>
      <c r="K881" s="224">
        <f>(IF((VLOOKUP(Table10[[#This Row],[SKU]],'All Skus'!$A:$AC,2,FALSE))="Martin",(VLOOKUP(Table10[[#This Row],[SKU]],'All Skus'!$A:$AC,15,FALSE)),""))</f>
        <v>0</v>
      </c>
      <c r="L881" s="224">
        <f>(IF((VLOOKUP(Table10[[#This Row],[SKU]],'All Skus'!$A:$AC,2,FALSE))="Martin",(VLOOKUP(Table10[[#This Row],[SKU]],'All Skus'!$A:$AC,16,FALSE)),""))</f>
        <v>688705001968</v>
      </c>
      <c r="M881" s="224">
        <f>(IF((VLOOKUP(Table10[[#This Row],[SKU]],'All Skus'!$A:$AC,2,FALSE))="Martin",(VLOOKUP(Table10[[#This Row],[SKU]],'All Skus'!$A:$AC,17,FALSE)),""))</f>
        <v>0</v>
      </c>
      <c r="N881" s="227">
        <f>(IF((VLOOKUP(Table10[[#This Row],[SKU]],'All Skus'!$A:$AC,2,FALSE))="Martin",(VLOOKUP(Table10[[#This Row],[SKU]],'All Skus'!$A:$AC,18,FALSE)),""))</f>
        <v>0</v>
      </c>
      <c r="O881" s="227">
        <f>(IF((VLOOKUP(Table10[[#This Row],[SKU]],'All Skus'!$A:$AC,2,FALSE))="Martin",(VLOOKUP(Table10[[#This Row],[SKU]],'All Skus'!$A:$AC,19,FALSE)),""))</f>
        <v>0</v>
      </c>
      <c r="P881" s="227">
        <f>(IF((VLOOKUP(Table10[[#This Row],[SKU]],'All Skus'!$A:$AC,2,FALSE))="Martin",(VLOOKUP(Table10[[#This Row],[SKU]],'All Skus'!$A:$AC,20,FALSE)),""))</f>
        <v>0</v>
      </c>
      <c r="Q881" s="227">
        <f>(IF((VLOOKUP(Table10[[#This Row],[SKU]],'All Skus'!$A:$AC,2,FALSE))="Martin",(VLOOKUP(Table10[[#This Row],[SKU]],'All Skus'!$A:$AC,21,FALSE)),""))</f>
        <v>0</v>
      </c>
      <c r="R881" s="224" t="str">
        <f>(IF((VLOOKUP(Table10[[#This Row],[SKU]],'All Skus'!$A:$AC,2,FALSE))="Martin",(VLOOKUP(Table10[[#This Row],[SKU]],'All Skus'!$A:$AC,22,FALSE)),""))</f>
        <v>CN</v>
      </c>
      <c r="S881" s="223" t="str">
        <f>(IF((VLOOKUP(Table10[[#This Row],[SKU]],'All Skus'!$A:$AC,2,FALSE))="Martin",(VLOOKUP(Table10[[#This Row],[SKU]],'All Skus'!$A:$AC,23,FALSE)),""))</f>
        <v>Non Compliant</v>
      </c>
      <c r="T881" s="212" t="str">
        <f>HYPERLINK((IF((VLOOKUP(Table10[[#This Row],[SKU]],'All Skus'!$A:$AC,2,FALSE))="Martin",(VLOOKUP(Table10[[#This Row],[SKU]],'All Skus'!$A:$AC,24,FALSE)),"")))</f>
        <v/>
      </c>
      <c r="U881" s="228">
        <v>879</v>
      </c>
    </row>
    <row r="882" spans="1:23" hidden="1">
      <c r="A882" s="90">
        <v>90310043</v>
      </c>
      <c r="B882" s="224" t="str">
        <f>(IF((VLOOKUP(Table10[[#This Row],[SKU]],'All Skus'!$A:$AC,2,FALSE))="Martin",(VLOOKUP(Table10[[#This Row],[SKU]],'All Skus'!$A:$AC,3,FALSE)),""))</f>
        <v>DemoKits</v>
      </c>
      <c r="C882" s="223" t="str">
        <f>(IF((VLOOKUP(Table10[[#This Row],[SKU]],'All Skus'!$A:$AC,2,FALSE))="Martin",(VLOOKUP(Table10[[#This Row],[SKU]],'All Skus'!$A:$AC,4,FALSE)),""))</f>
        <v>EXTERIOR WASH 110/210 DEMO CASE, EU vers</v>
      </c>
      <c r="D882" s="224" t="str">
        <f>(IF((VLOOKUP(Table10[[#This Row],[SKU]],'All Skus'!$A:$AC,2,FALSE))="Martin",(VLOOKUP(Table10[[#This Row],[SKU]],'All Skus'!$A:$AC,5,FALSE)),""))</f>
        <v>EXT-WASH</v>
      </c>
      <c r="E882" s="223">
        <f>(IF((VLOOKUP(Table10[[#This Row],[SKU]],'All Skus'!$A:$AC,2,FALSE))="Martin",(VLOOKUP(Table10[[#This Row],[SKU]],'All Skus'!$A:$AC,6,FALSE)),""))</f>
        <v>0</v>
      </c>
      <c r="F882" s="155" t="str">
        <f>(IF((VLOOKUP(Table10[[#This Row],[SKU]],'All Skus'!$A:$AC,2,FALSE))="Martin",(VLOOKUP(Table10[[#This Row],[SKU]],'All Skus'!$A:$AC,7,FALSE)),""))</f>
        <v>EOL soon – very limited availability</v>
      </c>
      <c r="G882" s="223" t="str">
        <f>(IF((VLOOKUP(Table10[[#This Row],[SKU]],'All Skus'!$A:$AC,2,FALSE))="Martin",(VLOOKUP(Table10[[#This Row],[SKU]],'All Skus'!$A:$AC,8,FALSE)),""))</f>
        <v>EXTERIOR WASH 110/210 DEMO CASE, EU vers</v>
      </c>
      <c r="H882" s="223" t="str">
        <f>(IF((VLOOKUP(Table10[[#This Row],[SKU]],'All Skus'!$A:$AC,2,FALSE))="Martin",(VLOOKUP(Table10[[#This Row],[SKU]],'All Skus'!$A:$AC,9,FALSE)),""))</f>
        <v>EXTERIOR WASH 110/210 DEMO CASE, EU vers</v>
      </c>
      <c r="I882" s="225">
        <f>(IF((VLOOKUP(Table10[[#This Row],[SKU]],'All Skus'!$A:$AC,2,FALSE))="Martin",(VLOOKUP(Table10[[#This Row],[SKU]],'All Skus'!$A:$AC,10,FALSE)),""))</f>
        <v>6931.97</v>
      </c>
      <c r="J882" s="226">
        <f>(IF((VLOOKUP(Table10[[#This Row],[SKU]],'All Skus'!$A:$AC,2,FALSE))="Martin",(VLOOKUP(Table10[[#This Row],[SKU]],'All Skus'!$A:$AC,11,FALSE)),""))</f>
        <v>6931.97</v>
      </c>
      <c r="K882" s="224">
        <f>(IF((VLOOKUP(Table10[[#This Row],[SKU]],'All Skus'!$A:$AC,2,FALSE))="Martin",(VLOOKUP(Table10[[#This Row],[SKU]],'All Skus'!$A:$AC,15,FALSE)),""))</f>
        <v>0</v>
      </c>
      <c r="L882" s="224">
        <f>(IF((VLOOKUP(Table10[[#This Row],[SKU]],'All Skus'!$A:$AC,2,FALSE))="Martin",(VLOOKUP(Table10[[#This Row],[SKU]],'All Skus'!$A:$AC,16,FALSE)),""))</f>
        <v>688705001722</v>
      </c>
      <c r="M882" s="224">
        <f>(IF((VLOOKUP(Table10[[#This Row],[SKU]],'All Skus'!$A:$AC,2,FALSE))="Martin",(VLOOKUP(Table10[[#This Row],[SKU]],'All Skus'!$A:$AC,17,FALSE)),""))</f>
        <v>0</v>
      </c>
      <c r="N882" s="227">
        <f>(IF((VLOOKUP(Table10[[#This Row],[SKU]],'All Skus'!$A:$AC,2,FALSE))="Martin",(VLOOKUP(Table10[[#This Row],[SKU]],'All Skus'!$A:$AC,18,FALSE)),""))</f>
        <v>0</v>
      </c>
      <c r="O882" s="227">
        <f>(IF((VLOOKUP(Table10[[#This Row],[SKU]],'All Skus'!$A:$AC,2,FALSE))="Martin",(VLOOKUP(Table10[[#This Row],[SKU]],'All Skus'!$A:$AC,19,FALSE)),""))</f>
        <v>0</v>
      </c>
      <c r="P882" s="227">
        <f>(IF((VLOOKUP(Table10[[#This Row],[SKU]],'All Skus'!$A:$AC,2,FALSE))="Martin",(VLOOKUP(Table10[[#This Row],[SKU]],'All Skus'!$A:$AC,20,FALSE)),""))</f>
        <v>0</v>
      </c>
      <c r="Q882" s="227">
        <f>(IF((VLOOKUP(Table10[[#This Row],[SKU]],'All Skus'!$A:$AC,2,FALSE))="Martin",(VLOOKUP(Table10[[#This Row],[SKU]],'All Skus'!$A:$AC,21,FALSE)),""))</f>
        <v>0</v>
      </c>
      <c r="R882" s="224" t="str">
        <f>(IF((VLOOKUP(Table10[[#This Row],[SKU]],'All Skus'!$A:$AC,2,FALSE))="Martin",(VLOOKUP(Table10[[#This Row],[SKU]],'All Skus'!$A:$AC,22,FALSE)),""))</f>
        <v>CN</v>
      </c>
      <c r="S882" s="223" t="str">
        <f>(IF((VLOOKUP(Table10[[#This Row],[SKU]],'All Skus'!$A:$AC,2,FALSE))="Martin",(VLOOKUP(Table10[[#This Row],[SKU]],'All Skus'!$A:$AC,23,FALSE)),""))</f>
        <v>Non Compliant</v>
      </c>
      <c r="T882" s="212" t="str">
        <f>HYPERLINK((IF((VLOOKUP(Table10[[#This Row],[SKU]],'All Skus'!$A:$AC,2,FALSE))="Martin",(VLOOKUP(Table10[[#This Row],[SKU]],'All Skus'!$A:$AC,24,FALSE)),"")))</f>
        <v/>
      </c>
      <c r="U882" s="228">
        <v>880</v>
      </c>
    </row>
    <row r="883" spans="1:23" hidden="1">
      <c r="A883" s="90">
        <v>90310002</v>
      </c>
      <c r="B883" s="224" t="str">
        <f>(IF((VLOOKUP(Table10[[#This Row],[SKU]],'All Skus'!$A:$AC,2,FALSE))="Martin",(VLOOKUP(Table10[[#This Row],[SKU]],'All Skus'!$A:$AC,3,FALSE)),""))</f>
        <v>DemoKits</v>
      </c>
      <c r="C883" s="223" t="str">
        <f>(IF((VLOOKUP(Table10[[#This Row],[SKU]],'All Skus'!$A:$AC,2,FALSE))="Martin",(VLOOKUP(Table10[[#This Row],[SKU]],'All Skus'!$A:$AC,4,FALSE)),""))</f>
        <v>EXTERIOR WASH 110/210 DEMO CASE, US vers</v>
      </c>
      <c r="D883" s="224" t="str">
        <f>(IF((VLOOKUP(Table10[[#This Row],[SKU]],'All Skus'!$A:$AC,2,FALSE))="Martin",(VLOOKUP(Table10[[#This Row],[SKU]],'All Skus'!$A:$AC,5,FALSE)),""))</f>
        <v>EXT-WASH</v>
      </c>
      <c r="E883" s="223">
        <f>(IF((VLOOKUP(Table10[[#This Row],[SKU]],'All Skus'!$A:$AC,2,FALSE))="Martin",(VLOOKUP(Table10[[#This Row],[SKU]],'All Skus'!$A:$AC,6,FALSE)),""))</f>
        <v>0</v>
      </c>
      <c r="F883" s="155" t="str">
        <f>(IF((VLOOKUP(Table10[[#This Row],[SKU]],'All Skus'!$A:$AC,2,FALSE))="Martin",(VLOOKUP(Table10[[#This Row],[SKU]],'All Skus'!$A:$AC,7,FALSE)),""))</f>
        <v>EOL soon – very limited availability</v>
      </c>
      <c r="G883" s="223" t="str">
        <f>(IF((VLOOKUP(Table10[[#This Row],[SKU]],'All Skus'!$A:$AC,2,FALSE))="Martin",(VLOOKUP(Table10[[#This Row],[SKU]],'All Skus'!$A:$AC,8,FALSE)),""))</f>
        <v>EXTERIOR WASH 110/210 DEMO CASE, US vers</v>
      </c>
      <c r="H883" s="223" t="str">
        <f>(IF((VLOOKUP(Table10[[#This Row],[SKU]],'All Skus'!$A:$AC,2,FALSE))="Martin",(VLOOKUP(Table10[[#This Row],[SKU]],'All Skus'!$A:$AC,9,FALSE)),""))</f>
        <v>EXTERIOR WASH 110/210 DEMO CASE, US vers</v>
      </c>
      <c r="I883" s="225">
        <f>(IF((VLOOKUP(Table10[[#This Row],[SKU]],'All Skus'!$A:$AC,2,FALSE))="Martin",(VLOOKUP(Table10[[#This Row],[SKU]],'All Skus'!$A:$AC,10,FALSE)),""))</f>
        <v>6931.97</v>
      </c>
      <c r="J883" s="226">
        <f>(IF((VLOOKUP(Table10[[#This Row],[SKU]],'All Skus'!$A:$AC,2,FALSE))="Martin",(VLOOKUP(Table10[[#This Row],[SKU]],'All Skus'!$A:$AC,11,FALSE)),""))</f>
        <v>6931.97</v>
      </c>
      <c r="K883" s="224">
        <f>(IF((VLOOKUP(Table10[[#This Row],[SKU]],'All Skus'!$A:$AC,2,FALSE))="Martin",(VLOOKUP(Table10[[#This Row],[SKU]],'All Skus'!$A:$AC,15,FALSE)),""))</f>
        <v>0</v>
      </c>
      <c r="L883" s="224">
        <f>(IF((VLOOKUP(Table10[[#This Row],[SKU]],'All Skus'!$A:$AC,2,FALSE))="Martin",(VLOOKUP(Table10[[#This Row],[SKU]],'All Skus'!$A:$AC,16,FALSE)),""))</f>
        <v>688705001975</v>
      </c>
      <c r="M883" s="224">
        <f>(IF((VLOOKUP(Table10[[#This Row],[SKU]],'All Skus'!$A:$AC,2,FALSE))="Martin",(VLOOKUP(Table10[[#This Row],[SKU]],'All Skus'!$A:$AC,17,FALSE)),""))</f>
        <v>0</v>
      </c>
      <c r="N883" s="227">
        <f>(IF((VLOOKUP(Table10[[#This Row],[SKU]],'All Skus'!$A:$AC,2,FALSE))="Martin",(VLOOKUP(Table10[[#This Row],[SKU]],'All Skus'!$A:$AC,18,FALSE)),""))</f>
        <v>0</v>
      </c>
      <c r="O883" s="227">
        <f>(IF((VLOOKUP(Table10[[#This Row],[SKU]],'All Skus'!$A:$AC,2,FALSE))="Martin",(VLOOKUP(Table10[[#This Row],[SKU]],'All Skus'!$A:$AC,19,FALSE)),""))</f>
        <v>0</v>
      </c>
      <c r="P883" s="227">
        <f>(IF((VLOOKUP(Table10[[#This Row],[SKU]],'All Skus'!$A:$AC,2,FALSE))="Martin",(VLOOKUP(Table10[[#This Row],[SKU]],'All Skus'!$A:$AC,20,FALSE)),""))</f>
        <v>0</v>
      </c>
      <c r="Q883" s="227">
        <f>(IF((VLOOKUP(Table10[[#This Row],[SKU]],'All Skus'!$A:$AC,2,FALSE))="Martin",(VLOOKUP(Table10[[#This Row],[SKU]],'All Skus'!$A:$AC,21,FALSE)),""))</f>
        <v>0</v>
      </c>
      <c r="R883" s="224" t="str">
        <f>(IF((VLOOKUP(Table10[[#This Row],[SKU]],'All Skus'!$A:$AC,2,FALSE))="Martin",(VLOOKUP(Table10[[#This Row],[SKU]],'All Skus'!$A:$AC,22,FALSE)),""))</f>
        <v>CN</v>
      </c>
      <c r="S883" s="223" t="str">
        <f>(IF((VLOOKUP(Table10[[#This Row],[SKU]],'All Skus'!$A:$AC,2,FALSE))="Martin",(VLOOKUP(Table10[[#This Row],[SKU]],'All Skus'!$A:$AC,23,FALSE)),""))</f>
        <v>Non Compliant</v>
      </c>
      <c r="T883" s="212" t="str">
        <f>HYPERLINK((IF((VLOOKUP(Table10[[#This Row],[SKU]],'All Skus'!$A:$AC,2,FALSE))="Martin",(VLOOKUP(Table10[[#This Row],[SKU]],'All Skus'!$A:$AC,24,FALSE)),"")))</f>
        <v/>
      </c>
      <c r="U883" s="228">
        <v>881</v>
      </c>
    </row>
    <row r="884" spans="1:23" hidden="1">
      <c r="A884" s="90">
        <v>90310042</v>
      </c>
      <c r="B884" s="224" t="str">
        <f>(IF((VLOOKUP(Table10[[#This Row],[SKU]],'All Skus'!$A:$AC,2,FALSE))="Martin",(VLOOKUP(Table10[[#This Row],[SKU]],'All Skus'!$A:$AC,3,FALSE)),""))</f>
        <v>DemoKits</v>
      </c>
      <c r="C884" s="223" t="str">
        <f>(IF((VLOOKUP(Table10[[#This Row],[SKU]],'All Skus'!$A:$AC,2,FALSE))="Martin",(VLOOKUP(Table10[[#This Row],[SKU]],'All Skus'!$A:$AC,4,FALSE)),""))</f>
        <v>EXTERIOR WASH 310 DEMO CASE, EU version</v>
      </c>
      <c r="D884" s="224" t="str">
        <f>(IF((VLOOKUP(Table10[[#This Row],[SKU]],'All Skus'!$A:$AC,2,FALSE))="Martin",(VLOOKUP(Table10[[#This Row],[SKU]],'All Skus'!$A:$AC,5,FALSE)),""))</f>
        <v>EXT-WASH</v>
      </c>
      <c r="E884" s="223">
        <f>(IF((VLOOKUP(Table10[[#This Row],[SKU]],'All Skus'!$A:$AC,2,FALSE))="Martin",(VLOOKUP(Table10[[#This Row],[SKU]],'All Skus'!$A:$AC,6,FALSE)),""))</f>
        <v>0</v>
      </c>
      <c r="F884" s="155" t="str">
        <f>(IF((VLOOKUP(Table10[[#This Row],[SKU]],'All Skus'!$A:$AC,2,FALSE))="Martin",(VLOOKUP(Table10[[#This Row],[SKU]],'All Skus'!$A:$AC,7,FALSE)),""))</f>
        <v>EOL soon – very limited availability</v>
      </c>
      <c r="G884" s="223" t="str">
        <f>(IF((VLOOKUP(Table10[[#This Row],[SKU]],'All Skus'!$A:$AC,2,FALSE))="Martin",(VLOOKUP(Table10[[#This Row],[SKU]],'All Skus'!$A:$AC,8,FALSE)),""))</f>
        <v>EXTERIOR WASH 310 DEMO CASE, EU version</v>
      </c>
      <c r="H884" s="223" t="str">
        <f>(IF((VLOOKUP(Table10[[#This Row],[SKU]],'All Skus'!$A:$AC,2,FALSE))="Martin",(VLOOKUP(Table10[[#This Row],[SKU]],'All Skus'!$A:$AC,9,FALSE)),""))</f>
        <v>EXTERIOR WASH 310 DEMO CASE, EU version</v>
      </c>
      <c r="I884" s="225">
        <f>(IF((VLOOKUP(Table10[[#This Row],[SKU]],'All Skus'!$A:$AC,2,FALSE))="Martin",(VLOOKUP(Table10[[#This Row],[SKU]],'All Skus'!$A:$AC,10,FALSE)),""))</f>
        <v>6931.97</v>
      </c>
      <c r="J884" s="226">
        <f>(IF((VLOOKUP(Table10[[#This Row],[SKU]],'All Skus'!$A:$AC,2,FALSE))="Martin",(VLOOKUP(Table10[[#This Row],[SKU]],'All Skus'!$A:$AC,11,FALSE)),""))</f>
        <v>6931.97</v>
      </c>
      <c r="K884" s="224">
        <f>(IF((VLOOKUP(Table10[[#This Row],[SKU]],'All Skus'!$A:$AC,2,FALSE))="Martin",(VLOOKUP(Table10[[#This Row],[SKU]],'All Skus'!$A:$AC,15,FALSE)),""))</f>
        <v>0</v>
      </c>
      <c r="L884" s="224">
        <f>(IF((VLOOKUP(Table10[[#This Row],[SKU]],'All Skus'!$A:$AC,2,FALSE))="Martin",(VLOOKUP(Table10[[#This Row],[SKU]],'All Skus'!$A:$AC,16,FALSE)),""))</f>
        <v>688705000701</v>
      </c>
      <c r="M884" s="224">
        <f>(IF((VLOOKUP(Table10[[#This Row],[SKU]],'All Skus'!$A:$AC,2,FALSE))="Martin",(VLOOKUP(Table10[[#This Row],[SKU]],'All Skus'!$A:$AC,17,FALSE)),""))</f>
        <v>0</v>
      </c>
      <c r="N884" s="227">
        <f>(IF((VLOOKUP(Table10[[#This Row],[SKU]],'All Skus'!$A:$AC,2,FALSE))="Martin",(VLOOKUP(Table10[[#This Row],[SKU]],'All Skus'!$A:$AC,18,FALSE)),""))</f>
        <v>0</v>
      </c>
      <c r="O884" s="227">
        <f>(IF((VLOOKUP(Table10[[#This Row],[SKU]],'All Skus'!$A:$AC,2,FALSE))="Martin",(VLOOKUP(Table10[[#This Row],[SKU]],'All Skus'!$A:$AC,19,FALSE)),""))</f>
        <v>0</v>
      </c>
      <c r="P884" s="227">
        <f>(IF((VLOOKUP(Table10[[#This Row],[SKU]],'All Skus'!$A:$AC,2,FALSE))="Martin",(VLOOKUP(Table10[[#This Row],[SKU]],'All Skus'!$A:$AC,20,FALSE)),""))</f>
        <v>0</v>
      </c>
      <c r="Q884" s="227">
        <f>(IF((VLOOKUP(Table10[[#This Row],[SKU]],'All Skus'!$A:$AC,2,FALSE))="Martin",(VLOOKUP(Table10[[#This Row],[SKU]],'All Skus'!$A:$AC,21,FALSE)),""))</f>
        <v>0</v>
      </c>
      <c r="R884" s="224" t="str">
        <f>(IF((VLOOKUP(Table10[[#This Row],[SKU]],'All Skus'!$A:$AC,2,FALSE))="Martin",(VLOOKUP(Table10[[#This Row],[SKU]],'All Skus'!$A:$AC,22,FALSE)),""))</f>
        <v>CN</v>
      </c>
      <c r="S884" s="223" t="str">
        <f>(IF((VLOOKUP(Table10[[#This Row],[SKU]],'All Skus'!$A:$AC,2,FALSE))="Martin",(VLOOKUP(Table10[[#This Row],[SKU]],'All Skus'!$A:$AC,23,FALSE)),""))</f>
        <v>Non Compliant</v>
      </c>
      <c r="T884" s="212" t="str">
        <f>HYPERLINK((IF((VLOOKUP(Table10[[#This Row],[SKU]],'All Skus'!$A:$AC,2,FALSE))="Martin",(VLOOKUP(Table10[[#This Row],[SKU]],'All Skus'!$A:$AC,24,FALSE)),"")))</f>
        <v/>
      </c>
      <c r="U884" s="228">
        <v>882</v>
      </c>
    </row>
    <row r="885" spans="1:23" hidden="1">
      <c r="A885" s="90">
        <v>90310003</v>
      </c>
      <c r="B885" s="224" t="str">
        <f>(IF((VLOOKUP(Table10[[#This Row],[SKU]],'All Skus'!$A:$AC,2,FALSE))="Martin",(VLOOKUP(Table10[[#This Row],[SKU]],'All Skus'!$A:$AC,3,FALSE)),""))</f>
        <v>DemoKits</v>
      </c>
      <c r="C885" s="223" t="str">
        <f>(IF((VLOOKUP(Table10[[#This Row],[SKU]],'All Skus'!$A:$AC,2,FALSE))="Martin",(VLOOKUP(Table10[[#This Row],[SKU]],'All Skus'!$A:$AC,4,FALSE)),""))</f>
        <v>EXTERIOR WASH 310 DEMO CASE, US version</v>
      </c>
      <c r="D885" s="224" t="str">
        <f>(IF((VLOOKUP(Table10[[#This Row],[SKU]],'All Skus'!$A:$AC,2,FALSE))="Martin",(VLOOKUP(Table10[[#This Row],[SKU]],'All Skus'!$A:$AC,5,FALSE)),""))</f>
        <v>EXT-WASH</v>
      </c>
      <c r="E885" s="223">
        <f>(IF((VLOOKUP(Table10[[#This Row],[SKU]],'All Skus'!$A:$AC,2,FALSE))="Martin",(VLOOKUP(Table10[[#This Row],[SKU]],'All Skus'!$A:$AC,6,FALSE)),""))</f>
        <v>0</v>
      </c>
      <c r="F885" s="155" t="str">
        <f>(IF((VLOOKUP(Table10[[#This Row],[SKU]],'All Skus'!$A:$AC,2,FALSE))="Martin",(VLOOKUP(Table10[[#This Row],[SKU]],'All Skus'!$A:$AC,7,FALSE)),""))</f>
        <v>EOL soon – very limited availability</v>
      </c>
      <c r="G885" s="223" t="str">
        <f>(IF((VLOOKUP(Table10[[#This Row],[SKU]],'All Skus'!$A:$AC,2,FALSE))="Martin",(VLOOKUP(Table10[[#This Row],[SKU]],'All Skus'!$A:$AC,8,FALSE)),""))</f>
        <v>EXTERIOR WASH 310 DEMO CASE, US version</v>
      </c>
      <c r="H885" s="223" t="str">
        <f>(IF((VLOOKUP(Table10[[#This Row],[SKU]],'All Skus'!$A:$AC,2,FALSE))="Martin",(VLOOKUP(Table10[[#This Row],[SKU]],'All Skus'!$A:$AC,9,FALSE)),""))</f>
        <v>EXTERIOR WASH 310 DEMO CASE, US version</v>
      </c>
      <c r="I885" s="225">
        <f>(IF((VLOOKUP(Table10[[#This Row],[SKU]],'All Skus'!$A:$AC,2,FALSE))="Martin",(VLOOKUP(Table10[[#This Row],[SKU]],'All Skus'!$A:$AC,10,FALSE)),""))</f>
        <v>6931.97</v>
      </c>
      <c r="J885" s="226">
        <f>(IF((VLOOKUP(Table10[[#This Row],[SKU]],'All Skus'!$A:$AC,2,FALSE))="Martin",(VLOOKUP(Table10[[#This Row],[SKU]],'All Skus'!$A:$AC,11,FALSE)),""))</f>
        <v>6931.97</v>
      </c>
      <c r="K885" s="224">
        <f>(IF((VLOOKUP(Table10[[#This Row],[SKU]],'All Skus'!$A:$AC,2,FALSE))="Martin",(VLOOKUP(Table10[[#This Row],[SKU]],'All Skus'!$A:$AC,15,FALSE)),""))</f>
        <v>0</v>
      </c>
      <c r="L885" s="224">
        <f>(IF((VLOOKUP(Table10[[#This Row],[SKU]],'All Skus'!$A:$AC,2,FALSE))="Martin",(VLOOKUP(Table10[[#This Row],[SKU]],'All Skus'!$A:$AC,16,FALSE)),""))</f>
        <v>688705001982</v>
      </c>
      <c r="M885" s="224">
        <f>(IF((VLOOKUP(Table10[[#This Row],[SKU]],'All Skus'!$A:$AC,2,FALSE))="Martin",(VLOOKUP(Table10[[#This Row],[SKU]],'All Skus'!$A:$AC,17,FALSE)),""))</f>
        <v>0</v>
      </c>
      <c r="N885" s="227">
        <f>(IF((VLOOKUP(Table10[[#This Row],[SKU]],'All Skus'!$A:$AC,2,FALSE))="Martin",(VLOOKUP(Table10[[#This Row],[SKU]],'All Skus'!$A:$AC,18,FALSE)),""))</f>
        <v>0</v>
      </c>
      <c r="O885" s="227">
        <f>(IF((VLOOKUP(Table10[[#This Row],[SKU]],'All Skus'!$A:$AC,2,FALSE))="Martin",(VLOOKUP(Table10[[#This Row],[SKU]],'All Skus'!$A:$AC,19,FALSE)),""))</f>
        <v>0</v>
      </c>
      <c r="P885" s="227">
        <f>(IF((VLOOKUP(Table10[[#This Row],[SKU]],'All Skus'!$A:$AC,2,FALSE))="Martin",(VLOOKUP(Table10[[#This Row],[SKU]],'All Skus'!$A:$AC,20,FALSE)),""))</f>
        <v>0</v>
      </c>
      <c r="Q885" s="227">
        <f>(IF((VLOOKUP(Table10[[#This Row],[SKU]],'All Skus'!$A:$AC,2,FALSE))="Martin",(VLOOKUP(Table10[[#This Row],[SKU]],'All Skus'!$A:$AC,21,FALSE)),""))</f>
        <v>0</v>
      </c>
      <c r="R885" s="224" t="str">
        <f>(IF((VLOOKUP(Table10[[#This Row],[SKU]],'All Skus'!$A:$AC,2,FALSE))="Martin",(VLOOKUP(Table10[[#This Row],[SKU]],'All Skus'!$A:$AC,22,FALSE)),""))</f>
        <v>CN</v>
      </c>
      <c r="S885" s="223" t="str">
        <f>(IF((VLOOKUP(Table10[[#This Row],[SKU]],'All Skus'!$A:$AC,2,FALSE))="Martin",(VLOOKUP(Table10[[#This Row],[SKU]],'All Skus'!$A:$AC,23,FALSE)),""))</f>
        <v>Non Compliant</v>
      </c>
      <c r="T885" s="212" t="str">
        <f>HYPERLINK((IF((VLOOKUP(Table10[[#This Row],[SKU]],'All Skus'!$A:$AC,2,FALSE))="Martin",(VLOOKUP(Table10[[#This Row],[SKU]],'All Skus'!$A:$AC,24,FALSE)),"")))</f>
        <v/>
      </c>
      <c r="U885" s="228">
        <v>883</v>
      </c>
    </row>
    <row r="886" spans="1:23" hidden="1">
      <c r="A886" s="90">
        <v>90310050</v>
      </c>
      <c r="B886" s="224" t="str">
        <f>(IF((VLOOKUP(Table10[[#This Row],[SKU]],'All Skus'!$A:$AC,2,FALSE))="Martin",(VLOOKUP(Table10[[#This Row],[SKU]],'All Skus'!$A:$AC,3,FALSE)),""))</f>
        <v>DemoKits</v>
      </c>
      <c r="C886" s="223" t="str">
        <f>(IF((VLOOKUP(Table10[[#This Row],[SKU]],'All Skus'!$A:$AC,2,FALSE))="Martin",(VLOOKUP(Table10[[#This Row],[SKU]],'All Skus'!$A:$AC,4,FALSE)),""))</f>
        <v>EXTERIOR WASH 120/220 DEMO CASE, EU vers</v>
      </c>
      <c r="D886" s="224" t="str">
        <f>(IF((VLOOKUP(Table10[[#This Row],[SKU]],'All Skus'!$A:$AC,2,FALSE))="Martin",(VLOOKUP(Table10[[#This Row],[SKU]],'All Skus'!$A:$AC,5,FALSE)),""))</f>
        <v>EXT-WASH</v>
      </c>
      <c r="E886" s="223">
        <f>(IF((VLOOKUP(Table10[[#This Row],[SKU]],'All Skus'!$A:$AC,2,FALSE))="Martin",(VLOOKUP(Table10[[#This Row],[SKU]],'All Skus'!$A:$AC,6,FALSE)),""))</f>
        <v>0</v>
      </c>
      <c r="F886" s="155" t="str">
        <f>(IF((VLOOKUP(Table10[[#This Row],[SKU]],'All Skus'!$A:$AC,2,FALSE))="Martin",(VLOOKUP(Table10[[#This Row],[SKU]],'All Skus'!$A:$AC,7,FALSE)),""))</f>
        <v>EOL soon – very limited availability</v>
      </c>
      <c r="G886" s="223" t="str">
        <f>(IF((VLOOKUP(Table10[[#This Row],[SKU]],'All Skus'!$A:$AC,2,FALSE))="Martin",(VLOOKUP(Table10[[#This Row],[SKU]],'All Skus'!$A:$AC,8,FALSE)),""))</f>
        <v>EXTERIOR WASH 120/220 DEMO CASE, EU vers</v>
      </c>
      <c r="H886" s="223" t="str">
        <f>(IF((VLOOKUP(Table10[[#This Row],[SKU]],'All Skus'!$A:$AC,2,FALSE))="Martin",(VLOOKUP(Table10[[#This Row],[SKU]],'All Skus'!$A:$AC,9,FALSE)),""))</f>
        <v>EXTERIOR WASH 120/220 DEMO CASE, EU vers</v>
      </c>
      <c r="I886" s="225">
        <f>(IF((VLOOKUP(Table10[[#This Row],[SKU]],'All Skus'!$A:$AC,2,FALSE))="Martin",(VLOOKUP(Table10[[#This Row],[SKU]],'All Skus'!$A:$AC,10,FALSE)),""))</f>
        <v>6931.97</v>
      </c>
      <c r="J886" s="226">
        <f>(IF((VLOOKUP(Table10[[#This Row],[SKU]],'All Skus'!$A:$AC,2,FALSE))="Martin",(VLOOKUP(Table10[[#This Row],[SKU]],'All Skus'!$A:$AC,11,FALSE)),""))</f>
        <v>6931.97</v>
      </c>
      <c r="K886" s="224">
        <f>(IF((VLOOKUP(Table10[[#This Row],[SKU]],'All Skus'!$A:$AC,2,FALSE))="Martin",(VLOOKUP(Table10[[#This Row],[SKU]],'All Skus'!$A:$AC,15,FALSE)),""))</f>
        <v>0</v>
      </c>
      <c r="L886" s="224">
        <f>(IF((VLOOKUP(Table10[[#This Row],[SKU]],'All Skus'!$A:$AC,2,FALSE))="Martin",(VLOOKUP(Table10[[#This Row],[SKU]],'All Skus'!$A:$AC,16,FALSE)),""))</f>
        <v>688705001760</v>
      </c>
      <c r="M886" s="224">
        <f>(IF((VLOOKUP(Table10[[#This Row],[SKU]],'All Skus'!$A:$AC,2,FALSE))="Martin",(VLOOKUP(Table10[[#This Row],[SKU]],'All Skus'!$A:$AC,17,FALSE)),""))</f>
        <v>0</v>
      </c>
      <c r="N886" s="227">
        <f>(IF((VLOOKUP(Table10[[#This Row],[SKU]],'All Skus'!$A:$AC,2,FALSE))="Martin",(VLOOKUP(Table10[[#This Row],[SKU]],'All Skus'!$A:$AC,18,FALSE)),""))</f>
        <v>0</v>
      </c>
      <c r="O886" s="227">
        <f>(IF((VLOOKUP(Table10[[#This Row],[SKU]],'All Skus'!$A:$AC,2,FALSE))="Martin",(VLOOKUP(Table10[[#This Row],[SKU]],'All Skus'!$A:$AC,19,FALSE)),""))</f>
        <v>0</v>
      </c>
      <c r="P886" s="227">
        <f>(IF((VLOOKUP(Table10[[#This Row],[SKU]],'All Skus'!$A:$AC,2,FALSE))="Martin",(VLOOKUP(Table10[[#This Row],[SKU]],'All Skus'!$A:$AC,20,FALSE)),""))</f>
        <v>0</v>
      </c>
      <c r="Q886" s="227">
        <f>(IF((VLOOKUP(Table10[[#This Row],[SKU]],'All Skus'!$A:$AC,2,FALSE))="Martin",(VLOOKUP(Table10[[#This Row],[SKU]],'All Skus'!$A:$AC,21,FALSE)),""))</f>
        <v>0</v>
      </c>
      <c r="R886" s="224" t="str">
        <f>(IF((VLOOKUP(Table10[[#This Row],[SKU]],'All Skus'!$A:$AC,2,FALSE))="Martin",(VLOOKUP(Table10[[#This Row],[SKU]],'All Skus'!$A:$AC,22,FALSE)),""))</f>
        <v>CN</v>
      </c>
      <c r="S886" s="223" t="str">
        <f>(IF((VLOOKUP(Table10[[#This Row],[SKU]],'All Skus'!$A:$AC,2,FALSE))="Martin",(VLOOKUP(Table10[[#This Row],[SKU]],'All Skus'!$A:$AC,23,FALSE)),""))</f>
        <v>Non Compliant</v>
      </c>
      <c r="T886" s="212" t="str">
        <f>HYPERLINK((IF((VLOOKUP(Table10[[#This Row],[SKU]],'All Skus'!$A:$AC,2,FALSE))="Martin",(VLOOKUP(Table10[[#This Row],[SKU]],'All Skus'!$A:$AC,24,FALSE)),"")))</f>
        <v/>
      </c>
      <c r="U886" s="228">
        <v>884</v>
      </c>
    </row>
    <row r="887" spans="1:23" hidden="1">
      <c r="A887" s="90">
        <v>90310004</v>
      </c>
      <c r="B887" s="224" t="str">
        <f>(IF((VLOOKUP(Table10[[#This Row],[SKU]],'All Skus'!$A:$AC,2,FALSE))="Martin",(VLOOKUP(Table10[[#This Row],[SKU]],'All Skus'!$A:$AC,3,FALSE)),""))</f>
        <v>DemoKits</v>
      </c>
      <c r="C887" s="223" t="str">
        <f>(IF((VLOOKUP(Table10[[#This Row],[SKU]],'All Skus'!$A:$AC,2,FALSE))="Martin",(VLOOKUP(Table10[[#This Row],[SKU]],'All Skus'!$A:$AC,4,FALSE)),""))</f>
        <v>EXTERIOR WASH 120/220 DEMO CASE, US vers</v>
      </c>
      <c r="D887" s="224" t="str">
        <f>(IF((VLOOKUP(Table10[[#This Row],[SKU]],'All Skus'!$A:$AC,2,FALSE))="Martin",(VLOOKUP(Table10[[#This Row],[SKU]],'All Skus'!$A:$AC,5,FALSE)),""))</f>
        <v>EXT-WASH</v>
      </c>
      <c r="E887" s="223">
        <f>(IF((VLOOKUP(Table10[[#This Row],[SKU]],'All Skus'!$A:$AC,2,FALSE))="Martin",(VLOOKUP(Table10[[#This Row],[SKU]],'All Skus'!$A:$AC,6,FALSE)),""))</f>
        <v>0</v>
      </c>
      <c r="F887" s="155" t="str">
        <f>(IF((VLOOKUP(Table10[[#This Row],[SKU]],'All Skus'!$A:$AC,2,FALSE))="Martin",(VLOOKUP(Table10[[#This Row],[SKU]],'All Skus'!$A:$AC,7,FALSE)),""))</f>
        <v>EOL soon – very limited availability</v>
      </c>
      <c r="G887" s="223" t="str">
        <f>(IF((VLOOKUP(Table10[[#This Row],[SKU]],'All Skus'!$A:$AC,2,FALSE))="Martin",(VLOOKUP(Table10[[#This Row],[SKU]],'All Skus'!$A:$AC,8,FALSE)),""))</f>
        <v>EXTERIOR WASH 120/220 DEMO CASE, US vers</v>
      </c>
      <c r="H887" s="223" t="str">
        <f>(IF((VLOOKUP(Table10[[#This Row],[SKU]],'All Skus'!$A:$AC,2,FALSE))="Martin",(VLOOKUP(Table10[[#This Row],[SKU]],'All Skus'!$A:$AC,9,FALSE)),""))</f>
        <v>EXTERIOR WASH 120/220 DEMO CASE, US vers</v>
      </c>
      <c r="I887" s="225">
        <f>(IF((VLOOKUP(Table10[[#This Row],[SKU]],'All Skus'!$A:$AC,2,FALSE))="Martin",(VLOOKUP(Table10[[#This Row],[SKU]],'All Skus'!$A:$AC,10,FALSE)),""))</f>
        <v>6931.97</v>
      </c>
      <c r="J887" s="226">
        <f>(IF((VLOOKUP(Table10[[#This Row],[SKU]],'All Skus'!$A:$AC,2,FALSE))="Martin",(VLOOKUP(Table10[[#This Row],[SKU]],'All Skus'!$A:$AC,11,FALSE)),""))</f>
        <v>6931.97</v>
      </c>
      <c r="K887" s="224">
        <f>(IF((VLOOKUP(Table10[[#This Row],[SKU]],'All Skus'!$A:$AC,2,FALSE))="Martin",(VLOOKUP(Table10[[#This Row],[SKU]],'All Skus'!$A:$AC,15,FALSE)),""))</f>
        <v>0</v>
      </c>
      <c r="L887" s="224">
        <f>(IF((VLOOKUP(Table10[[#This Row],[SKU]],'All Skus'!$A:$AC,2,FALSE))="Martin",(VLOOKUP(Table10[[#This Row],[SKU]],'All Skus'!$A:$AC,16,FALSE)),""))</f>
        <v>688705001999</v>
      </c>
      <c r="M887" s="224">
        <f>(IF((VLOOKUP(Table10[[#This Row],[SKU]],'All Skus'!$A:$AC,2,FALSE))="Martin",(VLOOKUP(Table10[[#This Row],[SKU]],'All Skus'!$A:$AC,17,FALSE)),""))</f>
        <v>0</v>
      </c>
      <c r="N887" s="227">
        <f>(IF((VLOOKUP(Table10[[#This Row],[SKU]],'All Skus'!$A:$AC,2,FALSE))="Martin",(VLOOKUP(Table10[[#This Row],[SKU]],'All Skus'!$A:$AC,18,FALSE)),""))</f>
        <v>0</v>
      </c>
      <c r="O887" s="227">
        <f>(IF((VLOOKUP(Table10[[#This Row],[SKU]],'All Skus'!$A:$AC,2,FALSE))="Martin",(VLOOKUP(Table10[[#This Row],[SKU]],'All Skus'!$A:$AC,19,FALSE)),""))</f>
        <v>0</v>
      </c>
      <c r="P887" s="227">
        <f>(IF((VLOOKUP(Table10[[#This Row],[SKU]],'All Skus'!$A:$AC,2,FALSE))="Martin",(VLOOKUP(Table10[[#This Row],[SKU]],'All Skus'!$A:$AC,20,FALSE)),""))</f>
        <v>0</v>
      </c>
      <c r="Q887" s="227">
        <f>(IF((VLOOKUP(Table10[[#This Row],[SKU]],'All Skus'!$A:$AC,2,FALSE))="Martin",(VLOOKUP(Table10[[#This Row],[SKU]],'All Skus'!$A:$AC,21,FALSE)),""))</f>
        <v>0</v>
      </c>
      <c r="R887" s="224" t="str">
        <f>(IF((VLOOKUP(Table10[[#This Row],[SKU]],'All Skus'!$A:$AC,2,FALSE))="Martin",(VLOOKUP(Table10[[#This Row],[SKU]],'All Skus'!$A:$AC,22,FALSE)),""))</f>
        <v>CN</v>
      </c>
      <c r="S887" s="223" t="str">
        <f>(IF((VLOOKUP(Table10[[#This Row],[SKU]],'All Skus'!$A:$AC,2,FALSE))="Martin",(VLOOKUP(Table10[[#This Row],[SKU]],'All Skus'!$A:$AC,23,FALSE)),""))</f>
        <v>Non Compliant</v>
      </c>
      <c r="T887" s="212" t="str">
        <f>HYPERLINK((IF((VLOOKUP(Table10[[#This Row],[SKU]],'All Skus'!$A:$AC,2,FALSE))="Martin",(VLOOKUP(Table10[[#This Row],[SKU]],'All Skus'!$A:$AC,24,FALSE)),"")))</f>
        <v/>
      </c>
      <c r="U887" s="228">
        <v>885</v>
      </c>
    </row>
    <row r="888" spans="1:23" hidden="1">
      <c r="A888" s="90">
        <v>90310049</v>
      </c>
      <c r="B888" s="224" t="str">
        <f>(IF((VLOOKUP(Table10[[#This Row],[SKU]],'All Skus'!$A:$AC,2,FALSE))="Martin",(VLOOKUP(Table10[[#This Row],[SKU]],'All Skus'!$A:$AC,3,FALSE)),""))</f>
        <v>DemoKits</v>
      </c>
      <c r="C888" s="223" t="str">
        <f>(IF((VLOOKUP(Table10[[#This Row],[SKU]],'All Skus'!$A:$AC,2,FALSE))="Martin",(VLOOKUP(Table10[[#This Row],[SKU]],'All Skus'!$A:$AC,4,FALSE)),""))</f>
        <v>EXTERIOR WASH 320 DEMO CASE, EU version</v>
      </c>
      <c r="D888" s="224" t="str">
        <f>(IF((VLOOKUP(Table10[[#This Row],[SKU]],'All Skus'!$A:$AC,2,FALSE))="Martin",(VLOOKUP(Table10[[#This Row],[SKU]],'All Skus'!$A:$AC,5,FALSE)),""))</f>
        <v>EXT-WASH</v>
      </c>
      <c r="E888" s="223">
        <f>(IF((VLOOKUP(Table10[[#This Row],[SKU]],'All Skus'!$A:$AC,2,FALSE))="Martin",(VLOOKUP(Table10[[#This Row],[SKU]],'All Skus'!$A:$AC,6,FALSE)),""))</f>
        <v>0</v>
      </c>
      <c r="F888" s="155" t="str">
        <f>(IF((VLOOKUP(Table10[[#This Row],[SKU]],'All Skus'!$A:$AC,2,FALSE))="Martin",(VLOOKUP(Table10[[#This Row],[SKU]],'All Skus'!$A:$AC,7,FALSE)),""))</f>
        <v>EOL soon – very limited availability</v>
      </c>
      <c r="G888" s="223" t="str">
        <f>(IF((VLOOKUP(Table10[[#This Row],[SKU]],'All Skus'!$A:$AC,2,FALSE))="Martin",(VLOOKUP(Table10[[#This Row],[SKU]],'All Skus'!$A:$AC,8,FALSE)),""))</f>
        <v>EXTERIOR WASH 320 DEMO CASE, EU version</v>
      </c>
      <c r="H888" s="223" t="str">
        <f>(IF((VLOOKUP(Table10[[#This Row],[SKU]],'All Skus'!$A:$AC,2,FALSE))="Martin",(VLOOKUP(Table10[[#This Row],[SKU]],'All Skus'!$A:$AC,9,FALSE)),""))</f>
        <v>EXTERIOR WASH 320 DEMO CASE, EU version</v>
      </c>
      <c r="I888" s="225">
        <f>(IF((VLOOKUP(Table10[[#This Row],[SKU]],'All Skus'!$A:$AC,2,FALSE))="Martin",(VLOOKUP(Table10[[#This Row],[SKU]],'All Skus'!$A:$AC,10,FALSE)),""))</f>
        <v>6931.97</v>
      </c>
      <c r="J888" s="226">
        <f>(IF((VLOOKUP(Table10[[#This Row],[SKU]],'All Skus'!$A:$AC,2,FALSE))="Martin",(VLOOKUP(Table10[[#This Row],[SKU]],'All Skus'!$A:$AC,11,FALSE)),""))</f>
        <v>6931.97</v>
      </c>
      <c r="K888" s="224">
        <f>(IF((VLOOKUP(Table10[[#This Row],[SKU]],'All Skus'!$A:$AC,2,FALSE))="Martin",(VLOOKUP(Table10[[#This Row],[SKU]],'All Skus'!$A:$AC,15,FALSE)),""))</f>
        <v>0</v>
      </c>
      <c r="L888" s="224">
        <f>(IF((VLOOKUP(Table10[[#This Row],[SKU]],'All Skus'!$A:$AC,2,FALSE))="Martin",(VLOOKUP(Table10[[#This Row],[SKU]],'All Skus'!$A:$AC,16,FALSE)),""))</f>
        <v>688705001814</v>
      </c>
      <c r="M888" s="224">
        <f>(IF((VLOOKUP(Table10[[#This Row],[SKU]],'All Skus'!$A:$AC,2,FALSE))="Martin",(VLOOKUP(Table10[[#This Row],[SKU]],'All Skus'!$A:$AC,17,FALSE)),""))</f>
        <v>0</v>
      </c>
      <c r="N888" s="227">
        <f>(IF((VLOOKUP(Table10[[#This Row],[SKU]],'All Skus'!$A:$AC,2,FALSE))="Martin",(VLOOKUP(Table10[[#This Row],[SKU]],'All Skus'!$A:$AC,18,FALSE)),""))</f>
        <v>0</v>
      </c>
      <c r="O888" s="227">
        <f>(IF((VLOOKUP(Table10[[#This Row],[SKU]],'All Skus'!$A:$AC,2,FALSE))="Martin",(VLOOKUP(Table10[[#This Row],[SKU]],'All Skus'!$A:$AC,19,FALSE)),""))</f>
        <v>0</v>
      </c>
      <c r="P888" s="227">
        <f>(IF((VLOOKUP(Table10[[#This Row],[SKU]],'All Skus'!$A:$AC,2,FALSE))="Martin",(VLOOKUP(Table10[[#This Row],[SKU]],'All Skus'!$A:$AC,20,FALSE)),""))</f>
        <v>0</v>
      </c>
      <c r="Q888" s="227">
        <f>(IF((VLOOKUP(Table10[[#This Row],[SKU]],'All Skus'!$A:$AC,2,FALSE))="Martin",(VLOOKUP(Table10[[#This Row],[SKU]],'All Skus'!$A:$AC,21,FALSE)),""))</f>
        <v>0</v>
      </c>
      <c r="R888" s="224" t="str">
        <f>(IF((VLOOKUP(Table10[[#This Row],[SKU]],'All Skus'!$A:$AC,2,FALSE))="Martin",(VLOOKUP(Table10[[#This Row],[SKU]],'All Skus'!$A:$AC,22,FALSE)),""))</f>
        <v>CN</v>
      </c>
      <c r="S888" s="223" t="str">
        <f>(IF((VLOOKUP(Table10[[#This Row],[SKU]],'All Skus'!$A:$AC,2,FALSE))="Martin",(VLOOKUP(Table10[[#This Row],[SKU]],'All Skus'!$A:$AC,23,FALSE)),""))</f>
        <v>Non Compliant</v>
      </c>
      <c r="T888" s="212" t="str">
        <f>HYPERLINK((IF((VLOOKUP(Table10[[#This Row],[SKU]],'All Skus'!$A:$AC,2,FALSE))="Martin",(VLOOKUP(Table10[[#This Row],[SKU]],'All Skus'!$A:$AC,24,FALSE)),"")))</f>
        <v/>
      </c>
      <c r="U888" s="228">
        <v>886</v>
      </c>
    </row>
    <row r="889" spans="1:23" hidden="1">
      <c r="A889" s="90">
        <v>90310005</v>
      </c>
      <c r="B889" s="224" t="str">
        <f>(IF((VLOOKUP(Table10[[#This Row],[SKU]],'All Skus'!$A:$AC,2,FALSE))="Martin",(VLOOKUP(Table10[[#This Row],[SKU]],'All Skus'!$A:$AC,3,FALSE)),""))</f>
        <v>DemoKits</v>
      </c>
      <c r="C889" s="223" t="str">
        <f>(IF((VLOOKUP(Table10[[#This Row],[SKU]],'All Skus'!$A:$AC,2,FALSE))="Martin",(VLOOKUP(Table10[[#This Row],[SKU]],'All Skus'!$A:$AC,4,FALSE)),""))</f>
        <v>EXTERIOR WASH 320 DEMO CASE, US version</v>
      </c>
      <c r="D889" s="224" t="str">
        <f>(IF((VLOOKUP(Table10[[#This Row],[SKU]],'All Skus'!$A:$AC,2,FALSE))="Martin",(VLOOKUP(Table10[[#This Row],[SKU]],'All Skus'!$A:$AC,5,FALSE)),""))</f>
        <v>EXT-WASH</v>
      </c>
      <c r="E889" s="223">
        <f>(IF((VLOOKUP(Table10[[#This Row],[SKU]],'All Skus'!$A:$AC,2,FALSE))="Martin",(VLOOKUP(Table10[[#This Row],[SKU]],'All Skus'!$A:$AC,6,FALSE)),""))</f>
        <v>0</v>
      </c>
      <c r="F889" s="155" t="str">
        <f>(IF((VLOOKUP(Table10[[#This Row],[SKU]],'All Skus'!$A:$AC,2,FALSE))="Martin",(VLOOKUP(Table10[[#This Row],[SKU]],'All Skus'!$A:$AC,7,FALSE)),""))</f>
        <v>EOL soon – very limited availability</v>
      </c>
      <c r="G889" s="223" t="str">
        <f>(IF((VLOOKUP(Table10[[#This Row],[SKU]],'All Skus'!$A:$AC,2,FALSE))="Martin",(VLOOKUP(Table10[[#This Row],[SKU]],'All Skus'!$A:$AC,8,FALSE)),""))</f>
        <v>EXTERIOR WASH 320 DEMO CASE, US version</v>
      </c>
      <c r="H889" s="223" t="str">
        <f>(IF((VLOOKUP(Table10[[#This Row],[SKU]],'All Skus'!$A:$AC,2,FALSE))="Martin",(VLOOKUP(Table10[[#This Row],[SKU]],'All Skus'!$A:$AC,9,FALSE)),""))</f>
        <v>EXTERIOR WASH 320 DEMO CASE, US version</v>
      </c>
      <c r="I889" s="225">
        <f>(IF((VLOOKUP(Table10[[#This Row],[SKU]],'All Skus'!$A:$AC,2,FALSE))="Martin",(VLOOKUP(Table10[[#This Row],[SKU]],'All Skus'!$A:$AC,10,FALSE)),""))</f>
        <v>6931.97</v>
      </c>
      <c r="J889" s="226">
        <f>(IF((VLOOKUP(Table10[[#This Row],[SKU]],'All Skus'!$A:$AC,2,FALSE))="Martin",(VLOOKUP(Table10[[#This Row],[SKU]],'All Skus'!$A:$AC,11,FALSE)),""))</f>
        <v>6931.97</v>
      </c>
      <c r="K889" s="224">
        <f>(IF((VLOOKUP(Table10[[#This Row],[SKU]],'All Skus'!$A:$AC,2,FALSE))="Martin",(VLOOKUP(Table10[[#This Row],[SKU]],'All Skus'!$A:$AC,15,FALSE)),""))</f>
        <v>0</v>
      </c>
      <c r="L889" s="224">
        <f>(IF((VLOOKUP(Table10[[#This Row],[SKU]],'All Skus'!$A:$AC,2,FALSE))="Martin",(VLOOKUP(Table10[[#This Row],[SKU]],'All Skus'!$A:$AC,16,FALSE)),""))</f>
        <v>688705002125</v>
      </c>
      <c r="M889" s="224">
        <f>(IF((VLOOKUP(Table10[[#This Row],[SKU]],'All Skus'!$A:$AC,2,FALSE))="Martin",(VLOOKUP(Table10[[#This Row],[SKU]],'All Skus'!$A:$AC,17,FALSE)),""))</f>
        <v>0</v>
      </c>
      <c r="N889" s="227">
        <f>(IF((VLOOKUP(Table10[[#This Row],[SKU]],'All Skus'!$A:$AC,2,FALSE))="Martin",(VLOOKUP(Table10[[#This Row],[SKU]],'All Skus'!$A:$AC,18,FALSE)),""))</f>
        <v>0</v>
      </c>
      <c r="O889" s="227">
        <f>(IF((VLOOKUP(Table10[[#This Row],[SKU]],'All Skus'!$A:$AC,2,FALSE))="Martin",(VLOOKUP(Table10[[#This Row],[SKU]],'All Skus'!$A:$AC,19,FALSE)),""))</f>
        <v>0</v>
      </c>
      <c r="P889" s="227">
        <f>(IF((VLOOKUP(Table10[[#This Row],[SKU]],'All Skus'!$A:$AC,2,FALSE))="Martin",(VLOOKUP(Table10[[#This Row],[SKU]],'All Skus'!$A:$AC,20,FALSE)),""))</f>
        <v>0</v>
      </c>
      <c r="Q889" s="227">
        <f>(IF((VLOOKUP(Table10[[#This Row],[SKU]],'All Skus'!$A:$AC,2,FALSE))="Martin",(VLOOKUP(Table10[[#This Row],[SKU]],'All Skus'!$A:$AC,21,FALSE)),""))</f>
        <v>0</v>
      </c>
      <c r="R889" s="224" t="str">
        <f>(IF((VLOOKUP(Table10[[#This Row],[SKU]],'All Skus'!$A:$AC,2,FALSE))="Martin",(VLOOKUP(Table10[[#This Row],[SKU]],'All Skus'!$A:$AC,22,FALSE)),""))</f>
        <v>CN</v>
      </c>
      <c r="S889" s="223" t="str">
        <f>(IF((VLOOKUP(Table10[[#This Row],[SKU]],'All Skus'!$A:$AC,2,FALSE))="Martin",(VLOOKUP(Table10[[#This Row],[SKU]],'All Skus'!$A:$AC,23,FALSE)),""))</f>
        <v>Non Compliant</v>
      </c>
      <c r="T889" s="212" t="str">
        <f>HYPERLINK((IF((VLOOKUP(Table10[[#This Row],[SKU]],'All Skus'!$A:$AC,2,FALSE))="Martin",(VLOOKUP(Table10[[#This Row],[SKU]],'All Skus'!$A:$AC,24,FALSE)),"")))</f>
        <v/>
      </c>
      <c r="U889" s="228">
        <v>887</v>
      </c>
    </row>
    <row r="890" spans="1:23" hidden="1">
      <c r="A890" s="115" t="s">
        <v>2383</v>
      </c>
      <c r="B890" s="224">
        <f>(IF((VLOOKUP(Table10[[#This Row],[SKU]],'All Skus'!$A:$AC,2,FALSE))="Martin",(VLOOKUP(Table10[[#This Row],[SKU]],'All Skus'!$A:$AC,3,FALSE)),""))</f>
        <v>0</v>
      </c>
      <c r="C890" s="223">
        <f>(IF((VLOOKUP(Table10[[#This Row],[SKU]],'All Skus'!$A:$AC,2,FALSE))="Martin",(VLOOKUP(Table10[[#This Row],[SKU]],'All Skus'!$A:$AC,4,FALSE)),""))</f>
        <v>0</v>
      </c>
      <c r="D890" s="224">
        <f>(IF((VLOOKUP(Table10[[#This Row],[SKU]],'All Skus'!$A:$AC,2,FALSE))="Martin",(VLOOKUP(Table10[[#This Row],[SKU]],'All Skus'!$A:$AC,5,FALSE)),""))</f>
        <v>0</v>
      </c>
      <c r="E890" s="223">
        <f>(IF((VLOOKUP(Table10[[#This Row],[SKU]],'All Skus'!$A:$AC,2,FALSE))="Martin",(VLOOKUP(Table10[[#This Row],[SKU]],'All Skus'!$A:$AC,6,FALSE)),""))</f>
        <v>0</v>
      </c>
      <c r="F890" s="155">
        <f>(IF((VLOOKUP(Table10[[#This Row],[SKU]],'All Skus'!$A:$AC,2,FALSE))="Martin",(VLOOKUP(Table10[[#This Row],[SKU]],'All Skus'!$A:$AC,7,FALSE)),""))</f>
        <v>0</v>
      </c>
      <c r="G890" s="223">
        <f>(IF((VLOOKUP(Table10[[#This Row],[SKU]],'All Skus'!$A:$AC,2,FALSE))="Martin",(VLOOKUP(Table10[[#This Row],[SKU]],'All Skus'!$A:$AC,8,FALSE)),""))</f>
        <v>0</v>
      </c>
      <c r="H890" s="223">
        <f>(IF((VLOOKUP(Table10[[#This Row],[SKU]],'All Skus'!$A:$AC,2,FALSE))="Martin",(VLOOKUP(Table10[[#This Row],[SKU]],'All Skus'!$A:$AC,9,FALSE)),""))</f>
        <v>0</v>
      </c>
      <c r="I890" s="225">
        <f>(IF((VLOOKUP(Table10[[#This Row],[SKU]],'All Skus'!$A:$AC,2,FALSE))="Martin",(VLOOKUP(Table10[[#This Row],[SKU]],'All Skus'!$A:$AC,10,FALSE)),""))</f>
        <v>0</v>
      </c>
      <c r="J890" s="226">
        <f>(IF((VLOOKUP(Table10[[#This Row],[SKU]],'All Skus'!$A:$AC,2,FALSE))="Martin",(VLOOKUP(Table10[[#This Row],[SKU]],'All Skus'!$A:$AC,11,FALSE)),""))</f>
        <v>0</v>
      </c>
      <c r="K890" s="224">
        <f>(IF((VLOOKUP(Table10[[#This Row],[SKU]],'All Skus'!$A:$AC,2,FALSE))="Martin",(VLOOKUP(Table10[[#This Row],[SKU]],'All Skus'!$A:$AC,15,FALSE)),""))</f>
        <v>0</v>
      </c>
      <c r="L890" s="224">
        <f>(IF((VLOOKUP(Table10[[#This Row],[SKU]],'All Skus'!$A:$AC,2,FALSE))="Martin",(VLOOKUP(Table10[[#This Row],[SKU]],'All Skus'!$A:$AC,16,FALSE)),""))</f>
        <v>0</v>
      </c>
      <c r="M890" s="224">
        <f>(IF((VLOOKUP(Table10[[#This Row],[SKU]],'All Skus'!$A:$AC,2,FALSE))="Martin",(VLOOKUP(Table10[[#This Row],[SKU]],'All Skus'!$A:$AC,17,FALSE)),""))</f>
        <v>0</v>
      </c>
      <c r="N890" s="227">
        <f>(IF((VLOOKUP(Table10[[#This Row],[SKU]],'All Skus'!$A:$AC,2,FALSE))="Martin",(VLOOKUP(Table10[[#This Row],[SKU]],'All Skus'!$A:$AC,18,FALSE)),""))</f>
        <v>0</v>
      </c>
      <c r="O890" s="227">
        <f>(IF((VLOOKUP(Table10[[#This Row],[SKU]],'All Skus'!$A:$AC,2,FALSE))="Martin",(VLOOKUP(Table10[[#This Row],[SKU]],'All Skus'!$A:$AC,19,FALSE)),""))</f>
        <v>0</v>
      </c>
      <c r="P890" s="227">
        <f>(IF((VLOOKUP(Table10[[#This Row],[SKU]],'All Skus'!$A:$AC,2,FALSE))="Martin",(VLOOKUP(Table10[[#This Row],[SKU]],'All Skus'!$A:$AC,20,FALSE)),""))</f>
        <v>0</v>
      </c>
      <c r="Q890" s="227">
        <f>(IF((VLOOKUP(Table10[[#This Row],[SKU]],'All Skus'!$A:$AC,2,FALSE))="Martin",(VLOOKUP(Table10[[#This Row],[SKU]],'All Skus'!$A:$AC,21,FALSE)),""))</f>
        <v>0</v>
      </c>
      <c r="R890" s="224">
        <f>(IF((VLOOKUP(Table10[[#This Row],[SKU]],'All Skus'!$A:$AC,2,FALSE))="Martin",(VLOOKUP(Table10[[#This Row],[SKU]],'All Skus'!$A:$AC,22,FALSE)),""))</f>
        <v>0</v>
      </c>
      <c r="S890" s="223">
        <f>(IF((VLOOKUP(Table10[[#This Row],[SKU]],'All Skus'!$A:$AC,2,FALSE))="Martin",(VLOOKUP(Table10[[#This Row],[SKU]],'All Skus'!$A:$AC,23,FALSE)),""))</f>
        <v>0</v>
      </c>
      <c r="T890" s="212" t="str">
        <f>HYPERLINK((IF((VLOOKUP(Table10[[#This Row],[SKU]],'All Skus'!$A:$AC,2,FALSE))="Martin",(VLOOKUP(Table10[[#This Row],[SKU]],'All Skus'!$A:$AC,24,FALSE)),"")))</f>
        <v/>
      </c>
      <c r="U890" s="228">
        <v>888</v>
      </c>
    </row>
    <row r="891" spans="1:23" hidden="1">
      <c r="A891" s="90">
        <v>90310045</v>
      </c>
      <c r="B891" s="224" t="str">
        <f>(IF((VLOOKUP(Table10[[#This Row],[SKU]],'All Skus'!$A:$AC,2,FALSE))="Martin",(VLOOKUP(Table10[[#This Row],[SKU]],'All Skus'!$A:$AC,3,FALSE)),""))</f>
        <v>DemoKits</v>
      </c>
      <c r="C891" s="223" t="str">
        <f>(IF((VLOOKUP(Table10[[#This Row],[SKU]],'All Skus'!$A:$AC,2,FALSE))="Martin",(VLOOKUP(Table10[[#This Row],[SKU]],'All Skus'!$A:$AC,4,FALSE)),""))</f>
        <v>EXTERIOR PROJECTION 500 DEMO KIT, EU</v>
      </c>
      <c r="D891" s="224" t="str">
        <f>(IF((VLOOKUP(Table10[[#This Row],[SKU]],'All Skus'!$A:$AC,2,FALSE))="Martin",(VLOOKUP(Table10[[#This Row],[SKU]],'All Skus'!$A:$AC,5,FALSE)),""))</f>
        <v>EXT-PROJ</v>
      </c>
      <c r="E891" s="223">
        <f>(IF((VLOOKUP(Table10[[#This Row],[SKU]],'All Skus'!$A:$AC,2,FALSE))="Martin",(VLOOKUP(Table10[[#This Row],[SKU]],'All Skus'!$A:$AC,6,FALSE)),""))</f>
        <v>0</v>
      </c>
      <c r="F891" s="155" t="str">
        <f>(IF((VLOOKUP(Table10[[#This Row],[SKU]],'All Skus'!$A:$AC,2,FALSE))="Martin",(VLOOKUP(Table10[[#This Row],[SKU]],'All Skus'!$A:$AC,7,FALSE)),""))</f>
        <v>EOL soon – very limited availability</v>
      </c>
      <c r="G891" s="223" t="str">
        <f>(IF((VLOOKUP(Table10[[#This Row],[SKU]],'All Skus'!$A:$AC,2,FALSE))="Martin",(VLOOKUP(Table10[[#This Row],[SKU]],'All Skus'!$A:$AC,8,FALSE)),""))</f>
        <v>EXTERIOR PROJECTION 500 DEMO KIT, EU</v>
      </c>
      <c r="H891" s="223" t="str">
        <f>(IF((VLOOKUP(Table10[[#This Row],[SKU]],'All Skus'!$A:$AC,2,FALSE))="Martin",(VLOOKUP(Table10[[#This Row],[SKU]],'All Skus'!$A:$AC,9,FALSE)),""))</f>
        <v>EXTERIOR PROJECTION 500 DEMO KIT, EU</v>
      </c>
      <c r="I891" s="225">
        <f>(IF((VLOOKUP(Table10[[#This Row],[SKU]],'All Skus'!$A:$AC,2,FALSE))="Martin",(VLOOKUP(Table10[[#This Row],[SKU]],'All Skus'!$A:$AC,10,FALSE)),""))</f>
        <v>8056.84</v>
      </c>
      <c r="J891" s="226">
        <f>(IF((VLOOKUP(Table10[[#This Row],[SKU]],'All Skus'!$A:$AC,2,FALSE))="Martin",(VLOOKUP(Table10[[#This Row],[SKU]],'All Skus'!$A:$AC,11,FALSE)),""))</f>
        <v>8056.84</v>
      </c>
      <c r="K891" s="224">
        <f>(IF((VLOOKUP(Table10[[#This Row],[SKU]],'All Skus'!$A:$AC,2,FALSE))="Martin",(VLOOKUP(Table10[[#This Row],[SKU]],'All Skus'!$A:$AC,15,FALSE)),""))</f>
        <v>0</v>
      </c>
      <c r="L891" s="224">
        <f>(IF((VLOOKUP(Table10[[#This Row],[SKU]],'All Skus'!$A:$AC,2,FALSE))="Martin",(VLOOKUP(Table10[[#This Row],[SKU]],'All Skus'!$A:$AC,16,FALSE)),""))</f>
        <v>688705000688</v>
      </c>
      <c r="M891" s="224">
        <f>(IF((VLOOKUP(Table10[[#This Row],[SKU]],'All Skus'!$A:$AC,2,FALSE))="Martin",(VLOOKUP(Table10[[#This Row],[SKU]],'All Skus'!$A:$AC,17,FALSE)),""))</f>
        <v>0</v>
      </c>
      <c r="N891" s="227">
        <f>(IF((VLOOKUP(Table10[[#This Row],[SKU]],'All Skus'!$A:$AC,2,FALSE))="Martin",(VLOOKUP(Table10[[#This Row],[SKU]],'All Skus'!$A:$AC,18,FALSE)),""))</f>
        <v>0</v>
      </c>
      <c r="O891" s="227">
        <f>(IF((VLOOKUP(Table10[[#This Row],[SKU]],'All Skus'!$A:$AC,2,FALSE))="Martin",(VLOOKUP(Table10[[#This Row],[SKU]],'All Skus'!$A:$AC,19,FALSE)),""))</f>
        <v>0</v>
      </c>
      <c r="P891" s="227">
        <f>(IF((VLOOKUP(Table10[[#This Row],[SKU]],'All Skus'!$A:$AC,2,FALSE))="Martin",(VLOOKUP(Table10[[#This Row],[SKU]],'All Skus'!$A:$AC,20,FALSE)),""))</f>
        <v>0</v>
      </c>
      <c r="Q891" s="227">
        <f>(IF((VLOOKUP(Table10[[#This Row],[SKU]],'All Skus'!$A:$AC,2,FALSE))="Martin",(VLOOKUP(Table10[[#This Row],[SKU]],'All Skus'!$A:$AC,21,FALSE)),""))</f>
        <v>0</v>
      </c>
      <c r="R891" s="224" t="str">
        <f>(IF((VLOOKUP(Table10[[#This Row],[SKU]],'All Skus'!$A:$AC,2,FALSE))="Martin",(VLOOKUP(Table10[[#This Row],[SKU]],'All Skus'!$A:$AC,22,FALSE)),""))</f>
        <v>CN</v>
      </c>
      <c r="S891" s="223" t="str">
        <f>(IF((VLOOKUP(Table10[[#This Row],[SKU]],'All Skus'!$A:$AC,2,FALSE))="Martin",(VLOOKUP(Table10[[#This Row],[SKU]],'All Skus'!$A:$AC,23,FALSE)),""))</f>
        <v>Non Compliant</v>
      </c>
      <c r="T891" s="212" t="str">
        <f>HYPERLINK((IF((VLOOKUP(Table10[[#This Row],[SKU]],'All Skus'!$A:$AC,2,FALSE))="Martin",(VLOOKUP(Table10[[#This Row],[SKU]],'All Skus'!$A:$AC,24,FALSE)),"")))</f>
        <v/>
      </c>
      <c r="U891" s="228">
        <v>889</v>
      </c>
    </row>
    <row r="892" spans="1:23" hidden="1">
      <c r="A892" s="90">
        <v>90310044</v>
      </c>
      <c r="B892" s="224" t="str">
        <f>(IF((VLOOKUP(Table10[[#This Row],[SKU]],'All Skus'!$A:$AC,2,FALSE))="Martin",(VLOOKUP(Table10[[#This Row],[SKU]],'All Skus'!$A:$AC,3,FALSE)),""))</f>
        <v>DemoKits</v>
      </c>
      <c r="C892" s="223" t="str">
        <f>(IF((VLOOKUP(Table10[[#This Row],[SKU]],'All Skus'!$A:$AC,2,FALSE))="Martin",(VLOOKUP(Table10[[#This Row],[SKU]],'All Skus'!$A:$AC,4,FALSE)),""))</f>
        <v>EXTERIOR PROJECTION 500 DEMO KIT, US</v>
      </c>
      <c r="D892" s="224" t="str">
        <f>(IF((VLOOKUP(Table10[[#This Row],[SKU]],'All Skus'!$A:$AC,2,FALSE))="Martin",(VLOOKUP(Table10[[#This Row],[SKU]],'All Skus'!$A:$AC,5,FALSE)),""))</f>
        <v>EXT-PROJ</v>
      </c>
      <c r="E892" s="223">
        <f>(IF((VLOOKUP(Table10[[#This Row],[SKU]],'All Skus'!$A:$AC,2,FALSE))="Martin",(VLOOKUP(Table10[[#This Row],[SKU]],'All Skus'!$A:$AC,6,FALSE)),""))</f>
        <v>0</v>
      </c>
      <c r="F892" s="155" t="str">
        <f>(IF((VLOOKUP(Table10[[#This Row],[SKU]],'All Skus'!$A:$AC,2,FALSE))="Martin",(VLOOKUP(Table10[[#This Row],[SKU]],'All Skus'!$A:$AC,7,FALSE)),""))</f>
        <v>EOL soon – very limited availability</v>
      </c>
      <c r="G892" s="223" t="str">
        <f>(IF((VLOOKUP(Table10[[#This Row],[SKU]],'All Skus'!$A:$AC,2,FALSE))="Martin",(VLOOKUP(Table10[[#This Row],[SKU]],'All Skus'!$A:$AC,8,FALSE)),""))</f>
        <v>EXTERIOR PROJECTION 500 DEMO KIT, US</v>
      </c>
      <c r="H892" s="223" t="str">
        <f>(IF((VLOOKUP(Table10[[#This Row],[SKU]],'All Skus'!$A:$AC,2,FALSE))="Martin",(VLOOKUP(Table10[[#This Row],[SKU]],'All Skus'!$A:$AC,9,FALSE)),""))</f>
        <v>EXTERIOR PROJECTION 500 DEMO KIT, US</v>
      </c>
      <c r="I892" s="225">
        <f>(IF((VLOOKUP(Table10[[#This Row],[SKU]],'All Skus'!$A:$AC,2,FALSE))="Martin",(VLOOKUP(Table10[[#This Row],[SKU]],'All Skus'!$A:$AC,10,FALSE)),""))</f>
        <v>8056.84</v>
      </c>
      <c r="J892" s="226">
        <f>(IF((VLOOKUP(Table10[[#This Row],[SKU]],'All Skus'!$A:$AC,2,FALSE))="Martin",(VLOOKUP(Table10[[#This Row],[SKU]],'All Skus'!$A:$AC,11,FALSE)),""))</f>
        <v>8056.84</v>
      </c>
      <c r="K892" s="224">
        <f>(IF((VLOOKUP(Table10[[#This Row],[SKU]],'All Skus'!$A:$AC,2,FALSE))="Martin",(VLOOKUP(Table10[[#This Row],[SKU]],'All Skus'!$A:$AC,15,FALSE)),""))</f>
        <v>0</v>
      </c>
      <c r="L892" s="224">
        <f>(IF((VLOOKUP(Table10[[#This Row],[SKU]],'All Skus'!$A:$AC,2,FALSE))="Martin",(VLOOKUP(Table10[[#This Row],[SKU]],'All Skus'!$A:$AC,16,FALSE)),""))</f>
        <v>0</v>
      </c>
      <c r="M892" s="224">
        <f>(IF((VLOOKUP(Table10[[#This Row],[SKU]],'All Skus'!$A:$AC,2,FALSE))="Martin",(VLOOKUP(Table10[[#This Row],[SKU]],'All Skus'!$A:$AC,17,FALSE)),""))</f>
        <v>0</v>
      </c>
      <c r="N892" s="227">
        <f>(IF((VLOOKUP(Table10[[#This Row],[SKU]],'All Skus'!$A:$AC,2,FALSE))="Martin",(VLOOKUP(Table10[[#This Row],[SKU]],'All Skus'!$A:$AC,18,FALSE)),""))</f>
        <v>0</v>
      </c>
      <c r="O892" s="227">
        <f>(IF((VLOOKUP(Table10[[#This Row],[SKU]],'All Skus'!$A:$AC,2,FALSE))="Martin",(VLOOKUP(Table10[[#This Row],[SKU]],'All Skus'!$A:$AC,19,FALSE)),""))</f>
        <v>0</v>
      </c>
      <c r="P892" s="227">
        <f>(IF((VLOOKUP(Table10[[#This Row],[SKU]],'All Skus'!$A:$AC,2,FALSE))="Martin",(VLOOKUP(Table10[[#This Row],[SKU]],'All Skus'!$A:$AC,20,FALSE)),""))</f>
        <v>0</v>
      </c>
      <c r="Q892" s="227">
        <f>(IF((VLOOKUP(Table10[[#This Row],[SKU]],'All Skus'!$A:$AC,2,FALSE))="Martin",(VLOOKUP(Table10[[#This Row],[SKU]],'All Skus'!$A:$AC,21,FALSE)),""))</f>
        <v>0</v>
      </c>
      <c r="R892" s="224" t="str">
        <f>(IF((VLOOKUP(Table10[[#This Row],[SKU]],'All Skus'!$A:$AC,2,FALSE))="Martin",(VLOOKUP(Table10[[#This Row],[SKU]],'All Skus'!$A:$AC,22,FALSE)),""))</f>
        <v>CN</v>
      </c>
      <c r="S892" s="223" t="str">
        <f>(IF((VLOOKUP(Table10[[#This Row],[SKU]],'All Skus'!$A:$AC,2,FALSE))="Martin",(VLOOKUP(Table10[[#This Row],[SKU]],'All Skus'!$A:$AC,23,FALSE)),""))</f>
        <v>Non Compliant</v>
      </c>
      <c r="T892" s="212" t="str">
        <f>HYPERLINK((IF((VLOOKUP(Table10[[#This Row],[SKU]],'All Skus'!$A:$AC,2,FALSE))="Martin",(VLOOKUP(Table10[[#This Row],[SKU]],'All Skus'!$A:$AC,24,FALSE)),"")))</f>
        <v/>
      </c>
      <c r="U892" s="228">
        <v>890</v>
      </c>
    </row>
    <row r="893" spans="1:23" hidden="1">
      <c r="A893" s="90">
        <v>90310051</v>
      </c>
      <c r="B893" s="224" t="str">
        <f>(IF((VLOOKUP(Table10[[#This Row],[SKU]],'All Skus'!$A:$AC,2,FALSE))="Martin",(VLOOKUP(Table10[[#This Row],[SKU]],'All Skus'!$A:$AC,3,FALSE)),""))</f>
        <v>DemoKits</v>
      </c>
      <c r="C893" s="223" t="str">
        <f>(IF((VLOOKUP(Table10[[#This Row],[SKU]],'All Skus'!$A:$AC,2,FALSE))="Martin",(VLOOKUP(Table10[[#This Row],[SKU]],'All Skus'!$A:$AC,4,FALSE)),""))</f>
        <v>EXTERIOR PROJECTION 1000 DEMO KIT, EU</v>
      </c>
      <c r="D893" s="224" t="str">
        <f>(IF((VLOOKUP(Table10[[#This Row],[SKU]],'All Skus'!$A:$AC,2,FALSE))="Martin",(VLOOKUP(Table10[[#This Row],[SKU]],'All Skus'!$A:$AC,5,FALSE)),""))</f>
        <v>EXT-PROJ</v>
      </c>
      <c r="E893" s="223">
        <f>(IF((VLOOKUP(Table10[[#This Row],[SKU]],'All Skus'!$A:$AC,2,FALSE))="Martin",(VLOOKUP(Table10[[#This Row],[SKU]],'All Skus'!$A:$AC,6,FALSE)),""))</f>
        <v>0</v>
      </c>
      <c r="F893" s="155" t="str">
        <f>(IF((VLOOKUP(Table10[[#This Row],[SKU]],'All Skus'!$A:$AC,2,FALSE))="Martin",(VLOOKUP(Table10[[#This Row],[SKU]],'All Skus'!$A:$AC,7,FALSE)),""))</f>
        <v>EOL soon – very limited availability</v>
      </c>
      <c r="G893" s="223" t="str">
        <f>(IF((VLOOKUP(Table10[[#This Row],[SKU]],'All Skus'!$A:$AC,2,FALSE))="Martin",(VLOOKUP(Table10[[#This Row],[SKU]],'All Skus'!$A:$AC,8,FALSE)),""))</f>
        <v>EXTERIOR PROJECTION 1000 DEMO KIT, EU</v>
      </c>
      <c r="H893" s="223" t="str">
        <f>(IF((VLOOKUP(Table10[[#This Row],[SKU]],'All Skus'!$A:$AC,2,FALSE))="Martin",(VLOOKUP(Table10[[#This Row],[SKU]],'All Skus'!$A:$AC,9,FALSE)),""))</f>
        <v>EXTERIOR PROJECTION 1000 DEMO KIT, EU</v>
      </c>
      <c r="I893" s="225">
        <f>(IF((VLOOKUP(Table10[[#This Row],[SKU]],'All Skus'!$A:$AC,2,FALSE))="Martin",(VLOOKUP(Table10[[#This Row],[SKU]],'All Skus'!$A:$AC,10,FALSE)),""))</f>
        <v>22844.37</v>
      </c>
      <c r="J893" s="226">
        <f>(IF((VLOOKUP(Table10[[#This Row],[SKU]],'All Skus'!$A:$AC,2,FALSE))="Martin",(VLOOKUP(Table10[[#This Row],[SKU]],'All Skus'!$A:$AC,11,FALSE)),""))</f>
        <v>22844.37</v>
      </c>
      <c r="K893" s="224">
        <f>(IF((VLOOKUP(Table10[[#This Row],[SKU]],'All Skus'!$A:$AC,2,FALSE))="Martin",(VLOOKUP(Table10[[#This Row],[SKU]],'All Skus'!$A:$AC,15,FALSE)),""))</f>
        <v>0</v>
      </c>
      <c r="L893" s="224">
        <f>(IF((VLOOKUP(Table10[[#This Row],[SKU]],'All Skus'!$A:$AC,2,FALSE))="Martin",(VLOOKUP(Table10[[#This Row],[SKU]],'All Skus'!$A:$AC,16,FALSE)),""))</f>
        <v>5706681237791</v>
      </c>
      <c r="M893" s="224">
        <f>(IF((VLOOKUP(Table10[[#This Row],[SKU]],'All Skus'!$A:$AC,2,FALSE))="Martin",(VLOOKUP(Table10[[#This Row],[SKU]],'All Skus'!$A:$AC,17,FALSE)),""))</f>
        <v>0</v>
      </c>
      <c r="N893" s="227">
        <f>(IF((VLOOKUP(Table10[[#This Row],[SKU]],'All Skus'!$A:$AC,2,FALSE))="Martin",(VLOOKUP(Table10[[#This Row],[SKU]],'All Skus'!$A:$AC,18,FALSE)),""))</f>
        <v>0</v>
      </c>
      <c r="O893" s="227">
        <f>(IF((VLOOKUP(Table10[[#This Row],[SKU]],'All Skus'!$A:$AC,2,FALSE))="Martin",(VLOOKUP(Table10[[#This Row],[SKU]],'All Skus'!$A:$AC,19,FALSE)),""))</f>
        <v>0</v>
      </c>
      <c r="P893" s="227">
        <f>(IF((VLOOKUP(Table10[[#This Row],[SKU]],'All Skus'!$A:$AC,2,FALSE))="Martin",(VLOOKUP(Table10[[#This Row],[SKU]],'All Skus'!$A:$AC,20,FALSE)),""))</f>
        <v>0</v>
      </c>
      <c r="Q893" s="227">
        <f>(IF((VLOOKUP(Table10[[#This Row],[SKU]],'All Skus'!$A:$AC,2,FALSE))="Martin",(VLOOKUP(Table10[[#This Row],[SKU]],'All Skus'!$A:$AC,21,FALSE)),""))</f>
        <v>0</v>
      </c>
      <c r="R893" s="224" t="str">
        <f>(IF((VLOOKUP(Table10[[#This Row],[SKU]],'All Skus'!$A:$AC,2,FALSE))="Martin",(VLOOKUP(Table10[[#This Row],[SKU]],'All Skus'!$A:$AC,22,FALSE)),""))</f>
        <v>CN</v>
      </c>
      <c r="S893" s="223" t="str">
        <f>(IF((VLOOKUP(Table10[[#This Row],[SKU]],'All Skus'!$A:$AC,2,FALSE))="Martin",(VLOOKUP(Table10[[#This Row],[SKU]],'All Skus'!$A:$AC,23,FALSE)),""))</f>
        <v>Non Compliant</v>
      </c>
      <c r="T893" s="212" t="str">
        <f>HYPERLINK((IF((VLOOKUP(Table10[[#This Row],[SKU]],'All Skus'!$A:$AC,2,FALSE))="Martin",(VLOOKUP(Table10[[#This Row],[SKU]],'All Skus'!$A:$AC,24,FALSE)),"")))</f>
        <v/>
      </c>
      <c r="U893" s="228">
        <v>891</v>
      </c>
    </row>
    <row r="894" spans="1:23" hidden="1">
      <c r="A894" s="90">
        <v>90310052</v>
      </c>
      <c r="B894" s="224">
        <f>(IF((VLOOKUP(Table10[[#This Row],[SKU]],'All Skus'!$A:$AC,2,FALSE))="Martin",(VLOOKUP(Table10[[#This Row],[SKU]],'All Skus'!$A:$AC,3,FALSE)),""))</f>
        <v>0</v>
      </c>
      <c r="C894" s="223" t="str">
        <f>(IF((VLOOKUP(Table10[[#This Row],[SKU]],'All Skus'!$A:$AC,2,FALSE))="Martin",(VLOOKUP(Table10[[#This Row],[SKU]],'All Skus'!$A:$AC,4,FALSE)),""))</f>
        <v>EXTERIOR PROJECTION 1000 DEMO KIT, US</v>
      </c>
      <c r="D894" s="224" t="str">
        <f>(IF((VLOOKUP(Table10[[#This Row],[SKU]],'All Skus'!$A:$AC,2,FALSE))="Martin",(VLOOKUP(Table10[[#This Row],[SKU]],'All Skus'!$A:$AC,5,FALSE)),""))</f>
        <v>EXT-PROJ</v>
      </c>
      <c r="E894" s="223">
        <f>(IF((VLOOKUP(Table10[[#This Row],[SKU]],'All Skus'!$A:$AC,2,FALSE))="Martin",(VLOOKUP(Table10[[#This Row],[SKU]],'All Skus'!$A:$AC,6,FALSE)),""))</f>
        <v>0</v>
      </c>
      <c r="F894" s="155" t="str">
        <f>(IF((VLOOKUP(Table10[[#This Row],[SKU]],'All Skus'!$A:$AC,2,FALSE))="Martin",(VLOOKUP(Table10[[#This Row],[SKU]],'All Skus'!$A:$AC,7,FALSE)),""))</f>
        <v>EOL soon – very limited availability</v>
      </c>
      <c r="G894" s="223" t="str">
        <f>(IF((VLOOKUP(Table10[[#This Row],[SKU]],'All Skus'!$A:$AC,2,FALSE))="Martin",(VLOOKUP(Table10[[#This Row],[SKU]],'All Skus'!$A:$AC,8,FALSE)),""))</f>
        <v>EXTERIOR PROJECTION 1000 DEMO KIT, US</v>
      </c>
      <c r="H894" s="223" t="str">
        <f>(IF((VLOOKUP(Table10[[#This Row],[SKU]],'All Skus'!$A:$AC,2,FALSE))="Martin",(VLOOKUP(Table10[[#This Row],[SKU]],'All Skus'!$A:$AC,9,FALSE)),""))</f>
        <v>EXTERIOR PROJECTION 1000 DEMO KIT, US</v>
      </c>
      <c r="I894" s="225">
        <f>(IF((VLOOKUP(Table10[[#This Row],[SKU]],'All Skus'!$A:$AC,2,FALSE))="Martin",(VLOOKUP(Table10[[#This Row],[SKU]],'All Skus'!$A:$AC,10,FALSE)),""))</f>
        <v>22844.37</v>
      </c>
      <c r="J894" s="226">
        <f>(IF((VLOOKUP(Table10[[#This Row],[SKU]],'All Skus'!$A:$AC,2,FALSE))="Martin",(VLOOKUP(Table10[[#This Row],[SKU]],'All Skus'!$A:$AC,11,FALSE)),""))</f>
        <v>22844.37</v>
      </c>
      <c r="K894" s="224">
        <f>(IF((VLOOKUP(Table10[[#This Row],[SKU]],'All Skus'!$A:$AC,2,FALSE))="Martin",(VLOOKUP(Table10[[#This Row],[SKU]],'All Skus'!$A:$AC,15,FALSE)),""))</f>
        <v>0</v>
      </c>
      <c r="L894" s="224">
        <f>(IF((VLOOKUP(Table10[[#This Row],[SKU]],'All Skus'!$A:$AC,2,FALSE))="Martin",(VLOOKUP(Table10[[#This Row],[SKU]],'All Skus'!$A:$AC,16,FALSE)),""))</f>
        <v>5706681237807</v>
      </c>
      <c r="M894" s="224">
        <f>(IF((VLOOKUP(Table10[[#This Row],[SKU]],'All Skus'!$A:$AC,2,FALSE))="Martin",(VLOOKUP(Table10[[#This Row],[SKU]],'All Skus'!$A:$AC,17,FALSE)),""))</f>
        <v>0</v>
      </c>
      <c r="N894" s="227">
        <f>(IF((VLOOKUP(Table10[[#This Row],[SKU]],'All Skus'!$A:$AC,2,FALSE))="Martin",(VLOOKUP(Table10[[#This Row],[SKU]],'All Skus'!$A:$AC,18,FALSE)),""))</f>
        <v>0</v>
      </c>
      <c r="O894" s="227">
        <f>(IF((VLOOKUP(Table10[[#This Row],[SKU]],'All Skus'!$A:$AC,2,FALSE))="Martin",(VLOOKUP(Table10[[#This Row],[SKU]],'All Skus'!$A:$AC,19,FALSE)),""))</f>
        <v>0</v>
      </c>
      <c r="P894" s="227">
        <f>(IF((VLOOKUP(Table10[[#This Row],[SKU]],'All Skus'!$A:$AC,2,FALSE))="Martin",(VLOOKUP(Table10[[#This Row],[SKU]],'All Skus'!$A:$AC,20,FALSE)),""))</f>
        <v>0</v>
      </c>
      <c r="Q894" s="227">
        <f>(IF((VLOOKUP(Table10[[#This Row],[SKU]],'All Skus'!$A:$AC,2,FALSE))="Martin",(VLOOKUP(Table10[[#This Row],[SKU]],'All Skus'!$A:$AC,21,FALSE)),""))</f>
        <v>0</v>
      </c>
      <c r="R894" s="224">
        <f>(IF((VLOOKUP(Table10[[#This Row],[SKU]],'All Skus'!$A:$AC,2,FALSE))="Martin",(VLOOKUP(Table10[[#This Row],[SKU]],'All Skus'!$A:$AC,22,FALSE)),""))</f>
        <v>0</v>
      </c>
      <c r="S894" s="223">
        <f>(IF((VLOOKUP(Table10[[#This Row],[SKU]],'All Skus'!$A:$AC,2,FALSE))="Martin",(VLOOKUP(Table10[[#This Row],[SKU]],'All Skus'!$A:$AC,23,FALSE)),""))</f>
        <v>0</v>
      </c>
      <c r="T894" s="212" t="str">
        <f>HYPERLINK((IF((VLOOKUP(Table10[[#This Row],[SKU]],'All Skus'!$A:$AC,2,FALSE))="Martin",(VLOOKUP(Table10[[#This Row],[SKU]],'All Skus'!$A:$AC,24,FALSE)),"")))</f>
        <v/>
      </c>
      <c r="U894" s="228">
        <v>892</v>
      </c>
    </row>
    <row r="895" spans="1:23" hidden="1">
      <c r="A895" s="115" t="s">
        <v>2383</v>
      </c>
      <c r="B895" s="224">
        <f>(IF((VLOOKUP(Table10[[#This Row],[SKU]],'All Skus'!$A:$AC,2,FALSE))="Martin",(VLOOKUP(Table10[[#This Row],[SKU]],'All Skus'!$A:$AC,3,FALSE)),""))</f>
        <v>0</v>
      </c>
      <c r="C895" s="223">
        <f>(IF((VLOOKUP(Table10[[#This Row],[SKU]],'All Skus'!$A:$AC,2,FALSE))="Martin",(VLOOKUP(Table10[[#This Row],[SKU]],'All Skus'!$A:$AC,4,FALSE)),""))</f>
        <v>0</v>
      </c>
      <c r="D895" s="224">
        <f>(IF((VLOOKUP(Table10[[#This Row],[SKU]],'All Skus'!$A:$AC,2,FALSE))="Martin",(VLOOKUP(Table10[[#This Row],[SKU]],'All Skus'!$A:$AC,5,FALSE)),""))</f>
        <v>0</v>
      </c>
      <c r="E895" s="223">
        <f>(IF((VLOOKUP(Table10[[#This Row],[SKU]],'All Skus'!$A:$AC,2,FALSE))="Martin",(VLOOKUP(Table10[[#This Row],[SKU]],'All Skus'!$A:$AC,6,FALSE)),""))</f>
        <v>0</v>
      </c>
      <c r="F895" s="155">
        <f>(IF((VLOOKUP(Table10[[#This Row],[SKU]],'All Skus'!$A:$AC,2,FALSE))="Martin",(VLOOKUP(Table10[[#This Row],[SKU]],'All Skus'!$A:$AC,7,FALSE)),""))</f>
        <v>0</v>
      </c>
      <c r="G895" s="223">
        <f>(IF((VLOOKUP(Table10[[#This Row],[SKU]],'All Skus'!$A:$AC,2,FALSE))="Martin",(VLOOKUP(Table10[[#This Row],[SKU]],'All Skus'!$A:$AC,8,FALSE)),""))</f>
        <v>0</v>
      </c>
      <c r="H895" s="223">
        <f>(IF((VLOOKUP(Table10[[#This Row],[SKU]],'All Skus'!$A:$AC,2,FALSE))="Martin",(VLOOKUP(Table10[[#This Row],[SKU]],'All Skus'!$A:$AC,9,FALSE)),""))</f>
        <v>0</v>
      </c>
      <c r="I895" s="225">
        <f>(IF((VLOOKUP(Table10[[#This Row],[SKU]],'All Skus'!$A:$AC,2,FALSE))="Martin",(VLOOKUP(Table10[[#This Row],[SKU]],'All Skus'!$A:$AC,10,FALSE)),""))</f>
        <v>0</v>
      </c>
      <c r="J895" s="226">
        <f>(IF((VLOOKUP(Table10[[#This Row],[SKU]],'All Skus'!$A:$AC,2,FALSE))="Martin",(VLOOKUP(Table10[[#This Row],[SKU]],'All Skus'!$A:$AC,11,FALSE)),""))</f>
        <v>0</v>
      </c>
      <c r="K895" s="224">
        <f>(IF((VLOOKUP(Table10[[#This Row],[SKU]],'All Skus'!$A:$AC,2,FALSE))="Martin",(VLOOKUP(Table10[[#This Row],[SKU]],'All Skus'!$A:$AC,15,FALSE)),""))</f>
        <v>0</v>
      </c>
      <c r="L895" s="224">
        <f>(IF((VLOOKUP(Table10[[#This Row],[SKU]],'All Skus'!$A:$AC,2,FALSE))="Martin",(VLOOKUP(Table10[[#This Row],[SKU]],'All Skus'!$A:$AC,16,FALSE)),""))</f>
        <v>0</v>
      </c>
      <c r="M895" s="224">
        <f>(IF((VLOOKUP(Table10[[#This Row],[SKU]],'All Skus'!$A:$AC,2,FALSE))="Martin",(VLOOKUP(Table10[[#This Row],[SKU]],'All Skus'!$A:$AC,17,FALSE)),""))</f>
        <v>0</v>
      </c>
      <c r="N895" s="227">
        <f>(IF((VLOOKUP(Table10[[#This Row],[SKU]],'All Skus'!$A:$AC,2,FALSE))="Martin",(VLOOKUP(Table10[[#This Row],[SKU]],'All Skus'!$A:$AC,18,FALSE)),""))</f>
        <v>0</v>
      </c>
      <c r="O895" s="227">
        <f>(IF((VLOOKUP(Table10[[#This Row],[SKU]],'All Skus'!$A:$AC,2,FALSE))="Martin",(VLOOKUP(Table10[[#This Row],[SKU]],'All Skus'!$A:$AC,19,FALSE)),""))</f>
        <v>0</v>
      </c>
      <c r="P895" s="227">
        <f>(IF((VLOOKUP(Table10[[#This Row],[SKU]],'All Skus'!$A:$AC,2,FALSE))="Martin",(VLOOKUP(Table10[[#This Row],[SKU]],'All Skus'!$A:$AC,20,FALSE)),""))</f>
        <v>0</v>
      </c>
      <c r="Q895" s="227">
        <f>(IF((VLOOKUP(Table10[[#This Row],[SKU]],'All Skus'!$A:$AC,2,FALSE))="Martin",(VLOOKUP(Table10[[#This Row],[SKU]],'All Skus'!$A:$AC,21,FALSE)),""))</f>
        <v>0</v>
      </c>
      <c r="R895" s="224">
        <f>(IF((VLOOKUP(Table10[[#This Row],[SKU]],'All Skus'!$A:$AC,2,FALSE))="Martin",(VLOOKUP(Table10[[#This Row],[SKU]],'All Skus'!$A:$AC,22,FALSE)),""))</f>
        <v>0</v>
      </c>
      <c r="S895" s="223">
        <f>(IF((VLOOKUP(Table10[[#This Row],[SKU]],'All Skus'!$A:$AC,2,FALSE))="Martin",(VLOOKUP(Table10[[#This Row],[SKU]],'All Skus'!$A:$AC,23,FALSE)),""))</f>
        <v>0</v>
      </c>
      <c r="T895" s="212" t="str">
        <f>HYPERLINK((IF((VLOOKUP(Table10[[#This Row],[SKU]],'All Skus'!$A:$AC,2,FALSE))="Martin",(VLOOKUP(Table10[[#This Row],[SKU]],'All Skus'!$A:$AC,24,FALSE)),"")))</f>
        <v/>
      </c>
      <c r="U895" s="228">
        <v>893</v>
      </c>
    </row>
    <row r="896" spans="1:23" s="233" customFormat="1" ht="15" hidden="1" customHeight="1">
      <c r="A896" s="232" t="s">
        <v>2384</v>
      </c>
      <c r="B896" s="224" t="str">
        <f>(IF((VLOOKUP(Table10[[#This Row],[SKU]],'All Skus'!$A:$AC,2,FALSE))="Martin",(VLOOKUP(Table10[[#This Row],[SKU]],'All Skus'!$A:$AC,3,FALSE)),""))</f>
        <v>DemoKits</v>
      </c>
      <c r="C896" s="223" t="str">
        <f>(IF((VLOOKUP(Table10[[#This Row],[SKU]],'All Skus'!$A:$AC,2,FALSE))="Martin",(VLOOKUP(Table10[[#This Row],[SKU]],'All Skus'!$A:$AC,4,FALSE)),""))</f>
        <v>Exterior Linear Pro Demokit</v>
      </c>
      <c r="D896" s="224" t="str">
        <f>(IF((VLOOKUP(Table10[[#This Row],[SKU]],'All Skus'!$A:$AC,2,FALSE))="Martin",(VLOOKUP(Table10[[#This Row],[SKU]],'All Skus'!$A:$AC,5,FALSE)),""))</f>
        <v>EXT-PROJ</v>
      </c>
      <c r="E896" s="223">
        <f>(IF((VLOOKUP(Table10[[#This Row],[SKU]],'All Skus'!$A:$AC,2,FALSE))="Martin",(VLOOKUP(Table10[[#This Row],[SKU]],'All Skus'!$A:$AC,6,FALSE)),""))</f>
        <v>0</v>
      </c>
      <c r="F896" s="155" t="str">
        <f>(IF((VLOOKUP(Table10[[#This Row],[SKU]],'All Skus'!$A:$AC,2,FALSE))="Martin",(VLOOKUP(Table10[[#This Row],[SKU]],'All Skus'!$A:$AC,7,FALSE)),""))</f>
        <v>NEW SKU</v>
      </c>
      <c r="G896" s="223" t="str">
        <f>(IF((VLOOKUP(Table10[[#This Row],[SKU]],'All Skus'!$A:$AC,2,FALSE))="Martin",(VLOOKUP(Table10[[#This Row],[SKU]],'All Skus'!$A:$AC,8,FALSE)),""))</f>
        <v>EXTERIOR LINEAR PRO DEMOKIT</v>
      </c>
      <c r="H896" s="223" t="str">
        <f>(IF((VLOOKUP(Table10[[#This Row],[SKU]],'All Skus'!$A:$AC,2,FALSE))="Martin",(VLOOKUP(Table10[[#This Row],[SKU]],'All Skus'!$A:$AC,9,FALSE)),""))</f>
        <v>EXTERIOR LINEAR PRO DEMOKIT</v>
      </c>
      <c r="I896" s="225">
        <f>(IF((VLOOKUP(Table10[[#This Row],[SKU]],'All Skus'!$A:$AC,2,FALSE))="Martin",(VLOOKUP(Table10[[#This Row],[SKU]],'All Skus'!$A:$AC,10,FALSE)),""))</f>
        <v>3950</v>
      </c>
      <c r="J896" s="226">
        <f>(IF((VLOOKUP(Table10[[#This Row],[SKU]],'All Skus'!$A:$AC,2,FALSE))="Martin",(VLOOKUP(Table10[[#This Row],[SKU]],'All Skus'!$A:$AC,11,FALSE)),""))</f>
        <v>3950</v>
      </c>
      <c r="K896" s="224">
        <f>(IF((VLOOKUP(Table10[[#This Row],[SKU]],'All Skus'!$A:$AC,2,FALSE))="Martin",(VLOOKUP(Table10[[#This Row],[SKU]],'All Skus'!$A:$AC,15,FALSE)),""))</f>
        <v>0</v>
      </c>
      <c r="L896" s="224">
        <f>(IF((VLOOKUP(Table10[[#This Row],[SKU]],'All Skus'!$A:$AC,2,FALSE))="Martin",(VLOOKUP(Table10[[#This Row],[SKU]],'All Skus'!$A:$AC,16,FALSE)),""))</f>
        <v>688705008639</v>
      </c>
      <c r="M896" s="224">
        <f>(IF((VLOOKUP(Table10[[#This Row],[SKU]],'All Skus'!$A:$AC,2,FALSE))="Martin",(VLOOKUP(Table10[[#This Row],[SKU]],'All Skus'!$A:$AC,17,FALSE)),""))</f>
        <v>0</v>
      </c>
      <c r="N896" s="227">
        <f>(IF((VLOOKUP(Table10[[#This Row],[SKU]],'All Skus'!$A:$AC,2,FALSE))="Martin",(VLOOKUP(Table10[[#This Row],[SKU]],'All Skus'!$A:$AC,18,FALSE)),""))</f>
        <v>0</v>
      </c>
      <c r="O896" s="227">
        <f>(IF((VLOOKUP(Table10[[#This Row],[SKU]],'All Skus'!$A:$AC,2,FALSE))="Martin",(VLOOKUP(Table10[[#This Row],[SKU]],'All Skus'!$A:$AC,19,FALSE)),""))</f>
        <v>0</v>
      </c>
      <c r="P896" s="227">
        <f>(IF((VLOOKUP(Table10[[#This Row],[SKU]],'All Skus'!$A:$AC,2,FALSE))="Martin",(VLOOKUP(Table10[[#This Row],[SKU]],'All Skus'!$A:$AC,20,FALSE)),""))</f>
        <v>0</v>
      </c>
      <c r="Q896" s="227">
        <f>(IF((VLOOKUP(Table10[[#This Row],[SKU]],'All Skus'!$A:$AC,2,FALSE))="Martin",(VLOOKUP(Table10[[#This Row],[SKU]],'All Skus'!$A:$AC,21,FALSE)),""))</f>
        <v>0</v>
      </c>
      <c r="R896" s="224" t="str">
        <f>(IF((VLOOKUP(Table10[[#This Row],[SKU]],'All Skus'!$A:$AC,2,FALSE))="Martin",(VLOOKUP(Table10[[#This Row],[SKU]],'All Skus'!$A:$AC,22,FALSE)),""))</f>
        <v>CN</v>
      </c>
      <c r="S896" s="223" t="str">
        <f>(IF((VLOOKUP(Table10[[#This Row],[SKU]],'All Skus'!$A:$AC,2,FALSE))="Martin",(VLOOKUP(Table10[[#This Row],[SKU]],'All Skus'!$A:$AC,23,FALSE)),""))</f>
        <v>Non Compliant</v>
      </c>
      <c r="T896" s="212" t="str">
        <f>HYPERLINK((IF((VLOOKUP(Table10[[#This Row],[SKU]],'All Skus'!$A:$AC,2,FALSE))="Martin",(VLOOKUP(Table10[[#This Row],[SKU]],'All Skus'!$A:$AC,24,FALSE)),"")))</f>
        <v/>
      </c>
      <c r="U896" s="228">
        <v>894</v>
      </c>
      <c r="V896" s="223"/>
      <c r="W896" s="223"/>
    </row>
    <row r="897" spans="1:23" ht="15" customHeight="1">
      <c r="A897" s="233"/>
      <c r="B897" s="234"/>
      <c r="C897" s="233"/>
      <c r="D897" s="234"/>
      <c r="E897" s="233"/>
      <c r="F897" s="233"/>
      <c r="G897" s="233"/>
      <c r="H897" s="233"/>
      <c r="K897" s="234"/>
      <c r="L897" s="234"/>
      <c r="M897" s="234"/>
      <c r="N897" s="235"/>
      <c r="O897" s="235"/>
      <c r="P897" s="235"/>
      <c r="Q897" s="235"/>
      <c r="R897" s="234"/>
      <c r="S897" s="233"/>
      <c r="T897" s="233"/>
      <c r="U897" s="234"/>
      <c r="V897" s="233"/>
      <c r="W897" s="233"/>
    </row>
  </sheetData>
  <conditionalFormatting sqref="A1:XFD1048576">
    <cfRule type="cellIs" dxfId="21" priority="2" operator="equal">
      <formula>0</formula>
    </cfRule>
  </conditionalFormatting>
  <pageMargins left="0.7" right="0.7" top="0.75" bottom="0.75" header="0.3" footer="0.3"/>
  <pageSetup orientation="portrait" horizontalDpi="4294967295" verticalDpi="4294967295" r:id="rId1"/>
  <customProperties>
    <customPr name="EpmWorksheetKeyString_GUID" r:id="rId2"/>
  </customProperties>
  <drawing r:id="rId3"/>
  <tableParts count="1">
    <tablePart r:id="rId4"/>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32BD-518B-458B-BC68-C054A8CA6989}">
  <dimension ref="A1:V885"/>
  <sheetViews>
    <sheetView tabSelected="1" zoomScale="75" zoomScaleNormal="75" workbookViewId="0">
      <pane xSplit="1" ySplit="1" topLeftCell="H2" activePane="bottomRight" state="frozen"/>
      <selection pane="topRight" activeCell="D35" sqref="D35"/>
      <selection pane="bottomLeft" activeCell="D35" sqref="D35"/>
      <selection pane="bottomRight" activeCell="K1" sqref="K1:K1048576"/>
    </sheetView>
  </sheetViews>
  <sheetFormatPr defaultColWidth="8.85546875" defaultRowHeight="15"/>
  <cols>
    <col min="1" max="1" width="19.140625" style="18" bestFit="1" customWidth="1"/>
    <col min="2" max="2" width="51.140625" style="20" bestFit="1" customWidth="1"/>
    <col min="3" max="3" width="20.85546875" style="21" bestFit="1" customWidth="1"/>
    <col min="4" max="4" width="20.85546875" style="19" bestFit="1" customWidth="1"/>
    <col min="5" max="5" width="19.42578125" style="19" bestFit="1" customWidth="1"/>
    <col min="6" max="6" width="16.5703125" style="20" bestFit="1" customWidth="1"/>
    <col min="7" max="7" width="43.5703125" style="20" customWidth="1"/>
    <col min="8" max="8" width="38.140625" style="22" customWidth="1"/>
    <col min="9" max="10" width="13" style="53" customWidth="1"/>
    <col min="11" max="11" width="15.140625" style="272" bestFit="1" customWidth="1"/>
    <col min="12" max="12" width="11" style="20" bestFit="1" customWidth="1"/>
    <col min="13" max="16" width="14.140625" style="239" customWidth="1"/>
    <col min="17" max="17" width="11.140625" style="61" bestFit="1" customWidth="1"/>
    <col min="18" max="18" width="20.5703125" style="61" bestFit="1" customWidth="1"/>
    <col min="19" max="19" width="53.28515625" customWidth="1"/>
    <col min="20" max="20" width="15.140625" bestFit="1" customWidth="1"/>
  </cols>
  <sheetData>
    <row r="1" spans="1:22" s="67" customFormat="1" ht="62.25" customHeight="1">
      <c r="A1" s="79"/>
      <c r="B1" s="80"/>
      <c r="C1" s="80"/>
      <c r="D1" s="81"/>
      <c r="E1" s="81"/>
      <c r="F1" s="80"/>
      <c r="G1" s="71"/>
      <c r="H1" s="72"/>
      <c r="I1" s="72"/>
      <c r="J1" s="72"/>
      <c r="K1" s="82"/>
      <c r="L1" s="83"/>
      <c r="M1" s="238"/>
      <c r="N1" s="238"/>
      <c r="O1" s="238"/>
      <c r="P1" s="238"/>
      <c r="Q1" s="65"/>
      <c r="R1" s="65"/>
    </row>
    <row r="2" spans="1:22" ht="35.25" customHeight="1">
      <c r="A2" s="100" t="s">
        <v>138</v>
      </c>
      <c r="B2" s="75" t="s">
        <v>139</v>
      </c>
      <c r="C2" s="75" t="s">
        <v>140</v>
      </c>
      <c r="D2" s="75" t="s">
        <v>141</v>
      </c>
      <c r="E2" s="75" t="s">
        <v>142</v>
      </c>
      <c r="F2" s="75" t="s">
        <v>143</v>
      </c>
      <c r="G2" s="75" t="s">
        <v>144</v>
      </c>
      <c r="H2" s="75" t="s">
        <v>145</v>
      </c>
      <c r="I2" s="87" t="s">
        <v>146</v>
      </c>
      <c r="J2" s="87" t="s">
        <v>808</v>
      </c>
      <c r="K2" s="88" t="s">
        <v>150</v>
      </c>
      <c r="L2" s="88" t="s">
        <v>151</v>
      </c>
      <c r="M2" s="237" t="s">
        <v>152</v>
      </c>
      <c r="N2" s="237" t="s">
        <v>153</v>
      </c>
      <c r="O2" s="237" t="s">
        <v>154</v>
      </c>
      <c r="P2" s="237" t="s">
        <v>155</v>
      </c>
      <c r="Q2" s="145" t="s">
        <v>2385</v>
      </c>
      <c r="R2" s="75" t="s">
        <v>157</v>
      </c>
      <c r="S2" s="75" t="s">
        <v>158</v>
      </c>
      <c r="T2" s="145" t="s">
        <v>159</v>
      </c>
      <c r="U2" s="84"/>
      <c r="V2" s="84"/>
    </row>
    <row r="3" spans="1:22" ht="15" customHeight="1">
      <c r="A3" s="158" t="s">
        <v>2386</v>
      </c>
      <c r="B3" s="159" t="str">
        <f>(IF((VLOOKUP(Table11[[#This Row],[SKU]],'All Skus'!$A:$AC,2,FALSE))="Soundcraft",(VLOOKUP(Table11[[#This Row],[SKU]],'All Skus'!$A:$AC,3,FALSE)),""))</f>
        <v>Notepad Series</v>
      </c>
      <c r="C3" s="21" t="str">
        <f>(IF((VLOOKUP(Table11[[#This Row],[SKU]],'All Skus'!$A:$AC,2,FALSE))="Soundcraft",(VLOOKUP(Table11[[#This Row],[SKU]],'All Skus'!$A:$AC,4,FALSE)),""))</f>
        <v>5085980US</v>
      </c>
      <c r="D3" s="19" t="str">
        <f>(IF((VLOOKUP(Table11[[#This Row],[SKU]],'All Skus'!$A:$AC,2,FALSE))="Soundcraft",(VLOOKUP(Table11[[#This Row],[SKU]],'All Skus'!$A:$AC,5,FALSE)),""))</f>
        <v>SC-SML CO</v>
      </c>
      <c r="E3" s="19">
        <f>(IF((VLOOKUP(Table11[[#This Row],[SKU]],'All Skus'!$A:$AC,2,FALSE))="Soundcraft",(VLOOKUP(Table11[[#This Row],[SKU]],'All Skus'!$A:$AC,6,FALSE)),""))</f>
        <v>0</v>
      </c>
      <c r="F3" s="18">
        <f>(IF((VLOOKUP(Table11[[#This Row],[SKU]],'All Skus'!$A:$AC,2,FALSE))="Soundcraft",(VLOOKUP(Table11[[#This Row],[SKU]],'All Skus'!$A:$AC,7,FALSE)),""))</f>
        <v>0</v>
      </c>
      <c r="G3" s="22" t="str">
        <f>(IF((VLOOKUP(Table11[[#This Row],[SKU]],'All Skus'!$A:$AC,2,FALSE))="Soundcraft",(VLOOKUP(Table11[[#This Row],[SKU]],'All Skus'!$A:$AC,8,FALSE)),""))</f>
        <v>Notepad-5</v>
      </c>
      <c r="H3" s="22" t="str">
        <f>(IF((VLOOKUP(Table11[[#This Row],[SKU]],'All Skus'!$A:$AC,2,FALSE))="Soundcraft",(VLOOKUP(Table11[[#This Row],[SKU]],'All Skus'!$A:$AC,9,FALSE)),""))</f>
        <v>Notepad-5</v>
      </c>
      <c r="I3" s="157">
        <f>(IF((VLOOKUP(Table11[[#This Row],[SKU]],'All Skus'!$A:$AC,2,FALSE))="Soundcraft",(VLOOKUP(Table11[[#This Row],[SKU]],'All Skus'!$A:$AC,10,FALSE)),""))</f>
        <v>163.56</v>
      </c>
      <c r="J3" s="157">
        <f>(IF((VLOOKUP(Table11[[#This Row],[SKU]],'All Skus'!$A:$AC,2,FALSE))="Soundcraft",(VLOOKUP(Table11[[#This Row],[SKU]],'All Skus'!$A:$AC,11,FALSE)),""))</f>
        <v>129</v>
      </c>
      <c r="K3" s="271">
        <f>(IF((VLOOKUP(Table11[[#This Row],[SKU]],'All Skus'!$A:$AC,2,FALSE))="Soundcraft",(VLOOKUP(Table11[[#This Row],[SKU]],'All Skus'!$A:$AC,16,FALSE)),""))</f>
        <v>688705006642</v>
      </c>
      <c r="L3" s="239">
        <f>(IF((VLOOKUP(Table11[[#This Row],[SKU]],'All Skus'!$A:$AC,2,FALSE))="Soundcraft",(VLOOKUP(Table11[[#This Row],[SKU]],'All Skus'!$A:$AC,17,FALSE)),""))</f>
        <v>0</v>
      </c>
      <c r="M3" s="239">
        <f>(IF((VLOOKUP(Table11[[#This Row],[SKU]],'All Skus'!$A:$AC,2,FALSE))="Soundcraft",(VLOOKUP(Table11[[#This Row],[SKU]],'All Skus'!$A:$AC,18,FALSE)),""))</f>
        <v>25</v>
      </c>
      <c r="N3" s="147">
        <f>(IF((VLOOKUP(Table11[[#This Row],[SKU]],'All Skus'!$A:$AC,2,FALSE))="Soundcraft",(VLOOKUP(Table11[[#This Row],[SKU]],'All Skus'!$A:$AC,19,FALSE)),""))</f>
        <v>19</v>
      </c>
      <c r="O3" s="147">
        <f>(IF((VLOOKUP(Table11[[#This Row],[SKU]],'All Skus'!$A:$AC,2,FALSE))="Soundcraft",(VLOOKUP(Table11[[#This Row],[SKU]],'All Skus'!$A:$AC,20,FALSE)),""))</f>
        <v>18</v>
      </c>
      <c r="P3" s="240">
        <f>(IF((VLOOKUP(Table11[[#This Row],[SKU]],'All Skus'!$A:$AC,2,FALSE))="Soundcraft",(VLOOKUP(Table11[[#This Row],[SKU]],'All Skus'!$A:$AC,21,FALSE)),""))</f>
        <v>19</v>
      </c>
      <c r="Q3" s="61" t="str">
        <f>(IF((VLOOKUP(Table11[[#This Row],[SKU]],'All Skus'!$A:$AC,2,FALSE))="Soundcraft",(VLOOKUP(Table11[[#This Row],[SKU]],'All Skus'!$A:$AC,22,FALSE)),""))</f>
        <v>MY</v>
      </c>
      <c r="R3" s="61" t="str">
        <f>(IF((VLOOKUP(Table11[[#This Row],[SKU]],'All Skus'!$A:$AC,2,FALSE))="Soundcraft",(VLOOKUP(Table11[[#This Row],[SKU]],'All Skus'!$A:$AC,23,FALSE)),""))</f>
        <v>Non Compliant</v>
      </c>
      <c r="S3" s="212" t="str">
        <f>HYPERLINK((IF((VLOOKUP(Table11[[#This Row],[SKU]],'All Skus'!$A:$AC,2,FALSE))="Soundcraft",(VLOOKUP(Table11[[#This Row],[SKU]],'All Skus'!$A:$AC,24,FALSE)),"")))</f>
        <v/>
      </c>
      <c r="T3" s="151">
        <v>1</v>
      </c>
    </row>
    <row r="4" spans="1:22" ht="15" customHeight="1">
      <c r="A4" s="158" t="s">
        <v>2387</v>
      </c>
      <c r="B4" s="159" t="str">
        <f>(IF((VLOOKUP(Table11[[#This Row],[SKU]],'All Skus'!$A:$AC,2,FALSE))="Soundcraft",(VLOOKUP(Table11[[#This Row],[SKU]],'All Skus'!$A:$AC,3,FALSE)),""))</f>
        <v>Notepad Series</v>
      </c>
      <c r="C4" s="21" t="str">
        <f>(IF((VLOOKUP(Table11[[#This Row],[SKU]],'All Skus'!$A:$AC,2,FALSE))="Soundcraft",(VLOOKUP(Table11[[#This Row],[SKU]],'All Skus'!$A:$AC,4,FALSE)),""))</f>
        <v>5085984US</v>
      </c>
      <c r="D4" s="19" t="str">
        <f>(IF((VLOOKUP(Table11[[#This Row],[SKU]],'All Skus'!$A:$AC,2,FALSE))="Soundcraft",(VLOOKUP(Table11[[#This Row],[SKU]],'All Skus'!$A:$AC,5,FALSE)),""))</f>
        <v>SC-SML CO</v>
      </c>
      <c r="E4" s="19">
        <f>(IF((VLOOKUP(Table11[[#This Row],[SKU]],'All Skus'!$A:$AC,2,FALSE))="Soundcraft",(VLOOKUP(Table11[[#This Row],[SKU]],'All Skus'!$A:$AC,6,FALSE)),""))</f>
        <v>0</v>
      </c>
      <c r="F4" s="18">
        <f>(IF((VLOOKUP(Table11[[#This Row],[SKU]],'All Skus'!$A:$AC,2,FALSE))="Soundcraft",(VLOOKUP(Table11[[#This Row],[SKU]],'All Skus'!$A:$AC,7,FALSE)),""))</f>
        <v>0</v>
      </c>
      <c r="G4" s="22" t="str">
        <f>(IF((VLOOKUP(Table11[[#This Row],[SKU]],'All Skus'!$A:$AC,2,FALSE))="Soundcraft",(VLOOKUP(Table11[[#This Row],[SKU]],'All Skus'!$A:$AC,8,FALSE)),""))</f>
        <v>Notepad-8FX</v>
      </c>
      <c r="H4" s="22" t="str">
        <f>(IF((VLOOKUP(Table11[[#This Row],[SKU]],'All Skus'!$A:$AC,2,FALSE))="Soundcraft",(VLOOKUP(Table11[[#This Row],[SKU]],'All Skus'!$A:$AC,9,FALSE)),""))</f>
        <v>Notepad-8FX</v>
      </c>
      <c r="I4" s="157">
        <f>(IF((VLOOKUP(Table11[[#This Row],[SKU]],'All Skus'!$A:$AC,2,FALSE))="Soundcraft",(VLOOKUP(Table11[[#This Row],[SKU]],'All Skus'!$A:$AC,10,FALSE)),""))</f>
        <v>223.59</v>
      </c>
      <c r="J4" s="157">
        <f>(IF((VLOOKUP(Table11[[#This Row],[SKU]],'All Skus'!$A:$AC,2,FALSE))="Soundcraft",(VLOOKUP(Table11[[#This Row],[SKU]],'All Skus'!$A:$AC,11,FALSE)),""))</f>
        <v>185</v>
      </c>
      <c r="K4" s="271">
        <f>(IF((VLOOKUP(Table11[[#This Row],[SKU]],'All Skus'!$A:$AC,2,FALSE))="Soundcraft",(VLOOKUP(Table11[[#This Row],[SKU]],'All Skus'!$A:$AC,16,FALSE)),""))</f>
        <v>688705006659</v>
      </c>
      <c r="L4" s="239">
        <f>(IF((VLOOKUP(Table11[[#This Row],[SKU]],'All Skus'!$A:$AC,2,FALSE))="Soundcraft",(VLOOKUP(Table11[[#This Row],[SKU]],'All Skus'!$A:$AC,17,FALSE)),""))</f>
        <v>0</v>
      </c>
      <c r="M4" s="239">
        <f>(IF((VLOOKUP(Table11[[#This Row],[SKU]],'All Skus'!$A:$AC,2,FALSE))="Soundcraft",(VLOOKUP(Table11[[#This Row],[SKU]],'All Skus'!$A:$AC,18,FALSE)),""))</f>
        <v>3</v>
      </c>
      <c r="N4" s="147">
        <f>(IF((VLOOKUP(Table11[[#This Row],[SKU]],'All Skus'!$A:$AC,2,FALSE))="Soundcraft",(VLOOKUP(Table11[[#This Row],[SKU]],'All Skus'!$A:$AC,19,FALSE)),""))</f>
        <v>11</v>
      </c>
      <c r="O4" s="147">
        <f>(IF((VLOOKUP(Table11[[#This Row],[SKU]],'All Skus'!$A:$AC,2,FALSE))="Soundcraft",(VLOOKUP(Table11[[#This Row],[SKU]],'All Skus'!$A:$AC,20,FALSE)),""))</f>
        <v>10</v>
      </c>
      <c r="P4" s="240">
        <f>(IF((VLOOKUP(Table11[[#This Row],[SKU]],'All Skus'!$A:$AC,2,FALSE))="Soundcraft",(VLOOKUP(Table11[[#This Row],[SKU]],'All Skus'!$A:$AC,21,FALSE)),""))</f>
        <v>11</v>
      </c>
      <c r="Q4" s="61" t="str">
        <f>(IF((VLOOKUP(Table11[[#This Row],[SKU]],'All Skus'!$A:$AC,2,FALSE))="Soundcraft",(VLOOKUP(Table11[[#This Row],[SKU]],'All Skus'!$A:$AC,22,FALSE)),""))</f>
        <v>MY</v>
      </c>
      <c r="R4" s="61" t="str">
        <f>(IF((VLOOKUP(Table11[[#This Row],[SKU]],'All Skus'!$A:$AC,2,FALSE))="Soundcraft",(VLOOKUP(Table11[[#This Row],[SKU]],'All Skus'!$A:$AC,23,FALSE)),""))</f>
        <v>Non Compliant</v>
      </c>
      <c r="S4" s="212" t="str">
        <f>HYPERLINK((IF((VLOOKUP(Table11[[#This Row],[SKU]],'All Skus'!$A:$AC,2,FALSE))="Soundcraft",(VLOOKUP(Table11[[#This Row],[SKU]],'All Skus'!$A:$AC,24,FALSE)),"")))</f>
        <v/>
      </c>
      <c r="T4" s="151">
        <v>2</v>
      </c>
    </row>
    <row r="5" spans="1:22" ht="15" customHeight="1">
      <c r="A5" s="158" t="s">
        <v>2388</v>
      </c>
      <c r="B5" s="159" t="str">
        <f>(IF((VLOOKUP(Table11[[#This Row],[SKU]],'All Skus'!$A:$AC,2,FALSE))="Soundcraft",(VLOOKUP(Table11[[#This Row],[SKU]],'All Skus'!$A:$AC,3,FALSE)),""))</f>
        <v>Notepad Series</v>
      </c>
      <c r="C5" s="21" t="str">
        <f>(IF((VLOOKUP(Table11[[#This Row],[SKU]],'All Skus'!$A:$AC,2,FALSE))="Soundcraft",(VLOOKUP(Table11[[#This Row],[SKU]],'All Skus'!$A:$AC,4,FALSE)),""))</f>
        <v>5085985US</v>
      </c>
      <c r="D5" s="19" t="str">
        <f>(IF((VLOOKUP(Table11[[#This Row],[SKU]],'All Skus'!$A:$AC,2,FALSE))="Soundcraft",(VLOOKUP(Table11[[#This Row],[SKU]],'All Skus'!$A:$AC,5,FALSE)),""))</f>
        <v>SC-SML CO</v>
      </c>
      <c r="E5" s="19">
        <f>(IF((VLOOKUP(Table11[[#This Row],[SKU]],'All Skus'!$A:$AC,2,FALSE))="Soundcraft",(VLOOKUP(Table11[[#This Row],[SKU]],'All Skus'!$A:$AC,6,FALSE)),""))</f>
        <v>0</v>
      </c>
      <c r="F5" s="18">
        <f>(IF((VLOOKUP(Table11[[#This Row],[SKU]],'All Skus'!$A:$AC,2,FALSE))="Soundcraft",(VLOOKUP(Table11[[#This Row],[SKU]],'All Skus'!$A:$AC,7,FALSE)),""))</f>
        <v>0</v>
      </c>
      <c r="G5" s="22" t="str">
        <f>(IF((VLOOKUP(Table11[[#This Row],[SKU]],'All Skus'!$A:$AC,2,FALSE))="Soundcraft",(VLOOKUP(Table11[[#This Row],[SKU]],'All Skus'!$A:$AC,8,FALSE)),""))</f>
        <v>Notepad-12FX</v>
      </c>
      <c r="H5" s="22" t="str">
        <f>(IF((VLOOKUP(Table11[[#This Row],[SKU]],'All Skus'!$A:$AC,2,FALSE))="Soundcraft",(VLOOKUP(Table11[[#This Row],[SKU]],'All Skus'!$A:$AC,9,FALSE)),""))</f>
        <v>Notepad-12FX</v>
      </c>
      <c r="I5" s="157">
        <f>(IF((VLOOKUP(Table11[[#This Row],[SKU]],'All Skus'!$A:$AC,2,FALSE))="Soundcraft",(VLOOKUP(Table11[[#This Row],[SKU]],'All Skus'!$A:$AC,10,FALSE)),""))</f>
        <v>238.59</v>
      </c>
      <c r="J5" s="157">
        <f>(IF((VLOOKUP(Table11[[#This Row],[SKU]],'All Skus'!$A:$AC,2,FALSE))="Soundcraft",(VLOOKUP(Table11[[#This Row],[SKU]],'All Skus'!$A:$AC,11,FALSE)),""))</f>
        <v>216</v>
      </c>
      <c r="K5" s="271">
        <f>(IF((VLOOKUP(Table11[[#This Row],[SKU]],'All Skus'!$A:$AC,2,FALSE))="Soundcraft",(VLOOKUP(Table11[[#This Row],[SKU]],'All Skus'!$A:$AC,16,FALSE)),""))</f>
        <v>688705006666</v>
      </c>
      <c r="L5" s="239">
        <f>(IF((VLOOKUP(Table11[[#This Row],[SKU]],'All Skus'!$A:$AC,2,FALSE))="Soundcraft",(VLOOKUP(Table11[[#This Row],[SKU]],'All Skus'!$A:$AC,17,FALSE)),""))</f>
        <v>0</v>
      </c>
      <c r="M5" s="239">
        <f>(IF((VLOOKUP(Table11[[#This Row],[SKU]],'All Skus'!$A:$AC,2,FALSE))="Soundcraft",(VLOOKUP(Table11[[#This Row],[SKU]],'All Skus'!$A:$AC,18,FALSE)),""))</f>
        <v>5</v>
      </c>
      <c r="N5" s="147">
        <f>(IF((VLOOKUP(Table11[[#This Row],[SKU]],'All Skus'!$A:$AC,2,FALSE))="Soundcraft",(VLOOKUP(Table11[[#This Row],[SKU]],'All Skus'!$A:$AC,19,FALSE)),""))</f>
        <v>12</v>
      </c>
      <c r="O5" s="147">
        <f>(IF((VLOOKUP(Table11[[#This Row],[SKU]],'All Skus'!$A:$AC,2,FALSE))="Soundcraft",(VLOOKUP(Table11[[#This Row],[SKU]],'All Skus'!$A:$AC,20,FALSE)),""))</f>
        <v>13</v>
      </c>
      <c r="P5" s="240">
        <f>(IF((VLOOKUP(Table11[[#This Row],[SKU]],'All Skus'!$A:$AC,2,FALSE))="Soundcraft",(VLOOKUP(Table11[[#This Row],[SKU]],'All Skus'!$A:$AC,21,FALSE)),""))</f>
        <v>12</v>
      </c>
      <c r="Q5" s="61" t="str">
        <f>(IF((VLOOKUP(Table11[[#This Row],[SKU]],'All Skus'!$A:$AC,2,FALSE))="Soundcraft",(VLOOKUP(Table11[[#This Row],[SKU]],'All Skus'!$A:$AC,22,FALSE)),""))</f>
        <v>MY</v>
      </c>
      <c r="R5" s="61" t="str">
        <f>(IF((VLOOKUP(Table11[[#This Row],[SKU]],'All Skus'!$A:$AC,2,FALSE))="Soundcraft",(VLOOKUP(Table11[[#This Row],[SKU]],'All Skus'!$A:$AC,23,FALSE)),""))</f>
        <v>Compliant</v>
      </c>
      <c r="S5" s="212" t="str">
        <f>HYPERLINK((IF((VLOOKUP(Table11[[#This Row],[SKU]],'All Skus'!$A:$AC,2,FALSE))="Soundcraft",(VLOOKUP(Table11[[#This Row],[SKU]],'All Skus'!$A:$AC,24,FALSE)),"")))</f>
        <v/>
      </c>
      <c r="T5" s="151">
        <v>3</v>
      </c>
    </row>
    <row r="6" spans="1:22" ht="15" customHeight="1">
      <c r="A6" s="158" t="s">
        <v>2389</v>
      </c>
      <c r="B6" s="159" t="str">
        <f>(IF((VLOOKUP(Table11[[#This Row],[SKU]],'All Skus'!$A:$AC,2,FALSE))="Soundcraft",(VLOOKUP(Table11[[#This Row],[SKU]],'All Skus'!$A:$AC,3,FALSE)),""))</f>
        <v>EPM Series</v>
      </c>
      <c r="C6" s="21" t="str">
        <f>(IF((VLOOKUP(Table11[[#This Row],[SKU]],'All Skus'!$A:$AC,2,FALSE))="Soundcraft",(VLOOKUP(Table11[[#This Row],[SKU]],'All Skus'!$A:$AC,4,FALSE)),""))</f>
        <v>RW5734US</v>
      </c>
      <c r="D6" s="19" t="str">
        <f>(IF((VLOOKUP(Table11[[#This Row],[SKU]],'All Skus'!$A:$AC,2,FALSE))="Soundcraft",(VLOOKUP(Table11[[#This Row],[SKU]],'All Skus'!$A:$AC,5,FALSE)),""))</f>
        <v>SC-SML CO</v>
      </c>
      <c r="E6" s="19">
        <f>(IF((VLOOKUP(Table11[[#This Row],[SKU]],'All Skus'!$A:$AC,2,FALSE))="Soundcraft",(VLOOKUP(Table11[[#This Row],[SKU]],'All Skus'!$A:$AC,6,FALSE)),""))</f>
        <v>0</v>
      </c>
      <c r="F6" s="18">
        <f>(IF((VLOOKUP(Table11[[#This Row],[SKU]],'All Skus'!$A:$AC,2,FALSE))="Soundcraft",(VLOOKUP(Table11[[#This Row],[SKU]],'All Skus'!$A:$AC,7,FALSE)),""))</f>
        <v>0</v>
      </c>
      <c r="G6" s="22" t="str">
        <f>(IF((VLOOKUP(Table11[[#This Row],[SKU]],'All Skus'!$A:$AC,2,FALSE))="Soundcraft",(VLOOKUP(Table11[[#This Row],[SKU]],'All Skus'!$A:$AC,8,FALSE)),""))</f>
        <v>EPM6CH CONSOLE US (363569-001)</v>
      </c>
      <c r="H6" s="22" t="str">
        <f>(IF((VLOOKUP(Table11[[#This Row],[SKU]],'All Skus'!$A:$AC,2,FALSE))="Soundcraft",(VLOOKUP(Table11[[#This Row],[SKU]],'All Skus'!$A:$AC,9,FALSE)),""))</f>
        <v xml:space="preserve">EPM6                  </v>
      </c>
      <c r="I6" s="157">
        <f>(IF((VLOOKUP(Table11[[#This Row],[SKU]],'All Skus'!$A:$AC,2,FALSE))="Soundcraft",(VLOOKUP(Table11[[#This Row],[SKU]],'All Skus'!$A:$AC,10,FALSE)),""))</f>
        <v>382.54</v>
      </c>
      <c r="J6" s="157">
        <f>(IF((VLOOKUP(Table11[[#This Row],[SKU]],'All Skus'!$A:$AC,2,FALSE))="Soundcraft",(VLOOKUP(Table11[[#This Row],[SKU]],'All Skus'!$A:$AC,11,FALSE)),""))</f>
        <v>305</v>
      </c>
      <c r="K6" s="271">
        <f>(IF((VLOOKUP(Table11[[#This Row],[SKU]],'All Skus'!$A:$AC,2,FALSE))="Soundcraft",(VLOOKUP(Table11[[#This Row],[SKU]],'All Skus'!$A:$AC,16,FALSE)),""))</f>
        <v>0</v>
      </c>
      <c r="L6" s="239">
        <f>(IF((VLOOKUP(Table11[[#This Row],[SKU]],'All Skus'!$A:$AC,2,FALSE))="Soundcraft",(VLOOKUP(Table11[[#This Row],[SKU]],'All Skus'!$A:$AC,17,FALSE)),""))</f>
        <v>0</v>
      </c>
      <c r="M6" s="239">
        <f>(IF((VLOOKUP(Table11[[#This Row],[SKU]],'All Skus'!$A:$AC,2,FALSE))="Soundcraft",(VLOOKUP(Table11[[#This Row],[SKU]],'All Skus'!$A:$AC,18,FALSE)),""))</f>
        <v>11.2</v>
      </c>
      <c r="N6" s="147">
        <f>(IF((VLOOKUP(Table11[[#This Row],[SKU]],'All Skus'!$A:$AC,2,FALSE))="Soundcraft",(VLOOKUP(Table11[[#This Row],[SKU]],'All Skus'!$A:$AC,19,FALSE)),""))</f>
        <v>18.5</v>
      </c>
      <c r="O6" s="147">
        <f>(IF((VLOOKUP(Table11[[#This Row],[SKU]],'All Skus'!$A:$AC,2,FALSE))="Soundcraft",(VLOOKUP(Table11[[#This Row],[SKU]],'All Skus'!$A:$AC,20,FALSE)),""))</f>
        <v>15</v>
      </c>
      <c r="P6" s="240">
        <f>(IF((VLOOKUP(Table11[[#This Row],[SKU]],'All Skus'!$A:$AC,2,FALSE))="Soundcraft",(VLOOKUP(Table11[[#This Row],[SKU]],'All Skus'!$A:$AC,21,FALSE)),""))</f>
        <v>8</v>
      </c>
      <c r="Q6" s="61" t="str">
        <f>(IF((VLOOKUP(Table11[[#This Row],[SKU]],'All Skus'!$A:$AC,2,FALSE))="Soundcraft",(VLOOKUP(Table11[[#This Row],[SKU]],'All Skus'!$A:$AC,22,FALSE)),""))</f>
        <v>CN</v>
      </c>
      <c r="R6" s="61" t="str">
        <f>(IF((VLOOKUP(Table11[[#This Row],[SKU]],'All Skus'!$A:$AC,2,FALSE))="Soundcraft",(VLOOKUP(Table11[[#This Row],[SKU]],'All Skus'!$A:$AC,23,FALSE)),""))</f>
        <v>Non Compliant</v>
      </c>
      <c r="S6" s="212" t="str">
        <f>HYPERLINK((IF((VLOOKUP(Table11[[#This Row],[SKU]],'All Skus'!$A:$AC,2,FALSE))="Soundcraft",(VLOOKUP(Table11[[#This Row],[SKU]],'All Skus'!$A:$AC,24,FALSE)),"")))</f>
        <v>http://www.soundcraft.com/products/epm</v>
      </c>
      <c r="T6" s="151">
        <v>4</v>
      </c>
    </row>
    <row r="7" spans="1:22" ht="15" customHeight="1">
      <c r="A7" s="158" t="s">
        <v>2390</v>
      </c>
      <c r="B7" s="159" t="str">
        <f>(IF((VLOOKUP(Table11[[#This Row],[SKU]],'All Skus'!$A:$AC,2,FALSE))="Soundcraft",(VLOOKUP(Table11[[#This Row],[SKU]],'All Skus'!$A:$AC,3,FALSE)),""))</f>
        <v>EPM Series</v>
      </c>
      <c r="C7" s="21" t="str">
        <f>(IF((VLOOKUP(Table11[[#This Row],[SKU]],'All Skus'!$A:$AC,2,FALSE))="Soundcraft",(VLOOKUP(Table11[[#This Row],[SKU]],'All Skus'!$A:$AC,4,FALSE)),""))</f>
        <v>RW5735US</v>
      </c>
      <c r="D7" s="19" t="str">
        <f>(IF((VLOOKUP(Table11[[#This Row],[SKU]],'All Skus'!$A:$AC,2,FALSE))="Soundcraft",(VLOOKUP(Table11[[#This Row],[SKU]],'All Skus'!$A:$AC,5,FALSE)),""))</f>
        <v>SC-SML CO</v>
      </c>
      <c r="E7" s="19">
        <f>(IF((VLOOKUP(Table11[[#This Row],[SKU]],'All Skus'!$A:$AC,2,FALSE))="Soundcraft",(VLOOKUP(Table11[[#This Row],[SKU]],'All Skus'!$A:$AC,6,FALSE)),""))</f>
        <v>0</v>
      </c>
      <c r="F7" s="18">
        <f>(IF((VLOOKUP(Table11[[#This Row],[SKU]],'All Skus'!$A:$AC,2,FALSE))="Soundcraft",(VLOOKUP(Table11[[#This Row],[SKU]],'All Skus'!$A:$AC,7,FALSE)),""))</f>
        <v>0</v>
      </c>
      <c r="G7" s="22" t="str">
        <f>(IF((VLOOKUP(Table11[[#This Row],[SKU]],'All Skus'!$A:$AC,2,FALSE))="Soundcraft",(VLOOKUP(Table11[[#This Row],[SKU]],'All Skus'!$A:$AC,8,FALSE)),""))</f>
        <v xml:space="preserve">EPM8                 </v>
      </c>
      <c r="H7" s="22" t="str">
        <f>(IF((VLOOKUP(Table11[[#This Row],[SKU]],'All Skus'!$A:$AC,2,FALSE))="Soundcraft",(VLOOKUP(Table11[[#This Row],[SKU]],'All Skus'!$A:$AC,9,FALSE)),""))</f>
        <v xml:space="preserve">EPM8                 </v>
      </c>
      <c r="I7" s="157">
        <f>(IF((VLOOKUP(Table11[[#This Row],[SKU]],'All Skus'!$A:$AC,2,FALSE))="Soundcraft",(VLOOKUP(Table11[[#This Row],[SKU]],'All Skus'!$A:$AC,10,FALSE)),""))</f>
        <v>428.63</v>
      </c>
      <c r="J7" s="157">
        <f>(IF((VLOOKUP(Table11[[#This Row],[SKU]],'All Skus'!$A:$AC,2,FALSE))="Soundcraft",(VLOOKUP(Table11[[#This Row],[SKU]],'All Skus'!$A:$AC,11,FALSE)),""))</f>
        <v>339</v>
      </c>
      <c r="K7" s="271">
        <f>(IF((VLOOKUP(Table11[[#This Row],[SKU]],'All Skus'!$A:$AC,2,FALSE))="Soundcraft",(VLOOKUP(Table11[[#This Row],[SKU]],'All Skus'!$A:$AC,16,FALSE)),""))</f>
        <v>0</v>
      </c>
      <c r="L7" s="239">
        <f>(IF((VLOOKUP(Table11[[#This Row],[SKU]],'All Skus'!$A:$AC,2,FALSE))="Soundcraft",(VLOOKUP(Table11[[#This Row],[SKU]],'All Skus'!$A:$AC,17,FALSE)),""))</f>
        <v>0</v>
      </c>
      <c r="M7" s="239">
        <f>(IF((VLOOKUP(Table11[[#This Row],[SKU]],'All Skus'!$A:$AC,2,FALSE))="Soundcraft",(VLOOKUP(Table11[[#This Row],[SKU]],'All Skus'!$A:$AC,18,FALSE)),""))</f>
        <v>15.9</v>
      </c>
      <c r="N7" s="147">
        <f>(IF((VLOOKUP(Table11[[#This Row],[SKU]],'All Skus'!$A:$AC,2,FALSE))="Soundcraft",(VLOOKUP(Table11[[#This Row],[SKU]],'All Skus'!$A:$AC,19,FALSE)),""))</f>
        <v>18.5</v>
      </c>
      <c r="O7" s="147">
        <f>(IF((VLOOKUP(Table11[[#This Row],[SKU]],'All Skus'!$A:$AC,2,FALSE))="Soundcraft",(VLOOKUP(Table11[[#This Row],[SKU]],'All Skus'!$A:$AC,20,FALSE)),""))</f>
        <v>18</v>
      </c>
      <c r="P7" s="240">
        <f>(IF((VLOOKUP(Table11[[#This Row],[SKU]],'All Skus'!$A:$AC,2,FALSE))="Soundcraft",(VLOOKUP(Table11[[#This Row],[SKU]],'All Skus'!$A:$AC,21,FALSE)),""))</f>
        <v>8</v>
      </c>
      <c r="Q7" s="61" t="str">
        <f>(IF((VLOOKUP(Table11[[#This Row],[SKU]],'All Skus'!$A:$AC,2,FALSE))="Soundcraft",(VLOOKUP(Table11[[#This Row],[SKU]],'All Skus'!$A:$AC,22,FALSE)),""))</f>
        <v>CN</v>
      </c>
      <c r="R7" s="61" t="str">
        <f>(IF((VLOOKUP(Table11[[#This Row],[SKU]],'All Skus'!$A:$AC,2,FALSE))="Soundcraft",(VLOOKUP(Table11[[#This Row],[SKU]],'All Skus'!$A:$AC,23,FALSE)),""))</f>
        <v>Non Compliant</v>
      </c>
      <c r="S7" s="212" t="str">
        <f>HYPERLINK((IF((VLOOKUP(Table11[[#This Row],[SKU]],'All Skus'!$A:$AC,2,FALSE))="Soundcraft",(VLOOKUP(Table11[[#This Row],[SKU]],'All Skus'!$A:$AC,24,FALSE)),"")))</f>
        <v>http://www.soundcraft.com/products/epm</v>
      </c>
      <c r="T7" s="151">
        <v>5</v>
      </c>
    </row>
    <row r="8" spans="1:22" ht="15" customHeight="1">
      <c r="A8" s="158" t="s">
        <v>2391</v>
      </c>
      <c r="B8" s="159" t="str">
        <f>(IF((VLOOKUP(Table11[[#This Row],[SKU]],'All Skus'!$A:$AC,2,FALSE))="Soundcraft",(VLOOKUP(Table11[[#This Row],[SKU]],'All Skus'!$A:$AC,3,FALSE)),""))</f>
        <v>EPM Series</v>
      </c>
      <c r="C8" s="21" t="str">
        <f>(IF((VLOOKUP(Table11[[#This Row],[SKU]],'All Skus'!$A:$AC,2,FALSE))="Soundcraft",(VLOOKUP(Table11[[#This Row],[SKU]],'All Skus'!$A:$AC,4,FALSE)),""))</f>
        <v>RW5736US</v>
      </c>
      <c r="D8" s="19" t="str">
        <f>(IF((VLOOKUP(Table11[[#This Row],[SKU]],'All Skus'!$A:$AC,2,FALSE))="Soundcraft",(VLOOKUP(Table11[[#This Row],[SKU]],'All Skus'!$A:$AC,5,FALSE)),""))</f>
        <v>SC-SML CO</v>
      </c>
      <c r="E8" s="19">
        <f>(IF((VLOOKUP(Table11[[#This Row],[SKU]],'All Skus'!$A:$AC,2,FALSE))="Soundcraft",(VLOOKUP(Table11[[#This Row],[SKU]],'All Skus'!$A:$AC,6,FALSE)),""))</f>
        <v>0</v>
      </c>
      <c r="F8" s="18">
        <f>(IF((VLOOKUP(Table11[[#This Row],[SKU]],'All Skus'!$A:$AC,2,FALSE))="Soundcraft",(VLOOKUP(Table11[[#This Row],[SKU]],'All Skus'!$A:$AC,7,FALSE)),""))</f>
        <v>0</v>
      </c>
      <c r="G8" s="22" t="str">
        <f>(IF((VLOOKUP(Table11[[#This Row],[SKU]],'All Skus'!$A:$AC,2,FALSE))="Soundcraft",(VLOOKUP(Table11[[#This Row],[SKU]],'All Skus'!$A:$AC,8,FALSE)),""))</f>
        <v xml:space="preserve">EPM12              </v>
      </c>
      <c r="H8" s="22" t="str">
        <f>(IF((VLOOKUP(Table11[[#This Row],[SKU]],'All Skus'!$A:$AC,2,FALSE))="Soundcraft",(VLOOKUP(Table11[[#This Row],[SKU]],'All Skus'!$A:$AC,9,FALSE)),""))</f>
        <v xml:space="preserve">EPM12              </v>
      </c>
      <c r="I8" s="157">
        <f>(IF((VLOOKUP(Table11[[#This Row],[SKU]],'All Skus'!$A:$AC,2,FALSE))="Soundcraft",(VLOOKUP(Table11[[#This Row],[SKU]],'All Skus'!$A:$AC,10,FALSE)),""))</f>
        <v>503.91</v>
      </c>
      <c r="J8" s="157">
        <f>(IF((VLOOKUP(Table11[[#This Row],[SKU]],'All Skus'!$A:$AC,2,FALSE))="Soundcraft",(VLOOKUP(Table11[[#This Row],[SKU]],'All Skus'!$A:$AC,11,FALSE)),""))</f>
        <v>455</v>
      </c>
      <c r="K8" s="271">
        <f>(IF((VLOOKUP(Table11[[#This Row],[SKU]],'All Skus'!$A:$AC,2,FALSE))="Soundcraft",(VLOOKUP(Table11[[#This Row],[SKU]],'All Skus'!$A:$AC,16,FALSE)),""))</f>
        <v>0</v>
      </c>
      <c r="L8" s="239">
        <f>(IF((VLOOKUP(Table11[[#This Row],[SKU]],'All Skus'!$A:$AC,2,FALSE))="Soundcraft",(VLOOKUP(Table11[[#This Row],[SKU]],'All Skus'!$A:$AC,17,FALSE)),""))</f>
        <v>0</v>
      </c>
      <c r="M8" s="239">
        <f>(IF((VLOOKUP(Table11[[#This Row],[SKU]],'All Skus'!$A:$AC,2,FALSE))="Soundcraft",(VLOOKUP(Table11[[#This Row],[SKU]],'All Skus'!$A:$AC,18,FALSE)),""))</f>
        <v>21.1</v>
      </c>
      <c r="N8" s="147">
        <f>(IF((VLOOKUP(Table11[[#This Row],[SKU]],'All Skus'!$A:$AC,2,FALSE))="Soundcraft",(VLOOKUP(Table11[[#This Row],[SKU]],'All Skus'!$A:$AC,19,FALSE)),""))</f>
        <v>18.5</v>
      </c>
      <c r="O8" s="147">
        <f>(IF((VLOOKUP(Table11[[#This Row],[SKU]],'All Skus'!$A:$AC,2,FALSE))="Soundcraft",(VLOOKUP(Table11[[#This Row],[SKU]],'All Skus'!$A:$AC,20,FALSE)),""))</f>
        <v>8</v>
      </c>
      <c r="P8" s="240">
        <f>(IF((VLOOKUP(Table11[[#This Row],[SKU]],'All Skus'!$A:$AC,2,FALSE))="Soundcraft",(VLOOKUP(Table11[[#This Row],[SKU]],'All Skus'!$A:$AC,21,FALSE)),""))</f>
        <v>18</v>
      </c>
      <c r="Q8" s="61" t="str">
        <f>(IF((VLOOKUP(Table11[[#This Row],[SKU]],'All Skus'!$A:$AC,2,FALSE))="Soundcraft",(VLOOKUP(Table11[[#This Row],[SKU]],'All Skus'!$A:$AC,22,FALSE)),""))</f>
        <v>CN</v>
      </c>
      <c r="R8" s="61" t="str">
        <f>(IF((VLOOKUP(Table11[[#This Row],[SKU]],'All Skus'!$A:$AC,2,FALSE))="Soundcraft",(VLOOKUP(Table11[[#This Row],[SKU]],'All Skus'!$A:$AC,23,FALSE)),""))</f>
        <v>Non Compliant</v>
      </c>
      <c r="S8" s="212" t="str">
        <f>HYPERLINK((IF((VLOOKUP(Table11[[#This Row],[SKU]],'All Skus'!$A:$AC,2,FALSE))="Soundcraft",(VLOOKUP(Table11[[#This Row],[SKU]],'All Skus'!$A:$AC,24,FALSE)),"")))</f>
        <v>http://www.soundcraft.com/products/epm</v>
      </c>
      <c r="T8" s="151">
        <v>6</v>
      </c>
    </row>
    <row r="9" spans="1:22" ht="15" customHeight="1">
      <c r="A9" s="158" t="s">
        <v>8431</v>
      </c>
      <c r="B9" s="159" t="str">
        <f>(IF((VLOOKUP(Table11[[#This Row],[SKU]],'All Skus'!$A:$AC,2,FALSE))="Soundcraft",(VLOOKUP(Table11[[#This Row],[SKU]],'All Skus'!$A:$AC,3,FALSE)),""))</f>
        <v>EPM Series</v>
      </c>
      <c r="C9" s="21" t="str">
        <f>(IF((VLOOKUP(Table11[[#This Row],[SKU]],'All Skus'!$A:$AC,2,FALSE))="Soundcraft",(VLOOKUP(Table11[[#This Row],[SKU]],'All Skus'!$A:$AC,4,FALSE)),""))</f>
        <v>RW5734US</v>
      </c>
      <c r="D9" s="19" t="str">
        <f>(IF((VLOOKUP(Table11[[#This Row],[SKU]],'All Skus'!$A:$AC,2,FALSE))="Soundcraft",(VLOOKUP(Table11[[#This Row],[SKU]],'All Skus'!$A:$AC,5,FALSE)),""))</f>
        <v>SC-SML CO</v>
      </c>
      <c r="E9" s="19">
        <f>(IF((VLOOKUP(Table11[[#This Row],[SKU]],'All Skus'!$A:$AC,2,FALSE))="Soundcraft",(VLOOKUP(Table11[[#This Row],[SKU]],'All Skus'!$A:$AC,6,FALSE)),""))</f>
        <v>0</v>
      </c>
      <c r="F9" s="18">
        <f>(IF((VLOOKUP(Table11[[#This Row],[SKU]],'All Skus'!$A:$AC,2,FALSE))="Soundcraft",(VLOOKUP(Table11[[#This Row],[SKU]],'All Skus'!$A:$AC,7,FALSE)),""))</f>
        <v>0</v>
      </c>
      <c r="G9" s="22" t="str">
        <f>(IF((VLOOKUP(Table11[[#This Row],[SKU]],'All Skus'!$A:$AC,2,FALSE))="Soundcraft",(VLOOKUP(Table11[[#This Row],[SKU]],'All Skus'!$A:$AC,8,FALSE)),""))</f>
        <v>EPM6CH CONSOLE US (363569-001)</v>
      </c>
      <c r="H9" s="22" t="str">
        <f>(IF((VLOOKUP(Table11[[#This Row],[SKU]],'All Skus'!$A:$AC,2,FALSE))="Soundcraft",(VLOOKUP(Table11[[#This Row],[SKU]],'All Skus'!$A:$AC,9,FALSE)),""))</f>
        <v xml:space="preserve">EPM6                  </v>
      </c>
      <c r="I9" s="282">
        <f>(IF((VLOOKUP(Table11[[#This Row],[SKU]],'All Skus'!$A:$AC,2,FALSE))="Soundcraft",(VLOOKUP(Table11[[#This Row],[SKU]],'All Skus'!$A:$AC,10,FALSE)),""))</f>
        <v>382.54</v>
      </c>
      <c r="J9" s="282">
        <f>(IF((VLOOKUP(Table11[[#This Row],[SKU]],'All Skus'!$A:$AC,2,FALSE))="Soundcraft",(VLOOKUP(Table11[[#This Row],[SKU]],'All Skus'!$A:$AC,11,FALSE)),""))</f>
        <v>305</v>
      </c>
      <c r="K9" s="301">
        <f>(IF((VLOOKUP(Table11[[#This Row],[SKU]],'All Skus'!$A:$AC,2,FALSE))="Soundcraft",(VLOOKUP(Table11[[#This Row],[SKU]],'All Skus'!$A:$AC,16,FALSE)),""))</f>
        <v>0</v>
      </c>
      <c r="L9" s="239">
        <f>(IF((VLOOKUP(Table11[[#This Row],[SKU]],'All Skus'!$A:$AC,2,FALSE))="Soundcraft",(VLOOKUP(Table11[[#This Row],[SKU]],'All Skus'!$A:$AC,17,FALSE)),""))</f>
        <v>0</v>
      </c>
      <c r="M9" s="239">
        <f>(IF((VLOOKUP(Table11[[#This Row],[SKU]],'All Skus'!$A:$AC,2,FALSE))="Soundcraft",(VLOOKUP(Table11[[#This Row],[SKU]],'All Skus'!$A:$AC,18,FALSE)),""))</f>
        <v>11.2</v>
      </c>
      <c r="N9" s="239">
        <f>(IF((VLOOKUP(Table11[[#This Row],[SKU]],'All Skus'!$A:$AC,2,FALSE))="Soundcraft",(VLOOKUP(Table11[[#This Row],[SKU]],'All Skus'!$A:$AC,19,FALSE)),""))</f>
        <v>18.5</v>
      </c>
      <c r="O9" s="239">
        <f>(IF((VLOOKUP(Table11[[#This Row],[SKU]],'All Skus'!$A:$AC,2,FALSE))="Soundcraft",(VLOOKUP(Table11[[#This Row],[SKU]],'All Skus'!$A:$AC,20,FALSE)),""))</f>
        <v>15</v>
      </c>
      <c r="P9" s="302">
        <f>(IF((VLOOKUP(Table11[[#This Row],[SKU]],'All Skus'!$A:$AC,2,FALSE))="Soundcraft",(VLOOKUP(Table11[[#This Row],[SKU]],'All Skus'!$A:$AC,21,FALSE)),""))</f>
        <v>8</v>
      </c>
      <c r="Q9" s="61" t="str">
        <f>(IF((VLOOKUP(Table11[[#This Row],[SKU]],'All Skus'!$A:$AC,2,FALSE))="Soundcraft",(VLOOKUP(Table11[[#This Row],[SKU]],'All Skus'!$A:$AC,22,FALSE)),""))</f>
        <v>MY</v>
      </c>
      <c r="R9" s="61" t="str">
        <f>(IF((VLOOKUP(Table11[[#This Row],[SKU]],'All Skus'!$A:$AC,2,FALSE))="Soundcraft",(VLOOKUP(Table11[[#This Row],[SKU]],'All Skus'!$A:$AC,23,FALSE)),""))</f>
        <v>Compliant</v>
      </c>
      <c r="S9" s="303" t="str">
        <f>HYPERLINK((IF((VLOOKUP(Table11[[#This Row],[SKU]],'All Skus'!$A:$AC,2,FALSE))="Soundcraft",(VLOOKUP(Table11[[#This Row],[SKU]],'All Skus'!$A:$AC,24,FALSE)),"")))</f>
        <v>http://www.soundcraft.com/products/epm</v>
      </c>
      <c r="T9" s="151">
        <v>7</v>
      </c>
    </row>
    <row r="10" spans="1:22" ht="15" customHeight="1">
      <c r="A10" s="158" t="s">
        <v>8432</v>
      </c>
      <c r="B10" s="159" t="str">
        <f>(IF((VLOOKUP(Table11[[#This Row],[SKU]],'All Skus'!$A:$AC,2,FALSE))="Soundcraft",(VLOOKUP(Table11[[#This Row],[SKU]],'All Skus'!$A:$AC,3,FALSE)),""))</f>
        <v>EPM Series</v>
      </c>
      <c r="C10" s="21" t="str">
        <f>(IF((VLOOKUP(Table11[[#This Row],[SKU]],'All Skus'!$A:$AC,2,FALSE))="Soundcraft",(VLOOKUP(Table11[[#This Row],[SKU]],'All Skus'!$A:$AC,4,FALSE)),""))</f>
        <v>RW5735US</v>
      </c>
      <c r="D10" s="19" t="str">
        <f>(IF((VLOOKUP(Table11[[#This Row],[SKU]],'All Skus'!$A:$AC,2,FALSE))="Soundcraft",(VLOOKUP(Table11[[#This Row],[SKU]],'All Skus'!$A:$AC,5,FALSE)),""))</f>
        <v>SC-SML CO</v>
      </c>
      <c r="E10" s="19">
        <f>(IF((VLOOKUP(Table11[[#This Row],[SKU]],'All Skus'!$A:$AC,2,FALSE))="Soundcraft",(VLOOKUP(Table11[[#This Row],[SKU]],'All Skus'!$A:$AC,6,FALSE)),""))</f>
        <v>0</v>
      </c>
      <c r="F10" s="18">
        <f>(IF((VLOOKUP(Table11[[#This Row],[SKU]],'All Skus'!$A:$AC,2,FALSE))="Soundcraft",(VLOOKUP(Table11[[#This Row],[SKU]],'All Skus'!$A:$AC,7,FALSE)),""))</f>
        <v>0</v>
      </c>
      <c r="G10" s="22" t="str">
        <f>(IF((VLOOKUP(Table11[[#This Row],[SKU]],'All Skus'!$A:$AC,2,FALSE))="Soundcraft",(VLOOKUP(Table11[[#This Row],[SKU]],'All Skus'!$A:$AC,8,FALSE)),""))</f>
        <v xml:space="preserve">EPM8                 </v>
      </c>
      <c r="H10" s="22" t="str">
        <f>(IF((VLOOKUP(Table11[[#This Row],[SKU]],'All Skus'!$A:$AC,2,FALSE))="Soundcraft",(VLOOKUP(Table11[[#This Row],[SKU]],'All Skus'!$A:$AC,9,FALSE)),""))</f>
        <v xml:space="preserve">EPM8                 </v>
      </c>
      <c r="I10" s="282">
        <f>(IF((VLOOKUP(Table11[[#This Row],[SKU]],'All Skus'!$A:$AC,2,FALSE))="Soundcraft",(VLOOKUP(Table11[[#This Row],[SKU]],'All Skus'!$A:$AC,10,FALSE)),""))</f>
        <v>428.63</v>
      </c>
      <c r="J10" s="282">
        <f>(IF((VLOOKUP(Table11[[#This Row],[SKU]],'All Skus'!$A:$AC,2,FALSE))="Soundcraft",(VLOOKUP(Table11[[#This Row],[SKU]],'All Skus'!$A:$AC,11,FALSE)),""))</f>
        <v>339</v>
      </c>
      <c r="K10" s="301">
        <f>(IF((VLOOKUP(Table11[[#This Row],[SKU]],'All Skus'!$A:$AC,2,FALSE))="Soundcraft",(VLOOKUP(Table11[[#This Row],[SKU]],'All Skus'!$A:$AC,16,FALSE)),""))</f>
        <v>0</v>
      </c>
      <c r="L10" s="239">
        <f>(IF((VLOOKUP(Table11[[#This Row],[SKU]],'All Skus'!$A:$AC,2,FALSE))="Soundcraft",(VLOOKUP(Table11[[#This Row],[SKU]],'All Skus'!$A:$AC,17,FALSE)),""))</f>
        <v>0</v>
      </c>
      <c r="M10" s="239">
        <f>(IF((VLOOKUP(Table11[[#This Row],[SKU]],'All Skus'!$A:$AC,2,FALSE))="Soundcraft",(VLOOKUP(Table11[[#This Row],[SKU]],'All Skus'!$A:$AC,18,FALSE)),""))</f>
        <v>15.9</v>
      </c>
      <c r="N10" s="239">
        <f>(IF((VLOOKUP(Table11[[#This Row],[SKU]],'All Skus'!$A:$AC,2,FALSE))="Soundcraft",(VLOOKUP(Table11[[#This Row],[SKU]],'All Skus'!$A:$AC,19,FALSE)),""))</f>
        <v>18.5</v>
      </c>
      <c r="O10" s="239">
        <f>(IF((VLOOKUP(Table11[[#This Row],[SKU]],'All Skus'!$A:$AC,2,FALSE))="Soundcraft",(VLOOKUP(Table11[[#This Row],[SKU]],'All Skus'!$A:$AC,20,FALSE)),""))</f>
        <v>18</v>
      </c>
      <c r="P10" s="302">
        <f>(IF((VLOOKUP(Table11[[#This Row],[SKU]],'All Skus'!$A:$AC,2,FALSE))="Soundcraft",(VLOOKUP(Table11[[#This Row],[SKU]],'All Skus'!$A:$AC,21,FALSE)),""))</f>
        <v>8</v>
      </c>
      <c r="Q10" s="61" t="str">
        <f>(IF((VLOOKUP(Table11[[#This Row],[SKU]],'All Skus'!$A:$AC,2,FALSE))="Soundcraft",(VLOOKUP(Table11[[#This Row],[SKU]],'All Skus'!$A:$AC,22,FALSE)),""))</f>
        <v>MY</v>
      </c>
      <c r="R10" s="61" t="str">
        <f>(IF((VLOOKUP(Table11[[#This Row],[SKU]],'All Skus'!$A:$AC,2,FALSE))="Soundcraft",(VLOOKUP(Table11[[#This Row],[SKU]],'All Skus'!$A:$AC,23,FALSE)),""))</f>
        <v>Compliant</v>
      </c>
      <c r="S10" s="303" t="str">
        <f>HYPERLINK((IF((VLOOKUP(Table11[[#This Row],[SKU]],'All Skus'!$A:$AC,2,FALSE))="Soundcraft",(VLOOKUP(Table11[[#This Row],[SKU]],'All Skus'!$A:$AC,24,FALSE)),"")))</f>
        <v>http://www.soundcraft.com/products/epm</v>
      </c>
      <c r="T10" s="151">
        <v>8</v>
      </c>
    </row>
    <row r="11" spans="1:22" ht="15" customHeight="1">
      <c r="A11" s="158" t="s">
        <v>8433</v>
      </c>
      <c r="B11" s="159" t="str">
        <f>(IF((VLOOKUP(Table11[[#This Row],[SKU]],'All Skus'!$A:$AC,2,FALSE))="Soundcraft",(VLOOKUP(Table11[[#This Row],[SKU]],'All Skus'!$A:$AC,3,FALSE)),""))</f>
        <v>EPM Series</v>
      </c>
      <c r="C11" s="21" t="str">
        <f>(IF((VLOOKUP(Table11[[#This Row],[SKU]],'All Skus'!$A:$AC,2,FALSE))="Soundcraft",(VLOOKUP(Table11[[#This Row],[SKU]],'All Skus'!$A:$AC,4,FALSE)),""))</f>
        <v>RW5736US</v>
      </c>
      <c r="D11" s="19" t="str">
        <f>(IF((VLOOKUP(Table11[[#This Row],[SKU]],'All Skus'!$A:$AC,2,FALSE))="Soundcraft",(VLOOKUP(Table11[[#This Row],[SKU]],'All Skus'!$A:$AC,5,FALSE)),""))</f>
        <v>SC-SML CO</v>
      </c>
      <c r="E11" s="19">
        <f>(IF((VLOOKUP(Table11[[#This Row],[SKU]],'All Skus'!$A:$AC,2,FALSE))="Soundcraft",(VLOOKUP(Table11[[#This Row],[SKU]],'All Skus'!$A:$AC,6,FALSE)),""))</f>
        <v>0</v>
      </c>
      <c r="F11" s="18">
        <f>(IF((VLOOKUP(Table11[[#This Row],[SKU]],'All Skus'!$A:$AC,2,FALSE))="Soundcraft",(VLOOKUP(Table11[[#This Row],[SKU]],'All Skus'!$A:$AC,7,FALSE)),""))</f>
        <v>0</v>
      </c>
      <c r="G11" s="22" t="str">
        <f>(IF((VLOOKUP(Table11[[#This Row],[SKU]],'All Skus'!$A:$AC,2,FALSE))="Soundcraft",(VLOOKUP(Table11[[#This Row],[SKU]],'All Skus'!$A:$AC,8,FALSE)),""))</f>
        <v xml:space="preserve">EPM12              </v>
      </c>
      <c r="H11" s="22" t="str">
        <f>(IF((VLOOKUP(Table11[[#This Row],[SKU]],'All Skus'!$A:$AC,2,FALSE))="Soundcraft",(VLOOKUP(Table11[[#This Row],[SKU]],'All Skus'!$A:$AC,9,FALSE)),""))</f>
        <v xml:space="preserve">EPM12              </v>
      </c>
      <c r="I11" s="282">
        <f>(IF((VLOOKUP(Table11[[#This Row],[SKU]],'All Skus'!$A:$AC,2,FALSE))="Soundcraft",(VLOOKUP(Table11[[#This Row],[SKU]],'All Skus'!$A:$AC,10,FALSE)),""))</f>
        <v>503.91</v>
      </c>
      <c r="J11" s="282">
        <f>(IF((VLOOKUP(Table11[[#This Row],[SKU]],'All Skus'!$A:$AC,2,FALSE))="Soundcraft",(VLOOKUP(Table11[[#This Row],[SKU]],'All Skus'!$A:$AC,11,FALSE)),""))</f>
        <v>455</v>
      </c>
      <c r="K11" s="301">
        <f>(IF((VLOOKUP(Table11[[#This Row],[SKU]],'All Skus'!$A:$AC,2,FALSE))="Soundcraft",(VLOOKUP(Table11[[#This Row],[SKU]],'All Skus'!$A:$AC,16,FALSE)),""))</f>
        <v>0</v>
      </c>
      <c r="L11" s="239">
        <f>(IF((VLOOKUP(Table11[[#This Row],[SKU]],'All Skus'!$A:$AC,2,FALSE))="Soundcraft",(VLOOKUP(Table11[[#This Row],[SKU]],'All Skus'!$A:$AC,17,FALSE)),""))</f>
        <v>0</v>
      </c>
      <c r="M11" s="239">
        <f>(IF((VLOOKUP(Table11[[#This Row],[SKU]],'All Skus'!$A:$AC,2,FALSE))="Soundcraft",(VLOOKUP(Table11[[#This Row],[SKU]],'All Skus'!$A:$AC,18,FALSE)),""))</f>
        <v>21.1</v>
      </c>
      <c r="N11" s="239">
        <f>(IF((VLOOKUP(Table11[[#This Row],[SKU]],'All Skus'!$A:$AC,2,FALSE))="Soundcraft",(VLOOKUP(Table11[[#This Row],[SKU]],'All Skus'!$A:$AC,19,FALSE)),""))</f>
        <v>18.5</v>
      </c>
      <c r="O11" s="239">
        <f>(IF((VLOOKUP(Table11[[#This Row],[SKU]],'All Skus'!$A:$AC,2,FALSE))="Soundcraft",(VLOOKUP(Table11[[#This Row],[SKU]],'All Skus'!$A:$AC,20,FALSE)),""))</f>
        <v>8</v>
      </c>
      <c r="P11" s="302">
        <f>(IF((VLOOKUP(Table11[[#This Row],[SKU]],'All Skus'!$A:$AC,2,FALSE))="Soundcraft",(VLOOKUP(Table11[[#This Row],[SKU]],'All Skus'!$A:$AC,21,FALSE)),""))</f>
        <v>18</v>
      </c>
      <c r="Q11" s="61" t="str">
        <f>(IF((VLOOKUP(Table11[[#This Row],[SKU]],'All Skus'!$A:$AC,2,FALSE))="Soundcraft",(VLOOKUP(Table11[[#This Row],[SKU]],'All Skus'!$A:$AC,22,FALSE)),""))</f>
        <v>MY</v>
      </c>
      <c r="R11" s="61" t="str">
        <f>(IF((VLOOKUP(Table11[[#This Row],[SKU]],'All Skus'!$A:$AC,2,FALSE))="Soundcraft",(VLOOKUP(Table11[[#This Row],[SKU]],'All Skus'!$A:$AC,23,FALSE)),""))</f>
        <v>Compliant</v>
      </c>
      <c r="S11" s="303" t="str">
        <f>HYPERLINK((IF((VLOOKUP(Table11[[#This Row],[SKU]],'All Skus'!$A:$AC,2,FALSE))="Soundcraft",(VLOOKUP(Table11[[#This Row],[SKU]],'All Skus'!$A:$AC,24,FALSE)),"")))</f>
        <v>http://www.soundcraft.com/products/epm</v>
      </c>
      <c r="T11" s="151">
        <v>9</v>
      </c>
    </row>
    <row r="12" spans="1:22" ht="15" customHeight="1">
      <c r="A12" s="158" t="s">
        <v>2395</v>
      </c>
      <c r="B12" s="159" t="str">
        <f>(IF((VLOOKUP(Table11[[#This Row],[SKU]],'All Skus'!$A:$AC,2,FALSE))="Soundcraft",(VLOOKUP(Table11[[#This Row],[SKU]],'All Skus'!$A:$AC,3,FALSE)),""))</f>
        <v>EFX Series</v>
      </c>
      <c r="C12" s="21" t="str">
        <f>(IF((VLOOKUP(Table11[[#This Row],[SKU]],'All Skus'!$A:$AC,2,FALSE))="Soundcraft",(VLOOKUP(Table11[[#This Row],[SKU]],'All Skus'!$A:$AC,4,FALSE)),""))</f>
        <v>E535.000000US</v>
      </c>
      <c r="D12" s="19" t="str">
        <f>(IF((VLOOKUP(Table11[[#This Row],[SKU]],'All Skus'!$A:$AC,2,FALSE))="Soundcraft",(VLOOKUP(Table11[[#This Row],[SKU]],'All Skus'!$A:$AC,5,FALSE)),""))</f>
        <v>SC-SML CO</v>
      </c>
      <c r="E12" s="19">
        <f>(IF((VLOOKUP(Table11[[#This Row],[SKU]],'All Skus'!$A:$AC,2,FALSE))="Soundcraft",(VLOOKUP(Table11[[#This Row],[SKU]],'All Skus'!$A:$AC,6,FALSE)),""))</f>
        <v>0</v>
      </c>
      <c r="F12" s="18">
        <f>(IF((VLOOKUP(Table11[[#This Row],[SKU]],'All Skus'!$A:$AC,2,FALSE))="Soundcraft",(VLOOKUP(Table11[[#This Row],[SKU]],'All Skus'!$A:$AC,7,FALSE)),""))</f>
        <v>0</v>
      </c>
      <c r="G12" s="22" t="str">
        <f>(IF((VLOOKUP(Table11[[#This Row],[SKU]],'All Skus'!$A:$AC,2,FALSE))="Soundcraft",(VLOOKUP(Table11[[#This Row],[SKU]],'All Skus'!$A:$AC,8,FALSE)),""))</f>
        <v>EFX8</v>
      </c>
      <c r="H12" s="22" t="str">
        <f>(IF((VLOOKUP(Table11[[#This Row],[SKU]],'All Skus'!$A:$AC,2,FALSE))="Soundcraft",(VLOOKUP(Table11[[#This Row],[SKU]],'All Skus'!$A:$AC,9,FALSE)),""))</f>
        <v>EFX8</v>
      </c>
      <c r="I12" s="157">
        <f>(IF((VLOOKUP(Table11[[#This Row],[SKU]],'All Skus'!$A:$AC,2,FALSE))="Soundcraft",(VLOOKUP(Table11[[#This Row],[SKU]],'All Skus'!$A:$AC,10,FALSE)),""))</f>
        <v>552.21</v>
      </c>
      <c r="J12" s="157">
        <f>(IF((VLOOKUP(Table11[[#This Row],[SKU]],'All Skus'!$A:$AC,2,FALSE))="Soundcraft",(VLOOKUP(Table11[[#This Row],[SKU]],'All Skus'!$A:$AC,11,FALSE)),""))</f>
        <v>525</v>
      </c>
      <c r="K12" s="271">
        <f>(IF((VLOOKUP(Table11[[#This Row],[SKU]],'All Skus'!$A:$AC,2,FALSE))="Soundcraft",(VLOOKUP(Table11[[#This Row],[SKU]],'All Skus'!$A:$AC,16,FALSE)),""))</f>
        <v>0</v>
      </c>
      <c r="L12" s="239">
        <f>(IF((VLOOKUP(Table11[[#This Row],[SKU]],'All Skus'!$A:$AC,2,FALSE))="Soundcraft",(VLOOKUP(Table11[[#This Row],[SKU]],'All Skus'!$A:$AC,17,FALSE)),""))</f>
        <v>0</v>
      </c>
      <c r="M12" s="239">
        <f>(IF((VLOOKUP(Table11[[#This Row],[SKU]],'All Skus'!$A:$AC,2,FALSE))="Soundcraft",(VLOOKUP(Table11[[#This Row],[SKU]],'All Skus'!$A:$AC,18,FALSE)),""))</f>
        <v>15.9</v>
      </c>
      <c r="N12" s="147">
        <f>(IF((VLOOKUP(Table11[[#This Row],[SKU]],'All Skus'!$A:$AC,2,FALSE))="Soundcraft",(VLOOKUP(Table11[[#This Row],[SKU]],'All Skus'!$A:$AC,19,FALSE)),""))</f>
        <v>18.5</v>
      </c>
      <c r="O12" s="147">
        <f>(IF((VLOOKUP(Table11[[#This Row],[SKU]],'All Skus'!$A:$AC,2,FALSE))="Soundcraft",(VLOOKUP(Table11[[#This Row],[SKU]],'All Skus'!$A:$AC,20,FALSE)),""))</f>
        <v>17.5</v>
      </c>
      <c r="P12" s="240">
        <f>(IF((VLOOKUP(Table11[[#This Row],[SKU]],'All Skus'!$A:$AC,2,FALSE))="Soundcraft",(VLOOKUP(Table11[[#This Row],[SKU]],'All Skus'!$A:$AC,21,FALSE)),""))</f>
        <v>17.5</v>
      </c>
      <c r="Q12" s="61" t="str">
        <f>(IF((VLOOKUP(Table11[[#This Row],[SKU]],'All Skus'!$A:$AC,2,FALSE))="Soundcraft",(VLOOKUP(Table11[[#This Row],[SKU]],'All Skus'!$A:$AC,22,FALSE)),""))</f>
        <v>CN</v>
      </c>
      <c r="R12" s="61" t="str">
        <f>(IF((VLOOKUP(Table11[[#This Row],[SKU]],'All Skus'!$A:$AC,2,FALSE))="Soundcraft",(VLOOKUP(Table11[[#This Row],[SKU]],'All Skus'!$A:$AC,23,FALSE)),""))</f>
        <v>Non Compliant</v>
      </c>
      <c r="S12" s="212" t="str">
        <f>HYPERLINK((IF((VLOOKUP(Table11[[#This Row],[SKU]],'All Skus'!$A:$AC,2,FALSE))="Soundcraft",(VLOOKUP(Table11[[#This Row],[SKU]],'All Skus'!$A:$AC,24,FALSE)),"")))</f>
        <v>http://www.soundcraft.com/products/efx</v>
      </c>
      <c r="T12" s="151">
        <v>10</v>
      </c>
    </row>
    <row r="13" spans="1:22" ht="15" customHeight="1">
      <c r="A13" s="158" t="s">
        <v>2392</v>
      </c>
      <c r="B13" s="159" t="str">
        <f>(IF((VLOOKUP(Table11[[#This Row],[SKU]],'All Skus'!$A:$AC,2,FALSE))="Soundcraft",(VLOOKUP(Table11[[#This Row],[SKU]],'All Skus'!$A:$AC,3,FALSE)),""))</f>
        <v>EPM Series Accessories</v>
      </c>
      <c r="C13" s="21" t="str">
        <f>(IF((VLOOKUP(Table11[[#This Row],[SKU]],'All Skus'!$A:$AC,2,FALSE))="Soundcraft",(VLOOKUP(Table11[[#This Row],[SKU]],'All Skus'!$A:$AC,4,FALSE)),""))</f>
        <v>RW5744</v>
      </c>
      <c r="D13" s="19" t="str">
        <f>(IF((VLOOKUP(Table11[[#This Row],[SKU]],'All Skus'!$A:$AC,2,FALSE))="Soundcraft",(VLOOKUP(Table11[[#This Row],[SKU]],'All Skus'!$A:$AC,5,FALSE)),""))</f>
        <v>SC-OTHER</v>
      </c>
      <c r="E13" s="19">
        <f>(IF((VLOOKUP(Table11[[#This Row],[SKU]],'All Skus'!$A:$AC,2,FALSE))="Soundcraft",(VLOOKUP(Table11[[#This Row],[SKU]],'All Skus'!$A:$AC,6,FALSE)),""))</f>
        <v>0</v>
      </c>
      <c r="F13" s="18">
        <f>(IF((VLOOKUP(Table11[[#This Row],[SKU]],'All Skus'!$A:$AC,2,FALSE))="Soundcraft",(VLOOKUP(Table11[[#This Row],[SKU]],'All Skus'!$A:$AC,7,FALSE)),""))</f>
        <v>0</v>
      </c>
      <c r="G13" s="22" t="str">
        <f>(IF((VLOOKUP(Table11[[#This Row],[SKU]],'All Skus'!$A:$AC,2,FALSE))="Soundcraft",(VLOOKUP(Table11[[#This Row],[SKU]],'All Skus'!$A:$AC,8,FALSE)),""))</f>
        <v>EPM</v>
      </c>
      <c r="H13" s="22" t="str">
        <f>(IF((VLOOKUP(Table11[[#This Row],[SKU]],'All Skus'!$A:$AC,2,FALSE))="Soundcraft",(VLOOKUP(Table11[[#This Row],[SKU]],'All Skus'!$A:$AC,9,FALSE)),""))</f>
        <v>Rackmount Kit E 6</v>
      </c>
      <c r="I13" s="157">
        <f>(IF((VLOOKUP(Table11[[#This Row],[SKU]],'All Skus'!$A:$AC,2,FALSE))="Soundcraft",(VLOOKUP(Table11[[#This Row],[SKU]],'All Skus'!$A:$AC,10,FALSE)),""))</f>
        <v>47.93</v>
      </c>
      <c r="J13" s="157">
        <f>(IF((VLOOKUP(Table11[[#This Row],[SKU]],'All Skus'!$A:$AC,2,FALSE))="Soundcraft",(VLOOKUP(Table11[[#This Row],[SKU]],'All Skus'!$A:$AC,11,FALSE)),""))</f>
        <v>47.93</v>
      </c>
      <c r="K13" s="271">
        <f>(IF((VLOOKUP(Table11[[#This Row],[SKU]],'All Skus'!$A:$AC,2,FALSE))="Soundcraft",(VLOOKUP(Table11[[#This Row],[SKU]],'All Skus'!$A:$AC,16,FALSE)),""))</f>
        <v>688705000466</v>
      </c>
      <c r="L13" s="239">
        <f>(IF((VLOOKUP(Table11[[#This Row],[SKU]],'All Skus'!$A:$AC,2,FALSE))="Soundcraft",(VLOOKUP(Table11[[#This Row],[SKU]],'All Skus'!$A:$AC,17,FALSE)),""))</f>
        <v>0</v>
      </c>
      <c r="M13" s="239">
        <f>(IF((VLOOKUP(Table11[[#This Row],[SKU]],'All Skus'!$A:$AC,2,FALSE))="Soundcraft",(VLOOKUP(Table11[[#This Row],[SKU]],'All Skus'!$A:$AC,18,FALSE)),""))</f>
        <v>4</v>
      </c>
      <c r="N13" s="147">
        <f>(IF((VLOOKUP(Table11[[#This Row],[SKU]],'All Skus'!$A:$AC,2,FALSE))="Soundcraft",(VLOOKUP(Table11[[#This Row],[SKU]],'All Skus'!$A:$AC,19,FALSE)),""))</f>
        <v>10</v>
      </c>
      <c r="O13" s="147">
        <f>(IF((VLOOKUP(Table11[[#This Row],[SKU]],'All Skus'!$A:$AC,2,FALSE))="Soundcraft",(VLOOKUP(Table11[[#This Row],[SKU]],'All Skus'!$A:$AC,20,FALSE)),""))</f>
        <v>10</v>
      </c>
      <c r="P13" s="240">
        <f>(IF((VLOOKUP(Table11[[#This Row],[SKU]],'All Skus'!$A:$AC,2,FALSE))="Soundcraft",(VLOOKUP(Table11[[#This Row],[SKU]],'All Skus'!$A:$AC,21,FALSE)),""))</f>
        <v>2</v>
      </c>
      <c r="Q13" s="61" t="str">
        <f>(IF((VLOOKUP(Table11[[#This Row],[SKU]],'All Skus'!$A:$AC,2,FALSE))="Soundcraft",(VLOOKUP(Table11[[#This Row],[SKU]],'All Skus'!$A:$AC,22,FALSE)),""))</f>
        <v>CN</v>
      </c>
      <c r="R13" s="61" t="str">
        <f>(IF((VLOOKUP(Table11[[#This Row],[SKU]],'All Skus'!$A:$AC,2,FALSE))="Soundcraft",(VLOOKUP(Table11[[#This Row],[SKU]],'All Skus'!$A:$AC,23,FALSE)),""))</f>
        <v>Non Compliant</v>
      </c>
      <c r="S13" s="212" t="str">
        <f>HYPERLINK((IF((VLOOKUP(Table11[[#This Row],[SKU]],'All Skus'!$A:$AC,2,FALSE))="Soundcraft",(VLOOKUP(Table11[[#This Row],[SKU]],'All Skus'!$A:$AC,24,FALSE)),"")))</f>
        <v>for EPM6</v>
      </c>
      <c r="T13" s="151">
        <v>11</v>
      </c>
    </row>
    <row r="14" spans="1:22" ht="15" customHeight="1">
      <c r="A14" s="158" t="s">
        <v>2393</v>
      </c>
      <c r="B14" s="159" t="str">
        <f>(IF((VLOOKUP(Table11[[#This Row],[SKU]],'All Skus'!$A:$AC,2,FALSE))="Soundcraft",(VLOOKUP(Table11[[#This Row],[SKU]],'All Skus'!$A:$AC,3,FALSE)),""))</f>
        <v>EPM Series Accessories</v>
      </c>
      <c r="C14" s="21" t="str">
        <f>(IF((VLOOKUP(Table11[[#This Row],[SKU]],'All Skus'!$A:$AC,2,FALSE))="Soundcraft",(VLOOKUP(Table11[[#This Row],[SKU]],'All Skus'!$A:$AC,4,FALSE)),""))</f>
        <v>RW5745</v>
      </c>
      <c r="D14" s="19" t="str">
        <f>(IF((VLOOKUP(Table11[[#This Row],[SKU]],'All Skus'!$A:$AC,2,FALSE))="Soundcraft",(VLOOKUP(Table11[[#This Row],[SKU]],'All Skus'!$A:$AC,5,FALSE)),""))</f>
        <v>SC-OTHER</v>
      </c>
      <c r="E14" s="19">
        <f>(IF((VLOOKUP(Table11[[#This Row],[SKU]],'All Skus'!$A:$AC,2,FALSE))="Soundcraft",(VLOOKUP(Table11[[#This Row],[SKU]],'All Skus'!$A:$AC,6,FALSE)),""))</f>
        <v>0</v>
      </c>
      <c r="F14" s="18">
        <f>(IF((VLOOKUP(Table11[[#This Row],[SKU]],'All Skus'!$A:$AC,2,FALSE))="Soundcraft",(VLOOKUP(Table11[[#This Row],[SKU]],'All Skus'!$A:$AC,7,FALSE)),""))</f>
        <v>0</v>
      </c>
      <c r="G14" s="22" t="str">
        <f>(IF((VLOOKUP(Table11[[#This Row],[SKU]],'All Skus'!$A:$AC,2,FALSE))="Soundcraft",(VLOOKUP(Table11[[#This Row],[SKU]],'All Skus'!$A:$AC,8,FALSE)),""))</f>
        <v>EPM</v>
      </c>
      <c r="H14" s="22" t="str">
        <f>(IF((VLOOKUP(Table11[[#This Row],[SKU]],'All Skus'!$A:$AC,2,FALSE))="Soundcraft",(VLOOKUP(Table11[[#This Row],[SKU]],'All Skus'!$A:$AC,9,FALSE)),""))</f>
        <v>Rackmount Kit E 8</v>
      </c>
      <c r="I14" s="157">
        <f>(IF((VLOOKUP(Table11[[#This Row],[SKU]],'All Skus'!$A:$AC,2,FALSE))="Soundcraft",(VLOOKUP(Table11[[#This Row],[SKU]],'All Skus'!$A:$AC,10,FALSE)),""))</f>
        <v>54.08</v>
      </c>
      <c r="J14" s="157">
        <f>(IF((VLOOKUP(Table11[[#This Row],[SKU]],'All Skus'!$A:$AC,2,FALSE))="Soundcraft",(VLOOKUP(Table11[[#This Row],[SKU]],'All Skus'!$A:$AC,11,FALSE)),""))</f>
        <v>54.08</v>
      </c>
      <c r="K14" s="271">
        <f>(IF((VLOOKUP(Table11[[#This Row],[SKU]],'All Skus'!$A:$AC,2,FALSE))="Soundcraft",(VLOOKUP(Table11[[#This Row],[SKU]],'All Skus'!$A:$AC,16,FALSE)),""))</f>
        <v>688705000473</v>
      </c>
      <c r="L14" s="239">
        <f>(IF((VLOOKUP(Table11[[#This Row],[SKU]],'All Skus'!$A:$AC,2,FALSE))="Soundcraft",(VLOOKUP(Table11[[#This Row],[SKU]],'All Skus'!$A:$AC,17,FALSE)),""))</f>
        <v>0</v>
      </c>
      <c r="M14" s="239">
        <f>(IF((VLOOKUP(Table11[[#This Row],[SKU]],'All Skus'!$A:$AC,2,FALSE))="Soundcraft",(VLOOKUP(Table11[[#This Row],[SKU]],'All Skus'!$A:$AC,18,FALSE)),""))</f>
        <v>3</v>
      </c>
      <c r="N14" s="147">
        <f>(IF((VLOOKUP(Table11[[#This Row],[SKU]],'All Skus'!$A:$AC,2,FALSE))="Soundcraft",(VLOOKUP(Table11[[#This Row],[SKU]],'All Skus'!$A:$AC,19,FALSE)),""))</f>
        <v>10</v>
      </c>
      <c r="O14" s="147">
        <f>(IF((VLOOKUP(Table11[[#This Row],[SKU]],'All Skus'!$A:$AC,2,FALSE))="Soundcraft",(VLOOKUP(Table11[[#This Row],[SKU]],'All Skus'!$A:$AC,20,FALSE)),""))</f>
        <v>16</v>
      </c>
      <c r="P14" s="240">
        <f>(IF((VLOOKUP(Table11[[#This Row],[SKU]],'All Skus'!$A:$AC,2,FALSE))="Soundcraft",(VLOOKUP(Table11[[#This Row],[SKU]],'All Skus'!$A:$AC,21,FALSE)),""))</f>
        <v>16</v>
      </c>
      <c r="Q14" s="61" t="str">
        <f>(IF((VLOOKUP(Table11[[#This Row],[SKU]],'All Skus'!$A:$AC,2,FALSE))="Soundcraft",(VLOOKUP(Table11[[#This Row],[SKU]],'All Skus'!$A:$AC,22,FALSE)),""))</f>
        <v>CN</v>
      </c>
      <c r="R14" s="61" t="str">
        <f>(IF((VLOOKUP(Table11[[#This Row],[SKU]],'All Skus'!$A:$AC,2,FALSE))="Soundcraft",(VLOOKUP(Table11[[#This Row],[SKU]],'All Skus'!$A:$AC,23,FALSE)),""))</f>
        <v>Non Compliant</v>
      </c>
      <c r="S14" s="212" t="str">
        <f>HYPERLINK((IF((VLOOKUP(Table11[[#This Row],[SKU]],'All Skus'!$A:$AC,2,FALSE))="Soundcraft",(VLOOKUP(Table11[[#This Row],[SKU]],'All Skus'!$A:$AC,24,FALSE)),"")))</f>
        <v>for EPM/EFX8</v>
      </c>
      <c r="T14" s="151">
        <v>12</v>
      </c>
    </row>
    <row r="15" spans="1:22" ht="15" customHeight="1">
      <c r="A15" s="158" t="s">
        <v>8002</v>
      </c>
      <c r="B15" s="159" t="str">
        <f>(IF((VLOOKUP(Table11[[#This Row],[SKU]],'All Skus'!$A:$AC,2,FALSE))="Soundcraft",(VLOOKUP(Table11[[#This Row],[SKU]],'All Skus'!$A:$AC,3,FALSE)),""))</f>
        <v>EFX Series</v>
      </c>
      <c r="C15" s="21" t="str">
        <f>(IF((VLOOKUP(Table11[[#This Row],[SKU]],'All Skus'!$A:$AC,2,FALSE))="Soundcraft",(VLOOKUP(Table11[[#This Row],[SKU]],'All Skus'!$A:$AC,4,FALSE)),""))</f>
        <v>E535.100000US</v>
      </c>
      <c r="D15" s="19" t="str">
        <f>(IF((VLOOKUP(Table11[[#This Row],[SKU]],'All Skus'!$A:$AC,2,FALSE))="Soundcraft",(VLOOKUP(Table11[[#This Row],[SKU]],'All Skus'!$A:$AC,5,FALSE)),""))</f>
        <v>SC-SML CO</v>
      </c>
      <c r="E15" s="19">
        <f>(IF((VLOOKUP(Table11[[#This Row],[SKU]],'All Skus'!$A:$AC,2,FALSE))="Soundcraft",(VLOOKUP(Table11[[#This Row],[SKU]],'All Skus'!$A:$AC,6,FALSE)),""))</f>
        <v>0</v>
      </c>
      <c r="F15" s="18">
        <f>(IF((VLOOKUP(Table11[[#This Row],[SKU]],'All Skus'!$A:$AC,2,FALSE))="Soundcraft",(VLOOKUP(Table11[[#This Row],[SKU]],'All Skus'!$A:$AC,7,FALSE)),""))</f>
        <v>0</v>
      </c>
      <c r="G15" s="22" t="str">
        <f>(IF((VLOOKUP(Table11[[#This Row],[SKU]],'All Skus'!$A:$AC,2,FALSE))="Soundcraft",(VLOOKUP(Table11[[#This Row],[SKU]],'All Skus'!$A:$AC,8,FALSE)),""))</f>
        <v>EFX12</v>
      </c>
      <c r="H15" s="22" t="str">
        <f>(IF((VLOOKUP(Table11[[#This Row],[SKU]],'All Skus'!$A:$AC,2,FALSE))="Soundcraft",(VLOOKUP(Table11[[#This Row],[SKU]],'All Skus'!$A:$AC,9,FALSE)),""))</f>
        <v>EFX12</v>
      </c>
      <c r="I15" s="157">
        <f>(IF((VLOOKUP(Table11[[#This Row],[SKU]],'All Skus'!$A:$AC,2,FALSE))="Soundcraft",(VLOOKUP(Table11[[#This Row],[SKU]],'All Skus'!$A:$AC,10,FALSE)),""))</f>
        <v>779</v>
      </c>
      <c r="J15" s="157">
        <f>(IF((VLOOKUP(Table11[[#This Row],[SKU]],'All Skus'!$A:$AC,2,FALSE))="Soundcraft",(VLOOKUP(Table11[[#This Row],[SKU]],'All Skus'!$A:$AC,11,FALSE)),""))</f>
        <v>625</v>
      </c>
      <c r="K15" s="271">
        <f>(IF((VLOOKUP(Table11[[#This Row],[SKU]],'All Skus'!$A:$AC,2,FALSE))="Soundcraft",(VLOOKUP(Table11[[#This Row],[SKU]],'All Skus'!$A:$AC,16,FALSE)),""))</f>
        <v>0</v>
      </c>
      <c r="L15" s="239">
        <f>(IF((VLOOKUP(Table11[[#This Row],[SKU]],'All Skus'!$A:$AC,2,FALSE))="Soundcraft",(VLOOKUP(Table11[[#This Row],[SKU]],'All Skus'!$A:$AC,17,FALSE)),""))</f>
        <v>0</v>
      </c>
      <c r="M15" s="239">
        <f>(IF((VLOOKUP(Table11[[#This Row],[SKU]],'All Skus'!$A:$AC,2,FALSE))="Soundcraft",(VLOOKUP(Table11[[#This Row],[SKU]],'All Skus'!$A:$AC,18,FALSE)),""))</f>
        <v>21.1</v>
      </c>
      <c r="N15" s="147">
        <f>(IF((VLOOKUP(Table11[[#This Row],[SKU]],'All Skus'!$A:$AC,2,FALSE))="Soundcraft",(VLOOKUP(Table11[[#This Row],[SKU]],'All Skus'!$A:$AC,19,FALSE)),""))</f>
        <v>18.5</v>
      </c>
      <c r="O15" s="147">
        <f>(IF((VLOOKUP(Table11[[#This Row],[SKU]],'All Skus'!$A:$AC,2,FALSE))="Soundcraft",(VLOOKUP(Table11[[#This Row],[SKU]],'All Skus'!$A:$AC,20,FALSE)),""))</f>
        <v>21</v>
      </c>
      <c r="P15" s="240">
        <f>(IF((VLOOKUP(Table11[[#This Row],[SKU]],'All Skus'!$A:$AC,2,FALSE))="Soundcraft",(VLOOKUP(Table11[[#This Row],[SKU]],'All Skus'!$A:$AC,21,FALSE)),""))</f>
        <v>8</v>
      </c>
      <c r="Q15" s="61" t="str">
        <f>(IF((VLOOKUP(Table11[[#This Row],[SKU]],'All Skus'!$A:$AC,2,FALSE))="Soundcraft",(VLOOKUP(Table11[[#This Row],[SKU]],'All Skus'!$A:$AC,22,FALSE)),""))</f>
        <v>CN</v>
      </c>
      <c r="R15" s="61" t="str">
        <f>(IF((VLOOKUP(Table11[[#This Row],[SKU]],'All Skus'!$A:$AC,2,FALSE))="Soundcraft",(VLOOKUP(Table11[[#This Row],[SKU]],'All Skus'!$A:$AC,23,FALSE)),""))</f>
        <v>Non Compliant</v>
      </c>
      <c r="S15" s="212" t="str">
        <f>HYPERLINK((IF((VLOOKUP(Table11[[#This Row],[SKU]],'All Skus'!$A:$AC,2,FALSE))="Soundcraft",(VLOOKUP(Table11[[#This Row],[SKU]],'All Skus'!$A:$AC,24,FALSE)),"")))</f>
        <v>http://www.soundcraft.com/products/efx</v>
      </c>
      <c r="T15" s="151">
        <v>13</v>
      </c>
    </row>
    <row r="16" spans="1:22" ht="15" customHeight="1">
      <c r="A16" s="158" t="s">
        <v>2394</v>
      </c>
      <c r="B16" s="159" t="str">
        <f>(IF((VLOOKUP(Table11[[#This Row],[SKU]],'All Skus'!$A:$AC,2,FALSE))="Soundcraft",(VLOOKUP(Table11[[#This Row],[SKU]],'All Skus'!$A:$AC,3,FALSE)),""))</f>
        <v>EPM Series Accessories</v>
      </c>
      <c r="C16" s="21" t="str">
        <f>(IF((VLOOKUP(Table11[[#This Row],[SKU]],'All Skus'!$A:$AC,2,FALSE))="Soundcraft",(VLOOKUP(Table11[[#This Row],[SKU]],'All Skus'!$A:$AC,4,FALSE)),""))</f>
        <v>RW5746</v>
      </c>
      <c r="D16" s="19" t="str">
        <f>(IF((VLOOKUP(Table11[[#This Row],[SKU]],'All Skus'!$A:$AC,2,FALSE))="Soundcraft",(VLOOKUP(Table11[[#This Row],[SKU]],'All Skus'!$A:$AC,5,FALSE)),""))</f>
        <v>SC-OTHER</v>
      </c>
      <c r="E16" s="19">
        <f>(IF((VLOOKUP(Table11[[#This Row],[SKU]],'All Skus'!$A:$AC,2,FALSE))="Soundcraft",(VLOOKUP(Table11[[#This Row],[SKU]],'All Skus'!$A:$AC,6,FALSE)),""))</f>
        <v>0</v>
      </c>
      <c r="F16" s="18">
        <f>(IF((VLOOKUP(Table11[[#This Row],[SKU]],'All Skus'!$A:$AC,2,FALSE))="Soundcraft",(VLOOKUP(Table11[[#This Row],[SKU]],'All Skus'!$A:$AC,7,FALSE)),""))</f>
        <v>0</v>
      </c>
      <c r="G16" s="22" t="str">
        <f>(IF((VLOOKUP(Table11[[#This Row],[SKU]],'All Skus'!$A:$AC,2,FALSE))="Soundcraft",(VLOOKUP(Table11[[#This Row],[SKU]],'All Skus'!$A:$AC,8,FALSE)),""))</f>
        <v>EPM</v>
      </c>
      <c r="H16" s="22" t="str">
        <f>(IF((VLOOKUP(Table11[[#This Row],[SKU]],'All Skus'!$A:$AC,2,FALSE))="Soundcraft",(VLOOKUP(Table11[[#This Row],[SKU]],'All Skus'!$A:$AC,9,FALSE)),""))</f>
        <v>Rackmount Kit E 12</v>
      </c>
      <c r="I16" s="157">
        <f>(IF((VLOOKUP(Table11[[#This Row],[SKU]],'All Skus'!$A:$AC,2,FALSE))="Soundcraft",(VLOOKUP(Table11[[#This Row],[SKU]],'All Skus'!$A:$AC,10,FALSE)),""))</f>
        <v>34.409999999999997</v>
      </c>
      <c r="J16" s="157">
        <f>(IF((VLOOKUP(Table11[[#This Row],[SKU]],'All Skus'!$A:$AC,2,FALSE))="Soundcraft",(VLOOKUP(Table11[[#This Row],[SKU]],'All Skus'!$A:$AC,11,FALSE)),""))</f>
        <v>34.409999999999997</v>
      </c>
      <c r="K16" s="271">
        <f>(IF((VLOOKUP(Table11[[#This Row],[SKU]],'All Skus'!$A:$AC,2,FALSE))="Soundcraft",(VLOOKUP(Table11[[#This Row],[SKU]],'All Skus'!$A:$AC,16,FALSE)),""))</f>
        <v>688705000541</v>
      </c>
      <c r="L16" s="239">
        <f>(IF((VLOOKUP(Table11[[#This Row],[SKU]],'All Skus'!$A:$AC,2,FALSE))="Soundcraft",(VLOOKUP(Table11[[#This Row],[SKU]],'All Skus'!$A:$AC,17,FALSE)),""))</f>
        <v>0</v>
      </c>
      <c r="M16" s="239">
        <f>(IF((VLOOKUP(Table11[[#This Row],[SKU]],'All Skus'!$A:$AC,2,FALSE))="Soundcraft",(VLOOKUP(Table11[[#This Row],[SKU]],'All Skus'!$A:$AC,18,FALSE)),""))</f>
        <v>2</v>
      </c>
      <c r="N16" s="147">
        <f>(IF((VLOOKUP(Table11[[#This Row],[SKU]],'All Skus'!$A:$AC,2,FALSE))="Soundcraft",(VLOOKUP(Table11[[#This Row],[SKU]],'All Skus'!$A:$AC,19,FALSE)),""))</f>
        <v>10</v>
      </c>
      <c r="O16" s="147">
        <f>(IF((VLOOKUP(Table11[[#This Row],[SKU]],'All Skus'!$A:$AC,2,FALSE))="Soundcraft",(VLOOKUP(Table11[[#This Row],[SKU]],'All Skus'!$A:$AC,20,FALSE)),""))</f>
        <v>16</v>
      </c>
      <c r="P16" s="240">
        <f>(IF((VLOOKUP(Table11[[#This Row],[SKU]],'All Skus'!$A:$AC,2,FALSE))="Soundcraft",(VLOOKUP(Table11[[#This Row],[SKU]],'All Skus'!$A:$AC,21,FALSE)),""))</f>
        <v>16</v>
      </c>
      <c r="Q16" s="61" t="str">
        <f>(IF((VLOOKUP(Table11[[#This Row],[SKU]],'All Skus'!$A:$AC,2,FALSE))="Soundcraft",(VLOOKUP(Table11[[#This Row],[SKU]],'All Skus'!$A:$AC,22,FALSE)),""))</f>
        <v>CN</v>
      </c>
      <c r="R16" s="61" t="str">
        <f>(IF((VLOOKUP(Table11[[#This Row],[SKU]],'All Skus'!$A:$AC,2,FALSE))="Soundcraft",(VLOOKUP(Table11[[#This Row],[SKU]],'All Skus'!$A:$AC,23,FALSE)),""))</f>
        <v>Non Compliant</v>
      </c>
      <c r="S16" s="212" t="str">
        <f>HYPERLINK((IF((VLOOKUP(Table11[[#This Row],[SKU]],'All Skus'!$A:$AC,2,FALSE))="Soundcraft",(VLOOKUP(Table11[[#This Row],[SKU]],'All Skus'!$A:$AC,24,FALSE)),"")))</f>
        <v>for EPM/EFX12</v>
      </c>
      <c r="T16" s="151">
        <v>14</v>
      </c>
    </row>
    <row r="17" spans="1:20" ht="15" customHeight="1">
      <c r="A17" s="158" t="s">
        <v>2398</v>
      </c>
      <c r="B17" s="159" t="str">
        <f>(IF((VLOOKUP(Table11[[#This Row],[SKU]],'All Skus'!$A:$AC,2,FALSE))="Soundcraft",(VLOOKUP(Table11[[#This Row],[SKU]],'All Skus'!$A:$AC,3,FALSE)),""))</f>
        <v>FX16ii Console</v>
      </c>
      <c r="C17" s="21" t="str">
        <f>(IF((VLOOKUP(Table11[[#This Row],[SKU]],'All Skus'!$A:$AC,2,FALSE))="Soundcraft",(VLOOKUP(Table11[[#This Row],[SKU]],'All Skus'!$A:$AC,4,FALSE)),""))</f>
        <v>RW5757US</v>
      </c>
      <c r="D17" s="19" t="str">
        <f>(IF((VLOOKUP(Table11[[#This Row],[SKU]],'All Skus'!$A:$AC,2,FALSE))="Soundcraft",(VLOOKUP(Table11[[#This Row],[SKU]],'All Skus'!$A:$AC,5,FALSE)),""))</f>
        <v>SC-SML CO</v>
      </c>
      <c r="E17" s="19">
        <f>(IF((VLOOKUP(Table11[[#This Row],[SKU]],'All Skus'!$A:$AC,2,FALSE))="Soundcraft",(VLOOKUP(Table11[[#This Row],[SKU]],'All Skus'!$A:$AC,6,FALSE)),""))</f>
        <v>0</v>
      </c>
      <c r="F17" s="18">
        <f>(IF((VLOOKUP(Table11[[#This Row],[SKU]],'All Skus'!$A:$AC,2,FALSE))="Soundcraft",(VLOOKUP(Table11[[#This Row],[SKU]],'All Skus'!$A:$AC,7,FALSE)),""))</f>
        <v>0</v>
      </c>
      <c r="G17" s="22" t="str">
        <f>(IF((VLOOKUP(Table11[[#This Row],[SKU]],'All Skus'!$A:$AC,2,FALSE))="Soundcraft",(VLOOKUP(Table11[[#This Row],[SKU]],'All Skus'!$A:$AC,8,FALSE)),""))</f>
        <v>FX16ii</v>
      </c>
      <c r="H17" s="22" t="str">
        <f>(IF((VLOOKUP(Table11[[#This Row],[SKU]],'All Skus'!$A:$AC,2,FALSE))="Soundcraft",(VLOOKUP(Table11[[#This Row],[SKU]],'All Skus'!$A:$AC,9,FALSE)),""))</f>
        <v>FX16ii</v>
      </c>
      <c r="I17" s="157">
        <f>(IF((VLOOKUP(Table11[[#This Row],[SKU]],'All Skus'!$A:$AC,2,FALSE))="Soundcraft",(VLOOKUP(Table11[[#This Row],[SKU]],'All Skus'!$A:$AC,10,FALSE)),""))</f>
        <v>1122.43</v>
      </c>
      <c r="J17" s="157">
        <f>(IF((VLOOKUP(Table11[[#This Row],[SKU]],'All Skus'!$A:$AC,2,FALSE))="Soundcraft",(VLOOKUP(Table11[[#This Row],[SKU]],'All Skus'!$A:$AC,11,FALSE)),""))</f>
        <v>1069</v>
      </c>
      <c r="K17" s="271">
        <f>(IF((VLOOKUP(Table11[[#This Row],[SKU]],'All Skus'!$A:$AC,2,FALSE))="Soundcraft",(VLOOKUP(Table11[[#This Row],[SKU]],'All Skus'!$A:$AC,16,FALSE)),""))</f>
        <v>0</v>
      </c>
      <c r="L17" s="239">
        <f>(IF((VLOOKUP(Table11[[#This Row],[SKU]],'All Skus'!$A:$AC,2,FALSE))="Soundcraft",(VLOOKUP(Table11[[#This Row],[SKU]],'All Skus'!$A:$AC,17,FALSE)),""))</f>
        <v>0</v>
      </c>
      <c r="M17" s="239">
        <f>(IF((VLOOKUP(Table11[[#This Row],[SKU]],'All Skus'!$A:$AC,2,FALSE))="Soundcraft",(VLOOKUP(Table11[[#This Row],[SKU]],'All Skus'!$A:$AC,18,FALSE)),""))</f>
        <v>24.3</v>
      </c>
      <c r="N17" s="147">
        <f>(IF((VLOOKUP(Table11[[#This Row],[SKU]],'All Skus'!$A:$AC,2,FALSE))="Soundcraft",(VLOOKUP(Table11[[#This Row],[SKU]],'All Skus'!$A:$AC,19,FALSE)),""))</f>
        <v>24.8</v>
      </c>
      <c r="O17" s="147">
        <f>(IF((VLOOKUP(Table11[[#This Row],[SKU]],'All Skus'!$A:$AC,2,FALSE))="Soundcraft",(VLOOKUP(Table11[[#This Row],[SKU]],'All Skus'!$A:$AC,20,FALSE)),""))</f>
        <v>23</v>
      </c>
      <c r="P17" s="240">
        <f>(IF((VLOOKUP(Table11[[#This Row],[SKU]],'All Skus'!$A:$AC,2,FALSE))="Soundcraft",(VLOOKUP(Table11[[#This Row],[SKU]],'All Skus'!$A:$AC,21,FALSE)),""))</f>
        <v>11</v>
      </c>
      <c r="Q17" s="61" t="str">
        <f>(IF((VLOOKUP(Table11[[#This Row],[SKU]],'All Skus'!$A:$AC,2,FALSE))="Soundcraft",(VLOOKUP(Table11[[#This Row],[SKU]],'All Skus'!$A:$AC,22,FALSE)),""))</f>
        <v>CN</v>
      </c>
      <c r="R17" s="61" t="str">
        <f>(IF((VLOOKUP(Table11[[#This Row],[SKU]],'All Skus'!$A:$AC,2,FALSE))="Soundcraft",(VLOOKUP(Table11[[#This Row],[SKU]],'All Skus'!$A:$AC,23,FALSE)),""))</f>
        <v>Non Compliant</v>
      </c>
      <c r="S17" s="212" t="str">
        <f>HYPERLINK((IF((VLOOKUP(Table11[[#This Row],[SKU]],'All Skus'!$A:$AC,2,FALSE))="Soundcraft",(VLOOKUP(Table11[[#This Row],[SKU]],'All Skus'!$A:$AC,24,FALSE)),"")))</f>
        <v>http://www.soundcraft.com/products/FX16ii?locale=en</v>
      </c>
      <c r="T17" s="151">
        <v>15</v>
      </c>
    </row>
    <row r="18" spans="1:20" ht="15.6" customHeight="1">
      <c r="A18" s="158">
        <v>5049551</v>
      </c>
      <c r="B18" s="159" t="str">
        <f>(IF((VLOOKUP(Table11[[#This Row],[SKU]],'All Skus'!$A:$AC,2,FALSE))="Soundcraft",(VLOOKUP(Table11[[#This Row],[SKU]],'All Skus'!$A:$AC,3,FALSE)),""))</f>
        <v>Signature Series</v>
      </c>
      <c r="C18" s="21">
        <f>(IF((VLOOKUP(Table11[[#This Row],[SKU]],'All Skus'!$A:$AC,2,FALSE))="Soundcraft",(VLOOKUP(Table11[[#This Row],[SKU]],'All Skus'!$A:$AC,4,FALSE)),""))</f>
        <v>5049551</v>
      </c>
      <c r="D18" s="19" t="str">
        <f>(IF((VLOOKUP(Table11[[#This Row],[SKU]],'All Skus'!$A:$AC,2,FALSE))="Soundcraft",(VLOOKUP(Table11[[#This Row],[SKU]],'All Skus'!$A:$AC,5,FALSE)),""))</f>
        <v>SC-SML CO</v>
      </c>
      <c r="E18" s="19">
        <f>(IF((VLOOKUP(Table11[[#This Row],[SKU]],'All Skus'!$A:$AC,2,FALSE))="Soundcraft",(VLOOKUP(Table11[[#This Row],[SKU]],'All Skus'!$A:$AC,6,FALSE)),""))</f>
        <v>0</v>
      </c>
      <c r="F18" s="18">
        <f>(IF((VLOOKUP(Table11[[#This Row],[SKU]],'All Skus'!$A:$AC,2,FALSE))="Soundcraft",(VLOOKUP(Table11[[#This Row],[SKU]],'All Skus'!$A:$AC,7,FALSE)),""))</f>
        <v>0</v>
      </c>
      <c r="G18" s="22" t="str">
        <f>(IF((VLOOKUP(Table11[[#This Row],[SKU]],'All Skus'!$A:$AC,2,FALSE))="Soundcraft",(VLOOKUP(Table11[[#This Row],[SKU]],'All Skus'!$A:$AC,8,FALSE)),""))</f>
        <v>Signature 10 US Mixing System</v>
      </c>
      <c r="H18" s="22" t="str">
        <f>(IF((VLOOKUP(Table11[[#This Row],[SKU]],'All Skus'!$A:$AC,2,FALSE))="Soundcraft",(VLOOKUP(Table11[[#This Row],[SKU]],'All Skus'!$A:$AC,9,FALSE)),""))</f>
        <v>Signature 10 (US)</v>
      </c>
      <c r="I18" s="157">
        <f>(IF((VLOOKUP(Table11[[#This Row],[SKU]],'All Skus'!$A:$AC,2,FALSE))="Soundcraft",(VLOOKUP(Table11[[#This Row],[SKU]],'All Skus'!$A:$AC,10,FALSE)),""))</f>
        <v>509.04</v>
      </c>
      <c r="J18" s="157">
        <f>(IF((VLOOKUP(Table11[[#This Row],[SKU]],'All Skus'!$A:$AC,2,FALSE))="Soundcraft",(VLOOKUP(Table11[[#This Row],[SKU]],'All Skus'!$A:$AC,11,FALSE)),""))</f>
        <v>409</v>
      </c>
      <c r="K18" s="271">
        <f>(IF((VLOOKUP(Table11[[#This Row],[SKU]],'All Skus'!$A:$AC,2,FALSE))="Soundcraft",(VLOOKUP(Table11[[#This Row],[SKU]],'All Skus'!$A:$AC,16,FALSE)),""))</f>
        <v>688705001111</v>
      </c>
      <c r="L18" s="239">
        <f>(IF((VLOOKUP(Table11[[#This Row],[SKU]],'All Skus'!$A:$AC,2,FALSE))="Soundcraft",(VLOOKUP(Table11[[#This Row],[SKU]],'All Skus'!$A:$AC,17,FALSE)),""))</f>
        <v>0</v>
      </c>
      <c r="M18" s="239">
        <f>(IF((VLOOKUP(Table11[[#This Row],[SKU]],'All Skus'!$A:$AC,2,FALSE))="Soundcraft",(VLOOKUP(Table11[[#This Row],[SKU]],'All Skus'!$A:$AC,18,FALSE)),""))</f>
        <v>13.25</v>
      </c>
      <c r="N18" s="147">
        <f>(IF((VLOOKUP(Table11[[#This Row],[SKU]],'All Skus'!$A:$AC,2,FALSE))="Soundcraft",(VLOOKUP(Table11[[#This Row],[SKU]],'All Skus'!$A:$AC,19,FALSE)),""))</f>
        <v>19.29</v>
      </c>
      <c r="O18" s="147">
        <f>(IF((VLOOKUP(Table11[[#This Row],[SKU]],'All Skus'!$A:$AC,2,FALSE))="Soundcraft",(VLOOKUP(Table11[[#This Row],[SKU]],'All Skus'!$A:$AC,20,FALSE)),""))</f>
        <v>14.96</v>
      </c>
      <c r="P18" s="240">
        <f>(IF((VLOOKUP(Table11[[#This Row],[SKU]],'All Skus'!$A:$AC,2,FALSE))="Soundcraft",(VLOOKUP(Table11[[#This Row],[SKU]],'All Skus'!$A:$AC,21,FALSE)),""))</f>
        <v>8.27</v>
      </c>
      <c r="Q18" s="61" t="str">
        <f>(IF((VLOOKUP(Table11[[#This Row],[SKU]],'All Skus'!$A:$AC,2,FALSE))="Soundcraft",(VLOOKUP(Table11[[#This Row],[SKU]],'All Skus'!$A:$AC,22,FALSE)),""))</f>
        <v>CN</v>
      </c>
      <c r="R18" s="61">
        <f>(IF((VLOOKUP(Table11[[#This Row],[SKU]],'All Skus'!$A:$AC,2,FALSE))="Soundcraft",(VLOOKUP(Table11[[#This Row],[SKU]],'All Skus'!$A:$AC,23,FALSE)),""))</f>
        <v>0</v>
      </c>
      <c r="S18" s="212" t="str">
        <f>HYPERLINK((IF((VLOOKUP(Table11[[#This Row],[SKU]],'All Skus'!$A:$AC,2,FALSE))="Soundcraft",(VLOOKUP(Table11[[#This Row],[SKU]],'All Skus'!$A:$AC,24,FALSE)),"")))</f>
        <v>http://www.soundcraft.com/products/signature-10</v>
      </c>
      <c r="T18" s="151">
        <v>16</v>
      </c>
    </row>
    <row r="19" spans="1:20" ht="15" customHeight="1">
      <c r="A19" s="158">
        <v>5065069</v>
      </c>
      <c r="B19" s="159" t="str">
        <f>(IF((VLOOKUP(Table11[[#This Row],[SKU]],'All Skus'!$A:$AC,2,FALSE))="Soundcraft",(VLOOKUP(Table11[[#This Row],[SKU]],'All Skus'!$A:$AC,3,FALSE)),""))</f>
        <v>Signature Series Accessories</v>
      </c>
      <c r="C19" s="21">
        <f>(IF((VLOOKUP(Table11[[#This Row],[SKU]],'All Skus'!$A:$AC,2,FALSE))="Soundcraft",(VLOOKUP(Table11[[#This Row],[SKU]],'All Skus'!$A:$AC,4,FALSE)),""))</f>
        <v>5065069</v>
      </c>
      <c r="D19" s="19">
        <f>(IF((VLOOKUP(Table11[[#This Row],[SKU]],'All Skus'!$A:$AC,2,FALSE))="Soundcraft",(VLOOKUP(Table11[[#This Row],[SKU]],'All Skus'!$A:$AC,5,FALSE)),""))</f>
        <v>82300300</v>
      </c>
      <c r="E19" s="19">
        <f>(IF((VLOOKUP(Table11[[#This Row],[SKU]],'All Skus'!$A:$AC,2,FALSE))="Soundcraft",(VLOOKUP(Table11[[#This Row],[SKU]],'All Skus'!$A:$AC,6,FALSE)),""))</f>
        <v>0</v>
      </c>
      <c r="F19" s="18">
        <f>(IF((VLOOKUP(Table11[[#This Row],[SKU]],'All Skus'!$A:$AC,2,FALSE))="Soundcraft",(VLOOKUP(Table11[[#This Row],[SKU]],'All Skus'!$A:$AC,7,FALSE)),""))</f>
        <v>0</v>
      </c>
      <c r="G19" s="22" t="str">
        <f>(IF((VLOOKUP(Table11[[#This Row],[SKU]],'All Skus'!$A:$AC,2,FALSE))="Soundcraft",(VLOOKUP(Table11[[#This Row],[SKU]],'All Skus'!$A:$AC,8,FALSE)),""))</f>
        <v>Signature 10 Rackmount Kit</v>
      </c>
      <c r="H19" s="22" t="str">
        <f>(IF((VLOOKUP(Table11[[#This Row],[SKU]],'All Skus'!$A:$AC,2,FALSE))="Soundcraft",(VLOOKUP(Table11[[#This Row],[SKU]],'All Skus'!$A:$AC,9,FALSE)),""))</f>
        <v>Signature 10 Rackmount Kit</v>
      </c>
      <c r="I19" s="157">
        <f>(IF((VLOOKUP(Table11[[#This Row],[SKU]],'All Skus'!$A:$AC,2,FALSE))="Soundcraft",(VLOOKUP(Table11[[#This Row],[SKU]],'All Skus'!$A:$AC,10,FALSE)),""))</f>
        <v>36.01</v>
      </c>
      <c r="J19" s="157">
        <f>(IF((VLOOKUP(Table11[[#This Row],[SKU]],'All Skus'!$A:$AC,2,FALSE))="Soundcraft",(VLOOKUP(Table11[[#This Row],[SKU]],'All Skus'!$A:$AC,11,FALSE)),""))</f>
        <v>30</v>
      </c>
      <c r="K19" s="271">
        <f>(IF((VLOOKUP(Table11[[#This Row],[SKU]],'All Skus'!$A:$AC,2,FALSE))="Soundcraft",(VLOOKUP(Table11[[#This Row],[SKU]],'All Skus'!$A:$AC,16,FALSE)),""))</f>
        <v>0</v>
      </c>
      <c r="L19" s="239">
        <f>(IF((VLOOKUP(Table11[[#This Row],[SKU]],'All Skus'!$A:$AC,2,FALSE))="Soundcraft",(VLOOKUP(Table11[[#This Row],[SKU]],'All Skus'!$A:$AC,17,FALSE)),""))</f>
        <v>0</v>
      </c>
      <c r="M19" s="239">
        <f>(IF((VLOOKUP(Table11[[#This Row],[SKU]],'All Skus'!$A:$AC,2,FALSE))="Soundcraft",(VLOOKUP(Table11[[#This Row],[SKU]],'All Skus'!$A:$AC,18,FALSE)),""))</f>
        <v>0</v>
      </c>
      <c r="N19" s="147">
        <f>(IF((VLOOKUP(Table11[[#This Row],[SKU]],'All Skus'!$A:$AC,2,FALSE))="Soundcraft",(VLOOKUP(Table11[[#This Row],[SKU]],'All Skus'!$A:$AC,19,FALSE)),""))</f>
        <v>0</v>
      </c>
      <c r="O19" s="147">
        <f>(IF((VLOOKUP(Table11[[#This Row],[SKU]],'All Skus'!$A:$AC,2,FALSE))="Soundcraft",(VLOOKUP(Table11[[#This Row],[SKU]],'All Skus'!$A:$AC,20,FALSE)),""))</f>
        <v>0</v>
      </c>
      <c r="P19" s="240">
        <f>(IF((VLOOKUP(Table11[[#This Row],[SKU]],'All Skus'!$A:$AC,2,FALSE))="Soundcraft",(VLOOKUP(Table11[[#This Row],[SKU]],'All Skus'!$A:$AC,21,FALSE)),""))</f>
        <v>0</v>
      </c>
      <c r="Q19" s="61" t="str">
        <f>(IF((VLOOKUP(Table11[[#This Row],[SKU]],'All Skus'!$A:$AC,2,FALSE))="Soundcraft",(VLOOKUP(Table11[[#This Row],[SKU]],'All Skus'!$A:$AC,22,FALSE)),""))</f>
        <v>CN</v>
      </c>
      <c r="R19" s="61">
        <f>(IF((VLOOKUP(Table11[[#This Row],[SKU]],'All Skus'!$A:$AC,2,FALSE))="Soundcraft",(VLOOKUP(Table11[[#This Row],[SKU]],'All Skus'!$A:$AC,23,FALSE)),""))</f>
        <v>0</v>
      </c>
      <c r="S19" s="212" t="str">
        <f>HYPERLINK((IF((VLOOKUP(Table11[[#This Row],[SKU]],'All Skus'!$A:$AC,2,FALSE))="Soundcraft",(VLOOKUP(Table11[[#This Row],[SKU]],'All Skus'!$A:$AC,24,FALSE)),"")))</f>
        <v/>
      </c>
      <c r="T19" s="151">
        <v>17</v>
      </c>
    </row>
    <row r="20" spans="1:20" ht="15" customHeight="1">
      <c r="A20" s="158">
        <v>5049555</v>
      </c>
      <c r="B20" s="159" t="str">
        <f>(IF((VLOOKUP(Table11[[#This Row],[SKU]],'All Skus'!$A:$AC,2,FALSE))="Soundcraft",(VLOOKUP(Table11[[#This Row],[SKU]],'All Skus'!$A:$AC,3,FALSE)),""))</f>
        <v>Signature Series</v>
      </c>
      <c r="C20" s="21">
        <f>(IF((VLOOKUP(Table11[[#This Row],[SKU]],'All Skus'!$A:$AC,2,FALSE))="Soundcraft",(VLOOKUP(Table11[[#This Row],[SKU]],'All Skus'!$A:$AC,4,FALSE)),""))</f>
        <v>5049555</v>
      </c>
      <c r="D20" s="19" t="str">
        <f>(IF((VLOOKUP(Table11[[#This Row],[SKU]],'All Skus'!$A:$AC,2,FALSE))="Soundcraft",(VLOOKUP(Table11[[#This Row],[SKU]],'All Skus'!$A:$AC,5,FALSE)),""))</f>
        <v>SC-SML CO</v>
      </c>
      <c r="E20" s="19">
        <f>(IF((VLOOKUP(Table11[[#This Row],[SKU]],'All Skus'!$A:$AC,2,FALSE))="Soundcraft",(VLOOKUP(Table11[[#This Row],[SKU]],'All Skus'!$A:$AC,6,FALSE)),""))</f>
        <v>0</v>
      </c>
      <c r="F20" s="18">
        <f>(IF((VLOOKUP(Table11[[#This Row],[SKU]],'All Skus'!$A:$AC,2,FALSE))="Soundcraft",(VLOOKUP(Table11[[#This Row],[SKU]],'All Skus'!$A:$AC,7,FALSE)),""))</f>
        <v>0</v>
      </c>
      <c r="G20" s="22" t="str">
        <f>(IF((VLOOKUP(Table11[[#This Row],[SKU]],'All Skus'!$A:$AC,2,FALSE))="Soundcraft",(VLOOKUP(Table11[[#This Row],[SKU]],'All Skus'!$A:$AC,8,FALSE)),""))</f>
        <v>Signature 12 US Mixing System</v>
      </c>
      <c r="H20" s="22" t="str">
        <f>(IF((VLOOKUP(Table11[[#This Row],[SKU]],'All Skus'!$A:$AC,2,FALSE))="Soundcraft",(VLOOKUP(Table11[[#This Row],[SKU]],'All Skus'!$A:$AC,9,FALSE)),""))</f>
        <v>Signature 12 (US)</v>
      </c>
      <c r="I20" s="157">
        <f>(IF((VLOOKUP(Table11[[#This Row],[SKU]],'All Skus'!$A:$AC,2,FALSE))="Soundcraft",(VLOOKUP(Table11[[#This Row],[SKU]],'All Skus'!$A:$AC,10,FALSE)),""))</f>
        <v>598.39</v>
      </c>
      <c r="J20" s="157">
        <f>(IF((VLOOKUP(Table11[[#This Row],[SKU]],'All Skus'!$A:$AC,2,FALSE))="Soundcraft",(VLOOKUP(Table11[[#This Row],[SKU]],'All Skus'!$A:$AC,11,FALSE)),""))</f>
        <v>479</v>
      </c>
      <c r="K20" s="271">
        <f>(IF((VLOOKUP(Table11[[#This Row],[SKU]],'All Skus'!$A:$AC,2,FALSE))="Soundcraft",(VLOOKUP(Table11[[#This Row],[SKU]],'All Skus'!$A:$AC,16,FALSE)),""))</f>
        <v>688705001142</v>
      </c>
      <c r="L20" s="239">
        <f>(IF((VLOOKUP(Table11[[#This Row],[SKU]],'All Skus'!$A:$AC,2,FALSE))="Soundcraft",(VLOOKUP(Table11[[#This Row],[SKU]],'All Skus'!$A:$AC,17,FALSE)),""))</f>
        <v>0</v>
      </c>
      <c r="M20" s="239">
        <f>(IF((VLOOKUP(Table11[[#This Row],[SKU]],'All Skus'!$A:$AC,2,FALSE))="Soundcraft",(VLOOKUP(Table11[[#This Row],[SKU]],'All Skus'!$A:$AC,18,FALSE)),""))</f>
        <v>15.27</v>
      </c>
      <c r="N20" s="147">
        <f>(IF((VLOOKUP(Table11[[#This Row],[SKU]],'All Skus'!$A:$AC,2,FALSE))="Soundcraft",(VLOOKUP(Table11[[#This Row],[SKU]],'All Skus'!$A:$AC,19,FALSE)),""))</f>
        <v>19.29</v>
      </c>
      <c r="O20" s="147">
        <f>(IF((VLOOKUP(Table11[[#This Row],[SKU]],'All Skus'!$A:$AC,2,FALSE))="Soundcraft",(VLOOKUP(Table11[[#This Row],[SKU]],'All Skus'!$A:$AC,20,FALSE)),""))</f>
        <v>17.91</v>
      </c>
      <c r="P20" s="240">
        <f>(IF((VLOOKUP(Table11[[#This Row],[SKU]],'All Skus'!$A:$AC,2,FALSE))="Soundcraft",(VLOOKUP(Table11[[#This Row],[SKU]],'All Skus'!$A:$AC,21,FALSE)),""))</f>
        <v>8.27</v>
      </c>
      <c r="Q20" s="61" t="str">
        <f>(IF((VLOOKUP(Table11[[#This Row],[SKU]],'All Skus'!$A:$AC,2,FALSE))="Soundcraft",(VLOOKUP(Table11[[#This Row],[SKU]],'All Skus'!$A:$AC,22,FALSE)),""))</f>
        <v>CN</v>
      </c>
      <c r="R20" s="61">
        <f>(IF((VLOOKUP(Table11[[#This Row],[SKU]],'All Skus'!$A:$AC,2,FALSE))="Soundcraft",(VLOOKUP(Table11[[#This Row],[SKU]],'All Skus'!$A:$AC,23,FALSE)),""))</f>
        <v>0</v>
      </c>
      <c r="S20" s="212" t="str">
        <f>HYPERLINK((IF((VLOOKUP(Table11[[#This Row],[SKU]],'All Skus'!$A:$AC,2,FALSE))="Soundcraft",(VLOOKUP(Table11[[#This Row],[SKU]],'All Skus'!$A:$AC,24,FALSE)),"")))</f>
        <v>http://www.soundcraft.com/products/signature-12</v>
      </c>
      <c r="T20" s="151">
        <v>18</v>
      </c>
    </row>
    <row r="21" spans="1:20" ht="15" customHeight="1">
      <c r="A21" s="158">
        <v>5065070</v>
      </c>
      <c r="B21" s="159" t="str">
        <f>(IF((VLOOKUP(Table11[[#This Row],[SKU]],'All Skus'!$A:$AC,2,FALSE))="Soundcraft",(VLOOKUP(Table11[[#This Row],[SKU]],'All Skus'!$A:$AC,3,FALSE)),""))</f>
        <v>Signature Series Accessories</v>
      </c>
      <c r="C21" s="21">
        <f>(IF((VLOOKUP(Table11[[#This Row],[SKU]],'All Skus'!$A:$AC,2,FALSE))="Soundcraft",(VLOOKUP(Table11[[#This Row],[SKU]],'All Skus'!$A:$AC,4,FALSE)),""))</f>
        <v>5065070</v>
      </c>
      <c r="D21" s="19">
        <f>(IF((VLOOKUP(Table11[[#This Row],[SKU]],'All Skus'!$A:$AC,2,FALSE))="Soundcraft",(VLOOKUP(Table11[[#This Row],[SKU]],'All Skus'!$A:$AC,5,FALSE)),""))</f>
        <v>20110000</v>
      </c>
      <c r="E21" s="19">
        <f>(IF((VLOOKUP(Table11[[#This Row],[SKU]],'All Skus'!$A:$AC,2,FALSE))="Soundcraft",(VLOOKUP(Table11[[#This Row],[SKU]],'All Skus'!$A:$AC,6,FALSE)),""))</f>
        <v>0</v>
      </c>
      <c r="F21" s="18">
        <f>(IF((VLOOKUP(Table11[[#This Row],[SKU]],'All Skus'!$A:$AC,2,FALSE))="Soundcraft",(VLOOKUP(Table11[[#This Row],[SKU]],'All Skus'!$A:$AC,7,FALSE)),""))</f>
        <v>0</v>
      </c>
      <c r="G21" s="22" t="str">
        <f>(IF((VLOOKUP(Table11[[#This Row],[SKU]],'All Skus'!$A:$AC,2,FALSE))="Soundcraft",(VLOOKUP(Table11[[#This Row],[SKU]],'All Skus'!$A:$AC,8,FALSE)),""))</f>
        <v>Signature 12 Rackmount Kit</v>
      </c>
      <c r="H21" s="22" t="str">
        <f>(IF((VLOOKUP(Table11[[#This Row],[SKU]],'All Skus'!$A:$AC,2,FALSE))="Soundcraft",(VLOOKUP(Table11[[#This Row],[SKU]],'All Skus'!$A:$AC,9,FALSE)),""))</f>
        <v>Signature 12 Rackmount Kit</v>
      </c>
      <c r="I21" s="157">
        <f>(IF((VLOOKUP(Table11[[#This Row],[SKU]],'All Skus'!$A:$AC,2,FALSE))="Soundcraft",(VLOOKUP(Table11[[#This Row],[SKU]],'All Skus'!$A:$AC,10,FALSE)),""))</f>
        <v>43.22</v>
      </c>
      <c r="J21" s="157">
        <f>(IF((VLOOKUP(Table11[[#This Row],[SKU]],'All Skus'!$A:$AC,2,FALSE))="Soundcraft",(VLOOKUP(Table11[[#This Row],[SKU]],'All Skus'!$A:$AC,11,FALSE)),""))</f>
        <v>37</v>
      </c>
      <c r="K21" s="271">
        <f>(IF((VLOOKUP(Table11[[#This Row],[SKU]],'All Skus'!$A:$AC,2,FALSE))="Soundcraft",(VLOOKUP(Table11[[#This Row],[SKU]],'All Skus'!$A:$AC,16,FALSE)),""))</f>
        <v>0</v>
      </c>
      <c r="L21" s="239">
        <f>(IF((VLOOKUP(Table11[[#This Row],[SKU]],'All Skus'!$A:$AC,2,FALSE))="Soundcraft",(VLOOKUP(Table11[[#This Row],[SKU]],'All Skus'!$A:$AC,17,FALSE)),""))</f>
        <v>0</v>
      </c>
      <c r="M21" s="239">
        <f>(IF((VLOOKUP(Table11[[#This Row],[SKU]],'All Skus'!$A:$AC,2,FALSE))="Soundcraft",(VLOOKUP(Table11[[#This Row],[SKU]],'All Skus'!$A:$AC,18,FALSE)),""))</f>
        <v>0</v>
      </c>
      <c r="N21" s="147">
        <f>(IF((VLOOKUP(Table11[[#This Row],[SKU]],'All Skus'!$A:$AC,2,FALSE))="Soundcraft",(VLOOKUP(Table11[[#This Row],[SKU]],'All Skus'!$A:$AC,19,FALSE)),""))</f>
        <v>0</v>
      </c>
      <c r="O21" s="147">
        <f>(IF((VLOOKUP(Table11[[#This Row],[SKU]],'All Skus'!$A:$AC,2,FALSE))="Soundcraft",(VLOOKUP(Table11[[#This Row],[SKU]],'All Skus'!$A:$AC,20,FALSE)),""))</f>
        <v>0</v>
      </c>
      <c r="P21" s="240">
        <f>(IF((VLOOKUP(Table11[[#This Row],[SKU]],'All Skus'!$A:$AC,2,FALSE))="Soundcraft",(VLOOKUP(Table11[[#This Row],[SKU]],'All Skus'!$A:$AC,21,FALSE)),""))</f>
        <v>0</v>
      </c>
      <c r="Q21" s="61" t="str">
        <f>(IF((VLOOKUP(Table11[[#This Row],[SKU]],'All Skus'!$A:$AC,2,FALSE))="Soundcraft",(VLOOKUP(Table11[[#This Row],[SKU]],'All Skus'!$A:$AC,22,FALSE)),""))</f>
        <v>CN</v>
      </c>
      <c r="R21" s="61">
        <f>(IF((VLOOKUP(Table11[[#This Row],[SKU]],'All Skus'!$A:$AC,2,FALSE))="Soundcraft",(VLOOKUP(Table11[[#This Row],[SKU]],'All Skus'!$A:$AC,23,FALSE)),""))</f>
        <v>0</v>
      </c>
      <c r="S21" s="212" t="str">
        <f>HYPERLINK((IF((VLOOKUP(Table11[[#This Row],[SKU]],'All Skus'!$A:$AC,2,FALSE))="Soundcraft",(VLOOKUP(Table11[[#This Row],[SKU]],'All Skus'!$A:$AC,24,FALSE)),"")))</f>
        <v/>
      </c>
      <c r="T21" s="151">
        <v>19</v>
      </c>
    </row>
    <row r="22" spans="1:20">
      <c r="A22" s="158">
        <v>5065068</v>
      </c>
      <c r="B22" s="159" t="str">
        <f>(IF((VLOOKUP(Table11[[#This Row],[SKU]],'All Skus'!$A:$AC,2,FALSE))="Soundcraft",(VLOOKUP(Table11[[#This Row],[SKU]],'All Skus'!$A:$AC,3,FALSE)),""))</f>
        <v>Signature MTK Series Accessories</v>
      </c>
      <c r="C22" s="21">
        <f>(IF((VLOOKUP(Table11[[#This Row],[SKU]],'All Skus'!$A:$AC,2,FALSE))="Soundcraft",(VLOOKUP(Table11[[#This Row],[SKU]],'All Skus'!$A:$AC,4,FALSE)),""))</f>
        <v>5065068</v>
      </c>
      <c r="D22" s="19">
        <f>(IF((VLOOKUP(Table11[[#This Row],[SKU]],'All Skus'!$A:$AC,2,FALSE))="Soundcraft",(VLOOKUP(Table11[[#This Row],[SKU]],'All Skus'!$A:$AC,5,FALSE)),""))</f>
        <v>20110000</v>
      </c>
      <c r="E22" s="19">
        <f>(IF((VLOOKUP(Table11[[#This Row],[SKU]],'All Skus'!$A:$AC,2,FALSE))="Soundcraft",(VLOOKUP(Table11[[#This Row],[SKU]],'All Skus'!$A:$AC,6,FALSE)),""))</f>
        <v>0</v>
      </c>
      <c r="F22" s="18">
        <f>(IF((VLOOKUP(Table11[[#This Row],[SKU]],'All Skus'!$A:$AC,2,FALSE))="Soundcraft",(VLOOKUP(Table11[[#This Row],[SKU]],'All Skus'!$A:$AC,7,FALSE)),""))</f>
        <v>0</v>
      </c>
      <c r="G22" s="22" t="str">
        <f>(IF((VLOOKUP(Table11[[#This Row],[SKU]],'All Skus'!$A:$AC,2,FALSE))="Soundcraft",(VLOOKUP(Table11[[#This Row],[SKU]],'All Skus'!$A:$AC,8,FALSE)),""))</f>
        <v>Signature 12 MTK Rackmount Kit</v>
      </c>
      <c r="H22" s="22" t="str">
        <f>(IF((VLOOKUP(Table11[[#This Row],[SKU]],'All Skus'!$A:$AC,2,FALSE))="Soundcraft",(VLOOKUP(Table11[[#This Row],[SKU]],'All Skus'!$A:$AC,9,FALSE)),""))</f>
        <v>Signature 12 MTK Rackmount Kit</v>
      </c>
      <c r="I22" s="157">
        <f>(IF((VLOOKUP(Table11[[#This Row],[SKU]],'All Skus'!$A:$AC,2,FALSE))="Soundcraft",(VLOOKUP(Table11[[#This Row],[SKU]],'All Skus'!$A:$AC,10,FALSE)),""))</f>
        <v>43.22</v>
      </c>
      <c r="J22" s="157">
        <f>(IF((VLOOKUP(Table11[[#This Row],[SKU]],'All Skus'!$A:$AC,2,FALSE))="Soundcraft",(VLOOKUP(Table11[[#This Row],[SKU]],'All Skus'!$A:$AC,11,FALSE)),""))</f>
        <v>37</v>
      </c>
      <c r="K22" s="271">
        <f>(IF((VLOOKUP(Table11[[#This Row],[SKU]],'All Skus'!$A:$AC,2,FALSE))="Soundcraft",(VLOOKUP(Table11[[#This Row],[SKU]],'All Skus'!$A:$AC,16,FALSE)),""))</f>
        <v>0</v>
      </c>
      <c r="L22" s="239">
        <f>(IF((VLOOKUP(Table11[[#This Row],[SKU]],'All Skus'!$A:$AC,2,FALSE))="Soundcraft",(VLOOKUP(Table11[[#This Row],[SKU]],'All Skus'!$A:$AC,17,FALSE)),""))</f>
        <v>0</v>
      </c>
      <c r="M22" s="239">
        <f>(IF((VLOOKUP(Table11[[#This Row],[SKU]],'All Skus'!$A:$AC,2,FALSE))="Soundcraft",(VLOOKUP(Table11[[#This Row],[SKU]],'All Skus'!$A:$AC,18,FALSE)),""))</f>
        <v>0</v>
      </c>
      <c r="N22" s="147">
        <f>(IF((VLOOKUP(Table11[[#This Row],[SKU]],'All Skus'!$A:$AC,2,FALSE))="Soundcraft",(VLOOKUP(Table11[[#This Row],[SKU]],'All Skus'!$A:$AC,19,FALSE)),""))</f>
        <v>0</v>
      </c>
      <c r="O22" s="147">
        <f>(IF((VLOOKUP(Table11[[#This Row],[SKU]],'All Skus'!$A:$AC,2,FALSE))="Soundcraft",(VLOOKUP(Table11[[#This Row],[SKU]],'All Skus'!$A:$AC,20,FALSE)),""))</f>
        <v>0</v>
      </c>
      <c r="P22" s="240">
        <f>(IF((VLOOKUP(Table11[[#This Row],[SKU]],'All Skus'!$A:$AC,2,FALSE))="Soundcraft",(VLOOKUP(Table11[[#This Row],[SKU]],'All Skus'!$A:$AC,21,FALSE)),""))</f>
        <v>0</v>
      </c>
      <c r="Q22" s="61" t="str">
        <f>(IF((VLOOKUP(Table11[[#This Row],[SKU]],'All Skus'!$A:$AC,2,FALSE))="Soundcraft",(VLOOKUP(Table11[[#This Row],[SKU]],'All Skus'!$A:$AC,22,FALSE)),""))</f>
        <v>CN</v>
      </c>
      <c r="R22" s="61">
        <f>(IF((VLOOKUP(Table11[[#This Row],[SKU]],'All Skus'!$A:$AC,2,FALSE))="Soundcraft",(VLOOKUP(Table11[[#This Row],[SKU]],'All Skus'!$A:$AC,23,FALSE)),""))</f>
        <v>0</v>
      </c>
      <c r="S22" s="212" t="str">
        <f>HYPERLINK((IF((VLOOKUP(Table11[[#This Row],[SKU]],'All Skus'!$A:$AC,2,FALSE))="Soundcraft",(VLOOKUP(Table11[[#This Row],[SKU]],'All Skus'!$A:$AC,24,FALSE)),"")))</f>
        <v/>
      </c>
      <c r="T22" s="151">
        <v>20</v>
      </c>
    </row>
    <row r="23" spans="1:20" ht="15" customHeight="1">
      <c r="A23" s="158">
        <v>5049559</v>
      </c>
      <c r="B23" s="159" t="str">
        <f>(IF((VLOOKUP(Table11[[#This Row],[SKU]],'All Skus'!$A:$AC,2,FALSE))="Soundcraft",(VLOOKUP(Table11[[#This Row],[SKU]],'All Skus'!$A:$AC,3,FALSE)),""))</f>
        <v>Signature Series</v>
      </c>
      <c r="C23" s="21">
        <f>(IF((VLOOKUP(Table11[[#This Row],[SKU]],'All Skus'!$A:$AC,2,FALSE))="Soundcraft",(VLOOKUP(Table11[[#This Row],[SKU]],'All Skus'!$A:$AC,4,FALSE)),""))</f>
        <v>5049559</v>
      </c>
      <c r="D23" s="19" t="str">
        <f>(IF((VLOOKUP(Table11[[#This Row],[SKU]],'All Skus'!$A:$AC,2,FALSE))="Soundcraft",(VLOOKUP(Table11[[#This Row],[SKU]],'All Skus'!$A:$AC,5,FALSE)),""))</f>
        <v>SC-SML CO</v>
      </c>
      <c r="E23" s="19">
        <f>(IF((VLOOKUP(Table11[[#This Row],[SKU]],'All Skus'!$A:$AC,2,FALSE))="Soundcraft",(VLOOKUP(Table11[[#This Row],[SKU]],'All Skus'!$A:$AC,6,FALSE)),""))</f>
        <v>0</v>
      </c>
      <c r="F23" s="18">
        <f>(IF((VLOOKUP(Table11[[#This Row],[SKU]],'All Skus'!$A:$AC,2,FALSE))="Soundcraft",(VLOOKUP(Table11[[#This Row],[SKU]],'All Skus'!$A:$AC,7,FALSE)),""))</f>
        <v>0</v>
      </c>
      <c r="G23" s="22" t="str">
        <f>(IF((VLOOKUP(Table11[[#This Row],[SKU]],'All Skus'!$A:$AC,2,FALSE))="Soundcraft",(VLOOKUP(Table11[[#This Row],[SKU]],'All Skus'!$A:$AC,8,FALSE)),""))</f>
        <v>Signature 16 US Mixing System</v>
      </c>
      <c r="H23" s="22" t="str">
        <f>(IF((VLOOKUP(Table11[[#This Row],[SKU]],'All Skus'!$A:$AC,2,FALSE))="Soundcraft",(VLOOKUP(Table11[[#This Row],[SKU]],'All Skus'!$A:$AC,9,FALSE)),""))</f>
        <v>Signature 16 (US)</v>
      </c>
      <c r="I23" s="157">
        <f>(IF((VLOOKUP(Table11[[#This Row],[SKU]],'All Skus'!$A:$AC,2,FALSE))="Soundcraft",(VLOOKUP(Table11[[#This Row],[SKU]],'All Skus'!$A:$AC,10,FALSE)),""))</f>
        <v>1004.22</v>
      </c>
      <c r="J23" s="157">
        <f>(IF((VLOOKUP(Table11[[#This Row],[SKU]],'All Skus'!$A:$AC,2,FALSE))="Soundcraft",(VLOOKUP(Table11[[#This Row],[SKU]],'All Skus'!$A:$AC,11,FALSE)),""))</f>
        <v>805</v>
      </c>
      <c r="K23" s="271">
        <f>(IF((VLOOKUP(Table11[[#This Row],[SKU]],'All Skus'!$A:$AC,2,FALSE))="Soundcraft",(VLOOKUP(Table11[[#This Row],[SKU]],'All Skus'!$A:$AC,16,FALSE)),""))</f>
        <v>688705001173</v>
      </c>
      <c r="L23" s="239">
        <f>(IF((VLOOKUP(Table11[[#This Row],[SKU]],'All Skus'!$A:$AC,2,FALSE))="Soundcraft",(VLOOKUP(Table11[[#This Row],[SKU]],'All Skus'!$A:$AC,17,FALSE)),""))</f>
        <v>0</v>
      </c>
      <c r="M23" s="239">
        <f>(IF((VLOOKUP(Table11[[#This Row],[SKU]],'All Skus'!$A:$AC,2,FALSE))="Soundcraft",(VLOOKUP(Table11[[#This Row],[SKU]],'All Skus'!$A:$AC,18,FALSE)),""))</f>
        <v>23.77</v>
      </c>
      <c r="N23" s="147">
        <f>(IF((VLOOKUP(Table11[[#This Row],[SKU]],'All Skus'!$A:$AC,2,FALSE))="Soundcraft",(VLOOKUP(Table11[[#This Row],[SKU]],'All Skus'!$A:$AC,19,FALSE)),""))</f>
        <v>24.8</v>
      </c>
      <c r="O23" s="147">
        <f>(IF((VLOOKUP(Table11[[#This Row],[SKU]],'All Skus'!$A:$AC,2,FALSE))="Soundcraft",(VLOOKUP(Table11[[#This Row],[SKU]],'All Skus'!$A:$AC,20,FALSE)),""))</f>
        <v>23.43</v>
      </c>
      <c r="P23" s="240">
        <f>(IF((VLOOKUP(Table11[[#This Row],[SKU]],'All Skus'!$A:$AC,2,FALSE))="Soundcraft",(VLOOKUP(Table11[[#This Row],[SKU]],'All Skus'!$A:$AC,21,FALSE)),""))</f>
        <v>8.27</v>
      </c>
      <c r="Q23" s="61" t="str">
        <f>(IF((VLOOKUP(Table11[[#This Row],[SKU]],'All Skus'!$A:$AC,2,FALSE))="Soundcraft",(VLOOKUP(Table11[[#This Row],[SKU]],'All Skus'!$A:$AC,22,FALSE)),""))</f>
        <v>CN</v>
      </c>
      <c r="R23" s="61">
        <f>(IF((VLOOKUP(Table11[[#This Row],[SKU]],'All Skus'!$A:$AC,2,FALSE))="Soundcraft",(VLOOKUP(Table11[[#This Row],[SKU]],'All Skus'!$A:$AC,23,FALSE)),""))</f>
        <v>0</v>
      </c>
      <c r="S23" s="212" t="str">
        <f>HYPERLINK((IF((VLOOKUP(Table11[[#This Row],[SKU]],'All Skus'!$A:$AC,2,FALSE))="Soundcraft",(VLOOKUP(Table11[[#This Row],[SKU]],'All Skus'!$A:$AC,24,FALSE)),"")))</f>
        <v>http://www.soundcraft.com/products/signature-16</v>
      </c>
      <c r="T23" s="151">
        <v>21</v>
      </c>
    </row>
    <row r="24" spans="1:20" ht="15" customHeight="1">
      <c r="A24" s="158">
        <v>5049562</v>
      </c>
      <c r="B24" s="159" t="str">
        <f>(IF((VLOOKUP(Table11[[#This Row],[SKU]],'All Skus'!$A:$AC,2,FALSE))="Soundcraft",(VLOOKUP(Table11[[#This Row],[SKU]],'All Skus'!$A:$AC,3,FALSE)),""))</f>
        <v>Signature Series</v>
      </c>
      <c r="C24" s="21">
        <f>(IF((VLOOKUP(Table11[[#This Row],[SKU]],'All Skus'!$A:$AC,2,FALSE))="Soundcraft",(VLOOKUP(Table11[[#This Row],[SKU]],'All Skus'!$A:$AC,4,FALSE)),""))</f>
        <v>5049562</v>
      </c>
      <c r="D24" s="19" t="str">
        <f>(IF((VLOOKUP(Table11[[#This Row],[SKU]],'All Skus'!$A:$AC,2,FALSE))="Soundcraft",(VLOOKUP(Table11[[#This Row],[SKU]],'All Skus'!$A:$AC,5,FALSE)),""))</f>
        <v>SC-SML CO</v>
      </c>
      <c r="E24" s="19">
        <f>(IF((VLOOKUP(Table11[[#This Row],[SKU]],'All Skus'!$A:$AC,2,FALSE))="Soundcraft",(VLOOKUP(Table11[[#This Row],[SKU]],'All Skus'!$A:$AC,6,FALSE)),""))</f>
        <v>0</v>
      </c>
      <c r="F24" s="18">
        <f>(IF((VLOOKUP(Table11[[#This Row],[SKU]],'All Skus'!$A:$AC,2,FALSE))="Soundcraft",(VLOOKUP(Table11[[#This Row],[SKU]],'All Skus'!$A:$AC,7,FALSE)),""))</f>
        <v>0</v>
      </c>
      <c r="G24" s="22" t="str">
        <f>(IF((VLOOKUP(Table11[[#This Row],[SKU]],'All Skus'!$A:$AC,2,FALSE))="Soundcraft",(VLOOKUP(Table11[[#This Row],[SKU]],'All Skus'!$A:$AC,8,FALSE)),""))</f>
        <v>Signature 22 (US)</v>
      </c>
      <c r="H24" s="22" t="str">
        <f>(IF((VLOOKUP(Table11[[#This Row],[SKU]],'All Skus'!$A:$AC,2,FALSE))="Soundcraft",(VLOOKUP(Table11[[#This Row],[SKU]],'All Skus'!$A:$AC,9,FALSE)),""))</f>
        <v>Signature 22 (US)</v>
      </c>
      <c r="I24" s="157">
        <f>(IF((VLOOKUP(Table11[[#This Row],[SKU]],'All Skus'!$A:$AC,2,FALSE))="Soundcraft",(VLOOKUP(Table11[[#This Row],[SKU]],'All Skus'!$A:$AC,10,FALSE)),""))</f>
        <v>1199.31</v>
      </c>
      <c r="J24" s="157">
        <f>(IF((VLOOKUP(Table11[[#This Row],[SKU]],'All Skus'!$A:$AC,2,FALSE))="Soundcraft",(VLOOKUP(Table11[[#This Row],[SKU]],'All Skus'!$A:$AC,11,FALSE)),""))</f>
        <v>959</v>
      </c>
      <c r="K24" s="271">
        <f>(IF((VLOOKUP(Table11[[#This Row],[SKU]],'All Skus'!$A:$AC,2,FALSE))="Soundcraft",(VLOOKUP(Table11[[#This Row],[SKU]],'All Skus'!$A:$AC,16,FALSE)),""))</f>
        <v>688705001210</v>
      </c>
      <c r="L24" s="239">
        <f>(IF((VLOOKUP(Table11[[#This Row],[SKU]],'All Skus'!$A:$AC,2,FALSE))="Soundcraft",(VLOOKUP(Table11[[#This Row],[SKU]],'All Skus'!$A:$AC,17,FALSE)),""))</f>
        <v>0</v>
      </c>
      <c r="M24" s="239">
        <f>(IF((VLOOKUP(Table11[[#This Row],[SKU]],'All Skus'!$A:$AC,2,FALSE))="Soundcraft",(VLOOKUP(Table11[[#This Row],[SKU]],'All Skus'!$A:$AC,18,FALSE)),""))</f>
        <v>30.3</v>
      </c>
      <c r="N24" s="147">
        <f>(IF((VLOOKUP(Table11[[#This Row],[SKU]],'All Skus'!$A:$AC,2,FALSE))="Soundcraft",(VLOOKUP(Table11[[#This Row],[SKU]],'All Skus'!$A:$AC,19,FALSE)),""))</f>
        <v>24.8</v>
      </c>
      <c r="O24" s="147">
        <f>(IF((VLOOKUP(Table11[[#This Row],[SKU]],'All Skus'!$A:$AC,2,FALSE))="Soundcraft",(VLOOKUP(Table11[[#This Row],[SKU]],'All Skus'!$A:$AC,20,FALSE)),""))</f>
        <v>29.53</v>
      </c>
      <c r="P24" s="240">
        <f>(IF((VLOOKUP(Table11[[#This Row],[SKU]],'All Skus'!$A:$AC,2,FALSE))="Soundcraft",(VLOOKUP(Table11[[#This Row],[SKU]],'All Skus'!$A:$AC,21,FALSE)),""))</f>
        <v>8.27</v>
      </c>
      <c r="Q24" s="61" t="str">
        <f>(IF((VLOOKUP(Table11[[#This Row],[SKU]],'All Skus'!$A:$AC,2,FALSE))="Soundcraft",(VLOOKUP(Table11[[#This Row],[SKU]],'All Skus'!$A:$AC,22,FALSE)),""))</f>
        <v>CN</v>
      </c>
      <c r="R24" s="61">
        <f>(IF((VLOOKUP(Table11[[#This Row],[SKU]],'All Skus'!$A:$AC,2,FALSE))="Soundcraft",(VLOOKUP(Table11[[#This Row],[SKU]],'All Skus'!$A:$AC,23,FALSE)),""))</f>
        <v>0</v>
      </c>
      <c r="S24" s="212" t="str">
        <f>HYPERLINK((IF((VLOOKUP(Table11[[#This Row],[SKU]],'All Skus'!$A:$AC,2,FALSE))="Soundcraft",(VLOOKUP(Table11[[#This Row],[SKU]],'All Skus'!$A:$AC,24,FALSE)),"")))</f>
        <v>http://www.soundcraft.com/products/signature-22</v>
      </c>
      <c r="T24" s="151">
        <v>22</v>
      </c>
    </row>
    <row r="25" spans="1:20" ht="15" customHeight="1">
      <c r="A25" s="158">
        <v>5049557</v>
      </c>
      <c r="B25" s="159" t="str">
        <f>(IF((VLOOKUP(Table11[[#This Row],[SKU]],'All Skus'!$A:$AC,2,FALSE))="Soundcraft",(VLOOKUP(Table11[[#This Row],[SKU]],'All Skus'!$A:$AC,3,FALSE)),""))</f>
        <v>Signature MTK Series</v>
      </c>
      <c r="C25" s="21">
        <f>(IF((VLOOKUP(Table11[[#This Row],[SKU]],'All Skus'!$A:$AC,2,FALSE))="Soundcraft",(VLOOKUP(Table11[[#This Row],[SKU]],'All Skus'!$A:$AC,4,FALSE)),""))</f>
        <v>5049557</v>
      </c>
      <c r="D25" s="19" t="str">
        <f>(IF((VLOOKUP(Table11[[#This Row],[SKU]],'All Skus'!$A:$AC,2,FALSE))="Soundcraft",(VLOOKUP(Table11[[#This Row],[SKU]],'All Skus'!$A:$AC,5,FALSE)),""))</f>
        <v>SC-SML CO</v>
      </c>
      <c r="E25" s="19">
        <f>(IF((VLOOKUP(Table11[[#This Row],[SKU]],'All Skus'!$A:$AC,2,FALSE))="Soundcraft",(VLOOKUP(Table11[[#This Row],[SKU]],'All Skus'!$A:$AC,6,FALSE)),""))</f>
        <v>0</v>
      </c>
      <c r="F25" s="18">
        <f>(IF((VLOOKUP(Table11[[#This Row],[SKU]],'All Skus'!$A:$AC,2,FALSE))="Soundcraft",(VLOOKUP(Table11[[#This Row],[SKU]],'All Skus'!$A:$AC,7,FALSE)),""))</f>
        <v>0</v>
      </c>
      <c r="G25" s="22" t="str">
        <f>(IF((VLOOKUP(Table11[[#This Row],[SKU]],'All Skus'!$A:$AC,2,FALSE))="Soundcraft",(VLOOKUP(Table11[[#This Row],[SKU]],'All Skus'!$A:$AC,8,FALSE)),""))</f>
        <v>Signature 12MTK (US)</v>
      </c>
      <c r="H25" s="22" t="str">
        <f>(IF((VLOOKUP(Table11[[#This Row],[SKU]],'All Skus'!$A:$AC,2,FALSE))="Soundcraft",(VLOOKUP(Table11[[#This Row],[SKU]],'All Skus'!$A:$AC,9,FALSE)),""))</f>
        <v>Signature 12MTK (US)</v>
      </c>
      <c r="I25" s="157">
        <f>(IF((VLOOKUP(Table11[[#This Row],[SKU]],'All Skus'!$A:$AC,2,FALSE))="Soundcraft",(VLOOKUP(Table11[[#This Row],[SKU]],'All Skus'!$A:$AC,10,FALSE)),""))</f>
        <v>748.46</v>
      </c>
      <c r="J25" s="157">
        <f>(IF((VLOOKUP(Table11[[#This Row],[SKU]],'All Skus'!$A:$AC,2,FALSE))="Soundcraft",(VLOOKUP(Table11[[#This Row],[SKU]],'All Skus'!$A:$AC,11,FALSE)),""))</f>
        <v>605</v>
      </c>
      <c r="K25" s="271">
        <f>(IF((VLOOKUP(Table11[[#This Row],[SKU]],'All Skus'!$A:$AC,2,FALSE))="Soundcraft",(VLOOKUP(Table11[[#This Row],[SKU]],'All Skus'!$A:$AC,16,FALSE)),""))</f>
        <v>688705001159</v>
      </c>
      <c r="L25" s="239">
        <f>(IF((VLOOKUP(Table11[[#This Row],[SKU]],'All Skus'!$A:$AC,2,FALSE))="Soundcraft",(VLOOKUP(Table11[[#This Row],[SKU]],'All Skus'!$A:$AC,17,FALSE)),""))</f>
        <v>0</v>
      </c>
      <c r="M25" s="239">
        <f>(IF((VLOOKUP(Table11[[#This Row],[SKU]],'All Skus'!$A:$AC,2,FALSE))="Soundcraft",(VLOOKUP(Table11[[#This Row],[SKU]],'All Skus'!$A:$AC,18,FALSE)),""))</f>
        <v>15.7</v>
      </c>
      <c r="N25" s="147">
        <f>(IF((VLOOKUP(Table11[[#This Row],[SKU]],'All Skus'!$A:$AC,2,FALSE))="Soundcraft",(VLOOKUP(Table11[[#This Row],[SKU]],'All Skus'!$A:$AC,19,FALSE)),""))</f>
        <v>19.29</v>
      </c>
      <c r="O25" s="147">
        <f>(IF((VLOOKUP(Table11[[#This Row],[SKU]],'All Skus'!$A:$AC,2,FALSE))="Soundcraft",(VLOOKUP(Table11[[#This Row],[SKU]],'All Skus'!$A:$AC,20,FALSE)),""))</f>
        <v>17.91</v>
      </c>
      <c r="P25" s="240">
        <f>(IF((VLOOKUP(Table11[[#This Row],[SKU]],'All Skus'!$A:$AC,2,FALSE))="Soundcraft",(VLOOKUP(Table11[[#This Row],[SKU]],'All Skus'!$A:$AC,21,FALSE)),""))</f>
        <v>8.27</v>
      </c>
      <c r="Q25" s="61" t="str">
        <f>(IF((VLOOKUP(Table11[[#This Row],[SKU]],'All Skus'!$A:$AC,2,FALSE))="Soundcraft",(VLOOKUP(Table11[[#This Row],[SKU]],'All Skus'!$A:$AC,22,FALSE)),""))</f>
        <v>CN</v>
      </c>
      <c r="R25" s="61">
        <f>(IF((VLOOKUP(Table11[[#This Row],[SKU]],'All Skus'!$A:$AC,2,FALSE))="Soundcraft",(VLOOKUP(Table11[[#This Row],[SKU]],'All Skus'!$A:$AC,23,FALSE)),""))</f>
        <v>0</v>
      </c>
      <c r="S25" s="212" t="str">
        <f>HYPERLINK((IF((VLOOKUP(Table11[[#This Row],[SKU]],'All Skus'!$A:$AC,2,FALSE))="Soundcraft",(VLOOKUP(Table11[[#This Row],[SKU]],'All Skus'!$A:$AC,24,FALSE)),"")))</f>
        <v>http://www.soundcraft.com/products/signature-12-mtk</v>
      </c>
      <c r="T25" s="151">
        <v>23</v>
      </c>
    </row>
    <row r="26" spans="1:20" ht="15" customHeight="1">
      <c r="A26" s="158">
        <v>5049563</v>
      </c>
      <c r="B26" s="159" t="str">
        <f>(IF((VLOOKUP(Table11[[#This Row],[SKU]],'All Skus'!$A:$AC,2,FALSE))="Soundcraft",(VLOOKUP(Table11[[#This Row],[SKU]],'All Skus'!$A:$AC,3,FALSE)),""))</f>
        <v>Signature MTK Series</v>
      </c>
      <c r="C26" s="21">
        <f>(IF((VLOOKUP(Table11[[#This Row],[SKU]],'All Skus'!$A:$AC,2,FALSE))="Soundcraft",(VLOOKUP(Table11[[#This Row],[SKU]],'All Skus'!$A:$AC,4,FALSE)),""))</f>
        <v>5049563</v>
      </c>
      <c r="D26" s="19" t="str">
        <f>(IF((VLOOKUP(Table11[[#This Row],[SKU]],'All Skus'!$A:$AC,2,FALSE))="Soundcraft",(VLOOKUP(Table11[[#This Row],[SKU]],'All Skus'!$A:$AC,5,FALSE)),""))</f>
        <v>SC-SML CO</v>
      </c>
      <c r="E26" s="19">
        <f>(IF((VLOOKUP(Table11[[#This Row],[SKU]],'All Skus'!$A:$AC,2,FALSE))="Soundcraft",(VLOOKUP(Table11[[#This Row],[SKU]],'All Skus'!$A:$AC,6,FALSE)),""))</f>
        <v>0</v>
      </c>
      <c r="F26" s="18">
        <f>(IF((VLOOKUP(Table11[[#This Row],[SKU]],'All Skus'!$A:$AC,2,FALSE))="Soundcraft",(VLOOKUP(Table11[[#This Row],[SKU]],'All Skus'!$A:$AC,7,FALSE)),""))</f>
        <v>0</v>
      </c>
      <c r="G26" s="22" t="str">
        <f>(IF((VLOOKUP(Table11[[#This Row],[SKU]],'All Skus'!$A:$AC,2,FALSE))="Soundcraft",(VLOOKUP(Table11[[#This Row],[SKU]],'All Skus'!$A:$AC,8,FALSE)),""))</f>
        <v>Signature 22MTK (US)</v>
      </c>
      <c r="H26" s="22" t="str">
        <f>(IF((VLOOKUP(Table11[[#This Row],[SKU]],'All Skus'!$A:$AC,2,FALSE))="Soundcraft",(VLOOKUP(Table11[[#This Row],[SKU]],'All Skus'!$A:$AC,9,FALSE)),""))</f>
        <v>Signature 22MTK (US)</v>
      </c>
      <c r="I26" s="157">
        <f>(IF((VLOOKUP(Table11[[#This Row],[SKU]],'All Skus'!$A:$AC,2,FALSE))="Soundcraft",(VLOOKUP(Table11[[#This Row],[SKU]],'All Skus'!$A:$AC,10,FALSE)),""))</f>
        <v>1349.36</v>
      </c>
      <c r="J26" s="157">
        <f>(IF((VLOOKUP(Table11[[#This Row],[SKU]],'All Skus'!$A:$AC,2,FALSE))="Soundcraft",(VLOOKUP(Table11[[#This Row],[SKU]],'All Skus'!$A:$AC,11,FALSE)),""))</f>
        <v>1089</v>
      </c>
      <c r="K26" s="271">
        <f>(IF((VLOOKUP(Table11[[#This Row],[SKU]],'All Skus'!$A:$AC,2,FALSE))="Soundcraft",(VLOOKUP(Table11[[#This Row],[SKU]],'All Skus'!$A:$AC,16,FALSE)),""))</f>
        <v>688705001203</v>
      </c>
      <c r="L26" s="239">
        <f>(IF((VLOOKUP(Table11[[#This Row],[SKU]],'All Skus'!$A:$AC,2,FALSE))="Soundcraft",(VLOOKUP(Table11[[#This Row],[SKU]],'All Skus'!$A:$AC,17,FALSE)),""))</f>
        <v>0</v>
      </c>
      <c r="M26" s="239">
        <f>(IF((VLOOKUP(Table11[[#This Row],[SKU]],'All Skus'!$A:$AC,2,FALSE))="Soundcraft",(VLOOKUP(Table11[[#This Row],[SKU]],'All Skus'!$A:$AC,18,FALSE)),""))</f>
        <v>30.9</v>
      </c>
      <c r="N26" s="147">
        <f>(IF((VLOOKUP(Table11[[#This Row],[SKU]],'All Skus'!$A:$AC,2,FALSE))="Soundcraft",(VLOOKUP(Table11[[#This Row],[SKU]],'All Skus'!$A:$AC,19,FALSE)),""))</f>
        <v>24.8</v>
      </c>
      <c r="O26" s="147">
        <f>(IF((VLOOKUP(Table11[[#This Row],[SKU]],'All Skus'!$A:$AC,2,FALSE))="Soundcraft",(VLOOKUP(Table11[[#This Row],[SKU]],'All Skus'!$A:$AC,20,FALSE)),""))</f>
        <v>29.52</v>
      </c>
      <c r="P26" s="240">
        <f>(IF((VLOOKUP(Table11[[#This Row],[SKU]],'All Skus'!$A:$AC,2,FALSE))="Soundcraft",(VLOOKUP(Table11[[#This Row],[SKU]],'All Skus'!$A:$AC,21,FALSE)),""))</f>
        <v>8.27</v>
      </c>
      <c r="Q26" s="61" t="str">
        <f>(IF((VLOOKUP(Table11[[#This Row],[SKU]],'All Skus'!$A:$AC,2,FALSE))="Soundcraft",(VLOOKUP(Table11[[#This Row],[SKU]],'All Skus'!$A:$AC,22,FALSE)),""))</f>
        <v>CN</v>
      </c>
      <c r="R26" s="61">
        <f>(IF((VLOOKUP(Table11[[#This Row],[SKU]],'All Skus'!$A:$AC,2,FALSE))="Soundcraft",(VLOOKUP(Table11[[#This Row],[SKU]],'All Skus'!$A:$AC,23,FALSE)),""))</f>
        <v>0</v>
      </c>
      <c r="S26" s="212" t="str">
        <f>HYPERLINK((IF((VLOOKUP(Table11[[#This Row],[SKU]],'All Skus'!$A:$AC,2,FALSE))="Soundcraft",(VLOOKUP(Table11[[#This Row],[SKU]],'All Skus'!$A:$AC,24,FALSE)),"")))</f>
        <v>http://www.soundcraft.com/products/signature-22-mtk</v>
      </c>
      <c r="T26" s="151">
        <v>24</v>
      </c>
    </row>
    <row r="27" spans="1:20" ht="15" customHeight="1">
      <c r="A27" s="158" t="s">
        <v>2399</v>
      </c>
      <c r="B27" s="159" t="str">
        <f>(IF((VLOOKUP(Table11[[#This Row],[SKU]],'All Skus'!$A:$AC,2,FALSE))="Soundcraft",(VLOOKUP(Table11[[#This Row],[SKU]],'All Skus'!$A:$AC,3,FALSE)),""))</f>
        <v>LX7ii Consoles</v>
      </c>
      <c r="C27" s="21" t="str">
        <f>(IF((VLOOKUP(Table11[[#This Row],[SKU]],'All Skus'!$A:$AC,2,FALSE))="Soundcraft",(VLOOKUP(Table11[[#This Row],[SKU]],'All Skus'!$A:$AC,4,FALSE)),""))</f>
        <v>RW5674</v>
      </c>
      <c r="D27" s="19" t="str">
        <f>(IF((VLOOKUP(Table11[[#This Row],[SKU]],'All Skus'!$A:$AC,2,FALSE))="Soundcraft",(VLOOKUP(Table11[[#This Row],[SKU]],'All Skus'!$A:$AC,5,FALSE)),""))</f>
        <v>SC-MED CO</v>
      </c>
      <c r="E27" s="19">
        <f>(IF((VLOOKUP(Table11[[#This Row],[SKU]],'All Skus'!$A:$AC,2,FALSE))="Soundcraft",(VLOOKUP(Table11[[#This Row],[SKU]],'All Skus'!$A:$AC,6,FALSE)),""))</f>
        <v>0</v>
      </c>
      <c r="F27" s="18">
        <f>(IF((VLOOKUP(Table11[[#This Row],[SKU]],'All Skus'!$A:$AC,2,FALSE))="Soundcraft",(VLOOKUP(Table11[[#This Row],[SKU]],'All Skus'!$A:$AC,7,FALSE)),""))</f>
        <v>0</v>
      </c>
      <c r="G27" s="22" t="str">
        <f>(IF((VLOOKUP(Table11[[#This Row],[SKU]],'All Skus'!$A:$AC,2,FALSE))="Soundcraft",(VLOOKUP(Table11[[#This Row],[SKU]],'All Skus'!$A:$AC,8,FALSE)),""))</f>
        <v>LX7ii 16ch  16+4/4/3</v>
      </c>
      <c r="H27" s="22" t="str">
        <f>(IF((VLOOKUP(Table11[[#This Row],[SKU]],'All Skus'!$A:$AC,2,FALSE))="Soundcraft",(VLOOKUP(Table11[[#This Row],[SKU]],'All Skus'!$A:$AC,9,FALSE)),""))</f>
        <v>LX7ii 16ch  16+4/4/3</v>
      </c>
      <c r="I27" s="157">
        <f>(IF((VLOOKUP(Table11[[#This Row],[SKU]],'All Skus'!$A:$AC,2,FALSE))="Soundcraft",(VLOOKUP(Table11[[#This Row],[SKU]],'All Skus'!$A:$AC,10,FALSE)),""))</f>
        <v>1349.32</v>
      </c>
      <c r="J27" s="157">
        <f>(IF((VLOOKUP(Table11[[#This Row],[SKU]],'All Skus'!$A:$AC,2,FALSE))="Soundcraft",(VLOOKUP(Table11[[#This Row],[SKU]],'All Skus'!$A:$AC,11,FALSE)),""))</f>
        <v>1329</v>
      </c>
      <c r="K27" s="271">
        <f>(IF((VLOOKUP(Table11[[#This Row],[SKU]],'All Skus'!$A:$AC,2,FALSE))="Soundcraft",(VLOOKUP(Table11[[#This Row],[SKU]],'All Skus'!$A:$AC,16,FALSE)),""))</f>
        <v>688705008998</v>
      </c>
      <c r="L27" s="239">
        <f>(IF((VLOOKUP(Table11[[#This Row],[SKU]],'All Skus'!$A:$AC,2,FALSE))="Soundcraft",(VLOOKUP(Table11[[#This Row],[SKU]],'All Skus'!$A:$AC,17,FALSE)),""))</f>
        <v>0</v>
      </c>
      <c r="M27" s="239">
        <f>(IF((VLOOKUP(Table11[[#This Row],[SKU]],'All Skus'!$A:$AC,2,FALSE))="Soundcraft",(VLOOKUP(Table11[[#This Row],[SKU]],'All Skus'!$A:$AC,18,FALSE)),""))</f>
        <v>39.700000000000003</v>
      </c>
      <c r="N27" s="147">
        <f>(IF((VLOOKUP(Table11[[#This Row],[SKU]],'All Skus'!$A:$AC,2,FALSE))="Soundcraft",(VLOOKUP(Table11[[#This Row],[SKU]],'All Skus'!$A:$AC,19,FALSE)),""))</f>
        <v>26</v>
      </c>
      <c r="O27" s="147">
        <f>(IF((VLOOKUP(Table11[[#This Row],[SKU]],'All Skus'!$A:$AC,2,FALSE))="Soundcraft",(VLOOKUP(Table11[[#This Row],[SKU]],'All Skus'!$A:$AC,20,FALSE)),""))</f>
        <v>25</v>
      </c>
      <c r="P27" s="240">
        <f>(IF((VLOOKUP(Table11[[#This Row],[SKU]],'All Skus'!$A:$AC,2,FALSE))="Soundcraft",(VLOOKUP(Table11[[#This Row],[SKU]],'All Skus'!$A:$AC,21,FALSE)),""))</f>
        <v>12</v>
      </c>
      <c r="Q27" s="61" t="str">
        <f>(IF((VLOOKUP(Table11[[#This Row],[SKU]],'All Skus'!$A:$AC,2,FALSE))="Soundcraft",(VLOOKUP(Table11[[#This Row],[SKU]],'All Skus'!$A:$AC,22,FALSE)),""))</f>
        <v>CN</v>
      </c>
      <c r="R27" s="61" t="str">
        <f>(IF((VLOOKUP(Table11[[#This Row],[SKU]],'All Skus'!$A:$AC,2,FALSE))="Soundcraft",(VLOOKUP(Table11[[#This Row],[SKU]],'All Skus'!$A:$AC,23,FALSE)),""))</f>
        <v>Non Compliant</v>
      </c>
      <c r="S27" s="212" t="str">
        <f>HYPERLINK((IF((VLOOKUP(Table11[[#This Row],[SKU]],'All Skus'!$A:$AC,2,FALSE))="Soundcraft",(VLOOKUP(Table11[[#This Row],[SKU]],'All Skus'!$A:$AC,24,FALSE)),"")))</f>
        <v>http://www.soundcraft.com/products/lx7ii</v>
      </c>
      <c r="T27" s="151">
        <v>25</v>
      </c>
    </row>
    <row r="28" spans="1:20" ht="15" customHeight="1">
      <c r="A28" s="158" t="s">
        <v>2400</v>
      </c>
      <c r="B28" s="159" t="str">
        <f>(IF((VLOOKUP(Table11[[#This Row],[SKU]],'All Skus'!$A:$AC,2,FALSE))="Soundcraft",(VLOOKUP(Table11[[#This Row],[SKU]],'All Skus'!$A:$AC,3,FALSE)),""))</f>
        <v>LX7ii Consoles</v>
      </c>
      <c r="C28" s="21" t="str">
        <f>(IF((VLOOKUP(Table11[[#This Row],[SKU]],'All Skus'!$A:$AC,2,FALSE))="Soundcraft",(VLOOKUP(Table11[[#This Row],[SKU]],'All Skus'!$A:$AC,4,FALSE)),""))</f>
        <v>RW5675</v>
      </c>
      <c r="D28" s="19" t="str">
        <f>(IF((VLOOKUP(Table11[[#This Row],[SKU]],'All Skus'!$A:$AC,2,FALSE))="Soundcraft",(VLOOKUP(Table11[[#This Row],[SKU]],'All Skus'!$A:$AC,5,FALSE)),""))</f>
        <v>SC-MED CO</v>
      </c>
      <c r="E28" s="19">
        <f>(IF((VLOOKUP(Table11[[#This Row],[SKU]],'All Skus'!$A:$AC,2,FALSE))="Soundcraft",(VLOOKUP(Table11[[#This Row],[SKU]],'All Skus'!$A:$AC,6,FALSE)),""))</f>
        <v>0</v>
      </c>
      <c r="F28" s="18">
        <f>(IF((VLOOKUP(Table11[[#This Row],[SKU]],'All Skus'!$A:$AC,2,FALSE))="Soundcraft",(VLOOKUP(Table11[[#This Row],[SKU]],'All Skus'!$A:$AC,7,FALSE)),""))</f>
        <v>0</v>
      </c>
      <c r="G28" s="22" t="str">
        <f>(IF((VLOOKUP(Table11[[#This Row],[SKU]],'All Skus'!$A:$AC,2,FALSE))="Soundcraft",(VLOOKUP(Table11[[#This Row],[SKU]],'All Skus'!$A:$AC,8,FALSE)),""))</f>
        <v>LX7ii 24ch  24+4/4/3</v>
      </c>
      <c r="H28" s="22" t="str">
        <f>(IF((VLOOKUP(Table11[[#This Row],[SKU]],'All Skus'!$A:$AC,2,FALSE))="Soundcraft",(VLOOKUP(Table11[[#This Row],[SKU]],'All Skus'!$A:$AC,9,FALSE)),""))</f>
        <v>LX7ii 24ch  24+4/4/3</v>
      </c>
      <c r="I28" s="157">
        <f>(IF((VLOOKUP(Table11[[#This Row],[SKU]],'All Skus'!$A:$AC,2,FALSE))="Soundcraft",(VLOOKUP(Table11[[#This Row],[SKU]],'All Skus'!$A:$AC,10,FALSE)),""))</f>
        <v>1799.5</v>
      </c>
      <c r="J28" s="157">
        <f>(IF((VLOOKUP(Table11[[#This Row],[SKU]],'All Skus'!$A:$AC,2,FALSE))="Soundcraft",(VLOOKUP(Table11[[#This Row],[SKU]],'All Skus'!$A:$AC,11,FALSE)),""))</f>
        <v>1769</v>
      </c>
      <c r="K28" s="271">
        <f>(IF((VLOOKUP(Table11[[#This Row],[SKU]],'All Skus'!$A:$AC,2,FALSE))="Soundcraft",(VLOOKUP(Table11[[#This Row],[SKU]],'All Skus'!$A:$AC,16,FALSE)),""))</f>
        <v>688705009001</v>
      </c>
      <c r="L28" s="239">
        <f>(IF((VLOOKUP(Table11[[#This Row],[SKU]],'All Skus'!$A:$AC,2,FALSE))="Soundcraft",(VLOOKUP(Table11[[#This Row],[SKU]],'All Skus'!$A:$AC,17,FALSE)),""))</f>
        <v>0</v>
      </c>
      <c r="M28" s="239">
        <f>(IF((VLOOKUP(Table11[[#This Row],[SKU]],'All Skus'!$A:$AC,2,FALSE))="Soundcraft",(VLOOKUP(Table11[[#This Row],[SKU]],'All Skus'!$A:$AC,18,FALSE)),""))</f>
        <v>49.4</v>
      </c>
      <c r="N28" s="147">
        <f>(IF((VLOOKUP(Table11[[#This Row],[SKU]],'All Skus'!$A:$AC,2,FALSE))="Soundcraft",(VLOOKUP(Table11[[#This Row],[SKU]],'All Skus'!$A:$AC,19,FALSE)),""))</f>
        <v>29.1</v>
      </c>
      <c r="O28" s="147">
        <f>(IF((VLOOKUP(Table11[[#This Row],[SKU]],'All Skus'!$A:$AC,2,FALSE))="Soundcraft",(VLOOKUP(Table11[[#This Row],[SKU]],'All Skus'!$A:$AC,20,FALSE)),""))</f>
        <v>37</v>
      </c>
      <c r="P28" s="240">
        <f>(IF((VLOOKUP(Table11[[#This Row],[SKU]],'All Skus'!$A:$AC,2,FALSE))="Soundcraft",(VLOOKUP(Table11[[#This Row],[SKU]],'All Skus'!$A:$AC,21,FALSE)),""))</f>
        <v>13</v>
      </c>
      <c r="Q28" s="61" t="str">
        <f>(IF((VLOOKUP(Table11[[#This Row],[SKU]],'All Skus'!$A:$AC,2,FALSE))="Soundcraft",(VLOOKUP(Table11[[#This Row],[SKU]],'All Skus'!$A:$AC,22,FALSE)),""))</f>
        <v>CN</v>
      </c>
      <c r="R28" s="61" t="str">
        <f>(IF((VLOOKUP(Table11[[#This Row],[SKU]],'All Skus'!$A:$AC,2,FALSE))="Soundcraft",(VLOOKUP(Table11[[#This Row],[SKU]],'All Skus'!$A:$AC,23,FALSE)),""))</f>
        <v>Non Compliant</v>
      </c>
      <c r="S28" s="212" t="str">
        <f>HYPERLINK((IF((VLOOKUP(Table11[[#This Row],[SKU]],'All Skus'!$A:$AC,2,FALSE))="Soundcraft",(VLOOKUP(Table11[[#This Row],[SKU]],'All Skus'!$A:$AC,24,FALSE)),"")))</f>
        <v>http://www.soundcraft.com/products/lx7ii</v>
      </c>
      <c r="T28" s="151">
        <v>26</v>
      </c>
    </row>
    <row r="29" spans="1:20" ht="15" customHeight="1">
      <c r="A29" s="158" t="s">
        <v>2401</v>
      </c>
      <c r="B29" s="159" t="str">
        <f>(IF((VLOOKUP(Table11[[#This Row],[SKU]],'All Skus'!$A:$AC,2,FALSE))="Soundcraft",(VLOOKUP(Table11[[#This Row],[SKU]],'All Skus'!$A:$AC,3,FALSE)),""))</f>
        <v>LX7ii Consoles</v>
      </c>
      <c r="C29" s="21" t="str">
        <f>(IF((VLOOKUP(Table11[[#This Row],[SKU]],'All Skus'!$A:$AC,2,FALSE))="Soundcraft",(VLOOKUP(Table11[[#This Row],[SKU]],'All Skus'!$A:$AC,4,FALSE)),""))</f>
        <v>RW5676</v>
      </c>
      <c r="D29" s="19" t="str">
        <f>(IF((VLOOKUP(Table11[[#This Row],[SKU]],'All Skus'!$A:$AC,2,FALSE))="Soundcraft",(VLOOKUP(Table11[[#This Row],[SKU]],'All Skus'!$A:$AC,5,FALSE)),""))</f>
        <v>SC-MED CO</v>
      </c>
      <c r="E29" s="19">
        <f>(IF((VLOOKUP(Table11[[#This Row],[SKU]],'All Skus'!$A:$AC,2,FALSE))="Soundcraft",(VLOOKUP(Table11[[#This Row],[SKU]],'All Skus'!$A:$AC,6,FALSE)),""))</f>
        <v>0</v>
      </c>
      <c r="F29" s="18">
        <f>(IF((VLOOKUP(Table11[[#This Row],[SKU]],'All Skus'!$A:$AC,2,FALSE))="Soundcraft",(VLOOKUP(Table11[[#This Row],[SKU]],'All Skus'!$A:$AC,7,FALSE)),""))</f>
        <v>0</v>
      </c>
      <c r="G29" s="22" t="str">
        <f>(IF((VLOOKUP(Table11[[#This Row],[SKU]],'All Skus'!$A:$AC,2,FALSE))="Soundcraft",(VLOOKUP(Table11[[#This Row],[SKU]],'All Skus'!$A:$AC,8,FALSE)),""))</f>
        <v>LX7ii 32ch  32+4/4/3</v>
      </c>
      <c r="H29" s="22" t="str">
        <f>(IF((VLOOKUP(Table11[[#This Row],[SKU]],'All Skus'!$A:$AC,2,FALSE))="Soundcraft",(VLOOKUP(Table11[[#This Row],[SKU]],'All Skus'!$A:$AC,9,FALSE)),""))</f>
        <v>LX7ii 32ch  32+4/4/3</v>
      </c>
      <c r="I29" s="157">
        <f>(IF((VLOOKUP(Table11[[#This Row],[SKU]],'All Skus'!$A:$AC,2,FALSE))="Soundcraft",(VLOOKUP(Table11[[#This Row],[SKU]],'All Skus'!$A:$AC,10,FALSE)),""))</f>
        <v>2099.61</v>
      </c>
      <c r="J29" s="157">
        <f>(IF((VLOOKUP(Table11[[#This Row],[SKU]],'All Skus'!$A:$AC,2,FALSE))="Soundcraft",(VLOOKUP(Table11[[#This Row],[SKU]],'All Skus'!$A:$AC,11,FALSE)),""))</f>
        <v>2079</v>
      </c>
      <c r="K29" s="271">
        <f>(IF((VLOOKUP(Table11[[#This Row],[SKU]],'All Skus'!$A:$AC,2,FALSE))="Soundcraft",(VLOOKUP(Table11[[#This Row],[SKU]],'All Skus'!$A:$AC,16,FALSE)),""))</f>
        <v>688705009018</v>
      </c>
      <c r="L29" s="239">
        <f>(IF((VLOOKUP(Table11[[#This Row],[SKU]],'All Skus'!$A:$AC,2,FALSE))="Soundcraft",(VLOOKUP(Table11[[#This Row],[SKU]],'All Skus'!$A:$AC,17,FALSE)),""))</f>
        <v>0</v>
      </c>
      <c r="M29" s="239">
        <f>(IF((VLOOKUP(Table11[[#This Row],[SKU]],'All Skus'!$A:$AC,2,FALSE))="Soundcraft",(VLOOKUP(Table11[[#This Row],[SKU]],'All Skus'!$A:$AC,18,FALSE)),""))</f>
        <v>62.2</v>
      </c>
      <c r="N29" s="147">
        <f>(IF((VLOOKUP(Table11[[#This Row],[SKU]],'All Skus'!$A:$AC,2,FALSE))="Soundcraft",(VLOOKUP(Table11[[#This Row],[SKU]],'All Skus'!$A:$AC,19,FALSE)),""))</f>
        <v>37</v>
      </c>
      <c r="O29" s="147">
        <f>(IF((VLOOKUP(Table11[[#This Row],[SKU]],'All Skus'!$A:$AC,2,FALSE))="Soundcraft",(VLOOKUP(Table11[[#This Row],[SKU]],'All Skus'!$A:$AC,20,FALSE)),""))</f>
        <v>25</v>
      </c>
      <c r="P29" s="240">
        <f>(IF((VLOOKUP(Table11[[#This Row],[SKU]],'All Skus'!$A:$AC,2,FALSE))="Soundcraft",(VLOOKUP(Table11[[#This Row],[SKU]],'All Skus'!$A:$AC,21,FALSE)),""))</f>
        <v>12</v>
      </c>
      <c r="Q29" s="61" t="str">
        <f>(IF((VLOOKUP(Table11[[#This Row],[SKU]],'All Skus'!$A:$AC,2,FALSE))="Soundcraft",(VLOOKUP(Table11[[#This Row],[SKU]],'All Skus'!$A:$AC,22,FALSE)),""))</f>
        <v>CN</v>
      </c>
      <c r="R29" s="61" t="str">
        <f>(IF((VLOOKUP(Table11[[#This Row],[SKU]],'All Skus'!$A:$AC,2,FALSE))="Soundcraft",(VLOOKUP(Table11[[#This Row],[SKU]],'All Skus'!$A:$AC,23,FALSE)),""))</f>
        <v>Non Compliant</v>
      </c>
      <c r="S29" s="212" t="str">
        <f>HYPERLINK((IF((VLOOKUP(Table11[[#This Row],[SKU]],'All Skus'!$A:$AC,2,FALSE))="Soundcraft",(VLOOKUP(Table11[[#This Row],[SKU]],'All Skus'!$A:$AC,24,FALSE)),"")))</f>
        <v>http://www.soundcraft.com/products/lx7ii</v>
      </c>
      <c r="T29" s="151">
        <v>27</v>
      </c>
    </row>
    <row r="30" spans="1:20" ht="15" customHeight="1">
      <c r="A30" s="158" t="s">
        <v>2402</v>
      </c>
      <c r="B30" s="159" t="str">
        <f>(IF((VLOOKUP(Table11[[#This Row],[SKU]],'All Skus'!$A:$AC,2,FALSE))="Soundcraft",(VLOOKUP(Table11[[#This Row],[SKU]],'All Skus'!$A:$AC,3,FALSE)),""))</f>
        <v>LX7ii Console Accessories</v>
      </c>
      <c r="C30" s="21" t="str">
        <f>(IF((VLOOKUP(Table11[[#This Row],[SKU]],'All Skus'!$A:$AC,2,FALSE))="Soundcraft",(VLOOKUP(Table11[[#This Row],[SKU]],'All Skus'!$A:$AC,4,FALSE)),""))</f>
        <v>TZ2419</v>
      </c>
      <c r="D30" s="19">
        <f>(IF((VLOOKUP(Table11[[#This Row],[SKU]],'All Skus'!$A:$AC,2,FALSE))="Soundcraft",(VLOOKUP(Table11[[#This Row],[SKU]],'All Skus'!$A:$AC,5,FALSE)),""))</f>
        <v>10690000</v>
      </c>
      <c r="E30" s="19">
        <f>(IF((VLOOKUP(Table11[[#This Row],[SKU]],'All Skus'!$A:$AC,2,FALSE))="Soundcraft",(VLOOKUP(Table11[[#This Row],[SKU]],'All Skus'!$A:$AC,6,FALSE)),""))</f>
        <v>0</v>
      </c>
      <c r="F30" s="18">
        <f>(IF((VLOOKUP(Table11[[#This Row],[SKU]],'All Skus'!$A:$AC,2,FALSE))="Soundcraft",(VLOOKUP(Table11[[#This Row],[SKU]],'All Skus'!$A:$AC,7,FALSE)),""))</f>
        <v>0</v>
      </c>
      <c r="G30" s="22" t="str">
        <f>(IF((VLOOKUP(Table11[[#This Row],[SKU]],'All Skus'!$A:$AC,2,FALSE))="Soundcraft",(VLOOKUP(Table11[[#This Row],[SKU]],'All Skus'!$A:$AC,8,FALSE)),""))</f>
        <v>Dust Cover LX7ii 16</v>
      </c>
      <c r="H30" s="22" t="str">
        <f>(IF((VLOOKUP(Table11[[#This Row],[SKU]],'All Skus'!$A:$AC,2,FALSE))="Soundcraft",(VLOOKUP(Table11[[#This Row],[SKU]],'All Skus'!$A:$AC,9,FALSE)),""))</f>
        <v>Dust Cover LX7ii 16</v>
      </c>
      <c r="I30" s="157">
        <f>(IF((VLOOKUP(Table11[[#This Row],[SKU]],'All Skus'!$A:$AC,2,FALSE))="Soundcraft",(VLOOKUP(Table11[[#This Row],[SKU]],'All Skus'!$A:$AC,10,FALSE)),""))</f>
        <v>66.03</v>
      </c>
      <c r="J30" s="157">
        <f>(IF((VLOOKUP(Table11[[#This Row],[SKU]],'All Skus'!$A:$AC,2,FALSE))="Soundcraft",(VLOOKUP(Table11[[#This Row],[SKU]],'All Skus'!$A:$AC,11,FALSE)),""))</f>
        <v>66.03</v>
      </c>
      <c r="K30" s="271">
        <f>(IF((VLOOKUP(Table11[[#This Row],[SKU]],'All Skus'!$A:$AC,2,FALSE))="Soundcraft",(VLOOKUP(Table11[[#This Row],[SKU]],'All Skus'!$A:$AC,16,FALSE)),""))</f>
        <v>688705000510</v>
      </c>
      <c r="L30" s="239">
        <f>(IF((VLOOKUP(Table11[[#This Row],[SKU]],'All Skus'!$A:$AC,2,FALSE))="Soundcraft",(VLOOKUP(Table11[[#This Row],[SKU]],'All Skus'!$A:$AC,17,FALSE)),""))</f>
        <v>0</v>
      </c>
      <c r="M30" s="239">
        <f>(IF((VLOOKUP(Table11[[#This Row],[SKU]],'All Skus'!$A:$AC,2,FALSE))="Soundcraft",(VLOOKUP(Table11[[#This Row],[SKU]],'All Skus'!$A:$AC,18,FALSE)),""))</f>
        <v>2</v>
      </c>
      <c r="N30" s="147">
        <f>(IF((VLOOKUP(Table11[[#This Row],[SKU]],'All Skus'!$A:$AC,2,FALSE))="Soundcraft",(VLOOKUP(Table11[[#This Row],[SKU]],'All Skus'!$A:$AC,19,FALSE)),""))</f>
        <v>10</v>
      </c>
      <c r="O30" s="147">
        <f>(IF((VLOOKUP(Table11[[#This Row],[SKU]],'All Skus'!$A:$AC,2,FALSE))="Soundcraft",(VLOOKUP(Table11[[#This Row],[SKU]],'All Skus'!$A:$AC,20,FALSE)),""))</f>
        <v>10</v>
      </c>
      <c r="P30" s="240">
        <f>(IF((VLOOKUP(Table11[[#This Row],[SKU]],'All Skus'!$A:$AC,2,FALSE))="Soundcraft",(VLOOKUP(Table11[[#This Row],[SKU]],'All Skus'!$A:$AC,21,FALSE)),""))</f>
        <v>10</v>
      </c>
      <c r="Q30" s="61">
        <f>(IF((VLOOKUP(Table11[[#This Row],[SKU]],'All Skus'!$A:$AC,2,FALSE))="Soundcraft",(VLOOKUP(Table11[[#This Row],[SKU]],'All Skus'!$A:$AC,22,FALSE)),""))</f>
        <v>0</v>
      </c>
      <c r="R30" s="61" t="str">
        <f>(IF((VLOOKUP(Table11[[#This Row],[SKU]],'All Skus'!$A:$AC,2,FALSE))="Soundcraft",(VLOOKUP(Table11[[#This Row],[SKU]],'All Skus'!$A:$AC,23,FALSE)),""))</f>
        <v>Non Compliant</v>
      </c>
      <c r="S30" s="212" t="str">
        <f>HYPERLINK((IF((VLOOKUP(Table11[[#This Row],[SKU]],'All Skus'!$A:$AC,2,FALSE))="Soundcraft",(VLOOKUP(Table11[[#This Row],[SKU]],'All Skus'!$A:$AC,24,FALSE)),"")))</f>
        <v/>
      </c>
      <c r="T30" s="151">
        <v>28</v>
      </c>
    </row>
    <row r="31" spans="1:20" ht="15" customHeight="1">
      <c r="A31" s="158" t="s">
        <v>2403</v>
      </c>
      <c r="B31" s="159" t="str">
        <f>(IF((VLOOKUP(Table11[[#This Row],[SKU]],'All Skus'!$A:$AC,2,FALSE))="Soundcraft",(VLOOKUP(Table11[[#This Row],[SKU]],'All Skus'!$A:$AC,3,FALSE)),""))</f>
        <v>LX7ii Console Accessories</v>
      </c>
      <c r="C31" s="21" t="str">
        <f>(IF((VLOOKUP(Table11[[#This Row],[SKU]],'All Skus'!$A:$AC,2,FALSE))="Soundcraft",(VLOOKUP(Table11[[#This Row],[SKU]],'All Skus'!$A:$AC,4,FALSE)),""))</f>
        <v>TZ2420</v>
      </c>
      <c r="D31" s="19">
        <f>(IF((VLOOKUP(Table11[[#This Row],[SKU]],'All Skus'!$A:$AC,2,FALSE))="Soundcraft",(VLOOKUP(Table11[[#This Row],[SKU]],'All Skus'!$A:$AC,5,FALSE)),""))</f>
        <v>10690000</v>
      </c>
      <c r="E31" s="19">
        <f>(IF((VLOOKUP(Table11[[#This Row],[SKU]],'All Skus'!$A:$AC,2,FALSE))="Soundcraft",(VLOOKUP(Table11[[#This Row],[SKU]],'All Skus'!$A:$AC,6,FALSE)),""))</f>
        <v>0</v>
      </c>
      <c r="F31" s="18">
        <f>(IF((VLOOKUP(Table11[[#This Row],[SKU]],'All Skus'!$A:$AC,2,FALSE))="Soundcraft",(VLOOKUP(Table11[[#This Row],[SKU]],'All Skus'!$A:$AC,7,FALSE)),""))</f>
        <v>0</v>
      </c>
      <c r="G31" s="22" t="str">
        <f>(IF((VLOOKUP(Table11[[#This Row],[SKU]],'All Skus'!$A:$AC,2,FALSE))="Soundcraft",(VLOOKUP(Table11[[#This Row],[SKU]],'All Skus'!$A:$AC,8,FALSE)),""))</f>
        <v>Dust Cover LX7ii 24</v>
      </c>
      <c r="H31" s="22" t="str">
        <f>(IF((VLOOKUP(Table11[[#This Row],[SKU]],'All Skus'!$A:$AC,2,FALSE))="Soundcraft",(VLOOKUP(Table11[[#This Row],[SKU]],'All Skus'!$A:$AC,9,FALSE)),""))</f>
        <v>Dust Cover LX7ii 24</v>
      </c>
      <c r="I31" s="157">
        <f>(IF((VLOOKUP(Table11[[#This Row],[SKU]],'All Skus'!$A:$AC,2,FALSE))="Soundcraft",(VLOOKUP(Table11[[#This Row],[SKU]],'All Skus'!$A:$AC,10,FALSE)),""))</f>
        <v>72.03</v>
      </c>
      <c r="J31" s="157">
        <f>(IF((VLOOKUP(Table11[[#This Row],[SKU]],'All Skus'!$A:$AC,2,FALSE))="Soundcraft",(VLOOKUP(Table11[[#This Row],[SKU]],'All Skus'!$A:$AC,11,FALSE)),""))</f>
        <v>72</v>
      </c>
      <c r="K31" s="271">
        <f>(IF((VLOOKUP(Table11[[#This Row],[SKU]],'All Skus'!$A:$AC,2,FALSE))="Soundcraft",(VLOOKUP(Table11[[#This Row],[SKU]],'All Skus'!$A:$AC,16,FALSE)),""))</f>
        <v>688705000527</v>
      </c>
      <c r="L31" s="239">
        <f>(IF((VLOOKUP(Table11[[#This Row],[SKU]],'All Skus'!$A:$AC,2,FALSE))="Soundcraft",(VLOOKUP(Table11[[#This Row],[SKU]],'All Skus'!$A:$AC,17,FALSE)),""))</f>
        <v>0</v>
      </c>
      <c r="M31" s="239">
        <f>(IF((VLOOKUP(Table11[[#This Row],[SKU]],'All Skus'!$A:$AC,2,FALSE))="Soundcraft",(VLOOKUP(Table11[[#This Row],[SKU]],'All Skus'!$A:$AC,18,FALSE)),""))</f>
        <v>2</v>
      </c>
      <c r="N31" s="147">
        <f>(IF((VLOOKUP(Table11[[#This Row],[SKU]],'All Skus'!$A:$AC,2,FALSE))="Soundcraft",(VLOOKUP(Table11[[#This Row],[SKU]],'All Skus'!$A:$AC,19,FALSE)),""))</f>
        <v>10</v>
      </c>
      <c r="O31" s="147">
        <f>(IF((VLOOKUP(Table11[[#This Row],[SKU]],'All Skus'!$A:$AC,2,FALSE))="Soundcraft",(VLOOKUP(Table11[[#This Row],[SKU]],'All Skus'!$A:$AC,20,FALSE)),""))</f>
        <v>10</v>
      </c>
      <c r="P31" s="240">
        <f>(IF((VLOOKUP(Table11[[#This Row],[SKU]],'All Skus'!$A:$AC,2,FALSE))="Soundcraft",(VLOOKUP(Table11[[#This Row],[SKU]],'All Skus'!$A:$AC,21,FALSE)),""))</f>
        <v>10</v>
      </c>
      <c r="Q31" s="61">
        <f>(IF((VLOOKUP(Table11[[#This Row],[SKU]],'All Skus'!$A:$AC,2,FALSE))="Soundcraft",(VLOOKUP(Table11[[#This Row],[SKU]],'All Skus'!$A:$AC,22,FALSE)),""))</f>
        <v>0</v>
      </c>
      <c r="R31" s="61" t="str">
        <f>(IF((VLOOKUP(Table11[[#This Row],[SKU]],'All Skus'!$A:$AC,2,FALSE))="Soundcraft",(VLOOKUP(Table11[[#This Row],[SKU]],'All Skus'!$A:$AC,23,FALSE)),""))</f>
        <v>Non Compliant</v>
      </c>
      <c r="S31" s="212" t="str">
        <f>HYPERLINK((IF((VLOOKUP(Table11[[#This Row],[SKU]],'All Skus'!$A:$AC,2,FALSE))="Soundcraft",(VLOOKUP(Table11[[#This Row],[SKU]],'All Skus'!$A:$AC,24,FALSE)),"")))</f>
        <v/>
      </c>
      <c r="T31" s="151">
        <v>29</v>
      </c>
    </row>
    <row r="32" spans="1:20" ht="15" customHeight="1">
      <c r="A32" s="158" t="s">
        <v>2404</v>
      </c>
      <c r="B32" s="159" t="str">
        <f>(IF((VLOOKUP(Table11[[#This Row],[SKU]],'All Skus'!$A:$AC,2,FALSE))="Soundcraft",(VLOOKUP(Table11[[#This Row],[SKU]],'All Skus'!$A:$AC,3,FALSE)),""))</f>
        <v>LX7ii Console Accessories</v>
      </c>
      <c r="C32" s="21" t="str">
        <f>(IF((VLOOKUP(Table11[[#This Row],[SKU]],'All Skus'!$A:$AC,2,FALSE))="Soundcraft",(VLOOKUP(Table11[[#This Row],[SKU]],'All Skus'!$A:$AC,4,FALSE)),""))</f>
        <v>TZ2434</v>
      </c>
      <c r="D32" s="19">
        <f>(IF((VLOOKUP(Table11[[#This Row],[SKU]],'All Skus'!$A:$AC,2,FALSE))="Soundcraft",(VLOOKUP(Table11[[#This Row],[SKU]],'All Skus'!$A:$AC,5,FALSE)),""))</f>
        <v>10690000</v>
      </c>
      <c r="E32" s="19">
        <f>(IF((VLOOKUP(Table11[[#This Row],[SKU]],'All Skus'!$A:$AC,2,FALSE))="Soundcraft",(VLOOKUP(Table11[[#This Row],[SKU]],'All Skus'!$A:$AC,6,FALSE)),""))</f>
        <v>0</v>
      </c>
      <c r="F32" s="18">
        <f>(IF((VLOOKUP(Table11[[#This Row],[SKU]],'All Skus'!$A:$AC,2,FALSE))="Soundcraft",(VLOOKUP(Table11[[#This Row],[SKU]],'All Skus'!$A:$AC,7,FALSE)),""))</f>
        <v>0</v>
      </c>
      <c r="G32" s="22" t="str">
        <f>(IF((VLOOKUP(Table11[[#This Row],[SKU]],'All Skus'!$A:$AC,2,FALSE))="Soundcraft",(VLOOKUP(Table11[[#This Row],[SKU]],'All Skus'!$A:$AC,8,FALSE)),""))</f>
        <v>Dust Cover LX7ii 32</v>
      </c>
      <c r="H32" s="22" t="str">
        <f>(IF((VLOOKUP(Table11[[#This Row],[SKU]],'All Skus'!$A:$AC,2,FALSE))="Soundcraft",(VLOOKUP(Table11[[#This Row],[SKU]],'All Skus'!$A:$AC,9,FALSE)),""))</f>
        <v>Dust Cover LX7ii 32</v>
      </c>
      <c r="I32" s="157">
        <f>(IF((VLOOKUP(Table11[[#This Row],[SKU]],'All Skus'!$A:$AC,2,FALSE))="Soundcraft",(VLOOKUP(Table11[[#This Row],[SKU]],'All Skus'!$A:$AC,10,FALSE)),""))</f>
        <v>78.03</v>
      </c>
      <c r="J32" s="157">
        <f>(IF((VLOOKUP(Table11[[#This Row],[SKU]],'All Skus'!$A:$AC,2,FALSE))="Soundcraft",(VLOOKUP(Table11[[#This Row],[SKU]],'All Skus'!$A:$AC,11,FALSE)),""))</f>
        <v>78.03</v>
      </c>
      <c r="K32" s="271">
        <f>(IF((VLOOKUP(Table11[[#This Row],[SKU]],'All Skus'!$A:$AC,2,FALSE))="Soundcraft",(VLOOKUP(Table11[[#This Row],[SKU]],'All Skus'!$A:$AC,16,FALSE)),""))</f>
        <v>688705000534</v>
      </c>
      <c r="L32" s="239">
        <f>(IF((VLOOKUP(Table11[[#This Row],[SKU]],'All Skus'!$A:$AC,2,FALSE))="Soundcraft",(VLOOKUP(Table11[[#This Row],[SKU]],'All Skus'!$A:$AC,17,FALSE)),""))</f>
        <v>0</v>
      </c>
      <c r="M32" s="239">
        <f>(IF((VLOOKUP(Table11[[#This Row],[SKU]],'All Skus'!$A:$AC,2,FALSE))="Soundcraft",(VLOOKUP(Table11[[#This Row],[SKU]],'All Skus'!$A:$AC,18,FALSE)),""))</f>
        <v>2</v>
      </c>
      <c r="N32" s="147">
        <f>(IF((VLOOKUP(Table11[[#This Row],[SKU]],'All Skus'!$A:$AC,2,FALSE))="Soundcraft",(VLOOKUP(Table11[[#This Row],[SKU]],'All Skus'!$A:$AC,19,FALSE)),""))</f>
        <v>10</v>
      </c>
      <c r="O32" s="147">
        <f>(IF((VLOOKUP(Table11[[#This Row],[SKU]],'All Skus'!$A:$AC,2,FALSE))="Soundcraft",(VLOOKUP(Table11[[#This Row],[SKU]],'All Skus'!$A:$AC,20,FALSE)),""))</f>
        <v>10</v>
      </c>
      <c r="P32" s="240">
        <f>(IF((VLOOKUP(Table11[[#This Row],[SKU]],'All Skus'!$A:$AC,2,FALSE))="Soundcraft",(VLOOKUP(Table11[[#This Row],[SKU]],'All Skus'!$A:$AC,21,FALSE)),""))</f>
        <v>10</v>
      </c>
      <c r="Q32" s="61">
        <f>(IF((VLOOKUP(Table11[[#This Row],[SKU]],'All Skus'!$A:$AC,2,FALSE))="Soundcraft",(VLOOKUP(Table11[[#This Row],[SKU]],'All Skus'!$A:$AC,22,FALSE)),""))</f>
        <v>0</v>
      </c>
      <c r="R32" s="61" t="str">
        <f>(IF((VLOOKUP(Table11[[#This Row],[SKU]],'All Skus'!$A:$AC,2,FALSE))="Soundcraft",(VLOOKUP(Table11[[#This Row],[SKU]],'All Skus'!$A:$AC,23,FALSE)),""))</f>
        <v>Non Compliant</v>
      </c>
      <c r="S32" s="212" t="str">
        <f>HYPERLINK((IF((VLOOKUP(Table11[[#This Row],[SKU]],'All Skus'!$A:$AC,2,FALSE))="Soundcraft",(VLOOKUP(Table11[[#This Row],[SKU]],'All Skus'!$A:$AC,24,FALSE)),"")))</f>
        <v/>
      </c>
      <c r="T32" s="151">
        <v>30</v>
      </c>
    </row>
    <row r="33" spans="1:20" ht="15" customHeight="1">
      <c r="A33" s="158" t="s">
        <v>2405</v>
      </c>
      <c r="B33" s="159" t="str">
        <f>(IF((VLOOKUP(Table11[[#This Row],[SKU]],'All Skus'!$A:$AC,2,FALSE))="Soundcraft",(VLOOKUP(Table11[[#This Row],[SKU]],'All Skus'!$A:$AC,3,FALSE)),""))</f>
        <v>GB Series</v>
      </c>
      <c r="C33" s="21" t="str">
        <f>(IF((VLOOKUP(Table11[[#This Row],[SKU]],'All Skus'!$A:$AC,2,FALSE))="Soundcraft",(VLOOKUP(Table11[[#This Row],[SKU]],'All Skus'!$A:$AC,4,FALSE)),""))</f>
        <v>RW5755SM</v>
      </c>
      <c r="D33" s="19" t="str">
        <f>(IF((VLOOKUP(Table11[[#This Row],[SKU]],'All Skus'!$A:$AC,2,FALSE))="Soundcraft",(VLOOKUP(Table11[[#This Row],[SKU]],'All Skus'!$A:$AC,5,FALSE)),""))</f>
        <v>SC-MED CO</v>
      </c>
      <c r="E33" s="19">
        <f>(IF((VLOOKUP(Table11[[#This Row],[SKU]],'All Skus'!$A:$AC,2,FALSE))="Soundcraft",(VLOOKUP(Table11[[#This Row],[SKU]],'All Skus'!$A:$AC,6,FALSE)),""))</f>
        <v>0</v>
      </c>
      <c r="F33" s="18">
        <f>(IF((VLOOKUP(Table11[[#This Row],[SKU]],'All Skus'!$A:$AC,2,FALSE))="Soundcraft",(VLOOKUP(Table11[[#This Row],[SKU]],'All Skus'!$A:$AC,7,FALSE)),""))</f>
        <v>0</v>
      </c>
      <c r="G33" s="22" t="str">
        <f>(IF((VLOOKUP(Table11[[#This Row],[SKU]],'All Skus'!$A:$AC,2,FALSE))="Soundcraft",(VLOOKUP(Table11[[#This Row],[SKU]],'All Skus'!$A:$AC,8,FALSE)),""))</f>
        <v>GB2R 12ch 12+2/2/2</v>
      </c>
      <c r="H33" s="22" t="str">
        <f>(IF((VLOOKUP(Table11[[#This Row],[SKU]],'All Skus'!$A:$AC,2,FALSE))="Soundcraft",(VLOOKUP(Table11[[#This Row],[SKU]],'All Skus'!$A:$AC,9,FALSE)),""))</f>
        <v>GB2R 12ch 12+2/2/2</v>
      </c>
      <c r="I33" s="157">
        <f>(IF((VLOOKUP(Table11[[#This Row],[SKU]],'All Skus'!$A:$AC,2,FALSE))="Soundcraft",(VLOOKUP(Table11[[#This Row],[SKU]],'All Skus'!$A:$AC,10,FALSE)),""))</f>
        <v>1499.38</v>
      </c>
      <c r="J33" s="157">
        <f>(IF((VLOOKUP(Table11[[#This Row],[SKU]],'All Skus'!$A:$AC,2,FALSE))="Soundcraft",(VLOOKUP(Table11[[#This Row],[SKU]],'All Skus'!$A:$AC,11,FALSE)),""))</f>
        <v>1417</v>
      </c>
      <c r="K33" s="271">
        <f>(IF((VLOOKUP(Table11[[#This Row],[SKU]],'All Skus'!$A:$AC,2,FALSE))="Soundcraft",(VLOOKUP(Table11[[#This Row],[SKU]],'All Skus'!$A:$AC,16,FALSE)),""))</f>
        <v>688705008936</v>
      </c>
      <c r="L33" s="239">
        <f>(IF((VLOOKUP(Table11[[#This Row],[SKU]],'All Skus'!$A:$AC,2,FALSE))="Soundcraft",(VLOOKUP(Table11[[#This Row],[SKU]],'All Skus'!$A:$AC,17,FALSE)),""))</f>
        <v>0</v>
      </c>
      <c r="M33" s="239">
        <f>(IF((VLOOKUP(Table11[[#This Row],[SKU]],'All Skus'!$A:$AC,2,FALSE))="Soundcraft",(VLOOKUP(Table11[[#This Row],[SKU]],'All Skus'!$A:$AC,18,FALSE)),""))</f>
        <v>35.299999999999997</v>
      </c>
      <c r="N33" s="147">
        <f>(IF((VLOOKUP(Table11[[#This Row],[SKU]],'All Skus'!$A:$AC,2,FALSE))="Soundcraft",(VLOOKUP(Table11[[#This Row],[SKU]],'All Skus'!$A:$AC,19,FALSE)),""))</f>
        <v>26.4</v>
      </c>
      <c r="O33" s="147">
        <f>(IF((VLOOKUP(Table11[[#This Row],[SKU]],'All Skus'!$A:$AC,2,FALSE))="Soundcraft",(VLOOKUP(Table11[[#This Row],[SKU]],'All Skus'!$A:$AC,20,FALSE)),""))</f>
        <v>27</v>
      </c>
      <c r="P33" s="240">
        <f>(IF((VLOOKUP(Table11[[#This Row],[SKU]],'All Skus'!$A:$AC,2,FALSE))="Soundcraft",(VLOOKUP(Table11[[#This Row],[SKU]],'All Skus'!$A:$AC,21,FALSE)),""))</f>
        <v>12</v>
      </c>
      <c r="Q33" s="61" t="str">
        <f>(IF((VLOOKUP(Table11[[#This Row],[SKU]],'All Skus'!$A:$AC,2,FALSE))="Soundcraft",(VLOOKUP(Table11[[#This Row],[SKU]],'All Skus'!$A:$AC,22,FALSE)),""))</f>
        <v>CN</v>
      </c>
      <c r="R33" s="61" t="str">
        <f>(IF((VLOOKUP(Table11[[#This Row],[SKU]],'All Skus'!$A:$AC,2,FALSE))="Soundcraft",(VLOOKUP(Table11[[#This Row],[SKU]],'All Skus'!$A:$AC,23,FALSE)),""))</f>
        <v>Non Compliant</v>
      </c>
      <c r="S33" s="212" t="str">
        <f>HYPERLINK((IF((VLOOKUP(Table11[[#This Row],[SKU]],'All Skus'!$A:$AC,2,FALSE))="Soundcraft",(VLOOKUP(Table11[[#This Row],[SKU]],'All Skus'!$A:$AC,24,FALSE)),"")))</f>
        <v>http://www.soundcraft.com/products/gb2r</v>
      </c>
      <c r="T33" s="151">
        <v>31</v>
      </c>
    </row>
    <row r="34" spans="1:20" ht="15" customHeight="1">
      <c r="A34" s="158" t="s">
        <v>2406</v>
      </c>
      <c r="B34" s="159" t="str">
        <f>(IF((VLOOKUP(Table11[[#This Row],[SKU]],'All Skus'!$A:$AC,2,FALSE))="Soundcraft",(VLOOKUP(Table11[[#This Row],[SKU]],'All Skus'!$A:$AC,3,FALSE)),""))</f>
        <v>GB Series</v>
      </c>
      <c r="C34" s="21" t="str">
        <f>(IF((VLOOKUP(Table11[[#This Row],[SKU]],'All Skus'!$A:$AC,2,FALSE))="Soundcraft",(VLOOKUP(Table11[[#This Row],[SKU]],'All Skus'!$A:$AC,4,FALSE)),""))</f>
        <v>RW5754SM</v>
      </c>
      <c r="D34" s="19" t="str">
        <f>(IF((VLOOKUP(Table11[[#This Row],[SKU]],'All Skus'!$A:$AC,2,FALSE))="Soundcraft",(VLOOKUP(Table11[[#This Row],[SKU]],'All Skus'!$A:$AC,5,FALSE)),""))</f>
        <v>SC-MED CO</v>
      </c>
      <c r="E34" s="19">
        <f>(IF((VLOOKUP(Table11[[#This Row],[SKU]],'All Skus'!$A:$AC,2,FALSE))="Soundcraft",(VLOOKUP(Table11[[#This Row],[SKU]],'All Skus'!$A:$AC,6,FALSE)),""))</f>
        <v>0</v>
      </c>
      <c r="F34" s="18">
        <f>(IF((VLOOKUP(Table11[[#This Row],[SKU]],'All Skus'!$A:$AC,2,FALSE))="Soundcraft",(VLOOKUP(Table11[[#This Row],[SKU]],'All Skus'!$A:$AC,7,FALSE)),""))</f>
        <v>0</v>
      </c>
      <c r="G34" s="22" t="str">
        <f>(IF((VLOOKUP(Table11[[#This Row],[SKU]],'All Skus'!$A:$AC,2,FALSE))="Soundcraft",(VLOOKUP(Table11[[#This Row],[SKU]],'All Skus'!$A:$AC,8,FALSE)),""))</f>
        <v>GB2R 16ch 16/2</v>
      </c>
      <c r="H34" s="22" t="str">
        <f>(IF((VLOOKUP(Table11[[#This Row],[SKU]],'All Skus'!$A:$AC,2,FALSE))="Soundcraft",(VLOOKUP(Table11[[#This Row],[SKU]],'All Skus'!$A:$AC,9,FALSE)),""))</f>
        <v>GB2R 16ch 16/2</v>
      </c>
      <c r="I34" s="157">
        <f>(IF((VLOOKUP(Table11[[#This Row],[SKU]],'All Skus'!$A:$AC,2,FALSE))="Soundcraft",(VLOOKUP(Table11[[#This Row],[SKU]],'All Skus'!$A:$AC,10,FALSE)),""))</f>
        <v>1780.05</v>
      </c>
      <c r="J34" s="157">
        <f>(IF((VLOOKUP(Table11[[#This Row],[SKU]],'All Skus'!$A:$AC,2,FALSE))="Soundcraft",(VLOOKUP(Table11[[#This Row],[SKU]],'All Skus'!$A:$AC,11,FALSE)),""))</f>
        <v>1425</v>
      </c>
      <c r="K34" s="271">
        <f>(IF((VLOOKUP(Table11[[#This Row],[SKU]],'All Skus'!$A:$AC,2,FALSE))="Soundcraft",(VLOOKUP(Table11[[#This Row],[SKU]],'All Skus'!$A:$AC,16,FALSE)),""))</f>
        <v>688705008943</v>
      </c>
      <c r="L34" s="239">
        <f>(IF((VLOOKUP(Table11[[#This Row],[SKU]],'All Skus'!$A:$AC,2,FALSE))="Soundcraft",(VLOOKUP(Table11[[#This Row],[SKU]],'All Skus'!$A:$AC,17,FALSE)),""))</f>
        <v>0</v>
      </c>
      <c r="M34" s="239">
        <f>(IF((VLOOKUP(Table11[[#This Row],[SKU]],'All Skus'!$A:$AC,2,FALSE))="Soundcraft",(VLOOKUP(Table11[[#This Row],[SKU]],'All Skus'!$A:$AC,18,FALSE)),""))</f>
        <v>35.700000000000003</v>
      </c>
      <c r="N34" s="147">
        <f>(IF((VLOOKUP(Table11[[#This Row],[SKU]],'All Skus'!$A:$AC,2,FALSE))="Soundcraft",(VLOOKUP(Table11[[#This Row],[SKU]],'All Skus'!$A:$AC,19,FALSE)),""))</f>
        <v>26.4</v>
      </c>
      <c r="O34" s="147">
        <f>(IF((VLOOKUP(Table11[[#This Row],[SKU]],'All Skus'!$A:$AC,2,FALSE))="Soundcraft",(VLOOKUP(Table11[[#This Row],[SKU]],'All Skus'!$A:$AC,20,FALSE)),""))</f>
        <v>27</v>
      </c>
      <c r="P34" s="240">
        <f>(IF((VLOOKUP(Table11[[#This Row],[SKU]],'All Skus'!$A:$AC,2,FALSE))="Soundcraft",(VLOOKUP(Table11[[#This Row],[SKU]],'All Skus'!$A:$AC,21,FALSE)),""))</f>
        <v>13</v>
      </c>
      <c r="Q34" s="61" t="str">
        <f>(IF((VLOOKUP(Table11[[#This Row],[SKU]],'All Skus'!$A:$AC,2,FALSE))="Soundcraft",(VLOOKUP(Table11[[#This Row],[SKU]],'All Skus'!$A:$AC,22,FALSE)),""))</f>
        <v>CN</v>
      </c>
      <c r="R34" s="61" t="str">
        <f>(IF((VLOOKUP(Table11[[#This Row],[SKU]],'All Skus'!$A:$AC,2,FALSE))="Soundcraft",(VLOOKUP(Table11[[#This Row],[SKU]],'All Skus'!$A:$AC,23,FALSE)),""))</f>
        <v>Non Compliant</v>
      </c>
      <c r="S34" s="212" t="str">
        <f>HYPERLINK((IF((VLOOKUP(Table11[[#This Row],[SKU]],'All Skus'!$A:$AC,2,FALSE))="Soundcraft",(VLOOKUP(Table11[[#This Row],[SKU]],'All Skus'!$A:$AC,24,FALSE)),"")))</f>
        <v>http://www.soundcraft.com/products/gb2r</v>
      </c>
      <c r="T34" s="151">
        <v>32</v>
      </c>
    </row>
    <row r="35" spans="1:20" ht="15" customHeight="1">
      <c r="A35" s="158" t="s">
        <v>2407</v>
      </c>
      <c r="B35" s="159" t="str">
        <f>(IF((VLOOKUP(Table11[[#This Row],[SKU]],'All Skus'!$A:$AC,2,FALSE))="Soundcraft",(VLOOKUP(Table11[[#This Row],[SKU]],'All Skus'!$A:$AC,3,FALSE)),""))</f>
        <v>GB Series</v>
      </c>
      <c r="C35" s="21" t="str">
        <f>(IF((VLOOKUP(Table11[[#This Row],[SKU]],'All Skus'!$A:$AC,2,FALSE))="Soundcraft",(VLOOKUP(Table11[[#This Row],[SKU]],'All Skus'!$A:$AC,4,FALSE)),""))</f>
        <v>RW5747SM</v>
      </c>
      <c r="D35" s="19" t="str">
        <f>(IF((VLOOKUP(Table11[[#This Row],[SKU]],'All Skus'!$A:$AC,2,FALSE))="Soundcraft",(VLOOKUP(Table11[[#This Row],[SKU]],'All Skus'!$A:$AC,5,FALSE)),""))</f>
        <v>SC-MED CO</v>
      </c>
      <c r="E35" s="19">
        <f>(IF((VLOOKUP(Table11[[#This Row],[SKU]],'All Skus'!$A:$AC,2,FALSE))="Soundcraft",(VLOOKUP(Table11[[#This Row],[SKU]],'All Skus'!$A:$AC,6,FALSE)),""))</f>
        <v>0</v>
      </c>
      <c r="F35" s="18">
        <f>(IF((VLOOKUP(Table11[[#This Row],[SKU]],'All Skus'!$A:$AC,2,FALSE))="Soundcraft",(VLOOKUP(Table11[[#This Row],[SKU]],'All Skus'!$A:$AC,7,FALSE)),""))</f>
        <v>0</v>
      </c>
      <c r="G35" s="22" t="str">
        <f>(IF((VLOOKUP(Table11[[#This Row],[SKU]],'All Skus'!$A:$AC,2,FALSE))="Soundcraft",(VLOOKUP(Table11[[#This Row],[SKU]],'All Skus'!$A:$AC,8,FALSE)),""))</f>
        <v>GB2 16ch  16+2/4/2</v>
      </c>
      <c r="H35" s="22" t="str">
        <f>(IF((VLOOKUP(Table11[[#This Row],[SKU]],'All Skus'!$A:$AC,2,FALSE))="Soundcraft",(VLOOKUP(Table11[[#This Row],[SKU]],'All Skus'!$A:$AC,9,FALSE)),""))</f>
        <v>GB2 16ch  16+2/4/2</v>
      </c>
      <c r="I35" s="157">
        <f>(IF((VLOOKUP(Table11[[#This Row],[SKU]],'All Skus'!$A:$AC,2,FALSE))="Soundcraft",(VLOOKUP(Table11[[#This Row],[SKU]],'All Skus'!$A:$AC,10,FALSE)),""))</f>
        <v>1681.73</v>
      </c>
      <c r="J35" s="157">
        <f>(IF((VLOOKUP(Table11[[#This Row],[SKU]],'All Skus'!$A:$AC,2,FALSE))="Soundcraft",(VLOOKUP(Table11[[#This Row],[SKU]],'All Skus'!$A:$AC,11,FALSE)),""))</f>
        <v>1681.73</v>
      </c>
      <c r="K35" s="271">
        <f>(IF((VLOOKUP(Table11[[#This Row],[SKU]],'All Skus'!$A:$AC,2,FALSE))="Soundcraft",(VLOOKUP(Table11[[#This Row],[SKU]],'All Skus'!$A:$AC,16,FALSE)),""))</f>
        <v>688705008912</v>
      </c>
      <c r="L35" s="239">
        <f>(IF((VLOOKUP(Table11[[#This Row],[SKU]],'All Skus'!$A:$AC,2,FALSE))="Soundcraft",(VLOOKUP(Table11[[#This Row],[SKU]],'All Skus'!$A:$AC,17,FALSE)),""))</f>
        <v>0</v>
      </c>
      <c r="M35" s="239">
        <f>(IF((VLOOKUP(Table11[[#This Row],[SKU]],'All Skus'!$A:$AC,2,FALSE))="Soundcraft",(VLOOKUP(Table11[[#This Row],[SKU]],'All Skus'!$A:$AC,18,FALSE)),""))</f>
        <v>57.3</v>
      </c>
      <c r="N35" s="147">
        <f>(IF((VLOOKUP(Table11[[#This Row],[SKU]],'All Skus'!$A:$AC,2,FALSE))="Soundcraft",(VLOOKUP(Table11[[#This Row],[SKU]],'All Skus'!$A:$AC,19,FALSE)),""))</f>
        <v>35.4</v>
      </c>
      <c r="O35" s="147">
        <f>(IF((VLOOKUP(Table11[[#This Row],[SKU]],'All Skus'!$A:$AC,2,FALSE))="Soundcraft",(VLOOKUP(Table11[[#This Row],[SKU]],'All Skus'!$A:$AC,20,FALSE)),""))</f>
        <v>36</v>
      </c>
      <c r="P35" s="240">
        <f>(IF((VLOOKUP(Table11[[#This Row],[SKU]],'All Skus'!$A:$AC,2,FALSE))="Soundcraft",(VLOOKUP(Table11[[#This Row],[SKU]],'All Skus'!$A:$AC,21,FALSE)),""))</f>
        <v>12</v>
      </c>
      <c r="Q35" s="61" t="str">
        <f>(IF((VLOOKUP(Table11[[#This Row],[SKU]],'All Skus'!$A:$AC,2,FALSE))="Soundcraft",(VLOOKUP(Table11[[#This Row],[SKU]],'All Skus'!$A:$AC,22,FALSE)),""))</f>
        <v>CN</v>
      </c>
      <c r="R35" s="61" t="str">
        <f>(IF((VLOOKUP(Table11[[#This Row],[SKU]],'All Skus'!$A:$AC,2,FALSE))="Soundcraft",(VLOOKUP(Table11[[#This Row],[SKU]],'All Skus'!$A:$AC,23,FALSE)),""))</f>
        <v>Non Compliant</v>
      </c>
      <c r="S35" s="212" t="str">
        <f>HYPERLINK((IF((VLOOKUP(Table11[[#This Row],[SKU]],'All Skus'!$A:$AC,2,FALSE))="Soundcraft",(VLOOKUP(Table11[[#This Row],[SKU]],'All Skus'!$A:$AC,24,FALSE)),"")))</f>
        <v>http://www.soundcraft.com/products/gb2</v>
      </c>
      <c r="T35" s="151">
        <v>33</v>
      </c>
    </row>
    <row r="36" spans="1:20" ht="15" customHeight="1">
      <c r="A36" s="158" t="s">
        <v>2408</v>
      </c>
      <c r="B36" s="159" t="str">
        <f>(IF((VLOOKUP(Table11[[#This Row],[SKU]],'All Skus'!$A:$AC,2,FALSE))="Soundcraft",(VLOOKUP(Table11[[#This Row],[SKU]],'All Skus'!$A:$AC,3,FALSE)),""))</f>
        <v>GB Series</v>
      </c>
      <c r="C36" s="21" t="str">
        <f>(IF((VLOOKUP(Table11[[#This Row],[SKU]],'All Skus'!$A:$AC,2,FALSE))="Soundcraft",(VLOOKUP(Table11[[#This Row],[SKU]],'All Skus'!$A:$AC,4,FALSE)),""))</f>
        <v>RW5748SM</v>
      </c>
      <c r="D36" s="19" t="str">
        <f>(IF((VLOOKUP(Table11[[#This Row],[SKU]],'All Skus'!$A:$AC,2,FALSE))="Soundcraft",(VLOOKUP(Table11[[#This Row],[SKU]],'All Skus'!$A:$AC,5,FALSE)),""))</f>
        <v>SC-MED CO</v>
      </c>
      <c r="E36" s="19">
        <f>(IF((VLOOKUP(Table11[[#This Row],[SKU]],'All Skus'!$A:$AC,2,FALSE))="Soundcraft",(VLOOKUP(Table11[[#This Row],[SKU]],'All Skus'!$A:$AC,6,FALSE)),""))</f>
        <v>0</v>
      </c>
      <c r="F36" s="18">
        <f>(IF((VLOOKUP(Table11[[#This Row],[SKU]],'All Skus'!$A:$AC,2,FALSE))="Soundcraft",(VLOOKUP(Table11[[#This Row],[SKU]],'All Skus'!$A:$AC,7,FALSE)),""))</f>
        <v>0</v>
      </c>
      <c r="G36" s="22" t="str">
        <f>(IF((VLOOKUP(Table11[[#This Row],[SKU]],'All Skus'!$A:$AC,2,FALSE))="Soundcraft",(VLOOKUP(Table11[[#This Row],[SKU]],'All Skus'!$A:$AC,8,FALSE)),""))</f>
        <v>GB2 24ch  24+2/4/2</v>
      </c>
      <c r="H36" s="22" t="str">
        <f>(IF((VLOOKUP(Table11[[#This Row],[SKU]],'All Skus'!$A:$AC,2,FALSE))="Soundcraft",(VLOOKUP(Table11[[#This Row],[SKU]],'All Skus'!$A:$AC,9,FALSE)),""))</f>
        <v>GB2 24ch  24+2/4/2</v>
      </c>
      <c r="I36" s="157">
        <f>(IF((VLOOKUP(Table11[[#This Row],[SKU]],'All Skus'!$A:$AC,2,FALSE))="Soundcraft",(VLOOKUP(Table11[[#This Row],[SKU]],'All Skus'!$A:$AC,10,FALSE)),""))</f>
        <v>2935.5</v>
      </c>
      <c r="J36" s="157">
        <f>(IF((VLOOKUP(Table11[[#This Row],[SKU]],'All Skus'!$A:$AC,2,FALSE))="Soundcraft",(VLOOKUP(Table11[[#This Row],[SKU]],'All Skus'!$A:$AC,11,FALSE)),""))</f>
        <v>2345</v>
      </c>
      <c r="K36" s="271">
        <f>(IF((VLOOKUP(Table11[[#This Row],[SKU]],'All Skus'!$A:$AC,2,FALSE))="Soundcraft",(VLOOKUP(Table11[[#This Row],[SKU]],'All Skus'!$A:$AC,16,FALSE)),""))</f>
        <v>688705210759</v>
      </c>
      <c r="L36" s="239">
        <f>(IF((VLOOKUP(Table11[[#This Row],[SKU]],'All Skus'!$A:$AC,2,FALSE))="Soundcraft",(VLOOKUP(Table11[[#This Row],[SKU]],'All Skus'!$A:$AC,17,FALSE)),""))</f>
        <v>0</v>
      </c>
      <c r="M36" s="239">
        <f>(IF((VLOOKUP(Table11[[#This Row],[SKU]],'All Skus'!$A:$AC,2,FALSE))="Soundcraft",(VLOOKUP(Table11[[#This Row],[SKU]],'All Skus'!$A:$AC,18,FALSE)),""))</f>
        <v>68.3</v>
      </c>
      <c r="N36" s="147">
        <f>(IF((VLOOKUP(Table11[[#This Row],[SKU]],'All Skus'!$A:$AC,2,FALSE))="Soundcraft",(VLOOKUP(Table11[[#This Row],[SKU]],'All Skus'!$A:$AC,19,FALSE)),""))</f>
        <v>44.5</v>
      </c>
      <c r="O36" s="147">
        <f>(IF((VLOOKUP(Table11[[#This Row],[SKU]],'All Skus'!$A:$AC,2,FALSE))="Soundcraft",(VLOOKUP(Table11[[#This Row],[SKU]],'All Skus'!$A:$AC,20,FALSE)),""))</f>
        <v>44</v>
      </c>
      <c r="P36" s="240">
        <f>(IF((VLOOKUP(Table11[[#This Row],[SKU]],'All Skus'!$A:$AC,2,FALSE))="Soundcraft",(VLOOKUP(Table11[[#This Row],[SKU]],'All Skus'!$A:$AC,21,FALSE)),""))</f>
        <v>30.5</v>
      </c>
      <c r="Q36" s="61" t="str">
        <f>(IF((VLOOKUP(Table11[[#This Row],[SKU]],'All Skus'!$A:$AC,2,FALSE))="Soundcraft",(VLOOKUP(Table11[[#This Row],[SKU]],'All Skus'!$A:$AC,22,FALSE)),""))</f>
        <v>CN</v>
      </c>
      <c r="R36" s="61" t="str">
        <f>(IF((VLOOKUP(Table11[[#This Row],[SKU]],'All Skus'!$A:$AC,2,FALSE))="Soundcraft",(VLOOKUP(Table11[[#This Row],[SKU]],'All Skus'!$A:$AC,23,FALSE)),""))</f>
        <v>Non Compliant</v>
      </c>
      <c r="S36" s="212" t="str">
        <f>HYPERLINK((IF((VLOOKUP(Table11[[#This Row],[SKU]],'All Skus'!$A:$AC,2,FALSE))="Soundcraft",(VLOOKUP(Table11[[#This Row],[SKU]],'All Skus'!$A:$AC,24,FALSE)),"")))</f>
        <v>http://www.soundcraft.com/products/gb2</v>
      </c>
      <c r="T36" s="151">
        <v>34</v>
      </c>
    </row>
    <row r="37" spans="1:20" ht="15" customHeight="1">
      <c r="A37" s="158" t="s">
        <v>2409</v>
      </c>
      <c r="B37" s="159" t="str">
        <f>(IF((VLOOKUP(Table11[[#This Row],[SKU]],'All Skus'!$A:$AC,2,FALSE))="Soundcraft",(VLOOKUP(Table11[[#This Row],[SKU]],'All Skus'!$A:$AC,3,FALSE)),""))</f>
        <v>GB Series</v>
      </c>
      <c r="C37" s="21" t="str">
        <f>(IF((VLOOKUP(Table11[[#This Row],[SKU]],'All Skus'!$A:$AC,2,FALSE))="Soundcraft",(VLOOKUP(Table11[[#This Row],[SKU]],'All Skus'!$A:$AC,4,FALSE)),""))</f>
        <v>RW5749SM</v>
      </c>
      <c r="D37" s="19" t="str">
        <f>(IF((VLOOKUP(Table11[[#This Row],[SKU]],'All Skus'!$A:$AC,2,FALSE))="Soundcraft",(VLOOKUP(Table11[[#This Row],[SKU]],'All Skus'!$A:$AC,5,FALSE)),""))</f>
        <v>SC-MED CO</v>
      </c>
      <c r="E37" s="19">
        <f>(IF((VLOOKUP(Table11[[#This Row],[SKU]],'All Skus'!$A:$AC,2,FALSE))="Soundcraft",(VLOOKUP(Table11[[#This Row],[SKU]],'All Skus'!$A:$AC,6,FALSE)),""))</f>
        <v>0</v>
      </c>
      <c r="F37" s="18">
        <f>(IF((VLOOKUP(Table11[[#This Row],[SKU]],'All Skus'!$A:$AC,2,FALSE))="Soundcraft",(VLOOKUP(Table11[[#This Row],[SKU]],'All Skus'!$A:$AC,7,FALSE)),""))</f>
        <v>0</v>
      </c>
      <c r="G37" s="22" t="str">
        <f>(IF((VLOOKUP(Table11[[#This Row],[SKU]],'All Skus'!$A:$AC,2,FALSE))="Soundcraft",(VLOOKUP(Table11[[#This Row],[SKU]],'All Skus'!$A:$AC,8,FALSE)),""))</f>
        <v>GB2 32ch  32+2/4/2</v>
      </c>
      <c r="H37" s="22" t="str">
        <f>(IF((VLOOKUP(Table11[[#This Row],[SKU]],'All Skus'!$A:$AC,2,FALSE))="Soundcraft",(VLOOKUP(Table11[[#This Row],[SKU]],'All Skus'!$A:$AC,9,FALSE)),""))</f>
        <v>GB2 32ch  32+2/4/2</v>
      </c>
      <c r="I37" s="157">
        <f>(IF((VLOOKUP(Table11[[#This Row],[SKU]],'All Skus'!$A:$AC,2,FALSE))="Soundcraft",(VLOOKUP(Table11[[#This Row],[SKU]],'All Skus'!$A:$AC,10,FALSE)),""))</f>
        <v>3510.23</v>
      </c>
      <c r="J37" s="157">
        <f>(IF((VLOOKUP(Table11[[#This Row],[SKU]],'All Skus'!$A:$AC,2,FALSE))="Soundcraft",(VLOOKUP(Table11[[#This Row],[SKU]],'All Skus'!$A:$AC,11,FALSE)),""))</f>
        <v>2819</v>
      </c>
      <c r="K37" s="271">
        <f>(IF((VLOOKUP(Table11[[#This Row],[SKU]],'All Skus'!$A:$AC,2,FALSE))="Soundcraft",(VLOOKUP(Table11[[#This Row],[SKU]],'All Skus'!$A:$AC,16,FALSE)),""))</f>
        <v>688705008929</v>
      </c>
      <c r="L37" s="239">
        <f>(IF((VLOOKUP(Table11[[#This Row],[SKU]],'All Skus'!$A:$AC,2,FALSE))="Soundcraft",(VLOOKUP(Table11[[#This Row],[SKU]],'All Skus'!$A:$AC,17,FALSE)),""))</f>
        <v>0</v>
      </c>
      <c r="M37" s="239">
        <f>(IF((VLOOKUP(Table11[[#This Row],[SKU]],'All Skus'!$A:$AC,2,FALSE))="Soundcraft",(VLOOKUP(Table11[[#This Row],[SKU]],'All Skus'!$A:$AC,18,FALSE)),""))</f>
        <v>83.8</v>
      </c>
      <c r="N37" s="147">
        <f>(IF((VLOOKUP(Table11[[#This Row],[SKU]],'All Skus'!$A:$AC,2,FALSE))="Soundcraft",(VLOOKUP(Table11[[#This Row],[SKU]],'All Skus'!$A:$AC,19,FALSE)),""))</f>
        <v>53.5</v>
      </c>
      <c r="O37" s="147">
        <f>(IF((VLOOKUP(Table11[[#This Row],[SKU]],'All Skus'!$A:$AC,2,FALSE))="Soundcraft",(VLOOKUP(Table11[[#This Row],[SKU]],'All Skus'!$A:$AC,20,FALSE)),""))</f>
        <v>32</v>
      </c>
      <c r="P37" s="240">
        <f>(IF((VLOOKUP(Table11[[#This Row],[SKU]],'All Skus'!$A:$AC,2,FALSE))="Soundcraft",(VLOOKUP(Table11[[#This Row],[SKU]],'All Skus'!$A:$AC,21,FALSE)),""))</f>
        <v>54</v>
      </c>
      <c r="Q37" s="61" t="str">
        <f>(IF((VLOOKUP(Table11[[#This Row],[SKU]],'All Skus'!$A:$AC,2,FALSE))="Soundcraft",(VLOOKUP(Table11[[#This Row],[SKU]],'All Skus'!$A:$AC,22,FALSE)),""))</f>
        <v>CN</v>
      </c>
      <c r="R37" s="61" t="str">
        <f>(IF((VLOOKUP(Table11[[#This Row],[SKU]],'All Skus'!$A:$AC,2,FALSE))="Soundcraft",(VLOOKUP(Table11[[#This Row],[SKU]],'All Skus'!$A:$AC,23,FALSE)),""))</f>
        <v>Non Compliant</v>
      </c>
      <c r="S37" s="212" t="str">
        <f>HYPERLINK((IF((VLOOKUP(Table11[[#This Row],[SKU]],'All Skus'!$A:$AC,2,FALSE))="Soundcraft",(VLOOKUP(Table11[[#This Row],[SKU]],'All Skus'!$A:$AC,24,FALSE)),"")))</f>
        <v>http://www.soundcraft.com/products/gb2</v>
      </c>
      <c r="T37" s="151">
        <v>35</v>
      </c>
    </row>
    <row r="38" spans="1:20" ht="15" customHeight="1">
      <c r="A38" s="158" t="s">
        <v>2410</v>
      </c>
      <c r="B38" s="159" t="str">
        <f>(IF((VLOOKUP(Table11[[#This Row],[SKU]],'All Skus'!$A:$AC,2,FALSE))="Soundcraft",(VLOOKUP(Table11[[#This Row],[SKU]],'All Skus'!$A:$AC,3,FALSE)),""))</f>
        <v>GB Series</v>
      </c>
      <c r="C38" s="21" t="str">
        <f>(IF((VLOOKUP(Table11[[#This Row],[SKU]],'All Skus'!$A:$AC,2,FALSE))="Soundcraft",(VLOOKUP(Table11[[#This Row],[SKU]],'All Skus'!$A:$AC,4,FALSE)),""))</f>
        <v>RW5690SM</v>
      </c>
      <c r="D38" s="19" t="str">
        <f>(IF((VLOOKUP(Table11[[#This Row],[SKU]],'All Skus'!$A:$AC,2,FALSE))="Soundcraft",(VLOOKUP(Table11[[#This Row],[SKU]],'All Skus'!$A:$AC,5,FALSE)),""))</f>
        <v>SC-MED CO</v>
      </c>
      <c r="E38" s="19">
        <f>(IF((VLOOKUP(Table11[[#This Row],[SKU]],'All Skus'!$A:$AC,2,FALSE))="Soundcraft",(VLOOKUP(Table11[[#This Row],[SKU]],'All Skus'!$A:$AC,6,FALSE)),""))</f>
        <v>0</v>
      </c>
      <c r="F38" s="18">
        <f>(IF((VLOOKUP(Table11[[#This Row],[SKU]],'All Skus'!$A:$AC,2,FALSE))="Soundcraft",(VLOOKUP(Table11[[#This Row],[SKU]],'All Skus'!$A:$AC,7,FALSE)),""))</f>
        <v>0</v>
      </c>
      <c r="G38" s="22" t="str">
        <f>(IF((VLOOKUP(Table11[[#This Row],[SKU]],'All Skus'!$A:$AC,2,FALSE))="Soundcraft",(VLOOKUP(Table11[[#This Row],[SKU]],'All Skus'!$A:$AC,8,FALSE)),""))</f>
        <v>GB4 16ch  16+4/4/2</v>
      </c>
      <c r="H38" s="22" t="str">
        <f>(IF((VLOOKUP(Table11[[#This Row],[SKU]],'All Skus'!$A:$AC,2,FALSE))="Soundcraft",(VLOOKUP(Table11[[#This Row],[SKU]],'All Skus'!$A:$AC,9,FALSE)),""))</f>
        <v>GB4 16ch  16+4/4/2</v>
      </c>
      <c r="I38" s="157">
        <f>(IF((VLOOKUP(Table11[[#This Row],[SKU]],'All Skus'!$A:$AC,2,FALSE))="Soundcraft",(VLOOKUP(Table11[[#This Row],[SKU]],'All Skus'!$A:$AC,10,FALSE)),""))</f>
        <v>2099.61</v>
      </c>
      <c r="J38" s="157">
        <f>(IF((VLOOKUP(Table11[[#This Row],[SKU]],'All Skus'!$A:$AC,2,FALSE))="Soundcraft",(VLOOKUP(Table11[[#This Row],[SKU]],'All Skus'!$A:$AC,11,FALSE)),""))</f>
        <v>2059</v>
      </c>
      <c r="K38" s="271">
        <f>(IF((VLOOKUP(Table11[[#This Row],[SKU]],'All Skus'!$A:$AC,2,FALSE))="Soundcraft",(VLOOKUP(Table11[[#This Row],[SKU]],'All Skus'!$A:$AC,16,FALSE)),""))</f>
        <v>688705209395</v>
      </c>
      <c r="L38" s="239">
        <f>(IF((VLOOKUP(Table11[[#This Row],[SKU]],'All Skus'!$A:$AC,2,FALSE))="Soundcraft",(VLOOKUP(Table11[[#This Row],[SKU]],'All Skus'!$A:$AC,17,FALSE)),""))</f>
        <v>0</v>
      </c>
      <c r="M38" s="239">
        <f>(IF((VLOOKUP(Table11[[#This Row],[SKU]],'All Skus'!$A:$AC,2,FALSE))="Soundcraft",(VLOOKUP(Table11[[#This Row],[SKU]],'All Skus'!$A:$AC,18,FALSE)),""))</f>
        <v>55.1</v>
      </c>
      <c r="N38" s="147">
        <f>(IF((VLOOKUP(Table11[[#This Row],[SKU]],'All Skus'!$A:$AC,2,FALSE))="Soundcraft",(VLOOKUP(Table11[[#This Row],[SKU]],'All Skus'!$A:$AC,19,FALSE)),""))</f>
        <v>37.799999999999997</v>
      </c>
      <c r="O38" s="147">
        <f>(IF((VLOOKUP(Table11[[#This Row],[SKU]],'All Skus'!$A:$AC,2,FALSE))="Soundcraft",(VLOOKUP(Table11[[#This Row],[SKU]],'All Skus'!$A:$AC,20,FALSE)),""))</f>
        <v>11</v>
      </c>
      <c r="P38" s="240">
        <f>(IF((VLOOKUP(Table11[[#This Row],[SKU]],'All Skus'!$A:$AC,2,FALSE))="Soundcraft",(VLOOKUP(Table11[[#This Row],[SKU]],'All Skus'!$A:$AC,21,FALSE)),""))</f>
        <v>31</v>
      </c>
      <c r="Q38" s="61" t="str">
        <f>(IF((VLOOKUP(Table11[[#This Row],[SKU]],'All Skus'!$A:$AC,2,FALSE))="Soundcraft",(VLOOKUP(Table11[[#This Row],[SKU]],'All Skus'!$A:$AC,22,FALSE)),""))</f>
        <v>CN</v>
      </c>
      <c r="R38" s="61" t="str">
        <f>(IF((VLOOKUP(Table11[[#This Row],[SKU]],'All Skus'!$A:$AC,2,FALSE))="Soundcraft",(VLOOKUP(Table11[[#This Row],[SKU]],'All Skus'!$A:$AC,23,FALSE)),""))</f>
        <v>Non Compliant</v>
      </c>
      <c r="S38" s="212" t="str">
        <f>HYPERLINK((IF((VLOOKUP(Table11[[#This Row],[SKU]],'All Skus'!$A:$AC,2,FALSE))="Soundcraft",(VLOOKUP(Table11[[#This Row],[SKU]],'All Skus'!$A:$AC,24,FALSE)),"")))</f>
        <v>http://www.soundcraft.com/products/gb4</v>
      </c>
      <c r="T38" s="151">
        <v>36</v>
      </c>
    </row>
    <row r="39" spans="1:20" ht="15" customHeight="1">
      <c r="A39" s="158" t="s">
        <v>2411</v>
      </c>
      <c r="B39" s="159" t="str">
        <f>(IF((VLOOKUP(Table11[[#This Row],[SKU]],'All Skus'!$A:$AC,2,FALSE))="Soundcraft",(VLOOKUP(Table11[[#This Row],[SKU]],'All Skus'!$A:$AC,3,FALSE)),""))</f>
        <v>GB Series</v>
      </c>
      <c r="C39" s="21" t="str">
        <f>(IF((VLOOKUP(Table11[[#This Row],[SKU]],'All Skus'!$A:$AC,2,FALSE))="Soundcraft",(VLOOKUP(Table11[[#This Row],[SKU]],'All Skus'!$A:$AC,4,FALSE)),""))</f>
        <v>RW5691SM</v>
      </c>
      <c r="D39" s="19" t="str">
        <f>(IF((VLOOKUP(Table11[[#This Row],[SKU]],'All Skus'!$A:$AC,2,FALSE))="Soundcraft",(VLOOKUP(Table11[[#This Row],[SKU]],'All Skus'!$A:$AC,5,FALSE)),""))</f>
        <v>SC-MED CO</v>
      </c>
      <c r="E39" s="19">
        <f>(IF((VLOOKUP(Table11[[#This Row],[SKU]],'All Skus'!$A:$AC,2,FALSE))="Soundcraft",(VLOOKUP(Table11[[#This Row],[SKU]],'All Skus'!$A:$AC,6,FALSE)),""))</f>
        <v>0</v>
      </c>
      <c r="F39" s="18">
        <f>(IF((VLOOKUP(Table11[[#This Row],[SKU]],'All Skus'!$A:$AC,2,FALSE))="Soundcraft",(VLOOKUP(Table11[[#This Row],[SKU]],'All Skus'!$A:$AC,7,FALSE)),""))</f>
        <v>0</v>
      </c>
      <c r="G39" s="22" t="str">
        <f>(IF((VLOOKUP(Table11[[#This Row],[SKU]],'All Skus'!$A:$AC,2,FALSE))="Soundcraft",(VLOOKUP(Table11[[#This Row],[SKU]],'All Skus'!$A:$AC,8,FALSE)),""))</f>
        <v>GB4 24ch  24+4/4/2</v>
      </c>
      <c r="H39" s="22" t="str">
        <f>(IF((VLOOKUP(Table11[[#This Row],[SKU]],'All Skus'!$A:$AC,2,FALSE))="Soundcraft",(VLOOKUP(Table11[[#This Row],[SKU]],'All Skus'!$A:$AC,9,FALSE)),""))</f>
        <v>GB4 24ch  24+4/4/2</v>
      </c>
      <c r="I39" s="157">
        <f>(IF((VLOOKUP(Table11[[#This Row],[SKU]],'All Skus'!$A:$AC,2,FALSE))="Soundcraft",(VLOOKUP(Table11[[#This Row],[SKU]],'All Skus'!$A:$AC,10,FALSE)),""))</f>
        <v>2860.57</v>
      </c>
      <c r="J39" s="157">
        <f>(IF((VLOOKUP(Table11[[#This Row],[SKU]],'All Skus'!$A:$AC,2,FALSE))="Soundcraft",(VLOOKUP(Table11[[#This Row],[SKU]],'All Skus'!$A:$AC,11,FALSE)),""))</f>
        <v>2860.57</v>
      </c>
      <c r="K39" s="271">
        <f>(IF((VLOOKUP(Table11[[#This Row],[SKU]],'All Skus'!$A:$AC,2,FALSE))="Soundcraft",(VLOOKUP(Table11[[#This Row],[SKU]],'All Skus'!$A:$AC,16,FALSE)),""))</f>
        <v>688705209418</v>
      </c>
      <c r="L39" s="239">
        <f>(IF((VLOOKUP(Table11[[#This Row],[SKU]],'All Skus'!$A:$AC,2,FALSE))="Soundcraft",(VLOOKUP(Table11[[#This Row],[SKU]],'All Skus'!$A:$AC,17,FALSE)),""))</f>
        <v>0</v>
      </c>
      <c r="M39" s="239">
        <f>(IF((VLOOKUP(Table11[[#This Row],[SKU]],'All Skus'!$A:$AC,2,FALSE))="Soundcraft",(VLOOKUP(Table11[[#This Row],[SKU]],'All Skus'!$A:$AC,18,FALSE)),""))</f>
        <v>68.3</v>
      </c>
      <c r="N39" s="147">
        <f>(IF((VLOOKUP(Table11[[#This Row],[SKU]],'All Skus'!$A:$AC,2,FALSE))="Soundcraft",(VLOOKUP(Table11[[#This Row],[SKU]],'All Skus'!$A:$AC,19,FALSE)),""))</f>
        <v>47.2</v>
      </c>
      <c r="O39" s="147">
        <f>(IF((VLOOKUP(Table11[[#This Row],[SKU]],'All Skus'!$A:$AC,2,FALSE))="Soundcraft",(VLOOKUP(Table11[[#This Row],[SKU]],'All Skus'!$A:$AC,20,FALSE)),""))</f>
        <v>31</v>
      </c>
      <c r="P39" s="240">
        <f>(IF((VLOOKUP(Table11[[#This Row],[SKU]],'All Skus'!$A:$AC,2,FALSE))="Soundcraft",(VLOOKUP(Table11[[#This Row],[SKU]],'All Skus'!$A:$AC,21,FALSE)),""))</f>
        <v>11</v>
      </c>
      <c r="Q39" s="61" t="str">
        <f>(IF((VLOOKUP(Table11[[#This Row],[SKU]],'All Skus'!$A:$AC,2,FALSE))="Soundcraft",(VLOOKUP(Table11[[#This Row],[SKU]],'All Skus'!$A:$AC,22,FALSE)),""))</f>
        <v>CN</v>
      </c>
      <c r="R39" s="61" t="str">
        <f>(IF((VLOOKUP(Table11[[#This Row],[SKU]],'All Skus'!$A:$AC,2,FALSE))="Soundcraft",(VLOOKUP(Table11[[#This Row],[SKU]],'All Skus'!$A:$AC,23,FALSE)),""))</f>
        <v>Non Compliant</v>
      </c>
      <c r="S39" s="212" t="str">
        <f>HYPERLINK((IF((VLOOKUP(Table11[[#This Row],[SKU]],'All Skus'!$A:$AC,2,FALSE))="Soundcraft",(VLOOKUP(Table11[[#This Row],[SKU]],'All Skus'!$A:$AC,24,FALSE)),"")))</f>
        <v>http://www.soundcraft.com/products/gb4</v>
      </c>
      <c r="T39" s="151">
        <v>37</v>
      </c>
    </row>
    <row r="40" spans="1:20" ht="15" customHeight="1">
      <c r="A40" s="158" t="s">
        <v>2412</v>
      </c>
      <c r="B40" s="159" t="str">
        <f>(IF((VLOOKUP(Table11[[#This Row],[SKU]],'All Skus'!$A:$AC,2,FALSE))="Soundcraft",(VLOOKUP(Table11[[#This Row],[SKU]],'All Skus'!$A:$AC,3,FALSE)),""))</f>
        <v>GB Series</v>
      </c>
      <c r="C40" s="21" t="str">
        <f>(IF((VLOOKUP(Table11[[#This Row],[SKU]],'All Skus'!$A:$AC,2,FALSE))="Soundcraft",(VLOOKUP(Table11[[#This Row],[SKU]],'All Skus'!$A:$AC,4,FALSE)),""))</f>
        <v>RW5692SM</v>
      </c>
      <c r="D40" s="19" t="str">
        <f>(IF((VLOOKUP(Table11[[#This Row],[SKU]],'All Skus'!$A:$AC,2,FALSE))="Soundcraft",(VLOOKUP(Table11[[#This Row],[SKU]],'All Skus'!$A:$AC,5,FALSE)),""))</f>
        <v>SC-MED CO</v>
      </c>
      <c r="E40" s="19">
        <f>(IF((VLOOKUP(Table11[[#This Row],[SKU]],'All Skus'!$A:$AC,2,FALSE))="Soundcraft",(VLOOKUP(Table11[[#This Row],[SKU]],'All Skus'!$A:$AC,6,FALSE)),""))</f>
        <v>0</v>
      </c>
      <c r="F40" s="18">
        <f>(IF((VLOOKUP(Table11[[#This Row],[SKU]],'All Skus'!$A:$AC,2,FALSE))="Soundcraft",(VLOOKUP(Table11[[#This Row],[SKU]],'All Skus'!$A:$AC,7,FALSE)),""))</f>
        <v>0</v>
      </c>
      <c r="G40" s="22" t="str">
        <f>(IF((VLOOKUP(Table11[[#This Row],[SKU]],'All Skus'!$A:$AC,2,FALSE))="Soundcraft",(VLOOKUP(Table11[[#This Row],[SKU]],'All Skus'!$A:$AC,8,FALSE)),""))</f>
        <v>GB4 32ch  32+4/4/2</v>
      </c>
      <c r="H40" s="22" t="str">
        <f>(IF((VLOOKUP(Table11[[#This Row],[SKU]],'All Skus'!$A:$AC,2,FALSE))="Soundcraft",(VLOOKUP(Table11[[#This Row],[SKU]],'All Skus'!$A:$AC,9,FALSE)),""))</f>
        <v>GB4 32ch  32+4/4/2</v>
      </c>
      <c r="I40" s="157">
        <f>(IF((VLOOKUP(Table11[[#This Row],[SKU]],'All Skus'!$A:$AC,2,FALSE))="Soundcraft",(VLOOKUP(Table11[[#This Row],[SKU]],'All Skus'!$A:$AC,10,FALSE)),""))</f>
        <v>4383.58</v>
      </c>
      <c r="J40" s="157">
        <f>(IF((VLOOKUP(Table11[[#This Row],[SKU]],'All Skus'!$A:$AC,2,FALSE))="Soundcraft",(VLOOKUP(Table11[[#This Row],[SKU]],'All Skus'!$A:$AC,11,FALSE)),""))</f>
        <v>3505</v>
      </c>
      <c r="K40" s="271">
        <f>(IF((VLOOKUP(Table11[[#This Row],[SKU]],'All Skus'!$A:$AC,2,FALSE))="Soundcraft",(VLOOKUP(Table11[[#This Row],[SKU]],'All Skus'!$A:$AC,16,FALSE)),""))</f>
        <v>688705008950</v>
      </c>
      <c r="L40" s="239">
        <f>(IF((VLOOKUP(Table11[[#This Row],[SKU]],'All Skus'!$A:$AC,2,FALSE))="Soundcraft",(VLOOKUP(Table11[[#This Row],[SKU]],'All Skus'!$A:$AC,17,FALSE)),""))</f>
        <v>0</v>
      </c>
      <c r="M40" s="239">
        <f>(IF((VLOOKUP(Table11[[#This Row],[SKU]],'All Skus'!$A:$AC,2,FALSE))="Soundcraft",(VLOOKUP(Table11[[#This Row],[SKU]],'All Skus'!$A:$AC,18,FALSE)),""))</f>
        <v>79.400000000000006</v>
      </c>
      <c r="N40" s="147">
        <f>(IF((VLOOKUP(Table11[[#This Row],[SKU]],'All Skus'!$A:$AC,2,FALSE))="Soundcraft",(VLOOKUP(Table11[[#This Row],[SKU]],'All Skus'!$A:$AC,19,FALSE)),""))</f>
        <v>51.2</v>
      </c>
      <c r="O40" s="147">
        <f>(IF((VLOOKUP(Table11[[#This Row],[SKU]],'All Skus'!$A:$AC,2,FALSE))="Soundcraft",(VLOOKUP(Table11[[#This Row],[SKU]],'All Skus'!$A:$AC,20,FALSE)),""))</f>
        <v>38</v>
      </c>
      <c r="P40" s="240">
        <f>(IF((VLOOKUP(Table11[[#This Row],[SKU]],'All Skus'!$A:$AC,2,FALSE))="Soundcraft",(VLOOKUP(Table11[[#This Row],[SKU]],'All Skus'!$A:$AC,21,FALSE)),""))</f>
        <v>13</v>
      </c>
      <c r="Q40" s="61" t="str">
        <f>(IF((VLOOKUP(Table11[[#This Row],[SKU]],'All Skus'!$A:$AC,2,FALSE))="Soundcraft",(VLOOKUP(Table11[[#This Row],[SKU]],'All Skus'!$A:$AC,22,FALSE)),""))</f>
        <v>CN</v>
      </c>
      <c r="R40" s="61" t="str">
        <f>(IF((VLOOKUP(Table11[[#This Row],[SKU]],'All Skus'!$A:$AC,2,FALSE))="Soundcraft",(VLOOKUP(Table11[[#This Row],[SKU]],'All Skus'!$A:$AC,23,FALSE)),""))</f>
        <v>Non Compliant</v>
      </c>
      <c r="S40" s="212" t="str">
        <f>HYPERLINK((IF((VLOOKUP(Table11[[#This Row],[SKU]],'All Skus'!$A:$AC,2,FALSE))="Soundcraft",(VLOOKUP(Table11[[#This Row],[SKU]],'All Skus'!$A:$AC,24,FALSE)),"")))</f>
        <v>http://www.soundcraft.com/products/gb4</v>
      </c>
      <c r="T40" s="151">
        <v>38</v>
      </c>
    </row>
    <row r="41" spans="1:20" ht="15" customHeight="1">
      <c r="A41" s="158" t="s">
        <v>2413</v>
      </c>
      <c r="B41" s="159" t="str">
        <f>(IF((VLOOKUP(Table11[[#This Row],[SKU]],'All Skus'!$A:$AC,2,FALSE))="Soundcraft",(VLOOKUP(Table11[[#This Row],[SKU]],'All Skus'!$A:$AC,3,FALSE)),""))</f>
        <v>GB Series</v>
      </c>
      <c r="C41" s="21" t="str">
        <f>(IF((VLOOKUP(Table11[[#This Row],[SKU]],'All Skus'!$A:$AC,2,FALSE))="Soundcraft",(VLOOKUP(Table11[[#This Row],[SKU]],'All Skus'!$A:$AC,4,FALSE)),""))</f>
        <v>RW5693SM</v>
      </c>
      <c r="D41" s="19" t="str">
        <f>(IF((VLOOKUP(Table11[[#This Row],[SKU]],'All Skus'!$A:$AC,2,FALSE))="Soundcraft",(VLOOKUP(Table11[[#This Row],[SKU]],'All Skus'!$A:$AC,5,FALSE)),""))</f>
        <v>SC-MED CO</v>
      </c>
      <c r="E41" s="19">
        <f>(IF((VLOOKUP(Table11[[#This Row],[SKU]],'All Skus'!$A:$AC,2,FALSE))="Soundcraft",(VLOOKUP(Table11[[#This Row],[SKU]],'All Skus'!$A:$AC,6,FALSE)),""))</f>
        <v>0</v>
      </c>
      <c r="F41" s="18">
        <f>(IF((VLOOKUP(Table11[[#This Row],[SKU]],'All Skus'!$A:$AC,2,FALSE))="Soundcraft",(VLOOKUP(Table11[[#This Row],[SKU]],'All Skus'!$A:$AC,7,FALSE)),""))</f>
        <v>0</v>
      </c>
      <c r="G41" s="22" t="str">
        <f>(IF((VLOOKUP(Table11[[#This Row],[SKU]],'All Skus'!$A:$AC,2,FALSE))="Soundcraft",(VLOOKUP(Table11[[#This Row],[SKU]],'All Skus'!$A:$AC,8,FALSE)),""))</f>
        <v>GB4 40ch  40+4/4/2</v>
      </c>
      <c r="H41" s="22" t="str">
        <f>(IF((VLOOKUP(Table11[[#This Row],[SKU]],'All Skus'!$A:$AC,2,FALSE))="Soundcraft",(VLOOKUP(Table11[[#This Row],[SKU]],'All Skus'!$A:$AC,9,FALSE)),""))</f>
        <v>GB4 40ch  40+4/4/2</v>
      </c>
      <c r="I41" s="157">
        <f>(IF((VLOOKUP(Table11[[#This Row],[SKU]],'All Skus'!$A:$AC,2,FALSE))="Soundcraft",(VLOOKUP(Table11[[#This Row],[SKU]],'All Skus'!$A:$AC,10,FALSE)),""))</f>
        <v>5337.95</v>
      </c>
      <c r="J41" s="157">
        <f>(IF((VLOOKUP(Table11[[#This Row],[SKU]],'All Skus'!$A:$AC,2,FALSE))="Soundcraft",(VLOOKUP(Table11[[#This Row],[SKU]],'All Skus'!$A:$AC,11,FALSE)),""))</f>
        <v>4270</v>
      </c>
      <c r="K41" s="271">
        <f>(IF((VLOOKUP(Table11[[#This Row],[SKU]],'All Skus'!$A:$AC,2,FALSE))="Soundcraft",(VLOOKUP(Table11[[#This Row],[SKU]],'All Skus'!$A:$AC,16,FALSE)),""))</f>
        <v>688705209456</v>
      </c>
      <c r="L41" s="239">
        <f>(IF((VLOOKUP(Table11[[#This Row],[SKU]],'All Skus'!$A:$AC,2,FALSE))="Soundcraft",(VLOOKUP(Table11[[#This Row],[SKU]],'All Skus'!$A:$AC,17,FALSE)),""))</f>
        <v>0</v>
      </c>
      <c r="M41" s="239">
        <f>(IF((VLOOKUP(Table11[[#This Row],[SKU]],'All Skus'!$A:$AC,2,FALSE))="Soundcraft",(VLOOKUP(Table11[[#This Row],[SKU]],'All Skus'!$A:$AC,18,FALSE)),""))</f>
        <v>90.4</v>
      </c>
      <c r="N41" s="147">
        <f>(IF((VLOOKUP(Table11[[#This Row],[SKU]],'All Skus'!$A:$AC,2,FALSE))="Soundcraft",(VLOOKUP(Table11[[#This Row],[SKU]],'All Skus'!$A:$AC,19,FALSE)),""))</f>
        <v>55.1</v>
      </c>
      <c r="O41" s="147">
        <f>(IF((VLOOKUP(Table11[[#This Row],[SKU]],'All Skus'!$A:$AC,2,FALSE))="Soundcraft",(VLOOKUP(Table11[[#This Row],[SKU]],'All Skus'!$A:$AC,20,FALSE)),""))</f>
        <v>12</v>
      </c>
      <c r="P41" s="240">
        <f>(IF((VLOOKUP(Table11[[#This Row],[SKU]],'All Skus'!$A:$AC,2,FALSE))="Soundcraft",(VLOOKUP(Table11[[#This Row],[SKU]],'All Skus'!$A:$AC,21,FALSE)),""))</f>
        <v>21</v>
      </c>
      <c r="Q41" s="61" t="str">
        <f>(IF((VLOOKUP(Table11[[#This Row],[SKU]],'All Skus'!$A:$AC,2,FALSE))="Soundcraft",(VLOOKUP(Table11[[#This Row],[SKU]],'All Skus'!$A:$AC,22,FALSE)),""))</f>
        <v>CN</v>
      </c>
      <c r="R41" s="61" t="str">
        <f>(IF((VLOOKUP(Table11[[#This Row],[SKU]],'All Skus'!$A:$AC,2,FALSE))="Soundcraft",(VLOOKUP(Table11[[#This Row],[SKU]],'All Skus'!$A:$AC,23,FALSE)),""))</f>
        <v>Non Compliant</v>
      </c>
      <c r="S41" s="212" t="str">
        <f>HYPERLINK((IF((VLOOKUP(Table11[[#This Row],[SKU]],'All Skus'!$A:$AC,2,FALSE))="Soundcraft",(VLOOKUP(Table11[[#This Row],[SKU]],'All Skus'!$A:$AC,24,FALSE)),"")))</f>
        <v>http://www.soundcraft.com/products/gb4</v>
      </c>
      <c r="T41" s="151">
        <v>39</v>
      </c>
    </row>
    <row r="42" spans="1:20" ht="15" customHeight="1">
      <c r="A42" s="158" t="s">
        <v>2414</v>
      </c>
      <c r="B42" s="159" t="str">
        <f>(IF((VLOOKUP(Table11[[#This Row],[SKU]],'All Skus'!$A:$AC,2,FALSE))="Soundcraft",(VLOOKUP(Table11[[#This Row],[SKU]],'All Skus'!$A:$AC,3,FALSE)),""))</f>
        <v>GB Series</v>
      </c>
      <c r="C42" s="21" t="str">
        <f>(IF((VLOOKUP(Table11[[#This Row],[SKU]],'All Skus'!$A:$AC,2,FALSE))="Soundcraft",(VLOOKUP(Table11[[#This Row],[SKU]],'All Skus'!$A:$AC,4,FALSE)),""))</f>
        <v>RW5695SM</v>
      </c>
      <c r="D42" s="19" t="str">
        <f>(IF((VLOOKUP(Table11[[#This Row],[SKU]],'All Skus'!$A:$AC,2,FALSE))="Soundcraft",(VLOOKUP(Table11[[#This Row],[SKU]],'All Skus'!$A:$AC,5,FALSE)),""))</f>
        <v>SC-MED CO</v>
      </c>
      <c r="E42" s="19">
        <f>(IF((VLOOKUP(Table11[[#This Row],[SKU]],'All Skus'!$A:$AC,2,FALSE))="Soundcraft",(VLOOKUP(Table11[[#This Row],[SKU]],'All Skus'!$A:$AC,6,FALSE)),""))</f>
        <v>0</v>
      </c>
      <c r="F42" s="18">
        <f>(IF((VLOOKUP(Table11[[#This Row],[SKU]],'All Skus'!$A:$AC,2,FALSE))="Soundcraft",(VLOOKUP(Table11[[#This Row],[SKU]],'All Skus'!$A:$AC,7,FALSE)),""))</f>
        <v>0</v>
      </c>
      <c r="G42" s="22" t="str">
        <f>(IF((VLOOKUP(Table11[[#This Row],[SKU]],'All Skus'!$A:$AC,2,FALSE))="Soundcraft",(VLOOKUP(Table11[[#This Row],[SKU]],'All Skus'!$A:$AC,8,FALSE)),""))</f>
        <v>GB8 24ch  24+4/8/2</v>
      </c>
      <c r="H42" s="22" t="str">
        <f>(IF((VLOOKUP(Table11[[#This Row],[SKU]],'All Skus'!$A:$AC,2,FALSE))="Soundcraft",(VLOOKUP(Table11[[#This Row],[SKU]],'All Skus'!$A:$AC,9,FALSE)),""))</f>
        <v>GB8 24ch  24+4/8/2</v>
      </c>
      <c r="I42" s="157">
        <f>(IF((VLOOKUP(Table11[[#This Row],[SKU]],'All Skus'!$A:$AC,2,FALSE))="Soundcraft",(VLOOKUP(Table11[[#This Row],[SKU]],'All Skus'!$A:$AC,10,FALSE)),""))</f>
        <v>4050.37</v>
      </c>
      <c r="J42" s="157">
        <f>(IF((VLOOKUP(Table11[[#This Row],[SKU]],'All Skus'!$A:$AC,2,FALSE))="Soundcraft",(VLOOKUP(Table11[[#This Row],[SKU]],'All Skus'!$A:$AC,11,FALSE)),""))</f>
        <v>4049</v>
      </c>
      <c r="K42" s="271">
        <f>(IF((VLOOKUP(Table11[[#This Row],[SKU]],'All Skus'!$A:$AC,2,FALSE))="Soundcraft",(VLOOKUP(Table11[[#This Row],[SKU]],'All Skus'!$A:$AC,16,FALSE)),""))</f>
        <v>0</v>
      </c>
      <c r="L42" s="239">
        <f>(IF((VLOOKUP(Table11[[#This Row],[SKU]],'All Skus'!$A:$AC,2,FALSE))="Soundcraft",(VLOOKUP(Table11[[#This Row],[SKU]],'All Skus'!$A:$AC,17,FALSE)),""))</f>
        <v>0</v>
      </c>
      <c r="M42" s="239">
        <f>(IF((VLOOKUP(Table11[[#This Row],[SKU]],'All Skus'!$A:$AC,2,FALSE))="Soundcraft",(VLOOKUP(Table11[[#This Row],[SKU]],'All Skus'!$A:$AC,18,FALSE)),""))</f>
        <v>70.5</v>
      </c>
      <c r="N42" s="147">
        <f>(IF((VLOOKUP(Table11[[#This Row],[SKU]],'All Skus'!$A:$AC,2,FALSE))="Soundcraft",(VLOOKUP(Table11[[#This Row],[SKU]],'All Skus'!$A:$AC,19,FALSE)),""))</f>
        <v>47.2</v>
      </c>
      <c r="O42" s="147">
        <f>(IF((VLOOKUP(Table11[[#This Row],[SKU]],'All Skus'!$A:$AC,2,FALSE))="Soundcraft",(VLOOKUP(Table11[[#This Row],[SKU]],'All Skus'!$A:$AC,20,FALSE)),""))</f>
        <v>55</v>
      </c>
      <c r="P42" s="240">
        <f>(IF((VLOOKUP(Table11[[#This Row],[SKU]],'All Skus'!$A:$AC,2,FALSE))="Soundcraft",(VLOOKUP(Table11[[#This Row],[SKU]],'All Skus'!$A:$AC,21,FALSE)),""))</f>
        <v>12</v>
      </c>
      <c r="Q42" s="61" t="str">
        <f>(IF((VLOOKUP(Table11[[#This Row],[SKU]],'All Skus'!$A:$AC,2,FALSE))="Soundcraft",(VLOOKUP(Table11[[#This Row],[SKU]],'All Skus'!$A:$AC,22,FALSE)),""))</f>
        <v>CN</v>
      </c>
      <c r="R42" s="61" t="str">
        <f>(IF((VLOOKUP(Table11[[#This Row],[SKU]],'All Skus'!$A:$AC,2,FALSE))="Soundcraft",(VLOOKUP(Table11[[#This Row],[SKU]],'All Skus'!$A:$AC,23,FALSE)),""))</f>
        <v>Non Compliant</v>
      </c>
      <c r="S42" s="212" t="str">
        <f>HYPERLINK((IF((VLOOKUP(Table11[[#This Row],[SKU]],'All Skus'!$A:$AC,2,FALSE))="Soundcraft",(VLOOKUP(Table11[[#This Row],[SKU]],'All Skus'!$A:$AC,24,FALSE)),"")))</f>
        <v>http://www.soundcraft.com/products/gb8</v>
      </c>
      <c r="T42" s="151">
        <v>40</v>
      </c>
    </row>
    <row r="43" spans="1:20" ht="15" customHeight="1">
      <c r="A43" s="158" t="s">
        <v>2415</v>
      </c>
      <c r="B43" s="159" t="str">
        <f>(IF((VLOOKUP(Table11[[#This Row],[SKU]],'All Skus'!$A:$AC,2,FALSE))="Soundcraft",(VLOOKUP(Table11[[#This Row],[SKU]],'All Skus'!$A:$AC,3,FALSE)),""))</f>
        <v>GB Series</v>
      </c>
      <c r="C43" s="21" t="str">
        <f>(IF((VLOOKUP(Table11[[#This Row],[SKU]],'All Skus'!$A:$AC,2,FALSE))="Soundcraft",(VLOOKUP(Table11[[#This Row],[SKU]],'All Skus'!$A:$AC,4,FALSE)),""))</f>
        <v>RW5696SM</v>
      </c>
      <c r="D43" s="19" t="str">
        <f>(IF((VLOOKUP(Table11[[#This Row],[SKU]],'All Skus'!$A:$AC,2,FALSE))="Soundcraft",(VLOOKUP(Table11[[#This Row],[SKU]],'All Skus'!$A:$AC,5,FALSE)),""))</f>
        <v>SC-MED CO</v>
      </c>
      <c r="E43" s="19">
        <f>(IF((VLOOKUP(Table11[[#This Row],[SKU]],'All Skus'!$A:$AC,2,FALSE))="Soundcraft",(VLOOKUP(Table11[[#This Row],[SKU]],'All Skus'!$A:$AC,6,FALSE)),""))</f>
        <v>0</v>
      </c>
      <c r="F43" s="18">
        <f>(IF((VLOOKUP(Table11[[#This Row],[SKU]],'All Skus'!$A:$AC,2,FALSE))="Soundcraft",(VLOOKUP(Table11[[#This Row],[SKU]],'All Skus'!$A:$AC,7,FALSE)),""))</f>
        <v>0</v>
      </c>
      <c r="G43" s="22" t="str">
        <f>(IF((VLOOKUP(Table11[[#This Row],[SKU]],'All Skus'!$A:$AC,2,FALSE))="Soundcraft",(VLOOKUP(Table11[[#This Row],[SKU]],'All Skus'!$A:$AC,8,FALSE)),""))</f>
        <v>GB8 32ch  32+4/8/2</v>
      </c>
      <c r="H43" s="22" t="str">
        <f>(IF((VLOOKUP(Table11[[#This Row],[SKU]],'All Skus'!$A:$AC,2,FALSE))="Soundcraft",(VLOOKUP(Table11[[#This Row],[SKU]],'All Skus'!$A:$AC,9,FALSE)),""))</f>
        <v>GB8 32ch  32+4/8/2</v>
      </c>
      <c r="I43" s="157">
        <f>(IF((VLOOKUP(Table11[[#This Row],[SKU]],'All Skus'!$A:$AC,2,FALSE))="Soundcraft",(VLOOKUP(Table11[[#This Row],[SKU]],'All Skus'!$A:$AC,10,FALSE)),""))</f>
        <v>5791.13</v>
      </c>
      <c r="J43" s="157">
        <f>(IF((VLOOKUP(Table11[[#This Row],[SKU]],'All Skus'!$A:$AC,2,FALSE))="Soundcraft",(VLOOKUP(Table11[[#This Row],[SKU]],'All Skus'!$A:$AC,11,FALSE)),""))</f>
        <v>4635</v>
      </c>
      <c r="K43" s="271">
        <f>(IF((VLOOKUP(Table11[[#This Row],[SKU]],'All Skus'!$A:$AC,2,FALSE))="Soundcraft",(VLOOKUP(Table11[[#This Row],[SKU]],'All Skus'!$A:$AC,16,FALSE)),""))</f>
        <v>688705008967</v>
      </c>
      <c r="L43" s="239">
        <f>(IF((VLOOKUP(Table11[[#This Row],[SKU]],'All Skus'!$A:$AC,2,FALSE))="Soundcraft",(VLOOKUP(Table11[[#This Row],[SKU]],'All Skus'!$A:$AC,17,FALSE)),""))</f>
        <v>0</v>
      </c>
      <c r="M43" s="239">
        <f>(IF((VLOOKUP(Table11[[#This Row],[SKU]],'All Skus'!$A:$AC,2,FALSE))="Soundcraft",(VLOOKUP(Table11[[#This Row],[SKU]],'All Skus'!$A:$AC,18,FALSE)),""))</f>
        <v>97.4</v>
      </c>
      <c r="N43" s="147">
        <f>(IF((VLOOKUP(Table11[[#This Row],[SKU]],'All Skus'!$A:$AC,2,FALSE))="Soundcraft",(VLOOKUP(Table11[[#This Row],[SKU]],'All Skus'!$A:$AC,19,FALSE)),""))</f>
        <v>63.8</v>
      </c>
      <c r="O43" s="147">
        <f>(IF((VLOOKUP(Table11[[#This Row],[SKU]],'All Skus'!$A:$AC,2,FALSE))="Soundcraft",(VLOOKUP(Table11[[#This Row],[SKU]],'All Skus'!$A:$AC,20,FALSE)),""))</f>
        <v>31</v>
      </c>
      <c r="P43" s="240">
        <f>(IF((VLOOKUP(Table11[[#This Row],[SKU]],'All Skus'!$A:$AC,2,FALSE))="Soundcraft",(VLOOKUP(Table11[[#This Row],[SKU]],'All Skus'!$A:$AC,21,FALSE)),""))</f>
        <v>11</v>
      </c>
      <c r="Q43" s="61" t="str">
        <f>(IF((VLOOKUP(Table11[[#This Row],[SKU]],'All Skus'!$A:$AC,2,FALSE))="Soundcraft",(VLOOKUP(Table11[[#This Row],[SKU]],'All Skus'!$A:$AC,22,FALSE)),""))</f>
        <v>CN</v>
      </c>
      <c r="R43" s="61" t="str">
        <f>(IF((VLOOKUP(Table11[[#This Row],[SKU]],'All Skus'!$A:$AC,2,FALSE))="Soundcraft",(VLOOKUP(Table11[[#This Row],[SKU]],'All Skus'!$A:$AC,23,FALSE)),""))</f>
        <v>Non Compliant</v>
      </c>
      <c r="S43" s="212" t="str">
        <f>HYPERLINK((IF((VLOOKUP(Table11[[#This Row],[SKU]],'All Skus'!$A:$AC,2,FALSE))="Soundcraft",(VLOOKUP(Table11[[#This Row],[SKU]],'All Skus'!$A:$AC,24,FALSE)),"")))</f>
        <v>http://www.soundcraft.com/products/gb8</v>
      </c>
      <c r="T43" s="151">
        <v>41</v>
      </c>
    </row>
    <row r="44" spans="1:20" ht="15" customHeight="1">
      <c r="A44" s="158" t="s">
        <v>2416</v>
      </c>
      <c r="B44" s="159" t="str">
        <f>(IF((VLOOKUP(Table11[[#This Row],[SKU]],'All Skus'!$A:$AC,2,FALSE))="Soundcraft",(VLOOKUP(Table11[[#This Row],[SKU]],'All Skus'!$A:$AC,3,FALSE)),""))</f>
        <v>GB Series</v>
      </c>
      <c r="C44" s="21" t="str">
        <f>(IF((VLOOKUP(Table11[[#This Row],[SKU]],'All Skus'!$A:$AC,2,FALSE))="Soundcraft",(VLOOKUP(Table11[[#This Row],[SKU]],'All Skus'!$A:$AC,4,FALSE)),""))</f>
        <v>RW5697SM</v>
      </c>
      <c r="D44" s="19" t="str">
        <f>(IF((VLOOKUP(Table11[[#This Row],[SKU]],'All Skus'!$A:$AC,2,FALSE))="Soundcraft",(VLOOKUP(Table11[[#This Row],[SKU]],'All Skus'!$A:$AC,5,FALSE)),""))</f>
        <v>SC-MED CO</v>
      </c>
      <c r="E44" s="19">
        <f>(IF((VLOOKUP(Table11[[#This Row],[SKU]],'All Skus'!$A:$AC,2,FALSE))="Soundcraft",(VLOOKUP(Table11[[#This Row],[SKU]],'All Skus'!$A:$AC,6,FALSE)),""))</f>
        <v>0</v>
      </c>
      <c r="F44" s="18">
        <f>(IF((VLOOKUP(Table11[[#This Row],[SKU]],'All Skus'!$A:$AC,2,FALSE))="Soundcraft",(VLOOKUP(Table11[[#This Row],[SKU]],'All Skus'!$A:$AC,7,FALSE)),""))</f>
        <v>0</v>
      </c>
      <c r="G44" s="22" t="str">
        <f>(IF((VLOOKUP(Table11[[#This Row],[SKU]],'All Skus'!$A:$AC,2,FALSE))="Soundcraft",(VLOOKUP(Table11[[#This Row],[SKU]],'All Skus'!$A:$AC,8,FALSE)),""))</f>
        <v>GB8 40ch  40+4/8/2</v>
      </c>
      <c r="H44" s="22" t="str">
        <f>(IF((VLOOKUP(Table11[[#This Row],[SKU]],'All Skus'!$A:$AC,2,FALSE))="Soundcraft",(VLOOKUP(Table11[[#This Row],[SKU]],'All Skus'!$A:$AC,9,FALSE)),""))</f>
        <v>GB8 40ch  40+4/8/2</v>
      </c>
      <c r="I44" s="157">
        <f>(IF((VLOOKUP(Table11[[#This Row],[SKU]],'All Skus'!$A:$AC,2,FALSE))="Soundcraft",(VLOOKUP(Table11[[#This Row],[SKU]],'All Skus'!$A:$AC,10,FALSE)),""))</f>
        <v>7119.14</v>
      </c>
      <c r="J44" s="157">
        <f>(IF((VLOOKUP(Table11[[#This Row],[SKU]],'All Skus'!$A:$AC,2,FALSE))="Soundcraft",(VLOOKUP(Table11[[#This Row],[SKU]],'All Skus'!$A:$AC,11,FALSE)),""))</f>
        <v>5695</v>
      </c>
      <c r="K44" s="271">
        <f>(IF((VLOOKUP(Table11[[#This Row],[SKU]],'All Skus'!$A:$AC,2,FALSE))="Soundcraft",(VLOOKUP(Table11[[#This Row],[SKU]],'All Skus'!$A:$AC,16,FALSE)),""))</f>
        <v>688705008974</v>
      </c>
      <c r="L44" s="239">
        <f>(IF((VLOOKUP(Table11[[#This Row],[SKU]],'All Skus'!$A:$AC,2,FALSE))="Soundcraft",(VLOOKUP(Table11[[#This Row],[SKU]],'All Skus'!$A:$AC,17,FALSE)),""))</f>
        <v>0</v>
      </c>
      <c r="M44" s="239">
        <f>(IF((VLOOKUP(Table11[[#This Row],[SKU]],'All Skus'!$A:$AC,2,FALSE))="Soundcraft",(VLOOKUP(Table11[[#This Row],[SKU]],'All Skus'!$A:$AC,18,FALSE)),""))</f>
        <v>112.4</v>
      </c>
      <c r="N44" s="147">
        <f>(IF((VLOOKUP(Table11[[#This Row],[SKU]],'All Skus'!$A:$AC,2,FALSE))="Soundcraft",(VLOOKUP(Table11[[#This Row],[SKU]],'All Skus'!$A:$AC,19,FALSE)),""))</f>
        <v>72.8</v>
      </c>
      <c r="O44" s="147">
        <f>(IF((VLOOKUP(Table11[[#This Row],[SKU]],'All Skus'!$A:$AC,2,FALSE))="Soundcraft",(VLOOKUP(Table11[[#This Row],[SKU]],'All Skus'!$A:$AC,20,FALSE)),""))</f>
        <v>72</v>
      </c>
      <c r="P44" s="240">
        <f>(IF((VLOOKUP(Table11[[#This Row],[SKU]],'All Skus'!$A:$AC,2,FALSE))="Soundcraft",(VLOOKUP(Table11[[#This Row],[SKU]],'All Skus'!$A:$AC,21,FALSE)),""))</f>
        <v>12</v>
      </c>
      <c r="Q44" s="61" t="str">
        <f>(IF((VLOOKUP(Table11[[#This Row],[SKU]],'All Skus'!$A:$AC,2,FALSE))="Soundcraft",(VLOOKUP(Table11[[#This Row],[SKU]],'All Skus'!$A:$AC,22,FALSE)),""))</f>
        <v>CN</v>
      </c>
      <c r="R44" s="61" t="str">
        <f>(IF((VLOOKUP(Table11[[#This Row],[SKU]],'All Skus'!$A:$AC,2,FALSE))="Soundcraft",(VLOOKUP(Table11[[#This Row],[SKU]],'All Skus'!$A:$AC,23,FALSE)),""))</f>
        <v>Non Compliant</v>
      </c>
      <c r="S44" s="212" t="str">
        <f>HYPERLINK((IF((VLOOKUP(Table11[[#This Row],[SKU]],'All Skus'!$A:$AC,2,FALSE))="Soundcraft",(VLOOKUP(Table11[[#This Row],[SKU]],'All Skus'!$A:$AC,24,FALSE)),"")))</f>
        <v>http://www.soundcraft.com/products/gb8</v>
      </c>
      <c r="T44" s="151">
        <v>42</v>
      </c>
    </row>
    <row r="45" spans="1:20" ht="15" customHeight="1">
      <c r="A45" s="158" t="s">
        <v>2417</v>
      </c>
      <c r="B45" s="159" t="str">
        <f>(IF((VLOOKUP(Table11[[#This Row],[SKU]],'All Skus'!$A:$AC,2,FALSE))="Soundcraft",(VLOOKUP(Table11[[#This Row],[SKU]],'All Skus'!$A:$AC,3,FALSE)),""))</f>
        <v>GB Series</v>
      </c>
      <c r="C45" s="21" t="str">
        <f>(IF((VLOOKUP(Table11[[#This Row],[SKU]],'All Skus'!$A:$AC,2,FALSE))="Soundcraft",(VLOOKUP(Table11[[#This Row],[SKU]],'All Skus'!$A:$AC,4,FALSE)),""))</f>
        <v>RW5709SM</v>
      </c>
      <c r="D45" s="19" t="str">
        <f>(IF((VLOOKUP(Table11[[#This Row],[SKU]],'All Skus'!$A:$AC,2,FALSE))="Soundcraft",(VLOOKUP(Table11[[#This Row],[SKU]],'All Skus'!$A:$AC,5,FALSE)),""))</f>
        <v>SC-MED CO</v>
      </c>
      <c r="E45" s="19">
        <f>(IF((VLOOKUP(Table11[[#This Row],[SKU]],'All Skus'!$A:$AC,2,FALSE))="Soundcraft",(VLOOKUP(Table11[[#This Row],[SKU]],'All Skus'!$A:$AC,6,FALSE)),""))</f>
        <v>0</v>
      </c>
      <c r="F45" s="18">
        <f>(IF((VLOOKUP(Table11[[#This Row],[SKU]],'All Skus'!$A:$AC,2,FALSE))="Soundcraft",(VLOOKUP(Table11[[#This Row],[SKU]],'All Skus'!$A:$AC,7,FALSE)),""))</f>
        <v>0</v>
      </c>
      <c r="G45" s="22" t="str">
        <f>(IF((VLOOKUP(Table11[[#This Row],[SKU]],'All Skus'!$A:$AC,2,FALSE))="Soundcraft",(VLOOKUP(Table11[[#This Row],[SKU]],'All Skus'!$A:$AC,8,FALSE)),""))</f>
        <v>GB8 48ch  48+4/8/2</v>
      </c>
      <c r="H45" s="22" t="str">
        <f>(IF((VLOOKUP(Table11[[#This Row],[SKU]],'All Skus'!$A:$AC,2,FALSE))="Soundcraft",(VLOOKUP(Table11[[#This Row],[SKU]],'All Skus'!$A:$AC,9,FALSE)),""))</f>
        <v>GB8 48ch  48+4/8/2</v>
      </c>
      <c r="I45" s="157">
        <f>(IF((VLOOKUP(Table11[[#This Row],[SKU]],'All Skus'!$A:$AC,2,FALSE))="Soundcraft",(VLOOKUP(Table11[[#This Row],[SKU]],'All Skus'!$A:$AC,10,FALSE)),""))</f>
        <v>8298.6</v>
      </c>
      <c r="J45" s="157">
        <f>(IF((VLOOKUP(Table11[[#This Row],[SKU]],'All Skus'!$A:$AC,2,FALSE))="Soundcraft",(VLOOKUP(Table11[[#This Row],[SKU]],'All Skus'!$A:$AC,11,FALSE)),""))</f>
        <v>6639</v>
      </c>
      <c r="K45" s="271">
        <f>(IF((VLOOKUP(Table11[[#This Row],[SKU]],'All Skus'!$A:$AC,2,FALSE))="Soundcraft",(VLOOKUP(Table11[[#This Row],[SKU]],'All Skus'!$A:$AC,16,FALSE)),""))</f>
        <v>688705008981</v>
      </c>
      <c r="L45" s="239">
        <f>(IF((VLOOKUP(Table11[[#This Row],[SKU]],'All Skus'!$A:$AC,2,FALSE))="Soundcraft",(VLOOKUP(Table11[[#This Row],[SKU]],'All Skus'!$A:$AC,17,FALSE)),""))</f>
        <v>0</v>
      </c>
      <c r="M45" s="239">
        <f>(IF((VLOOKUP(Table11[[#This Row],[SKU]],'All Skus'!$A:$AC,2,FALSE))="Soundcraft",(VLOOKUP(Table11[[#This Row],[SKU]],'All Skus'!$A:$AC,18,FALSE)),""))</f>
        <v>128.69999999999999</v>
      </c>
      <c r="N45" s="147">
        <f>(IF((VLOOKUP(Table11[[#This Row],[SKU]],'All Skus'!$A:$AC,2,FALSE))="Soundcraft",(VLOOKUP(Table11[[#This Row],[SKU]],'All Skus'!$A:$AC,19,FALSE)),""))</f>
        <v>81.5</v>
      </c>
      <c r="O45" s="147">
        <f>(IF((VLOOKUP(Table11[[#This Row],[SKU]],'All Skus'!$A:$AC,2,FALSE))="Soundcraft",(VLOOKUP(Table11[[#This Row],[SKU]],'All Skus'!$A:$AC,20,FALSE)),""))</f>
        <v>30</v>
      </c>
      <c r="P45" s="240">
        <f>(IF((VLOOKUP(Table11[[#This Row],[SKU]],'All Skus'!$A:$AC,2,FALSE))="Soundcraft",(VLOOKUP(Table11[[#This Row],[SKU]],'All Skus'!$A:$AC,21,FALSE)),""))</f>
        <v>12</v>
      </c>
      <c r="Q45" s="61" t="str">
        <f>(IF((VLOOKUP(Table11[[#This Row],[SKU]],'All Skus'!$A:$AC,2,FALSE))="Soundcraft",(VLOOKUP(Table11[[#This Row],[SKU]],'All Skus'!$A:$AC,22,FALSE)),""))</f>
        <v>CN</v>
      </c>
      <c r="R45" s="61" t="str">
        <f>(IF((VLOOKUP(Table11[[#This Row],[SKU]],'All Skus'!$A:$AC,2,FALSE))="Soundcraft",(VLOOKUP(Table11[[#This Row],[SKU]],'All Skus'!$A:$AC,23,FALSE)),""))</f>
        <v>Non Compliant</v>
      </c>
      <c r="S45" s="212" t="str">
        <f>HYPERLINK((IF((VLOOKUP(Table11[[#This Row],[SKU]],'All Skus'!$A:$AC,2,FALSE))="Soundcraft",(VLOOKUP(Table11[[#This Row],[SKU]],'All Skus'!$A:$AC,24,FALSE)),"")))</f>
        <v>http://www.soundcraft.com/products/gb8</v>
      </c>
      <c r="T45" s="151">
        <v>43</v>
      </c>
    </row>
    <row r="46" spans="1:20" ht="15" customHeight="1">
      <c r="A46" s="158" t="s">
        <v>2418</v>
      </c>
      <c r="B46" s="159" t="str">
        <f>(IF((VLOOKUP(Table11[[#This Row],[SKU]],'All Skus'!$A:$AC,2,FALSE))="Soundcraft",(VLOOKUP(Table11[[#This Row],[SKU]],'All Skus'!$A:$AC,3,FALSE)),""))</f>
        <v>GB Series Accessories</v>
      </c>
      <c r="C46" s="21" t="str">
        <f>(IF((VLOOKUP(Table11[[#This Row],[SKU]],'All Skus'!$A:$AC,2,FALSE))="Soundcraft",(VLOOKUP(Table11[[#This Row],[SKU]],'All Skus'!$A:$AC,4,FALSE)),""))</f>
        <v>TZ2478</v>
      </c>
      <c r="D46" s="19" t="str">
        <f>(IF((VLOOKUP(Table11[[#This Row],[SKU]],'All Skus'!$A:$AC,2,FALSE))="Soundcraft",(VLOOKUP(Table11[[#This Row],[SKU]],'All Skus'!$A:$AC,5,FALSE)),""))</f>
        <v>SC-OTHER</v>
      </c>
      <c r="E46" s="19">
        <f>(IF((VLOOKUP(Table11[[#This Row],[SKU]],'All Skus'!$A:$AC,2,FALSE))="Soundcraft",(VLOOKUP(Table11[[#This Row],[SKU]],'All Skus'!$A:$AC,6,FALSE)),""))</f>
        <v>0</v>
      </c>
      <c r="F46" s="18">
        <f>(IF((VLOOKUP(Table11[[#This Row],[SKU]],'All Skus'!$A:$AC,2,FALSE))="Soundcraft",(VLOOKUP(Table11[[#This Row],[SKU]],'All Skus'!$A:$AC,7,FALSE)),""))</f>
        <v>0</v>
      </c>
      <c r="G46" s="22" t="str">
        <f>(IF((VLOOKUP(Table11[[#This Row],[SKU]],'All Skus'!$A:$AC,2,FALSE))="Soundcraft",(VLOOKUP(Table11[[#This Row],[SKU]],'All Skus'!$A:$AC,8,FALSE)),""))</f>
        <v>Dust Covers GB216</v>
      </c>
      <c r="H46" s="22" t="str">
        <f>(IF((VLOOKUP(Table11[[#This Row],[SKU]],'All Skus'!$A:$AC,2,FALSE))="Soundcraft",(VLOOKUP(Table11[[#This Row],[SKU]],'All Skus'!$A:$AC,9,FALSE)),""))</f>
        <v>Dust Covers GB216</v>
      </c>
      <c r="I46" s="157">
        <f>(IF((VLOOKUP(Table11[[#This Row],[SKU]],'All Skus'!$A:$AC,2,FALSE))="Soundcraft",(VLOOKUP(Table11[[#This Row],[SKU]],'All Skus'!$A:$AC,10,FALSE)),""))</f>
        <v>72.03</v>
      </c>
      <c r="J46" s="157">
        <f>(IF((VLOOKUP(Table11[[#This Row],[SKU]],'All Skus'!$A:$AC,2,FALSE))="Soundcraft",(VLOOKUP(Table11[[#This Row],[SKU]],'All Skus'!$A:$AC,11,FALSE)),""))</f>
        <v>72</v>
      </c>
      <c r="K46" s="271">
        <f>(IF((VLOOKUP(Table11[[#This Row],[SKU]],'All Skus'!$A:$AC,2,FALSE))="Soundcraft",(VLOOKUP(Table11[[#This Row],[SKU]],'All Skus'!$A:$AC,16,FALSE)),""))</f>
        <v>0</v>
      </c>
      <c r="L46" s="239">
        <f>(IF((VLOOKUP(Table11[[#This Row],[SKU]],'All Skus'!$A:$AC,2,FALSE))="Soundcraft",(VLOOKUP(Table11[[#This Row],[SKU]],'All Skus'!$A:$AC,17,FALSE)),""))</f>
        <v>0</v>
      </c>
      <c r="M46" s="239">
        <f>(IF((VLOOKUP(Table11[[#This Row],[SKU]],'All Skus'!$A:$AC,2,FALSE))="Soundcraft",(VLOOKUP(Table11[[#This Row],[SKU]],'All Skus'!$A:$AC,18,FALSE)),""))</f>
        <v>2</v>
      </c>
      <c r="N46" s="147">
        <f>(IF((VLOOKUP(Table11[[#This Row],[SKU]],'All Skus'!$A:$AC,2,FALSE))="Soundcraft",(VLOOKUP(Table11[[#This Row],[SKU]],'All Skus'!$A:$AC,19,FALSE)),""))</f>
        <v>10</v>
      </c>
      <c r="O46" s="147">
        <f>(IF((VLOOKUP(Table11[[#This Row],[SKU]],'All Skus'!$A:$AC,2,FALSE))="Soundcraft",(VLOOKUP(Table11[[#This Row],[SKU]],'All Skus'!$A:$AC,20,FALSE)),""))</f>
        <v>10</v>
      </c>
      <c r="P46" s="240">
        <f>(IF((VLOOKUP(Table11[[#This Row],[SKU]],'All Skus'!$A:$AC,2,FALSE))="Soundcraft",(VLOOKUP(Table11[[#This Row],[SKU]],'All Skus'!$A:$AC,21,FALSE)),""))</f>
        <v>10</v>
      </c>
      <c r="Q46" s="61">
        <f>(IF((VLOOKUP(Table11[[#This Row],[SKU]],'All Skus'!$A:$AC,2,FALSE))="Soundcraft",(VLOOKUP(Table11[[#This Row],[SKU]],'All Skus'!$A:$AC,22,FALSE)),""))</f>
        <v>0</v>
      </c>
      <c r="R46" s="61" t="str">
        <f>(IF((VLOOKUP(Table11[[#This Row],[SKU]],'All Skus'!$A:$AC,2,FALSE))="Soundcraft",(VLOOKUP(Table11[[#This Row],[SKU]],'All Skus'!$A:$AC,23,FALSE)),""))</f>
        <v>Non Compliant</v>
      </c>
      <c r="S46" s="212" t="str">
        <f>HYPERLINK((IF((VLOOKUP(Table11[[#This Row],[SKU]],'All Skus'!$A:$AC,2,FALSE))="Soundcraft",(VLOOKUP(Table11[[#This Row],[SKU]],'All Skus'!$A:$AC,24,FALSE)),"")))</f>
        <v/>
      </c>
      <c r="T46" s="151">
        <v>44</v>
      </c>
    </row>
    <row r="47" spans="1:20" ht="15" customHeight="1">
      <c r="A47" s="158" t="s">
        <v>2419</v>
      </c>
      <c r="B47" s="159" t="str">
        <f>(IF((VLOOKUP(Table11[[#This Row],[SKU]],'All Skus'!$A:$AC,2,FALSE))="Soundcraft",(VLOOKUP(Table11[[#This Row],[SKU]],'All Skus'!$A:$AC,3,FALSE)),""))</f>
        <v>GB Series Accessories</v>
      </c>
      <c r="C47" s="21" t="str">
        <f>(IF((VLOOKUP(Table11[[#This Row],[SKU]],'All Skus'!$A:$AC,2,FALSE))="Soundcraft",(VLOOKUP(Table11[[#This Row],[SKU]],'All Skus'!$A:$AC,4,FALSE)),""))</f>
        <v>TZ2479</v>
      </c>
      <c r="D47" s="19" t="str">
        <f>(IF((VLOOKUP(Table11[[#This Row],[SKU]],'All Skus'!$A:$AC,2,FALSE))="Soundcraft",(VLOOKUP(Table11[[#This Row],[SKU]],'All Skus'!$A:$AC,5,FALSE)),""))</f>
        <v>SC-OTHER</v>
      </c>
      <c r="E47" s="19">
        <f>(IF((VLOOKUP(Table11[[#This Row],[SKU]],'All Skus'!$A:$AC,2,FALSE))="Soundcraft",(VLOOKUP(Table11[[#This Row],[SKU]],'All Skus'!$A:$AC,6,FALSE)),""))</f>
        <v>0</v>
      </c>
      <c r="F47" s="18">
        <f>(IF((VLOOKUP(Table11[[#This Row],[SKU]],'All Skus'!$A:$AC,2,FALSE))="Soundcraft",(VLOOKUP(Table11[[#This Row],[SKU]],'All Skus'!$A:$AC,7,FALSE)),""))</f>
        <v>0</v>
      </c>
      <c r="G47" s="22" t="str">
        <f>(IF((VLOOKUP(Table11[[#This Row],[SKU]],'All Skus'!$A:$AC,2,FALSE))="Soundcraft",(VLOOKUP(Table11[[#This Row],[SKU]],'All Skus'!$A:$AC,8,FALSE)),""))</f>
        <v>Dust Covers GB224</v>
      </c>
      <c r="H47" s="22" t="str">
        <f>(IF((VLOOKUP(Table11[[#This Row],[SKU]],'All Skus'!$A:$AC,2,FALSE))="Soundcraft",(VLOOKUP(Table11[[#This Row],[SKU]],'All Skus'!$A:$AC,9,FALSE)),""))</f>
        <v>Dust Covers GB224</v>
      </c>
      <c r="I47" s="157">
        <f>(IF((VLOOKUP(Table11[[#This Row],[SKU]],'All Skus'!$A:$AC,2,FALSE))="Soundcraft",(VLOOKUP(Table11[[#This Row],[SKU]],'All Skus'!$A:$AC,10,FALSE)),""))</f>
        <v>78.03</v>
      </c>
      <c r="J47" s="157">
        <f>(IF((VLOOKUP(Table11[[#This Row],[SKU]],'All Skus'!$A:$AC,2,FALSE))="Soundcraft",(VLOOKUP(Table11[[#This Row],[SKU]],'All Skus'!$A:$AC,11,FALSE)),""))</f>
        <v>78</v>
      </c>
      <c r="K47" s="271">
        <f>(IF((VLOOKUP(Table11[[#This Row],[SKU]],'All Skus'!$A:$AC,2,FALSE))="Soundcraft",(VLOOKUP(Table11[[#This Row],[SKU]],'All Skus'!$A:$AC,16,FALSE)),""))</f>
        <v>0</v>
      </c>
      <c r="L47" s="239">
        <f>(IF((VLOOKUP(Table11[[#This Row],[SKU]],'All Skus'!$A:$AC,2,FALSE))="Soundcraft",(VLOOKUP(Table11[[#This Row],[SKU]],'All Skus'!$A:$AC,17,FALSE)),""))</f>
        <v>0</v>
      </c>
      <c r="M47" s="239">
        <f>(IF((VLOOKUP(Table11[[#This Row],[SKU]],'All Skus'!$A:$AC,2,FALSE))="Soundcraft",(VLOOKUP(Table11[[#This Row],[SKU]],'All Skus'!$A:$AC,18,FALSE)),""))</f>
        <v>2</v>
      </c>
      <c r="N47" s="147">
        <f>(IF((VLOOKUP(Table11[[#This Row],[SKU]],'All Skus'!$A:$AC,2,FALSE))="Soundcraft",(VLOOKUP(Table11[[#This Row],[SKU]],'All Skus'!$A:$AC,19,FALSE)),""))</f>
        <v>10</v>
      </c>
      <c r="O47" s="147">
        <f>(IF((VLOOKUP(Table11[[#This Row],[SKU]],'All Skus'!$A:$AC,2,FALSE))="Soundcraft",(VLOOKUP(Table11[[#This Row],[SKU]],'All Skus'!$A:$AC,20,FALSE)),""))</f>
        <v>10</v>
      </c>
      <c r="P47" s="240">
        <f>(IF((VLOOKUP(Table11[[#This Row],[SKU]],'All Skus'!$A:$AC,2,FALSE))="Soundcraft",(VLOOKUP(Table11[[#This Row],[SKU]],'All Skus'!$A:$AC,21,FALSE)),""))</f>
        <v>0.5</v>
      </c>
      <c r="Q47" s="61" t="str">
        <f>(IF((VLOOKUP(Table11[[#This Row],[SKU]],'All Skus'!$A:$AC,2,FALSE))="Soundcraft",(VLOOKUP(Table11[[#This Row],[SKU]],'All Skus'!$A:$AC,22,FALSE)),""))</f>
        <v>CN</v>
      </c>
      <c r="R47" s="61" t="str">
        <f>(IF((VLOOKUP(Table11[[#This Row],[SKU]],'All Skus'!$A:$AC,2,FALSE))="Soundcraft",(VLOOKUP(Table11[[#This Row],[SKU]],'All Skus'!$A:$AC,23,FALSE)),""))</f>
        <v>Non Compliant</v>
      </c>
      <c r="S47" s="212" t="str">
        <f>HYPERLINK((IF((VLOOKUP(Table11[[#This Row],[SKU]],'All Skus'!$A:$AC,2,FALSE))="Soundcraft",(VLOOKUP(Table11[[#This Row],[SKU]],'All Skus'!$A:$AC,24,FALSE)),"")))</f>
        <v/>
      </c>
      <c r="T47" s="151">
        <v>45</v>
      </c>
    </row>
    <row r="48" spans="1:20" ht="15" customHeight="1">
      <c r="A48" s="158" t="s">
        <v>2420</v>
      </c>
      <c r="B48" s="159" t="str">
        <f>(IF((VLOOKUP(Table11[[#This Row],[SKU]],'All Skus'!$A:$AC,2,FALSE))="Soundcraft",(VLOOKUP(Table11[[#This Row],[SKU]],'All Skus'!$A:$AC,3,FALSE)),""))</f>
        <v>GB Series Accessories</v>
      </c>
      <c r="C48" s="21" t="str">
        <f>(IF((VLOOKUP(Table11[[#This Row],[SKU]],'All Skus'!$A:$AC,2,FALSE))="Soundcraft",(VLOOKUP(Table11[[#This Row],[SKU]],'All Skus'!$A:$AC,4,FALSE)),""))</f>
        <v>TZ2480</v>
      </c>
      <c r="D48" s="19" t="str">
        <f>(IF((VLOOKUP(Table11[[#This Row],[SKU]],'All Skus'!$A:$AC,2,FALSE))="Soundcraft",(VLOOKUP(Table11[[#This Row],[SKU]],'All Skus'!$A:$AC,5,FALSE)),""))</f>
        <v>SC-OTHER</v>
      </c>
      <c r="E48" s="19">
        <f>(IF((VLOOKUP(Table11[[#This Row],[SKU]],'All Skus'!$A:$AC,2,FALSE))="Soundcraft",(VLOOKUP(Table11[[#This Row],[SKU]],'All Skus'!$A:$AC,6,FALSE)),""))</f>
        <v>0</v>
      </c>
      <c r="F48" s="18">
        <f>(IF((VLOOKUP(Table11[[#This Row],[SKU]],'All Skus'!$A:$AC,2,FALSE))="Soundcraft",(VLOOKUP(Table11[[#This Row],[SKU]],'All Skus'!$A:$AC,7,FALSE)),""))</f>
        <v>0</v>
      </c>
      <c r="G48" s="22" t="str">
        <f>(IF((VLOOKUP(Table11[[#This Row],[SKU]],'All Skus'!$A:$AC,2,FALSE))="Soundcraft",(VLOOKUP(Table11[[#This Row],[SKU]],'All Skus'!$A:$AC,8,FALSE)),""))</f>
        <v>Dust Covers GB232</v>
      </c>
      <c r="H48" s="22" t="str">
        <f>(IF((VLOOKUP(Table11[[#This Row],[SKU]],'All Skus'!$A:$AC,2,FALSE))="Soundcraft",(VLOOKUP(Table11[[#This Row],[SKU]],'All Skus'!$A:$AC,9,FALSE)),""))</f>
        <v>Dust Covers GB232</v>
      </c>
      <c r="I48" s="157">
        <f>(IF((VLOOKUP(Table11[[#This Row],[SKU]],'All Skus'!$A:$AC,2,FALSE))="Soundcraft",(VLOOKUP(Table11[[#This Row],[SKU]],'All Skus'!$A:$AC,10,FALSE)),""))</f>
        <v>90.03</v>
      </c>
      <c r="J48" s="157">
        <f>(IF((VLOOKUP(Table11[[#This Row],[SKU]],'All Skus'!$A:$AC,2,FALSE))="Soundcraft",(VLOOKUP(Table11[[#This Row],[SKU]],'All Skus'!$A:$AC,11,FALSE)),""))</f>
        <v>90</v>
      </c>
      <c r="K48" s="271">
        <f>(IF((VLOOKUP(Table11[[#This Row],[SKU]],'All Skus'!$A:$AC,2,FALSE))="Soundcraft",(VLOOKUP(Table11[[#This Row],[SKU]],'All Skus'!$A:$AC,16,FALSE)),""))</f>
        <v>0</v>
      </c>
      <c r="L48" s="239">
        <f>(IF((VLOOKUP(Table11[[#This Row],[SKU]],'All Skus'!$A:$AC,2,FALSE))="Soundcraft",(VLOOKUP(Table11[[#This Row],[SKU]],'All Skus'!$A:$AC,17,FALSE)),""))</f>
        <v>0</v>
      </c>
      <c r="M48" s="239">
        <f>(IF((VLOOKUP(Table11[[#This Row],[SKU]],'All Skus'!$A:$AC,2,FALSE))="Soundcraft",(VLOOKUP(Table11[[#This Row],[SKU]],'All Skus'!$A:$AC,18,FALSE)),""))</f>
        <v>2</v>
      </c>
      <c r="N48" s="147">
        <f>(IF((VLOOKUP(Table11[[#This Row],[SKU]],'All Skus'!$A:$AC,2,FALSE))="Soundcraft",(VLOOKUP(Table11[[#This Row],[SKU]],'All Skus'!$A:$AC,19,FALSE)),""))</f>
        <v>10</v>
      </c>
      <c r="O48" s="147">
        <f>(IF((VLOOKUP(Table11[[#This Row],[SKU]],'All Skus'!$A:$AC,2,FALSE))="Soundcraft",(VLOOKUP(Table11[[#This Row],[SKU]],'All Skus'!$A:$AC,20,FALSE)),""))</f>
        <v>10</v>
      </c>
      <c r="P48" s="240">
        <f>(IF((VLOOKUP(Table11[[#This Row],[SKU]],'All Skus'!$A:$AC,2,FALSE))="Soundcraft",(VLOOKUP(Table11[[#This Row],[SKU]],'All Skus'!$A:$AC,21,FALSE)),""))</f>
        <v>10</v>
      </c>
      <c r="Q48" s="61">
        <f>(IF((VLOOKUP(Table11[[#This Row],[SKU]],'All Skus'!$A:$AC,2,FALSE))="Soundcraft",(VLOOKUP(Table11[[#This Row],[SKU]],'All Skus'!$A:$AC,22,FALSE)),""))</f>
        <v>0</v>
      </c>
      <c r="R48" s="61" t="str">
        <f>(IF((VLOOKUP(Table11[[#This Row],[SKU]],'All Skus'!$A:$AC,2,FALSE))="Soundcraft",(VLOOKUP(Table11[[#This Row],[SKU]],'All Skus'!$A:$AC,23,FALSE)),""))</f>
        <v>Non Compliant</v>
      </c>
      <c r="S48" s="212" t="str">
        <f>HYPERLINK((IF((VLOOKUP(Table11[[#This Row],[SKU]],'All Skus'!$A:$AC,2,FALSE))="Soundcraft",(VLOOKUP(Table11[[#This Row],[SKU]],'All Skus'!$A:$AC,24,FALSE)),"")))</f>
        <v/>
      </c>
      <c r="T48" s="151">
        <v>46</v>
      </c>
    </row>
    <row r="49" spans="1:20" ht="15" customHeight="1">
      <c r="A49" s="158" t="s">
        <v>2421</v>
      </c>
      <c r="B49" s="159" t="str">
        <f>(IF((VLOOKUP(Table11[[#This Row],[SKU]],'All Skus'!$A:$AC,2,FALSE))="Soundcraft",(VLOOKUP(Table11[[#This Row],[SKU]],'All Skus'!$A:$AC,3,FALSE)),""))</f>
        <v>GB Series Accessories</v>
      </c>
      <c r="C49" s="21" t="str">
        <f>(IF((VLOOKUP(Table11[[#This Row],[SKU]],'All Skus'!$A:$AC,2,FALSE))="Soundcraft",(VLOOKUP(Table11[[#This Row],[SKU]],'All Skus'!$A:$AC,4,FALSE)),""))</f>
        <v>TZ2453</v>
      </c>
      <c r="D49" s="19" t="str">
        <f>(IF((VLOOKUP(Table11[[#This Row],[SKU]],'All Skus'!$A:$AC,2,FALSE))="Soundcraft",(VLOOKUP(Table11[[#This Row],[SKU]],'All Skus'!$A:$AC,5,FALSE)),""))</f>
        <v>SC-OTHER</v>
      </c>
      <c r="E49" s="19">
        <f>(IF((VLOOKUP(Table11[[#This Row],[SKU]],'All Skus'!$A:$AC,2,FALSE))="Soundcraft",(VLOOKUP(Table11[[#This Row],[SKU]],'All Skus'!$A:$AC,6,FALSE)),""))</f>
        <v>0</v>
      </c>
      <c r="F49" s="18">
        <f>(IF((VLOOKUP(Table11[[#This Row],[SKU]],'All Skus'!$A:$AC,2,FALSE))="Soundcraft",(VLOOKUP(Table11[[#This Row],[SKU]],'All Skus'!$A:$AC,7,FALSE)),""))</f>
        <v>0</v>
      </c>
      <c r="G49" s="22" t="str">
        <f>(IF((VLOOKUP(Table11[[#This Row],[SKU]],'All Skus'!$A:$AC,2,FALSE))="Soundcraft",(VLOOKUP(Table11[[#This Row],[SKU]],'All Skus'!$A:$AC,8,FALSE)),""))</f>
        <v>Dust Covers GB416</v>
      </c>
      <c r="H49" s="22" t="str">
        <f>(IF((VLOOKUP(Table11[[#This Row],[SKU]],'All Skus'!$A:$AC,2,FALSE))="Soundcraft",(VLOOKUP(Table11[[#This Row],[SKU]],'All Skus'!$A:$AC,9,FALSE)),""))</f>
        <v>Dust Covers GB416</v>
      </c>
      <c r="I49" s="157">
        <f>(IF((VLOOKUP(Table11[[#This Row],[SKU]],'All Skus'!$A:$AC,2,FALSE))="Soundcraft",(VLOOKUP(Table11[[#This Row],[SKU]],'All Skus'!$A:$AC,10,FALSE)),""))</f>
        <v>72.03</v>
      </c>
      <c r="J49" s="157">
        <f>(IF((VLOOKUP(Table11[[#This Row],[SKU]],'All Skus'!$A:$AC,2,FALSE))="Soundcraft",(VLOOKUP(Table11[[#This Row],[SKU]],'All Skus'!$A:$AC,11,FALSE)),""))</f>
        <v>72</v>
      </c>
      <c r="K49" s="271">
        <f>(IF((VLOOKUP(Table11[[#This Row],[SKU]],'All Skus'!$A:$AC,2,FALSE))="Soundcraft",(VLOOKUP(Table11[[#This Row],[SKU]],'All Skus'!$A:$AC,16,FALSE)),""))</f>
        <v>0</v>
      </c>
      <c r="L49" s="239">
        <f>(IF((VLOOKUP(Table11[[#This Row],[SKU]],'All Skus'!$A:$AC,2,FALSE))="Soundcraft",(VLOOKUP(Table11[[#This Row],[SKU]],'All Skus'!$A:$AC,17,FALSE)),""))</f>
        <v>0</v>
      </c>
      <c r="M49" s="239">
        <f>(IF((VLOOKUP(Table11[[#This Row],[SKU]],'All Skus'!$A:$AC,2,FALSE))="Soundcraft",(VLOOKUP(Table11[[#This Row],[SKU]],'All Skus'!$A:$AC,18,FALSE)),""))</f>
        <v>2</v>
      </c>
      <c r="N49" s="147">
        <f>(IF((VLOOKUP(Table11[[#This Row],[SKU]],'All Skus'!$A:$AC,2,FALSE))="Soundcraft",(VLOOKUP(Table11[[#This Row],[SKU]],'All Skus'!$A:$AC,19,FALSE)),""))</f>
        <v>10</v>
      </c>
      <c r="O49" s="147">
        <f>(IF((VLOOKUP(Table11[[#This Row],[SKU]],'All Skus'!$A:$AC,2,FALSE))="Soundcraft",(VLOOKUP(Table11[[#This Row],[SKU]],'All Skus'!$A:$AC,20,FALSE)),""))</f>
        <v>10</v>
      </c>
      <c r="P49" s="240">
        <f>(IF((VLOOKUP(Table11[[#This Row],[SKU]],'All Skus'!$A:$AC,2,FALSE))="Soundcraft",(VLOOKUP(Table11[[#This Row],[SKU]],'All Skus'!$A:$AC,21,FALSE)),""))</f>
        <v>10</v>
      </c>
      <c r="Q49" s="61">
        <f>(IF((VLOOKUP(Table11[[#This Row],[SKU]],'All Skus'!$A:$AC,2,FALSE))="Soundcraft",(VLOOKUP(Table11[[#This Row],[SKU]],'All Skus'!$A:$AC,22,FALSE)),""))</f>
        <v>0</v>
      </c>
      <c r="R49" s="61" t="str">
        <f>(IF((VLOOKUP(Table11[[#This Row],[SKU]],'All Skus'!$A:$AC,2,FALSE))="Soundcraft",(VLOOKUP(Table11[[#This Row],[SKU]],'All Skus'!$A:$AC,23,FALSE)),""))</f>
        <v>Non Compliant</v>
      </c>
      <c r="S49" s="212" t="str">
        <f>HYPERLINK((IF((VLOOKUP(Table11[[#This Row],[SKU]],'All Skus'!$A:$AC,2,FALSE))="Soundcraft",(VLOOKUP(Table11[[#This Row],[SKU]],'All Skus'!$A:$AC,24,FALSE)),"")))</f>
        <v/>
      </c>
      <c r="T49" s="151">
        <v>47</v>
      </c>
    </row>
    <row r="50" spans="1:20" ht="15" customHeight="1">
      <c r="A50" s="158" t="s">
        <v>2422</v>
      </c>
      <c r="B50" s="159" t="str">
        <f>(IF((VLOOKUP(Table11[[#This Row],[SKU]],'All Skus'!$A:$AC,2,FALSE))="Soundcraft",(VLOOKUP(Table11[[#This Row],[SKU]],'All Skus'!$A:$AC,3,FALSE)),""))</f>
        <v>GB Series Accessories</v>
      </c>
      <c r="C50" s="21" t="str">
        <f>(IF((VLOOKUP(Table11[[#This Row],[SKU]],'All Skus'!$A:$AC,2,FALSE))="Soundcraft",(VLOOKUP(Table11[[#This Row],[SKU]],'All Skus'!$A:$AC,4,FALSE)),""))</f>
        <v>TZ2454</v>
      </c>
      <c r="D50" s="19" t="str">
        <f>(IF((VLOOKUP(Table11[[#This Row],[SKU]],'All Skus'!$A:$AC,2,FALSE))="Soundcraft",(VLOOKUP(Table11[[#This Row],[SKU]],'All Skus'!$A:$AC,5,FALSE)),""))</f>
        <v>SC-OTHER</v>
      </c>
      <c r="E50" s="19">
        <f>(IF((VLOOKUP(Table11[[#This Row],[SKU]],'All Skus'!$A:$AC,2,FALSE))="Soundcraft",(VLOOKUP(Table11[[#This Row],[SKU]],'All Skus'!$A:$AC,6,FALSE)),""))</f>
        <v>0</v>
      </c>
      <c r="F50" s="18">
        <f>(IF((VLOOKUP(Table11[[#This Row],[SKU]],'All Skus'!$A:$AC,2,FALSE))="Soundcraft",(VLOOKUP(Table11[[#This Row],[SKU]],'All Skus'!$A:$AC,7,FALSE)),""))</f>
        <v>0</v>
      </c>
      <c r="G50" s="22" t="str">
        <f>(IF((VLOOKUP(Table11[[#This Row],[SKU]],'All Skus'!$A:$AC,2,FALSE))="Soundcraft",(VLOOKUP(Table11[[#This Row],[SKU]],'All Skus'!$A:$AC,8,FALSE)),""))</f>
        <v>Dust Covers GB424</v>
      </c>
      <c r="H50" s="22" t="str">
        <f>(IF((VLOOKUP(Table11[[#This Row],[SKU]],'All Skus'!$A:$AC,2,FALSE))="Soundcraft",(VLOOKUP(Table11[[#This Row],[SKU]],'All Skus'!$A:$AC,9,FALSE)),""))</f>
        <v>Dust Covers GB424</v>
      </c>
      <c r="I50" s="157">
        <f>(IF((VLOOKUP(Table11[[#This Row],[SKU]],'All Skus'!$A:$AC,2,FALSE))="Soundcraft",(VLOOKUP(Table11[[#This Row],[SKU]],'All Skus'!$A:$AC,10,FALSE)),""))</f>
        <v>78.03</v>
      </c>
      <c r="J50" s="157">
        <f>(IF((VLOOKUP(Table11[[#This Row],[SKU]],'All Skus'!$A:$AC,2,FALSE))="Soundcraft",(VLOOKUP(Table11[[#This Row],[SKU]],'All Skus'!$A:$AC,11,FALSE)),""))</f>
        <v>78</v>
      </c>
      <c r="K50" s="271">
        <f>(IF((VLOOKUP(Table11[[#This Row],[SKU]],'All Skus'!$A:$AC,2,FALSE))="Soundcraft",(VLOOKUP(Table11[[#This Row],[SKU]],'All Skus'!$A:$AC,16,FALSE)),""))</f>
        <v>0</v>
      </c>
      <c r="L50" s="239">
        <f>(IF((VLOOKUP(Table11[[#This Row],[SKU]],'All Skus'!$A:$AC,2,FALSE))="Soundcraft",(VLOOKUP(Table11[[#This Row],[SKU]],'All Skus'!$A:$AC,17,FALSE)),""))</f>
        <v>0</v>
      </c>
      <c r="M50" s="239">
        <f>(IF((VLOOKUP(Table11[[#This Row],[SKU]],'All Skus'!$A:$AC,2,FALSE))="Soundcraft",(VLOOKUP(Table11[[#This Row],[SKU]],'All Skus'!$A:$AC,18,FALSE)),""))</f>
        <v>2</v>
      </c>
      <c r="N50" s="147">
        <f>(IF((VLOOKUP(Table11[[#This Row],[SKU]],'All Skus'!$A:$AC,2,FALSE))="Soundcraft",(VLOOKUP(Table11[[#This Row],[SKU]],'All Skus'!$A:$AC,19,FALSE)),""))</f>
        <v>10</v>
      </c>
      <c r="O50" s="147">
        <f>(IF((VLOOKUP(Table11[[#This Row],[SKU]],'All Skus'!$A:$AC,2,FALSE))="Soundcraft",(VLOOKUP(Table11[[#This Row],[SKU]],'All Skus'!$A:$AC,20,FALSE)),""))</f>
        <v>10</v>
      </c>
      <c r="P50" s="240">
        <f>(IF((VLOOKUP(Table11[[#This Row],[SKU]],'All Skus'!$A:$AC,2,FALSE))="Soundcraft",(VLOOKUP(Table11[[#This Row],[SKU]],'All Skus'!$A:$AC,21,FALSE)),""))</f>
        <v>10</v>
      </c>
      <c r="Q50" s="61">
        <f>(IF((VLOOKUP(Table11[[#This Row],[SKU]],'All Skus'!$A:$AC,2,FALSE))="Soundcraft",(VLOOKUP(Table11[[#This Row],[SKU]],'All Skus'!$A:$AC,22,FALSE)),""))</f>
        <v>0</v>
      </c>
      <c r="R50" s="61" t="str">
        <f>(IF((VLOOKUP(Table11[[#This Row],[SKU]],'All Skus'!$A:$AC,2,FALSE))="Soundcraft",(VLOOKUP(Table11[[#This Row],[SKU]],'All Skus'!$A:$AC,23,FALSE)),""))</f>
        <v>Non Compliant</v>
      </c>
      <c r="S50" s="212" t="str">
        <f>HYPERLINK((IF((VLOOKUP(Table11[[#This Row],[SKU]],'All Skus'!$A:$AC,2,FALSE))="Soundcraft",(VLOOKUP(Table11[[#This Row],[SKU]],'All Skus'!$A:$AC,24,FALSE)),"")))</f>
        <v/>
      </c>
      <c r="T50" s="151">
        <v>48</v>
      </c>
    </row>
    <row r="51" spans="1:20" ht="15" customHeight="1">
      <c r="A51" s="158" t="s">
        <v>2423</v>
      </c>
      <c r="B51" s="159" t="str">
        <f>(IF((VLOOKUP(Table11[[#This Row],[SKU]],'All Skus'!$A:$AC,2,FALSE))="Soundcraft",(VLOOKUP(Table11[[#This Row],[SKU]],'All Skus'!$A:$AC,3,FALSE)),""))</f>
        <v>GB Series Accessories</v>
      </c>
      <c r="C51" s="21" t="str">
        <f>(IF((VLOOKUP(Table11[[#This Row],[SKU]],'All Skus'!$A:$AC,2,FALSE))="Soundcraft",(VLOOKUP(Table11[[#This Row],[SKU]],'All Skus'!$A:$AC,4,FALSE)),""))</f>
        <v>TZ2455</v>
      </c>
      <c r="D51" s="19" t="str">
        <f>(IF((VLOOKUP(Table11[[#This Row],[SKU]],'All Skus'!$A:$AC,2,FALSE))="Soundcraft",(VLOOKUP(Table11[[#This Row],[SKU]],'All Skus'!$A:$AC,5,FALSE)),""))</f>
        <v>SC-OTHER</v>
      </c>
      <c r="E51" s="19">
        <f>(IF((VLOOKUP(Table11[[#This Row],[SKU]],'All Skus'!$A:$AC,2,FALSE))="Soundcraft",(VLOOKUP(Table11[[#This Row],[SKU]],'All Skus'!$A:$AC,6,FALSE)),""))</f>
        <v>0</v>
      </c>
      <c r="F51" s="18">
        <f>(IF((VLOOKUP(Table11[[#This Row],[SKU]],'All Skus'!$A:$AC,2,FALSE))="Soundcraft",(VLOOKUP(Table11[[#This Row],[SKU]],'All Skus'!$A:$AC,7,FALSE)),""))</f>
        <v>0</v>
      </c>
      <c r="G51" s="22" t="str">
        <f>(IF((VLOOKUP(Table11[[#This Row],[SKU]],'All Skus'!$A:$AC,2,FALSE))="Soundcraft",(VLOOKUP(Table11[[#This Row],[SKU]],'All Skus'!$A:$AC,8,FALSE)),""))</f>
        <v>Dust Covers GB432</v>
      </c>
      <c r="H51" s="22" t="str">
        <f>(IF((VLOOKUP(Table11[[#This Row],[SKU]],'All Skus'!$A:$AC,2,FALSE))="Soundcraft",(VLOOKUP(Table11[[#This Row],[SKU]],'All Skus'!$A:$AC,9,FALSE)),""))</f>
        <v>Dust Covers GB432</v>
      </c>
      <c r="I51" s="157">
        <f>(IF((VLOOKUP(Table11[[#This Row],[SKU]],'All Skus'!$A:$AC,2,FALSE))="Soundcraft",(VLOOKUP(Table11[[#This Row],[SKU]],'All Skus'!$A:$AC,10,FALSE)),""))</f>
        <v>84.03</v>
      </c>
      <c r="J51" s="157">
        <f>(IF((VLOOKUP(Table11[[#This Row],[SKU]],'All Skus'!$A:$AC,2,FALSE))="Soundcraft",(VLOOKUP(Table11[[#This Row],[SKU]],'All Skus'!$A:$AC,11,FALSE)),""))</f>
        <v>84</v>
      </c>
      <c r="K51" s="271">
        <f>(IF((VLOOKUP(Table11[[#This Row],[SKU]],'All Skus'!$A:$AC,2,FALSE))="Soundcraft",(VLOOKUP(Table11[[#This Row],[SKU]],'All Skus'!$A:$AC,16,FALSE)),""))</f>
        <v>0</v>
      </c>
      <c r="L51" s="239">
        <f>(IF((VLOOKUP(Table11[[#This Row],[SKU]],'All Skus'!$A:$AC,2,FALSE))="Soundcraft",(VLOOKUP(Table11[[#This Row],[SKU]],'All Skus'!$A:$AC,17,FALSE)),""))</f>
        <v>0</v>
      </c>
      <c r="M51" s="239">
        <f>(IF((VLOOKUP(Table11[[#This Row],[SKU]],'All Skus'!$A:$AC,2,FALSE))="Soundcraft",(VLOOKUP(Table11[[#This Row],[SKU]],'All Skus'!$A:$AC,18,FALSE)),""))</f>
        <v>2</v>
      </c>
      <c r="N51" s="147">
        <f>(IF((VLOOKUP(Table11[[#This Row],[SKU]],'All Skus'!$A:$AC,2,FALSE))="Soundcraft",(VLOOKUP(Table11[[#This Row],[SKU]],'All Skus'!$A:$AC,19,FALSE)),""))</f>
        <v>10</v>
      </c>
      <c r="O51" s="147">
        <f>(IF((VLOOKUP(Table11[[#This Row],[SKU]],'All Skus'!$A:$AC,2,FALSE))="Soundcraft",(VLOOKUP(Table11[[#This Row],[SKU]],'All Skus'!$A:$AC,20,FALSE)),""))</f>
        <v>10</v>
      </c>
      <c r="P51" s="240">
        <f>(IF((VLOOKUP(Table11[[#This Row],[SKU]],'All Skus'!$A:$AC,2,FALSE))="Soundcraft",(VLOOKUP(Table11[[#This Row],[SKU]],'All Skus'!$A:$AC,21,FALSE)),""))</f>
        <v>10</v>
      </c>
      <c r="Q51" s="61">
        <f>(IF((VLOOKUP(Table11[[#This Row],[SKU]],'All Skus'!$A:$AC,2,FALSE))="Soundcraft",(VLOOKUP(Table11[[#This Row],[SKU]],'All Skus'!$A:$AC,22,FALSE)),""))</f>
        <v>0</v>
      </c>
      <c r="R51" s="61" t="str">
        <f>(IF((VLOOKUP(Table11[[#This Row],[SKU]],'All Skus'!$A:$AC,2,FALSE))="Soundcraft",(VLOOKUP(Table11[[#This Row],[SKU]],'All Skus'!$A:$AC,23,FALSE)),""))</f>
        <v>Non Compliant</v>
      </c>
      <c r="S51" s="212" t="str">
        <f>HYPERLINK((IF((VLOOKUP(Table11[[#This Row],[SKU]],'All Skus'!$A:$AC,2,FALSE))="Soundcraft",(VLOOKUP(Table11[[#This Row],[SKU]],'All Skus'!$A:$AC,24,FALSE)),"")))</f>
        <v/>
      </c>
      <c r="T51" s="151">
        <v>49</v>
      </c>
    </row>
    <row r="52" spans="1:20" ht="15" customHeight="1">
      <c r="A52" s="158" t="s">
        <v>2424</v>
      </c>
      <c r="B52" s="159" t="str">
        <f>(IF((VLOOKUP(Table11[[#This Row],[SKU]],'All Skus'!$A:$AC,2,FALSE))="Soundcraft",(VLOOKUP(Table11[[#This Row],[SKU]],'All Skus'!$A:$AC,3,FALSE)),""))</f>
        <v>GB Series Accessories</v>
      </c>
      <c r="C52" s="21" t="str">
        <f>(IF((VLOOKUP(Table11[[#This Row],[SKU]],'All Skus'!$A:$AC,2,FALSE))="Soundcraft",(VLOOKUP(Table11[[#This Row],[SKU]],'All Skus'!$A:$AC,4,FALSE)),""))</f>
        <v>TZ2456</v>
      </c>
      <c r="D52" s="19" t="str">
        <f>(IF((VLOOKUP(Table11[[#This Row],[SKU]],'All Skus'!$A:$AC,2,FALSE))="Soundcraft",(VLOOKUP(Table11[[#This Row],[SKU]],'All Skus'!$A:$AC,5,FALSE)),""))</f>
        <v>SC-OTHER</v>
      </c>
      <c r="E52" s="19">
        <f>(IF((VLOOKUP(Table11[[#This Row],[SKU]],'All Skus'!$A:$AC,2,FALSE))="Soundcraft",(VLOOKUP(Table11[[#This Row],[SKU]],'All Skus'!$A:$AC,6,FALSE)),""))</f>
        <v>0</v>
      </c>
      <c r="F52" s="18">
        <f>(IF((VLOOKUP(Table11[[#This Row],[SKU]],'All Skus'!$A:$AC,2,FALSE))="Soundcraft",(VLOOKUP(Table11[[#This Row],[SKU]],'All Skus'!$A:$AC,7,FALSE)),""))</f>
        <v>0</v>
      </c>
      <c r="G52" s="22" t="str">
        <f>(IF((VLOOKUP(Table11[[#This Row],[SKU]],'All Skus'!$A:$AC,2,FALSE))="Soundcraft",(VLOOKUP(Table11[[#This Row],[SKU]],'All Skus'!$A:$AC,8,FALSE)),""))</f>
        <v>Dust Covers GB440</v>
      </c>
      <c r="H52" s="22" t="str">
        <f>(IF((VLOOKUP(Table11[[#This Row],[SKU]],'All Skus'!$A:$AC,2,FALSE))="Soundcraft",(VLOOKUP(Table11[[#This Row],[SKU]],'All Skus'!$A:$AC,9,FALSE)),""))</f>
        <v>Dust Covers GB440</v>
      </c>
      <c r="I52" s="157">
        <f>(IF((VLOOKUP(Table11[[#This Row],[SKU]],'All Skus'!$A:$AC,2,FALSE))="Soundcraft",(VLOOKUP(Table11[[#This Row],[SKU]],'All Skus'!$A:$AC,10,FALSE)),""))</f>
        <v>90.03</v>
      </c>
      <c r="J52" s="157">
        <f>(IF((VLOOKUP(Table11[[#This Row],[SKU]],'All Skus'!$A:$AC,2,FALSE))="Soundcraft",(VLOOKUP(Table11[[#This Row],[SKU]],'All Skus'!$A:$AC,11,FALSE)),""))</f>
        <v>90</v>
      </c>
      <c r="K52" s="271">
        <f>(IF((VLOOKUP(Table11[[#This Row],[SKU]],'All Skus'!$A:$AC,2,FALSE))="Soundcraft",(VLOOKUP(Table11[[#This Row],[SKU]],'All Skus'!$A:$AC,16,FALSE)),""))</f>
        <v>0</v>
      </c>
      <c r="L52" s="239">
        <f>(IF((VLOOKUP(Table11[[#This Row],[SKU]],'All Skus'!$A:$AC,2,FALSE))="Soundcraft",(VLOOKUP(Table11[[#This Row],[SKU]],'All Skus'!$A:$AC,17,FALSE)),""))</f>
        <v>0</v>
      </c>
      <c r="M52" s="239">
        <f>(IF((VLOOKUP(Table11[[#This Row],[SKU]],'All Skus'!$A:$AC,2,FALSE))="Soundcraft",(VLOOKUP(Table11[[#This Row],[SKU]],'All Skus'!$A:$AC,18,FALSE)),""))</f>
        <v>2</v>
      </c>
      <c r="N52" s="147">
        <f>(IF((VLOOKUP(Table11[[#This Row],[SKU]],'All Skus'!$A:$AC,2,FALSE))="Soundcraft",(VLOOKUP(Table11[[#This Row],[SKU]],'All Skus'!$A:$AC,19,FALSE)),""))</f>
        <v>10</v>
      </c>
      <c r="O52" s="147">
        <f>(IF((VLOOKUP(Table11[[#This Row],[SKU]],'All Skus'!$A:$AC,2,FALSE))="Soundcraft",(VLOOKUP(Table11[[#This Row],[SKU]],'All Skus'!$A:$AC,20,FALSE)),""))</f>
        <v>10</v>
      </c>
      <c r="P52" s="240">
        <f>(IF((VLOOKUP(Table11[[#This Row],[SKU]],'All Skus'!$A:$AC,2,FALSE))="Soundcraft",(VLOOKUP(Table11[[#This Row],[SKU]],'All Skus'!$A:$AC,21,FALSE)),""))</f>
        <v>10</v>
      </c>
      <c r="Q52" s="61">
        <f>(IF((VLOOKUP(Table11[[#This Row],[SKU]],'All Skus'!$A:$AC,2,FALSE))="Soundcraft",(VLOOKUP(Table11[[#This Row],[SKU]],'All Skus'!$A:$AC,22,FALSE)),""))</f>
        <v>0</v>
      </c>
      <c r="R52" s="61" t="str">
        <f>(IF((VLOOKUP(Table11[[#This Row],[SKU]],'All Skus'!$A:$AC,2,FALSE))="Soundcraft",(VLOOKUP(Table11[[#This Row],[SKU]],'All Skus'!$A:$AC,23,FALSE)),""))</f>
        <v>Non Compliant</v>
      </c>
      <c r="S52" s="212" t="str">
        <f>HYPERLINK((IF((VLOOKUP(Table11[[#This Row],[SKU]],'All Skus'!$A:$AC,2,FALSE))="Soundcraft",(VLOOKUP(Table11[[#This Row],[SKU]],'All Skus'!$A:$AC,24,FALSE)),"")))</f>
        <v/>
      </c>
      <c r="T52" s="151">
        <v>50</v>
      </c>
    </row>
    <row r="53" spans="1:20" ht="15" customHeight="1">
      <c r="A53" s="158" t="s">
        <v>2425</v>
      </c>
      <c r="B53" s="159" t="str">
        <f>(IF((VLOOKUP(Table11[[#This Row],[SKU]],'All Skus'!$A:$AC,2,FALSE))="Soundcraft",(VLOOKUP(Table11[[#This Row],[SKU]],'All Skus'!$A:$AC,3,FALSE)),""))</f>
        <v>GB Series Accessories</v>
      </c>
      <c r="C53" s="21" t="str">
        <f>(IF((VLOOKUP(Table11[[#This Row],[SKU]],'All Skus'!$A:$AC,2,FALSE))="Soundcraft",(VLOOKUP(Table11[[#This Row],[SKU]],'All Skus'!$A:$AC,4,FALSE)),""))</f>
        <v>TZ2463</v>
      </c>
      <c r="D53" s="19" t="str">
        <f>(IF((VLOOKUP(Table11[[#This Row],[SKU]],'All Skus'!$A:$AC,2,FALSE))="Soundcraft",(VLOOKUP(Table11[[#This Row],[SKU]],'All Skus'!$A:$AC,5,FALSE)),""))</f>
        <v>SC-OTHER</v>
      </c>
      <c r="E53" s="19">
        <f>(IF((VLOOKUP(Table11[[#This Row],[SKU]],'All Skus'!$A:$AC,2,FALSE))="Soundcraft",(VLOOKUP(Table11[[#This Row],[SKU]],'All Skus'!$A:$AC,6,FALSE)),""))</f>
        <v>0</v>
      </c>
      <c r="F53" s="18">
        <f>(IF((VLOOKUP(Table11[[#This Row],[SKU]],'All Skus'!$A:$AC,2,FALSE))="Soundcraft",(VLOOKUP(Table11[[#This Row],[SKU]],'All Skus'!$A:$AC,7,FALSE)),""))</f>
        <v>0</v>
      </c>
      <c r="G53" s="22" t="str">
        <f>(IF((VLOOKUP(Table11[[#This Row],[SKU]],'All Skus'!$A:$AC,2,FALSE))="Soundcraft",(VLOOKUP(Table11[[#This Row],[SKU]],'All Skus'!$A:$AC,8,FALSE)),""))</f>
        <v>Dust Covers GB824</v>
      </c>
      <c r="H53" s="22" t="str">
        <f>(IF((VLOOKUP(Table11[[#This Row],[SKU]],'All Skus'!$A:$AC,2,FALSE))="Soundcraft",(VLOOKUP(Table11[[#This Row],[SKU]],'All Skus'!$A:$AC,9,FALSE)),""))</f>
        <v>Dust Covers GB824</v>
      </c>
      <c r="I53" s="157">
        <f>(IF((VLOOKUP(Table11[[#This Row],[SKU]],'All Skus'!$A:$AC,2,FALSE))="Soundcraft",(VLOOKUP(Table11[[#This Row],[SKU]],'All Skus'!$A:$AC,10,FALSE)),""))</f>
        <v>84.03</v>
      </c>
      <c r="J53" s="157">
        <f>(IF((VLOOKUP(Table11[[#This Row],[SKU]],'All Skus'!$A:$AC,2,FALSE))="Soundcraft",(VLOOKUP(Table11[[#This Row],[SKU]],'All Skus'!$A:$AC,11,FALSE)),""))</f>
        <v>84</v>
      </c>
      <c r="K53" s="271">
        <f>(IF((VLOOKUP(Table11[[#This Row],[SKU]],'All Skus'!$A:$AC,2,FALSE))="Soundcraft",(VLOOKUP(Table11[[#This Row],[SKU]],'All Skus'!$A:$AC,16,FALSE)),""))</f>
        <v>0</v>
      </c>
      <c r="L53" s="239">
        <f>(IF((VLOOKUP(Table11[[#This Row],[SKU]],'All Skus'!$A:$AC,2,FALSE))="Soundcraft",(VLOOKUP(Table11[[#This Row],[SKU]],'All Skus'!$A:$AC,17,FALSE)),""))</f>
        <v>0</v>
      </c>
      <c r="M53" s="239">
        <f>(IF((VLOOKUP(Table11[[#This Row],[SKU]],'All Skus'!$A:$AC,2,FALSE))="Soundcraft",(VLOOKUP(Table11[[#This Row],[SKU]],'All Skus'!$A:$AC,18,FALSE)),""))</f>
        <v>2</v>
      </c>
      <c r="N53" s="147">
        <f>(IF((VLOOKUP(Table11[[#This Row],[SKU]],'All Skus'!$A:$AC,2,FALSE))="Soundcraft",(VLOOKUP(Table11[[#This Row],[SKU]],'All Skus'!$A:$AC,19,FALSE)),""))</f>
        <v>10</v>
      </c>
      <c r="O53" s="147">
        <f>(IF((VLOOKUP(Table11[[#This Row],[SKU]],'All Skus'!$A:$AC,2,FALSE))="Soundcraft",(VLOOKUP(Table11[[#This Row],[SKU]],'All Skus'!$A:$AC,20,FALSE)),""))</f>
        <v>10</v>
      </c>
      <c r="P53" s="240">
        <f>(IF((VLOOKUP(Table11[[#This Row],[SKU]],'All Skus'!$A:$AC,2,FALSE))="Soundcraft",(VLOOKUP(Table11[[#This Row],[SKU]],'All Skus'!$A:$AC,21,FALSE)),""))</f>
        <v>10</v>
      </c>
      <c r="Q53" s="61">
        <f>(IF((VLOOKUP(Table11[[#This Row],[SKU]],'All Skus'!$A:$AC,2,FALSE))="Soundcraft",(VLOOKUP(Table11[[#This Row],[SKU]],'All Skus'!$A:$AC,22,FALSE)),""))</f>
        <v>0</v>
      </c>
      <c r="R53" s="61" t="str">
        <f>(IF((VLOOKUP(Table11[[#This Row],[SKU]],'All Skus'!$A:$AC,2,FALSE))="Soundcraft",(VLOOKUP(Table11[[#This Row],[SKU]],'All Skus'!$A:$AC,23,FALSE)),""))</f>
        <v>Non Compliant</v>
      </c>
      <c r="S53" s="212" t="str">
        <f>HYPERLINK((IF((VLOOKUP(Table11[[#This Row],[SKU]],'All Skus'!$A:$AC,2,FALSE))="Soundcraft",(VLOOKUP(Table11[[#This Row],[SKU]],'All Skus'!$A:$AC,24,FALSE)),"")))</f>
        <v/>
      </c>
      <c r="T53" s="151">
        <v>51</v>
      </c>
    </row>
    <row r="54" spans="1:20" ht="15" customHeight="1">
      <c r="A54" s="158" t="s">
        <v>2426</v>
      </c>
      <c r="B54" s="159" t="str">
        <f>(IF((VLOOKUP(Table11[[#This Row],[SKU]],'All Skus'!$A:$AC,2,FALSE))="Soundcraft",(VLOOKUP(Table11[[#This Row],[SKU]],'All Skus'!$A:$AC,3,FALSE)),""))</f>
        <v>GB Series Accessories</v>
      </c>
      <c r="C54" s="21" t="str">
        <f>(IF((VLOOKUP(Table11[[#This Row],[SKU]],'All Skus'!$A:$AC,2,FALSE))="Soundcraft",(VLOOKUP(Table11[[#This Row],[SKU]],'All Skus'!$A:$AC,4,FALSE)),""))</f>
        <v>TZ2465</v>
      </c>
      <c r="D54" s="19" t="str">
        <f>(IF((VLOOKUP(Table11[[#This Row],[SKU]],'All Skus'!$A:$AC,2,FALSE))="Soundcraft",(VLOOKUP(Table11[[#This Row],[SKU]],'All Skus'!$A:$AC,5,FALSE)),""))</f>
        <v>SC-OTHER</v>
      </c>
      <c r="E54" s="19">
        <f>(IF((VLOOKUP(Table11[[#This Row],[SKU]],'All Skus'!$A:$AC,2,FALSE))="Soundcraft",(VLOOKUP(Table11[[#This Row],[SKU]],'All Skus'!$A:$AC,6,FALSE)),""))</f>
        <v>0</v>
      </c>
      <c r="F54" s="18">
        <f>(IF((VLOOKUP(Table11[[#This Row],[SKU]],'All Skus'!$A:$AC,2,FALSE))="Soundcraft",(VLOOKUP(Table11[[#This Row],[SKU]],'All Skus'!$A:$AC,7,FALSE)),""))</f>
        <v>0</v>
      </c>
      <c r="G54" s="22" t="str">
        <f>(IF((VLOOKUP(Table11[[#This Row],[SKU]],'All Skus'!$A:$AC,2,FALSE))="Soundcraft",(VLOOKUP(Table11[[#This Row],[SKU]],'All Skus'!$A:$AC,8,FALSE)),""))</f>
        <v>Dust Covers GB840</v>
      </c>
      <c r="H54" s="22" t="str">
        <f>(IF((VLOOKUP(Table11[[#This Row],[SKU]],'All Skus'!$A:$AC,2,FALSE))="Soundcraft",(VLOOKUP(Table11[[#This Row],[SKU]],'All Skus'!$A:$AC,9,FALSE)),""))</f>
        <v>Dust Covers GB840</v>
      </c>
      <c r="I54" s="157">
        <f>(IF((VLOOKUP(Table11[[#This Row],[SKU]],'All Skus'!$A:$AC,2,FALSE))="Soundcraft",(VLOOKUP(Table11[[#This Row],[SKU]],'All Skus'!$A:$AC,10,FALSE)),""))</f>
        <v>96.04</v>
      </c>
      <c r="J54" s="157">
        <f>(IF((VLOOKUP(Table11[[#This Row],[SKU]],'All Skus'!$A:$AC,2,FALSE))="Soundcraft",(VLOOKUP(Table11[[#This Row],[SKU]],'All Skus'!$A:$AC,11,FALSE)),""))</f>
        <v>96</v>
      </c>
      <c r="K54" s="271">
        <f>(IF((VLOOKUP(Table11[[#This Row],[SKU]],'All Skus'!$A:$AC,2,FALSE))="Soundcraft",(VLOOKUP(Table11[[#This Row],[SKU]],'All Skus'!$A:$AC,16,FALSE)),""))</f>
        <v>0</v>
      </c>
      <c r="L54" s="239">
        <f>(IF((VLOOKUP(Table11[[#This Row],[SKU]],'All Skus'!$A:$AC,2,FALSE))="Soundcraft",(VLOOKUP(Table11[[#This Row],[SKU]],'All Skus'!$A:$AC,17,FALSE)),""))</f>
        <v>0</v>
      </c>
      <c r="M54" s="239">
        <f>(IF((VLOOKUP(Table11[[#This Row],[SKU]],'All Skus'!$A:$AC,2,FALSE))="Soundcraft",(VLOOKUP(Table11[[#This Row],[SKU]],'All Skus'!$A:$AC,18,FALSE)),""))</f>
        <v>2</v>
      </c>
      <c r="N54" s="147">
        <f>(IF((VLOOKUP(Table11[[#This Row],[SKU]],'All Skus'!$A:$AC,2,FALSE))="Soundcraft",(VLOOKUP(Table11[[#This Row],[SKU]],'All Skus'!$A:$AC,19,FALSE)),""))</f>
        <v>10</v>
      </c>
      <c r="O54" s="147">
        <f>(IF((VLOOKUP(Table11[[#This Row],[SKU]],'All Skus'!$A:$AC,2,FALSE))="Soundcraft",(VLOOKUP(Table11[[#This Row],[SKU]],'All Skus'!$A:$AC,20,FALSE)),""))</f>
        <v>10</v>
      </c>
      <c r="P54" s="240">
        <f>(IF((VLOOKUP(Table11[[#This Row],[SKU]],'All Skus'!$A:$AC,2,FALSE))="Soundcraft",(VLOOKUP(Table11[[#This Row],[SKU]],'All Skus'!$A:$AC,21,FALSE)),""))</f>
        <v>10</v>
      </c>
      <c r="Q54" s="61">
        <f>(IF((VLOOKUP(Table11[[#This Row],[SKU]],'All Skus'!$A:$AC,2,FALSE))="Soundcraft",(VLOOKUP(Table11[[#This Row],[SKU]],'All Skus'!$A:$AC,22,FALSE)),""))</f>
        <v>0</v>
      </c>
      <c r="R54" s="61" t="str">
        <f>(IF((VLOOKUP(Table11[[#This Row],[SKU]],'All Skus'!$A:$AC,2,FALSE))="Soundcraft",(VLOOKUP(Table11[[#This Row],[SKU]],'All Skus'!$A:$AC,23,FALSE)),""))</f>
        <v>Non Compliant</v>
      </c>
      <c r="S54" s="212" t="str">
        <f>HYPERLINK((IF((VLOOKUP(Table11[[#This Row],[SKU]],'All Skus'!$A:$AC,2,FALSE))="Soundcraft",(VLOOKUP(Table11[[#This Row],[SKU]],'All Skus'!$A:$AC,24,FALSE)),"")))</f>
        <v/>
      </c>
      <c r="T54" s="151">
        <v>52</v>
      </c>
    </row>
    <row r="55" spans="1:20" ht="15" customHeight="1">
      <c r="A55" s="158" t="s">
        <v>2427</v>
      </c>
      <c r="B55" s="159" t="str">
        <f>(IF((VLOOKUP(Table11[[#This Row],[SKU]],'All Skus'!$A:$AC,2,FALSE))="Soundcraft",(VLOOKUP(Table11[[#This Row],[SKU]],'All Skus'!$A:$AC,3,FALSE)),""))</f>
        <v>GB Series Accessories</v>
      </c>
      <c r="C55" s="21" t="str">
        <f>(IF((VLOOKUP(Table11[[#This Row],[SKU]],'All Skus'!$A:$AC,2,FALSE))="Soundcraft",(VLOOKUP(Table11[[#This Row],[SKU]],'All Skus'!$A:$AC,4,FALSE)),""))</f>
        <v>TZ2466</v>
      </c>
      <c r="D55" s="19" t="str">
        <f>(IF((VLOOKUP(Table11[[#This Row],[SKU]],'All Skus'!$A:$AC,2,FALSE))="Soundcraft",(VLOOKUP(Table11[[#This Row],[SKU]],'All Skus'!$A:$AC,5,FALSE)),""))</f>
        <v>SC-OTHER</v>
      </c>
      <c r="E55" s="19">
        <f>(IF((VLOOKUP(Table11[[#This Row],[SKU]],'All Skus'!$A:$AC,2,FALSE))="Soundcraft",(VLOOKUP(Table11[[#This Row],[SKU]],'All Skus'!$A:$AC,6,FALSE)),""))</f>
        <v>0</v>
      </c>
      <c r="F55" s="18">
        <f>(IF((VLOOKUP(Table11[[#This Row],[SKU]],'All Skus'!$A:$AC,2,FALSE))="Soundcraft",(VLOOKUP(Table11[[#This Row],[SKU]],'All Skus'!$A:$AC,7,FALSE)),""))</f>
        <v>0</v>
      </c>
      <c r="G55" s="22" t="str">
        <f>(IF((VLOOKUP(Table11[[#This Row],[SKU]],'All Skus'!$A:$AC,2,FALSE))="Soundcraft",(VLOOKUP(Table11[[#This Row],[SKU]],'All Skus'!$A:$AC,8,FALSE)),""))</f>
        <v>Dust Covers GB848</v>
      </c>
      <c r="H55" s="22" t="str">
        <f>(IF((VLOOKUP(Table11[[#This Row],[SKU]],'All Skus'!$A:$AC,2,FALSE))="Soundcraft",(VLOOKUP(Table11[[#This Row],[SKU]],'All Skus'!$A:$AC,9,FALSE)),""))</f>
        <v>Dust Covers GB848</v>
      </c>
      <c r="I55" s="157">
        <f>(IF((VLOOKUP(Table11[[#This Row],[SKU]],'All Skus'!$A:$AC,2,FALSE))="Soundcraft",(VLOOKUP(Table11[[#This Row],[SKU]],'All Skus'!$A:$AC,10,FALSE)),""))</f>
        <v>102.04</v>
      </c>
      <c r="J55" s="157">
        <f>(IF((VLOOKUP(Table11[[#This Row],[SKU]],'All Skus'!$A:$AC,2,FALSE))="Soundcraft",(VLOOKUP(Table11[[#This Row],[SKU]],'All Skus'!$A:$AC,11,FALSE)),""))</f>
        <v>102</v>
      </c>
      <c r="K55" s="271">
        <f>(IF((VLOOKUP(Table11[[#This Row],[SKU]],'All Skus'!$A:$AC,2,FALSE))="Soundcraft",(VLOOKUP(Table11[[#This Row],[SKU]],'All Skus'!$A:$AC,16,FALSE)),""))</f>
        <v>0</v>
      </c>
      <c r="L55" s="239">
        <f>(IF((VLOOKUP(Table11[[#This Row],[SKU]],'All Skus'!$A:$AC,2,FALSE))="Soundcraft",(VLOOKUP(Table11[[#This Row],[SKU]],'All Skus'!$A:$AC,17,FALSE)),""))</f>
        <v>0</v>
      </c>
      <c r="M55" s="239">
        <f>(IF((VLOOKUP(Table11[[#This Row],[SKU]],'All Skus'!$A:$AC,2,FALSE))="Soundcraft",(VLOOKUP(Table11[[#This Row],[SKU]],'All Skus'!$A:$AC,18,FALSE)),""))</f>
        <v>2</v>
      </c>
      <c r="N55" s="147">
        <f>(IF((VLOOKUP(Table11[[#This Row],[SKU]],'All Skus'!$A:$AC,2,FALSE))="Soundcraft",(VLOOKUP(Table11[[#This Row],[SKU]],'All Skus'!$A:$AC,19,FALSE)),""))</f>
        <v>10</v>
      </c>
      <c r="O55" s="147">
        <f>(IF((VLOOKUP(Table11[[#This Row],[SKU]],'All Skus'!$A:$AC,2,FALSE))="Soundcraft",(VLOOKUP(Table11[[#This Row],[SKU]],'All Skus'!$A:$AC,20,FALSE)),""))</f>
        <v>10</v>
      </c>
      <c r="P55" s="240">
        <f>(IF((VLOOKUP(Table11[[#This Row],[SKU]],'All Skus'!$A:$AC,2,FALSE))="Soundcraft",(VLOOKUP(Table11[[#This Row],[SKU]],'All Skus'!$A:$AC,21,FALSE)),""))</f>
        <v>10</v>
      </c>
      <c r="Q55" s="61">
        <f>(IF((VLOOKUP(Table11[[#This Row],[SKU]],'All Skus'!$A:$AC,2,FALSE))="Soundcraft",(VLOOKUP(Table11[[#This Row],[SKU]],'All Skus'!$A:$AC,22,FALSE)),""))</f>
        <v>0</v>
      </c>
      <c r="R55" s="61" t="str">
        <f>(IF((VLOOKUP(Table11[[#This Row],[SKU]],'All Skus'!$A:$AC,2,FALSE))="Soundcraft",(VLOOKUP(Table11[[#This Row],[SKU]],'All Skus'!$A:$AC,23,FALSE)),""))</f>
        <v>Non Compliant</v>
      </c>
      <c r="S55" s="212" t="str">
        <f>HYPERLINK((IF((VLOOKUP(Table11[[#This Row],[SKU]],'All Skus'!$A:$AC,2,FALSE))="Soundcraft",(VLOOKUP(Table11[[#This Row],[SKU]],'All Skus'!$A:$AC,24,FALSE)),"")))</f>
        <v/>
      </c>
      <c r="T55" s="151">
        <v>53</v>
      </c>
    </row>
    <row r="56" spans="1:20" ht="15" customHeight="1">
      <c r="A56" s="158" t="s">
        <v>2428</v>
      </c>
      <c r="B56" s="159" t="str">
        <f>(IF((VLOOKUP(Table11[[#This Row],[SKU]],'All Skus'!$A:$AC,2,FALSE))="Soundcraft",(VLOOKUP(Table11[[#This Row],[SKU]],'All Skus'!$A:$AC,3,FALSE)),""))</f>
        <v>Power Supplies</v>
      </c>
      <c r="C56" s="21" t="str">
        <f>(IF((VLOOKUP(Table11[[#This Row],[SKU]],'All Skus'!$A:$AC,2,FALSE))="Soundcraft",(VLOOKUP(Table11[[#This Row],[SKU]],'All Skus'!$A:$AC,4,FALSE)),""))</f>
        <v>RW8000US</v>
      </c>
      <c r="D56" s="19" t="str">
        <f>(IF((VLOOKUP(Table11[[#This Row],[SKU]],'All Skus'!$A:$AC,2,FALSE))="Soundcraft",(VLOOKUP(Table11[[#This Row],[SKU]],'All Skus'!$A:$AC,5,FALSE)),""))</f>
        <v>SC-OTHER</v>
      </c>
      <c r="E56" s="19">
        <f>(IF((VLOOKUP(Table11[[#This Row],[SKU]],'All Skus'!$A:$AC,2,FALSE))="Soundcraft",(VLOOKUP(Table11[[#This Row],[SKU]],'All Skus'!$A:$AC,6,FALSE)),""))</f>
        <v>0</v>
      </c>
      <c r="F56" s="18">
        <f>(IF((VLOOKUP(Table11[[#This Row],[SKU]],'All Skus'!$A:$AC,2,FALSE))="Soundcraft",(VLOOKUP(Table11[[#This Row],[SKU]],'All Skus'!$A:$AC,7,FALSE)),""))</f>
        <v>0</v>
      </c>
      <c r="G56" s="22" t="str">
        <f>(IF((VLOOKUP(Table11[[#This Row],[SKU]],'All Skus'!$A:$AC,2,FALSE))="Soundcraft",(VLOOKUP(Table11[[#This Row],[SKU]],'All Skus'!$A:$AC,8,FALSE)),""))</f>
        <v>CPS150 POWER SUPPLY /!\</v>
      </c>
      <c r="H56" s="22" t="str">
        <f>(IF((VLOOKUP(Table11[[#This Row],[SKU]],'All Skus'!$A:$AC,2,FALSE))="Soundcraft",(VLOOKUP(Table11[[#This Row],[SKU]],'All Skus'!$A:$AC,9,FALSE)),""))</f>
        <v>CPS150 POWER SUPPLY</v>
      </c>
      <c r="I56" s="157">
        <f>(IF((VLOOKUP(Table11[[#This Row],[SKU]],'All Skus'!$A:$AC,2,FALSE))="Soundcraft",(VLOOKUP(Table11[[#This Row],[SKU]],'All Skus'!$A:$AC,10,FALSE)),""))</f>
        <v>979.58</v>
      </c>
      <c r="J56" s="157">
        <f>(IF((VLOOKUP(Table11[[#This Row],[SKU]],'All Skus'!$A:$AC,2,FALSE))="Soundcraft",(VLOOKUP(Table11[[#This Row],[SKU]],'All Skus'!$A:$AC,11,FALSE)),""))</f>
        <v>785</v>
      </c>
      <c r="K56" s="271">
        <f>(IF((VLOOKUP(Table11[[#This Row],[SKU]],'All Skus'!$A:$AC,2,FALSE))="Soundcraft",(VLOOKUP(Table11[[#This Row],[SKU]],'All Skus'!$A:$AC,16,FALSE)),""))</f>
        <v>688705216973</v>
      </c>
      <c r="L56" s="239">
        <f>(IF((VLOOKUP(Table11[[#This Row],[SKU]],'All Skus'!$A:$AC,2,FALSE))="Soundcraft",(VLOOKUP(Table11[[#This Row],[SKU]],'All Skus'!$A:$AC,17,FALSE)),""))</f>
        <v>0</v>
      </c>
      <c r="M56" s="239">
        <f>(IF((VLOOKUP(Table11[[#This Row],[SKU]],'All Skus'!$A:$AC,2,FALSE))="Soundcraft",(VLOOKUP(Table11[[#This Row],[SKU]],'All Skus'!$A:$AC,18,FALSE)),""))</f>
        <v>6</v>
      </c>
      <c r="N56" s="147">
        <f>(IF((VLOOKUP(Table11[[#This Row],[SKU]],'All Skus'!$A:$AC,2,FALSE))="Soundcraft",(VLOOKUP(Table11[[#This Row],[SKU]],'All Skus'!$A:$AC,19,FALSE)),""))</f>
        <v>40</v>
      </c>
      <c r="O56" s="147">
        <f>(IF((VLOOKUP(Table11[[#This Row],[SKU]],'All Skus'!$A:$AC,2,FALSE))="Soundcraft",(VLOOKUP(Table11[[#This Row],[SKU]],'All Skus'!$A:$AC,20,FALSE)),""))</f>
        <v>11.5</v>
      </c>
      <c r="P56" s="240">
        <f>(IF((VLOOKUP(Table11[[#This Row],[SKU]],'All Skus'!$A:$AC,2,FALSE))="Soundcraft",(VLOOKUP(Table11[[#This Row],[SKU]],'All Skus'!$A:$AC,21,FALSE)),""))</f>
        <v>8.5</v>
      </c>
      <c r="Q56" s="61">
        <f>(IF((VLOOKUP(Table11[[#This Row],[SKU]],'All Skus'!$A:$AC,2,FALSE))="Soundcraft",(VLOOKUP(Table11[[#This Row],[SKU]],'All Skus'!$A:$AC,22,FALSE)),""))</f>
        <v>0</v>
      </c>
      <c r="R56" s="61" t="str">
        <f>(IF((VLOOKUP(Table11[[#This Row],[SKU]],'All Skus'!$A:$AC,2,FALSE))="Soundcraft",(VLOOKUP(Table11[[#This Row],[SKU]],'All Skus'!$A:$AC,23,FALSE)),""))</f>
        <v>Compliant</v>
      </c>
      <c r="S56" s="212" t="str">
        <f>HYPERLINK((IF((VLOOKUP(Table11[[#This Row],[SKU]],'All Skus'!$A:$AC,2,FALSE))="Soundcraft",(VLOOKUP(Table11[[#This Row],[SKU]],'All Skus'!$A:$AC,24,FALSE)),"")))</f>
        <v>http://soundcraft.com.s3.amazonaws.com/downloads/user-guides/cps150-user-guide.pdf</v>
      </c>
      <c r="T56" s="151">
        <v>54</v>
      </c>
    </row>
    <row r="57" spans="1:20" ht="15" customHeight="1">
      <c r="A57" s="158" t="s">
        <v>2429</v>
      </c>
      <c r="B57" s="159" t="str">
        <f>(IF((VLOOKUP(Table11[[#This Row],[SKU]],'All Skus'!$A:$AC,2,FALSE))="Soundcraft",(VLOOKUP(Table11[[#This Row],[SKU]],'All Skus'!$A:$AC,3,FALSE)),""))</f>
        <v>Power Supplies</v>
      </c>
      <c r="C57" s="21" t="str">
        <f>(IF((VLOOKUP(Table11[[#This Row],[SKU]],'All Skus'!$A:$AC,2,FALSE))="Soundcraft",(VLOOKUP(Table11[[#This Row],[SKU]],'All Skus'!$A:$AC,4,FALSE)),""))</f>
        <v>RW8021US</v>
      </c>
      <c r="D57" s="19" t="str">
        <f>(IF((VLOOKUP(Table11[[#This Row],[SKU]],'All Skus'!$A:$AC,2,FALSE))="Soundcraft",(VLOOKUP(Table11[[#This Row],[SKU]],'All Skus'!$A:$AC,5,FALSE)),""))</f>
        <v>SC-OTHER</v>
      </c>
      <c r="E57" s="19">
        <f>(IF((VLOOKUP(Table11[[#This Row],[SKU]],'All Skus'!$A:$AC,2,FALSE))="Soundcraft",(VLOOKUP(Table11[[#This Row],[SKU]],'All Skus'!$A:$AC,6,FALSE)),""))</f>
        <v>0</v>
      </c>
      <c r="F57" s="18">
        <f>(IF((VLOOKUP(Table11[[#This Row],[SKU]],'All Skus'!$A:$AC,2,FALSE))="Soundcraft",(VLOOKUP(Table11[[#This Row],[SKU]],'All Skus'!$A:$AC,7,FALSE)),""))</f>
        <v>0</v>
      </c>
      <c r="G57" s="22" t="str">
        <f>(IF((VLOOKUP(Table11[[#This Row],[SKU]],'All Skus'!$A:$AC,2,FALSE))="Soundcraft",(VLOOKUP(Table11[[#This Row],[SKU]],'All Skus'!$A:$AC,8,FALSE)),""))</f>
        <v>CPS2000 link option</v>
      </c>
      <c r="H57" s="22" t="str">
        <f>(IF((VLOOKUP(Table11[[#This Row],[SKU]],'All Skus'!$A:$AC,2,FALSE))="Soundcraft",(VLOOKUP(Table11[[#This Row],[SKU]],'All Skus'!$A:$AC,9,FALSE)),""))</f>
        <v>CPS2000 link option</v>
      </c>
      <c r="I57" s="157">
        <f>(IF((VLOOKUP(Table11[[#This Row],[SKU]],'All Skus'!$A:$AC,2,FALSE))="Soundcraft",(VLOOKUP(Table11[[#This Row],[SKU]],'All Skus'!$A:$AC,10,FALSE)),""))</f>
        <v>6122.37</v>
      </c>
      <c r="J57" s="157">
        <f>(IF((VLOOKUP(Table11[[#This Row],[SKU]],'All Skus'!$A:$AC,2,FALSE))="Soundcraft",(VLOOKUP(Table11[[#This Row],[SKU]],'All Skus'!$A:$AC,11,FALSE)),""))</f>
        <v>4897</v>
      </c>
      <c r="K57" s="271">
        <f>(IF((VLOOKUP(Table11[[#This Row],[SKU]],'All Skus'!$A:$AC,2,FALSE))="Soundcraft",(VLOOKUP(Table11[[#This Row],[SKU]],'All Skus'!$A:$AC,16,FALSE)),""))</f>
        <v>688705001432</v>
      </c>
      <c r="L57" s="239">
        <f>(IF((VLOOKUP(Table11[[#This Row],[SKU]],'All Skus'!$A:$AC,2,FALSE))="Soundcraft",(VLOOKUP(Table11[[#This Row],[SKU]],'All Skus'!$A:$AC,17,FALSE)),""))</f>
        <v>0</v>
      </c>
      <c r="M57" s="239">
        <f>(IF((VLOOKUP(Table11[[#This Row],[SKU]],'All Skus'!$A:$AC,2,FALSE))="Soundcraft",(VLOOKUP(Table11[[#This Row],[SKU]],'All Skus'!$A:$AC,18,FALSE)),""))</f>
        <v>35</v>
      </c>
      <c r="N57" s="147">
        <f>(IF((VLOOKUP(Table11[[#This Row],[SKU]],'All Skus'!$A:$AC,2,FALSE))="Soundcraft",(VLOOKUP(Table11[[#This Row],[SKU]],'All Skus'!$A:$AC,19,FALSE)),""))</f>
        <v>45</v>
      </c>
      <c r="O57" s="147">
        <f>(IF((VLOOKUP(Table11[[#This Row],[SKU]],'All Skus'!$A:$AC,2,FALSE))="Soundcraft",(VLOOKUP(Table11[[#This Row],[SKU]],'All Skus'!$A:$AC,20,FALSE)),""))</f>
        <v>11.5</v>
      </c>
      <c r="P57" s="240">
        <f>(IF((VLOOKUP(Table11[[#This Row],[SKU]],'All Skus'!$A:$AC,2,FALSE))="Soundcraft",(VLOOKUP(Table11[[#This Row],[SKU]],'All Skus'!$A:$AC,21,FALSE)),""))</f>
        <v>24.7</v>
      </c>
      <c r="Q57" s="61">
        <f>(IF((VLOOKUP(Table11[[#This Row],[SKU]],'All Skus'!$A:$AC,2,FALSE))="Soundcraft",(VLOOKUP(Table11[[#This Row],[SKU]],'All Skus'!$A:$AC,22,FALSE)),""))</f>
        <v>0</v>
      </c>
      <c r="R57" s="61" t="str">
        <f>(IF((VLOOKUP(Table11[[#This Row],[SKU]],'All Skus'!$A:$AC,2,FALSE))="Soundcraft",(VLOOKUP(Table11[[#This Row],[SKU]],'All Skus'!$A:$AC,23,FALSE)),""))</f>
        <v>Non Compliant</v>
      </c>
      <c r="S57" s="212" t="str">
        <f>HYPERLINK((IF((VLOOKUP(Table11[[#This Row],[SKU]],'All Skus'!$A:$AC,2,FALSE))="Soundcraft",(VLOOKUP(Table11[[#This Row],[SKU]],'All Skus'!$A:$AC,24,FALSE)),"")))</f>
        <v/>
      </c>
      <c r="T57" s="151">
        <v>55</v>
      </c>
    </row>
    <row r="58" spans="1:20" ht="15" customHeight="1">
      <c r="A58" s="158" t="s">
        <v>2430</v>
      </c>
      <c r="B58" s="159" t="str">
        <f>(IF((VLOOKUP(Table11[[#This Row],[SKU]],'All Skus'!$A:$AC,2,FALSE))="Soundcraft",(VLOOKUP(Table11[[#This Row],[SKU]],'All Skus'!$A:$AC,3,FALSE)),""))</f>
        <v>Power Supplies</v>
      </c>
      <c r="C58" s="21" t="str">
        <f>(IF((VLOOKUP(Table11[[#This Row],[SKU]],'All Skus'!$A:$AC,2,FALSE))="Soundcraft",(VLOOKUP(Table11[[#This Row],[SKU]],'All Skus'!$A:$AC,4,FALSE)),""))</f>
        <v>RW8031</v>
      </c>
      <c r="D58" s="19" t="str">
        <f>(IF((VLOOKUP(Table11[[#This Row],[SKU]],'All Skus'!$A:$AC,2,FALSE))="Soundcraft",(VLOOKUP(Table11[[#This Row],[SKU]],'All Skus'!$A:$AC,5,FALSE)),""))</f>
        <v>SC-SML CO</v>
      </c>
      <c r="E58" s="19">
        <f>(IF((VLOOKUP(Table11[[#This Row],[SKU]],'All Skus'!$A:$AC,2,FALSE))="Soundcraft",(VLOOKUP(Table11[[#This Row],[SKU]],'All Skus'!$A:$AC,6,FALSE)),""))</f>
        <v>0</v>
      </c>
      <c r="F58" s="18">
        <f>(IF((VLOOKUP(Table11[[#This Row],[SKU]],'All Skus'!$A:$AC,2,FALSE))="Soundcraft",(VLOOKUP(Table11[[#This Row],[SKU]],'All Skus'!$A:$AC,7,FALSE)),""))</f>
        <v>0</v>
      </c>
      <c r="G58" s="22" t="str">
        <f>(IF((VLOOKUP(Table11[[#This Row],[SKU]],'All Skus'!$A:$AC,2,FALSE))="Soundcraft",(VLOOKUP(Table11[[#This Row],[SKU]],'All Skus'!$A:$AC,8,FALSE)),""))</f>
        <v>DPS3 POWER SUPPLY  /!\</v>
      </c>
      <c r="H58" s="22" t="str">
        <f>(IF((VLOOKUP(Table11[[#This Row],[SKU]],'All Skus'!$A:$AC,2,FALSE))="Soundcraft",(VLOOKUP(Table11[[#This Row],[SKU]],'All Skus'!$A:$AC,9,FALSE)),""))</f>
        <v>DPS3 POWER SUPPLY</v>
      </c>
      <c r="I58" s="157">
        <f>(IF((VLOOKUP(Table11[[#This Row],[SKU]],'All Skus'!$A:$AC,2,FALSE))="Soundcraft",(VLOOKUP(Table11[[#This Row],[SKU]],'All Skus'!$A:$AC,10,FALSE)),""))</f>
        <v>1163.25</v>
      </c>
      <c r="J58" s="157">
        <f>(IF((VLOOKUP(Table11[[#This Row],[SKU]],'All Skus'!$A:$AC,2,FALSE))="Soundcraft",(VLOOKUP(Table11[[#This Row],[SKU]],'All Skus'!$A:$AC,11,FALSE)),""))</f>
        <v>929</v>
      </c>
      <c r="K58" s="271">
        <f>(IF((VLOOKUP(Table11[[#This Row],[SKU]],'All Skus'!$A:$AC,2,FALSE))="Soundcraft",(VLOOKUP(Table11[[#This Row],[SKU]],'All Skus'!$A:$AC,16,FALSE)),""))</f>
        <v>688705008899</v>
      </c>
      <c r="L58" s="239">
        <f>(IF((VLOOKUP(Table11[[#This Row],[SKU]],'All Skus'!$A:$AC,2,FALSE))="Soundcraft",(VLOOKUP(Table11[[#This Row],[SKU]],'All Skus'!$A:$AC,17,FALSE)),""))</f>
        <v>0</v>
      </c>
      <c r="M58" s="239">
        <f>(IF((VLOOKUP(Table11[[#This Row],[SKU]],'All Skus'!$A:$AC,2,FALSE))="Soundcraft",(VLOOKUP(Table11[[#This Row],[SKU]],'All Skus'!$A:$AC,18,FALSE)),""))</f>
        <v>35</v>
      </c>
      <c r="N58" s="147">
        <f>(IF((VLOOKUP(Table11[[#This Row],[SKU]],'All Skus'!$A:$AC,2,FALSE))="Soundcraft",(VLOOKUP(Table11[[#This Row],[SKU]],'All Skus'!$A:$AC,19,FALSE)),""))</f>
        <v>45</v>
      </c>
      <c r="O58" s="147">
        <f>(IF((VLOOKUP(Table11[[#This Row],[SKU]],'All Skus'!$A:$AC,2,FALSE))="Soundcraft",(VLOOKUP(Table11[[#This Row],[SKU]],'All Skus'!$A:$AC,20,FALSE)),""))</f>
        <v>0</v>
      </c>
      <c r="P58" s="240">
        <f>(IF((VLOOKUP(Table11[[#This Row],[SKU]],'All Skus'!$A:$AC,2,FALSE))="Soundcraft",(VLOOKUP(Table11[[#This Row],[SKU]],'All Skus'!$A:$AC,21,FALSE)),""))</f>
        <v>20</v>
      </c>
      <c r="Q58" s="61">
        <f>(IF((VLOOKUP(Table11[[#This Row],[SKU]],'All Skus'!$A:$AC,2,FALSE))="Soundcraft",(VLOOKUP(Table11[[#This Row],[SKU]],'All Skus'!$A:$AC,22,FALSE)),""))</f>
        <v>0</v>
      </c>
      <c r="R58" s="61" t="str">
        <f>(IF((VLOOKUP(Table11[[#This Row],[SKU]],'All Skus'!$A:$AC,2,FALSE))="Soundcraft",(VLOOKUP(Table11[[#This Row],[SKU]],'All Skus'!$A:$AC,23,FALSE)),""))</f>
        <v>Non Compliant</v>
      </c>
      <c r="S58" s="212" t="str">
        <f>HYPERLINK((IF((VLOOKUP(Table11[[#This Row],[SKU]],'All Skus'!$A:$AC,2,FALSE))="Soundcraft",(VLOOKUP(Table11[[#This Row],[SKU]],'All Skus'!$A:$AC,24,FALSE)),"")))</f>
        <v/>
      </c>
      <c r="T58" s="151">
        <v>56</v>
      </c>
    </row>
    <row r="59" spans="1:20" ht="15" customHeight="1">
      <c r="A59" s="158" t="s">
        <v>2431</v>
      </c>
      <c r="B59" s="159" t="str">
        <f>(IF((VLOOKUP(Table11[[#This Row],[SKU]],'All Skus'!$A:$AC,2,FALSE))="Soundcraft",(VLOOKUP(Table11[[#This Row],[SKU]],'All Skus'!$A:$AC,3,FALSE)),""))</f>
        <v>Power Supplies</v>
      </c>
      <c r="C59" s="21" t="str">
        <f>(IF((VLOOKUP(Table11[[#This Row],[SKU]],'All Skus'!$A:$AC,2,FALSE))="Soundcraft",(VLOOKUP(Table11[[#This Row],[SKU]],'All Skus'!$A:$AC,4,FALSE)),""))</f>
        <v>RW8032</v>
      </c>
      <c r="D59" s="19" t="str">
        <f>(IF((VLOOKUP(Table11[[#This Row],[SKU]],'All Skus'!$A:$AC,2,FALSE))="Soundcraft",(VLOOKUP(Table11[[#This Row],[SKU]],'All Skus'!$A:$AC,5,FALSE)),""))</f>
        <v>SC-SML CO</v>
      </c>
      <c r="E59" s="19">
        <f>(IF((VLOOKUP(Table11[[#This Row],[SKU]],'All Skus'!$A:$AC,2,FALSE))="Soundcraft",(VLOOKUP(Table11[[#This Row],[SKU]],'All Skus'!$A:$AC,6,FALSE)),""))</f>
        <v>0</v>
      </c>
      <c r="F59" s="18">
        <f>(IF((VLOOKUP(Table11[[#This Row],[SKU]],'All Skus'!$A:$AC,2,FALSE))="Soundcraft",(VLOOKUP(Table11[[#This Row],[SKU]],'All Skus'!$A:$AC,7,FALSE)),""))</f>
        <v>0</v>
      </c>
      <c r="G59" s="22" t="str">
        <f>(IF((VLOOKUP(Table11[[#This Row],[SKU]],'All Skus'!$A:$AC,2,FALSE))="Soundcraft",(VLOOKUP(Table11[[#This Row],[SKU]],'All Skus'!$A:$AC,8,FALSE)),""))</f>
        <v>DPS3 POWER SUPPLY + 7M LEAD  /!\</v>
      </c>
      <c r="H59" s="22" t="str">
        <f>(IF((VLOOKUP(Table11[[#This Row],[SKU]],'All Skus'!$A:$AC,2,FALSE))="Soundcraft",(VLOOKUP(Table11[[#This Row],[SKU]],'All Skus'!$A:$AC,9,FALSE)),""))</f>
        <v>DPS3 POWER SUPPLY + 7M LEAD</v>
      </c>
      <c r="I59" s="157">
        <f>(IF((VLOOKUP(Table11[[#This Row],[SKU]],'All Skus'!$A:$AC,2,FALSE))="Soundcraft",(VLOOKUP(Table11[[#This Row],[SKU]],'All Skus'!$A:$AC,10,FALSE)),""))</f>
        <v>1529.07</v>
      </c>
      <c r="J59" s="157">
        <f>(IF((VLOOKUP(Table11[[#This Row],[SKU]],'All Skus'!$A:$AC,2,FALSE))="Soundcraft",(VLOOKUP(Table11[[#This Row],[SKU]],'All Skus'!$A:$AC,11,FALSE)),""))</f>
        <v>1220</v>
      </c>
      <c r="K59" s="271">
        <f>(IF((VLOOKUP(Table11[[#This Row],[SKU]],'All Skus'!$A:$AC,2,FALSE))="Soundcraft",(VLOOKUP(Table11[[#This Row],[SKU]],'All Skus'!$A:$AC,16,FALSE)),""))</f>
        <v>0</v>
      </c>
      <c r="L59" s="239">
        <f>(IF((VLOOKUP(Table11[[#This Row],[SKU]],'All Skus'!$A:$AC,2,FALSE))="Soundcraft",(VLOOKUP(Table11[[#This Row],[SKU]],'All Skus'!$A:$AC,17,FALSE)),""))</f>
        <v>0</v>
      </c>
      <c r="M59" s="239">
        <f>(IF((VLOOKUP(Table11[[#This Row],[SKU]],'All Skus'!$A:$AC,2,FALSE))="Soundcraft",(VLOOKUP(Table11[[#This Row],[SKU]],'All Skus'!$A:$AC,18,FALSE)),""))</f>
        <v>35</v>
      </c>
      <c r="N59" s="147">
        <f>(IF((VLOOKUP(Table11[[#This Row],[SKU]],'All Skus'!$A:$AC,2,FALSE))="Soundcraft",(VLOOKUP(Table11[[#This Row],[SKU]],'All Skus'!$A:$AC,19,FALSE)),""))</f>
        <v>45</v>
      </c>
      <c r="O59" s="147">
        <f>(IF((VLOOKUP(Table11[[#This Row],[SKU]],'All Skus'!$A:$AC,2,FALSE))="Soundcraft",(VLOOKUP(Table11[[#This Row],[SKU]],'All Skus'!$A:$AC,20,FALSE)),""))</f>
        <v>12</v>
      </c>
      <c r="P59" s="240">
        <f>(IF((VLOOKUP(Table11[[#This Row],[SKU]],'All Skus'!$A:$AC,2,FALSE))="Soundcraft",(VLOOKUP(Table11[[#This Row],[SKU]],'All Skus'!$A:$AC,21,FALSE)),""))</f>
        <v>10</v>
      </c>
      <c r="Q59" s="61" t="str">
        <f>(IF((VLOOKUP(Table11[[#This Row],[SKU]],'All Skus'!$A:$AC,2,FALSE))="Soundcraft",(VLOOKUP(Table11[[#This Row],[SKU]],'All Skus'!$A:$AC,22,FALSE)),""))</f>
        <v>CN</v>
      </c>
      <c r="R59" s="61" t="str">
        <f>(IF((VLOOKUP(Table11[[#This Row],[SKU]],'All Skus'!$A:$AC,2,FALSE))="Soundcraft",(VLOOKUP(Table11[[#This Row],[SKU]],'All Skus'!$A:$AC,23,FALSE)),""))</f>
        <v>Non Compliant</v>
      </c>
      <c r="S59" s="212" t="str">
        <f>HYPERLINK((IF((VLOOKUP(Table11[[#This Row],[SKU]],'All Skus'!$A:$AC,2,FALSE))="Soundcraft",(VLOOKUP(Table11[[#This Row],[SKU]],'All Skus'!$A:$AC,24,FALSE)),"")))</f>
        <v/>
      </c>
      <c r="T59" s="151">
        <v>57</v>
      </c>
    </row>
    <row r="60" spans="1:20" ht="15" customHeight="1">
      <c r="A60" s="158" t="s">
        <v>2432</v>
      </c>
      <c r="B60" s="159" t="str">
        <f>(IF((VLOOKUP(Table11[[#This Row],[SKU]],'All Skus'!$A:$AC,2,FALSE))="Soundcraft",(VLOOKUP(Table11[[#This Row],[SKU]],'All Skus'!$A:$AC,3,FALSE)),""))</f>
        <v>Power Supplies</v>
      </c>
      <c r="C60" s="21" t="str">
        <f>(IF((VLOOKUP(Table11[[#This Row],[SKU]],'All Skus'!$A:$AC,2,FALSE))="Soundcraft",(VLOOKUP(Table11[[#This Row],[SKU]],'All Skus'!$A:$AC,4,FALSE)),""))</f>
        <v>RW8033</v>
      </c>
      <c r="D60" s="19" t="str">
        <f>(IF((VLOOKUP(Table11[[#This Row],[SKU]],'All Skus'!$A:$AC,2,FALSE))="Soundcraft",(VLOOKUP(Table11[[#This Row],[SKU]],'All Skus'!$A:$AC,5,FALSE)),""))</f>
        <v>SC-OTHER</v>
      </c>
      <c r="E60" s="19">
        <f>(IF((VLOOKUP(Table11[[#This Row],[SKU]],'All Skus'!$A:$AC,2,FALSE))="Soundcraft",(VLOOKUP(Table11[[#This Row],[SKU]],'All Skus'!$A:$AC,6,FALSE)),""))</f>
        <v>0</v>
      </c>
      <c r="F60" s="18">
        <f>(IF((VLOOKUP(Table11[[#This Row],[SKU]],'All Skus'!$A:$AC,2,FALSE))="Soundcraft",(VLOOKUP(Table11[[#This Row],[SKU]],'All Skus'!$A:$AC,7,FALSE)),""))</f>
        <v>0</v>
      </c>
      <c r="G60" s="22" t="str">
        <f>(IF((VLOOKUP(Table11[[#This Row],[SKU]],'All Skus'!$A:$AC,2,FALSE))="Soundcraft",(VLOOKUP(Table11[[#This Row],[SKU]],'All Skus'!$A:$AC,8,FALSE)),""))</f>
        <v>DPS-4 POWER SUPPLY  /!\</v>
      </c>
      <c r="H60" s="22" t="str">
        <f>(IF((VLOOKUP(Table11[[#This Row],[SKU]],'All Skus'!$A:$AC,2,FALSE))="Soundcraft",(VLOOKUP(Table11[[#This Row],[SKU]],'All Skus'!$A:$AC,9,FALSE)),""))</f>
        <v>DPS-4 POWER SUPPLY</v>
      </c>
      <c r="I60" s="157">
        <f>(IF((VLOOKUP(Table11[[#This Row],[SKU]],'All Skus'!$A:$AC,2,FALSE))="Soundcraft",(VLOOKUP(Table11[[#This Row],[SKU]],'All Skus'!$A:$AC,10,FALSE)),""))</f>
        <v>1800.7</v>
      </c>
      <c r="J60" s="157">
        <f>(IF((VLOOKUP(Table11[[#This Row],[SKU]],'All Skus'!$A:$AC,2,FALSE))="Soundcraft",(VLOOKUP(Table11[[#This Row],[SKU]],'All Skus'!$A:$AC,11,FALSE)),""))</f>
        <v>1439</v>
      </c>
      <c r="K60" s="271">
        <f>(IF((VLOOKUP(Table11[[#This Row],[SKU]],'All Skus'!$A:$AC,2,FALSE))="Soundcraft",(VLOOKUP(Table11[[#This Row],[SKU]],'All Skus'!$A:$AC,16,FALSE)),""))</f>
        <v>688705217000</v>
      </c>
      <c r="L60" s="239">
        <f>(IF((VLOOKUP(Table11[[#This Row],[SKU]],'All Skus'!$A:$AC,2,FALSE))="Soundcraft",(VLOOKUP(Table11[[#This Row],[SKU]],'All Skus'!$A:$AC,17,FALSE)),""))</f>
        <v>0</v>
      </c>
      <c r="M60" s="239">
        <f>(IF((VLOOKUP(Table11[[#This Row],[SKU]],'All Skus'!$A:$AC,2,FALSE))="Soundcraft",(VLOOKUP(Table11[[#This Row],[SKU]],'All Skus'!$A:$AC,18,FALSE)),""))</f>
        <v>35</v>
      </c>
      <c r="N60" s="147">
        <f>(IF((VLOOKUP(Table11[[#This Row],[SKU]],'All Skus'!$A:$AC,2,FALSE))="Soundcraft",(VLOOKUP(Table11[[#This Row],[SKU]],'All Skus'!$A:$AC,19,FALSE)),""))</f>
        <v>45</v>
      </c>
      <c r="O60" s="147">
        <f>(IF((VLOOKUP(Table11[[#This Row],[SKU]],'All Skus'!$A:$AC,2,FALSE))="Soundcraft",(VLOOKUP(Table11[[#This Row],[SKU]],'All Skus'!$A:$AC,20,FALSE)),""))</f>
        <v>22</v>
      </c>
      <c r="P60" s="240">
        <f>(IF((VLOOKUP(Table11[[#This Row],[SKU]],'All Skus'!$A:$AC,2,FALSE))="Soundcraft",(VLOOKUP(Table11[[#This Row],[SKU]],'All Skus'!$A:$AC,21,FALSE)),""))</f>
        <v>6</v>
      </c>
      <c r="Q60" s="61" t="str">
        <f>(IF((VLOOKUP(Table11[[#This Row],[SKU]],'All Skus'!$A:$AC,2,FALSE))="Soundcraft",(VLOOKUP(Table11[[#This Row],[SKU]],'All Skus'!$A:$AC,22,FALSE)),""))</f>
        <v>CN</v>
      </c>
      <c r="R60" s="61" t="str">
        <f>(IF((VLOOKUP(Table11[[#This Row],[SKU]],'All Skus'!$A:$AC,2,FALSE))="Soundcraft",(VLOOKUP(Table11[[#This Row],[SKU]],'All Skus'!$A:$AC,23,FALSE)),""))</f>
        <v>Compliant</v>
      </c>
      <c r="S60" s="212" t="str">
        <f>HYPERLINK((IF((VLOOKUP(Table11[[#This Row],[SKU]],'All Skus'!$A:$AC,2,FALSE))="Soundcraft",(VLOOKUP(Table11[[#This Row],[SKU]],'All Skus'!$A:$AC,24,FALSE)),"")))</f>
        <v/>
      </c>
      <c r="T60" s="151">
        <v>58</v>
      </c>
    </row>
    <row r="61" spans="1:20" ht="15" customHeight="1">
      <c r="A61" s="158" t="s">
        <v>2433</v>
      </c>
      <c r="B61" s="159" t="str">
        <f>(IF((VLOOKUP(Table11[[#This Row],[SKU]],'All Skus'!$A:$AC,2,FALSE))="Soundcraft",(VLOOKUP(Table11[[#This Row],[SKU]],'All Skus'!$A:$AC,3,FALSE)),""))</f>
        <v>Power Supplies</v>
      </c>
      <c r="C61" s="21" t="str">
        <f>(IF((VLOOKUP(Table11[[#This Row],[SKU]],'All Skus'!$A:$AC,2,FALSE))="Soundcraft",(VLOOKUP(Table11[[#This Row],[SKU]],'All Skus'!$A:$AC,4,FALSE)),""))</f>
        <v>RV2068CH</v>
      </c>
      <c r="D61" s="19" t="str">
        <f>(IF((VLOOKUP(Table11[[#This Row],[SKU]],'All Skus'!$A:$AC,2,FALSE))="Soundcraft",(VLOOKUP(Table11[[#This Row],[SKU]],'All Skus'!$A:$AC,5,FALSE)),""))</f>
        <v>SC-SPARES</v>
      </c>
      <c r="E61" s="19">
        <f>(IF((VLOOKUP(Table11[[#This Row],[SKU]],'All Skus'!$A:$AC,2,FALSE))="Soundcraft",(VLOOKUP(Table11[[#This Row],[SKU]],'All Skus'!$A:$AC,6,FALSE)),""))</f>
        <v>0</v>
      </c>
      <c r="F61" s="18">
        <f>(IF((VLOOKUP(Table11[[#This Row],[SKU]],'All Skus'!$A:$AC,2,FALSE))="Soundcraft",(VLOOKUP(Table11[[#This Row],[SKU]],'All Skus'!$A:$AC,7,FALSE)),""))</f>
        <v>0</v>
      </c>
      <c r="G61" s="22" t="str">
        <f>(IF((VLOOKUP(Table11[[#This Row],[SKU]],'All Skus'!$A:$AC,2,FALSE))="Soundcraft",(VLOOKUP(Table11[[#This Row],[SKU]],'All Skus'!$A:$AC,8,FALSE)),""))</f>
        <v>CPS450/900/950 10WY PSU LEAD</v>
      </c>
      <c r="H61" s="22" t="str">
        <f>(IF((VLOOKUP(Table11[[#This Row],[SKU]],'All Skus'!$A:$AC,2,FALSE))="Soundcraft",(VLOOKUP(Table11[[#This Row],[SKU]],'All Skus'!$A:$AC,9,FALSE)),""))</f>
        <v>DC cable 10 way</v>
      </c>
      <c r="I61" s="157">
        <f>(IF((VLOOKUP(Table11[[#This Row],[SKU]],'All Skus'!$A:$AC,2,FALSE))="Soundcraft",(VLOOKUP(Table11[[#This Row],[SKU]],'All Skus'!$A:$AC,10,FALSE)),""))</f>
        <v>230.2</v>
      </c>
      <c r="J61" s="157">
        <f>(IF((VLOOKUP(Table11[[#This Row],[SKU]],'All Skus'!$A:$AC,2,FALSE))="Soundcraft",(VLOOKUP(Table11[[#This Row],[SKU]],'All Skus'!$A:$AC,11,FALSE)),""))</f>
        <v>181</v>
      </c>
      <c r="K61" s="271">
        <f>(IF((VLOOKUP(Table11[[#This Row],[SKU]],'All Skus'!$A:$AC,2,FALSE))="Soundcraft",(VLOOKUP(Table11[[#This Row],[SKU]],'All Skus'!$A:$AC,16,FALSE)),""))</f>
        <v>0</v>
      </c>
      <c r="L61" s="239">
        <f>(IF((VLOOKUP(Table11[[#This Row],[SKU]],'All Skus'!$A:$AC,2,FALSE))="Soundcraft",(VLOOKUP(Table11[[#This Row],[SKU]],'All Skus'!$A:$AC,17,FALSE)),""))</f>
        <v>0</v>
      </c>
      <c r="M61" s="239">
        <f>(IF((VLOOKUP(Table11[[#This Row],[SKU]],'All Skus'!$A:$AC,2,FALSE))="Soundcraft",(VLOOKUP(Table11[[#This Row],[SKU]],'All Skus'!$A:$AC,18,FALSE)),""))</f>
        <v>35</v>
      </c>
      <c r="N61" s="147">
        <f>(IF((VLOOKUP(Table11[[#This Row],[SKU]],'All Skus'!$A:$AC,2,FALSE))="Soundcraft",(VLOOKUP(Table11[[#This Row],[SKU]],'All Skus'!$A:$AC,19,FALSE)),""))</f>
        <v>45</v>
      </c>
      <c r="O61" s="147">
        <f>(IF((VLOOKUP(Table11[[#This Row],[SKU]],'All Skus'!$A:$AC,2,FALSE))="Soundcraft",(VLOOKUP(Table11[[#This Row],[SKU]],'All Skus'!$A:$AC,20,FALSE)),""))</f>
        <v>0</v>
      </c>
      <c r="P61" s="240">
        <f>(IF((VLOOKUP(Table11[[#This Row],[SKU]],'All Skus'!$A:$AC,2,FALSE))="Soundcraft",(VLOOKUP(Table11[[#This Row],[SKU]],'All Skus'!$A:$AC,21,FALSE)),""))</f>
        <v>20</v>
      </c>
      <c r="Q61" s="61">
        <f>(IF((VLOOKUP(Table11[[#This Row],[SKU]],'All Skus'!$A:$AC,2,FALSE))="Soundcraft",(VLOOKUP(Table11[[#This Row],[SKU]],'All Skus'!$A:$AC,22,FALSE)),""))</f>
        <v>0</v>
      </c>
      <c r="R61" s="61" t="str">
        <f>(IF((VLOOKUP(Table11[[#This Row],[SKU]],'All Skus'!$A:$AC,2,FALSE))="Soundcraft",(VLOOKUP(Table11[[#This Row],[SKU]],'All Skus'!$A:$AC,23,FALSE)),""))</f>
        <v>Non Compliant</v>
      </c>
      <c r="S61" s="212" t="str">
        <f>HYPERLINK((IF((VLOOKUP(Table11[[#This Row],[SKU]],'All Skus'!$A:$AC,2,FALSE))="Soundcraft",(VLOOKUP(Table11[[#This Row],[SKU]],'All Skus'!$A:$AC,24,FALSE)),"")))</f>
        <v/>
      </c>
      <c r="T61" s="151">
        <v>59</v>
      </c>
    </row>
    <row r="62" spans="1:20" ht="15" customHeight="1">
      <c r="A62" s="158" t="s">
        <v>2434</v>
      </c>
      <c r="B62" s="159" t="str">
        <f>(IF((VLOOKUP(Table11[[#This Row],[SKU]],'All Skus'!$A:$AC,2,FALSE))="Soundcraft",(VLOOKUP(Table11[[#This Row],[SKU]],'All Skus'!$A:$AC,3,FALSE)),""))</f>
        <v>Power Supplies</v>
      </c>
      <c r="C62" s="21" t="str">
        <f>(IF((VLOOKUP(Table11[[#This Row],[SKU]],'All Skus'!$A:$AC,2,FALSE))="Soundcraft",(VLOOKUP(Table11[[#This Row],[SKU]],'All Skus'!$A:$AC,4,FALSE)),""))</f>
        <v>RV3200CH</v>
      </c>
      <c r="D62" s="19">
        <f>(IF((VLOOKUP(Table11[[#This Row],[SKU]],'All Skus'!$A:$AC,2,FALSE))="Soundcraft",(VLOOKUP(Table11[[#This Row],[SKU]],'All Skus'!$A:$AC,5,FALSE)),""))</f>
        <v>41300000</v>
      </c>
      <c r="E62" s="19">
        <f>(IF((VLOOKUP(Table11[[#This Row],[SKU]],'All Skus'!$A:$AC,2,FALSE))="Soundcraft",(VLOOKUP(Table11[[#This Row],[SKU]],'All Skus'!$A:$AC,6,FALSE)),""))</f>
        <v>0</v>
      </c>
      <c r="F62" s="18">
        <f>(IF((VLOOKUP(Table11[[#This Row],[SKU]],'All Skus'!$A:$AC,2,FALSE))="Soundcraft",(VLOOKUP(Table11[[#This Row],[SKU]],'All Skus'!$A:$AC,7,FALSE)),""))</f>
        <v>0</v>
      </c>
      <c r="G62" s="22" t="str">
        <f>(IF((VLOOKUP(Table11[[#This Row],[SKU]],'All Skus'!$A:$AC,2,FALSE))="Soundcraft",(VLOOKUP(Table11[[#This Row],[SKU]],'All Skus'!$A:$AC,8,FALSE)),""))</f>
        <v>DC link cable 10 way</v>
      </c>
      <c r="H62" s="22" t="str">
        <f>(IF((VLOOKUP(Table11[[#This Row],[SKU]],'All Skus'!$A:$AC,2,FALSE))="Soundcraft",(VLOOKUP(Table11[[#This Row],[SKU]],'All Skus'!$A:$AC,9,FALSE)),""))</f>
        <v>DC link cable 10 way</v>
      </c>
      <c r="I62" s="157">
        <f>(IF((VLOOKUP(Table11[[#This Row],[SKU]],'All Skus'!$A:$AC,2,FALSE))="Soundcraft",(VLOOKUP(Table11[[#This Row],[SKU]],'All Skus'!$A:$AC,10,FALSE)),""))</f>
        <v>220.41</v>
      </c>
      <c r="J62" s="157">
        <f>(IF((VLOOKUP(Table11[[#This Row],[SKU]],'All Skus'!$A:$AC,2,FALSE))="Soundcraft",(VLOOKUP(Table11[[#This Row],[SKU]],'All Skus'!$A:$AC,11,FALSE)),""))</f>
        <v>181</v>
      </c>
      <c r="K62" s="271">
        <f>(IF((VLOOKUP(Table11[[#This Row],[SKU]],'All Skus'!$A:$AC,2,FALSE))="Soundcraft",(VLOOKUP(Table11[[#This Row],[SKU]],'All Skus'!$A:$AC,16,FALSE)),""))</f>
        <v>0</v>
      </c>
      <c r="L62" s="239">
        <f>(IF((VLOOKUP(Table11[[#This Row],[SKU]],'All Skus'!$A:$AC,2,FALSE))="Soundcraft",(VLOOKUP(Table11[[#This Row],[SKU]],'All Skus'!$A:$AC,17,FALSE)),""))</f>
        <v>0</v>
      </c>
      <c r="M62" s="239">
        <f>(IF((VLOOKUP(Table11[[#This Row],[SKU]],'All Skus'!$A:$AC,2,FALSE))="Soundcraft",(VLOOKUP(Table11[[#This Row],[SKU]],'All Skus'!$A:$AC,18,FALSE)),""))</f>
        <v>35</v>
      </c>
      <c r="N62" s="147">
        <f>(IF((VLOOKUP(Table11[[#This Row],[SKU]],'All Skus'!$A:$AC,2,FALSE))="Soundcraft",(VLOOKUP(Table11[[#This Row],[SKU]],'All Skus'!$A:$AC,19,FALSE)),""))</f>
        <v>45</v>
      </c>
      <c r="O62" s="147">
        <f>(IF((VLOOKUP(Table11[[#This Row],[SKU]],'All Skus'!$A:$AC,2,FALSE))="Soundcraft",(VLOOKUP(Table11[[#This Row],[SKU]],'All Skus'!$A:$AC,20,FALSE)),""))</f>
        <v>0</v>
      </c>
      <c r="P62" s="240">
        <f>(IF((VLOOKUP(Table11[[#This Row],[SKU]],'All Skus'!$A:$AC,2,FALSE))="Soundcraft",(VLOOKUP(Table11[[#This Row],[SKU]],'All Skus'!$A:$AC,21,FALSE)),""))</f>
        <v>20</v>
      </c>
      <c r="Q62" s="61">
        <f>(IF((VLOOKUP(Table11[[#This Row],[SKU]],'All Skus'!$A:$AC,2,FALSE))="Soundcraft",(VLOOKUP(Table11[[#This Row],[SKU]],'All Skus'!$A:$AC,22,FALSE)),""))</f>
        <v>0</v>
      </c>
      <c r="R62" s="61" t="str">
        <f>(IF((VLOOKUP(Table11[[#This Row],[SKU]],'All Skus'!$A:$AC,2,FALSE))="Soundcraft",(VLOOKUP(Table11[[#This Row],[SKU]],'All Skus'!$A:$AC,23,FALSE)),""))</f>
        <v>Non Compliant</v>
      </c>
      <c r="S62" s="212" t="str">
        <f>HYPERLINK((IF((VLOOKUP(Table11[[#This Row],[SKU]],'All Skus'!$A:$AC,2,FALSE))="Soundcraft",(VLOOKUP(Table11[[#This Row],[SKU]],'All Skus'!$A:$AC,24,FALSE)),"")))</f>
        <v/>
      </c>
      <c r="T62" s="151">
        <v>60</v>
      </c>
    </row>
    <row r="63" spans="1:20" ht="15" customHeight="1">
      <c r="A63" s="158" t="s">
        <v>2435</v>
      </c>
      <c r="B63" s="159" t="str">
        <f>(IF((VLOOKUP(Table11[[#This Row],[SKU]],'All Skus'!$A:$AC,2,FALSE))="Soundcraft",(VLOOKUP(Table11[[#This Row],[SKU]],'All Skus'!$A:$AC,3,FALSE)),""))</f>
        <v>Power Supplies</v>
      </c>
      <c r="C63" s="21" t="str">
        <f>(IF((VLOOKUP(Table11[[#This Row],[SKU]],'All Skus'!$A:$AC,2,FALSE))="Soundcraft",(VLOOKUP(Table11[[#This Row],[SKU]],'All Skus'!$A:$AC,4,FALSE)),""))</f>
        <v>RV3637</v>
      </c>
      <c r="D63" s="19" t="str">
        <f>(IF((VLOOKUP(Table11[[#This Row],[SKU]],'All Skus'!$A:$AC,2,FALSE))="Soundcraft",(VLOOKUP(Table11[[#This Row],[SKU]],'All Skus'!$A:$AC,5,FALSE)),""))</f>
        <v>SC-SPARES</v>
      </c>
      <c r="E63" s="19">
        <f>(IF((VLOOKUP(Table11[[#This Row],[SKU]],'All Skus'!$A:$AC,2,FALSE))="Soundcraft",(VLOOKUP(Table11[[#This Row],[SKU]],'All Skus'!$A:$AC,6,FALSE)),""))</f>
        <v>0</v>
      </c>
      <c r="F63" s="18">
        <f>(IF((VLOOKUP(Table11[[#This Row],[SKU]],'All Skus'!$A:$AC,2,FALSE))="Soundcraft",(VLOOKUP(Table11[[#This Row],[SKU]],'All Skus'!$A:$AC,7,FALSE)),""))</f>
        <v>0</v>
      </c>
      <c r="G63" s="22" t="str">
        <f>(IF((VLOOKUP(Table11[[#This Row],[SKU]],'All Skus'!$A:$AC,2,FALSE))="Soundcraft",(VLOOKUP(Table11[[#This Row],[SKU]],'All Skus'!$A:$AC,8,FALSE)),""))</f>
        <v>DC cable 19 way</v>
      </c>
      <c r="H63" s="22" t="str">
        <f>(IF((VLOOKUP(Table11[[#This Row],[SKU]],'All Skus'!$A:$AC,2,FALSE))="Soundcraft",(VLOOKUP(Table11[[#This Row],[SKU]],'All Skus'!$A:$AC,9,FALSE)),""))</f>
        <v>DC cable 19 way</v>
      </c>
      <c r="I63" s="157">
        <f>(IF((VLOOKUP(Table11[[#This Row],[SKU]],'All Skus'!$A:$AC,2,FALSE))="Soundcraft",(VLOOKUP(Table11[[#This Row],[SKU]],'All Skus'!$A:$AC,10,FALSE)),""))</f>
        <v>979.58</v>
      </c>
      <c r="J63" s="157">
        <f>(IF((VLOOKUP(Table11[[#This Row],[SKU]],'All Skus'!$A:$AC,2,FALSE))="Soundcraft",(VLOOKUP(Table11[[#This Row],[SKU]],'All Skus'!$A:$AC,11,FALSE)),""))</f>
        <v>785</v>
      </c>
      <c r="K63" s="271">
        <f>(IF((VLOOKUP(Table11[[#This Row],[SKU]],'All Skus'!$A:$AC,2,FALSE))="Soundcraft",(VLOOKUP(Table11[[#This Row],[SKU]],'All Skus'!$A:$AC,16,FALSE)),""))</f>
        <v>0</v>
      </c>
      <c r="L63" s="239">
        <f>(IF((VLOOKUP(Table11[[#This Row],[SKU]],'All Skus'!$A:$AC,2,FALSE))="Soundcraft",(VLOOKUP(Table11[[#This Row],[SKU]],'All Skus'!$A:$AC,17,FALSE)),""))</f>
        <v>0</v>
      </c>
      <c r="M63" s="239">
        <f>(IF((VLOOKUP(Table11[[#This Row],[SKU]],'All Skus'!$A:$AC,2,FALSE))="Soundcraft",(VLOOKUP(Table11[[#This Row],[SKU]],'All Skus'!$A:$AC,18,FALSE)),""))</f>
        <v>35</v>
      </c>
      <c r="N63" s="147">
        <f>(IF((VLOOKUP(Table11[[#This Row],[SKU]],'All Skus'!$A:$AC,2,FALSE))="Soundcraft",(VLOOKUP(Table11[[#This Row],[SKU]],'All Skus'!$A:$AC,19,FALSE)),""))</f>
        <v>45</v>
      </c>
      <c r="O63" s="147">
        <f>(IF((VLOOKUP(Table11[[#This Row],[SKU]],'All Skus'!$A:$AC,2,FALSE))="Soundcraft",(VLOOKUP(Table11[[#This Row],[SKU]],'All Skus'!$A:$AC,20,FALSE)),""))</f>
        <v>0</v>
      </c>
      <c r="P63" s="240">
        <f>(IF((VLOOKUP(Table11[[#This Row],[SKU]],'All Skus'!$A:$AC,2,FALSE))="Soundcraft",(VLOOKUP(Table11[[#This Row],[SKU]],'All Skus'!$A:$AC,21,FALSE)),""))</f>
        <v>20</v>
      </c>
      <c r="Q63" s="61">
        <f>(IF((VLOOKUP(Table11[[#This Row],[SKU]],'All Skus'!$A:$AC,2,FALSE))="Soundcraft",(VLOOKUP(Table11[[#This Row],[SKU]],'All Skus'!$A:$AC,22,FALSE)),""))</f>
        <v>0</v>
      </c>
      <c r="R63" s="61" t="str">
        <f>(IF((VLOOKUP(Table11[[#This Row],[SKU]],'All Skus'!$A:$AC,2,FALSE))="Soundcraft",(VLOOKUP(Table11[[#This Row],[SKU]],'All Skus'!$A:$AC,23,FALSE)),""))</f>
        <v>Non Compliant</v>
      </c>
      <c r="S63" s="212" t="str">
        <f>HYPERLINK((IF((VLOOKUP(Table11[[#This Row],[SKU]],'All Skus'!$A:$AC,2,FALSE))="Soundcraft",(VLOOKUP(Table11[[#This Row],[SKU]],'All Skus'!$A:$AC,24,FALSE)),"")))</f>
        <v/>
      </c>
      <c r="T63" s="151">
        <v>61</v>
      </c>
    </row>
    <row r="64" spans="1:20" ht="15" customHeight="1">
      <c r="A64" s="158" t="s">
        <v>2436</v>
      </c>
      <c r="B64" s="159" t="str">
        <f>(IF((VLOOKUP(Table11[[#This Row],[SKU]],'All Skus'!$A:$AC,2,FALSE))="Soundcraft",(VLOOKUP(Table11[[#This Row],[SKU]],'All Skus'!$A:$AC,3,FALSE)),""))</f>
        <v>Power Supplies</v>
      </c>
      <c r="C64" s="21" t="str">
        <f>(IF((VLOOKUP(Table11[[#This Row],[SKU]],'All Skus'!$A:$AC,2,FALSE))="Soundcraft",(VLOOKUP(Table11[[#This Row],[SKU]],'All Skus'!$A:$AC,4,FALSE)),""))</f>
        <v>RL0095-01</v>
      </c>
      <c r="D64" s="19" t="str">
        <f>(IF((VLOOKUP(Table11[[#This Row],[SKU]],'All Skus'!$A:$AC,2,FALSE))="Soundcraft",(VLOOKUP(Table11[[#This Row],[SKU]],'All Skus'!$A:$AC,5,FALSE)),""))</f>
        <v>SC-SPARES</v>
      </c>
      <c r="E64" s="19">
        <f>(IF((VLOOKUP(Table11[[#This Row],[SKU]],'All Skus'!$A:$AC,2,FALSE))="Soundcraft",(VLOOKUP(Table11[[#This Row],[SKU]],'All Skus'!$A:$AC,6,FALSE)),""))</f>
        <v>0</v>
      </c>
      <c r="F64" s="18">
        <f>(IF((VLOOKUP(Table11[[#This Row],[SKU]],'All Skus'!$A:$AC,2,FALSE))="Soundcraft",(VLOOKUP(Table11[[#This Row],[SKU]],'All Skus'!$A:$AC,7,FALSE)),""))</f>
        <v>0</v>
      </c>
      <c r="G64" s="22" t="str">
        <f>(IF((VLOOKUP(Table11[[#This Row],[SKU]],'All Skus'!$A:$AC,2,FALSE))="Soundcraft",(VLOOKUP(Table11[[#This Row],[SKU]],'All Skus'!$A:$AC,8,FALSE)),""))</f>
        <v>DC cable  10-5 way</v>
      </c>
      <c r="H64" s="22" t="str">
        <f>(IF((VLOOKUP(Table11[[#This Row],[SKU]],'All Skus'!$A:$AC,2,FALSE))="Soundcraft",(VLOOKUP(Table11[[#This Row],[SKU]],'All Skus'!$A:$AC,9,FALSE)),""))</f>
        <v>DC cable  10-5 way</v>
      </c>
      <c r="I64" s="157">
        <f>(IF((VLOOKUP(Table11[[#This Row],[SKU]],'All Skus'!$A:$AC,2,FALSE))="Soundcraft",(VLOOKUP(Table11[[#This Row],[SKU]],'All Skus'!$A:$AC,10,FALSE)),""))</f>
        <v>246.12</v>
      </c>
      <c r="J64" s="157">
        <f>(IF((VLOOKUP(Table11[[#This Row],[SKU]],'All Skus'!$A:$AC,2,FALSE))="Soundcraft",(VLOOKUP(Table11[[#This Row],[SKU]],'All Skus'!$A:$AC,11,FALSE)),""))</f>
        <v>0</v>
      </c>
      <c r="K64" s="271">
        <f>(IF((VLOOKUP(Table11[[#This Row],[SKU]],'All Skus'!$A:$AC,2,FALSE))="Soundcraft",(VLOOKUP(Table11[[#This Row],[SKU]],'All Skus'!$A:$AC,16,FALSE)),""))</f>
        <v>0</v>
      </c>
      <c r="L64" s="239">
        <f>(IF((VLOOKUP(Table11[[#This Row],[SKU]],'All Skus'!$A:$AC,2,FALSE))="Soundcraft",(VLOOKUP(Table11[[#This Row],[SKU]],'All Skus'!$A:$AC,17,FALSE)),""))</f>
        <v>0</v>
      </c>
      <c r="M64" s="239">
        <f>(IF((VLOOKUP(Table11[[#This Row],[SKU]],'All Skus'!$A:$AC,2,FALSE))="Soundcraft",(VLOOKUP(Table11[[#This Row],[SKU]],'All Skus'!$A:$AC,18,FALSE)),""))</f>
        <v>35</v>
      </c>
      <c r="N64" s="147">
        <f>(IF((VLOOKUP(Table11[[#This Row],[SKU]],'All Skus'!$A:$AC,2,FALSE))="Soundcraft",(VLOOKUP(Table11[[#This Row],[SKU]],'All Skus'!$A:$AC,19,FALSE)),""))</f>
        <v>45</v>
      </c>
      <c r="O64" s="147">
        <f>(IF((VLOOKUP(Table11[[#This Row],[SKU]],'All Skus'!$A:$AC,2,FALSE))="Soundcraft",(VLOOKUP(Table11[[#This Row],[SKU]],'All Skus'!$A:$AC,20,FALSE)),""))</f>
        <v>0</v>
      </c>
      <c r="P64" s="240">
        <f>(IF((VLOOKUP(Table11[[#This Row],[SKU]],'All Skus'!$A:$AC,2,FALSE))="Soundcraft",(VLOOKUP(Table11[[#This Row],[SKU]],'All Skus'!$A:$AC,21,FALSE)),""))</f>
        <v>20</v>
      </c>
      <c r="Q64" s="61">
        <f>(IF((VLOOKUP(Table11[[#This Row],[SKU]],'All Skus'!$A:$AC,2,FALSE))="Soundcraft",(VLOOKUP(Table11[[#This Row],[SKU]],'All Skus'!$A:$AC,22,FALSE)),""))</f>
        <v>0</v>
      </c>
      <c r="R64" s="61" t="str">
        <f>(IF((VLOOKUP(Table11[[#This Row],[SKU]],'All Skus'!$A:$AC,2,FALSE))="Soundcraft",(VLOOKUP(Table11[[#This Row],[SKU]],'All Skus'!$A:$AC,23,FALSE)),""))</f>
        <v>Non Compliant</v>
      </c>
      <c r="S64" s="212" t="str">
        <f>HYPERLINK((IF((VLOOKUP(Table11[[#This Row],[SKU]],'All Skus'!$A:$AC,2,FALSE))="Soundcraft",(VLOOKUP(Table11[[#This Row],[SKU]],'All Skus'!$A:$AC,24,FALSE)),"")))</f>
        <v/>
      </c>
      <c r="T64" s="151">
        <v>62</v>
      </c>
    </row>
    <row r="65" spans="1:20" ht="15" customHeight="1">
      <c r="A65" s="158" t="s">
        <v>2437</v>
      </c>
      <c r="B65" s="159" t="str">
        <f>(IF((VLOOKUP(Table11[[#This Row],[SKU]],'All Skus'!$A:$AC,2,FALSE))="Soundcraft",(VLOOKUP(Table11[[#This Row],[SKU]],'All Skus'!$A:$AC,3,FALSE)),""))</f>
        <v>Power Supplies</v>
      </c>
      <c r="C65" s="21" t="str">
        <f>(IF((VLOOKUP(Table11[[#This Row],[SKU]],'All Skus'!$A:$AC,2,FALSE))="Soundcraft",(VLOOKUP(Table11[[#This Row],[SKU]],'All Skus'!$A:$AC,4,FALSE)),""))</f>
        <v>RV3705</v>
      </c>
      <c r="D65" s="19" t="str">
        <f>(IF((VLOOKUP(Table11[[#This Row],[SKU]],'All Skus'!$A:$AC,2,FALSE))="Soundcraft",(VLOOKUP(Table11[[#This Row],[SKU]],'All Skus'!$A:$AC,5,FALSE)),""))</f>
        <v>SC-SPARES</v>
      </c>
      <c r="E65" s="19">
        <f>(IF((VLOOKUP(Table11[[#This Row],[SKU]],'All Skus'!$A:$AC,2,FALSE))="Soundcraft",(VLOOKUP(Table11[[#This Row],[SKU]],'All Skus'!$A:$AC,6,FALSE)),""))</f>
        <v>0</v>
      </c>
      <c r="F65" s="18">
        <f>(IF((VLOOKUP(Table11[[#This Row],[SKU]],'All Skus'!$A:$AC,2,FALSE))="Soundcraft",(VLOOKUP(Table11[[#This Row],[SKU]],'All Skus'!$A:$AC,7,FALSE)),""))</f>
        <v>0</v>
      </c>
      <c r="G65" s="22" t="str">
        <f>(IF((VLOOKUP(Table11[[#This Row],[SKU]],'All Skus'!$A:$AC,2,FALSE))="Soundcraft",(VLOOKUP(Table11[[#This Row],[SKU]],'All Skus'!$A:$AC,8,FALSE)),""))</f>
        <v>DC link cable 19 way</v>
      </c>
      <c r="H65" s="22" t="str">
        <f>(IF((VLOOKUP(Table11[[#This Row],[SKU]],'All Skus'!$A:$AC,2,FALSE))="Soundcraft",(VLOOKUP(Table11[[#This Row],[SKU]],'All Skus'!$A:$AC,9,FALSE)),""))</f>
        <v>DC link cable 19 way</v>
      </c>
      <c r="I65" s="157">
        <f>(IF((VLOOKUP(Table11[[#This Row],[SKU]],'All Skus'!$A:$AC,2,FALSE))="Soundcraft",(VLOOKUP(Table11[[#This Row],[SKU]],'All Skus'!$A:$AC,10,FALSE)),""))</f>
        <v>979.58</v>
      </c>
      <c r="J65" s="157">
        <f>(IF((VLOOKUP(Table11[[#This Row],[SKU]],'All Skus'!$A:$AC,2,FALSE))="Soundcraft",(VLOOKUP(Table11[[#This Row],[SKU]],'All Skus'!$A:$AC,11,FALSE)),""))</f>
        <v>785</v>
      </c>
      <c r="K65" s="271">
        <f>(IF((VLOOKUP(Table11[[#This Row],[SKU]],'All Skus'!$A:$AC,2,FALSE))="Soundcraft",(VLOOKUP(Table11[[#This Row],[SKU]],'All Skus'!$A:$AC,16,FALSE)),""))</f>
        <v>0</v>
      </c>
      <c r="L65" s="239">
        <f>(IF((VLOOKUP(Table11[[#This Row],[SKU]],'All Skus'!$A:$AC,2,FALSE))="Soundcraft",(VLOOKUP(Table11[[#This Row],[SKU]],'All Skus'!$A:$AC,17,FALSE)),""))</f>
        <v>0</v>
      </c>
      <c r="M65" s="239">
        <f>(IF((VLOOKUP(Table11[[#This Row],[SKU]],'All Skus'!$A:$AC,2,FALSE))="Soundcraft",(VLOOKUP(Table11[[#This Row],[SKU]],'All Skus'!$A:$AC,18,FALSE)),""))</f>
        <v>35</v>
      </c>
      <c r="N65" s="147">
        <f>(IF((VLOOKUP(Table11[[#This Row],[SKU]],'All Skus'!$A:$AC,2,FALSE))="Soundcraft",(VLOOKUP(Table11[[#This Row],[SKU]],'All Skus'!$A:$AC,19,FALSE)),""))</f>
        <v>45</v>
      </c>
      <c r="O65" s="147">
        <f>(IF((VLOOKUP(Table11[[#This Row],[SKU]],'All Skus'!$A:$AC,2,FALSE))="Soundcraft",(VLOOKUP(Table11[[#This Row],[SKU]],'All Skus'!$A:$AC,20,FALSE)),""))</f>
        <v>0</v>
      </c>
      <c r="P65" s="240">
        <f>(IF((VLOOKUP(Table11[[#This Row],[SKU]],'All Skus'!$A:$AC,2,FALSE))="Soundcraft",(VLOOKUP(Table11[[#This Row],[SKU]],'All Skus'!$A:$AC,21,FALSE)),""))</f>
        <v>20</v>
      </c>
      <c r="Q65" s="61">
        <f>(IF((VLOOKUP(Table11[[#This Row],[SKU]],'All Skus'!$A:$AC,2,FALSE))="Soundcraft",(VLOOKUP(Table11[[#This Row],[SKU]],'All Skus'!$A:$AC,22,FALSE)),""))</f>
        <v>0</v>
      </c>
      <c r="R65" s="61" t="str">
        <f>(IF((VLOOKUP(Table11[[#This Row],[SKU]],'All Skus'!$A:$AC,2,FALSE))="Soundcraft",(VLOOKUP(Table11[[#This Row],[SKU]],'All Skus'!$A:$AC,23,FALSE)),""))</f>
        <v>Compliant</v>
      </c>
      <c r="S65" s="212" t="str">
        <f>HYPERLINK((IF((VLOOKUP(Table11[[#This Row],[SKU]],'All Skus'!$A:$AC,2,FALSE))="Soundcraft",(VLOOKUP(Table11[[#This Row],[SKU]],'All Skus'!$A:$AC,24,FALSE)),"")))</f>
        <v/>
      </c>
      <c r="T65" s="151">
        <v>63</v>
      </c>
    </row>
    <row r="66" spans="1:20" ht="15" customHeight="1">
      <c r="A66" s="158" t="s">
        <v>2438</v>
      </c>
      <c r="B66" s="159" t="str">
        <f>(IF((VLOOKUP(Table11[[#This Row],[SKU]],'All Skus'!$A:$AC,2,FALSE))="Soundcraft",(VLOOKUP(Table11[[#This Row],[SKU]],'All Skus'!$A:$AC,3,FALSE)),""))</f>
        <v>Power Supplies</v>
      </c>
      <c r="C66" s="21" t="str">
        <f>(IF((VLOOKUP(Table11[[#This Row],[SKU]],'All Skus'!$A:$AC,2,FALSE))="Soundcraft",(VLOOKUP(Table11[[#This Row],[SKU]],'All Skus'!$A:$AC,4,FALSE)),""))</f>
        <v>JB0158</v>
      </c>
      <c r="D66" s="19" t="str">
        <f>(IF((VLOOKUP(Table11[[#This Row],[SKU]],'All Skus'!$A:$AC,2,FALSE))="Soundcraft",(VLOOKUP(Table11[[#This Row],[SKU]],'All Skus'!$A:$AC,5,FALSE)),""))</f>
        <v>SC-SPARES</v>
      </c>
      <c r="E66" s="19" t="str">
        <f>(IF((VLOOKUP(Table11[[#This Row],[SKU]],'All Skus'!$A:$AC,2,FALSE))="Soundcraft",(VLOOKUP(Table11[[#This Row],[SKU]],'All Skus'!$A:$AC,6,FALSE)),""))</f>
        <v>YES</v>
      </c>
      <c r="F66" s="18">
        <f>(IF((VLOOKUP(Table11[[#This Row],[SKU]],'All Skus'!$A:$AC,2,FALSE))="Soundcraft",(VLOOKUP(Table11[[#This Row],[SKU]],'All Skus'!$A:$AC,7,FALSE)),""))</f>
        <v>0</v>
      </c>
      <c r="G66" s="22" t="str">
        <f>(IF((VLOOKUP(Table11[[#This Row],[SKU]],'All Skus'!$A:$AC,2,FALSE))="Soundcraft",(VLOOKUP(Table11[[#This Row],[SKU]],'All Skus'!$A:$AC,8,FALSE)),""))</f>
        <v>Gooseneck Lamp 18" Right Angle</v>
      </c>
      <c r="H66" s="22" t="str">
        <f>(IF((VLOOKUP(Table11[[#This Row],[SKU]],'All Skus'!$A:$AC,2,FALSE))="Soundcraft",(VLOOKUP(Table11[[#This Row],[SKU]],'All Skus'!$A:$AC,9,FALSE)),""))</f>
        <v>Gooseneck Lamp 18" Right Angle</v>
      </c>
      <c r="I66" s="157">
        <f>(IF((VLOOKUP(Table11[[#This Row],[SKU]],'All Skus'!$A:$AC,2,FALSE))="Soundcraft",(VLOOKUP(Table11[[#This Row],[SKU]],'All Skus'!$A:$AC,10,FALSE)),""))</f>
        <v>53.88</v>
      </c>
      <c r="J66" s="157">
        <f>(IF((VLOOKUP(Table11[[#This Row],[SKU]],'All Skus'!$A:$AC,2,FALSE))="Soundcraft",(VLOOKUP(Table11[[#This Row],[SKU]],'All Skus'!$A:$AC,11,FALSE)),""))</f>
        <v>41</v>
      </c>
      <c r="K66" s="271">
        <f>(IF((VLOOKUP(Table11[[#This Row],[SKU]],'All Skus'!$A:$AC,2,FALSE))="Soundcraft",(VLOOKUP(Table11[[#This Row],[SKU]],'All Skus'!$A:$AC,16,FALSE)),""))</f>
        <v>0</v>
      </c>
      <c r="L66" s="239">
        <f>(IF((VLOOKUP(Table11[[#This Row],[SKU]],'All Skus'!$A:$AC,2,FALSE))="Soundcraft",(VLOOKUP(Table11[[#This Row],[SKU]],'All Skus'!$A:$AC,17,FALSE)),""))</f>
        <v>0</v>
      </c>
      <c r="M66" s="239">
        <f>(IF((VLOOKUP(Table11[[#This Row],[SKU]],'All Skus'!$A:$AC,2,FALSE))="Soundcraft",(VLOOKUP(Table11[[#This Row],[SKU]],'All Skus'!$A:$AC,18,FALSE)),""))</f>
        <v>35</v>
      </c>
      <c r="N66" s="147">
        <f>(IF((VLOOKUP(Table11[[#This Row],[SKU]],'All Skus'!$A:$AC,2,FALSE))="Soundcraft",(VLOOKUP(Table11[[#This Row],[SKU]],'All Skus'!$A:$AC,19,FALSE)),""))</f>
        <v>45</v>
      </c>
      <c r="O66" s="147">
        <f>(IF((VLOOKUP(Table11[[#This Row],[SKU]],'All Skus'!$A:$AC,2,FALSE))="Soundcraft",(VLOOKUP(Table11[[#This Row],[SKU]],'All Skus'!$A:$AC,20,FALSE)),""))</f>
        <v>2</v>
      </c>
      <c r="P66" s="240">
        <f>(IF((VLOOKUP(Table11[[#This Row],[SKU]],'All Skus'!$A:$AC,2,FALSE))="Soundcraft",(VLOOKUP(Table11[[#This Row],[SKU]],'All Skus'!$A:$AC,21,FALSE)),""))</f>
        <v>2</v>
      </c>
      <c r="Q66" s="61" t="str">
        <f>(IF((VLOOKUP(Table11[[#This Row],[SKU]],'All Skus'!$A:$AC,2,FALSE))="Soundcraft",(VLOOKUP(Table11[[#This Row],[SKU]],'All Skus'!$A:$AC,22,FALSE)),""))</f>
        <v>CN</v>
      </c>
      <c r="R66" s="61" t="str">
        <f>(IF((VLOOKUP(Table11[[#This Row],[SKU]],'All Skus'!$A:$AC,2,FALSE))="Soundcraft",(VLOOKUP(Table11[[#This Row],[SKU]],'All Skus'!$A:$AC,23,FALSE)),""))</f>
        <v>Compliant</v>
      </c>
      <c r="S66" s="212" t="str">
        <f>HYPERLINK((IF((VLOOKUP(Table11[[#This Row],[SKU]],'All Skus'!$A:$AC,2,FALSE))="Soundcraft",(VLOOKUP(Table11[[#This Row],[SKU]],'All Skus'!$A:$AC,24,FALSE)),"")))</f>
        <v/>
      </c>
      <c r="T66" s="151">
        <v>64</v>
      </c>
    </row>
    <row r="67" spans="1:20" ht="15" customHeight="1">
      <c r="A67" s="158" t="s">
        <v>2439</v>
      </c>
      <c r="B67" s="159" t="str">
        <f>(IF((VLOOKUP(Table11[[#This Row],[SKU]],'All Skus'!$A:$AC,2,FALSE))="Soundcraft",(VLOOKUP(Table11[[#This Row],[SKU]],'All Skus'!$A:$AC,3,FALSE)),""))</f>
        <v>Power Supplies</v>
      </c>
      <c r="C67" s="21" t="str">
        <f>(IF((VLOOKUP(Table11[[#This Row],[SKU]],'All Skus'!$A:$AC,2,FALSE))="Soundcraft",(VLOOKUP(Table11[[#This Row],[SKU]],'All Skus'!$A:$AC,4,FALSE)),""))</f>
        <v>JB0159</v>
      </c>
      <c r="D67" s="19" t="str">
        <f>(IF((VLOOKUP(Table11[[#This Row],[SKU]],'All Skus'!$A:$AC,2,FALSE))="Soundcraft",(VLOOKUP(Table11[[#This Row],[SKU]],'All Skus'!$A:$AC,5,FALSE)),""))</f>
        <v>SC-SPARES</v>
      </c>
      <c r="E67" s="19">
        <f>(IF((VLOOKUP(Table11[[#This Row],[SKU]],'All Skus'!$A:$AC,2,FALSE))="Soundcraft",(VLOOKUP(Table11[[#This Row],[SKU]],'All Skus'!$A:$AC,6,FALSE)),""))</f>
        <v>0</v>
      </c>
      <c r="F67" s="18">
        <f>(IF((VLOOKUP(Table11[[#This Row],[SKU]],'All Skus'!$A:$AC,2,FALSE))="Soundcraft",(VLOOKUP(Table11[[#This Row],[SKU]],'All Skus'!$A:$AC,7,FALSE)),""))</f>
        <v>0</v>
      </c>
      <c r="G67" s="22" t="str">
        <f>(IF((VLOOKUP(Table11[[#This Row],[SKU]],'All Skus'!$A:$AC,2,FALSE))="Soundcraft",(VLOOKUP(Table11[[#This Row],[SKU]],'All Skus'!$A:$AC,8,FALSE)),""))</f>
        <v>Gooseneck Lamp 18"</v>
      </c>
      <c r="H67" s="22" t="str">
        <f>(IF((VLOOKUP(Table11[[#This Row],[SKU]],'All Skus'!$A:$AC,2,FALSE))="Soundcraft",(VLOOKUP(Table11[[#This Row],[SKU]],'All Skus'!$A:$AC,9,FALSE)),""))</f>
        <v>Gooseneck Lamp 18"</v>
      </c>
      <c r="I67" s="157">
        <f>(IF((VLOOKUP(Table11[[#This Row],[SKU]],'All Skus'!$A:$AC,2,FALSE))="Soundcraft",(VLOOKUP(Table11[[#This Row],[SKU]],'All Skus'!$A:$AC,10,FALSE)),""))</f>
        <v>53.88</v>
      </c>
      <c r="J67" s="157">
        <f>(IF((VLOOKUP(Table11[[#This Row],[SKU]],'All Skus'!$A:$AC,2,FALSE))="Soundcraft",(VLOOKUP(Table11[[#This Row],[SKU]],'All Skus'!$A:$AC,11,FALSE)),""))</f>
        <v>41</v>
      </c>
      <c r="K67" s="271">
        <f>(IF((VLOOKUP(Table11[[#This Row],[SKU]],'All Skus'!$A:$AC,2,FALSE))="Soundcraft",(VLOOKUP(Table11[[#This Row],[SKU]],'All Skus'!$A:$AC,16,FALSE)),""))</f>
        <v>0</v>
      </c>
      <c r="L67" s="239">
        <f>(IF((VLOOKUP(Table11[[#This Row],[SKU]],'All Skus'!$A:$AC,2,FALSE))="Soundcraft",(VLOOKUP(Table11[[#This Row],[SKU]],'All Skus'!$A:$AC,17,FALSE)),""))</f>
        <v>0</v>
      </c>
      <c r="M67" s="239">
        <f>(IF((VLOOKUP(Table11[[#This Row],[SKU]],'All Skus'!$A:$AC,2,FALSE))="Soundcraft",(VLOOKUP(Table11[[#This Row],[SKU]],'All Skus'!$A:$AC,18,FALSE)),""))</f>
        <v>35</v>
      </c>
      <c r="N67" s="147">
        <f>(IF((VLOOKUP(Table11[[#This Row],[SKU]],'All Skus'!$A:$AC,2,FALSE))="Soundcraft",(VLOOKUP(Table11[[#This Row],[SKU]],'All Skus'!$A:$AC,19,FALSE)),""))</f>
        <v>45</v>
      </c>
      <c r="O67" s="147">
        <f>(IF((VLOOKUP(Table11[[#This Row],[SKU]],'All Skus'!$A:$AC,2,FALSE))="Soundcraft",(VLOOKUP(Table11[[#This Row],[SKU]],'All Skus'!$A:$AC,20,FALSE)),""))</f>
        <v>1</v>
      </c>
      <c r="P67" s="240">
        <f>(IF((VLOOKUP(Table11[[#This Row],[SKU]],'All Skus'!$A:$AC,2,FALSE))="Soundcraft",(VLOOKUP(Table11[[#This Row],[SKU]],'All Skus'!$A:$AC,21,FALSE)),""))</f>
        <v>1</v>
      </c>
      <c r="Q67" s="61" t="str">
        <f>(IF((VLOOKUP(Table11[[#This Row],[SKU]],'All Skus'!$A:$AC,2,FALSE))="Soundcraft",(VLOOKUP(Table11[[#This Row],[SKU]],'All Skus'!$A:$AC,22,FALSE)),""))</f>
        <v>CN</v>
      </c>
      <c r="R67" s="61" t="str">
        <f>(IF((VLOOKUP(Table11[[#This Row],[SKU]],'All Skus'!$A:$AC,2,FALSE))="Soundcraft",(VLOOKUP(Table11[[#This Row],[SKU]],'All Skus'!$A:$AC,23,FALSE)),""))</f>
        <v>Non Compliant</v>
      </c>
      <c r="S67" s="212" t="str">
        <f>HYPERLINK((IF((VLOOKUP(Table11[[#This Row],[SKU]],'All Skus'!$A:$AC,2,FALSE))="Soundcraft",(VLOOKUP(Table11[[#This Row],[SKU]],'All Skus'!$A:$AC,24,FALSE)),"")))</f>
        <v/>
      </c>
      <c r="T67" s="151">
        <v>65</v>
      </c>
    </row>
    <row r="68" spans="1:20" ht="15" customHeight="1">
      <c r="A68" s="158" t="s">
        <v>2440</v>
      </c>
      <c r="B68" s="159" t="str">
        <f>(IF((VLOOKUP(Table11[[#This Row],[SKU]],'All Skus'!$A:$AC,2,FALSE))="Soundcraft",(VLOOKUP(Table11[[#This Row],[SKU]],'All Skus'!$A:$AC,3,FALSE)),""))</f>
        <v>Ui Series</v>
      </c>
      <c r="C68" s="21">
        <f>(IF((VLOOKUP(Table11[[#This Row],[SKU]],'All Skus'!$A:$AC,2,FALSE))="Soundcraft",(VLOOKUP(Table11[[#This Row],[SKU]],'All Skus'!$A:$AC,4,FALSE)),""))</f>
        <v>5056217</v>
      </c>
      <c r="D68" s="19" t="str">
        <f>(IF((VLOOKUP(Table11[[#This Row],[SKU]],'All Skus'!$A:$AC,2,FALSE))="Soundcraft",(VLOOKUP(Table11[[#This Row],[SKU]],'All Skus'!$A:$AC,5,FALSE)),""))</f>
        <v>SC-UI</v>
      </c>
      <c r="E68" s="19">
        <f>(IF((VLOOKUP(Table11[[#This Row],[SKU]],'All Skus'!$A:$AC,2,FALSE))="Soundcraft",(VLOOKUP(Table11[[#This Row],[SKU]],'All Skus'!$A:$AC,6,FALSE)),""))</f>
        <v>0</v>
      </c>
      <c r="F68" s="18">
        <f>(IF((VLOOKUP(Table11[[#This Row],[SKU]],'All Skus'!$A:$AC,2,FALSE))="Soundcraft",(VLOOKUP(Table11[[#This Row],[SKU]],'All Skus'!$A:$AC,7,FALSE)),""))</f>
        <v>0</v>
      </c>
      <c r="G68" s="22" t="str">
        <f>(IF((VLOOKUP(Table11[[#This Row],[SKU]],'All Skus'!$A:$AC,2,FALSE))="Soundcraft",(VLOOKUP(Table11[[#This Row],[SKU]],'All Skus'!$A:$AC,8,FALSE)),""))</f>
        <v>Ui-12 Digital Mixer US</v>
      </c>
      <c r="H68" s="22" t="str">
        <f>(IF((VLOOKUP(Table11[[#This Row],[SKU]],'All Skus'!$A:$AC,2,FALSE))="Soundcraft",(VLOOKUP(Table11[[#This Row],[SKU]],'All Skus'!$A:$AC,9,FALSE)),""))</f>
        <v>Ui-12 (US)</v>
      </c>
      <c r="I68" s="157">
        <f>(IF((VLOOKUP(Table11[[#This Row],[SKU]],'All Skus'!$A:$AC,2,FALSE))="Soundcraft",(VLOOKUP(Table11[[#This Row],[SKU]],'All Skus'!$A:$AC,10,FALSE)),""))</f>
        <v>627.84</v>
      </c>
      <c r="J68" s="157">
        <f>(IF((VLOOKUP(Table11[[#This Row],[SKU]],'All Skus'!$A:$AC,2,FALSE))="Soundcraft",(VLOOKUP(Table11[[#This Row],[SKU]],'All Skus'!$A:$AC,11,FALSE)),""))</f>
        <v>409</v>
      </c>
      <c r="K68" s="271">
        <f>(IF((VLOOKUP(Table11[[#This Row],[SKU]],'All Skus'!$A:$AC,2,FALSE))="Soundcraft",(VLOOKUP(Table11[[#This Row],[SKU]],'All Skus'!$A:$AC,16,FALSE)),""))</f>
        <v>688705006611</v>
      </c>
      <c r="L68" s="239">
        <f>(IF((VLOOKUP(Table11[[#This Row],[SKU]],'All Skus'!$A:$AC,2,FALSE))="Soundcraft",(VLOOKUP(Table11[[#This Row],[SKU]],'All Skus'!$A:$AC,17,FALSE)),""))</f>
        <v>0</v>
      </c>
      <c r="M68" s="239">
        <f>(IF((VLOOKUP(Table11[[#This Row],[SKU]],'All Skus'!$A:$AC,2,FALSE))="Soundcraft",(VLOOKUP(Table11[[#This Row],[SKU]],'All Skus'!$A:$AC,18,FALSE)),""))</f>
        <v>7.3</v>
      </c>
      <c r="N68" s="147">
        <f>(IF((VLOOKUP(Table11[[#This Row],[SKU]],'All Skus'!$A:$AC,2,FALSE))="Soundcraft",(VLOOKUP(Table11[[#This Row],[SKU]],'All Skus'!$A:$AC,19,FALSE)),""))</f>
        <v>17.48</v>
      </c>
      <c r="O68" s="147">
        <f>(IF((VLOOKUP(Table11[[#This Row],[SKU]],'All Skus'!$A:$AC,2,FALSE))="Soundcraft",(VLOOKUP(Table11[[#This Row],[SKU]],'All Skus'!$A:$AC,20,FALSE)),""))</f>
        <v>10.24</v>
      </c>
      <c r="P68" s="240">
        <f>(IF((VLOOKUP(Table11[[#This Row],[SKU]],'All Skus'!$A:$AC,2,FALSE))="Soundcraft",(VLOOKUP(Table11[[#This Row],[SKU]],'All Skus'!$A:$AC,21,FALSE)),""))</f>
        <v>5.75</v>
      </c>
      <c r="Q68" s="61" t="str">
        <f>(IF((VLOOKUP(Table11[[#This Row],[SKU]],'All Skus'!$A:$AC,2,FALSE))="Soundcraft",(VLOOKUP(Table11[[#This Row],[SKU]],'All Skus'!$A:$AC,22,FALSE)),""))</f>
        <v>MY</v>
      </c>
      <c r="R68" s="61">
        <f>(IF((VLOOKUP(Table11[[#This Row],[SKU]],'All Skus'!$A:$AC,2,FALSE))="Soundcraft",(VLOOKUP(Table11[[#This Row],[SKU]],'All Skus'!$A:$AC,23,FALSE)),""))</f>
        <v>0</v>
      </c>
      <c r="S68" s="212" t="str">
        <f>HYPERLINK((IF((VLOOKUP(Table11[[#This Row],[SKU]],'All Skus'!$A:$AC,2,FALSE))="Soundcraft",(VLOOKUP(Table11[[#This Row],[SKU]],'All Skus'!$A:$AC,24,FALSE)),"")))</f>
        <v>http://www.soundcraft.com/products/ui12</v>
      </c>
      <c r="T68" s="151">
        <v>66</v>
      </c>
    </row>
    <row r="69" spans="1:20" ht="15" customHeight="1">
      <c r="A69" s="158" t="s">
        <v>2441</v>
      </c>
      <c r="B69" s="159" t="str">
        <f>(IF((VLOOKUP(Table11[[#This Row],[SKU]],'All Skus'!$A:$AC,2,FALSE))="Soundcraft",(VLOOKUP(Table11[[#This Row],[SKU]],'All Skus'!$A:$AC,3,FALSE)),""))</f>
        <v>Ui Series</v>
      </c>
      <c r="C69" s="21">
        <f>(IF((VLOOKUP(Table11[[#This Row],[SKU]],'All Skus'!$A:$AC,2,FALSE))="Soundcraft",(VLOOKUP(Table11[[#This Row],[SKU]],'All Skus'!$A:$AC,4,FALSE)),""))</f>
        <v>5056219</v>
      </c>
      <c r="D69" s="19" t="str">
        <f>(IF((VLOOKUP(Table11[[#This Row],[SKU]],'All Skus'!$A:$AC,2,FALSE))="Soundcraft",(VLOOKUP(Table11[[#This Row],[SKU]],'All Skus'!$A:$AC,5,FALSE)),""))</f>
        <v>SC-UI</v>
      </c>
      <c r="E69" s="19">
        <f>(IF((VLOOKUP(Table11[[#This Row],[SKU]],'All Skus'!$A:$AC,2,FALSE))="Soundcraft",(VLOOKUP(Table11[[#This Row],[SKU]],'All Skus'!$A:$AC,6,FALSE)),""))</f>
        <v>0</v>
      </c>
      <c r="F69" s="18">
        <f>(IF((VLOOKUP(Table11[[#This Row],[SKU]],'All Skus'!$A:$AC,2,FALSE))="Soundcraft",(VLOOKUP(Table11[[#This Row],[SKU]],'All Skus'!$A:$AC,7,FALSE)),""))</f>
        <v>0</v>
      </c>
      <c r="G69" s="22" t="str">
        <f>(IF((VLOOKUP(Table11[[#This Row],[SKU]],'All Skus'!$A:$AC,2,FALSE))="Soundcraft",(VLOOKUP(Table11[[#This Row],[SKU]],'All Skus'!$A:$AC,8,FALSE)),""))</f>
        <v>UI-16 Digital Mixer US</v>
      </c>
      <c r="H69" s="22" t="str">
        <f>(IF((VLOOKUP(Table11[[#This Row],[SKU]],'All Skus'!$A:$AC,2,FALSE))="Soundcraft",(VLOOKUP(Table11[[#This Row],[SKU]],'All Skus'!$A:$AC,9,FALSE)),""))</f>
        <v>Ui-16 (US)</v>
      </c>
      <c r="I69" s="157">
        <f>(IF((VLOOKUP(Table11[[#This Row],[SKU]],'All Skus'!$A:$AC,2,FALSE))="Soundcraft",(VLOOKUP(Table11[[#This Row],[SKU]],'All Skus'!$A:$AC,10,FALSE)),""))</f>
        <v>926.71</v>
      </c>
      <c r="J69" s="157">
        <f>(IF((VLOOKUP(Table11[[#This Row],[SKU]],'All Skus'!$A:$AC,2,FALSE))="Soundcraft",(VLOOKUP(Table11[[#This Row],[SKU]],'All Skus'!$A:$AC,11,FALSE)),""))</f>
        <v>549</v>
      </c>
      <c r="K69" s="271">
        <f>(IF((VLOOKUP(Table11[[#This Row],[SKU]],'All Skus'!$A:$AC,2,FALSE))="Soundcraft",(VLOOKUP(Table11[[#This Row],[SKU]],'All Skus'!$A:$AC,16,FALSE)),""))</f>
        <v>688705006628</v>
      </c>
      <c r="L69" s="239">
        <f>(IF((VLOOKUP(Table11[[#This Row],[SKU]],'All Skus'!$A:$AC,2,FALSE))="Soundcraft",(VLOOKUP(Table11[[#This Row],[SKU]],'All Skus'!$A:$AC,17,FALSE)),""))</f>
        <v>0</v>
      </c>
      <c r="M69" s="239">
        <f>(IF((VLOOKUP(Table11[[#This Row],[SKU]],'All Skus'!$A:$AC,2,FALSE))="Soundcraft",(VLOOKUP(Table11[[#This Row],[SKU]],'All Skus'!$A:$AC,18,FALSE)),""))</f>
        <v>10.7</v>
      </c>
      <c r="N69" s="147">
        <f>(IF((VLOOKUP(Table11[[#This Row],[SKU]],'All Skus'!$A:$AC,2,FALSE))="Soundcraft",(VLOOKUP(Table11[[#This Row],[SKU]],'All Skus'!$A:$AC,19,FALSE)),""))</f>
        <v>23.07</v>
      </c>
      <c r="O69" s="147">
        <f>(IF((VLOOKUP(Table11[[#This Row],[SKU]],'All Skus'!$A:$AC,2,FALSE))="Soundcraft",(VLOOKUP(Table11[[#This Row],[SKU]],'All Skus'!$A:$AC,20,FALSE)),""))</f>
        <v>10.24</v>
      </c>
      <c r="P69" s="240">
        <f>(IF((VLOOKUP(Table11[[#This Row],[SKU]],'All Skus'!$A:$AC,2,FALSE))="Soundcraft",(VLOOKUP(Table11[[#This Row],[SKU]],'All Skus'!$A:$AC,21,FALSE)),""))</f>
        <v>6.77</v>
      </c>
      <c r="Q69" s="61" t="str">
        <f>(IF((VLOOKUP(Table11[[#This Row],[SKU]],'All Skus'!$A:$AC,2,FALSE))="Soundcraft",(VLOOKUP(Table11[[#This Row],[SKU]],'All Skus'!$A:$AC,22,FALSE)),""))</f>
        <v>MY</v>
      </c>
      <c r="R69" s="61">
        <f>(IF((VLOOKUP(Table11[[#This Row],[SKU]],'All Skus'!$A:$AC,2,FALSE))="Soundcraft",(VLOOKUP(Table11[[#This Row],[SKU]],'All Skus'!$A:$AC,23,FALSE)),""))</f>
        <v>0</v>
      </c>
      <c r="S69" s="212" t="str">
        <f>HYPERLINK((IF((VLOOKUP(Table11[[#This Row],[SKU]],'All Skus'!$A:$AC,2,FALSE))="Soundcraft",(VLOOKUP(Table11[[#This Row],[SKU]],'All Skus'!$A:$AC,24,FALSE)),"")))</f>
        <v>http://www.soundcraft.com/products/ui16</v>
      </c>
      <c r="T69" s="151">
        <v>67</v>
      </c>
    </row>
    <row r="70" spans="1:20" ht="14.65" customHeight="1">
      <c r="A70" s="13" t="s">
        <v>2442</v>
      </c>
      <c r="B70" s="159" t="str">
        <f>(IF((VLOOKUP(Table11[[#This Row],[SKU]],'All Skus'!$A:$AC,2,FALSE))="Soundcraft",(VLOOKUP(Table11[[#This Row],[SKU]],'All Skus'!$A:$AC,3,FALSE)),""))</f>
        <v>Ui Series</v>
      </c>
      <c r="C70" s="21">
        <f>(IF((VLOOKUP(Table11[[#This Row],[SKU]],'All Skus'!$A:$AC,2,FALSE))="Soundcraft",(VLOOKUP(Table11[[#This Row],[SKU]],'All Skus'!$A:$AC,4,FALSE)),""))</f>
        <v>5076585</v>
      </c>
      <c r="D70" s="19" t="str">
        <f>(IF((VLOOKUP(Table11[[#This Row],[SKU]],'All Skus'!$A:$AC,2,FALSE))="Soundcraft",(VLOOKUP(Table11[[#This Row],[SKU]],'All Skus'!$A:$AC,5,FALSE)),""))</f>
        <v>SC-UI</v>
      </c>
      <c r="E70" s="19">
        <f>(IF((VLOOKUP(Table11[[#This Row],[SKU]],'All Skus'!$A:$AC,2,FALSE))="Soundcraft",(VLOOKUP(Table11[[#This Row],[SKU]],'All Skus'!$A:$AC,6,FALSE)),""))</f>
        <v>0</v>
      </c>
      <c r="F70" s="18">
        <f>(IF((VLOOKUP(Table11[[#This Row],[SKU]],'All Skus'!$A:$AC,2,FALSE))="Soundcraft",(VLOOKUP(Table11[[#This Row],[SKU]],'All Skus'!$A:$AC,7,FALSE)),""))</f>
        <v>0</v>
      </c>
      <c r="G70" s="22" t="str">
        <f>(IF((VLOOKUP(Table11[[#This Row],[SKU]],'All Skus'!$A:$AC,2,FALSE))="Soundcraft",(VLOOKUP(Table11[[#This Row],[SKU]],'All Skus'!$A:$AC,8,FALSE)),""))</f>
        <v>Ui-24R Digital Mixer US</v>
      </c>
      <c r="H70" s="22" t="str">
        <f>(IF((VLOOKUP(Table11[[#This Row],[SKU]],'All Skus'!$A:$AC,2,FALSE))="Soundcraft",(VLOOKUP(Table11[[#This Row],[SKU]],'All Skus'!$A:$AC,9,FALSE)),""))</f>
        <v>Ui-24R(US)</v>
      </c>
      <c r="I70" s="157">
        <f>(IF((VLOOKUP(Table11[[#This Row],[SKU]],'All Skus'!$A:$AC,2,FALSE))="Soundcraft",(VLOOKUP(Table11[[#This Row],[SKU]],'All Skus'!$A:$AC,10,FALSE)),""))</f>
        <v>1649.14</v>
      </c>
      <c r="J70" s="157">
        <f>(IF((VLOOKUP(Table11[[#This Row],[SKU]],'All Skus'!$A:$AC,2,FALSE))="Soundcraft",(VLOOKUP(Table11[[#This Row],[SKU]],'All Skus'!$A:$AC,11,FALSE)),""))</f>
        <v>1319</v>
      </c>
      <c r="K70" s="271">
        <f>(IF((VLOOKUP(Table11[[#This Row],[SKU]],'All Skus'!$A:$AC,2,FALSE))="Soundcraft",(VLOOKUP(Table11[[#This Row],[SKU]],'All Skus'!$A:$AC,16,FALSE)),""))</f>
        <v>688705006635</v>
      </c>
      <c r="L70" s="239">
        <f>(IF((VLOOKUP(Table11[[#This Row],[SKU]],'All Skus'!$A:$AC,2,FALSE))="Soundcraft",(VLOOKUP(Table11[[#This Row],[SKU]],'All Skus'!$A:$AC,17,FALSE)),""))</f>
        <v>0</v>
      </c>
      <c r="M70" s="239">
        <f>(IF((VLOOKUP(Table11[[#This Row],[SKU]],'All Skus'!$A:$AC,2,FALSE))="Soundcraft",(VLOOKUP(Table11[[#This Row],[SKU]],'All Skus'!$A:$AC,18,FALSE)),""))</f>
        <v>31</v>
      </c>
      <c r="N70" s="147">
        <f>(IF((VLOOKUP(Table11[[#This Row],[SKU]],'All Skus'!$A:$AC,2,FALSE))="Soundcraft",(VLOOKUP(Table11[[#This Row],[SKU]],'All Skus'!$A:$AC,19,FALSE)),""))</f>
        <v>24</v>
      </c>
      <c r="O70" s="147">
        <f>(IF((VLOOKUP(Table11[[#This Row],[SKU]],'All Skus'!$A:$AC,2,FALSE))="Soundcraft",(VLOOKUP(Table11[[#This Row],[SKU]],'All Skus'!$A:$AC,20,FALSE)),""))</f>
        <v>22</v>
      </c>
      <c r="P70" s="240">
        <f>(IF((VLOOKUP(Table11[[#This Row],[SKU]],'All Skus'!$A:$AC,2,FALSE))="Soundcraft",(VLOOKUP(Table11[[#This Row],[SKU]],'All Skus'!$A:$AC,21,FALSE)),""))</f>
        <v>10</v>
      </c>
      <c r="Q70" s="61">
        <f>(IF((VLOOKUP(Table11[[#This Row],[SKU]],'All Skus'!$A:$AC,2,FALSE))="Soundcraft",(VLOOKUP(Table11[[#This Row],[SKU]],'All Skus'!$A:$AC,22,FALSE)),""))</f>
        <v>0</v>
      </c>
      <c r="R70" s="61">
        <f>(IF((VLOOKUP(Table11[[#This Row],[SKU]],'All Skus'!$A:$AC,2,FALSE))="Soundcraft",(VLOOKUP(Table11[[#This Row],[SKU]],'All Skus'!$A:$AC,23,FALSE)),""))</f>
        <v>0</v>
      </c>
      <c r="S70" s="212" t="str">
        <f>HYPERLINK((IF((VLOOKUP(Table11[[#This Row],[SKU]],'All Skus'!$A:$AC,2,FALSE))="Soundcraft",(VLOOKUP(Table11[[#This Row],[SKU]],'All Skus'!$A:$AC,24,FALSE)),"")))</f>
        <v>http://www.soundcraft.com/en/products/ui24r</v>
      </c>
      <c r="T70" s="151">
        <v>68</v>
      </c>
    </row>
    <row r="71" spans="1:20" ht="14.65" customHeight="1">
      <c r="A71" s="158">
        <v>5056170</v>
      </c>
      <c r="B71" s="159" t="str">
        <f>(IF((VLOOKUP(Table11[[#This Row],[SKU]],'All Skus'!$A:$AC,2,FALSE))="Soundcraft",(VLOOKUP(Table11[[#This Row],[SKU]],'All Skus'!$A:$AC,3,FALSE)),""))</f>
        <v>Si Impact</v>
      </c>
      <c r="C71" s="21">
        <f>(IF((VLOOKUP(Table11[[#This Row],[SKU]],'All Skus'!$A:$AC,2,FALSE))="Soundcraft",(VLOOKUP(Table11[[#This Row],[SKU]],'All Skus'!$A:$AC,4,FALSE)),""))</f>
        <v>5056170</v>
      </c>
      <c r="D71" s="19" t="str">
        <f>(IF((VLOOKUP(Table11[[#This Row],[SKU]],'All Skus'!$A:$AC,2,FALSE))="Soundcraft",(VLOOKUP(Table11[[#This Row],[SKU]],'All Skus'!$A:$AC,5,FALSE)),""))</f>
        <v>SC-SI</v>
      </c>
      <c r="E71" s="19">
        <f>(IF((VLOOKUP(Table11[[#This Row],[SKU]],'All Skus'!$A:$AC,2,FALSE))="Soundcraft",(VLOOKUP(Table11[[#This Row],[SKU]],'All Skus'!$A:$AC,6,FALSE)),""))</f>
        <v>0</v>
      </c>
      <c r="F71" s="18">
        <f>(IF((VLOOKUP(Table11[[#This Row],[SKU]],'All Skus'!$A:$AC,2,FALSE))="Soundcraft",(VLOOKUP(Table11[[#This Row],[SKU]],'All Skus'!$A:$AC,7,FALSE)),""))</f>
        <v>0</v>
      </c>
      <c r="G71" s="22" t="str">
        <f>(IF((VLOOKUP(Table11[[#This Row],[SKU]],'All Skus'!$A:$AC,2,FALSE))="Soundcraft",(VLOOKUP(Table11[[#This Row],[SKU]],'All Skus'!$A:$AC,8,FALSE)),""))</f>
        <v>Si IMPACT CONSOLE</v>
      </c>
      <c r="H71" s="22" t="str">
        <f>(IF((VLOOKUP(Table11[[#This Row],[SKU]],'All Skus'!$A:$AC,2,FALSE))="Soundcraft",(VLOOKUP(Table11[[#This Row],[SKU]],'All Skus'!$A:$AC,9,FALSE)),""))</f>
        <v>Si Impact</v>
      </c>
      <c r="I71" s="157">
        <f>(IF((VLOOKUP(Table11[[#This Row],[SKU]],'All Skus'!$A:$AC,2,FALSE))="Soundcraft",(VLOOKUP(Table11[[#This Row],[SKU]],'All Skus'!$A:$AC,10,FALSE)),""))</f>
        <v>4858.17</v>
      </c>
      <c r="J71" s="157">
        <f>(IF((VLOOKUP(Table11[[#This Row],[SKU]],'All Skus'!$A:$AC,2,FALSE))="Soundcraft",(VLOOKUP(Table11[[#This Row],[SKU]],'All Skus'!$A:$AC,11,FALSE)),""))</f>
        <v>3189</v>
      </c>
      <c r="K71" s="271">
        <f>(IF((VLOOKUP(Table11[[#This Row],[SKU]],'All Skus'!$A:$AC,2,FALSE))="Soundcraft",(VLOOKUP(Table11[[#This Row],[SKU]],'All Skus'!$A:$AC,16,FALSE)),""))</f>
        <v>688705001630</v>
      </c>
      <c r="L71" s="239">
        <f>(IF((VLOOKUP(Table11[[#This Row],[SKU]],'All Skus'!$A:$AC,2,FALSE))="Soundcraft",(VLOOKUP(Table11[[#This Row],[SKU]],'All Skus'!$A:$AC,17,FALSE)),""))</f>
        <v>0</v>
      </c>
      <c r="M71" s="239">
        <f>(IF((VLOOKUP(Table11[[#This Row],[SKU]],'All Skus'!$A:$AC,2,FALSE))="Soundcraft",(VLOOKUP(Table11[[#This Row],[SKU]],'All Skus'!$A:$AC,18,FALSE)),""))</f>
        <v>48.4</v>
      </c>
      <c r="N71" s="147">
        <f>(IF((VLOOKUP(Table11[[#This Row],[SKU]],'All Skus'!$A:$AC,2,FALSE))="Soundcraft",(VLOOKUP(Table11[[#This Row],[SKU]],'All Skus'!$A:$AC,19,FALSE)),""))</f>
        <v>34</v>
      </c>
      <c r="O71" s="147">
        <f>(IF((VLOOKUP(Table11[[#This Row],[SKU]],'All Skus'!$A:$AC,2,FALSE))="Soundcraft",(VLOOKUP(Table11[[#This Row],[SKU]],'All Skus'!$A:$AC,20,FALSE)),""))</f>
        <v>25.4</v>
      </c>
      <c r="P71" s="240">
        <f>(IF((VLOOKUP(Table11[[#This Row],[SKU]],'All Skus'!$A:$AC,2,FALSE))="Soundcraft",(VLOOKUP(Table11[[#This Row],[SKU]],'All Skus'!$A:$AC,21,FALSE)),""))</f>
        <v>11.7</v>
      </c>
      <c r="Q71" s="61" t="str">
        <f>(IF((VLOOKUP(Table11[[#This Row],[SKU]],'All Skus'!$A:$AC,2,FALSE))="Soundcraft",(VLOOKUP(Table11[[#This Row],[SKU]],'All Skus'!$A:$AC,22,FALSE)),""))</f>
        <v>CN</v>
      </c>
      <c r="R71" s="61">
        <f>(IF((VLOOKUP(Table11[[#This Row],[SKU]],'All Skus'!$A:$AC,2,FALSE))="Soundcraft",(VLOOKUP(Table11[[#This Row],[SKU]],'All Skus'!$A:$AC,23,FALSE)),""))</f>
        <v>0</v>
      </c>
      <c r="S71" s="212" t="str">
        <f>HYPERLINK((IF((VLOOKUP(Table11[[#This Row],[SKU]],'All Skus'!$A:$AC,2,FALSE))="Soundcraft",(VLOOKUP(Table11[[#This Row],[SKU]],'All Skus'!$A:$AC,24,FALSE)),"")))</f>
        <v>http://www.soundcraft.com/products/si-impact</v>
      </c>
      <c r="T71" s="151">
        <v>69</v>
      </c>
    </row>
    <row r="72" spans="1:20" ht="15" customHeight="1">
      <c r="A72" s="158" t="s">
        <v>2443</v>
      </c>
      <c r="B72" s="159" t="str">
        <f>(IF((VLOOKUP(Table11[[#This Row],[SKU]],'All Skus'!$A:$AC,2,FALSE))="Soundcraft",(VLOOKUP(Table11[[#This Row],[SKU]],'All Skus'!$A:$AC,3,FALSE)),""))</f>
        <v>Si Impact</v>
      </c>
      <c r="C72" s="21">
        <f>(IF((VLOOKUP(Table11[[#This Row],[SKU]],'All Skus'!$A:$AC,2,FALSE))="Soundcraft",(VLOOKUP(Table11[[#This Row],[SKU]],'All Skus'!$A:$AC,4,FALSE)),""))</f>
        <v>5056170</v>
      </c>
      <c r="D72" s="19" t="str">
        <f>(IF((VLOOKUP(Table11[[#This Row],[SKU]],'All Skus'!$A:$AC,2,FALSE))="Soundcraft",(VLOOKUP(Table11[[#This Row],[SKU]],'All Skus'!$A:$AC,5,FALSE)),""))</f>
        <v>SC-SI</v>
      </c>
      <c r="E72" s="19">
        <f>(IF((VLOOKUP(Table11[[#This Row],[SKU]],'All Skus'!$A:$AC,2,FALSE))="Soundcraft",(VLOOKUP(Table11[[#This Row],[SKU]],'All Skus'!$A:$AC,6,FALSE)),""))</f>
        <v>0</v>
      </c>
      <c r="F72" s="18">
        <f>(IF((VLOOKUP(Table11[[#This Row],[SKU]],'All Skus'!$A:$AC,2,FALSE))="Soundcraft",(VLOOKUP(Table11[[#This Row],[SKU]],'All Skus'!$A:$AC,7,FALSE)),""))</f>
        <v>0</v>
      </c>
      <c r="G72" s="22" t="str">
        <f>(IF((VLOOKUP(Table11[[#This Row],[SKU]],'All Skus'!$A:$AC,2,FALSE))="Soundcraft",(VLOOKUP(Table11[[#This Row],[SKU]],'All Skus'!$A:$AC,8,FALSE)),""))</f>
        <v>Si IMPACT CONSOLE</v>
      </c>
      <c r="H72" s="22" t="str">
        <f>(IF((VLOOKUP(Table11[[#This Row],[SKU]],'All Skus'!$A:$AC,2,FALSE))="Soundcraft",(VLOOKUP(Table11[[#This Row],[SKU]],'All Skus'!$A:$AC,9,FALSE)),""))</f>
        <v>Si Impact</v>
      </c>
      <c r="I72" s="157">
        <f>(IF((VLOOKUP(Table11[[#This Row],[SKU]],'All Skus'!$A:$AC,2,FALSE))="Soundcraft",(VLOOKUP(Table11[[#This Row],[SKU]],'All Skus'!$A:$AC,10,FALSE)),""))</f>
        <v>4858.17</v>
      </c>
      <c r="J72" s="157">
        <f>(IF((VLOOKUP(Table11[[#This Row],[SKU]],'All Skus'!$A:$AC,2,FALSE))="Soundcraft",(VLOOKUP(Table11[[#This Row],[SKU]],'All Skus'!$A:$AC,11,FALSE)),""))</f>
        <v>3189</v>
      </c>
      <c r="K72" s="271">
        <f>(IF((VLOOKUP(Table11[[#This Row],[SKU]],'All Skus'!$A:$AC,2,FALSE))="Soundcraft",(VLOOKUP(Table11[[#This Row],[SKU]],'All Skus'!$A:$AC,16,FALSE)),""))</f>
        <v>688705001630</v>
      </c>
      <c r="L72" s="239">
        <f>(IF((VLOOKUP(Table11[[#This Row],[SKU]],'All Skus'!$A:$AC,2,FALSE))="Soundcraft",(VLOOKUP(Table11[[#This Row],[SKU]],'All Skus'!$A:$AC,17,FALSE)),""))</f>
        <v>0</v>
      </c>
      <c r="M72" s="239">
        <f>(IF((VLOOKUP(Table11[[#This Row],[SKU]],'All Skus'!$A:$AC,2,FALSE))="Soundcraft",(VLOOKUP(Table11[[#This Row],[SKU]],'All Skus'!$A:$AC,18,FALSE)),""))</f>
        <v>48.4</v>
      </c>
      <c r="N72" s="147">
        <f>(IF((VLOOKUP(Table11[[#This Row],[SKU]],'All Skus'!$A:$AC,2,FALSE))="Soundcraft",(VLOOKUP(Table11[[#This Row],[SKU]],'All Skus'!$A:$AC,19,FALSE)),""))</f>
        <v>34</v>
      </c>
      <c r="O72" s="147">
        <f>(IF((VLOOKUP(Table11[[#This Row],[SKU]],'All Skus'!$A:$AC,2,FALSE))="Soundcraft",(VLOOKUP(Table11[[#This Row],[SKU]],'All Skus'!$A:$AC,20,FALSE)),""))</f>
        <v>25.4</v>
      </c>
      <c r="P72" s="240">
        <f>(IF((VLOOKUP(Table11[[#This Row],[SKU]],'All Skus'!$A:$AC,2,FALSE))="Soundcraft",(VLOOKUP(Table11[[#This Row],[SKU]],'All Skus'!$A:$AC,21,FALSE)),""))</f>
        <v>11.7</v>
      </c>
      <c r="Q72" s="61" t="str">
        <f>(IF((VLOOKUP(Table11[[#This Row],[SKU]],'All Skus'!$A:$AC,2,FALSE))="Soundcraft",(VLOOKUP(Table11[[#This Row],[SKU]],'All Skus'!$A:$AC,22,FALSE)),""))</f>
        <v>CN</v>
      </c>
      <c r="R72" s="61">
        <f>(IF((VLOOKUP(Table11[[#This Row],[SKU]],'All Skus'!$A:$AC,2,FALSE))="Soundcraft",(VLOOKUP(Table11[[#This Row],[SKU]],'All Skus'!$A:$AC,23,FALSE)),""))</f>
        <v>0</v>
      </c>
      <c r="S72" s="212" t="str">
        <f>HYPERLINK((IF((VLOOKUP(Table11[[#This Row],[SKU]],'All Skus'!$A:$AC,2,FALSE))="Soundcraft",(VLOOKUP(Table11[[#This Row],[SKU]],'All Skus'!$A:$AC,24,FALSE)),"")))</f>
        <v>http://www.soundcraft.com/products/si-impact</v>
      </c>
      <c r="T72" s="151">
        <v>70</v>
      </c>
    </row>
    <row r="73" spans="1:20" ht="15" customHeight="1">
      <c r="A73" s="160">
        <v>5060295</v>
      </c>
      <c r="B73" s="159" t="str">
        <f>(IF((VLOOKUP(Table11[[#This Row],[SKU]],'All Skus'!$A:$AC,2,FALSE))="Soundcraft",(VLOOKUP(Table11[[#This Row],[SKU]],'All Skus'!$A:$AC,3,FALSE)),""))</f>
        <v>Si Impact Accessories</v>
      </c>
      <c r="C73" s="21">
        <f>(IF((VLOOKUP(Table11[[#This Row],[SKU]],'All Skus'!$A:$AC,2,FALSE))="Soundcraft",(VLOOKUP(Table11[[#This Row],[SKU]],'All Skus'!$A:$AC,4,FALSE)),""))</f>
        <v>5060295</v>
      </c>
      <c r="D73" s="19">
        <f>(IF((VLOOKUP(Table11[[#This Row],[SKU]],'All Skus'!$A:$AC,2,FALSE))="Soundcraft",(VLOOKUP(Table11[[#This Row],[SKU]],'All Skus'!$A:$AC,5,FALSE)),""))</f>
        <v>31100900</v>
      </c>
      <c r="E73" s="19">
        <f>(IF((VLOOKUP(Table11[[#This Row],[SKU]],'All Skus'!$A:$AC,2,FALSE))="Soundcraft",(VLOOKUP(Table11[[#This Row],[SKU]],'All Skus'!$A:$AC,6,FALSE)),""))</f>
        <v>0</v>
      </c>
      <c r="F73" s="18">
        <f>(IF((VLOOKUP(Table11[[#This Row],[SKU]],'All Skus'!$A:$AC,2,FALSE))="Soundcraft",(VLOOKUP(Table11[[#This Row],[SKU]],'All Skus'!$A:$AC,7,FALSE)),""))</f>
        <v>0</v>
      </c>
      <c r="G73" s="22" t="str">
        <f>(IF((VLOOKUP(Table11[[#This Row],[SKU]],'All Skus'!$A:$AC,2,FALSE))="Soundcraft",(VLOOKUP(Table11[[#This Row],[SKU]],'All Skus'!$A:$AC,8,FALSE)),""))</f>
        <v>Si Impact Accessory Kit</v>
      </c>
      <c r="H73" s="22" t="str">
        <f>(IF((VLOOKUP(Table11[[#This Row],[SKU]],'All Skus'!$A:$AC,2,FALSE))="Soundcraft",(VLOOKUP(Table11[[#This Row],[SKU]],'All Skus'!$A:$AC,9,FALSE)),""))</f>
        <v>Si Impact Accessory Kit</v>
      </c>
      <c r="I73" s="157">
        <f>(IF((VLOOKUP(Table11[[#This Row],[SKU]],'All Skus'!$A:$AC,2,FALSE))="Soundcraft",(VLOOKUP(Table11[[#This Row],[SKU]],'All Skus'!$A:$AC,10,FALSE)),""))</f>
        <v>100.84</v>
      </c>
      <c r="J73" s="157">
        <f>(IF((VLOOKUP(Table11[[#This Row],[SKU]],'All Skus'!$A:$AC,2,FALSE))="Soundcraft",(VLOOKUP(Table11[[#This Row],[SKU]],'All Skus'!$A:$AC,11,FALSE)),""))</f>
        <v>89</v>
      </c>
      <c r="K73" s="271">
        <f>(IF((VLOOKUP(Table11[[#This Row],[SKU]],'All Skus'!$A:$AC,2,FALSE))="Soundcraft",(VLOOKUP(Table11[[#This Row],[SKU]],'All Skus'!$A:$AC,16,FALSE)),""))</f>
        <v>688705002538</v>
      </c>
      <c r="L73" s="239">
        <f>(IF((VLOOKUP(Table11[[#This Row],[SKU]],'All Skus'!$A:$AC,2,FALSE))="Soundcraft",(VLOOKUP(Table11[[#This Row],[SKU]],'All Skus'!$A:$AC,17,FALSE)),""))</f>
        <v>0</v>
      </c>
      <c r="M73" s="239">
        <f>(IF((VLOOKUP(Table11[[#This Row],[SKU]],'All Skus'!$A:$AC,2,FALSE))="Soundcraft",(VLOOKUP(Table11[[#This Row],[SKU]],'All Skus'!$A:$AC,18,FALSE)),""))</f>
        <v>0</v>
      </c>
      <c r="N73" s="147">
        <f>(IF((VLOOKUP(Table11[[#This Row],[SKU]],'All Skus'!$A:$AC,2,FALSE))="Soundcraft",(VLOOKUP(Table11[[#This Row],[SKU]],'All Skus'!$A:$AC,19,FALSE)),""))</f>
        <v>0</v>
      </c>
      <c r="O73" s="147">
        <f>(IF((VLOOKUP(Table11[[#This Row],[SKU]],'All Skus'!$A:$AC,2,FALSE))="Soundcraft",(VLOOKUP(Table11[[#This Row],[SKU]],'All Skus'!$A:$AC,20,FALSE)),""))</f>
        <v>0</v>
      </c>
      <c r="P73" s="240">
        <f>(IF((VLOOKUP(Table11[[#This Row],[SKU]],'All Skus'!$A:$AC,2,FALSE))="Soundcraft",(VLOOKUP(Table11[[#This Row],[SKU]],'All Skus'!$A:$AC,21,FALSE)),""))</f>
        <v>0</v>
      </c>
      <c r="Q73" s="61" t="str">
        <f>(IF((VLOOKUP(Table11[[#This Row],[SKU]],'All Skus'!$A:$AC,2,FALSE))="Soundcraft",(VLOOKUP(Table11[[#This Row],[SKU]],'All Skus'!$A:$AC,22,FALSE)),""))</f>
        <v>CN</v>
      </c>
      <c r="R73" s="61">
        <f>(IF((VLOOKUP(Table11[[#This Row],[SKU]],'All Skus'!$A:$AC,2,FALSE))="Soundcraft",(VLOOKUP(Table11[[#This Row],[SKU]],'All Skus'!$A:$AC,23,FALSE)),""))</f>
        <v>0</v>
      </c>
      <c r="S73" s="212" t="str">
        <f>HYPERLINK((IF((VLOOKUP(Table11[[#This Row],[SKU]],'All Skus'!$A:$AC,2,FALSE))="Soundcraft",(VLOOKUP(Table11[[#This Row],[SKU]],'All Skus'!$A:$AC,24,FALSE)),"")))</f>
        <v/>
      </c>
      <c r="T73" s="151">
        <v>71</v>
      </c>
    </row>
    <row r="74" spans="1:20" ht="15" customHeight="1">
      <c r="A74" s="158" t="s">
        <v>2444</v>
      </c>
      <c r="B74" s="159" t="str">
        <f>(IF((VLOOKUP(Table11[[#This Row],[SKU]],'All Skus'!$A:$AC,2,FALSE))="Soundcraft",(VLOOKUP(Table11[[#This Row],[SKU]],'All Skus'!$A:$AC,3,FALSE)),""))</f>
        <v>Si Expression</v>
      </c>
      <c r="C74" s="21">
        <f>(IF((VLOOKUP(Table11[[#This Row],[SKU]],'All Skus'!$A:$AC,2,FALSE))="Soundcraft",(VLOOKUP(Table11[[#This Row],[SKU]],'All Skus'!$A:$AC,4,FALSE)),""))</f>
        <v>5035677</v>
      </c>
      <c r="D74" s="19" t="str">
        <f>(IF((VLOOKUP(Table11[[#This Row],[SKU]],'All Skus'!$A:$AC,2,FALSE))="Soundcraft",(VLOOKUP(Table11[[#This Row],[SKU]],'All Skus'!$A:$AC,5,FALSE)),""))</f>
        <v>SC-SI</v>
      </c>
      <c r="E74" s="19">
        <f>(IF((VLOOKUP(Table11[[#This Row],[SKU]],'All Skus'!$A:$AC,2,FALSE))="Soundcraft",(VLOOKUP(Table11[[#This Row],[SKU]],'All Skus'!$A:$AC,6,FALSE)),""))</f>
        <v>0</v>
      </c>
      <c r="F74" s="18">
        <f>(IF((VLOOKUP(Table11[[#This Row],[SKU]],'All Skus'!$A:$AC,2,FALSE))="Soundcraft",(VLOOKUP(Table11[[#This Row],[SKU]],'All Skus'!$A:$AC,7,FALSE)),""))</f>
        <v>0</v>
      </c>
      <c r="G74" s="22" t="str">
        <f>(IF((VLOOKUP(Table11[[#This Row],[SKU]],'All Skus'!$A:$AC,2,FALSE))="Soundcraft",(VLOOKUP(Table11[[#This Row],[SKU]],'All Skus'!$A:$AC,8,FALSE)),""))</f>
        <v>SI EXPRESSION 1 CONSOLE</v>
      </c>
      <c r="H74" s="22" t="str">
        <f>(IF((VLOOKUP(Table11[[#This Row],[SKU]],'All Skus'!$A:$AC,2,FALSE))="Soundcraft",(VLOOKUP(Table11[[#This Row],[SKU]],'All Skus'!$A:$AC,9,FALSE)),""))</f>
        <v>SI EXPRESSION 1 CONSOLE</v>
      </c>
      <c r="I74" s="157">
        <f>(IF((VLOOKUP(Table11[[#This Row],[SKU]],'All Skus'!$A:$AC,2,FALSE))="Soundcraft",(VLOOKUP(Table11[[#This Row],[SKU]],'All Skus'!$A:$AC,10,FALSE)),""))</f>
        <v>3839.65</v>
      </c>
      <c r="J74" s="157">
        <f>(IF((VLOOKUP(Table11[[#This Row],[SKU]],'All Skus'!$A:$AC,2,FALSE))="Soundcraft",(VLOOKUP(Table11[[#This Row],[SKU]],'All Skus'!$A:$AC,11,FALSE)),""))</f>
        <v>3069</v>
      </c>
      <c r="K74" s="271">
        <f>(IF((VLOOKUP(Table11[[#This Row],[SKU]],'All Skus'!$A:$AC,2,FALSE))="Soundcraft",(VLOOKUP(Table11[[#This Row],[SKU]],'All Skus'!$A:$AC,16,FALSE)),""))</f>
        <v>688705000336</v>
      </c>
      <c r="L74" s="239">
        <f>(IF((VLOOKUP(Table11[[#This Row],[SKU]],'All Skus'!$A:$AC,2,FALSE))="Soundcraft",(VLOOKUP(Table11[[#This Row],[SKU]],'All Skus'!$A:$AC,17,FALSE)),""))</f>
        <v>0</v>
      </c>
      <c r="M74" s="239">
        <f>(IF((VLOOKUP(Table11[[#This Row],[SKU]],'All Skus'!$A:$AC,2,FALSE))="Soundcraft",(VLOOKUP(Table11[[#This Row],[SKU]],'All Skus'!$A:$AC,18,FALSE)),""))</f>
        <v>31</v>
      </c>
      <c r="N74" s="147">
        <f>(IF((VLOOKUP(Table11[[#This Row],[SKU]],'All Skus'!$A:$AC,2,FALSE))="Soundcraft",(VLOOKUP(Table11[[#This Row],[SKU]],'All Skus'!$A:$AC,19,FALSE)),""))</f>
        <v>25</v>
      </c>
      <c r="O74" s="147">
        <f>(IF((VLOOKUP(Table11[[#This Row],[SKU]],'All Skus'!$A:$AC,2,FALSE))="Soundcraft",(VLOOKUP(Table11[[#This Row],[SKU]],'All Skus'!$A:$AC,20,FALSE)),""))</f>
        <v>21.2</v>
      </c>
      <c r="P74" s="240">
        <f>(IF((VLOOKUP(Table11[[#This Row],[SKU]],'All Skus'!$A:$AC,2,FALSE))="Soundcraft",(VLOOKUP(Table11[[#This Row],[SKU]],'All Skus'!$A:$AC,21,FALSE)),""))</f>
        <v>9.8000000000000007</v>
      </c>
      <c r="Q74" s="61" t="str">
        <f>(IF((VLOOKUP(Table11[[#This Row],[SKU]],'All Skus'!$A:$AC,2,FALSE))="Soundcraft",(VLOOKUP(Table11[[#This Row],[SKU]],'All Skus'!$A:$AC,22,FALSE)),""))</f>
        <v>CN</v>
      </c>
      <c r="R74" s="61">
        <f>(IF((VLOOKUP(Table11[[#This Row],[SKU]],'All Skus'!$A:$AC,2,FALSE))="Soundcraft",(VLOOKUP(Table11[[#This Row],[SKU]],'All Skus'!$A:$AC,23,FALSE)),""))</f>
        <v>0</v>
      </c>
      <c r="S74" s="212" t="str">
        <f>HYPERLINK((IF((VLOOKUP(Table11[[#This Row],[SKU]],'All Skus'!$A:$AC,2,FALSE))="Soundcraft",(VLOOKUP(Table11[[#This Row],[SKU]],'All Skus'!$A:$AC,24,FALSE)),"")))</f>
        <v>http://www.soundcraft.com/products/si-expression-1</v>
      </c>
      <c r="T74" s="151">
        <v>72</v>
      </c>
    </row>
    <row r="75" spans="1:20" ht="15" customHeight="1">
      <c r="A75" s="158">
        <v>5035677</v>
      </c>
      <c r="B75" s="159" t="str">
        <f>(IF((VLOOKUP(Table11[[#This Row],[SKU]],'All Skus'!$A:$AC,2,FALSE))="Soundcraft",(VLOOKUP(Table11[[#This Row],[SKU]],'All Skus'!$A:$AC,3,FALSE)),""))</f>
        <v>Si Expression</v>
      </c>
      <c r="C75" s="21">
        <f>(IF((VLOOKUP(Table11[[#This Row],[SKU]],'All Skus'!$A:$AC,2,FALSE))="Soundcraft",(VLOOKUP(Table11[[#This Row],[SKU]],'All Skus'!$A:$AC,4,FALSE)),""))</f>
        <v>5035677</v>
      </c>
      <c r="D75" s="19" t="str">
        <f>(IF((VLOOKUP(Table11[[#This Row],[SKU]],'All Skus'!$A:$AC,2,FALSE))="Soundcraft",(VLOOKUP(Table11[[#This Row],[SKU]],'All Skus'!$A:$AC,5,FALSE)),""))</f>
        <v>SC-SI</v>
      </c>
      <c r="E75" s="19">
        <f>(IF((VLOOKUP(Table11[[#This Row],[SKU]],'All Skus'!$A:$AC,2,FALSE))="Soundcraft",(VLOOKUP(Table11[[#This Row],[SKU]],'All Skus'!$A:$AC,6,FALSE)),""))</f>
        <v>0</v>
      </c>
      <c r="F75" s="18">
        <f>(IF((VLOOKUP(Table11[[#This Row],[SKU]],'All Skus'!$A:$AC,2,FALSE))="Soundcraft",(VLOOKUP(Table11[[#This Row],[SKU]],'All Skus'!$A:$AC,7,FALSE)),""))</f>
        <v>0</v>
      </c>
      <c r="G75" s="22" t="str">
        <f>(IF((VLOOKUP(Table11[[#This Row],[SKU]],'All Skus'!$A:$AC,2,FALSE))="Soundcraft",(VLOOKUP(Table11[[#This Row],[SKU]],'All Skus'!$A:$AC,8,FALSE)),""))</f>
        <v>SI EXPRESSION 1 CONSOLE</v>
      </c>
      <c r="H75" s="22" t="str">
        <f>(IF((VLOOKUP(Table11[[#This Row],[SKU]],'All Skus'!$A:$AC,2,FALSE))="Soundcraft",(VLOOKUP(Table11[[#This Row],[SKU]],'All Skus'!$A:$AC,9,FALSE)),""))</f>
        <v>SI EXPRESSION 1 CONSOLE</v>
      </c>
      <c r="I75" s="157">
        <f>(IF((VLOOKUP(Table11[[#This Row],[SKU]],'All Skus'!$A:$AC,2,FALSE))="Soundcraft",(VLOOKUP(Table11[[#This Row],[SKU]],'All Skus'!$A:$AC,10,FALSE)),""))</f>
        <v>3839.65</v>
      </c>
      <c r="J75" s="157">
        <f>(IF((VLOOKUP(Table11[[#This Row],[SKU]],'All Skus'!$A:$AC,2,FALSE))="Soundcraft",(VLOOKUP(Table11[[#This Row],[SKU]],'All Skus'!$A:$AC,11,FALSE)),""))</f>
        <v>3069</v>
      </c>
      <c r="K75" s="271">
        <f>(IF((VLOOKUP(Table11[[#This Row],[SKU]],'All Skus'!$A:$AC,2,FALSE))="Soundcraft",(VLOOKUP(Table11[[#This Row],[SKU]],'All Skus'!$A:$AC,16,FALSE)),""))</f>
        <v>688705000336</v>
      </c>
      <c r="L75" s="239">
        <f>(IF((VLOOKUP(Table11[[#This Row],[SKU]],'All Skus'!$A:$AC,2,FALSE))="Soundcraft",(VLOOKUP(Table11[[#This Row],[SKU]],'All Skus'!$A:$AC,17,FALSE)),""))</f>
        <v>0</v>
      </c>
      <c r="M75" s="239">
        <f>(IF((VLOOKUP(Table11[[#This Row],[SKU]],'All Skus'!$A:$AC,2,FALSE))="Soundcraft",(VLOOKUP(Table11[[#This Row],[SKU]],'All Skus'!$A:$AC,18,FALSE)),""))</f>
        <v>31</v>
      </c>
      <c r="N75" s="147">
        <f>(IF((VLOOKUP(Table11[[#This Row],[SKU]],'All Skus'!$A:$AC,2,FALSE))="Soundcraft",(VLOOKUP(Table11[[#This Row],[SKU]],'All Skus'!$A:$AC,19,FALSE)),""))</f>
        <v>25</v>
      </c>
      <c r="O75" s="147">
        <f>(IF((VLOOKUP(Table11[[#This Row],[SKU]],'All Skus'!$A:$AC,2,FALSE))="Soundcraft",(VLOOKUP(Table11[[#This Row],[SKU]],'All Skus'!$A:$AC,20,FALSE)),""))</f>
        <v>21.2</v>
      </c>
      <c r="P75" s="240">
        <f>(IF((VLOOKUP(Table11[[#This Row],[SKU]],'All Skus'!$A:$AC,2,FALSE))="Soundcraft",(VLOOKUP(Table11[[#This Row],[SKU]],'All Skus'!$A:$AC,21,FALSE)),""))</f>
        <v>9.8000000000000007</v>
      </c>
      <c r="Q75" s="61" t="str">
        <f>(IF((VLOOKUP(Table11[[#This Row],[SKU]],'All Skus'!$A:$AC,2,FALSE))="Soundcraft",(VLOOKUP(Table11[[#This Row],[SKU]],'All Skus'!$A:$AC,22,FALSE)),""))</f>
        <v>CN</v>
      </c>
      <c r="R75" s="61">
        <f>(IF((VLOOKUP(Table11[[#This Row],[SKU]],'All Skus'!$A:$AC,2,FALSE))="Soundcraft",(VLOOKUP(Table11[[#This Row],[SKU]],'All Skus'!$A:$AC,23,FALSE)),""))</f>
        <v>0</v>
      </c>
      <c r="S75" s="212" t="str">
        <f>HYPERLINK((IF((VLOOKUP(Table11[[#This Row],[SKU]],'All Skus'!$A:$AC,2,FALSE))="Soundcraft",(VLOOKUP(Table11[[#This Row],[SKU]],'All Skus'!$A:$AC,24,FALSE)),"")))</f>
        <v>http://www.soundcraft.com/products/si-expression-1</v>
      </c>
      <c r="T75" s="151">
        <v>73</v>
      </c>
    </row>
    <row r="76" spans="1:20" ht="15" customHeight="1">
      <c r="A76" s="158">
        <v>5035678</v>
      </c>
      <c r="B76" s="159" t="str">
        <f>(IF((VLOOKUP(Table11[[#This Row],[SKU]],'All Skus'!$A:$AC,2,FALSE))="Soundcraft",(VLOOKUP(Table11[[#This Row],[SKU]],'All Skus'!$A:$AC,3,FALSE)),""))</f>
        <v>Si Expression</v>
      </c>
      <c r="C76" s="21">
        <f>(IF((VLOOKUP(Table11[[#This Row],[SKU]],'All Skus'!$A:$AC,2,FALSE))="Soundcraft",(VLOOKUP(Table11[[#This Row],[SKU]],'All Skus'!$A:$AC,4,FALSE)),""))</f>
        <v>5035678</v>
      </c>
      <c r="D76" s="19" t="str">
        <f>(IF((VLOOKUP(Table11[[#This Row],[SKU]],'All Skus'!$A:$AC,2,FALSE))="Soundcraft",(VLOOKUP(Table11[[#This Row],[SKU]],'All Skus'!$A:$AC,5,FALSE)),""))</f>
        <v>SC-SI</v>
      </c>
      <c r="E76" s="19">
        <f>(IF((VLOOKUP(Table11[[#This Row],[SKU]],'All Skus'!$A:$AC,2,FALSE))="Soundcraft",(VLOOKUP(Table11[[#This Row],[SKU]],'All Skus'!$A:$AC,6,FALSE)),""))</f>
        <v>0</v>
      </c>
      <c r="F76" s="18">
        <f>(IF((VLOOKUP(Table11[[#This Row],[SKU]],'All Skus'!$A:$AC,2,FALSE))="Soundcraft",(VLOOKUP(Table11[[#This Row],[SKU]],'All Skus'!$A:$AC,7,FALSE)),""))</f>
        <v>0</v>
      </c>
      <c r="G76" s="22" t="str">
        <f>(IF((VLOOKUP(Table11[[#This Row],[SKU]],'All Skus'!$A:$AC,2,FALSE))="Soundcraft",(VLOOKUP(Table11[[#This Row],[SKU]],'All Skus'!$A:$AC,8,FALSE)),""))</f>
        <v xml:space="preserve">SI EXPRESSION 2 CONSOLE </v>
      </c>
      <c r="H76" s="22" t="str">
        <f>(IF((VLOOKUP(Table11[[#This Row],[SKU]],'All Skus'!$A:$AC,2,FALSE))="Soundcraft",(VLOOKUP(Table11[[#This Row],[SKU]],'All Skus'!$A:$AC,9,FALSE)),""))</f>
        <v xml:space="preserve">SI EXPRESSION 2 CONSOLE </v>
      </c>
      <c r="I76" s="157">
        <f>(IF((VLOOKUP(Table11[[#This Row],[SKU]],'All Skus'!$A:$AC,2,FALSE))="Soundcraft",(VLOOKUP(Table11[[#This Row],[SKU]],'All Skus'!$A:$AC,10,FALSE)),""))</f>
        <v>4455.57</v>
      </c>
      <c r="J76" s="157">
        <f>(IF((VLOOKUP(Table11[[#This Row],[SKU]],'All Skus'!$A:$AC,2,FALSE))="Soundcraft",(VLOOKUP(Table11[[#This Row],[SKU]],'All Skus'!$A:$AC,11,FALSE)),""))</f>
        <v>3569</v>
      </c>
      <c r="K76" s="271">
        <f>(IF((VLOOKUP(Table11[[#This Row],[SKU]],'All Skus'!$A:$AC,2,FALSE))="Soundcraft",(VLOOKUP(Table11[[#This Row],[SKU]],'All Skus'!$A:$AC,16,FALSE)),""))</f>
        <v>688705000343</v>
      </c>
      <c r="L76" s="239">
        <f>(IF((VLOOKUP(Table11[[#This Row],[SKU]],'All Skus'!$A:$AC,2,FALSE))="Soundcraft",(VLOOKUP(Table11[[#This Row],[SKU]],'All Skus'!$A:$AC,17,FALSE)),""))</f>
        <v>0</v>
      </c>
      <c r="M76" s="239">
        <f>(IF((VLOOKUP(Table11[[#This Row],[SKU]],'All Skus'!$A:$AC,2,FALSE))="Soundcraft",(VLOOKUP(Table11[[#This Row],[SKU]],'All Skus'!$A:$AC,18,FALSE)),""))</f>
        <v>43.1</v>
      </c>
      <c r="N76" s="147">
        <f>(IF((VLOOKUP(Table11[[#This Row],[SKU]],'All Skus'!$A:$AC,2,FALSE))="Soundcraft",(VLOOKUP(Table11[[#This Row],[SKU]],'All Skus'!$A:$AC,19,FALSE)),""))</f>
        <v>25</v>
      </c>
      <c r="O76" s="147">
        <f>(IF((VLOOKUP(Table11[[#This Row],[SKU]],'All Skus'!$A:$AC,2,FALSE))="Soundcraft",(VLOOKUP(Table11[[#This Row],[SKU]],'All Skus'!$A:$AC,20,FALSE)),""))</f>
        <v>31.9</v>
      </c>
      <c r="P76" s="240">
        <f>(IF((VLOOKUP(Table11[[#This Row],[SKU]],'All Skus'!$A:$AC,2,FALSE))="Soundcraft",(VLOOKUP(Table11[[#This Row],[SKU]],'All Skus'!$A:$AC,21,FALSE)),""))</f>
        <v>9.8000000000000007</v>
      </c>
      <c r="Q76" s="61" t="str">
        <f>(IF((VLOOKUP(Table11[[#This Row],[SKU]],'All Skus'!$A:$AC,2,FALSE))="Soundcraft",(VLOOKUP(Table11[[#This Row],[SKU]],'All Skus'!$A:$AC,22,FALSE)),""))</f>
        <v>CN</v>
      </c>
      <c r="R76" s="61">
        <f>(IF((VLOOKUP(Table11[[#This Row],[SKU]],'All Skus'!$A:$AC,2,FALSE))="Soundcraft",(VLOOKUP(Table11[[#This Row],[SKU]],'All Skus'!$A:$AC,23,FALSE)),""))</f>
        <v>0</v>
      </c>
      <c r="S76" s="212" t="str">
        <f>HYPERLINK((IF((VLOOKUP(Table11[[#This Row],[SKU]],'All Skus'!$A:$AC,2,FALSE))="Soundcraft",(VLOOKUP(Table11[[#This Row],[SKU]],'All Skus'!$A:$AC,24,FALSE)),"")))</f>
        <v>http://www.soundcraft.com/products/si-expression-2</v>
      </c>
      <c r="T76" s="151">
        <v>74</v>
      </c>
    </row>
    <row r="77" spans="1:20" ht="15" customHeight="1">
      <c r="A77" s="158">
        <v>5035679</v>
      </c>
      <c r="B77" s="159" t="str">
        <f>(IF((VLOOKUP(Table11[[#This Row],[SKU]],'All Skus'!$A:$AC,2,FALSE))="Soundcraft",(VLOOKUP(Table11[[#This Row],[SKU]],'All Skus'!$A:$AC,3,FALSE)),""))</f>
        <v>Si Expression</v>
      </c>
      <c r="C77" s="21">
        <f>(IF((VLOOKUP(Table11[[#This Row],[SKU]],'All Skus'!$A:$AC,2,FALSE))="Soundcraft",(VLOOKUP(Table11[[#This Row],[SKU]],'All Skus'!$A:$AC,4,FALSE)),""))</f>
        <v>5035679</v>
      </c>
      <c r="D77" s="19" t="str">
        <f>(IF((VLOOKUP(Table11[[#This Row],[SKU]],'All Skus'!$A:$AC,2,FALSE))="Soundcraft",(VLOOKUP(Table11[[#This Row],[SKU]],'All Skus'!$A:$AC,5,FALSE)),""))</f>
        <v>SC-SI</v>
      </c>
      <c r="E77" s="19">
        <f>(IF((VLOOKUP(Table11[[#This Row],[SKU]],'All Skus'!$A:$AC,2,FALSE))="Soundcraft",(VLOOKUP(Table11[[#This Row],[SKU]],'All Skus'!$A:$AC,6,FALSE)),""))</f>
        <v>0</v>
      </c>
      <c r="F77" s="18">
        <f>(IF((VLOOKUP(Table11[[#This Row],[SKU]],'All Skus'!$A:$AC,2,FALSE))="Soundcraft",(VLOOKUP(Table11[[#This Row],[SKU]],'All Skus'!$A:$AC,7,FALSE)),""))</f>
        <v>0</v>
      </c>
      <c r="G77" s="22" t="str">
        <f>(IF((VLOOKUP(Table11[[#This Row],[SKU]],'All Skus'!$A:$AC,2,FALSE))="Soundcraft",(VLOOKUP(Table11[[#This Row],[SKU]],'All Skus'!$A:$AC,8,FALSE)),""))</f>
        <v xml:space="preserve">SI EXPRESSION 3 CONSOLE </v>
      </c>
      <c r="H77" s="22" t="str">
        <f>(IF((VLOOKUP(Table11[[#This Row],[SKU]],'All Skus'!$A:$AC,2,FALSE))="Soundcraft",(VLOOKUP(Table11[[#This Row],[SKU]],'All Skus'!$A:$AC,9,FALSE)),""))</f>
        <v xml:space="preserve">SI EXPRESSION 3 CONSOLE </v>
      </c>
      <c r="I77" s="157">
        <f>(IF((VLOOKUP(Table11[[#This Row],[SKU]],'All Skus'!$A:$AC,2,FALSE))="Soundcraft",(VLOOKUP(Table11[[#This Row],[SKU]],'All Skus'!$A:$AC,10,FALSE)),""))</f>
        <v>5445.95</v>
      </c>
      <c r="J77" s="157">
        <f>(IF((VLOOKUP(Table11[[#This Row],[SKU]],'All Skus'!$A:$AC,2,FALSE))="Soundcraft",(VLOOKUP(Table11[[#This Row],[SKU]],'All Skus'!$A:$AC,11,FALSE)),""))</f>
        <v>4359</v>
      </c>
      <c r="K77" s="271">
        <f>(IF((VLOOKUP(Table11[[#This Row],[SKU]],'All Skus'!$A:$AC,2,FALSE))="Soundcraft",(VLOOKUP(Table11[[#This Row],[SKU]],'All Skus'!$A:$AC,16,FALSE)),""))</f>
        <v>688705000350</v>
      </c>
      <c r="L77" s="239">
        <f>(IF((VLOOKUP(Table11[[#This Row],[SKU]],'All Skus'!$A:$AC,2,FALSE))="Soundcraft",(VLOOKUP(Table11[[#This Row],[SKU]],'All Skus'!$A:$AC,17,FALSE)),""))</f>
        <v>0</v>
      </c>
      <c r="M77" s="239">
        <f>(IF((VLOOKUP(Table11[[#This Row],[SKU]],'All Skus'!$A:$AC,2,FALSE))="Soundcraft",(VLOOKUP(Table11[[#This Row],[SKU]],'All Skus'!$A:$AC,18,FALSE)),""))</f>
        <v>55.2</v>
      </c>
      <c r="N77" s="147">
        <f>(IF((VLOOKUP(Table11[[#This Row],[SKU]],'All Skus'!$A:$AC,2,FALSE))="Soundcraft",(VLOOKUP(Table11[[#This Row],[SKU]],'All Skus'!$A:$AC,19,FALSE)),""))</f>
        <v>25</v>
      </c>
      <c r="O77" s="147">
        <f>(IF((VLOOKUP(Table11[[#This Row],[SKU]],'All Skus'!$A:$AC,2,FALSE))="Soundcraft",(VLOOKUP(Table11[[#This Row],[SKU]],'All Skus'!$A:$AC,20,FALSE)),""))</f>
        <v>40.5</v>
      </c>
      <c r="P77" s="240">
        <f>(IF((VLOOKUP(Table11[[#This Row],[SKU]],'All Skus'!$A:$AC,2,FALSE))="Soundcraft",(VLOOKUP(Table11[[#This Row],[SKU]],'All Skus'!$A:$AC,21,FALSE)),""))</f>
        <v>9.8000000000000007</v>
      </c>
      <c r="Q77" s="61" t="str">
        <f>(IF((VLOOKUP(Table11[[#This Row],[SKU]],'All Skus'!$A:$AC,2,FALSE))="Soundcraft",(VLOOKUP(Table11[[#This Row],[SKU]],'All Skus'!$A:$AC,22,FALSE)),""))</f>
        <v>CN</v>
      </c>
      <c r="R77" s="61">
        <f>(IF((VLOOKUP(Table11[[#This Row],[SKU]],'All Skus'!$A:$AC,2,FALSE))="Soundcraft",(VLOOKUP(Table11[[#This Row],[SKU]],'All Skus'!$A:$AC,23,FALSE)),""))</f>
        <v>0</v>
      </c>
      <c r="S77" s="212" t="str">
        <f>HYPERLINK((IF((VLOOKUP(Table11[[#This Row],[SKU]],'All Skus'!$A:$AC,2,FALSE))="Soundcraft",(VLOOKUP(Table11[[#This Row],[SKU]],'All Skus'!$A:$AC,24,FALSE)),"")))</f>
        <v>http://www.soundcraft.com/products/si-expression-3</v>
      </c>
      <c r="T77" s="151">
        <v>75</v>
      </c>
    </row>
    <row r="78" spans="1:20" ht="15" customHeight="1">
      <c r="A78" s="158">
        <v>5001849</v>
      </c>
      <c r="B78" s="159" t="str">
        <f>(IF((VLOOKUP(Table11[[#This Row],[SKU]],'All Skus'!$A:$AC,2,FALSE))="Soundcraft",(VLOOKUP(Table11[[#This Row],[SKU]],'All Skus'!$A:$AC,3,FALSE)),""))</f>
        <v>Si Performer</v>
      </c>
      <c r="C78" s="21">
        <f>(IF((VLOOKUP(Table11[[#This Row],[SKU]],'All Skus'!$A:$AC,2,FALSE))="Soundcraft",(VLOOKUP(Table11[[#This Row],[SKU]],'All Skus'!$A:$AC,4,FALSE)),""))</f>
        <v>5001849</v>
      </c>
      <c r="D78" s="19" t="str">
        <f>(IF((VLOOKUP(Table11[[#This Row],[SKU]],'All Skus'!$A:$AC,2,FALSE))="Soundcraft",(VLOOKUP(Table11[[#This Row],[SKU]],'All Skus'!$A:$AC,5,FALSE)),""))</f>
        <v>SC-SI</v>
      </c>
      <c r="E78" s="19">
        <f>(IF((VLOOKUP(Table11[[#This Row],[SKU]],'All Skus'!$A:$AC,2,FALSE))="Soundcraft",(VLOOKUP(Table11[[#This Row],[SKU]],'All Skus'!$A:$AC,6,FALSE)),""))</f>
        <v>0</v>
      </c>
      <c r="F78" s="18">
        <f>(IF((VLOOKUP(Table11[[#This Row],[SKU]],'All Skus'!$A:$AC,2,FALSE))="Soundcraft",(VLOOKUP(Table11[[#This Row],[SKU]],'All Skus'!$A:$AC,7,FALSE)),""))</f>
        <v>0</v>
      </c>
      <c r="G78" s="22" t="str">
        <f>(IF((VLOOKUP(Table11[[#This Row],[SKU]],'All Skus'!$A:$AC,2,FALSE))="Soundcraft",(VLOOKUP(Table11[[#This Row],[SKU]],'All Skus'!$A:$AC,8,FALSE)),""))</f>
        <v>SiPerformer3</v>
      </c>
      <c r="H78" s="22" t="str">
        <f>(IF((VLOOKUP(Table11[[#This Row],[SKU]],'All Skus'!$A:$AC,2,FALSE))="Soundcraft",(VLOOKUP(Table11[[#This Row],[SKU]],'All Skus'!$A:$AC,9,FALSE)),""))</f>
        <v>SiPerformer3</v>
      </c>
      <c r="I78" s="157">
        <f>(IF((VLOOKUP(Table11[[#This Row],[SKU]],'All Skus'!$A:$AC,2,FALSE))="Soundcraft",(VLOOKUP(Table11[[#This Row],[SKU]],'All Skus'!$A:$AC,10,FALSE)),""))</f>
        <v>9947.35</v>
      </c>
      <c r="J78" s="157">
        <f>(IF((VLOOKUP(Table11[[#This Row],[SKU]],'All Skus'!$A:$AC,2,FALSE))="Soundcraft",(VLOOKUP(Table11[[#This Row],[SKU]],'All Skus'!$A:$AC,11,FALSE)),""))</f>
        <v>7999</v>
      </c>
      <c r="K78" s="271">
        <f>(IF((VLOOKUP(Table11[[#This Row],[SKU]],'All Skus'!$A:$AC,2,FALSE))="Soundcraft",(VLOOKUP(Table11[[#This Row],[SKU]],'All Skus'!$A:$AC,16,FALSE)),""))</f>
        <v>688705000169</v>
      </c>
      <c r="L78" s="239">
        <f>(IF((VLOOKUP(Table11[[#This Row],[SKU]],'All Skus'!$A:$AC,2,FALSE))="Soundcraft",(VLOOKUP(Table11[[#This Row],[SKU]],'All Skus'!$A:$AC,17,FALSE)),""))</f>
        <v>0</v>
      </c>
      <c r="M78" s="239">
        <f>(IF((VLOOKUP(Table11[[#This Row],[SKU]],'All Skus'!$A:$AC,2,FALSE))="Soundcraft",(VLOOKUP(Table11[[#This Row],[SKU]],'All Skus'!$A:$AC,18,FALSE)),""))</f>
        <v>47.5</v>
      </c>
      <c r="N78" s="147">
        <f>(IF((VLOOKUP(Table11[[#This Row],[SKU]],'All Skus'!$A:$AC,2,FALSE))="Soundcraft",(VLOOKUP(Table11[[#This Row],[SKU]],'All Skus'!$A:$AC,19,FALSE)),""))</f>
        <v>24</v>
      </c>
      <c r="O78" s="147">
        <f>(IF((VLOOKUP(Table11[[#This Row],[SKU]],'All Skus'!$A:$AC,2,FALSE))="Soundcraft",(VLOOKUP(Table11[[#This Row],[SKU]],'All Skus'!$A:$AC,20,FALSE)),""))</f>
        <v>25</v>
      </c>
      <c r="P78" s="240">
        <f>(IF((VLOOKUP(Table11[[#This Row],[SKU]],'All Skus'!$A:$AC,2,FALSE))="Soundcraft",(VLOOKUP(Table11[[#This Row],[SKU]],'All Skus'!$A:$AC,21,FALSE)),""))</f>
        <v>12.7</v>
      </c>
      <c r="Q78" s="61" t="str">
        <f>(IF((VLOOKUP(Table11[[#This Row],[SKU]],'All Skus'!$A:$AC,2,FALSE))="Soundcraft",(VLOOKUP(Table11[[#This Row],[SKU]],'All Skus'!$A:$AC,22,FALSE)),""))</f>
        <v>CN</v>
      </c>
      <c r="R78" s="61">
        <f>(IF((VLOOKUP(Table11[[#This Row],[SKU]],'All Skus'!$A:$AC,2,FALSE))="Soundcraft",(VLOOKUP(Table11[[#This Row],[SKU]],'All Skus'!$A:$AC,23,FALSE)),""))</f>
        <v>0</v>
      </c>
      <c r="S78" s="212" t="str">
        <f>HYPERLINK((IF((VLOOKUP(Table11[[#This Row],[SKU]],'All Skus'!$A:$AC,2,FALSE))="Soundcraft",(VLOOKUP(Table11[[#This Row],[SKU]],'All Skus'!$A:$AC,24,FALSE)),"")))</f>
        <v>http://www.soundcraft.com/products/si-performer-3</v>
      </c>
      <c r="T78" s="151">
        <v>76</v>
      </c>
    </row>
    <row r="79" spans="1:20" ht="15" customHeight="1">
      <c r="A79" s="158">
        <v>5009535</v>
      </c>
      <c r="B79" s="159" t="str">
        <f>(IF((VLOOKUP(Table11[[#This Row],[SKU]],'All Skus'!$A:$AC,2,FALSE))="Soundcraft",(VLOOKUP(Table11[[#This Row],[SKU]],'All Skus'!$A:$AC,3,FALSE)),""))</f>
        <v>Si Performer</v>
      </c>
      <c r="C79" s="21">
        <f>(IF((VLOOKUP(Table11[[#This Row],[SKU]],'All Skus'!$A:$AC,2,FALSE))="Soundcraft",(VLOOKUP(Table11[[#This Row],[SKU]],'All Skus'!$A:$AC,4,FALSE)),""))</f>
        <v>5009535</v>
      </c>
      <c r="D79" s="19" t="str">
        <f>(IF((VLOOKUP(Table11[[#This Row],[SKU]],'All Skus'!$A:$AC,2,FALSE))="Soundcraft",(VLOOKUP(Table11[[#This Row],[SKU]],'All Skus'!$A:$AC,5,FALSE)),""))</f>
        <v>SC-SI</v>
      </c>
      <c r="E79" s="19">
        <f>(IF((VLOOKUP(Table11[[#This Row],[SKU]],'All Skus'!$A:$AC,2,FALSE))="Soundcraft",(VLOOKUP(Table11[[#This Row],[SKU]],'All Skus'!$A:$AC,6,FALSE)),""))</f>
        <v>0</v>
      </c>
      <c r="F79" s="18">
        <f>(IF((VLOOKUP(Table11[[#This Row],[SKU]],'All Skus'!$A:$AC,2,FALSE))="Soundcraft",(VLOOKUP(Table11[[#This Row],[SKU]],'All Skus'!$A:$AC,7,FALSE)),""))</f>
        <v>0</v>
      </c>
      <c r="G79" s="22" t="str">
        <f>(IF((VLOOKUP(Table11[[#This Row],[SKU]],'All Skus'!$A:$AC,2,FALSE))="Soundcraft",(VLOOKUP(Table11[[#This Row],[SKU]],'All Skus'!$A:$AC,8,FALSE)),""))</f>
        <v xml:space="preserve">SiPerformer2 </v>
      </c>
      <c r="H79" s="22" t="str">
        <f>(IF((VLOOKUP(Table11[[#This Row],[SKU]],'All Skus'!$A:$AC,2,FALSE))="Soundcraft",(VLOOKUP(Table11[[#This Row],[SKU]],'All Skus'!$A:$AC,9,FALSE)),""))</f>
        <v xml:space="preserve">SiPerformer2 </v>
      </c>
      <c r="I79" s="157">
        <f>(IF((VLOOKUP(Table11[[#This Row],[SKU]],'All Skus'!$A:$AC,2,FALSE))="Soundcraft",(VLOOKUP(Table11[[#This Row],[SKU]],'All Skus'!$A:$AC,10,FALSE)),""))</f>
        <v>7936.57</v>
      </c>
      <c r="J79" s="157">
        <f>(IF((VLOOKUP(Table11[[#This Row],[SKU]],'All Skus'!$A:$AC,2,FALSE))="Soundcraft",(VLOOKUP(Table11[[#This Row],[SKU]],'All Skus'!$A:$AC,11,FALSE)),""))</f>
        <v>6349</v>
      </c>
      <c r="K79" s="271">
        <f>(IF((VLOOKUP(Table11[[#This Row],[SKU]],'All Skus'!$A:$AC,2,FALSE))="Soundcraft",(VLOOKUP(Table11[[#This Row],[SKU]],'All Skus'!$A:$AC,16,FALSE)),""))</f>
        <v>688705000152</v>
      </c>
      <c r="L79" s="239">
        <f>(IF((VLOOKUP(Table11[[#This Row],[SKU]],'All Skus'!$A:$AC,2,FALSE))="Soundcraft",(VLOOKUP(Table11[[#This Row],[SKU]],'All Skus'!$A:$AC,17,FALSE)),""))</f>
        <v>0</v>
      </c>
      <c r="M79" s="239">
        <f>(IF((VLOOKUP(Table11[[#This Row],[SKU]],'All Skus'!$A:$AC,2,FALSE))="Soundcraft",(VLOOKUP(Table11[[#This Row],[SKU]],'All Skus'!$A:$AC,18,FALSE)),""))</f>
        <v>37</v>
      </c>
      <c r="N79" s="147">
        <f>(IF((VLOOKUP(Table11[[#This Row],[SKU]],'All Skus'!$A:$AC,2,FALSE))="Soundcraft",(VLOOKUP(Table11[[#This Row],[SKU]],'All Skus'!$A:$AC,19,FALSE)),""))</f>
        <v>24</v>
      </c>
      <c r="O79" s="147">
        <f>(IF((VLOOKUP(Table11[[#This Row],[SKU]],'All Skus'!$A:$AC,2,FALSE))="Soundcraft",(VLOOKUP(Table11[[#This Row],[SKU]],'All Skus'!$A:$AC,20,FALSE)),""))</f>
        <v>25</v>
      </c>
      <c r="P79" s="240">
        <f>(IF((VLOOKUP(Table11[[#This Row],[SKU]],'All Skus'!$A:$AC,2,FALSE))="Soundcraft",(VLOOKUP(Table11[[#This Row],[SKU]],'All Skus'!$A:$AC,21,FALSE)),""))</f>
        <v>12.7</v>
      </c>
      <c r="Q79" s="61" t="str">
        <f>(IF((VLOOKUP(Table11[[#This Row],[SKU]],'All Skus'!$A:$AC,2,FALSE))="Soundcraft",(VLOOKUP(Table11[[#This Row],[SKU]],'All Skus'!$A:$AC,22,FALSE)),""))</f>
        <v>CN</v>
      </c>
      <c r="R79" s="61">
        <f>(IF((VLOOKUP(Table11[[#This Row],[SKU]],'All Skus'!$A:$AC,2,FALSE))="Soundcraft",(VLOOKUP(Table11[[#This Row],[SKU]],'All Skus'!$A:$AC,23,FALSE)),""))</f>
        <v>0</v>
      </c>
      <c r="S79" s="212" t="str">
        <f>HYPERLINK((IF((VLOOKUP(Table11[[#This Row],[SKU]],'All Skus'!$A:$AC,2,FALSE))="Soundcraft",(VLOOKUP(Table11[[#This Row],[SKU]],'All Skus'!$A:$AC,24,FALSE)),"")))</f>
        <v>http://www.soundcraft.com/products/si-performer-2</v>
      </c>
      <c r="T79" s="151">
        <v>77</v>
      </c>
    </row>
    <row r="80" spans="1:20" ht="15" customHeight="1">
      <c r="A80" s="158">
        <v>5039954</v>
      </c>
      <c r="B80" s="159" t="str">
        <f>(IF((VLOOKUP(Table11[[#This Row],[SKU]],'All Skus'!$A:$AC,2,FALSE))="Soundcraft",(VLOOKUP(Table11[[#This Row],[SKU]],'All Skus'!$A:$AC,3,FALSE)),""))</f>
        <v>Si Performer</v>
      </c>
      <c r="C80" s="21">
        <f>(IF((VLOOKUP(Table11[[#This Row],[SKU]],'All Skus'!$A:$AC,2,FALSE))="Soundcraft",(VLOOKUP(Table11[[#This Row],[SKU]],'All Skus'!$A:$AC,4,FALSE)),""))</f>
        <v>5039954</v>
      </c>
      <c r="D80" s="19" t="str">
        <f>(IF((VLOOKUP(Table11[[#This Row],[SKU]],'All Skus'!$A:$AC,2,FALSE))="Soundcraft",(VLOOKUP(Table11[[#This Row],[SKU]],'All Skus'!$A:$AC,5,FALSE)),""))</f>
        <v>SC-SI</v>
      </c>
      <c r="E80" s="19">
        <f>(IF((VLOOKUP(Table11[[#This Row],[SKU]],'All Skus'!$A:$AC,2,FALSE))="Soundcraft",(VLOOKUP(Table11[[#This Row],[SKU]],'All Skus'!$A:$AC,6,FALSE)),""))</f>
        <v>0</v>
      </c>
      <c r="F80" s="18">
        <f>(IF((VLOOKUP(Table11[[#This Row],[SKU]],'All Skus'!$A:$AC,2,FALSE))="Soundcraft",(VLOOKUP(Table11[[#This Row],[SKU]],'All Skus'!$A:$AC,7,FALSE)),""))</f>
        <v>0</v>
      </c>
      <c r="G80" s="22" t="str">
        <f>(IF((VLOOKUP(Table11[[#This Row],[SKU]],'All Skus'!$A:$AC,2,FALSE))="Soundcraft",(VLOOKUP(Table11[[#This Row],[SKU]],'All Skus'!$A:$AC,8,FALSE)),""))</f>
        <v>SiPerformer1</v>
      </c>
      <c r="H80" s="22" t="str">
        <f>(IF((VLOOKUP(Table11[[#This Row],[SKU]],'All Skus'!$A:$AC,2,FALSE))="Soundcraft",(VLOOKUP(Table11[[#This Row],[SKU]],'All Skus'!$A:$AC,9,FALSE)),""))</f>
        <v>SiPerformer1</v>
      </c>
      <c r="I80" s="157">
        <f>(IF((VLOOKUP(Table11[[#This Row],[SKU]],'All Skus'!$A:$AC,2,FALSE))="Soundcraft",(VLOOKUP(Table11[[#This Row],[SKU]],'All Skus'!$A:$AC,10,FALSE)),""))</f>
        <v>6270.93</v>
      </c>
      <c r="J80" s="157">
        <f>(IF((VLOOKUP(Table11[[#This Row],[SKU]],'All Skus'!$A:$AC,2,FALSE))="Soundcraft",(VLOOKUP(Table11[[#This Row],[SKU]],'All Skus'!$A:$AC,11,FALSE)),""))</f>
        <v>5019</v>
      </c>
      <c r="K80" s="271">
        <f>(IF((VLOOKUP(Table11[[#This Row],[SKU]],'All Skus'!$A:$AC,2,FALSE))="Soundcraft",(VLOOKUP(Table11[[#This Row],[SKU]],'All Skus'!$A:$AC,16,FALSE)),""))</f>
        <v>688705000480</v>
      </c>
      <c r="L80" s="239">
        <f>(IF((VLOOKUP(Table11[[#This Row],[SKU]],'All Skus'!$A:$AC,2,FALSE))="Soundcraft",(VLOOKUP(Table11[[#This Row],[SKU]],'All Skus'!$A:$AC,17,FALSE)),""))</f>
        <v>0</v>
      </c>
      <c r="M80" s="239">
        <f>(IF((VLOOKUP(Table11[[#This Row],[SKU]],'All Skus'!$A:$AC,2,FALSE))="Soundcraft",(VLOOKUP(Table11[[#This Row],[SKU]],'All Skus'!$A:$AC,18,FALSE)),""))</f>
        <v>40</v>
      </c>
      <c r="N80" s="147">
        <f>(IF((VLOOKUP(Table11[[#This Row],[SKU]],'All Skus'!$A:$AC,2,FALSE))="Soundcraft",(VLOOKUP(Table11[[#This Row],[SKU]],'All Skus'!$A:$AC,19,FALSE)),""))</f>
        <v>24</v>
      </c>
      <c r="O80" s="147">
        <f>(IF((VLOOKUP(Table11[[#This Row],[SKU]],'All Skus'!$A:$AC,2,FALSE))="Soundcraft",(VLOOKUP(Table11[[#This Row],[SKU]],'All Skus'!$A:$AC,20,FALSE)),""))</f>
        <v>25</v>
      </c>
      <c r="P80" s="240">
        <f>(IF((VLOOKUP(Table11[[#This Row],[SKU]],'All Skus'!$A:$AC,2,FALSE))="Soundcraft",(VLOOKUP(Table11[[#This Row],[SKU]],'All Skus'!$A:$AC,21,FALSE)),""))</f>
        <v>12.7</v>
      </c>
      <c r="Q80" s="61" t="str">
        <f>(IF((VLOOKUP(Table11[[#This Row],[SKU]],'All Skus'!$A:$AC,2,FALSE))="Soundcraft",(VLOOKUP(Table11[[#This Row],[SKU]],'All Skus'!$A:$AC,22,FALSE)),""))</f>
        <v>CN</v>
      </c>
      <c r="R80" s="61">
        <f>(IF((VLOOKUP(Table11[[#This Row],[SKU]],'All Skus'!$A:$AC,2,FALSE))="Soundcraft",(VLOOKUP(Table11[[#This Row],[SKU]],'All Skus'!$A:$AC,23,FALSE)),""))</f>
        <v>0</v>
      </c>
      <c r="S80" s="212" t="str">
        <f>HYPERLINK((IF((VLOOKUP(Table11[[#This Row],[SKU]],'All Skus'!$A:$AC,2,FALSE))="Soundcraft",(VLOOKUP(Table11[[#This Row],[SKU]],'All Skus'!$A:$AC,24,FALSE)),"")))</f>
        <v>http://www.soundcraft.com/products/si-performer-1</v>
      </c>
      <c r="T80" s="151">
        <v>78</v>
      </c>
    </row>
    <row r="81" spans="1:20" ht="15" customHeight="1">
      <c r="A81" s="158" t="s">
        <v>2445</v>
      </c>
      <c r="B81" s="159" t="str">
        <f>(IF((VLOOKUP(Table11[[#This Row],[SKU]],'All Skus'!$A:$AC,2,FALSE))="Soundcraft",(VLOOKUP(Table11[[#This Row],[SKU]],'All Skus'!$A:$AC,3,FALSE)),""))</f>
        <v>Si Series Accessories</v>
      </c>
      <c r="C81" s="21" t="str">
        <f>(IF((VLOOKUP(Table11[[#This Row],[SKU]],'All Skus'!$A:$AC,2,FALSE))="Soundcraft",(VLOOKUP(Table11[[#This Row],[SKU]],'All Skus'!$A:$AC,4,FALSE)),""))</f>
        <v>BF10.522001</v>
      </c>
      <c r="D81" s="19" t="str">
        <f>(IF((VLOOKUP(Table11[[#This Row],[SKU]],'All Skus'!$A:$AC,2,FALSE))="Soundcraft",(VLOOKUP(Table11[[#This Row],[SKU]],'All Skus'!$A:$AC,5,FALSE)),""))</f>
        <v>SC-SPARES</v>
      </c>
      <c r="E81" s="19">
        <f>(IF((VLOOKUP(Table11[[#This Row],[SKU]],'All Skus'!$A:$AC,2,FALSE))="Soundcraft",(VLOOKUP(Table11[[#This Row],[SKU]],'All Skus'!$A:$AC,6,FALSE)),""))</f>
        <v>0</v>
      </c>
      <c r="F81" s="18">
        <f>(IF((VLOOKUP(Table11[[#This Row],[SKU]],'All Skus'!$A:$AC,2,FALSE))="Soundcraft",(VLOOKUP(Table11[[#This Row],[SKU]],'All Skus'!$A:$AC,7,FALSE)),""))</f>
        <v>0</v>
      </c>
      <c r="G81" s="22" t="str">
        <f>(IF((VLOOKUP(Table11[[#This Row],[SKU]],'All Skus'!$A:$AC,2,FALSE))="Soundcraft",(VLOOKUP(Table11[[#This Row],[SKU]],'All Skus'!$A:$AC,8,FALSE)),""))</f>
        <v>Expression 1 Dust Cover and gooseneck</v>
      </c>
      <c r="H81" s="22" t="str">
        <f>(IF((VLOOKUP(Table11[[#This Row],[SKU]],'All Skus'!$A:$AC,2,FALSE))="Soundcraft",(VLOOKUP(Table11[[#This Row],[SKU]],'All Skus'!$A:$AC,9,FALSE)),""))</f>
        <v>Expression 1 Dust Cover and gooseneck</v>
      </c>
      <c r="I81" s="157">
        <f>(IF((VLOOKUP(Table11[[#This Row],[SKU]],'All Skus'!$A:$AC,2,FALSE))="Soundcraft",(VLOOKUP(Table11[[#This Row],[SKU]],'All Skus'!$A:$AC,10,FALSE)),""))</f>
        <v>120.05</v>
      </c>
      <c r="J81" s="157">
        <f>(IF((VLOOKUP(Table11[[#This Row],[SKU]],'All Skus'!$A:$AC,2,FALSE))="Soundcraft",(VLOOKUP(Table11[[#This Row],[SKU]],'All Skus'!$A:$AC,11,FALSE)),""))</f>
        <v>99</v>
      </c>
      <c r="K81" s="271">
        <f>(IF((VLOOKUP(Table11[[#This Row],[SKU]],'All Skus'!$A:$AC,2,FALSE))="Soundcraft",(VLOOKUP(Table11[[#This Row],[SKU]],'All Skus'!$A:$AC,16,FALSE)),""))</f>
        <v>688705000619</v>
      </c>
      <c r="L81" s="239">
        <f>(IF((VLOOKUP(Table11[[#This Row],[SKU]],'All Skus'!$A:$AC,2,FALSE))="Soundcraft",(VLOOKUP(Table11[[#This Row],[SKU]],'All Skus'!$A:$AC,17,FALSE)),""))</f>
        <v>0</v>
      </c>
      <c r="M81" s="239">
        <f>(IF((VLOOKUP(Table11[[#This Row],[SKU]],'All Skus'!$A:$AC,2,FALSE))="Soundcraft",(VLOOKUP(Table11[[#This Row],[SKU]],'All Skus'!$A:$AC,18,FALSE)),""))</f>
        <v>1</v>
      </c>
      <c r="N81" s="147">
        <f>(IF((VLOOKUP(Table11[[#This Row],[SKU]],'All Skus'!$A:$AC,2,FALSE))="Soundcraft",(VLOOKUP(Table11[[#This Row],[SKU]],'All Skus'!$A:$AC,19,FALSE)),""))</f>
        <v>10</v>
      </c>
      <c r="O81" s="147">
        <f>(IF((VLOOKUP(Table11[[#This Row],[SKU]],'All Skus'!$A:$AC,2,FALSE))="Soundcraft",(VLOOKUP(Table11[[#This Row],[SKU]],'All Skus'!$A:$AC,20,FALSE)),""))</f>
        <v>10</v>
      </c>
      <c r="P81" s="240">
        <f>(IF((VLOOKUP(Table11[[#This Row],[SKU]],'All Skus'!$A:$AC,2,FALSE))="Soundcraft",(VLOOKUP(Table11[[#This Row],[SKU]],'All Skus'!$A:$AC,21,FALSE)),""))</f>
        <v>5</v>
      </c>
      <c r="Q81" s="61" t="str">
        <f>(IF((VLOOKUP(Table11[[#This Row],[SKU]],'All Skus'!$A:$AC,2,FALSE))="Soundcraft",(VLOOKUP(Table11[[#This Row],[SKU]],'All Skus'!$A:$AC,22,FALSE)),""))</f>
        <v>CN</v>
      </c>
      <c r="R81" s="61" t="str">
        <f>(IF((VLOOKUP(Table11[[#This Row],[SKU]],'All Skus'!$A:$AC,2,FALSE))="Soundcraft",(VLOOKUP(Table11[[#This Row],[SKU]],'All Skus'!$A:$AC,23,FALSE)),""))</f>
        <v>Non Compliant</v>
      </c>
      <c r="S81" s="212" t="str">
        <f>HYPERLINK((IF((VLOOKUP(Table11[[#This Row],[SKU]],'All Skus'!$A:$AC,2,FALSE))="Soundcraft",(VLOOKUP(Table11[[#This Row],[SKU]],'All Skus'!$A:$AC,24,FALSE)),"")))</f>
        <v/>
      </c>
      <c r="T81" s="151">
        <v>79</v>
      </c>
    </row>
    <row r="82" spans="1:20" ht="15" customHeight="1">
      <c r="A82" s="158" t="s">
        <v>2446</v>
      </c>
      <c r="B82" s="159" t="str">
        <f>(IF((VLOOKUP(Table11[[#This Row],[SKU]],'All Skus'!$A:$AC,2,FALSE))="Soundcraft",(VLOOKUP(Table11[[#This Row],[SKU]],'All Skus'!$A:$AC,3,FALSE)),""))</f>
        <v>Si Series Accessories</v>
      </c>
      <c r="C82" s="21" t="str">
        <f>(IF((VLOOKUP(Table11[[#This Row],[SKU]],'All Skus'!$A:$AC,2,FALSE))="Soundcraft",(VLOOKUP(Table11[[#This Row],[SKU]],'All Skus'!$A:$AC,4,FALSE)),""))</f>
        <v>BF10.522002</v>
      </c>
      <c r="D82" s="19" t="str">
        <f>(IF((VLOOKUP(Table11[[#This Row],[SKU]],'All Skus'!$A:$AC,2,FALSE))="Soundcraft",(VLOOKUP(Table11[[#This Row],[SKU]],'All Skus'!$A:$AC,5,FALSE)),""))</f>
        <v>SC-SPARES</v>
      </c>
      <c r="E82" s="19">
        <f>(IF((VLOOKUP(Table11[[#This Row],[SKU]],'All Skus'!$A:$AC,2,FALSE))="Soundcraft",(VLOOKUP(Table11[[#This Row],[SKU]],'All Skus'!$A:$AC,6,FALSE)),""))</f>
        <v>0</v>
      </c>
      <c r="F82" s="18">
        <f>(IF((VLOOKUP(Table11[[#This Row],[SKU]],'All Skus'!$A:$AC,2,FALSE))="Soundcraft",(VLOOKUP(Table11[[#This Row],[SKU]],'All Skus'!$A:$AC,7,FALSE)),""))</f>
        <v>0</v>
      </c>
      <c r="G82" s="22" t="str">
        <f>(IF((VLOOKUP(Table11[[#This Row],[SKU]],'All Skus'!$A:$AC,2,FALSE))="Soundcraft",(VLOOKUP(Table11[[#This Row],[SKU]],'All Skus'!$A:$AC,8,FALSE)),""))</f>
        <v>Expression 2 + Performer 2 Dust Cover, Gooseneck, Scribble pad and Pen</v>
      </c>
      <c r="H82" s="22" t="str">
        <f>(IF((VLOOKUP(Table11[[#This Row],[SKU]],'All Skus'!$A:$AC,2,FALSE))="Soundcraft",(VLOOKUP(Table11[[#This Row],[SKU]],'All Skus'!$A:$AC,9,FALSE)),""))</f>
        <v>Expression 2 + Performer 2 Dust Cover, Gooseneck, Scribble pad and Pen</v>
      </c>
      <c r="I82" s="157">
        <f>(IF((VLOOKUP(Table11[[#This Row],[SKU]],'All Skus'!$A:$AC,2,FALSE))="Soundcraft",(VLOOKUP(Table11[[#This Row],[SKU]],'All Skus'!$A:$AC,10,FALSE)),""))</f>
        <v>138.05000000000001</v>
      </c>
      <c r="J82" s="157">
        <f>(IF((VLOOKUP(Table11[[#This Row],[SKU]],'All Skus'!$A:$AC,2,FALSE))="Soundcraft",(VLOOKUP(Table11[[#This Row],[SKU]],'All Skus'!$A:$AC,11,FALSE)),""))</f>
        <v>119</v>
      </c>
      <c r="K82" s="271">
        <f>(IF((VLOOKUP(Table11[[#This Row],[SKU]],'All Skus'!$A:$AC,2,FALSE))="Soundcraft",(VLOOKUP(Table11[[#This Row],[SKU]],'All Skus'!$A:$AC,16,FALSE)),""))</f>
        <v>688705000626</v>
      </c>
      <c r="L82" s="239">
        <f>(IF((VLOOKUP(Table11[[#This Row],[SKU]],'All Skus'!$A:$AC,2,FALSE))="Soundcraft",(VLOOKUP(Table11[[#This Row],[SKU]],'All Skus'!$A:$AC,17,FALSE)),""))</f>
        <v>0</v>
      </c>
      <c r="M82" s="239">
        <f>(IF((VLOOKUP(Table11[[#This Row],[SKU]],'All Skus'!$A:$AC,2,FALSE))="Soundcraft",(VLOOKUP(Table11[[#This Row],[SKU]],'All Skus'!$A:$AC,18,FALSE)),""))</f>
        <v>1</v>
      </c>
      <c r="N82" s="147">
        <f>(IF((VLOOKUP(Table11[[#This Row],[SKU]],'All Skus'!$A:$AC,2,FALSE))="Soundcraft",(VLOOKUP(Table11[[#This Row],[SKU]],'All Skus'!$A:$AC,19,FALSE)),""))</f>
        <v>10</v>
      </c>
      <c r="O82" s="147">
        <f>(IF((VLOOKUP(Table11[[#This Row],[SKU]],'All Skus'!$A:$AC,2,FALSE))="Soundcraft",(VLOOKUP(Table11[[#This Row],[SKU]],'All Skus'!$A:$AC,20,FALSE)),""))</f>
        <v>10</v>
      </c>
      <c r="P82" s="240">
        <f>(IF((VLOOKUP(Table11[[#This Row],[SKU]],'All Skus'!$A:$AC,2,FALSE))="Soundcraft",(VLOOKUP(Table11[[#This Row],[SKU]],'All Skus'!$A:$AC,21,FALSE)),""))</f>
        <v>15</v>
      </c>
      <c r="Q82" s="61" t="str">
        <f>(IF((VLOOKUP(Table11[[#This Row],[SKU]],'All Skus'!$A:$AC,2,FALSE))="Soundcraft",(VLOOKUP(Table11[[#This Row],[SKU]],'All Skus'!$A:$AC,22,FALSE)),""))</f>
        <v>CN</v>
      </c>
      <c r="R82" s="61" t="str">
        <f>(IF((VLOOKUP(Table11[[#This Row],[SKU]],'All Skus'!$A:$AC,2,FALSE))="Soundcraft",(VLOOKUP(Table11[[#This Row],[SKU]],'All Skus'!$A:$AC,23,FALSE)),""))</f>
        <v>Non Compliant</v>
      </c>
      <c r="S82" s="212" t="str">
        <f>HYPERLINK((IF((VLOOKUP(Table11[[#This Row],[SKU]],'All Skus'!$A:$AC,2,FALSE))="Soundcraft",(VLOOKUP(Table11[[#This Row],[SKU]],'All Skus'!$A:$AC,24,FALSE)),"")))</f>
        <v/>
      </c>
      <c r="T82" s="151">
        <v>80</v>
      </c>
    </row>
    <row r="83" spans="1:20" ht="15" customHeight="1">
      <c r="A83" s="158" t="s">
        <v>2447</v>
      </c>
      <c r="B83" s="159" t="str">
        <f>(IF((VLOOKUP(Table11[[#This Row],[SKU]],'All Skus'!$A:$AC,2,FALSE))="Soundcraft",(VLOOKUP(Table11[[#This Row],[SKU]],'All Skus'!$A:$AC,3,FALSE)),""))</f>
        <v>Si Series Accessories</v>
      </c>
      <c r="C83" s="21" t="str">
        <f>(IF((VLOOKUP(Table11[[#This Row],[SKU]],'All Skus'!$A:$AC,2,FALSE))="Soundcraft",(VLOOKUP(Table11[[#This Row],[SKU]],'All Skus'!$A:$AC,4,FALSE)),""))</f>
        <v>BF10.522003</v>
      </c>
      <c r="D83" s="19" t="str">
        <f>(IF((VLOOKUP(Table11[[#This Row],[SKU]],'All Skus'!$A:$AC,2,FALSE))="Soundcraft",(VLOOKUP(Table11[[#This Row],[SKU]],'All Skus'!$A:$AC,5,FALSE)),""))</f>
        <v>SC-SPARES</v>
      </c>
      <c r="E83" s="19">
        <f>(IF((VLOOKUP(Table11[[#This Row],[SKU]],'All Skus'!$A:$AC,2,FALSE))="Soundcraft",(VLOOKUP(Table11[[#This Row],[SKU]],'All Skus'!$A:$AC,6,FALSE)),""))</f>
        <v>0</v>
      </c>
      <c r="F83" s="18">
        <f>(IF((VLOOKUP(Table11[[#This Row],[SKU]],'All Skus'!$A:$AC,2,FALSE))="Soundcraft",(VLOOKUP(Table11[[#This Row],[SKU]],'All Skus'!$A:$AC,7,FALSE)),""))</f>
        <v>0</v>
      </c>
      <c r="G83" s="22" t="str">
        <f>(IF((VLOOKUP(Table11[[#This Row],[SKU]],'All Skus'!$A:$AC,2,FALSE))="Soundcraft",(VLOOKUP(Table11[[#This Row],[SKU]],'All Skus'!$A:$AC,8,FALSE)),""))</f>
        <v>Expression 3 + Performer 3 Dust Cover, 2 x  Gooseneck, Scribble pad and Pen</v>
      </c>
      <c r="H83" s="22" t="str">
        <f>(IF((VLOOKUP(Table11[[#This Row],[SKU]],'All Skus'!$A:$AC,2,FALSE))="Soundcraft",(VLOOKUP(Table11[[#This Row],[SKU]],'All Skus'!$A:$AC,9,FALSE)),""))</f>
        <v>Expression 3 + Performer 3 Dust Cover, 2 x  Gooseneck, Scribble pad and Pen</v>
      </c>
      <c r="I83" s="157">
        <f>(IF((VLOOKUP(Table11[[#This Row],[SKU]],'All Skus'!$A:$AC,2,FALSE))="Soundcraft",(VLOOKUP(Table11[[#This Row],[SKU]],'All Skus'!$A:$AC,10,FALSE)),""))</f>
        <v>192.07</v>
      </c>
      <c r="J83" s="157">
        <f>(IF((VLOOKUP(Table11[[#This Row],[SKU]],'All Skus'!$A:$AC,2,FALSE))="Soundcraft",(VLOOKUP(Table11[[#This Row],[SKU]],'All Skus'!$A:$AC,11,FALSE)),""))</f>
        <v>170</v>
      </c>
      <c r="K83" s="271">
        <f>(IF((VLOOKUP(Table11[[#This Row],[SKU]],'All Skus'!$A:$AC,2,FALSE))="Soundcraft",(VLOOKUP(Table11[[#This Row],[SKU]],'All Skus'!$A:$AC,16,FALSE)),""))</f>
        <v>688705000633</v>
      </c>
      <c r="L83" s="239">
        <f>(IF((VLOOKUP(Table11[[#This Row],[SKU]],'All Skus'!$A:$AC,2,FALSE))="Soundcraft",(VLOOKUP(Table11[[#This Row],[SKU]],'All Skus'!$A:$AC,17,FALSE)),""))</f>
        <v>0</v>
      </c>
      <c r="M83" s="239">
        <f>(IF((VLOOKUP(Table11[[#This Row],[SKU]],'All Skus'!$A:$AC,2,FALSE))="Soundcraft",(VLOOKUP(Table11[[#This Row],[SKU]],'All Skus'!$A:$AC,18,FALSE)),""))</f>
        <v>1</v>
      </c>
      <c r="N83" s="147">
        <f>(IF((VLOOKUP(Table11[[#This Row],[SKU]],'All Skus'!$A:$AC,2,FALSE))="Soundcraft",(VLOOKUP(Table11[[#This Row],[SKU]],'All Skus'!$A:$AC,19,FALSE)),""))</f>
        <v>10</v>
      </c>
      <c r="O83" s="147">
        <f>(IF((VLOOKUP(Table11[[#This Row],[SKU]],'All Skus'!$A:$AC,2,FALSE))="Soundcraft",(VLOOKUP(Table11[[#This Row],[SKU]],'All Skus'!$A:$AC,20,FALSE)),""))</f>
        <v>10</v>
      </c>
      <c r="P83" s="240">
        <f>(IF((VLOOKUP(Table11[[#This Row],[SKU]],'All Skus'!$A:$AC,2,FALSE))="Soundcraft",(VLOOKUP(Table11[[#This Row],[SKU]],'All Skus'!$A:$AC,21,FALSE)),""))</f>
        <v>16</v>
      </c>
      <c r="Q83" s="61" t="str">
        <f>(IF((VLOOKUP(Table11[[#This Row],[SKU]],'All Skus'!$A:$AC,2,FALSE))="Soundcraft",(VLOOKUP(Table11[[#This Row],[SKU]],'All Skus'!$A:$AC,22,FALSE)),""))</f>
        <v>CN</v>
      </c>
      <c r="R83" s="61" t="str">
        <f>(IF((VLOOKUP(Table11[[#This Row],[SKU]],'All Skus'!$A:$AC,2,FALSE))="Soundcraft",(VLOOKUP(Table11[[#This Row],[SKU]],'All Skus'!$A:$AC,23,FALSE)),""))</f>
        <v>Non Compliant</v>
      </c>
      <c r="S83" s="212" t="str">
        <f>HYPERLINK((IF((VLOOKUP(Table11[[#This Row],[SKU]],'All Skus'!$A:$AC,2,FALSE))="Soundcraft",(VLOOKUP(Table11[[#This Row],[SKU]],'All Skus'!$A:$AC,24,FALSE)),"")))</f>
        <v/>
      </c>
      <c r="T83" s="151">
        <v>81</v>
      </c>
    </row>
    <row r="84" spans="1:20" ht="15" customHeight="1">
      <c r="A84" s="158">
        <v>5029646</v>
      </c>
      <c r="B84" s="159" t="str">
        <f>(IF((VLOOKUP(Table11[[#This Row],[SKU]],'All Skus'!$A:$AC,2,FALSE))="Soundcraft",(VLOOKUP(Table11[[#This Row],[SKU]],'All Skus'!$A:$AC,3,FALSE)),""))</f>
        <v>Si Series Accessories</v>
      </c>
      <c r="C84" s="21">
        <f>(IF((VLOOKUP(Table11[[#This Row],[SKU]],'All Skus'!$A:$AC,2,FALSE))="Soundcraft",(VLOOKUP(Table11[[#This Row],[SKU]],'All Skus'!$A:$AC,4,FALSE)),""))</f>
        <v>5029646</v>
      </c>
      <c r="D84" s="19" t="str">
        <f>(IF((VLOOKUP(Table11[[#This Row],[SKU]],'All Skus'!$A:$AC,2,FALSE))="Soundcraft",(VLOOKUP(Table11[[#This Row],[SKU]],'All Skus'!$A:$AC,5,FALSE)),""))</f>
        <v>SC-SPARES</v>
      </c>
      <c r="E84" s="19">
        <f>(IF((VLOOKUP(Table11[[#This Row],[SKU]],'All Skus'!$A:$AC,2,FALSE))="Soundcraft",(VLOOKUP(Table11[[#This Row],[SKU]],'All Skus'!$A:$AC,6,FALSE)),""))</f>
        <v>0</v>
      </c>
      <c r="F84" s="18">
        <f>(IF((VLOOKUP(Table11[[#This Row],[SKU]],'All Skus'!$A:$AC,2,FALSE))="Soundcraft",(VLOOKUP(Table11[[#This Row],[SKU]],'All Skus'!$A:$AC,7,FALSE)),""))</f>
        <v>0</v>
      </c>
      <c r="G84" s="22" t="str">
        <f>(IF((VLOOKUP(Table11[[#This Row],[SKU]],'All Skus'!$A:$AC,2,FALSE))="Soundcraft",(VLOOKUP(Table11[[#This Row],[SKU]],'All Skus'!$A:$AC,8,FALSE)),""))</f>
        <v>Flightcase for Expression 2 or Performer 2</v>
      </c>
      <c r="H84" s="22" t="str">
        <f>(IF((VLOOKUP(Table11[[#This Row],[SKU]],'All Skus'!$A:$AC,2,FALSE))="Soundcraft",(VLOOKUP(Table11[[#This Row],[SKU]],'All Skus'!$A:$AC,9,FALSE)),""))</f>
        <v>Flightcase for Expression 2 or Performer 2</v>
      </c>
      <c r="I84" s="157">
        <f>(IF((VLOOKUP(Table11[[#This Row],[SKU]],'All Skus'!$A:$AC,2,FALSE))="Soundcraft",(VLOOKUP(Table11[[#This Row],[SKU]],'All Skus'!$A:$AC,10,FALSE)),""))</f>
        <v>834.32</v>
      </c>
      <c r="J84" s="157">
        <f>(IF((VLOOKUP(Table11[[#This Row],[SKU]],'All Skus'!$A:$AC,2,FALSE))="Soundcraft",(VLOOKUP(Table11[[#This Row],[SKU]],'All Skus'!$A:$AC,11,FALSE)),""))</f>
        <v>665</v>
      </c>
      <c r="K84" s="271">
        <f>(IF((VLOOKUP(Table11[[#This Row],[SKU]],'All Skus'!$A:$AC,2,FALSE))="Soundcraft",(VLOOKUP(Table11[[#This Row],[SKU]],'All Skus'!$A:$AC,16,FALSE)),""))</f>
        <v>0</v>
      </c>
      <c r="L84" s="239">
        <f>(IF((VLOOKUP(Table11[[#This Row],[SKU]],'All Skus'!$A:$AC,2,FALSE))="Soundcraft",(VLOOKUP(Table11[[#This Row],[SKU]],'All Skus'!$A:$AC,17,FALSE)),""))</f>
        <v>0</v>
      </c>
      <c r="M84" s="239">
        <f>(IF((VLOOKUP(Table11[[#This Row],[SKU]],'All Skus'!$A:$AC,2,FALSE))="Soundcraft",(VLOOKUP(Table11[[#This Row],[SKU]],'All Skus'!$A:$AC,18,FALSE)),""))</f>
        <v>35</v>
      </c>
      <c r="N84" s="147">
        <f>(IF((VLOOKUP(Table11[[#This Row],[SKU]],'All Skus'!$A:$AC,2,FALSE))="Soundcraft",(VLOOKUP(Table11[[#This Row],[SKU]],'All Skus'!$A:$AC,19,FALSE)),""))</f>
        <v>45</v>
      </c>
      <c r="O84" s="147">
        <f>(IF((VLOOKUP(Table11[[#This Row],[SKU]],'All Skus'!$A:$AC,2,FALSE))="Soundcraft",(VLOOKUP(Table11[[#This Row],[SKU]],'All Skus'!$A:$AC,20,FALSE)),""))</f>
        <v>45</v>
      </c>
      <c r="P84" s="240">
        <f>(IF((VLOOKUP(Table11[[#This Row],[SKU]],'All Skus'!$A:$AC,2,FALSE))="Soundcraft",(VLOOKUP(Table11[[#This Row],[SKU]],'All Skus'!$A:$AC,21,FALSE)),""))</f>
        <v>20</v>
      </c>
      <c r="Q84" s="61" t="str">
        <f>(IF((VLOOKUP(Table11[[#This Row],[SKU]],'All Skus'!$A:$AC,2,FALSE))="Soundcraft",(VLOOKUP(Table11[[#This Row],[SKU]],'All Skus'!$A:$AC,22,FALSE)),""))</f>
        <v>ZZ</v>
      </c>
      <c r="R84" s="61">
        <f>(IF((VLOOKUP(Table11[[#This Row],[SKU]],'All Skus'!$A:$AC,2,FALSE))="Soundcraft",(VLOOKUP(Table11[[#This Row],[SKU]],'All Skus'!$A:$AC,23,FALSE)),""))</f>
        <v>0</v>
      </c>
      <c r="S84" s="212" t="str">
        <f>HYPERLINK((IF((VLOOKUP(Table11[[#This Row],[SKU]],'All Skus'!$A:$AC,2,FALSE))="Soundcraft",(VLOOKUP(Table11[[#This Row],[SKU]],'All Skus'!$A:$AC,24,FALSE)),"")))</f>
        <v/>
      </c>
      <c r="T84" s="151">
        <v>82</v>
      </c>
    </row>
    <row r="85" spans="1:20" ht="15" customHeight="1">
      <c r="A85" s="158">
        <v>5029647</v>
      </c>
      <c r="B85" s="159" t="str">
        <f>(IF((VLOOKUP(Table11[[#This Row],[SKU]],'All Skus'!$A:$AC,2,FALSE))="Soundcraft",(VLOOKUP(Table11[[#This Row],[SKU]],'All Skus'!$A:$AC,3,FALSE)),""))</f>
        <v>Si Series Accessories</v>
      </c>
      <c r="C85" s="21">
        <f>(IF((VLOOKUP(Table11[[#This Row],[SKU]],'All Skus'!$A:$AC,2,FALSE))="Soundcraft",(VLOOKUP(Table11[[#This Row],[SKU]],'All Skus'!$A:$AC,4,FALSE)),""))</f>
        <v>5029647</v>
      </c>
      <c r="D85" s="19" t="str">
        <f>(IF((VLOOKUP(Table11[[#This Row],[SKU]],'All Skus'!$A:$AC,2,FALSE))="Soundcraft",(VLOOKUP(Table11[[#This Row],[SKU]],'All Skus'!$A:$AC,5,FALSE)),""))</f>
        <v>SC-SPARES</v>
      </c>
      <c r="E85" s="19">
        <f>(IF((VLOOKUP(Table11[[#This Row],[SKU]],'All Skus'!$A:$AC,2,FALSE))="Soundcraft",(VLOOKUP(Table11[[#This Row],[SKU]],'All Skus'!$A:$AC,6,FALSE)),""))</f>
        <v>0</v>
      </c>
      <c r="F85" s="18">
        <f>(IF((VLOOKUP(Table11[[#This Row],[SKU]],'All Skus'!$A:$AC,2,FALSE))="Soundcraft",(VLOOKUP(Table11[[#This Row],[SKU]],'All Skus'!$A:$AC,7,FALSE)),""))</f>
        <v>0</v>
      </c>
      <c r="G85" s="22" t="str">
        <f>(IF((VLOOKUP(Table11[[#This Row],[SKU]],'All Skus'!$A:$AC,2,FALSE))="Soundcraft",(VLOOKUP(Table11[[#This Row],[SKU]],'All Skus'!$A:$AC,8,FALSE)),""))</f>
        <v>Flightcase for Expression 3 or Performer 3</v>
      </c>
      <c r="H85" s="22" t="str">
        <f>(IF((VLOOKUP(Table11[[#This Row],[SKU]],'All Skus'!$A:$AC,2,FALSE))="Soundcraft",(VLOOKUP(Table11[[#This Row],[SKU]],'All Skus'!$A:$AC,9,FALSE)),""))</f>
        <v>Flightcase for Expression 3 or Performer 3</v>
      </c>
      <c r="I85" s="157">
        <f>(IF((VLOOKUP(Table11[[#This Row],[SKU]],'All Skus'!$A:$AC,2,FALSE))="Soundcraft",(VLOOKUP(Table11[[#This Row],[SKU]],'All Skus'!$A:$AC,10,FALSE)),""))</f>
        <v>954.37</v>
      </c>
      <c r="J85" s="157">
        <f>(IF((VLOOKUP(Table11[[#This Row],[SKU]],'All Skus'!$A:$AC,2,FALSE))="Soundcraft",(VLOOKUP(Table11[[#This Row],[SKU]],'All Skus'!$A:$AC,11,FALSE)),""))</f>
        <v>765</v>
      </c>
      <c r="K85" s="271">
        <f>(IF((VLOOKUP(Table11[[#This Row],[SKU]],'All Skus'!$A:$AC,2,FALSE))="Soundcraft",(VLOOKUP(Table11[[#This Row],[SKU]],'All Skus'!$A:$AC,16,FALSE)),""))</f>
        <v>0</v>
      </c>
      <c r="L85" s="239">
        <f>(IF((VLOOKUP(Table11[[#This Row],[SKU]],'All Skus'!$A:$AC,2,FALSE))="Soundcraft",(VLOOKUP(Table11[[#This Row],[SKU]],'All Skus'!$A:$AC,17,FALSE)),""))</f>
        <v>0</v>
      </c>
      <c r="M85" s="239">
        <f>(IF((VLOOKUP(Table11[[#This Row],[SKU]],'All Skus'!$A:$AC,2,FALSE))="Soundcraft",(VLOOKUP(Table11[[#This Row],[SKU]],'All Skus'!$A:$AC,18,FALSE)),""))</f>
        <v>35</v>
      </c>
      <c r="N85" s="147">
        <f>(IF((VLOOKUP(Table11[[#This Row],[SKU]],'All Skus'!$A:$AC,2,FALSE))="Soundcraft",(VLOOKUP(Table11[[#This Row],[SKU]],'All Skus'!$A:$AC,19,FALSE)),""))</f>
        <v>45</v>
      </c>
      <c r="O85" s="147">
        <f>(IF((VLOOKUP(Table11[[#This Row],[SKU]],'All Skus'!$A:$AC,2,FALSE))="Soundcraft",(VLOOKUP(Table11[[#This Row],[SKU]],'All Skus'!$A:$AC,20,FALSE)),""))</f>
        <v>45</v>
      </c>
      <c r="P85" s="240">
        <f>(IF((VLOOKUP(Table11[[#This Row],[SKU]],'All Skus'!$A:$AC,2,FALSE))="Soundcraft",(VLOOKUP(Table11[[#This Row],[SKU]],'All Skus'!$A:$AC,21,FALSE)),""))</f>
        <v>20</v>
      </c>
      <c r="Q85" s="61" t="str">
        <f>(IF((VLOOKUP(Table11[[#This Row],[SKU]],'All Skus'!$A:$AC,2,FALSE))="Soundcraft",(VLOOKUP(Table11[[#This Row],[SKU]],'All Skus'!$A:$AC,22,FALSE)),""))</f>
        <v>CN</v>
      </c>
      <c r="R85" s="61">
        <f>(IF((VLOOKUP(Table11[[#This Row],[SKU]],'All Skus'!$A:$AC,2,FALSE))="Soundcraft",(VLOOKUP(Table11[[#This Row],[SKU]],'All Skus'!$A:$AC,23,FALSE)),""))</f>
        <v>0</v>
      </c>
      <c r="S85" s="212" t="str">
        <f>HYPERLINK((IF((VLOOKUP(Table11[[#This Row],[SKU]],'All Skus'!$A:$AC,2,FALSE))="Soundcraft",(VLOOKUP(Table11[[#This Row],[SKU]],'All Skus'!$A:$AC,24,FALSE)),"")))</f>
        <v/>
      </c>
      <c r="T85" s="151">
        <v>83</v>
      </c>
    </row>
    <row r="86" spans="1:20" ht="15" customHeight="1">
      <c r="A86" s="158" t="s">
        <v>2448</v>
      </c>
      <c r="B86" s="159" t="str">
        <f>(IF((VLOOKUP(Table11[[#This Row],[SKU]],'All Skus'!$A:$AC,2,FALSE))="Soundcraft",(VLOOKUP(Table11[[#This Row],[SKU]],'All Skus'!$A:$AC,3,FALSE)),""))</f>
        <v>Si Series Option Cards</v>
      </c>
      <c r="C86" s="21" t="str">
        <f>(IF((VLOOKUP(Table11[[#This Row],[SKU]],'All Skus'!$A:$AC,2,FALSE))="Soundcraft",(VLOOKUP(Table11[[#This Row],[SKU]],'All Skus'!$A:$AC,4,FALSE)),""))</f>
        <v>5019983.v</v>
      </c>
      <c r="D86" s="19">
        <f>(IF((VLOOKUP(Table11[[#This Row],[SKU]],'All Skus'!$A:$AC,2,FALSE))="Soundcraft",(VLOOKUP(Table11[[#This Row],[SKU]],'All Skus'!$A:$AC,5,FALSE)),""))</f>
        <v>83100300</v>
      </c>
      <c r="E86" s="19">
        <f>(IF((VLOOKUP(Table11[[#This Row],[SKU]],'All Skus'!$A:$AC,2,FALSE))="Soundcraft",(VLOOKUP(Table11[[#This Row],[SKU]],'All Skus'!$A:$AC,6,FALSE)),""))</f>
        <v>0</v>
      </c>
      <c r="F86" s="18">
        <f>(IF((VLOOKUP(Table11[[#This Row],[SKU]],'All Skus'!$A:$AC,2,FALSE))="Soundcraft",(VLOOKUP(Table11[[#This Row],[SKU]],'All Skus'!$A:$AC,7,FALSE)),""))</f>
        <v>0</v>
      </c>
      <c r="G86" s="22" t="str">
        <f>(IF((VLOOKUP(Table11[[#This Row],[SKU]],'All Skus'!$A:$AC,2,FALSE))="Soundcraft",(VLOOKUP(Table11[[#This Row],[SKU]],'All Skus'!$A:$AC,8,FALSE)),""))</f>
        <v>SI SINGLE MODE MADI CARD,TSPR</v>
      </c>
      <c r="H86" s="22" t="str">
        <f>(IF((VLOOKUP(Table11[[#This Row],[SKU]],'All Skus'!$A:$AC,2,FALSE))="Soundcraft",(VLOOKUP(Table11[[#This Row],[SKU]],'All Skus'!$A:$AC,9,FALSE)),""))</f>
        <v xml:space="preserve">Single mode Optical MADI Card </v>
      </c>
      <c r="I86" s="157">
        <f>(IF((VLOOKUP(Table11[[#This Row],[SKU]],'All Skus'!$A:$AC,2,FALSE))="Soundcraft",(VLOOKUP(Table11[[#This Row],[SKU]],'All Skus'!$A:$AC,10,FALSE)),""))</f>
        <v>1112.75</v>
      </c>
      <c r="J86" s="157">
        <f>(IF((VLOOKUP(Table11[[#This Row],[SKU]],'All Skus'!$A:$AC,2,FALSE))="Soundcraft",(VLOOKUP(Table11[[#This Row],[SKU]],'All Skus'!$A:$AC,11,FALSE)),""))</f>
        <v>895</v>
      </c>
      <c r="K86" s="271">
        <f>(IF((VLOOKUP(Table11[[#This Row],[SKU]],'All Skus'!$A:$AC,2,FALSE))="Soundcraft",(VLOOKUP(Table11[[#This Row],[SKU]],'All Skus'!$A:$AC,16,FALSE)),""))</f>
        <v>688705003573</v>
      </c>
      <c r="L86" s="239">
        <f>(IF((VLOOKUP(Table11[[#This Row],[SKU]],'All Skus'!$A:$AC,2,FALSE))="Soundcraft",(VLOOKUP(Table11[[#This Row],[SKU]],'All Skus'!$A:$AC,17,FALSE)),""))</f>
        <v>0</v>
      </c>
      <c r="M86" s="239">
        <f>(IF((VLOOKUP(Table11[[#This Row],[SKU]],'All Skus'!$A:$AC,2,FALSE))="Soundcraft",(VLOOKUP(Table11[[#This Row],[SKU]],'All Skus'!$A:$AC,18,FALSE)),""))</f>
        <v>5</v>
      </c>
      <c r="N86" s="147">
        <f>(IF((VLOOKUP(Table11[[#This Row],[SKU]],'All Skus'!$A:$AC,2,FALSE))="Soundcraft",(VLOOKUP(Table11[[#This Row],[SKU]],'All Skus'!$A:$AC,19,FALSE)),""))</f>
        <v>12</v>
      </c>
      <c r="O86" s="147">
        <f>(IF((VLOOKUP(Table11[[#This Row],[SKU]],'All Skus'!$A:$AC,2,FALSE))="Soundcraft",(VLOOKUP(Table11[[#This Row],[SKU]],'All Skus'!$A:$AC,20,FALSE)),""))</f>
        <v>24</v>
      </c>
      <c r="P86" s="240">
        <f>(IF((VLOOKUP(Table11[[#This Row],[SKU]],'All Skus'!$A:$AC,2,FALSE))="Soundcraft",(VLOOKUP(Table11[[#This Row],[SKU]],'All Skus'!$A:$AC,21,FALSE)),""))</f>
        <v>12</v>
      </c>
      <c r="Q86" s="61">
        <f>(IF((VLOOKUP(Table11[[#This Row],[SKU]],'All Skus'!$A:$AC,2,FALSE))="Soundcraft",(VLOOKUP(Table11[[#This Row],[SKU]],'All Skus'!$A:$AC,22,FALSE)),""))</f>
        <v>0</v>
      </c>
      <c r="R86" s="61" t="str">
        <f>(IF((VLOOKUP(Table11[[#This Row],[SKU]],'All Skus'!$A:$AC,2,FALSE))="Soundcraft",(VLOOKUP(Table11[[#This Row],[SKU]],'All Skus'!$A:$AC,23,FALSE)),""))</f>
        <v>Compliant</v>
      </c>
      <c r="S86" s="212" t="str">
        <f>HYPERLINK((IF((VLOOKUP(Table11[[#This Row],[SKU]],'All Skus'!$A:$AC,2,FALSE))="Soundcraft",(VLOOKUP(Table11[[#This Row],[SKU]],'All Skus'!$A:$AC,24,FALSE)),"")))</f>
        <v>http://www.soundcraft.com/products/si-option-cards</v>
      </c>
      <c r="T86" s="151">
        <v>84</v>
      </c>
    </row>
    <row r="87" spans="1:20" ht="15" customHeight="1">
      <c r="A87" s="158" t="s">
        <v>2449</v>
      </c>
      <c r="B87" s="159" t="str">
        <f>(IF((VLOOKUP(Table11[[#This Row],[SKU]],'All Skus'!$A:$AC,2,FALSE))="Soundcraft",(VLOOKUP(Table11[[#This Row],[SKU]],'All Skus'!$A:$AC,3,FALSE)),""))</f>
        <v>Si Series Option Cards</v>
      </c>
      <c r="C87" s="21" t="str">
        <f>(IF((VLOOKUP(Table11[[#This Row],[SKU]],'All Skus'!$A:$AC,2,FALSE))="Soundcraft",(VLOOKUP(Table11[[#This Row],[SKU]],'All Skus'!$A:$AC,4,FALSE)),""))</f>
        <v>5031819.v</v>
      </c>
      <c r="D87" s="19" t="str">
        <f>(IF((VLOOKUP(Table11[[#This Row],[SKU]],'All Skus'!$A:$AC,2,FALSE))="Soundcraft",(VLOOKUP(Table11[[#This Row],[SKU]],'All Skus'!$A:$AC,5,FALSE)),""))</f>
        <v>SC-SPARES</v>
      </c>
      <c r="E87" s="19">
        <f>(IF((VLOOKUP(Table11[[#This Row],[SKU]],'All Skus'!$A:$AC,2,FALSE))="Soundcraft",(VLOOKUP(Table11[[#This Row],[SKU]],'All Skus'!$A:$AC,6,FALSE)),""))</f>
        <v>0</v>
      </c>
      <c r="F87" s="18">
        <f>(IF((VLOOKUP(Table11[[#This Row],[SKU]],'All Skus'!$A:$AC,2,FALSE))="Soundcraft",(VLOOKUP(Table11[[#This Row],[SKU]],'All Skus'!$A:$AC,7,FALSE)),""))</f>
        <v>0</v>
      </c>
      <c r="G87" s="22" t="str">
        <f>(IF((VLOOKUP(Table11[[#This Row],[SKU]],'All Skus'!$A:$AC,2,FALSE))="Soundcraft",(VLOOKUP(Table11[[#This Row],[SKU]],'All Skus'!$A:$AC,8,FALSE)),""))</f>
        <v>SCR,Si Dante Option Card Module Spare</v>
      </c>
      <c r="H87" s="22" t="str">
        <f>(IF((VLOOKUP(Table11[[#This Row],[SKU]],'All Skus'!$A:$AC,2,FALSE))="Soundcraft",(VLOOKUP(Table11[[#This Row],[SKU]],'All Skus'!$A:$AC,9,FALSE)),""))</f>
        <v>Dual port Cat 5 Dante  card</v>
      </c>
      <c r="I87" s="157">
        <f>(IF((VLOOKUP(Table11[[#This Row],[SKU]],'All Skus'!$A:$AC,2,FALSE))="Soundcraft",(VLOOKUP(Table11[[#This Row],[SKU]],'All Skus'!$A:$AC,10,FALSE)),""))</f>
        <v>1526.18</v>
      </c>
      <c r="J87" s="157">
        <f>(IF((VLOOKUP(Table11[[#This Row],[SKU]],'All Skus'!$A:$AC,2,FALSE))="Soundcraft",(VLOOKUP(Table11[[#This Row],[SKU]],'All Skus'!$A:$AC,11,FALSE)),""))</f>
        <v>1225</v>
      </c>
      <c r="K87" s="271">
        <f>(IF((VLOOKUP(Table11[[#This Row],[SKU]],'All Skus'!$A:$AC,2,FALSE))="Soundcraft",(VLOOKUP(Table11[[#This Row],[SKU]],'All Skus'!$A:$AC,16,FALSE)),""))</f>
        <v>688705000398</v>
      </c>
      <c r="L87" s="239">
        <f>(IF((VLOOKUP(Table11[[#This Row],[SKU]],'All Skus'!$A:$AC,2,FALSE))="Soundcraft",(VLOOKUP(Table11[[#This Row],[SKU]],'All Skus'!$A:$AC,17,FALSE)),""))</f>
        <v>0</v>
      </c>
      <c r="M87" s="239">
        <f>(IF((VLOOKUP(Table11[[#This Row],[SKU]],'All Skus'!$A:$AC,2,FALSE))="Soundcraft",(VLOOKUP(Table11[[#This Row],[SKU]],'All Skus'!$A:$AC,18,FALSE)),""))</f>
        <v>1</v>
      </c>
      <c r="N87" s="147">
        <f>(IF((VLOOKUP(Table11[[#This Row],[SKU]],'All Skus'!$A:$AC,2,FALSE))="Soundcraft",(VLOOKUP(Table11[[#This Row],[SKU]],'All Skus'!$A:$AC,19,FALSE)),""))</f>
        <v>14</v>
      </c>
      <c r="O87" s="147">
        <f>(IF((VLOOKUP(Table11[[#This Row],[SKU]],'All Skus'!$A:$AC,2,FALSE))="Soundcraft",(VLOOKUP(Table11[[#This Row],[SKU]],'All Skus'!$A:$AC,20,FALSE)),""))</f>
        <v>8</v>
      </c>
      <c r="P87" s="240">
        <f>(IF((VLOOKUP(Table11[[#This Row],[SKU]],'All Skus'!$A:$AC,2,FALSE))="Soundcraft",(VLOOKUP(Table11[[#This Row],[SKU]],'All Skus'!$A:$AC,21,FALSE)),""))</f>
        <v>14</v>
      </c>
      <c r="Q87" s="61" t="str">
        <f>(IF((VLOOKUP(Table11[[#This Row],[SKU]],'All Skus'!$A:$AC,2,FALSE))="Soundcraft",(VLOOKUP(Table11[[#This Row],[SKU]],'All Skus'!$A:$AC,22,FALSE)),""))</f>
        <v>CN</v>
      </c>
      <c r="R87" s="61" t="str">
        <f>(IF((VLOOKUP(Table11[[#This Row],[SKU]],'All Skus'!$A:$AC,2,FALSE))="Soundcraft",(VLOOKUP(Table11[[#This Row],[SKU]],'All Skus'!$A:$AC,23,FALSE)),""))</f>
        <v>Compliant</v>
      </c>
      <c r="S87" s="212" t="str">
        <f>HYPERLINK((IF((VLOOKUP(Table11[[#This Row],[SKU]],'All Skus'!$A:$AC,2,FALSE))="Soundcraft",(VLOOKUP(Table11[[#This Row],[SKU]],'All Skus'!$A:$AC,24,FALSE)),"")))</f>
        <v>http://www.soundcraft.com/products/si-option-cards</v>
      </c>
      <c r="T87" s="151">
        <v>85</v>
      </c>
    </row>
    <row r="88" spans="1:20" ht="15" customHeight="1">
      <c r="A88" s="158" t="s">
        <v>2450</v>
      </c>
      <c r="B88" s="159" t="str">
        <f>(IF((VLOOKUP(Table11[[#This Row],[SKU]],'All Skus'!$A:$AC,2,FALSE))="Soundcraft",(VLOOKUP(Table11[[#This Row],[SKU]],'All Skus'!$A:$AC,3,FALSE)),""))</f>
        <v>Si Series Option Cards</v>
      </c>
      <c r="C88" s="21" t="str">
        <f>(IF((VLOOKUP(Table11[[#This Row],[SKU]],'All Skus'!$A:$AC,2,FALSE))="Soundcraft",(VLOOKUP(Table11[[#This Row],[SKU]],'All Skus'!$A:$AC,4,FALSE)),""))</f>
        <v>5046678.V</v>
      </c>
      <c r="D88" s="19" t="str">
        <f>(IF((VLOOKUP(Table11[[#This Row],[SKU]],'All Skus'!$A:$AC,2,FALSE))="Soundcraft",(VLOOKUP(Table11[[#This Row],[SKU]],'All Skus'!$A:$AC,5,FALSE)),""))</f>
        <v>SC-SI</v>
      </c>
      <c r="E88" s="19">
        <f>(IF((VLOOKUP(Table11[[#This Row],[SKU]],'All Skus'!$A:$AC,2,FALSE))="Soundcraft",(VLOOKUP(Table11[[#This Row],[SKU]],'All Skus'!$A:$AC,6,FALSE)),""))</f>
        <v>0</v>
      </c>
      <c r="F88" s="18">
        <f>(IF((VLOOKUP(Table11[[#This Row],[SKU]],'All Skus'!$A:$AC,2,FALSE))="Soundcraft",(VLOOKUP(Table11[[#This Row],[SKU]],'All Skus'!$A:$AC,7,FALSE)),""))</f>
        <v>0</v>
      </c>
      <c r="G88" s="22" t="str">
        <f>(IF((VLOOKUP(Table11[[#This Row],[SKU]],'All Skus'!$A:$AC,2,FALSE))="Soundcraft",(VLOOKUP(Table11[[#This Row],[SKU]],'All Skus'!$A:$AC,8,FALSE)),""))</f>
        <v>SCR,SI MADI-USB COMBO CARD MODULE TSPR</v>
      </c>
      <c r="H88" s="22" t="str">
        <f>(IF((VLOOKUP(Table11[[#This Row],[SKU]],'All Skus'!$A:$AC,2,FALSE))="Soundcraft",(VLOOKUP(Table11[[#This Row],[SKU]],'All Skus'!$A:$AC,9,FALSE)),""))</f>
        <v>32CH MADI + 32CH USB Si Option card for simaltaneous Stagebox and Record</v>
      </c>
      <c r="I88" s="157">
        <f>(IF((VLOOKUP(Table11[[#This Row],[SKU]],'All Skus'!$A:$AC,2,FALSE))="Soundcraft",(VLOOKUP(Table11[[#This Row],[SKU]],'All Skus'!$A:$AC,10,FALSE)),""))</f>
        <v>448.97</v>
      </c>
      <c r="J88" s="157">
        <f>(IF((VLOOKUP(Table11[[#This Row],[SKU]],'All Skus'!$A:$AC,2,FALSE))="Soundcraft",(VLOOKUP(Table11[[#This Row],[SKU]],'All Skus'!$A:$AC,11,FALSE)),""))</f>
        <v>399</v>
      </c>
      <c r="K88" s="271">
        <f>(IF((VLOOKUP(Table11[[#This Row],[SKU]],'All Skus'!$A:$AC,2,FALSE))="Soundcraft",(VLOOKUP(Table11[[#This Row],[SKU]],'All Skus'!$A:$AC,16,FALSE)),""))</f>
        <v>688705001944</v>
      </c>
      <c r="L88" s="239">
        <f>(IF((VLOOKUP(Table11[[#This Row],[SKU]],'All Skus'!$A:$AC,2,FALSE))="Soundcraft",(VLOOKUP(Table11[[#This Row],[SKU]],'All Skus'!$A:$AC,17,FALSE)),""))</f>
        <v>0</v>
      </c>
      <c r="M88" s="239">
        <f>(IF((VLOOKUP(Table11[[#This Row],[SKU]],'All Skus'!$A:$AC,2,FALSE))="Soundcraft",(VLOOKUP(Table11[[#This Row],[SKU]],'All Skus'!$A:$AC,18,FALSE)),""))</f>
        <v>1</v>
      </c>
      <c r="N88" s="147">
        <f>(IF((VLOOKUP(Table11[[#This Row],[SKU]],'All Skus'!$A:$AC,2,FALSE))="Soundcraft",(VLOOKUP(Table11[[#This Row],[SKU]],'All Skus'!$A:$AC,19,FALSE)),""))</f>
        <v>10</v>
      </c>
      <c r="O88" s="147">
        <f>(IF((VLOOKUP(Table11[[#This Row],[SKU]],'All Skus'!$A:$AC,2,FALSE))="Soundcraft",(VLOOKUP(Table11[[#This Row],[SKU]],'All Skus'!$A:$AC,20,FALSE)),""))</f>
        <v>10</v>
      </c>
      <c r="P88" s="240">
        <f>(IF((VLOOKUP(Table11[[#This Row],[SKU]],'All Skus'!$A:$AC,2,FALSE))="Soundcraft",(VLOOKUP(Table11[[#This Row],[SKU]],'All Skus'!$A:$AC,21,FALSE)),""))</f>
        <v>14.25</v>
      </c>
      <c r="Q88" s="61" t="str">
        <f>(IF((VLOOKUP(Table11[[#This Row],[SKU]],'All Skus'!$A:$AC,2,FALSE))="Soundcraft",(VLOOKUP(Table11[[#This Row],[SKU]],'All Skus'!$A:$AC,22,FALSE)),""))</f>
        <v>CN</v>
      </c>
      <c r="R88" s="61" t="str">
        <f>(IF((VLOOKUP(Table11[[#This Row],[SKU]],'All Skus'!$A:$AC,2,FALSE))="Soundcraft",(VLOOKUP(Table11[[#This Row],[SKU]],'All Skus'!$A:$AC,23,FALSE)),""))</f>
        <v>Compliant</v>
      </c>
      <c r="S88" s="212" t="str">
        <f>HYPERLINK((IF((VLOOKUP(Table11[[#This Row],[SKU]],'All Skus'!$A:$AC,2,FALSE))="Soundcraft",(VLOOKUP(Table11[[#This Row],[SKU]],'All Skus'!$A:$AC,24,FALSE)),"")))</f>
        <v>http://www.soundcraft.com/products/si-option-cards</v>
      </c>
      <c r="T88" s="151">
        <v>86</v>
      </c>
    </row>
    <row r="89" spans="1:20" ht="15" customHeight="1">
      <c r="A89" s="13" t="s">
        <v>844</v>
      </c>
      <c r="B89" s="159" t="str">
        <f>(IF((VLOOKUP(Table11[[#This Row],[SKU]],'All Skus'!$A:$AC,2,FALSE))="Soundcraft",(VLOOKUP(Table11[[#This Row],[SKU]],'All Skus'!$A:$AC,3,FALSE)),""))</f>
        <v/>
      </c>
      <c r="C89" s="21" t="str">
        <f>(IF((VLOOKUP(Table11[[#This Row],[SKU]],'All Skus'!$A:$AC,2,FALSE))="Soundcraft",(VLOOKUP(Table11[[#This Row],[SKU]],'All Skus'!$A:$AC,4,FALSE)),""))</f>
        <v/>
      </c>
      <c r="D89" s="19" t="str">
        <f>(IF((VLOOKUP(Table11[[#This Row],[SKU]],'All Skus'!$A:$AC,2,FALSE))="Soundcraft",(VLOOKUP(Table11[[#This Row],[SKU]],'All Skus'!$A:$AC,5,FALSE)),""))</f>
        <v/>
      </c>
      <c r="E89" s="19" t="str">
        <f>(IF((VLOOKUP(Table11[[#This Row],[SKU]],'All Skus'!$A:$AC,2,FALSE))="Soundcraft",(VLOOKUP(Table11[[#This Row],[SKU]],'All Skus'!$A:$AC,6,FALSE)),""))</f>
        <v/>
      </c>
      <c r="F89" s="18" t="str">
        <f>(IF((VLOOKUP(Table11[[#This Row],[SKU]],'All Skus'!$A:$AC,2,FALSE))="Soundcraft",(VLOOKUP(Table11[[#This Row],[SKU]],'All Skus'!$A:$AC,7,FALSE)),""))</f>
        <v/>
      </c>
      <c r="G89" s="22" t="str">
        <f>(IF((VLOOKUP(Table11[[#This Row],[SKU]],'All Skus'!$A:$AC,2,FALSE))="Soundcraft",(VLOOKUP(Table11[[#This Row],[SKU]],'All Skus'!$A:$AC,8,FALSE)),""))</f>
        <v/>
      </c>
      <c r="H89" s="22" t="str">
        <f>(IF((VLOOKUP(Table11[[#This Row],[SKU]],'All Skus'!$A:$AC,2,FALSE))="Soundcraft",(VLOOKUP(Table11[[#This Row],[SKU]],'All Skus'!$A:$AC,9,FALSE)),""))</f>
        <v/>
      </c>
      <c r="I89" s="157" t="str">
        <f>(IF((VLOOKUP(Table11[[#This Row],[SKU]],'All Skus'!$A:$AC,2,FALSE))="Soundcraft",(VLOOKUP(Table11[[#This Row],[SKU]],'All Skus'!$A:$AC,10,FALSE)),""))</f>
        <v/>
      </c>
      <c r="J89" s="157" t="str">
        <f>(IF((VLOOKUP(Table11[[#This Row],[SKU]],'All Skus'!$A:$AC,2,FALSE))="Soundcraft",(VLOOKUP(Table11[[#This Row],[SKU]],'All Skus'!$A:$AC,11,FALSE)),""))</f>
        <v/>
      </c>
      <c r="K89" s="271" t="str">
        <f>(IF((VLOOKUP(Table11[[#This Row],[SKU]],'All Skus'!$A:$AC,2,FALSE))="Soundcraft",(VLOOKUP(Table11[[#This Row],[SKU]],'All Skus'!$A:$AC,16,FALSE)),""))</f>
        <v/>
      </c>
      <c r="L89" s="239" t="str">
        <f>(IF((VLOOKUP(Table11[[#This Row],[SKU]],'All Skus'!$A:$AC,2,FALSE))="Soundcraft",(VLOOKUP(Table11[[#This Row],[SKU]],'All Skus'!$A:$AC,17,FALSE)),""))</f>
        <v/>
      </c>
      <c r="M89" s="239" t="str">
        <f>(IF((VLOOKUP(Table11[[#This Row],[SKU]],'All Skus'!$A:$AC,2,FALSE))="Soundcraft",(VLOOKUP(Table11[[#This Row],[SKU]],'All Skus'!$A:$AC,18,FALSE)),""))</f>
        <v/>
      </c>
      <c r="N89" s="147" t="str">
        <f>(IF((VLOOKUP(Table11[[#This Row],[SKU]],'All Skus'!$A:$AC,2,FALSE))="Soundcraft",(VLOOKUP(Table11[[#This Row],[SKU]],'All Skus'!$A:$AC,19,FALSE)),""))</f>
        <v/>
      </c>
      <c r="O89" s="147" t="str">
        <f>(IF((VLOOKUP(Table11[[#This Row],[SKU]],'All Skus'!$A:$AC,2,FALSE))="Soundcraft",(VLOOKUP(Table11[[#This Row],[SKU]],'All Skus'!$A:$AC,20,FALSE)),""))</f>
        <v/>
      </c>
      <c r="P89" s="240" t="str">
        <f>(IF((VLOOKUP(Table11[[#This Row],[SKU]],'All Skus'!$A:$AC,2,FALSE))="Soundcraft",(VLOOKUP(Table11[[#This Row],[SKU]],'All Skus'!$A:$AC,21,FALSE)),""))</f>
        <v/>
      </c>
      <c r="Q89" s="61" t="str">
        <f>(IF((VLOOKUP(Table11[[#This Row],[SKU]],'All Skus'!$A:$AC,2,FALSE))="Soundcraft",(VLOOKUP(Table11[[#This Row],[SKU]],'All Skus'!$A:$AC,22,FALSE)),""))</f>
        <v/>
      </c>
      <c r="R89" s="61" t="str">
        <f>(IF((VLOOKUP(Table11[[#This Row],[SKU]],'All Skus'!$A:$AC,2,FALSE))="Soundcraft",(VLOOKUP(Table11[[#This Row],[SKU]],'All Skus'!$A:$AC,23,FALSE)),""))</f>
        <v/>
      </c>
      <c r="S89" s="212" t="str">
        <f>HYPERLINK((IF((VLOOKUP(Table11[[#This Row],[SKU]],'All Skus'!$A:$AC,2,FALSE))="Soundcraft",(VLOOKUP(Table11[[#This Row],[SKU]],'All Skus'!$A:$AC,24,FALSE)),"")))</f>
        <v/>
      </c>
      <c r="T89" s="151">
        <v>87</v>
      </c>
    </row>
    <row r="90" spans="1:20" ht="15" customHeight="1">
      <c r="A90" s="158" t="s">
        <v>2451</v>
      </c>
      <c r="B90" s="159" t="str">
        <f>(IF((VLOOKUP(Table11[[#This Row],[SKU]],'All Skus'!$A:$AC,2,FALSE))="Soundcraft",(VLOOKUP(Table11[[#This Row],[SKU]],'All Skus'!$A:$AC,3,FALSE)),""))</f>
        <v>Si Series Option Cards</v>
      </c>
      <c r="C90" s="21" t="str">
        <f>(IF((VLOOKUP(Table11[[#This Row],[SKU]],'All Skus'!$A:$AC,2,FALSE))="Soundcraft",(VLOOKUP(Table11[[#This Row],[SKU]],'All Skus'!$A:$AC,4,FALSE)),""))</f>
        <v>A520.001000SP</v>
      </c>
      <c r="D90" s="19" t="str">
        <f>(IF((VLOOKUP(Table11[[#This Row],[SKU]],'All Skus'!$A:$AC,2,FALSE))="Soundcraft",(VLOOKUP(Table11[[#This Row],[SKU]],'All Skus'!$A:$AC,5,FALSE)),""))</f>
        <v>SC-SPARES</v>
      </c>
      <c r="E90" s="19">
        <f>(IF((VLOOKUP(Table11[[#This Row],[SKU]],'All Skus'!$A:$AC,2,FALSE))="Soundcraft",(VLOOKUP(Table11[[#This Row],[SKU]],'All Skus'!$A:$AC,6,FALSE)),""))</f>
        <v>0</v>
      </c>
      <c r="F90" s="18">
        <f>(IF((VLOOKUP(Table11[[#This Row],[SKU]],'All Skus'!$A:$AC,2,FALSE))="Soundcraft",(VLOOKUP(Table11[[#This Row],[SKU]],'All Skus'!$A:$AC,7,FALSE)),""))</f>
        <v>0</v>
      </c>
      <c r="G90" s="22" t="str">
        <f>(IF((VLOOKUP(Table11[[#This Row],[SKU]],'All Skus'!$A:$AC,2,FALSE))="Soundcraft",(VLOOKUP(Table11[[#This Row],[SKU]],'All Skus'!$A:$AC,8,FALSE)),""))</f>
        <v>SI OPTICAL MADI CARD SPARE Module</v>
      </c>
      <c r="H90" s="22" t="str">
        <f>(IF((VLOOKUP(Table11[[#This Row],[SKU]],'All Skus'!$A:$AC,2,FALSE))="Soundcraft",(VLOOKUP(Table11[[#This Row],[SKU]],'All Skus'!$A:$AC,9,FALSE)),""))</f>
        <v>Multi mode Optical MADI Card (note ships with MSB as standard, order for CSB)</v>
      </c>
      <c r="I90" s="157">
        <f>(IF((VLOOKUP(Table11[[#This Row],[SKU]],'All Skus'!$A:$AC,2,FALSE))="Soundcraft",(VLOOKUP(Table11[[#This Row],[SKU]],'All Skus'!$A:$AC,10,FALSE)),""))</f>
        <v>960.37</v>
      </c>
      <c r="J90" s="157">
        <f>(IF((VLOOKUP(Table11[[#This Row],[SKU]],'All Skus'!$A:$AC,2,FALSE))="Soundcraft",(VLOOKUP(Table11[[#This Row],[SKU]],'All Skus'!$A:$AC,11,FALSE)),""))</f>
        <v>769</v>
      </c>
      <c r="K90" s="271">
        <f>(IF((VLOOKUP(Table11[[#This Row],[SKU]],'All Skus'!$A:$AC,2,FALSE))="Soundcraft",(VLOOKUP(Table11[[#This Row],[SKU]],'All Skus'!$A:$AC,16,FALSE)),""))</f>
        <v>688705003580</v>
      </c>
      <c r="L90" s="239">
        <f>(IF((VLOOKUP(Table11[[#This Row],[SKU]],'All Skus'!$A:$AC,2,FALSE))="Soundcraft",(VLOOKUP(Table11[[#This Row],[SKU]],'All Skus'!$A:$AC,17,FALSE)),""))</f>
        <v>0</v>
      </c>
      <c r="M90" s="239">
        <f>(IF((VLOOKUP(Table11[[#This Row],[SKU]],'All Skus'!$A:$AC,2,FALSE))="Soundcraft",(VLOOKUP(Table11[[#This Row],[SKU]],'All Skus'!$A:$AC,18,FALSE)),""))</f>
        <v>1</v>
      </c>
      <c r="N90" s="147">
        <f>(IF((VLOOKUP(Table11[[#This Row],[SKU]],'All Skus'!$A:$AC,2,FALSE))="Soundcraft",(VLOOKUP(Table11[[#This Row],[SKU]],'All Skus'!$A:$AC,19,FALSE)),""))</f>
        <v>15</v>
      </c>
      <c r="O90" s="147">
        <f>(IF((VLOOKUP(Table11[[#This Row],[SKU]],'All Skus'!$A:$AC,2,FALSE))="Soundcraft",(VLOOKUP(Table11[[#This Row],[SKU]],'All Skus'!$A:$AC,20,FALSE)),""))</f>
        <v>8</v>
      </c>
      <c r="P90" s="240">
        <f>(IF((VLOOKUP(Table11[[#This Row],[SKU]],'All Skus'!$A:$AC,2,FALSE))="Soundcraft",(VLOOKUP(Table11[[#This Row],[SKU]],'All Skus'!$A:$AC,21,FALSE)),""))</f>
        <v>4</v>
      </c>
      <c r="Q90" s="61" t="str">
        <f>(IF((VLOOKUP(Table11[[#This Row],[SKU]],'All Skus'!$A:$AC,2,FALSE))="Soundcraft",(VLOOKUP(Table11[[#This Row],[SKU]],'All Skus'!$A:$AC,22,FALSE)),""))</f>
        <v>CN</v>
      </c>
      <c r="R90" s="61" t="str">
        <f>(IF((VLOOKUP(Table11[[#This Row],[SKU]],'All Skus'!$A:$AC,2,FALSE))="Soundcraft",(VLOOKUP(Table11[[#This Row],[SKU]],'All Skus'!$A:$AC,23,FALSE)),""))</f>
        <v>Compliant</v>
      </c>
      <c r="S90" s="212" t="str">
        <f>HYPERLINK((IF((VLOOKUP(Table11[[#This Row],[SKU]],'All Skus'!$A:$AC,2,FALSE))="Soundcraft",(VLOOKUP(Table11[[#This Row],[SKU]],'All Skus'!$A:$AC,24,FALSE)),"")))</f>
        <v>http://www.soundcraft.com/products/si-option-cards</v>
      </c>
      <c r="T90" s="151">
        <v>88</v>
      </c>
    </row>
    <row r="91" spans="1:20" ht="15" customHeight="1">
      <c r="A91" s="158" t="s">
        <v>2452</v>
      </c>
      <c r="B91" s="159" t="str">
        <f>(IF((VLOOKUP(Table11[[#This Row],[SKU]],'All Skus'!$A:$AC,2,FALSE))="Soundcraft",(VLOOKUP(Table11[[#This Row],[SKU]],'All Skus'!$A:$AC,3,FALSE)),""))</f>
        <v>Si Series Option Cards</v>
      </c>
      <c r="C91" s="21" t="str">
        <f>(IF((VLOOKUP(Table11[[#This Row],[SKU]],'All Skus'!$A:$AC,2,FALSE))="Soundcraft",(VLOOKUP(Table11[[#This Row],[SKU]],'All Skus'!$A:$AC,4,FALSE)),""))</f>
        <v>A520.002000SP</v>
      </c>
      <c r="D91" s="19" t="str">
        <f>(IF((VLOOKUP(Table11[[#This Row],[SKU]],'All Skus'!$A:$AC,2,FALSE))="Soundcraft",(VLOOKUP(Table11[[#This Row],[SKU]],'All Skus'!$A:$AC,5,FALSE)),""))</f>
        <v>SC-SPARES</v>
      </c>
      <c r="E91" s="19">
        <f>(IF((VLOOKUP(Table11[[#This Row],[SKU]],'All Skus'!$A:$AC,2,FALSE))="Soundcraft",(VLOOKUP(Table11[[#This Row],[SKU]],'All Skus'!$A:$AC,6,FALSE)),""))</f>
        <v>0</v>
      </c>
      <c r="F91" s="18">
        <f>(IF((VLOOKUP(Table11[[#This Row],[SKU]],'All Skus'!$A:$AC,2,FALSE))="Soundcraft",(VLOOKUP(Table11[[#This Row],[SKU]],'All Skus'!$A:$AC,7,FALSE)),""))</f>
        <v>0</v>
      </c>
      <c r="G91" s="22" t="str">
        <f>(IF((VLOOKUP(Table11[[#This Row],[SKU]],'All Skus'!$A:$AC,2,FALSE))="Soundcraft",(VLOOKUP(Table11[[#This Row],[SKU]],'All Skus'!$A:$AC,8,FALSE)),""))</f>
        <v>AES/EBU 4+4 XLR card</v>
      </c>
      <c r="H91" s="22" t="str">
        <f>(IF((VLOOKUP(Table11[[#This Row],[SKU]],'All Skus'!$A:$AC,2,FALSE))="Soundcraft",(VLOOKUP(Table11[[#This Row],[SKU]],'All Skus'!$A:$AC,9,FALSE)),""))</f>
        <v>AES/EBU 4+4 XLR card</v>
      </c>
      <c r="I91" s="157">
        <f>(IF((VLOOKUP(Table11[[#This Row],[SKU]],'All Skus'!$A:$AC,2,FALSE))="Soundcraft",(VLOOKUP(Table11[[#This Row],[SKU]],'All Skus'!$A:$AC,10,FALSE)),""))</f>
        <v>808.15</v>
      </c>
      <c r="J91" s="157">
        <f>(IF((VLOOKUP(Table11[[#This Row],[SKU]],'All Skus'!$A:$AC,2,FALSE))="Soundcraft",(VLOOKUP(Table11[[#This Row],[SKU]],'All Skus'!$A:$AC,11,FALSE)),""))</f>
        <v>649</v>
      </c>
      <c r="K91" s="271">
        <f>(IF((VLOOKUP(Table11[[#This Row],[SKU]],'All Skus'!$A:$AC,2,FALSE))="Soundcraft",(VLOOKUP(Table11[[#This Row],[SKU]],'All Skus'!$A:$AC,16,FALSE)),""))</f>
        <v>688705001357</v>
      </c>
      <c r="L91" s="239">
        <f>(IF((VLOOKUP(Table11[[#This Row],[SKU]],'All Skus'!$A:$AC,2,FALSE))="Soundcraft",(VLOOKUP(Table11[[#This Row],[SKU]],'All Skus'!$A:$AC,17,FALSE)),""))</f>
        <v>0</v>
      </c>
      <c r="M91" s="239">
        <f>(IF((VLOOKUP(Table11[[#This Row],[SKU]],'All Skus'!$A:$AC,2,FALSE))="Soundcraft",(VLOOKUP(Table11[[#This Row],[SKU]],'All Skus'!$A:$AC,18,FALSE)),""))</f>
        <v>1</v>
      </c>
      <c r="N91" s="147">
        <f>(IF((VLOOKUP(Table11[[#This Row],[SKU]],'All Skus'!$A:$AC,2,FALSE))="Soundcraft",(VLOOKUP(Table11[[#This Row],[SKU]],'All Skus'!$A:$AC,19,FALSE)),""))</f>
        <v>4.5</v>
      </c>
      <c r="O91" s="147">
        <f>(IF((VLOOKUP(Table11[[#This Row],[SKU]],'All Skus'!$A:$AC,2,FALSE))="Soundcraft",(VLOOKUP(Table11[[#This Row],[SKU]],'All Skus'!$A:$AC,20,FALSE)),""))</f>
        <v>5</v>
      </c>
      <c r="P91" s="240">
        <f>(IF((VLOOKUP(Table11[[#This Row],[SKU]],'All Skus'!$A:$AC,2,FALSE))="Soundcraft",(VLOOKUP(Table11[[#This Row],[SKU]],'All Skus'!$A:$AC,21,FALSE)),""))</f>
        <v>4.5</v>
      </c>
      <c r="Q91" s="61" t="str">
        <f>(IF((VLOOKUP(Table11[[#This Row],[SKU]],'All Skus'!$A:$AC,2,FALSE))="Soundcraft",(VLOOKUP(Table11[[#This Row],[SKU]],'All Skus'!$A:$AC,22,FALSE)),""))</f>
        <v>CN</v>
      </c>
      <c r="R91" s="61" t="str">
        <f>(IF((VLOOKUP(Table11[[#This Row],[SKU]],'All Skus'!$A:$AC,2,FALSE))="Soundcraft",(VLOOKUP(Table11[[#This Row],[SKU]],'All Skus'!$A:$AC,23,FALSE)),""))</f>
        <v>Compliant</v>
      </c>
      <c r="S91" s="212" t="str">
        <f>HYPERLINK((IF((VLOOKUP(Table11[[#This Row],[SKU]],'All Skus'!$A:$AC,2,FALSE))="Soundcraft",(VLOOKUP(Table11[[#This Row],[SKU]],'All Skus'!$A:$AC,24,FALSE)),"")))</f>
        <v>http://www.soundcraft.com/products/si-option-cards</v>
      </c>
      <c r="T91" s="151">
        <v>89</v>
      </c>
    </row>
    <row r="92" spans="1:20" ht="15" customHeight="1">
      <c r="A92" s="158" t="s">
        <v>2453</v>
      </c>
      <c r="B92" s="159" t="str">
        <f>(IF((VLOOKUP(Table11[[#This Row],[SKU]],'All Skus'!$A:$AC,2,FALSE))="Soundcraft",(VLOOKUP(Table11[[#This Row],[SKU]],'All Skus'!$A:$AC,3,FALSE)),""))</f>
        <v>Si Series Option Cards</v>
      </c>
      <c r="C92" s="21" t="str">
        <f>(IF((VLOOKUP(Table11[[#This Row],[SKU]],'All Skus'!$A:$AC,2,FALSE))="Soundcraft",(VLOOKUP(Table11[[#This Row],[SKU]],'All Skus'!$A:$AC,4,FALSE)),""))</f>
        <v>A520.003000SP</v>
      </c>
      <c r="D92" s="19" t="str">
        <f>(IF((VLOOKUP(Table11[[#This Row],[SKU]],'All Skus'!$A:$AC,2,FALSE))="Soundcraft",(VLOOKUP(Table11[[#This Row],[SKU]],'All Skus'!$A:$AC,5,FALSE)),""))</f>
        <v>SC-SPARES</v>
      </c>
      <c r="E92" s="19">
        <f>(IF((VLOOKUP(Table11[[#This Row],[SKU]],'All Skus'!$A:$AC,2,FALSE))="Soundcraft",(VLOOKUP(Table11[[#This Row],[SKU]],'All Skus'!$A:$AC,6,FALSE)),""))</f>
        <v>0</v>
      </c>
      <c r="F92" s="18">
        <f>(IF((VLOOKUP(Table11[[#This Row],[SKU]],'All Skus'!$A:$AC,2,FALSE))="Soundcraft",(VLOOKUP(Table11[[#This Row],[SKU]],'All Skus'!$A:$AC,7,FALSE)),""))</f>
        <v>0</v>
      </c>
      <c r="G92" s="22" t="str">
        <f>(IF((VLOOKUP(Table11[[#This Row],[SKU]],'All Skus'!$A:$AC,2,FALSE))="Soundcraft",(VLOOKUP(Table11[[#This Row],[SKU]],'All Skus'!$A:$AC,8,FALSE)),""))</f>
        <v>AES/EBU 8+8 D type card with Word Clock</v>
      </c>
      <c r="H92" s="22" t="str">
        <f>(IF((VLOOKUP(Table11[[#This Row],[SKU]],'All Skus'!$A:$AC,2,FALSE))="Soundcraft",(VLOOKUP(Table11[[#This Row],[SKU]],'All Skus'!$A:$AC,9,FALSE)),""))</f>
        <v>AES/EBU 8+8 D type card with Word Clock</v>
      </c>
      <c r="I92" s="157">
        <f>(IF((VLOOKUP(Table11[[#This Row],[SKU]],'All Skus'!$A:$AC,2,FALSE))="Soundcraft",(VLOOKUP(Table11[[#This Row],[SKU]],'All Skus'!$A:$AC,10,FALSE)),""))</f>
        <v>847.95</v>
      </c>
      <c r="J92" s="157">
        <f>(IF((VLOOKUP(Table11[[#This Row],[SKU]],'All Skus'!$A:$AC,2,FALSE))="Soundcraft",(VLOOKUP(Table11[[#This Row],[SKU]],'All Skus'!$A:$AC,11,FALSE)),""))</f>
        <v>675</v>
      </c>
      <c r="K92" s="271">
        <f>(IF((VLOOKUP(Table11[[#This Row],[SKU]],'All Skus'!$A:$AC,2,FALSE))="Soundcraft",(VLOOKUP(Table11[[#This Row],[SKU]],'All Skus'!$A:$AC,16,FALSE)),""))</f>
        <v>688705001364</v>
      </c>
      <c r="L92" s="239">
        <f>(IF((VLOOKUP(Table11[[#This Row],[SKU]],'All Skus'!$A:$AC,2,FALSE))="Soundcraft",(VLOOKUP(Table11[[#This Row],[SKU]],'All Skus'!$A:$AC,17,FALSE)),""))</f>
        <v>0</v>
      </c>
      <c r="M92" s="239">
        <f>(IF((VLOOKUP(Table11[[#This Row],[SKU]],'All Skus'!$A:$AC,2,FALSE))="Soundcraft",(VLOOKUP(Table11[[#This Row],[SKU]],'All Skus'!$A:$AC,18,FALSE)),""))</f>
        <v>1</v>
      </c>
      <c r="N92" s="147">
        <f>(IF((VLOOKUP(Table11[[#This Row],[SKU]],'All Skus'!$A:$AC,2,FALSE))="Soundcraft",(VLOOKUP(Table11[[#This Row],[SKU]],'All Skus'!$A:$AC,19,FALSE)),""))</f>
        <v>14.5</v>
      </c>
      <c r="O92" s="147">
        <f>(IF((VLOOKUP(Table11[[#This Row],[SKU]],'All Skus'!$A:$AC,2,FALSE))="Soundcraft",(VLOOKUP(Table11[[#This Row],[SKU]],'All Skus'!$A:$AC,20,FALSE)),""))</f>
        <v>7.5</v>
      </c>
      <c r="P92" s="240">
        <f>(IF((VLOOKUP(Table11[[#This Row],[SKU]],'All Skus'!$A:$AC,2,FALSE))="Soundcraft",(VLOOKUP(Table11[[#This Row],[SKU]],'All Skus'!$A:$AC,21,FALSE)),""))</f>
        <v>4.5</v>
      </c>
      <c r="Q92" s="61">
        <f>(IF((VLOOKUP(Table11[[#This Row],[SKU]],'All Skus'!$A:$AC,2,FALSE))="Soundcraft",(VLOOKUP(Table11[[#This Row],[SKU]],'All Skus'!$A:$AC,22,FALSE)),""))</f>
        <v>0</v>
      </c>
      <c r="R92" s="61" t="str">
        <f>(IF((VLOOKUP(Table11[[#This Row],[SKU]],'All Skus'!$A:$AC,2,FALSE))="Soundcraft",(VLOOKUP(Table11[[#This Row],[SKU]],'All Skus'!$A:$AC,23,FALSE)),""))</f>
        <v>Compliant</v>
      </c>
      <c r="S92" s="212" t="str">
        <f>HYPERLINK((IF((VLOOKUP(Table11[[#This Row],[SKU]],'All Skus'!$A:$AC,2,FALSE))="Soundcraft",(VLOOKUP(Table11[[#This Row],[SKU]],'All Skus'!$A:$AC,24,FALSE)),"")))</f>
        <v>http://www.soundcraft.com/products/si-option-cards</v>
      </c>
      <c r="T92" s="151">
        <v>90</v>
      </c>
    </row>
    <row r="93" spans="1:20" ht="15" customHeight="1">
      <c r="A93" s="158" t="s">
        <v>2454</v>
      </c>
      <c r="B93" s="159" t="str">
        <f>(IF((VLOOKUP(Table11[[#This Row],[SKU]],'All Skus'!$A:$AC,2,FALSE))="Soundcraft",(VLOOKUP(Table11[[#This Row],[SKU]],'All Skus'!$A:$AC,3,FALSE)),""))</f>
        <v>Si Series Option Cards</v>
      </c>
      <c r="C93" s="21" t="str">
        <f>(IF((VLOOKUP(Table11[[#This Row],[SKU]],'All Skus'!$A:$AC,2,FALSE))="Soundcraft",(VLOOKUP(Table11[[#This Row],[SKU]],'All Skus'!$A:$AC,4,FALSE)),""))</f>
        <v>A520.004000SP</v>
      </c>
      <c r="D93" s="19" t="str">
        <f>(IF((VLOOKUP(Table11[[#This Row],[SKU]],'All Skus'!$A:$AC,2,FALSE))="Soundcraft",(VLOOKUP(Table11[[#This Row],[SKU]],'All Skus'!$A:$AC,5,FALSE)),""))</f>
        <v>SC-SPARES</v>
      </c>
      <c r="E93" s="19">
        <f>(IF((VLOOKUP(Table11[[#This Row],[SKU]],'All Skus'!$A:$AC,2,FALSE))="Soundcraft",(VLOOKUP(Table11[[#This Row],[SKU]],'All Skus'!$A:$AC,6,FALSE)),""))</f>
        <v>0</v>
      </c>
      <c r="F93" s="18">
        <f>(IF((VLOOKUP(Table11[[#This Row],[SKU]],'All Skus'!$A:$AC,2,FALSE))="Soundcraft",(VLOOKUP(Table11[[#This Row],[SKU]],'All Skus'!$A:$AC,7,FALSE)),""))</f>
        <v>0</v>
      </c>
      <c r="G93" s="22" t="str">
        <f>(IF((VLOOKUP(Table11[[#This Row],[SKU]],'All Skus'!$A:$AC,2,FALSE))="Soundcraft",(VLOOKUP(Table11[[#This Row],[SKU]],'All Skus'!$A:$AC,8,FALSE)),""))</f>
        <v>Si AVIOM Option Card Spare Module</v>
      </c>
      <c r="H93" s="22" t="str">
        <f>(IF((VLOOKUP(Table11[[#This Row],[SKU]],'All Skus'!$A:$AC,2,FALSE))="Soundcraft",(VLOOKUP(Table11[[#This Row],[SKU]],'All Skus'!$A:$AC,9,FALSE)),""))</f>
        <v>A-Net Aviom Card</v>
      </c>
      <c r="I93" s="157">
        <f>(IF((VLOOKUP(Table11[[#This Row],[SKU]],'All Skus'!$A:$AC,2,FALSE))="Soundcraft",(VLOOKUP(Table11[[#This Row],[SKU]],'All Skus'!$A:$AC,10,FALSE)),""))</f>
        <v>2075.48</v>
      </c>
      <c r="J93" s="157">
        <f>(IF((VLOOKUP(Table11[[#This Row],[SKU]],'All Skus'!$A:$AC,2,FALSE))="Soundcraft",(VLOOKUP(Table11[[#This Row],[SKU]],'All Skus'!$A:$AC,11,FALSE)),""))</f>
        <v>1659</v>
      </c>
      <c r="K93" s="271">
        <f>(IF((VLOOKUP(Table11[[#This Row],[SKU]],'All Skus'!$A:$AC,2,FALSE))="Soundcraft",(VLOOKUP(Table11[[#This Row],[SKU]],'All Skus'!$A:$AC,16,FALSE)),""))</f>
        <v>688705001340</v>
      </c>
      <c r="L93" s="239">
        <f>(IF((VLOOKUP(Table11[[#This Row],[SKU]],'All Skus'!$A:$AC,2,FALSE))="Soundcraft",(VLOOKUP(Table11[[#This Row],[SKU]],'All Skus'!$A:$AC,17,FALSE)),""))</f>
        <v>0</v>
      </c>
      <c r="M93" s="239">
        <f>(IF((VLOOKUP(Table11[[#This Row],[SKU]],'All Skus'!$A:$AC,2,FALSE))="Soundcraft",(VLOOKUP(Table11[[#This Row],[SKU]],'All Skus'!$A:$AC,18,FALSE)),""))</f>
        <v>1</v>
      </c>
      <c r="N93" s="147">
        <f>(IF((VLOOKUP(Table11[[#This Row],[SKU]],'All Skus'!$A:$AC,2,FALSE))="Soundcraft",(VLOOKUP(Table11[[#This Row],[SKU]],'All Skus'!$A:$AC,19,FALSE)),""))</f>
        <v>15</v>
      </c>
      <c r="O93" s="147">
        <f>(IF((VLOOKUP(Table11[[#This Row],[SKU]],'All Skus'!$A:$AC,2,FALSE))="Soundcraft",(VLOOKUP(Table11[[#This Row],[SKU]],'All Skus'!$A:$AC,20,FALSE)),""))</f>
        <v>11</v>
      </c>
      <c r="P93" s="240">
        <f>(IF((VLOOKUP(Table11[[#This Row],[SKU]],'All Skus'!$A:$AC,2,FALSE))="Soundcraft",(VLOOKUP(Table11[[#This Row],[SKU]],'All Skus'!$A:$AC,21,FALSE)),""))</f>
        <v>7.5</v>
      </c>
      <c r="Q93" s="61" t="str">
        <f>(IF((VLOOKUP(Table11[[#This Row],[SKU]],'All Skus'!$A:$AC,2,FALSE))="Soundcraft",(VLOOKUP(Table11[[#This Row],[SKU]],'All Skus'!$A:$AC,22,FALSE)),""))</f>
        <v>CN</v>
      </c>
      <c r="R93" s="61" t="str">
        <f>(IF((VLOOKUP(Table11[[#This Row],[SKU]],'All Skus'!$A:$AC,2,FALSE))="Soundcraft",(VLOOKUP(Table11[[#This Row],[SKU]],'All Skus'!$A:$AC,23,FALSE)),""))</f>
        <v>Compliant</v>
      </c>
      <c r="S93" s="212" t="str">
        <f>HYPERLINK((IF((VLOOKUP(Table11[[#This Row],[SKU]],'All Skus'!$A:$AC,2,FALSE))="Soundcraft",(VLOOKUP(Table11[[#This Row],[SKU]],'All Skus'!$A:$AC,24,FALSE)),"")))</f>
        <v>http://www.soundcraft.com/products/si-option-cards</v>
      </c>
      <c r="T93" s="151">
        <v>91</v>
      </c>
    </row>
    <row r="94" spans="1:20" ht="15" customHeight="1">
      <c r="A94" s="158" t="s">
        <v>2455</v>
      </c>
      <c r="B94" s="159" t="str">
        <f>(IF((VLOOKUP(Table11[[#This Row],[SKU]],'All Skus'!$A:$AC,2,FALSE))="Soundcraft",(VLOOKUP(Table11[[#This Row],[SKU]],'All Skus'!$A:$AC,3,FALSE)),""))</f>
        <v>Si Series Option Cards</v>
      </c>
      <c r="C94" s="21" t="str">
        <f>(IF((VLOOKUP(Table11[[#This Row],[SKU]],'All Skus'!$A:$AC,2,FALSE))="Soundcraft",(VLOOKUP(Table11[[#This Row],[SKU]],'All Skus'!$A:$AC,4,FALSE)),""))</f>
        <v>A520.005000SP</v>
      </c>
      <c r="D94" s="19" t="str">
        <f>(IF((VLOOKUP(Table11[[#This Row],[SKU]],'All Skus'!$A:$AC,2,FALSE))="Soundcraft",(VLOOKUP(Table11[[#This Row],[SKU]],'All Skus'!$A:$AC,5,FALSE)),""))</f>
        <v>SC-SPARES</v>
      </c>
      <c r="E94" s="19">
        <f>(IF((VLOOKUP(Table11[[#This Row],[SKU]],'All Skus'!$A:$AC,2,FALSE))="Soundcraft",(VLOOKUP(Table11[[#This Row],[SKU]],'All Skus'!$A:$AC,6,FALSE)),""))</f>
        <v>0</v>
      </c>
      <c r="F94" s="18">
        <f>(IF((VLOOKUP(Table11[[#This Row],[SKU]],'All Skus'!$A:$AC,2,FALSE))="Soundcraft",(VLOOKUP(Table11[[#This Row],[SKU]],'All Skus'!$A:$AC,7,FALSE)),""))</f>
        <v>0</v>
      </c>
      <c r="G94" s="22" t="str">
        <f>(IF((VLOOKUP(Table11[[#This Row],[SKU]],'All Skus'!$A:$AC,2,FALSE))="Soundcraft",(VLOOKUP(Table11[[#This Row],[SKU]],'All Skus'!$A:$AC,8,FALSE)),""))</f>
        <v>Si CAT5 MADI Option Card Spare Module</v>
      </c>
      <c r="H94" s="22" t="str">
        <f>(IF((VLOOKUP(Table11[[#This Row],[SKU]],'All Skus'!$A:$AC,2,FALSE))="Soundcraft",(VLOOKUP(Table11[[#This Row],[SKU]],'All Skus'!$A:$AC,9,FALSE)),""))</f>
        <v>Cat 5 Dual port MADI (order with CSB)</v>
      </c>
      <c r="I94" s="157">
        <f>(IF((VLOOKUP(Table11[[#This Row],[SKU]],'All Skus'!$A:$AC,2,FALSE))="Soundcraft",(VLOOKUP(Table11[[#This Row],[SKU]],'All Skus'!$A:$AC,10,FALSE)),""))</f>
        <v>1063.9100000000001</v>
      </c>
      <c r="J94" s="157">
        <f>(IF((VLOOKUP(Table11[[#This Row],[SKU]],'All Skus'!$A:$AC,2,FALSE))="Soundcraft",(VLOOKUP(Table11[[#This Row],[SKU]],'All Skus'!$A:$AC,11,FALSE)),""))</f>
        <v>850</v>
      </c>
      <c r="K94" s="271">
        <f>(IF((VLOOKUP(Table11[[#This Row],[SKU]],'All Skus'!$A:$AC,2,FALSE))="Soundcraft",(VLOOKUP(Table11[[#This Row],[SKU]],'All Skus'!$A:$AC,16,FALSE)),""))</f>
        <v>688705001371</v>
      </c>
      <c r="L94" s="239">
        <f>(IF((VLOOKUP(Table11[[#This Row],[SKU]],'All Skus'!$A:$AC,2,FALSE))="Soundcraft",(VLOOKUP(Table11[[#This Row],[SKU]],'All Skus'!$A:$AC,17,FALSE)),""))</f>
        <v>0</v>
      </c>
      <c r="M94" s="239">
        <f>(IF((VLOOKUP(Table11[[#This Row],[SKU]],'All Skus'!$A:$AC,2,FALSE))="Soundcraft",(VLOOKUP(Table11[[#This Row],[SKU]],'All Skus'!$A:$AC,18,FALSE)),""))</f>
        <v>1</v>
      </c>
      <c r="N94" s="147">
        <f>(IF((VLOOKUP(Table11[[#This Row],[SKU]],'All Skus'!$A:$AC,2,FALSE))="Soundcraft",(VLOOKUP(Table11[[#This Row],[SKU]],'All Skus'!$A:$AC,19,FALSE)),""))</f>
        <v>15</v>
      </c>
      <c r="O94" s="147">
        <f>(IF((VLOOKUP(Table11[[#This Row],[SKU]],'All Skus'!$A:$AC,2,FALSE))="Soundcraft",(VLOOKUP(Table11[[#This Row],[SKU]],'All Skus'!$A:$AC,20,FALSE)),""))</f>
        <v>8</v>
      </c>
      <c r="P94" s="240">
        <f>(IF((VLOOKUP(Table11[[#This Row],[SKU]],'All Skus'!$A:$AC,2,FALSE))="Soundcraft",(VLOOKUP(Table11[[#This Row],[SKU]],'All Skus'!$A:$AC,21,FALSE)),""))</f>
        <v>4</v>
      </c>
      <c r="Q94" s="61" t="str">
        <f>(IF((VLOOKUP(Table11[[#This Row],[SKU]],'All Skus'!$A:$AC,2,FALSE))="Soundcraft",(VLOOKUP(Table11[[#This Row],[SKU]],'All Skus'!$A:$AC,22,FALSE)),""))</f>
        <v>CN</v>
      </c>
      <c r="R94" s="61" t="str">
        <f>(IF((VLOOKUP(Table11[[#This Row],[SKU]],'All Skus'!$A:$AC,2,FALSE))="Soundcraft",(VLOOKUP(Table11[[#This Row],[SKU]],'All Skus'!$A:$AC,23,FALSE)),""))</f>
        <v>Compliant</v>
      </c>
      <c r="S94" s="212" t="str">
        <f>HYPERLINK((IF((VLOOKUP(Table11[[#This Row],[SKU]],'All Skus'!$A:$AC,2,FALSE))="Soundcraft",(VLOOKUP(Table11[[#This Row],[SKU]],'All Skus'!$A:$AC,24,FALSE)),"")))</f>
        <v>http://www.soundcraft.com/products/si-option-cards</v>
      </c>
      <c r="T94" s="151">
        <v>92</v>
      </c>
    </row>
    <row r="95" spans="1:20" ht="15" customHeight="1">
      <c r="A95" s="158" t="s">
        <v>2456</v>
      </c>
      <c r="B95" s="159" t="str">
        <f>(IF((VLOOKUP(Table11[[#This Row],[SKU]],'All Skus'!$A:$AC,2,FALSE))="Soundcraft",(VLOOKUP(Table11[[#This Row],[SKU]],'All Skus'!$A:$AC,3,FALSE)),""))</f>
        <v>Si Series Option Cards</v>
      </c>
      <c r="C95" s="21" t="str">
        <f>(IF((VLOOKUP(Table11[[#This Row],[SKU]],'All Skus'!$A:$AC,2,FALSE))="Soundcraft",(VLOOKUP(Table11[[#This Row],[SKU]],'All Skus'!$A:$AC,4,FALSE)),""))</f>
        <v>A520.006000SP</v>
      </c>
      <c r="D95" s="19" t="str">
        <f>(IF((VLOOKUP(Table11[[#This Row],[SKU]],'All Skus'!$A:$AC,2,FALSE))="Soundcraft",(VLOOKUP(Table11[[#This Row],[SKU]],'All Skus'!$A:$AC,5,FALSE)),""))</f>
        <v>SC-SPARES</v>
      </c>
      <c r="E95" s="19">
        <f>(IF((VLOOKUP(Table11[[#This Row],[SKU]],'All Skus'!$A:$AC,2,FALSE))="Soundcraft",(VLOOKUP(Table11[[#This Row],[SKU]],'All Skus'!$A:$AC,6,FALSE)),""))</f>
        <v>0</v>
      </c>
      <c r="F95" s="18">
        <f>(IF((VLOOKUP(Table11[[#This Row],[SKU]],'All Skus'!$A:$AC,2,FALSE))="Soundcraft",(VLOOKUP(Table11[[#This Row],[SKU]],'All Skus'!$A:$AC,7,FALSE)),""))</f>
        <v>0</v>
      </c>
      <c r="G95" s="22" t="str">
        <f>(IF((VLOOKUP(Table11[[#This Row],[SKU]],'All Skus'!$A:$AC,2,FALSE))="Soundcraft",(VLOOKUP(Table11[[#This Row],[SKU]],'All Skus'!$A:$AC,8,FALSE)),""))</f>
        <v>Si CobraNet Option Card Spare Module</v>
      </c>
      <c r="H95" s="22" t="str">
        <f>(IF((VLOOKUP(Table11[[#This Row],[SKU]],'All Skus'!$A:$AC,2,FALSE))="Soundcraft",(VLOOKUP(Table11[[#This Row],[SKU]],'All Skus'!$A:$AC,9,FALSE)),""))</f>
        <v>32 ch Cobranet Card</v>
      </c>
      <c r="I95" s="157">
        <f>(IF((VLOOKUP(Table11[[#This Row],[SKU]],'All Skus'!$A:$AC,2,FALSE))="Soundcraft",(VLOOKUP(Table11[[#This Row],[SKU]],'All Skus'!$A:$AC,10,FALSE)),""))</f>
        <v>1544.1</v>
      </c>
      <c r="J95" s="157">
        <f>(IF((VLOOKUP(Table11[[#This Row],[SKU]],'All Skus'!$A:$AC,2,FALSE))="Soundcraft",(VLOOKUP(Table11[[#This Row],[SKU]],'All Skus'!$A:$AC,11,FALSE)),""))</f>
        <v>1235</v>
      </c>
      <c r="K95" s="271">
        <f>(IF((VLOOKUP(Table11[[#This Row],[SKU]],'All Skus'!$A:$AC,2,FALSE))="Soundcraft",(VLOOKUP(Table11[[#This Row],[SKU]],'All Skus'!$A:$AC,16,FALSE)),""))</f>
        <v>688705001388</v>
      </c>
      <c r="L95" s="239">
        <f>(IF((VLOOKUP(Table11[[#This Row],[SKU]],'All Skus'!$A:$AC,2,FALSE))="Soundcraft",(VLOOKUP(Table11[[#This Row],[SKU]],'All Skus'!$A:$AC,17,FALSE)),""))</f>
        <v>0</v>
      </c>
      <c r="M95" s="239">
        <f>(IF((VLOOKUP(Table11[[#This Row],[SKU]],'All Skus'!$A:$AC,2,FALSE))="Soundcraft",(VLOOKUP(Table11[[#This Row],[SKU]],'All Skus'!$A:$AC,18,FALSE)),""))</f>
        <v>1</v>
      </c>
      <c r="N95" s="147">
        <f>(IF((VLOOKUP(Table11[[#This Row],[SKU]],'All Skus'!$A:$AC,2,FALSE))="Soundcraft",(VLOOKUP(Table11[[#This Row],[SKU]],'All Skus'!$A:$AC,19,FALSE)),""))</f>
        <v>1</v>
      </c>
      <c r="O95" s="147">
        <f>(IF((VLOOKUP(Table11[[#This Row],[SKU]],'All Skus'!$A:$AC,2,FALSE))="Soundcraft",(VLOOKUP(Table11[[#This Row],[SKU]],'All Skus'!$A:$AC,20,FALSE)),""))</f>
        <v>1</v>
      </c>
      <c r="P95" s="240">
        <f>(IF((VLOOKUP(Table11[[#This Row],[SKU]],'All Skus'!$A:$AC,2,FALSE))="Soundcraft",(VLOOKUP(Table11[[#This Row],[SKU]],'All Skus'!$A:$AC,21,FALSE)),""))</f>
        <v>1</v>
      </c>
      <c r="Q95" s="61" t="str">
        <f>(IF((VLOOKUP(Table11[[#This Row],[SKU]],'All Skus'!$A:$AC,2,FALSE))="Soundcraft",(VLOOKUP(Table11[[#This Row],[SKU]],'All Skus'!$A:$AC,22,FALSE)),""))</f>
        <v>CN</v>
      </c>
      <c r="R95" s="61" t="str">
        <f>(IF((VLOOKUP(Table11[[#This Row],[SKU]],'All Skus'!$A:$AC,2,FALSE))="Soundcraft",(VLOOKUP(Table11[[#This Row],[SKU]],'All Skus'!$A:$AC,23,FALSE)),""))</f>
        <v>Compliant</v>
      </c>
      <c r="S95" s="212" t="str">
        <f>HYPERLINK((IF((VLOOKUP(Table11[[#This Row],[SKU]],'All Skus'!$A:$AC,2,FALSE))="Soundcraft",(VLOOKUP(Table11[[#This Row],[SKU]],'All Skus'!$A:$AC,24,FALSE)),"")))</f>
        <v>http://www.soundcraft.com/products/si-option-cards</v>
      </c>
      <c r="T95" s="151">
        <v>93</v>
      </c>
    </row>
    <row r="96" spans="1:20" ht="15" customHeight="1">
      <c r="A96" s="158">
        <v>5044496</v>
      </c>
      <c r="B96" s="159" t="str">
        <f>(IF((VLOOKUP(Table11[[#This Row],[SKU]],'All Skus'!$A:$AC,2,FALSE))="Soundcraft",(VLOOKUP(Table11[[#This Row],[SKU]],'All Skus'!$A:$AC,3,FALSE)),""))</f>
        <v>Vi1</v>
      </c>
      <c r="C96" s="21">
        <f>(IF((VLOOKUP(Table11[[#This Row],[SKU]],'All Skus'!$A:$AC,2,FALSE))="Soundcraft",(VLOOKUP(Table11[[#This Row],[SKU]],'All Skus'!$A:$AC,4,FALSE)),""))</f>
        <v>5044496</v>
      </c>
      <c r="D96" s="19" t="str">
        <f>(IF((VLOOKUP(Table11[[#This Row],[SKU]],'All Skus'!$A:$AC,2,FALSE))="Soundcraft",(VLOOKUP(Table11[[#This Row],[SKU]],'All Skus'!$A:$AC,5,FALSE)),""))</f>
        <v>SC-VI</v>
      </c>
      <c r="E96" s="19">
        <f>(IF((VLOOKUP(Table11[[#This Row],[SKU]],'All Skus'!$A:$AC,2,FALSE))="Soundcraft",(VLOOKUP(Table11[[#This Row],[SKU]],'All Skus'!$A:$AC,6,FALSE)),""))</f>
        <v>0</v>
      </c>
      <c r="F96" s="18">
        <f>(IF((VLOOKUP(Table11[[#This Row],[SKU]],'All Skus'!$A:$AC,2,FALSE))="Soundcraft",(VLOOKUP(Table11[[#This Row],[SKU]],'All Skus'!$A:$AC,7,FALSE)),""))</f>
        <v>0</v>
      </c>
      <c r="G96" s="22" t="str">
        <f>(IF((VLOOKUP(Table11[[#This Row],[SKU]],'All Skus'!$A:$AC,2,FALSE))="Soundcraft",(VLOOKUP(Table11[[#This Row],[SKU]],'All Skus'!$A:$AC,8,FALSE)),""))</f>
        <v>Vi1 Console 48 Mic</v>
      </c>
      <c r="H96" s="22" t="str">
        <f>(IF((VLOOKUP(Table11[[#This Row],[SKU]],'All Skus'!$A:$AC,2,FALSE))="Soundcraft",(VLOOKUP(Table11[[#This Row],[SKU]],'All Skus'!$A:$AC,9,FALSE)),""))</f>
        <v>Vi1-48</v>
      </c>
      <c r="I96" s="157">
        <f>(IF((VLOOKUP(Table11[[#This Row],[SKU]],'All Skus'!$A:$AC,2,FALSE))="Soundcraft",(VLOOKUP(Table11[[#This Row],[SKU]],'All Skus'!$A:$AC,10,FALSE)),""))</f>
        <v>16630.810000000001</v>
      </c>
      <c r="J96" s="157">
        <f>(IF((VLOOKUP(Table11[[#This Row],[SKU]],'All Skus'!$A:$AC,2,FALSE))="Soundcraft",(VLOOKUP(Table11[[#This Row],[SKU]],'All Skus'!$A:$AC,11,FALSE)),""))</f>
        <v>16630.810000000001</v>
      </c>
      <c r="K96" s="271">
        <f>(IF((VLOOKUP(Table11[[#This Row],[SKU]],'All Skus'!$A:$AC,2,FALSE))="Soundcraft",(VLOOKUP(Table11[[#This Row],[SKU]],'All Skus'!$A:$AC,16,FALSE)),""))</f>
        <v>688705000558</v>
      </c>
      <c r="L96" s="239">
        <f>(IF((VLOOKUP(Table11[[#This Row],[SKU]],'All Skus'!$A:$AC,2,FALSE))="Soundcraft",(VLOOKUP(Table11[[#This Row],[SKU]],'All Skus'!$A:$AC,17,FALSE)),""))</f>
        <v>0</v>
      </c>
      <c r="M96" s="239">
        <f>(IF((VLOOKUP(Table11[[#This Row],[SKU]],'All Skus'!$A:$AC,2,FALSE))="Soundcraft",(VLOOKUP(Table11[[#This Row],[SKU]],'All Skus'!$A:$AC,18,FALSE)),""))</f>
        <v>0</v>
      </c>
      <c r="N96" s="147">
        <f>(IF((VLOOKUP(Table11[[#This Row],[SKU]],'All Skus'!$A:$AC,2,FALSE))="Soundcraft",(VLOOKUP(Table11[[#This Row],[SKU]],'All Skus'!$A:$AC,19,FALSE)),""))</f>
        <v>0</v>
      </c>
      <c r="O96" s="147">
        <f>(IF((VLOOKUP(Table11[[#This Row],[SKU]],'All Skus'!$A:$AC,2,FALSE))="Soundcraft",(VLOOKUP(Table11[[#This Row],[SKU]],'All Skus'!$A:$AC,20,FALSE)),""))</f>
        <v>0</v>
      </c>
      <c r="P96" s="240">
        <f>(IF((VLOOKUP(Table11[[#This Row],[SKU]],'All Skus'!$A:$AC,2,FALSE))="Soundcraft",(VLOOKUP(Table11[[#This Row],[SKU]],'All Skus'!$A:$AC,21,FALSE)),""))</f>
        <v>0</v>
      </c>
      <c r="Q96" s="61" t="str">
        <f>(IF((VLOOKUP(Table11[[#This Row],[SKU]],'All Skus'!$A:$AC,2,FALSE))="Soundcraft",(VLOOKUP(Table11[[#This Row],[SKU]],'All Skus'!$A:$AC,22,FALSE)),""))</f>
        <v>CN</v>
      </c>
      <c r="R96" s="61" t="str">
        <f>(IF((VLOOKUP(Table11[[#This Row],[SKU]],'All Skus'!$A:$AC,2,FALSE))="Soundcraft",(VLOOKUP(Table11[[#This Row],[SKU]],'All Skus'!$A:$AC,23,FALSE)),""))</f>
        <v>Compliant</v>
      </c>
      <c r="S96" s="212" t="str">
        <f>HYPERLINK((IF((VLOOKUP(Table11[[#This Row],[SKU]],'All Skus'!$A:$AC,2,FALSE))="Soundcraft",(VLOOKUP(Table11[[#This Row],[SKU]],'All Skus'!$A:$AC,24,FALSE)),"")))</f>
        <v/>
      </c>
      <c r="T96" s="151">
        <v>94</v>
      </c>
    </row>
    <row r="97" spans="1:22" ht="15" customHeight="1">
      <c r="A97" s="158" t="s">
        <v>2457</v>
      </c>
      <c r="B97" s="159" t="str">
        <f>(IF((VLOOKUP(Table11[[#This Row],[SKU]],'All Skus'!$A:$AC,2,FALSE))="Soundcraft",(VLOOKUP(Table11[[#This Row],[SKU]],'All Skus'!$A:$AC,3,FALSE)),""))</f>
        <v>Vi1</v>
      </c>
      <c r="C97" s="21" t="str">
        <f>(IF((VLOOKUP(Table11[[#This Row],[SKU]],'All Skus'!$A:$AC,2,FALSE))="Soundcraft",(VLOOKUP(Table11[[#This Row],[SKU]],'All Skus'!$A:$AC,4,FALSE)),""))</f>
        <v>E947.300000</v>
      </c>
      <c r="D97" s="19" t="str">
        <f>(IF((VLOOKUP(Table11[[#This Row],[SKU]],'All Skus'!$A:$AC,2,FALSE))="Soundcraft",(VLOOKUP(Table11[[#This Row],[SKU]],'All Skus'!$A:$AC,5,FALSE)),""))</f>
        <v>SC-VI</v>
      </c>
      <c r="E97" s="19">
        <f>(IF((VLOOKUP(Table11[[#This Row],[SKU]],'All Skus'!$A:$AC,2,FALSE))="Soundcraft",(VLOOKUP(Table11[[#This Row],[SKU]],'All Skus'!$A:$AC,6,FALSE)),""))</f>
        <v>0</v>
      </c>
      <c r="F97" s="18">
        <f>(IF((VLOOKUP(Table11[[#This Row],[SKU]],'All Skus'!$A:$AC,2,FALSE))="Soundcraft",(VLOOKUP(Table11[[#This Row],[SKU]],'All Skus'!$A:$AC,7,FALSE)),""))</f>
        <v>0</v>
      </c>
      <c r="G97" s="22" t="str">
        <f>(IF((VLOOKUP(Table11[[#This Row],[SKU]],'All Skus'!$A:$AC,2,FALSE))="Soundcraft",(VLOOKUP(Table11[[#This Row],[SKU]],'All Skus'!$A:$AC,8,FALSE)),""))</f>
        <v>Vi1 Digital Mixing System</v>
      </c>
      <c r="H97" s="22" t="str">
        <f>(IF((VLOOKUP(Table11[[#This Row],[SKU]],'All Skus'!$A:$AC,2,FALSE))="Soundcraft",(VLOOKUP(Table11[[#This Row],[SKU]],'All Skus'!$A:$AC,9,FALSE)),""))</f>
        <v>Vi1-32</v>
      </c>
      <c r="I97" s="157">
        <f>(IF((VLOOKUP(Table11[[#This Row],[SKU]],'All Skus'!$A:$AC,2,FALSE))="Soundcraft",(VLOOKUP(Table11[[#This Row],[SKU]],'All Skus'!$A:$AC,10,FALSE)),""))</f>
        <v>17023.87</v>
      </c>
      <c r="J97" s="157">
        <f>(IF((VLOOKUP(Table11[[#This Row],[SKU]],'All Skus'!$A:$AC,2,FALSE))="Soundcraft",(VLOOKUP(Table11[[#This Row],[SKU]],'All Skus'!$A:$AC,11,FALSE)),""))</f>
        <v>17023</v>
      </c>
      <c r="K97" s="271">
        <f>(IF((VLOOKUP(Table11[[#This Row],[SKU]],'All Skus'!$A:$AC,2,FALSE))="Soundcraft",(VLOOKUP(Table11[[#This Row],[SKU]],'All Skus'!$A:$AC,16,FALSE)),""))</f>
        <v>688705001593</v>
      </c>
      <c r="L97" s="239">
        <f>(IF((VLOOKUP(Table11[[#This Row],[SKU]],'All Skus'!$A:$AC,2,FALSE))="Soundcraft",(VLOOKUP(Table11[[#This Row],[SKU]],'All Skus'!$A:$AC,17,FALSE)),""))</f>
        <v>0</v>
      </c>
      <c r="M97" s="239">
        <f>(IF((VLOOKUP(Table11[[#This Row],[SKU]],'All Skus'!$A:$AC,2,FALSE))="Soundcraft",(VLOOKUP(Table11[[#This Row],[SKU]],'All Skus'!$A:$AC,18,FALSE)),""))</f>
        <v>0</v>
      </c>
      <c r="N97" s="147">
        <f>(IF((VLOOKUP(Table11[[#This Row],[SKU]],'All Skus'!$A:$AC,2,FALSE))="Soundcraft",(VLOOKUP(Table11[[#This Row],[SKU]],'All Skus'!$A:$AC,19,FALSE)),""))</f>
        <v>37</v>
      </c>
      <c r="O97" s="147">
        <f>(IF((VLOOKUP(Table11[[#This Row],[SKU]],'All Skus'!$A:$AC,2,FALSE))="Soundcraft",(VLOOKUP(Table11[[#This Row],[SKU]],'All Skus'!$A:$AC,20,FALSE)),""))</f>
        <v>48.5</v>
      </c>
      <c r="P97" s="240">
        <f>(IF((VLOOKUP(Table11[[#This Row],[SKU]],'All Skus'!$A:$AC,2,FALSE))="Soundcraft",(VLOOKUP(Table11[[#This Row],[SKU]],'All Skus'!$A:$AC,21,FALSE)),""))</f>
        <v>21</v>
      </c>
      <c r="Q97" s="61" t="str">
        <f>(IF((VLOOKUP(Table11[[#This Row],[SKU]],'All Skus'!$A:$AC,2,FALSE))="Soundcraft",(VLOOKUP(Table11[[#This Row],[SKU]],'All Skus'!$A:$AC,22,FALSE)),""))</f>
        <v>CN</v>
      </c>
      <c r="R97" s="61" t="str">
        <f>(IF((VLOOKUP(Table11[[#This Row],[SKU]],'All Skus'!$A:$AC,2,FALSE))="Soundcraft",(VLOOKUP(Table11[[#This Row],[SKU]],'All Skus'!$A:$AC,23,FALSE)),""))</f>
        <v>Compliant</v>
      </c>
      <c r="S97" s="212" t="str">
        <f>HYPERLINK((IF((VLOOKUP(Table11[[#This Row],[SKU]],'All Skus'!$A:$AC,2,FALSE))="Soundcraft",(VLOOKUP(Table11[[#This Row],[SKU]],'All Skus'!$A:$AC,24,FALSE)),"")))</f>
        <v/>
      </c>
      <c r="T97" s="151">
        <v>95</v>
      </c>
    </row>
    <row r="98" spans="1:22" ht="15" customHeight="1">
      <c r="A98" s="158" t="s">
        <v>2458</v>
      </c>
      <c r="B98" s="159" t="str">
        <f>(IF((VLOOKUP(Table11[[#This Row],[SKU]],'All Skus'!$A:$AC,2,FALSE))="Soundcraft",(VLOOKUP(Table11[[#This Row],[SKU]],'All Skus'!$A:$AC,3,FALSE)),""))</f>
        <v>Vi1</v>
      </c>
      <c r="C98" s="21" t="str">
        <f>(IF((VLOOKUP(Table11[[#This Row],[SKU]],'All Skus'!$A:$AC,2,FALSE))="Soundcraft",(VLOOKUP(Table11[[#This Row],[SKU]],'All Skus'!$A:$AC,4,FALSE)),""))</f>
        <v>A947.042500</v>
      </c>
      <c r="D98" s="19" t="str">
        <f>(IF((VLOOKUP(Table11[[#This Row],[SKU]],'All Skus'!$A:$AC,2,FALSE))="Soundcraft",(VLOOKUP(Table11[[#This Row],[SKU]],'All Skus'!$A:$AC,5,FALSE)),""))</f>
        <v>SC-VI</v>
      </c>
      <c r="E98" s="19" t="str">
        <f>(IF((VLOOKUP(Table11[[#This Row],[SKU]],'All Skus'!$A:$AC,2,FALSE))="Soundcraft",(VLOOKUP(Table11[[#This Row],[SKU]],'All Skus'!$A:$AC,6,FALSE)),""))</f>
        <v>YES</v>
      </c>
      <c r="F98" s="18">
        <f>(IF((VLOOKUP(Table11[[#This Row],[SKU]],'All Skus'!$A:$AC,2,FALSE))="Soundcraft",(VLOOKUP(Table11[[#This Row],[SKU]],'All Skus'!$A:$AC,7,FALSE)),""))</f>
        <v>0</v>
      </c>
      <c r="G98" s="22" t="str">
        <f>(IF((VLOOKUP(Table11[[#This Row],[SKU]],'All Skus'!$A:$AC,2,FALSE))="Soundcraft",(VLOOKUP(Table11[[#This Row],[SKU]],'All Skus'!$A:$AC,8,FALSE)),""))</f>
        <v>PSU MODULE</v>
      </c>
      <c r="H98" s="22" t="str">
        <f>(IF((VLOOKUP(Table11[[#This Row],[SKU]],'All Skus'!$A:$AC,2,FALSE))="Soundcraft",(VLOOKUP(Table11[[#This Row],[SKU]],'All Skus'!$A:$AC,9,FALSE)),""))</f>
        <v xml:space="preserve">Vi1 spare psu (internal) </v>
      </c>
      <c r="I98" s="157">
        <f>(IF((VLOOKUP(Table11[[#This Row],[SKU]],'All Skus'!$A:$AC,2,FALSE))="Soundcraft",(VLOOKUP(Table11[[#This Row],[SKU]],'All Skus'!$A:$AC,10,FALSE)),""))</f>
        <v>1616.31</v>
      </c>
      <c r="J98" s="157">
        <f>(IF((VLOOKUP(Table11[[#This Row],[SKU]],'All Skus'!$A:$AC,2,FALSE))="Soundcraft",(VLOOKUP(Table11[[#This Row],[SKU]],'All Skus'!$A:$AC,11,FALSE)),""))</f>
        <v>1616</v>
      </c>
      <c r="K98" s="271">
        <f>(IF((VLOOKUP(Table11[[#This Row],[SKU]],'All Skus'!$A:$AC,2,FALSE))="Soundcraft",(VLOOKUP(Table11[[#This Row],[SKU]],'All Skus'!$A:$AC,16,FALSE)),""))</f>
        <v>0</v>
      </c>
      <c r="L98" s="239">
        <f>(IF((VLOOKUP(Table11[[#This Row],[SKU]],'All Skus'!$A:$AC,2,FALSE))="Soundcraft",(VLOOKUP(Table11[[#This Row],[SKU]],'All Skus'!$A:$AC,17,FALSE)),""))</f>
        <v>0</v>
      </c>
      <c r="M98" s="239">
        <f>(IF((VLOOKUP(Table11[[#This Row],[SKU]],'All Skus'!$A:$AC,2,FALSE))="Soundcraft",(VLOOKUP(Table11[[#This Row],[SKU]],'All Skus'!$A:$AC,18,FALSE)),""))</f>
        <v>0</v>
      </c>
      <c r="N98" s="147">
        <f>(IF((VLOOKUP(Table11[[#This Row],[SKU]],'All Skus'!$A:$AC,2,FALSE))="Soundcraft",(VLOOKUP(Table11[[#This Row],[SKU]],'All Skus'!$A:$AC,19,FALSE)),""))</f>
        <v>0</v>
      </c>
      <c r="O98" s="147">
        <f>(IF((VLOOKUP(Table11[[#This Row],[SKU]],'All Skus'!$A:$AC,2,FALSE))="Soundcraft",(VLOOKUP(Table11[[#This Row],[SKU]],'All Skus'!$A:$AC,20,FALSE)),""))</f>
        <v>0</v>
      </c>
      <c r="P98" s="240">
        <f>(IF((VLOOKUP(Table11[[#This Row],[SKU]],'All Skus'!$A:$AC,2,FALSE))="Soundcraft",(VLOOKUP(Table11[[#This Row],[SKU]],'All Skus'!$A:$AC,21,FALSE)),""))</f>
        <v>0</v>
      </c>
      <c r="Q98" s="61">
        <f>(IF((VLOOKUP(Table11[[#This Row],[SKU]],'All Skus'!$A:$AC,2,FALSE))="Soundcraft",(VLOOKUP(Table11[[#This Row],[SKU]],'All Skus'!$A:$AC,22,FALSE)),""))</f>
        <v>0</v>
      </c>
      <c r="R98" s="61" t="str">
        <f>(IF((VLOOKUP(Table11[[#This Row],[SKU]],'All Skus'!$A:$AC,2,FALSE))="Soundcraft",(VLOOKUP(Table11[[#This Row],[SKU]],'All Skus'!$A:$AC,23,FALSE)),""))</f>
        <v>Compliant</v>
      </c>
      <c r="S98" s="212" t="str">
        <f>HYPERLINK((IF((VLOOKUP(Table11[[#This Row],[SKU]],'All Skus'!$A:$AC,2,FALSE))="Soundcraft",(VLOOKUP(Table11[[#This Row],[SKU]],'All Skus'!$A:$AC,24,FALSE)),"")))</f>
        <v/>
      </c>
      <c r="T98" s="151">
        <v>96</v>
      </c>
    </row>
    <row r="99" spans="1:22" ht="15" customHeight="1">
      <c r="A99" s="158" t="s">
        <v>2459</v>
      </c>
      <c r="B99" s="159" t="str">
        <f>(IF((VLOOKUP(Table11[[#This Row],[SKU]],'All Skus'!$A:$AC,2,FALSE))="Soundcraft",(VLOOKUP(Table11[[#This Row],[SKU]],'All Skus'!$A:$AC,3,FALSE)),""))</f>
        <v>Vi1</v>
      </c>
      <c r="C99" s="21" t="str">
        <f>(IF((VLOOKUP(Table11[[#This Row],[SKU]],'All Skus'!$A:$AC,2,FALSE))="Soundcraft",(VLOOKUP(Table11[[#This Row],[SKU]],'All Skus'!$A:$AC,4,FALSE)),""))</f>
        <v>BH10.947406</v>
      </c>
      <c r="D99" s="19" t="str">
        <f>(IF((VLOOKUP(Table11[[#This Row],[SKU]],'All Skus'!$A:$AC,2,FALSE))="Soundcraft",(VLOOKUP(Table11[[#This Row],[SKU]],'All Skus'!$A:$AC,5,FALSE)),""))</f>
        <v>SC-VI</v>
      </c>
      <c r="E99" s="19" t="str">
        <f>(IF((VLOOKUP(Table11[[#This Row],[SKU]],'All Skus'!$A:$AC,2,FALSE))="Soundcraft",(VLOOKUP(Table11[[#This Row],[SKU]],'All Skus'!$A:$AC,6,FALSE)),""))</f>
        <v>YES</v>
      </c>
      <c r="F99" s="18">
        <f>(IF((VLOOKUP(Table11[[#This Row],[SKU]],'All Skus'!$A:$AC,2,FALSE))="Soundcraft",(VLOOKUP(Table11[[#This Row],[SKU]],'All Skus'!$A:$AC,7,FALSE)),""))</f>
        <v>0</v>
      </c>
      <c r="G99" s="22" t="str">
        <f>(IF((VLOOKUP(Table11[[#This Row],[SKU]],'All Skus'!$A:$AC,2,FALSE))="Soundcraft",(VLOOKUP(Table11[[#This Row],[SKU]],'All Skus'!$A:$AC,8,FALSE)),""))</f>
        <v>VI1 FLIGHT CASE</v>
      </c>
      <c r="H99" s="22" t="str">
        <f>(IF((VLOOKUP(Table11[[#This Row],[SKU]],'All Skus'!$A:$AC,2,FALSE))="Soundcraft",(VLOOKUP(Table11[[#This Row],[SKU]],'All Skus'!$A:$AC,9,FALSE)),""))</f>
        <v>Vi1 custom flight-case</v>
      </c>
      <c r="I99" s="157">
        <f>(IF((VLOOKUP(Table11[[#This Row],[SKU]],'All Skus'!$A:$AC,2,FALSE))="Soundcraft",(VLOOKUP(Table11[[#This Row],[SKU]],'All Skus'!$A:$AC,10,FALSE)),""))</f>
        <v>3820.36</v>
      </c>
      <c r="J99" s="157">
        <f>(IF((VLOOKUP(Table11[[#This Row],[SKU]],'All Skus'!$A:$AC,2,FALSE))="Soundcraft",(VLOOKUP(Table11[[#This Row],[SKU]],'All Skus'!$A:$AC,11,FALSE)),""))</f>
        <v>3820</v>
      </c>
      <c r="K99" s="271">
        <f>(IF((VLOOKUP(Table11[[#This Row],[SKU]],'All Skus'!$A:$AC,2,FALSE))="Soundcraft",(VLOOKUP(Table11[[#This Row],[SKU]],'All Skus'!$A:$AC,16,FALSE)),""))</f>
        <v>0</v>
      </c>
      <c r="L99" s="239">
        <f>(IF((VLOOKUP(Table11[[#This Row],[SKU]],'All Skus'!$A:$AC,2,FALSE))="Soundcraft",(VLOOKUP(Table11[[#This Row],[SKU]],'All Skus'!$A:$AC,17,FALSE)),""))</f>
        <v>0</v>
      </c>
      <c r="M99" s="239">
        <f>(IF((VLOOKUP(Table11[[#This Row],[SKU]],'All Skus'!$A:$AC,2,FALSE))="Soundcraft",(VLOOKUP(Table11[[#This Row],[SKU]],'All Skus'!$A:$AC,18,FALSE)),""))</f>
        <v>130</v>
      </c>
      <c r="N99" s="147">
        <f>(IF((VLOOKUP(Table11[[#This Row],[SKU]],'All Skus'!$A:$AC,2,FALSE))="Soundcraft",(VLOOKUP(Table11[[#This Row],[SKU]],'All Skus'!$A:$AC,19,FALSE)),""))</f>
        <v>45</v>
      </c>
      <c r="O99" s="147">
        <f>(IF((VLOOKUP(Table11[[#This Row],[SKU]],'All Skus'!$A:$AC,2,FALSE))="Soundcraft",(VLOOKUP(Table11[[#This Row],[SKU]],'All Skus'!$A:$AC,20,FALSE)),""))</f>
        <v>39</v>
      </c>
      <c r="P99" s="240">
        <f>(IF((VLOOKUP(Table11[[#This Row],[SKU]],'All Skus'!$A:$AC,2,FALSE))="Soundcraft",(VLOOKUP(Table11[[#This Row],[SKU]],'All Skus'!$A:$AC,21,FALSE)),""))</f>
        <v>21</v>
      </c>
      <c r="Q99" s="61" t="str">
        <f>(IF((VLOOKUP(Table11[[#This Row],[SKU]],'All Skus'!$A:$AC,2,FALSE))="Soundcraft",(VLOOKUP(Table11[[#This Row],[SKU]],'All Skus'!$A:$AC,22,FALSE)),""))</f>
        <v>ZZ</v>
      </c>
      <c r="R99" s="61" t="str">
        <f>(IF((VLOOKUP(Table11[[#This Row],[SKU]],'All Skus'!$A:$AC,2,FALSE))="Soundcraft",(VLOOKUP(Table11[[#This Row],[SKU]],'All Skus'!$A:$AC,23,FALSE)),""))</f>
        <v>Compliant</v>
      </c>
      <c r="S99" s="212" t="str">
        <f>HYPERLINK((IF((VLOOKUP(Table11[[#This Row],[SKU]],'All Skus'!$A:$AC,2,FALSE))="Soundcraft",(VLOOKUP(Table11[[#This Row],[SKU]],'All Skus'!$A:$AC,24,FALSE)),"")))</f>
        <v/>
      </c>
      <c r="T99" s="151">
        <v>97</v>
      </c>
    </row>
    <row r="100" spans="1:22" ht="15" customHeight="1">
      <c r="A100" s="158" t="s">
        <v>2460</v>
      </c>
      <c r="B100" s="159" t="str">
        <f>(IF((VLOOKUP(Table11[[#This Row],[SKU]],'All Skus'!$A:$AC,2,FALSE))="Soundcraft",(VLOOKUP(Table11[[#This Row],[SKU]],'All Skus'!$A:$AC,3,FALSE)),""))</f>
        <v>Vi1</v>
      </c>
      <c r="C100" s="21" t="str">
        <f>(IF((VLOOKUP(Table11[[#This Row],[SKU]],'All Skus'!$A:$AC,2,FALSE))="Soundcraft",(VLOOKUP(Table11[[#This Row],[SKU]],'All Skus'!$A:$AC,4,FALSE)),""))</f>
        <v>BF10.947008</v>
      </c>
      <c r="D100" s="19" t="str">
        <f>(IF((VLOOKUP(Table11[[#This Row],[SKU]],'All Skus'!$A:$AC,2,FALSE))="Soundcraft",(VLOOKUP(Table11[[#This Row],[SKU]],'All Skus'!$A:$AC,5,FALSE)),""))</f>
        <v>SC-VI</v>
      </c>
      <c r="E100" s="19" t="str">
        <f>(IF((VLOOKUP(Table11[[#This Row],[SKU]],'All Skus'!$A:$AC,2,FALSE))="Soundcraft",(VLOOKUP(Table11[[#This Row],[SKU]],'All Skus'!$A:$AC,6,FALSE)),""))</f>
        <v>YES</v>
      </c>
      <c r="F100" s="18">
        <f>(IF((VLOOKUP(Table11[[#This Row],[SKU]],'All Skus'!$A:$AC,2,FALSE))="Soundcraft",(VLOOKUP(Table11[[#This Row],[SKU]],'All Skus'!$A:$AC,7,FALSE)),""))</f>
        <v>0</v>
      </c>
      <c r="G100" s="22" t="str">
        <f>(IF((VLOOKUP(Table11[[#This Row],[SKU]],'All Skus'!$A:$AC,2,FALSE))="Soundcraft",(VLOOKUP(Table11[[#This Row],[SKU]],'All Skus'!$A:$AC,8,FALSE)),""))</f>
        <v>VI1 DUSTCOVER</v>
      </c>
      <c r="H100" s="22" t="str">
        <f>(IF((VLOOKUP(Table11[[#This Row],[SKU]],'All Skus'!$A:$AC,2,FALSE))="Soundcraft",(VLOOKUP(Table11[[#This Row],[SKU]],'All Skus'!$A:$AC,9,FALSE)),""))</f>
        <v>Vi1 Dust Cover</v>
      </c>
      <c r="I100" s="157">
        <f>(IF((VLOOKUP(Table11[[#This Row],[SKU]],'All Skus'!$A:$AC,2,FALSE))="Soundcraft",(VLOOKUP(Table11[[#This Row],[SKU]],'All Skus'!$A:$AC,10,FALSE)),""))</f>
        <v>148.4</v>
      </c>
      <c r="J100" s="157">
        <f>(IF((VLOOKUP(Table11[[#This Row],[SKU]],'All Skus'!$A:$AC,2,FALSE))="Soundcraft",(VLOOKUP(Table11[[#This Row],[SKU]],'All Skus'!$A:$AC,11,FALSE)),""))</f>
        <v>148.4</v>
      </c>
      <c r="K100" s="271">
        <f>(IF((VLOOKUP(Table11[[#This Row],[SKU]],'All Skus'!$A:$AC,2,FALSE))="Soundcraft",(VLOOKUP(Table11[[#This Row],[SKU]],'All Skus'!$A:$AC,16,FALSE)),""))</f>
        <v>0</v>
      </c>
      <c r="L100" s="239">
        <f>(IF((VLOOKUP(Table11[[#This Row],[SKU]],'All Skus'!$A:$AC,2,FALSE))="Soundcraft",(VLOOKUP(Table11[[#This Row],[SKU]],'All Skus'!$A:$AC,17,FALSE)),""))</f>
        <v>0</v>
      </c>
      <c r="M100" s="239">
        <f>(IF((VLOOKUP(Table11[[#This Row],[SKU]],'All Skus'!$A:$AC,2,FALSE))="Soundcraft",(VLOOKUP(Table11[[#This Row],[SKU]],'All Skus'!$A:$AC,18,FALSE)),""))</f>
        <v>0</v>
      </c>
      <c r="N100" s="147">
        <f>(IF((VLOOKUP(Table11[[#This Row],[SKU]],'All Skus'!$A:$AC,2,FALSE))="Soundcraft",(VLOOKUP(Table11[[#This Row],[SKU]],'All Skus'!$A:$AC,19,FALSE)),""))</f>
        <v>0</v>
      </c>
      <c r="O100" s="147">
        <f>(IF((VLOOKUP(Table11[[#This Row],[SKU]],'All Skus'!$A:$AC,2,FALSE))="Soundcraft",(VLOOKUP(Table11[[#This Row],[SKU]],'All Skus'!$A:$AC,20,FALSE)),""))</f>
        <v>0</v>
      </c>
      <c r="P100" s="240">
        <f>(IF((VLOOKUP(Table11[[#This Row],[SKU]],'All Skus'!$A:$AC,2,FALSE))="Soundcraft",(VLOOKUP(Table11[[#This Row],[SKU]],'All Skus'!$A:$AC,21,FALSE)),""))</f>
        <v>0</v>
      </c>
      <c r="Q100" s="61">
        <f>(IF((VLOOKUP(Table11[[#This Row],[SKU]],'All Skus'!$A:$AC,2,FALSE))="Soundcraft",(VLOOKUP(Table11[[#This Row],[SKU]],'All Skus'!$A:$AC,22,FALSE)),""))</f>
        <v>0</v>
      </c>
      <c r="R100" s="61" t="str">
        <f>(IF((VLOOKUP(Table11[[#This Row],[SKU]],'All Skus'!$A:$AC,2,FALSE))="Soundcraft",(VLOOKUP(Table11[[#This Row],[SKU]],'All Skus'!$A:$AC,23,FALSE)),""))</f>
        <v>Compliant</v>
      </c>
      <c r="S100" s="212" t="str">
        <f>HYPERLINK((IF((VLOOKUP(Table11[[#This Row],[SKU]],'All Skus'!$A:$AC,2,FALSE))="Soundcraft",(VLOOKUP(Table11[[#This Row],[SKU]],'All Skus'!$A:$AC,24,FALSE)),"")))</f>
        <v/>
      </c>
      <c r="T100" s="151">
        <v>98</v>
      </c>
    </row>
    <row r="101" spans="1:22" ht="15" customHeight="1">
      <c r="A101" s="158">
        <v>5083487</v>
      </c>
      <c r="B101" s="159" t="str">
        <f>(IF((VLOOKUP(Table11[[#This Row],[SKU]],'All Skus'!$A:$AC,2,FALSE))="Soundcraft",(VLOOKUP(Table11[[#This Row],[SKU]],'All Skus'!$A:$AC,3,FALSE)),""))</f>
        <v>Vi1000</v>
      </c>
      <c r="C101" s="21">
        <f>(IF((VLOOKUP(Table11[[#This Row],[SKU]],'All Skus'!$A:$AC,2,FALSE))="Soundcraft",(VLOOKUP(Table11[[#This Row],[SKU]],'All Skus'!$A:$AC,4,FALSE)),""))</f>
        <v>5083487</v>
      </c>
      <c r="D101" s="19" t="str">
        <f>(IF((VLOOKUP(Table11[[#This Row],[SKU]],'All Skus'!$A:$AC,2,FALSE))="Soundcraft",(VLOOKUP(Table11[[#This Row],[SKU]],'All Skus'!$A:$AC,5,FALSE)),""))</f>
        <v>SC-VI</v>
      </c>
      <c r="E101" s="19">
        <f>(IF((VLOOKUP(Table11[[#This Row],[SKU]],'All Skus'!$A:$AC,2,FALSE))="Soundcraft",(VLOOKUP(Table11[[#This Row],[SKU]],'All Skus'!$A:$AC,6,FALSE)),""))</f>
        <v>0</v>
      </c>
      <c r="F101" s="18">
        <f>(IF((VLOOKUP(Table11[[#This Row],[SKU]],'All Skus'!$A:$AC,2,FALSE))="Soundcraft",(VLOOKUP(Table11[[#This Row],[SKU]],'All Skus'!$A:$AC,7,FALSE)),""))</f>
        <v>0</v>
      </c>
      <c r="G101" s="22" t="str">
        <f>(IF((VLOOKUP(Table11[[#This Row],[SKU]],'All Skus'!$A:$AC,2,FALSE))="Soundcraft",(VLOOKUP(Table11[[#This Row],[SKU]],'All Skus'!$A:$AC,8,FALSE)),""))</f>
        <v>Vi1000 Digital Mixing System</v>
      </c>
      <c r="H101" s="22" t="str">
        <f>(IF((VLOOKUP(Table11[[#This Row],[SKU]],'All Skus'!$A:$AC,2,FALSE))="Soundcraft",(VLOOKUP(Table11[[#This Row],[SKU]],'All Skus'!$A:$AC,9,FALSE)),""))</f>
        <v>Vi1000 Digital Mixing System</v>
      </c>
      <c r="I101" s="157">
        <f>(IF((VLOOKUP(Table11[[#This Row],[SKU]],'All Skus'!$A:$AC,2,FALSE))="Soundcraft",(VLOOKUP(Table11[[#This Row],[SKU]],'All Skus'!$A:$AC,10,FALSE)),""))</f>
        <v>24483.360000000001</v>
      </c>
      <c r="J101" s="157">
        <f>(IF((VLOOKUP(Table11[[#This Row],[SKU]],'All Skus'!$A:$AC,2,FALSE))="Soundcraft",(VLOOKUP(Table11[[#This Row],[SKU]],'All Skus'!$A:$AC,11,FALSE)),""))</f>
        <v>24483</v>
      </c>
      <c r="K101" s="271">
        <f>(IF((VLOOKUP(Table11[[#This Row],[SKU]],'All Skus'!$A:$AC,2,FALSE))="Soundcraft",(VLOOKUP(Table11[[#This Row],[SKU]],'All Skus'!$A:$AC,16,FALSE)),""))</f>
        <v>688705003115</v>
      </c>
      <c r="L101" s="239">
        <f>(IF((VLOOKUP(Table11[[#This Row],[SKU]],'All Skus'!$A:$AC,2,FALSE))="Soundcraft",(VLOOKUP(Table11[[#This Row],[SKU]],'All Skus'!$A:$AC,17,FALSE)),""))</f>
        <v>0</v>
      </c>
      <c r="M101" s="239">
        <f>(IF((VLOOKUP(Table11[[#This Row],[SKU]],'All Skus'!$A:$AC,2,FALSE))="Soundcraft",(VLOOKUP(Table11[[#This Row],[SKU]],'All Skus'!$A:$AC,18,FALSE)),""))</f>
        <v>102</v>
      </c>
      <c r="N101" s="147">
        <f>(IF((VLOOKUP(Table11[[#This Row],[SKU]],'All Skus'!$A:$AC,2,FALSE))="Soundcraft",(VLOOKUP(Table11[[#This Row],[SKU]],'All Skus'!$A:$AC,19,FALSE)),""))</f>
        <v>37.4</v>
      </c>
      <c r="O101" s="147">
        <f>(IF((VLOOKUP(Table11[[#This Row],[SKU]],'All Skus'!$A:$AC,2,FALSE))="Soundcraft",(VLOOKUP(Table11[[#This Row],[SKU]],'All Skus'!$A:$AC,20,FALSE)),""))</f>
        <v>38.6</v>
      </c>
      <c r="P101" s="240">
        <f>(IF((VLOOKUP(Table11[[#This Row],[SKU]],'All Skus'!$A:$AC,2,FALSE))="Soundcraft",(VLOOKUP(Table11[[#This Row],[SKU]],'All Skus'!$A:$AC,21,FALSE)),""))</f>
        <v>23.2</v>
      </c>
      <c r="Q101" s="61" t="str">
        <f>(IF((VLOOKUP(Table11[[#This Row],[SKU]],'All Skus'!$A:$AC,2,FALSE))="Soundcraft",(VLOOKUP(Table11[[#This Row],[SKU]],'All Skus'!$A:$AC,22,FALSE)),""))</f>
        <v>CN</v>
      </c>
      <c r="R101" s="61" t="str">
        <f>(IF((VLOOKUP(Table11[[#This Row],[SKU]],'All Skus'!$A:$AC,2,FALSE))="Soundcraft",(VLOOKUP(Table11[[#This Row],[SKU]],'All Skus'!$A:$AC,23,FALSE)),""))</f>
        <v>Compliant</v>
      </c>
      <c r="S101" s="212" t="str">
        <f>HYPERLINK((IF((VLOOKUP(Table11[[#This Row],[SKU]],'All Skus'!$A:$AC,2,FALSE))="Soundcraft",(VLOOKUP(Table11[[#This Row],[SKU]],'All Skus'!$A:$AC,24,FALSE)),"")))</f>
        <v/>
      </c>
      <c r="T101" s="151">
        <v>99</v>
      </c>
    </row>
    <row r="102" spans="1:22" ht="15" customHeight="1">
      <c r="A102" s="158" t="s">
        <v>2461</v>
      </c>
      <c r="B102" s="159" t="str">
        <f>(IF((VLOOKUP(Table11[[#This Row],[SKU]],'All Skus'!$A:$AC,2,FALSE))="Soundcraft",(VLOOKUP(Table11[[#This Row],[SKU]],'All Skus'!$A:$AC,3,FALSE)),""))</f>
        <v>Vi1000</v>
      </c>
      <c r="C102" s="21" t="str">
        <f>(IF((VLOOKUP(Table11[[#This Row],[SKU]],'All Skus'!$A:$AC,2,FALSE))="Soundcraft",(VLOOKUP(Table11[[#This Row],[SKU]],'All Skus'!$A:$AC,4,FALSE)),""))</f>
        <v>5095581-00</v>
      </c>
      <c r="D102" s="19" t="str">
        <f>(IF((VLOOKUP(Table11[[#This Row],[SKU]],'All Skus'!$A:$AC,2,FALSE))="Soundcraft",(VLOOKUP(Table11[[#This Row],[SKU]],'All Skus'!$A:$AC,5,FALSE)),""))</f>
        <v>SC-VI</v>
      </c>
      <c r="E102" s="19" t="str">
        <f>(IF((VLOOKUP(Table11[[#This Row],[SKU]],'All Skus'!$A:$AC,2,FALSE))="Soundcraft",(VLOOKUP(Table11[[#This Row],[SKU]],'All Skus'!$A:$AC,6,FALSE)),""))</f>
        <v>YES</v>
      </c>
      <c r="F102" s="18">
        <f>(IF((VLOOKUP(Table11[[#This Row],[SKU]],'All Skus'!$A:$AC,2,FALSE))="Soundcraft",(VLOOKUP(Table11[[#This Row],[SKU]],'All Skus'!$A:$AC,7,FALSE)),""))</f>
        <v>0</v>
      </c>
      <c r="G102" s="22" t="str">
        <f>(IF((VLOOKUP(Table11[[#This Row],[SKU]],'All Skus'!$A:$AC,2,FALSE))="Soundcraft",(VLOOKUP(Table11[[#This Row],[SKU]],'All Skus'!$A:$AC,8,FALSE)),""))</f>
        <v>Vi1000 Flightcase Amptown</v>
      </c>
      <c r="H102" s="22" t="str">
        <f>(IF((VLOOKUP(Table11[[#This Row],[SKU]],'All Skus'!$A:$AC,2,FALSE))="Soundcraft",(VLOOKUP(Table11[[#This Row],[SKU]],'All Skus'!$A:$AC,9,FALSE)),""))</f>
        <v xml:space="preserve">Vi1000 Flightcase                                                       </v>
      </c>
      <c r="I102" s="157">
        <f>(IF((VLOOKUP(Table11[[#This Row],[SKU]],'All Skus'!$A:$AC,2,FALSE))="Soundcraft",(VLOOKUP(Table11[[#This Row],[SKU]],'All Skus'!$A:$AC,10,FALSE)),""))</f>
        <v>2602.0100000000002</v>
      </c>
      <c r="J102" s="157">
        <f>(IF((VLOOKUP(Table11[[#This Row],[SKU]],'All Skus'!$A:$AC,2,FALSE))="Soundcraft",(VLOOKUP(Table11[[#This Row],[SKU]],'All Skus'!$A:$AC,11,FALSE)),""))</f>
        <v>2602</v>
      </c>
      <c r="K102" s="271">
        <f>(IF((VLOOKUP(Table11[[#This Row],[SKU]],'All Skus'!$A:$AC,2,FALSE))="Soundcraft",(VLOOKUP(Table11[[#This Row],[SKU]],'All Skus'!$A:$AC,16,FALSE)),""))</f>
        <v>0</v>
      </c>
      <c r="L102" s="239">
        <f>(IF((VLOOKUP(Table11[[#This Row],[SKU]],'All Skus'!$A:$AC,2,FALSE))="Soundcraft",(VLOOKUP(Table11[[#This Row],[SKU]],'All Skus'!$A:$AC,17,FALSE)),""))</f>
        <v>0</v>
      </c>
      <c r="M102" s="239">
        <f>(IF((VLOOKUP(Table11[[#This Row],[SKU]],'All Skus'!$A:$AC,2,FALSE))="Soundcraft",(VLOOKUP(Table11[[#This Row],[SKU]],'All Skus'!$A:$AC,18,FALSE)),""))</f>
        <v>0</v>
      </c>
      <c r="N102" s="147">
        <f>(IF((VLOOKUP(Table11[[#This Row],[SKU]],'All Skus'!$A:$AC,2,FALSE))="Soundcraft",(VLOOKUP(Table11[[#This Row],[SKU]],'All Skus'!$A:$AC,19,FALSE)),""))</f>
        <v>0</v>
      </c>
      <c r="O102" s="147">
        <f>(IF((VLOOKUP(Table11[[#This Row],[SKU]],'All Skus'!$A:$AC,2,FALSE))="Soundcraft",(VLOOKUP(Table11[[#This Row],[SKU]],'All Skus'!$A:$AC,20,FALSE)),""))</f>
        <v>0</v>
      </c>
      <c r="P102" s="240">
        <f>(IF((VLOOKUP(Table11[[#This Row],[SKU]],'All Skus'!$A:$AC,2,FALSE))="Soundcraft",(VLOOKUP(Table11[[#This Row],[SKU]],'All Skus'!$A:$AC,21,FALSE)),""))</f>
        <v>0</v>
      </c>
      <c r="Q102" s="61" t="str">
        <f>(IF((VLOOKUP(Table11[[#This Row],[SKU]],'All Skus'!$A:$AC,2,FALSE))="Soundcraft",(VLOOKUP(Table11[[#This Row],[SKU]],'All Skus'!$A:$AC,22,FALSE)),""))</f>
        <v>DE</v>
      </c>
      <c r="R102" s="61" t="str">
        <f>(IF((VLOOKUP(Table11[[#This Row],[SKU]],'All Skus'!$A:$AC,2,FALSE))="Soundcraft",(VLOOKUP(Table11[[#This Row],[SKU]],'All Skus'!$A:$AC,23,FALSE)),""))</f>
        <v>Compliant</v>
      </c>
      <c r="S102" s="212" t="str">
        <f>HYPERLINK((IF((VLOOKUP(Table11[[#This Row],[SKU]],'All Skus'!$A:$AC,2,FALSE))="Soundcraft",(VLOOKUP(Table11[[#This Row],[SKU]],'All Skus'!$A:$AC,24,FALSE)),"")))</f>
        <v/>
      </c>
      <c r="T102" s="151">
        <v>100</v>
      </c>
    </row>
    <row r="103" spans="1:22" ht="15" customHeight="1">
      <c r="A103" s="158">
        <v>5056046</v>
      </c>
      <c r="B103" s="159" t="str">
        <f>(IF((VLOOKUP(Table11[[#This Row],[SKU]],'All Skus'!$A:$AC,2,FALSE))="Soundcraft",(VLOOKUP(Table11[[#This Row],[SKU]],'All Skus'!$A:$AC,3,FALSE)),""))</f>
        <v>Vi2000</v>
      </c>
      <c r="C103" s="21">
        <f>(IF((VLOOKUP(Table11[[#This Row],[SKU]],'All Skus'!$A:$AC,2,FALSE))="Soundcraft",(VLOOKUP(Table11[[#This Row],[SKU]],'All Skus'!$A:$AC,4,FALSE)),""))</f>
        <v>5056046</v>
      </c>
      <c r="D103" s="19" t="str">
        <f>(IF((VLOOKUP(Table11[[#This Row],[SKU]],'All Skus'!$A:$AC,2,FALSE))="Soundcraft",(VLOOKUP(Table11[[#This Row],[SKU]],'All Skus'!$A:$AC,5,FALSE)),""))</f>
        <v>SC-VI</v>
      </c>
      <c r="E103" s="19">
        <f>(IF((VLOOKUP(Table11[[#This Row],[SKU]],'All Skus'!$A:$AC,2,FALSE))="Soundcraft",(VLOOKUP(Table11[[#This Row],[SKU]],'All Skus'!$A:$AC,6,FALSE)),""))</f>
        <v>0</v>
      </c>
      <c r="F103" s="18">
        <f>(IF((VLOOKUP(Table11[[#This Row],[SKU]],'All Skus'!$A:$AC,2,FALSE))="Soundcraft",(VLOOKUP(Table11[[#This Row],[SKU]],'All Skus'!$A:$AC,7,FALSE)),""))</f>
        <v>0</v>
      </c>
      <c r="G103" s="22" t="str">
        <f>(IF((VLOOKUP(Table11[[#This Row],[SKU]],'All Skus'!$A:$AC,2,FALSE))="Soundcraft",(VLOOKUP(Table11[[#This Row],[SKU]],'All Skus'!$A:$AC,8,FALSE)),""))</f>
        <v>Vi2000 Digital Mixing System</v>
      </c>
      <c r="H103" s="22" t="str">
        <f>(IF((VLOOKUP(Table11[[#This Row],[SKU]],'All Skus'!$A:$AC,2,FALSE))="Soundcraft",(VLOOKUP(Table11[[#This Row],[SKU]],'All Skus'!$A:$AC,9,FALSE)),""))</f>
        <v xml:space="preserve">Vi2000 Digital Mixing System </v>
      </c>
      <c r="I103" s="157">
        <f>(IF((VLOOKUP(Table11[[#This Row],[SKU]],'All Skus'!$A:$AC,2,FALSE))="Soundcraft",(VLOOKUP(Table11[[#This Row],[SKU]],'All Skus'!$A:$AC,10,FALSE)),""))</f>
        <v>39060.730000000003</v>
      </c>
      <c r="J103" s="157">
        <f>(IF((VLOOKUP(Table11[[#This Row],[SKU]],'All Skus'!$A:$AC,2,FALSE))="Soundcraft",(VLOOKUP(Table11[[#This Row],[SKU]],'All Skus'!$A:$AC,11,FALSE)),""))</f>
        <v>39060</v>
      </c>
      <c r="K103" s="271">
        <f>(IF((VLOOKUP(Table11[[#This Row],[SKU]],'All Skus'!$A:$AC,2,FALSE))="Soundcraft",(VLOOKUP(Table11[[#This Row],[SKU]],'All Skus'!$A:$AC,16,FALSE)),""))</f>
        <v>688705001623</v>
      </c>
      <c r="L103" s="239">
        <f>(IF((VLOOKUP(Table11[[#This Row],[SKU]],'All Skus'!$A:$AC,2,FALSE))="Soundcraft",(VLOOKUP(Table11[[#This Row],[SKU]],'All Skus'!$A:$AC,17,FALSE)),""))</f>
        <v>0</v>
      </c>
      <c r="M103" s="239">
        <f>(IF((VLOOKUP(Table11[[#This Row],[SKU]],'All Skus'!$A:$AC,2,FALSE))="Soundcraft",(VLOOKUP(Table11[[#This Row],[SKU]],'All Skus'!$A:$AC,18,FALSE)),""))</f>
        <v>0</v>
      </c>
      <c r="N103" s="147">
        <f>(IF((VLOOKUP(Table11[[#This Row],[SKU]],'All Skus'!$A:$AC,2,FALSE))="Soundcraft",(VLOOKUP(Table11[[#This Row],[SKU]],'All Skus'!$A:$AC,19,FALSE)),""))</f>
        <v>0</v>
      </c>
      <c r="O103" s="147">
        <f>(IF((VLOOKUP(Table11[[#This Row],[SKU]],'All Skus'!$A:$AC,2,FALSE))="Soundcraft",(VLOOKUP(Table11[[#This Row],[SKU]],'All Skus'!$A:$AC,20,FALSE)),""))</f>
        <v>0</v>
      </c>
      <c r="P103" s="240">
        <f>(IF((VLOOKUP(Table11[[#This Row],[SKU]],'All Skus'!$A:$AC,2,FALSE))="Soundcraft",(VLOOKUP(Table11[[#This Row],[SKU]],'All Skus'!$A:$AC,21,FALSE)),""))</f>
        <v>0</v>
      </c>
      <c r="Q103" s="61" t="str">
        <f>(IF((VLOOKUP(Table11[[#This Row],[SKU]],'All Skus'!$A:$AC,2,FALSE))="Soundcraft",(VLOOKUP(Table11[[#This Row],[SKU]],'All Skus'!$A:$AC,22,FALSE)),""))</f>
        <v>CN</v>
      </c>
      <c r="R103" s="61" t="str">
        <f>(IF((VLOOKUP(Table11[[#This Row],[SKU]],'All Skus'!$A:$AC,2,FALSE))="Soundcraft",(VLOOKUP(Table11[[#This Row],[SKU]],'All Skus'!$A:$AC,23,FALSE)),""))</f>
        <v>Compliant</v>
      </c>
      <c r="S103" s="212" t="str">
        <f>HYPERLINK((IF((VLOOKUP(Table11[[#This Row],[SKU]],'All Skus'!$A:$AC,2,FALSE))="Soundcraft",(VLOOKUP(Table11[[#This Row],[SKU]],'All Skus'!$A:$AC,24,FALSE)),"")))</f>
        <v/>
      </c>
      <c r="T103" s="151">
        <v>101</v>
      </c>
    </row>
    <row r="104" spans="1:22" ht="15" customHeight="1">
      <c r="A104" s="158">
        <v>5042680</v>
      </c>
      <c r="B104" s="159" t="str">
        <f>(IF((VLOOKUP(Table11[[#This Row],[SKU]],'All Skus'!$A:$AC,2,FALSE))="Soundcraft",(VLOOKUP(Table11[[#This Row],[SKU]],'All Skus'!$A:$AC,3,FALSE)),""))</f>
        <v>Vi3000</v>
      </c>
      <c r="C104" s="21">
        <f>(IF((VLOOKUP(Table11[[#This Row],[SKU]],'All Skus'!$A:$AC,2,FALSE))="Soundcraft",(VLOOKUP(Table11[[#This Row],[SKU]],'All Skus'!$A:$AC,4,FALSE)),""))</f>
        <v>5042680</v>
      </c>
      <c r="D104" s="19" t="str">
        <f>(IF((VLOOKUP(Table11[[#This Row],[SKU]],'All Skus'!$A:$AC,2,FALSE))="Soundcraft",(VLOOKUP(Table11[[#This Row],[SKU]],'All Skus'!$A:$AC,5,FALSE)),""))</f>
        <v>SC-VI</v>
      </c>
      <c r="E104" s="19">
        <f>(IF((VLOOKUP(Table11[[#This Row],[SKU]],'All Skus'!$A:$AC,2,FALSE))="Soundcraft",(VLOOKUP(Table11[[#This Row],[SKU]],'All Skus'!$A:$AC,6,FALSE)),""))</f>
        <v>0</v>
      </c>
      <c r="F104" s="18">
        <f>(IF((VLOOKUP(Table11[[#This Row],[SKU]],'All Skus'!$A:$AC,2,FALSE))="Soundcraft",(VLOOKUP(Table11[[#This Row],[SKU]],'All Skus'!$A:$AC,7,FALSE)),""))</f>
        <v>0</v>
      </c>
      <c r="G104" s="22" t="str">
        <f>(IF((VLOOKUP(Table11[[#This Row],[SKU]],'All Skus'!$A:$AC,2,FALSE))="Soundcraft",(VLOOKUP(Table11[[#This Row],[SKU]],'All Skus'!$A:$AC,8,FALSE)),""))</f>
        <v>Vi3000 Digital Mixing System</v>
      </c>
      <c r="H104" s="22" t="str">
        <f>(IF((VLOOKUP(Table11[[#This Row],[SKU]],'All Skus'!$A:$AC,2,FALSE))="Soundcraft",(VLOOKUP(Table11[[#This Row],[SKU]],'All Skus'!$A:$AC,9,FALSE)),""))</f>
        <v>Vi3000 : 48</v>
      </c>
      <c r="I104" s="157">
        <f>(IF((VLOOKUP(Table11[[#This Row],[SKU]],'All Skus'!$A:$AC,2,FALSE))="Soundcraft",(VLOOKUP(Table11[[#This Row],[SKU]],'All Skus'!$A:$AC,10,FALSE)),""))</f>
        <v>52244.23</v>
      </c>
      <c r="J104" s="157">
        <f>(IF((VLOOKUP(Table11[[#This Row],[SKU]],'All Skus'!$A:$AC,2,FALSE))="Soundcraft",(VLOOKUP(Table11[[#This Row],[SKU]],'All Skus'!$A:$AC,11,FALSE)),""))</f>
        <v>52244</v>
      </c>
      <c r="K104" s="271">
        <f>(IF((VLOOKUP(Table11[[#This Row],[SKU]],'All Skus'!$A:$AC,2,FALSE))="Soundcraft",(VLOOKUP(Table11[[#This Row],[SKU]],'All Skus'!$A:$AC,16,FALSE)),""))</f>
        <v>688705000862</v>
      </c>
      <c r="L104" s="239">
        <f>(IF((VLOOKUP(Table11[[#This Row],[SKU]],'All Skus'!$A:$AC,2,FALSE))="Soundcraft",(VLOOKUP(Table11[[#This Row],[SKU]],'All Skus'!$A:$AC,17,FALSE)),""))</f>
        <v>0</v>
      </c>
      <c r="M104" s="239">
        <f>(IF((VLOOKUP(Table11[[#This Row],[SKU]],'All Skus'!$A:$AC,2,FALSE))="Soundcraft",(VLOOKUP(Table11[[#This Row],[SKU]],'All Skus'!$A:$AC,18,FALSE)),""))</f>
        <v>0</v>
      </c>
      <c r="N104" s="147">
        <f>(IF((VLOOKUP(Table11[[#This Row],[SKU]],'All Skus'!$A:$AC,2,FALSE))="Soundcraft",(VLOOKUP(Table11[[#This Row],[SKU]],'All Skus'!$A:$AC,19,FALSE)),""))</f>
        <v>0</v>
      </c>
      <c r="O104" s="147">
        <f>(IF((VLOOKUP(Table11[[#This Row],[SKU]],'All Skus'!$A:$AC,2,FALSE))="Soundcraft",(VLOOKUP(Table11[[#This Row],[SKU]],'All Skus'!$A:$AC,20,FALSE)),""))</f>
        <v>0</v>
      </c>
      <c r="P104" s="240">
        <f>(IF((VLOOKUP(Table11[[#This Row],[SKU]],'All Skus'!$A:$AC,2,FALSE))="Soundcraft",(VLOOKUP(Table11[[#This Row],[SKU]],'All Skus'!$A:$AC,21,FALSE)),""))</f>
        <v>0</v>
      </c>
      <c r="Q104" s="61" t="str">
        <f>(IF((VLOOKUP(Table11[[#This Row],[SKU]],'All Skus'!$A:$AC,2,FALSE))="Soundcraft",(VLOOKUP(Table11[[#This Row],[SKU]],'All Skus'!$A:$AC,22,FALSE)),""))</f>
        <v>CN</v>
      </c>
      <c r="R104" s="61" t="str">
        <f>(IF((VLOOKUP(Table11[[#This Row],[SKU]],'All Skus'!$A:$AC,2,FALSE))="Soundcraft",(VLOOKUP(Table11[[#This Row],[SKU]],'All Skus'!$A:$AC,23,FALSE)),""))</f>
        <v>Compliant</v>
      </c>
      <c r="S104" s="212" t="str">
        <f>HYPERLINK((IF((VLOOKUP(Table11[[#This Row],[SKU]],'All Skus'!$A:$AC,2,FALSE))="Soundcraft",(VLOOKUP(Table11[[#This Row],[SKU]],'All Skus'!$A:$AC,24,FALSE)),"")))</f>
        <v/>
      </c>
      <c r="T104" s="151">
        <v>102</v>
      </c>
    </row>
    <row r="105" spans="1:22" s="161" customFormat="1" ht="15" customHeight="1">
      <c r="A105" s="158">
        <v>5047551</v>
      </c>
      <c r="B105" s="159" t="str">
        <f>(IF((VLOOKUP(Table11[[#This Row],[SKU]],'All Skus'!$A:$AC,2,FALSE))="Soundcraft",(VLOOKUP(Table11[[#This Row],[SKU]],'All Skus'!$A:$AC,3,FALSE)),""))</f>
        <v>Vi3000</v>
      </c>
      <c r="C105" s="21">
        <f>(IF((VLOOKUP(Table11[[#This Row],[SKU]],'All Skus'!$A:$AC,2,FALSE))="Soundcraft",(VLOOKUP(Table11[[#This Row],[SKU]],'All Skus'!$A:$AC,4,FALSE)),""))</f>
        <v>5047551</v>
      </c>
      <c r="D105" s="19" t="str">
        <f>(IF((VLOOKUP(Table11[[#This Row],[SKU]],'All Skus'!$A:$AC,2,FALSE))="Soundcraft",(VLOOKUP(Table11[[#This Row],[SKU]],'All Skus'!$A:$AC,5,FALSE)),""))</f>
        <v>SC-VI</v>
      </c>
      <c r="E105" s="19">
        <f>(IF((VLOOKUP(Table11[[#This Row],[SKU]],'All Skus'!$A:$AC,2,FALSE))="Soundcraft",(VLOOKUP(Table11[[#This Row],[SKU]],'All Skus'!$A:$AC,6,FALSE)),""))</f>
        <v>0</v>
      </c>
      <c r="F105" s="18">
        <f>(IF((VLOOKUP(Table11[[#This Row],[SKU]],'All Skus'!$A:$AC,2,FALSE))="Soundcraft",(VLOOKUP(Table11[[#This Row],[SKU]],'All Skus'!$A:$AC,7,FALSE)),""))</f>
        <v>0</v>
      </c>
      <c r="G105" s="22" t="str">
        <f>(IF((VLOOKUP(Table11[[#This Row],[SKU]],'All Skus'!$A:$AC,2,FALSE))="Soundcraft",(VLOOKUP(Table11[[#This Row],[SKU]],'All Skus'!$A:$AC,8,FALSE)),""))</f>
        <v>FLIGHTCASE,Vi3000 STANDARD</v>
      </c>
      <c r="H105" s="22" t="str">
        <f>(IF((VLOOKUP(Table11[[#This Row],[SKU]],'All Skus'!$A:$AC,2,FALSE))="Soundcraft",(VLOOKUP(Table11[[#This Row],[SKU]],'All Skus'!$A:$AC,9,FALSE)),""))</f>
        <v>Vi3000 Standard flightcase</v>
      </c>
      <c r="I105" s="157">
        <f>(IF((VLOOKUP(Table11[[#This Row],[SKU]],'All Skus'!$A:$AC,2,FALSE))="Soundcraft",(VLOOKUP(Table11[[#This Row],[SKU]],'All Skus'!$A:$AC,10,FALSE)),""))</f>
        <v>3979.54</v>
      </c>
      <c r="J105" s="157">
        <f>(IF((VLOOKUP(Table11[[#This Row],[SKU]],'All Skus'!$A:$AC,2,FALSE))="Soundcraft",(VLOOKUP(Table11[[#This Row],[SKU]],'All Skus'!$A:$AC,11,FALSE)),""))</f>
        <v>3979</v>
      </c>
      <c r="K105" s="271">
        <f>(IF((VLOOKUP(Table11[[#This Row],[SKU]],'All Skus'!$A:$AC,2,FALSE))="Soundcraft",(VLOOKUP(Table11[[#This Row],[SKU]],'All Skus'!$A:$AC,16,FALSE)),""))</f>
        <v>688705001036</v>
      </c>
      <c r="L105" s="239">
        <f>(IF((VLOOKUP(Table11[[#This Row],[SKU]],'All Skus'!$A:$AC,2,FALSE))="Soundcraft",(VLOOKUP(Table11[[#This Row],[SKU]],'All Skus'!$A:$AC,17,FALSE)),""))</f>
        <v>0</v>
      </c>
      <c r="M105" s="239">
        <f>(IF((VLOOKUP(Table11[[#This Row],[SKU]],'All Skus'!$A:$AC,2,FALSE))="Soundcraft",(VLOOKUP(Table11[[#This Row],[SKU]],'All Skus'!$A:$AC,18,FALSE)),""))</f>
        <v>0</v>
      </c>
      <c r="N105" s="147">
        <f>(IF((VLOOKUP(Table11[[#This Row],[SKU]],'All Skus'!$A:$AC,2,FALSE))="Soundcraft",(VLOOKUP(Table11[[#This Row],[SKU]],'All Skus'!$A:$AC,19,FALSE)),""))</f>
        <v>0</v>
      </c>
      <c r="O105" s="147">
        <f>(IF((VLOOKUP(Table11[[#This Row],[SKU]],'All Skus'!$A:$AC,2,FALSE))="Soundcraft",(VLOOKUP(Table11[[#This Row],[SKU]],'All Skus'!$A:$AC,20,FALSE)),""))</f>
        <v>0</v>
      </c>
      <c r="P105" s="240">
        <f>(IF((VLOOKUP(Table11[[#This Row],[SKU]],'All Skus'!$A:$AC,2,FALSE))="Soundcraft",(VLOOKUP(Table11[[#This Row],[SKU]],'All Skus'!$A:$AC,21,FALSE)),""))</f>
        <v>0</v>
      </c>
      <c r="Q105" s="61" t="str">
        <f>(IF((VLOOKUP(Table11[[#This Row],[SKU]],'All Skus'!$A:$AC,2,FALSE))="Soundcraft",(VLOOKUP(Table11[[#This Row],[SKU]],'All Skus'!$A:$AC,22,FALSE)),""))</f>
        <v>GB</v>
      </c>
      <c r="R105" s="61" t="str">
        <f>(IF((VLOOKUP(Table11[[#This Row],[SKU]],'All Skus'!$A:$AC,2,FALSE))="Soundcraft",(VLOOKUP(Table11[[#This Row],[SKU]],'All Skus'!$A:$AC,23,FALSE)),""))</f>
        <v>Compliant</v>
      </c>
      <c r="S105" s="212" t="str">
        <f>HYPERLINK((IF((VLOOKUP(Table11[[#This Row],[SKU]],'All Skus'!$A:$AC,2,FALSE))="Soundcraft",(VLOOKUP(Table11[[#This Row],[SKU]],'All Skus'!$A:$AC,24,FALSE)),"")))</f>
        <v/>
      </c>
      <c r="T105" s="151">
        <v>103</v>
      </c>
      <c r="U105"/>
      <c r="V105"/>
    </row>
    <row r="106" spans="1:22" s="161" customFormat="1" ht="15" customHeight="1">
      <c r="A106" s="158">
        <v>5047552</v>
      </c>
      <c r="B106" s="159" t="str">
        <f>(IF((VLOOKUP(Table11[[#This Row],[SKU]],'All Skus'!$A:$AC,2,FALSE))="Soundcraft",(VLOOKUP(Table11[[#This Row],[SKU]],'All Skus'!$A:$AC,3,FALSE)),""))</f>
        <v>Vi3000</v>
      </c>
      <c r="C106" s="21">
        <f>(IF((VLOOKUP(Table11[[#This Row],[SKU]],'All Skus'!$A:$AC,2,FALSE))="Soundcraft",(VLOOKUP(Table11[[#This Row],[SKU]],'All Skus'!$A:$AC,4,FALSE)),""))</f>
        <v>5047552</v>
      </c>
      <c r="D106" s="19" t="str">
        <f>(IF((VLOOKUP(Table11[[#This Row],[SKU]],'All Skus'!$A:$AC,2,FALSE))="Soundcraft",(VLOOKUP(Table11[[#This Row],[SKU]],'All Skus'!$A:$AC,5,FALSE)),""))</f>
        <v>SC-VI</v>
      </c>
      <c r="E106" s="19">
        <f>(IF((VLOOKUP(Table11[[#This Row],[SKU]],'All Skus'!$A:$AC,2,FALSE))="Soundcraft",(VLOOKUP(Table11[[#This Row],[SKU]],'All Skus'!$A:$AC,6,FALSE)),""))</f>
        <v>0</v>
      </c>
      <c r="F106" s="18">
        <f>(IF((VLOOKUP(Table11[[#This Row],[SKU]],'All Skus'!$A:$AC,2,FALSE))="Soundcraft",(VLOOKUP(Table11[[#This Row],[SKU]],'All Skus'!$A:$AC,7,FALSE)),""))</f>
        <v>0</v>
      </c>
      <c r="G106" s="22" t="str">
        <f>(IF((VLOOKUP(Table11[[#This Row],[SKU]],'All Skus'!$A:$AC,2,FALSE))="Soundcraft",(VLOOKUP(Table11[[#This Row],[SKU]],'All Skus'!$A:$AC,8,FALSE)),""))</f>
        <v>FLIGHTCASE,Vi3000 DELUXE</v>
      </c>
      <c r="H106" s="22" t="str">
        <f>(IF((VLOOKUP(Table11[[#This Row],[SKU]],'All Skus'!$A:$AC,2,FALSE))="Soundcraft",(VLOOKUP(Table11[[#This Row],[SKU]],'All Skus'!$A:$AC,9,FALSE)),""))</f>
        <v>Vi3000 Delux flightcase inc monitor stand, keyboard tray and rack fixings</v>
      </c>
      <c r="I106" s="157">
        <f>(IF((VLOOKUP(Table11[[#This Row],[SKU]],'All Skus'!$A:$AC,2,FALSE))="Soundcraft",(VLOOKUP(Table11[[#This Row],[SKU]],'All Skus'!$A:$AC,10,FALSE)),""))</f>
        <v>4653</v>
      </c>
      <c r="J106" s="157">
        <f>(IF((VLOOKUP(Table11[[#This Row],[SKU]],'All Skus'!$A:$AC,2,FALSE))="Soundcraft",(VLOOKUP(Table11[[#This Row],[SKU]],'All Skus'!$A:$AC,11,FALSE)),""))</f>
        <v>4653</v>
      </c>
      <c r="K106" s="271">
        <f>(IF((VLOOKUP(Table11[[#This Row],[SKU]],'All Skus'!$A:$AC,2,FALSE))="Soundcraft",(VLOOKUP(Table11[[#This Row],[SKU]],'All Skus'!$A:$AC,16,FALSE)),""))</f>
        <v>688705001043</v>
      </c>
      <c r="L106" s="239">
        <f>(IF((VLOOKUP(Table11[[#This Row],[SKU]],'All Skus'!$A:$AC,2,FALSE))="Soundcraft",(VLOOKUP(Table11[[#This Row],[SKU]],'All Skus'!$A:$AC,17,FALSE)),""))</f>
        <v>0</v>
      </c>
      <c r="M106" s="239">
        <f>(IF((VLOOKUP(Table11[[#This Row],[SKU]],'All Skus'!$A:$AC,2,FALSE))="Soundcraft",(VLOOKUP(Table11[[#This Row],[SKU]],'All Skus'!$A:$AC,18,FALSE)),""))</f>
        <v>0</v>
      </c>
      <c r="N106" s="147">
        <f>(IF((VLOOKUP(Table11[[#This Row],[SKU]],'All Skus'!$A:$AC,2,FALSE))="Soundcraft",(VLOOKUP(Table11[[#This Row],[SKU]],'All Skus'!$A:$AC,19,FALSE)),""))</f>
        <v>0</v>
      </c>
      <c r="O106" s="147">
        <f>(IF((VLOOKUP(Table11[[#This Row],[SKU]],'All Skus'!$A:$AC,2,FALSE))="Soundcraft",(VLOOKUP(Table11[[#This Row],[SKU]],'All Skus'!$A:$AC,20,FALSE)),""))</f>
        <v>0</v>
      </c>
      <c r="P106" s="240">
        <f>(IF((VLOOKUP(Table11[[#This Row],[SKU]],'All Skus'!$A:$AC,2,FALSE))="Soundcraft",(VLOOKUP(Table11[[#This Row],[SKU]],'All Skus'!$A:$AC,21,FALSE)),""))</f>
        <v>0</v>
      </c>
      <c r="Q106" s="61" t="str">
        <f>(IF((VLOOKUP(Table11[[#This Row],[SKU]],'All Skus'!$A:$AC,2,FALSE))="Soundcraft",(VLOOKUP(Table11[[#This Row],[SKU]],'All Skus'!$A:$AC,22,FALSE)),""))</f>
        <v>CN</v>
      </c>
      <c r="R106" s="61" t="str">
        <f>(IF((VLOOKUP(Table11[[#This Row],[SKU]],'All Skus'!$A:$AC,2,FALSE))="Soundcraft",(VLOOKUP(Table11[[#This Row],[SKU]],'All Skus'!$A:$AC,23,FALSE)),""))</f>
        <v>Compliant</v>
      </c>
      <c r="S106" s="212" t="str">
        <f>HYPERLINK((IF((VLOOKUP(Table11[[#This Row],[SKU]],'All Skus'!$A:$AC,2,FALSE))="Soundcraft",(VLOOKUP(Table11[[#This Row],[SKU]],'All Skus'!$A:$AC,24,FALSE)),"")))</f>
        <v/>
      </c>
      <c r="T106" s="151">
        <v>104</v>
      </c>
    </row>
    <row r="107" spans="1:22" ht="15" customHeight="1">
      <c r="A107" s="158">
        <v>5057291</v>
      </c>
      <c r="B107" s="159" t="str">
        <f>(IF((VLOOKUP(Table11[[#This Row],[SKU]],'All Skus'!$A:$AC,2,FALSE))="Soundcraft",(VLOOKUP(Table11[[#This Row],[SKU]],'All Skus'!$A:$AC,3,FALSE)),""))</f>
        <v>Vi5000/7000</v>
      </c>
      <c r="C107" s="21">
        <f>(IF((VLOOKUP(Table11[[#This Row],[SKU]],'All Skus'!$A:$AC,2,FALSE))="Soundcraft",(VLOOKUP(Table11[[#This Row],[SKU]],'All Skus'!$A:$AC,4,FALSE)),""))</f>
        <v>5057291</v>
      </c>
      <c r="D107" s="19" t="str">
        <f>(IF((VLOOKUP(Table11[[#This Row],[SKU]],'All Skus'!$A:$AC,2,FALSE))="Soundcraft",(VLOOKUP(Table11[[#This Row],[SKU]],'All Skus'!$A:$AC,5,FALSE)),""))</f>
        <v>SC-VI</v>
      </c>
      <c r="E107" s="19">
        <f>(IF((VLOOKUP(Table11[[#This Row],[SKU]],'All Skus'!$A:$AC,2,FALSE))="Soundcraft",(VLOOKUP(Table11[[#This Row],[SKU]],'All Skus'!$A:$AC,6,FALSE)),""))</f>
        <v>0</v>
      </c>
      <c r="F107" s="18">
        <f>(IF((VLOOKUP(Table11[[#This Row],[SKU]],'All Skus'!$A:$AC,2,FALSE))="Soundcraft",(VLOOKUP(Table11[[#This Row],[SKU]],'All Skus'!$A:$AC,7,FALSE)),""))</f>
        <v>0</v>
      </c>
      <c r="G107" s="22" t="str">
        <f>(IF((VLOOKUP(Table11[[#This Row],[SKU]],'All Skus'!$A:$AC,2,FALSE))="Soundcraft",(VLOOKUP(Table11[[#This Row],[SKU]],'All Skus'!$A:$AC,8,FALSE)),""))</f>
        <v>VI7000 CONTROL SURFACE</v>
      </c>
      <c r="H107" s="22" t="str">
        <f>(IF((VLOOKUP(Table11[[#This Row],[SKU]],'All Skus'!$A:$AC,2,FALSE))="Soundcraft",(VLOOKUP(Table11[[#This Row],[SKU]],'All Skus'!$A:$AC,9,FALSE)),""))</f>
        <v>Vi7000 Surface</v>
      </c>
      <c r="I107" s="157">
        <f>(IF((VLOOKUP(Table11[[#This Row],[SKU]],'All Skus'!$A:$AC,2,FALSE))="Soundcraft",(VLOOKUP(Table11[[#This Row],[SKU]],'All Skus'!$A:$AC,10,FALSE)),""))</f>
        <v>46872.88</v>
      </c>
      <c r="J107" s="157">
        <f>(IF((VLOOKUP(Table11[[#This Row],[SKU]],'All Skus'!$A:$AC,2,FALSE))="Soundcraft",(VLOOKUP(Table11[[#This Row],[SKU]],'All Skus'!$A:$AC,11,FALSE)),""))</f>
        <v>46872</v>
      </c>
      <c r="K107" s="271">
        <f>(IF((VLOOKUP(Table11[[#This Row],[SKU]],'All Skus'!$A:$AC,2,FALSE))="Soundcraft",(VLOOKUP(Table11[[#This Row],[SKU]],'All Skus'!$A:$AC,16,FALSE)),""))</f>
        <v>688705001784</v>
      </c>
      <c r="L107" s="239">
        <f>(IF((VLOOKUP(Table11[[#This Row],[SKU]],'All Skus'!$A:$AC,2,FALSE))="Soundcraft",(VLOOKUP(Table11[[#This Row],[SKU]],'All Skus'!$A:$AC,17,FALSE)),""))</f>
        <v>0</v>
      </c>
      <c r="M107" s="239">
        <f>(IF((VLOOKUP(Table11[[#This Row],[SKU]],'All Skus'!$A:$AC,2,FALSE))="Soundcraft",(VLOOKUP(Table11[[#This Row],[SKU]],'All Skus'!$A:$AC,18,FALSE)),""))</f>
        <v>0</v>
      </c>
      <c r="N107" s="147">
        <f>(IF((VLOOKUP(Table11[[#This Row],[SKU]],'All Skus'!$A:$AC,2,FALSE))="Soundcraft",(VLOOKUP(Table11[[#This Row],[SKU]],'All Skus'!$A:$AC,19,FALSE)),""))</f>
        <v>0</v>
      </c>
      <c r="O107" s="147">
        <f>(IF((VLOOKUP(Table11[[#This Row],[SKU]],'All Skus'!$A:$AC,2,FALSE))="Soundcraft",(VLOOKUP(Table11[[#This Row],[SKU]],'All Skus'!$A:$AC,20,FALSE)),""))</f>
        <v>0</v>
      </c>
      <c r="P107" s="240">
        <f>(IF((VLOOKUP(Table11[[#This Row],[SKU]],'All Skus'!$A:$AC,2,FALSE))="Soundcraft",(VLOOKUP(Table11[[#This Row],[SKU]],'All Skus'!$A:$AC,21,FALSE)),""))</f>
        <v>0</v>
      </c>
      <c r="Q107" s="61" t="str">
        <f>(IF((VLOOKUP(Table11[[#This Row],[SKU]],'All Skus'!$A:$AC,2,FALSE))="Soundcraft",(VLOOKUP(Table11[[#This Row],[SKU]],'All Skus'!$A:$AC,22,FALSE)),""))</f>
        <v>CN</v>
      </c>
      <c r="R107" s="61" t="str">
        <f>(IF((VLOOKUP(Table11[[#This Row],[SKU]],'All Skus'!$A:$AC,2,FALSE))="Soundcraft",(VLOOKUP(Table11[[#This Row],[SKU]],'All Skus'!$A:$AC,23,FALSE)),""))</f>
        <v>Compliant</v>
      </c>
      <c r="S107" s="212" t="str">
        <f>HYPERLINK((IF((VLOOKUP(Table11[[#This Row],[SKU]],'All Skus'!$A:$AC,2,FALSE))="Soundcraft",(VLOOKUP(Table11[[#This Row],[SKU]],'All Skus'!$A:$AC,24,FALSE)),"")))</f>
        <v/>
      </c>
      <c r="T107" s="151">
        <v>105</v>
      </c>
      <c r="U107" s="161"/>
      <c r="V107" s="161"/>
    </row>
    <row r="108" spans="1:22" ht="15" customHeight="1">
      <c r="A108" s="158">
        <v>5057292</v>
      </c>
      <c r="B108" s="159" t="str">
        <f>(IF((VLOOKUP(Table11[[#This Row],[SKU]],'All Skus'!$A:$AC,2,FALSE))="Soundcraft",(VLOOKUP(Table11[[#This Row],[SKU]],'All Skus'!$A:$AC,3,FALSE)),""))</f>
        <v>Vi5000/7000</v>
      </c>
      <c r="C108" s="21">
        <f>(IF((VLOOKUP(Table11[[#This Row],[SKU]],'All Skus'!$A:$AC,2,FALSE))="Soundcraft",(VLOOKUP(Table11[[#This Row],[SKU]],'All Skus'!$A:$AC,4,FALSE)),""))</f>
        <v>5057292</v>
      </c>
      <c r="D108" s="19" t="str">
        <f>(IF((VLOOKUP(Table11[[#This Row],[SKU]],'All Skus'!$A:$AC,2,FALSE))="Soundcraft",(VLOOKUP(Table11[[#This Row],[SKU]],'All Skus'!$A:$AC,5,FALSE)),""))</f>
        <v>SC-VI</v>
      </c>
      <c r="E108" s="19">
        <f>(IF((VLOOKUP(Table11[[#This Row],[SKU]],'All Skus'!$A:$AC,2,FALSE))="Soundcraft",(VLOOKUP(Table11[[#This Row],[SKU]],'All Skus'!$A:$AC,6,FALSE)),""))</f>
        <v>0</v>
      </c>
      <c r="F108" s="18">
        <f>(IF((VLOOKUP(Table11[[#This Row],[SKU]],'All Skus'!$A:$AC,2,FALSE))="Soundcraft",(VLOOKUP(Table11[[#This Row],[SKU]],'All Skus'!$A:$AC,7,FALSE)),""))</f>
        <v>0</v>
      </c>
      <c r="G108" s="22" t="str">
        <f>(IF((VLOOKUP(Table11[[#This Row],[SKU]],'All Skus'!$A:$AC,2,FALSE))="Soundcraft",(VLOOKUP(Table11[[#This Row],[SKU]],'All Skus'!$A:$AC,8,FALSE)),""))</f>
        <v>VI5000 CONTROL SURFACE</v>
      </c>
      <c r="H108" s="22" t="str">
        <f>(IF((VLOOKUP(Table11[[#This Row],[SKU]],'All Skus'!$A:$AC,2,FALSE))="Soundcraft",(VLOOKUP(Table11[[#This Row],[SKU]],'All Skus'!$A:$AC,9,FALSE)),""))</f>
        <v>Vi5000 Surface</v>
      </c>
      <c r="I108" s="157">
        <f>(IF((VLOOKUP(Table11[[#This Row],[SKU]],'All Skus'!$A:$AC,2,FALSE))="Soundcraft",(VLOOKUP(Table11[[#This Row],[SKU]],'All Skus'!$A:$AC,10,FALSE)),""))</f>
        <v>41191.32</v>
      </c>
      <c r="J108" s="157">
        <f>(IF((VLOOKUP(Table11[[#This Row],[SKU]],'All Skus'!$A:$AC,2,FALSE))="Soundcraft",(VLOOKUP(Table11[[#This Row],[SKU]],'All Skus'!$A:$AC,11,FALSE)),""))</f>
        <v>41191</v>
      </c>
      <c r="K108" s="271">
        <f>(IF((VLOOKUP(Table11[[#This Row],[SKU]],'All Skus'!$A:$AC,2,FALSE))="Soundcraft",(VLOOKUP(Table11[[#This Row],[SKU]],'All Skus'!$A:$AC,16,FALSE)),""))</f>
        <v>688705001791</v>
      </c>
      <c r="L108" s="239">
        <f>(IF((VLOOKUP(Table11[[#This Row],[SKU]],'All Skus'!$A:$AC,2,FALSE))="Soundcraft",(VLOOKUP(Table11[[#This Row],[SKU]],'All Skus'!$A:$AC,17,FALSE)),""))</f>
        <v>0</v>
      </c>
      <c r="M108" s="239">
        <f>(IF((VLOOKUP(Table11[[#This Row],[SKU]],'All Skus'!$A:$AC,2,FALSE))="Soundcraft",(VLOOKUP(Table11[[#This Row],[SKU]],'All Skus'!$A:$AC,18,FALSE)),""))</f>
        <v>0</v>
      </c>
      <c r="N108" s="147">
        <f>(IF((VLOOKUP(Table11[[#This Row],[SKU]],'All Skus'!$A:$AC,2,FALSE))="Soundcraft",(VLOOKUP(Table11[[#This Row],[SKU]],'All Skus'!$A:$AC,19,FALSE)),""))</f>
        <v>0</v>
      </c>
      <c r="O108" s="147">
        <f>(IF((VLOOKUP(Table11[[#This Row],[SKU]],'All Skus'!$A:$AC,2,FALSE))="Soundcraft",(VLOOKUP(Table11[[#This Row],[SKU]],'All Skus'!$A:$AC,20,FALSE)),""))</f>
        <v>0</v>
      </c>
      <c r="P108" s="240">
        <f>(IF((VLOOKUP(Table11[[#This Row],[SKU]],'All Skus'!$A:$AC,2,FALSE))="Soundcraft",(VLOOKUP(Table11[[#This Row],[SKU]],'All Skus'!$A:$AC,21,FALSE)),""))</f>
        <v>0</v>
      </c>
      <c r="Q108" s="61" t="str">
        <f>(IF((VLOOKUP(Table11[[#This Row],[SKU]],'All Skus'!$A:$AC,2,FALSE))="Soundcraft",(VLOOKUP(Table11[[#This Row],[SKU]],'All Skus'!$A:$AC,22,FALSE)),""))</f>
        <v>CN</v>
      </c>
      <c r="R108" s="61" t="str">
        <f>(IF((VLOOKUP(Table11[[#This Row],[SKU]],'All Skus'!$A:$AC,2,FALSE))="Soundcraft",(VLOOKUP(Table11[[#This Row],[SKU]],'All Skus'!$A:$AC,23,FALSE)),""))</f>
        <v>Compliant</v>
      </c>
      <c r="S108" s="212" t="str">
        <f>HYPERLINK((IF((VLOOKUP(Table11[[#This Row],[SKU]],'All Skus'!$A:$AC,2,FALSE))="Soundcraft",(VLOOKUP(Table11[[#This Row],[SKU]],'All Skus'!$A:$AC,24,FALSE)),"")))</f>
        <v/>
      </c>
      <c r="T108" s="151">
        <v>106</v>
      </c>
    </row>
    <row r="109" spans="1:22" ht="15" customHeight="1">
      <c r="A109" s="158" t="s">
        <v>2462</v>
      </c>
      <c r="B109" s="159" t="str">
        <f>(IF((VLOOKUP(Table11[[#This Row],[SKU]],'All Skus'!$A:$AC,2,FALSE))="Soundcraft",(VLOOKUP(Table11[[#This Row],[SKU]],'All Skus'!$A:$AC,3,FALSE)),""))</f>
        <v>Vi5000/7000</v>
      </c>
      <c r="C109" s="21" t="str">
        <f>(IF((VLOOKUP(Table11[[#This Row],[SKU]],'All Skus'!$A:$AC,2,FALSE))="Soundcraft",(VLOOKUP(Table11[[#This Row],[SKU]],'All Skus'!$A:$AC,4,FALSE)),""))</f>
        <v>5059729HU</v>
      </c>
      <c r="D109" s="19" t="str">
        <f>(IF((VLOOKUP(Table11[[#This Row],[SKU]],'All Skus'!$A:$AC,2,FALSE))="Soundcraft",(VLOOKUP(Table11[[#This Row],[SKU]],'All Skus'!$A:$AC,5,FALSE)),""))</f>
        <v>SC-VI</v>
      </c>
      <c r="E109" s="19">
        <f>(IF((VLOOKUP(Table11[[#This Row],[SKU]],'All Skus'!$A:$AC,2,FALSE))="Soundcraft",(VLOOKUP(Table11[[#This Row],[SKU]],'All Skus'!$A:$AC,6,FALSE)),""))</f>
        <v>0</v>
      </c>
      <c r="F109" s="18">
        <f>(IF((VLOOKUP(Table11[[#This Row],[SKU]],'All Skus'!$A:$AC,2,FALSE))="Soundcraft",(VLOOKUP(Table11[[#This Row],[SKU]],'All Skus'!$A:$AC,7,FALSE)),""))</f>
        <v>0</v>
      </c>
      <c r="G109" s="22" t="str">
        <f>(IF((VLOOKUP(Table11[[#This Row],[SKU]],'All Skus'!$A:$AC,2,FALSE))="Soundcraft",(VLOOKUP(Table11[[#This Row],[SKU]],'All Skus'!$A:$AC,8,FALSE)),""))</f>
        <v>VI5000/7000 LOCAL RACK 96kHz Full Opt</v>
      </c>
      <c r="H109" s="22" t="str">
        <f>(IF((VLOOKUP(Table11[[#This Row],[SKU]],'All Skus'!$A:$AC,2,FALSE))="Soundcraft",(VLOOKUP(Table11[[#This Row],[SKU]],'All Skus'!$A:$AC,9,FALSE)),""))</f>
        <v>ViLR-96FO 96kHz Fully Multimode Optical local rack for use with Vi5000/7000</v>
      </c>
      <c r="I109" s="157">
        <f>(IF((VLOOKUP(Table11[[#This Row],[SKU]],'All Skus'!$A:$AC,2,FALSE))="Soundcraft",(VLOOKUP(Table11[[#This Row],[SKU]],'All Skus'!$A:$AC,10,FALSE)),""))</f>
        <v>74328.039999999994</v>
      </c>
      <c r="J109" s="157">
        <f>(IF((VLOOKUP(Table11[[#This Row],[SKU]],'All Skus'!$A:$AC,2,FALSE))="Soundcraft",(VLOOKUP(Table11[[#This Row],[SKU]],'All Skus'!$A:$AC,11,FALSE)),""))</f>
        <v>74328</v>
      </c>
      <c r="K109" s="271">
        <f>(IF((VLOOKUP(Table11[[#This Row],[SKU]],'All Skus'!$A:$AC,2,FALSE))="Soundcraft",(VLOOKUP(Table11[[#This Row],[SKU]],'All Skus'!$A:$AC,16,FALSE)),""))</f>
        <v>688705002385</v>
      </c>
      <c r="L109" s="239">
        <f>(IF((VLOOKUP(Table11[[#This Row],[SKU]],'All Skus'!$A:$AC,2,FALSE))="Soundcraft",(VLOOKUP(Table11[[#This Row],[SKU]],'All Skus'!$A:$AC,17,FALSE)),""))</f>
        <v>0</v>
      </c>
      <c r="M109" s="239">
        <f>(IF((VLOOKUP(Table11[[#This Row],[SKU]],'All Skus'!$A:$AC,2,FALSE))="Soundcraft",(VLOOKUP(Table11[[#This Row],[SKU]],'All Skus'!$A:$AC,18,FALSE)),""))</f>
        <v>0</v>
      </c>
      <c r="N109" s="147">
        <f>(IF((VLOOKUP(Table11[[#This Row],[SKU]],'All Skus'!$A:$AC,2,FALSE))="Soundcraft",(VLOOKUP(Table11[[#This Row],[SKU]],'All Skus'!$A:$AC,19,FALSE)),""))</f>
        <v>0</v>
      </c>
      <c r="O109" s="147">
        <f>(IF((VLOOKUP(Table11[[#This Row],[SKU]],'All Skus'!$A:$AC,2,FALSE))="Soundcraft",(VLOOKUP(Table11[[#This Row],[SKU]],'All Skus'!$A:$AC,20,FALSE)),""))</f>
        <v>0</v>
      </c>
      <c r="P109" s="240">
        <f>(IF((VLOOKUP(Table11[[#This Row],[SKU]],'All Skus'!$A:$AC,2,FALSE))="Soundcraft",(VLOOKUP(Table11[[#This Row],[SKU]],'All Skus'!$A:$AC,21,FALSE)),""))</f>
        <v>0</v>
      </c>
      <c r="Q109" s="61" t="str">
        <f>(IF((VLOOKUP(Table11[[#This Row],[SKU]],'All Skus'!$A:$AC,2,FALSE))="Soundcraft",(VLOOKUP(Table11[[#This Row],[SKU]],'All Skus'!$A:$AC,22,FALSE)),""))</f>
        <v>CN</v>
      </c>
      <c r="R109" s="61" t="str">
        <f>(IF((VLOOKUP(Table11[[#This Row],[SKU]],'All Skus'!$A:$AC,2,FALSE))="Soundcraft",(VLOOKUP(Table11[[#This Row],[SKU]],'All Skus'!$A:$AC,23,FALSE)),""))</f>
        <v>Compliant</v>
      </c>
      <c r="S109" s="212" t="str">
        <f>HYPERLINK((IF((VLOOKUP(Table11[[#This Row],[SKU]],'All Skus'!$A:$AC,2,FALSE))="Soundcraft",(VLOOKUP(Table11[[#This Row],[SKU]],'All Skus'!$A:$AC,24,FALSE)),"")))</f>
        <v/>
      </c>
      <c r="T109" s="151">
        <v>107</v>
      </c>
    </row>
    <row r="110" spans="1:22" ht="15" customHeight="1">
      <c r="A110" s="158" t="s">
        <v>2463</v>
      </c>
      <c r="B110" s="159" t="str">
        <f>(IF((VLOOKUP(Table11[[#This Row],[SKU]],'All Skus'!$A:$AC,2,FALSE))="Soundcraft",(VLOOKUP(Table11[[#This Row],[SKU]],'All Skus'!$A:$AC,3,FALSE)),""))</f>
        <v>Vi5000/7000</v>
      </c>
      <c r="C110" s="21" t="str">
        <f>(IF((VLOOKUP(Table11[[#This Row],[SKU]],'All Skus'!$A:$AC,2,FALSE))="Soundcraft",(VLOOKUP(Table11[[#This Row],[SKU]],'All Skus'!$A:$AC,4,FALSE)),""))</f>
        <v>5059730HU</v>
      </c>
      <c r="D110" s="19" t="str">
        <f>(IF((VLOOKUP(Table11[[#This Row],[SKU]],'All Skus'!$A:$AC,2,FALSE))="Soundcraft",(VLOOKUP(Table11[[#This Row],[SKU]],'All Skus'!$A:$AC,5,FALSE)),""))</f>
        <v>SC-VI</v>
      </c>
      <c r="E110" s="19">
        <f>(IF((VLOOKUP(Table11[[#This Row],[SKU]],'All Skus'!$A:$AC,2,FALSE))="Soundcraft",(VLOOKUP(Table11[[#This Row],[SKU]],'All Skus'!$A:$AC,6,FALSE)),""))</f>
        <v>0</v>
      </c>
      <c r="F110" s="18">
        <f>(IF((VLOOKUP(Table11[[#This Row],[SKU]],'All Skus'!$A:$AC,2,FALSE))="Soundcraft",(VLOOKUP(Table11[[#This Row],[SKU]],'All Skus'!$A:$AC,7,FALSE)),""))</f>
        <v>0</v>
      </c>
      <c r="G110" s="22" t="str">
        <f>(IF((VLOOKUP(Table11[[#This Row],[SKU]],'All Skus'!$A:$AC,2,FALSE))="Soundcraft",(VLOOKUP(Table11[[#This Row],[SKU]],'All Skus'!$A:$AC,8,FALSE)),""))</f>
        <v>VI5000/7000 LOCAL RACK 96kHz Cat 5</v>
      </c>
      <c r="H110" s="22" t="str">
        <f>(IF((VLOOKUP(Table11[[#This Row],[SKU]],'All Skus'!$A:$AC,2,FALSE))="Soundcraft",(VLOOKUP(Table11[[#This Row],[SKU]],'All Skus'!$A:$AC,9,FALSE)),""))</f>
        <v>ViLR-96C5  96kHz Cat5 local rack for use with Vi5000/7000</v>
      </c>
      <c r="I110" s="157">
        <f>(IF((VLOOKUP(Table11[[#This Row],[SKU]],'All Skus'!$A:$AC,2,FALSE))="Soundcraft",(VLOOKUP(Table11[[#This Row],[SKU]],'All Skus'!$A:$AC,10,FALSE)),""))</f>
        <v>68898.720000000001</v>
      </c>
      <c r="J110" s="157">
        <f>(IF((VLOOKUP(Table11[[#This Row],[SKU]],'All Skus'!$A:$AC,2,FALSE))="Soundcraft",(VLOOKUP(Table11[[#This Row],[SKU]],'All Skus'!$A:$AC,11,FALSE)),""))</f>
        <v>68898</v>
      </c>
      <c r="K110" s="271">
        <f>(IF((VLOOKUP(Table11[[#This Row],[SKU]],'All Skus'!$A:$AC,2,FALSE))="Soundcraft",(VLOOKUP(Table11[[#This Row],[SKU]],'All Skus'!$A:$AC,16,FALSE)),""))</f>
        <v>688705002378</v>
      </c>
      <c r="L110" s="239">
        <f>(IF((VLOOKUP(Table11[[#This Row],[SKU]],'All Skus'!$A:$AC,2,FALSE))="Soundcraft",(VLOOKUP(Table11[[#This Row],[SKU]],'All Skus'!$A:$AC,17,FALSE)),""))</f>
        <v>0</v>
      </c>
      <c r="M110" s="239">
        <f>(IF((VLOOKUP(Table11[[#This Row],[SKU]],'All Skus'!$A:$AC,2,FALSE))="Soundcraft",(VLOOKUP(Table11[[#This Row],[SKU]],'All Skus'!$A:$AC,18,FALSE)),""))</f>
        <v>80</v>
      </c>
      <c r="N110" s="147">
        <f>(IF((VLOOKUP(Table11[[#This Row],[SKU]],'All Skus'!$A:$AC,2,FALSE))="Soundcraft",(VLOOKUP(Table11[[#This Row],[SKU]],'All Skus'!$A:$AC,19,FALSE)),""))</f>
        <v>30.5</v>
      </c>
      <c r="O110" s="147">
        <f>(IF((VLOOKUP(Table11[[#This Row],[SKU]],'All Skus'!$A:$AC,2,FALSE))="Soundcraft",(VLOOKUP(Table11[[#This Row],[SKU]],'All Skus'!$A:$AC,20,FALSE)),""))</f>
        <v>24</v>
      </c>
      <c r="P110" s="240">
        <f>(IF((VLOOKUP(Table11[[#This Row],[SKU]],'All Skus'!$A:$AC,2,FALSE))="Soundcraft",(VLOOKUP(Table11[[#This Row],[SKU]],'All Skus'!$A:$AC,21,FALSE)),""))</f>
        <v>30.5</v>
      </c>
      <c r="Q110" s="61">
        <f>(IF((VLOOKUP(Table11[[#This Row],[SKU]],'All Skus'!$A:$AC,2,FALSE))="Soundcraft",(VLOOKUP(Table11[[#This Row],[SKU]],'All Skus'!$A:$AC,22,FALSE)),""))</f>
        <v>0</v>
      </c>
      <c r="R110" s="61" t="str">
        <f>(IF((VLOOKUP(Table11[[#This Row],[SKU]],'All Skus'!$A:$AC,2,FALSE))="Soundcraft",(VLOOKUP(Table11[[#This Row],[SKU]],'All Skus'!$A:$AC,23,FALSE)),""))</f>
        <v>Compliant</v>
      </c>
      <c r="S110" s="212" t="str">
        <f>HYPERLINK((IF((VLOOKUP(Table11[[#This Row],[SKU]],'All Skus'!$A:$AC,2,FALSE))="Soundcraft",(VLOOKUP(Table11[[#This Row],[SKU]],'All Skus'!$A:$AC,24,FALSE)),"")))</f>
        <v/>
      </c>
      <c r="T110" s="151">
        <v>108</v>
      </c>
    </row>
    <row r="111" spans="1:22" ht="15" customHeight="1">
      <c r="A111" s="158" t="s">
        <v>2464</v>
      </c>
      <c r="B111" s="159" t="str">
        <f>(IF((VLOOKUP(Table11[[#This Row],[SKU]],'All Skus'!$A:$AC,2,FALSE))="Soundcraft",(VLOOKUP(Table11[[#This Row],[SKU]],'All Skus'!$A:$AC,3,FALSE)),""))</f>
        <v>Vi5000/7000</v>
      </c>
      <c r="C111" s="21" t="str">
        <f>(IF((VLOOKUP(Table11[[#This Row],[SKU]],'All Skus'!$A:$AC,2,FALSE))="Soundcraft",(VLOOKUP(Table11[[#This Row],[SKU]],'All Skus'!$A:$AC,4,FALSE)),""))</f>
        <v>5059731HU</v>
      </c>
      <c r="D111" s="19" t="str">
        <f>(IF((VLOOKUP(Table11[[#This Row],[SKU]],'All Skus'!$A:$AC,2,FALSE))="Soundcraft",(VLOOKUP(Table11[[#This Row],[SKU]],'All Skus'!$A:$AC,5,FALSE)),""))</f>
        <v>SC-VI</v>
      </c>
      <c r="E111" s="19">
        <f>(IF((VLOOKUP(Table11[[#This Row],[SKU]],'All Skus'!$A:$AC,2,FALSE))="Soundcraft",(VLOOKUP(Table11[[#This Row],[SKU]],'All Skus'!$A:$AC,6,FALSE)),""))</f>
        <v>0</v>
      </c>
      <c r="F111" s="18">
        <f>(IF((VLOOKUP(Table11[[#This Row],[SKU]],'All Skus'!$A:$AC,2,FALSE))="Soundcraft",(VLOOKUP(Table11[[#This Row],[SKU]],'All Skus'!$A:$AC,7,FALSE)),""))</f>
        <v>0</v>
      </c>
      <c r="G111" s="22" t="str">
        <f>(IF((VLOOKUP(Table11[[#This Row],[SKU]],'All Skus'!$A:$AC,2,FALSE))="Soundcraft",(VLOOKUP(Table11[[#This Row],[SKU]],'All Skus'!$A:$AC,8,FALSE)),""))</f>
        <v>VI5000/7000 LOCAL RACK 48kHz Cat 5</v>
      </c>
      <c r="H111" s="22" t="str">
        <f>(IF((VLOOKUP(Table11[[#This Row],[SKU]],'All Skus'!$A:$AC,2,FALSE))="Soundcraft",(VLOOKUP(Table11[[#This Row],[SKU]],'All Skus'!$A:$AC,9,FALSE)),""))</f>
        <v>ViLR-48C5  48kHz Cat5 local rack for use with Vi5000/7000</v>
      </c>
      <c r="I111" s="157">
        <f>(IF((VLOOKUP(Table11[[#This Row],[SKU]],'All Skus'!$A:$AC,2,FALSE))="Soundcraft",(VLOOKUP(Table11[[#This Row],[SKU]],'All Skus'!$A:$AC,10,FALSE)),""))</f>
        <v>57814.78</v>
      </c>
      <c r="J111" s="157">
        <f>(IF((VLOOKUP(Table11[[#This Row],[SKU]],'All Skus'!$A:$AC,2,FALSE))="Soundcraft",(VLOOKUP(Table11[[#This Row],[SKU]],'All Skus'!$A:$AC,11,FALSE)),""))</f>
        <v>57814</v>
      </c>
      <c r="K111" s="271">
        <f>(IF((VLOOKUP(Table11[[#This Row],[SKU]],'All Skus'!$A:$AC,2,FALSE))="Soundcraft",(VLOOKUP(Table11[[#This Row],[SKU]],'All Skus'!$A:$AC,16,FALSE)),""))</f>
        <v>688705002361</v>
      </c>
      <c r="L111" s="239">
        <f>(IF((VLOOKUP(Table11[[#This Row],[SKU]],'All Skus'!$A:$AC,2,FALSE))="Soundcraft",(VLOOKUP(Table11[[#This Row],[SKU]],'All Skus'!$A:$AC,17,FALSE)),""))</f>
        <v>0</v>
      </c>
      <c r="M111" s="239">
        <f>(IF((VLOOKUP(Table11[[#This Row],[SKU]],'All Skus'!$A:$AC,2,FALSE))="Soundcraft",(VLOOKUP(Table11[[#This Row],[SKU]],'All Skus'!$A:$AC,18,FALSE)),""))</f>
        <v>81</v>
      </c>
      <c r="N111" s="147">
        <f>(IF((VLOOKUP(Table11[[#This Row],[SKU]],'All Skus'!$A:$AC,2,FALSE))="Soundcraft",(VLOOKUP(Table11[[#This Row],[SKU]],'All Skus'!$A:$AC,19,FALSE)),""))</f>
        <v>30.5</v>
      </c>
      <c r="O111" s="147">
        <f>(IF((VLOOKUP(Table11[[#This Row],[SKU]],'All Skus'!$A:$AC,2,FALSE))="Soundcraft",(VLOOKUP(Table11[[#This Row],[SKU]],'All Skus'!$A:$AC,20,FALSE)),""))</f>
        <v>24</v>
      </c>
      <c r="P111" s="240">
        <f>(IF((VLOOKUP(Table11[[#This Row],[SKU]],'All Skus'!$A:$AC,2,FALSE))="Soundcraft",(VLOOKUP(Table11[[#This Row],[SKU]],'All Skus'!$A:$AC,21,FALSE)),""))</f>
        <v>30.5</v>
      </c>
      <c r="Q111" s="61" t="str">
        <f>(IF((VLOOKUP(Table11[[#This Row],[SKU]],'All Skus'!$A:$AC,2,FALSE))="Soundcraft",(VLOOKUP(Table11[[#This Row],[SKU]],'All Skus'!$A:$AC,22,FALSE)),""))</f>
        <v>HU</v>
      </c>
      <c r="R111" s="61" t="str">
        <f>(IF((VLOOKUP(Table11[[#This Row],[SKU]],'All Skus'!$A:$AC,2,FALSE))="Soundcraft",(VLOOKUP(Table11[[#This Row],[SKU]],'All Skus'!$A:$AC,23,FALSE)),""))</f>
        <v>Compliant</v>
      </c>
      <c r="S111" s="212" t="str">
        <f>HYPERLINK((IF((VLOOKUP(Table11[[#This Row],[SKU]],'All Skus'!$A:$AC,2,FALSE))="Soundcraft",(VLOOKUP(Table11[[#This Row],[SKU]],'All Skus'!$A:$AC,24,FALSE)),"")))</f>
        <v/>
      </c>
      <c r="T111" s="151">
        <v>109</v>
      </c>
    </row>
    <row r="112" spans="1:22" ht="15" customHeight="1">
      <c r="A112" s="158" t="s">
        <v>2465</v>
      </c>
      <c r="B112" s="159" t="str">
        <f>(IF((VLOOKUP(Table11[[#This Row],[SKU]],'All Skus'!$A:$AC,2,FALSE))="Soundcraft",(VLOOKUP(Table11[[#This Row],[SKU]],'All Skus'!$A:$AC,3,FALSE)),""))</f>
        <v>Vi5000/7000</v>
      </c>
      <c r="C112" s="21" t="str">
        <f>(IF((VLOOKUP(Table11[[#This Row],[SKU]],'All Skus'!$A:$AC,2,FALSE))="Soundcraft",(VLOOKUP(Table11[[#This Row],[SKU]],'All Skus'!$A:$AC,4,FALSE)),""))</f>
        <v>5059732HU</v>
      </c>
      <c r="D112" s="19" t="str">
        <f>(IF((VLOOKUP(Table11[[#This Row],[SKU]],'All Skus'!$A:$AC,2,FALSE))="Soundcraft",(VLOOKUP(Table11[[#This Row],[SKU]],'All Skus'!$A:$AC,5,FALSE)),""))</f>
        <v>SC-VI</v>
      </c>
      <c r="E112" s="19">
        <f>(IF((VLOOKUP(Table11[[#This Row],[SKU]],'All Skus'!$A:$AC,2,FALSE))="Soundcraft",(VLOOKUP(Table11[[#This Row],[SKU]],'All Skus'!$A:$AC,6,FALSE)),""))</f>
        <v>0</v>
      </c>
      <c r="F112" s="18">
        <f>(IF((VLOOKUP(Table11[[#This Row],[SKU]],'All Skus'!$A:$AC,2,FALSE))="Soundcraft",(VLOOKUP(Table11[[#This Row],[SKU]],'All Skus'!$A:$AC,7,FALSE)),""))</f>
        <v>0</v>
      </c>
      <c r="G112" s="22" t="str">
        <f>(IF((VLOOKUP(Table11[[#This Row],[SKU]],'All Skus'!$A:$AC,2,FALSE))="Soundcraft",(VLOOKUP(Table11[[#This Row],[SKU]],'All Skus'!$A:$AC,8,FALSE)),""))</f>
        <v>VI5000/7000 LOCAL RACK 48kHz Optical</v>
      </c>
      <c r="H112" s="22" t="str">
        <f>(IF((VLOOKUP(Table11[[#This Row],[SKU]],'All Skus'!$A:$AC,2,FALSE))="Soundcraft",(VLOOKUP(Table11[[#This Row],[SKU]],'All Skus'!$A:$AC,9,FALSE)),""))</f>
        <v>ViLR-48MO 48kHz Multimode Optical local rack for use with Vi5000/7000</v>
      </c>
      <c r="I112" s="157">
        <f>(IF((VLOOKUP(Table11[[#This Row],[SKU]],'All Skus'!$A:$AC,2,FALSE))="Soundcraft",(VLOOKUP(Table11[[#This Row],[SKU]],'All Skus'!$A:$AC,10,FALSE)),""))</f>
        <v>63337.16</v>
      </c>
      <c r="J112" s="157">
        <f>(IF((VLOOKUP(Table11[[#This Row],[SKU]],'All Skus'!$A:$AC,2,FALSE))="Soundcraft",(VLOOKUP(Table11[[#This Row],[SKU]],'All Skus'!$A:$AC,11,FALSE)),""))</f>
        <v>63337</v>
      </c>
      <c r="K112" s="271">
        <f>(IF((VLOOKUP(Table11[[#This Row],[SKU]],'All Skus'!$A:$AC,2,FALSE))="Soundcraft",(VLOOKUP(Table11[[#This Row],[SKU]],'All Skus'!$A:$AC,16,FALSE)),""))</f>
        <v>688705002354</v>
      </c>
      <c r="L112" s="239">
        <f>(IF((VLOOKUP(Table11[[#This Row],[SKU]],'All Skus'!$A:$AC,2,FALSE))="Soundcraft",(VLOOKUP(Table11[[#This Row],[SKU]],'All Skus'!$A:$AC,17,FALSE)),""))</f>
        <v>0</v>
      </c>
      <c r="M112" s="239">
        <f>(IF((VLOOKUP(Table11[[#This Row],[SKU]],'All Skus'!$A:$AC,2,FALSE))="Soundcraft",(VLOOKUP(Table11[[#This Row],[SKU]],'All Skus'!$A:$AC,18,FALSE)),""))</f>
        <v>83</v>
      </c>
      <c r="N112" s="147">
        <f>(IF((VLOOKUP(Table11[[#This Row],[SKU]],'All Skus'!$A:$AC,2,FALSE))="Soundcraft",(VLOOKUP(Table11[[#This Row],[SKU]],'All Skus'!$A:$AC,19,FALSE)),""))</f>
        <v>24</v>
      </c>
      <c r="O112" s="147">
        <f>(IF((VLOOKUP(Table11[[#This Row],[SKU]],'All Skus'!$A:$AC,2,FALSE))="Soundcraft",(VLOOKUP(Table11[[#This Row],[SKU]],'All Skus'!$A:$AC,20,FALSE)),""))</f>
        <v>21</v>
      </c>
      <c r="P112" s="240">
        <f>(IF((VLOOKUP(Table11[[#This Row],[SKU]],'All Skus'!$A:$AC,2,FALSE))="Soundcraft",(VLOOKUP(Table11[[#This Row],[SKU]],'All Skus'!$A:$AC,21,FALSE)),""))</f>
        <v>24</v>
      </c>
      <c r="Q112" s="61" t="str">
        <f>(IF((VLOOKUP(Table11[[#This Row],[SKU]],'All Skus'!$A:$AC,2,FALSE))="Soundcraft",(VLOOKUP(Table11[[#This Row],[SKU]],'All Skus'!$A:$AC,22,FALSE)),""))</f>
        <v>HU</v>
      </c>
      <c r="R112" s="61" t="str">
        <f>(IF((VLOOKUP(Table11[[#This Row],[SKU]],'All Skus'!$A:$AC,2,FALSE))="Soundcraft",(VLOOKUP(Table11[[#This Row],[SKU]],'All Skus'!$A:$AC,23,FALSE)),""))</f>
        <v>Compliant</v>
      </c>
      <c r="S112" s="212" t="str">
        <f>HYPERLINK((IF((VLOOKUP(Table11[[#This Row],[SKU]],'All Skus'!$A:$AC,2,FALSE))="Soundcraft",(VLOOKUP(Table11[[#This Row],[SKU]],'All Skus'!$A:$AC,24,FALSE)),"")))</f>
        <v/>
      </c>
      <c r="T112" s="151">
        <v>110</v>
      </c>
    </row>
    <row r="113" spans="1:20" ht="15" customHeight="1">
      <c r="A113" s="158" t="s">
        <v>2466</v>
      </c>
      <c r="B113" s="159" t="str">
        <f>(IF((VLOOKUP(Table11[[#This Row],[SKU]],'All Skus'!$A:$AC,2,FALSE))="Soundcraft",(VLOOKUP(Table11[[#This Row],[SKU]],'All Skus'!$A:$AC,3,FALSE)),""))</f>
        <v>Vi5000/7000</v>
      </c>
      <c r="C113" s="21" t="str">
        <f>(IF((VLOOKUP(Table11[[#This Row],[SKU]],'All Skus'!$A:$AC,2,FALSE))="Soundcraft",(VLOOKUP(Table11[[#This Row],[SKU]],'All Skus'!$A:$AC,4,FALSE)),""))</f>
        <v>5059733HU</v>
      </c>
      <c r="D113" s="19" t="str">
        <f>(IF((VLOOKUP(Table11[[#This Row],[SKU]],'All Skus'!$A:$AC,2,FALSE))="Soundcraft",(VLOOKUP(Table11[[#This Row],[SKU]],'All Skus'!$A:$AC,5,FALSE)),""))</f>
        <v>SC-VI</v>
      </c>
      <c r="E113" s="19">
        <f>(IF((VLOOKUP(Table11[[#This Row],[SKU]],'All Skus'!$A:$AC,2,FALSE))="Soundcraft",(VLOOKUP(Table11[[#This Row],[SKU]],'All Skus'!$A:$AC,6,FALSE)),""))</f>
        <v>0</v>
      </c>
      <c r="F113" s="18">
        <f>(IF((VLOOKUP(Table11[[#This Row],[SKU]],'All Skus'!$A:$AC,2,FALSE))="Soundcraft",(VLOOKUP(Table11[[#This Row],[SKU]],'All Skus'!$A:$AC,7,FALSE)),""))</f>
        <v>0</v>
      </c>
      <c r="G113" s="22" t="str">
        <f>(IF((VLOOKUP(Table11[[#This Row],[SKU]],'All Skus'!$A:$AC,2,FALSE))="Soundcraft",(VLOOKUP(Table11[[#This Row],[SKU]],'All Skus'!$A:$AC,8,FALSE)),""))</f>
        <v>VI5000/7000 LOCAL RACK 96kHz Optical</v>
      </c>
      <c r="H113" s="22" t="str">
        <f>(IF((VLOOKUP(Table11[[#This Row],[SKU]],'All Skus'!$A:$AC,2,FALSE))="Soundcraft",(VLOOKUP(Table11[[#This Row],[SKU]],'All Skus'!$A:$AC,9,FALSE)),""))</f>
        <v>ViLR-96MO 96kHz Multimode Optical local rack for use with Vi5000/7000</v>
      </c>
      <c r="I113" s="157">
        <f>(IF((VLOOKUP(Table11[[#This Row],[SKU]],'All Skus'!$A:$AC,2,FALSE))="Soundcraft",(VLOOKUP(Table11[[#This Row],[SKU]],'All Skus'!$A:$AC,10,FALSE)),""))</f>
        <v>74421.100000000006</v>
      </c>
      <c r="J113" s="157">
        <f>(IF((VLOOKUP(Table11[[#This Row],[SKU]],'All Skus'!$A:$AC,2,FALSE))="Soundcraft",(VLOOKUP(Table11[[#This Row],[SKU]],'All Skus'!$A:$AC,11,FALSE)),""))</f>
        <v>74421</v>
      </c>
      <c r="K113" s="271">
        <f>(IF((VLOOKUP(Table11[[#This Row],[SKU]],'All Skus'!$A:$AC,2,FALSE))="Soundcraft",(VLOOKUP(Table11[[#This Row],[SKU]],'All Skus'!$A:$AC,16,FALSE)),""))</f>
        <v>688705002347</v>
      </c>
      <c r="L113" s="239">
        <f>(IF((VLOOKUP(Table11[[#This Row],[SKU]],'All Skus'!$A:$AC,2,FALSE))="Soundcraft",(VLOOKUP(Table11[[#This Row],[SKU]],'All Skus'!$A:$AC,17,FALSE)),""))</f>
        <v>0</v>
      </c>
      <c r="M113" s="239">
        <f>(IF((VLOOKUP(Table11[[#This Row],[SKU]],'All Skus'!$A:$AC,2,FALSE))="Soundcraft",(VLOOKUP(Table11[[#This Row],[SKU]],'All Skus'!$A:$AC,18,FALSE)),""))</f>
        <v>60</v>
      </c>
      <c r="N113" s="147">
        <f>(IF((VLOOKUP(Table11[[#This Row],[SKU]],'All Skus'!$A:$AC,2,FALSE))="Soundcraft",(VLOOKUP(Table11[[#This Row],[SKU]],'All Skus'!$A:$AC,19,FALSE)),""))</f>
        <v>30</v>
      </c>
      <c r="O113" s="147">
        <f>(IF((VLOOKUP(Table11[[#This Row],[SKU]],'All Skus'!$A:$AC,2,FALSE))="Soundcraft",(VLOOKUP(Table11[[#This Row],[SKU]],'All Skus'!$A:$AC,20,FALSE)),""))</f>
        <v>25</v>
      </c>
      <c r="P113" s="240">
        <f>(IF((VLOOKUP(Table11[[#This Row],[SKU]],'All Skus'!$A:$AC,2,FALSE))="Soundcraft",(VLOOKUP(Table11[[#This Row],[SKU]],'All Skus'!$A:$AC,21,FALSE)),""))</f>
        <v>30</v>
      </c>
      <c r="Q113" s="61">
        <f>(IF((VLOOKUP(Table11[[#This Row],[SKU]],'All Skus'!$A:$AC,2,FALSE))="Soundcraft",(VLOOKUP(Table11[[#This Row],[SKU]],'All Skus'!$A:$AC,22,FALSE)),""))</f>
        <v>0</v>
      </c>
      <c r="R113" s="61" t="str">
        <f>(IF((VLOOKUP(Table11[[#This Row],[SKU]],'All Skus'!$A:$AC,2,FALSE))="Soundcraft",(VLOOKUP(Table11[[#This Row],[SKU]],'All Skus'!$A:$AC,23,FALSE)),""))</f>
        <v>Compliant</v>
      </c>
      <c r="S113" s="212" t="str">
        <f>HYPERLINK((IF((VLOOKUP(Table11[[#This Row],[SKU]],'All Skus'!$A:$AC,2,FALSE))="Soundcraft",(VLOOKUP(Table11[[#This Row],[SKU]],'All Skus'!$A:$AC,24,FALSE)),"")))</f>
        <v/>
      </c>
      <c r="T113" s="151">
        <v>111</v>
      </c>
    </row>
    <row r="114" spans="1:20" ht="15" customHeight="1">
      <c r="A114" s="158">
        <v>5058483</v>
      </c>
      <c r="B114" s="159" t="str">
        <f>(IF((VLOOKUP(Table11[[#This Row],[SKU]],'All Skus'!$A:$AC,2,FALSE))="Soundcraft",(VLOOKUP(Table11[[#This Row],[SKU]],'All Skus'!$A:$AC,3,FALSE)),""))</f>
        <v>Vi5000/7000</v>
      </c>
      <c r="C114" s="21">
        <f>(IF((VLOOKUP(Table11[[#This Row],[SKU]],'All Skus'!$A:$AC,2,FALSE))="Soundcraft",(VLOOKUP(Table11[[#This Row],[SKU]],'All Skus'!$A:$AC,4,FALSE)),""))</f>
        <v>5058483</v>
      </c>
      <c r="D114" s="19" t="str">
        <f>(IF((VLOOKUP(Table11[[#This Row],[SKU]],'All Skus'!$A:$AC,2,FALSE))="Soundcraft",(VLOOKUP(Table11[[#This Row],[SKU]],'All Skus'!$A:$AC,5,FALSE)),""))</f>
        <v>SC-VI</v>
      </c>
      <c r="E114" s="19" t="str">
        <f>(IF((VLOOKUP(Table11[[#This Row],[SKU]],'All Skus'!$A:$AC,2,FALSE))="Soundcraft",(VLOOKUP(Table11[[#This Row],[SKU]],'All Skus'!$A:$AC,6,FALSE)),""))</f>
        <v>YES</v>
      </c>
      <c r="F114" s="18">
        <f>(IF((VLOOKUP(Table11[[#This Row],[SKU]],'All Skus'!$A:$AC,2,FALSE))="Soundcraft",(VLOOKUP(Table11[[#This Row],[SKU]],'All Skus'!$A:$AC,7,FALSE)),""))</f>
        <v>0</v>
      </c>
      <c r="G114" s="22" t="str">
        <f>(IF((VLOOKUP(Table11[[#This Row],[SKU]],'All Skus'!$A:$AC,2,FALSE))="Soundcraft",(VLOOKUP(Table11[[#This Row],[SKU]],'All Skus'!$A:$AC,8,FALSE)),""))</f>
        <v>VI5000/7000 LOCAL RACK BASE FRAME</v>
      </c>
      <c r="H114" s="22" t="str">
        <f>(IF((VLOOKUP(Table11[[#This Row],[SKU]],'All Skus'!$A:$AC,2,FALSE))="Soundcraft",(VLOOKUP(Table11[[#This Row],[SKU]],'All Skus'!$A:$AC,9,FALSE)),""))</f>
        <v>Base local Rack, 2 x link card, 2 x PSU</v>
      </c>
      <c r="I114" s="157">
        <f>(IF((VLOOKUP(Table11[[#This Row],[SKU]],'All Skus'!$A:$AC,2,FALSE))="Soundcraft",(VLOOKUP(Table11[[#This Row],[SKU]],'All Skus'!$A:$AC,10,FALSE)),""))</f>
        <v>18465.07</v>
      </c>
      <c r="J114" s="157">
        <f>(IF((VLOOKUP(Table11[[#This Row],[SKU]],'All Skus'!$A:$AC,2,FALSE))="Soundcraft",(VLOOKUP(Table11[[#This Row],[SKU]],'All Skus'!$A:$AC,11,FALSE)),""))</f>
        <v>18465</v>
      </c>
      <c r="K114" s="271">
        <f>(IF((VLOOKUP(Table11[[#This Row],[SKU]],'All Skus'!$A:$AC,2,FALSE))="Soundcraft",(VLOOKUP(Table11[[#This Row],[SKU]],'All Skus'!$A:$AC,16,FALSE)),""))</f>
        <v>0</v>
      </c>
      <c r="L114" s="239">
        <f>(IF((VLOOKUP(Table11[[#This Row],[SKU]],'All Skus'!$A:$AC,2,FALSE))="Soundcraft",(VLOOKUP(Table11[[#This Row],[SKU]],'All Skus'!$A:$AC,17,FALSE)),""))</f>
        <v>0</v>
      </c>
      <c r="M114" s="239">
        <f>(IF((VLOOKUP(Table11[[#This Row],[SKU]],'All Skus'!$A:$AC,2,FALSE))="Soundcraft",(VLOOKUP(Table11[[#This Row],[SKU]],'All Skus'!$A:$AC,18,FALSE)),""))</f>
        <v>0</v>
      </c>
      <c r="N114" s="147">
        <f>(IF((VLOOKUP(Table11[[#This Row],[SKU]],'All Skus'!$A:$AC,2,FALSE))="Soundcraft",(VLOOKUP(Table11[[#This Row],[SKU]],'All Skus'!$A:$AC,19,FALSE)),""))</f>
        <v>0</v>
      </c>
      <c r="O114" s="147">
        <f>(IF((VLOOKUP(Table11[[#This Row],[SKU]],'All Skus'!$A:$AC,2,FALSE))="Soundcraft",(VLOOKUP(Table11[[#This Row],[SKU]],'All Skus'!$A:$AC,20,FALSE)),""))</f>
        <v>0</v>
      </c>
      <c r="P114" s="240">
        <f>(IF((VLOOKUP(Table11[[#This Row],[SKU]],'All Skus'!$A:$AC,2,FALSE))="Soundcraft",(VLOOKUP(Table11[[#This Row],[SKU]],'All Skus'!$A:$AC,21,FALSE)),""))</f>
        <v>0</v>
      </c>
      <c r="Q114" s="61">
        <f>(IF((VLOOKUP(Table11[[#This Row],[SKU]],'All Skus'!$A:$AC,2,FALSE))="Soundcraft",(VLOOKUP(Table11[[#This Row],[SKU]],'All Skus'!$A:$AC,22,FALSE)),""))</f>
        <v>0</v>
      </c>
      <c r="R114" s="61" t="str">
        <f>(IF((VLOOKUP(Table11[[#This Row],[SKU]],'All Skus'!$A:$AC,2,FALSE))="Soundcraft",(VLOOKUP(Table11[[#This Row],[SKU]],'All Skus'!$A:$AC,23,FALSE)),""))</f>
        <v>Compliant</v>
      </c>
      <c r="S114" s="212" t="str">
        <f>HYPERLINK((IF((VLOOKUP(Table11[[#This Row],[SKU]],'All Skus'!$A:$AC,2,FALSE))="Soundcraft",(VLOOKUP(Table11[[#This Row],[SKU]],'All Skus'!$A:$AC,24,FALSE)),"")))</f>
        <v/>
      </c>
      <c r="T114" s="151">
        <v>112</v>
      </c>
    </row>
    <row r="115" spans="1:20" ht="15" customHeight="1">
      <c r="A115" s="158">
        <v>5059570</v>
      </c>
      <c r="B115" s="159" t="str">
        <f>(IF((VLOOKUP(Table11[[#This Row],[SKU]],'All Skus'!$A:$AC,2,FALSE))="Soundcraft",(VLOOKUP(Table11[[#This Row],[SKU]],'All Skus'!$A:$AC,3,FALSE)),""))</f>
        <v>Vi5000/7000 Accessories</v>
      </c>
      <c r="C115" s="21">
        <f>(IF((VLOOKUP(Table11[[#This Row],[SKU]],'All Skus'!$A:$AC,2,FALSE))="Soundcraft",(VLOOKUP(Table11[[#This Row],[SKU]],'All Skus'!$A:$AC,4,FALSE)),""))</f>
        <v>5059570</v>
      </c>
      <c r="D115" s="19" t="str">
        <f>(IF((VLOOKUP(Table11[[#This Row],[SKU]],'All Skus'!$A:$AC,2,FALSE))="Soundcraft",(VLOOKUP(Table11[[#This Row],[SKU]],'All Skus'!$A:$AC,5,FALSE)),""))</f>
        <v>SC-VI</v>
      </c>
      <c r="E115" s="19" t="str">
        <f>(IF((VLOOKUP(Table11[[#This Row],[SKU]],'All Skus'!$A:$AC,2,FALSE))="Soundcraft",(VLOOKUP(Table11[[#This Row],[SKU]],'All Skus'!$A:$AC,6,FALSE)),""))</f>
        <v>YES</v>
      </c>
      <c r="F115" s="18">
        <f>(IF((VLOOKUP(Table11[[#This Row],[SKU]],'All Skus'!$A:$AC,2,FALSE))="Soundcraft",(VLOOKUP(Table11[[#This Row],[SKU]],'All Skus'!$A:$AC,7,FALSE)),""))</f>
        <v>0</v>
      </c>
      <c r="G115" s="22" t="str">
        <f>(IF((VLOOKUP(Table11[[#This Row],[SKU]],'All Skus'!$A:$AC,2,FALSE))="Soundcraft",(VLOOKUP(Table11[[#This Row],[SKU]],'All Skus'!$A:$AC,8,FALSE)),""))</f>
        <v>FLIGHTCASE,VI5000 SURFACE,DELUXE</v>
      </c>
      <c r="H115" s="22" t="str">
        <f>(IF((VLOOKUP(Table11[[#This Row],[SKU]],'All Skus'!$A:$AC,2,FALSE))="Soundcraft",(VLOOKUP(Table11[[#This Row],[SKU]],'All Skus'!$A:$AC,9,FALSE)),""))</f>
        <v>Vi5000 flightcase inc 2 x monitor mount + 4 U of rack space</v>
      </c>
      <c r="I115" s="157">
        <f>(IF((VLOOKUP(Table11[[#This Row],[SKU]],'All Skus'!$A:$AC,2,FALSE))="Soundcraft",(VLOOKUP(Table11[[#This Row],[SKU]],'All Skus'!$A:$AC,10,FALSE)),""))</f>
        <v>6178.7</v>
      </c>
      <c r="J115" s="157">
        <f>(IF((VLOOKUP(Table11[[#This Row],[SKU]],'All Skus'!$A:$AC,2,FALSE))="Soundcraft",(VLOOKUP(Table11[[#This Row],[SKU]],'All Skus'!$A:$AC,11,FALSE)),""))</f>
        <v>6178</v>
      </c>
      <c r="K115" s="271">
        <f>(IF((VLOOKUP(Table11[[#This Row],[SKU]],'All Skus'!$A:$AC,2,FALSE))="Soundcraft",(VLOOKUP(Table11[[#This Row],[SKU]],'All Skus'!$A:$AC,16,FALSE)),""))</f>
        <v>0</v>
      </c>
      <c r="L115" s="239">
        <f>(IF((VLOOKUP(Table11[[#This Row],[SKU]],'All Skus'!$A:$AC,2,FALSE))="Soundcraft",(VLOOKUP(Table11[[#This Row],[SKU]],'All Skus'!$A:$AC,17,FALSE)),""))</f>
        <v>0</v>
      </c>
      <c r="M115" s="239">
        <f>(IF((VLOOKUP(Table11[[#This Row],[SKU]],'All Skus'!$A:$AC,2,FALSE))="Soundcraft",(VLOOKUP(Table11[[#This Row],[SKU]],'All Skus'!$A:$AC,18,FALSE)),""))</f>
        <v>0</v>
      </c>
      <c r="N115" s="147">
        <f>(IF((VLOOKUP(Table11[[#This Row],[SKU]],'All Skus'!$A:$AC,2,FALSE))="Soundcraft",(VLOOKUP(Table11[[#This Row],[SKU]],'All Skus'!$A:$AC,19,FALSE)),""))</f>
        <v>0</v>
      </c>
      <c r="O115" s="147">
        <f>(IF((VLOOKUP(Table11[[#This Row],[SKU]],'All Skus'!$A:$AC,2,FALSE))="Soundcraft",(VLOOKUP(Table11[[#This Row],[SKU]],'All Skus'!$A:$AC,20,FALSE)),""))</f>
        <v>0</v>
      </c>
      <c r="P115" s="240">
        <f>(IF((VLOOKUP(Table11[[#This Row],[SKU]],'All Skus'!$A:$AC,2,FALSE))="Soundcraft",(VLOOKUP(Table11[[#This Row],[SKU]],'All Skus'!$A:$AC,21,FALSE)),""))</f>
        <v>0</v>
      </c>
      <c r="Q115" s="61" t="str">
        <f>(IF((VLOOKUP(Table11[[#This Row],[SKU]],'All Skus'!$A:$AC,2,FALSE))="Soundcraft",(VLOOKUP(Table11[[#This Row],[SKU]],'All Skus'!$A:$AC,22,FALSE)),""))</f>
        <v>GB</v>
      </c>
      <c r="R115" s="61" t="str">
        <f>(IF((VLOOKUP(Table11[[#This Row],[SKU]],'All Skus'!$A:$AC,2,FALSE))="Soundcraft",(VLOOKUP(Table11[[#This Row],[SKU]],'All Skus'!$A:$AC,23,FALSE)),""))</f>
        <v>Compliant</v>
      </c>
      <c r="S115" s="212" t="str">
        <f>HYPERLINK((IF((VLOOKUP(Table11[[#This Row],[SKU]],'All Skus'!$A:$AC,2,FALSE))="Soundcraft",(VLOOKUP(Table11[[#This Row],[SKU]],'All Skus'!$A:$AC,24,FALSE)),"")))</f>
        <v/>
      </c>
      <c r="T115" s="151">
        <v>113</v>
      </c>
    </row>
    <row r="116" spans="1:20" ht="15" customHeight="1">
      <c r="A116" s="158">
        <v>5059572</v>
      </c>
      <c r="B116" s="159" t="str">
        <f>(IF((VLOOKUP(Table11[[#This Row],[SKU]],'All Skus'!$A:$AC,2,FALSE))="Soundcraft",(VLOOKUP(Table11[[#This Row],[SKU]],'All Skus'!$A:$AC,3,FALSE)),""))</f>
        <v>Vi5000/7000 Accessories</v>
      </c>
      <c r="C116" s="21">
        <f>(IF((VLOOKUP(Table11[[#This Row],[SKU]],'All Skus'!$A:$AC,2,FALSE))="Soundcraft",(VLOOKUP(Table11[[#This Row],[SKU]],'All Skus'!$A:$AC,4,FALSE)),""))</f>
        <v>5059572</v>
      </c>
      <c r="D116" s="19" t="str">
        <f>(IF((VLOOKUP(Table11[[#This Row],[SKU]],'All Skus'!$A:$AC,2,FALSE))="Soundcraft",(VLOOKUP(Table11[[#This Row],[SKU]],'All Skus'!$A:$AC,5,FALSE)),""))</f>
        <v>SC-VI</v>
      </c>
      <c r="E116" s="19" t="str">
        <f>(IF((VLOOKUP(Table11[[#This Row],[SKU]],'All Skus'!$A:$AC,2,FALSE))="Soundcraft",(VLOOKUP(Table11[[#This Row],[SKU]],'All Skus'!$A:$AC,6,FALSE)),""))</f>
        <v>YES</v>
      </c>
      <c r="F116" s="18">
        <f>(IF((VLOOKUP(Table11[[#This Row],[SKU]],'All Skus'!$A:$AC,2,FALSE))="Soundcraft",(VLOOKUP(Table11[[#This Row],[SKU]],'All Skus'!$A:$AC,7,FALSE)),""))</f>
        <v>0</v>
      </c>
      <c r="G116" s="22" t="str">
        <f>(IF((VLOOKUP(Table11[[#This Row],[SKU]],'All Skus'!$A:$AC,2,FALSE))="Soundcraft",(VLOOKUP(Table11[[#This Row],[SKU]],'All Skus'!$A:$AC,8,FALSE)),""))</f>
        <v>FLIGHTCASE,VI7000 SURFACE,DELUXE</v>
      </c>
      <c r="H116" s="22" t="str">
        <f>(IF((VLOOKUP(Table11[[#This Row],[SKU]],'All Skus'!$A:$AC,2,FALSE))="Soundcraft",(VLOOKUP(Table11[[#This Row],[SKU]],'All Skus'!$A:$AC,9,FALSE)),""))</f>
        <v>Vi7000 flightcase inc 2 x monitor mount + 4 U of rack space</v>
      </c>
      <c r="I116" s="157">
        <f>(IF((VLOOKUP(Table11[[#This Row],[SKU]],'All Skus'!$A:$AC,2,FALSE))="Soundcraft",(VLOOKUP(Table11[[#This Row],[SKU]],'All Skus'!$A:$AC,10,FALSE)),""))</f>
        <v>6462.78</v>
      </c>
      <c r="J116" s="157">
        <f>(IF((VLOOKUP(Table11[[#This Row],[SKU]],'All Skus'!$A:$AC,2,FALSE))="Soundcraft",(VLOOKUP(Table11[[#This Row],[SKU]],'All Skus'!$A:$AC,11,FALSE)),""))</f>
        <v>6462</v>
      </c>
      <c r="K116" s="271">
        <f>(IF((VLOOKUP(Table11[[#This Row],[SKU]],'All Skus'!$A:$AC,2,FALSE))="Soundcraft",(VLOOKUP(Table11[[#This Row],[SKU]],'All Skus'!$A:$AC,16,FALSE)),""))</f>
        <v>0</v>
      </c>
      <c r="L116" s="239">
        <f>(IF((VLOOKUP(Table11[[#This Row],[SKU]],'All Skus'!$A:$AC,2,FALSE))="Soundcraft",(VLOOKUP(Table11[[#This Row],[SKU]],'All Skus'!$A:$AC,17,FALSE)),""))</f>
        <v>0</v>
      </c>
      <c r="M116" s="239">
        <f>(IF((VLOOKUP(Table11[[#This Row],[SKU]],'All Skus'!$A:$AC,2,FALSE))="Soundcraft",(VLOOKUP(Table11[[#This Row],[SKU]],'All Skus'!$A:$AC,18,FALSE)),""))</f>
        <v>0</v>
      </c>
      <c r="N116" s="147">
        <f>(IF((VLOOKUP(Table11[[#This Row],[SKU]],'All Skus'!$A:$AC,2,FALSE))="Soundcraft",(VLOOKUP(Table11[[#This Row],[SKU]],'All Skus'!$A:$AC,19,FALSE)),""))</f>
        <v>0</v>
      </c>
      <c r="O116" s="147">
        <f>(IF((VLOOKUP(Table11[[#This Row],[SKU]],'All Skus'!$A:$AC,2,FALSE))="Soundcraft",(VLOOKUP(Table11[[#This Row],[SKU]],'All Skus'!$A:$AC,20,FALSE)),""))</f>
        <v>0</v>
      </c>
      <c r="P116" s="240">
        <f>(IF((VLOOKUP(Table11[[#This Row],[SKU]],'All Skus'!$A:$AC,2,FALSE))="Soundcraft",(VLOOKUP(Table11[[#This Row],[SKU]],'All Skus'!$A:$AC,21,FALSE)),""))</f>
        <v>0</v>
      </c>
      <c r="Q116" s="61" t="str">
        <f>(IF((VLOOKUP(Table11[[#This Row],[SKU]],'All Skus'!$A:$AC,2,FALSE))="Soundcraft",(VLOOKUP(Table11[[#This Row],[SKU]],'All Skus'!$A:$AC,22,FALSE)),""))</f>
        <v>GB</v>
      </c>
      <c r="R116" s="61" t="str">
        <f>(IF((VLOOKUP(Table11[[#This Row],[SKU]],'All Skus'!$A:$AC,2,FALSE))="Soundcraft",(VLOOKUP(Table11[[#This Row],[SKU]],'All Skus'!$A:$AC,23,FALSE)),""))</f>
        <v>Compliant</v>
      </c>
      <c r="S116" s="212" t="str">
        <f>HYPERLINK((IF((VLOOKUP(Table11[[#This Row],[SKU]],'All Skus'!$A:$AC,2,FALSE))="Soundcraft",(VLOOKUP(Table11[[#This Row],[SKU]],'All Skus'!$A:$AC,24,FALSE)),"")))</f>
        <v/>
      </c>
      <c r="T116" s="151">
        <v>114</v>
      </c>
    </row>
    <row r="117" spans="1:20" ht="15" customHeight="1">
      <c r="A117" s="158" t="s">
        <v>2467</v>
      </c>
      <c r="B117" s="159" t="str">
        <f>(IF((VLOOKUP(Table11[[#This Row],[SKU]],'All Skus'!$A:$AC,2,FALSE))="Soundcraft",(VLOOKUP(Table11[[#This Row],[SKU]],'All Skus'!$A:$AC,3,FALSE)),""))</f>
        <v>Vi5000/7000 Accessories</v>
      </c>
      <c r="C117" s="21" t="str">
        <f>(IF((VLOOKUP(Table11[[#This Row],[SKU]],'All Skus'!$A:$AC,2,FALSE))="Soundcraft",(VLOOKUP(Table11[[#This Row],[SKU]],'All Skus'!$A:$AC,4,FALSE)),""))</f>
        <v>RS2546SP</v>
      </c>
      <c r="D117" s="19" t="str">
        <f>(IF((VLOOKUP(Table11[[#This Row],[SKU]],'All Skus'!$A:$AC,2,FALSE))="Soundcraft",(VLOOKUP(Table11[[#This Row],[SKU]],'All Skus'!$A:$AC,5,FALSE)),""))</f>
        <v>SC-VI</v>
      </c>
      <c r="E117" s="19" t="str">
        <f>(IF((VLOOKUP(Table11[[#This Row],[SKU]],'All Skus'!$A:$AC,2,FALSE))="Soundcraft",(VLOOKUP(Table11[[#This Row],[SKU]],'All Skus'!$A:$AC,6,FALSE)),""))</f>
        <v>YES</v>
      </c>
      <c r="F117" s="18">
        <f>(IF((VLOOKUP(Table11[[#This Row],[SKU]],'All Skus'!$A:$AC,2,FALSE))="Soundcraft",(VLOOKUP(Table11[[#This Row],[SKU]],'All Skus'!$A:$AC,7,FALSE)),""))</f>
        <v>0</v>
      </c>
      <c r="G117" s="22" t="str">
        <f>(IF((VLOOKUP(Table11[[#This Row],[SKU]],'All Skus'!$A:$AC,2,FALSE))="Soundcraft",(VLOOKUP(Table11[[#This Row],[SKU]],'All Skus'!$A:$AC,8,FALSE)),""))</f>
        <v>VI 1U XLR BREAKOUT BOX 16M</v>
      </c>
      <c r="H117" s="22" t="str">
        <f>(IF((VLOOKUP(Table11[[#This Row],[SKU]],'All Skus'!$A:$AC,2,FALSE))="Soundcraft",(VLOOKUP(Table11[[#This Row],[SKU]],'All Skus'!$A:$AC,9,FALSE)),""))</f>
        <v>1U 16M XLR Brk Box</v>
      </c>
      <c r="I117" s="157">
        <f>(IF((VLOOKUP(Table11[[#This Row],[SKU]],'All Skus'!$A:$AC,2,FALSE))="Soundcraft",(VLOOKUP(Table11[[#This Row],[SKU]],'All Skus'!$A:$AC,10,FALSE)),""))</f>
        <v>993.99</v>
      </c>
      <c r="J117" s="157">
        <f>(IF((VLOOKUP(Table11[[#This Row],[SKU]],'All Skus'!$A:$AC,2,FALSE))="Soundcraft",(VLOOKUP(Table11[[#This Row],[SKU]],'All Skus'!$A:$AC,11,FALSE)),""))</f>
        <v>993</v>
      </c>
      <c r="K117" s="271">
        <f>(IF((VLOOKUP(Table11[[#This Row],[SKU]],'All Skus'!$A:$AC,2,FALSE))="Soundcraft",(VLOOKUP(Table11[[#This Row],[SKU]],'All Skus'!$A:$AC,16,FALSE)),""))</f>
        <v>0</v>
      </c>
      <c r="L117" s="239">
        <f>(IF((VLOOKUP(Table11[[#This Row],[SKU]],'All Skus'!$A:$AC,2,FALSE))="Soundcraft",(VLOOKUP(Table11[[#This Row],[SKU]],'All Skus'!$A:$AC,17,FALSE)),""))</f>
        <v>0</v>
      </c>
      <c r="M117" s="239">
        <f>(IF((VLOOKUP(Table11[[#This Row],[SKU]],'All Skus'!$A:$AC,2,FALSE))="Soundcraft",(VLOOKUP(Table11[[#This Row],[SKU]],'All Skus'!$A:$AC,18,FALSE)),""))</f>
        <v>0</v>
      </c>
      <c r="N117" s="147">
        <f>(IF((VLOOKUP(Table11[[#This Row],[SKU]],'All Skus'!$A:$AC,2,FALSE))="Soundcraft",(VLOOKUP(Table11[[#This Row],[SKU]],'All Skus'!$A:$AC,19,FALSE)),""))</f>
        <v>0</v>
      </c>
      <c r="O117" s="147">
        <f>(IF((VLOOKUP(Table11[[#This Row],[SKU]],'All Skus'!$A:$AC,2,FALSE))="Soundcraft",(VLOOKUP(Table11[[#This Row],[SKU]],'All Skus'!$A:$AC,20,FALSE)),""))</f>
        <v>0</v>
      </c>
      <c r="P117" s="240">
        <f>(IF((VLOOKUP(Table11[[#This Row],[SKU]],'All Skus'!$A:$AC,2,FALSE))="Soundcraft",(VLOOKUP(Table11[[#This Row],[SKU]],'All Skus'!$A:$AC,21,FALSE)),""))</f>
        <v>0</v>
      </c>
      <c r="Q117" s="61">
        <f>(IF((VLOOKUP(Table11[[#This Row],[SKU]],'All Skus'!$A:$AC,2,FALSE))="Soundcraft",(VLOOKUP(Table11[[#This Row],[SKU]],'All Skus'!$A:$AC,22,FALSE)),""))</f>
        <v>0</v>
      </c>
      <c r="R117" s="61" t="str">
        <f>(IF((VLOOKUP(Table11[[#This Row],[SKU]],'All Skus'!$A:$AC,2,FALSE))="Soundcraft",(VLOOKUP(Table11[[#This Row],[SKU]],'All Skus'!$A:$AC,23,FALSE)),""))</f>
        <v>Compliant</v>
      </c>
      <c r="S117" s="212" t="str">
        <f>HYPERLINK((IF((VLOOKUP(Table11[[#This Row],[SKU]],'All Skus'!$A:$AC,2,FALSE))="Soundcraft",(VLOOKUP(Table11[[#This Row],[SKU]],'All Skus'!$A:$AC,24,FALSE)),"")))</f>
        <v/>
      </c>
      <c r="T117" s="151">
        <v>115</v>
      </c>
    </row>
    <row r="118" spans="1:20" ht="15" customHeight="1">
      <c r="A118" s="158" t="s">
        <v>2468</v>
      </c>
      <c r="B118" s="159" t="str">
        <f>(IF((VLOOKUP(Table11[[#This Row],[SKU]],'All Skus'!$A:$AC,2,FALSE))="Soundcraft",(VLOOKUP(Table11[[#This Row],[SKU]],'All Skus'!$A:$AC,3,FALSE)),""))</f>
        <v>Vi5000/7000 Accessories</v>
      </c>
      <c r="C118" s="21" t="str">
        <f>(IF((VLOOKUP(Table11[[#This Row],[SKU]],'All Skus'!$A:$AC,2,FALSE))="Soundcraft",(VLOOKUP(Table11[[#This Row],[SKU]],'All Skus'!$A:$AC,4,FALSE)),""))</f>
        <v>RS2565SP</v>
      </c>
      <c r="D118" s="19" t="str">
        <f>(IF((VLOOKUP(Table11[[#This Row],[SKU]],'All Skus'!$A:$AC,2,FALSE))="Soundcraft",(VLOOKUP(Table11[[#This Row],[SKU]],'All Skus'!$A:$AC,5,FALSE)),""))</f>
        <v>SC-VI</v>
      </c>
      <c r="E118" s="19" t="str">
        <f>(IF((VLOOKUP(Table11[[#This Row],[SKU]],'All Skus'!$A:$AC,2,FALSE))="Soundcraft",(VLOOKUP(Table11[[#This Row],[SKU]],'All Skus'!$A:$AC,6,FALSE)),""))</f>
        <v>YES</v>
      </c>
      <c r="F118" s="18">
        <f>(IF((VLOOKUP(Table11[[#This Row],[SKU]],'All Skus'!$A:$AC,2,FALSE))="Soundcraft",(VLOOKUP(Table11[[#This Row],[SKU]],'All Skus'!$A:$AC,7,FALSE)),""))</f>
        <v>0</v>
      </c>
      <c r="G118" s="22" t="str">
        <f>(IF((VLOOKUP(Table11[[#This Row],[SKU]],'All Skus'!$A:$AC,2,FALSE))="Soundcraft",(VLOOKUP(Table11[[#This Row],[SKU]],'All Skus'!$A:$AC,8,FALSE)),""))</f>
        <v>VI 1U XLR BREAKOUT BOX 8F/8M SPR ASSY</v>
      </c>
      <c r="H118" s="22" t="str">
        <f>(IF((VLOOKUP(Table11[[#This Row],[SKU]],'All Skus'!$A:$AC,2,FALSE))="Soundcraft",(VLOOKUP(Table11[[#This Row],[SKU]],'All Skus'!$A:$AC,9,FALSE)),""))</f>
        <v>1U8F/8M XLR</v>
      </c>
      <c r="I118" s="157">
        <f>(IF((VLOOKUP(Table11[[#This Row],[SKU]],'All Skus'!$A:$AC,2,FALSE))="Soundcraft",(VLOOKUP(Table11[[#This Row],[SKU]],'All Skus'!$A:$AC,10,FALSE)),""))</f>
        <v>993.99</v>
      </c>
      <c r="J118" s="157">
        <f>(IF((VLOOKUP(Table11[[#This Row],[SKU]],'All Skus'!$A:$AC,2,FALSE))="Soundcraft",(VLOOKUP(Table11[[#This Row],[SKU]],'All Skus'!$A:$AC,11,FALSE)),""))</f>
        <v>993</v>
      </c>
      <c r="K118" s="271">
        <f>(IF((VLOOKUP(Table11[[#This Row],[SKU]],'All Skus'!$A:$AC,2,FALSE))="Soundcraft",(VLOOKUP(Table11[[#This Row],[SKU]],'All Skus'!$A:$AC,16,FALSE)),""))</f>
        <v>0</v>
      </c>
      <c r="L118" s="239">
        <f>(IF((VLOOKUP(Table11[[#This Row],[SKU]],'All Skus'!$A:$AC,2,FALSE))="Soundcraft",(VLOOKUP(Table11[[#This Row],[SKU]],'All Skus'!$A:$AC,17,FALSE)),""))</f>
        <v>0</v>
      </c>
      <c r="M118" s="239">
        <f>(IF((VLOOKUP(Table11[[#This Row],[SKU]],'All Skus'!$A:$AC,2,FALSE))="Soundcraft",(VLOOKUP(Table11[[#This Row],[SKU]],'All Skus'!$A:$AC,18,FALSE)),""))</f>
        <v>0</v>
      </c>
      <c r="N118" s="147">
        <f>(IF((VLOOKUP(Table11[[#This Row],[SKU]],'All Skus'!$A:$AC,2,FALSE))="Soundcraft",(VLOOKUP(Table11[[#This Row],[SKU]],'All Skus'!$A:$AC,19,FALSE)),""))</f>
        <v>0</v>
      </c>
      <c r="O118" s="147">
        <f>(IF((VLOOKUP(Table11[[#This Row],[SKU]],'All Skus'!$A:$AC,2,FALSE))="Soundcraft",(VLOOKUP(Table11[[#This Row],[SKU]],'All Skus'!$A:$AC,20,FALSE)),""))</f>
        <v>0</v>
      </c>
      <c r="P118" s="240">
        <f>(IF((VLOOKUP(Table11[[#This Row],[SKU]],'All Skus'!$A:$AC,2,FALSE))="Soundcraft",(VLOOKUP(Table11[[#This Row],[SKU]],'All Skus'!$A:$AC,21,FALSE)),""))</f>
        <v>0</v>
      </c>
      <c r="Q118" s="61">
        <f>(IF((VLOOKUP(Table11[[#This Row],[SKU]],'All Skus'!$A:$AC,2,FALSE))="Soundcraft",(VLOOKUP(Table11[[#This Row],[SKU]],'All Skus'!$A:$AC,22,FALSE)),""))</f>
        <v>0</v>
      </c>
      <c r="R118" s="61" t="str">
        <f>(IF((VLOOKUP(Table11[[#This Row],[SKU]],'All Skus'!$A:$AC,2,FALSE))="Soundcraft",(VLOOKUP(Table11[[#This Row],[SKU]],'All Skus'!$A:$AC,23,FALSE)),""))</f>
        <v>Compliant</v>
      </c>
      <c r="S118" s="212" t="str">
        <f>HYPERLINK((IF((VLOOKUP(Table11[[#This Row],[SKU]],'All Skus'!$A:$AC,2,FALSE))="Soundcraft",(VLOOKUP(Table11[[#This Row],[SKU]],'All Skus'!$A:$AC,24,FALSE)),"")))</f>
        <v/>
      </c>
      <c r="T118" s="151">
        <v>116</v>
      </c>
    </row>
    <row r="119" spans="1:20" ht="15" customHeight="1">
      <c r="A119" s="158">
        <v>5058757</v>
      </c>
      <c r="B119" s="159" t="str">
        <f>(IF((VLOOKUP(Table11[[#This Row],[SKU]],'All Skus'!$A:$AC,2,FALSE))="Soundcraft",(VLOOKUP(Table11[[#This Row],[SKU]],'All Skus'!$A:$AC,3,FALSE)),""))</f>
        <v>Vi5000/7000 Accessories</v>
      </c>
      <c r="C119" s="21">
        <f>(IF((VLOOKUP(Table11[[#This Row],[SKU]],'All Skus'!$A:$AC,2,FALSE))="Soundcraft",(VLOOKUP(Table11[[#This Row],[SKU]],'All Skus'!$A:$AC,4,FALSE)),""))</f>
        <v>5058757</v>
      </c>
      <c r="D119" s="19" t="str">
        <f>(IF((VLOOKUP(Table11[[#This Row],[SKU]],'All Skus'!$A:$AC,2,FALSE))="Soundcraft",(VLOOKUP(Table11[[#This Row],[SKU]],'All Skus'!$A:$AC,5,FALSE)),""))</f>
        <v>SC-VI</v>
      </c>
      <c r="E119" s="19" t="str">
        <f>(IF((VLOOKUP(Table11[[#This Row],[SKU]],'All Skus'!$A:$AC,2,FALSE))="Soundcraft",(VLOOKUP(Table11[[#This Row],[SKU]],'All Skus'!$A:$AC,6,FALSE)),""))</f>
        <v>YES</v>
      </c>
      <c r="F119" s="18">
        <f>(IF((VLOOKUP(Table11[[#This Row],[SKU]],'All Skus'!$A:$AC,2,FALSE))="Soundcraft",(VLOOKUP(Table11[[#This Row],[SKU]],'All Skus'!$A:$AC,7,FALSE)),""))</f>
        <v>0</v>
      </c>
      <c r="G119" s="22" t="str">
        <f>(IF((VLOOKUP(Table11[[#This Row],[SKU]],'All Skus'!$A:$AC,2,FALSE))="Soundcraft",(VLOOKUP(Table11[[#This Row],[SKU]],'All Skus'!$A:$AC,8,FALSE)),""))</f>
        <v>VIX000 Breakout Panel Local Rack CAT5 2SB</v>
      </c>
      <c r="H119" s="22" t="str">
        <f>(IF((VLOOKUP(Table11[[#This Row],[SKU]],'All Skus'!$A:$AC,2,FALSE))="Soundcraft",(VLOOKUP(Table11[[#This Row],[SKU]],'All Skus'!$A:$AC,9,FALSE)),""))</f>
        <v>Cat5 2U Panel for 2 x SB</v>
      </c>
      <c r="I119" s="157">
        <f>(IF((VLOOKUP(Table11[[#This Row],[SKU]],'All Skus'!$A:$AC,2,FALSE))="Soundcraft",(VLOOKUP(Table11[[#This Row],[SKU]],'All Skus'!$A:$AC,10,FALSE)),""))</f>
        <v>1420.39</v>
      </c>
      <c r="J119" s="157">
        <f>(IF((VLOOKUP(Table11[[#This Row],[SKU]],'All Skus'!$A:$AC,2,FALSE))="Soundcraft",(VLOOKUP(Table11[[#This Row],[SKU]],'All Skus'!$A:$AC,11,FALSE)),""))</f>
        <v>1420</v>
      </c>
      <c r="K119" s="271">
        <f>(IF((VLOOKUP(Table11[[#This Row],[SKU]],'All Skus'!$A:$AC,2,FALSE))="Soundcraft",(VLOOKUP(Table11[[#This Row],[SKU]],'All Skus'!$A:$AC,16,FALSE)),""))</f>
        <v>0</v>
      </c>
      <c r="L119" s="239">
        <f>(IF((VLOOKUP(Table11[[#This Row],[SKU]],'All Skus'!$A:$AC,2,FALSE))="Soundcraft",(VLOOKUP(Table11[[#This Row],[SKU]],'All Skus'!$A:$AC,17,FALSE)),""))</f>
        <v>0</v>
      </c>
      <c r="M119" s="239">
        <f>(IF((VLOOKUP(Table11[[#This Row],[SKU]],'All Skus'!$A:$AC,2,FALSE))="Soundcraft",(VLOOKUP(Table11[[#This Row],[SKU]],'All Skus'!$A:$AC,18,FALSE)),""))</f>
        <v>0</v>
      </c>
      <c r="N119" s="147">
        <f>(IF((VLOOKUP(Table11[[#This Row],[SKU]],'All Skus'!$A:$AC,2,FALSE))="Soundcraft",(VLOOKUP(Table11[[#This Row],[SKU]],'All Skus'!$A:$AC,19,FALSE)),""))</f>
        <v>0</v>
      </c>
      <c r="O119" s="147">
        <f>(IF((VLOOKUP(Table11[[#This Row],[SKU]],'All Skus'!$A:$AC,2,FALSE))="Soundcraft",(VLOOKUP(Table11[[#This Row],[SKU]],'All Skus'!$A:$AC,20,FALSE)),""))</f>
        <v>0</v>
      </c>
      <c r="P119" s="240">
        <f>(IF((VLOOKUP(Table11[[#This Row],[SKU]],'All Skus'!$A:$AC,2,FALSE))="Soundcraft",(VLOOKUP(Table11[[#This Row],[SKU]],'All Skus'!$A:$AC,21,FALSE)),""))</f>
        <v>0</v>
      </c>
      <c r="Q119" s="61">
        <f>(IF((VLOOKUP(Table11[[#This Row],[SKU]],'All Skus'!$A:$AC,2,FALSE))="Soundcraft",(VLOOKUP(Table11[[#This Row],[SKU]],'All Skus'!$A:$AC,22,FALSE)),""))</f>
        <v>0</v>
      </c>
      <c r="R119" s="61" t="str">
        <f>(IF((VLOOKUP(Table11[[#This Row],[SKU]],'All Skus'!$A:$AC,2,FALSE))="Soundcraft",(VLOOKUP(Table11[[#This Row],[SKU]],'All Skus'!$A:$AC,23,FALSE)),""))</f>
        <v>Compliant</v>
      </c>
      <c r="S119" s="212" t="str">
        <f>HYPERLINK((IF((VLOOKUP(Table11[[#This Row],[SKU]],'All Skus'!$A:$AC,2,FALSE))="Soundcraft",(VLOOKUP(Table11[[#This Row],[SKU]],'All Skus'!$A:$AC,24,FALSE)),"")))</f>
        <v/>
      </c>
      <c r="T119" s="151">
        <v>117</v>
      </c>
    </row>
    <row r="120" spans="1:20" ht="15" customHeight="1">
      <c r="A120" s="158">
        <v>5056738</v>
      </c>
      <c r="B120" s="159" t="str">
        <f>(IF((VLOOKUP(Table11[[#This Row],[SKU]],'All Skus'!$A:$AC,2,FALSE))="Soundcraft",(VLOOKUP(Table11[[#This Row],[SKU]],'All Skus'!$A:$AC,3,FALSE)),""))</f>
        <v>Vi5000/7000 Accessories</v>
      </c>
      <c r="C120" s="21">
        <f>(IF((VLOOKUP(Table11[[#This Row],[SKU]],'All Skus'!$A:$AC,2,FALSE))="Soundcraft",(VLOOKUP(Table11[[#This Row],[SKU]],'All Skus'!$A:$AC,4,FALSE)),""))</f>
        <v>5056738</v>
      </c>
      <c r="D120" s="19" t="str">
        <f>(IF((VLOOKUP(Table11[[#This Row],[SKU]],'All Skus'!$A:$AC,2,FALSE))="Soundcraft",(VLOOKUP(Table11[[#This Row],[SKU]],'All Skus'!$A:$AC,5,FALSE)),""))</f>
        <v>SC-VI</v>
      </c>
      <c r="E120" s="19" t="str">
        <f>(IF((VLOOKUP(Table11[[#This Row],[SKU]],'All Skus'!$A:$AC,2,FALSE))="Soundcraft",(VLOOKUP(Table11[[#This Row],[SKU]],'All Skus'!$A:$AC,6,FALSE)),""))</f>
        <v>YES</v>
      </c>
      <c r="F120" s="18">
        <f>(IF((VLOOKUP(Table11[[#This Row],[SKU]],'All Skus'!$A:$AC,2,FALSE))="Soundcraft",(VLOOKUP(Table11[[#This Row],[SKU]],'All Skus'!$A:$AC,7,FALSE)),""))</f>
        <v>0</v>
      </c>
      <c r="G120" s="22" t="str">
        <f>(IF((VLOOKUP(Table11[[#This Row],[SKU]],'All Skus'!$A:$AC,2,FALSE))="Soundcraft",(VLOOKUP(Table11[[#This Row],[SKU]],'All Skus'!$A:$AC,8,FALSE)),""))</f>
        <v>SCR,VI ACTIVE BREAKOUT BOX</v>
      </c>
      <c r="H120" s="22" t="str">
        <f>(IF((VLOOKUP(Table11[[#This Row],[SKU]],'All Skus'!$A:$AC,2,FALSE))="Soundcraft",(VLOOKUP(Table11[[#This Row],[SKU]],'All Skus'!$A:$AC,9,FALSE)),""))</f>
        <v>Vi Blu Link Active Breakout box - local IO</v>
      </c>
      <c r="I120" s="157">
        <f>(IF((VLOOKUP(Table11[[#This Row],[SKU]],'All Skus'!$A:$AC,2,FALSE))="Soundcraft",(VLOOKUP(Table11[[#This Row],[SKU]],'All Skus'!$A:$AC,10,FALSE)),""))</f>
        <v>4947.22</v>
      </c>
      <c r="J120" s="157">
        <f>(IF((VLOOKUP(Table11[[#This Row],[SKU]],'All Skus'!$A:$AC,2,FALSE))="Soundcraft",(VLOOKUP(Table11[[#This Row],[SKU]],'All Skus'!$A:$AC,11,FALSE)),""))</f>
        <v>4947</v>
      </c>
      <c r="K120" s="271">
        <f>(IF((VLOOKUP(Table11[[#This Row],[SKU]],'All Skus'!$A:$AC,2,FALSE))="Soundcraft",(VLOOKUP(Table11[[#This Row],[SKU]],'All Skus'!$A:$AC,16,FALSE)),""))</f>
        <v>0</v>
      </c>
      <c r="L120" s="239">
        <f>(IF((VLOOKUP(Table11[[#This Row],[SKU]],'All Skus'!$A:$AC,2,FALSE))="Soundcraft",(VLOOKUP(Table11[[#This Row],[SKU]],'All Skus'!$A:$AC,17,FALSE)),""))</f>
        <v>0</v>
      </c>
      <c r="M120" s="239">
        <f>(IF((VLOOKUP(Table11[[#This Row],[SKU]],'All Skus'!$A:$AC,2,FALSE))="Soundcraft",(VLOOKUP(Table11[[#This Row],[SKU]],'All Skus'!$A:$AC,18,FALSE)),""))</f>
        <v>0</v>
      </c>
      <c r="N120" s="147">
        <f>(IF((VLOOKUP(Table11[[#This Row],[SKU]],'All Skus'!$A:$AC,2,FALSE))="Soundcraft",(VLOOKUP(Table11[[#This Row],[SKU]],'All Skus'!$A:$AC,19,FALSE)),""))</f>
        <v>0</v>
      </c>
      <c r="O120" s="147">
        <f>(IF((VLOOKUP(Table11[[#This Row],[SKU]],'All Skus'!$A:$AC,2,FALSE))="Soundcraft",(VLOOKUP(Table11[[#This Row],[SKU]],'All Skus'!$A:$AC,20,FALSE)),""))</f>
        <v>0</v>
      </c>
      <c r="P120" s="240">
        <f>(IF((VLOOKUP(Table11[[#This Row],[SKU]],'All Skus'!$A:$AC,2,FALSE))="Soundcraft",(VLOOKUP(Table11[[#This Row],[SKU]],'All Skus'!$A:$AC,21,FALSE)),""))</f>
        <v>0</v>
      </c>
      <c r="Q120" s="61" t="str">
        <f>(IF((VLOOKUP(Table11[[#This Row],[SKU]],'All Skus'!$A:$AC,2,FALSE))="Soundcraft",(VLOOKUP(Table11[[#This Row],[SKU]],'All Skus'!$A:$AC,22,FALSE)),""))</f>
        <v>CN</v>
      </c>
      <c r="R120" s="61" t="str">
        <f>(IF((VLOOKUP(Table11[[#This Row],[SKU]],'All Skus'!$A:$AC,2,FALSE))="Soundcraft",(VLOOKUP(Table11[[#This Row],[SKU]],'All Skus'!$A:$AC,23,FALSE)),""))</f>
        <v>Compliant</v>
      </c>
      <c r="S120" s="212" t="str">
        <f>HYPERLINK((IF((VLOOKUP(Table11[[#This Row],[SKU]],'All Skus'!$A:$AC,2,FALSE))="Soundcraft",(VLOOKUP(Table11[[#This Row],[SKU]],'All Skus'!$A:$AC,24,FALSE)),"")))</f>
        <v/>
      </c>
      <c r="T120" s="151">
        <v>118</v>
      </c>
    </row>
    <row r="121" spans="1:20" ht="15" customHeight="1">
      <c r="A121" s="158">
        <v>5058847</v>
      </c>
      <c r="B121" s="159" t="str">
        <f>(IF((VLOOKUP(Table11[[#This Row],[SKU]],'All Skus'!$A:$AC,2,FALSE))="Soundcraft",(VLOOKUP(Table11[[#This Row],[SKU]],'All Skus'!$A:$AC,3,FALSE)),""))</f>
        <v>Vi5000/7000 Accessories</v>
      </c>
      <c r="C121" s="21">
        <f>(IF((VLOOKUP(Table11[[#This Row],[SKU]],'All Skus'!$A:$AC,2,FALSE))="Soundcraft",(VLOOKUP(Table11[[#This Row],[SKU]],'All Skus'!$A:$AC,4,FALSE)),""))</f>
        <v>5058847</v>
      </c>
      <c r="D121" s="19" t="str">
        <f>(IF((VLOOKUP(Table11[[#This Row],[SKU]],'All Skus'!$A:$AC,2,FALSE))="Soundcraft",(VLOOKUP(Table11[[#This Row],[SKU]],'All Skus'!$A:$AC,5,FALSE)),""))</f>
        <v>SC-VI</v>
      </c>
      <c r="E121" s="19" t="str">
        <f>(IF((VLOOKUP(Table11[[#This Row],[SKU]],'All Skus'!$A:$AC,2,FALSE))="Soundcraft",(VLOOKUP(Table11[[#This Row],[SKU]],'All Skus'!$A:$AC,6,FALSE)),""))</f>
        <v>YES</v>
      </c>
      <c r="F121" s="18">
        <f>(IF((VLOOKUP(Table11[[#This Row],[SKU]],'All Skus'!$A:$AC,2,FALSE))="Soundcraft",(VLOOKUP(Table11[[#This Row],[SKU]],'All Skus'!$A:$AC,7,FALSE)),""))</f>
        <v>0</v>
      </c>
      <c r="G121" s="22" t="str">
        <f>(IF((VLOOKUP(Table11[[#This Row],[SKU]],'All Skus'!$A:$AC,2,FALSE))="Soundcraft",(VLOOKUP(Table11[[#This Row],[SKU]],'All Skus'!$A:$AC,8,FALSE)),""))</f>
        <v>VIX000 Breakout Panel  OPT 1SB/2C</v>
      </c>
      <c r="H121" s="22" t="str">
        <f>(IF((VLOOKUP(Table11[[#This Row],[SKU]],'All Skus'!$A:$AC,2,FALSE))="Soundcraft",(VLOOKUP(Table11[[#This Row],[SKU]],'All Skus'!$A:$AC,9,FALSE)),""))</f>
        <v xml:space="preserve">Optical 2U Panel for 1 x SB </v>
      </c>
      <c r="I121" s="157">
        <f>(IF((VLOOKUP(Table11[[#This Row],[SKU]],'All Skus'!$A:$AC,2,FALSE))="Soundcraft",(VLOOKUP(Table11[[#This Row],[SKU]],'All Skus'!$A:$AC,10,FALSE)),""))</f>
        <v>3156.11</v>
      </c>
      <c r="J121" s="157">
        <f>(IF((VLOOKUP(Table11[[#This Row],[SKU]],'All Skus'!$A:$AC,2,FALSE))="Soundcraft",(VLOOKUP(Table11[[#This Row],[SKU]],'All Skus'!$A:$AC,11,FALSE)),""))</f>
        <v>3156</v>
      </c>
      <c r="K121" s="271">
        <f>(IF((VLOOKUP(Table11[[#This Row],[SKU]],'All Skus'!$A:$AC,2,FALSE))="Soundcraft",(VLOOKUP(Table11[[#This Row],[SKU]],'All Skus'!$A:$AC,16,FALSE)),""))</f>
        <v>0</v>
      </c>
      <c r="L121" s="239">
        <f>(IF((VLOOKUP(Table11[[#This Row],[SKU]],'All Skus'!$A:$AC,2,FALSE))="Soundcraft",(VLOOKUP(Table11[[#This Row],[SKU]],'All Skus'!$A:$AC,17,FALSE)),""))</f>
        <v>0</v>
      </c>
      <c r="M121" s="239">
        <f>(IF((VLOOKUP(Table11[[#This Row],[SKU]],'All Skus'!$A:$AC,2,FALSE))="Soundcraft",(VLOOKUP(Table11[[#This Row],[SKU]],'All Skus'!$A:$AC,18,FALSE)),""))</f>
        <v>0</v>
      </c>
      <c r="N121" s="147">
        <f>(IF((VLOOKUP(Table11[[#This Row],[SKU]],'All Skus'!$A:$AC,2,FALSE))="Soundcraft",(VLOOKUP(Table11[[#This Row],[SKU]],'All Skus'!$A:$AC,19,FALSE)),""))</f>
        <v>0</v>
      </c>
      <c r="O121" s="147">
        <f>(IF((VLOOKUP(Table11[[#This Row],[SKU]],'All Skus'!$A:$AC,2,FALSE))="Soundcraft",(VLOOKUP(Table11[[#This Row],[SKU]],'All Skus'!$A:$AC,20,FALSE)),""))</f>
        <v>0</v>
      </c>
      <c r="P121" s="240">
        <f>(IF((VLOOKUP(Table11[[#This Row],[SKU]],'All Skus'!$A:$AC,2,FALSE))="Soundcraft",(VLOOKUP(Table11[[#This Row],[SKU]],'All Skus'!$A:$AC,21,FALSE)),""))</f>
        <v>0</v>
      </c>
      <c r="Q121" s="61">
        <f>(IF((VLOOKUP(Table11[[#This Row],[SKU]],'All Skus'!$A:$AC,2,FALSE))="Soundcraft",(VLOOKUP(Table11[[#This Row],[SKU]],'All Skus'!$A:$AC,22,FALSE)),""))</f>
        <v>0</v>
      </c>
      <c r="R121" s="61" t="str">
        <f>(IF((VLOOKUP(Table11[[#This Row],[SKU]],'All Skus'!$A:$AC,2,FALSE))="Soundcraft",(VLOOKUP(Table11[[#This Row],[SKU]],'All Skus'!$A:$AC,23,FALSE)),""))</f>
        <v>Compliant</v>
      </c>
      <c r="S121" s="212" t="str">
        <f>HYPERLINK((IF((VLOOKUP(Table11[[#This Row],[SKU]],'All Skus'!$A:$AC,2,FALSE))="Soundcraft",(VLOOKUP(Table11[[#This Row],[SKU]],'All Skus'!$A:$AC,24,FALSE)),"")))</f>
        <v/>
      </c>
      <c r="T121" s="151">
        <v>119</v>
      </c>
    </row>
    <row r="122" spans="1:20">
      <c r="A122" s="158" t="s">
        <v>2469</v>
      </c>
      <c r="B122" s="159" t="str">
        <f>(IF((VLOOKUP(Table11[[#This Row],[SKU]],'All Skus'!$A:$AC,2,FALSE))="Soundcraft",(VLOOKUP(Table11[[#This Row],[SKU]],'All Skus'!$A:$AC,3,FALSE)),""))</f>
        <v>Vi Series Upgrade Kits</v>
      </c>
      <c r="C122" s="21" t="str">
        <f>(IF((VLOOKUP(Table11[[#This Row],[SKU]],'All Skus'!$A:$AC,2,FALSE))="Soundcraft",(VLOOKUP(Table11[[#This Row],[SKU]],'All Skus'!$A:$AC,4,FALSE)),""))</f>
        <v>5064929.V</v>
      </c>
      <c r="D122" s="19" t="str">
        <f>(IF((VLOOKUP(Table11[[#This Row],[SKU]],'All Skus'!$A:$AC,2,FALSE))="Soundcraft",(VLOOKUP(Table11[[#This Row],[SKU]],'All Skus'!$A:$AC,5,FALSE)),""))</f>
        <v>SC-VI</v>
      </c>
      <c r="E122" s="19" t="str">
        <f>(IF((VLOOKUP(Table11[[#This Row],[SKU]],'All Skus'!$A:$AC,2,FALSE))="Soundcraft",(VLOOKUP(Table11[[#This Row],[SKU]],'All Skus'!$A:$AC,6,FALSE)),""))</f>
        <v>YES</v>
      </c>
      <c r="F122" s="18">
        <f>(IF((VLOOKUP(Table11[[#This Row],[SKU]],'All Skus'!$A:$AC,2,FALSE))="Soundcraft",(VLOOKUP(Table11[[#This Row],[SKU]],'All Skus'!$A:$AC,7,FALSE)),""))</f>
        <v>0</v>
      </c>
      <c r="G122" s="22" t="str">
        <f>(IF((VLOOKUP(Table11[[#This Row],[SKU]],'All Skus'!$A:$AC,2,FALSE))="Soundcraft",(VLOOKUP(Table11[[#This Row],[SKU]],'All Skus'!$A:$AC,8,FALSE)),""))</f>
        <v>VI200 SYSTEM CONTROL MODULE,TSPR</v>
      </c>
      <c r="H122" s="22" t="str">
        <f>(IF((VLOOKUP(Table11[[#This Row],[SKU]],'All Skus'!$A:$AC,2,FALSE))="Soundcraft",(VLOOKUP(Table11[[#This Row],[SKU]],'All Skus'!$A:$AC,9,FALSE)),""))</f>
        <v>Vi200 Control Module Upgrade</v>
      </c>
      <c r="I122" s="157">
        <f>(IF((VLOOKUP(Table11[[#This Row],[SKU]],'All Skus'!$A:$AC,2,FALSE))="Soundcraft",(VLOOKUP(Table11[[#This Row],[SKU]],'All Skus'!$A:$AC,10,FALSE)),""))</f>
        <v>5699.93</v>
      </c>
      <c r="J122" s="157">
        <f>(IF((VLOOKUP(Table11[[#This Row],[SKU]],'All Skus'!$A:$AC,2,FALSE))="Soundcraft",(VLOOKUP(Table11[[#This Row],[SKU]],'All Skus'!$A:$AC,11,FALSE)),""))</f>
        <v>5699</v>
      </c>
      <c r="K122" s="271">
        <f>(IF((VLOOKUP(Table11[[#This Row],[SKU]],'All Skus'!$A:$AC,2,FALSE))="Soundcraft",(VLOOKUP(Table11[[#This Row],[SKU]],'All Skus'!$A:$AC,16,FALSE)),""))</f>
        <v>0</v>
      </c>
      <c r="L122" s="239">
        <f>(IF((VLOOKUP(Table11[[#This Row],[SKU]],'All Skus'!$A:$AC,2,FALSE))="Soundcraft",(VLOOKUP(Table11[[#This Row],[SKU]],'All Skus'!$A:$AC,17,FALSE)),""))</f>
        <v>0</v>
      </c>
      <c r="M122" s="239">
        <f>(IF((VLOOKUP(Table11[[#This Row],[SKU]],'All Skus'!$A:$AC,2,FALSE))="Soundcraft",(VLOOKUP(Table11[[#This Row],[SKU]],'All Skus'!$A:$AC,18,FALSE)),""))</f>
        <v>0</v>
      </c>
      <c r="N122" s="147">
        <f>(IF((VLOOKUP(Table11[[#This Row],[SKU]],'All Skus'!$A:$AC,2,FALSE))="Soundcraft",(VLOOKUP(Table11[[#This Row],[SKU]],'All Skus'!$A:$AC,19,FALSE)),""))</f>
        <v>0</v>
      </c>
      <c r="O122" s="147">
        <f>(IF((VLOOKUP(Table11[[#This Row],[SKU]],'All Skus'!$A:$AC,2,FALSE))="Soundcraft",(VLOOKUP(Table11[[#This Row],[SKU]],'All Skus'!$A:$AC,20,FALSE)),""))</f>
        <v>0</v>
      </c>
      <c r="P122" s="240">
        <f>(IF((VLOOKUP(Table11[[#This Row],[SKU]],'All Skus'!$A:$AC,2,FALSE))="Soundcraft",(VLOOKUP(Table11[[#This Row],[SKU]],'All Skus'!$A:$AC,21,FALSE)),""))</f>
        <v>0</v>
      </c>
      <c r="Q122" s="61">
        <f>(IF((VLOOKUP(Table11[[#This Row],[SKU]],'All Skus'!$A:$AC,2,FALSE))="Soundcraft",(VLOOKUP(Table11[[#This Row],[SKU]],'All Skus'!$A:$AC,22,FALSE)),""))</f>
        <v>0</v>
      </c>
      <c r="R122" s="61" t="str">
        <f>(IF((VLOOKUP(Table11[[#This Row],[SKU]],'All Skus'!$A:$AC,2,FALSE))="Soundcraft",(VLOOKUP(Table11[[#This Row],[SKU]],'All Skus'!$A:$AC,23,FALSE)),""))</f>
        <v>Compliant</v>
      </c>
      <c r="S122" s="212" t="str">
        <f>HYPERLINK((IF((VLOOKUP(Table11[[#This Row],[SKU]],'All Skus'!$A:$AC,2,FALSE))="Soundcraft",(VLOOKUP(Table11[[#This Row],[SKU]],'All Skus'!$A:$AC,24,FALSE)),"")))</f>
        <v/>
      </c>
      <c r="T122" s="151">
        <v>120</v>
      </c>
    </row>
    <row r="123" spans="1:20" ht="15" customHeight="1">
      <c r="A123" s="158" t="s">
        <v>2470</v>
      </c>
      <c r="B123" s="159" t="str">
        <f>(IF((VLOOKUP(Table11[[#This Row],[SKU]],'All Skus'!$A:$AC,2,FALSE))="Soundcraft",(VLOOKUP(Table11[[#This Row],[SKU]],'All Skus'!$A:$AC,3,FALSE)),""))</f>
        <v>Vi Series Upgrade Kits</v>
      </c>
      <c r="C123" s="21" t="str">
        <f>(IF((VLOOKUP(Table11[[#This Row],[SKU]],'All Skus'!$A:$AC,2,FALSE))="Soundcraft",(VLOOKUP(Table11[[#This Row],[SKU]],'All Skus'!$A:$AC,4,FALSE)),""))</f>
        <v>5064930.V</v>
      </c>
      <c r="D123" s="19" t="str">
        <f>(IF((VLOOKUP(Table11[[#This Row],[SKU]],'All Skus'!$A:$AC,2,FALSE))="Soundcraft",(VLOOKUP(Table11[[#This Row],[SKU]],'All Skus'!$A:$AC,5,FALSE)),""))</f>
        <v>SC-VI</v>
      </c>
      <c r="E123" s="19" t="str">
        <f>(IF((VLOOKUP(Table11[[#This Row],[SKU]],'All Skus'!$A:$AC,2,FALSE))="Soundcraft",(VLOOKUP(Table11[[#This Row],[SKU]],'All Skus'!$A:$AC,6,FALSE)),""))</f>
        <v>YES</v>
      </c>
      <c r="F123" s="18">
        <f>(IF((VLOOKUP(Table11[[#This Row],[SKU]],'All Skus'!$A:$AC,2,FALSE))="Soundcraft",(VLOOKUP(Table11[[#This Row],[SKU]],'All Skus'!$A:$AC,7,FALSE)),""))</f>
        <v>0</v>
      </c>
      <c r="G123" s="22" t="str">
        <f>(IF((VLOOKUP(Table11[[#This Row],[SKU]],'All Skus'!$A:$AC,2,FALSE))="Soundcraft",(VLOOKUP(Table11[[#This Row],[SKU]],'All Skus'!$A:$AC,8,FALSE)),""))</f>
        <v>VI400 SYSTEM CONTROL MODULE,TSPR</v>
      </c>
      <c r="H123" s="22" t="str">
        <f>(IF((VLOOKUP(Table11[[#This Row],[SKU]],'All Skus'!$A:$AC,2,FALSE))="Soundcraft",(VLOOKUP(Table11[[#This Row],[SKU]],'All Skus'!$A:$AC,9,FALSE)),""))</f>
        <v>Vi400 Control Module Upgrade</v>
      </c>
      <c r="I123" s="157">
        <f>(IF((VLOOKUP(Table11[[#This Row],[SKU]],'All Skus'!$A:$AC,2,FALSE))="Soundcraft",(VLOOKUP(Table11[[#This Row],[SKU]],'All Skus'!$A:$AC,10,FALSE)),""))</f>
        <v>5699.93</v>
      </c>
      <c r="J123" s="157">
        <f>(IF((VLOOKUP(Table11[[#This Row],[SKU]],'All Skus'!$A:$AC,2,FALSE))="Soundcraft",(VLOOKUP(Table11[[#This Row],[SKU]],'All Skus'!$A:$AC,11,FALSE)),""))</f>
        <v>5699</v>
      </c>
      <c r="K123" s="271">
        <f>(IF((VLOOKUP(Table11[[#This Row],[SKU]],'All Skus'!$A:$AC,2,FALSE))="Soundcraft",(VLOOKUP(Table11[[#This Row],[SKU]],'All Skus'!$A:$AC,16,FALSE)),""))</f>
        <v>0</v>
      </c>
      <c r="L123" s="239">
        <f>(IF((VLOOKUP(Table11[[#This Row],[SKU]],'All Skus'!$A:$AC,2,FALSE))="Soundcraft",(VLOOKUP(Table11[[#This Row],[SKU]],'All Skus'!$A:$AC,17,FALSE)),""))</f>
        <v>0</v>
      </c>
      <c r="M123" s="239">
        <f>(IF((VLOOKUP(Table11[[#This Row],[SKU]],'All Skus'!$A:$AC,2,FALSE))="Soundcraft",(VLOOKUP(Table11[[#This Row],[SKU]],'All Skus'!$A:$AC,18,FALSE)),""))</f>
        <v>4.5</v>
      </c>
      <c r="N123" s="147">
        <f>(IF((VLOOKUP(Table11[[#This Row],[SKU]],'All Skus'!$A:$AC,2,FALSE))="Soundcraft",(VLOOKUP(Table11[[#This Row],[SKU]],'All Skus'!$A:$AC,19,FALSE)),""))</f>
        <v>20</v>
      </c>
      <c r="O123" s="147">
        <f>(IF((VLOOKUP(Table11[[#This Row],[SKU]],'All Skus'!$A:$AC,2,FALSE))="Soundcraft",(VLOOKUP(Table11[[#This Row],[SKU]],'All Skus'!$A:$AC,20,FALSE)),""))</f>
        <v>19</v>
      </c>
      <c r="P123" s="240">
        <f>(IF((VLOOKUP(Table11[[#This Row],[SKU]],'All Skus'!$A:$AC,2,FALSE))="Soundcraft",(VLOOKUP(Table11[[#This Row],[SKU]],'All Skus'!$A:$AC,21,FALSE)),""))</f>
        <v>20</v>
      </c>
      <c r="Q123" s="61" t="str">
        <f>(IF((VLOOKUP(Table11[[#This Row],[SKU]],'All Skus'!$A:$AC,2,FALSE))="Soundcraft",(VLOOKUP(Table11[[#This Row],[SKU]],'All Skus'!$A:$AC,22,FALSE)),""))</f>
        <v>CN</v>
      </c>
      <c r="R123" s="61" t="str">
        <f>(IF((VLOOKUP(Table11[[#This Row],[SKU]],'All Skus'!$A:$AC,2,FALSE))="Soundcraft",(VLOOKUP(Table11[[#This Row],[SKU]],'All Skus'!$A:$AC,23,FALSE)),""))</f>
        <v>Compliant</v>
      </c>
      <c r="S123" s="212" t="str">
        <f>HYPERLINK((IF((VLOOKUP(Table11[[#This Row],[SKU]],'All Skus'!$A:$AC,2,FALSE))="Soundcraft",(VLOOKUP(Table11[[#This Row],[SKU]],'All Skus'!$A:$AC,24,FALSE)),"")))</f>
        <v/>
      </c>
      <c r="T123" s="151">
        <v>121</v>
      </c>
    </row>
    <row r="124" spans="1:20" ht="15" customHeight="1">
      <c r="A124" s="158" t="s">
        <v>2471</v>
      </c>
      <c r="B124" s="159" t="str">
        <f>(IF((VLOOKUP(Table11[[#This Row],[SKU]],'All Skus'!$A:$AC,2,FALSE))="Soundcraft",(VLOOKUP(Table11[[#This Row],[SKU]],'All Skus'!$A:$AC,3,FALSE)),""))</f>
        <v>Vi Series Upgrade Kits</v>
      </c>
      <c r="C124" s="21" t="str">
        <f>(IF((VLOOKUP(Table11[[#This Row],[SKU]],'All Skus'!$A:$AC,2,FALSE))="Soundcraft",(VLOOKUP(Table11[[#This Row],[SKU]],'All Skus'!$A:$AC,4,FALSE)),""))</f>
        <v>5064931.V</v>
      </c>
      <c r="D124" s="19" t="str">
        <f>(IF((VLOOKUP(Table11[[#This Row],[SKU]],'All Skus'!$A:$AC,2,FALSE))="Soundcraft",(VLOOKUP(Table11[[#This Row],[SKU]],'All Skus'!$A:$AC,5,FALSE)),""))</f>
        <v>SC-VI</v>
      </c>
      <c r="E124" s="19" t="str">
        <f>(IF((VLOOKUP(Table11[[#This Row],[SKU]],'All Skus'!$A:$AC,2,FALSE))="Soundcraft",(VLOOKUP(Table11[[#This Row],[SKU]],'All Skus'!$A:$AC,6,FALSE)),""))</f>
        <v>YES</v>
      </c>
      <c r="F124" s="18">
        <f>(IF((VLOOKUP(Table11[[#This Row],[SKU]],'All Skus'!$A:$AC,2,FALSE))="Soundcraft",(VLOOKUP(Table11[[#This Row],[SKU]],'All Skus'!$A:$AC,7,FALSE)),""))</f>
        <v>0</v>
      </c>
      <c r="G124" s="22" t="str">
        <f>(IF((VLOOKUP(Table11[[#This Row],[SKU]],'All Skus'!$A:$AC,2,FALSE))="Soundcraft",(VLOOKUP(Table11[[#This Row],[SKU]],'All Skus'!$A:$AC,8,FALSE)),""))</f>
        <v>VI600 SYSTEM CONTROL MODULE,TSPR</v>
      </c>
      <c r="H124" s="22" t="str">
        <f>(IF((VLOOKUP(Table11[[#This Row],[SKU]],'All Skus'!$A:$AC,2,FALSE))="Soundcraft",(VLOOKUP(Table11[[#This Row],[SKU]],'All Skus'!$A:$AC,9,FALSE)),""))</f>
        <v>Vi600 Control Module Upgrade</v>
      </c>
      <c r="I124" s="157">
        <f>(IF((VLOOKUP(Table11[[#This Row],[SKU]],'All Skus'!$A:$AC,2,FALSE))="Soundcraft",(VLOOKUP(Table11[[#This Row],[SKU]],'All Skus'!$A:$AC,10,FALSE)),""))</f>
        <v>5699.93</v>
      </c>
      <c r="J124" s="157">
        <f>(IF((VLOOKUP(Table11[[#This Row],[SKU]],'All Skus'!$A:$AC,2,FALSE))="Soundcraft",(VLOOKUP(Table11[[#This Row],[SKU]],'All Skus'!$A:$AC,11,FALSE)),""))</f>
        <v>5699</v>
      </c>
      <c r="K124" s="271">
        <f>(IF((VLOOKUP(Table11[[#This Row],[SKU]],'All Skus'!$A:$AC,2,FALSE))="Soundcraft",(VLOOKUP(Table11[[#This Row],[SKU]],'All Skus'!$A:$AC,16,FALSE)),""))</f>
        <v>0</v>
      </c>
      <c r="L124" s="239">
        <f>(IF((VLOOKUP(Table11[[#This Row],[SKU]],'All Skus'!$A:$AC,2,FALSE))="Soundcraft",(VLOOKUP(Table11[[#This Row],[SKU]],'All Skus'!$A:$AC,17,FALSE)),""))</f>
        <v>0</v>
      </c>
      <c r="M124" s="239">
        <f>(IF((VLOOKUP(Table11[[#This Row],[SKU]],'All Skus'!$A:$AC,2,FALSE))="Soundcraft",(VLOOKUP(Table11[[#This Row],[SKU]],'All Skus'!$A:$AC,18,FALSE)),""))</f>
        <v>4.5</v>
      </c>
      <c r="N124" s="147">
        <f>(IF((VLOOKUP(Table11[[#This Row],[SKU]],'All Skus'!$A:$AC,2,FALSE))="Soundcraft",(VLOOKUP(Table11[[#This Row],[SKU]],'All Skus'!$A:$AC,19,FALSE)),""))</f>
        <v>20</v>
      </c>
      <c r="O124" s="147">
        <f>(IF((VLOOKUP(Table11[[#This Row],[SKU]],'All Skus'!$A:$AC,2,FALSE))="Soundcraft",(VLOOKUP(Table11[[#This Row],[SKU]],'All Skus'!$A:$AC,20,FALSE)),""))</f>
        <v>19</v>
      </c>
      <c r="P124" s="240">
        <f>(IF((VLOOKUP(Table11[[#This Row],[SKU]],'All Skus'!$A:$AC,2,FALSE))="Soundcraft",(VLOOKUP(Table11[[#This Row],[SKU]],'All Skus'!$A:$AC,21,FALSE)),""))</f>
        <v>20</v>
      </c>
      <c r="Q124" s="61" t="str">
        <f>(IF((VLOOKUP(Table11[[#This Row],[SKU]],'All Skus'!$A:$AC,2,FALSE))="Soundcraft",(VLOOKUP(Table11[[#This Row],[SKU]],'All Skus'!$A:$AC,22,FALSE)),""))</f>
        <v>CN</v>
      </c>
      <c r="R124" s="61" t="str">
        <f>(IF((VLOOKUP(Table11[[#This Row],[SKU]],'All Skus'!$A:$AC,2,FALSE))="Soundcraft",(VLOOKUP(Table11[[#This Row],[SKU]],'All Skus'!$A:$AC,23,FALSE)),""))</f>
        <v>Compliant</v>
      </c>
      <c r="S124" s="212" t="str">
        <f>HYPERLINK((IF((VLOOKUP(Table11[[#This Row],[SKU]],'All Skus'!$A:$AC,2,FALSE))="Soundcraft",(VLOOKUP(Table11[[#This Row],[SKU]],'All Skus'!$A:$AC,24,FALSE)),"")))</f>
        <v/>
      </c>
      <c r="T124" s="151">
        <v>122</v>
      </c>
    </row>
    <row r="125" spans="1:20" ht="15" customHeight="1">
      <c r="A125" s="158">
        <v>5049655</v>
      </c>
      <c r="B125" s="159" t="str">
        <f>(IF((VLOOKUP(Table11[[#This Row],[SKU]],'All Skus'!$A:$AC,2,FALSE))="Soundcraft",(VLOOKUP(Table11[[#This Row],[SKU]],'All Skus'!$A:$AC,3,FALSE)),""))</f>
        <v>Si Series Stageboxes</v>
      </c>
      <c r="C125" s="21">
        <f>(IF((VLOOKUP(Table11[[#This Row],[SKU]],'All Skus'!$A:$AC,2,FALSE))="Soundcraft",(VLOOKUP(Table11[[#This Row],[SKU]],'All Skus'!$A:$AC,4,FALSE)),""))</f>
        <v>5049655</v>
      </c>
      <c r="D125" s="19" t="str">
        <f>(IF((VLOOKUP(Table11[[#This Row],[SKU]],'All Skus'!$A:$AC,2,FALSE))="Soundcraft",(VLOOKUP(Table11[[#This Row],[SKU]],'All Skus'!$A:$AC,5,FALSE)),""))</f>
        <v>SC-SI</v>
      </c>
      <c r="E125" s="19">
        <f>(IF((VLOOKUP(Table11[[#This Row],[SKU]],'All Skus'!$A:$AC,2,FALSE))="Soundcraft",(VLOOKUP(Table11[[#This Row],[SKU]],'All Skus'!$A:$AC,6,FALSE)),""))</f>
        <v>0</v>
      </c>
      <c r="F125" s="18">
        <f>(IF((VLOOKUP(Table11[[#This Row],[SKU]],'All Skus'!$A:$AC,2,FALSE))="Soundcraft",(VLOOKUP(Table11[[#This Row],[SKU]],'All Skus'!$A:$AC,7,FALSE)),""))</f>
        <v>0</v>
      </c>
      <c r="G125" s="22" t="str">
        <f>(IF((VLOOKUP(Table11[[#This Row],[SKU]],'All Skus'!$A:$AC,2,FALSE))="Soundcraft",(VLOOKUP(Table11[[#This Row],[SKU]],'All Skus'!$A:$AC,8,FALSE)),""))</f>
        <v>Mini Stagebox-16R</v>
      </c>
      <c r="H125" s="22" t="str">
        <f>(IF((VLOOKUP(Table11[[#This Row],[SKU]],'All Skus'!$A:$AC,2,FALSE))="Soundcraft",(VLOOKUP(Table11[[#This Row],[SKU]],'All Skus'!$A:$AC,9,FALSE)),""))</f>
        <v>MSB-16R</v>
      </c>
      <c r="I125" s="157">
        <f>(IF((VLOOKUP(Table11[[#This Row],[SKU]],'All Skus'!$A:$AC,2,FALSE))="Soundcraft",(VLOOKUP(Table11[[#This Row],[SKU]],'All Skus'!$A:$AC,10,FALSE)),""))</f>
        <v>1709.5</v>
      </c>
      <c r="J125" s="157">
        <f>(IF((VLOOKUP(Table11[[#This Row],[SKU]],'All Skus'!$A:$AC,2,FALSE))="Soundcraft",(VLOOKUP(Table11[[#This Row],[SKU]],'All Skus'!$A:$AC,11,FALSE)),""))</f>
        <v>1368</v>
      </c>
      <c r="K125" s="271">
        <f>(IF((VLOOKUP(Table11[[#This Row],[SKU]],'All Skus'!$A:$AC,2,FALSE))="Soundcraft",(VLOOKUP(Table11[[#This Row],[SKU]],'All Skus'!$A:$AC,16,FALSE)),""))</f>
        <v>688705003535</v>
      </c>
      <c r="L125" s="239">
        <f>(IF((VLOOKUP(Table11[[#This Row],[SKU]],'All Skus'!$A:$AC,2,FALSE))="Soundcraft",(VLOOKUP(Table11[[#This Row],[SKU]],'All Skus'!$A:$AC,17,FALSE)),""))</f>
        <v>0</v>
      </c>
      <c r="M125" s="239">
        <f>(IF((VLOOKUP(Table11[[#This Row],[SKU]],'All Skus'!$A:$AC,2,FALSE))="Soundcraft",(VLOOKUP(Table11[[#This Row],[SKU]],'All Skus'!$A:$AC,18,FALSE)),""))</f>
        <v>15.5</v>
      </c>
      <c r="N125" s="147">
        <f>(IF((VLOOKUP(Table11[[#This Row],[SKU]],'All Skus'!$A:$AC,2,FALSE))="Soundcraft",(VLOOKUP(Table11[[#This Row],[SKU]],'All Skus'!$A:$AC,19,FALSE)),""))</f>
        <v>22</v>
      </c>
      <c r="O125" s="147">
        <f>(IF((VLOOKUP(Table11[[#This Row],[SKU]],'All Skus'!$A:$AC,2,FALSE))="Soundcraft",(VLOOKUP(Table11[[#This Row],[SKU]],'All Skus'!$A:$AC,20,FALSE)),""))</f>
        <v>17</v>
      </c>
      <c r="P125" s="240">
        <f>(IF((VLOOKUP(Table11[[#This Row],[SKU]],'All Skus'!$A:$AC,2,FALSE))="Soundcraft",(VLOOKUP(Table11[[#This Row],[SKU]],'All Skus'!$A:$AC,21,FALSE)),""))</f>
        <v>9.8000000000000007</v>
      </c>
      <c r="Q125" s="61" t="str">
        <f>(IF((VLOOKUP(Table11[[#This Row],[SKU]],'All Skus'!$A:$AC,2,FALSE))="Soundcraft",(VLOOKUP(Table11[[#This Row],[SKU]],'All Skus'!$A:$AC,22,FALSE)),""))</f>
        <v>CN</v>
      </c>
      <c r="R125" s="61" t="str">
        <f>(IF((VLOOKUP(Table11[[#This Row],[SKU]],'All Skus'!$A:$AC,2,FALSE))="Soundcraft",(VLOOKUP(Table11[[#This Row],[SKU]],'All Skus'!$A:$AC,23,FALSE)),""))</f>
        <v>Compliant</v>
      </c>
      <c r="S125" s="212" t="str">
        <f>HYPERLINK((IF((VLOOKUP(Table11[[#This Row],[SKU]],'All Skus'!$A:$AC,2,FALSE))="Soundcraft",(VLOOKUP(Table11[[#This Row],[SKU]],'All Skus'!$A:$AC,24,FALSE)),"")))</f>
        <v/>
      </c>
      <c r="T125" s="151">
        <v>123</v>
      </c>
    </row>
    <row r="126" spans="1:20" ht="15" customHeight="1">
      <c r="A126" s="158">
        <v>5049563</v>
      </c>
      <c r="B126" s="159" t="str">
        <f>(IF((VLOOKUP(Table11[[#This Row],[SKU]],'All Skus'!$A:$AC,2,FALSE))="Soundcraft",(VLOOKUP(Table11[[#This Row],[SKU]],'All Skus'!$A:$AC,3,FALSE)),""))</f>
        <v>Signature MTK Series</v>
      </c>
      <c r="C126" s="21">
        <f>(IF((VLOOKUP(Table11[[#This Row],[SKU]],'All Skus'!$A:$AC,2,FALSE))="Soundcraft",(VLOOKUP(Table11[[#This Row],[SKU]],'All Skus'!$A:$AC,4,FALSE)),""))</f>
        <v>5049563</v>
      </c>
      <c r="D126" s="19" t="str">
        <f>(IF((VLOOKUP(Table11[[#This Row],[SKU]],'All Skus'!$A:$AC,2,FALSE))="Soundcraft",(VLOOKUP(Table11[[#This Row],[SKU]],'All Skus'!$A:$AC,5,FALSE)),""))</f>
        <v>SC-SML CO</v>
      </c>
      <c r="E126" s="19">
        <f>(IF((VLOOKUP(Table11[[#This Row],[SKU]],'All Skus'!$A:$AC,2,FALSE))="Soundcraft",(VLOOKUP(Table11[[#This Row],[SKU]],'All Skus'!$A:$AC,6,FALSE)),""))</f>
        <v>0</v>
      </c>
      <c r="F126" s="18">
        <f>(IF((VLOOKUP(Table11[[#This Row],[SKU]],'All Skus'!$A:$AC,2,FALSE))="Soundcraft",(VLOOKUP(Table11[[#This Row],[SKU]],'All Skus'!$A:$AC,7,FALSE)),""))</f>
        <v>0</v>
      </c>
      <c r="G126" s="22" t="str">
        <f>(IF((VLOOKUP(Table11[[#This Row],[SKU]],'All Skus'!$A:$AC,2,FALSE))="Soundcraft",(VLOOKUP(Table11[[#This Row],[SKU]],'All Skus'!$A:$AC,8,FALSE)),""))</f>
        <v>Signature 22MTK (US)</v>
      </c>
      <c r="H126" s="22" t="str">
        <f>(IF((VLOOKUP(Table11[[#This Row],[SKU]],'All Skus'!$A:$AC,2,FALSE))="Soundcraft",(VLOOKUP(Table11[[#This Row],[SKU]],'All Skus'!$A:$AC,9,FALSE)),""))</f>
        <v>Signature 22MTK (US)</v>
      </c>
      <c r="I126" s="157">
        <f>(IF((VLOOKUP(Table11[[#This Row],[SKU]],'All Skus'!$A:$AC,2,FALSE))="Soundcraft",(VLOOKUP(Table11[[#This Row],[SKU]],'All Skus'!$A:$AC,10,FALSE)),""))</f>
        <v>1349.36</v>
      </c>
      <c r="J126" s="157">
        <f>(IF((VLOOKUP(Table11[[#This Row],[SKU]],'All Skus'!$A:$AC,2,FALSE))="Soundcraft",(VLOOKUP(Table11[[#This Row],[SKU]],'All Skus'!$A:$AC,11,FALSE)),""))</f>
        <v>1089</v>
      </c>
      <c r="K126" s="271">
        <f>(IF((VLOOKUP(Table11[[#This Row],[SKU]],'All Skus'!$A:$AC,2,FALSE))="Soundcraft",(VLOOKUP(Table11[[#This Row],[SKU]],'All Skus'!$A:$AC,16,FALSE)),""))</f>
        <v>688705001203</v>
      </c>
      <c r="L126" s="239">
        <f>(IF((VLOOKUP(Table11[[#This Row],[SKU]],'All Skus'!$A:$AC,2,FALSE))="Soundcraft",(VLOOKUP(Table11[[#This Row],[SKU]],'All Skus'!$A:$AC,17,FALSE)),""))</f>
        <v>0</v>
      </c>
      <c r="M126" s="239">
        <f>(IF((VLOOKUP(Table11[[#This Row],[SKU]],'All Skus'!$A:$AC,2,FALSE))="Soundcraft",(VLOOKUP(Table11[[#This Row],[SKU]],'All Skus'!$A:$AC,18,FALSE)),""))</f>
        <v>30.9</v>
      </c>
      <c r="N126" s="147">
        <f>(IF((VLOOKUP(Table11[[#This Row],[SKU]],'All Skus'!$A:$AC,2,FALSE))="Soundcraft",(VLOOKUP(Table11[[#This Row],[SKU]],'All Skus'!$A:$AC,19,FALSE)),""))</f>
        <v>24.8</v>
      </c>
      <c r="O126" s="147">
        <f>(IF((VLOOKUP(Table11[[#This Row],[SKU]],'All Skus'!$A:$AC,2,FALSE))="Soundcraft",(VLOOKUP(Table11[[#This Row],[SKU]],'All Skus'!$A:$AC,20,FALSE)),""))</f>
        <v>29.52</v>
      </c>
      <c r="P126" s="240">
        <f>(IF((VLOOKUP(Table11[[#This Row],[SKU]],'All Skus'!$A:$AC,2,FALSE))="Soundcraft",(VLOOKUP(Table11[[#This Row],[SKU]],'All Skus'!$A:$AC,21,FALSE)),""))</f>
        <v>8.27</v>
      </c>
      <c r="Q126" s="61" t="str">
        <f>(IF((VLOOKUP(Table11[[#This Row],[SKU]],'All Skus'!$A:$AC,2,FALSE))="Soundcraft",(VLOOKUP(Table11[[#This Row],[SKU]],'All Skus'!$A:$AC,22,FALSE)),""))</f>
        <v>CN</v>
      </c>
      <c r="R126" s="61">
        <f>(IF((VLOOKUP(Table11[[#This Row],[SKU]],'All Skus'!$A:$AC,2,FALSE))="Soundcraft",(VLOOKUP(Table11[[#This Row],[SKU]],'All Skus'!$A:$AC,23,FALSE)),""))</f>
        <v>0</v>
      </c>
      <c r="S126" s="212" t="str">
        <f>HYPERLINK((IF((VLOOKUP(Table11[[#This Row],[SKU]],'All Skus'!$A:$AC,2,FALSE))="Soundcraft",(VLOOKUP(Table11[[#This Row],[SKU]],'All Skus'!$A:$AC,24,FALSE)),"")))</f>
        <v>http://www.soundcraft.com/products/signature-22-mtk</v>
      </c>
      <c r="T126" s="151">
        <v>124</v>
      </c>
    </row>
    <row r="127" spans="1:20" ht="15" customHeight="1">
      <c r="A127" s="158">
        <v>5074417</v>
      </c>
      <c r="B127" s="159" t="str">
        <f>(IF((VLOOKUP(Table11[[#This Row],[SKU]],'All Skus'!$A:$AC,2,FALSE))="Soundcraft",(VLOOKUP(Table11[[#This Row],[SKU]],'All Skus'!$A:$AC,3,FALSE)),""))</f>
        <v>Si Series Stageboxes</v>
      </c>
      <c r="C127" s="21">
        <f>(IF((VLOOKUP(Table11[[#This Row],[SKU]],'All Skus'!$A:$AC,2,FALSE))="Soundcraft",(VLOOKUP(Table11[[#This Row],[SKU]],'All Skus'!$A:$AC,4,FALSE)),""))</f>
        <v>5074417</v>
      </c>
      <c r="D127" s="19">
        <f>(IF((VLOOKUP(Table11[[#This Row],[SKU]],'All Skus'!$A:$AC,2,FALSE))="Soundcraft",(VLOOKUP(Table11[[#This Row],[SKU]],'All Skus'!$A:$AC,5,FALSE)),""))</f>
        <v>82200300</v>
      </c>
      <c r="E127" s="19">
        <f>(IF((VLOOKUP(Table11[[#This Row],[SKU]],'All Skus'!$A:$AC,2,FALSE))="Soundcraft",(VLOOKUP(Table11[[#This Row],[SKU]],'All Skus'!$A:$AC,6,FALSE)),""))</f>
        <v>0</v>
      </c>
      <c r="F127" s="18">
        <f>(IF((VLOOKUP(Table11[[#This Row],[SKU]],'All Skus'!$A:$AC,2,FALSE))="Soundcraft",(VLOOKUP(Table11[[#This Row],[SKU]],'All Skus'!$A:$AC,7,FALSE)),""))</f>
        <v>0</v>
      </c>
      <c r="G127" s="22" t="str">
        <f>(IF((VLOOKUP(Table11[[#This Row],[SKU]],'All Skus'!$A:$AC,2,FALSE))="Soundcraft",(VLOOKUP(Table11[[#This Row],[SKU]],'All Skus'!$A:$AC,8,FALSE)),""))</f>
        <v>Mini Stagebox 16i US</v>
      </c>
      <c r="H127" s="22" t="str">
        <f>(IF((VLOOKUP(Table11[[#This Row],[SKU]],'All Skus'!$A:$AC,2,FALSE))="Soundcraft",(VLOOKUP(Table11[[#This Row],[SKU]],'All Skus'!$A:$AC,9,FALSE)),""))</f>
        <v>Mini Stagebox 16i US</v>
      </c>
      <c r="I127" s="157">
        <f>(IF((VLOOKUP(Table11[[#This Row],[SKU]],'All Skus'!$A:$AC,2,FALSE))="Soundcraft",(VLOOKUP(Table11[[#This Row],[SKU]],'All Skus'!$A:$AC,10,FALSE)),""))</f>
        <v>1330.09</v>
      </c>
      <c r="J127" s="157">
        <f>(IF((VLOOKUP(Table11[[#This Row],[SKU]],'All Skus'!$A:$AC,2,FALSE))="Soundcraft",(VLOOKUP(Table11[[#This Row],[SKU]],'All Skus'!$A:$AC,11,FALSE)),""))</f>
        <v>1066</v>
      </c>
      <c r="K127" s="271">
        <f>(IF((VLOOKUP(Table11[[#This Row],[SKU]],'All Skus'!$A:$AC,2,FALSE))="Soundcraft",(VLOOKUP(Table11[[#This Row],[SKU]],'All Skus'!$A:$AC,16,FALSE)),""))</f>
        <v>688705002637</v>
      </c>
      <c r="L127" s="239">
        <f>(IF((VLOOKUP(Table11[[#This Row],[SKU]],'All Skus'!$A:$AC,2,FALSE))="Soundcraft",(VLOOKUP(Table11[[#This Row],[SKU]],'All Skus'!$A:$AC,17,FALSE)),""))</f>
        <v>0</v>
      </c>
      <c r="M127" s="239">
        <f>(IF((VLOOKUP(Table11[[#This Row],[SKU]],'All Skus'!$A:$AC,2,FALSE))="Soundcraft",(VLOOKUP(Table11[[#This Row],[SKU]],'All Skus'!$A:$AC,18,FALSE)),""))</f>
        <v>0</v>
      </c>
      <c r="N127" s="147">
        <f>(IF((VLOOKUP(Table11[[#This Row],[SKU]],'All Skus'!$A:$AC,2,FALSE))="Soundcraft",(VLOOKUP(Table11[[#This Row],[SKU]],'All Skus'!$A:$AC,19,FALSE)),""))</f>
        <v>0</v>
      </c>
      <c r="O127" s="147">
        <f>(IF((VLOOKUP(Table11[[#This Row],[SKU]],'All Skus'!$A:$AC,2,FALSE))="Soundcraft",(VLOOKUP(Table11[[#This Row],[SKU]],'All Skus'!$A:$AC,20,FALSE)),""))</f>
        <v>0</v>
      </c>
      <c r="P127" s="240">
        <f>(IF((VLOOKUP(Table11[[#This Row],[SKU]],'All Skus'!$A:$AC,2,FALSE))="Soundcraft",(VLOOKUP(Table11[[#This Row],[SKU]],'All Skus'!$A:$AC,21,FALSE)),""))</f>
        <v>0</v>
      </c>
      <c r="Q127" s="61" t="str">
        <f>(IF((VLOOKUP(Table11[[#This Row],[SKU]],'All Skus'!$A:$AC,2,FALSE))="Soundcraft",(VLOOKUP(Table11[[#This Row],[SKU]],'All Skus'!$A:$AC,22,FALSE)),""))</f>
        <v>CN</v>
      </c>
      <c r="R127" s="61" t="str">
        <f>(IF((VLOOKUP(Table11[[#This Row],[SKU]],'All Skus'!$A:$AC,2,FALSE))="Soundcraft",(VLOOKUP(Table11[[#This Row],[SKU]],'All Skus'!$A:$AC,23,FALSE)),""))</f>
        <v>Compliant</v>
      </c>
      <c r="S127" s="212" t="str">
        <f>HYPERLINK((IF((VLOOKUP(Table11[[#This Row],[SKU]],'All Skus'!$A:$AC,2,FALSE))="Soundcraft",(VLOOKUP(Table11[[#This Row],[SKU]],'All Skus'!$A:$AC,24,FALSE)),"")))</f>
        <v/>
      </c>
      <c r="T127" s="151">
        <v>125</v>
      </c>
    </row>
    <row r="128" spans="1:20" ht="15" customHeight="1">
      <c r="A128" s="158">
        <v>5074418</v>
      </c>
      <c r="B128" s="159" t="str">
        <f>(IF((VLOOKUP(Table11[[#This Row],[SKU]],'All Skus'!$A:$AC,2,FALSE))="Soundcraft",(VLOOKUP(Table11[[#This Row],[SKU]],'All Skus'!$A:$AC,3,FALSE)),""))</f>
        <v>Si Series Stageboxes</v>
      </c>
      <c r="C128" s="21">
        <f>(IF((VLOOKUP(Table11[[#This Row],[SKU]],'All Skus'!$A:$AC,2,FALSE))="Soundcraft",(VLOOKUP(Table11[[#This Row],[SKU]],'All Skus'!$A:$AC,4,FALSE)),""))</f>
        <v>5074418</v>
      </c>
      <c r="D128" s="19">
        <f>(IF((VLOOKUP(Table11[[#This Row],[SKU]],'All Skus'!$A:$AC,2,FALSE))="Soundcraft",(VLOOKUP(Table11[[#This Row],[SKU]],'All Skus'!$A:$AC,5,FALSE)),""))</f>
        <v>82200300</v>
      </c>
      <c r="E128" s="19">
        <f>(IF((VLOOKUP(Table11[[#This Row],[SKU]],'All Skus'!$A:$AC,2,FALSE))="Soundcraft",(VLOOKUP(Table11[[#This Row],[SKU]],'All Skus'!$A:$AC,6,FALSE)),""))</f>
        <v>0</v>
      </c>
      <c r="F128" s="18">
        <f>(IF((VLOOKUP(Table11[[#This Row],[SKU]],'All Skus'!$A:$AC,2,FALSE))="Soundcraft",(VLOOKUP(Table11[[#This Row],[SKU]],'All Skus'!$A:$AC,7,FALSE)),""))</f>
        <v>0</v>
      </c>
      <c r="G128" s="22" t="str">
        <f>(IF((VLOOKUP(Table11[[#This Row],[SKU]],'All Skus'!$A:$AC,2,FALSE))="Soundcraft",(VLOOKUP(Table11[[#This Row],[SKU]],'All Skus'!$A:$AC,8,FALSE)),""))</f>
        <v>Mini Stagebox 32i US</v>
      </c>
      <c r="H128" s="22" t="str">
        <f>(IF((VLOOKUP(Table11[[#This Row],[SKU]],'All Skus'!$A:$AC,2,FALSE))="Soundcraft",(VLOOKUP(Table11[[#This Row],[SKU]],'All Skus'!$A:$AC,9,FALSE)),""))</f>
        <v>Mini Stagebox 32i US</v>
      </c>
      <c r="I128" s="157">
        <f>(IF((VLOOKUP(Table11[[#This Row],[SKU]],'All Skus'!$A:$AC,2,FALSE))="Soundcraft",(VLOOKUP(Table11[[#This Row],[SKU]],'All Skus'!$A:$AC,10,FALSE)),""))</f>
        <v>2441.3000000000002</v>
      </c>
      <c r="J128" s="157">
        <f>(IF((VLOOKUP(Table11[[#This Row],[SKU]],'All Skus'!$A:$AC,2,FALSE))="Soundcraft",(VLOOKUP(Table11[[#This Row],[SKU]],'All Skus'!$A:$AC,11,FALSE)),""))</f>
        <v>1951</v>
      </c>
      <c r="K128" s="271">
        <f>(IF((VLOOKUP(Table11[[#This Row],[SKU]],'All Skus'!$A:$AC,2,FALSE))="Soundcraft",(VLOOKUP(Table11[[#This Row],[SKU]],'All Skus'!$A:$AC,16,FALSE)),""))</f>
        <v>688705002620</v>
      </c>
      <c r="L128" s="239">
        <f>(IF((VLOOKUP(Table11[[#This Row],[SKU]],'All Skus'!$A:$AC,2,FALSE))="Soundcraft",(VLOOKUP(Table11[[#This Row],[SKU]],'All Skus'!$A:$AC,17,FALSE)),""))</f>
        <v>0</v>
      </c>
      <c r="M128" s="239">
        <f>(IF((VLOOKUP(Table11[[#This Row],[SKU]],'All Skus'!$A:$AC,2,FALSE))="Soundcraft",(VLOOKUP(Table11[[#This Row],[SKU]],'All Skus'!$A:$AC,18,FALSE)),""))</f>
        <v>0</v>
      </c>
      <c r="N128" s="147">
        <f>(IF((VLOOKUP(Table11[[#This Row],[SKU]],'All Skus'!$A:$AC,2,FALSE))="Soundcraft",(VLOOKUP(Table11[[#This Row],[SKU]],'All Skus'!$A:$AC,19,FALSE)),""))</f>
        <v>0</v>
      </c>
      <c r="O128" s="147">
        <f>(IF((VLOOKUP(Table11[[#This Row],[SKU]],'All Skus'!$A:$AC,2,FALSE))="Soundcraft",(VLOOKUP(Table11[[#This Row],[SKU]],'All Skus'!$A:$AC,20,FALSE)),""))</f>
        <v>0</v>
      </c>
      <c r="P128" s="240">
        <f>(IF((VLOOKUP(Table11[[#This Row],[SKU]],'All Skus'!$A:$AC,2,FALSE))="Soundcraft",(VLOOKUP(Table11[[#This Row],[SKU]],'All Skus'!$A:$AC,21,FALSE)),""))</f>
        <v>0</v>
      </c>
      <c r="Q128" s="61" t="str">
        <f>(IF((VLOOKUP(Table11[[#This Row],[SKU]],'All Skus'!$A:$AC,2,FALSE))="Soundcraft",(VLOOKUP(Table11[[#This Row],[SKU]],'All Skus'!$A:$AC,22,FALSE)),""))</f>
        <v>CN</v>
      </c>
      <c r="R128" s="61" t="str">
        <f>(IF((VLOOKUP(Table11[[#This Row],[SKU]],'All Skus'!$A:$AC,2,FALSE))="Soundcraft",(VLOOKUP(Table11[[#This Row],[SKU]],'All Skus'!$A:$AC,23,FALSE)),""))</f>
        <v>Compliant</v>
      </c>
      <c r="S128" s="212" t="str">
        <f>HYPERLINK((IF((VLOOKUP(Table11[[#This Row],[SKU]],'All Skus'!$A:$AC,2,FALSE))="Soundcraft",(VLOOKUP(Table11[[#This Row],[SKU]],'All Skus'!$A:$AC,24,FALSE)),"")))</f>
        <v/>
      </c>
      <c r="T128" s="151">
        <v>126</v>
      </c>
    </row>
    <row r="129" spans="1:20" ht="15" customHeight="1">
      <c r="A129" s="158">
        <v>5049659</v>
      </c>
      <c r="B129" s="159" t="str">
        <f>(IF((VLOOKUP(Table11[[#This Row],[SKU]],'All Skus'!$A:$AC,2,FALSE))="Soundcraft",(VLOOKUP(Table11[[#This Row],[SKU]],'All Skus'!$A:$AC,3,FALSE)),""))</f>
        <v>Si Series Stageboxes</v>
      </c>
      <c r="C129" s="21">
        <f>(IF((VLOOKUP(Table11[[#This Row],[SKU]],'All Skus'!$A:$AC,2,FALSE))="Soundcraft",(VLOOKUP(Table11[[#This Row],[SKU]],'All Skus'!$A:$AC,4,FALSE)),""))</f>
        <v>5049659</v>
      </c>
      <c r="D129" s="19" t="str">
        <f>(IF((VLOOKUP(Table11[[#This Row],[SKU]],'All Skus'!$A:$AC,2,FALSE))="Soundcraft",(VLOOKUP(Table11[[#This Row],[SKU]],'All Skus'!$A:$AC,5,FALSE)),""))</f>
        <v>SC-SI</v>
      </c>
      <c r="E129" s="19">
        <f>(IF((VLOOKUP(Table11[[#This Row],[SKU]],'All Skus'!$A:$AC,2,FALSE))="Soundcraft",(VLOOKUP(Table11[[#This Row],[SKU]],'All Skus'!$A:$AC,6,FALSE)),""))</f>
        <v>0</v>
      </c>
      <c r="F129" s="18">
        <f>(IF((VLOOKUP(Table11[[#This Row],[SKU]],'All Skus'!$A:$AC,2,FALSE))="Soundcraft",(VLOOKUP(Table11[[#This Row],[SKU]],'All Skus'!$A:$AC,7,FALSE)),""))</f>
        <v>0</v>
      </c>
      <c r="G129" s="22" t="str">
        <f>(IF((VLOOKUP(Table11[[#This Row],[SKU]],'All Skus'!$A:$AC,2,FALSE))="Soundcraft",(VLOOKUP(Table11[[#This Row],[SKU]],'All Skus'!$A:$AC,8,FALSE)),""))</f>
        <v xml:space="preserve">Mini Stagebox 32R </v>
      </c>
      <c r="H129" s="22" t="str">
        <f>(IF((VLOOKUP(Table11[[#This Row],[SKU]],'All Skus'!$A:$AC,2,FALSE))="Soundcraft",(VLOOKUP(Table11[[#This Row],[SKU]],'All Skus'!$A:$AC,9,FALSE)),""))</f>
        <v>MSB-32R</v>
      </c>
      <c r="I129" s="157">
        <f>(IF((VLOOKUP(Table11[[#This Row],[SKU]],'All Skus'!$A:$AC,2,FALSE))="Soundcraft",(VLOOKUP(Table11[[#This Row],[SKU]],'All Skus'!$A:$AC,10,FALSE)),""))</f>
        <v>3270.09</v>
      </c>
      <c r="J129" s="157">
        <f>(IF((VLOOKUP(Table11[[#This Row],[SKU]],'All Skus'!$A:$AC,2,FALSE))="Soundcraft",(VLOOKUP(Table11[[#This Row],[SKU]],'All Skus'!$A:$AC,11,FALSE)),""))</f>
        <v>2615</v>
      </c>
      <c r="K129" s="271">
        <f>(IF((VLOOKUP(Table11[[#This Row],[SKU]],'All Skus'!$A:$AC,2,FALSE))="Soundcraft",(VLOOKUP(Table11[[#This Row],[SKU]],'All Skus'!$A:$AC,16,FALSE)),""))</f>
        <v>688705003542</v>
      </c>
      <c r="L129" s="239">
        <f>(IF((VLOOKUP(Table11[[#This Row],[SKU]],'All Skus'!$A:$AC,2,FALSE))="Soundcraft",(VLOOKUP(Table11[[#This Row],[SKU]],'All Skus'!$A:$AC,17,FALSE)),""))</f>
        <v>0</v>
      </c>
      <c r="M129" s="239">
        <f>(IF((VLOOKUP(Table11[[#This Row],[SKU]],'All Skus'!$A:$AC,2,FALSE))="Soundcraft",(VLOOKUP(Table11[[#This Row],[SKU]],'All Skus'!$A:$AC,18,FALSE)),""))</f>
        <v>17.7</v>
      </c>
      <c r="N129" s="147">
        <f>(IF((VLOOKUP(Table11[[#This Row],[SKU]],'All Skus'!$A:$AC,2,FALSE))="Soundcraft",(VLOOKUP(Table11[[#This Row],[SKU]],'All Skus'!$A:$AC,19,FALSE)),""))</f>
        <v>22</v>
      </c>
      <c r="O129" s="147">
        <f>(IF((VLOOKUP(Table11[[#This Row],[SKU]],'All Skus'!$A:$AC,2,FALSE))="Soundcraft",(VLOOKUP(Table11[[#This Row],[SKU]],'All Skus'!$A:$AC,20,FALSE)),""))</f>
        <v>17</v>
      </c>
      <c r="P129" s="240">
        <f>(IF((VLOOKUP(Table11[[#This Row],[SKU]],'All Skus'!$A:$AC,2,FALSE))="Soundcraft",(VLOOKUP(Table11[[#This Row],[SKU]],'All Skus'!$A:$AC,21,FALSE)),""))</f>
        <v>9.8000000000000007</v>
      </c>
      <c r="Q129" s="61" t="str">
        <f>(IF((VLOOKUP(Table11[[#This Row],[SKU]],'All Skus'!$A:$AC,2,FALSE))="Soundcraft",(VLOOKUP(Table11[[#This Row],[SKU]],'All Skus'!$A:$AC,22,FALSE)),""))</f>
        <v>CN</v>
      </c>
      <c r="R129" s="61" t="str">
        <f>(IF((VLOOKUP(Table11[[#This Row],[SKU]],'All Skus'!$A:$AC,2,FALSE))="Soundcraft",(VLOOKUP(Table11[[#This Row],[SKU]],'All Skus'!$A:$AC,23,FALSE)),""))</f>
        <v>Compliant</v>
      </c>
      <c r="S129" s="212" t="str">
        <f>HYPERLINK((IF((VLOOKUP(Table11[[#This Row],[SKU]],'All Skus'!$A:$AC,2,FALSE))="Soundcraft",(VLOOKUP(Table11[[#This Row],[SKU]],'All Skus'!$A:$AC,24,FALSE)),"")))</f>
        <v/>
      </c>
      <c r="T129" s="151">
        <v>127</v>
      </c>
    </row>
    <row r="130" spans="1:20" ht="15" customHeight="1">
      <c r="A130" s="158" t="s">
        <v>2472</v>
      </c>
      <c r="B130" s="159" t="str">
        <f>(IF((VLOOKUP(Table11[[#This Row],[SKU]],'All Skus'!$A:$AC,2,FALSE))="Soundcraft",(VLOOKUP(Table11[[#This Row],[SKU]],'All Skus'!$A:$AC,3,FALSE)),""))</f>
        <v>Vi Series Stageboxes</v>
      </c>
      <c r="C130" s="21" t="str">
        <f>(IF((VLOOKUP(Table11[[#This Row],[SKU]],'All Skus'!$A:$AC,2,FALSE))="Soundcraft",(VLOOKUP(Table11[[#This Row],[SKU]],'All Skus'!$A:$AC,4,FALSE)),""))</f>
        <v>E947.350000</v>
      </c>
      <c r="D130" s="19" t="str">
        <f>(IF((VLOOKUP(Table11[[#This Row],[SKU]],'All Skus'!$A:$AC,2,FALSE))="Soundcraft",(VLOOKUP(Table11[[#This Row],[SKU]],'All Skus'!$A:$AC,5,FALSE)),""))</f>
        <v>SC-VI</v>
      </c>
      <c r="E130" s="19">
        <f>(IF((VLOOKUP(Table11[[#This Row],[SKU]],'All Skus'!$A:$AC,2,FALSE))="Soundcraft",(VLOOKUP(Table11[[#This Row],[SKU]],'All Skus'!$A:$AC,6,FALSE)),""))</f>
        <v>0</v>
      </c>
      <c r="F130" s="18">
        <f>(IF((VLOOKUP(Table11[[#This Row],[SKU]],'All Skus'!$A:$AC,2,FALSE))="Soundcraft",(VLOOKUP(Table11[[#This Row],[SKU]],'All Skus'!$A:$AC,7,FALSE)),""))</f>
        <v>0</v>
      </c>
      <c r="G130" s="22" t="str">
        <f>(IF((VLOOKUP(Table11[[#This Row],[SKU]],'All Skus'!$A:$AC,2,FALSE))="Soundcraft",(VLOOKUP(Table11[[#This Row],[SKU]],'All Skus'!$A:$AC,8,FALSE)),""))</f>
        <v>Compact Stage Box - 32/8+8: Cat5 Neutrik</v>
      </c>
      <c r="H130" s="22" t="str">
        <f>(IF((VLOOKUP(Table11[[#This Row],[SKU]],'All Skus'!$A:$AC,2,FALSE))="Soundcraft",(VLOOKUP(Table11[[#This Row],[SKU]],'All Skus'!$A:$AC,9,FALSE)),""))</f>
        <v>Compact Stage Box - 32/8+8: Cat5 Neutrik</v>
      </c>
      <c r="I130" s="157">
        <f>(IF((VLOOKUP(Table11[[#This Row],[SKU]],'All Skus'!$A:$AC,2,FALSE))="Soundcraft",(VLOOKUP(Table11[[#This Row],[SKU]],'All Skus'!$A:$AC,10,FALSE)),""))</f>
        <v>7346.85</v>
      </c>
      <c r="J130" s="157">
        <f>(IF((VLOOKUP(Table11[[#This Row],[SKU]],'All Skus'!$A:$AC,2,FALSE))="Soundcraft",(VLOOKUP(Table11[[#This Row],[SKU]],'All Skus'!$A:$AC,11,FALSE)),""))</f>
        <v>5876</v>
      </c>
      <c r="K130" s="271">
        <f>(IF((VLOOKUP(Table11[[#This Row],[SKU]],'All Skus'!$A:$AC,2,FALSE))="Soundcraft",(VLOOKUP(Table11[[#This Row],[SKU]],'All Skus'!$A:$AC,16,FALSE)),""))</f>
        <v>688705002866</v>
      </c>
      <c r="L130" s="239">
        <f>(IF((VLOOKUP(Table11[[#This Row],[SKU]],'All Skus'!$A:$AC,2,FALSE))="Soundcraft",(VLOOKUP(Table11[[#This Row],[SKU]],'All Skus'!$A:$AC,17,FALSE)),""))</f>
        <v>0</v>
      </c>
      <c r="M130" s="239">
        <f>(IF((VLOOKUP(Table11[[#This Row],[SKU]],'All Skus'!$A:$AC,2,FALSE))="Soundcraft",(VLOOKUP(Table11[[#This Row],[SKU]],'All Skus'!$A:$AC,18,FALSE)),""))</f>
        <v>15</v>
      </c>
      <c r="N130" s="147">
        <f>(IF((VLOOKUP(Table11[[#This Row],[SKU]],'All Skus'!$A:$AC,2,FALSE))="Soundcraft",(VLOOKUP(Table11[[#This Row],[SKU]],'All Skus'!$A:$AC,19,FALSE)),""))</f>
        <v>30</v>
      </c>
      <c r="O130" s="147">
        <f>(IF((VLOOKUP(Table11[[#This Row],[SKU]],'All Skus'!$A:$AC,2,FALSE))="Soundcraft",(VLOOKUP(Table11[[#This Row],[SKU]],'All Skus'!$A:$AC,20,FALSE)),""))</f>
        <v>15</v>
      </c>
      <c r="P130" s="240">
        <f>(IF((VLOOKUP(Table11[[#This Row],[SKU]],'All Skus'!$A:$AC,2,FALSE))="Soundcraft",(VLOOKUP(Table11[[#This Row],[SKU]],'All Skus'!$A:$AC,21,FALSE)),""))</f>
        <v>15</v>
      </c>
      <c r="Q130" s="61" t="str">
        <f>(IF((VLOOKUP(Table11[[#This Row],[SKU]],'All Skus'!$A:$AC,2,FALSE))="Soundcraft",(VLOOKUP(Table11[[#This Row],[SKU]],'All Skus'!$A:$AC,22,FALSE)),""))</f>
        <v>CN</v>
      </c>
      <c r="R130" s="61" t="str">
        <f>(IF((VLOOKUP(Table11[[#This Row],[SKU]],'All Skus'!$A:$AC,2,FALSE))="Soundcraft",(VLOOKUP(Table11[[#This Row],[SKU]],'All Skus'!$A:$AC,23,FALSE)),""))</f>
        <v>Compliant</v>
      </c>
      <c r="S130" s="212" t="str">
        <f>HYPERLINK((IF((VLOOKUP(Table11[[#This Row],[SKU]],'All Skus'!$A:$AC,2,FALSE))="Soundcraft",(VLOOKUP(Table11[[#This Row],[SKU]],'All Skus'!$A:$AC,24,FALSE)),"")))</f>
        <v/>
      </c>
      <c r="T130" s="151">
        <v>128</v>
      </c>
    </row>
    <row r="131" spans="1:20" ht="15" customHeight="1">
      <c r="A131" s="158" t="s">
        <v>2473</v>
      </c>
      <c r="B131" s="159" t="str">
        <f>(IF((VLOOKUP(Table11[[#This Row],[SKU]],'All Skus'!$A:$AC,2,FALSE))="Soundcraft",(VLOOKUP(Table11[[#This Row],[SKU]],'All Skus'!$A:$AC,3,FALSE)),""))</f>
        <v>Vi Series Stageboxes</v>
      </c>
      <c r="C131" s="21" t="str">
        <f>(IF((VLOOKUP(Table11[[#This Row],[SKU]],'All Skus'!$A:$AC,2,FALSE))="Soundcraft",(VLOOKUP(Table11[[#This Row],[SKU]],'All Skus'!$A:$AC,4,FALSE)),""))</f>
        <v>E947.351000</v>
      </c>
      <c r="D131" s="19" t="str">
        <f>(IF((VLOOKUP(Table11[[#This Row],[SKU]],'All Skus'!$A:$AC,2,FALSE))="Soundcraft",(VLOOKUP(Table11[[#This Row],[SKU]],'All Skus'!$A:$AC,5,FALSE)),""))</f>
        <v>SC-VI</v>
      </c>
      <c r="E131" s="19">
        <f>(IF((VLOOKUP(Table11[[#This Row],[SKU]],'All Skus'!$A:$AC,2,FALSE))="Soundcraft",(VLOOKUP(Table11[[#This Row],[SKU]],'All Skus'!$A:$AC,6,FALSE)),""))</f>
        <v>0</v>
      </c>
      <c r="F131" s="18">
        <f>(IF((VLOOKUP(Table11[[#This Row],[SKU]],'All Skus'!$A:$AC,2,FALSE))="Soundcraft",(VLOOKUP(Table11[[#This Row],[SKU]],'All Skus'!$A:$AC,7,FALSE)),""))</f>
        <v>0</v>
      </c>
      <c r="G131" s="22" t="str">
        <f>(IF((VLOOKUP(Table11[[#This Row],[SKU]],'All Skus'!$A:$AC,2,FALSE))="Soundcraft",(VLOOKUP(Table11[[#This Row],[SKU]],'All Skus'!$A:$AC,8,FALSE)),""))</f>
        <v>Compact Stage Box - 32/8+8: Optical SC</v>
      </c>
      <c r="H131" s="22" t="str">
        <f>(IF((VLOOKUP(Table11[[#This Row],[SKU]],'All Skus'!$A:$AC,2,FALSE))="Soundcraft",(VLOOKUP(Table11[[#This Row],[SKU]],'All Skus'!$A:$AC,9,FALSE)),""))</f>
        <v>Compact Stage Box - 32/8+8: Optical SC</v>
      </c>
      <c r="I131" s="157">
        <f>(IF((VLOOKUP(Table11[[#This Row],[SKU]],'All Skus'!$A:$AC,2,FALSE))="Soundcraft",(VLOOKUP(Table11[[#This Row],[SKU]],'All Skus'!$A:$AC,10,FALSE)),""))</f>
        <v>7541.54</v>
      </c>
      <c r="J131" s="157">
        <f>(IF((VLOOKUP(Table11[[#This Row],[SKU]],'All Skus'!$A:$AC,2,FALSE))="Soundcraft",(VLOOKUP(Table11[[#This Row],[SKU]],'All Skus'!$A:$AC,11,FALSE)),""))</f>
        <v>7541</v>
      </c>
      <c r="K131" s="271">
        <f>(IF((VLOOKUP(Table11[[#This Row],[SKU]],'All Skus'!$A:$AC,2,FALSE))="Soundcraft",(VLOOKUP(Table11[[#This Row],[SKU]],'All Skus'!$A:$AC,16,FALSE)),""))</f>
        <v>688705247816</v>
      </c>
      <c r="L131" s="239">
        <f>(IF((VLOOKUP(Table11[[#This Row],[SKU]],'All Skus'!$A:$AC,2,FALSE))="Soundcraft",(VLOOKUP(Table11[[#This Row],[SKU]],'All Skus'!$A:$AC,17,FALSE)),""))</f>
        <v>0</v>
      </c>
      <c r="M131" s="239">
        <f>(IF((VLOOKUP(Table11[[#This Row],[SKU]],'All Skus'!$A:$AC,2,FALSE))="Soundcraft",(VLOOKUP(Table11[[#This Row],[SKU]],'All Skus'!$A:$AC,18,FALSE)),""))</f>
        <v>15</v>
      </c>
      <c r="N131" s="147">
        <f>(IF((VLOOKUP(Table11[[#This Row],[SKU]],'All Skus'!$A:$AC,2,FALSE))="Soundcraft",(VLOOKUP(Table11[[#This Row],[SKU]],'All Skus'!$A:$AC,19,FALSE)),""))</f>
        <v>30</v>
      </c>
      <c r="O131" s="147">
        <f>(IF((VLOOKUP(Table11[[#This Row],[SKU]],'All Skus'!$A:$AC,2,FALSE))="Soundcraft",(VLOOKUP(Table11[[#This Row],[SKU]],'All Skus'!$A:$AC,20,FALSE)),""))</f>
        <v>22</v>
      </c>
      <c r="P131" s="240">
        <f>(IF((VLOOKUP(Table11[[#This Row],[SKU]],'All Skus'!$A:$AC,2,FALSE))="Soundcraft",(VLOOKUP(Table11[[#This Row],[SKU]],'All Skus'!$A:$AC,21,FALSE)),""))</f>
        <v>14</v>
      </c>
      <c r="Q131" s="61" t="str">
        <f>(IF((VLOOKUP(Table11[[#This Row],[SKU]],'All Skus'!$A:$AC,2,FALSE))="Soundcraft",(VLOOKUP(Table11[[#This Row],[SKU]],'All Skus'!$A:$AC,22,FALSE)),""))</f>
        <v>CN</v>
      </c>
      <c r="R131" s="61" t="str">
        <f>(IF((VLOOKUP(Table11[[#This Row],[SKU]],'All Skus'!$A:$AC,2,FALSE))="Soundcraft",(VLOOKUP(Table11[[#This Row],[SKU]],'All Skus'!$A:$AC,23,FALSE)),""))</f>
        <v>Compliant</v>
      </c>
      <c r="S131" s="212" t="str">
        <f>HYPERLINK((IF((VLOOKUP(Table11[[#This Row],[SKU]],'All Skus'!$A:$AC,2,FALSE))="Soundcraft",(VLOOKUP(Table11[[#This Row],[SKU]],'All Skus'!$A:$AC,24,FALSE)),"")))</f>
        <v/>
      </c>
      <c r="T131" s="151">
        <v>129</v>
      </c>
    </row>
    <row r="132" spans="1:20" ht="15" customHeight="1">
      <c r="A132" s="158">
        <v>5031234</v>
      </c>
      <c r="B132" s="159" t="str">
        <f>(IF((VLOOKUP(Table11[[#This Row],[SKU]],'All Skus'!$A:$AC,2,FALSE))="Soundcraft",(VLOOKUP(Table11[[#This Row],[SKU]],'All Skus'!$A:$AC,3,FALSE)),""))</f>
        <v>Vi Series Stageboxes</v>
      </c>
      <c r="C132" s="21">
        <f>(IF((VLOOKUP(Table11[[#This Row],[SKU]],'All Skus'!$A:$AC,2,FALSE))="Soundcraft",(VLOOKUP(Table11[[#This Row],[SKU]],'All Skus'!$A:$AC,4,FALSE)),""))</f>
        <v>5031234</v>
      </c>
      <c r="D132" s="19" t="str">
        <f>(IF((VLOOKUP(Table11[[#This Row],[SKU]],'All Skus'!$A:$AC,2,FALSE))="Soundcraft",(VLOOKUP(Table11[[#This Row],[SKU]],'All Skus'!$A:$AC,5,FALSE)),""))</f>
        <v>SC-VI</v>
      </c>
      <c r="E132" s="19">
        <f>(IF((VLOOKUP(Table11[[#This Row],[SKU]],'All Skus'!$A:$AC,2,FALSE))="Soundcraft",(VLOOKUP(Table11[[#This Row],[SKU]],'All Skus'!$A:$AC,6,FALSE)),""))</f>
        <v>0</v>
      </c>
      <c r="F132" s="18">
        <f>(IF((VLOOKUP(Table11[[#This Row],[SKU]],'All Skus'!$A:$AC,2,FALSE))="Soundcraft",(VLOOKUP(Table11[[#This Row],[SKU]],'All Skus'!$A:$AC,7,FALSE)),""))</f>
        <v>0</v>
      </c>
      <c r="G132" s="22" t="str">
        <f>(IF((VLOOKUP(Table11[[#This Row],[SKU]],'All Skus'!$A:$AC,2,FALSE))="Soundcraft",(VLOOKUP(Table11[[#This Row],[SKU]],'All Skus'!$A:$AC,8,FALSE)),""))</f>
        <v>Compact Stagebox 32/16 Cat 5</v>
      </c>
      <c r="H132" s="22" t="str">
        <f>(IF((VLOOKUP(Table11[[#This Row],[SKU]],'All Skus'!$A:$AC,2,FALSE))="Soundcraft",(VLOOKUP(Table11[[#This Row],[SKU]],'All Skus'!$A:$AC,9,FALSE)),""))</f>
        <v>Compact Stage Box - 32/16: Cat5 Neutrik</v>
      </c>
      <c r="I132" s="157">
        <f>(IF((VLOOKUP(Table11[[#This Row],[SKU]],'All Skus'!$A:$AC,2,FALSE))="Soundcraft",(VLOOKUP(Table11[[#This Row],[SKU]],'All Skus'!$A:$AC,10,FALSE)),""))</f>
        <v>7346.85</v>
      </c>
      <c r="J132" s="157">
        <f>(IF((VLOOKUP(Table11[[#This Row],[SKU]],'All Skus'!$A:$AC,2,FALSE))="Soundcraft",(VLOOKUP(Table11[[#This Row],[SKU]],'All Skus'!$A:$AC,11,FALSE)),""))</f>
        <v>5876</v>
      </c>
      <c r="K132" s="271">
        <f>(IF((VLOOKUP(Table11[[#This Row],[SKU]],'All Skus'!$A:$AC,2,FALSE))="Soundcraft",(VLOOKUP(Table11[[#This Row],[SKU]],'All Skus'!$A:$AC,16,FALSE)),""))</f>
        <v>688705002293</v>
      </c>
      <c r="L132" s="239">
        <f>(IF((VLOOKUP(Table11[[#This Row],[SKU]],'All Skus'!$A:$AC,2,FALSE))="Soundcraft",(VLOOKUP(Table11[[#This Row],[SKU]],'All Skus'!$A:$AC,17,FALSE)),""))</f>
        <v>0</v>
      </c>
      <c r="M132" s="239">
        <f>(IF((VLOOKUP(Table11[[#This Row],[SKU]],'All Skus'!$A:$AC,2,FALSE))="Soundcraft",(VLOOKUP(Table11[[#This Row],[SKU]],'All Skus'!$A:$AC,18,FALSE)),""))</f>
        <v>15</v>
      </c>
      <c r="N132" s="147">
        <f>(IF((VLOOKUP(Table11[[#This Row],[SKU]],'All Skus'!$A:$AC,2,FALSE))="Soundcraft",(VLOOKUP(Table11[[#This Row],[SKU]],'All Skus'!$A:$AC,19,FALSE)),""))</f>
        <v>30</v>
      </c>
      <c r="O132" s="147">
        <f>(IF((VLOOKUP(Table11[[#This Row],[SKU]],'All Skus'!$A:$AC,2,FALSE))="Soundcraft",(VLOOKUP(Table11[[#This Row],[SKU]],'All Skus'!$A:$AC,20,FALSE)),""))</f>
        <v>15</v>
      </c>
      <c r="P132" s="240">
        <f>(IF((VLOOKUP(Table11[[#This Row],[SKU]],'All Skus'!$A:$AC,2,FALSE))="Soundcraft",(VLOOKUP(Table11[[#This Row],[SKU]],'All Skus'!$A:$AC,21,FALSE)),""))</f>
        <v>15</v>
      </c>
      <c r="Q132" s="61" t="str">
        <f>(IF((VLOOKUP(Table11[[#This Row],[SKU]],'All Skus'!$A:$AC,2,FALSE))="Soundcraft",(VLOOKUP(Table11[[#This Row],[SKU]],'All Skus'!$A:$AC,22,FALSE)),""))</f>
        <v>CN</v>
      </c>
      <c r="R132" s="61" t="str">
        <f>(IF((VLOOKUP(Table11[[#This Row],[SKU]],'All Skus'!$A:$AC,2,FALSE))="Soundcraft",(VLOOKUP(Table11[[#This Row],[SKU]],'All Skus'!$A:$AC,23,FALSE)),""))</f>
        <v>Compliant</v>
      </c>
      <c r="S132" s="212" t="str">
        <f>HYPERLINK((IF((VLOOKUP(Table11[[#This Row],[SKU]],'All Skus'!$A:$AC,2,FALSE))="Soundcraft",(VLOOKUP(Table11[[#This Row],[SKU]],'All Skus'!$A:$AC,24,FALSE)),"")))</f>
        <v/>
      </c>
      <c r="T132" s="151">
        <v>130</v>
      </c>
    </row>
    <row r="133" spans="1:20" ht="15" customHeight="1">
      <c r="A133" s="158" t="s">
        <v>2474</v>
      </c>
      <c r="B133" s="159" t="str">
        <f>(IF((VLOOKUP(Table11[[#This Row],[SKU]],'All Skus'!$A:$AC,2,FALSE))="Soundcraft",(VLOOKUP(Table11[[#This Row],[SKU]],'All Skus'!$A:$AC,3,FALSE)),""))</f>
        <v>Vi Series Stageboxes</v>
      </c>
      <c r="C133" s="21" t="str">
        <f>(IF((VLOOKUP(Table11[[#This Row],[SKU]],'All Skus'!$A:$AC,2,FALSE))="Soundcraft",(VLOOKUP(Table11[[#This Row],[SKU]],'All Skus'!$A:$AC,4,FALSE)),""))</f>
        <v>RW5786HU</v>
      </c>
      <c r="D133" s="19" t="str">
        <f>(IF((VLOOKUP(Table11[[#This Row],[SKU]],'All Skus'!$A:$AC,2,FALSE))="Soundcraft",(VLOOKUP(Table11[[#This Row],[SKU]],'All Skus'!$A:$AC,5,FALSE)),""))</f>
        <v>SC-VI</v>
      </c>
      <c r="E133" s="19">
        <f>(IF((VLOOKUP(Table11[[#This Row],[SKU]],'All Skus'!$A:$AC,2,FALSE))="Soundcraft",(VLOOKUP(Table11[[#This Row],[SKU]],'All Skus'!$A:$AC,6,FALSE)),""))</f>
        <v>0</v>
      </c>
      <c r="F133" s="18">
        <f>(IF((VLOOKUP(Table11[[#This Row],[SKU]],'All Skus'!$A:$AC,2,FALSE))="Soundcraft",(VLOOKUP(Table11[[#This Row],[SKU]],'All Skus'!$A:$AC,7,FALSE)),""))</f>
        <v>0</v>
      </c>
      <c r="G133" s="22" t="str">
        <f>(IF((VLOOKUP(Table11[[#This Row],[SKU]],'All Skus'!$A:$AC,2,FALSE))="Soundcraft",(VLOOKUP(Table11[[#This Row],[SKU]],'All Skus'!$A:$AC,8,FALSE)),""))</f>
        <v>ViSB 64:32 C5 - Vi Stage-box 64:32 Cat5</v>
      </c>
      <c r="H133" s="22" t="str">
        <f>(IF((VLOOKUP(Table11[[#This Row],[SKU]],'All Skus'!$A:$AC,2,FALSE))="Soundcraft",(VLOOKUP(Table11[[#This Row],[SKU]],'All Skus'!$A:$AC,9,FALSE)),""))</f>
        <v>ViSB 64:32 C5 - Vi Stage-box 64:32 Cat5</v>
      </c>
      <c r="I133" s="157">
        <f>(IF((VLOOKUP(Table11[[#This Row],[SKU]],'All Skus'!$A:$AC,2,FALSE))="Soundcraft",(VLOOKUP(Table11[[#This Row],[SKU]],'All Skus'!$A:$AC,10,FALSE)),""))</f>
        <v>16591.580000000002</v>
      </c>
      <c r="J133" s="157">
        <f>(IF((VLOOKUP(Table11[[#This Row],[SKU]],'All Skus'!$A:$AC,2,FALSE))="Soundcraft",(VLOOKUP(Table11[[#This Row],[SKU]],'All Skus'!$A:$AC,11,FALSE)),""))</f>
        <v>16591</v>
      </c>
      <c r="K133" s="271">
        <f>(IF((VLOOKUP(Table11[[#This Row],[SKU]],'All Skus'!$A:$AC,2,FALSE))="Soundcraft",(VLOOKUP(Table11[[#This Row],[SKU]],'All Skus'!$A:$AC,16,FALSE)),""))</f>
        <v>688705002460</v>
      </c>
      <c r="L133" s="239">
        <f>(IF((VLOOKUP(Table11[[#This Row],[SKU]],'All Skus'!$A:$AC,2,FALSE))="Soundcraft",(VLOOKUP(Table11[[#This Row],[SKU]],'All Skus'!$A:$AC,17,FALSE)),""))</f>
        <v>0</v>
      </c>
      <c r="M133" s="239">
        <f>(IF((VLOOKUP(Table11[[#This Row],[SKU]],'All Skus'!$A:$AC,2,FALSE))="Soundcraft",(VLOOKUP(Table11[[#This Row],[SKU]],'All Skus'!$A:$AC,18,FALSE)),""))</f>
        <v>192</v>
      </c>
      <c r="N133" s="147">
        <f>(IF((VLOOKUP(Table11[[#This Row],[SKU]],'All Skus'!$A:$AC,2,FALSE))="Soundcraft",(VLOOKUP(Table11[[#This Row],[SKU]],'All Skus'!$A:$AC,19,FALSE)),""))</f>
        <v>0</v>
      </c>
      <c r="O133" s="147">
        <f>(IF((VLOOKUP(Table11[[#This Row],[SKU]],'All Skus'!$A:$AC,2,FALSE))="Soundcraft",(VLOOKUP(Table11[[#This Row],[SKU]],'All Skus'!$A:$AC,20,FALSE)),""))</f>
        <v>45</v>
      </c>
      <c r="P133" s="240">
        <f>(IF((VLOOKUP(Table11[[#This Row],[SKU]],'All Skus'!$A:$AC,2,FALSE))="Soundcraft",(VLOOKUP(Table11[[#This Row],[SKU]],'All Skus'!$A:$AC,21,FALSE)),""))</f>
        <v>25</v>
      </c>
      <c r="Q133" s="61" t="str">
        <f>(IF((VLOOKUP(Table11[[#This Row],[SKU]],'All Skus'!$A:$AC,2,FALSE))="Soundcraft",(VLOOKUP(Table11[[#This Row],[SKU]],'All Skus'!$A:$AC,22,FALSE)),""))</f>
        <v>HU</v>
      </c>
      <c r="R133" s="61" t="str">
        <f>(IF((VLOOKUP(Table11[[#This Row],[SKU]],'All Skus'!$A:$AC,2,FALSE))="Soundcraft",(VLOOKUP(Table11[[#This Row],[SKU]],'All Skus'!$A:$AC,23,FALSE)),""))</f>
        <v>Compliant</v>
      </c>
      <c r="S133" s="212" t="str">
        <f>HYPERLINK((IF((VLOOKUP(Table11[[#This Row],[SKU]],'All Skus'!$A:$AC,2,FALSE))="Soundcraft",(VLOOKUP(Table11[[#This Row],[SKU]],'All Skus'!$A:$AC,24,FALSE)),"")))</f>
        <v/>
      </c>
      <c r="T133" s="151">
        <v>131</v>
      </c>
    </row>
    <row r="134" spans="1:20" ht="15" customHeight="1">
      <c r="A134" s="158" t="s">
        <v>2475</v>
      </c>
      <c r="B134" s="159" t="str">
        <f>(IF((VLOOKUP(Table11[[#This Row],[SKU]],'All Skus'!$A:$AC,2,FALSE))="Soundcraft",(VLOOKUP(Table11[[#This Row],[SKU]],'All Skus'!$A:$AC,3,FALSE)),""))</f>
        <v>Vi Series Stageboxes</v>
      </c>
      <c r="C134" s="21" t="str">
        <f>(IF((VLOOKUP(Table11[[#This Row],[SKU]],'All Skus'!$A:$AC,2,FALSE))="Soundcraft",(VLOOKUP(Table11[[#This Row],[SKU]],'All Skus'!$A:$AC,4,FALSE)),""))</f>
        <v>RW5786OHU</v>
      </c>
      <c r="D134" s="19" t="str">
        <f>(IF((VLOOKUP(Table11[[#This Row],[SKU]],'All Skus'!$A:$AC,2,FALSE))="Soundcraft",(VLOOKUP(Table11[[#This Row],[SKU]],'All Skus'!$A:$AC,5,FALSE)),""))</f>
        <v>SC-VI</v>
      </c>
      <c r="E134" s="19">
        <f>(IF((VLOOKUP(Table11[[#This Row],[SKU]],'All Skus'!$A:$AC,2,FALSE))="Soundcraft",(VLOOKUP(Table11[[#This Row],[SKU]],'All Skus'!$A:$AC,6,FALSE)),""))</f>
        <v>0</v>
      </c>
      <c r="F134" s="18">
        <f>(IF((VLOOKUP(Table11[[#This Row],[SKU]],'All Skus'!$A:$AC,2,FALSE))="Soundcraft",(VLOOKUP(Table11[[#This Row],[SKU]],'All Skus'!$A:$AC,7,FALSE)),""))</f>
        <v>0</v>
      </c>
      <c r="G134" s="22" t="str">
        <f>(IF((VLOOKUP(Table11[[#This Row],[SKU]],'All Skus'!$A:$AC,2,FALSE))="Soundcraft",(VLOOKUP(Table11[[#This Row],[SKU]],'All Skus'!$A:$AC,8,FALSE)),""))</f>
        <v>Vi Stagebox Optical 64:32</v>
      </c>
      <c r="H134" s="22" t="str">
        <f>(IF((VLOOKUP(Table11[[#This Row],[SKU]],'All Skus'!$A:$AC,2,FALSE))="Soundcraft",(VLOOKUP(Table11[[#This Row],[SKU]],'All Skus'!$A:$AC,9,FALSE)),""))</f>
        <v>ViSB 64:32 MO - Vi Stage-box 64:32 Optical Multimode</v>
      </c>
      <c r="I134" s="157">
        <f>(IF((VLOOKUP(Table11[[#This Row],[SKU]],'All Skus'!$A:$AC,2,FALSE))="Soundcraft",(VLOOKUP(Table11[[#This Row],[SKU]],'All Skus'!$A:$AC,10,FALSE)),""))</f>
        <v>18804.54</v>
      </c>
      <c r="J134" s="157">
        <f>(IF((VLOOKUP(Table11[[#This Row],[SKU]],'All Skus'!$A:$AC,2,FALSE))="Soundcraft",(VLOOKUP(Table11[[#This Row],[SKU]],'All Skus'!$A:$AC,11,FALSE)),""))</f>
        <v>18804</v>
      </c>
      <c r="K134" s="271">
        <f>(IF((VLOOKUP(Table11[[#This Row],[SKU]],'All Skus'!$A:$AC,2,FALSE))="Soundcraft",(VLOOKUP(Table11[[#This Row],[SKU]],'All Skus'!$A:$AC,16,FALSE)),""))</f>
        <v>688705002453</v>
      </c>
      <c r="L134" s="239">
        <f>(IF((VLOOKUP(Table11[[#This Row],[SKU]],'All Skus'!$A:$AC,2,FALSE))="Soundcraft",(VLOOKUP(Table11[[#This Row],[SKU]],'All Skus'!$A:$AC,17,FALSE)),""))</f>
        <v>0</v>
      </c>
      <c r="M134" s="239">
        <f>(IF((VLOOKUP(Table11[[#This Row],[SKU]],'All Skus'!$A:$AC,2,FALSE))="Soundcraft",(VLOOKUP(Table11[[#This Row],[SKU]],'All Skus'!$A:$AC,18,FALSE)),""))</f>
        <v>60</v>
      </c>
      <c r="N134" s="147">
        <f>(IF((VLOOKUP(Table11[[#This Row],[SKU]],'All Skus'!$A:$AC,2,FALSE))="Soundcraft",(VLOOKUP(Table11[[#This Row],[SKU]],'All Skus'!$A:$AC,19,FALSE)),""))</f>
        <v>0</v>
      </c>
      <c r="O134" s="147">
        <f>(IF((VLOOKUP(Table11[[#This Row],[SKU]],'All Skus'!$A:$AC,2,FALSE))="Soundcraft",(VLOOKUP(Table11[[#This Row],[SKU]],'All Skus'!$A:$AC,20,FALSE)),""))</f>
        <v>21.5</v>
      </c>
      <c r="P134" s="240">
        <f>(IF((VLOOKUP(Table11[[#This Row],[SKU]],'All Skus'!$A:$AC,2,FALSE))="Soundcraft",(VLOOKUP(Table11[[#This Row],[SKU]],'All Skus'!$A:$AC,21,FALSE)),""))</f>
        <v>21</v>
      </c>
      <c r="Q134" s="61" t="str">
        <f>(IF((VLOOKUP(Table11[[#This Row],[SKU]],'All Skus'!$A:$AC,2,FALSE))="Soundcraft",(VLOOKUP(Table11[[#This Row],[SKU]],'All Skus'!$A:$AC,22,FALSE)),""))</f>
        <v>HU</v>
      </c>
      <c r="R134" s="61" t="str">
        <f>(IF((VLOOKUP(Table11[[#This Row],[SKU]],'All Skus'!$A:$AC,2,FALSE))="Soundcraft",(VLOOKUP(Table11[[#This Row],[SKU]],'All Skus'!$A:$AC,23,FALSE)),""))</f>
        <v>Compliant</v>
      </c>
      <c r="S134" s="212" t="str">
        <f>HYPERLINK((IF((VLOOKUP(Table11[[#This Row],[SKU]],'All Skus'!$A:$AC,2,FALSE))="Soundcraft",(VLOOKUP(Table11[[#This Row],[SKU]],'All Skus'!$A:$AC,24,FALSE)),"")))</f>
        <v/>
      </c>
      <c r="T134" s="151">
        <v>132</v>
      </c>
    </row>
    <row r="135" spans="1:20" ht="15" customHeight="1">
      <c r="A135" s="158" t="s">
        <v>2476</v>
      </c>
      <c r="B135" s="159" t="str">
        <f>(IF((VLOOKUP(Table11[[#This Row],[SKU]],'All Skus'!$A:$AC,2,FALSE))="Soundcraft",(VLOOKUP(Table11[[#This Row],[SKU]],'All Skus'!$A:$AC,3,FALSE)),""))</f>
        <v>Vi Series Stageboxes</v>
      </c>
      <c r="C135" s="21" t="str">
        <f>(IF((VLOOKUP(Table11[[#This Row],[SKU]],'All Skus'!$A:$AC,2,FALSE))="Soundcraft",(VLOOKUP(Table11[[#This Row],[SKU]],'All Skus'!$A:$AC,4,FALSE)),""))</f>
        <v>RW5801C</v>
      </c>
      <c r="D135" s="19" t="str">
        <f>(IF((VLOOKUP(Table11[[#This Row],[SKU]],'All Skus'!$A:$AC,2,FALSE))="Soundcraft",(VLOOKUP(Table11[[#This Row],[SKU]],'All Skus'!$A:$AC,5,FALSE)),""))</f>
        <v>SC-VI</v>
      </c>
      <c r="E135" s="19" t="str">
        <f>(IF((VLOOKUP(Table11[[#This Row],[SKU]],'All Skus'!$A:$AC,2,FALSE))="Soundcraft",(VLOOKUP(Table11[[#This Row],[SKU]],'All Skus'!$A:$AC,6,FALSE)),""))</f>
        <v>YES</v>
      </c>
      <c r="F135" s="18">
        <f>(IF((VLOOKUP(Table11[[#This Row],[SKU]],'All Skus'!$A:$AC,2,FALSE))="Soundcraft",(VLOOKUP(Table11[[#This Row],[SKU]],'All Skus'!$A:$AC,7,FALSE)),""))</f>
        <v>0</v>
      </c>
      <c r="G135" s="22" t="str">
        <f>(IF((VLOOKUP(Table11[[#This Row],[SKU]],'All Skus'!$A:$AC,2,FALSE))="Soundcraft",(VLOOKUP(Table11[[#This Row],[SKU]],'All Skus'!$A:$AC,8,FALSE)),""))</f>
        <v>Vi Stagebox Cat5 48:24</v>
      </c>
      <c r="H135" s="22" t="str">
        <f>(IF((VLOOKUP(Table11[[#This Row],[SKU]],'All Skus'!$A:$AC,2,FALSE))="Soundcraft",(VLOOKUP(Table11[[#This Row],[SKU]],'All Skus'!$A:$AC,9,FALSE)),""))</f>
        <v>ViSB 48:16 C5 - Vi Stage-box 48:16 Cat5</v>
      </c>
      <c r="I135" s="157">
        <f>(IF((VLOOKUP(Table11[[#This Row],[SKU]],'All Skus'!$A:$AC,2,FALSE))="Soundcraft",(VLOOKUP(Table11[[#This Row],[SKU]],'All Skus'!$A:$AC,10,FALSE)),""))</f>
        <v>11772.1</v>
      </c>
      <c r="J135" s="157">
        <f>(IF((VLOOKUP(Table11[[#This Row],[SKU]],'All Skus'!$A:$AC,2,FALSE))="Soundcraft",(VLOOKUP(Table11[[#This Row],[SKU]],'All Skus'!$A:$AC,11,FALSE)),""))</f>
        <v>11772</v>
      </c>
      <c r="K135" s="271">
        <f>(IF((VLOOKUP(Table11[[#This Row],[SKU]],'All Skus'!$A:$AC,2,FALSE))="Soundcraft",(VLOOKUP(Table11[[#This Row],[SKU]],'All Skus'!$A:$AC,16,FALSE)),""))</f>
        <v>0</v>
      </c>
      <c r="L135" s="239">
        <f>(IF((VLOOKUP(Table11[[#This Row],[SKU]],'All Skus'!$A:$AC,2,FALSE))="Soundcraft",(VLOOKUP(Table11[[#This Row],[SKU]],'All Skus'!$A:$AC,17,FALSE)),""))</f>
        <v>0</v>
      </c>
      <c r="M135" s="239">
        <f>(IF((VLOOKUP(Table11[[#This Row],[SKU]],'All Skus'!$A:$AC,2,FALSE))="Soundcraft",(VLOOKUP(Table11[[#This Row],[SKU]],'All Skus'!$A:$AC,18,FALSE)),""))</f>
        <v>55</v>
      </c>
      <c r="N135" s="147">
        <f>(IF((VLOOKUP(Table11[[#This Row],[SKU]],'All Skus'!$A:$AC,2,FALSE))="Soundcraft",(VLOOKUP(Table11[[#This Row],[SKU]],'All Skus'!$A:$AC,19,FALSE)),""))</f>
        <v>0</v>
      </c>
      <c r="O135" s="147">
        <f>(IF((VLOOKUP(Table11[[#This Row],[SKU]],'All Skus'!$A:$AC,2,FALSE))="Soundcraft",(VLOOKUP(Table11[[#This Row],[SKU]],'All Skus'!$A:$AC,20,FALSE)),""))</f>
        <v>22.5</v>
      </c>
      <c r="P135" s="240">
        <f>(IF((VLOOKUP(Table11[[#This Row],[SKU]],'All Skus'!$A:$AC,2,FALSE))="Soundcraft",(VLOOKUP(Table11[[#This Row],[SKU]],'All Skus'!$A:$AC,21,FALSE)),""))</f>
        <v>21.5</v>
      </c>
      <c r="Q135" s="61" t="str">
        <f>(IF((VLOOKUP(Table11[[#This Row],[SKU]],'All Skus'!$A:$AC,2,FALSE))="Soundcraft",(VLOOKUP(Table11[[#This Row],[SKU]],'All Skus'!$A:$AC,22,FALSE)),""))</f>
        <v>HU</v>
      </c>
      <c r="R135" s="61" t="str">
        <f>(IF((VLOOKUP(Table11[[#This Row],[SKU]],'All Skus'!$A:$AC,2,FALSE))="Soundcraft",(VLOOKUP(Table11[[#This Row],[SKU]],'All Skus'!$A:$AC,23,FALSE)),""))</f>
        <v>Compliant</v>
      </c>
      <c r="S135" s="212" t="str">
        <f>HYPERLINK((IF((VLOOKUP(Table11[[#This Row],[SKU]],'All Skus'!$A:$AC,2,FALSE))="Soundcraft",(VLOOKUP(Table11[[#This Row],[SKU]],'All Skus'!$A:$AC,24,FALSE)),"")))</f>
        <v/>
      </c>
      <c r="T135" s="151">
        <v>133</v>
      </c>
    </row>
    <row r="136" spans="1:20" ht="15" customHeight="1">
      <c r="A136" s="158" t="s">
        <v>2477</v>
      </c>
      <c r="B136" s="159" t="str">
        <f>(IF((VLOOKUP(Table11[[#This Row],[SKU]],'All Skus'!$A:$AC,2,FALSE))="Soundcraft",(VLOOKUP(Table11[[#This Row],[SKU]],'All Skus'!$A:$AC,3,FALSE)),""))</f>
        <v>Option Cards (CSB MADI HD Console)</v>
      </c>
      <c r="C136" s="21" t="str">
        <f>(IF((VLOOKUP(Table11[[#This Row],[SKU]],'All Skus'!$A:$AC,2,FALSE))="Soundcraft",(VLOOKUP(Table11[[#This Row],[SKU]],'All Skus'!$A:$AC,4,FALSE)),""))</f>
        <v>A949.049032-01.V</v>
      </c>
      <c r="D136" s="19" t="str">
        <f>(IF((VLOOKUP(Table11[[#This Row],[SKU]],'All Skus'!$A:$AC,2,FALSE))="Soundcraft",(VLOOKUP(Table11[[#This Row],[SKU]],'All Skus'!$A:$AC,5,FALSE)),""))</f>
        <v>SC-VI</v>
      </c>
      <c r="E136" s="19" t="str">
        <f>(IF((VLOOKUP(Table11[[#This Row],[SKU]],'All Skus'!$A:$AC,2,FALSE))="Soundcraft",(VLOOKUP(Table11[[#This Row],[SKU]],'All Skus'!$A:$AC,6,FALSE)),""))</f>
        <v>YES</v>
      </c>
      <c r="F136" s="18">
        <f>(IF((VLOOKUP(Table11[[#This Row],[SKU]],'All Skus'!$A:$AC,2,FALSE))="Soundcraft",(VLOOKUP(Table11[[#This Row],[SKU]],'All Skus'!$A:$AC,7,FALSE)),""))</f>
        <v>0</v>
      </c>
      <c r="G136" s="22" t="str">
        <f>(IF((VLOOKUP(Table11[[#This Row],[SKU]],'All Skus'!$A:$AC,2,FALSE))="Soundcraft",(VLOOKUP(Table11[[#This Row],[SKU]],'All Skus'!$A:$AC,8,FALSE)),""))</f>
        <v>MADI HD CARD CSB OPTICAL MULTIMODE 3HU T</v>
      </c>
      <c r="H136" s="22" t="str">
        <f>(IF((VLOOKUP(Table11[[#This Row],[SKU]],'All Skus'!$A:$AC,2,FALSE))="Soundcraft",(VLOOKUP(Table11[[#This Row],[SKU]],'All Skus'!$A:$AC,9,FALSE)),""))</f>
        <v>CSB Optical MADI HD card Multi mode</v>
      </c>
      <c r="I136" s="157">
        <f>(IF((VLOOKUP(Table11[[#This Row],[SKU]],'All Skus'!$A:$AC,2,FALSE))="Soundcraft",(VLOOKUP(Table11[[#This Row],[SKU]],'All Skus'!$A:$AC,10,FALSE)),""))</f>
        <v>1346.92</v>
      </c>
      <c r="J136" s="157">
        <f>(IF((VLOOKUP(Table11[[#This Row],[SKU]],'All Skus'!$A:$AC,2,FALSE))="Soundcraft",(VLOOKUP(Table11[[#This Row],[SKU]],'All Skus'!$A:$AC,11,FALSE)),""))</f>
        <v>1080</v>
      </c>
      <c r="K136" s="271">
        <f>(IF((VLOOKUP(Table11[[#This Row],[SKU]],'All Skus'!$A:$AC,2,FALSE))="Soundcraft",(VLOOKUP(Table11[[#This Row],[SKU]],'All Skus'!$A:$AC,16,FALSE)),""))</f>
        <v>0</v>
      </c>
      <c r="L136" s="239">
        <f>(IF((VLOOKUP(Table11[[#This Row],[SKU]],'All Skus'!$A:$AC,2,FALSE))="Soundcraft",(VLOOKUP(Table11[[#This Row],[SKU]],'All Skus'!$A:$AC,17,FALSE)),""))</f>
        <v>0</v>
      </c>
      <c r="M136" s="239">
        <f>(IF((VLOOKUP(Table11[[#This Row],[SKU]],'All Skus'!$A:$AC,2,FALSE))="Soundcraft",(VLOOKUP(Table11[[#This Row],[SKU]],'All Skus'!$A:$AC,18,FALSE)),""))</f>
        <v>1</v>
      </c>
      <c r="N136" s="147">
        <f>(IF((VLOOKUP(Table11[[#This Row],[SKU]],'All Skus'!$A:$AC,2,FALSE))="Soundcraft",(VLOOKUP(Table11[[#This Row],[SKU]],'All Skus'!$A:$AC,19,FALSE)),""))</f>
        <v>10</v>
      </c>
      <c r="O136" s="147">
        <f>(IF((VLOOKUP(Table11[[#This Row],[SKU]],'All Skus'!$A:$AC,2,FALSE))="Soundcraft",(VLOOKUP(Table11[[#This Row],[SKU]],'All Skus'!$A:$AC,20,FALSE)),""))</f>
        <v>10</v>
      </c>
      <c r="P136" s="240">
        <f>(IF((VLOOKUP(Table11[[#This Row],[SKU]],'All Skus'!$A:$AC,2,FALSE))="Soundcraft",(VLOOKUP(Table11[[#This Row],[SKU]],'All Skus'!$A:$AC,21,FALSE)),""))</f>
        <v>0</v>
      </c>
      <c r="Q136" s="61">
        <f>(IF((VLOOKUP(Table11[[#This Row],[SKU]],'All Skus'!$A:$AC,2,FALSE))="Soundcraft",(VLOOKUP(Table11[[#This Row],[SKU]],'All Skus'!$A:$AC,22,FALSE)),""))</f>
        <v>0</v>
      </c>
      <c r="R136" s="61" t="str">
        <f>(IF((VLOOKUP(Table11[[#This Row],[SKU]],'All Skus'!$A:$AC,2,FALSE))="Soundcraft",(VLOOKUP(Table11[[#This Row],[SKU]],'All Skus'!$A:$AC,23,FALSE)),""))</f>
        <v>Compliant</v>
      </c>
      <c r="S136" s="212" t="str">
        <f>HYPERLINK((IF((VLOOKUP(Table11[[#This Row],[SKU]],'All Skus'!$A:$AC,2,FALSE))="Soundcraft",(VLOOKUP(Table11[[#This Row],[SKU]],'All Skus'!$A:$AC,24,FALSE)),"")))</f>
        <v/>
      </c>
      <c r="T136" s="151">
        <v>134</v>
      </c>
    </row>
    <row r="137" spans="1:20" ht="15" customHeight="1">
      <c r="A137" s="158" t="s">
        <v>2478</v>
      </c>
      <c r="B137" s="159" t="str">
        <f>(IF((VLOOKUP(Table11[[#This Row],[SKU]],'All Skus'!$A:$AC,2,FALSE))="Soundcraft",(VLOOKUP(Table11[[#This Row],[SKU]],'All Skus'!$A:$AC,3,FALSE)),""))</f>
        <v>Option Cards (CSB MADI HD Console)</v>
      </c>
      <c r="C137" s="21" t="str">
        <f>(IF((VLOOKUP(Table11[[#This Row],[SKU]],'All Skus'!$A:$AC,2,FALSE))="Soundcraft",(VLOOKUP(Table11[[#This Row],[SKU]],'All Skus'!$A:$AC,4,FALSE)),""))</f>
        <v>A949.055632-01.V</v>
      </c>
      <c r="D137" s="19" t="str">
        <f>(IF((VLOOKUP(Table11[[#This Row],[SKU]],'All Skus'!$A:$AC,2,FALSE))="Soundcraft",(VLOOKUP(Table11[[#This Row],[SKU]],'All Skus'!$A:$AC,5,FALSE)),""))</f>
        <v>SC-VI</v>
      </c>
      <c r="E137" s="19" t="str">
        <f>(IF((VLOOKUP(Table11[[#This Row],[SKU]],'All Skus'!$A:$AC,2,FALSE))="Soundcraft",(VLOOKUP(Table11[[#This Row],[SKU]],'All Skus'!$A:$AC,6,FALSE)),""))</f>
        <v>YES</v>
      </c>
      <c r="F137" s="18">
        <f>(IF((VLOOKUP(Table11[[#This Row],[SKU]],'All Skus'!$A:$AC,2,FALSE))="Soundcraft",(VLOOKUP(Table11[[#This Row],[SKU]],'All Skus'!$A:$AC,7,FALSE)),""))</f>
        <v>0</v>
      </c>
      <c r="G137" s="22" t="str">
        <f>(IF((VLOOKUP(Table11[[#This Row],[SKU]],'All Skus'!$A:$AC,2,FALSE))="Soundcraft",(VLOOKUP(Table11[[#This Row],[SKU]],'All Skus'!$A:$AC,8,FALSE)),""))</f>
        <v>ViSB Cat5 MADI HD card</v>
      </c>
      <c r="H137" s="22" t="str">
        <f>(IF((VLOOKUP(Table11[[#This Row],[SKU]],'All Skus'!$A:$AC,2,FALSE))="Soundcraft",(VLOOKUP(Table11[[#This Row],[SKU]],'All Skus'!$A:$AC,9,FALSE)),""))</f>
        <v>ViSB Cat5 MADI HD card</v>
      </c>
      <c r="I137" s="157">
        <f>(IF((VLOOKUP(Table11[[#This Row],[SKU]],'All Skus'!$A:$AC,2,FALSE))="Soundcraft",(VLOOKUP(Table11[[#This Row],[SKU]],'All Skus'!$A:$AC,10,FALSE)),""))</f>
        <v>1259.95</v>
      </c>
      <c r="J137" s="157">
        <f>(IF((VLOOKUP(Table11[[#This Row],[SKU]],'All Skus'!$A:$AC,2,FALSE))="Soundcraft",(VLOOKUP(Table11[[#This Row],[SKU]],'All Skus'!$A:$AC,11,FALSE)),""))</f>
        <v>1259</v>
      </c>
      <c r="K137" s="271">
        <f>(IF((VLOOKUP(Table11[[#This Row],[SKU]],'All Skus'!$A:$AC,2,FALSE))="Soundcraft",(VLOOKUP(Table11[[#This Row],[SKU]],'All Skus'!$A:$AC,16,FALSE)),""))</f>
        <v>0</v>
      </c>
      <c r="L137" s="239">
        <f>(IF((VLOOKUP(Table11[[#This Row],[SKU]],'All Skus'!$A:$AC,2,FALSE))="Soundcraft",(VLOOKUP(Table11[[#This Row],[SKU]],'All Skus'!$A:$AC,17,FALSE)),""))</f>
        <v>0</v>
      </c>
      <c r="M137" s="239">
        <f>(IF((VLOOKUP(Table11[[#This Row],[SKU]],'All Skus'!$A:$AC,2,FALSE))="Soundcraft",(VLOOKUP(Table11[[#This Row],[SKU]],'All Skus'!$A:$AC,18,FALSE)),""))</f>
        <v>0</v>
      </c>
      <c r="N137" s="147">
        <f>(IF((VLOOKUP(Table11[[#This Row],[SKU]],'All Skus'!$A:$AC,2,FALSE))="Soundcraft",(VLOOKUP(Table11[[#This Row],[SKU]],'All Skus'!$A:$AC,19,FALSE)),""))</f>
        <v>0</v>
      </c>
      <c r="O137" s="147">
        <f>(IF((VLOOKUP(Table11[[#This Row],[SKU]],'All Skus'!$A:$AC,2,FALSE))="Soundcraft",(VLOOKUP(Table11[[#This Row],[SKU]],'All Skus'!$A:$AC,20,FALSE)),""))</f>
        <v>0</v>
      </c>
      <c r="P137" s="240">
        <f>(IF((VLOOKUP(Table11[[#This Row],[SKU]],'All Skus'!$A:$AC,2,FALSE))="Soundcraft",(VLOOKUP(Table11[[#This Row],[SKU]],'All Skus'!$A:$AC,21,FALSE)),""))</f>
        <v>0</v>
      </c>
      <c r="Q137" s="61">
        <f>(IF((VLOOKUP(Table11[[#This Row],[SKU]],'All Skus'!$A:$AC,2,FALSE))="Soundcraft",(VLOOKUP(Table11[[#This Row],[SKU]],'All Skus'!$A:$AC,22,FALSE)),""))</f>
        <v>0</v>
      </c>
      <c r="R137" s="61" t="str">
        <f>(IF((VLOOKUP(Table11[[#This Row],[SKU]],'All Skus'!$A:$AC,2,FALSE))="Soundcraft",(VLOOKUP(Table11[[#This Row],[SKU]],'All Skus'!$A:$AC,23,FALSE)),""))</f>
        <v>Compliant</v>
      </c>
      <c r="S137" s="212" t="str">
        <f>HYPERLINK((IF((VLOOKUP(Table11[[#This Row],[SKU]],'All Skus'!$A:$AC,2,FALSE))="Soundcraft",(VLOOKUP(Table11[[#This Row],[SKU]],'All Skus'!$A:$AC,24,FALSE)),"")))</f>
        <v/>
      </c>
      <c r="T137" s="151">
        <v>135</v>
      </c>
    </row>
    <row r="138" spans="1:20" ht="15" customHeight="1">
      <c r="A138" s="158" t="s">
        <v>2479</v>
      </c>
      <c r="B138" s="159" t="str">
        <f>(IF((VLOOKUP(Table11[[#This Row],[SKU]],'All Skus'!$A:$AC,2,FALSE))="Soundcraft",(VLOOKUP(Table11[[#This Row],[SKU]],'All Skus'!$A:$AC,3,FALSE)),""))</f>
        <v>Option Cards (CSB MADI HD Console)</v>
      </c>
      <c r="C138" s="21" t="str">
        <f>(IF((VLOOKUP(Table11[[#This Row],[SKU]],'All Skus'!$A:$AC,2,FALSE))="Soundcraft",(VLOOKUP(Table11[[#This Row],[SKU]],'All Skus'!$A:$AC,4,FALSE)),""))</f>
        <v>A949.049232-01.V</v>
      </c>
      <c r="D138" s="19" t="str">
        <f>(IF((VLOOKUP(Table11[[#This Row],[SKU]],'All Skus'!$A:$AC,2,FALSE))="Soundcraft",(VLOOKUP(Table11[[#This Row],[SKU]],'All Skus'!$A:$AC,5,FALSE)),""))</f>
        <v>SC-VI</v>
      </c>
      <c r="E138" s="19" t="str">
        <f>(IF((VLOOKUP(Table11[[#This Row],[SKU]],'All Skus'!$A:$AC,2,FALSE))="Soundcraft",(VLOOKUP(Table11[[#This Row],[SKU]],'All Skus'!$A:$AC,6,FALSE)),""))</f>
        <v>YES</v>
      </c>
      <c r="F138" s="18">
        <f>(IF((VLOOKUP(Table11[[#This Row],[SKU]],'All Skus'!$A:$AC,2,FALSE))="Soundcraft",(VLOOKUP(Table11[[#This Row],[SKU]],'All Skus'!$A:$AC,7,FALSE)),""))</f>
        <v>0</v>
      </c>
      <c r="G138" s="22" t="str">
        <f>(IF((VLOOKUP(Table11[[#This Row],[SKU]],'All Skus'!$A:$AC,2,FALSE))="Soundcraft",(VLOOKUP(Table11[[#This Row],[SKU]],'All Skus'!$A:$AC,8,FALSE)),""))</f>
        <v>CSB Cat 5 MADI HD card</v>
      </c>
      <c r="H138" s="22" t="str">
        <f>(IF((VLOOKUP(Table11[[#This Row],[SKU]],'All Skus'!$A:$AC,2,FALSE))="Soundcraft",(VLOOKUP(Table11[[#This Row],[SKU]],'All Skus'!$A:$AC,9,FALSE)),""))</f>
        <v>CSB Cat 5 MADI HD card</v>
      </c>
      <c r="I138" s="157">
        <f>(IF((VLOOKUP(Table11[[#This Row],[SKU]],'All Skus'!$A:$AC,2,FALSE))="Soundcraft",(VLOOKUP(Table11[[#This Row],[SKU]],'All Skus'!$A:$AC,10,FALSE)),""))</f>
        <v>1174.05</v>
      </c>
      <c r="J138" s="157">
        <f>(IF((VLOOKUP(Table11[[#This Row],[SKU]],'All Skus'!$A:$AC,2,FALSE))="Soundcraft",(VLOOKUP(Table11[[#This Row],[SKU]],'All Skus'!$A:$AC,11,FALSE)),""))</f>
        <v>0</v>
      </c>
      <c r="K138" s="271">
        <f>(IF((VLOOKUP(Table11[[#This Row],[SKU]],'All Skus'!$A:$AC,2,FALSE))="Soundcraft",(VLOOKUP(Table11[[#This Row],[SKU]],'All Skus'!$A:$AC,16,FALSE)),""))</f>
        <v>0</v>
      </c>
      <c r="L138" s="239">
        <f>(IF((VLOOKUP(Table11[[#This Row],[SKU]],'All Skus'!$A:$AC,2,FALSE))="Soundcraft",(VLOOKUP(Table11[[#This Row],[SKU]],'All Skus'!$A:$AC,17,FALSE)),""))</f>
        <v>0</v>
      </c>
      <c r="M138" s="239">
        <f>(IF((VLOOKUP(Table11[[#This Row],[SKU]],'All Skus'!$A:$AC,2,FALSE))="Soundcraft",(VLOOKUP(Table11[[#This Row],[SKU]],'All Skus'!$A:$AC,18,FALSE)),""))</f>
        <v>0</v>
      </c>
      <c r="N138" s="147">
        <f>(IF((VLOOKUP(Table11[[#This Row],[SKU]],'All Skus'!$A:$AC,2,FALSE))="Soundcraft",(VLOOKUP(Table11[[#This Row],[SKU]],'All Skus'!$A:$AC,19,FALSE)),""))</f>
        <v>0</v>
      </c>
      <c r="O138" s="147">
        <f>(IF((VLOOKUP(Table11[[#This Row],[SKU]],'All Skus'!$A:$AC,2,FALSE))="Soundcraft",(VLOOKUP(Table11[[#This Row],[SKU]],'All Skus'!$A:$AC,20,FALSE)),""))</f>
        <v>0</v>
      </c>
      <c r="P138" s="240">
        <f>(IF((VLOOKUP(Table11[[#This Row],[SKU]],'All Skus'!$A:$AC,2,FALSE))="Soundcraft",(VLOOKUP(Table11[[#This Row],[SKU]],'All Skus'!$A:$AC,21,FALSE)),""))</f>
        <v>0</v>
      </c>
      <c r="Q138" s="61" t="str">
        <f>(IF((VLOOKUP(Table11[[#This Row],[SKU]],'All Skus'!$A:$AC,2,FALSE))="Soundcraft",(VLOOKUP(Table11[[#This Row],[SKU]],'All Skus'!$A:$AC,22,FALSE)),""))</f>
        <v>CN</v>
      </c>
      <c r="R138" s="61" t="str">
        <f>(IF((VLOOKUP(Table11[[#This Row],[SKU]],'All Skus'!$A:$AC,2,FALSE))="Soundcraft",(VLOOKUP(Table11[[#This Row],[SKU]],'All Skus'!$A:$AC,23,FALSE)),""))</f>
        <v>Compliant</v>
      </c>
      <c r="S138" s="212" t="str">
        <f>HYPERLINK((IF((VLOOKUP(Table11[[#This Row],[SKU]],'All Skus'!$A:$AC,2,FALSE))="Soundcraft",(VLOOKUP(Table11[[#This Row],[SKU]],'All Skus'!$A:$AC,24,FALSE)),"")))</f>
        <v/>
      </c>
      <c r="T138" s="151">
        <v>136</v>
      </c>
    </row>
    <row r="139" spans="1:20" ht="15" customHeight="1">
      <c r="A139" s="158" t="s">
        <v>2480</v>
      </c>
      <c r="B139" s="159" t="str">
        <f>(IF((VLOOKUP(Table11[[#This Row],[SKU]],'All Skus'!$A:$AC,2,FALSE))="Soundcraft",(VLOOKUP(Table11[[#This Row],[SKU]],'All Skus'!$A:$AC,3,FALSE)),""))</f>
        <v>Option Cards (CSB MADI HD Console)</v>
      </c>
      <c r="C139" s="21" t="str">
        <f>(IF((VLOOKUP(Table11[[#This Row],[SKU]],'All Skus'!$A:$AC,2,FALSE))="Soundcraft",(VLOOKUP(Table11[[#This Row],[SKU]],'All Skus'!$A:$AC,4,FALSE)),""))</f>
        <v>A949.049132.v</v>
      </c>
      <c r="D139" s="19" t="str">
        <f>(IF((VLOOKUP(Table11[[#This Row],[SKU]],'All Skus'!$A:$AC,2,FALSE))="Soundcraft",(VLOOKUP(Table11[[#This Row],[SKU]],'All Skus'!$A:$AC,5,FALSE)),""))</f>
        <v>SC-VI</v>
      </c>
      <c r="E139" s="19" t="str">
        <f>(IF((VLOOKUP(Table11[[#This Row],[SKU]],'All Skus'!$A:$AC,2,FALSE))="Soundcraft",(VLOOKUP(Table11[[#This Row],[SKU]],'All Skus'!$A:$AC,6,FALSE)),""))</f>
        <v>YES</v>
      </c>
      <c r="F139" s="18">
        <f>(IF((VLOOKUP(Table11[[#This Row],[SKU]],'All Skus'!$A:$AC,2,FALSE))="Soundcraft",(VLOOKUP(Table11[[#This Row],[SKU]],'All Skus'!$A:$AC,7,FALSE)),""))</f>
        <v>0</v>
      </c>
      <c r="G139" s="22" t="str">
        <f>(IF((VLOOKUP(Table11[[#This Row],[SKU]],'All Skus'!$A:$AC,2,FALSE))="Soundcraft",(VLOOKUP(Table11[[#This Row],[SKU]],'All Skus'!$A:$AC,8,FALSE)),""))</f>
        <v>CSB Optical MADI HD card Single mode</v>
      </c>
      <c r="H139" s="22" t="str">
        <f>(IF((VLOOKUP(Table11[[#This Row],[SKU]],'All Skus'!$A:$AC,2,FALSE))="Soundcraft",(VLOOKUP(Table11[[#This Row],[SKU]],'All Skus'!$A:$AC,9,FALSE)),""))</f>
        <v>CSB Optical MADI HD card Single mode</v>
      </c>
      <c r="I139" s="157">
        <f>(IF((VLOOKUP(Table11[[#This Row],[SKU]],'All Skus'!$A:$AC,2,FALSE))="Soundcraft",(VLOOKUP(Table11[[#This Row],[SKU]],'All Skus'!$A:$AC,10,FALSE)),""))</f>
        <v>1616.31</v>
      </c>
      <c r="J139" s="157">
        <f>(IF((VLOOKUP(Table11[[#This Row],[SKU]],'All Skus'!$A:$AC,2,FALSE))="Soundcraft",(VLOOKUP(Table11[[#This Row],[SKU]],'All Skus'!$A:$AC,11,FALSE)),""))</f>
        <v>1292</v>
      </c>
      <c r="K139" s="271">
        <f>(IF((VLOOKUP(Table11[[#This Row],[SKU]],'All Skus'!$A:$AC,2,FALSE))="Soundcraft",(VLOOKUP(Table11[[#This Row],[SKU]],'All Skus'!$A:$AC,16,FALSE)),""))</f>
        <v>0</v>
      </c>
      <c r="L139" s="239">
        <f>(IF((VLOOKUP(Table11[[#This Row],[SKU]],'All Skus'!$A:$AC,2,FALSE))="Soundcraft",(VLOOKUP(Table11[[#This Row],[SKU]],'All Skus'!$A:$AC,17,FALSE)),""))</f>
        <v>0</v>
      </c>
      <c r="M139" s="239">
        <f>(IF((VLOOKUP(Table11[[#This Row],[SKU]],'All Skus'!$A:$AC,2,FALSE))="Soundcraft",(VLOOKUP(Table11[[#This Row],[SKU]],'All Skus'!$A:$AC,18,FALSE)),""))</f>
        <v>1</v>
      </c>
      <c r="N139" s="147">
        <f>(IF((VLOOKUP(Table11[[#This Row],[SKU]],'All Skus'!$A:$AC,2,FALSE))="Soundcraft",(VLOOKUP(Table11[[#This Row],[SKU]],'All Skus'!$A:$AC,19,FALSE)),""))</f>
        <v>10</v>
      </c>
      <c r="O139" s="147">
        <f>(IF((VLOOKUP(Table11[[#This Row],[SKU]],'All Skus'!$A:$AC,2,FALSE))="Soundcraft",(VLOOKUP(Table11[[#This Row],[SKU]],'All Skus'!$A:$AC,20,FALSE)),""))</f>
        <v>10</v>
      </c>
      <c r="P139" s="240">
        <f>(IF((VLOOKUP(Table11[[#This Row],[SKU]],'All Skus'!$A:$AC,2,FALSE))="Soundcraft",(VLOOKUP(Table11[[#This Row],[SKU]],'All Skus'!$A:$AC,21,FALSE)),""))</f>
        <v>0.5</v>
      </c>
      <c r="Q139" s="61" t="str">
        <f>(IF((VLOOKUP(Table11[[#This Row],[SKU]],'All Skus'!$A:$AC,2,FALSE))="Soundcraft",(VLOOKUP(Table11[[#This Row],[SKU]],'All Skus'!$A:$AC,22,FALSE)),""))</f>
        <v>HU</v>
      </c>
      <c r="R139" s="61" t="str">
        <f>(IF((VLOOKUP(Table11[[#This Row],[SKU]],'All Skus'!$A:$AC,2,FALSE))="Soundcraft",(VLOOKUP(Table11[[#This Row],[SKU]],'All Skus'!$A:$AC,23,FALSE)),""))</f>
        <v>Compliant</v>
      </c>
      <c r="S139" s="212" t="str">
        <f>HYPERLINK((IF((VLOOKUP(Table11[[#This Row],[SKU]],'All Skus'!$A:$AC,2,FALSE))="Soundcraft",(VLOOKUP(Table11[[#This Row],[SKU]],'All Skus'!$A:$AC,24,FALSE)),"")))</f>
        <v/>
      </c>
      <c r="T139" s="151">
        <v>137</v>
      </c>
    </row>
    <row r="140" spans="1:20" ht="15" customHeight="1">
      <c r="A140" s="158" t="s">
        <v>2481</v>
      </c>
      <c r="B140" s="159" t="str">
        <f>(IF((VLOOKUP(Table11[[#This Row],[SKU]],'All Skus'!$A:$AC,2,FALSE))="Soundcraft",(VLOOKUP(Table11[[#This Row],[SKU]],'All Skus'!$A:$AC,3,FALSE)),""))</f>
        <v>Vi Series Stagebox Accessories</v>
      </c>
      <c r="C140" s="21" t="str">
        <f>(IF((VLOOKUP(Table11[[#This Row],[SKU]],'All Skus'!$A:$AC,2,FALSE))="Soundcraft",(VLOOKUP(Table11[[#This Row],[SKU]],'All Skus'!$A:$AC,4,FALSE)),""))</f>
        <v>RZ2715SP</v>
      </c>
      <c r="D140" s="19" t="str">
        <f>(IF((VLOOKUP(Table11[[#This Row],[SKU]],'All Skus'!$A:$AC,2,FALSE))="Soundcraft",(VLOOKUP(Table11[[#This Row],[SKU]],'All Skus'!$A:$AC,5,FALSE)),""))</f>
        <v>SC-VI</v>
      </c>
      <c r="E140" s="19" t="str">
        <f>(IF((VLOOKUP(Table11[[#This Row],[SKU]],'All Skus'!$A:$AC,2,FALSE))="Soundcraft",(VLOOKUP(Table11[[#This Row],[SKU]],'All Skus'!$A:$AC,6,FALSE)),""))</f>
        <v>YES</v>
      </c>
      <c r="F140" s="18">
        <f>(IF((VLOOKUP(Table11[[#This Row],[SKU]],'All Skus'!$A:$AC,2,FALSE))="Soundcraft",(VLOOKUP(Table11[[#This Row],[SKU]],'All Skus'!$A:$AC,7,FALSE)),""))</f>
        <v>0</v>
      </c>
      <c r="G140" s="22" t="str">
        <f>(IF((VLOOKUP(Table11[[#This Row],[SKU]],'All Skus'!$A:$AC,2,FALSE))="Soundcraft",(VLOOKUP(Table11[[#This Row],[SKU]],'All Skus'!$A:$AC,8,FALSE)),""))</f>
        <v>5M Cat5e cable Amphenol</v>
      </c>
      <c r="H140" s="22" t="str">
        <f>(IF((VLOOKUP(Table11[[#This Row],[SKU]],'All Skus'!$A:$AC,2,FALSE))="Soundcraft",(VLOOKUP(Table11[[#This Row],[SKU]],'All Skus'!$A:$AC,9,FALSE)),""))</f>
        <v>5m Cat5e cable terminated with Amphenol connectors - for local Stagebox use</v>
      </c>
      <c r="I140" s="157">
        <f>(IF((VLOOKUP(Table11[[#This Row],[SKU]],'All Skus'!$A:$AC,2,FALSE))="Soundcraft",(VLOOKUP(Table11[[#This Row],[SKU]],'All Skus'!$A:$AC,10,FALSE)),""))</f>
        <v>524.53</v>
      </c>
      <c r="J140" s="157">
        <f>(IF((VLOOKUP(Table11[[#This Row],[SKU]],'All Skus'!$A:$AC,2,FALSE))="Soundcraft",(VLOOKUP(Table11[[#This Row],[SKU]],'All Skus'!$A:$AC,11,FALSE)),""))</f>
        <v>524.53</v>
      </c>
      <c r="K140" s="271">
        <f>(IF((VLOOKUP(Table11[[#This Row],[SKU]],'All Skus'!$A:$AC,2,FALSE))="Soundcraft",(VLOOKUP(Table11[[#This Row],[SKU]],'All Skus'!$A:$AC,16,FALSE)),""))</f>
        <v>0</v>
      </c>
      <c r="L140" s="239">
        <f>(IF((VLOOKUP(Table11[[#This Row],[SKU]],'All Skus'!$A:$AC,2,FALSE))="Soundcraft",(VLOOKUP(Table11[[#This Row],[SKU]],'All Skus'!$A:$AC,17,FALSE)),""))</f>
        <v>0</v>
      </c>
      <c r="M140" s="239">
        <f>(IF((VLOOKUP(Table11[[#This Row],[SKU]],'All Skus'!$A:$AC,2,FALSE))="Soundcraft",(VLOOKUP(Table11[[#This Row],[SKU]],'All Skus'!$A:$AC,18,FALSE)),""))</f>
        <v>0</v>
      </c>
      <c r="N140" s="147">
        <f>(IF((VLOOKUP(Table11[[#This Row],[SKU]],'All Skus'!$A:$AC,2,FALSE))="Soundcraft",(VLOOKUP(Table11[[#This Row],[SKU]],'All Skus'!$A:$AC,19,FALSE)),""))</f>
        <v>0</v>
      </c>
      <c r="O140" s="147">
        <f>(IF((VLOOKUP(Table11[[#This Row],[SKU]],'All Skus'!$A:$AC,2,FALSE))="Soundcraft",(VLOOKUP(Table11[[#This Row],[SKU]],'All Skus'!$A:$AC,20,FALSE)),""))</f>
        <v>0</v>
      </c>
      <c r="P140" s="240">
        <f>(IF((VLOOKUP(Table11[[#This Row],[SKU]],'All Skus'!$A:$AC,2,FALSE))="Soundcraft",(VLOOKUP(Table11[[#This Row],[SKU]],'All Skus'!$A:$AC,21,FALSE)),""))</f>
        <v>0</v>
      </c>
      <c r="Q140" s="61">
        <f>(IF((VLOOKUP(Table11[[#This Row],[SKU]],'All Skus'!$A:$AC,2,FALSE))="Soundcraft",(VLOOKUP(Table11[[#This Row],[SKU]],'All Skus'!$A:$AC,22,FALSE)),""))</f>
        <v>0</v>
      </c>
      <c r="R140" s="61" t="str">
        <f>(IF((VLOOKUP(Table11[[#This Row],[SKU]],'All Skus'!$A:$AC,2,FALSE))="Soundcraft",(VLOOKUP(Table11[[#This Row],[SKU]],'All Skus'!$A:$AC,23,FALSE)),""))</f>
        <v>Compliant</v>
      </c>
      <c r="S140" s="212" t="str">
        <f>HYPERLINK((IF((VLOOKUP(Table11[[#This Row],[SKU]],'All Skus'!$A:$AC,2,FALSE))="Soundcraft",(VLOOKUP(Table11[[#This Row],[SKU]],'All Skus'!$A:$AC,24,FALSE)),"")))</f>
        <v/>
      </c>
      <c r="T140" s="151">
        <v>138</v>
      </c>
    </row>
    <row r="141" spans="1:20" ht="15" customHeight="1">
      <c r="A141" s="158" t="s">
        <v>2482</v>
      </c>
      <c r="B141" s="159" t="str">
        <f>(IF((VLOOKUP(Table11[[#This Row],[SKU]],'All Skus'!$A:$AC,2,FALSE))="Soundcraft",(VLOOKUP(Table11[[#This Row],[SKU]],'All Skus'!$A:$AC,3,FALSE)),""))</f>
        <v>Vi Series Stagebox Accessories</v>
      </c>
      <c r="C141" s="21" t="str">
        <f>(IF((VLOOKUP(Table11[[#This Row],[SKU]],'All Skus'!$A:$AC,2,FALSE))="Soundcraft",(VLOOKUP(Table11[[#This Row],[SKU]],'All Skus'!$A:$AC,4,FALSE)),""))</f>
        <v>RZ2747</v>
      </c>
      <c r="D141" s="19" t="str">
        <f>(IF((VLOOKUP(Table11[[#This Row],[SKU]],'All Skus'!$A:$AC,2,FALSE))="Soundcraft",(VLOOKUP(Table11[[#This Row],[SKU]],'All Skus'!$A:$AC,5,FALSE)),""))</f>
        <v>SC-VI</v>
      </c>
      <c r="E141" s="19" t="str">
        <f>(IF((VLOOKUP(Table11[[#This Row],[SKU]],'All Skus'!$A:$AC,2,FALSE))="Soundcraft",(VLOOKUP(Table11[[#This Row],[SKU]],'All Skus'!$A:$AC,6,FALSE)),""))</f>
        <v>YES</v>
      </c>
      <c r="F141" s="18">
        <f>(IF((VLOOKUP(Table11[[#This Row],[SKU]],'All Skus'!$A:$AC,2,FALSE))="Soundcraft",(VLOOKUP(Table11[[#This Row],[SKU]],'All Skus'!$A:$AC,7,FALSE)),""))</f>
        <v>0</v>
      </c>
      <c r="G141" s="22" t="str">
        <f>(IF((VLOOKUP(Table11[[#This Row],[SKU]],'All Skus'!$A:$AC,2,FALSE))="Soundcraft",(VLOOKUP(Table11[[#This Row],[SKU]],'All Skus'!$A:$AC,8,FALSE)),""))</f>
        <v>5M ETHERCON CAT5 CABLE</v>
      </c>
      <c r="H141" s="22" t="str">
        <f>(IF((VLOOKUP(Table11[[#This Row],[SKU]],'All Skus'!$A:$AC,2,FALSE))="Soundcraft",(VLOOKUP(Table11[[#This Row],[SKU]],'All Skus'!$A:$AC,9,FALSE)),""))</f>
        <v xml:space="preserve">5m Cat5  terminated with Ethercon </v>
      </c>
      <c r="I141" s="157">
        <f>(IF((VLOOKUP(Table11[[#This Row],[SKU]],'All Skus'!$A:$AC,2,FALSE))="Soundcraft",(VLOOKUP(Table11[[#This Row],[SKU]],'All Skus'!$A:$AC,10,FALSE)),""))</f>
        <v>151.22</v>
      </c>
      <c r="J141" s="157">
        <f>(IF((VLOOKUP(Table11[[#This Row],[SKU]],'All Skus'!$A:$AC,2,FALSE))="Soundcraft",(VLOOKUP(Table11[[#This Row],[SKU]],'All Skus'!$A:$AC,11,FALSE)),""))</f>
        <v>151.22</v>
      </c>
      <c r="K141" s="271">
        <f>(IF((VLOOKUP(Table11[[#This Row],[SKU]],'All Skus'!$A:$AC,2,FALSE))="Soundcraft",(VLOOKUP(Table11[[#This Row],[SKU]],'All Skus'!$A:$AC,16,FALSE)),""))</f>
        <v>0</v>
      </c>
      <c r="L141" s="239">
        <f>(IF((VLOOKUP(Table11[[#This Row],[SKU]],'All Skus'!$A:$AC,2,FALSE))="Soundcraft",(VLOOKUP(Table11[[#This Row],[SKU]],'All Skus'!$A:$AC,17,FALSE)),""))</f>
        <v>0</v>
      </c>
      <c r="M141" s="239">
        <f>(IF((VLOOKUP(Table11[[#This Row],[SKU]],'All Skus'!$A:$AC,2,FALSE))="Soundcraft",(VLOOKUP(Table11[[#This Row],[SKU]],'All Skus'!$A:$AC,18,FALSE)),""))</f>
        <v>0</v>
      </c>
      <c r="N141" s="147">
        <f>(IF((VLOOKUP(Table11[[#This Row],[SKU]],'All Skus'!$A:$AC,2,FALSE))="Soundcraft",(VLOOKUP(Table11[[#This Row],[SKU]],'All Skus'!$A:$AC,19,FALSE)),""))</f>
        <v>0</v>
      </c>
      <c r="O141" s="147">
        <f>(IF((VLOOKUP(Table11[[#This Row],[SKU]],'All Skus'!$A:$AC,2,FALSE))="Soundcraft",(VLOOKUP(Table11[[#This Row],[SKU]],'All Skus'!$A:$AC,20,FALSE)),""))</f>
        <v>0</v>
      </c>
      <c r="P141" s="240">
        <f>(IF((VLOOKUP(Table11[[#This Row],[SKU]],'All Skus'!$A:$AC,2,FALSE))="Soundcraft",(VLOOKUP(Table11[[#This Row],[SKU]],'All Skus'!$A:$AC,21,FALSE)),""))</f>
        <v>0</v>
      </c>
      <c r="Q141" s="61">
        <f>(IF((VLOOKUP(Table11[[#This Row],[SKU]],'All Skus'!$A:$AC,2,FALSE))="Soundcraft",(VLOOKUP(Table11[[#This Row],[SKU]],'All Skus'!$A:$AC,22,FALSE)),""))</f>
        <v>0</v>
      </c>
      <c r="R141" s="61" t="str">
        <f>(IF((VLOOKUP(Table11[[#This Row],[SKU]],'All Skus'!$A:$AC,2,FALSE))="Soundcraft",(VLOOKUP(Table11[[#This Row],[SKU]],'All Skus'!$A:$AC,23,FALSE)),""))</f>
        <v>Compliant</v>
      </c>
      <c r="S141" s="212" t="str">
        <f>HYPERLINK((IF((VLOOKUP(Table11[[#This Row],[SKU]],'All Skus'!$A:$AC,2,FALSE))="Soundcraft",(VLOOKUP(Table11[[#This Row],[SKU]],'All Skus'!$A:$AC,24,FALSE)),"")))</f>
        <v/>
      </c>
      <c r="T141" s="151">
        <v>139</v>
      </c>
    </row>
    <row r="142" spans="1:20" ht="15" customHeight="1">
      <c r="A142" s="18" t="s">
        <v>2483</v>
      </c>
      <c r="B142" s="159" t="str">
        <f>(IF((VLOOKUP(Table11[[#This Row],[SKU]],'All Skus'!$A:$AC,2,FALSE))="Soundcraft",(VLOOKUP(Table11[[#This Row],[SKU]],'All Skus'!$A:$AC,3,FALSE)),""))</f>
        <v>Vi Series Stagebox Accessories</v>
      </c>
      <c r="C142" s="21" t="str">
        <f>(IF((VLOOKUP(Table11[[#This Row],[SKU]],'All Skus'!$A:$AC,2,FALSE))="Soundcraft",(VLOOKUP(Table11[[#This Row],[SKU]],'All Skus'!$A:$AC,4,FALSE)),""))</f>
        <v>A949.045124-01.V</v>
      </c>
      <c r="D142" s="19" t="str">
        <f>(IF((VLOOKUP(Table11[[#This Row],[SKU]],'All Skus'!$A:$AC,2,FALSE))="Soundcraft",(VLOOKUP(Table11[[#This Row],[SKU]],'All Skus'!$A:$AC,5,FALSE)),""))</f>
        <v>SC-VI</v>
      </c>
      <c r="E142" s="19">
        <f>(IF((VLOOKUP(Table11[[#This Row],[SKU]],'All Skus'!$A:$AC,2,FALSE))="Soundcraft",(VLOOKUP(Table11[[#This Row],[SKU]],'All Skus'!$A:$AC,6,FALSE)),""))</f>
        <v>0</v>
      </c>
      <c r="F142" s="18">
        <f>(IF((VLOOKUP(Table11[[#This Row],[SKU]],'All Skus'!$A:$AC,2,FALSE))="Soundcraft",(VLOOKUP(Table11[[#This Row],[SKU]],'All Skus'!$A:$AC,7,FALSE)),""))</f>
        <v>0</v>
      </c>
      <c r="G142" s="22" t="str">
        <f>(IF((VLOOKUP(Table11[[#This Row],[SKU]],'All Skus'!$A:$AC,2,FALSE))="Soundcraft",(VLOOKUP(Table11[[#This Row],[SKU]],'All Skus'!$A:$AC,8,FALSE)),""))</f>
        <v>Vi 3G SDI Embed/DeEmbed</v>
      </c>
      <c r="H142" s="22" t="str">
        <f>(IF((VLOOKUP(Table11[[#This Row],[SKU]],'All Skus'!$A:$AC,2,FALSE))="Soundcraft",(VLOOKUP(Table11[[#This Row],[SKU]],'All Skus'!$A:$AC,9,FALSE)),""))</f>
        <v>ViO/D21 3G/HD/SD SDi Embedder/DeEmbedder</v>
      </c>
      <c r="I142" s="157">
        <f>(IF((VLOOKUP(Table11[[#This Row],[SKU]],'All Skus'!$A:$AC,2,FALSE))="Soundcraft",(VLOOKUP(Table11[[#This Row],[SKU]],'All Skus'!$A:$AC,10,FALSE)),""))</f>
        <v>9003.49</v>
      </c>
      <c r="J142" s="157">
        <f>(IF((VLOOKUP(Table11[[#This Row],[SKU]],'All Skus'!$A:$AC,2,FALSE))="Soundcraft",(VLOOKUP(Table11[[#This Row],[SKU]],'All Skus'!$A:$AC,11,FALSE)),""))</f>
        <v>8733</v>
      </c>
      <c r="K142" s="271">
        <f>(IF((VLOOKUP(Table11[[#This Row],[SKU]],'All Skus'!$A:$AC,2,FALSE))="Soundcraft",(VLOOKUP(Table11[[#This Row],[SKU]],'All Skus'!$A:$AC,16,FALSE)),""))</f>
        <v>688705001876</v>
      </c>
      <c r="L142" s="239">
        <f>(IF((VLOOKUP(Table11[[#This Row],[SKU]],'All Skus'!$A:$AC,2,FALSE))="Soundcraft",(VLOOKUP(Table11[[#This Row],[SKU]],'All Skus'!$A:$AC,17,FALSE)),""))</f>
        <v>0</v>
      </c>
      <c r="M142" s="239">
        <f>(IF((VLOOKUP(Table11[[#This Row],[SKU]],'All Skus'!$A:$AC,2,FALSE))="Soundcraft",(VLOOKUP(Table11[[#This Row],[SKU]],'All Skus'!$A:$AC,18,FALSE)),""))</f>
        <v>0</v>
      </c>
      <c r="N142" s="147">
        <f>(IF((VLOOKUP(Table11[[#This Row],[SKU]],'All Skus'!$A:$AC,2,FALSE))="Soundcraft",(VLOOKUP(Table11[[#This Row],[SKU]],'All Skus'!$A:$AC,19,FALSE)),""))</f>
        <v>0</v>
      </c>
      <c r="O142" s="147">
        <f>(IF((VLOOKUP(Table11[[#This Row],[SKU]],'All Skus'!$A:$AC,2,FALSE))="Soundcraft",(VLOOKUP(Table11[[#This Row],[SKU]],'All Skus'!$A:$AC,20,FALSE)),""))</f>
        <v>0</v>
      </c>
      <c r="P142" s="240">
        <f>(IF((VLOOKUP(Table11[[#This Row],[SKU]],'All Skus'!$A:$AC,2,FALSE))="Soundcraft",(VLOOKUP(Table11[[#This Row],[SKU]],'All Skus'!$A:$AC,21,FALSE)),""))</f>
        <v>0</v>
      </c>
      <c r="Q142" s="61">
        <f>(IF((VLOOKUP(Table11[[#This Row],[SKU]],'All Skus'!$A:$AC,2,FALSE))="Soundcraft",(VLOOKUP(Table11[[#This Row],[SKU]],'All Skus'!$A:$AC,22,FALSE)),""))</f>
        <v>0</v>
      </c>
      <c r="R142" s="61" t="str">
        <f>(IF((VLOOKUP(Table11[[#This Row],[SKU]],'All Skus'!$A:$AC,2,FALSE))="Soundcraft",(VLOOKUP(Table11[[#This Row],[SKU]],'All Skus'!$A:$AC,23,FALSE)),""))</f>
        <v>Compliant</v>
      </c>
      <c r="S142" s="212" t="str">
        <f>HYPERLINK((IF((VLOOKUP(Table11[[#This Row],[SKU]],'All Skus'!$A:$AC,2,FALSE))="Soundcraft",(VLOOKUP(Table11[[#This Row],[SKU]],'All Skus'!$A:$AC,24,FALSE)),"")))</f>
        <v/>
      </c>
      <c r="T142" s="151">
        <v>140</v>
      </c>
    </row>
    <row r="143" spans="1:20" ht="15" customHeight="1">
      <c r="A143" s="158" t="s">
        <v>2484</v>
      </c>
      <c r="B143" s="159" t="str">
        <f>(IF((VLOOKUP(Table11[[#This Row],[SKU]],'All Skus'!$A:$AC,2,FALSE))="Soundcraft",(VLOOKUP(Table11[[#This Row],[SKU]],'All Skus'!$A:$AC,3,FALSE)),""))</f>
        <v>Vi Series Stagebox Accessories</v>
      </c>
      <c r="C143" s="21" t="str">
        <f>(IF((VLOOKUP(Table11[[#This Row],[SKU]],'All Skus'!$A:$AC,2,FALSE))="Soundcraft",(VLOOKUP(Table11[[#This Row],[SKU]],'All Skus'!$A:$AC,4,FALSE)),""))</f>
        <v>RZ2746</v>
      </c>
      <c r="D143" s="19" t="str">
        <f>(IF((VLOOKUP(Table11[[#This Row],[SKU]],'All Skus'!$A:$AC,2,FALSE))="Soundcraft",(VLOOKUP(Table11[[#This Row],[SKU]],'All Skus'!$A:$AC,5,FALSE)),""))</f>
        <v>SC-VI</v>
      </c>
      <c r="E143" s="19" t="str">
        <f>(IF((VLOOKUP(Table11[[#This Row],[SKU]],'All Skus'!$A:$AC,2,FALSE))="Soundcraft",(VLOOKUP(Table11[[#This Row],[SKU]],'All Skus'!$A:$AC,6,FALSE)),""))</f>
        <v>YES</v>
      </c>
      <c r="F143" s="18">
        <f>(IF((VLOOKUP(Table11[[#This Row],[SKU]],'All Skus'!$A:$AC,2,FALSE))="Soundcraft",(VLOOKUP(Table11[[#This Row],[SKU]],'All Skus'!$A:$AC,7,FALSE)),""))</f>
        <v>0</v>
      </c>
      <c r="G143" s="22" t="str">
        <f>(IF((VLOOKUP(Table11[[#This Row],[SKU]],'All Skus'!$A:$AC,2,FALSE))="Soundcraft",(VLOOKUP(Table11[[#This Row],[SKU]],'All Skus'!$A:$AC,8,FALSE)),""))</f>
        <v>VI4/6 100M AMP CAT5 CABLE ON REEL</v>
      </c>
      <c r="H143" s="22" t="str">
        <f>(IF((VLOOKUP(Table11[[#This Row],[SKU]],'All Skus'!$A:$AC,2,FALSE))="Soundcraft",(VLOOKUP(Table11[[#This Row],[SKU]],'All Skus'!$A:$AC,9,FALSE)),""))</f>
        <v>100m Cat5 cable (terminated with Amphenol connectors for Vi4/6) supplied on reel</v>
      </c>
      <c r="I143" s="157">
        <f>(IF((VLOOKUP(Table11[[#This Row],[SKU]],'All Skus'!$A:$AC,2,FALSE))="Soundcraft",(VLOOKUP(Table11[[#This Row],[SKU]],'All Skus'!$A:$AC,10,FALSE)),""))</f>
        <v>2292.2199999999998</v>
      </c>
      <c r="J143" s="157">
        <f>(IF((VLOOKUP(Table11[[#This Row],[SKU]],'All Skus'!$A:$AC,2,FALSE))="Soundcraft",(VLOOKUP(Table11[[#This Row],[SKU]],'All Skus'!$A:$AC,11,FALSE)),""))</f>
        <v>2292</v>
      </c>
      <c r="K143" s="271">
        <f>(IF((VLOOKUP(Table11[[#This Row],[SKU]],'All Skus'!$A:$AC,2,FALSE))="Soundcraft",(VLOOKUP(Table11[[#This Row],[SKU]],'All Skus'!$A:$AC,16,FALSE)),""))</f>
        <v>0</v>
      </c>
      <c r="L143" s="239">
        <f>(IF((VLOOKUP(Table11[[#This Row],[SKU]],'All Skus'!$A:$AC,2,FALSE))="Soundcraft",(VLOOKUP(Table11[[#This Row],[SKU]],'All Skus'!$A:$AC,17,FALSE)),""))</f>
        <v>0</v>
      </c>
      <c r="M143" s="239">
        <f>(IF((VLOOKUP(Table11[[#This Row],[SKU]],'All Skus'!$A:$AC,2,FALSE))="Soundcraft",(VLOOKUP(Table11[[#This Row],[SKU]],'All Skus'!$A:$AC,18,FALSE)),""))</f>
        <v>0</v>
      </c>
      <c r="N143" s="147">
        <f>(IF((VLOOKUP(Table11[[#This Row],[SKU]],'All Skus'!$A:$AC,2,FALSE))="Soundcraft",(VLOOKUP(Table11[[#This Row],[SKU]],'All Skus'!$A:$AC,19,FALSE)),""))</f>
        <v>0</v>
      </c>
      <c r="O143" s="147">
        <f>(IF((VLOOKUP(Table11[[#This Row],[SKU]],'All Skus'!$A:$AC,2,FALSE))="Soundcraft",(VLOOKUP(Table11[[#This Row],[SKU]],'All Skus'!$A:$AC,20,FALSE)),""))</f>
        <v>0</v>
      </c>
      <c r="P143" s="240">
        <f>(IF((VLOOKUP(Table11[[#This Row],[SKU]],'All Skus'!$A:$AC,2,FALSE))="Soundcraft",(VLOOKUP(Table11[[#This Row],[SKU]],'All Skus'!$A:$AC,21,FALSE)),""))</f>
        <v>0</v>
      </c>
      <c r="Q143" s="61">
        <f>(IF((VLOOKUP(Table11[[#This Row],[SKU]],'All Skus'!$A:$AC,2,FALSE))="Soundcraft",(VLOOKUP(Table11[[#This Row],[SKU]],'All Skus'!$A:$AC,22,FALSE)),""))</f>
        <v>0</v>
      </c>
      <c r="R143" s="61" t="str">
        <f>(IF((VLOOKUP(Table11[[#This Row],[SKU]],'All Skus'!$A:$AC,2,FALSE))="Soundcraft",(VLOOKUP(Table11[[#This Row],[SKU]],'All Skus'!$A:$AC,23,FALSE)),""))</f>
        <v>Compliant</v>
      </c>
      <c r="S143" s="212" t="str">
        <f>HYPERLINK((IF((VLOOKUP(Table11[[#This Row],[SKU]],'All Skus'!$A:$AC,2,FALSE))="Soundcraft",(VLOOKUP(Table11[[#This Row],[SKU]],'All Skus'!$A:$AC,24,FALSE)),"")))</f>
        <v/>
      </c>
      <c r="T143" s="151">
        <v>141</v>
      </c>
    </row>
    <row r="144" spans="1:20" ht="15" customHeight="1">
      <c r="A144" s="158" t="s">
        <v>2485</v>
      </c>
      <c r="B144" s="159" t="str">
        <f>(IF((VLOOKUP(Table11[[#This Row],[SKU]],'All Skus'!$A:$AC,2,FALSE))="Soundcraft",(VLOOKUP(Table11[[#This Row],[SKU]],'All Skus'!$A:$AC,3,FALSE)),""))</f>
        <v>Vi Series Stagebox Accessories</v>
      </c>
      <c r="C144" s="21" t="str">
        <f>(IF((VLOOKUP(Table11[[#This Row],[SKU]],'All Skus'!$A:$AC,2,FALSE))="Soundcraft",(VLOOKUP(Table11[[#This Row],[SKU]],'All Skus'!$A:$AC,4,FALSE)),""))</f>
        <v>RZ2682</v>
      </c>
      <c r="D144" s="19" t="str">
        <f>(IF((VLOOKUP(Table11[[#This Row],[SKU]],'All Skus'!$A:$AC,2,FALSE))="Soundcraft",(VLOOKUP(Table11[[#This Row],[SKU]],'All Skus'!$A:$AC,5,FALSE)),""))</f>
        <v>SC-OTHER</v>
      </c>
      <c r="E144" s="19">
        <f>(IF((VLOOKUP(Table11[[#This Row],[SKU]],'All Skus'!$A:$AC,2,FALSE))="Soundcraft",(VLOOKUP(Table11[[#This Row],[SKU]],'All Skus'!$A:$AC,6,FALSE)),""))</f>
        <v>0</v>
      </c>
      <c r="F144" s="18">
        <f>(IF((VLOOKUP(Table11[[#This Row],[SKU]],'All Skus'!$A:$AC,2,FALSE))="Soundcraft",(VLOOKUP(Table11[[#This Row],[SKU]],'All Skus'!$A:$AC,7,FALSE)),""))</f>
        <v>0</v>
      </c>
      <c r="G144" s="22" t="str">
        <f>(IF((VLOOKUP(Table11[[#This Row],[SKU]],'All Skus'!$A:$AC,2,FALSE))="Soundcraft",(VLOOKUP(Table11[[#This Row],[SKU]],'All Skus'!$A:$AC,8,FALSE)),""))</f>
        <v>VI 100M CAT5 CABLE ETHERCON</v>
      </c>
      <c r="H144" s="22" t="str">
        <f>(IF((VLOOKUP(Table11[[#This Row],[SKU]],'All Skus'!$A:$AC,2,FALSE))="Soundcraft",(VLOOKUP(Table11[[#This Row],[SKU]],'All Skus'!$A:$AC,9,FALSE)),""))</f>
        <v>100m Cat5 cable (terminated with Neutrik connectors) supplied on reel</v>
      </c>
      <c r="I144" s="157">
        <f>(IF((VLOOKUP(Table11[[#This Row],[SKU]],'All Skus'!$A:$AC,2,FALSE))="Soundcraft",(VLOOKUP(Table11[[#This Row],[SKU]],'All Skus'!$A:$AC,10,FALSE)),""))</f>
        <v>1743.35</v>
      </c>
      <c r="J144" s="157">
        <f>(IF((VLOOKUP(Table11[[#This Row],[SKU]],'All Skus'!$A:$AC,2,FALSE))="Soundcraft",(VLOOKUP(Table11[[#This Row],[SKU]],'All Skus'!$A:$AC,11,FALSE)),""))</f>
        <v>1395</v>
      </c>
      <c r="K144" s="271">
        <f>(IF((VLOOKUP(Table11[[#This Row],[SKU]],'All Skus'!$A:$AC,2,FALSE))="Soundcraft",(VLOOKUP(Table11[[#This Row],[SKU]],'All Skus'!$A:$AC,16,FALSE)),""))</f>
        <v>688705005300</v>
      </c>
      <c r="L144" s="239">
        <f>(IF((VLOOKUP(Table11[[#This Row],[SKU]],'All Skus'!$A:$AC,2,FALSE))="Soundcraft",(VLOOKUP(Table11[[#This Row],[SKU]],'All Skus'!$A:$AC,17,FALSE)),""))</f>
        <v>0</v>
      </c>
      <c r="M144" s="239">
        <f>(IF((VLOOKUP(Table11[[#This Row],[SKU]],'All Skus'!$A:$AC,2,FALSE))="Soundcraft",(VLOOKUP(Table11[[#This Row],[SKU]],'All Skus'!$A:$AC,18,FALSE)),""))</f>
        <v>1</v>
      </c>
      <c r="N144" s="147">
        <f>(IF((VLOOKUP(Table11[[#This Row],[SKU]],'All Skus'!$A:$AC,2,FALSE))="Soundcraft",(VLOOKUP(Table11[[#This Row],[SKU]],'All Skus'!$A:$AC,19,FALSE)),""))</f>
        <v>10</v>
      </c>
      <c r="O144" s="147">
        <f>(IF((VLOOKUP(Table11[[#This Row],[SKU]],'All Skus'!$A:$AC,2,FALSE))="Soundcraft",(VLOOKUP(Table11[[#This Row],[SKU]],'All Skus'!$A:$AC,20,FALSE)),""))</f>
        <v>12</v>
      </c>
      <c r="P144" s="240">
        <f>(IF((VLOOKUP(Table11[[#This Row],[SKU]],'All Skus'!$A:$AC,2,FALSE))="Soundcraft",(VLOOKUP(Table11[[#This Row],[SKU]],'All Skus'!$A:$AC,21,FALSE)),""))</f>
        <v>9</v>
      </c>
      <c r="Q144" s="61" t="str">
        <f>(IF((VLOOKUP(Table11[[#This Row],[SKU]],'All Skus'!$A:$AC,2,FALSE))="Soundcraft",(VLOOKUP(Table11[[#This Row],[SKU]],'All Skus'!$A:$AC,22,FALSE)),""))</f>
        <v>CN</v>
      </c>
      <c r="R144" s="61" t="str">
        <f>(IF((VLOOKUP(Table11[[#This Row],[SKU]],'All Skus'!$A:$AC,2,FALSE))="Soundcraft",(VLOOKUP(Table11[[#This Row],[SKU]],'All Skus'!$A:$AC,23,FALSE)),""))</f>
        <v>Compliant</v>
      </c>
      <c r="S144" s="212" t="str">
        <f>HYPERLINK((IF((VLOOKUP(Table11[[#This Row],[SKU]],'All Skus'!$A:$AC,2,FALSE))="Soundcraft",(VLOOKUP(Table11[[#This Row],[SKU]],'All Skus'!$A:$AC,24,FALSE)),"")))</f>
        <v/>
      </c>
      <c r="T144" s="151">
        <v>142</v>
      </c>
    </row>
    <row r="145" spans="1:22" ht="15" customHeight="1">
      <c r="A145" s="158" t="s">
        <v>2485</v>
      </c>
      <c r="B145" s="159" t="str">
        <f>(IF((VLOOKUP(Table11[[#This Row],[SKU]],'All Skus'!$A:$AC,2,FALSE))="Soundcraft",(VLOOKUP(Table11[[#This Row],[SKU]],'All Skus'!$A:$AC,3,FALSE)),""))</f>
        <v>Vi Series Stagebox Accessories</v>
      </c>
      <c r="C145" s="21" t="str">
        <f>(IF((VLOOKUP(Table11[[#This Row],[SKU]],'All Skus'!$A:$AC,2,FALSE))="Soundcraft",(VLOOKUP(Table11[[#This Row],[SKU]],'All Skus'!$A:$AC,4,FALSE)),""))</f>
        <v>RZ2682</v>
      </c>
      <c r="D145" s="19" t="str">
        <f>(IF((VLOOKUP(Table11[[#This Row],[SKU]],'All Skus'!$A:$AC,2,FALSE))="Soundcraft",(VLOOKUP(Table11[[#This Row],[SKU]],'All Skus'!$A:$AC,5,FALSE)),""))</f>
        <v>SC-OTHER</v>
      </c>
      <c r="E145" s="19">
        <f>(IF((VLOOKUP(Table11[[#This Row],[SKU]],'All Skus'!$A:$AC,2,FALSE))="Soundcraft",(VLOOKUP(Table11[[#This Row],[SKU]],'All Skus'!$A:$AC,6,FALSE)),""))</f>
        <v>0</v>
      </c>
      <c r="F145" s="18">
        <f>(IF((VLOOKUP(Table11[[#This Row],[SKU]],'All Skus'!$A:$AC,2,FALSE))="Soundcraft",(VLOOKUP(Table11[[#This Row],[SKU]],'All Skus'!$A:$AC,7,FALSE)),""))</f>
        <v>0</v>
      </c>
      <c r="G145" s="22" t="str">
        <f>(IF((VLOOKUP(Table11[[#This Row],[SKU]],'All Skus'!$A:$AC,2,FALSE))="Soundcraft",(VLOOKUP(Table11[[#This Row],[SKU]],'All Skus'!$A:$AC,8,FALSE)),""))</f>
        <v>VI 100M CAT5 CABLE ETHERCON</v>
      </c>
      <c r="H145" s="22" t="str">
        <f>(IF((VLOOKUP(Table11[[#This Row],[SKU]],'All Skus'!$A:$AC,2,FALSE))="Soundcraft",(VLOOKUP(Table11[[#This Row],[SKU]],'All Skus'!$A:$AC,9,FALSE)),""))</f>
        <v>100m Cat5 cable (terminated with Neutrik connectors) supplied on reel</v>
      </c>
      <c r="I145" s="157">
        <f>(IF((VLOOKUP(Table11[[#This Row],[SKU]],'All Skus'!$A:$AC,2,FALSE))="Soundcraft",(VLOOKUP(Table11[[#This Row],[SKU]],'All Skus'!$A:$AC,10,FALSE)),""))</f>
        <v>1743.35</v>
      </c>
      <c r="J145" s="157">
        <f>(IF((VLOOKUP(Table11[[#This Row],[SKU]],'All Skus'!$A:$AC,2,FALSE))="Soundcraft",(VLOOKUP(Table11[[#This Row],[SKU]],'All Skus'!$A:$AC,11,FALSE)),""))</f>
        <v>1395</v>
      </c>
      <c r="K145" s="271">
        <f>(IF((VLOOKUP(Table11[[#This Row],[SKU]],'All Skus'!$A:$AC,2,FALSE))="Soundcraft",(VLOOKUP(Table11[[#This Row],[SKU]],'All Skus'!$A:$AC,16,FALSE)),""))</f>
        <v>688705005300</v>
      </c>
      <c r="L145" s="239">
        <f>(IF((VLOOKUP(Table11[[#This Row],[SKU]],'All Skus'!$A:$AC,2,FALSE))="Soundcraft",(VLOOKUP(Table11[[#This Row],[SKU]],'All Skus'!$A:$AC,17,FALSE)),""))</f>
        <v>0</v>
      </c>
      <c r="M145" s="239">
        <f>(IF((VLOOKUP(Table11[[#This Row],[SKU]],'All Skus'!$A:$AC,2,FALSE))="Soundcraft",(VLOOKUP(Table11[[#This Row],[SKU]],'All Skus'!$A:$AC,18,FALSE)),""))</f>
        <v>1</v>
      </c>
      <c r="N145" s="147">
        <f>(IF((VLOOKUP(Table11[[#This Row],[SKU]],'All Skus'!$A:$AC,2,FALSE))="Soundcraft",(VLOOKUP(Table11[[#This Row],[SKU]],'All Skus'!$A:$AC,19,FALSE)),""))</f>
        <v>10</v>
      </c>
      <c r="O145" s="147">
        <f>(IF((VLOOKUP(Table11[[#This Row],[SKU]],'All Skus'!$A:$AC,2,FALSE))="Soundcraft",(VLOOKUP(Table11[[#This Row],[SKU]],'All Skus'!$A:$AC,20,FALSE)),""))</f>
        <v>12</v>
      </c>
      <c r="P145" s="240">
        <f>(IF((VLOOKUP(Table11[[#This Row],[SKU]],'All Skus'!$A:$AC,2,FALSE))="Soundcraft",(VLOOKUP(Table11[[#This Row],[SKU]],'All Skus'!$A:$AC,21,FALSE)),""))</f>
        <v>9</v>
      </c>
      <c r="Q145" s="61" t="str">
        <f>(IF((VLOOKUP(Table11[[#This Row],[SKU]],'All Skus'!$A:$AC,2,FALSE))="Soundcraft",(VLOOKUP(Table11[[#This Row],[SKU]],'All Skus'!$A:$AC,22,FALSE)),""))</f>
        <v>CN</v>
      </c>
      <c r="R145" s="61" t="str">
        <f>(IF((VLOOKUP(Table11[[#This Row],[SKU]],'All Skus'!$A:$AC,2,FALSE))="Soundcraft",(VLOOKUP(Table11[[#This Row],[SKU]],'All Skus'!$A:$AC,23,FALSE)),""))</f>
        <v>Compliant</v>
      </c>
      <c r="S145" s="212" t="str">
        <f>HYPERLINK((IF((VLOOKUP(Table11[[#This Row],[SKU]],'All Skus'!$A:$AC,2,FALSE))="Soundcraft",(VLOOKUP(Table11[[#This Row],[SKU]],'All Skus'!$A:$AC,24,FALSE)),"")))</f>
        <v/>
      </c>
      <c r="T145" s="151">
        <v>143</v>
      </c>
    </row>
    <row r="146" spans="1:22" ht="15" customHeight="1">
      <c r="A146" s="158" t="s">
        <v>2486</v>
      </c>
      <c r="B146" s="159" t="str">
        <f>(IF((VLOOKUP(Table11[[#This Row],[SKU]],'All Skus'!$A:$AC,2,FALSE))="Soundcraft",(VLOOKUP(Table11[[#This Row],[SKU]],'All Skus'!$A:$AC,3,FALSE)),""))</f>
        <v>Vi Series Stagebox Accessories</v>
      </c>
      <c r="C146" s="21" t="str">
        <f>(IF((VLOOKUP(Table11[[#This Row],[SKU]],'All Skus'!$A:$AC,2,FALSE))="Soundcraft",(VLOOKUP(Table11[[#This Row],[SKU]],'All Skus'!$A:$AC,4,FALSE)),""))</f>
        <v>RZ2701</v>
      </c>
      <c r="D146" s="19" t="str">
        <f>(IF((VLOOKUP(Table11[[#This Row],[SKU]],'All Skus'!$A:$AC,2,FALSE))="Soundcraft",(VLOOKUP(Table11[[#This Row],[SKU]],'All Skus'!$A:$AC,5,FALSE)),""))</f>
        <v>SC-VI</v>
      </c>
      <c r="E146" s="19" t="str">
        <f>(IF((VLOOKUP(Table11[[#This Row],[SKU]],'All Skus'!$A:$AC,2,FALSE))="Soundcraft",(VLOOKUP(Table11[[#This Row],[SKU]],'All Skus'!$A:$AC,6,FALSE)),""))</f>
        <v>YES</v>
      </c>
      <c r="F146" s="18">
        <f>(IF((VLOOKUP(Table11[[#This Row],[SKU]],'All Skus'!$A:$AC,2,FALSE))="Soundcraft",(VLOOKUP(Table11[[#This Row],[SKU]],'All Skus'!$A:$AC,7,FALSE)),""))</f>
        <v>0</v>
      </c>
      <c r="G146" s="22" t="str">
        <f>(IF((VLOOKUP(Table11[[#This Row],[SKU]],'All Skus'!$A:$AC,2,FALSE))="Soundcraft",(VLOOKUP(Table11[[#This Row],[SKU]],'All Skus'!$A:$AC,8,FALSE)),""))</f>
        <v>OPTICAL CABLE 200M FIBRECAST</v>
      </c>
      <c r="H146" s="22" t="str">
        <f>(IF((VLOOKUP(Table11[[#This Row],[SKU]],'All Skus'!$A:$AC,2,FALSE))="Soundcraft",(VLOOKUP(Table11[[#This Row],[SKU]],'All Skus'!$A:$AC,9,FALSE)),""))</f>
        <v>200m 50/125 multimode optical fibre with "Fibrecast" connectors, supplied on reel</v>
      </c>
      <c r="I146" s="157">
        <f>(IF((VLOOKUP(Table11[[#This Row],[SKU]],'All Skus'!$A:$AC,2,FALSE))="Soundcraft",(VLOOKUP(Table11[[#This Row],[SKU]],'All Skus'!$A:$AC,10,FALSE)),""))</f>
        <v>6763.62</v>
      </c>
      <c r="J146" s="157">
        <f>(IF((VLOOKUP(Table11[[#This Row],[SKU]],'All Skus'!$A:$AC,2,FALSE))="Soundcraft",(VLOOKUP(Table11[[#This Row],[SKU]],'All Skus'!$A:$AC,11,FALSE)),""))</f>
        <v>6763</v>
      </c>
      <c r="K146" s="271">
        <f>(IF((VLOOKUP(Table11[[#This Row],[SKU]],'All Skus'!$A:$AC,2,FALSE))="Soundcraft",(VLOOKUP(Table11[[#This Row],[SKU]],'All Skus'!$A:$AC,16,FALSE)),""))</f>
        <v>0</v>
      </c>
      <c r="L146" s="239">
        <f>(IF((VLOOKUP(Table11[[#This Row],[SKU]],'All Skus'!$A:$AC,2,FALSE))="Soundcraft",(VLOOKUP(Table11[[#This Row],[SKU]],'All Skus'!$A:$AC,17,FALSE)),""))</f>
        <v>0</v>
      </c>
      <c r="M146" s="239">
        <f>(IF((VLOOKUP(Table11[[#This Row],[SKU]],'All Skus'!$A:$AC,2,FALSE))="Soundcraft",(VLOOKUP(Table11[[#This Row],[SKU]],'All Skus'!$A:$AC,18,FALSE)),""))</f>
        <v>0</v>
      </c>
      <c r="N146" s="147">
        <f>(IF((VLOOKUP(Table11[[#This Row],[SKU]],'All Skus'!$A:$AC,2,FALSE))="Soundcraft",(VLOOKUP(Table11[[#This Row],[SKU]],'All Skus'!$A:$AC,19,FALSE)),""))</f>
        <v>0</v>
      </c>
      <c r="O146" s="147">
        <f>(IF((VLOOKUP(Table11[[#This Row],[SKU]],'All Skus'!$A:$AC,2,FALSE))="Soundcraft",(VLOOKUP(Table11[[#This Row],[SKU]],'All Skus'!$A:$AC,20,FALSE)),""))</f>
        <v>0</v>
      </c>
      <c r="P146" s="240">
        <f>(IF((VLOOKUP(Table11[[#This Row],[SKU]],'All Skus'!$A:$AC,2,FALSE))="Soundcraft",(VLOOKUP(Table11[[#This Row],[SKU]],'All Skus'!$A:$AC,21,FALSE)),""))</f>
        <v>0</v>
      </c>
      <c r="Q146" s="61">
        <f>(IF((VLOOKUP(Table11[[#This Row],[SKU]],'All Skus'!$A:$AC,2,FALSE))="Soundcraft",(VLOOKUP(Table11[[#This Row],[SKU]],'All Skus'!$A:$AC,22,FALSE)),""))</f>
        <v>0</v>
      </c>
      <c r="R146" s="61" t="str">
        <f>(IF((VLOOKUP(Table11[[#This Row],[SKU]],'All Skus'!$A:$AC,2,FALSE))="Soundcraft",(VLOOKUP(Table11[[#This Row],[SKU]],'All Skus'!$A:$AC,23,FALSE)),""))</f>
        <v>Compliant</v>
      </c>
      <c r="S146" s="212" t="str">
        <f>HYPERLINK((IF((VLOOKUP(Table11[[#This Row],[SKU]],'All Skus'!$A:$AC,2,FALSE))="Soundcraft",(VLOOKUP(Table11[[#This Row],[SKU]],'All Skus'!$A:$AC,24,FALSE)),"")))</f>
        <v/>
      </c>
      <c r="T146" s="151">
        <v>144</v>
      </c>
    </row>
    <row r="147" spans="1:22" ht="15" customHeight="1">
      <c r="A147" s="158" t="s">
        <v>2487</v>
      </c>
      <c r="B147" s="159" t="str">
        <f>(IF((VLOOKUP(Table11[[#This Row],[SKU]],'All Skus'!$A:$AC,2,FALSE))="Soundcraft",(VLOOKUP(Table11[[#This Row],[SKU]],'All Skus'!$A:$AC,3,FALSE)),""))</f>
        <v>Vi Series Stagebox Accessories</v>
      </c>
      <c r="C147" s="21" t="str">
        <f>(IF((VLOOKUP(Table11[[#This Row],[SKU]],'All Skus'!$A:$AC,2,FALSE))="Soundcraft",(VLOOKUP(Table11[[#This Row],[SKU]],'All Skus'!$A:$AC,4,FALSE)),""))</f>
        <v>RZ2702</v>
      </c>
      <c r="D147" s="19" t="str">
        <f>(IF((VLOOKUP(Table11[[#This Row],[SKU]],'All Skus'!$A:$AC,2,FALSE))="Soundcraft",(VLOOKUP(Table11[[#This Row],[SKU]],'All Skus'!$A:$AC,5,FALSE)),""))</f>
        <v>SC-VI</v>
      </c>
      <c r="E147" s="19" t="str">
        <f>(IF((VLOOKUP(Table11[[#This Row],[SKU]],'All Skus'!$A:$AC,2,FALSE))="Soundcraft",(VLOOKUP(Table11[[#This Row],[SKU]],'All Skus'!$A:$AC,6,FALSE)),""))</f>
        <v>YES</v>
      </c>
      <c r="F147" s="18">
        <f>(IF((VLOOKUP(Table11[[#This Row],[SKU]],'All Skus'!$A:$AC,2,FALSE))="Soundcraft",(VLOOKUP(Table11[[#This Row],[SKU]],'All Skus'!$A:$AC,7,FALSE)),""))</f>
        <v>0</v>
      </c>
      <c r="G147" s="22" t="str">
        <f>(IF((VLOOKUP(Table11[[#This Row],[SKU]],'All Skus'!$A:$AC,2,FALSE))="Soundcraft",(VLOOKUP(Table11[[#This Row],[SKU]],'All Skus'!$A:$AC,8,FALSE)),""))</f>
        <v>OPTICAL CABLE 150M FIBRECAST</v>
      </c>
      <c r="H147" s="22" t="str">
        <f>(IF((VLOOKUP(Table11[[#This Row],[SKU]],'All Skus'!$A:$AC,2,FALSE))="Soundcraft",(VLOOKUP(Table11[[#This Row],[SKU]],'All Skus'!$A:$AC,9,FALSE)),""))</f>
        <v>150m 50/125 multimode optical fibre with "Fibrecast" connectors, supplied on reel</v>
      </c>
      <c r="I147" s="157">
        <f>(IF((VLOOKUP(Table11[[#This Row],[SKU]],'All Skus'!$A:$AC,2,FALSE))="Soundcraft",(VLOOKUP(Table11[[#This Row],[SKU]],'All Skus'!$A:$AC,10,FALSE)),""))</f>
        <v>5569.76</v>
      </c>
      <c r="J147" s="157">
        <f>(IF((VLOOKUP(Table11[[#This Row],[SKU]],'All Skus'!$A:$AC,2,FALSE))="Soundcraft",(VLOOKUP(Table11[[#This Row],[SKU]],'All Skus'!$A:$AC,11,FALSE)),""))</f>
        <v>5569</v>
      </c>
      <c r="K147" s="271">
        <f>(IF((VLOOKUP(Table11[[#This Row],[SKU]],'All Skus'!$A:$AC,2,FALSE))="Soundcraft",(VLOOKUP(Table11[[#This Row],[SKU]],'All Skus'!$A:$AC,16,FALSE)),""))</f>
        <v>0</v>
      </c>
      <c r="L147" s="239">
        <f>(IF((VLOOKUP(Table11[[#This Row],[SKU]],'All Skus'!$A:$AC,2,FALSE))="Soundcraft",(VLOOKUP(Table11[[#This Row],[SKU]],'All Skus'!$A:$AC,17,FALSE)),""))</f>
        <v>0</v>
      </c>
      <c r="M147" s="239">
        <f>(IF((VLOOKUP(Table11[[#This Row],[SKU]],'All Skus'!$A:$AC,2,FALSE))="Soundcraft",(VLOOKUP(Table11[[#This Row],[SKU]],'All Skus'!$A:$AC,18,FALSE)),""))</f>
        <v>0</v>
      </c>
      <c r="N147" s="147">
        <f>(IF((VLOOKUP(Table11[[#This Row],[SKU]],'All Skus'!$A:$AC,2,FALSE))="Soundcraft",(VLOOKUP(Table11[[#This Row],[SKU]],'All Skus'!$A:$AC,19,FALSE)),""))</f>
        <v>0</v>
      </c>
      <c r="O147" s="147">
        <f>(IF((VLOOKUP(Table11[[#This Row],[SKU]],'All Skus'!$A:$AC,2,FALSE))="Soundcraft",(VLOOKUP(Table11[[#This Row],[SKU]],'All Skus'!$A:$AC,20,FALSE)),""))</f>
        <v>0</v>
      </c>
      <c r="P147" s="240">
        <f>(IF((VLOOKUP(Table11[[#This Row],[SKU]],'All Skus'!$A:$AC,2,FALSE))="Soundcraft",(VLOOKUP(Table11[[#This Row],[SKU]],'All Skus'!$A:$AC,21,FALSE)),""))</f>
        <v>0</v>
      </c>
      <c r="Q147" s="61" t="str">
        <f>(IF((VLOOKUP(Table11[[#This Row],[SKU]],'All Skus'!$A:$AC,2,FALSE))="Soundcraft",(VLOOKUP(Table11[[#This Row],[SKU]],'All Skus'!$A:$AC,22,FALSE)),""))</f>
        <v>CN</v>
      </c>
      <c r="R147" s="61" t="str">
        <f>(IF((VLOOKUP(Table11[[#This Row],[SKU]],'All Skus'!$A:$AC,2,FALSE))="Soundcraft",(VLOOKUP(Table11[[#This Row],[SKU]],'All Skus'!$A:$AC,23,FALSE)),""))</f>
        <v>Compliant</v>
      </c>
      <c r="S147" s="212" t="str">
        <f>HYPERLINK((IF((VLOOKUP(Table11[[#This Row],[SKU]],'All Skus'!$A:$AC,2,FALSE))="Soundcraft",(VLOOKUP(Table11[[#This Row],[SKU]],'All Skus'!$A:$AC,24,FALSE)),"")))</f>
        <v/>
      </c>
      <c r="T147" s="151">
        <v>145</v>
      </c>
    </row>
    <row r="148" spans="1:22" ht="15" customHeight="1">
      <c r="A148" s="158" t="s">
        <v>2488</v>
      </c>
      <c r="B148" s="159" t="str">
        <f>(IF((VLOOKUP(Table11[[#This Row],[SKU]],'All Skus'!$A:$AC,2,FALSE))="Soundcraft",(VLOOKUP(Table11[[#This Row],[SKU]],'All Skus'!$A:$AC,3,FALSE)),""))</f>
        <v>Vi Series Stagebox Accessories</v>
      </c>
      <c r="C148" s="21" t="str">
        <f>(IF((VLOOKUP(Table11[[#This Row],[SKU]],'All Skus'!$A:$AC,2,FALSE))="Soundcraft",(VLOOKUP(Table11[[#This Row],[SKU]],'All Skus'!$A:$AC,4,FALSE)),""))</f>
        <v>RZ2709</v>
      </c>
      <c r="D148" s="19" t="str">
        <f>(IF((VLOOKUP(Table11[[#This Row],[SKU]],'All Skus'!$A:$AC,2,FALSE))="Soundcraft",(VLOOKUP(Table11[[#This Row],[SKU]],'All Skus'!$A:$AC,5,FALSE)),""))</f>
        <v>SC-VI</v>
      </c>
      <c r="E148" s="19" t="str">
        <f>(IF((VLOOKUP(Table11[[#This Row],[SKU]],'All Skus'!$A:$AC,2,FALSE))="Soundcraft",(VLOOKUP(Table11[[#This Row],[SKU]],'All Skus'!$A:$AC,6,FALSE)),""))</f>
        <v>YES</v>
      </c>
      <c r="F148" s="18">
        <f>(IF((VLOOKUP(Table11[[#This Row],[SKU]],'All Skus'!$A:$AC,2,FALSE))="Soundcraft",(VLOOKUP(Table11[[#This Row],[SKU]],'All Skus'!$A:$AC,7,FALSE)),""))</f>
        <v>0</v>
      </c>
      <c r="G148" s="22" t="str">
        <f>(IF((VLOOKUP(Table11[[#This Row],[SKU]],'All Skus'!$A:$AC,2,FALSE))="Soundcraft",(VLOOKUP(Table11[[#This Row],[SKU]],'All Skus'!$A:$AC,8,FALSE)),""))</f>
        <v>OPTICAL CABLE 5M FIBRECAST</v>
      </c>
      <c r="H148" s="22" t="str">
        <f>(IF((VLOOKUP(Table11[[#This Row],[SKU]],'All Skus'!$A:$AC,2,FALSE))="Soundcraft",(VLOOKUP(Table11[[#This Row],[SKU]],'All Skus'!$A:$AC,9,FALSE)),""))</f>
        <v>5m 50/125 multimode optical fibre with "Fibrecast" connectors - for local Stagebox use</v>
      </c>
      <c r="I148" s="157">
        <f>(IF((VLOOKUP(Table11[[#This Row],[SKU]],'All Skus'!$A:$AC,2,FALSE))="Soundcraft",(VLOOKUP(Table11[[#This Row],[SKU]],'All Skus'!$A:$AC,10,FALSE)),""))</f>
        <v>3102.45</v>
      </c>
      <c r="J148" s="157">
        <f>(IF((VLOOKUP(Table11[[#This Row],[SKU]],'All Skus'!$A:$AC,2,FALSE))="Soundcraft",(VLOOKUP(Table11[[#This Row],[SKU]],'All Skus'!$A:$AC,11,FALSE)),""))</f>
        <v>3102</v>
      </c>
      <c r="K148" s="271">
        <f>(IF((VLOOKUP(Table11[[#This Row],[SKU]],'All Skus'!$A:$AC,2,FALSE))="Soundcraft",(VLOOKUP(Table11[[#This Row],[SKU]],'All Skus'!$A:$AC,16,FALSE)),""))</f>
        <v>0</v>
      </c>
      <c r="L148" s="239">
        <f>(IF((VLOOKUP(Table11[[#This Row],[SKU]],'All Skus'!$A:$AC,2,FALSE))="Soundcraft",(VLOOKUP(Table11[[#This Row],[SKU]],'All Skus'!$A:$AC,17,FALSE)),""))</f>
        <v>0</v>
      </c>
      <c r="M148" s="239">
        <f>(IF((VLOOKUP(Table11[[#This Row],[SKU]],'All Skus'!$A:$AC,2,FALSE))="Soundcraft",(VLOOKUP(Table11[[#This Row],[SKU]],'All Skus'!$A:$AC,18,FALSE)),""))</f>
        <v>0</v>
      </c>
      <c r="N148" s="147">
        <f>(IF((VLOOKUP(Table11[[#This Row],[SKU]],'All Skus'!$A:$AC,2,FALSE))="Soundcraft",(VLOOKUP(Table11[[#This Row],[SKU]],'All Skus'!$A:$AC,19,FALSE)),""))</f>
        <v>0</v>
      </c>
      <c r="O148" s="147">
        <f>(IF((VLOOKUP(Table11[[#This Row],[SKU]],'All Skus'!$A:$AC,2,FALSE))="Soundcraft",(VLOOKUP(Table11[[#This Row],[SKU]],'All Skus'!$A:$AC,20,FALSE)),""))</f>
        <v>0</v>
      </c>
      <c r="P148" s="240">
        <f>(IF((VLOOKUP(Table11[[#This Row],[SKU]],'All Skus'!$A:$AC,2,FALSE))="Soundcraft",(VLOOKUP(Table11[[#This Row],[SKU]],'All Skus'!$A:$AC,21,FALSE)),""))</f>
        <v>0</v>
      </c>
      <c r="Q148" s="61">
        <f>(IF((VLOOKUP(Table11[[#This Row],[SKU]],'All Skus'!$A:$AC,2,FALSE))="Soundcraft",(VLOOKUP(Table11[[#This Row],[SKU]],'All Skus'!$A:$AC,22,FALSE)),""))</f>
        <v>0</v>
      </c>
      <c r="R148" s="61" t="str">
        <f>(IF((VLOOKUP(Table11[[#This Row],[SKU]],'All Skus'!$A:$AC,2,FALSE))="Soundcraft",(VLOOKUP(Table11[[#This Row],[SKU]],'All Skus'!$A:$AC,23,FALSE)),""))</f>
        <v>Compliant</v>
      </c>
      <c r="S148" s="212" t="str">
        <f>HYPERLINK((IF((VLOOKUP(Table11[[#This Row],[SKU]],'All Skus'!$A:$AC,2,FALSE))="Soundcraft",(VLOOKUP(Table11[[#This Row],[SKU]],'All Skus'!$A:$AC,24,FALSE)),"")))</f>
        <v/>
      </c>
      <c r="T148" s="151">
        <v>146</v>
      </c>
    </row>
    <row r="149" spans="1:22" ht="15" customHeight="1">
      <c r="A149" s="158" t="s">
        <v>2489</v>
      </c>
      <c r="B149" s="159" t="str">
        <f>(IF((VLOOKUP(Table11[[#This Row],[SKU]],'All Skus'!$A:$AC,2,FALSE))="Soundcraft",(VLOOKUP(Table11[[#This Row],[SKU]],'All Skus'!$A:$AC,3,FALSE)),""))</f>
        <v>Vi Series Stagebox Accessories</v>
      </c>
      <c r="C149" s="21" t="str">
        <f>(IF((VLOOKUP(Table11[[#This Row],[SKU]],'All Skus'!$A:$AC,2,FALSE))="Soundcraft",(VLOOKUP(Table11[[#This Row],[SKU]],'All Skus'!$A:$AC,4,FALSE)),""))</f>
        <v>RZ2714</v>
      </c>
      <c r="D149" s="19" t="str">
        <f>(IF((VLOOKUP(Table11[[#This Row],[SKU]],'All Skus'!$A:$AC,2,FALSE))="Soundcraft",(VLOOKUP(Table11[[#This Row],[SKU]],'All Skus'!$A:$AC,5,FALSE)),""))</f>
        <v>SC-VI</v>
      </c>
      <c r="E149" s="19" t="str">
        <f>(IF((VLOOKUP(Table11[[#This Row],[SKU]],'All Skus'!$A:$AC,2,FALSE))="Soundcraft",(VLOOKUP(Table11[[#This Row],[SKU]],'All Skus'!$A:$AC,6,FALSE)),""))</f>
        <v>YES</v>
      </c>
      <c r="F149" s="18">
        <f>(IF((VLOOKUP(Table11[[#This Row],[SKU]],'All Skus'!$A:$AC,2,FALSE))="Soundcraft",(VLOOKUP(Table11[[#This Row],[SKU]],'All Skus'!$A:$AC,7,FALSE)),""))</f>
        <v>0</v>
      </c>
      <c r="G149" s="22" t="str">
        <f>(IF((VLOOKUP(Table11[[#This Row],[SKU]],'All Skus'!$A:$AC,2,FALSE))="Soundcraft",(VLOOKUP(Table11[[#This Row],[SKU]],'All Skus'!$A:$AC,8,FALSE)),""))</f>
        <v>OPTICAL CABLE 50M FIBRECAST</v>
      </c>
      <c r="H149" s="22" t="str">
        <f>(IF((VLOOKUP(Table11[[#This Row],[SKU]],'All Skus'!$A:$AC,2,FALSE))="Soundcraft",(VLOOKUP(Table11[[#This Row],[SKU]],'All Skus'!$A:$AC,9,FALSE)),""))</f>
        <v>50m 50/125 multimode optical fibre with "Fibrecast" connectors, supplied on reel</v>
      </c>
      <c r="I149" s="157">
        <f>(IF((VLOOKUP(Table11[[#This Row],[SKU]],'All Skus'!$A:$AC,2,FALSE))="Soundcraft",(VLOOKUP(Table11[[#This Row],[SKU]],'All Skus'!$A:$AC,10,FALSE)),""))</f>
        <v>4773.8500000000004</v>
      </c>
      <c r="J149" s="157">
        <f>(IF((VLOOKUP(Table11[[#This Row],[SKU]],'All Skus'!$A:$AC,2,FALSE))="Soundcraft",(VLOOKUP(Table11[[#This Row],[SKU]],'All Skus'!$A:$AC,11,FALSE)),""))</f>
        <v>4773</v>
      </c>
      <c r="K149" s="271">
        <f>(IF((VLOOKUP(Table11[[#This Row],[SKU]],'All Skus'!$A:$AC,2,FALSE))="Soundcraft",(VLOOKUP(Table11[[#This Row],[SKU]],'All Skus'!$A:$AC,16,FALSE)),""))</f>
        <v>0</v>
      </c>
      <c r="L149" s="239">
        <f>(IF((VLOOKUP(Table11[[#This Row],[SKU]],'All Skus'!$A:$AC,2,FALSE))="Soundcraft",(VLOOKUP(Table11[[#This Row],[SKU]],'All Skus'!$A:$AC,17,FALSE)),""))</f>
        <v>0</v>
      </c>
      <c r="M149" s="239">
        <f>(IF((VLOOKUP(Table11[[#This Row],[SKU]],'All Skus'!$A:$AC,2,FALSE))="Soundcraft",(VLOOKUP(Table11[[#This Row],[SKU]],'All Skus'!$A:$AC,18,FALSE)),""))</f>
        <v>0</v>
      </c>
      <c r="N149" s="147">
        <f>(IF((VLOOKUP(Table11[[#This Row],[SKU]],'All Skus'!$A:$AC,2,FALSE))="Soundcraft",(VLOOKUP(Table11[[#This Row],[SKU]],'All Skus'!$A:$AC,19,FALSE)),""))</f>
        <v>0</v>
      </c>
      <c r="O149" s="147">
        <f>(IF((VLOOKUP(Table11[[#This Row],[SKU]],'All Skus'!$A:$AC,2,FALSE))="Soundcraft",(VLOOKUP(Table11[[#This Row],[SKU]],'All Skus'!$A:$AC,20,FALSE)),""))</f>
        <v>0</v>
      </c>
      <c r="P149" s="240">
        <f>(IF((VLOOKUP(Table11[[#This Row],[SKU]],'All Skus'!$A:$AC,2,FALSE))="Soundcraft",(VLOOKUP(Table11[[#This Row],[SKU]],'All Skus'!$A:$AC,21,FALSE)),""))</f>
        <v>0</v>
      </c>
      <c r="Q149" s="61">
        <f>(IF((VLOOKUP(Table11[[#This Row],[SKU]],'All Skus'!$A:$AC,2,FALSE))="Soundcraft",(VLOOKUP(Table11[[#This Row],[SKU]],'All Skus'!$A:$AC,22,FALSE)),""))</f>
        <v>0</v>
      </c>
      <c r="R149" s="61" t="str">
        <f>(IF((VLOOKUP(Table11[[#This Row],[SKU]],'All Skus'!$A:$AC,2,FALSE))="Soundcraft",(VLOOKUP(Table11[[#This Row],[SKU]],'All Skus'!$A:$AC,23,FALSE)),""))</f>
        <v>Compliant</v>
      </c>
      <c r="S149" s="212" t="str">
        <f>HYPERLINK((IF((VLOOKUP(Table11[[#This Row],[SKU]],'All Skus'!$A:$AC,2,FALSE))="Soundcraft",(VLOOKUP(Table11[[#This Row],[SKU]],'All Skus'!$A:$AC,24,FALSE)),"")))</f>
        <v/>
      </c>
      <c r="T149" s="151">
        <v>147</v>
      </c>
      <c r="U149" s="161"/>
      <c r="V149" s="161"/>
    </row>
    <row r="150" spans="1:22" ht="15" customHeight="1">
      <c r="A150" s="158" t="s">
        <v>2490</v>
      </c>
      <c r="B150" s="159" t="str">
        <f>(IF((VLOOKUP(Table11[[#This Row],[SKU]],'All Skus'!$A:$AC,2,FALSE))="Soundcraft",(VLOOKUP(Table11[[#This Row],[SKU]],'All Skus'!$A:$AC,3,FALSE)),""))</f>
        <v>Vi Series Option Cards</v>
      </c>
      <c r="C150" s="21">
        <f>(IF((VLOOKUP(Table11[[#This Row],[SKU]],'All Skus'!$A:$AC,2,FALSE))="Soundcraft",(VLOOKUP(Table11[[#This Row],[SKU]],'All Skus'!$A:$AC,4,FALSE)),""))</f>
        <v>5019847</v>
      </c>
      <c r="D150" s="19" t="str">
        <f>(IF((VLOOKUP(Table11[[#This Row],[SKU]],'All Skus'!$A:$AC,2,FALSE))="Soundcraft",(VLOOKUP(Table11[[#This Row],[SKU]],'All Skus'!$A:$AC,5,FALSE)),""))</f>
        <v>SC-VI</v>
      </c>
      <c r="E150" s="19" t="str">
        <f>(IF((VLOOKUP(Table11[[#This Row],[SKU]],'All Skus'!$A:$AC,2,FALSE))="Soundcraft",(VLOOKUP(Table11[[#This Row],[SKU]],'All Skus'!$A:$AC,6,FALSE)),""))</f>
        <v>YES</v>
      </c>
      <c r="F150" s="18">
        <f>(IF((VLOOKUP(Table11[[#This Row],[SKU]],'All Skus'!$A:$AC,2,FALSE))="Soundcraft",(VLOOKUP(Table11[[#This Row],[SKU]],'All Skus'!$A:$AC,7,FALSE)),""))</f>
        <v>0</v>
      </c>
      <c r="G150" s="22" t="str">
        <f>(IF((VLOOKUP(Table11[[#This Row],[SKU]],'All Skus'!$A:$AC,2,FALSE))="Soundcraft",(VLOOKUP(Table11[[#This Row],[SKU]],'All Skus'!$A:$AC,8,FALSE)),""))</f>
        <v>AES/EBU IN-OUT Board 1-16 CH</v>
      </c>
      <c r="H150" s="22" t="str">
        <f>(IF((VLOOKUP(Table11[[#This Row],[SKU]],'All Skus'!$A:$AC,2,FALSE))="Soundcraft",(VLOOKUP(Table11[[#This Row],[SKU]],'All Skus'!$A:$AC,9,FALSE)),""))</f>
        <v>ViS 16 in 16 out XLR AES Card</v>
      </c>
      <c r="I150" s="157">
        <f>(IF((VLOOKUP(Table11[[#This Row],[SKU]],'All Skus'!$A:$AC,2,FALSE))="Soundcraft",(VLOOKUP(Table11[[#This Row],[SKU]],'All Skus'!$A:$AC,10,FALSE)),""))</f>
        <v>1026.1099999999999</v>
      </c>
      <c r="J150" s="157">
        <f>(IF((VLOOKUP(Table11[[#This Row],[SKU]],'All Skus'!$A:$AC,2,FALSE))="Soundcraft",(VLOOKUP(Table11[[#This Row],[SKU]],'All Skus'!$A:$AC,11,FALSE)),""))</f>
        <v>819</v>
      </c>
      <c r="K150" s="271">
        <f>(IF((VLOOKUP(Table11[[#This Row],[SKU]],'All Skus'!$A:$AC,2,FALSE))="Soundcraft",(VLOOKUP(Table11[[#This Row],[SKU]],'All Skus'!$A:$AC,16,FALSE)),""))</f>
        <v>0</v>
      </c>
      <c r="L150" s="239">
        <f>(IF((VLOOKUP(Table11[[#This Row],[SKU]],'All Skus'!$A:$AC,2,FALSE))="Soundcraft",(VLOOKUP(Table11[[#This Row],[SKU]],'All Skus'!$A:$AC,17,FALSE)),""))</f>
        <v>0</v>
      </c>
      <c r="M150" s="239">
        <f>(IF((VLOOKUP(Table11[[#This Row],[SKU]],'All Skus'!$A:$AC,2,FALSE))="Soundcraft",(VLOOKUP(Table11[[#This Row],[SKU]],'All Skus'!$A:$AC,18,FALSE)),""))</f>
        <v>1</v>
      </c>
      <c r="N150" s="147">
        <f>(IF((VLOOKUP(Table11[[#This Row],[SKU]],'All Skus'!$A:$AC,2,FALSE))="Soundcraft",(VLOOKUP(Table11[[#This Row],[SKU]],'All Skus'!$A:$AC,19,FALSE)),""))</f>
        <v>10</v>
      </c>
      <c r="O150" s="147">
        <f>(IF((VLOOKUP(Table11[[#This Row],[SKU]],'All Skus'!$A:$AC,2,FALSE))="Soundcraft",(VLOOKUP(Table11[[#This Row],[SKU]],'All Skus'!$A:$AC,20,FALSE)),""))</f>
        <v>10</v>
      </c>
      <c r="P150" s="240">
        <f>(IF((VLOOKUP(Table11[[#This Row],[SKU]],'All Skus'!$A:$AC,2,FALSE))="Soundcraft",(VLOOKUP(Table11[[#This Row],[SKU]],'All Skus'!$A:$AC,21,FALSE)),""))</f>
        <v>10</v>
      </c>
      <c r="Q150" s="61">
        <f>(IF((VLOOKUP(Table11[[#This Row],[SKU]],'All Skus'!$A:$AC,2,FALSE))="Soundcraft",(VLOOKUP(Table11[[#This Row],[SKU]],'All Skus'!$A:$AC,22,FALSE)),""))</f>
        <v>0</v>
      </c>
      <c r="R150" s="61" t="str">
        <f>(IF((VLOOKUP(Table11[[#This Row],[SKU]],'All Skus'!$A:$AC,2,FALSE))="Soundcraft",(VLOOKUP(Table11[[#This Row],[SKU]],'All Skus'!$A:$AC,23,FALSE)),""))</f>
        <v>Compliant</v>
      </c>
      <c r="S150" s="212" t="str">
        <f>HYPERLINK((IF((VLOOKUP(Table11[[#This Row],[SKU]],'All Skus'!$A:$AC,2,FALSE))="Soundcraft",(VLOOKUP(Table11[[#This Row],[SKU]],'All Skus'!$A:$AC,24,FALSE)),"")))</f>
        <v>https://www.soundcraft.com/en/products/si-option-cards</v>
      </c>
      <c r="T150" s="151">
        <v>148</v>
      </c>
    </row>
    <row r="151" spans="1:22" ht="15" customHeight="1">
      <c r="A151" s="158" t="s">
        <v>2491</v>
      </c>
      <c r="B151" s="159" t="str">
        <f>(IF((VLOOKUP(Table11[[#This Row],[SKU]],'All Skus'!$A:$AC,2,FALSE))="Soundcraft",(VLOOKUP(Table11[[#This Row],[SKU]],'All Skus'!$A:$AC,3,FALSE)),""))</f>
        <v>Vi Series Option Cards</v>
      </c>
      <c r="C151" s="21" t="str">
        <f>(IF((VLOOKUP(Table11[[#This Row],[SKU]],'All Skus'!$A:$AC,2,FALSE))="Soundcraft",(VLOOKUP(Table11[[#This Row],[SKU]],'All Skus'!$A:$AC,4,FALSE)),""))</f>
        <v>A947.043000SP</v>
      </c>
      <c r="D151" s="19" t="str">
        <f>(IF((VLOOKUP(Table11[[#This Row],[SKU]],'All Skus'!$A:$AC,2,FALSE))="Soundcraft",(VLOOKUP(Table11[[#This Row],[SKU]],'All Skus'!$A:$AC,5,FALSE)),""))</f>
        <v>SC-VI</v>
      </c>
      <c r="E151" s="19">
        <f>(IF((VLOOKUP(Table11[[#This Row],[SKU]],'All Skus'!$A:$AC,2,FALSE))="Soundcraft",(VLOOKUP(Table11[[#This Row],[SKU]],'All Skus'!$A:$AC,6,FALSE)),""))</f>
        <v>0</v>
      </c>
      <c r="F151" s="18">
        <f>(IF((VLOOKUP(Table11[[#This Row],[SKU]],'All Skus'!$A:$AC,2,FALSE))="Soundcraft",(VLOOKUP(Table11[[#This Row],[SKU]],'All Skus'!$A:$AC,7,FALSE)),""))</f>
        <v>0</v>
      </c>
      <c r="G151" s="22" t="str">
        <f>(IF((VLOOKUP(Table11[[#This Row],[SKU]],'All Skus'!$A:$AC,2,FALSE))="Soundcraft",(VLOOKUP(Table11[[#This Row],[SKU]],'All Skus'!$A:$AC,8,FALSE)),""))</f>
        <v>Vi1/CSB Mic/line In 1-16 module (spares)</v>
      </c>
      <c r="H151" s="22" t="str">
        <f>(IF((VLOOKUP(Table11[[#This Row],[SKU]],'All Skus'!$A:$AC,2,FALSE))="Soundcraft",(VLOOKUP(Table11[[#This Row],[SKU]],'All Skus'!$A:$AC,9,FALSE)),""))</f>
        <v>ViS 16 xlr in for Vi1 1-16</v>
      </c>
      <c r="I151" s="157">
        <f>(IF((VLOOKUP(Table11[[#This Row],[SKU]],'All Skus'!$A:$AC,2,FALSE))="Soundcraft",(VLOOKUP(Table11[[#This Row],[SKU]],'All Skus'!$A:$AC,10,FALSE)),""))</f>
        <v>702.85</v>
      </c>
      <c r="J151" s="157">
        <f>(IF((VLOOKUP(Table11[[#This Row],[SKU]],'All Skus'!$A:$AC,2,FALSE))="Soundcraft",(VLOOKUP(Table11[[#This Row],[SKU]],'All Skus'!$A:$AC,11,FALSE)),""))</f>
        <v>702.85</v>
      </c>
      <c r="K151" s="271">
        <f>(IF((VLOOKUP(Table11[[#This Row],[SKU]],'All Skus'!$A:$AC,2,FALSE))="Soundcraft",(VLOOKUP(Table11[[#This Row],[SKU]],'All Skus'!$A:$AC,16,FALSE)),""))</f>
        <v>688705001579</v>
      </c>
      <c r="L151" s="239">
        <f>(IF((VLOOKUP(Table11[[#This Row],[SKU]],'All Skus'!$A:$AC,2,FALSE))="Soundcraft",(VLOOKUP(Table11[[#This Row],[SKU]],'All Skus'!$A:$AC,17,FALSE)),""))</f>
        <v>0</v>
      </c>
      <c r="M151" s="239">
        <f>(IF((VLOOKUP(Table11[[#This Row],[SKU]],'All Skus'!$A:$AC,2,FALSE))="Soundcraft",(VLOOKUP(Table11[[#This Row],[SKU]],'All Skus'!$A:$AC,18,FALSE)),""))</f>
        <v>3</v>
      </c>
      <c r="N151" s="147">
        <f>(IF((VLOOKUP(Table11[[#This Row],[SKU]],'All Skus'!$A:$AC,2,FALSE))="Soundcraft",(VLOOKUP(Table11[[#This Row],[SKU]],'All Skus'!$A:$AC,19,FALSE)),""))</f>
        <v>28</v>
      </c>
      <c r="O151" s="147">
        <f>(IF((VLOOKUP(Table11[[#This Row],[SKU]],'All Skus'!$A:$AC,2,FALSE))="Soundcraft",(VLOOKUP(Table11[[#This Row],[SKU]],'All Skus'!$A:$AC,20,FALSE)),""))</f>
        <v>10</v>
      </c>
      <c r="P151" s="240">
        <f>(IF((VLOOKUP(Table11[[#This Row],[SKU]],'All Skus'!$A:$AC,2,FALSE))="Soundcraft",(VLOOKUP(Table11[[#This Row],[SKU]],'All Skus'!$A:$AC,21,FALSE)),""))</f>
        <v>4</v>
      </c>
      <c r="Q151" s="61" t="str">
        <f>(IF((VLOOKUP(Table11[[#This Row],[SKU]],'All Skus'!$A:$AC,2,FALSE))="Soundcraft",(VLOOKUP(Table11[[#This Row],[SKU]],'All Skus'!$A:$AC,22,FALSE)),""))</f>
        <v>CN</v>
      </c>
      <c r="R151" s="61" t="str">
        <f>(IF((VLOOKUP(Table11[[#This Row],[SKU]],'All Skus'!$A:$AC,2,FALSE))="Soundcraft",(VLOOKUP(Table11[[#This Row],[SKU]],'All Skus'!$A:$AC,23,FALSE)),""))</f>
        <v>Compliant</v>
      </c>
      <c r="S151" s="212" t="str">
        <f>HYPERLINK((IF((VLOOKUP(Table11[[#This Row],[SKU]],'All Skus'!$A:$AC,2,FALSE))="Soundcraft",(VLOOKUP(Table11[[#This Row],[SKU]],'All Skus'!$A:$AC,24,FALSE)),"")))</f>
        <v/>
      </c>
      <c r="T151" s="151">
        <v>149</v>
      </c>
    </row>
    <row r="152" spans="1:22" ht="15" customHeight="1">
      <c r="A152" s="158" t="s">
        <v>2492</v>
      </c>
      <c r="B152" s="159" t="str">
        <f>(IF((VLOOKUP(Table11[[#This Row],[SKU]],'All Skus'!$A:$AC,2,FALSE))="Soundcraft",(VLOOKUP(Table11[[#This Row],[SKU]],'All Skus'!$A:$AC,3,FALSE)),""))</f>
        <v>Vi Series Option Cards</v>
      </c>
      <c r="C152" s="21" t="str">
        <f>(IF((VLOOKUP(Table11[[#This Row],[SKU]],'All Skus'!$A:$AC,2,FALSE))="Soundcraft",(VLOOKUP(Table11[[#This Row],[SKU]],'All Skus'!$A:$AC,4,FALSE)),""))</f>
        <v>5045892.V</v>
      </c>
      <c r="D152" s="19" t="str">
        <f>(IF((VLOOKUP(Table11[[#This Row],[SKU]],'All Skus'!$A:$AC,2,FALSE))="Soundcraft",(VLOOKUP(Table11[[#This Row],[SKU]],'All Skus'!$A:$AC,5,FALSE)),""))</f>
        <v>SC-VI</v>
      </c>
      <c r="E152" s="19">
        <f>(IF((VLOOKUP(Table11[[#This Row],[SKU]],'All Skus'!$A:$AC,2,FALSE))="Soundcraft",(VLOOKUP(Table11[[#This Row],[SKU]],'All Skus'!$A:$AC,6,FALSE)),""))</f>
        <v>0</v>
      </c>
      <c r="F152" s="18">
        <f>(IF((VLOOKUP(Table11[[#This Row],[SKU]],'All Skus'!$A:$AC,2,FALSE))="Soundcraft",(VLOOKUP(Table11[[#This Row],[SKU]],'All Skus'!$A:$AC,7,FALSE)),""))</f>
        <v>0</v>
      </c>
      <c r="G152" s="22" t="str">
        <f>(IF((VLOOKUP(Table11[[#This Row],[SKU]],'All Skus'!$A:$AC,2,FALSE))="Soundcraft",(VLOOKUP(Table11[[#This Row],[SKU]],'All Skus'!$A:$AC,8,FALSE)),""))</f>
        <v>HQ MIC CARD,HP,10K,17-32CH</v>
      </c>
      <c r="H152" s="22" t="str">
        <f>(IF((VLOOKUP(Table11[[#This Row],[SKU]],'All Skus'!$A:$AC,2,FALSE))="Soundcraft",(VLOOKUP(Table11[[#This Row],[SKU]],'All Skus'!$A:$AC,9,FALSE)),""))</f>
        <v>ViS-HQML17  HQ mic card 18-32</v>
      </c>
      <c r="I152" s="157">
        <f>(IF((VLOOKUP(Table11[[#This Row],[SKU]],'All Skus'!$A:$AC,2,FALSE))="Soundcraft",(VLOOKUP(Table11[[#This Row],[SKU]],'All Skus'!$A:$AC,10,FALSE)),""))</f>
        <v>1410.59</v>
      </c>
      <c r="J152" s="157">
        <f>(IF((VLOOKUP(Table11[[#This Row],[SKU]],'All Skus'!$A:$AC,2,FALSE))="Soundcraft",(VLOOKUP(Table11[[#This Row],[SKU]],'All Skus'!$A:$AC,11,FALSE)),""))</f>
        <v>1410</v>
      </c>
      <c r="K152" s="271">
        <f>(IF((VLOOKUP(Table11[[#This Row],[SKU]],'All Skus'!$A:$AC,2,FALSE))="Soundcraft",(VLOOKUP(Table11[[#This Row],[SKU]],'All Skus'!$A:$AC,16,FALSE)),""))</f>
        <v>688705000992</v>
      </c>
      <c r="L152" s="239">
        <f>(IF((VLOOKUP(Table11[[#This Row],[SKU]],'All Skus'!$A:$AC,2,FALSE))="Soundcraft",(VLOOKUP(Table11[[#This Row],[SKU]],'All Skus'!$A:$AC,17,FALSE)),""))</f>
        <v>0</v>
      </c>
      <c r="M152" s="239">
        <f>(IF((VLOOKUP(Table11[[#This Row],[SKU]],'All Skus'!$A:$AC,2,FALSE))="Soundcraft",(VLOOKUP(Table11[[#This Row],[SKU]],'All Skus'!$A:$AC,18,FALSE)),""))</f>
        <v>0</v>
      </c>
      <c r="N152" s="147">
        <f>(IF((VLOOKUP(Table11[[#This Row],[SKU]],'All Skus'!$A:$AC,2,FALSE))="Soundcraft",(VLOOKUP(Table11[[#This Row],[SKU]],'All Skus'!$A:$AC,19,FALSE)),""))</f>
        <v>0</v>
      </c>
      <c r="O152" s="147">
        <f>(IF((VLOOKUP(Table11[[#This Row],[SKU]],'All Skus'!$A:$AC,2,FALSE))="Soundcraft",(VLOOKUP(Table11[[#This Row],[SKU]],'All Skus'!$A:$AC,20,FALSE)),""))</f>
        <v>0</v>
      </c>
      <c r="P152" s="240">
        <f>(IF((VLOOKUP(Table11[[#This Row],[SKU]],'All Skus'!$A:$AC,2,FALSE))="Soundcraft",(VLOOKUP(Table11[[#This Row],[SKU]],'All Skus'!$A:$AC,21,FALSE)),""))</f>
        <v>0</v>
      </c>
      <c r="Q152" s="61" t="str">
        <f>(IF((VLOOKUP(Table11[[#This Row],[SKU]],'All Skus'!$A:$AC,2,FALSE))="Soundcraft",(VLOOKUP(Table11[[#This Row],[SKU]],'All Skus'!$A:$AC,22,FALSE)),""))</f>
        <v>CN</v>
      </c>
      <c r="R152" s="61" t="str">
        <f>(IF((VLOOKUP(Table11[[#This Row],[SKU]],'All Skus'!$A:$AC,2,FALSE))="Soundcraft",(VLOOKUP(Table11[[#This Row],[SKU]],'All Skus'!$A:$AC,23,FALSE)),""))</f>
        <v>Compliant</v>
      </c>
      <c r="S152" s="212" t="str">
        <f>HYPERLINK((IF((VLOOKUP(Table11[[#This Row],[SKU]],'All Skus'!$A:$AC,2,FALSE))="Soundcraft",(VLOOKUP(Table11[[#This Row],[SKU]],'All Skus'!$A:$AC,24,FALSE)),"")))</f>
        <v/>
      </c>
      <c r="T152" s="151">
        <v>150</v>
      </c>
    </row>
    <row r="153" spans="1:22" ht="15" customHeight="1">
      <c r="A153" s="158" t="s">
        <v>2493</v>
      </c>
      <c r="B153" s="159" t="str">
        <f>(IF((VLOOKUP(Table11[[#This Row],[SKU]],'All Skus'!$A:$AC,2,FALSE))="Soundcraft",(VLOOKUP(Table11[[#This Row],[SKU]],'All Skus'!$A:$AC,3,FALSE)),""))</f>
        <v>Vi Series Option Cards</v>
      </c>
      <c r="C153" s="21">
        <f>(IF((VLOOKUP(Table11[[#This Row],[SKU]],'All Skus'!$A:$AC,2,FALSE))="Soundcraft",(VLOOKUP(Table11[[#This Row],[SKU]],'All Skus'!$A:$AC,4,FALSE)),""))</f>
        <v>5042297</v>
      </c>
      <c r="D153" s="19" t="str">
        <f>(IF((VLOOKUP(Table11[[#This Row],[SKU]],'All Skus'!$A:$AC,2,FALSE))="Soundcraft",(VLOOKUP(Table11[[#This Row],[SKU]],'All Skus'!$A:$AC,5,FALSE)),""))</f>
        <v>SC-VI</v>
      </c>
      <c r="E153" s="19">
        <f>(IF((VLOOKUP(Table11[[#This Row],[SKU]],'All Skus'!$A:$AC,2,FALSE))="Soundcraft",(VLOOKUP(Table11[[#This Row],[SKU]],'All Skus'!$A:$AC,6,FALSE)),""))</f>
        <v>0</v>
      </c>
      <c r="F153" s="18">
        <f>(IF((VLOOKUP(Table11[[#This Row],[SKU]],'All Skus'!$A:$AC,2,FALSE))="Soundcraft",(VLOOKUP(Table11[[#This Row],[SKU]],'All Skus'!$A:$AC,7,FALSE)),""))</f>
        <v>0</v>
      </c>
      <c r="G153" s="22" t="str">
        <f>(IF((VLOOKUP(Table11[[#This Row],[SKU]],'All Skus'!$A:$AC,2,FALSE))="Soundcraft",(VLOOKUP(Table11[[#This Row],[SKU]],'All Skus'!$A:$AC,8,FALSE)),""))</f>
        <v>ViS-HQML HQ mic card 33-48</v>
      </c>
      <c r="H153" s="22" t="str">
        <f>(IF((VLOOKUP(Table11[[#This Row],[SKU]],'All Skus'!$A:$AC,2,FALSE))="Soundcraft",(VLOOKUP(Table11[[#This Row],[SKU]],'All Skus'!$A:$AC,9,FALSE)),""))</f>
        <v>ViS-HQML HQ mic card 33-48</v>
      </c>
      <c r="I153" s="157">
        <f>(IF((VLOOKUP(Table11[[#This Row],[SKU]],'All Skus'!$A:$AC,2,FALSE))="Soundcraft",(VLOOKUP(Table11[[#This Row],[SKU]],'All Skus'!$A:$AC,10,FALSE)),""))</f>
        <v>1410.59</v>
      </c>
      <c r="J153" s="157">
        <f>(IF((VLOOKUP(Table11[[#This Row],[SKU]],'All Skus'!$A:$AC,2,FALSE))="Soundcraft",(VLOOKUP(Table11[[#This Row],[SKU]],'All Skus'!$A:$AC,11,FALSE)),""))</f>
        <v>1410</v>
      </c>
      <c r="K153" s="271">
        <f>(IF((VLOOKUP(Table11[[#This Row],[SKU]],'All Skus'!$A:$AC,2,FALSE))="Soundcraft",(VLOOKUP(Table11[[#This Row],[SKU]],'All Skus'!$A:$AC,16,FALSE)),""))</f>
        <v>688705000930</v>
      </c>
      <c r="L153" s="239">
        <f>(IF((VLOOKUP(Table11[[#This Row],[SKU]],'All Skus'!$A:$AC,2,FALSE))="Soundcraft",(VLOOKUP(Table11[[#This Row],[SKU]],'All Skus'!$A:$AC,17,FALSE)),""))</f>
        <v>0</v>
      </c>
      <c r="M153" s="239">
        <f>(IF((VLOOKUP(Table11[[#This Row],[SKU]],'All Skus'!$A:$AC,2,FALSE))="Soundcraft",(VLOOKUP(Table11[[#This Row],[SKU]],'All Skus'!$A:$AC,18,FALSE)),""))</f>
        <v>0</v>
      </c>
      <c r="N153" s="147">
        <f>(IF((VLOOKUP(Table11[[#This Row],[SKU]],'All Skus'!$A:$AC,2,FALSE))="Soundcraft",(VLOOKUP(Table11[[#This Row],[SKU]],'All Skus'!$A:$AC,19,FALSE)),""))</f>
        <v>0</v>
      </c>
      <c r="O153" s="147">
        <f>(IF((VLOOKUP(Table11[[#This Row],[SKU]],'All Skus'!$A:$AC,2,FALSE))="Soundcraft",(VLOOKUP(Table11[[#This Row],[SKU]],'All Skus'!$A:$AC,20,FALSE)),""))</f>
        <v>0</v>
      </c>
      <c r="P153" s="240">
        <f>(IF((VLOOKUP(Table11[[#This Row],[SKU]],'All Skus'!$A:$AC,2,FALSE))="Soundcraft",(VLOOKUP(Table11[[#This Row],[SKU]],'All Skus'!$A:$AC,21,FALSE)),""))</f>
        <v>0</v>
      </c>
      <c r="Q153" s="61">
        <f>(IF((VLOOKUP(Table11[[#This Row],[SKU]],'All Skus'!$A:$AC,2,FALSE))="Soundcraft",(VLOOKUP(Table11[[#This Row],[SKU]],'All Skus'!$A:$AC,22,FALSE)),""))</f>
        <v>0</v>
      </c>
      <c r="R153" s="61" t="str">
        <f>(IF((VLOOKUP(Table11[[#This Row],[SKU]],'All Skus'!$A:$AC,2,FALSE))="Soundcraft",(VLOOKUP(Table11[[#This Row],[SKU]],'All Skus'!$A:$AC,23,FALSE)),""))</f>
        <v>Compliant</v>
      </c>
      <c r="S153" s="212" t="str">
        <f>HYPERLINK((IF((VLOOKUP(Table11[[#This Row],[SKU]],'All Skus'!$A:$AC,2,FALSE))="Soundcraft",(VLOOKUP(Table11[[#This Row],[SKU]],'All Skus'!$A:$AC,24,FALSE)),"")))</f>
        <v/>
      </c>
      <c r="T153" s="151">
        <v>151</v>
      </c>
    </row>
    <row r="154" spans="1:22" ht="15" customHeight="1">
      <c r="A154" s="158">
        <v>5036208</v>
      </c>
      <c r="B154" s="159" t="str">
        <f>(IF((VLOOKUP(Table11[[#This Row],[SKU]],'All Skus'!$A:$AC,2,FALSE))="Soundcraft",(VLOOKUP(Table11[[#This Row],[SKU]],'All Skus'!$A:$AC,3,FALSE)),""))</f>
        <v>Vi Series Option Cards</v>
      </c>
      <c r="C154" s="21">
        <f>(IF((VLOOKUP(Table11[[#This Row],[SKU]],'All Skus'!$A:$AC,2,FALSE))="Soundcraft",(VLOOKUP(Table11[[#This Row],[SKU]],'All Skus'!$A:$AC,4,FALSE)),""))</f>
        <v>5036208</v>
      </c>
      <c r="D154" s="19" t="str">
        <f>(IF((VLOOKUP(Table11[[#This Row],[SKU]],'All Skus'!$A:$AC,2,FALSE))="Soundcraft",(VLOOKUP(Table11[[#This Row],[SKU]],'All Skus'!$A:$AC,5,FALSE)),""))</f>
        <v>SC-VI</v>
      </c>
      <c r="E154" s="19" t="str">
        <f>(IF((VLOOKUP(Table11[[#This Row],[SKU]],'All Skus'!$A:$AC,2,FALSE))="Soundcraft",(VLOOKUP(Table11[[#This Row],[SKU]],'All Skus'!$A:$AC,6,FALSE)),""))</f>
        <v>YES</v>
      </c>
      <c r="F154" s="18">
        <f>(IF((VLOOKUP(Table11[[#This Row],[SKU]],'All Skus'!$A:$AC,2,FALSE))="Soundcraft",(VLOOKUP(Table11[[#This Row],[SKU]],'All Skus'!$A:$AC,7,FALSE)),""))</f>
        <v>0</v>
      </c>
      <c r="G154" s="22" t="str">
        <f>(IF((VLOOKUP(Table11[[#This Row],[SKU]],'All Skus'!$A:$AC,2,FALSE))="Soundcraft",(VLOOKUP(Table11[[#This Row],[SKU]],'All Skus'!$A:$AC,8,FALSE)),""))</f>
        <v>Vi1/CSB Mic/Line IN 33-48 module</v>
      </c>
      <c r="H154" s="22" t="str">
        <f>(IF((VLOOKUP(Table11[[#This Row],[SKU]],'All Skus'!$A:$AC,2,FALSE))="Soundcraft",(VLOOKUP(Table11[[#This Row],[SKU]],'All Skus'!$A:$AC,9,FALSE)),""))</f>
        <v>ViS 16 xlr in for Vi1  33-48</v>
      </c>
      <c r="I154" s="157">
        <f>(IF((VLOOKUP(Table11[[#This Row],[SKU]],'All Skus'!$A:$AC,2,FALSE))="Soundcraft",(VLOOKUP(Table11[[#This Row],[SKU]],'All Skus'!$A:$AC,10,FALSE)),""))</f>
        <v>690.6</v>
      </c>
      <c r="J154" s="157">
        <f>(IF((VLOOKUP(Table11[[#This Row],[SKU]],'All Skus'!$A:$AC,2,FALSE))="Soundcraft",(VLOOKUP(Table11[[#This Row],[SKU]],'All Skus'!$A:$AC,11,FALSE)),""))</f>
        <v>690.6</v>
      </c>
      <c r="K154" s="271">
        <f>(IF((VLOOKUP(Table11[[#This Row],[SKU]],'All Skus'!$A:$AC,2,FALSE))="Soundcraft",(VLOOKUP(Table11[[#This Row],[SKU]],'All Skus'!$A:$AC,16,FALSE)),""))</f>
        <v>0</v>
      </c>
      <c r="L154" s="239">
        <f>(IF((VLOOKUP(Table11[[#This Row],[SKU]],'All Skus'!$A:$AC,2,FALSE))="Soundcraft",(VLOOKUP(Table11[[#This Row],[SKU]],'All Skus'!$A:$AC,17,FALSE)),""))</f>
        <v>0</v>
      </c>
      <c r="M154" s="239">
        <f>(IF((VLOOKUP(Table11[[#This Row],[SKU]],'All Skus'!$A:$AC,2,FALSE))="Soundcraft",(VLOOKUP(Table11[[#This Row],[SKU]],'All Skus'!$A:$AC,18,FALSE)),""))</f>
        <v>0</v>
      </c>
      <c r="N154" s="147">
        <f>(IF((VLOOKUP(Table11[[#This Row],[SKU]],'All Skus'!$A:$AC,2,FALSE))="Soundcraft",(VLOOKUP(Table11[[#This Row],[SKU]],'All Skus'!$A:$AC,19,FALSE)),""))</f>
        <v>0</v>
      </c>
      <c r="O154" s="147">
        <f>(IF((VLOOKUP(Table11[[#This Row],[SKU]],'All Skus'!$A:$AC,2,FALSE))="Soundcraft",(VLOOKUP(Table11[[#This Row],[SKU]],'All Skus'!$A:$AC,20,FALSE)),""))</f>
        <v>0</v>
      </c>
      <c r="P154" s="240">
        <f>(IF((VLOOKUP(Table11[[#This Row],[SKU]],'All Skus'!$A:$AC,2,FALSE))="Soundcraft",(VLOOKUP(Table11[[#This Row],[SKU]],'All Skus'!$A:$AC,21,FALSE)),""))</f>
        <v>0</v>
      </c>
      <c r="Q154" s="61">
        <f>(IF((VLOOKUP(Table11[[#This Row],[SKU]],'All Skus'!$A:$AC,2,FALSE))="Soundcraft",(VLOOKUP(Table11[[#This Row],[SKU]],'All Skus'!$A:$AC,22,FALSE)),""))</f>
        <v>0</v>
      </c>
      <c r="R154" s="61" t="str">
        <f>(IF((VLOOKUP(Table11[[#This Row],[SKU]],'All Skus'!$A:$AC,2,FALSE))="Soundcraft",(VLOOKUP(Table11[[#This Row],[SKU]],'All Skus'!$A:$AC,23,FALSE)),""))</f>
        <v>Compliant</v>
      </c>
      <c r="S154" s="212" t="str">
        <f>HYPERLINK((IF((VLOOKUP(Table11[[#This Row],[SKU]],'All Skus'!$A:$AC,2,FALSE))="Soundcraft",(VLOOKUP(Table11[[#This Row],[SKU]],'All Skus'!$A:$AC,24,FALSE)),"")))</f>
        <v/>
      </c>
      <c r="T154" s="151">
        <v>152</v>
      </c>
    </row>
    <row r="155" spans="1:22" ht="15" customHeight="1">
      <c r="A155" s="158" t="s">
        <v>2494</v>
      </c>
      <c r="B155" s="159" t="str">
        <f>(IF((VLOOKUP(Table11[[#This Row],[SKU]],'All Skus'!$A:$AC,2,FALSE))="Soundcraft",(VLOOKUP(Table11[[#This Row],[SKU]],'All Skus'!$A:$AC,3,FALSE)),""))</f>
        <v>Vi Series Option Cards</v>
      </c>
      <c r="C155" s="21" t="str">
        <f>(IF((VLOOKUP(Table11[[#This Row],[SKU]],'All Skus'!$A:$AC,2,FALSE))="Soundcraft",(VLOOKUP(Table11[[#This Row],[SKU]],'All Skus'!$A:$AC,4,FALSE)),""))</f>
        <v>A947.043500SP</v>
      </c>
      <c r="D155" s="19" t="str">
        <f>(IF((VLOOKUP(Table11[[#This Row],[SKU]],'All Skus'!$A:$AC,2,FALSE))="Soundcraft",(VLOOKUP(Table11[[#This Row],[SKU]],'All Skus'!$A:$AC,5,FALSE)),""))</f>
        <v>SC-VI</v>
      </c>
      <c r="E155" s="19">
        <f>(IF((VLOOKUP(Table11[[#This Row],[SKU]],'All Skus'!$A:$AC,2,FALSE))="Soundcraft",(VLOOKUP(Table11[[#This Row],[SKU]],'All Skus'!$A:$AC,6,FALSE)),""))</f>
        <v>0</v>
      </c>
      <c r="F155" s="18">
        <f>(IF((VLOOKUP(Table11[[#This Row],[SKU]],'All Skus'!$A:$AC,2,FALSE))="Soundcraft",(VLOOKUP(Table11[[#This Row],[SKU]],'All Skus'!$A:$AC,7,FALSE)),""))</f>
        <v>0</v>
      </c>
      <c r="G155" s="22" t="str">
        <f>(IF((VLOOKUP(Table11[[#This Row],[SKU]],'All Skus'!$A:$AC,2,FALSE))="Soundcraft",(VLOOKUP(Table11[[#This Row],[SKU]],'All Skus'!$A:$AC,8,FALSE)),""))</f>
        <v>Vi1/CSB Line Output module 1-16 (spares)</v>
      </c>
      <c r="H155" s="22" t="str">
        <f>(IF((VLOOKUP(Table11[[#This Row],[SKU]],'All Skus'!$A:$AC,2,FALSE))="Soundcraft",(VLOOKUP(Table11[[#This Row],[SKU]],'All Skus'!$A:$AC,9,FALSE)),""))</f>
        <v>ViS 16 xlr out 1-16</v>
      </c>
      <c r="I155" s="157">
        <f>(IF((VLOOKUP(Table11[[#This Row],[SKU]],'All Skus'!$A:$AC,2,FALSE))="Soundcraft",(VLOOKUP(Table11[[#This Row],[SKU]],'All Skus'!$A:$AC,10,FALSE)),""))</f>
        <v>576.73</v>
      </c>
      <c r="J155" s="157">
        <f>(IF((VLOOKUP(Table11[[#This Row],[SKU]],'All Skus'!$A:$AC,2,FALSE))="Soundcraft",(VLOOKUP(Table11[[#This Row],[SKU]],'All Skus'!$A:$AC,11,FALSE)),""))</f>
        <v>576.73</v>
      </c>
      <c r="K155" s="271">
        <f>(IF((VLOOKUP(Table11[[#This Row],[SKU]],'All Skus'!$A:$AC,2,FALSE))="Soundcraft",(VLOOKUP(Table11[[#This Row],[SKU]],'All Skus'!$A:$AC,16,FALSE)),""))</f>
        <v>688705001555</v>
      </c>
      <c r="L155" s="239">
        <f>(IF((VLOOKUP(Table11[[#This Row],[SKU]],'All Skus'!$A:$AC,2,FALSE))="Soundcraft",(VLOOKUP(Table11[[#This Row],[SKU]],'All Skus'!$A:$AC,17,FALSE)),""))</f>
        <v>0</v>
      </c>
      <c r="M155" s="239">
        <f>(IF((VLOOKUP(Table11[[#This Row],[SKU]],'All Skus'!$A:$AC,2,FALSE))="Soundcraft",(VLOOKUP(Table11[[#This Row],[SKU]],'All Skus'!$A:$AC,18,FALSE)),""))</f>
        <v>5</v>
      </c>
      <c r="N155" s="147">
        <f>(IF((VLOOKUP(Table11[[#This Row],[SKU]],'All Skus'!$A:$AC,2,FALSE))="Soundcraft",(VLOOKUP(Table11[[#This Row],[SKU]],'All Skus'!$A:$AC,19,FALSE)),""))</f>
        <v>23</v>
      </c>
      <c r="O155" s="147">
        <f>(IF((VLOOKUP(Table11[[#This Row],[SKU]],'All Skus'!$A:$AC,2,FALSE))="Soundcraft",(VLOOKUP(Table11[[#This Row],[SKU]],'All Skus'!$A:$AC,20,FALSE)),""))</f>
        <v>15.5</v>
      </c>
      <c r="P155" s="240">
        <f>(IF((VLOOKUP(Table11[[#This Row],[SKU]],'All Skus'!$A:$AC,2,FALSE))="Soundcraft",(VLOOKUP(Table11[[#This Row],[SKU]],'All Skus'!$A:$AC,21,FALSE)),""))</f>
        <v>16</v>
      </c>
      <c r="Q155" s="61" t="str">
        <f>(IF((VLOOKUP(Table11[[#This Row],[SKU]],'All Skus'!$A:$AC,2,FALSE))="Soundcraft",(VLOOKUP(Table11[[#This Row],[SKU]],'All Skus'!$A:$AC,22,FALSE)),""))</f>
        <v>CN</v>
      </c>
      <c r="R155" s="61" t="str">
        <f>(IF((VLOOKUP(Table11[[#This Row],[SKU]],'All Skus'!$A:$AC,2,FALSE))="Soundcraft",(VLOOKUP(Table11[[#This Row],[SKU]],'All Skus'!$A:$AC,23,FALSE)),""))</f>
        <v>Compliant</v>
      </c>
      <c r="S155" s="212" t="str">
        <f>HYPERLINK((IF((VLOOKUP(Table11[[#This Row],[SKU]],'All Skus'!$A:$AC,2,FALSE))="Soundcraft",(VLOOKUP(Table11[[#This Row],[SKU]],'All Skus'!$A:$AC,24,FALSE)),"")))</f>
        <v/>
      </c>
      <c r="T155" s="151">
        <v>153</v>
      </c>
    </row>
    <row r="156" spans="1:22" ht="15" customHeight="1">
      <c r="A156" s="158" t="s">
        <v>2495</v>
      </c>
      <c r="B156" s="159" t="str">
        <f>(IF((VLOOKUP(Table11[[#This Row],[SKU]],'All Skus'!$A:$AC,2,FALSE))="Soundcraft",(VLOOKUP(Table11[[#This Row],[SKU]],'All Skus'!$A:$AC,3,FALSE)),""))</f>
        <v>Vi Series Option Cards</v>
      </c>
      <c r="C156" s="21" t="str">
        <f>(IF((VLOOKUP(Table11[[#This Row],[SKU]],'All Skus'!$A:$AC,2,FALSE))="Soundcraft",(VLOOKUP(Table11[[#This Row],[SKU]],'All Skus'!$A:$AC,4,FALSE)),""))</f>
        <v>A947.043600SP</v>
      </c>
      <c r="D156" s="19" t="str">
        <f>(IF((VLOOKUP(Table11[[#This Row],[SKU]],'All Skus'!$A:$AC,2,FALSE))="Soundcraft",(VLOOKUP(Table11[[#This Row],[SKU]],'All Skus'!$A:$AC,5,FALSE)),""))</f>
        <v>SC-VI</v>
      </c>
      <c r="E156" s="19">
        <f>(IF((VLOOKUP(Table11[[#This Row],[SKU]],'All Skus'!$A:$AC,2,FALSE))="Soundcraft",(VLOOKUP(Table11[[#This Row],[SKU]],'All Skus'!$A:$AC,6,FALSE)),""))</f>
        <v>0</v>
      </c>
      <c r="F156" s="18">
        <f>(IF((VLOOKUP(Table11[[#This Row],[SKU]],'All Skus'!$A:$AC,2,FALSE))="Soundcraft",(VLOOKUP(Table11[[#This Row],[SKU]],'All Skus'!$A:$AC,7,FALSE)),""))</f>
        <v>0</v>
      </c>
      <c r="G156" s="22" t="str">
        <f>(IF((VLOOKUP(Table11[[#This Row],[SKU]],'All Skus'!$A:$AC,2,FALSE))="Soundcraft",(VLOOKUP(Table11[[#This Row],[SKU]],'All Skus'!$A:$AC,8,FALSE)),""))</f>
        <v>Vi1/CSB Line Output module 17-32 (spares)</v>
      </c>
      <c r="H156" s="22" t="str">
        <f>(IF((VLOOKUP(Table11[[#This Row],[SKU]],'All Skus'!$A:$AC,2,FALSE))="Soundcraft",(VLOOKUP(Table11[[#This Row],[SKU]],'All Skus'!$A:$AC,9,FALSE)),""))</f>
        <v>ViS 16 xlr out 17-32</v>
      </c>
      <c r="I156" s="157">
        <f>(IF((VLOOKUP(Table11[[#This Row],[SKU]],'All Skus'!$A:$AC,2,FALSE))="Soundcraft",(VLOOKUP(Table11[[#This Row],[SKU]],'All Skus'!$A:$AC,10,FALSE)),""))</f>
        <v>576.73</v>
      </c>
      <c r="J156" s="157">
        <f>(IF((VLOOKUP(Table11[[#This Row],[SKU]],'All Skus'!$A:$AC,2,FALSE))="Soundcraft",(VLOOKUP(Table11[[#This Row],[SKU]],'All Skus'!$A:$AC,11,FALSE)),""))</f>
        <v>576.73</v>
      </c>
      <c r="K156" s="271">
        <f>(IF((VLOOKUP(Table11[[#This Row],[SKU]],'All Skus'!$A:$AC,2,FALSE))="Soundcraft",(VLOOKUP(Table11[[#This Row],[SKU]],'All Skus'!$A:$AC,16,FALSE)),""))</f>
        <v>688705001562</v>
      </c>
      <c r="L156" s="239">
        <f>(IF((VLOOKUP(Table11[[#This Row],[SKU]],'All Skus'!$A:$AC,2,FALSE))="Soundcraft",(VLOOKUP(Table11[[#This Row],[SKU]],'All Skus'!$A:$AC,17,FALSE)),""))</f>
        <v>0</v>
      </c>
      <c r="M156" s="239">
        <f>(IF((VLOOKUP(Table11[[#This Row],[SKU]],'All Skus'!$A:$AC,2,FALSE))="Soundcraft",(VLOOKUP(Table11[[#This Row],[SKU]],'All Skus'!$A:$AC,18,FALSE)),""))</f>
        <v>5</v>
      </c>
      <c r="N156" s="147">
        <f>(IF((VLOOKUP(Table11[[#This Row],[SKU]],'All Skus'!$A:$AC,2,FALSE))="Soundcraft",(VLOOKUP(Table11[[#This Row],[SKU]],'All Skus'!$A:$AC,19,FALSE)),""))</f>
        <v>23</v>
      </c>
      <c r="O156" s="147">
        <f>(IF((VLOOKUP(Table11[[#This Row],[SKU]],'All Skus'!$A:$AC,2,FALSE))="Soundcraft",(VLOOKUP(Table11[[#This Row],[SKU]],'All Skus'!$A:$AC,20,FALSE)),""))</f>
        <v>15.5</v>
      </c>
      <c r="P156" s="240">
        <f>(IF((VLOOKUP(Table11[[#This Row],[SKU]],'All Skus'!$A:$AC,2,FALSE))="Soundcraft",(VLOOKUP(Table11[[#This Row],[SKU]],'All Skus'!$A:$AC,21,FALSE)),""))</f>
        <v>16</v>
      </c>
      <c r="Q156" s="61">
        <f>(IF((VLOOKUP(Table11[[#This Row],[SKU]],'All Skus'!$A:$AC,2,FALSE))="Soundcraft",(VLOOKUP(Table11[[#This Row],[SKU]],'All Skus'!$A:$AC,22,FALSE)),""))</f>
        <v>0</v>
      </c>
      <c r="R156" s="61" t="str">
        <f>(IF((VLOOKUP(Table11[[#This Row],[SKU]],'All Skus'!$A:$AC,2,FALSE))="Soundcraft",(VLOOKUP(Table11[[#This Row],[SKU]],'All Skus'!$A:$AC,23,FALSE)),""))</f>
        <v>Compliant</v>
      </c>
      <c r="S156" s="212" t="str">
        <f>HYPERLINK((IF((VLOOKUP(Table11[[#This Row],[SKU]],'All Skus'!$A:$AC,2,FALSE))="Soundcraft",(VLOOKUP(Table11[[#This Row],[SKU]],'All Skus'!$A:$AC,24,FALSE)),"")))</f>
        <v/>
      </c>
      <c r="T156" s="151">
        <v>154</v>
      </c>
    </row>
    <row r="157" spans="1:22" ht="15" customHeight="1">
      <c r="A157" s="158" t="s">
        <v>2496</v>
      </c>
      <c r="B157" s="159" t="str">
        <f>(IF((VLOOKUP(Table11[[#This Row],[SKU]],'All Skus'!$A:$AC,2,FALSE))="Soundcraft",(VLOOKUP(Table11[[#This Row],[SKU]],'All Skus'!$A:$AC,3,FALSE)),""))</f>
        <v>Vi Series Option Cards</v>
      </c>
      <c r="C157" s="21" t="str">
        <f>(IF((VLOOKUP(Table11[[#This Row],[SKU]],'All Skus'!$A:$AC,2,FALSE))="Soundcraft",(VLOOKUP(Table11[[#This Row],[SKU]],'All Skus'!$A:$AC,4,FALSE)),""))</f>
        <v>A947.043700SP</v>
      </c>
      <c r="D157" s="19" t="str">
        <f>(IF((VLOOKUP(Table11[[#This Row],[SKU]],'All Skus'!$A:$AC,2,FALSE))="Soundcraft",(VLOOKUP(Table11[[#This Row],[SKU]],'All Skus'!$A:$AC,5,FALSE)),""))</f>
        <v>SC-VI</v>
      </c>
      <c r="E157" s="19">
        <f>(IF((VLOOKUP(Table11[[#This Row],[SKU]],'All Skus'!$A:$AC,2,FALSE))="Soundcraft",(VLOOKUP(Table11[[#This Row],[SKU]],'All Skus'!$A:$AC,6,FALSE)),""))</f>
        <v>0</v>
      </c>
      <c r="F157" s="18">
        <f>(IF((VLOOKUP(Table11[[#This Row],[SKU]],'All Skus'!$A:$AC,2,FALSE))="Soundcraft",(VLOOKUP(Table11[[#This Row],[SKU]],'All Skus'!$A:$AC,7,FALSE)),""))</f>
        <v>0</v>
      </c>
      <c r="G157" s="22" t="str">
        <f>(IF((VLOOKUP(Table11[[#This Row],[SKU]],'All Skus'!$A:$AC,2,FALSE))="Soundcraft",(VLOOKUP(Table11[[#This Row],[SKU]],'All Skus'!$A:$AC,8,FALSE)),""))</f>
        <v>Vi1/CSB Line+AES Output module (spares)</v>
      </c>
      <c r="H157" s="22" t="str">
        <f>(IF((VLOOKUP(Table11[[#This Row],[SKU]],'All Skus'!$A:$AC,2,FALSE))="Soundcraft",(VLOOKUP(Table11[[#This Row],[SKU]],'All Skus'!$A:$AC,9,FALSE)),""))</f>
        <v>ViS 8+4 AES xlr out</v>
      </c>
      <c r="I157" s="157">
        <f>(IF((VLOOKUP(Table11[[#This Row],[SKU]],'All Skus'!$A:$AC,2,FALSE))="Soundcraft",(VLOOKUP(Table11[[#This Row],[SKU]],'All Skus'!$A:$AC,10,FALSE)),""))</f>
        <v>579.17999999999995</v>
      </c>
      <c r="J157" s="157">
        <f>(IF((VLOOKUP(Table11[[#This Row],[SKU]],'All Skus'!$A:$AC,2,FALSE))="Soundcraft",(VLOOKUP(Table11[[#This Row],[SKU]],'All Skus'!$A:$AC,11,FALSE)),""))</f>
        <v>579.17999999999995</v>
      </c>
      <c r="K157" s="271">
        <f>(IF((VLOOKUP(Table11[[#This Row],[SKU]],'All Skus'!$A:$AC,2,FALSE))="Soundcraft",(VLOOKUP(Table11[[#This Row],[SKU]],'All Skus'!$A:$AC,16,FALSE)),""))</f>
        <v>688705001548</v>
      </c>
      <c r="L157" s="239">
        <f>(IF((VLOOKUP(Table11[[#This Row],[SKU]],'All Skus'!$A:$AC,2,FALSE))="Soundcraft",(VLOOKUP(Table11[[#This Row],[SKU]],'All Skus'!$A:$AC,17,FALSE)),""))</f>
        <v>0</v>
      </c>
      <c r="M157" s="239">
        <f>(IF((VLOOKUP(Table11[[#This Row],[SKU]],'All Skus'!$A:$AC,2,FALSE))="Soundcraft",(VLOOKUP(Table11[[#This Row],[SKU]],'All Skus'!$A:$AC,18,FALSE)),""))</f>
        <v>0</v>
      </c>
      <c r="N157" s="147">
        <f>(IF((VLOOKUP(Table11[[#This Row],[SKU]],'All Skus'!$A:$AC,2,FALSE))="Soundcraft",(VLOOKUP(Table11[[#This Row],[SKU]],'All Skus'!$A:$AC,19,FALSE)),""))</f>
        <v>0</v>
      </c>
      <c r="O157" s="147">
        <f>(IF((VLOOKUP(Table11[[#This Row],[SKU]],'All Skus'!$A:$AC,2,FALSE))="Soundcraft",(VLOOKUP(Table11[[#This Row],[SKU]],'All Skus'!$A:$AC,20,FALSE)),""))</f>
        <v>0</v>
      </c>
      <c r="P157" s="240">
        <f>(IF((VLOOKUP(Table11[[#This Row],[SKU]],'All Skus'!$A:$AC,2,FALSE))="Soundcraft",(VLOOKUP(Table11[[#This Row],[SKU]],'All Skus'!$A:$AC,21,FALSE)),""))</f>
        <v>0</v>
      </c>
      <c r="Q157" s="61" t="str">
        <f>(IF((VLOOKUP(Table11[[#This Row],[SKU]],'All Skus'!$A:$AC,2,FALSE))="Soundcraft",(VLOOKUP(Table11[[#This Row],[SKU]],'All Skus'!$A:$AC,22,FALSE)),""))</f>
        <v>CN</v>
      </c>
      <c r="R157" s="61" t="str">
        <f>(IF((VLOOKUP(Table11[[#This Row],[SKU]],'All Skus'!$A:$AC,2,FALSE))="Soundcraft",(VLOOKUP(Table11[[#This Row],[SKU]],'All Skus'!$A:$AC,23,FALSE)),""))</f>
        <v>Compliant</v>
      </c>
      <c r="S157" s="212" t="str">
        <f>HYPERLINK((IF((VLOOKUP(Table11[[#This Row],[SKU]],'All Skus'!$A:$AC,2,FALSE))="Soundcraft",(VLOOKUP(Table11[[#This Row],[SKU]],'All Skus'!$A:$AC,24,FALSE)),"")))</f>
        <v/>
      </c>
      <c r="T157" s="151">
        <v>155</v>
      </c>
    </row>
    <row r="158" spans="1:22" ht="15" customHeight="1">
      <c r="A158" s="158" t="s">
        <v>2497</v>
      </c>
      <c r="B158" s="159" t="str">
        <f>(IF((VLOOKUP(Table11[[#This Row],[SKU]],'All Skus'!$A:$AC,2,FALSE))="Soundcraft",(VLOOKUP(Table11[[#This Row],[SKU]],'All Skus'!$A:$AC,3,FALSE)),""))</f>
        <v>Option Cards (Local Rack / D21 CSB Expansion / Vix000)</v>
      </c>
      <c r="C158" s="21" t="str">
        <f>(IF((VLOOKUP(Table11[[#This Row],[SKU]],'All Skus'!$A:$AC,2,FALSE))="Soundcraft",(VLOOKUP(Table11[[#This Row],[SKU]],'All Skus'!$A:$AC,4,FALSE)),""))</f>
        <v>5033340-01.V</v>
      </c>
      <c r="D158" s="19" t="str">
        <f>(IF((VLOOKUP(Table11[[#This Row],[SKU]],'All Skus'!$A:$AC,2,FALSE))="Soundcraft",(VLOOKUP(Table11[[#This Row],[SKU]],'All Skus'!$A:$AC,5,FALSE)),""))</f>
        <v>SC-VI</v>
      </c>
      <c r="E158" s="19" t="str">
        <f>(IF((VLOOKUP(Table11[[#This Row],[SKU]],'All Skus'!$A:$AC,2,FALSE))="Soundcraft",(VLOOKUP(Table11[[#This Row],[SKU]],'All Skus'!$A:$AC,6,FALSE)),""))</f>
        <v>YES</v>
      </c>
      <c r="F158" s="18">
        <f>(IF((VLOOKUP(Table11[[#This Row],[SKU]],'All Skus'!$A:$AC,2,FALSE))="Soundcraft",(VLOOKUP(Table11[[#This Row],[SKU]],'All Skus'!$A:$AC,7,FALSE)),""))</f>
        <v>0</v>
      </c>
      <c r="G158" s="22" t="str">
        <f>(IF((VLOOKUP(Table11[[#This Row],[SKU]],'All Skus'!$A:$AC,2,FALSE))="Soundcraft",(VLOOKUP(Table11[[#This Row],[SKU]],'All Skus'!$A:$AC,8,FALSE)),""))</f>
        <v>VI BLU-LINK CARD Local Rack</v>
      </c>
      <c r="H158" s="22" t="str">
        <f>(IF((VLOOKUP(Table11[[#This Row],[SKU]],'All Skus'!$A:$AC,2,FALSE))="Soundcraft",(VLOOKUP(Table11[[#This Row],[SKU]],'All Skus'!$A:$AC,9,FALSE)),""))</f>
        <v>ViO/D21 Blu Link</v>
      </c>
      <c r="I158" s="157">
        <f>(IF((VLOOKUP(Table11[[#This Row],[SKU]],'All Skus'!$A:$AC,2,FALSE))="Soundcraft",(VLOOKUP(Table11[[#This Row],[SKU]],'All Skus'!$A:$AC,10,FALSE)),""))</f>
        <v>1578.06</v>
      </c>
      <c r="J158" s="157">
        <f>(IF((VLOOKUP(Table11[[#This Row],[SKU]],'All Skus'!$A:$AC,2,FALSE))="Soundcraft",(VLOOKUP(Table11[[#This Row],[SKU]],'All Skus'!$A:$AC,11,FALSE)),""))</f>
        <v>1578</v>
      </c>
      <c r="K158" s="271">
        <f>(IF((VLOOKUP(Table11[[#This Row],[SKU]],'All Skus'!$A:$AC,2,FALSE))="Soundcraft",(VLOOKUP(Table11[[#This Row],[SKU]],'All Skus'!$A:$AC,16,FALSE)),""))</f>
        <v>0</v>
      </c>
      <c r="L158" s="239">
        <f>(IF((VLOOKUP(Table11[[#This Row],[SKU]],'All Skus'!$A:$AC,2,FALSE))="Soundcraft",(VLOOKUP(Table11[[#This Row],[SKU]],'All Skus'!$A:$AC,17,FALSE)),""))</f>
        <v>0</v>
      </c>
      <c r="M158" s="239">
        <f>(IF((VLOOKUP(Table11[[#This Row],[SKU]],'All Skus'!$A:$AC,2,FALSE))="Soundcraft",(VLOOKUP(Table11[[#This Row],[SKU]],'All Skus'!$A:$AC,18,FALSE)),""))</f>
        <v>3</v>
      </c>
      <c r="N158" s="147">
        <f>(IF((VLOOKUP(Table11[[#This Row],[SKU]],'All Skus'!$A:$AC,2,FALSE))="Soundcraft",(VLOOKUP(Table11[[#This Row],[SKU]],'All Skus'!$A:$AC,19,FALSE)),""))</f>
        <v>13.5</v>
      </c>
      <c r="O158" s="147">
        <f>(IF((VLOOKUP(Table11[[#This Row],[SKU]],'All Skus'!$A:$AC,2,FALSE))="Soundcraft",(VLOOKUP(Table11[[#This Row],[SKU]],'All Skus'!$A:$AC,20,FALSE)),""))</f>
        <v>10.5</v>
      </c>
      <c r="P158" s="240">
        <f>(IF((VLOOKUP(Table11[[#This Row],[SKU]],'All Skus'!$A:$AC,2,FALSE))="Soundcraft",(VLOOKUP(Table11[[#This Row],[SKU]],'All Skus'!$A:$AC,21,FALSE)),""))</f>
        <v>13.5</v>
      </c>
      <c r="Q158" s="61" t="str">
        <f>(IF((VLOOKUP(Table11[[#This Row],[SKU]],'All Skus'!$A:$AC,2,FALSE))="Soundcraft",(VLOOKUP(Table11[[#This Row],[SKU]],'All Skus'!$A:$AC,22,FALSE)),""))</f>
        <v>CN</v>
      </c>
      <c r="R158" s="61" t="str">
        <f>(IF((VLOOKUP(Table11[[#This Row],[SKU]],'All Skus'!$A:$AC,2,FALSE))="Soundcraft",(VLOOKUP(Table11[[#This Row],[SKU]],'All Skus'!$A:$AC,23,FALSE)),""))</f>
        <v>Compliant</v>
      </c>
      <c r="S158" s="212" t="str">
        <f>HYPERLINK((IF((VLOOKUP(Table11[[#This Row],[SKU]],'All Skus'!$A:$AC,2,FALSE))="Soundcraft",(VLOOKUP(Table11[[#This Row],[SKU]],'All Skus'!$A:$AC,24,FALSE)),"")))</f>
        <v/>
      </c>
      <c r="T158" s="151">
        <v>156</v>
      </c>
    </row>
    <row r="159" spans="1:22" ht="15" customHeight="1">
      <c r="A159" s="158" t="s">
        <v>2498</v>
      </c>
      <c r="B159" s="159" t="str">
        <f>(IF((VLOOKUP(Table11[[#This Row],[SKU]],'All Skus'!$A:$AC,2,FALSE))="Soundcraft",(VLOOKUP(Table11[[#This Row],[SKU]],'All Skus'!$A:$AC,3,FALSE)),""))</f>
        <v>Option Cards (Local Rack / D21 CSB Expansion / Vix000)</v>
      </c>
      <c r="C159" s="21" t="str">
        <f>(IF((VLOOKUP(Table11[[#This Row],[SKU]],'All Skus'!$A:$AC,2,FALSE))="Soundcraft",(VLOOKUP(Table11[[#This Row],[SKU]],'All Skus'!$A:$AC,4,FALSE)),""))</f>
        <v>5076583.V</v>
      </c>
      <c r="D159" s="19" t="str">
        <f>(IF((VLOOKUP(Table11[[#This Row],[SKU]],'All Skus'!$A:$AC,2,FALSE))="Soundcraft",(VLOOKUP(Table11[[#This Row],[SKU]],'All Skus'!$A:$AC,5,FALSE)),""))</f>
        <v>SC-VI</v>
      </c>
      <c r="E159" s="19" t="str">
        <f>(IF((VLOOKUP(Table11[[#This Row],[SKU]],'All Skus'!$A:$AC,2,FALSE))="Soundcraft",(VLOOKUP(Table11[[#This Row],[SKU]],'All Skus'!$A:$AC,6,FALSE)),""))</f>
        <v>YES</v>
      </c>
      <c r="F159" s="18">
        <f>(IF((VLOOKUP(Table11[[#This Row],[SKU]],'All Skus'!$A:$AC,2,FALSE))="Soundcraft",(VLOOKUP(Table11[[#This Row],[SKU]],'All Skus'!$A:$AC,7,FALSE)),""))</f>
        <v>0</v>
      </c>
      <c r="G159" s="22" t="str">
        <f>(IF((VLOOKUP(Table11[[#This Row],[SKU]],'All Skus'!$A:$AC,2,FALSE))="Soundcraft",(VLOOKUP(Table11[[#This Row],[SKU]],'All Skus'!$A:$AC,8,FALSE)),""))</f>
        <v>ViO/D21 Dante card AES67/96k</v>
      </c>
      <c r="H159" s="22" t="str">
        <f>(IF((VLOOKUP(Table11[[#This Row],[SKU]],'All Skus'!$A:$AC,2,FALSE))="Soundcraft",(VLOOKUP(Table11[[#This Row],[SKU]],'All Skus'!$A:$AC,9,FALSE)),""))</f>
        <v>Vi1 Only (48k) Dante card</v>
      </c>
      <c r="I159" s="157">
        <f>(IF((VLOOKUP(Table11[[#This Row],[SKU]],'All Skus'!$A:$AC,2,FALSE))="Soundcraft",(VLOOKUP(Table11[[#This Row],[SKU]],'All Skus'!$A:$AC,10,FALSE)),""))</f>
        <v>1904.06</v>
      </c>
      <c r="J159" s="157">
        <f>(IF((VLOOKUP(Table11[[#This Row],[SKU]],'All Skus'!$A:$AC,2,FALSE))="Soundcraft",(VLOOKUP(Table11[[#This Row],[SKU]],'All Skus'!$A:$AC,11,FALSE)),""))</f>
        <v>1904</v>
      </c>
      <c r="K159" s="271">
        <f>(IF((VLOOKUP(Table11[[#This Row],[SKU]],'All Skus'!$A:$AC,2,FALSE))="Soundcraft",(VLOOKUP(Table11[[#This Row],[SKU]],'All Skus'!$A:$AC,16,FALSE)),""))</f>
        <v>0</v>
      </c>
      <c r="L159" s="239">
        <f>(IF((VLOOKUP(Table11[[#This Row],[SKU]],'All Skus'!$A:$AC,2,FALSE))="Soundcraft",(VLOOKUP(Table11[[#This Row],[SKU]],'All Skus'!$A:$AC,17,FALSE)),""))</f>
        <v>0</v>
      </c>
      <c r="M159" s="239">
        <f>(IF((VLOOKUP(Table11[[#This Row],[SKU]],'All Skus'!$A:$AC,2,FALSE))="Soundcraft",(VLOOKUP(Table11[[#This Row],[SKU]],'All Skus'!$A:$AC,18,FALSE)),""))</f>
        <v>0</v>
      </c>
      <c r="N159" s="147">
        <f>(IF((VLOOKUP(Table11[[#This Row],[SKU]],'All Skus'!$A:$AC,2,FALSE))="Soundcraft",(VLOOKUP(Table11[[#This Row],[SKU]],'All Skus'!$A:$AC,19,FALSE)),""))</f>
        <v>0</v>
      </c>
      <c r="O159" s="147">
        <f>(IF((VLOOKUP(Table11[[#This Row],[SKU]],'All Skus'!$A:$AC,2,FALSE))="Soundcraft",(VLOOKUP(Table11[[#This Row],[SKU]],'All Skus'!$A:$AC,20,FALSE)),""))</f>
        <v>0</v>
      </c>
      <c r="P159" s="240">
        <f>(IF((VLOOKUP(Table11[[#This Row],[SKU]],'All Skus'!$A:$AC,2,FALSE))="Soundcraft",(VLOOKUP(Table11[[#This Row],[SKU]],'All Skus'!$A:$AC,21,FALSE)),""))</f>
        <v>0</v>
      </c>
      <c r="Q159" s="61" t="str">
        <f>(IF((VLOOKUP(Table11[[#This Row],[SKU]],'All Skus'!$A:$AC,2,FALSE))="Soundcraft",(VLOOKUP(Table11[[#This Row],[SKU]],'All Skus'!$A:$AC,22,FALSE)),""))</f>
        <v>HU</v>
      </c>
      <c r="R159" s="61" t="str">
        <f>(IF((VLOOKUP(Table11[[#This Row],[SKU]],'All Skus'!$A:$AC,2,FALSE))="Soundcraft",(VLOOKUP(Table11[[#This Row],[SKU]],'All Skus'!$A:$AC,23,FALSE)),""))</f>
        <v>Compliant</v>
      </c>
      <c r="S159" s="212" t="str">
        <f>HYPERLINK((IF((VLOOKUP(Table11[[#This Row],[SKU]],'All Skus'!$A:$AC,2,FALSE))="Soundcraft",(VLOOKUP(Table11[[#This Row],[SKU]],'All Skus'!$A:$AC,24,FALSE)),"")))</f>
        <v/>
      </c>
      <c r="T159" s="151">
        <v>157</v>
      </c>
    </row>
    <row r="160" spans="1:22" ht="15" customHeight="1">
      <c r="A160" s="158" t="s">
        <v>2499</v>
      </c>
      <c r="B160" s="159" t="str">
        <f>(IF((VLOOKUP(Table11[[#This Row],[SKU]],'All Skus'!$A:$AC,2,FALSE))="Soundcraft",(VLOOKUP(Table11[[#This Row],[SKU]],'All Skus'!$A:$AC,3,FALSE)),""))</f>
        <v>Option Cards (Local Rack / D21 CSB Expansion / Vix000)</v>
      </c>
      <c r="C160" s="21" t="str">
        <f>(IF((VLOOKUP(Table11[[#This Row],[SKU]],'All Skus'!$A:$AC,2,FALSE))="Soundcraft",(VLOOKUP(Table11[[#This Row],[SKU]],'All Skus'!$A:$AC,4,FALSE)),""))</f>
        <v>5033340.V</v>
      </c>
      <c r="D160" s="19" t="str">
        <f>(IF((VLOOKUP(Table11[[#This Row],[SKU]],'All Skus'!$A:$AC,2,FALSE))="Soundcraft",(VLOOKUP(Table11[[#This Row],[SKU]],'All Skus'!$A:$AC,5,FALSE)),""))</f>
        <v>SC-VI</v>
      </c>
      <c r="E160" s="19">
        <f>(IF((VLOOKUP(Table11[[#This Row],[SKU]],'All Skus'!$A:$AC,2,FALSE))="Soundcraft",(VLOOKUP(Table11[[#This Row],[SKU]],'All Skus'!$A:$AC,6,FALSE)),""))</f>
        <v>0</v>
      </c>
      <c r="F160" s="18">
        <f>(IF((VLOOKUP(Table11[[#This Row],[SKU]],'All Skus'!$A:$AC,2,FALSE))="Soundcraft",(VLOOKUP(Table11[[#This Row],[SKU]],'All Skus'!$A:$AC,7,FALSE)),""))</f>
        <v>0</v>
      </c>
      <c r="G160" s="22" t="str">
        <f>(IF((VLOOKUP(Table11[[#This Row],[SKU]],'All Skus'!$A:$AC,2,FALSE))="Soundcraft",(VLOOKUP(Table11[[#This Row],[SKU]],'All Skus'!$A:$AC,8,FALSE)),""))</f>
        <v>Vi1 Only (48k) Blu Link</v>
      </c>
      <c r="H160" s="22" t="str">
        <f>(IF((VLOOKUP(Table11[[#This Row],[SKU]],'All Skus'!$A:$AC,2,FALSE))="Soundcraft",(VLOOKUP(Table11[[#This Row],[SKU]],'All Skus'!$A:$AC,9,FALSE)),""))</f>
        <v>Vi1 Only (48k) Blu Link</v>
      </c>
      <c r="I160" s="157">
        <f>(IF((VLOOKUP(Table11[[#This Row],[SKU]],'All Skus'!$A:$AC,2,FALSE))="Soundcraft",(VLOOKUP(Table11[[#This Row],[SKU]],'All Skus'!$A:$AC,10,FALSE)),""))</f>
        <v>1578.06</v>
      </c>
      <c r="J160" s="157">
        <f>(IF((VLOOKUP(Table11[[#This Row],[SKU]],'All Skus'!$A:$AC,2,FALSE))="Soundcraft",(VLOOKUP(Table11[[#This Row],[SKU]],'All Skus'!$A:$AC,11,FALSE)),""))</f>
        <v>1578</v>
      </c>
      <c r="K160" s="271">
        <f>(IF((VLOOKUP(Table11[[#This Row],[SKU]],'All Skus'!$A:$AC,2,FALSE))="Soundcraft",(VLOOKUP(Table11[[#This Row],[SKU]],'All Skus'!$A:$AC,16,FALSE)),""))</f>
        <v>688705001296</v>
      </c>
      <c r="L160" s="239">
        <f>(IF((VLOOKUP(Table11[[#This Row],[SKU]],'All Skus'!$A:$AC,2,FALSE))="Soundcraft",(VLOOKUP(Table11[[#This Row],[SKU]],'All Skus'!$A:$AC,17,FALSE)),""))</f>
        <v>0</v>
      </c>
      <c r="M160" s="239">
        <f>(IF((VLOOKUP(Table11[[#This Row],[SKU]],'All Skus'!$A:$AC,2,FALSE))="Soundcraft",(VLOOKUP(Table11[[#This Row],[SKU]],'All Skus'!$A:$AC,18,FALSE)),""))</f>
        <v>3</v>
      </c>
      <c r="N160" s="147">
        <f>(IF((VLOOKUP(Table11[[#This Row],[SKU]],'All Skus'!$A:$AC,2,FALSE))="Soundcraft",(VLOOKUP(Table11[[#This Row],[SKU]],'All Skus'!$A:$AC,19,FALSE)),""))</f>
        <v>13.5</v>
      </c>
      <c r="O160" s="147">
        <f>(IF((VLOOKUP(Table11[[#This Row],[SKU]],'All Skus'!$A:$AC,2,FALSE))="Soundcraft",(VLOOKUP(Table11[[#This Row],[SKU]],'All Skus'!$A:$AC,20,FALSE)),""))</f>
        <v>10.5</v>
      </c>
      <c r="P160" s="240">
        <f>(IF((VLOOKUP(Table11[[#This Row],[SKU]],'All Skus'!$A:$AC,2,FALSE))="Soundcraft",(VLOOKUP(Table11[[#This Row],[SKU]],'All Skus'!$A:$AC,21,FALSE)),""))</f>
        <v>13.5</v>
      </c>
      <c r="Q160" s="61">
        <f>(IF((VLOOKUP(Table11[[#This Row],[SKU]],'All Skus'!$A:$AC,2,FALSE))="Soundcraft",(VLOOKUP(Table11[[#This Row],[SKU]],'All Skus'!$A:$AC,22,FALSE)),""))</f>
        <v>0</v>
      </c>
      <c r="R160" s="61" t="str">
        <f>(IF((VLOOKUP(Table11[[#This Row],[SKU]],'All Skus'!$A:$AC,2,FALSE))="Soundcraft",(VLOOKUP(Table11[[#This Row],[SKU]],'All Skus'!$A:$AC,23,FALSE)),""))</f>
        <v>Compliant</v>
      </c>
      <c r="S160" s="212" t="str">
        <f>HYPERLINK((IF((VLOOKUP(Table11[[#This Row],[SKU]],'All Skus'!$A:$AC,2,FALSE))="Soundcraft",(VLOOKUP(Table11[[#This Row],[SKU]],'All Skus'!$A:$AC,24,FALSE)),"")))</f>
        <v/>
      </c>
      <c r="T160" s="151">
        <v>158</v>
      </c>
    </row>
    <row r="161" spans="1:20" ht="15" customHeight="1">
      <c r="A161" s="158" t="s">
        <v>2500</v>
      </c>
      <c r="B161" s="159" t="str">
        <f>(IF((VLOOKUP(Table11[[#This Row],[SKU]],'All Skus'!$A:$AC,2,FALSE))="Soundcraft",(VLOOKUP(Table11[[#This Row],[SKU]],'All Skus'!$A:$AC,3,FALSE)),""))</f>
        <v>Option Cards (Local Rack / D21 CSB Expansion / Vix000)</v>
      </c>
      <c r="C161" s="21" t="str">
        <f>(IF((VLOOKUP(Table11[[#This Row],[SKU]],'All Skus'!$A:$AC,2,FALSE))="Soundcraft",(VLOOKUP(Table11[[#This Row],[SKU]],'All Skus'!$A:$AC,4,FALSE)),""))</f>
        <v>5060027-01.V</v>
      </c>
      <c r="D161" s="19" t="str">
        <f>(IF((VLOOKUP(Table11[[#This Row],[SKU]],'All Skus'!$A:$AC,2,FALSE))="Soundcraft",(VLOOKUP(Table11[[#This Row],[SKU]],'All Skus'!$A:$AC,5,FALSE)),""))</f>
        <v>SC-VI</v>
      </c>
      <c r="E161" s="19" t="str">
        <f>(IF((VLOOKUP(Table11[[#This Row],[SKU]],'All Skus'!$A:$AC,2,FALSE))="Soundcraft",(VLOOKUP(Table11[[#This Row],[SKU]],'All Skus'!$A:$AC,6,FALSE)),""))</f>
        <v>YES</v>
      </c>
      <c r="F161" s="18">
        <f>(IF((VLOOKUP(Table11[[#This Row],[SKU]],'All Skus'!$A:$AC,2,FALSE))="Soundcraft",(VLOOKUP(Table11[[#This Row],[SKU]],'All Skus'!$A:$AC,7,FALSE)),""))</f>
        <v>0</v>
      </c>
      <c r="G161" s="22" t="str">
        <f>(IF((VLOOKUP(Table11[[#This Row],[SKU]],'All Skus'!$A:$AC,2,FALSE))="Soundcraft",(VLOOKUP(Table11[[#This Row],[SKU]],'All Skus'!$A:$AC,8,FALSE)),""))</f>
        <v>VI HD Card</v>
      </c>
      <c r="H161" s="22" t="str">
        <f>(IF((VLOOKUP(Table11[[#This Row],[SKU]],'All Skus'!$A:$AC,2,FALSE))="Soundcraft",(VLOOKUP(Table11[[#This Row],[SKU]],'All Skus'!$A:$AC,9,FALSE)),""))</f>
        <v xml:space="preserve">HD Link Card for 192 I/O - packed tested spare   </v>
      </c>
      <c r="I161" s="157">
        <f>(IF((VLOOKUP(Table11[[#This Row],[SKU]],'All Skus'!$A:$AC,2,FALSE))="Soundcraft",(VLOOKUP(Table11[[#This Row],[SKU]],'All Skus'!$A:$AC,10,FALSE)),""))</f>
        <v>982.64</v>
      </c>
      <c r="J161" s="157">
        <f>(IF((VLOOKUP(Table11[[#This Row],[SKU]],'All Skus'!$A:$AC,2,FALSE))="Soundcraft",(VLOOKUP(Table11[[#This Row],[SKU]],'All Skus'!$A:$AC,11,FALSE)),""))</f>
        <v>982</v>
      </c>
      <c r="K161" s="271">
        <f>(IF((VLOOKUP(Table11[[#This Row],[SKU]],'All Skus'!$A:$AC,2,FALSE))="Soundcraft",(VLOOKUP(Table11[[#This Row],[SKU]],'All Skus'!$A:$AC,16,FALSE)),""))</f>
        <v>0</v>
      </c>
      <c r="L161" s="239">
        <f>(IF((VLOOKUP(Table11[[#This Row],[SKU]],'All Skus'!$A:$AC,2,FALSE))="Soundcraft",(VLOOKUP(Table11[[#This Row],[SKU]],'All Skus'!$A:$AC,17,FALSE)),""))</f>
        <v>0</v>
      </c>
      <c r="M161" s="239">
        <f>(IF((VLOOKUP(Table11[[#This Row],[SKU]],'All Skus'!$A:$AC,2,FALSE))="Soundcraft",(VLOOKUP(Table11[[#This Row],[SKU]],'All Skus'!$A:$AC,18,FALSE)),""))</f>
        <v>0</v>
      </c>
      <c r="N161" s="147">
        <f>(IF((VLOOKUP(Table11[[#This Row],[SKU]],'All Skus'!$A:$AC,2,FALSE))="Soundcraft",(VLOOKUP(Table11[[#This Row],[SKU]],'All Skus'!$A:$AC,19,FALSE)),""))</f>
        <v>0</v>
      </c>
      <c r="O161" s="147">
        <f>(IF((VLOOKUP(Table11[[#This Row],[SKU]],'All Skus'!$A:$AC,2,FALSE))="Soundcraft",(VLOOKUP(Table11[[#This Row],[SKU]],'All Skus'!$A:$AC,20,FALSE)),""))</f>
        <v>0</v>
      </c>
      <c r="P161" s="240">
        <f>(IF((VLOOKUP(Table11[[#This Row],[SKU]],'All Skus'!$A:$AC,2,FALSE))="Soundcraft",(VLOOKUP(Table11[[#This Row],[SKU]],'All Skus'!$A:$AC,21,FALSE)),""))</f>
        <v>0</v>
      </c>
      <c r="Q161" s="61">
        <f>(IF((VLOOKUP(Table11[[#This Row],[SKU]],'All Skus'!$A:$AC,2,FALSE))="Soundcraft",(VLOOKUP(Table11[[#This Row],[SKU]],'All Skus'!$A:$AC,22,FALSE)),""))</f>
        <v>0</v>
      </c>
      <c r="R161" s="61" t="str">
        <f>(IF((VLOOKUP(Table11[[#This Row],[SKU]],'All Skus'!$A:$AC,2,FALSE))="Soundcraft",(VLOOKUP(Table11[[#This Row],[SKU]],'All Skus'!$A:$AC,23,FALSE)),""))</f>
        <v>Compliant</v>
      </c>
      <c r="S161" s="212" t="str">
        <f>HYPERLINK((IF((VLOOKUP(Table11[[#This Row],[SKU]],'All Skus'!$A:$AC,2,FALSE))="Soundcraft",(VLOOKUP(Table11[[#This Row],[SKU]],'All Skus'!$A:$AC,24,FALSE)),"")))</f>
        <v/>
      </c>
      <c r="T161" s="151">
        <v>159</v>
      </c>
    </row>
    <row r="162" spans="1:20" ht="15" customHeight="1">
      <c r="A162" s="158" t="s">
        <v>2501</v>
      </c>
      <c r="B162" s="159" t="str">
        <f>(IF((VLOOKUP(Table11[[#This Row],[SKU]],'All Skus'!$A:$AC,2,FALSE))="Soundcraft",(VLOOKUP(Table11[[#This Row],[SKU]],'All Skus'!$A:$AC,3,FALSE)),""))</f>
        <v>Option Cards (Local Rack / D21 CSB Expansion / Vix000)</v>
      </c>
      <c r="C162" s="21" t="str">
        <f>(IF((VLOOKUP(Table11[[#This Row],[SKU]],'All Skus'!$A:$AC,2,FALSE))="Soundcraft",(VLOOKUP(Table11[[#This Row],[SKU]],'All Skus'!$A:$AC,4,FALSE)),""))</f>
        <v>RS2409SP</v>
      </c>
      <c r="D162" s="19" t="str">
        <f>(IF((VLOOKUP(Table11[[#This Row],[SKU]],'All Skus'!$A:$AC,2,FALSE))="Soundcraft",(VLOOKUP(Table11[[#This Row],[SKU]],'All Skus'!$A:$AC,5,FALSE)),""))</f>
        <v>SC-VI</v>
      </c>
      <c r="E162" s="19" t="str">
        <f>(IF((VLOOKUP(Table11[[#This Row],[SKU]],'All Skus'!$A:$AC,2,FALSE))="Soundcraft",(VLOOKUP(Table11[[#This Row],[SKU]],'All Skus'!$A:$AC,6,FALSE)),""))</f>
        <v>YES</v>
      </c>
      <c r="F162" s="18">
        <f>(IF((VLOOKUP(Table11[[#This Row],[SKU]],'All Skus'!$A:$AC,2,FALSE))="Soundcraft",(VLOOKUP(Table11[[#This Row],[SKU]],'All Skus'!$A:$AC,7,FALSE)),""))</f>
        <v>0</v>
      </c>
      <c r="G162" s="22" t="str">
        <f>(IF((VLOOKUP(Table11[[#This Row],[SKU]],'All Skus'!$A:$AC,2,FALSE))="Soundcraft",(VLOOKUP(Table11[[#This Row],[SKU]],'All Skus'!$A:$AC,8,FALSE)),""))</f>
        <v>Vi CAT5 MADI link Card Local Rack</v>
      </c>
      <c r="H162" s="22" t="str">
        <f>(IF((VLOOKUP(Table11[[#This Row],[SKU]],'All Skus'!$A:$AC,2,FALSE))="Soundcraft",(VLOOKUP(Table11[[#This Row],[SKU]],'All Skus'!$A:$AC,9,FALSE)),""))</f>
        <v>ViO/D21 Cat5 MADI</v>
      </c>
      <c r="I162" s="157">
        <f>(IF((VLOOKUP(Table11[[#This Row],[SKU]],'All Skus'!$A:$AC,2,FALSE))="Soundcraft",(VLOOKUP(Table11[[#This Row],[SKU]],'All Skus'!$A:$AC,10,FALSE)),""))</f>
        <v>789.73</v>
      </c>
      <c r="J162" s="157">
        <f>(IF((VLOOKUP(Table11[[#This Row],[SKU]],'All Skus'!$A:$AC,2,FALSE))="Soundcraft",(VLOOKUP(Table11[[#This Row],[SKU]],'All Skus'!$A:$AC,11,FALSE)),""))</f>
        <v>789</v>
      </c>
      <c r="K162" s="271">
        <f>(IF((VLOOKUP(Table11[[#This Row],[SKU]],'All Skus'!$A:$AC,2,FALSE))="Soundcraft",(VLOOKUP(Table11[[#This Row],[SKU]],'All Skus'!$A:$AC,16,FALSE)),""))</f>
        <v>0</v>
      </c>
      <c r="L162" s="239">
        <f>(IF((VLOOKUP(Table11[[#This Row],[SKU]],'All Skus'!$A:$AC,2,FALSE))="Soundcraft",(VLOOKUP(Table11[[#This Row],[SKU]],'All Skus'!$A:$AC,17,FALSE)),""))</f>
        <v>0</v>
      </c>
      <c r="M162" s="239">
        <f>(IF((VLOOKUP(Table11[[#This Row],[SKU]],'All Skus'!$A:$AC,2,FALSE))="Soundcraft",(VLOOKUP(Table11[[#This Row],[SKU]],'All Skus'!$A:$AC,18,FALSE)),""))</f>
        <v>1.5</v>
      </c>
      <c r="N162" s="147">
        <f>(IF((VLOOKUP(Table11[[#This Row],[SKU]],'All Skus'!$A:$AC,2,FALSE))="Soundcraft",(VLOOKUP(Table11[[#This Row],[SKU]],'All Skus'!$A:$AC,19,FALSE)),""))</f>
        <v>14.5</v>
      </c>
      <c r="O162" s="147">
        <f>(IF((VLOOKUP(Table11[[#This Row],[SKU]],'All Skus'!$A:$AC,2,FALSE))="Soundcraft",(VLOOKUP(Table11[[#This Row],[SKU]],'All Skus'!$A:$AC,20,FALSE)),""))</f>
        <v>7.5</v>
      </c>
      <c r="P162" s="240">
        <f>(IF((VLOOKUP(Table11[[#This Row],[SKU]],'All Skus'!$A:$AC,2,FALSE))="Soundcraft",(VLOOKUP(Table11[[#This Row],[SKU]],'All Skus'!$A:$AC,21,FALSE)),""))</f>
        <v>3.5</v>
      </c>
      <c r="Q162" s="61" t="str">
        <f>(IF((VLOOKUP(Table11[[#This Row],[SKU]],'All Skus'!$A:$AC,2,FALSE))="Soundcraft",(VLOOKUP(Table11[[#This Row],[SKU]],'All Skus'!$A:$AC,22,FALSE)),""))</f>
        <v>CN</v>
      </c>
      <c r="R162" s="61" t="str">
        <f>(IF((VLOOKUP(Table11[[#This Row],[SKU]],'All Skus'!$A:$AC,2,FALSE))="Soundcraft",(VLOOKUP(Table11[[#This Row],[SKU]],'All Skus'!$A:$AC,23,FALSE)),""))</f>
        <v>Compliant</v>
      </c>
      <c r="S162" s="212" t="str">
        <f>HYPERLINK((IF((VLOOKUP(Table11[[#This Row],[SKU]],'All Skus'!$A:$AC,2,FALSE))="Soundcraft",(VLOOKUP(Table11[[#This Row],[SKU]],'All Skus'!$A:$AC,24,FALSE)),"")))</f>
        <v/>
      </c>
      <c r="T162" s="151">
        <v>160</v>
      </c>
    </row>
    <row r="163" spans="1:20" ht="15" customHeight="1">
      <c r="A163" s="158" t="s">
        <v>2502</v>
      </c>
      <c r="B163" s="159" t="str">
        <f>(IF((VLOOKUP(Table11[[#This Row],[SKU]],'All Skus'!$A:$AC,2,FALSE))="Soundcraft",(VLOOKUP(Table11[[#This Row],[SKU]],'All Skus'!$A:$AC,3,FALSE)),""))</f>
        <v>Option Cards (Local Rack / D21 CSB Expansion / Vix000)</v>
      </c>
      <c r="C163" s="21" t="str">
        <f>(IF((VLOOKUP(Table11[[#This Row],[SKU]],'All Skus'!$A:$AC,2,FALSE))="Soundcraft",(VLOOKUP(Table11[[#This Row],[SKU]],'All Skus'!$A:$AC,4,FALSE)),""))</f>
        <v>RS2422SP</v>
      </c>
      <c r="D163" s="19" t="str">
        <f>(IF((VLOOKUP(Table11[[#This Row],[SKU]],'All Skus'!$A:$AC,2,FALSE))="Soundcraft",(VLOOKUP(Table11[[#This Row],[SKU]],'All Skus'!$A:$AC,5,FALSE)),""))</f>
        <v>SC-VI</v>
      </c>
      <c r="E163" s="19" t="str">
        <f>(IF((VLOOKUP(Table11[[#This Row],[SKU]],'All Skus'!$A:$AC,2,FALSE))="Soundcraft",(VLOOKUP(Table11[[#This Row],[SKU]],'All Skus'!$A:$AC,6,FALSE)),""))</f>
        <v>YES</v>
      </c>
      <c r="F163" s="18">
        <f>(IF((VLOOKUP(Table11[[#This Row],[SKU]],'All Skus'!$A:$AC,2,FALSE))="Soundcraft",(VLOOKUP(Table11[[#This Row],[SKU]],'All Skus'!$A:$AC,7,FALSE)),""))</f>
        <v>0</v>
      </c>
      <c r="G163" s="22" t="str">
        <f>(IF((VLOOKUP(Table11[[#This Row],[SKU]],'All Skus'!$A:$AC,2,FALSE))="Soundcraft",(VLOOKUP(Table11[[#This Row],[SKU]],'All Skus'!$A:$AC,8,FALSE)),""))</f>
        <v>Vi AES/EBU CARD Local Rack</v>
      </c>
      <c r="H163" s="22" t="str">
        <f>(IF((VLOOKUP(Table11[[#This Row],[SKU]],'All Skus'!$A:$AC,2,FALSE))="Soundcraft",(VLOOKUP(Table11[[#This Row],[SKU]],'All Skus'!$A:$AC,9,FALSE)),""))</f>
        <v>ViO/D21 AES In/out</v>
      </c>
      <c r="I163" s="157">
        <f>(IF((VLOOKUP(Table11[[#This Row],[SKU]],'All Skus'!$A:$AC,2,FALSE))="Soundcraft",(VLOOKUP(Table11[[#This Row],[SKU]],'All Skus'!$A:$AC,10,FALSE)),""))</f>
        <v>1105.06</v>
      </c>
      <c r="J163" s="157">
        <f>(IF((VLOOKUP(Table11[[#This Row],[SKU]],'All Skus'!$A:$AC,2,FALSE))="Soundcraft",(VLOOKUP(Table11[[#This Row],[SKU]],'All Skus'!$A:$AC,11,FALSE)),""))</f>
        <v>1105</v>
      </c>
      <c r="K163" s="271">
        <f>(IF((VLOOKUP(Table11[[#This Row],[SKU]],'All Skus'!$A:$AC,2,FALSE))="Soundcraft",(VLOOKUP(Table11[[#This Row],[SKU]],'All Skus'!$A:$AC,16,FALSE)),""))</f>
        <v>0</v>
      </c>
      <c r="L163" s="239">
        <f>(IF((VLOOKUP(Table11[[#This Row],[SKU]],'All Skus'!$A:$AC,2,FALSE))="Soundcraft",(VLOOKUP(Table11[[#This Row],[SKU]],'All Skus'!$A:$AC,17,FALSE)),""))</f>
        <v>0</v>
      </c>
      <c r="M163" s="239">
        <f>(IF((VLOOKUP(Table11[[#This Row],[SKU]],'All Skus'!$A:$AC,2,FALSE))="Soundcraft",(VLOOKUP(Table11[[#This Row],[SKU]],'All Skus'!$A:$AC,18,FALSE)),""))</f>
        <v>4</v>
      </c>
      <c r="N163" s="147">
        <f>(IF((VLOOKUP(Table11[[#This Row],[SKU]],'All Skus'!$A:$AC,2,FALSE))="Soundcraft",(VLOOKUP(Table11[[#This Row],[SKU]],'All Skus'!$A:$AC,19,FALSE)),""))</f>
        <v>4</v>
      </c>
      <c r="O163" s="147">
        <f>(IF((VLOOKUP(Table11[[#This Row],[SKU]],'All Skus'!$A:$AC,2,FALSE))="Soundcraft",(VLOOKUP(Table11[[#This Row],[SKU]],'All Skus'!$A:$AC,20,FALSE)),""))</f>
        <v>8</v>
      </c>
      <c r="P163" s="240">
        <f>(IF((VLOOKUP(Table11[[#This Row],[SKU]],'All Skus'!$A:$AC,2,FALSE))="Soundcraft",(VLOOKUP(Table11[[#This Row],[SKU]],'All Skus'!$A:$AC,21,FALSE)),""))</f>
        <v>14</v>
      </c>
      <c r="Q163" s="61" t="str">
        <f>(IF((VLOOKUP(Table11[[#This Row],[SKU]],'All Skus'!$A:$AC,2,FALSE))="Soundcraft",(VLOOKUP(Table11[[#This Row],[SKU]],'All Skus'!$A:$AC,22,FALSE)),""))</f>
        <v>CN</v>
      </c>
      <c r="R163" s="61" t="str">
        <f>(IF((VLOOKUP(Table11[[#This Row],[SKU]],'All Skus'!$A:$AC,2,FALSE))="Soundcraft",(VLOOKUP(Table11[[#This Row],[SKU]],'All Skus'!$A:$AC,23,FALSE)),""))</f>
        <v>Compliant</v>
      </c>
      <c r="S163" s="212" t="str">
        <f>HYPERLINK((IF((VLOOKUP(Table11[[#This Row],[SKU]],'All Skus'!$A:$AC,2,FALSE))="Soundcraft",(VLOOKUP(Table11[[#This Row],[SKU]],'All Skus'!$A:$AC,24,FALSE)),"")))</f>
        <v/>
      </c>
      <c r="T163" s="151">
        <v>161</v>
      </c>
    </row>
    <row r="164" spans="1:20" ht="15" customHeight="1">
      <c r="A164" s="158" t="s">
        <v>2503</v>
      </c>
      <c r="B164" s="159" t="str">
        <f>(IF((VLOOKUP(Table11[[#This Row],[SKU]],'All Skus'!$A:$AC,2,FALSE))="Soundcraft",(VLOOKUP(Table11[[#This Row],[SKU]],'All Skus'!$A:$AC,3,FALSE)),""))</f>
        <v>Option Cards (Local Rack / D21 CSB Expansion / Vix000)</v>
      </c>
      <c r="C164" s="21" t="str">
        <f>(IF((VLOOKUP(Table11[[#This Row],[SKU]],'All Skus'!$A:$AC,2,FALSE))="Soundcraft",(VLOOKUP(Table11[[#This Row],[SKU]],'All Skus'!$A:$AC,4,FALSE)),""))</f>
        <v>RS2423SP</v>
      </c>
      <c r="D164" s="19" t="str">
        <f>(IF((VLOOKUP(Table11[[#This Row],[SKU]],'All Skus'!$A:$AC,2,FALSE))="Soundcraft",(VLOOKUP(Table11[[#This Row],[SKU]],'All Skus'!$A:$AC,5,FALSE)),""))</f>
        <v>SC-VI</v>
      </c>
      <c r="E164" s="19" t="str">
        <f>(IF((VLOOKUP(Table11[[#This Row],[SKU]],'All Skus'!$A:$AC,2,FALSE))="Soundcraft",(VLOOKUP(Table11[[#This Row],[SKU]],'All Skus'!$A:$AC,6,FALSE)),""))</f>
        <v>YES</v>
      </c>
      <c r="F164" s="18">
        <f>(IF((VLOOKUP(Table11[[#This Row],[SKU]],'All Skus'!$A:$AC,2,FALSE))="Soundcraft",(VLOOKUP(Table11[[#This Row],[SKU]],'All Skus'!$A:$AC,7,FALSE)),""))</f>
        <v>0</v>
      </c>
      <c r="G164" s="22" t="str">
        <f>(IF((VLOOKUP(Table11[[#This Row],[SKU]],'All Skus'!$A:$AC,2,FALSE))="Soundcraft",(VLOOKUP(Table11[[#This Row],[SKU]],'All Skus'!$A:$AC,8,FALSE)),""))</f>
        <v>Vi Microphone CARD Local Rack</v>
      </c>
      <c r="H164" s="22" t="str">
        <f>(IF((VLOOKUP(Table11[[#This Row],[SKU]],'All Skus'!$A:$AC,2,FALSE))="Soundcraft",(VLOOKUP(Table11[[#This Row],[SKU]],'All Skus'!$A:$AC,9,FALSE)),""))</f>
        <v>ViO/D21 Mic In</v>
      </c>
      <c r="I164" s="157">
        <f>(IF((VLOOKUP(Table11[[#This Row],[SKU]],'All Skus'!$A:$AC,2,FALSE))="Soundcraft",(VLOOKUP(Table11[[#This Row],[SKU]],'All Skus'!$A:$AC,10,FALSE)),""))</f>
        <v>1105.06</v>
      </c>
      <c r="J164" s="157">
        <f>(IF((VLOOKUP(Table11[[#This Row],[SKU]],'All Skus'!$A:$AC,2,FALSE))="Soundcraft",(VLOOKUP(Table11[[#This Row],[SKU]],'All Skus'!$A:$AC,11,FALSE)),""))</f>
        <v>1105</v>
      </c>
      <c r="K164" s="271">
        <f>(IF((VLOOKUP(Table11[[#This Row],[SKU]],'All Skus'!$A:$AC,2,FALSE))="Soundcraft",(VLOOKUP(Table11[[#This Row],[SKU]],'All Skus'!$A:$AC,16,FALSE)),""))</f>
        <v>0</v>
      </c>
      <c r="L164" s="239">
        <f>(IF((VLOOKUP(Table11[[#This Row],[SKU]],'All Skus'!$A:$AC,2,FALSE))="Soundcraft",(VLOOKUP(Table11[[#This Row],[SKU]],'All Skus'!$A:$AC,17,FALSE)),""))</f>
        <v>0</v>
      </c>
      <c r="M164" s="239">
        <f>(IF((VLOOKUP(Table11[[#This Row],[SKU]],'All Skus'!$A:$AC,2,FALSE))="Soundcraft",(VLOOKUP(Table11[[#This Row],[SKU]],'All Skus'!$A:$AC,18,FALSE)),""))</f>
        <v>0</v>
      </c>
      <c r="N164" s="147">
        <f>(IF((VLOOKUP(Table11[[#This Row],[SKU]],'All Skus'!$A:$AC,2,FALSE))="Soundcraft",(VLOOKUP(Table11[[#This Row],[SKU]],'All Skus'!$A:$AC,19,FALSE)),""))</f>
        <v>0</v>
      </c>
      <c r="O164" s="147">
        <f>(IF((VLOOKUP(Table11[[#This Row],[SKU]],'All Skus'!$A:$AC,2,FALSE))="Soundcraft",(VLOOKUP(Table11[[#This Row],[SKU]],'All Skus'!$A:$AC,20,FALSE)),""))</f>
        <v>0</v>
      </c>
      <c r="P164" s="240">
        <f>(IF((VLOOKUP(Table11[[#This Row],[SKU]],'All Skus'!$A:$AC,2,FALSE))="Soundcraft",(VLOOKUP(Table11[[#This Row],[SKU]],'All Skus'!$A:$AC,21,FALSE)),""))</f>
        <v>0</v>
      </c>
      <c r="Q164" s="61" t="str">
        <f>(IF((VLOOKUP(Table11[[#This Row],[SKU]],'All Skus'!$A:$AC,2,FALSE))="Soundcraft",(VLOOKUP(Table11[[#This Row],[SKU]],'All Skus'!$A:$AC,22,FALSE)),""))</f>
        <v>HU</v>
      </c>
      <c r="R164" s="61" t="str">
        <f>(IF((VLOOKUP(Table11[[#This Row],[SKU]],'All Skus'!$A:$AC,2,FALSE))="Soundcraft",(VLOOKUP(Table11[[#This Row],[SKU]],'All Skus'!$A:$AC,23,FALSE)),""))</f>
        <v>Compliant</v>
      </c>
      <c r="S164" s="212" t="str">
        <f>HYPERLINK((IF((VLOOKUP(Table11[[#This Row],[SKU]],'All Skus'!$A:$AC,2,FALSE))="Soundcraft",(VLOOKUP(Table11[[#This Row],[SKU]],'All Skus'!$A:$AC,24,FALSE)),"")))</f>
        <v/>
      </c>
      <c r="T164" s="151">
        <v>162</v>
      </c>
    </row>
    <row r="165" spans="1:20" ht="15" customHeight="1">
      <c r="A165" s="158" t="s">
        <v>2504</v>
      </c>
      <c r="B165" s="159" t="str">
        <f>(IF((VLOOKUP(Table11[[#This Row],[SKU]],'All Skus'!$A:$AC,2,FALSE))="Soundcraft",(VLOOKUP(Table11[[#This Row],[SKU]],'All Skus'!$A:$AC,3,FALSE)),""))</f>
        <v>Option Cards (Local Rack / D21 CSB Expansion / Vix000)</v>
      </c>
      <c r="C165" s="21" t="str">
        <f>(IF((VLOOKUP(Table11[[#This Row],[SKU]],'All Skus'!$A:$AC,2,FALSE))="Soundcraft",(VLOOKUP(Table11[[#This Row],[SKU]],'All Skus'!$A:$AC,4,FALSE)),""))</f>
        <v>RS2424SP</v>
      </c>
      <c r="D165" s="19" t="str">
        <f>(IF((VLOOKUP(Table11[[#This Row],[SKU]],'All Skus'!$A:$AC,2,FALSE))="Soundcraft",(VLOOKUP(Table11[[#This Row],[SKU]],'All Skus'!$A:$AC,5,FALSE)),""))</f>
        <v>SC-VI</v>
      </c>
      <c r="E165" s="19" t="str">
        <f>(IF((VLOOKUP(Table11[[#This Row],[SKU]],'All Skus'!$A:$AC,2,FALSE))="Soundcraft",(VLOOKUP(Table11[[#This Row],[SKU]],'All Skus'!$A:$AC,6,FALSE)),""))</f>
        <v>YES</v>
      </c>
      <c r="F165" s="18">
        <f>(IF((VLOOKUP(Table11[[#This Row],[SKU]],'All Skus'!$A:$AC,2,FALSE))="Soundcraft",(VLOOKUP(Table11[[#This Row],[SKU]],'All Skus'!$A:$AC,7,FALSE)),""))</f>
        <v>0</v>
      </c>
      <c r="G165" s="22" t="str">
        <f>(IF((VLOOKUP(Table11[[#This Row],[SKU]],'All Skus'!$A:$AC,2,FALSE))="Soundcraft",(VLOOKUP(Table11[[#This Row],[SKU]],'All Skus'!$A:$AC,8,FALSE)),""))</f>
        <v>Vi Line Input Card Local Rack</v>
      </c>
      <c r="H165" s="22" t="str">
        <f>(IF((VLOOKUP(Table11[[#This Row],[SKU]],'All Skus'!$A:$AC,2,FALSE))="Soundcraft",(VLOOKUP(Table11[[#This Row],[SKU]],'All Skus'!$A:$AC,9,FALSE)),""))</f>
        <v>ViO/D21 Line Out</v>
      </c>
      <c r="I165" s="157">
        <f>(IF((VLOOKUP(Table11[[#This Row],[SKU]],'All Skus'!$A:$AC,2,FALSE))="Soundcraft",(VLOOKUP(Table11[[#This Row],[SKU]],'All Skus'!$A:$AC,10,FALSE)),""))</f>
        <v>789.73</v>
      </c>
      <c r="J165" s="157">
        <f>(IF((VLOOKUP(Table11[[#This Row],[SKU]],'All Skus'!$A:$AC,2,FALSE))="Soundcraft",(VLOOKUP(Table11[[#This Row],[SKU]],'All Skus'!$A:$AC,11,FALSE)),""))</f>
        <v>789</v>
      </c>
      <c r="K165" s="271">
        <f>(IF((VLOOKUP(Table11[[#This Row],[SKU]],'All Skus'!$A:$AC,2,FALSE))="Soundcraft",(VLOOKUP(Table11[[#This Row],[SKU]],'All Skus'!$A:$AC,16,FALSE)),""))</f>
        <v>0</v>
      </c>
      <c r="L165" s="239">
        <f>(IF((VLOOKUP(Table11[[#This Row],[SKU]],'All Skus'!$A:$AC,2,FALSE))="Soundcraft",(VLOOKUP(Table11[[#This Row],[SKU]],'All Skus'!$A:$AC,17,FALSE)),""))</f>
        <v>0</v>
      </c>
      <c r="M165" s="239">
        <f>(IF((VLOOKUP(Table11[[#This Row],[SKU]],'All Skus'!$A:$AC,2,FALSE))="Soundcraft",(VLOOKUP(Table11[[#This Row],[SKU]],'All Skus'!$A:$AC,18,FALSE)),""))</f>
        <v>1.5</v>
      </c>
      <c r="N165" s="147">
        <f>(IF((VLOOKUP(Table11[[#This Row],[SKU]],'All Skus'!$A:$AC,2,FALSE))="Soundcraft",(VLOOKUP(Table11[[#This Row],[SKU]],'All Skus'!$A:$AC,19,FALSE)),""))</f>
        <v>14.5</v>
      </c>
      <c r="O165" s="147">
        <f>(IF((VLOOKUP(Table11[[#This Row],[SKU]],'All Skus'!$A:$AC,2,FALSE))="Soundcraft",(VLOOKUP(Table11[[#This Row],[SKU]],'All Skus'!$A:$AC,20,FALSE)),""))</f>
        <v>7.5</v>
      </c>
      <c r="P165" s="240">
        <f>(IF((VLOOKUP(Table11[[#This Row],[SKU]],'All Skus'!$A:$AC,2,FALSE))="Soundcraft",(VLOOKUP(Table11[[#This Row],[SKU]],'All Skus'!$A:$AC,21,FALSE)),""))</f>
        <v>3.5</v>
      </c>
      <c r="Q165" s="61" t="str">
        <f>(IF((VLOOKUP(Table11[[#This Row],[SKU]],'All Skus'!$A:$AC,2,FALSE))="Soundcraft",(VLOOKUP(Table11[[#This Row],[SKU]],'All Skus'!$A:$AC,22,FALSE)),""))</f>
        <v>CN</v>
      </c>
      <c r="R165" s="61" t="str">
        <f>(IF((VLOOKUP(Table11[[#This Row],[SKU]],'All Skus'!$A:$AC,2,FALSE))="Soundcraft",(VLOOKUP(Table11[[#This Row],[SKU]],'All Skus'!$A:$AC,23,FALSE)),""))</f>
        <v>Compliant</v>
      </c>
      <c r="S165" s="212" t="str">
        <f>HYPERLINK((IF((VLOOKUP(Table11[[#This Row],[SKU]],'All Skus'!$A:$AC,2,FALSE))="Soundcraft",(VLOOKUP(Table11[[#This Row],[SKU]],'All Skus'!$A:$AC,24,FALSE)),"")))</f>
        <v/>
      </c>
      <c r="T165" s="151">
        <v>163</v>
      </c>
    </row>
    <row r="166" spans="1:20" ht="15" customHeight="1">
      <c r="A166" s="158" t="s">
        <v>2505</v>
      </c>
      <c r="B166" s="159" t="str">
        <f>(IF((VLOOKUP(Table11[[#This Row],[SKU]],'All Skus'!$A:$AC,2,FALSE))="Soundcraft",(VLOOKUP(Table11[[#This Row],[SKU]],'All Skus'!$A:$AC,3,FALSE)),""))</f>
        <v>Option Cards (Local Rack / D21 CSB Expansion / Vix000)</v>
      </c>
      <c r="C166" s="21" t="str">
        <f>(IF((VLOOKUP(Table11[[#This Row],[SKU]],'All Skus'!$A:$AC,2,FALSE))="Soundcraft",(VLOOKUP(Table11[[#This Row],[SKU]],'All Skus'!$A:$AC,4,FALSE)),""))</f>
        <v>RS2425Sp</v>
      </c>
      <c r="D166" s="19" t="str">
        <f>(IF((VLOOKUP(Table11[[#This Row],[SKU]],'All Skus'!$A:$AC,2,FALSE))="Soundcraft",(VLOOKUP(Table11[[#This Row],[SKU]],'All Skus'!$A:$AC,5,FALSE)),""))</f>
        <v>SC-VI</v>
      </c>
      <c r="E166" s="19" t="str">
        <f>(IF((VLOOKUP(Table11[[#This Row],[SKU]],'All Skus'!$A:$AC,2,FALSE))="Soundcraft",(VLOOKUP(Table11[[#This Row],[SKU]],'All Skus'!$A:$AC,6,FALSE)),""))</f>
        <v>YES</v>
      </c>
      <c r="F166" s="18">
        <f>(IF((VLOOKUP(Table11[[#This Row],[SKU]],'All Skus'!$A:$AC,2,FALSE))="Soundcraft",(VLOOKUP(Table11[[#This Row],[SKU]],'All Skus'!$A:$AC,7,FALSE)),""))</f>
        <v>0</v>
      </c>
      <c r="G166" s="22" t="str">
        <f>(IF((VLOOKUP(Table11[[#This Row],[SKU]],'All Skus'!$A:$AC,2,FALSE))="Soundcraft",(VLOOKUP(Table11[[#This Row],[SKU]],'All Skus'!$A:$AC,8,FALSE)),""))</f>
        <v>Vi Line Input card Local Rack</v>
      </c>
      <c r="H166" s="22" t="str">
        <f>(IF((VLOOKUP(Table11[[#This Row],[SKU]],'All Skus'!$A:$AC,2,FALSE))="Soundcraft",(VLOOKUP(Table11[[#This Row],[SKU]],'All Skus'!$A:$AC,9,FALSE)),""))</f>
        <v>ViO/D21 Line In</v>
      </c>
      <c r="I166" s="157">
        <f>(IF((VLOOKUP(Table11[[#This Row],[SKU]],'All Skus'!$A:$AC,2,FALSE))="Soundcraft",(VLOOKUP(Table11[[#This Row],[SKU]],'All Skus'!$A:$AC,10,FALSE)),""))</f>
        <v>1105.06</v>
      </c>
      <c r="J166" s="157">
        <f>(IF((VLOOKUP(Table11[[#This Row],[SKU]],'All Skus'!$A:$AC,2,FALSE))="Soundcraft",(VLOOKUP(Table11[[#This Row],[SKU]],'All Skus'!$A:$AC,11,FALSE)),""))</f>
        <v>1105</v>
      </c>
      <c r="K166" s="271">
        <f>(IF((VLOOKUP(Table11[[#This Row],[SKU]],'All Skus'!$A:$AC,2,FALSE))="Soundcraft",(VLOOKUP(Table11[[#This Row],[SKU]],'All Skus'!$A:$AC,16,FALSE)),""))</f>
        <v>0</v>
      </c>
      <c r="L166" s="239">
        <f>(IF((VLOOKUP(Table11[[#This Row],[SKU]],'All Skus'!$A:$AC,2,FALSE))="Soundcraft",(VLOOKUP(Table11[[#This Row],[SKU]],'All Skus'!$A:$AC,17,FALSE)),""))</f>
        <v>0</v>
      </c>
      <c r="M166" s="239">
        <f>(IF((VLOOKUP(Table11[[#This Row],[SKU]],'All Skus'!$A:$AC,2,FALSE))="Soundcraft",(VLOOKUP(Table11[[#This Row],[SKU]],'All Skus'!$A:$AC,18,FALSE)),""))</f>
        <v>1</v>
      </c>
      <c r="N166" s="147">
        <f>(IF((VLOOKUP(Table11[[#This Row],[SKU]],'All Skus'!$A:$AC,2,FALSE))="Soundcraft",(VLOOKUP(Table11[[#This Row],[SKU]],'All Skus'!$A:$AC,19,FALSE)),""))</f>
        <v>14</v>
      </c>
      <c r="O166" s="147">
        <f>(IF((VLOOKUP(Table11[[#This Row],[SKU]],'All Skus'!$A:$AC,2,FALSE))="Soundcraft",(VLOOKUP(Table11[[#This Row],[SKU]],'All Skus'!$A:$AC,20,FALSE)),""))</f>
        <v>8</v>
      </c>
      <c r="P166" s="240">
        <f>(IF((VLOOKUP(Table11[[#This Row],[SKU]],'All Skus'!$A:$AC,2,FALSE))="Soundcraft",(VLOOKUP(Table11[[#This Row],[SKU]],'All Skus'!$A:$AC,21,FALSE)),""))</f>
        <v>4</v>
      </c>
      <c r="Q166" s="61" t="str">
        <f>(IF((VLOOKUP(Table11[[#This Row],[SKU]],'All Skus'!$A:$AC,2,FALSE))="Soundcraft",(VLOOKUP(Table11[[#This Row],[SKU]],'All Skus'!$A:$AC,22,FALSE)),""))</f>
        <v>CN</v>
      </c>
      <c r="R166" s="61" t="str">
        <f>(IF((VLOOKUP(Table11[[#This Row],[SKU]],'All Skus'!$A:$AC,2,FALSE))="Soundcraft",(VLOOKUP(Table11[[#This Row],[SKU]],'All Skus'!$A:$AC,23,FALSE)),""))</f>
        <v>Compliant</v>
      </c>
      <c r="S166" s="212" t="str">
        <f>HYPERLINK((IF((VLOOKUP(Table11[[#This Row],[SKU]],'All Skus'!$A:$AC,2,FALSE))="Soundcraft",(VLOOKUP(Table11[[#This Row],[SKU]],'All Skus'!$A:$AC,24,FALSE)),"")))</f>
        <v/>
      </c>
      <c r="T166" s="151">
        <v>164</v>
      </c>
    </row>
    <row r="167" spans="1:20" ht="15" customHeight="1">
      <c r="A167" s="158" t="s">
        <v>2506</v>
      </c>
      <c r="B167" s="159" t="str">
        <f>(IF((VLOOKUP(Table11[[#This Row],[SKU]],'All Skus'!$A:$AC,2,FALSE))="Soundcraft",(VLOOKUP(Table11[[#This Row],[SKU]],'All Skus'!$A:$AC,3,FALSE)),""))</f>
        <v>Option Cards (Local Rack / D21 CSB Expansion / Vix000)</v>
      </c>
      <c r="C167" s="21" t="str">
        <f>(IF((VLOOKUP(Table11[[#This Row],[SKU]],'All Skus'!$A:$AC,2,FALSE))="Soundcraft",(VLOOKUP(Table11[[#This Row],[SKU]],'All Skus'!$A:$AC,4,FALSE)),""))</f>
        <v>RS2426SP</v>
      </c>
      <c r="D167" s="19" t="str">
        <f>(IF((VLOOKUP(Table11[[#This Row],[SKU]],'All Skus'!$A:$AC,2,FALSE))="Soundcraft",(VLOOKUP(Table11[[#This Row],[SKU]],'All Skus'!$A:$AC,5,FALSE)),""))</f>
        <v>SC-VI</v>
      </c>
      <c r="E167" s="19" t="str">
        <f>(IF((VLOOKUP(Table11[[#This Row],[SKU]],'All Skus'!$A:$AC,2,FALSE))="Soundcraft",(VLOOKUP(Table11[[#This Row],[SKU]],'All Skus'!$A:$AC,6,FALSE)),""))</f>
        <v>YES</v>
      </c>
      <c r="F167" s="18">
        <f>(IF((VLOOKUP(Table11[[#This Row],[SKU]],'All Skus'!$A:$AC,2,FALSE))="Soundcraft",(VLOOKUP(Table11[[#This Row],[SKU]],'All Skus'!$A:$AC,7,FALSE)),""))</f>
        <v>0</v>
      </c>
      <c r="G167" s="22" t="str">
        <f>(IF((VLOOKUP(Table11[[#This Row],[SKU]],'All Skus'!$A:$AC,2,FALSE))="Soundcraft",(VLOOKUP(Table11[[#This Row],[SKU]],'All Skus'!$A:$AC,8,FALSE)),""))</f>
        <v>VI Optical MADI CARD Local Rack</v>
      </c>
      <c r="H167" s="22" t="str">
        <f>(IF((VLOOKUP(Table11[[#This Row],[SKU]],'All Skus'!$A:$AC,2,FALSE))="Soundcraft",(VLOOKUP(Table11[[#This Row],[SKU]],'All Skus'!$A:$AC,9,FALSE)),""))</f>
        <v>ViO/D21 Optical MADI (multimode)</v>
      </c>
      <c r="I167" s="157">
        <f>(IF((VLOOKUP(Table11[[#This Row],[SKU]],'All Skus'!$A:$AC,2,FALSE))="Soundcraft",(VLOOKUP(Table11[[#This Row],[SKU]],'All Skus'!$A:$AC,10,FALSE)),""))</f>
        <v>1105.06</v>
      </c>
      <c r="J167" s="157">
        <f>(IF((VLOOKUP(Table11[[#This Row],[SKU]],'All Skus'!$A:$AC,2,FALSE))="Soundcraft",(VLOOKUP(Table11[[#This Row],[SKU]],'All Skus'!$A:$AC,11,FALSE)),""))</f>
        <v>1105</v>
      </c>
      <c r="K167" s="271">
        <f>(IF((VLOOKUP(Table11[[#This Row],[SKU]],'All Skus'!$A:$AC,2,FALSE))="Soundcraft",(VLOOKUP(Table11[[#This Row],[SKU]],'All Skus'!$A:$AC,16,FALSE)),""))</f>
        <v>0</v>
      </c>
      <c r="L167" s="239">
        <f>(IF((VLOOKUP(Table11[[#This Row],[SKU]],'All Skus'!$A:$AC,2,FALSE))="Soundcraft",(VLOOKUP(Table11[[#This Row],[SKU]],'All Skus'!$A:$AC,17,FALSE)),""))</f>
        <v>0</v>
      </c>
      <c r="M167" s="239">
        <f>(IF((VLOOKUP(Table11[[#This Row],[SKU]],'All Skus'!$A:$AC,2,FALSE))="Soundcraft",(VLOOKUP(Table11[[#This Row],[SKU]],'All Skus'!$A:$AC,18,FALSE)),""))</f>
        <v>15</v>
      </c>
      <c r="N167" s="147">
        <f>(IF((VLOOKUP(Table11[[#This Row],[SKU]],'All Skus'!$A:$AC,2,FALSE))="Soundcraft",(VLOOKUP(Table11[[#This Row],[SKU]],'All Skus'!$A:$AC,19,FALSE)),""))</f>
        <v>20</v>
      </c>
      <c r="O167" s="147">
        <f>(IF((VLOOKUP(Table11[[#This Row],[SKU]],'All Skus'!$A:$AC,2,FALSE))="Soundcraft",(VLOOKUP(Table11[[#This Row],[SKU]],'All Skus'!$A:$AC,20,FALSE)),""))</f>
        <v>15</v>
      </c>
      <c r="P167" s="240">
        <f>(IF((VLOOKUP(Table11[[#This Row],[SKU]],'All Skus'!$A:$AC,2,FALSE))="Soundcraft",(VLOOKUP(Table11[[#This Row],[SKU]],'All Skus'!$A:$AC,21,FALSE)),""))</f>
        <v>7</v>
      </c>
      <c r="Q167" s="61" t="str">
        <f>(IF((VLOOKUP(Table11[[#This Row],[SKU]],'All Skus'!$A:$AC,2,FALSE))="Soundcraft",(VLOOKUP(Table11[[#This Row],[SKU]],'All Skus'!$A:$AC,22,FALSE)),""))</f>
        <v>CN</v>
      </c>
      <c r="R167" s="61" t="str">
        <f>(IF((VLOOKUP(Table11[[#This Row],[SKU]],'All Skus'!$A:$AC,2,FALSE))="Soundcraft",(VLOOKUP(Table11[[#This Row],[SKU]],'All Skus'!$A:$AC,23,FALSE)),""))</f>
        <v>Compliant</v>
      </c>
      <c r="S167" s="212" t="str">
        <f>HYPERLINK((IF((VLOOKUP(Table11[[#This Row],[SKU]],'All Skus'!$A:$AC,2,FALSE))="Soundcraft",(VLOOKUP(Table11[[#This Row],[SKU]],'All Skus'!$A:$AC,24,FALSE)),"")))</f>
        <v/>
      </c>
      <c r="T167" s="151">
        <v>165</v>
      </c>
    </row>
    <row r="168" spans="1:20" ht="15" customHeight="1">
      <c r="A168" s="158" t="s">
        <v>2507</v>
      </c>
      <c r="B168" s="159" t="str">
        <f>(IF((VLOOKUP(Table11[[#This Row],[SKU]],'All Skus'!$A:$AC,2,FALSE))="Soundcraft",(VLOOKUP(Table11[[#This Row],[SKU]],'All Skus'!$A:$AC,3,FALSE)),""))</f>
        <v>Option Cards (Local Rack / D21 CSB Expansion / Vix000)</v>
      </c>
      <c r="C168" s="21" t="str">
        <f>(IF((VLOOKUP(Table11[[#This Row],[SKU]],'All Skus'!$A:$AC,2,FALSE))="Soundcraft",(VLOOKUP(Table11[[#This Row],[SKU]],'All Skus'!$A:$AC,4,FALSE)),""))</f>
        <v>RS2429SP</v>
      </c>
      <c r="D168" s="19" t="str">
        <f>(IF((VLOOKUP(Table11[[#This Row],[SKU]],'All Skus'!$A:$AC,2,FALSE))="Soundcraft",(VLOOKUP(Table11[[#This Row],[SKU]],'All Skus'!$A:$AC,5,FALSE)),""))</f>
        <v>SC-VI</v>
      </c>
      <c r="E168" s="19" t="str">
        <f>(IF((VLOOKUP(Table11[[#This Row],[SKU]],'All Skus'!$A:$AC,2,FALSE))="Soundcraft",(VLOOKUP(Table11[[#This Row],[SKU]],'All Skus'!$A:$AC,6,FALSE)),""))</f>
        <v>YES</v>
      </c>
      <c r="F168" s="18">
        <f>(IF((VLOOKUP(Table11[[#This Row],[SKU]],'All Skus'!$A:$AC,2,FALSE))="Soundcraft",(VLOOKUP(Table11[[#This Row],[SKU]],'All Skus'!$A:$AC,7,FALSE)),""))</f>
        <v>0</v>
      </c>
      <c r="G168" s="22" t="str">
        <f>(IF((VLOOKUP(Table11[[#This Row],[SKU]],'All Skus'!$A:$AC,2,FALSE))="Soundcraft",(VLOOKUP(Table11[[#This Row],[SKU]],'All Skus'!$A:$AC,8,FALSE)),""))</f>
        <v>VI GPI0 Relay Card Local Rack</v>
      </c>
      <c r="H168" s="22" t="str">
        <f>(IF((VLOOKUP(Table11[[#This Row],[SKU]],'All Skus'!$A:$AC,2,FALSE))="Soundcraft",(VLOOKUP(Table11[[#This Row],[SKU]],'All Skus'!$A:$AC,9,FALSE)),""))</f>
        <v>GPIO card</v>
      </c>
      <c r="I168" s="157">
        <f>(IF((VLOOKUP(Table11[[#This Row],[SKU]],'All Skus'!$A:$AC,2,FALSE))="Soundcraft",(VLOOKUP(Table11[[#This Row],[SKU]],'All Skus'!$A:$AC,10,FALSE)),""))</f>
        <v>2367.79</v>
      </c>
      <c r="J168" s="157">
        <f>(IF((VLOOKUP(Table11[[#This Row],[SKU]],'All Skus'!$A:$AC,2,FALSE))="Soundcraft",(VLOOKUP(Table11[[#This Row],[SKU]],'All Skus'!$A:$AC,11,FALSE)),""))</f>
        <v>2367</v>
      </c>
      <c r="K168" s="271">
        <f>(IF((VLOOKUP(Table11[[#This Row],[SKU]],'All Skus'!$A:$AC,2,FALSE))="Soundcraft",(VLOOKUP(Table11[[#This Row],[SKU]],'All Skus'!$A:$AC,16,FALSE)),""))</f>
        <v>0</v>
      </c>
      <c r="L168" s="239">
        <f>(IF((VLOOKUP(Table11[[#This Row],[SKU]],'All Skus'!$A:$AC,2,FALSE))="Soundcraft",(VLOOKUP(Table11[[#This Row],[SKU]],'All Skus'!$A:$AC,17,FALSE)),""))</f>
        <v>0</v>
      </c>
      <c r="M168" s="239">
        <f>(IF((VLOOKUP(Table11[[#This Row],[SKU]],'All Skus'!$A:$AC,2,FALSE))="Soundcraft",(VLOOKUP(Table11[[#This Row],[SKU]],'All Skus'!$A:$AC,18,FALSE)),""))</f>
        <v>0</v>
      </c>
      <c r="N168" s="147">
        <f>(IF((VLOOKUP(Table11[[#This Row],[SKU]],'All Skus'!$A:$AC,2,FALSE))="Soundcraft",(VLOOKUP(Table11[[#This Row],[SKU]],'All Skus'!$A:$AC,19,FALSE)),""))</f>
        <v>0</v>
      </c>
      <c r="O168" s="147">
        <f>(IF((VLOOKUP(Table11[[#This Row],[SKU]],'All Skus'!$A:$AC,2,FALSE))="Soundcraft",(VLOOKUP(Table11[[#This Row],[SKU]],'All Skus'!$A:$AC,20,FALSE)),""))</f>
        <v>0</v>
      </c>
      <c r="P168" s="240">
        <f>(IF((VLOOKUP(Table11[[#This Row],[SKU]],'All Skus'!$A:$AC,2,FALSE))="Soundcraft",(VLOOKUP(Table11[[#This Row],[SKU]],'All Skus'!$A:$AC,21,FALSE)),""))</f>
        <v>0</v>
      </c>
      <c r="Q168" s="61">
        <f>(IF((VLOOKUP(Table11[[#This Row],[SKU]],'All Skus'!$A:$AC,2,FALSE))="Soundcraft",(VLOOKUP(Table11[[#This Row],[SKU]],'All Skus'!$A:$AC,22,FALSE)),""))</f>
        <v>0</v>
      </c>
      <c r="R168" s="61" t="str">
        <f>(IF((VLOOKUP(Table11[[#This Row],[SKU]],'All Skus'!$A:$AC,2,FALSE))="Soundcraft",(VLOOKUP(Table11[[#This Row],[SKU]],'All Skus'!$A:$AC,23,FALSE)),""))</f>
        <v>Compliant</v>
      </c>
      <c r="S168" s="212" t="str">
        <f>HYPERLINK((IF((VLOOKUP(Table11[[#This Row],[SKU]],'All Skus'!$A:$AC,2,FALSE))="Soundcraft",(VLOOKUP(Table11[[#This Row],[SKU]],'All Skus'!$A:$AC,24,FALSE)),"")))</f>
        <v/>
      </c>
      <c r="T168" s="151">
        <v>166</v>
      </c>
    </row>
    <row r="169" spans="1:20" ht="15" customHeight="1">
      <c r="A169" s="158" t="s">
        <v>2508</v>
      </c>
      <c r="B169" s="159" t="str">
        <f>(IF((VLOOKUP(Table11[[#This Row],[SKU]],'All Skus'!$A:$AC,2,FALSE))="Soundcraft",(VLOOKUP(Table11[[#This Row],[SKU]],'All Skus'!$A:$AC,3,FALSE)),""))</f>
        <v>Option Cards (Local Rack / D21 CSB Expansion / Vix000)</v>
      </c>
      <c r="C169" s="21" t="str">
        <f>(IF((VLOOKUP(Table11[[#This Row],[SKU]],'All Skus'!$A:$AC,2,FALSE))="Soundcraft",(VLOOKUP(Table11[[#This Row],[SKU]],'All Skus'!$A:$AC,4,FALSE)),""))</f>
        <v>RS2442SP</v>
      </c>
      <c r="D169" s="19" t="str">
        <f>(IF((VLOOKUP(Table11[[#This Row],[SKU]],'All Skus'!$A:$AC,2,FALSE))="Soundcraft",(VLOOKUP(Table11[[#This Row],[SKU]],'All Skus'!$A:$AC,5,FALSE)),""))</f>
        <v>SC-VI</v>
      </c>
      <c r="E169" s="19" t="str">
        <f>(IF((VLOOKUP(Table11[[#This Row],[SKU]],'All Skus'!$A:$AC,2,FALSE))="Soundcraft",(VLOOKUP(Table11[[#This Row],[SKU]],'All Skus'!$A:$AC,6,FALSE)),""))</f>
        <v>YES</v>
      </c>
      <c r="F169" s="18">
        <f>(IF((VLOOKUP(Table11[[#This Row],[SKU]],'All Skus'!$A:$AC,2,FALSE))="Soundcraft",(VLOOKUP(Table11[[#This Row],[SKU]],'All Skus'!$A:$AC,7,FALSE)),""))</f>
        <v>0</v>
      </c>
      <c r="G169" s="22" t="str">
        <f>(IF((VLOOKUP(Table11[[#This Row],[SKU]],'All Skus'!$A:$AC,2,FALSE))="Soundcraft",(VLOOKUP(Table11[[#This Row],[SKU]],'All Skus'!$A:$AC,8,FALSE)),""))</f>
        <v>VI S CORE PRO LEXICON FX Card Local Rack</v>
      </c>
      <c r="H169" s="22" t="str">
        <f>(IF((VLOOKUP(Table11[[#This Row],[SKU]],'All Skus'!$A:$AC,2,FALSE))="Soundcraft",(VLOOKUP(Table11[[#This Row],[SKU]],'All Skus'!$A:$AC,9,FALSE)),""))</f>
        <v>Lexicon/BSS FX/GEQs</v>
      </c>
      <c r="I169" s="157">
        <f>(IF((VLOOKUP(Table11[[#This Row],[SKU]],'All Skus'!$A:$AC,2,FALSE))="Soundcraft",(VLOOKUP(Table11[[#This Row],[SKU]],'All Skus'!$A:$AC,10,FALSE)),""))</f>
        <v>6312.21</v>
      </c>
      <c r="J169" s="157">
        <f>(IF((VLOOKUP(Table11[[#This Row],[SKU]],'All Skus'!$A:$AC,2,FALSE))="Soundcraft",(VLOOKUP(Table11[[#This Row],[SKU]],'All Skus'!$A:$AC,11,FALSE)),""))</f>
        <v>6312</v>
      </c>
      <c r="K169" s="271">
        <f>(IF((VLOOKUP(Table11[[#This Row],[SKU]],'All Skus'!$A:$AC,2,FALSE))="Soundcraft",(VLOOKUP(Table11[[#This Row],[SKU]],'All Skus'!$A:$AC,16,FALSE)),""))</f>
        <v>0</v>
      </c>
      <c r="L169" s="239">
        <f>(IF((VLOOKUP(Table11[[#This Row],[SKU]],'All Skus'!$A:$AC,2,FALSE))="Soundcraft",(VLOOKUP(Table11[[#This Row],[SKU]],'All Skus'!$A:$AC,17,FALSE)),""))</f>
        <v>0</v>
      </c>
      <c r="M169" s="239">
        <f>(IF((VLOOKUP(Table11[[#This Row],[SKU]],'All Skus'!$A:$AC,2,FALSE))="Soundcraft",(VLOOKUP(Table11[[#This Row],[SKU]],'All Skus'!$A:$AC,18,FALSE)),""))</f>
        <v>5</v>
      </c>
      <c r="N169" s="147">
        <f>(IF((VLOOKUP(Table11[[#This Row],[SKU]],'All Skus'!$A:$AC,2,FALSE))="Soundcraft",(VLOOKUP(Table11[[#This Row],[SKU]],'All Skus'!$A:$AC,19,FALSE)),""))</f>
        <v>1</v>
      </c>
      <c r="O169" s="147">
        <f>(IF((VLOOKUP(Table11[[#This Row],[SKU]],'All Skus'!$A:$AC,2,FALSE))="Soundcraft",(VLOOKUP(Table11[[#This Row],[SKU]],'All Skus'!$A:$AC,20,FALSE)),""))</f>
        <v>3</v>
      </c>
      <c r="P169" s="240">
        <f>(IF((VLOOKUP(Table11[[#This Row],[SKU]],'All Skus'!$A:$AC,2,FALSE))="Soundcraft",(VLOOKUP(Table11[[#This Row],[SKU]],'All Skus'!$A:$AC,21,FALSE)),""))</f>
        <v>4</v>
      </c>
      <c r="Q169" s="61" t="str">
        <f>(IF((VLOOKUP(Table11[[#This Row],[SKU]],'All Skus'!$A:$AC,2,FALSE))="Soundcraft",(VLOOKUP(Table11[[#This Row],[SKU]],'All Skus'!$A:$AC,22,FALSE)),""))</f>
        <v>CN</v>
      </c>
      <c r="R169" s="61" t="str">
        <f>(IF((VLOOKUP(Table11[[#This Row],[SKU]],'All Skus'!$A:$AC,2,FALSE))="Soundcraft",(VLOOKUP(Table11[[#This Row],[SKU]],'All Skus'!$A:$AC,23,FALSE)),""))</f>
        <v>Compliant</v>
      </c>
      <c r="S169" s="212" t="str">
        <f>HYPERLINK((IF((VLOOKUP(Table11[[#This Row],[SKU]],'All Skus'!$A:$AC,2,FALSE))="Soundcraft",(VLOOKUP(Table11[[#This Row],[SKU]],'All Skus'!$A:$AC,24,FALSE)),"")))</f>
        <v/>
      </c>
      <c r="T169" s="151">
        <v>167</v>
      </c>
    </row>
    <row r="170" spans="1:20" ht="15" customHeight="1">
      <c r="A170" s="158" t="s">
        <v>2509</v>
      </c>
      <c r="B170" s="159" t="str">
        <f>(IF((VLOOKUP(Table11[[#This Row],[SKU]],'All Skus'!$A:$AC,2,FALSE))="Soundcraft",(VLOOKUP(Table11[[#This Row],[SKU]],'All Skus'!$A:$AC,3,FALSE)),""))</f>
        <v>Option Cards (Local Rack / D21 CSB Expansion / Vix000)</v>
      </c>
      <c r="C170" s="21" t="str">
        <f>(IF((VLOOKUP(Table11[[#This Row],[SKU]],'All Skus'!$A:$AC,2,FALSE))="Soundcraft",(VLOOKUP(Table11[[#This Row],[SKU]],'All Skus'!$A:$AC,4,FALSE)),""))</f>
        <v>RS2485SP</v>
      </c>
      <c r="D170" s="19" t="str">
        <f>(IF((VLOOKUP(Table11[[#This Row],[SKU]],'All Skus'!$A:$AC,2,FALSE))="Soundcraft",(VLOOKUP(Table11[[#This Row],[SKU]],'All Skus'!$A:$AC,5,FALSE)),""))</f>
        <v>SC-VI</v>
      </c>
      <c r="E170" s="19" t="str">
        <f>(IF((VLOOKUP(Table11[[#This Row],[SKU]],'All Skus'!$A:$AC,2,FALSE))="Soundcraft",(VLOOKUP(Table11[[#This Row],[SKU]],'All Skus'!$A:$AC,6,FALSE)),""))</f>
        <v>YES</v>
      </c>
      <c r="F170" s="18">
        <f>(IF((VLOOKUP(Table11[[#This Row],[SKU]],'All Skus'!$A:$AC,2,FALSE))="Soundcraft",(VLOOKUP(Table11[[#This Row],[SKU]],'All Skus'!$A:$AC,7,FALSE)),""))</f>
        <v>0</v>
      </c>
      <c r="G170" s="22" t="str">
        <f>(IF((VLOOKUP(Table11[[#This Row],[SKU]],'All Skus'!$A:$AC,2,FALSE))="Soundcraft",(VLOOKUP(Table11[[#This Row],[SKU]],'All Skus'!$A:$AC,8,FALSE)),""))</f>
        <v>VI COBRANET CARD Local Rack</v>
      </c>
      <c r="H170" s="22" t="str">
        <f>(IF((VLOOKUP(Table11[[#This Row],[SKU]],'All Skus'!$A:$AC,2,FALSE))="Soundcraft",(VLOOKUP(Table11[[#This Row],[SKU]],'All Skus'!$A:$AC,9,FALSE)),""))</f>
        <v>ViO/D21 Cobranet</v>
      </c>
      <c r="I170" s="157">
        <f>(IF((VLOOKUP(Table11[[#This Row],[SKU]],'All Skus'!$A:$AC,2,FALSE))="Soundcraft",(VLOOKUP(Table11[[#This Row],[SKU]],'All Skus'!$A:$AC,10,FALSE)),""))</f>
        <v>2208.71</v>
      </c>
      <c r="J170" s="157">
        <f>(IF((VLOOKUP(Table11[[#This Row],[SKU]],'All Skus'!$A:$AC,2,FALSE))="Soundcraft",(VLOOKUP(Table11[[#This Row],[SKU]],'All Skus'!$A:$AC,11,FALSE)),""))</f>
        <v>2208</v>
      </c>
      <c r="K170" s="271">
        <f>(IF((VLOOKUP(Table11[[#This Row],[SKU]],'All Skus'!$A:$AC,2,FALSE))="Soundcraft",(VLOOKUP(Table11[[#This Row],[SKU]],'All Skus'!$A:$AC,16,FALSE)),""))</f>
        <v>0</v>
      </c>
      <c r="L170" s="239">
        <f>(IF((VLOOKUP(Table11[[#This Row],[SKU]],'All Skus'!$A:$AC,2,FALSE))="Soundcraft",(VLOOKUP(Table11[[#This Row],[SKU]],'All Skus'!$A:$AC,17,FALSE)),""))</f>
        <v>0</v>
      </c>
      <c r="M170" s="239">
        <f>(IF((VLOOKUP(Table11[[#This Row],[SKU]],'All Skus'!$A:$AC,2,FALSE))="Soundcraft",(VLOOKUP(Table11[[#This Row],[SKU]],'All Skus'!$A:$AC,18,FALSE)),""))</f>
        <v>0</v>
      </c>
      <c r="N170" s="147">
        <f>(IF((VLOOKUP(Table11[[#This Row],[SKU]],'All Skus'!$A:$AC,2,FALSE))="Soundcraft",(VLOOKUP(Table11[[#This Row],[SKU]],'All Skus'!$A:$AC,19,FALSE)),""))</f>
        <v>0</v>
      </c>
      <c r="O170" s="147">
        <f>(IF((VLOOKUP(Table11[[#This Row],[SKU]],'All Skus'!$A:$AC,2,FALSE))="Soundcraft",(VLOOKUP(Table11[[#This Row],[SKU]],'All Skus'!$A:$AC,20,FALSE)),""))</f>
        <v>0</v>
      </c>
      <c r="P170" s="240">
        <f>(IF((VLOOKUP(Table11[[#This Row],[SKU]],'All Skus'!$A:$AC,2,FALSE))="Soundcraft",(VLOOKUP(Table11[[#This Row],[SKU]],'All Skus'!$A:$AC,21,FALSE)),""))</f>
        <v>0</v>
      </c>
      <c r="Q170" s="61" t="str">
        <f>(IF((VLOOKUP(Table11[[#This Row],[SKU]],'All Skus'!$A:$AC,2,FALSE))="Soundcraft",(VLOOKUP(Table11[[#This Row],[SKU]],'All Skus'!$A:$AC,22,FALSE)),""))</f>
        <v>CN</v>
      </c>
      <c r="R170" s="61" t="str">
        <f>(IF((VLOOKUP(Table11[[#This Row],[SKU]],'All Skus'!$A:$AC,2,FALSE))="Soundcraft",(VLOOKUP(Table11[[#This Row],[SKU]],'All Skus'!$A:$AC,23,FALSE)),""))</f>
        <v>Compliant</v>
      </c>
      <c r="S170" s="212" t="str">
        <f>HYPERLINK((IF((VLOOKUP(Table11[[#This Row],[SKU]],'All Skus'!$A:$AC,2,FALSE))="Soundcraft",(VLOOKUP(Table11[[#This Row],[SKU]],'All Skus'!$A:$AC,24,FALSE)),"")))</f>
        <v/>
      </c>
      <c r="T170" s="151">
        <v>168</v>
      </c>
    </row>
    <row r="171" spans="1:20" ht="15" customHeight="1">
      <c r="A171" s="158" t="s">
        <v>2510</v>
      </c>
      <c r="B171" s="159" t="str">
        <f>(IF((VLOOKUP(Table11[[#This Row],[SKU]],'All Skus'!$A:$AC,2,FALSE))="Soundcraft",(VLOOKUP(Table11[[#This Row],[SKU]],'All Skus'!$A:$AC,3,FALSE)),""))</f>
        <v>Option Cards (Local Rack / D21 CSB Expansion / Vix000)</v>
      </c>
      <c r="C171" s="21" t="str">
        <f>(IF((VLOOKUP(Table11[[#This Row],[SKU]],'All Skus'!$A:$AC,2,FALSE))="Soundcraft",(VLOOKUP(Table11[[#This Row],[SKU]],'All Skus'!$A:$AC,4,FALSE)),""))</f>
        <v>RS2497SP</v>
      </c>
      <c r="D171" s="19" t="str">
        <f>(IF((VLOOKUP(Table11[[#This Row],[SKU]],'All Skus'!$A:$AC,2,FALSE))="Soundcraft",(VLOOKUP(Table11[[#This Row],[SKU]],'All Skus'!$A:$AC,5,FALSE)),""))</f>
        <v>SC-VI</v>
      </c>
      <c r="E171" s="19" t="str">
        <f>(IF((VLOOKUP(Table11[[#This Row],[SKU]],'All Skus'!$A:$AC,2,FALSE))="Soundcraft",(VLOOKUP(Table11[[#This Row],[SKU]],'All Skus'!$A:$AC,6,FALSE)),""))</f>
        <v>YES</v>
      </c>
      <c r="F171" s="18">
        <f>(IF((VLOOKUP(Table11[[#This Row],[SKU]],'All Skus'!$A:$AC,2,FALSE))="Soundcraft",(VLOOKUP(Table11[[#This Row],[SKU]],'All Skus'!$A:$AC,7,FALSE)),""))</f>
        <v>0</v>
      </c>
      <c r="G171" s="22" t="str">
        <f>(IF((VLOOKUP(Table11[[#This Row],[SKU]],'All Skus'!$A:$AC,2,FALSE))="Soundcraft",(VLOOKUP(Table11[[#This Row],[SKU]],'All Skus'!$A:$AC,8,FALSE)),""))</f>
        <v>VI AVIOM CARD Local Rack</v>
      </c>
      <c r="H171" s="22" t="str">
        <f>(IF((VLOOKUP(Table11[[#This Row],[SKU]],'All Skus'!$A:$AC,2,FALSE))="Soundcraft",(VLOOKUP(Table11[[#This Row],[SKU]],'All Skus'!$A:$AC,9,FALSE)),""))</f>
        <v>ViO/D21 Aviom A-Net</v>
      </c>
      <c r="I171" s="157">
        <f>(IF((VLOOKUP(Table11[[#This Row],[SKU]],'All Skus'!$A:$AC,2,FALSE))="Soundcraft",(VLOOKUP(Table11[[#This Row],[SKU]],'All Skus'!$A:$AC,10,FALSE)),""))</f>
        <v>1893.04</v>
      </c>
      <c r="J171" s="157">
        <f>(IF((VLOOKUP(Table11[[#This Row],[SKU]],'All Skus'!$A:$AC,2,FALSE))="Soundcraft",(VLOOKUP(Table11[[#This Row],[SKU]],'All Skus'!$A:$AC,11,FALSE)),""))</f>
        <v>1893</v>
      </c>
      <c r="K171" s="271">
        <f>(IF((VLOOKUP(Table11[[#This Row],[SKU]],'All Skus'!$A:$AC,2,FALSE))="Soundcraft",(VLOOKUP(Table11[[#This Row],[SKU]],'All Skus'!$A:$AC,16,FALSE)),""))</f>
        <v>0</v>
      </c>
      <c r="L171" s="239">
        <f>(IF((VLOOKUP(Table11[[#This Row],[SKU]],'All Skus'!$A:$AC,2,FALSE))="Soundcraft",(VLOOKUP(Table11[[#This Row],[SKU]],'All Skus'!$A:$AC,17,FALSE)),""))</f>
        <v>0</v>
      </c>
      <c r="M171" s="239">
        <f>(IF((VLOOKUP(Table11[[#This Row],[SKU]],'All Skus'!$A:$AC,2,FALSE))="Soundcraft",(VLOOKUP(Table11[[#This Row],[SKU]],'All Skus'!$A:$AC,18,FALSE)),""))</f>
        <v>0.5</v>
      </c>
      <c r="N171" s="147">
        <f>(IF((VLOOKUP(Table11[[#This Row],[SKU]],'All Skus'!$A:$AC,2,FALSE))="Soundcraft",(VLOOKUP(Table11[[#This Row],[SKU]],'All Skus'!$A:$AC,19,FALSE)),""))</f>
        <v>0</v>
      </c>
      <c r="O171" s="147">
        <f>(IF((VLOOKUP(Table11[[#This Row],[SKU]],'All Skus'!$A:$AC,2,FALSE))="Soundcraft",(VLOOKUP(Table11[[#This Row],[SKU]],'All Skus'!$A:$AC,20,FALSE)),""))</f>
        <v>8</v>
      </c>
      <c r="P171" s="240">
        <f>(IF((VLOOKUP(Table11[[#This Row],[SKU]],'All Skus'!$A:$AC,2,FALSE))="Soundcraft",(VLOOKUP(Table11[[#This Row],[SKU]],'All Skus'!$A:$AC,21,FALSE)),""))</f>
        <v>4</v>
      </c>
      <c r="Q171" s="61" t="str">
        <f>(IF((VLOOKUP(Table11[[#This Row],[SKU]],'All Skus'!$A:$AC,2,FALSE))="Soundcraft",(VLOOKUP(Table11[[#This Row],[SKU]],'All Skus'!$A:$AC,22,FALSE)),""))</f>
        <v>CN</v>
      </c>
      <c r="R171" s="61" t="str">
        <f>(IF((VLOOKUP(Table11[[#This Row],[SKU]],'All Skus'!$A:$AC,2,FALSE))="Soundcraft",(VLOOKUP(Table11[[#This Row],[SKU]],'All Skus'!$A:$AC,23,FALSE)),""))</f>
        <v>Compliant</v>
      </c>
      <c r="S171" s="212" t="str">
        <f>HYPERLINK((IF((VLOOKUP(Table11[[#This Row],[SKU]],'All Skus'!$A:$AC,2,FALSE))="Soundcraft",(VLOOKUP(Table11[[#This Row],[SKU]],'All Skus'!$A:$AC,24,FALSE)),"")))</f>
        <v/>
      </c>
      <c r="T171" s="151">
        <v>169</v>
      </c>
    </row>
    <row r="172" spans="1:20" ht="15" customHeight="1">
      <c r="A172" s="158" t="s">
        <v>2511</v>
      </c>
      <c r="B172" s="159" t="str">
        <f>(IF((VLOOKUP(Table11[[#This Row],[SKU]],'All Skus'!$A:$AC,2,FALSE))="Soundcraft",(VLOOKUP(Table11[[#This Row],[SKU]],'All Skus'!$A:$AC,3,FALSE)),""))</f>
        <v>Option Cards (Local Rack / D21 CSB Expansion / Vix000)</v>
      </c>
      <c r="C172" s="21" t="str">
        <f>(IF((VLOOKUP(Table11[[#This Row],[SKU]],'All Skus'!$A:$AC,2,FALSE))="Soundcraft",(VLOOKUP(Table11[[#This Row],[SKU]],'All Skus'!$A:$AC,4,FALSE)),""))</f>
        <v>RS2563SP</v>
      </c>
      <c r="D172" s="19" t="str">
        <f>(IF((VLOOKUP(Table11[[#This Row],[SKU]],'All Skus'!$A:$AC,2,FALSE))="Soundcraft",(VLOOKUP(Table11[[#This Row],[SKU]],'All Skus'!$A:$AC,5,FALSE)),""))</f>
        <v>SC-VI</v>
      </c>
      <c r="E172" s="19" t="str">
        <f>(IF((VLOOKUP(Table11[[#This Row],[SKU]],'All Skus'!$A:$AC,2,FALSE))="Soundcraft",(VLOOKUP(Table11[[#This Row],[SKU]],'All Skus'!$A:$AC,6,FALSE)),""))</f>
        <v>YES</v>
      </c>
      <c r="F172" s="18">
        <f>(IF((VLOOKUP(Table11[[#This Row],[SKU]],'All Skus'!$A:$AC,2,FALSE))="Soundcraft",(VLOOKUP(Table11[[#This Row],[SKU]],'All Skus'!$A:$AC,7,FALSE)),""))</f>
        <v>0</v>
      </c>
      <c r="G172" s="22" t="str">
        <f>(IF((VLOOKUP(Table11[[#This Row],[SKU]],'All Skus'!$A:$AC,2,FALSE))="Soundcraft",(VLOOKUP(Table11[[#This Row],[SKU]],'All Skus'!$A:$AC,8,FALSE)),""))</f>
        <v>VI (SINGLEMODE) MADI CARD Local Rack</v>
      </c>
      <c r="H172" s="22" t="str">
        <f>(IF((VLOOKUP(Table11[[#This Row],[SKU]],'All Skus'!$A:$AC,2,FALSE))="Soundcraft",(VLOOKUP(Table11[[#This Row],[SKU]],'All Skus'!$A:$AC,9,FALSE)),""))</f>
        <v>ViO/D21 Optical MADI (singlemode)</v>
      </c>
      <c r="I172" s="157">
        <f>(IF((VLOOKUP(Table11[[#This Row],[SKU]],'All Skus'!$A:$AC,2,FALSE))="Soundcraft",(VLOOKUP(Table11[[#This Row],[SKU]],'All Skus'!$A:$AC,10,FALSE)),""))</f>
        <v>1262.72</v>
      </c>
      <c r="J172" s="157">
        <f>(IF((VLOOKUP(Table11[[#This Row],[SKU]],'All Skus'!$A:$AC,2,FALSE))="Soundcraft",(VLOOKUP(Table11[[#This Row],[SKU]],'All Skus'!$A:$AC,11,FALSE)),""))</f>
        <v>1262</v>
      </c>
      <c r="K172" s="271">
        <f>(IF((VLOOKUP(Table11[[#This Row],[SKU]],'All Skus'!$A:$AC,2,FALSE))="Soundcraft",(VLOOKUP(Table11[[#This Row],[SKU]],'All Skus'!$A:$AC,16,FALSE)),""))</f>
        <v>0</v>
      </c>
      <c r="L172" s="239">
        <f>(IF((VLOOKUP(Table11[[#This Row],[SKU]],'All Skus'!$A:$AC,2,FALSE))="Soundcraft",(VLOOKUP(Table11[[#This Row],[SKU]],'All Skus'!$A:$AC,17,FALSE)),""))</f>
        <v>0</v>
      </c>
      <c r="M172" s="239">
        <f>(IF((VLOOKUP(Table11[[#This Row],[SKU]],'All Skus'!$A:$AC,2,FALSE))="Soundcraft",(VLOOKUP(Table11[[#This Row],[SKU]],'All Skus'!$A:$AC,18,FALSE)),""))</f>
        <v>1</v>
      </c>
      <c r="N172" s="147">
        <f>(IF((VLOOKUP(Table11[[#This Row],[SKU]],'All Skus'!$A:$AC,2,FALSE))="Soundcraft",(VLOOKUP(Table11[[#This Row],[SKU]],'All Skus'!$A:$AC,19,FALSE)),""))</f>
        <v>0</v>
      </c>
      <c r="O172" s="147">
        <f>(IF((VLOOKUP(Table11[[#This Row],[SKU]],'All Skus'!$A:$AC,2,FALSE))="Soundcraft",(VLOOKUP(Table11[[#This Row],[SKU]],'All Skus'!$A:$AC,20,FALSE)),""))</f>
        <v>3</v>
      </c>
      <c r="P172" s="240">
        <f>(IF((VLOOKUP(Table11[[#This Row],[SKU]],'All Skus'!$A:$AC,2,FALSE))="Soundcraft",(VLOOKUP(Table11[[#This Row],[SKU]],'All Skus'!$A:$AC,21,FALSE)),""))</f>
        <v>4</v>
      </c>
      <c r="Q172" s="61">
        <f>(IF((VLOOKUP(Table11[[#This Row],[SKU]],'All Skus'!$A:$AC,2,FALSE))="Soundcraft",(VLOOKUP(Table11[[#This Row],[SKU]],'All Skus'!$A:$AC,22,FALSE)),""))</f>
        <v>0</v>
      </c>
      <c r="R172" s="61" t="str">
        <f>(IF((VLOOKUP(Table11[[#This Row],[SKU]],'All Skus'!$A:$AC,2,FALSE))="Soundcraft",(VLOOKUP(Table11[[#This Row],[SKU]],'All Skus'!$A:$AC,23,FALSE)),""))</f>
        <v>Compliant</v>
      </c>
      <c r="S172" s="212" t="str">
        <f>HYPERLINK((IF((VLOOKUP(Table11[[#This Row],[SKU]],'All Skus'!$A:$AC,2,FALSE))="Soundcraft",(VLOOKUP(Table11[[#This Row],[SKU]],'All Skus'!$A:$AC,24,FALSE)),"")))</f>
        <v/>
      </c>
      <c r="T172" s="151">
        <v>170</v>
      </c>
    </row>
    <row r="173" spans="1:20" ht="15" customHeight="1">
      <c r="A173" s="158" t="s">
        <v>2512</v>
      </c>
      <c r="B173" s="159" t="str">
        <f>(IF((VLOOKUP(Table11[[#This Row],[SKU]],'All Skus'!$A:$AC,2,FALSE))="Soundcraft",(VLOOKUP(Table11[[#This Row],[SKU]],'All Skus'!$A:$AC,3,FALSE)),""))</f>
        <v>Option Cards (Local Rack / D21 CSB Expansion / Vix000)</v>
      </c>
      <c r="C173" s="21" t="str">
        <f>(IF((VLOOKUP(Table11[[#This Row],[SKU]],'All Skus'!$A:$AC,2,FALSE))="Soundcraft",(VLOOKUP(Table11[[#This Row],[SKU]],'All Skus'!$A:$AC,4,FALSE)),""))</f>
        <v>RS2564SP</v>
      </c>
      <c r="D173" s="19" t="str">
        <f>(IF((VLOOKUP(Table11[[#This Row],[SKU]],'All Skus'!$A:$AC,2,FALSE))="Soundcraft",(VLOOKUP(Table11[[#This Row],[SKU]],'All Skus'!$A:$AC,5,FALSE)),""))</f>
        <v>SC-VI</v>
      </c>
      <c r="E173" s="19" t="str">
        <f>(IF((VLOOKUP(Table11[[#This Row],[SKU]],'All Skus'!$A:$AC,2,FALSE))="Soundcraft",(VLOOKUP(Table11[[#This Row],[SKU]],'All Skus'!$A:$AC,6,FALSE)),""))</f>
        <v>YES</v>
      </c>
      <c r="F173" s="18">
        <f>(IF((VLOOKUP(Table11[[#This Row],[SKU]],'All Skus'!$A:$AC,2,FALSE))="Soundcraft",(VLOOKUP(Table11[[#This Row],[SKU]],'All Skus'!$A:$AC,7,FALSE)),""))</f>
        <v>0</v>
      </c>
      <c r="G173" s="22" t="str">
        <f>(IF((VLOOKUP(Table11[[#This Row],[SKU]],'All Skus'!$A:$AC,2,FALSE))="Soundcraft",(VLOOKUP(Table11[[#This Row],[SKU]],'All Skus'!$A:$AC,8,FALSE)),""))</f>
        <v>VI  TDIF CARD Local Rack</v>
      </c>
      <c r="H173" s="22" t="str">
        <f>(IF((VLOOKUP(Table11[[#This Row],[SKU]],'All Skus'!$A:$AC,2,FALSE))="Soundcraft",(VLOOKUP(Table11[[#This Row],[SKU]],'All Skus'!$A:$AC,9,FALSE)),""))</f>
        <v>ViO/D21 TDIF</v>
      </c>
      <c r="I173" s="157">
        <f>(IF((VLOOKUP(Table11[[#This Row],[SKU]],'All Skus'!$A:$AC,2,FALSE))="Soundcraft",(VLOOKUP(Table11[[#This Row],[SKU]],'All Skus'!$A:$AC,10,FALSE)),""))</f>
        <v>1105.06</v>
      </c>
      <c r="J173" s="157">
        <f>(IF((VLOOKUP(Table11[[#This Row],[SKU]],'All Skus'!$A:$AC,2,FALSE))="Soundcraft",(VLOOKUP(Table11[[#This Row],[SKU]],'All Skus'!$A:$AC,11,FALSE)),""))</f>
        <v>1105</v>
      </c>
      <c r="K173" s="271">
        <f>(IF((VLOOKUP(Table11[[#This Row],[SKU]],'All Skus'!$A:$AC,2,FALSE))="Soundcraft",(VLOOKUP(Table11[[#This Row],[SKU]],'All Skus'!$A:$AC,16,FALSE)),""))</f>
        <v>0</v>
      </c>
      <c r="L173" s="239">
        <f>(IF((VLOOKUP(Table11[[#This Row],[SKU]],'All Skus'!$A:$AC,2,FALSE))="Soundcraft",(VLOOKUP(Table11[[#This Row],[SKU]],'All Skus'!$A:$AC,17,FALSE)),""))</f>
        <v>0</v>
      </c>
      <c r="M173" s="239">
        <f>(IF((VLOOKUP(Table11[[#This Row],[SKU]],'All Skus'!$A:$AC,2,FALSE))="Soundcraft",(VLOOKUP(Table11[[#This Row],[SKU]],'All Skus'!$A:$AC,18,FALSE)),""))</f>
        <v>0</v>
      </c>
      <c r="N173" s="147">
        <f>(IF((VLOOKUP(Table11[[#This Row],[SKU]],'All Skus'!$A:$AC,2,FALSE))="Soundcraft",(VLOOKUP(Table11[[#This Row],[SKU]],'All Skus'!$A:$AC,19,FALSE)),""))</f>
        <v>0</v>
      </c>
      <c r="O173" s="147">
        <f>(IF((VLOOKUP(Table11[[#This Row],[SKU]],'All Skus'!$A:$AC,2,FALSE))="Soundcraft",(VLOOKUP(Table11[[#This Row],[SKU]],'All Skus'!$A:$AC,20,FALSE)),""))</f>
        <v>0</v>
      </c>
      <c r="P173" s="240">
        <f>(IF((VLOOKUP(Table11[[#This Row],[SKU]],'All Skus'!$A:$AC,2,FALSE))="Soundcraft",(VLOOKUP(Table11[[#This Row],[SKU]],'All Skus'!$A:$AC,21,FALSE)),""))</f>
        <v>0</v>
      </c>
      <c r="Q173" s="61">
        <f>(IF((VLOOKUP(Table11[[#This Row],[SKU]],'All Skus'!$A:$AC,2,FALSE))="Soundcraft",(VLOOKUP(Table11[[#This Row],[SKU]],'All Skus'!$A:$AC,22,FALSE)),""))</f>
        <v>0</v>
      </c>
      <c r="R173" s="61" t="str">
        <f>(IF((VLOOKUP(Table11[[#This Row],[SKU]],'All Skus'!$A:$AC,2,FALSE))="Soundcraft",(VLOOKUP(Table11[[#This Row],[SKU]],'All Skus'!$A:$AC,23,FALSE)),""))</f>
        <v>Compliant</v>
      </c>
      <c r="S173" s="212" t="str">
        <f>HYPERLINK((IF((VLOOKUP(Table11[[#This Row],[SKU]],'All Skus'!$A:$AC,2,FALSE))="Soundcraft",(VLOOKUP(Table11[[#This Row],[SKU]],'All Skus'!$A:$AC,24,FALSE)),"")))</f>
        <v/>
      </c>
      <c r="T173" s="151">
        <v>171</v>
      </c>
    </row>
    <row r="174" spans="1:20" ht="15" customHeight="1">
      <c r="A174" s="158" t="s">
        <v>2513</v>
      </c>
      <c r="B174" s="159" t="str">
        <f>(IF((VLOOKUP(Table11[[#This Row],[SKU]],'All Skus'!$A:$AC,2,FALSE))="Soundcraft",(VLOOKUP(Table11[[#This Row],[SKU]],'All Skus'!$A:$AC,3,FALSE)),""))</f>
        <v>Option Cards (Local Rack / D21 CSB Expansion / Vix000)</v>
      </c>
      <c r="C174" s="21" t="str">
        <f>(IF((VLOOKUP(Table11[[#This Row],[SKU]],'All Skus'!$A:$AC,2,FALSE))="Soundcraft",(VLOOKUP(Table11[[#This Row],[SKU]],'All Skus'!$A:$AC,4,FALSE)),""))</f>
        <v>RS2360SP</v>
      </c>
      <c r="D174" s="19" t="str">
        <f>(IF((VLOOKUP(Table11[[#This Row],[SKU]],'All Skus'!$A:$AC,2,FALSE))="Soundcraft",(VLOOKUP(Table11[[#This Row],[SKU]],'All Skus'!$A:$AC,5,FALSE)),""))</f>
        <v>SC-VI</v>
      </c>
      <c r="E174" s="19" t="str">
        <f>(IF((VLOOKUP(Table11[[#This Row],[SKU]],'All Skus'!$A:$AC,2,FALSE))="Soundcraft",(VLOOKUP(Table11[[#This Row],[SKU]],'All Skus'!$A:$AC,6,FALSE)),""))</f>
        <v>YES</v>
      </c>
      <c r="F174" s="18">
        <f>(IF((VLOOKUP(Table11[[#This Row],[SKU]],'All Skus'!$A:$AC,2,FALSE))="Soundcraft",(VLOOKUP(Table11[[#This Row],[SKU]],'All Skus'!$A:$AC,7,FALSE)),""))</f>
        <v>0</v>
      </c>
      <c r="G174" s="22" t="str">
        <f>(IF((VLOOKUP(Table11[[#This Row],[SKU]],'All Skus'!$A:$AC,2,FALSE))="Soundcraft",(VLOOKUP(Table11[[#This Row],[SKU]],'All Skus'!$A:$AC,8,FALSE)),""))</f>
        <v>VI ADAT CARD Local Rack</v>
      </c>
      <c r="H174" s="22" t="str">
        <f>(IF((VLOOKUP(Table11[[#This Row],[SKU]],'All Skus'!$A:$AC,2,FALSE))="Soundcraft",(VLOOKUP(Table11[[#This Row],[SKU]],'All Skus'!$A:$AC,9,FALSE)),""))</f>
        <v>ViO/D21 ADAT</v>
      </c>
      <c r="I174" s="157">
        <f>(IF((VLOOKUP(Table11[[#This Row],[SKU]],'All Skus'!$A:$AC,2,FALSE))="Soundcraft",(VLOOKUP(Table11[[#This Row],[SKU]],'All Skus'!$A:$AC,10,FALSE)),""))</f>
        <v>1105.06</v>
      </c>
      <c r="J174" s="157">
        <f>(IF((VLOOKUP(Table11[[#This Row],[SKU]],'All Skus'!$A:$AC,2,FALSE))="Soundcraft",(VLOOKUP(Table11[[#This Row],[SKU]],'All Skus'!$A:$AC,11,FALSE)),""))</f>
        <v>1105</v>
      </c>
      <c r="K174" s="271">
        <f>(IF((VLOOKUP(Table11[[#This Row],[SKU]],'All Skus'!$A:$AC,2,FALSE))="Soundcraft",(VLOOKUP(Table11[[#This Row],[SKU]],'All Skus'!$A:$AC,16,FALSE)),""))</f>
        <v>0</v>
      </c>
      <c r="L174" s="239">
        <f>(IF((VLOOKUP(Table11[[#This Row],[SKU]],'All Skus'!$A:$AC,2,FALSE))="Soundcraft",(VLOOKUP(Table11[[#This Row],[SKU]],'All Skus'!$A:$AC,17,FALSE)),""))</f>
        <v>0</v>
      </c>
      <c r="M174" s="239">
        <f>(IF((VLOOKUP(Table11[[#This Row],[SKU]],'All Skus'!$A:$AC,2,FALSE))="Soundcraft",(VLOOKUP(Table11[[#This Row],[SKU]],'All Skus'!$A:$AC,18,FALSE)),""))</f>
        <v>1.5</v>
      </c>
      <c r="N174" s="147">
        <f>(IF((VLOOKUP(Table11[[#This Row],[SKU]],'All Skus'!$A:$AC,2,FALSE))="Soundcraft",(VLOOKUP(Table11[[#This Row],[SKU]],'All Skus'!$A:$AC,19,FALSE)),""))</f>
        <v>14.5</v>
      </c>
      <c r="O174" s="147">
        <f>(IF((VLOOKUP(Table11[[#This Row],[SKU]],'All Skus'!$A:$AC,2,FALSE))="Soundcraft",(VLOOKUP(Table11[[#This Row],[SKU]],'All Skus'!$A:$AC,20,FALSE)),""))</f>
        <v>7.5</v>
      </c>
      <c r="P174" s="240">
        <f>(IF((VLOOKUP(Table11[[#This Row],[SKU]],'All Skus'!$A:$AC,2,FALSE))="Soundcraft",(VLOOKUP(Table11[[#This Row],[SKU]],'All Skus'!$A:$AC,21,FALSE)),""))</f>
        <v>4</v>
      </c>
      <c r="Q174" s="61">
        <f>(IF((VLOOKUP(Table11[[#This Row],[SKU]],'All Skus'!$A:$AC,2,FALSE))="Soundcraft",(VLOOKUP(Table11[[#This Row],[SKU]],'All Skus'!$A:$AC,22,FALSE)),""))</f>
        <v>0</v>
      </c>
      <c r="R174" s="61" t="str">
        <f>(IF((VLOOKUP(Table11[[#This Row],[SKU]],'All Skus'!$A:$AC,2,FALSE))="Soundcraft",(VLOOKUP(Table11[[#This Row],[SKU]],'All Skus'!$A:$AC,23,FALSE)),""))</f>
        <v>Compliant</v>
      </c>
      <c r="S174" s="212" t="str">
        <f>HYPERLINK((IF((VLOOKUP(Table11[[#This Row],[SKU]],'All Skus'!$A:$AC,2,FALSE))="Soundcraft",(VLOOKUP(Table11[[#This Row],[SKU]],'All Skus'!$A:$AC,24,FALSE)),"")))</f>
        <v/>
      </c>
      <c r="T174" s="151">
        <v>172</v>
      </c>
    </row>
    <row r="175" spans="1:20" ht="15" customHeight="1">
      <c r="A175" s="158" t="s">
        <v>2514</v>
      </c>
      <c r="B175" s="159" t="str">
        <f>(IF((VLOOKUP(Table11[[#This Row],[SKU]],'All Skus'!$A:$AC,2,FALSE))="Soundcraft",(VLOOKUP(Table11[[#This Row],[SKU]],'All Skus'!$A:$AC,3,FALSE)),""))</f>
        <v>Option Cards (Local Rack / D21 CSB Expansion / Vix000)</v>
      </c>
      <c r="C175" s="21" t="str">
        <f>(IF((VLOOKUP(Table11[[#This Row],[SKU]],'All Skus'!$A:$AC,2,FALSE))="Soundcraft",(VLOOKUP(Table11[[#This Row],[SKU]],'All Skus'!$A:$AC,4,FALSE)),""))</f>
        <v>RS2401SP</v>
      </c>
      <c r="D175" s="19" t="str">
        <f>(IF((VLOOKUP(Table11[[#This Row],[SKU]],'All Skus'!$A:$AC,2,FALSE))="Soundcraft",(VLOOKUP(Table11[[#This Row],[SKU]],'All Skus'!$A:$AC,5,FALSE)),""))</f>
        <v>SC-VI</v>
      </c>
      <c r="E175" s="19" t="str">
        <f>(IF((VLOOKUP(Table11[[#This Row],[SKU]],'All Skus'!$A:$AC,2,FALSE))="Soundcraft",(VLOOKUP(Table11[[#This Row],[SKU]],'All Skus'!$A:$AC,6,FALSE)),""))</f>
        <v>YES</v>
      </c>
      <c r="F175" s="18">
        <f>(IF((VLOOKUP(Table11[[#This Row],[SKU]],'All Skus'!$A:$AC,2,FALSE))="Soundcraft",(VLOOKUP(Table11[[#This Row],[SKU]],'All Skus'!$A:$AC,7,FALSE)),""))</f>
        <v>0</v>
      </c>
      <c r="G175" s="22" t="str">
        <f>(IF((VLOOKUP(Table11[[#This Row],[SKU]],'All Skus'!$A:$AC,2,FALSE))="Soundcraft",(VLOOKUP(Table11[[#This Row],[SKU]],'All Skus'!$A:$AC,8,FALSE)),""))</f>
        <v xml:space="preserve">VI SCORE DSP MODULE </v>
      </c>
      <c r="H175" s="22" t="str">
        <f>(IF((VLOOKUP(Table11[[#This Row],[SKU]],'All Skus'!$A:$AC,2,FALSE))="Soundcraft",(VLOOKUP(Table11[[#This Row],[SKU]],'All Skus'!$A:$AC,9,FALSE)),""))</f>
        <v>S-CORE DSP</v>
      </c>
      <c r="I175" s="157">
        <f>(IF((VLOOKUP(Table11[[#This Row],[SKU]],'All Skus'!$A:$AC,2,FALSE))="Soundcraft",(VLOOKUP(Table11[[#This Row],[SKU]],'All Skus'!$A:$AC,10,FALSE)),""))</f>
        <v>3788.18</v>
      </c>
      <c r="J175" s="157">
        <f>(IF((VLOOKUP(Table11[[#This Row],[SKU]],'All Skus'!$A:$AC,2,FALSE))="Soundcraft",(VLOOKUP(Table11[[#This Row],[SKU]],'All Skus'!$A:$AC,11,FALSE)),""))</f>
        <v>3788</v>
      </c>
      <c r="K175" s="271">
        <f>(IF((VLOOKUP(Table11[[#This Row],[SKU]],'All Skus'!$A:$AC,2,FALSE))="Soundcraft",(VLOOKUP(Table11[[#This Row],[SKU]],'All Skus'!$A:$AC,16,FALSE)),""))</f>
        <v>0</v>
      </c>
      <c r="L175" s="239">
        <f>(IF((VLOOKUP(Table11[[#This Row],[SKU]],'All Skus'!$A:$AC,2,FALSE))="Soundcraft",(VLOOKUP(Table11[[#This Row],[SKU]],'All Skus'!$A:$AC,17,FALSE)),""))</f>
        <v>0</v>
      </c>
      <c r="M175" s="239">
        <f>(IF((VLOOKUP(Table11[[#This Row],[SKU]],'All Skus'!$A:$AC,2,FALSE))="Soundcraft",(VLOOKUP(Table11[[#This Row],[SKU]],'All Skus'!$A:$AC,18,FALSE)),""))</f>
        <v>4</v>
      </c>
      <c r="N175" s="147">
        <f>(IF((VLOOKUP(Table11[[#This Row],[SKU]],'All Skus'!$A:$AC,2,FALSE))="Soundcraft",(VLOOKUP(Table11[[#This Row],[SKU]],'All Skus'!$A:$AC,19,FALSE)),""))</f>
        <v>8</v>
      </c>
      <c r="O175" s="147">
        <f>(IF((VLOOKUP(Table11[[#This Row],[SKU]],'All Skus'!$A:$AC,2,FALSE))="Soundcraft",(VLOOKUP(Table11[[#This Row],[SKU]],'All Skus'!$A:$AC,20,FALSE)),""))</f>
        <v>14</v>
      </c>
      <c r="P175" s="240">
        <f>(IF((VLOOKUP(Table11[[#This Row],[SKU]],'All Skus'!$A:$AC,2,FALSE))="Soundcraft",(VLOOKUP(Table11[[#This Row],[SKU]],'All Skus'!$A:$AC,21,FALSE)),""))</f>
        <v>4</v>
      </c>
      <c r="Q175" s="61" t="str">
        <f>(IF((VLOOKUP(Table11[[#This Row],[SKU]],'All Skus'!$A:$AC,2,FALSE))="Soundcraft",(VLOOKUP(Table11[[#This Row],[SKU]],'All Skus'!$A:$AC,22,FALSE)),""))</f>
        <v>CN</v>
      </c>
      <c r="R175" s="61" t="str">
        <f>(IF((VLOOKUP(Table11[[#This Row],[SKU]],'All Skus'!$A:$AC,2,FALSE))="Soundcraft",(VLOOKUP(Table11[[#This Row],[SKU]],'All Skus'!$A:$AC,23,FALSE)),""))</f>
        <v>Compliant</v>
      </c>
      <c r="S175" s="212" t="str">
        <f>HYPERLINK((IF((VLOOKUP(Table11[[#This Row],[SKU]],'All Skus'!$A:$AC,2,FALSE))="Soundcraft",(VLOOKUP(Table11[[#This Row],[SKU]],'All Skus'!$A:$AC,24,FALSE)),"")))</f>
        <v/>
      </c>
      <c r="T175" s="151">
        <v>173</v>
      </c>
    </row>
    <row r="176" spans="1:20" ht="15" customHeight="1">
      <c r="A176" s="158" t="s">
        <v>2515</v>
      </c>
      <c r="B176" s="159" t="str">
        <f>(IF((VLOOKUP(Table11[[#This Row],[SKU]],'All Skus'!$A:$AC,2,FALSE))="Soundcraft",(VLOOKUP(Table11[[#This Row],[SKU]],'All Skus'!$A:$AC,3,FALSE)),""))</f>
        <v>Option Cards (Local Rack / D21 CSB Expansion / Vix000)</v>
      </c>
      <c r="C176" s="21" t="str">
        <f>(IF((VLOOKUP(Table11[[#This Row],[SKU]],'All Skus'!$A:$AC,2,FALSE))="Soundcraft",(VLOOKUP(Table11[[#This Row],[SKU]],'All Skus'!$A:$AC,4,FALSE)),""))</f>
        <v>5045044.V</v>
      </c>
      <c r="D176" s="19" t="str">
        <f>(IF((VLOOKUP(Table11[[#This Row],[SKU]],'All Skus'!$A:$AC,2,FALSE))="Soundcraft",(VLOOKUP(Table11[[#This Row],[SKU]],'All Skus'!$A:$AC,5,FALSE)),""))</f>
        <v>SC-VI</v>
      </c>
      <c r="E176" s="19">
        <f>(IF((VLOOKUP(Table11[[#This Row],[SKU]],'All Skus'!$A:$AC,2,FALSE))="Soundcraft",(VLOOKUP(Table11[[#This Row],[SKU]],'All Skus'!$A:$AC,6,FALSE)),""))</f>
        <v>0</v>
      </c>
      <c r="F176" s="18">
        <f>(IF((VLOOKUP(Table11[[#This Row],[SKU]],'All Skus'!$A:$AC,2,FALSE))="Soundcraft",(VLOOKUP(Table11[[#This Row],[SKU]],'All Skus'!$A:$AC,7,FALSE)),""))</f>
        <v>0</v>
      </c>
      <c r="G176" s="22" t="str">
        <f>(IF((VLOOKUP(Table11[[#This Row],[SKU]],'All Skus'!$A:$AC,2,FALSE))="Soundcraft",(VLOOKUP(Table11[[#This Row],[SKU]],'All Skus'!$A:$AC,8,FALSE)),""))</f>
        <v>Vi Dante card AES67/96k</v>
      </c>
      <c r="H176" s="22" t="str">
        <f>(IF((VLOOKUP(Table11[[#This Row],[SKU]],'All Skus'!$A:$AC,2,FALSE))="Soundcraft",(VLOOKUP(Table11[[#This Row],[SKU]],'All Skus'!$A:$AC,9,FALSE)),""))</f>
        <v>ViO/D21 Dante card AES67/96k</v>
      </c>
      <c r="I176" s="157">
        <f>(IF((VLOOKUP(Table11[[#This Row],[SKU]],'All Skus'!$A:$AC,2,FALSE))="Soundcraft",(VLOOKUP(Table11[[#This Row],[SKU]],'All Skus'!$A:$AC,10,FALSE)),""))</f>
        <v>1904.06</v>
      </c>
      <c r="J176" s="157">
        <f>(IF((VLOOKUP(Table11[[#This Row],[SKU]],'All Skus'!$A:$AC,2,FALSE))="Soundcraft",(VLOOKUP(Table11[[#This Row],[SKU]],'All Skus'!$A:$AC,11,FALSE)),""))</f>
        <v>1904</v>
      </c>
      <c r="K176" s="271">
        <f>(IF((VLOOKUP(Table11[[#This Row],[SKU]],'All Skus'!$A:$AC,2,FALSE))="Soundcraft",(VLOOKUP(Table11[[#This Row],[SKU]],'All Skus'!$A:$AC,16,FALSE)),""))</f>
        <v>688705006444</v>
      </c>
      <c r="L176" s="239">
        <f>(IF((VLOOKUP(Table11[[#This Row],[SKU]],'All Skus'!$A:$AC,2,FALSE))="Soundcraft",(VLOOKUP(Table11[[#This Row],[SKU]],'All Skus'!$A:$AC,17,FALSE)),""))</f>
        <v>0</v>
      </c>
      <c r="M176" s="239">
        <f>(IF((VLOOKUP(Table11[[#This Row],[SKU]],'All Skus'!$A:$AC,2,FALSE))="Soundcraft",(VLOOKUP(Table11[[#This Row],[SKU]],'All Skus'!$A:$AC,18,FALSE)),""))</f>
        <v>0</v>
      </c>
      <c r="N176" s="147">
        <f>(IF((VLOOKUP(Table11[[#This Row],[SKU]],'All Skus'!$A:$AC,2,FALSE))="Soundcraft",(VLOOKUP(Table11[[#This Row],[SKU]],'All Skus'!$A:$AC,19,FALSE)),""))</f>
        <v>0</v>
      </c>
      <c r="O176" s="147">
        <f>(IF((VLOOKUP(Table11[[#This Row],[SKU]],'All Skus'!$A:$AC,2,FALSE))="Soundcraft",(VLOOKUP(Table11[[#This Row],[SKU]],'All Skus'!$A:$AC,20,FALSE)),""))</f>
        <v>0</v>
      </c>
      <c r="P176" s="240">
        <f>(IF((VLOOKUP(Table11[[#This Row],[SKU]],'All Skus'!$A:$AC,2,FALSE))="Soundcraft",(VLOOKUP(Table11[[#This Row],[SKU]],'All Skus'!$A:$AC,21,FALSE)),""))</f>
        <v>0</v>
      </c>
      <c r="Q176" s="61" t="str">
        <f>(IF((VLOOKUP(Table11[[#This Row],[SKU]],'All Skus'!$A:$AC,2,FALSE))="Soundcraft",(VLOOKUP(Table11[[#This Row],[SKU]],'All Skus'!$A:$AC,22,FALSE)),""))</f>
        <v>CN</v>
      </c>
      <c r="R176" s="61" t="str">
        <f>(IF((VLOOKUP(Table11[[#This Row],[SKU]],'All Skus'!$A:$AC,2,FALSE))="Soundcraft",(VLOOKUP(Table11[[#This Row],[SKU]],'All Skus'!$A:$AC,23,FALSE)),""))</f>
        <v>Compliant</v>
      </c>
      <c r="S176" s="212" t="str">
        <f>HYPERLINK((IF((VLOOKUP(Table11[[#This Row],[SKU]],'All Skus'!$A:$AC,2,FALSE))="Soundcraft",(VLOOKUP(Table11[[#This Row],[SKU]],'All Skus'!$A:$AC,24,FALSE)),"")))</f>
        <v/>
      </c>
      <c r="T176" s="151">
        <v>174</v>
      </c>
    </row>
    <row r="177" spans="1:20" ht="15" customHeight="1">
      <c r="A177" s="18" t="s">
        <v>2516</v>
      </c>
      <c r="B177" s="159" t="str">
        <f>(IF((VLOOKUP(Table11[[#This Row],[SKU]],'All Skus'!$A:$AC,2,FALSE))="Soundcraft",(VLOOKUP(Table11[[#This Row],[SKU]],'All Skus'!$A:$AC,3,FALSE)),""))</f>
        <v>Option Cards (Local Rack / D21 CSB Expansion / Vix000)</v>
      </c>
      <c r="C177" s="21" t="str">
        <f>(IF((VLOOKUP(Table11[[#This Row],[SKU]],'All Skus'!$A:$AC,2,FALSE))="Soundcraft",(VLOOKUP(Table11[[#This Row],[SKU]],'All Skus'!$A:$AC,4,FALSE)),""))</f>
        <v>A949.045220-02.V</v>
      </c>
      <c r="D177" s="19" t="str">
        <f>(IF((VLOOKUP(Table11[[#This Row],[SKU]],'All Skus'!$A:$AC,2,FALSE))="Soundcraft",(VLOOKUP(Table11[[#This Row],[SKU]],'All Skus'!$A:$AC,5,FALSE)),""))</f>
        <v>SC-VI</v>
      </c>
      <c r="E177" s="19">
        <f>(IF((VLOOKUP(Table11[[#This Row],[SKU]],'All Skus'!$A:$AC,2,FALSE))="Soundcraft",(VLOOKUP(Table11[[#This Row],[SKU]],'All Skus'!$A:$AC,6,FALSE)),""))</f>
        <v>0</v>
      </c>
      <c r="F177" s="18">
        <f>(IF((VLOOKUP(Table11[[#This Row],[SKU]],'All Skus'!$A:$AC,2,FALSE))="Soundcraft",(VLOOKUP(Table11[[#This Row],[SKU]],'All Skus'!$A:$AC,7,FALSE)),""))</f>
        <v>0</v>
      </c>
      <c r="G177" s="22" t="str">
        <f>(IF((VLOOKUP(Table11[[#This Row],[SKU]],'All Skus'!$A:$AC,2,FALSE))="Soundcraft",(VLOOKUP(Table11[[#This Row],[SKU]],'All Skus'!$A:$AC,8,FALSE)),""))</f>
        <v>Vi 3G SDI DeEmbedder</v>
      </c>
      <c r="H177" s="22" t="str">
        <f>(IF((VLOOKUP(Table11[[#This Row],[SKU]],'All Skus'!$A:$AC,2,FALSE))="Soundcraft",(VLOOKUP(Table11[[#This Row],[SKU]],'All Skus'!$A:$AC,9,FALSE)),""))</f>
        <v>ViO/D21 3G/HD/SD SDi De-embedder 8/16ch</v>
      </c>
      <c r="I177" s="157">
        <f>(IF((VLOOKUP(Table11[[#This Row],[SKU]],'All Skus'!$A:$AC,2,FALSE))="Soundcraft",(VLOOKUP(Table11[[#This Row],[SKU]],'All Skus'!$A:$AC,10,FALSE)),""))</f>
        <v>3001.16</v>
      </c>
      <c r="J177" s="157">
        <f>(IF((VLOOKUP(Table11[[#This Row],[SKU]],'All Skus'!$A:$AC,2,FALSE))="Soundcraft",(VLOOKUP(Table11[[#This Row],[SKU]],'All Skus'!$A:$AC,11,FALSE)),""))</f>
        <v>3001</v>
      </c>
      <c r="K177" s="271">
        <f>(IF((VLOOKUP(Table11[[#This Row],[SKU]],'All Skus'!$A:$AC,2,FALSE))="Soundcraft",(VLOOKUP(Table11[[#This Row],[SKU]],'All Skus'!$A:$AC,16,FALSE)),""))</f>
        <v>688705001883</v>
      </c>
      <c r="L177" s="239">
        <f>(IF((VLOOKUP(Table11[[#This Row],[SKU]],'All Skus'!$A:$AC,2,FALSE))="Soundcraft",(VLOOKUP(Table11[[#This Row],[SKU]],'All Skus'!$A:$AC,17,FALSE)),""))</f>
        <v>0</v>
      </c>
      <c r="M177" s="239">
        <f>(IF((VLOOKUP(Table11[[#This Row],[SKU]],'All Skus'!$A:$AC,2,FALSE))="Soundcraft",(VLOOKUP(Table11[[#This Row],[SKU]],'All Skus'!$A:$AC,18,FALSE)),""))</f>
        <v>0</v>
      </c>
      <c r="N177" s="147">
        <f>(IF((VLOOKUP(Table11[[#This Row],[SKU]],'All Skus'!$A:$AC,2,FALSE))="Soundcraft",(VLOOKUP(Table11[[#This Row],[SKU]],'All Skus'!$A:$AC,19,FALSE)),""))</f>
        <v>0</v>
      </c>
      <c r="O177" s="147">
        <f>(IF((VLOOKUP(Table11[[#This Row],[SKU]],'All Skus'!$A:$AC,2,FALSE))="Soundcraft",(VLOOKUP(Table11[[#This Row],[SKU]],'All Skus'!$A:$AC,20,FALSE)),""))</f>
        <v>0</v>
      </c>
      <c r="P177" s="240">
        <f>(IF((VLOOKUP(Table11[[#This Row],[SKU]],'All Skus'!$A:$AC,2,FALSE))="Soundcraft",(VLOOKUP(Table11[[#This Row],[SKU]],'All Skus'!$A:$AC,21,FALSE)),""))</f>
        <v>0</v>
      </c>
      <c r="Q177" s="61">
        <f>(IF((VLOOKUP(Table11[[#This Row],[SKU]],'All Skus'!$A:$AC,2,FALSE))="Soundcraft",(VLOOKUP(Table11[[#This Row],[SKU]],'All Skus'!$A:$AC,22,FALSE)),""))</f>
        <v>0</v>
      </c>
      <c r="R177" s="61" t="str">
        <f>(IF((VLOOKUP(Table11[[#This Row],[SKU]],'All Skus'!$A:$AC,2,FALSE))="Soundcraft",(VLOOKUP(Table11[[#This Row],[SKU]],'All Skus'!$A:$AC,23,FALSE)),""))</f>
        <v>Compliant</v>
      </c>
      <c r="S177" s="212" t="str">
        <f>HYPERLINK((IF((VLOOKUP(Table11[[#This Row],[SKU]],'All Skus'!$A:$AC,2,FALSE))="Soundcraft",(VLOOKUP(Table11[[#This Row],[SKU]],'All Skus'!$A:$AC,24,FALSE)),"")))</f>
        <v/>
      </c>
      <c r="T177" s="151">
        <v>175</v>
      </c>
    </row>
    <row r="178" spans="1:20" ht="15" customHeight="1">
      <c r="A178" s="158" t="s">
        <v>2517</v>
      </c>
      <c r="B178" s="159" t="str">
        <f>(IF((VLOOKUP(Table11[[#This Row],[SKU]],'All Skus'!$A:$AC,2,FALSE))="Soundcraft",(VLOOKUP(Table11[[#This Row],[SKU]],'All Skus'!$A:$AC,3,FALSE)),""))</f>
        <v>Option Cards (Local Rack / D21 CSB Expansion / Vix000)</v>
      </c>
      <c r="C178" s="21" t="str">
        <f>(IF((VLOOKUP(Table11[[#This Row],[SKU]],'All Skus'!$A:$AC,2,FALSE))="Soundcraft",(VLOOKUP(Table11[[#This Row],[SKU]],'All Skus'!$A:$AC,4,FALSE)),""))</f>
        <v>C049.020534</v>
      </c>
      <c r="D178" s="19" t="str">
        <f>(IF((VLOOKUP(Table11[[#This Row],[SKU]],'All Skus'!$A:$AC,2,FALSE))="Soundcraft",(VLOOKUP(Table11[[#This Row],[SKU]],'All Skus'!$A:$AC,5,FALSE)),""))</f>
        <v>SC-VI</v>
      </c>
      <c r="E178" s="19" t="str">
        <f>(IF((VLOOKUP(Table11[[#This Row],[SKU]],'All Skus'!$A:$AC,2,FALSE))="Soundcraft",(VLOOKUP(Table11[[#This Row],[SKU]],'All Skus'!$A:$AC,6,FALSE)),""))</f>
        <v>YES</v>
      </c>
      <c r="F178" s="18">
        <f>(IF((VLOOKUP(Table11[[#This Row],[SKU]],'All Skus'!$A:$AC,2,FALSE))="Soundcraft",(VLOOKUP(Table11[[#This Row],[SKU]],'All Skus'!$A:$AC,7,FALSE)),""))</f>
        <v>0</v>
      </c>
      <c r="G178" s="22" t="str">
        <f>(IF((VLOOKUP(Table11[[#This Row],[SKU]],'All Skus'!$A:$AC,2,FALSE))="Soundcraft",(VLOOKUP(Table11[[#This Row],[SKU]],'All Skus'!$A:$AC,8,FALSE)),""))</f>
        <v>Vi Blank Panle Local Rack</v>
      </c>
      <c r="H178" s="22" t="str">
        <f>(IF((VLOOKUP(Table11[[#This Row],[SKU]],'All Skus'!$A:$AC,2,FALSE))="Soundcraft",(VLOOKUP(Table11[[#This Row],[SKU]],'All Skus'!$A:$AC,9,FALSE)),""))</f>
        <v>Blank module for upper section</v>
      </c>
      <c r="I178" s="157">
        <f>(IF((VLOOKUP(Table11[[#This Row],[SKU]],'All Skus'!$A:$AC,2,FALSE))="Soundcraft",(VLOOKUP(Table11[[#This Row],[SKU]],'All Skus'!$A:$AC,10,FALSE)),""))</f>
        <v>31.25</v>
      </c>
      <c r="J178" s="157">
        <f>(IF((VLOOKUP(Table11[[#This Row],[SKU]],'All Skus'!$A:$AC,2,FALSE))="Soundcraft",(VLOOKUP(Table11[[#This Row],[SKU]],'All Skus'!$A:$AC,11,FALSE)),""))</f>
        <v>31.25</v>
      </c>
      <c r="K178" s="271">
        <f>(IF((VLOOKUP(Table11[[#This Row],[SKU]],'All Skus'!$A:$AC,2,FALSE))="Soundcraft",(VLOOKUP(Table11[[#This Row],[SKU]],'All Skus'!$A:$AC,16,FALSE)),""))</f>
        <v>0</v>
      </c>
      <c r="L178" s="239">
        <f>(IF((VLOOKUP(Table11[[#This Row],[SKU]],'All Skus'!$A:$AC,2,FALSE))="Soundcraft",(VLOOKUP(Table11[[#This Row],[SKU]],'All Skus'!$A:$AC,17,FALSE)),""))</f>
        <v>0</v>
      </c>
      <c r="M178" s="239">
        <f>(IF((VLOOKUP(Table11[[#This Row],[SKU]],'All Skus'!$A:$AC,2,FALSE))="Soundcraft",(VLOOKUP(Table11[[#This Row],[SKU]],'All Skus'!$A:$AC,18,FALSE)),""))</f>
        <v>0</v>
      </c>
      <c r="N178" s="147">
        <f>(IF((VLOOKUP(Table11[[#This Row],[SKU]],'All Skus'!$A:$AC,2,FALSE))="Soundcraft",(VLOOKUP(Table11[[#This Row],[SKU]],'All Skus'!$A:$AC,19,FALSE)),""))</f>
        <v>0</v>
      </c>
      <c r="O178" s="147">
        <f>(IF((VLOOKUP(Table11[[#This Row],[SKU]],'All Skus'!$A:$AC,2,FALSE))="Soundcraft",(VLOOKUP(Table11[[#This Row],[SKU]],'All Skus'!$A:$AC,20,FALSE)),""))</f>
        <v>0</v>
      </c>
      <c r="P178" s="240">
        <f>(IF((VLOOKUP(Table11[[#This Row],[SKU]],'All Skus'!$A:$AC,2,FALSE))="Soundcraft",(VLOOKUP(Table11[[#This Row],[SKU]],'All Skus'!$A:$AC,21,FALSE)),""))</f>
        <v>0</v>
      </c>
      <c r="Q178" s="61">
        <f>(IF((VLOOKUP(Table11[[#This Row],[SKU]],'All Skus'!$A:$AC,2,FALSE))="Soundcraft",(VLOOKUP(Table11[[#This Row],[SKU]],'All Skus'!$A:$AC,22,FALSE)),""))</f>
        <v>0</v>
      </c>
      <c r="R178" s="61" t="str">
        <f>(IF((VLOOKUP(Table11[[#This Row],[SKU]],'All Skus'!$A:$AC,2,FALSE))="Soundcraft",(VLOOKUP(Table11[[#This Row],[SKU]],'All Skus'!$A:$AC,23,FALSE)),""))</f>
        <v>Compliant</v>
      </c>
      <c r="S178" s="212" t="str">
        <f>HYPERLINK((IF((VLOOKUP(Table11[[#This Row],[SKU]],'All Skus'!$A:$AC,2,FALSE))="Soundcraft",(VLOOKUP(Table11[[#This Row],[SKU]],'All Skus'!$A:$AC,24,FALSE)),"")))</f>
        <v/>
      </c>
      <c r="T178" s="151">
        <v>176</v>
      </c>
    </row>
    <row r="179" spans="1:20" ht="15" customHeight="1">
      <c r="A179" s="158" t="s">
        <v>2518</v>
      </c>
      <c r="B179" s="159" t="str">
        <f>(IF((VLOOKUP(Table11[[#This Row],[SKU]],'All Skus'!$A:$AC,2,FALSE))="Soundcraft",(VLOOKUP(Table11[[#This Row],[SKU]],'All Skus'!$A:$AC,3,FALSE)),""))</f>
        <v>Option Cards (Local Rack / D21 CSB Expansion / Vix000)</v>
      </c>
      <c r="C179" s="21" t="str">
        <f>(IF((VLOOKUP(Table11[[#This Row],[SKU]],'All Skus'!$A:$AC,2,FALSE))="Soundcraft",(VLOOKUP(Table11[[#This Row],[SKU]],'All Skus'!$A:$AC,4,FALSE)),""))</f>
        <v xml:space="preserve">5100265-00 </v>
      </c>
      <c r="D179" s="19" t="str">
        <f>(IF((VLOOKUP(Table11[[#This Row],[SKU]],'All Skus'!$A:$AC,2,FALSE))="Soundcraft",(VLOOKUP(Table11[[#This Row],[SKU]],'All Skus'!$A:$AC,5,FALSE)),""))</f>
        <v>SC-VI</v>
      </c>
      <c r="E179" s="19">
        <f>(IF((VLOOKUP(Table11[[#This Row],[SKU]],'All Skus'!$A:$AC,2,FALSE))="Soundcraft",(VLOOKUP(Table11[[#This Row],[SKU]],'All Skus'!$A:$AC,6,FALSE)),""))</f>
        <v>0</v>
      </c>
      <c r="F179" s="18">
        <f>(IF((VLOOKUP(Table11[[#This Row],[SKU]],'All Skus'!$A:$AC,2,FALSE))="Soundcraft",(VLOOKUP(Table11[[#This Row],[SKU]],'All Skus'!$A:$AC,7,FALSE)),""))</f>
        <v>0</v>
      </c>
      <c r="G179" s="22" t="str">
        <f>(IF((VLOOKUP(Table11[[#This Row],[SKU]],'All Skus'!$A:$AC,2,FALSE))="Soundcraft",(VLOOKUP(Table11[[#This Row],[SKU]],'All Skus'!$A:$AC,8,FALSE)),""))</f>
        <v>Vi4/6 to 5000/7000 Local Rack Upgrade Kit</v>
      </c>
      <c r="H179" s="22" t="str">
        <f>(IF((VLOOKUP(Table11[[#This Row],[SKU]],'All Skus'!$A:$AC,2,FALSE))="Soundcraft",(VLOOKUP(Table11[[#This Row],[SKU]],'All Skus'!$A:$AC,9,FALSE)),""))</f>
        <v>Vi4/6 to 5000/7000 Local Rack Upgrade Kit</v>
      </c>
      <c r="I179" s="157">
        <f>(IF((VLOOKUP(Table11[[#This Row],[SKU]],'All Skus'!$A:$AC,2,FALSE))="Soundcraft",(VLOOKUP(Table11[[#This Row],[SKU]],'All Skus'!$A:$AC,10,FALSE)),""))</f>
        <v>17050.810000000001</v>
      </c>
      <c r="J179" s="157">
        <f>(IF((VLOOKUP(Table11[[#This Row],[SKU]],'All Skus'!$A:$AC,2,FALSE))="Soundcraft",(VLOOKUP(Table11[[#This Row],[SKU]],'All Skus'!$A:$AC,11,FALSE)),""))</f>
        <v>17050</v>
      </c>
      <c r="K179" s="271">
        <f>(IF((VLOOKUP(Table11[[#This Row],[SKU]],'All Skus'!$A:$AC,2,FALSE))="Soundcraft",(VLOOKUP(Table11[[#This Row],[SKU]],'All Skus'!$A:$AC,16,FALSE)),""))</f>
        <v>688705003566</v>
      </c>
      <c r="L179" s="239">
        <f>(IF((VLOOKUP(Table11[[#This Row],[SKU]],'All Skus'!$A:$AC,2,FALSE))="Soundcraft",(VLOOKUP(Table11[[#This Row],[SKU]],'All Skus'!$A:$AC,17,FALSE)),""))</f>
        <v>0</v>
      </c>
      <c r="M179" s="239">
        <f>(IF((VLOOKUP(Table11[[#This Row],[SKU]],'All Skus'!$A:$AC,2,FALSE))="Soundcraft",(VLOOKUP(Table11[[#This Row],[SKU]],'All Skus'!$A:$AC,18,FALSE)),""))</f>
        <v>0</v>
      </c>
      <c r="N179" s="147">
        <f>(IF((VLOOKUP(Table11[[#This Row],[SKU]],'All Skus'!$A:$AC,2,FALSE))="Soundcraft",(VLOOKUP(Table11[[#This Row],[SKU]],'All Skus'!$A:$AC,19,FALSE)),""))</f>
        <v>0</v>
      </c>
      <c r="O179" s="147">
        <f>(IF((VLOOKUP(Table11[[#This Row],[SKU]],'All Skus'!$A:$AC,2,FALSE))="Soundcraft",(VLOOKUP(Table11[[#This Row],[SKU]],'All Skus'!$A:$AC,20,FALSE)),""))</f>
        <v>0</v>
      </c>
      <c r="P179" s="240">
        <f>(IF((VLOOKUP(Table11[[#This Row],[SKU]],'All Skus'!$A:$AC,2,FALSE))="Soundcraft",(VLOOKUP(Table11[[#This Row],[SKU]],'All Skus'!$A:$AC,21,FALSE)),""))</f>
        <v>0</v>
      </c>
      <c r="Q179" s="61">
        <f>(IF((VLOOKUP(Table11[[#This Row],[SKU]],'All Skus'!$A:$AC,2,FALSE))="Soundcraft",(VLOOKUP(Table11[[#This Row],[SKU]],'All Skus'!$A:$AC,22,FALSE)),""))</f>
        <v>0</v>
      </c>
      <c r="R179" s="61" t="str">
        <f>(IF((VLOOKUP(Table11[[#This Row],[SKU]],'All Skus'!$A:$AC,2,FALSE))="Soundcraft",(VLOOKUP(Table11[[#This Row],[SKU]],'All Skus'!$A:$AC,23,FALSE)),""))</f>
        <v>Compliant</v>
      </c>
      <c r="S179" s="212" t="str">
        <f>HYPERLINK((IF((VLOOKUP(Table11[[#This Row],[SKU]],'All Skus'!$A:$AC,2,FALSE))="Soundcraft",(VLOOKUP(Table11[[#This Row],[SKU]],'All Skus'!$A:$AC,24,FALSE)),"")))</f>
        <v/>
      </c>
      <c r="T179" s="151">
        <v>177</v>
      </c>
    </row>
    <row r="180" spans="1:20" ht="15" customHeight="1">
      <c r="A180" s="158" t="s">
        <v>2519</v>
      </c>
      <c r="B180" s="159" t="str">
        <f>(IF((VLOOKUP(Table11[[#This Row],[SKU]],'All Skus'!$A:$AC,2,FALSE))="Soundcraft",(VLOOKUP(Table11[[#This Row],[SKU]],'All Skus'!$A:$AC,3,FALSE)),""))</f>
        <v>Option Cards (Vi Stagebox)</v>
      </c>
      <c r="C180" s="21" t="str">
        <f>(IF((VLOOKUP(Table11[[#This Row],[SKU]],'All Skus'!$A:$AC,2,FALSE))="Soundcraft",(VLOOKUP(Table11[[#This Row],[SKU]],'All Skus'!$A:$AC,4,FALSE)),""))</f>
        <v>RS2399SP</v>
      </c>
      <c r="D180" s="19" t="str">
        <f>(IF((VLOOKUP(Table11[[#This Row],[SKU]],'All Skus'!$A:$AC,2,FALSE))="Soundcraft",(VLOOKUP(Table11[[#This Row],[SKU]],'All Skus'!$A:$AC,5,FALSE)),""))</f>
        <v>SC-VI</v>
      </c>
      <c r="E180" s="19" t="str">
        <f>(IF((VLOOKUP(Table11[[#This Row],[SKU]],'All Skus'!$A:$AC,2,FALSE))="Soundcraft",(VLOOKUP(Table11[[#This Row],[SKU]],'All Skus'!$A:$AC,6,FALSE)),""))</f>
        <v>YES</v>
      </c>
      <c r="F180" s="18">
        <f>(IF((VLOOKUP(Table11[[#This Row],[SKU]],'All Skus'!$A:$AC,2,FALSE))="Soundcraft",(VLOOKUP(Table11[[#This Row],[SKU]],'All Skus'!$A:$AC,7,FALSE)),""))</f>
        <v>0</v>
      </c>
      <c r="G180" s="22" t="str">
        <f>(IF((VLOOKUP(Table11[[#This Row],[SKU]],'All Skus'!$A:$AC,2,FALSE))="Soundcraft",(VLOOKUP(Table11[[#This Row],[SKU]],'All Skus'!$A:$AC,8,FALSE)),""))</f>
        <v>VI6 MIC LINE MODULE</v>
      </c>
      <c r="H180" s="22" t="str">
        <f>(IF((VLOOKUP(Table11[[#This Row],[SKU]],'All Skus'!$A:$AC,2,FALSE))="Soundcraft",(VLOOKUP(Table11[[#This Row],[SKU]],'All Skus'!$A:$AC,9,FALSE)),""))</f>
        <v>ViSB 8 x MIC/LINE IN</v>
      </c>
      <c r="I180" s="157">
        <f>(IF((VLOOKUP(Table11[[#This Row],[SKU]],'All Skus'!$A:$AC,2,FALSE))="Soundcraft",(VLOOKUP(Table11[[#This Row],[SKU]],'All Skus'!$A:$AC,10,FALSE)),""))</f>
        <v>1056.77</v>
      </c>
      <c r="J180" s="157">
        <f>(IF((VLOOKUP(Table11[[#This Row],[SKU]],'All Skus'!$A:$AC,2,FALSE))="Soundcraft",(VLOOKUP(Table11[[#This Row],[SKU]],'All Skus'!$A:$AC,11,FALSE)),""))</f>
        <v>1056</v>
      </c>
      <c r="K180" s="271">
        <f>(IF((VLOOKUP(Table11[[#This Row],[SKU]],'All Skus'!$A:$AC,2,FALSE))="Soundcraft",(VLOOKUP(Table11[[#This Row],[SKU]],'All Skus'!$A:$AC,16,FALSE)),""))</f>
        <v>0</v>
      </c>
      <c r="L180" s="239">
        <f>(IF((VLOOKUP(Table11[[#This Row],[SKU]],'All Skus'!$A:$AC,2,FALSE))="Soundcraft",(VLOOKUP(Table11[[#This Row],[SKU]],'All Skus'!$A:$AC,17,FALSE)),""))</f>
        <v>0</v>
      </c>
      <c r="M180" s="239">
        <f>(IF((VLOOKUP(Table11[[#This Row],[SKU]],'All Skus'!$A:$AC,2,FALSE))="Soundcraft",(VLOOKUP(Table11[[#This Row],[SKU]],'All Skus'!$A:$AC,18,FALSE)),""))</f>
        <v>0</v>
      </c>
      <c r="N180" s="147">
        <f>(IF((VLOOKUP(Table11[[#This Row],[SKU]],'All Skus'!$A:$AC,2,FALSE))="Soundcraft",(VLOOKUP(Table11[[#This Row],[SKU]],'All Skus'!$A:$AC,19,FALSE)),""))</f>
        <v>0</v>
      </c>
      <c r="O180" s="147">
        <f>(IF((VLOOKUP(Table11[[#This Row],[SKU]],'All Skus'!$A:$AC,2,FALSE))="Soundcraft",(VLOOKUP(Table11[[#This Row],[SKU]],'All Skus'!$A:$AC,20,FALSE)),""))</f>
        <v>0</v>
      </c>
      <c r="P180" s="240">
        <f>(IF((VLOOKUP(Table11[[#This Row],[SKU]],'All Skus'!$A:$AC,2,FALSE))="Soundcraft",(VLOOKUP(Table11[[#This Row],[SKU]],'All Skus'!$A:$AC,21,FALSE)),""))</f>
        <v>0</v>
      </c>
      <c r="Q180" s="61" t="str">
        <f>(IF((VLOOKUP(Table11[[#This Row],[SKU]],'All Skus'!$A:$AC,2,FALSE))="Soundcraft",(VLOOKUP(Table11[[#This Row],[SKU]],'All Skus'!$A:$AC,22,FALSE)),""))</f>
        <v>CN</v>
      </c>
      <c r="R180" s="61" t="str">
        <f>(IF((VLOOKUP(Table11[[#This Row],[SKU]],'All Skus'!$A:$AC,2,FALSE))="Soundcraft",(VLOOKUP(Table11[[#This Row],[SKU]],'All Skus'!$A:$AC,23,FALSE)),""))</f>
        <v>Compliant</v>
      </c>
      <c r="S180" s="212" t="str">
        <f>HYPERLINK((IF((VLOOKUP(Table11[[#This Row],[SKU]],'All Skus'!$A:$AC,2,FALSE))="Soundcraft",(VLOOKUP(Table11[[#This Row],[SKU]],'All Skus'!$A:$AC,24,FALSE)),"")))</f>
        <v/>
      </c>
      <c r="T180" s="151">
        <v>178</v>
      </c>
    </row>
    <row r="181" spans="1:20" ht="15" customHeight="1">
      <c r="A181" s="158" t="s">
        <v>2520</v>
      </c>
      <c r="B181" s="159" t="str">
        <f>(IF((VLOOKUP(Table11[[#This Row],[SKU]],'All Skus'!$A:$AC,2,FALSE))="Soundcraft",(VLOOKUP(Table11[[#This Row],[SKU]],'All Skus'!$A:$AC,3,FALSE)),""))</f>
        <v>Option Cards (Vi Stagebox)</v>
      </c>
      <c r="C181" s="21" t="str">
        <f>(IF((VLOOKUP(Table11[[#This Row],[SKU]],'All Skus'!$A:$AC,2,FALSE))="Soundcraft",(VLOOKUP(Table11[[#This Row],[SKU]],'All Skus'!$A:$AC,4,FALSE)),""))</f>
        <v>RS2400SP</v>
      </c>
      <c r="D181" s="19" t="str">
        <f>(IF((VLOOKUP(Table11[[#This Row],[SKU]],'All Skus'!$A:$AC,2,FALSE))="Soundcraft",(VLOOKUP(Table11[[#This Row],[SKU]],'All Skus'!$A:$AC,5,FALSE)),""))</f>
        <v>SC-VI</v>
      </c>
      <c r="E181" s="19" t="str">
        <f>(IF((VLOOKUP(Table11[[#This Row],[SKU]],'All Skus'!$A:$AC,2,FALSE))="Soundcraft",(VLOOKUP(Table11[[#This Row],[SKU]],'All Skus'!$A:$AC,6,FALSE)),""))</f>
        <v>YES</v>
      </c>
      <c r="F181" s="18">
        <f>(IF((VLOOKUP(Table11[[#This Row],[SKU]],'All Skus'!$A:$AC,2,FALSE))="Soundcraft",(VLOOKUP(Table11[[#This Row],[SKU]],'All Skus'!$A:$AC,7,FALSE)),""))</f>
        <v>0</v>
      </c>
      <c r="G181" s="22" t="str">
        <f>(IF((VLOOKUP(Table11[[#This Row],[SKU]],'All Skus'!$A:$AC,2,FALSE))="Soundcraft",(VLOOKUP(Table11[[#This Row],[SKU]],'All Skus'!$A:$AC,8,FALSE)),""))</f>
        <v>VI6 LINE OUTPUT MODULE</v>
      </c>
      <c r="H181" s="22" t="str">
        <f>(IF((VLOOKUP(Table11[[#This Row],[SKU]],'All Skus'!$A:$AC,2,FALSE))="Soundcraft",(VLOOKUP(Table11[[#This Row],[SKU]],'All Skus'!$A:$AC,9,FALSE)),""))</f>
        <v>ViSB 8 x LINE OUTPUT</v>
      </c>
      <c r="I181" s="157">
        <f>(IF((VLOOKUP(Table11[[#This Row],[SKU]],'All Skus'!$A:$AC,2,FALSE))="Soundcraft",(VLOOKUP(Table11[[#This Row],[SKU]],'All Skus'!$A:$AC,10,FALSE)),""))</f>
        <v>632.67999999999995</v>
      </c>
      <c r="J181" s="157">
        <f>(IF((VLOOKUP(Table11[[#This Row],[SKU]],'All Skus'!$A:$AC,2,FALSE))="Soundcraft",(VLOOKUP(Table11[[#This Row],[SKU]],'All Skus'!$A:$AC,11,FALSE)),""))</f>
        <v>632.67999999999995</v>
      </c>
      <c r="K181" s="271">
        <f>(IF((VLOOKUP(Table11[[#This Row],[SKU]],'All Skus'!$A:$AC,2,FALSE))="Soundcraft",(VLOOKUP(Table11[[#This Row],[SKU]],'All Skus'!$A:$AC,16,FALSE)),""))</f>
        <v>0</v>
      </c>
      <c r="L181" s="239">
        <f>(IF((VLOOKUP(Table11[[#This Row],[SKU]],'All Skus'!$A:$AC,2,FALSE))="Soundcraft",(VLOOKUP(Table11[[#This Row],[SKU]],'All Skus'!$A:$AC,17,FALSE)),""))</f>
        <v>0</v>
      </c>
      <c r="M181" s="239">
        <f>(IF((VLOOKUP(Table11[[#This Row],[SKU]],'All Skus'!$A:$AC,2,FALSE))="Soundcraft",(VLOOKUP(Table11[[#This Row],[SKU]],'All Skus'!$A:$AC,18,FALSE)),""))</f>
        <v>2</v>
      </c>
      <c r="N181" s="147">
        <f>(IF((VLOOKUP(Table11[[#This Row],[SKU]],'All Skus'!$A:$AC,2,FALSE))="Soundcraft",(VLOOKUP(Table11[[#This Row],[SKU]],'All Skus'!$A:$AC,19,FALSE)),""))</f>
        <v>15</v>
      </c>
      <c r="O181" s="147">
        <f>(IF((VLOOKUP(Table11[[#This Row],[SKU]],'All Skus'!$A:$AC,2,FALSE))="Soundcraft",(VLOOKUP(Table11[[#This Row],[SKU]],'All Skus'!$A:$AC,20,FALSE)),""))</f>
        <v>13</v>
      </c>
      <c r="P181" s="240">
        <f>(IF((VLOOKUP(Table11[[#This Row],[SKU]],'All Skus'!$A:$AC,2,FALSE))="Soundcraft",(VLOOKUP(Table11[[#This Row],[SKU]],'All Skus'!$A:$AC,21,FALSE)),""))</f>
        <v>4</v>
      </c>
      <c r="Q181" s="61" t="str">
        <f>(IF((VLOOKUP(Table11[[#This Row],[SKU]],'All Skus'!$A:$AC,2,FALSE))="Soundcraft",(VLOOKUP(Table11[[#This Row],[SKU]],'All Skus'!$A:$AC,22,FALSE)),""))</f>
        <v>CN</v>
      </c>
      <c r="R181" s="61" t="str">
        <f>(IF((VLOOKUP(Table11[[#This Row],[SKU]],'All Skus'!$A:$AC,2,FALSE))="Soundcraft",(VLOOKUP(Table11[[#This Row],[SKU]],'All Skus'!$A:$AC,23,FALSE)),""))</f>
        <v>Compliant</v>
      </c>
      <c r="S181" s="212" t="str">
        <f>HYPERLINK((IF((VLOOKUP(Table11[[#This Row],[SKU]],'All Skus'!$A:$AC,2,FALSE))="Soundcraft",(VLOOKUP(Table11[[#This Row],[SKU]],'All Skus'!$A:$AC,24,FALSE)),"")))</f>
        <v/>
      </c>
      <c r="T181" s="151">
        <v>179</v>
      </c>
    </row>
    <row r="182" spans="1:20" ht="15" customHeight="1">
      <c r="A182" s="158" t="s">
        <v>2521</v>
      </c>
      <c r="B182" s="159" t="str">
        <f>(IF((VLOOKUP(Table11[[#This Row],[SKU]],'All Skus'!$A:$AC,2,FALSE))="Soundcraft",(VLOOKUP(Table11[[#This Row],[SKU]],'All Skus'!$A:$AC,3,FALSE)),""))</f>
        <v>Option Cards (Vi Stagebox)</v>
      </c>
      <c r="C182" s="21" t="str">
        <f>(IF((VLOOKUP(Table11[[#This Row],[SKU]],'All Skus'!$A:$AC,2,FALSE))="Soundcraft",(VLOOKUP(Table11[[#This Row],[SKU]],'All Skus'!$A:$AC,4,FALSE)),""))</f>
        <v>RS2448SP</v>
      </c>
      <c r="D182" s="19" t="str">
        <f>(IF((VLOOKUP(Table11[[#This Row],[SKU]],'All Skus'!$A:$AC,2,FALSE))="Soundcraft",(VLOOKUP(Table11[[#This Row],[SKU]],'All Skus'!$A:$AC,5,FALSE)),""))</f>
        <v>SC-VI</v>
      </c>
      <c r="E182" s="19" t="str">
        <f>(IF((VLOOKUP(Table11[[#This Row],[SKU]],'All Skus'!$A:$AC,2,FALSE))="Soundcraft",(VLOOKUP(Table11[[#This Row],[SKU]],'All Skus'!$A:$AC,6,FALSE)),""))</f>
        <v>YES</v>
      </c>
      <c r="F182" s="18">
        <f>(IF((VLOOKUP(Table11[[#This Row],[SKU]],'All Skus'!$A:$AC,2,FALSE))="Soundcraft",(VLOOKUP(Table11[[#This Row],[SKU]],'All Skus'!$A:$AC,7,FALSE)),""))</f>
        <v>0</v>
      </c>
      <c r="G182" s="22" t="str">
        <f>(IF((VLOOKUP(Table11[[#This Row],[SKU]],'All Skus'!$A:$AC,2,FALSE))="Soundcraft",(VLOOKUP(Table11[[#This Row],[SKU]],'All Skus'!$A:$AC,8,FALSE)),""))</f>
        <v>ViSB Optical MADI HD (multimode)</v>
      </c>
      <c r="H182" s="22" t="str">
        <f>(IF((VLOOKUP(Table11[[#This Row],[SKU]],'All Skus'!$A:$AC,2,FALSE))="Soundcraft",(VLOOKUP(Table11[[#This Row],[SKU]],'All Skus'!$A:$AC,9,FALSE)),""))</f>
        <v>ViSB Optical MADI HD card (multimode)</v>
      </c>
      <c r="I182" s="157">
        <f>(IF((VLOOKUP(Table11[[#This Row],[SKU]],'All Skus'!$A:$AC,2,FALSE))="Soundcraft",(VLOOKUP(Table11[[#This Row],[SKU]],'All Skus'!$A:$AC,10,FALSE)),""))</f>
        <v>1515.55</v>
      </c>
      <c r="J182" s="157">
        <f>(IF((VLOOKUP(Table11[[#This Row],[SKU]],'All Skus'!$A:$AC,2,FALSE))="Soundcraft",(VLOOKUP(Table11[[#This Row],[SKU]],'All Skus'!$A:$AC,11,FALSE)),""))</f>
        <v>1515</v>
      </c>
      <c r="K182" s="271">
        <f>(IF((VLOOKUP(Table11[[#This Row],[SKU]],'All Skus'!$A:$AC,2,FALSE))="Soundcraft",(VLOOKUP(Table11[[#This Row],[SKU]],'All Skus'!$A:$AC,16,FALSE)),""))</f>
        <v>0</v>
      </c>
      <c r="L182" s="239">
        <f>(IF((VLOOKUP(Table11[[#This Row],[SKU]],'All Skus'!$A:$AC,2,FALSE))="Soundcraft",(VLOOKUP(Table11[[#This Row],[SKU]],'All Skus'!$A:$AC,17,FALSE)),""))</f>
        <v>0</v>
      </c>
      <c r="M182" s="239">
        <f>(IF((VLOOKUP(Table11[[#This Row],[SKU]],'All Skus'!$A:$AC,2,FALSE))="Soundcraft",(VLOOKUP(Table11[[#This Row],[SKU]],'All Skus'!$A:$AC,18,FALSE)),""))</f>
        <v>0</v>
      </c>
      <c r="N182" s="147">
        <f>(IF((VLOOKUP(Table11[[#This Row],[SKU]],'All Skus'!$A:$AC,2,FALSE))="Soundcraft",(VLOOKUP(Table11[[#This Row],[SKU]],'All Skus'!$A:$AC,19,FALSE)),""))</f>
        <v>0</v>
      </c>
      <c r="O182" s="147">
        <f>(IF((VLOOKUP(Table11[[#This Row],[SKU]],'All Skus'!$A:$AC,2,FALSE))="Soundcraft",(VLOOKUP(Table11[[#This Row],[SKU]],'All Skus'!$A:$AC,20,FALSE)),""))</f>
        <v>0</v>
      </c>
      <c r="P182" s="240">
        <f>(IF((VLOOKUP(Table11[[#This Row],[SKU]],'All Skus'!$A:$AC,2,FALSE))="Soundcraft",(VLOOKUP(Table11[[#This Row],[SKU]],'All Skus'!$A:$AC,21,FALSE)),""))</f>
        <v>0</v>
      </c>
      <c r="Q182" s="61">
        <f>(IF((VLOOKUP(Table11[[#This Row],[SKU]],'All Skus'!$A:$AC,2,FALSE))="Soundcraft",(VLOOKUP(Table11[[#This Row],[SKU]],'All Skus'!$A:$AC,22,FALSE)),""))</f>
        <v>0</v>
      </c>
      <c r="R182" s="61" t="str">
        <f>(IF((VLOOKUP(Table11[[#This Row],[SKU]],'All Skus'!$A:$AC,2,FALSE))="Soundcraft",(VLOOKUP(Table11[[#This Row],[SKU]],'All Skus'!$A:$AC,23,FALSE)),""))</f>
        <v>Compliant</v>
      </c>
      <c r="S182" s="212" t="str">
        <f>HYPERLINK((IF((VLOOKUP(Table11[[#This Row],[SKU]],'All Skus'!$A:$AC,2,FALSE))="Soundcraft",(VLOOKUP(Table11[[#This Row],[SKU]],'All Skus'!$A:$AC,24,FALSE)),"")))</f>
        <v/>
      </c>
      <c r="T182" s="151">
        <v>180</v>
      </c>
    </row>
    <row r="183" spans="1:20" ht="15" customHeight="1">
      <c r="A183" s="158" t="s">
        <v>2522</v>
      </c>
      <c r="B183" s="159" t="str">
        <f>(IF((VLOOKUP(Table11[[#This Row],[SKU]],'All Skus'!$A:$AC,2,FALSE))="Soundcraft",(VLOOKUP(Table11[[#This Row],[SKU]],'All Skus'!$A:$AC,3,FALSE)),""))</f>
        <v>Option Cards (Vi Stagebox)</v>
      </c>
      <c r="C183" s="21" t="str">
        <f>(IF((VLOOKUP(Table11[[#This Row],[SKU]],'All Skus'!$A:$AC,2,FALSE))="Soundcraft",(VLOOKUP(Table11[[#This Row],[SKU]],'All Skus'!$A:$AC,4,FALSE)),""))</f>
        <v>RS2562SP</v>
      </c>
      <c r="D183" s="19" t="str">
        <f>(IF((VLOOKUP(Table11[[#This Row],[SKU]],'All Skus'!$A:$AC,2,FALSE))="Soundcraft",(VLOOKUP(Table11[[#This Row],[SKU]],'All Skus'!$A:$AC,5,FALSE)),""))</f>
        <v>SC-VI</v>
      </c>
      <c r="E183" s="19" t="str">
        <f>(IF((VLOOKUP(Table11[[#This Row],[SKU]],'All Skus'!$A:$AC,2,FALSE))="Soundcraft",(VLOOKUP(Table11[[#This Row],[SKU]],'All Skus'!$A:$AC,6,FALSE)),""))</f>
        <v>YES</v>
      </c>
      <c r="F183" s="18">
        <f>(IF((VLOOKUP(Table11[[#This Row],[SKU]],'All Skus'!$A:$AC,2,FALSE))="Soundcraft",(VLOOKUP(Table11[[#This Row],[SKU]],'All Skus'!$A:$AC,7,FALSE)),""))</f>
        <v>0</v>
      </c>
      <c r="G183" s="22" t="str">
        <f>(IF((VLOOKUP(Table11[[#This Row],[SKU]],'All Skus'!$A:$AC,2,FALSE))="Soundcraft",(VLOOKUP(Table11[[#This Row],[SKU]],'All Skus'!$A:$AC,8,FALSE)),""))</f>
        <v>VI4/6 MADI HD CARD 6HE SNGLE MDE SPARES</v>
      </c>
      <c r="H183" s="22" t="str">
        <f>(IF((VLOOKUP(Table11[[#This Row],[SKU]],'All Skus'!$A:$AC,2,FALSE))="Soundcraft",(VLOOKUP(Table11[[#This Row],[SKU]],'All Skus'!$A:$AC,9,FALSE)),""))</f>
        <v>ViSB Optical MADI HD (singlemode)</v>
      </c>
      <c r="I183" s="157">
        <f>(IF((VLOOKUP(Table11[[#This Row],[SKU]],'All Skus'!$A:$AC,2,FALSE))="Soundcraft",(VLOOKUP(Table11[[#This Row],[SKU]],'All Skus'!$A:$AC,10,FALSE)),""))</f>
        <v>1735.72</v>
      </c>
      <c r="J183" s="157">
        <f>(IF((VLOOKUP(Table11[[#This Row],[SKU]],'All Skus'!$A:$AC,2,FALSE))="Soundcraft",(VLOOKUP(Table11[[#This Row],[SKU]],'All Skus'!$A:$AC,11,FALSE)),""))</f>
        <v>1735</v>
      </c>
      <c r="K183" s="271">
        <f>(IF((VLOOKUP(Table11[[#This Row],[SKU]],'All Skus'!$A:$AC,2,FALSE))="Soundcraft",(VLOOKUP(Table11[[#This Row],[SKU]],'All Skus'!$A:$AC,16,FALSE)),""))</f>
        <v>0</v>
      </c>
      <c r="L183" s="239">
        <f>(IF((VLOOKUP(Table11[[#This Row],[SKU]],'All Skus'!$A:$AC,2,FALSE))="Soundcraft",(VLOOKUP(Table11[[#This Row],[SKU]],'All Skus'!$A:$AC,17,FALSE)),""))</f>
        <v>0</v>
      </c>
      <c r="M183" s="239">
        <f>(IF((VLOOKUP(Table11[[#This Row],[SKU]],'All Skus'!$A:$AC,2,FALSE))="Soundcraft",(VLOOKUP(Table11[[#This Row],[SKU]],'All Skus'!$A:$AC,18,FALSE)),""))</f>
        <v>0</v>
      </c>
      <c r="N183" s="147">
        <f>(IF((VLOOKUP(Table11[[#This Row],[SKU]],'All Skus'!$A:$AC,2,FALSE))="Soundcraft",(VLOOKUP(Table11[[#This Row],[SKU]],'All Skus'!$A:$AC,19,FALSE)),""))</f>
        <v>0</v>
      </c>
      <c r="O183" s="147">
        <f>(IF((VLOOKUP(Table11[[#This Row],[SKU]],'All Skus'!$A:$AC,2,FALSE))="Soundcraft",(VLOOKUP(Table11[[#This Row],[SKU]],'All Skus'!$A:$AC,20,FALSE)),""))</f>
        <v>0</v>
      </c>
      <c r="P183" s="240">
        <f>(IF((VLOOKUP(Table11[[#This Row],[SKU]],'All Skus'!$A:$AC,2,FALSE))="Soundcraft",(VLOOKUP(Table11[[#This Row],[SKU]],'All Skus'!$A:$AC,21,FALSE)),""))</f>
        <v>0</v>
      </c>
      <c r="Q183" s="61" t="str">
        <f>(IF((VLOOKUP(Table11[[#This Row],[SKU]],'All Skus'!$A:$AC,2,FALSE))="Soundcraft",(VLOOKUP(Table11[[#This Row],[SKU]],'All Skus'!$A:$AC,22,FALSE)),""))</f>
        <v>CN</v>
      </c>
      <c r="R183" s="61" t="str">
        <f>(IF((VLOOKUP(Table11[[#This Row],[SKU]],'All Skus'!$A:$AC,2,FALSE))="Soundcraft",(VLOOKUP(Table11[[#This Row],[SKU]],'All Skus'!$A:$AC,23,FALSE)),""))</f>
        <v>Compliant</v>
      </c>
      <c r="S183" s="212" t="str">
        <f>HYPERLINK((IF((VLOOKUP(Table11[[#This Row],[SKU]],'All Skus'!$A:$AC,2,FALSE))="Soundcraft",(VLOOKUP(Table11[[#This Row],[SKU]],'All Skus'!$A:$AC,24,FALSE)),"")))</f>
        <v/>
      </c>
      <c r="T183" s="151">
        <v>181</v>
      </c>
    </row>
    <row r="184" spans="1:20" ht="15" customHeight="1">
      <c r="A184" s="158" t="s">
        <v>2523</v>
      </c>
      <c r="B184" s="159" t="str">
        <f>(IF((VLOOKUP(Table11[[#This Row],[SKU]],'All Skus'!$A:$AC,2,FALSE))="Soundcraft",(VLOOKUP(Table11[[#This Row],[SKU]],'All Skus'!$A:$AC,3,FALSE)),""))</f>
        <v>Option Cards (Vi Stagebox)</v>
      </c>
      <c r="C184" s="21" t="str">
        <f>(IF((VLOOKUP(Table11[[#This Row],[SKU]],'All Skus'!$A:$AC,2,FALSE))="Soundcraft",(VLOOKUP(Table11[[#This Row],[SKU]],'All Skus'!$A:$AC,4,FALSE)),""))</f>
        <v>5031241.V</v>
      </c>
      <c r="D184" s="19" t="str">
        <f>(IF((VLOOKUP(Table11[[#This Row],[SKU]],'All Skus'!$A:$AC,2,FALSE))="Soundcraft",(VLOOKUP(Table11[[#This Row],[SKU]],'All Skus'!$A:$AC,5,FALSE)),""))</f>
        <v>SC-VI</v>
      </c>
      <c r="E184" s="19">
        <f>(IF((VLOOKUP(Table11[[#This Row],[SKU]],'All Skus'!$A:$AC,2,FALSE))="Soundcraft",(VLOOKUP(Table11[[#This Row],[SKU]],'All Skus'!$A:$AC,6,FALSE)),""))</f>
        <v>0</v>
      </c>
      <c r="F184" s="18">
        <f>(IF((VLOOKUP(Table11[[#This Row],[SKU]],'All Skus'!$A:$AC,2,FALSE))="Soundcraft",(VLOOKUP(Table11[[#This Row],[SKU]],'All Skus'!$A:$AC,7,FALSE)),""))</f>
        <v>0</v>
      </c>
      <c r="G184" s="22" t="str">
        <f>(IF((VLOOKUP(Table11[[#This Row],[SKU]],'All Skus'!$A:$AC,2,FALSE))="Soundcraft",(VLOOKUP(Table11[[#This Row],[SKU]],'All Skus'!$A:$AC,8,FALSE)),""))</f>
        <v>ViSB Cat5 MADI HD card</v>
      </c>
      <c r="H184" s="22" t="str">
        <f>(IF((VLOOKUP(Table11[[#This Row],[SKU]],'All Skus'!$A:$AC,2,FALSE))="Soundcraft",(VLOOKUP(Table11[[#This Row],[SKU]],'All Skus'!$A:$AC,9,FALSE)),""))</f>
        <v>ViSB Cat5 MADI HD card</v>
      </c>
      <c r="I184" s="157">
        <f>(IF((VLOOKUP(Table11[[#This Row],[SKU]],'All Skus'!$A:$AC,2,FALSE))="Soundcraft",(VLOOKUP(Table11[[#This Row],[SKU]],'All Skus'!$A:$AC,10,FALSE)),""))</f>
        <v>1259.95</v>
      </c>
      <c r="J184" s="157">
        <f>(IF((VLOOKUP(Table11[[#This Row],[SKU]],'All Skus'!$A:$AC,2,FALSE))="Soundcraft",(VLOOKUP(Table11[[#This Row],[SKU]],'All Skus'!$A:$AC,11,FALSE)),""))</f>
        <v>1259</v>
      </c>
      <c r="K184" s="271">
        <f>(IF((VLOOKUP(Table11[[#This Row],[SKU]],'All Skus'!$A:$AC,2,FALSE))="Soundcraft",(VLOOKUP(Table11[[#This Row],[SKU]],'All Skus'!$A:$AC,16,FALSE)),""))</f>
        <v>0</v>
      </c>
      <c r="L184" s="239">
        <f>(IF((VLOOKUP(Table11[[#This Row],[SKU]],'All Skus'!$A:$AC,2,FALSE))="Soundcraft",(VLOOKUP(Table11[[#This Row],[SKU]],'All Skus'!$A:$AC,17,FALSE)),""))</f>
        <v>0</v>
      </c>
      <c r="M184" s="239">
        <f>(IF((VLOOKUP(Table11[[#This Row],[SKU]],'All Skus'!$A:$AC,2,FALSE))="Soundcraft",(VLOOKUP(Table11[[#This Row],[SKU]],'All Skus'!$A:$AC,18,FALSE)),""))</f>
        <v>0</v>
      </c>
      <c r="N184" s="147">
        <f>(IF((VLOOKUP(Table11[[#This Row],[SKU]],'All Skus'!$A:$AC,2,FALSE))="Soundcraft",(VLOOKUP(Table11[[#This Row],[SKU]],'All Skus'!$A:$AC,19,FALSE)),""))</f>
        <v>0</v>
      </c>
      <c r="O184" s="147">
        <f>(IF((VLOOKUP(Table11[[#This Row],[SKU]],'All Skus'!$A:$AC,2,FALSE))="Soundcraft",(VLOOKUP(Table11[[#This Row],[SKU]],'All Skus'!$A:$AC,20,FALSE)),""))</f>
        <v>0</v>
      </c>
      <c r="P184" s="240">
        <f>(IF((VLOOKUP(Table11[[#This Row],[SKU]],'All Skus'!$A:$AC,2,FALSE))="Soundcraft",(VLOOKUP(Table11[[#This Row],[SKU]],'All Skus'!$A:$AC,21,FALSE)),""))</f>
        <v>0</v>
      </c>
      <c r="Q184" s="61" t="str">
        <f>(IF((VLOOKUP(Table11[[#This Row],[SKU]],'All Skus'!$A:$AC,2,FALSE))="Soundcraft",(VLOOKUP(Table11[[#This Row],[SKU]],'All Skus'!$A:$AC,22,FALSE)),""))</f>
        <v>CN</v>
      </c>
      <c r="R184" s="61" t="str">
        <f>(IF((VLOOKUP(Table11[[#This Row],[SKU]],'All Skus'!$A:$AC,2,FALSE))="Soundcraft",(VLOOKUP(Table11[[#This Row],[SKU]],'All Skus'!$A:$AC,23,FALSE)),""))</f>
        <v>Compliant</v>
      </c>
      <c r="S184" s="212" t="str">
        <f>HYPERLINK((IF((VLOOKUP(Table11[[#This Row],[SKU]],'All Skus'!$A:$AC,2,FALSE))="Soundcraft",(VLOOKUP(Table11[[#This Row],[SKU]],'All Skus'!$A:$AC,24,FALSE)),"")))</f>
        <v/>
      </c>
      <c r="T184" s="151">
        <v>182</v>
      </c>
    </row>
    <row r="185" spans="1:20" ht="14.65" customHeight="1">
      <c r="A185" s="158" t="s">
        <v>2524</v>
      </c>
      <c r="B185" s="159" t="str">
        <f>(IF((VLOOKUP(Table11[[#This Row],[SKU]],'All Skus'!$A:$AC,2,FALSE))="Soundcraft",(VLOOKUP(Table11[[#This Row],[SKU]],'All Skus'!$A:$AC,3,FALSE)),""))</f>
        <v>Option Cards (Vi Stagebox)</v>
      </c>
      <c r="C185" s="21" t="str">
        <f>(IF((VLOOKUP(Table11[[#This Row],[SKU]],'All Skus'!$A:$AC,2,FALSE))="Soundcraft",(VLOOKUP(Table11[[#This Row],[SKU]],'All Skus'!$A:$AC,4,FALSE)),""))</f>
        <v>RS2446SP</v>
      </c>
      <c r="D185" s="19" t="str">
        <f>(IF((VLOOKUP(Table11[[#This Row],[SKU]],'All Skus'!$A:$AC,2,FALSE))="Soundcraft",(VLOOKUP(Table11[[#This Row],[SKU]],'All Skus'!$A:$AC,5,FALSE)),""))</f>
        <v>SC-VI</v>
      </c>
      <c r="E185" s="19" t="str">
        <f>(IF((VLOOKUP(Table11[[#This Row],[SKU]],'All Skus'!$A:$AC,2,FALSE))="Soundcraft",(VLOOKUP(Table11[[#This Row],[SKU]],'All Skus'!$A:$AC,6,FALSE)),""))</f>
        <v>YES</v>
      </c>
      <c r="F185" s="18">
        <f>(IF((VLOOKUP(Table11[[#This Row],[SKU]],'All Skus'!$A:$AC,2,FALSE))="Soundcraft",(VLOOKUP(Table11[[#This Row],[SKU]],'All Skus'!$A:$AC,7,FALSE)),""))</f>
        <v>0</v>
      </c>
      <c r="G185" s="22" t="str">
        <f>(IF((VLOOKUP(Table11[[#This Row],[SKU]],'All Skus'!$A:$AC,2,FALSE))="Soundcraft",(VLOOKUP(Table11[[#This Row],[SKU]],'All Skus'!$A:$AC,8,FALSE)),""))</f>
        <v>VI6 AES 8CH I/P STAGEBOXSPARES KIT</v>
      </c>
      <c r="H185" s="22" t="str">
        <f>(IF((VLOOKUP(Table11[[#This Row],[SKU]],'All Skus'!$A:$AC,2,FALSE))="Soundcraft",(VLOOKUP(Table11[[#This Row],[SKU]],'All Skus'!$A:$AC,9,FALSE)),""))</f>
        <v>ViSB 8 x AES/EBU In</v>
      </c>
      <c r="I185" s="157">
        <f>(IF((VLOOKUP(Table11[[#This Row],[SKU]],'All Skus'!$A:$AC,2,FALSE))="Soundcraft",(VLOOKUP(Table11[[#This Row],[SKU]],'All Skus'!$A:$AC,10,FALSE)),""))</f>
        <v>947.39</v>
      </c>
      <c r="J185" s="157">
        <f>(IF((VLOOKUP(Table11[[#This Row],[SKU]],'All Skus'!$A:$AC,2,FALSE))="Soundcraft",(VLOOKUP(Table11[[#This Row],[SKU]],'All Skus'!$A:$AC,11,FALSE)),""))</f>
        <v>947</v>
      </c>
      <c r="K185" s="271">
        <f>(IF((VLOOKUP(Table11[[#This Row],[SKU]],'All Skus'!$A:$AC,2,FALSE))="Soundcraft",(VLOOKUP(Table11[[#This Row],[SKU]],'All Skus'!$A:$AC,16,FALSE)),""))</f>
        <v>0</v>
      </c>
      <c r="L185" s="239">
        <f>(IF((VLOOKUP(Table11[[#This Row],[SKU]],'All Skus'!$A:$AC,2,FALSE))="Soundcraft",(VLOOKUP(Table11[[#This Row],[SKU]],'All Skus'!$A:$AC,17,FALSE)),""))</f>
        <v>0</v>
      </c>
      <c r="M185" s="239">
        <f>(IF((VLOOKUP(Table11[[#This Row],[SKU]],'All Skus'!$A:$AC,2,FALSE))="Soundcraft",(VLOOKUP(Table11[[#This Row],[SKU]],'All Skus'!$A:$AC,18,FALSE)),""))</f>
        <v>0</v>
      </c>
      <c r="N185" s="147">
        <f>(IF((VLOOKUP(Table11[[#This Row],[SKU]],'All Skus'!$A:$AC,2,FALSE))="Soundcraft",(VLOOKUP(Table11[[#This Row],[SKU]],'All Skus'!$A:$AC,19,FALSE)),""))</f>
        <v>0</v>
      </c>
      <c r="O185" s="147">
        <f>(IF((VLOOKUP(Table11[[#This Row],[SKU]],'All Skus'!$A:$AC,2,FALSE))="Soundcraft",(VLOOKUP(Table11[[#This Row],[SKU]],'All Skus'!$A:$AC,20,FALSE)),""))</f>
        <v>0</v>
      </c>
      <c r="P185" s="240">
        <f>(IF((VLOOKUP(Table11[[#This Row],[SKU]],'All Skus'!$A:$AC,2,FALSE))="Soundcraft",(VLOOKUP(Table11[[#This Row],[SKU]],'All Skus'!$A:$AC,21,FALSE)),""))</f>
        <v>0</v>
      </c>
      <c r="Q185" s="61">
        <f>(IF((VLOOKUP(Table11[[#This Row],[SKU]],'All Skus'!$A:$AC,2,FALSE))="Soundcraft",(VLOOKUP(Table11[[#This Row],[SKU]],'All Skus'!$A:$AC,22,FALSE)),""))</f>
        <v>0</v>
      </c>
      <c r="R185" s="61" t="str">
        <f>(IF((VLOOKUP(Table11[[#This Row],[SKU]],'All Skus'!$A:$AC,2,FALSE))="Soundcraft",(VLOOKUP(Table11[[#This Row],[SKU]],'All Skus'!$A:$AC,23,FALSE)),""))</f>
        <v>Compliant</v>
      </c>
      <c r="S185" s="212" t="str">
        <f>HYPERLINK((IF((VLOOKUP(Table11[[#This Row],[SKU]],'All Skus'!$A:$AC,2,FALSE))="Soundcraft",(VLOOKUP(Table11[[#This Row],[SKU]],'All Skus'!$A:$AC,24,FALSE)),"")))</f>
        <v/>
      </c>
      <c r="T185" s="151">
        <v>183</v>
      </c>
    </row>
    <row r="186" spans="1:20" ht="15" customHeight="1">
      <c r="A186" s="158" t="s">
        <v>2525</v>
      </c>
      <c r="B186" s="159" t="str">
        <f>(IF((VLOOKUP(Table11[[#This Row],[SKU]],'All Skus'!$A:$AC,2,FALSE))="Soundcraft",(VLOOKUP(Table11[[#This Row],[SKU]],'All Skus'!$A:$AC,3,FALSE)),""))</f>
        <v>Option Cards (Vi Stagebox)</v>
      </c>
      <c r="C186" s="21" t="str">
        <f>(IF((VLOOKUP(Table11[[#This Row],[SKU]],'All Skus'!$A:$AC,2,FALSE))="Soundcraft",(VLOOKUP(Table11[[#This Row],[SKU]],'All Skus'!$A:$AC,4,FALSE)),""))</f>
        <v>RS2447SP</v>
      </c>
      <c r="D186" s="19" t="str">
        <f>(IF((VLOOKUP(Table11[[#This Row],[SKU]],'All Skus'!$A:$AC,2,FALSE))="Soundcraft",(VLOOKUP(Table11[[#This Row],[SKU]],'All Skus'!$A:$AC,5,FALSE)),""))</f>
        <v>SC-VI</v>
      </c>
      <c r="E186" s="19" t="str">
        <f>(IF((VLOOKUP(Table11[[#This Row],[SKU]],'All Skus'!$A:$AC,2,FALSE))="Soundcraft",(VLOOKUP(Table11[[#This Row],[SKU]],'All Skus'!$A:$AC,6,FALSE)),""))</f>
        <v>YES</v>
      </c>
      <c r="F186" s="18">
        <f>(IF((VLOOKUP(Table11[[#This Row],[SKU]],'All Skus'!$A:$AC,2,FALSE))="Soundcraft",(VLOOKUP(Table11[[#This Row],[SKU]],'All Skus'!$A:$AC,7,FALSE)),""))</f>
        <v>0</v>
      </c>
      <c r="G186" s="22" t="str">
        <f>(IF((VLOOKUP(Table11[[#This Row],[SKU]],'All Skus'!$A:$AC,2,FALSE))="Soundcraft",(VLOOKUP(Table11[[#This Row],[SKU]],'All Skus'!$A:$AC,8,FALSE)),""))</f>
        <v>VI6 AES 8CH O/P STAGEBOXSPARES KIT</v>
      </c>
      <c r="H186" s="22" t="str">
        <f>(IF((VLOOKUP(Table11[[#This Row],[SKU]],'All Skus'!$A:$AC,2,FALSE))="Soundcraft",(VLOOKUP(Table11[[#This Row],[SKU]],'All Skus'!$A:$AC,9,FALSE)),""))</f>
        <v>ViSB 8 x AES/EBU Out</v>
      </c>
      <c r="I186" s="157">
        <f>(IF((VLOOKUP(Table11[[#This Row],[SKU]],'All Skus'!$A:$AC,2,FALSE))="Soundcraft",(VLOOKUP(Table11[[#This Row],[SKU]],'All Skus'!$A:$AC,10,FALSE)),""))</f>
        <v>789.74</v>
      </c>
      <c r="J186" s="157">
        <f>(IF((VLOOKUP(Table11[[#This Row],[SKU]],'All Skus'!$A:$AC,2,FALSE))="Soundcraft",(VLOOKUP(Table11[[#This Row],[SKU]],'All Skus'!$A:$AC,11,FALSE)),""))</f>
        <v>789</v>
      </c>
      <c r="K186" s="271">
        <f>(IF((VLOOKUP(Table11[[#This Row],[SKU]],'All Skus'!$A:$AC,2,FALSE))="Soundcraft",(VLOOKUP(Table11[[#This Row],[SKU]],'All Skus'!$A:$AC,16,FALSE)),""))</f>
        <v>0</v>
      </c>
      <c r="L186" s="239">
        <f>(IF((VLOOKUP(Table11[[#This Row],[SKU]],'All Skus'!$A:$AC,2,FALSE))="Soundcraft",(VLOOKUP(Table11[[#This Row],[SKU]],'All Skus'!$A:$AC,17,FALSE)),""))</f>
        <v>0</v>
      </c>
      <c r="M186" s="239">
        <f>(IF((VLOOKUP(Table11[[#This Row],[SKU]],'All Skus'!$A:$AC,2,FALSE))="Soundcraft",(VLOOKUP(Table11[[#This Row],[SKU]],'All Skus'!$A:$AC,18,FALSE)),""))</f>
        <v>2</v>
      </c>
      <c r="N186" s="147">
        <f>(IF((VLOOKUP(Table11[[#This Row],[SKU]],'All Skus'!$A:$AC,2,FALSE))="Soundcraft",(VLOOKUP(Table11[[#This Row],[SKU]],'All Skus'!$A:$AC,19,FALSE)),""))</f>
        <v>15</v>
      </c>
      <c r="O186" s="147">
        <f>(IF((VLOOKUP(Table11[[#This Row],[SKU]],'All Skus'!$A:$AC,2,FALSE))="Soundcraft",(VLOOKUP(Table11[[#This Row],[SKU]],'All Skus'!$A:$AC,20,FALSE)),""))</f>
        <v>13</v>
      </c>
      <c r="P186" s="240">
        <f>(IF((VLOOKUP(Table11[[#This Row],[SKU]],'All Skus'!$A:$AC,2,FALSE))="Soundcraft",(VLOOKUP(Table11[[#This Row],[SKU]],'All Skus'!$A:$AC,21,FALSE)),""))</f>
        <v>4</v>
      </c>
      <c r="Q186" s="61" t="str">
        <f>(IF((VLOOKUP(Table11[[#This Row],[SKU]],'All Skus'!$A:$AC,2,FALSE))="Soundcraft",(VLOOKUP(Table11[[#This Row],[SKU]],'All Skus'!$A:$AC,22,FALSE)),""))</f>
        <v>CN</v>
      </c>
      <c r="R186" s="61" t="str">
        <f>(IF((VLOOKUP(Table11[[#This Row],[SKU]],'All Skus'!$A:$AC,2,FALSE))="Soundcraft",(VLOOKUP(Table11[[#This Row],[SKU]],'All Skus'!$A:$AC,23,FALSE)),""))</f>
        <v>Compliant</v>
      </c>
      <c r="S186" s="212" t="str">
        <f>HYPERLINK((IF((VLOOKUP(Table11[[#This Row],[SKU]],'All Skus'!$A:$AC,2,FALSE))="Soundcraft",(VLOOKUP(Table11[[#This Row],[SKU]],'All Skus'!$A:$AC,24,FALSE)),"")))</f>
        <v/>
      </c>
      <c r="T186" s="151">
        <v>184</v>
      </c>
    </row>
    <row r="187" spans="1:20" ht="15" customHeight="1">
      <c r="A187" s="158" t="s">
        <v>2526</v>
      </c>
      <c r="B187" s="159" t="str">
        <f>(IF((VLOOKUP(Table11[[#This Row],[SKU]],'All Skus'!$A:$AC,2,FALSE))="Soundcraft",(VLOOKUP(Table11[[#This Row],[SKU]],'All Skus'!$A:$AC,3,FALSE)),""))</f>
        <v>Option Cards (Vi Stagebox)</v>
      </c>
      <c r="C187" s="21" t="str">
        <f>(IF((VLOOKUP(Table11[[#This Row],[SKU]],'All Skus'!$A:$AC,2,FALSE))="Soundcraft",(VLOOKUP(Table11[[#This Row],[SKU]],'All Skus'!$A:$AC,4,FALSE)),""))</f>
        <v>RS2449SP</v>
      </c>
      <c r="D187" s="19" t="str">
        <f>(IF((VLOOKUP(Table11[[#This Row],[SKU]],'All Skus'!$A:$AC,2,FALSE))="Soundcraft",(VLOOKUP(Table11[[#This Row],[SKU]],'All Skus'!$A:$AC,5,FALSE)),""))</f>
        <v>SC-VI</v>
      </c>
      <c r="E187" s="19" t="str">
        <f>(IF((VLOOKUP(Table11[[#This Row],[SKU]],'All Skus'!$A:$AC,2,FALSE))="Soundcraft",(VLOOKUP(Table11[[#This Row],[SKU]],'All Skus'!$A:$AC,6,FALSE)),""))</f>
        <v>YES</v>
      </c>
      <c r="F187" s="18">
        <f>(IF((VLOOKUP(Table11[[#This Row],[SKU]],'All Skus'!$A:$AC,2,FALSE))="Soundcraft",(VLOOKUP(Table11[[#This Row],[SKU]],'All Skus'!$A:$AC,7,FALSE)),""))</f>
        <v>0</v>
      </c>
      <c r="G187" s="22" t="str">
        <f>(IF((VLOOKUP(Table11[[#This Row],[SKU]],'All Skus'!$A:$AC,2,FALSE))="Soundcraft",(VLOOKUP(Table11[[#This Row],[SKU]],'All Skus'!$A:$AC,8,FALSE)),""))</f>
        <v>VI6 OPTICAL STAGEBOX 2U PANEL SPRS</v>
      </c>
      <c r="H187" s="22" t="str">
        <f>(IF((VLOOKUP(Table11[[#This Row],[SKU]],'All Skus'!$A:$AC,2,FALSE))="Soundcraft",(VLOOKUP(Table11[[#This Row],[SKU]],'All Skus'!$A:$AC,9,FALSE)),""))</f>
        <v>Optical 2U Panel for SB only</v>
      </c>
      <c r="I187" s="157">
        <f>(IF((VLOOKUP(Table11[[#This Row],[SKU]],'All Skus'!$A:$AC,2,FALSE))="Soundcraft",(VLOOKUP(Table11[[#This Row],[SKU]],'All Skus'!$A:$AC,10,FALSE)),""))</f>
        <v>2683.11</v>
      </c>
      <c r="J187" s="157">
        <f>(IF((VLOOKUP(Table11[[#This Row],[SKU]],'All Skus'!$A:$AC,2,FALSE))="Soundcraft",(VLOOKUP(Table11[[#This Row],[SKU]],'All Skus'!$A:$AC,11,FALSE)),""))</f>
        <v>2683</v>
      </c>
      <c r="K187" s="271">
        <f>(IF((VLOOKUP(Table11[[#This Row],[SKU]],'All Skus'!$A:$AC,2,FALSE))="Soundcraft",(VLOOKUP(Table11[[#This Row],[SKU]],'All Skus'!$A:$AC,16,FALSE)),""))</f>
        <v>0</v>
      </c>
      <c r="L187" s="239">
        <f>(IF((VLOOKUP(Table11[[#This Row],[SKU]],'All Skus'!$A:$AC,2,FALSE))="Soundcraft",(VLOOKUP(Table11[[#This Row],[SKU]],'All Skus'!$A:$AC,17,FALSE)),""))</f>
        <v>0</v>
      </c>
      <c r="M187" s="239">
        <f>(IF((VLOOKUP(Table11[[#This Row],[SKU]],'All Skus'!$A:$AC,2,FALSE))="Soundcraft",(VLOOKUP(Table11[[#This Row],[SKU]],'All Skus'!$A:$AC,18,FALSE)),""))</f>
        <v>0</v>
      </c>
      <c r="N187" s="147">
        <f>(IF((VLOOKUP(Table11[[#This Row],[SKU]],'All Skus'!$A:$AC,2,FALSE))="Soundcraft",(VLOOKUP(Table11[[#This Row],[SKU]],'All Skus'!$A:$AC,19,FALSE)),""))</f>
        <v>0</v>
      </c>
      <c r="O187" s="147">
        <f>(IF((VLOOKUP(Table11[[#This Row],[SKU]],'All Skus'!$A:$AC,2,FALSE))="Soundcraft",(VLOOKUP(Table11[[#This Row],[SKU]],'All Skus'!$A:$AC,20,FALSE)),""))</f>
        <v>0</v>
      </c>
      <c r="P187" s="240">
        <f>(IF((VLOOKUP(Table11[[#This Row],[SKU]],'All Skus'!$A:$AC,2,FALSE))="Soundcraft",(VLOOKUP(Table11[[#This Row],[SKU]],'All Skus'!$A:$AC,21,FALSE)),""))</f>
        <v>0</v>
      </c>
      <c r="Q187" s="61">
        <f>(IF((VLOOKUP(Table11[[#This Row],[SKU]],'All Skus'!$A:$AC,2,FALSE))="Soundcraft",(VLOOKUP(Table11[[#This Row],[SKU]],'All Skus'!$A:$AC,22,FALSE)),""))</f>
        <v>0</v>
      </c>
      <c r="R187" s="61" t="str">
        <f>(IF((VLOOKUP(Table11[[#This Row],[SKU]],'All Skus'!$A:$AC,2,FALSE))="Soundcraft",(VLOOKUP(Table11[[#This Row],[SKU]],'All Skus'!$A:$AC,23,FALSE)),""))</f>
        <v>Compliant</v>
      </c>
      <c r="S187" s="212" t="str">
        <f>HYPERLINK((IF((VLOOKUP(Table11[[#This Row],[SKU]],'All Skus'!$A:$AC,2,FALSE))="Soundcraft",(VLOOKUP(Table11[[#This Row],[SKU]],'All Skus'!$A:$AC,24,FALSE)),"")))</f>
        <v/>
      </c>
      <c r="T187" s="151">
        <v>185</v>
      </c>
    </row>
    <row r="188" spans="1:20" ht="14.65" customHeight="1">
      <c r="A188" s="158" t="s">
        <v>2527</v>
      </c>
      <c r="B188" s="159" t="str">
        <f>(IF((VLOOKUP(Table11[[#This Row],[SKU]],'All Skus'!$A:$AC,2,FALSE))="Soundcraft",(VLOOKUP(Table11[[#This Row],[SKU]],'All Skus'!$A:$AC,3,FALSE)),""))</f>
        <v>Option Cards (Vi Stagebox)</v>
      </c>
      <c r="C188" s="21" t="str">
        <f>(IF((VLOOKUP(Table11[[#This Row],[SKU]],'All Skus'!$A:$AC,2,FALSE))="Soundcraft",(VLOOKUP(Table11[[#This Row],[SKU]],'All Skus'!$A:$AC,4,FALSE)),""))</f>
        <v>RS2487SP</v>
      </c>
      <c r="D188" s="19" t="str">
        <f>(IF((VLOOKUP(Table11[[#This Row],[SKU]],'All Skus'!$A:$AC,2,FALSE))="Soundcraft",(VLOOKUP(Table11[[#This Row],[SKU]],'All Skus'!$A:$AC,5,FALSE)),""))</f>
        <v>SC-VI</v>
      </c>
      <c r="E188" s="19" t="str">
        <f>(IF((VLOOKUP(Table11[[#This Row],[SKU]],'All Skus'!$A:$AC,2,FALSE))="Soundcraft",(VLOOKUP(Table11[[#This Row],[SKU]],'All Skus'!$A:$AC,6,FALSE)),""))</f>
        <v>YES</v>
      </c>
      <c r="F188" s="18">
        <f>(IF((VLOOKUP(Table11[[#This Row],[SKU]],'All Skus'!$A:$AC,2,FALSE))="Soundcraft",(VLOOKUP(Table11[[#This Row],[SKU]],'All Skus'!$A:$AC,7,FALSE)),""))</f>
        <v>0</v>
      </c>
      <c r="G188" s="22" t="str">
        <f>(IF((VLOOKUP(Table11[[#This Row],[SKU]],'All Skus'!$A:$AC,2,FALSE))="Soundcraft",(VLOOKUP(Table11[[#This Row],[SKU]],'All Skus'!$A:$AC,8,FALSE)),""))</f>
        <v>VISB PANEL SPR ASSY</v>
      </c>
      <c r="H188" s="22" t="str">
        <f>(IF((VLOOKUP(Table11[[#This Row],[SKU]],'All Skus'!$A:$AC,2,FALSE))="Soundcraft",(VLOOKUP(Table11[[#This Row],[SKU]],'All Skus'!$A:$AC,9,FALSE)),""))</f>
        <v>ViSB Blank module</v>
      </c>
      <c r="I188" s="157">
        <f>(IF((VLOOKUP(Table11[[#This Row],[SKU]],'All Skus'!$A:$AC,2,FALSE))="Soundcraft",(VLOOKUP(Table11[[#This Row],[SKU]],'All Skus'!$A:$AC,10,FALSE)),""))</f>
        <v>157.66999999999999</v>
      </c>
      <c r="J188" s="157">
        <f>(IF((VLOOKUP(Table11[[#This Row],[SKU]],'All Skus'!$A:$AC,2,FALSE))="Soundcraft",(VLOOKUP(Table11[[#This Row],[SKU]],'All Skus'!$A:$AC,11,FALSE)),""))</f>
        <v>157.66999999999999</v>
      </c>
      <c r="K188" s="271">
        <f>(IF((VLOOKUP(Table11[[#This Row],[SKU]],'All Skus'!$A:$AC,2,FALSE))="Soundcraft",(VLOOKUP(Table11[[#This Row],[SKU]],'All Skus'!$A:$AC,16,FALSE)),""))</f>
        <v>0</v>
      </c>
      <c r="L188" s="239">
        <f>(IF((VLOOKUP(Table11[[#This Row],[SKU]],'All Skus'!$A:$AC,2,FALSE))="Soundcraft",(VLOOKUP(Table11[[#This Row],[SKU]],'All Skus'!$A:$AC,17,FALSE)),""))</f>
        <v>0</v>
      </c>
      <c r="M188" s="239">
        <f>(IF((VLOOKUP(Table11[[#This Row],[SKU]],'All Skus'!$A:$AC,2,FALSE))="Soundcraft",(VLOOKUP(Table11[[#This Row],[SKU]],'All Skus'!$A:$AC,18,FALSE)),""))</f>
        <v>0</v>
      </c>
      <c r="N188" s="147">
        <f>(IF((VLOOKUP(Table11[[#This Row],[SKU]],'All Skus'!$A:$AC,2,FALSE))="Soundcraft",(VLOOKUP(Table11[[#This Row],[SKU]],'All Skus'!$A:$AC,19,FALSE)),""))</f>
        <v>0</v>
      </c>
      <c r="O188" s="147">
        <f>(IF((VLOOKUP(Table11[[#This Row],[SKU]],'All Skus'!$A:$AC,2,FALSE))="Soundcraft",(VLOOKUP(Table11[[#This Row],[SKU]],'All Skus'!$A:$AC,20,FALSE)),""))</f>
        <v>0</v>
      </c>
      <c r="P188" s="240">
        <f>(IF((VLOOKUP(Table11[[#This Row],[SKU]],'All Skus'!$A:$AC,2,FALSE))="Soundcraft",(VLOOKUP(Table11[[#This Row],[SKU]],'All Skus'!$A:$AC,21,FALSE)),""))</f>
        <v>0</v>
      </c>
      <c r="Q188" s="61" t="str">
        <f>(IF((VLOOKUP(Table11[[#This Row],[SKU]],'All Skus'!$A:$AC,2,FALSE))="Soundcraft",(VLOOKUP(Table11[[#This Row],[SKU]],'All Skus'!$A:$AC,22,FALSE)),""))</f>
        <v>CN</v>
      </c>
      <c r="R188" s="61" t="str">
        <f>(IF((VLOOKUP(Table11[[#This Row],[SKU]],'All Skus'!$A:$AC,2,FALSE))="Soundcraft",(VLOOKUP(Table11[[#This Row],[SKU]],'All Skus'!$A:$AC,23,FALSE)),""))</f>
        <v>Compliant</v>
      </c>
      <c r="S188" s="212" t="str">
        <f>HYPERLINK((IF((VLOOKUP(Table11[[#This Row],[SKU]],'All Skus'!$A:$AC,2,FALSE))="Soundcraft",(VLOOKUP(Table11[[#This Row],[SKU]],'All Skus'!$A:$AC,24,FALSE)),"")))</f>
        <v/>
      </c>
      <c r="T188" s="151">
        <v>186</v>
      </c>
    </row>
    <row r="189" spans="1:20" ht="15" customHeight="1">
      <c r="A189" s="158" t="s">
        <v>2528</v>
      </c>
      <c r="B189" s="159" t="str">
        <f>(IF((VLOOKUP(Table11[[#This Row],[SKU]],'All Skus'!$A:$AC,2,FALSE))="Soundcraft",(VLOOKUP(Table11[[#This Row],[SKU]],'All Skus'!$A:$AC,3,FALSE)),""))</f>
        <v>Option Cards (Vi Stagebox)</v>
      </c>
      <c r="C189" s="21" t="str">
        <f>(IF((VLOOKUP(Table11[[#This Row],[SKU]],'All Skus'!$A:$AC,2,FALSE))="Soundcraft",(VLOOKUP(Table11[[#This Row],[SKU]],'All Skus'!$A:$AC,4,FALSE)),""))</f>
        <v>RS2489SP</v>
      </c>
      <c r="D189" s="19" t="str">
        <f>(IF((VLOOKUP(Table11[[#This Row],[SKU]],'All Skus'!$A:$AC,2,FALSE))="Soundcraft",(VLOOKUP(Table11[[#This Row],[SKU]],'All Skus'!$A:$AC,5,FALSE)),""))</f>
        <v>SC-VI</v>
      </c>
      <c r="E189" s="19" t="str">
        <f>(IF((VLOOKUP(Table11[[#This Row],[SKU]],'All Skus'!$A:$AC,2,FALSE))="Soundcraft",(VLOOKUP(Table11[[#This Row],[SKU]],'All Skus'!$A:$AC,6,FALSE)),""))</f>
        <v>YES</v>
      </c>
      <c r="F189" s="18">
        <f>(IF((VLOOKUP(Table11[[#This Row],[SKU]],'All Skus'!$A:$AC,2,FALSE))="Soundcraft",(VLOOKUP(Table11[[#This Row],[SKU]],'All Skus'!$A:$AC,7,FALSE)),""))</f>
        <v>0</v>
      </c>
      <c r="G189" s="22" t="str">
        <f>(IF((VLOOKUP(Table11[[#This Row],[SKU]],'All Skus'!$A:$AC,2,FALSE))="Soundcraft",(VLOOKUP(Table11[[#This Row],[SKU]],'All Skus'!$A:$AC,8,FALSE)),""))</f>
        <v>VI6 AMPHENOL STAGEBOX 2USPARES KIT</v>
      </c>
      <c r="H189" s="22" t="str">
        <f>(IF((VLOOKUP(Table11[[#This Row],[SKU]],'All Skus'!$A:$AC,2,FALSE))="Soundcraft",(VLOOKUP(Table11[[#This Row],[SKU]],'All Skus'!$A:$AC,9,FALSE)),""))</f>
        <v>Cat5 2U Panel for SB only</v>
      </c>
      <c r="I189" s="157">
        <f>(IF((VLOOKUP(Table11[[#This Row],[SKU]],'All Skus'!$A:$AC,2,FALSE))="Soundcraft",(VLOOKUP(Table11[[#This Row],[SKU]],'All Skus'!$A:$AC,10,FALSE)),""))</f>
        <v>724.4</v>
      </c>
      <c r="J189" s="157">
        <f>(IF((VLOOKUP(Table11[[#This Row],[SKU]],'All Skus'!$A:$AC,2,FALSE))="Soundcraft",(VLOOKUP(Table11[[#This Row],[SKU]],'All Skus'!$A:$AC,11,FALSE)),""))</f>
        <v>724</v>
      </c>
      <c r="K189" s="271">
        <f>(IF((VLOOKUP(Table11[[#This Row],[SKU]],'All Skus'!$A:$AC,2,FALSE))="Soundcraft",(VLOOKUP(Table11[[#This Row],[SKU]],'All Skus'!$A:$AC,16,FALSE)),""))</f>
        <v>0</v>
      </c>
      <c r="L189" s="239">
        <f>(IF((VLOOKUP(Table11[[#This Row],[SKU]],'All Skus'!$A:$AC,2,FALSE))="Soundcraft",(VLOOKUP(Table11[[#This Row],[SKU]],'All Skus'!$A:$AC,17,FALSE)),""))</f>
        <v>0</v>
      </c>
      <c r="M189" s="239">
        <f>(IF((VLOOKUP(Table11[[#This Row],[SKU]],'All Skus'!$A:$AC,2,FALSE))="Soundcraft",(VLOOKUP(Table11[[#This Row],[SKU]],'All Skus'!$A:$AC,18,FALSE)),""))</f>
        <v>0</v>
      </c>
      <c r="N189" s="147">
        <f>(IF((VLOOKUP(Table11[[#This Row],[SKU]],'All Skus'!$A:$AC,2,FALSE))="Soundcraft",(VLOOKUP(Table11[[#This Row],[SKU]],'All Skus'!$A:$AC,19,FALSE)),""))</f>
        <v>0</v>
      </c>
      <c r="O189" s="147">
        <f>(IF((VLOOKUP(Table11[[#This Row],[SKU]],'All Skus'!$A:$AC,2,FALSE))="Soundcraft",(VLOOKUP(Table11[[#This Row],[SKU]],'All Skus'!$A:$AC,20,FALSE)),""))</f>
        <v>0</v>
      </c>
      <c r="P189" s="240">
        <f>(IF((VLOOKUP(Table11[[#This Row],[SKU]],'All Skus'!$A:$AC,2,FALSE))="Soundcraft",(VLOOKUP(Table11[[#This Row],[SKU]],'All Skus'!$A:$AC,21,FALSE)),""))</f>
        <v>0</v>
      </c>
      <c r="Q189" s="61">
        <f>(IF((VLOOKUP(Table11[[#This Row],[SKU]],'All Skus'!$A:$AC,2,FALSE))="Soundcraft",(VLOOKUP(Table11[[#This Row],[SKU]],'All Skus'!$A:$AC,22,FALSE)),""))</f>
        <v>0</v>
      </c>
      <c r="R189" s="61" t="str">
        <f>(IF((VLOOKUP(Table11[[#This Row],[SKU]],'All Skus'!$A:$AC,2,FALSE))="Soundcraft",(VLOOKUP(Table11[[#This Row],[SKU]],'All Skus'!$A:$AC,23,FALSE)),""))</f>
        <v>Compliant</v>
      </c>
      <c r="S189" s="212" t="str">
        <f>HYPERLINK((IF((VLOOKUP(Table11[[#This Row],[SKU]],'All Skus'!$A:$AC,2,FALSE))="Soundcraft",(VLOOKUP(Table11[[#This Row],[SKU]],'All Skus'!$A:$AC,24,FALSE)),"")))</f>
        <v/>
      </c>
      <c r="T189" s="151">
        <v>187</v>
      </c>
    </row>
    <row r="190" spans="1:20" ht="15" customHeight="1">
      <c r="A190" s="158" t="s">
        <v>2529</v>
      </c>
      <c r="B190" s="159" t="str">
        <f>(IF((VLOOKUP(Table11[[#This Row],[SKU]],'All Skus'!$A:$AC,2,FALSE))="Soundcraft",(VLOOKUP(Table11[[#This Row],[SKU]],'All Skus'!$A:$AC,3,FALSE)),""))</f>
        <v>Option Cards (Vi Stagebox)</v>
      </c>
      <c r="C190" s="21" t="str">
        <f>(IF((VLOOKUP(Table11[[#This Row],[SKU]],'All Skus'!$A:$AC,2,FALSE))="Soundcraft",(VLOOKUP(Table11[[#This Row],[SKU]],'All Skus'!$A:$AC,4,FALSE)),""))</f>
        <v>RS2496SP</v>
      </c>
      <c r="D190" s="19" t="str">
        <f>(IF((VLOOKUP(Table11[[#This Row],[SKU]],'All Skus'!$A:$AC,2,FALSE))="Soundcraft",(VLOOKUP(Table11[[#This Row],[SKU]],'All Skus'!$A:$AC,5,FALSE)),""))</f>
        <v>SC-VI</v>
      </c>
      <c r="E190" s="19" t="str">
        <f>(IF((VLOOKUP(Table11[[#This Row],[SKU]],'All Skus'!$A:$AC,2,FALSE))="Soundcraft",(VLOOKUP(Table11[[#This Row],[SKU]],'All Skus'!$A:$AC,6,FALSE)),""))</f>
        <v>YES</v>
      </c>
      <c r="F190" s="18">
        <f>(IF((VLOOKUP(Table11[[#This Row],[SKU]],'All Skus'!$A:$AC,2,FALSE))="Soundcraft",(VLOOKUP(Table11[[#This Row],[SKU]],'All Skus'!$A:$AC,7,FALSE)),""))</f>
        <v>0</v>
      </c>
      <c r="G190" s="22" t="str">
        <f>(IF((VLOOKUP(Table11[[#This Row],[SKU]],'All Skus'!$A:$AC,2,FALSE))="Soundcraft",(VLOOKUP(Table11[[#This Row],[SKU]],'All Skus'!$A:$AC,8,FALSE)),""))</f>
        <v>VI COBRANET CARD STAGEBOX SPARES KIT</v>
      </c>
      <c r="H190" s="22" t="str">
        <f>(IF((VLOOKUP(Table11[[#This Row],[SKU]],'All Skus'!$A:$AC,2,FALSE))="Soundcraft",(VLOOKUP(Table11[[#This Row],[SKU]],'All Skus'!$A:$AC,9,FALSE)),""))</f>
        <v>VISB Cobranet</v>
      </c>
      <c r="I190" s="157">
        <f>(IF((VLOOKUP(Table11[[#This Row],[SKU]],'All Skus'!$A:$AC,2,FALSE))="Soundcraft",(VLOOKUP(Table11[[#This Row],[SKU]],'All Skus'!$A:$AC,10,FALSE)),""))</f>
        <v>2524.04</v>
      </c>
      <c r="J190" s="157">
        <f>(IF((VLOOKUP(Table11[[#This Row],[SKU]],'All Skus'!$A:$AC,2,FALSE))="Soundcraft",(VLOOKUP(Table11[[#This Row],[SKU]],'All Skus'!$A:$AC,11,FALSE)),""))</f>
        <v>2524</v>
      </c>
      <c r="K190" s="271">
        <f>(IF((VLOOKUP(Table11[[#This Row],[SKU]],'All Skus'!$A:$AC,2,FALSE))="Soundcraft",(VLOOKUP(Table11[[#This Row],[SKU]],'All Skus'!$A:$AC,16,FALSE)),""))</f>
        <v>0</v>
      </c>
      <c r="L190" s="239">
        <f>(IF((VLOOKUP(Table11[[#This Row],[SKU]],'All Skus'!$A:$AC,2,FALSE))="Soundcraft",(VLOOKUP(Table11[[#This Row],[SKU]],'All Skus'!$A:$AC,17,FALSE)),""))</f>
        <v>0</v>
      </c>
      <c r="M190" s="239">
        <f>(IF((VLOOKUP(Table11[[#This Row],[SKU]],'All Skus'!$A:$AC,2,FALSE))="Soundcraft",(VLOOKUP(Table11[[#This Row],[SKU]],'All Skus'!$A:$AC,18,FALSE)),""))</f>
        <v>0</v>
      </c>
      <c r="N190" s="147">
        <f>(IF((VLOOKUP(Table11[[#This Row],[SKU]],'All Skus'!$A:$AC,2,FALSE))="Soundcraft",(VLOOKUP(Table11[[#This Row],[SKU]],'All Skus'!$A:$AC,19,FALSE)),""))</f>
        <v>0</v>
      </c>
      <c r="O190" s="147">
        <f>(IF((VLOOKUP(Table11[[#This Row],[SKU]],'All Skus'!$A:$AC,2,FALSE))="Soundcraft",(VLOOKUP(Table11[[#This Row],[SKU]],'All Skus'!$A:$AC,20,FALSE)),""))</f>
        <v>0</v>
      </c>
      <c r="P190" s="240">
        <f>(IF((VLOOKUP(Table11[[#This Row],[SKU]],'All Skus'!$A:$AC,2,FALSE))="Soundcraft",(VLOOKUP(Table11[[#This Row],[SKU]],'All Skus'!$A:$AC,21,FALSE)),""))</f>
        <v>0</v>
      </c>
      <c r="Q190" s="61">
        <f>(IF((VLOOKUP(Table11[[#This Row],[SKU]],'All Skus'!$A:$AC,2,FALSE))="Soundcraft",(VLOOKUP(Table11[[#This Row],[SKU]],'All Skus'!$A:$AC,22,FALSE)),""))</f>
        <v>0</v>
      </c>
      <c r="R190" s="61" t="str">
        <f>(IF((VLOOKUP(Table11[[#This Row],[SKU]],'All Skus'!$A:$AC,2,FALSE))="Soundcraft",(VLOOKUP(Table11[[#This Row],[SKU]],'All Skus'!$A:$AC,23,FALSE)),""))</f>
        <v>Compliant</v>
      </c>
      <c r="S190" s="212" t="str">
        <f>HYPERLINK((IF((VLOOKUP(Table11[[#This Row],[SKU]],'All Skus'!$A:$AC,2,FALSE))="Soundcraft",(VLOOKUP(Table11[[#This Row],[SKU]],'All Skus'!$A:$AC,24,FALSE)),"")))</f>
        <v/>
      </c>
      <c r="T190" s="151">
        <v>188</v>
      </c>
    </row>
    <row r="191" spans="1:20" ht="15" customHeight="1">
      <c r="A191" s="158" t="s">
        <v>2530</v>
      </c>
      <c r="B191" s="159" t="str">
        <f>(IF((VLOOKUP(Table11[[#This Row],[SKU]],'All Skus'!$A:$AC,2,FALSE))="Soundcraft",(VLOOKUP(Table11[[#This Row],[SKU]],'All Skus'!$A:$AC,3,FALSE)),""))</f>
        <v>Option Cards (Vi Stagebox)</v>
      </c>
      <c r="C191" s="21" t="str">
        <f>(IF((VLOOKUP(Table11[[#This Row],[SKU]],'All Skus'!$A:$AC,2,FALSE))="Soundcraft",(VLOOKUP(Table11[[#This Row],[SKU]],'All Skus'!$A:$AC,4,FALSE)),""))</f>
        <v>RS2498SP</v>
      </c>
      <c r="D191" s="19" t="str">
        <f>(IF((VLOOKUP(Table11[[#This Row],[SKU]],'All Skus'!$A:$AC,2,FALSE))="Soundcraft",(VLOOKUP(Table11[[#This Row],[SKU]],'All Skus'!$A:$AC,5,FALSE)),""))</f>
        <v>SC-VI</v>
      </c>
      <c r="E191" s="19" t="str">
        <f>(IF((VLOOKUP(Table11[[#This Row],[SKU]],'All Skus'!$A:$AC,2,FALSE))="Soundcraft",(VLOOKUP(Table11[[#This Row],[SKU]],'All Skus'!$A:$AC,6,FALSE)),""))</f>
        <v>YES</v>
      </c>
      <c r="F191" s="18">
        <f>(IF((VLOOKUP(Table11[[#This Row],[SKU]],'All Skus'!$A:$AC,2,FALSE))="Soundcraft",(VLOOKUP(Table11[[#This Row],[SKU]],'All Skus'!$A:$AC,7,FALSE)),""))</f>
        <v>0</v>
      </c>
      <c r="G191" s="22" t="str">
        <f>(IF((VLOOKUP(Table11[[#This Row],[SKU]],'All Skus'!$A:$AC,2,FALSE))="Soundcraft",(VLOOKUP(Table11[[#This Row],[SKU]],'All Skus'!$A:$AC,8,FALSE)),""))</f>
        <v>VI AVIOM CARD STAGEBOX SPARES KIT</v>
      </c>
      <c r="H191" s="22" t="str">
        <f>(IF((VLOOKUP(Table11[[#This Row],[SKU]],'All Skus'!$A:$AC,2,FALSE))="Soundcraft",(VLOOKUP(Table11[[#This Row],[SKU]],'All Skus'!$A:$AC,9,FALSE)),""))</f>
        <v>ViSB Aviom</v>
      </c>
      <c r="I191" s="157">
        <f>(IF((VLOOKUP(Table11[[#This Row],[SKU]],'All Skus'!$A:$AC,2,FALSE))="Soundcraft",(VLOOKUP(Table11[[#This Row],[SKU]],'All Skus'!$A:$AC,10,FALSE)),""))</f>
        <v>1879.57</v>
      </c>
      <c r="J191" s="157">
        <f>(IF((VLOOKUP(Table11[[#This Row],[SKU]],'All Skus'!$A:$AC,2,FALSE))="Soundcraft",(VLOOKUP(Table11[[#This Row],[SKU]],'All Skus'!$A:$AC,11,FALSE)),""))</f>
        <v>1879</v>
      </c>
      <c r="K191" s="271">
        <f>(IF((VLOOKUP(Table11[[#This Row],[SKU]],'All Skus'!$A:$AC,2,FALSE))="Soundcraft",(VLOOKUP(Table11[[#This Row],[SKU]],'All Skus'!$A:$AC,16,FALSE)),""))</f>
        <v>0</v>
      </c>
      <c r="L191" s="239">
        <f>(IF((VLOOKUP(Table11[[#This Row],[SKU]],'All Skus'!$A:$AC,2,FALSE))="Soundcraft",(VLOOKUP(Table11[[#This Row],[SKU]],'All Skus'!$A:$AC,17,FALSE)),""))</f>
        <v>0</v>
      </c>
      <c r="M191" s="239">
        <f>(IF((VLOOKUP(Table11[[#This Row],[SKU]],'All Skus'!$A:$AC,2,FALSE))="Soundcraft",(VLOOKUP(Table11[[#This Row],[SKU]],'All Skus'!$A:$AC,18,FALSE)),""))</f>
        <v>1</v>
      </c>
      <c r="N191" s="147">
        <f>(IF((VLOOKUP(Table11[[#This Row],[SKU]],'All Skus'!$A:$AC,2,FALSE))="Soundcraft",(VLOOKUP(Table11[[#This Row],[SKU]],'All Skus'!$A:$AC,19,FALSE)),""))</f>
        <v>0</v>
      </c>
      <c r="O191" s="147">
        <f>(IF((VLOOKUP(Table11[[#This Row],[SKU]],'All Skus'!$A:$AC,2,FALSE))="Soundcraft",(VLOOKUP(Table11[[#This Row],[SKU]],'All Skus'!$A:$AC,20,FALSE)),""))</f>
        <v>9.5</v>
      </c>
      <c r="P191" s="240">
        <f>(IF((VLOOKUP(Table11[[#This Row],[SKU]],'All Skus'!$A:$AC,2,FALSE))="Soundcraft",(VLOOKUP(Table11[[#This Row],[SKU]],'All Skus'!$A:$AC,21,FALSE)),""))</f>
        <v>1.5</v>
      </c>
      <c r="Q191" s="61" t="str">
        <f>(IF((VLOOKUP(Table11[[#This Row],[SKU]],'All Skus'!$A:$AC,2,FALSE))="Soundcraft",(VLOOKUP(Table11[[#This Row],[SKU]],'All Skus'!$A:$AC,22,FALSE)),""))</f>
        <v>CN</v>
      </c>
      <c r="R191" s="61" t="str">
        <f>(IF((VLOOKUP(Table11[[#This Row],[SKU]],'All Skus'!$A:$AC,2,FALSE))="Soundcraft",(VLOOKUP(Table11[[#This Row],[SKU]],'All Skus'!$A:$AC,23,FALSE)),""))</f>
        <v>Compliant</v>
      </c>
      <c r="S191" s="212" t="str">
        <f>HYPERLINK((IF((VLOOKUP(Table11[[#This Row],[SKU]],'All Skus'!$A:$AC,2,FALSE))="Soundcraft",(VLOOKUP(Table11[[#This Row],[SKU]],'All Skus'!$A:$AC,24,FALSE)),"")))</f>
        <v/>
      </c>
      <c r="T191" s="151">
        <v>189</v>
      </c>
    </row>
    <row r="192" spans="1:20" ht="15" customHeight="1">
      <c r="A192" s="158" t="s">
        <v>2531</v>
      </c>
      <c r="B192" s="159" t="str">
        <f>(IF((VLOOKUP(Table11[[#This Row],[SKU]],'All Skus'!$A:$AC,2,FALSE))="Soundcraft",(VLOOKUP(Table11[[#This Row],[SKU]],'All Skus'!$A:$AC,3,FALSE)),""))</f>
        <v>Option Cards (Vi Stagebox)</v>
      </c>
      <c r="C192" s="21" t="str">
        <f>(IF((VLOOKUP(Table11[[#This Row],[SKU]],'All Skus'!$A:$AC,2,FALSE))="Soundcraft",(VLOOKUP(Table11[[#This Row],[SKU]],'All Skus'!$A:$AC,4,FALSE)),""))</f>
        <v>5037513-01.V</v>
      </c>
      <c r="D192" s="19" t="str">
        <f>(IF((VLOOKUP(Table11[[#This Row],[SKU]],'All Skus'!$A:$AC,2,FALSE))="Soundcraft",(VLOOKUP(Table11[[#This Row],[SKU]],'All Skus'!$A:$AC,5,FALSE)),""))</f>
        <v>SC-VI</v>
      </c>
      <c r="E192" s="19" t="str">
        <f>(IF((VLOOKUP(Table11[[#This Row],[SKU]],'All Skus'!$A:$AC,2,FALSE))="Soundcraft",(VLOOKUP(Table11[[#This Row],[SKU]],'All Skus'!$A:$AC,6,FALSE)),""))</f>
        <v>YES</v>
      </c>
      <c r="F192" s="18">
        <f>(IF((VLOOKUP(Table11[[#This Row],[SKU]],'All Skus'!$A:$AC,2,FALSE))="Soundcraft",(VLOOKUP(Table11[[#This Row],[SKU]],'All Skus'!$A:$AC,7,FALSE)),""))</f>
        <v>0</v>
      </c>
      <c r="G192" s="22" t="str">
        <f>(IF((VLOOKUP(Table11[[#This Row],[SKU]],'All Skus'!$A:$AC,2,FALSE))="Soundcraft",(VLOOKUP(Table11[[#This Row],[SKU]],'All Skus'!$A:$AC,8,FALSE)),""))</f>
        <v>VI BLU-LINK CARD STAGEBOX SPARES KIT</v>
      </c>
      <c r="H192" s="22" t="str">
        <f>(IF((VLOOKUP(Table11[[#This Row],[SKU]],'All Skus'!$A:$AC,2,FALSE))="Soundcraft",(VLOOKUP(Table11[[#This Row],[SKU]],'All Skus'!$A:$AC,9,FALSE)),""))</f>
        <v>ViSB Blu Link</v>
      </c>
      <c r="I192" s="157">
        <f>(IF((VLOOKUP(Table11[[#This Row],[SKU]],'All Skus'!$A:$AC,2,FALSE))="Soundcraft",(VLOOKUP(Table11[[#This Row],[SKU]],'All Skus'!$A:$AC,10,FALSE)),""))</f>
        <v>1360.39</v>
      </c>
      <c r="J192" s="157">
        <f>(IF((VLOOKUP(Table11[[#This Row],[SKU]],'All Skus'!$A:$AC,2,FALSE))="Soundcraft",(VLOOKUP(Table11[[#This Row],[SKU]],'All Skus'!$A:$AC,11,FALSE)),""))</f>
        <v>1086</v>
      </c>
      <c r="K192" s="271">
        <f>(IF((VLOOKUP(Table11[[#This Row],[SKU]],'All Skus'!$A:$AC,2,FALSE))="Soundcraft",(VLOOKUP(Table11[[#This Row],[SKU]],'All Skus'!$A:$AC,16,FALSE)),""))</f>
        <v>0</v>
      </c>
      <c r="L192" s="239">
        <f>(IF((VLOOKUP(Table11[[#This Row],[SKU]],'All Skus'!$A:$AC,2,FALSE))="Soundcraft",(VLOOKUP(Table11[[#This Row],[SKU]],'All Skus'!$A:$AC,17,FALSE)),""))</f>
        <v>0</v>
      </c>
      <c r="M192" s="239">
        <f>(IF((VLOOKUP(Table11[[#This Row],[SKU]],'All Skus'!$A:$AC,2,FALSE))="Soundcraft",(VLOOKUP(Table11[[#This Row],[SKU]],'All Skus'!$A:$AC,18,FALSE)),""))</f>
        <v>0</v>
      </c>
      <c r="N192" s="147">
        <f>(IF((VLOOKUP(Table11[[#This Row],[SKU]],'All Skus'!$A:$AC,2,FALSE))="Soundcraft",(VLOOKUP(Table11[[#This Row],[SKU]],'All Skus'!$A:$AC,19,FALSE)),""))</f>
        <v>0</v>
      </c>
      <c r="O192" s="147">
        <f>(IF((VLOOKUP(Table11[[#This Row],[SKU]],'All Skus'!$A:$AC,2,FALSE))="Soundcraft",(VLOOKUP(Table11[[#This Row],[SKU]],'All Skus'!$A:$AC,20,FALSE)),""))</f>
        <v>0</v>
      </c>
      <c r="P192" s="240">
        <f>(IF((VLOOKUP(Table11[[#This Row],[SKU]],'All Skus'!$A:$AC,2,FALSE))="Soundcraft",(VLOOKUP(Table11[[#This Row],[SKU]],'All Skus'!$A:$AC,21,FALSE)),""))</f>
        <v>0</v>
      </c>
      <c r="Q192" s="61">
        <f>(IF((VLOOKUP(Table11[[#This Row],[SKU]],'All Skus'!$A:$AC,2,FALSE))="Soundcraft",(VLOOKUP(Table11[[#This Row],[SKU]],'All Skus'!$A:$AC,22,FALSE)),""))</f>
        <v>0</v>
      </c>
      <c r="R192" s="61" t="str">
        <f>(IF((VLOOKUP(Table11[[#This Row],[SKU]],'All Skus'!$A:$AC,2,FALSE))="Soundcraft",(VLOOKUP(Table11[[#This Row],[SKU]],'All Skus'!$A:$AC,23,FALSE)),""))</f>
        <v>Compliant</v>
      </c>
      <c r="S192" s="212" t="str">
        <f>HYPERLINK((IF((VLOOKUP(Table11[[#This Row],[SKU]],'All Skus'!$A:$AC,2,FALSE))="Soundcraft",(VLOOKUP(Table11[[#This Row],[SKU]],'All Skus'!$A:$AC,24,FALSE)),"")))</f>
        <v/>
      </c>
      <c r="T192" s="151">
        <v>190</v>
      </c>
    </row>
    <row r="193" spans="1:20" ht="15" customHeight="1">
      <c r="A193" s="158" t="s">
        <v>2532</v>
      </c>
      <c r="B193" s="159" t="str">
        <f>(IF((VLOOKUP(Table11[[#This Row],[SKU]],'All Skus'!$A:$AC,2,FALSE))="Soundcraft",(VLOOKUP(Table11[[#This Row],[SKU]],'All Skus'!$A:$AC,3,FALSE)),""))</f>
        <v>Option Cards (Vi Stagebox)</v>
      </c>
      <c r="C193" s="21" t="str">
        <f>(IF((VLOOKUP(Table11[[#This Row],[SKU]],'All Skus'!$A:$AC,2,FALSE))="Soundcraft",(VLOOKUP(Table11[[#This Row],[SKU]],'All Skus'!$A:$AC,4,FALSE)),""))</f>
        <v>5036922-03.V</v>
      </c>
      <c r="D193" s="19" t="str">
        <f>(IF((VLOOKUP(Table11[[#This Row],[SKU]],'All Skus'!$A:$AC,2,FALSE))="Soundcraft",(VLOOKUP(Table11[[#This Row],[SKU]],'All Skus'!$A:$AC,5,FALSE)),""))</f>
        <v>SC-VI</v>
      </c>
      <c r="E193" s="19" t="str">
        <f>(IF((VLOOKUP(Table11[[#This Row],[SKU]],'All Skus'!$A:$AC,2,FALSE))="Soundcraft",(VLOOKUP(Table11[[#This Row],[SKU]],'All Skus'!$A:$AC,6,FALSE)),""))</f>
        <v>YES</v>
      </c>
      <c r="F193" s="18">
        <f>(IF((VLOOKUP(Table11[[#This Row],[SKU]],'All Skus'!$A:$AC,2,FALSE))="Soundcraft",(VLOOKUP(Table11[[#This Row],[SKU]],'All Skus'!$A:$AC,7,FALSE)),""))</f>
        <v>0</v>
      </c>
      <c r="G193" s="22" t="str">
        <f>(IF((VLOOKUP(Table11[[#This Row],[SKU]],'All Skus'!$A:$AC,2,FALSE))="Soundcraft",(VLOOKUP(Table11[[#This Row],[SKU]],'All Skus'!$A:$AC,8,FALSE)),""))</f>
        <v>Vi Dante Option Card Stagebox TSPR</v>
      </c>
      <c r="H193" s="22" t="str">
        <f>(IF((VLOOKUP(Table11[[#This Row],[SKU]],'All Skus'!$A:$AC,2,FALSE))="Soundcraft",(VLOOKUP(Table11[[#This Row],[SKU]],'All Skus'!$A:$AC,9,FALSE)),""))</f>
        <v>Vi Dante Option Card Stagebox TSPR</v>
      </c>
      <c r="I193" s="157">
        <f>(IF((VLOOKUP(Table11[[#This Row],[SKU]],'All Skus'!$A:$AC,2,FALSE))="Soundcraft",(VLOOKUP(Table11[[#This Row],[SKU]],'All Skus'!$A:$AC,10,FALSE)),""))</f>
        <v>1904.06</v>
      </c>
      <c r="J193" s="157">
        <f>(IF((VLOOKUP(Table11[[#This Row],[SKU]],'All Skus'!$A:$AC,2,FALSE))="Soundcraft",(VLOOKUP(Table11[[#This Row],[SKU]],'All Skus'!$A:$AC,11,FALSE)),""))</f>
        <v>1523</v>
      </c>
      <c r="K193" s="271">
        <f>(IF((VLOOKUP(Table11[[#This Row],[SKU]],'All Skus'!$A:$AC,2,FALSE))="Soundcraft",(VLOOKUP(Table11[[#This Row],[SKU]],'All Skus'!$A:$AC,16,FALSE)),""))</f>
        <v>0</v>
      </c>
      <c r="L193" s="239">
        <f>(IF((VLOOKUP(Table11[[#This Row],[SKU]],'All Skus'!$A:$AC,2,FALSE))="Soundcraft",(VLOOKUP(Table11[[#This Row],[SKU]],'All Skus'!$A:$AC,17,FALSE)),""))</f>
        <v>0</v>
      </c>
      <c r="M193" s="239">
        <f>(IF((VLOOKUP(Table11[[#This Row],[SKU]],'All Skus'!$A:$AC,2,FALSE))="Soundcraft",(VLOOKUP(Table11[[#This Row],[SKU]],'All Skus'!$A:$AC,18,FALSE)),""))</f>
        <v>0</v>
      </c>
      <c r="N193" s="147">
        <f>(IF((VLOOKUP(Table11[[#This Row],[SKU]],'All Skus'!$A:$AC,2,FALSE))="Soundcraft",(VLOOKUP(Table11[[#This Row],[SKU]],'All Skus'!$A:$AC,19,FALSE)),""))</f>
        <v>0</v>
      </c>
      <c r="O193" s="147">
        <f>(IF((VLOOKUP(Table11[[#This Row],[SKU]],'All Skus'!$A:$AC,2,FALSE))="Soundcraft",(VLOOKUP(Table11[[#This Row],[SKU]],'All Skus'!$A:$AC,20,FALSE)),""))</f>
        <v>0</v>
      </c>
      <c r="P193" s="240">
        <f>(IF((VLOOKUP(Table11[[#This Row],[SKU]],'All Skus'!$A:$AC,2,FALSE))="Soundcraft",(VLOOKUP(Table11[[#This Row],[SKU]],'All Skus'!$A:$AC,21,FALSE)),""))</f>
        <v>0</v>
      </c>
      <c r="Q193" s="61" t="str">
        <f>(IF((VLOOKUP(Table11[[#This Row],[SKU]],'All Skus'!$A:$AC,2,FALSE))="Soundcraft",(VLOOKUP(Table11[[#This Row],[SKU]],'All Skus'!$A:$AC,22,FALSE)),""))</f>
        <v>CN</v>
      </c>
      <c r="R193" s="61" t="str">
        <f>(IF((VLOOKUP(Table11[[#This Row],[SKU]],'All Skus'!$A:$AC,2,FALSE))="Soundcraft",(VLOOKUP(Table11[[#This Row],[SKU]],'All Skus'!$A:$AC,23,FALSE)),""))</f>
        <v>Compliant</v>
      </c>
      <c r="S193" s="212" t="str">
        <f>HYPERLINK((IF((VLOOKUP(Table11[[#This Row],[SKU]],'All Skus'!$A:$AC,2,FALSE))="Soundcraft",(VLOOKUP(Table11[[#This Row],[SKU]],'All Skus'!$A:$AC,24,FALSE)),"")))</f>
        <v/>
      </c>
      <c r="T193" s="151">
        <v>191</v>
      </c>
    </row>
    <row r="194" spans="1:20" ht="15" customHeight="1">
      <c r="A194" s="158" t="s">
        <v>2533</v>
      </c>
      <c r="B194" s="159" t="str">
        <f>(IF((VLOOKUP(Table11[[#This Row],[SKU]],'All Skus'!$A:$AC,2,FALSE))="Soundcraft",(VLOOKUP(Table11[[#This Row],[SKU]],'All Skus'!$A:$AC,3,FALSE)),""))</f>
        <v>Vi Series Accessories</v>
      </c>
      <c r="C194" s="21" t="str">
        <f>(IF((VLOOKUP(Table11[[#This Row],[SKU]],'All Skus'!$A:$AC,2,FALSE))="Soundcraft",(VLOOKUP(Table11[[#This Row],[SKU]],'All Skus'!$A:$AC,4,FALSE)),""))</f>
        <v>RS2413SP</v>
      </c>
      <c r="D194" s="19" t="str">
        <f>(IF((VLOOKUP(Table11[[#This Row],[SKU]],'All Skus'!$A:$AC,2,FALSE))="Soundcraft",(VLOOKUP(Table11[[#This Row],[SKU]],'All Skus'!$A:$AC,5,FALSE)),""))</f>
        <v>SC-VI</v>
      </c>
      <c r="E194" s="19" t="str">
        <f>(IF((VLOOKUP(Table11[[#This Row],[SKU]],'All Skus'!$A:$AC,2,FALSE))="Soundcraft",(VLOOKUP(Table11[[#This Row],[SKU]],'All Skus'!$A:$AC,6,FALSE)),""))</f>
        <v>YES</v>
      </c>
      <c r="F194" s="18">
        <f>(IF((VLOOKUP(Table11[[#This Row],[SKU]],'All Skus'!$A:$AC,2,FALSE))="Soundcraft",(VLOOKUP(Table11[[#This Row],[SKU]],'All Skus'!$A:$AC,7,FALSE)),""))</f>
        <v>0</v>
      </c>
      <c r="G194" s="22" t="str">
        <f>(IF((VLOOKUP(Table11[[#This Row],[SKU]],'All Skus'!$A:$AC,2,FALSE))="Soundcraft",(VLOOKUP(Table11[[#This Row],[SKU]],'All Skus'!$A:$AC,8,FALSE)),""))</f>
        <v>Vi Stagebox Spare PSU</v>
      </c>
      <c r="H194" s="22" t="str">
        <f>(IF((VLOOKUP(Table11[[#This Row],[SKU]],'All Skus'!$A:$AC,2,FALSE))="Soundcraft",(VLOOKUP(Table11[[#This Row],[SKU]],'All Skus'!$A:$AC,9,FALSE)),""))</f>
        <v>Vi Stagebox Spare PSU</v>
      </c>
      <c r="I194" s="157">
        <f>(IF((VLOOKUP(Table11[[#This Row],[SKU]],'All Skus'!$A:$AC,2,FALSE))="Soundcraft",(VLOOKUP(Table11[[#This Row],[SKU]],'All Skus'!$A:$AC,10,FALSE)),""))</f>
        <v>632.67999999999995</v>
      </c>
      <c r="J194" s="157">
        <f>(IF((VLOOKUP(Table11[[#This Row],[SKU]],'All Skus'!$A:$AC,2,FALSE))="Soundcraft",(VLOOKUP(Table11[[#This Row],[SKU]],'All Skus'!$A:$AC,11,FALSE)),""))</f>
        <v>632.67999999999995</v>
      </c>
      <c r="K194" s="271">
        <f>(IF((VLOOKUP(Table11[[#This Row],[SKU]],'All Skus'!$A:$AC,2,FALSE))="Soundcraft",(VLOOKUP(Table11[[#This Row],[SKU]],'All Skus'!$A:$AC,16,FALSE)),""))</f>
        <v>0</v>
      </c>
      <c r="L194" s="239">
        <f>(IF((VLOOKUP(Table11[[#This Row],[SKU]],'All Skus'!$A:$AC,2,FALSE))="Soundcraft",(VLOOKUP(Table11[[#This Row],[SKU]],'All Skus'!$A:$AC,17,FALSE)),""))</f>
        <v>0</v>
      </c>
      <c r="M194" s="239">
        <f>(IF((VLOOKUP(Table11[[#This Row],[SKU]],'All Skus'!$A:$AC,2,FALSE))="Soundcraft",(VLOOKUP(Table11[[#This Row],[SKU]],'All Skus'!$A:$AC,18,FALSE)),""))</f>
        <v>4</v>
      </c>
      <c r="N194" s="147">
        <f>(IF((VLOOKUP(Table11[[#This Row],[SKU]],'All Skus'!$A:$AC,2,FALSE))="Soundcraft",(VLOOKUP(Table11[[#This Row],[SKU]],'All Skus'!$A:$AC,19,FALSE)),""))</f>
        <v>14.5</v>
      </c>
      <c r="O194" s="147">
        <f>(IF((VLOOKUP(Table11[[#This Row],[SKU]],'All Skus'!$A:$AC,2,FALSE))="Soundcraft",(VLOOKUP(Table11[[#This Row],[SKU]],'All Skus'!$A:$AC,20,FALSE)),""))</f>
        <v>7.5</v>
      </c>
      <c r="P194" s="240">
        <f>(IF((VLOOKUP(Table11[[#This Row],[SKU]],'All Skus'!$A:$AC,2,FALSE))="Soundcraft",(VLOOKUP(Table11[[#This Row],[SKU]],'All Skus'!$A:$AC,21,FALSE)),""))</f>
        <v>3.5</v>
      </c>
      <c r="Q194" s="61" t="str">
        <f>(IF((VLOOKUP(Table11[[#This Row],[SKU]],'All Skus'!$A:$AC,2,FALSE))="Soundcraft",(VLOOKUP(Table11[[#This Row],[SKU]],'All Skus'!$A:$AC,22,FALSE)),""))</f>
        <v>CN</v>
      </c>
      <c r="R194" s="61" t="str">
        <f>(IF((VLOOKUP(Table11[[#This Row],[SKU]],'All Skus'!$A:$AC,2,FALSE))="Soundcraft",(VLOOKUP(Table11[[#This Row],[SKU]],'All Skus'!$A:$AC,23,FALSE)),""))</f>
        <v>Compliant</v>
      </c>
      <c r="S194" s="212" t="str">
        <f>HYPERLINK((IF((VLOOKUP(Table11[[#This Row],[SKU]],'All Skus'!$A:$AC,2,FALSE))="Soundcraft",(VLOOKUP(Table11[[#This Row],[SKU]],'All Skus'!$A:$AC,24,FALSE)),"")))</f>
        <v/>
      </c>
      <c r="T194" s="151">
        <v>192</v>
      </c>
    </row>
    <row r="195" spans="1:20" ht="15" customHeight="1">
      <c r="A195" s="158" t="s">
        <v>2534</v>
      </c>
      <c r="B195" s="159" t="str">
        <f>(IF((VLOOKUP(Table11[[#This Row],[SKU]],'All Skus'!$A:$AC,2,FALSE))="Soundcraft",(VLOOKUP(Table11[[#This Row],[SKU]],'All Skus'!$A:$AC,3,FALSE)),""))</f>
        <v>Vi Series Accessories</v>
      </c>
      <c r="C195" s="21" t="str">
        <f>(IF((VLOOKUP(Table11[[#This Row],[SKU]],'All Skus'!$A:$AC,2,FALSE))="Soundcraft",(VLOOKUP(Table11[[#This Row],[SKU]],'All Skus'!$A:$AC,4,FALSE)),""))</f>
        <v>BH10.947402</v>
      </c>
      <c r="D195" s="19" t="str">
        <f>(IF((VLOOKUP(Table11[[#This Row],[SKU]],'All Skus'!$A:$AC,2,FALSE))="Soundcraft",(VLOOKUP(Table11[[#This Row],[SKU]],'All Skus'!$A:$AC,5,FALSE)),""))</f>
        <v>SC-VI</v>
      </c>
      <c r="E195" s="19" t="str">
        <f>(IF((VLOOKUP(Table11[[#This Row],[SKU]],'All Skus'!$A:$AC,2,FALSE))="Soundcraft",(VLOOKUP(Table11[[#This Row],[SKU]],'All Skus'!$A:$AC,6,FALSE)),""))</f>
        <v>YES</v>
      </c>
      <c r="F195" s="18">
        <f>(IF((VLOOKUP(Table11[[#This Row],[SKU]],'All Skus'!$A:$AC,2,FALSE))="Soundcraft",(VLOOKUP(Table11[[#This Row],[SKU]],'All Skus'!$A:$AC,7,FALSE)),""))</f>
        <v>0</v>
      </c>
      <c r="G195" s="22" t="str">
        <f>(IF((VLOOKUP(Table11[[#This Row],[SKU]],'All Skus'!$A:$AC,2,FALSE))="Soundcraft",(VLOOKUP(Table11[[#This Row],[SKU]],'All Skus'!$A:$AC,8,FALSE)),""))</f>
        <v>12U RACK FLIGHT PACK</v>
      </c>
      <c r="H195" s="22" t="str">
        <f>(IF((VLOOKUP(Table11[[#This Row],[SKU]],'All Skus'!$A:$AC,2,FALSE))="Soundcraft",(VLOOKUP(Table11[[#This Row],[SKU]],'All Skus'!$A:$AC,9,FALSE)),""))</f>
        <v>12U 19" custom flight-case for Local Rack / Stagebox</v>
      </c>
      <c r="I195" s="157">
        <f>(IF((VLOOKUP(Table11[[#This Row],[SKU]],'All Skus'!$A:$AC,2,FALSE))="Soundcraft",(VLOOKUP(Table11[[#This Row],[SKU]],'All Skus'!$A:$AC,10,FALSE)),""))</f>
        <v>2902</v>
      </c>
      <c r="J195" s="157">
        <f>(IF((VLOOKUP(Table11[[#This Row],[SKU]],'All Skus'!$A:$AC,2,FALSE))="Soundcraft",(VLOOKUP(Table11[[#This Row],[SKU]],'All Skus'!$A:$AC,11,FALSE)),""))</f>
        <v>2902</v>
      </c>
      <c r="K195" s="271">
        <f>(IF((VLOOKUP(Table11[[#This Row],[SKU]],'All Skus'!$A:$AC,2,FALSE))="Soundcraft",(VLOOKUP(Table11[[#This Row],[SKU]],'All Skus'!$A:$AC,16,FALSE)),""))</f>
        <v>0</v>
      </c>
      <c r="L195" s="239">
        <f>(IF((VLOOKUP(Table11[[#This Row],[SKU]],'All Skus'!$A:$AC,2,FALSE))="Soundcraft",(VLOOKUP(Table11[[#This Row],[SKU]],'All Skus'!$A:$AC,17,FALSE)),""))</f>
        <v>0</v>
      </c>
      <c r="M195" s="239">
        <f>(IF((VLOOKUP(Table11[[#This Row],[SKU]],'All Skus'!$A:$AC,2,FALSE))="Soundcraft",(VLOOKUP(Table11[[#This Row],[SKU]],'All Skus'!$A:$AC,18,FALSE)),""))</f>
        <v>94</v>
      </c>
      <c r="N195" s="147">
        <f>(IF((VLOOKUP(Table11[[#This Row],[SKU]],'All Skus'!$A:$AC,2,FALSE))="Soundcraft",(VLOOKUP(Table11[[#This Row],[SKU]],'All Skus'!$A:$AC,19,FALSE)),""))</f>
        <v>32</v>
      </c>
      <c r="O195" s="147">
        <f>(IF((VLOOKUP(Table11[[#This Row],[SKU]],'All Skus'!$A:$AC,2,FALSE))="Soundcraft",(VLOOKUP(Table11[[#This Row],[SKU]],'All Skus'!$A:$AC,20,FALSE)),""))</f>
        <v>22.5</v>
      </c>
      <c r="P195" s="240">
        <f>(IF((VLOOKUP(Table11[[#This Row],[SKU]],'All Skus'!$A:$AC,2,FALSE))="Soundcraft",(VLOOKUP(Table11[[#This Row],[SKU]],'All Skus'!$A:$AC,21,FALSE)),""))</f>
        <v>25.5</v>
      </c>
      <c r="Q195" s="61" t="str">
        <f>(IF((VLOOKUP(Table11[[#This Row],[SKU]],'All Skus'!$A:$AC,2,FALSE))="Soundcraft",(VLOOKUP(Table11[[#This Row],[SKU]],'All Skus'!$A:$AC,22,FALSE)),""))</f>
        <v>CN</v>
      </c>
      <c r="R195" s="61" t="str">
        <f>(IF((VLOOKUP(Table11[[#This Row],[SKU]],'All Skus'!$A:$AC,2,FALSE))="Soundcraft",(VLOOKUP(Table11[[#This Row],[SKU]],'All Skus'!$A:$AC,23,FALSE)),""))</f>
        <v>Compliant</v>
      </c>
      <c r="S195" s="212" t="str">
        <f>HYPERLINK((IF((VLOOKUP(Table11[[#This Row],[SKU]],'All Skus'!$A:$AC,2,FALSE))="Soundcraft",(VLOOKUP(Table11[[#This Row],[SKU]],'All Skus'!$A:$AC,24,FALSE)),"")))</f>
        <v/>
      </c>
      <c r="T195" s="151">
        <v>193</v>
      </c>
    </row>
    <row r="196" spans="1:20" ht="30">
      <c r="A196" s="158">
        <v>5058848</v>
      </c>
      <c r="B196" s="159" t="str">
        <f>(IF((VLOOKUP(Table11[[#This Row],[SKU]],'All Skus'!$A:$AC,2,FALSE))="Soundcraft",(VLOOKUP(Table11[[#This Row],[SKU]],'All Skus'!$A:$AC,3,FALSE)),""))</f>
        <v>Vi Series Accessories</v>
      </c>
      <c r="C196" s="21">
        <f>(IF((VLOOKUP(Table11[[#This Row],[SKU]],'All Skus'!$A:$AC,2,FALSE))="Soundcraft",(VLOOKUP(Table11[[#This Row],[SKU]],'All Skus'!$A:$AC,4,FALSE)),""))</f>
        <v>5058848</v>
      </c>
      <c r="D196" s="19" t="str">
        <f>(IF((VLOOKUP(Table11[[#This Row],[SKU]],'All Skus'!$A:$AC,2,FALSE))="Soundcraft",(VLOOKUP(Table11[[#This Row],[SKU]],'All Skus'!$A:$AC,5,FALSE)),""))</f>
        <v>SC-VI</v>
      </c>
      <c r="E196" s="19" t="str">
        <f>(IF((VLOOKUP(Table11[[#This Row],[SKU]],'All Skus'!$A:$AC,2,FALSE))="Soundcraft",(VLOOKUP(Table11[[#This Row],[SKU]],'All Skus'!$A:$AC,6,FALSE)),""))</f>
        <v>YES</v>
      </c>
      <c r="F196" s="18">
        <f>(IF((VLOOKUP(Table11[[#This Row],[SKU]],'All Skus'!$A:$AC,2,FALSE))="Soundcraft",(VLOOKUP(Table11[[#This Row],[SKU]],'All Skus'!$A:$AC,7,FALSE)),""))</f>
        <v>0</v>
      </c>
      <c r="G196" s="22" t="str">
        <f>(IF((VLOOKUP(Table11[[#This Row],[SKU]],'All Skus'!$A:$AC,2,FALSE))="Soundcraft",(VLOOKUP(Table11[[#This Row],[SKU]],'All Skus'!$A:$AC,8,FALSE)),""))</f>
        <v>MECHASY,VIX000 BRKOUT PNL LCL OPT2SB/4CH</v>
      </c>
      <c r="H196" s="22" t="str">
        <f>(IF((VLOOKUP(Table11[[#This Row],[SKU]],'All Skus'!$A:$AC,2,FALSE))="Soundcraft",(VLOOKUP(Table11[[#This Row],[SKU]],'All Skus'!$A:$AC,9,FALSE)),""))</f>
        <v>Optical 2U Panel for 2 x SB - 1 x 4 core fibre co, 1 x 2 core fibre core</v>
      </c>
      <c r="I196" s="157">
        <f>(IF((VLOOKUP(Table11[[#This Row],[SKU]],'All Skus'!$A:$AC,2,FALSE))="Soundcraft",(VLOOKUP(Table11[[#This Row],[SKU]],'All Skus'!$A:$AC,10,FALSE)),""))</f>
        <v>6312.21</v>
      </c>
      <c r="J196" s="157">
        <f>(IF((VLOOKUP(Table11[[#This Row],[SKU]],'All Skus'!$A:$AC,2,FALSE))="Soundcraft",(VLOOKUP(Table11[[#This Row],[SKU]],'All Skus'!$A:$AC,11,FALSE)),""))</f>
        <v>6312</v>
      </c>
      <c r="K196" s="271">
        <f>(IF((VLOOKUP(Table11[[#This Row],[SKU]],'All Skus'!$A:$AC,2,FALSE))="Soundcraft",(VLOOKUP(Table11[[#This Row],[SKU]],'All Skus'!$A:$AC,16,FALSE)),""))</f>
        <v>0</v>
      </c>
      <c r="L196" s="239">
        <f>(IF((VLOOKUP(Table11[[#This Row],[SKU]],'All Skus'!$A:$AC,2,FALSE))="Soundcraft",(VLOOKUP(Table11[[#This Row],[SKU]],'All Skus'!$A:$AC,17,FALSE)),""))</f>
        <v>0</v>
      </c>
      <c r="M196" s="239">
        <f>(IF((VLOOKUP(Table11[[#This Row],[SKU]],'All Skus'!$A:$AC,2,FALSE))="Soundcraft",(VLOOKUP(Table11[[#This Row],[SKU]],'All Skus'!$A:$AC,18,FALSE)),""))</f>
        <v>0</v>
      </c>
      <c r="N196" s="147">
        <f>(IF((VLOOKUP(Table11[[#This Row],[SKU]],'All Skus'!$A:$AC,2,FALSE))="Soundcraft",(VLOOKUP(Table11[[#This Row],[SKU]],'All Skus'!$A:$AC,19,FALSE)),""))</f>
        <v>0</v>
      </c>
      <c r="O196" s="147">
        <f>(IF((VLOOKUP(Table11[[#This Row],[SKU]],'All Skus'!$A:$AC,2,FALSE))="Soundcraft",(VLOOKUP(Table11[[#This Row],[SKU]],'All Skus'!$A:$AC,20,FALSE)),""))</f>
        <v>0</v>
      </c>
      <c r="P196" s="240">
        <f>(IF((VLOOKUP(Table11[[#This Row],[SKU]],'All Skus'!$A:$AC,2,FALSE))="Soundcraft",(VLOOKUP(Table11[[#This Row],[SKU]],'All Skus'!$A:$AC,21,FALSE)),""))</f>
        <v>0</v>
      </c>
      <c r="Q196" s="61">
        <f>(IF((VLOOKUP(Table11[[#This Row],[SKU]],'All Skus'!$A:$AC,2,FALSE))="Soundcraft",(VLOOKUP(Table11[[#This Row],[SKU]],'All Skus'!$A:$AC,22,FALSE)),""))</f>
        <v>0</v>
      </c>
      <c r="R196" s="61" t="str">
        <f>(IF((VLOOKUP(Table11[[#This Row],[SKU]],'All Skus'!$A:$AC,2,FALSE))="Soundcraft",(VLOOKUP(Table11[[#This Row],[SKU]],'All Skus'!$A:$AC,23,FALSE)),""))</f>
        <v>Compliant</v>
      </c>
      <c r="S196" s="212" t="str">
        <f>HYPERLINK((IF((VLOOKUP(Table11[[#This Row],[SKU]],'All Skus'!$A:$AC,2,FALSE))="Soundcraft",(VLOOKUP(Table11[[#This Row],[SKU]],'All Skus'!$A:$AC,24,FALSE)),"")))</f>
        <v/>
      </c>
      <c r="T196" s="151">
        <v>194</v>
      </c>
    </row>
    <row r="197" spans="1:20">
      <c r="A197" s="304" t="s">
        <v>2535</v>
      </c>
      <c r="B197" s="159" t="str">
        <f>(IF((VLOOKUP(Table11[[#This Row],[SKU]],'All Skus'!$A:$AC,2,FALSE))="Soundcraft",(VLOOKUP(Table11[[#This Row],[SKU]],'All Skus'!$A:$AC,3,FALSE)),""))</f>
        <v>Vi Series Accessories</v>
      </c>
      <c r="C197" s="21" t="str">
        <f>(IF((VLOOKUP(Table11[[#This Row],[SKU]],'All Skus'!$A:$AC,2,FALSE))="Soundcraft",(VLOOKUP(Table11[[#This Row],[SKU]],'All Skus'!$A:$AC,4,FALSE)),""))</f>
        <v>RL0267-01</v>
      </c>
      <c r="D197" s="19" t="str">
        <f>(IF((VLOOKUP(Table11[[#This Row],[SKU]],'All Skus'!$A:$AC,2,FALSE))="Soundcraft",(VLOOKUP(Table11[[#This Row],[SKU]],'All Skus'!$A:$AC,5,FALSE)),""))</f>
        <v>SC-VI</v>
      </c>
      <c r="E197" s="19" t="str">
        <f>(IF((VLOOKUP(Table11[[#This Row],[SKU]],'All Skus'!$A:$AC,2,FALSE))="Soundcraft",(VLOOKUP(Table11[[#This Row],[SKU]],'All Skus'!$A:$AC,6,FALSE)),""))</f>
        <v>YES</v>
      </c>
      <c r="F197" s="18">
        <f>(IF((VLOOKUP(Table11[[#This Row],[SKU]],'All Skus'!$A:$AC,2,FALSE))="Soundcraft",(VLOOKUP(Table11[[#This Row],[SKU]],'All Skus'!$A:$AC,7,FALSE)),""))</f>
        <v>0</v>
      </c>
      <c r="G197" s="22" t="str">
        <f>(IF((VLOOKUP(Table11[[#This Row],[SKU]],'All Skus'!$A:$AC,2,FALSE))="Soundcraft",(VLOOKUP(Table11[[#This Row],[SKU]],'All Skus'!$A:$AC,8,FALSE)),""))</f>
        <v>5m Cable Vi Ctrl Surf to Local Rack</v>
      </c>
      <c r="H197" s="22" t="str">
        <f>(IF((VLOOKUP(Table11[[#This Row],[SKU]],'All Skus'!$A:$AC,2,FALSE))="Soundcraft",(VLOOKUP(Table11[[#This Row],[SKU]],'All Skus'!$A:$AC,9,FALSE)),""))</f>
        <v>5m Cable Vi Control Surf to Local Rack</v>
      </c>
      <c r="I197" s="157">
        <f>(IF((VLOOKUP(Table11[[#This Row],[SKU]],'All Skus'!$A:$AC,2,FALSE))="Soundcraft",(VLOOKUP(Table11[[#This Row],[SKU]],'All Skus'!$A:$AC,10,FALSE)),""))</f>
        <v>1431.04</v>
      </c>
      <c r="J197" s="157">
        <f>(IF((VLOOKUP(Table11[[#This Row],[SKU]],'All Skus'!$A:$AC,2,FALSE))="Soundcraft",(VLOOKUP(Table11[[#This Row],[SKU]],'All Skus'!$A:$AC,11,FALSE)),""))</f>
        <v>1431</v>
      </c>
      <c r="K197" s="271">
        <f>(IF((VLOOKUP(Table11[[#This Row],[SKU]],'All Skus'!$A:$AC,2,FALSE))="Soundcraft",(VLOOKUP(Table11[[#This Row],[SKU]],'All Skus'!$A:$AC,16,FALSE)),""))</f>
        <v>0</v>
      </c>
      <c r="L197" s="239">
        <f>(IF((VLOOKUP(Table11[[#This Row],[SKU]],'All Skus'!$A:$AC,2,FALSE))="Soundcraft",(VLOOKUP(Table11[[#This Row],[SKU]],'All Skus'!$A:$AC,17,FALSE)),""))</f>
        <v>0</v>
      </c>
      <c r="M197" s="239">
        <f>(IF((VLOOKUP(Table11[[#This Row],[SKU]],'All Skus'!$A:$AC,2,FALSE))="Soundcraft",(VLOOKUP(Table11[[#This Row],[SKU]],'All Skus'!$A:$AC,18,FALSE)),""))</f>
        <v>0</v>
      </c>
      <c r="N197" s="147">
        <f>(IF((VLOOKUP(Table11[[#This Row],[SKU]],'All Skus'!$A:$AC,2,FALSE))="Soundcraft",(VLOOKUP(Table11[[#This Row],[SKU]],'All Skus'!$A:$AC,19,FALSE)),""))</f>
        <v>0</v>
      </c>
      <c r="O197" s="147">
        <f>(IF((VLOOKUP(Table11[[#This Row],[SKU]],'All Skus'!$A:$AC,2,FALSE))="Soundcraft",(VLOOKUP(Table11[[#This Row],[SKU]],'All Skus'!$A:$AC,20,FALSE)),""))</f>
        <v>0</v>
      </c>
      <c r="P197" s="240">
        <f>(IF((VLOOKUP(Table11[[#This Row],[SKU]],'All Skus'!$A:$AC,2,FALSE))="Soundcraft",(VLOOKUP(Table11[[#This Row],[SKU]],'All Skus'!$A:$AC,21,FALSE)),""))</f>
        <v>0</v>
      </c>
      <c r="Q197" s="61" t="str">
        <f>(IF((VLOOKUP(Table11[[#This Row],[SKU]],'All Skus'!$A:$AC,2,FALSE))="Soundcraft",(VLOOKUP(Table11[[#This Row],[SKU]],'All Skus'!$A:$AC,22,FALSE)),""))</f>
        <v>GB</v>
      </c>
      <c r="R197" s="61" t="str">
        <f>(IF((VLOOKUP(Table11[[#This Row],[SKU]],'All Skus'!$A:$AC,2,FALSE))="Soundcraft",(VLOOKUP(Table11[[#This Row],[SKU]],'All Skus'!$A:$AC,23,FALSE)),""))</f>
        <v>Compliant</v>
      </c>
      <c r="S197" s="212" t="str">
        <f>HYPERLINK((IF((VLOOKUP(Table11[[#This Row],[SKU]],'All Skus'!$A:$AC,2,FALSE))="Soundcraft",(VLOOKUP(Table11[[#This Row],[SKU]],'All Skus'!$A:$AC,24,FALSE)),"")))</f>
        <v/>
      </c>
      <c r="T197" s="151">
        <v>195</v>
      </c>
    </row>
    <row r="198" spans="1:20">
      <c r="A198" s="304" t="s">
        <v>2536</v>
      </c>
      <c r="B198" s="159" t="str">
        <f>(IF((VLOOKUP(Table11[[#This Row],[SKU]],'All Skus'!$A:$AC,2,FALSE))="Soundcraft",(VLOOKUP(Table11[[#This Row],[SKU]],'All Skus'!$A:$AC,3,FALSE)),""))</f>
        <v>Vi Series Accessories</v>
      </c>
      <c r="C198" s="21" t="str">
        <f>(IF((VLOOKUP(Table11[[#This Row],[SKU]],'All Skus'!$A:$AC,2,FALSE))="Soundcraft",(VLOOKUP(Table11[[#This Row],[SKU]],'All Skus'!$A:$AC,4,FALSE)),""))</f>
        <v>RT2071</v>
      </c>
      <c r="D198" s="19" t="str">
        <f>(IF((VLOOKUP(Table11[[#This Row],[SKU]],'All Skus'!$A:$AC,2,FALSE))="Soundcraft",(VLOOKUP(Table11[[#This Row],[SKU]],'All Skus'!$A:$AC,5,FALSE)),""))</f>
        <v>SC-VI</v>
      </c>
      <c r="E198" s="19" t="str">
        <f>(IF((VLOOKUP(Table11[[#This Row],[SKU]],'All Skus'!$A:$AC,2,FALSE))="Soundcraft",(VLOOKUP(Table11[[#This Row],[SKU]],'All Skus'!$A:$AC,6,FALSE)),""))</f>
        <v>YES</v>
      </c>
      <c r="F198" s="18">
        <f>(IF((VLOOKUP(Table11[[#This Row],[SKU]],'All Skus'!$A:$AC,2,FALSE))="Soundcraft",(VLOOKUP(Table11[[#This Row],[SKU]],'All Skus'!$A:$AC,7,FALSE)),""))</f>
        <v>0</v>
      </c>
      <c r="G198" s="22" t="str">
        <f>(IF((VLOOKUP(Table11[[#This Row],[SKU]],'All Skus'!$A:$AC,2,FALSE))="Soundcraft",(VLOOKUP(Table11[[#This Row],[SKU]],'All Skus'!$A:$AC,8,FALSE)),""))</f>
        <v xml:space="preserve">EZ-tilt </v>
      </c>
      <c r="H198" s="22" t="str">
        <f>(IF((VLOOKUP(Table11[[#This Row],[SKU]],'All Skus'!$A:$AC,2,FALSE))="Soundcraft",(VLOOKUP(Table11[[#This Row],[SKU]],'All Skus'!$A:$AC,9,FALSE)),""))</f>
        <v xml:space="preserve">EZ-tilt </v>
      </c>
      <c r="I198" s="157">
        <f>(IF((VLOOKUP(Table11[[#This Row],[SKU]],'All Skus'!$A:$AC,2,FALSE))="Soundcraft",(VLOOKUP(Table11[[#This Row],[SKU]],'All Skus'!$A:$AC,10,FALSE)),""))</f>
        <v>2938.74</v>
      </c>
      <c r="J198" s="157">
        <f>(IF((VLOOKUP(Table11[[#This Row],[SKU]],'All Skus'!$A:$AC,2,FALSE))="Soundcraft",(VLOOKUP(Table11[[#This Row],[SKU]],'All Skus'!$A:$AC,11,FALSE)),""))</f>
        <v>2938</v>
      </c>
      <c r="K198" s="271">
        <f>(IF((VLOOKUP(Table11[[#This Row],[SKU]],'All Skus'!$A:$AC,2,FALSE))="Soundcraft",(VLOOKUP(Table11[[#This Row],[SKU]],'All Skus'!$A:$AC,16,FALSE)),""))</f>
        <v>0</v>
      </c>
      <c r="L198" s="239">
        <f>(IF((VLOOKUP(Table11[[#This Row],[SKU]],'All Skus'!$A:$AC,2,FALSE))="Soundcraft",(VLOOKUP(Table11[[#This Row],[SKU]],'All Skus'!$A:$AC,17,FALSE)),""))</f>
        <v>0</v>
      </c>
      <c r="M198" s="239">
        <f>(IF((VLOOKUP(Table11[[#This Row],[SKU]],'All Skus'!$A:$AC,2,FALSE))="Soundcraft",(VLOOKUP(Table11[[#This Row],[SKU]],'All Skus'!$A:$AC,18,FALSE)),""))</f>
        <v>30</v>
      </c>
      <c r="N198" s="147">
        <f>(IF((VLOOKUP(Table11[[#This Row],[SKU]],'All Skus'!$A:$AC,2,FALSE))="Soundcraft",(VLOOKUP(Table11[[#This Row],[SKU]],'All Skus'!$A:$AC,19,FALSE)),""))</f>
        <v>0</v>
      </c>
      <c r="O198" s="147">
        <f>(IF((VLOOKUP(Table11[[#This Row],[SKU]],'All Skus'!$A:$AC,2,FALSE))="Soundcraft",(VLOOKUP(Table11[[#This Row],[SKU]],'All Skus'!$A:$AC,20,FALSE)),""))</f>
        <v>34</v>
      </c>
      <c r="P198" s="240">
        <f>(IF((VLOOKUP(Table11[[#This Row],[SKU]],'All Skus'!$A:$AC,2,FALSE))="Soundcraft",(VLOOKUP(Table11[[#This Row],[SKU]],'All Skus'!$A:$AC,21,FALSE)),""))</f>
        <v>7</v>
      </c>
      <c r="Q198" s="61">
        <f>(IF((VLOOKUP(Table11[[#This Row],[SKU]],'All Skus'!$A:$AC,2,FALSE))="Soundcraft",(VLOOKUP(Table11[[#This Row],[SKU]],'All Skus'!$A:$AC,22,FALSE)),""))</f>
        <v>0</v>
      </c>
      <c r="R198" s="61" t="str">
        <f>(IF((VLOOKUP(Table11[[#This Row],[SKU]],'All Skus'!$A:$AC,2,FALSE))="Soundcraft",(VLOOKUP(Table11[[#This Row],[SKU]],'All Skus'!$A:$AC,23,FALSE)),""))</f>
        <v>Compliant</v>
      </c>
      <c r="S198" s="212" t="str">
        <f>HYPERLINK((IF((VLOOKUP(Table11[[#This Row],[SKU]],'All Skus'!$A:$AC,2,FALSE))="Soundcraft",(VLOOKUP(Table11[[#This Row],[SKU]],'All Skus'!$A:$AC,24,FALSE)),"")))</f>
        <v/>
      </c>
      <c r="T198" s="151">
        <v>196</v>
      </c>
    </row>
    <row r="199" spans="1:20">
      <c r="A199" s="304">
        <v>5080890</v>
      </c>
      <c r="B199" s="159" t="str">
        <f>(IF((VLOOKUP(Table11[[#This Row],[SKU]],'All Skus'!$A:$AC,2,FALSE))="Soundcraft",(VLOOKUP(Table11[[#This Row],[SKU]],'All Skus'!$A:$AC,3,FALSE)),""))</f>
        <v>Real Time Rack</v>
      </c>
      <c r="C199" s="21">
        <f>(IF((VLOOKUP(Table11[[#This Row],[SKU]],'All Skus'!$A:$AC,2,FALSE))="Soundcraft",(VLOOKUP(Table11[[#This Row],[SKU]],'All Skus'!$A:$AC,4,FALSE)),""))</f>
        <v>5080890</v>
      </c>
      <c r="D199" s="19">
        <f>(IF((VLOOKUP(Table11[[#This Row],[SKU]],'All Skus'!$A:$AC,2,FALSE))="Soundcraft",(VLOOKUP(Table11[[#This Row],[SKU]],'All Skus'!$A:$AC,5,FALSE)),""))</f>
        <v>0</v>
      </c>
      <c r="E199" s="19">
        <f>(IF((VLOOKUP(Table11[[#This Row],[SKU]],'All Skus'!$A:$AC,2,FALSE))="Soundcraft",(VLOOKUP(Table11[[#This Row],[SKU]],'All Skus'!$A:$AC,6,FALSE)),""))</f>
        <v>0</v>
      </c>
      <c r="F199" s="18" t="str">
        <f>(IF((VLOOKUP(Table11[[#This Row],[SKU]],'All Skus'!$A:$AC,2,FALSE))="Soundcraft",(VLOOKUP(Table11[[#This Row],[SKU]],'All Skus'!$A:$AC,7,FALSE)),""))</f>
        <v>Limited Quantity</v>
      </c>
      <c r="G199" s="22" t="str">
        <f>(IF((VLOOKUP(Table11[[#This Row],[SKU]],'All Skus'!$A:$AC,2,FALSE))="Soundcraft",(VLOOKUP(Table11[[#This Row],[SKU]],'All Skus'!$A:$AC,8,FALSE)),""))</f>
        <v>Realtime Rack Core Plus</v>
      </c>
      <c r="H199" s="22" t="str">
        <f>(IF((VLOOKUP(Table11[[#This Row],[SKU]],'All Skus'!$A:$AC,2,FALSE))="Soundcraft",(VLOOKUP(Table11[[#This Row],[SKU]],'All Skus'!$A:$AC,9,FALSE)),""))</f>
        <v>Realtime Rack Core Plus</v>
      </c>
      <c r="I199" s="157">
        <f>(IF((VLOOKUP(Table11[[#This Row],[SKU]],'All Skus'!$A:$AC,2,FALSE))="Soundcraft",(VLOOKUP(Table11[[#This Row],[SKU]],'All Skus'!$A:$AC,10,FALSE)),""))</f>
        <v>7410.41</v>
      </c>
      <c r="J199" s="157">
        <f>(IF((VLOOKUP(Table11[[#This Row],[SKU]],'All Skus'!$A:$AC,2,FALSE))="Soundcraft",(VLOOKUP(Table11[[#This Row],[SKU]],'All Skus'!$A:$AC,11,FALSE)),""))</f>
        <v>7410</v>
      </c>
      <c r="K199" s="271">
        <f>(IF((VLOOKUP(Table11[[#This Row],[SKU]],'All Skus'!$A:$AC,2,FALSE))="Soundcraft",(VLOOKUP(Table11[[#This Row],[SKU]],'All Skus'!$A:$AC,16,FALSE)),""))</f>
        <v>688705002828</v>
      </c>
      <c r="L199" s="239">
        <f>(IF((VLOOKUP(Table11[[#This Row],[SKU]],'All Skus'!$A:$AC,2,FALSE))="Soundcraft",(VLOOKUP(Table11[[#This Row],[SKU]],'All Skus'!$A:$AC,17,FALSE)),""))</f>
        <v>0</v>
      </c>
      <c r="M199" s="239">
        <f>(IF((VLOOKUP(Table11[[#This Row],[SKU]],'All Skus'!$A:$AC,2,FALSE))="Soundcraft",(VLOOKUP(Table11[[#This Row],[SKU]],'All Skus'!$A:$AC,18,FALSE)),""))</f>
        <v>0</v>
      </c>
      <c r="N199" s="147">
        <f>(IF((VLOOKUP(Table11[[#This Row],[SKU]],'All Skus'!$A:$AC,2,FALSE))="Soundcraft",(VLOOKUP(Table11[[#This Row],[SKU]],'All Skus'!$A:$AC,19,FALSE)),""))</f>
        <v>0</v>
      </c>
      <c r="O199" s="147">
        <f>(IF((VLOOKUP(Table11[[#This Row],[SKU]],'All Skus'!$A:$AC,2,FALSE))="Soundcraft",(VLOOKUP(Table11[[#This Row],[SKU]],'All Skus'!$A:$AC,20,FALSE)),""))</f>
        <v>0</v>
      </c>
      <c r="P199" s="240">
        <f>(IF((VLOOKUP(Table11[[#This Row],[SKU]],'All Skus'!$A:$AC,2,FALSE))="Soundcraft",(VLOOKUP(Table11[[#This Row],[SKU]],'All Skus'!$A:$AC,21,FALSE)),""))</f>
        <v>0</v>
      </c>
      <c r="Q199" s="61" t="str">
        <f>(IF((VLOOKUP(Table11[[#This Row],[SKU]],'All Skus'!$A:$AC,2,FALSE))="Soundcraft",(VLOOKUP(Table11[[#This Row],[SKU]],'All Skus'!$A:$AC,22,FALSE)),""))</f>
        <v>CN</v>
      </c>
      <c r="R199" s="61" t="str">
        <f>(IF((VLOOKUP(Table11[[#This Row],[SKU]],'All Skus'!$A:$AC,2,FALSE))="Soundcraft",(VLOOKUP(Table11[[#This Row],[SKU]],'All Skus'!$A:$AC,23,FALSE)),""))</f>
        <v>Compliant</v>
      </c>
      <c r="S199" s="212" t="str">
        <f>HYPERLINK((IF((VLOOKUP(Table11[[#This Row],[SKU]],'All Skus'!$A:$AC,2,FALSE))="Soundcraft",(VLOOKUP(Table11[[#This Row],[SKU]],'All Skus'!$A:$AC,24,FALSE)),"")))</f>
        <v/>
      </c>
      <c r="T199" s="151">
        <v>197</v>
      </c>
    </row>
    <row r="200" spans="1:20">
      <c r="I200" s="58"/>
      <c r="J200" s="58"/>
    </row>
    <row r="201" spans="1:20">
      <c r="I201" s="58"/>
      <c r="J201" s="58"/>
    </row>
    <row r="202" spans="1:20">
      <c r="I202" s="58"/>
      <c r="J202" s="58"/>
    </row>
    <row r="203" spans="1:20">
      <c r="I203" s="58"/>
      <c r="J203" s="58"/>
    </row>
    <row r="204" spans="1:20">
      <c r="I204" s="58"/>
      <c r="J204" s="58"/>
    </row>
    <row r="205" spans="1:20">
      <c r="I205" s="58"/>
      <c r="J205" s="58"/>
    </row>
    <row r="206" spans="1:20">
      <c r="I206" s="58"/>
      <c r="J206" s="58"/>
    </row>
    <row r="207" spans="1:20">
      <c r="I207" s="58"/>
      <c r="J207" s="58"/>
    </row>
    <row r="208" spans="1:20">
      <c r="I208" s="58"/>
      <c r="J208" s="58"/>
    </row>
    <row r="209" spans="9:10">
      <c r="I209" s="58"/>
      <c r="J209" s="58"/>
    </row>
    <row r="210" spans="9:10">
      <c r="I210" s="58"/>
      <c r="J210" s="58"/>
    </row>
    <row r="211" spans="9:10">
      <c r="I211" s="58"/>
      <c r="J211" s="58"/>
    </row>
    <row r="212" spans="9:10">
      <c r="I212" s="58"/>
      <c r="J212" s="58"/>
    </row>
    <row r="213" spans="9:10">
      <c r="I213" s="58"/>
      <c r="J213" s="58"/>
    </row>
    <row r="214" spans="9:10">
      <c r="I214" s="58"/>
      <c r="J214" s="58"/>
    </row>
    <row r="215" spans="9:10">
      <c r="I215" s="58"/>
      <c r="J215" s="58"/>
    </row>
    <row r="216" spans="9:10">
      <c r="I216" s="58"/>
      <c r="J216" s="58"/>
    </row>
    <row r="217" spans="9:10">
      <c r="I217" s="58"/>
      <c r="J217" s="58"/>
    </row>
    <row r="218" spans="9:10">
      <c r="I218" s="58"/>
      <c r="J218" s="58"/>
    </row>
    <row r="219" spans="9:10">
      <c r="I219" s="58"/>
      <c r="J219" s="58"/>
    </row>
    <row r="220" spans="9:10">
      <c r="I220" s="58"/>
      <c r="J220" s="58"/>
    </row>
    <row r="221" spans="9:10">
      <c r="I221" s="58"/>
      <c r="J221" s="58"/>
    </row>
    <row r="222" spans="9:10">
      <c r="I222" s="58"/>
      <c r="J222" s="58"/>
    </row>
    <row r="223" spans="9:10">
      <c r="I223" s="58"/>
      <c r="J223" s="58"/>
    </row>
    <row r="224" spans="9:10">
      <c r="I224" s="58"/>
      <c r="J224" s="58"/>
    </row>
    <row r="225" spans="9:10">
      <c r="I225" s="58"/>
      <c r="J225" s="58"/>
    </row>
    <row r="226" spans="9:10">
      <c r="I226" s="58"/>
      <c r="J226" s="58"/>
    </row>
    <row r="227" spans="9:10">
      <c r="I227" s="58"/>
      <c r="J227" s="58"/>
    </row>
    <row r="228" spans="9:10">
      <c r="I228" s="58"/>
      <c r="J228" s="58"/>
    </row>
    <row r="229" spans="9:10">
      <c r="I229" s="58"/>
      <c r="J229" s="58"/>
    </row>
    <row r="230" spans="9:10">
      <c r="I230" s="58"/>
      <c r="J230" s="58"/>
    </row>
    <row r="231" spans="9:10">
      <c r="I231" s="58"/>
      <c r="J231" s="58"/>
    </row>
    <row r="232" spans="9:10">
      <c r="I232" s="58"/>
      <c r="J232" s="58"/>
    </row>
    <row r="233" spans="9:10">
      <c r="I233" s="58"/>
      <c r="J233" s="58"/>
    </row>
    <row r="234" spans="9:10">
      <c r="I234" s="58"/>
      <c r="J234" s="58"/>
    </row>
    <row r="235" spans="9:10">
      <c r="I235" s="58"/>
      <c r="J235" s="58"/>
    </row>
    <row r="236" spans="9:10">
      <c r="I236" s="58"/>
      <c r="J236" s="58"/>
    </row>
    <row r="237" spans="9:10">
      <c r="I237" s="58"/>
      <c r="J237" s="58"/>
    </row>
    <row r="238" spans="9:10">
      <c r="I238" s="58"/>
      <c r="J238" s="58"/>
    </row>
    <row r="239" spans="9:10">
      <c r="I239" s="58"/>
      <c r="J239" s="58"/>
    </row>
    <row r="240" spans="9:10">
      <c r="I240" s="58"/>
      <c r="J240" s="58"/>
    </row>
    <row r="241" spans="9:10">
      <c r="I241" s="58"/>
      <c r="J241" s="58"/>
    </row>
    <row r="242" spans="9:10">
      <c r="I242" s="58"/>
      <c r="J242" s="58"/>
    </row>
    <row r="243" spans="9:10">
      <c r="I243" s="58"/>
      <c r="J243" s="58"/>
    </row>
    <row r="244" spans="9:10">
      <c r="I244" s="58"/>
      <c r="J244" s="58"/>
    </row>
    <row r="245" spans="9:10">
      <c r="I245" s="58"/>
      <c r="J245" s="58"/>
    </row>
    <row r="246" spans="9:10">
      <c r="I246" s="58"/>
      <c r="J246" s="58"/>
    </row>
    <row r="247" spans="9:10">
      <c r="I247" s="58"/>
      <c r="J247" s="58"/>
    </row>
    <row r="248" spans="9:10">
      <c r="I248" s="58"/>
      <c r="J248" s="58"/>
    </row>
    <row r="249" spans="9:10">
      <c r="I249" s="58"/>
      <c r="J249" s="58"/>
    </row>
    <row r="250" spans="9:10">
      <c r="I250" s="58"/>
      <c r="J250" s="58"/>
    </row>
    <row r="251" spans="9:10">
      <c r="I251" s="58"/>
      <c r="J251" s="58"/>
    </row>
    <row r="252" spans="9:10">
      <c r="I252" s="58"/>
      <c r="J252" s="58"/>
    </row>
    <row r="253" spans="9:10">
      <c r="I253" s="58"/>
      <c r="J253" s="58"/>
    </row>
    <row r="254" spans="9:10">
      <c r="I254" s="58"/>
      <c r="J254" s="58"/>
    </row>
    <row r="255" spans="9:10">
      <c r="I255" s="58"/>
      <c r="J255" s="58"/>
    </row>
    <row r="256" spans="9:10">
      <c r="I256" s="58"/>
      <c r="J256" s="58"/>
    </row>
    <row r="257" spans="9:10">
      <c r="I257" s="58"/>
      <c r="J257" s="58"/>
    </row>
    <row r="258" spans="9:10">
      <c r="I258" s="58"/>
      <c r="J258" s="58"/>
    </row>
    <row r="259" spans="9:10">
      <c r="I259" s="58"/>
      <c r="J259" s="58"/>
    </row>
    <row r="260" spans="9:10">
      <c r="I260" s="58"/>
      <c r="J260" s="58"/>
    </row>
    <row r="261" spans="9:10">
      <c r="I261" s="58"/>
      <c r="J261" s="58"/>
    </row>
    <row r="262" spans="9:10">
      <c r="I262" s="58"/>
      <c r="J262" s="58"/>
    </row>
    <row r="263" spans="9:10">
      <c r="I263" s="58"/>
      <c r="J263" s="58"/>
    </row>
    <row r="264" spans="9:10">
      <c r="I264" s="58"/>
      <c r="J264" s="58"/>
    </row>
    <row r="265" spans="9:10">
      <c r="I265" s="58"/>
      <c r="J265" s="58"/>
    </row>
    <row r="266" spans="9:10">
      <c r="I266" s="58"/>
      <c r="J266" s="58"/>
    </row>
    <row r="267" spans="9:10">
      <c r="I267" s="58"/>
      <c r="J267" s="58"/>
    </row>
    <row r="268" spans="9:10">
      <c r="I268" s="58"/>
      <c r="J268" s="58"/>
    </row>
    <row r="269" spans="9:10">
      <c r="I269" s="58"/>
      <c r="J269" s="58"/>
    </row>
    <row r="270" spans="9:10">
      <c r="I270" s="58"/>
      <c r="J270" s="58"/>
    </row>
    <row r="271" spans="9:10">
      <c r="I271" s="58"/>
      <c r="J271" s="58"/>
    </row>
    <row r="272" spans="9:10">
      <c r="I272" s="58"/>
      <c r="J272" s="58"/>
    </row>
    <row r="273" spans="9:10">
      <c r="I273" s="58"/>
      <c r="J273" s="58"/>
    </row>
    <row r="274" spans="9:10">
      <c r="I274" s="58"/>
      <c r="J274" s="58"/>
    </row>
    <row r="275" spans="9:10">
      <c r="I275" s="58"/>
      <c r="J275" s="58"/>
    </row>
    <row r="276" spans="9:10">
      <c r="I276" s="58"/>
      <c r="J276" s="58"/>
    </row>
    <row r="277" spans="9:10">
      <c r="I277" s="58"/>
      <c r="J277" s="58"/>
    </row>
    <row r="278" spans="9:10">
      <c r="I278" s="58"/>
      <c r="J278" s="58"/>
    </row>
    <row r="279" spans="9:10">
      <c r="I279" s="58"/>
      <c r="J279" s="58"/>
    </row>
    <row r="280" spans="9:10">
      <c r="I280" s="58"/>
      <c r="J280" s="58"/>
    </row>
    <row r="281" spans="9:10">
      <c r="I281" s="58"/>
      <c r="J281" s="58"/>
    </row>
    <row r="282" spans="9:10">
      <c r="I282" s="58"/>
      <c r="J282" s="58"/>
    </row>
    <row r="283" spans="9:10">
      <c r="I283" s="58"/>
      <c r="J283" s="58"/>
    </row>
    <row r="284" spans="9:10">
      <c r="I284" s="58"/>
      <c r="J284" s="58"/>
    </row>
    <row r="285" spans="9:10">
      <c r="I285" s="58"/>
      <c r="J285" s="58"/>
    </row>
    <row r="286" spans="9:10">
      <c r="I286" s="58"/>
      <c r="J286" s="58"/>
    </row>
    <row r="287" spans="9:10">
      <c r="I287" s="58"/>
      <c r="J287" s="58"/>
    </row>
    <row r="288" spans="9:10">
      <c r="I288" s="58"/>
      <c r="J288" s="58"/>
    </row>
    <row r="289" spans="9:10">
      <c r="I289" s="58"/>
      <c r="J289" s="58"/>
    </row>
    <row r="290" spans="9:10">
      <c r="I290" s="58"/>
      <c r="J290" s="58"/>
    </row>
    <row r="291" spans="9:10">
      <c r="I291" s="58"/>
      <c r="J291" s="58"/>
    </row>
    <row r="292" spans="9:10">
      <c r="I292" s="58"/>
      <c r="J292" s="58"/>
    </row>
    <row r="293" spans="9:10">
      <c r="I293" s="58"/>
      <c r="J293" s="58"/>
    </row>
    <row r="294" spans="9:10">
      <c r="I294" s="58"/>
      <c r="J294" s="58"/>
    </row>
    <row r="295" spans="9:10">
      <c r="I295" s="58"/>
      <c r="J295" s="58"/>
    </row>
    <row r="296" spans="9:10">
      <c r="I296" s="58"/>
      <c r="J296" s="58"/>
    </row>
    <row r="297" spans="9:10">
      <c r="I297" s="58"/>
      <c r="J297" s="58"/>
    </row>
    <row r="298" spans="9:10">
      <c r="I298" s="58"/>
      <c r="J298" s="58"/>
    </row>
    <row r="299" spans="9:10">
      <c r="I299" s="58"/>
      <c r="J299" s="58"/>
    </row>
    <row r="300" spans="9:10">
      <c r="I300" s="58"/>
      <c r="J300" s="58"/>
    </row>
    <row r="301" spans="9:10">
      <c r="I301" s="58"/>
      <c r="J301" s="58"/>
    </row>
    <row r="302" spans="9:10">
      <c r="I302" s="58"/>
      <c r="J302" s="58"/>
    </row>
    <row r="303" spans="9:10">
      <c r="I303" s="58"/>
      <c r="J303" s="58"/>
    </row>
    <row r="304" spans="9:10">
      <c r="I304" s="58"/>
      <c r="J304" s="58"/>
    </row>
    <row r="305" spans="9:10">
      <c r="I305" s="58"/>
      <c r="J305" s="58"/>
    </row>
    <row r="306" spans="9:10">
      <c r="I306" s="58"/>
      <c r="J306" s="58"/>
    </row>
    <row r="307" spans="9:10">
      <c r="I307" s="58"/>
      <c r="J307" s="58"/>
    </row>
    <row r="308" spans="9:10">
      <c r="I308" s="58"/>
      <c r="J308" s="58"/>
    </row>
    <row r="309" spans="9:10">
      <c r="I309" s="58"/>
      <c r="J309" s="58"/>
    </row>
    <row r="310" spans="9:10">
      <c r="I310" s="58"/>
      <c r="J310" s="58"/>
    </row>
    <row r="311" spans="9:10">
      <c r="I311" s="58"/>
      <c r="J311" s="58"/>
    </row>
    <row r="312" spans="9:10">
      <c r="I312" s="58"/>
      <c r="J312" s="58"/>
    </row>
    <row r="313" spans="9:10">
      <c r="I313" s="58"/>
      <c r="J313" s="58"/>
    </row>
    <row r="314" spans="9:10">
      <c r="I314" s="58"/>
      <c r="J314" s="58"/>
    </row>
    <row r="315" spans="9:10">
      <c r="I315" s="58"/>
      <c r="J315" s="58"/>
    </row>
    <row r="316" spans="9:10">
      <c r="I316" s="58"/>
      <c r="J316" s="58"/>
    </row>
    <row r="317" spans="9:10">
      <c r="I317" s="58"/>
      <c r="J317" s="58"/>
    </row>
    <row r="318" spans="9:10">
      <c r="I318" s="58"/>
      <c r="J318" s="58"/>
    </row>
    <row r="319" spans="9:10">
      <c r="I319" s="58"/>
      <c r="J319" s="58"/>
    </row>
    <row r="320" spans="9:10">
      <c r="I320" s="58"/>
      <c r="J320" s="58"/>
    </row>
    <row r="321" spans="9:10">
      <c r="I321" s="58"/>
      <c r="J321" s="58"/>
    </row>
    <row r="322" spans="9:10">
      <c r="I322" s="58"/>
      <c r="J322" s="58"/>
    </row>
    <row r="323" spans="9:10">
      <c r="I323" s="58"/>
      <c r="J323" s="58"/>
    </row>
    <row r="324" spans="9:10">
      <c r="I324" s="58"/>
      <c r="J324" s="58"/>
    </row>
    <row r="325" spans="9:10">
      <c r="I325" s="58"/>
      <c r="J325" s="58"/>
    </row>
    <row r="326" spans="9:10">
      <c r="I326" s="58"/>
      <c r="J326" s="58"/>
    </row>
    <row r="327" spans="9:10">
      <c r="I327" s="58"/>
      <c r="J327" s="58"/>
    </row>
    <row r="328" spans="9:10">
      <c r="I328" s="58"/>
      <c r="J328" s="58"/>
    </row>
    <row r="329" spans="9:10">
      <c r="I329" s="58"/>
      <c r="J329" s="58"/>
    </row>
    <row r="330" spans="9:10">
      <c r="I330" s="58"/>
      <c r="J330" s="58"/>
    </row>
    <row r="331" spans="9:10">
      <c r="I331" s="58"/>
      <c r="J331" s="58"/>
    </row>
    <row r="332" spans="9:10">
      <c r="I332" s="58"/>
      <c r="J332" s="58"/>
    </row>
    <row r="333" spans="9:10">
      <c r="I333" s="58"/>
      <c r="J333" s="58"/>
    </row>
    <row r="334" spans="9:10">
      <c r="I334" s="58"/>
      <c r="J334" s="58"/>
    </row>
    <row r="335" spans="9:10">
      <c r="I335" s="58"/>
      <c r="J335" s="58"/>
    </row>
    <row r="336" spans="9:10">
      <c r="I336" s="58"/>
      <c r="J336" s="58"/>
    </row>
    <row r="337" spans="9:10">
      <c r="I337" s="58"/>
      <c r="J337" s="58"/>
    </row>
    <row r="338" spans="9:10">
      <c r="I338" s="58"/>
      <c r="J338" s="58"/>
    </row>
    <row r="339" spans="9:10">
      <c r="I339" s="58"/>
      <c r="J339" s="58"/>
    </row>
    <row r="340" spans="9:10">
      <c r="I340" s="58"/>
      <c r="J340" s="58"/>
    </row>
    <row r="341" spans="9:10">
      <c r="I341" s="58"/>
      <c r="J341" s="58"/>
    </row>
    <row r="342" spans="9:10">
      <c r="I342" s="58"/>
      <c r="J342" s="58"/>
    </row>
    <row r="343" spans="9:10">
      <c r="I343" s="58"/>
      <c r="J343" s="58"/>
    </row>
    <row r="344" spans="9:10">
      <c r="I344" s="58"/>
      <c r="J344" s="58"/>
    </row>
    <row r="345" spans="9:10">
      <c r="I345" s="58"/>
      <c r="J345" s="58"/>
    </row>
    <row r="346" spans="9:10">
      <c r="I346" s="58"/>
      <c r="J346" s="58"/>
    </row>
    <row r="347" spans="9:10">
      <c r="I347" s="58"/>
      <c r="J347" s="58"/>
    </row>
    <row r="348" spans="9:10">
      <c r="I348" s="58"/>
      <c r="J348" s="58"/>
    </row>
    <row r="349" spans="9:10">
      <c r="I349" s="58"/>
      <c r="J349" s="58"/>
    </row>
    <row r="350" spans="9:10">
      <c r="I350" s="58"/>
      <c r="J350" s="58"/>
    </row>
    <row r="351" spans="9:10">
      <c r="I351" s="58"/>
      <c r="J351" s="58"/>
    </row>
    <row r="352" spans="9:10">
      <c r="I352" s="58"/>
      <c r="J352" s="58"/>
    </row>
    <row r="353" spans="9:10">
      <c r="I353" s="58"/>
      <c r="J353" s="58"/>
    </row>
    <row r="354" spans="9:10">
      <c r="I354" s="58"/>
      <c r="J354" s="58"/>
    </row>
    <row r="355" spans="9:10">
      <c r="I355" s="58"/>
      <c r="J355" s="58"/>
    </row>
    <row r="356" spans="9:10">
      <c r="I356" s="58"/>
      <c r="J356" s="58"/>
    </row>
    <row r="357" spans="9:10">
      <c r="I357" s="58"/>
      <c r="J357" s="58"/>
    </row>
    <row r="358" spans="9:10">
      <c r="I358" s="58"/>
      <c r="J358" s="58"/>
    </row>
    <row r="359" spans="9:10">
      <c r="I359" s="58"/>
      <c r="J359" s="58"/>
    </row>
    <row r="360" spans="9:10">
      <c r="I360" s="58"/>
      <c r="J360" s="58"/>
    </row>
    <row r="361" spans="9:10">
      <c r="I361" s="58"/>
      <c r="J361" s="58"/>
    </row>
    <row r="362" spans="9:10">
      <c r="I362" s="58"/>
      <c r="J362" s="58"/>
    </row>
    <row r="363" spans="9:10">
      <c r="I363" s="58"/>
      <c r="J363" s="58"/>
    </row>
    <row r="364" spans="9:10">
      <c r="I364" s="58"/>
      <c r="J364" s="58"/>
    </row>
    <row r="365" spans="9:10">
      <c r="I365" s="58"/>
      <c r="J365" s="58"/>
    </row>
    <row r="366" spans="9:10">
      <c r="I366" s="58"/>
      <c r="J366" s="58"/>
    </row>
    <row r="367" spans="9:10">
      <c r="I367" s="58"/>
      <c r="J367" s="58"/>
    </row>
    <row r="368" spans="9:10">
      <c r="I368" s="58"/>
      <c r="J368" s="58"/>
    </row>
    <row r="369" spans="9:10">
      <c r="I369" s="58"/>
      <c r="J369" s="58"/>
    </row>
    <row r="370" spans="9:10">
      <c r="I370" s="58"/>
      <c r="J370" s="58"/>
    </row>
    <row r="371" spans="9:10">
      <c r="I371" s="58"/>
      <c r="J371" s="58"/>
    </row>
    <row r="372" spans="9:10">
      <c r="I372" s="58"/>
      <c r="J372" s="58"/>
    </row>
    <row r="373" spans="9:10">
      <c r="I373" s="58"/>
      <c r="J373" s="58"/>
    </row>
    <row r="374" spans="9:10">
      <c r="I374" s="58"/>
      <c r="J374" s="58"/>
    </row>
    <row r="375" spans="9:10">
      <c r="I375" s="58"/>
      <c r="J375" s="58"/>
    </row>
    <row r="376" spans="9:10">
      <c r="I376" s="58"/>
      <c r="J376" s="58"/>
    </row>
    <row r="377" spans="9:10">
      <c r="I377" s="58"/>
      <c r="J377" s="58"/>
    </row>
    <row r="378" spans="9:10">
      <c r="I378" s="58"/>
      <c r="J378" s="58"/>
    </row>
    <row r="379" spans="9:10">
      <c r="I379" s="58"/>
      <c r="J379" s="58"/>
    </row>
    <row r="380" spans="9:10">
      <c r="I380" s="58"/>
      <c r="J380" s="58"/>
    </row>
    <row r="381" spans="9:10">
      <c r="I381" s="58"/>
      <c r="J381" s="58"/>
    </row>
    <row r="382" spans="9:10">
      <c r="I382" s="58"/>
      <c r="J382" s="58"/>
    </row>
    <row r="383" spans="9:10">
      <c r="I383" s="58"/>
      <c r="J383" s="58"/>
    </row>
    <row r="384" spans="9:10">
      <c r="I384" s="58"/>
      <c r="J384" s="58"/>
    </row>
    <row r="385" spans="9:10">
      <c r="I385" s="58"/>
      <c r="J385" s="58"/>
    </row>
    <row r="386" spans="9:10">
      <c r="I386" s="58"/>
      <c r="J386" s="58"/>
    </row>
    <row r="387" spans="9:10">
      <c r="I387" s="58"/>
      <c r="J387" s="58"/>
    </row>
    <row r="388" spans="9:10">
      <c r="I388" s="58"/>
      <c r="J388" s="58"/>
    </row>
    <row r="389" spans="9:10">
      <c r="I389" s="58"/>
      <c r="J389" s="58"/>
    </row>
    <row r="390" spans="9:10">
      <c r="I390" s="58"/>
      <c r="J390" s="58"/>
    </row>
    <row r="391" spans="9:10">
      <c r="I391" s="58"/>
      <c r="J391" s="58"/>
    </row>
    <row r="392" spans="9:10">
      <c r="I392" s="58"/>
      <c r="J392" s="58"/>
    </row>
    <row r="393" spans="9:10">
      <c r="I393" s="58"/>
      <c r="J393" s="58"/>
    </row>
    <row r="394" spans="9:10">
      <c r="I394" s="58"/>
      <c r="J394" s="58"/>
    </row>
    <row r="395" spans="9:10">
      <c r="I395" s="58"/>
      <c r="J395" s="58"/>
    </row>
    <row r="396" spans="9:10">
      <c r="I396" s="58"/>
      <c r="J396" s="58"/>
    </row>
    <row r="397" spans="9:10">
      <c r="I397" s="58"/>
      <c r="J397" s="58"/>
    </row>
    <row r="398" spans="9:10">
      <c r="I398" s="58"/>
      <c r="J398" s="58"/>
    </row>
    <row r="399" spans="9:10">
      <c r="I399" s="58"/>
      <c r="J399" s="58"/>
    </row>
    <row r="400" spans="9:10">
      <c r="I400" s="58"/>
      <c r="J400" s="58"/>
    </row>
    <row r="401" spans="9:10">
      <c r="I401" s="58"/>
      <c r="J401" s="58"/>
    </row>
    <row r="402" spans="9:10">
      <c r="I402" s="58"/>
      <c r="J402" s="58"/>
    </row>
    <row r="403" spans="9:10">
      <c r="I403" s="58"/>
      <c r="J403" s="58"/>
    </row>
    <row r="404" spans="9:10">
      <c r="I404" s="58"/>
      <c r="J404" s="58"/>
    </row>
    <row r="405" spans="9:10">
      <c r="I405" s="58"/>
      <c r="J405" s="58"/>
    </row>
    <row r="406" spans="9:10">
      <c r="I406" s="58"/>
      <c r="J406" s="58"/>
    </row>
    <row r="407" spans="9:10">
      <c r="I407" s="58"/>
      <c r="J407" s="58"/>
    </row>
    <row r="408" spans="9:10">
      <c r="I408" s="58"/>
      <c r="J408" s="58"/>
    </row>
    <row r="409" spans="9:10">
      <c r="I409" s="58"/>
      <c r="J409" s="58"/>
    </row>
    <row r="410" spans="9:10">
      <c r="I410" s="58"/>
      <c r="J410" s="58"/>
    </row>
    <row r="411" spans="9:10">
      <c r="I411" s="58"/>
      <c r="J411" s="58"/>
    </row>
    <row r="412" spans="9:10">
      <c r="I412" s="58"/>
      <c r="J412" s="58"/>
    </row>
    <row r="413" spans="9:10">
      <c r="I413" s="58"/>
      <c r="J413" s="58"/>
    </row>
    <row r="414" spans="9:10">
      <c r="I414" s="58"/>
      <c r="J414" s="58"/>
    </row>
    <row r="415" spans="9:10">
      <c r="I415" s="58"/>
      <c r="J415" s="58"/>
    </row>
    <row r="416" spans="9:10">
      <c r="I416" s="58"/>
      <c r="J416" s="58"/>
    </row>
    <row r="417" spans="9:10">
      <c r="I417" s="58"/>
      <c r="J417" s="58"/>
    </row>
    <row r="418" spans="9:10">
      <c r="I418" s="58"/>
      <c r="J418" s="58"/>
    </row>
    <row r="419" spans="9:10">
      <c r="I419" s="58"/>
      <c r="J419" s="58"/>
    </row>
    <row r="420" spans="9:10">
      <c r="I420" s="58"/>
      <c r="J420" s="58"/>
    </row>
    <row r="421" spans="9:10">
      <c r="I421" s="58"/>
      <c r="J421" s="58"/>
    </row>
    <row r="422" spans="9:10">
      <c r="I422" s="58"/>
      <c r="J422" s="58"/>
    </row>
    <row r="423" spans="9:10">
      <c r="I423" s="58"/>
      <c r="J423" s="58"/>
    </row>
    <row r="424" spans="9:10">
      <c r="I424" s="58"/>
      <c r="J424" s="58"/>
    </row>
    <row r="425" spans="9:10">
      <c r="I425" s="58"/>
      <c r="J425" s="58"/>
    </row>
    <row r="426" spans="9:10">
      <c r="I426" s="58"/>
      <c r="J426" s="58"/>
    </row>
    <row r="427" spans="9:10">
      <c r="I427" s="58"/>
      <c r="J427" s="58"/>
    </row>
    <row r="428" spans="9:10">
      <c r="I428" s="58"/>
      <c r="J428" s="58"/>
    </row>
    <row r="429" spans="9:10">
      <c r="I429" s="58"/>
      <c r="J429" s="58"/>
    </row>
    <row r="430" spans="9:10">
      <c r="I430" s="58"/>
      <c r="J430" s="58"/>
    </row>
    <row r="431" spans="9:10">
      <c r="I431" s="58"/>
      <c r="J431" s="58"/>
    </row>
    <row r="432" spans="9:10">
      <c r="I432" s="58"/>
      <c r="J432" s="58"/>
    </row>
    <row r="433" spans="9:10">
      <c r="I433" s="58"/>
      <c r="J433" s="58"/>
    </row>
    <row r="434" spans="9:10">
      <c r="I434" s="58"/>
      <c r="J434" s="58"/>
    </row>
    <row r="435" spans="9:10">
      <c r="I435" s="58"/>
      <c r="J435" s="58"/>
    </row>
    <row r="436" spans="9:10">
      <c r="I436" s="58"/>
      <c r="J436" s="58"/>
    </row>
    <row r="437" spans="9:10">
      <c r="I437" s="58"/>
      <c r="J437" s="58"/>
    </row>
    <row r="438" spans="9:10">
      <c r="I438" s="58"/>
      <c r="J438" s="58"/>
    </row>
    <row r="439" spans="9:10">
      <c r="I439" s="58"/>
      <c r="J439" s="58"/>
    </row>
    <row r="440" spans="9:10">
      <c r="I440" s="58"/>
      <c r="J440" s="58"/>
    </row>
    <row r="441" spans="9:10">
      <c r="I441" s="58"/>
      <c r="J441" s="58"/>
    </row>
    <row r="442" spans="9:10">
      <c r="I442" s="58"/>
      <c r="J442" s="58"/>
    </row>
    <row r="443" spans="9:10">
      <c r="I443" s="58"/>
      <c r="J443" s="58"/>
    </row>
    <row r="444" spans="9:10">
      <c r="I444" s="58"/>
      <c r="J444" s="58"/>
    </row>
    <row r="445" spans="9:10">
      <c r="I445" s="58"/>
      <c r="J445" s="58"/>
    </row>
    <row r="446" spans="9:10">
      <c r="I446" s="58"/>
      <c r="J446" s="58"/>
    </row>
    <row r="447" spans="9:10">
      <c r="I447" s="58"/>
      <c r="J447" s="58"/>
    </row>
    <row r="448" spans="9:10">
      <c r="I448" s="58"/>
      <c r="J448" s="58"/>
    </row>
    <row r="449" spans="9:10">
      <c r="I449" s="58"/>
      <c r="J449" s="58"/>
    </row>
    <row r="450" spans="9:10">
      <c r="I450" s="58"/>
      <c r="J450" s="58"/>
    </row>
    <row r="451" spans="9:10">
      <c r="I451" s="58"/>
      <c r="J451" s="58"/>
    </row>
    <row r="452" spans="9:10">
      <c r="I452" s="58"/>
      <c r="J452" s="58"/>
    </row>
    <row r="453" spans="9:10">
      <c r="I453" s="58"/>
      <c r="J453" s="58"/>
    </row>
    <row r="454" spans="9:10">
      <c r="I454" s="58"/>
      <c r="J454" s="58"/>
    </row>
    <row r="455" spans="9:10">
      <c r="I455" s="58"/>
      <c r="J455" s="58"/>
    </row>
    <row r="456" spans="9:10">
      <c r="I456" s="58"/>
      <c r="J456" s="58"/>
    </row>
    <row r="457" spans="9:10">
      <c r="I457" s="58"/>
      <c r="J457" s="58"/>
    </row>
    <row r="458" spans="9:10">
      <c r="I458" s="58"/>
      <c r="J458" s="58"/>
    </row>
    <row r="459" spans="9:10">
      <c r="I459" s="58"/>
      <c r="J459" s="58"/>
    </row>
    <row r="460" spans="9:10">
      <c r="I460" s="58"/>
      <c r="J460" s="58"/>
    </row>
    <row r="461" spans="9:10">
      <c r="I461" s="58"/>
      <c r="J461" s="58"/>
    </row>
    <row r="462" spans="9:10">
      <c r="I462" s="58"/>
      <c r="J462" s="58"/>
    </row>
    <row r="463" spans="9:10">
      <c r="I463" s="58"/>
      <c r="J463" s="58"/>
    </row>
    <row r="464" spans="9:10">
      <c r="I464" s="58"/>
      <c r="J464" s="58"/>
    </row>
    <row r="465" spans="9:10">
      <c r="I465" s="58"/>
      <c r="J465" s="58"/>
    </row>
    <row r="466" spans="9:10">
      <c r="I466" s="58"/>
      <c r="J466" s="58"/>
    </row>
    <row r="467" spans="9:10">
      <c r="I467" s="58"/>
      <c r="J467" s="58"/>
    </row>
    <row r="468" spans="9:10">
      <c r="I468" s="58"/>
      <c r="J468" s="58"/>
    </row>
    <row r="469" spans="9:10">
      <c r="I469" s="58"/>
      <c r="J469" s="58"/>
    </row>
    <row r="470" spans="9:10">
      <c r="I470" s="58"/>
      <c r="J470" s="58"/>
    </row>
    <row r="471" spans="9:10">
      <c r="I471" s="58"/>
      <c r="J471" s="58"/>
    </row>
    <row r="472" spans="9:10">
      <c r="I472" s="58"/>
      <c r="J472" s="58"/>
    </row>
    <row r="473" spans="9:10">
      <c r="I473" s="58"/>
      <c r="J473" s="58"/>
    </row>
    <row r="474" spans="9:10">
      <c r="I474" s="58"/>
      <c r="J474" s="58"/>
    </row>
    <row r="475" spans="9:10">
      <c r="I475" s="58"/>
      <c r="J475" s="58"/>
    </row>
    <row r="476" spans="9:10">
      <c r="I476" s="58"/>
      <c r="J476" s="58"/>
    </row>
    <row r="477" spans="9:10">
      <c r="I477" s="58"/>
      <c r="J477" s="58"/>
    </row>
    <row r="478" spans="9:10">
      <c r="I478" s="58"/>
      <c r="J478" s="58"/>
    </row>
    <row r="479" spans="9:10">
      <c r="I479" s="58"/>
      <c r="J479" s="58"/>
    </row>
    <row r="480" spans="9:10">
      <c r="I480" s="58"/>
      <c r="J480" s="58"/>
    </row>
    <row r="481" spans="9:10">
      <c r="I481" s="58"/>
      <c r="J481" s="58"/>
    </row>
    <row r="482" spans="9:10">
      <c r="I482" s="58"/>
      <c r="J482" s="58"/>
    </row>
    <row r="483" spans="9:10">
      <c r="I483" s="58"/>
      <c r="J483" s="58"/>
    </row>
    <row r="484" spans="9:10">
      <c r="I484" s="58"/>
      <c r="J484" s="58"/>
    </row>
    <row r="485" spans="9:10">
      <c r="I485" s="58"/>
      <c r="J485" s="58"/>
    </row>
    <row r="486" spans="9:10">
      <c r="I486" s="58"/>
      <c r="J486" s="58"/>
    </row>
    <row r="487" spans="9:10">
      <c r="I487" s="58"/>
      <c r="J487" s="58"/>
    </row>
    <row r="488" spans="9:10">
      <c r="I488" s="58"/>
      <c r="J488" s="58"/>
    </row>
    <row r="489" spans="9:10">
      <c r="I489" s="58"/>
      <c r="J489" s="58"/>
    </row>
    <row r="490" spans="9:10">
      <c r="I490" s="58"/>
      <c r="J490" s="58"/>
    </row>
    <row r="491" spans="9:10">
      <c r="I491" s="58"/>
      <c r="J491" s="58"/>
    </row>
    <row r="492" spans="9:10">
      <c r="I492" s="58"/>
      <c r="J492" s="58"/>
    </row>
    <row r="493" spans="9:10">
      <c r="I493" s="58"/>
      <c r="J493" s="58"/>
    </row>
    <row r="494" spans="9:10">
      <c r="I494" s="58"/>
      <c r="J494" s="58"/>
    </row>
    <row r="495" spans="9:10">
      <c r="I495" s="58"/>
      <c r="J495" s="58"/>
    </row>
    <row r="496" spans="9:10">
      <c r="I496" s="58"/>
      <c r="J496" s="58"/>
    </row>
    <row r="497" spans="9:10">
      <c r="I497" s="58"/>
      <c r="J497" s="58"/>
    </row>
    <row r="498" spans="9:10">
      <c r="I498" s="58"/>
      <c r="J498" s="58"/>
    </row>
    <row r="499" spans="9:10">
      <c r="I499" s="58"/>
      <c r="J499" s="58"/>
    </row>
    <row r="500" spans="9:10">
      <c r="I500" s="58"/>
      <c r="J500" s="58"/>
    </row>
    <row r="501" spans="9:10">
      <c r="I501" s="58"/>
      <c r="J501" s="58"/>
    </row>
    <row r="502" spans="9:10">
      <c r="I502" s="58"/>
      <c r="J502" s="58"/>
    </row>
    <row r="503" spans="9:10">
      <c r="I503" s="58"/>
      <c r="J503" s="58"/>
    </row>
    <row r="504" spans="9:10">
      <c r="I504" s="58"/>
      <c r="J504" s="58"/>
    </row>
    <row r="505" spans="9:10">
      <c r="I505" s="58"/>
      <c r="J505" s="58"/>
    </row>
    <row r="506" spans="9:10">
      <c r="I506" s="58"/>
      <c r="J506" s="58"/>
    </row>
    <row r="507" spans="9:10">
      <c r="I507" s="58"/>
      <c r="J507" s="58"/>
    </row>
    <row r="508" spans="9:10">
      <c r="I508" s="58"/>
      <c r="J508" s="58"/>
    </row>
    <row r="509" spans="9:10">
      <c r="I509" s="58"/>
      <c r="J509" s="58"/>
    </row>
    <row r="510" spans="9:10">
      <c r="I510" s="58"/>
      <c r="J510" s="58"/>
    </row>
    <row r="511" spans="9:10">
      <c r="I511" s="58"/>
      <c r="J511" s="58"/>
    </row>
    <row r="512" spans="9:10">
      <c r="I512" s="58"/>
      <c r="J512" s="58"/>
    </row>
    <row r="513" spans="9:10">
      <c r="I513" s="58"/>
      <c r="J513" s="58"/>
    </row>
    <row r="514" spans="9:10">
      <c r="I514" s="58"/>
      <c r="J514" s="58"/>
    </row>
    <row r="515" spans="9:10">
      <c r="I515" s="58"/>
      <c r="J515" s="58"/>
    </row>
    <row r="516" spans="9:10">
      <c r="I516" s="58"/>
      <c r="J516" s="58"/>
    </row>
    <row r="517" spans="9:10">
      <c r="I517" s="58"/>
      <c r="J517" s="58"/>
    </row>
    <row r="518" spans="9:10">
      <c r="I518" s="58"/>
      <c r="J518" s="58"/>
    </row>
    <row r="519" spans="9:10">
      <c r="I519" s="58"/>
      <c r="J519" s="58"/>
    </row>
    <row r="520" spans="9:10">
      <c r="I520" s="58"/>
      <c r="J520" s="58"/>
    </row>
    <row r="521" spans="9:10">
      <c r="I521" s="58"/>
      <c r="J521" s="58"/>
    </row>
    <row r="522" spans="9:10">
      <c r="I522" s="58"/>
      <c r="J522" s="58"/>
    </row>
    <row r="523" spans="9:10">
      <c r="I523" s="58"/>
      <c r="J523" s="58"/>
    </row>
    <row r="524" spans="9:10">
      <c r="I524" s="58"/>
      <c r="J524" s="58"/>
    </row>
    <row r="525" spans="9:10">
      <c r="I525" s="58"/>
      <c r="J525" s="58"/>
    </row>
    <row r="526" spans="9:10">
      <c r="I526" s="58"/>
      <c r="J526" s="58"/>
    </row>
    <row r="527" spans="9:10">
      <c r="I527" s="58"/>
      <c r="J527" s="58"/>
    </row>
    <row r="528" spans="9:10">
      <c r="I528" s="58"/>
      <c r="J528" s="58"/>
    </row>
    <row r="529" spans="9:10">
      <c r="I529" s="58"/>
      <c r="J529" s="58"/>
    </row>
    <row r="530" spans="9:10">
      <c r="I530" s="58"/>
      <c r="J530" s="58"/>
    </row>
    <row r="531" spans="9:10">
      <c r="I531" s="58"/>
      <c r="J531" s="58"/>
    </row>
    <row r="532" spans="9:10">
      <c r="I532" s="58"/>
      <c r="J532" s="58"/>
    </row>
    <row r="533" spans="9:10">
      <c r="I533" s="58"/>
      <c r="J533" s="58"/>
    </row>
    <row r="534" spans="9:10">
      <c r="I534" s="58"/>
      <c r="J534" s="58"/>
    </row>
    <row r="535" spans="9:10">
      <c r="I535" s="58"/>
      <c r="J535" s="58"/>
    </row>
    <row r="536" spans="9:10">
      <c r="I536" s="58"/>
      <c r="J536" s="58"/>
    </row>
    <row r="537" spans="9:10">
      <c r="I537" s="58"/>
      <c r="J537" s="58"/>
    </row>
    <row r="538" spans="9:10">
      <c r="I538" s="58"/>
      <c r="J538" s="58"/>
    </row>
    <row r="539" spans="9:10">
      <c r="I539" s="58"/>
      <c r="J539" s="58"/>
    </row>
    <row r="540" spans="9:10">
      <c r="I540" s="58"/>
      <c r="J540" s="58"/>
    </row>
    <row r="541" spans="9:10">
      <c r="I541" s="58"/>
      <c r="J541" s="58"/>
    </row>
    <row r="542" spans="9:10">
      <c r="I542" s="58"/>
      <c r="J542" s="58"/>
    </row>
    <row r="543" spans="9:10">
      <c r="I543" s="58"/>
      <c r="J543" s="58"/>
    </row>
    <row r="544" spans="9:10">
      <c r="I544" s="58"/>
      <c r="J544" s="58"/>
    </row>
    <row r="545" spans="9:10">
      <c r="I545" s="58"/>
      <c r="J545" s="58"/>
    </row>
    <row r="546" spans="9:10">
      <c r="I546" s="58"/>
      <c r="J546" s="58"/>
    </row>
    <row r="547" spans="9:10">
      <c r="I547" s="58"/>
      <c r="J547" s="58"/>
    </row>
    <row r="548" spans="9:10">
      <c r="I548" s="58"/>
      <c r="J548" s="58"/>
    </row>
    <row r="549" spans="9:10">
      <c r="I549" s="58"/>
      <c r="J549" s="58"/>
    </row>
    <row r="550" spans="9:10">
      <c r="I550" s="58"/>
      <c r="J550" s="58"/>
    </row>
    <row r="551" spans="9:10">
      <c r="I551" s="58"/>
      <c r="J551" s="58"/>
    </row>
    <row r="552" spans="9:10">
      <c r="I552" s="58"/>
      <c r="J552" s="58"/>
    </row>
    <row r="553" spans="9:10">
      <c r="I553" s="58"/>
      <c r="J553" s="58"/>
    </row>
    <row r="554" spans="9:10">
      <c r="I554" s="58"/>
      <c r="J554" s="58"/>
    </row>
    <row r="555" spans="9:10">
      <c r="I555" s="58"/>
      <c r="J555" s="58"/>
    </row>
    <row r="556" spans="9:10">
      <c r="I556" s="58"/>
      <c r="J556" s="58"/>
    </row>
    <row r="557" spans="9:10">
      <c r="I557" s="58"/>
      <c r="J557" s="58"/>
    </row>
    <row r="558" spans="9:10">
      <c r="I558" s="58"/>
      <c r="J558" s="58"/>
    </row>
    <row r="559" spans="9:10">
      <c r="I559" s="58"/>
      <c r="J559" s="58"/>
    </row>
    <row r="560" spans="9:10">
      <c r="I560" s="58"/>
      <c r="J560" s="58"/>
    </row>
    <row r="561" spans="9:10">
      <c r="I561" s="58"/>
      <c r="J561" s="58"/>
    </row>
    <row r="562" spans="9:10">
      <c r="I562" s="58"/>
      <c r="J562" s="58"/>
    </row>
    <row r="563" spans="9:10">
      <c r="I563" s="58"/>
      <c r="J563" s="58"/>
    </row>
    <row r="564" spans="9:10">
      <c r="I564" s="58"/>
      <c r="J564" s="58"/>
    </row>
    <row r="565" spans="9:10">
      <c r="I565" s="58"/>
      <c r="J565" s="58"/>
    </row>
    <row r="566" spans="9:10">
      <c r="I566" s="58"/>
      <c r="J566" s="58"/>
    </row>
    <row r="567" spans="9:10">
      <c r="I567" s="58"/>
      <c r="J567" s="58"/>
    </row>
    <row r="568" spans="9:10">
      <c r="I568" s="58"/>
      <c r="J568" s="58"/>
    </row>
    <row r="569" spans="9:10">
      <c r="I569" s="58"/>
      <c r="J569" s="58"/>
    </row>
    <row r="570" spans="9:10">
      <c r="I570" s="58"/>
      <c r="J570" s="58"/>
    </row>
    <row r="571" spans="9:10">
      <c r="I571" s="58"/>
      <c r="J571" s="58"/>
    </row>
    <row r="572" spans="9:10">
      <c r="I572" s="58"/>
      <c r="J572" s="58"/>
    </row>
    <row r="573" spans="9:10">
      <c r="I573" s="58"/>
      <c r="J573" s="58"/>
    </row>
    <row r="574" spans="9:10">
      <c r="I574" s="58"/>
      <c r="J574" s="58"/>
    </row>
    <row r="575" spans="9:10">
      <c r="I575" s="58"/>
      <c r="J575" s="58"/>
    </row>
    <row r="576" spans="9:10">
      <c r="I576" s="58"/>
      <c r="J576" s="58"/>
    </row>
    <row r="577" spans="9:10">
      <c r="I577" s="58"/>
      <c r="J577" s="58"/>
    </row>
    <row r="578" spans="9:10">
      <c r="I578" s="58"/>
      <c r="J578" s="58"/>
    </row>
    <row r="579" spans="9:10">
      <c r="I579" s="58"/>
      <c r="J579" s="58"/>
    </row>
    <row r="580" spans="9:10">
      <c r="I580" s="58"/>
      <c r="J580" s="58"/>
    </row>
    <row r="581" spans="9:10">
      <c r="I581" s="58"/>
      <c r="J581" s="58"/>
    </row>
    <row r="582" spans="9:10">
      <c r="I582" s="58"/>
      <c r="J582" s="58"/>
    </row>
    <row r="583" spans="9:10">
      <c r="I583" s="58"/>
      <c r="J583" s="58"/>
    </row>
    <row r="584" spans="9:10">
      <c r="I584" s="58"/>
      <c r="J584" s="58"/>
    </row>
    <row r="585" spans="9:10">
      <c r="I585" s="58"/>
      <c r="J585" s="58"/>
    </row>
    <row r="586" spans="9:10">
      <c r="I586" s="58"/>
      <c r="J586" s="58"/>
    </row>
    <row r="587" spans="9:10">
      <c r="I587" s="58"/>
      <c r="J587" s="58"/>
    </row>
    <row r="588" spans="9:10">
      <c r="I588" s="58"/>
      <c r="J588" s="58"/>
    </row>
    <row r="589" spans="9:10">
      <c r="I589" s="58"/>
      <c r="J589" s="58"/>
    </row>
    <row r="590" spans="9:10">
      <c r="I590" s="58"/>
      <c r="J590" s="58"/>
    </row>
    <row r="591" spans="9:10">
      <c r="I591" s="58"/>
      <c r="J591" s="58"/>
    </row>
    <row r="592" spans="9:10">
      <c r="I592" s="58"/>
      <c r="J592" s="58"/>
    </row>
    <row r="593" spans="9:10">
      <c r="I593" s="58"/>
      <c r="J593" s="58"/>
    </row>
    <row r="594" spans="9:10">
      <c r="I594" s="58"/>
      <c r="J594" s="58"/>
    </row>
    <row r="595" spans="9:10">
      <c r="I595" s="58"/>
      <c r="J595" s="58"/>
    </row>
    <row r="596" spans="9:10">
      <c r="I596" s="58"/>
      <c r="J596" s="58"/>
    </row>
    <row r="597" spans="9:10">
      <c r="I597" s="58"/>
      <c r="J597" s="58"/>
    </row>
    <row r="598" spans="9:10">
      <c r="I598" s="58"/>
      <c r="J598" s="58"/>
    </row>
    <row r="599" spans="9:10">
      <c r="I599" s="58"/>
      <c r="J599" s="58"/>
    </row>
    <row r="600" spans="9:10">
      <c r="I600" s="58"/>
      <c r="J600" s="58"/>
    </row>
    <row r="601" spans="9:10">
      <c r="I601" s="58"/>
      <c r="J601" s="58"/>
    </row>
    <row r="602" spans="9:10">
      <c r="I602" s="58"/>
      <c r="J602" s="58"/>
    </row>
    <row r="603" spans="9:10">
      <c r="I603" s="58"/>
      <c r="J603" s="58"/>
    </row>
    <row r="604" spans="9:10">
      <c r="I604" s="58"/>
      <c r="J604" s="58"/>
    </row>
    <row r="605" spans="9:10">
      <c r="I605" s="58"/>
      <c r="J605" s="58"/>
    </row>
    <row r="606" spans="9:10">
      <c r="I606" s="58"/>
      <c r="J606" s="58"/>
    </row>
    <row r="607" spans="9:10">
      <c r="I607" s="58"/>
      <c r="J607" s="58"/>
    </row>
    <row r="608" spans="9:10">
      <c r="I608" s="58"/>
      <c r="J608" s="58"/>
    </row>
    <row r="609" spans="9:10">
      <c r="I609" s="58"/>
      <c r="J609" s="58"/>
    </row>
    <row r="610" spans="9:10">
      <c r="I610" s="58"/>
      <c r="J610" s="58"/>
    </row>
    <row r="611" spans="9:10">
      <c r="I611" s="58"/>
      <c r="J611" s="58"/>
    </row>
    <row r="612" spans="9:10">
      <c r="I612" s="58"/>
      <c r="J612" s="58"/>
    </row>
    <row r="613" spans="9:10">
      <c r="I613" s="58"/>
      <c r="J613" s="58"/>
    </row>
    <row r="614" spans="9:10">
      <c r="I614" s="58"/>
      <c r="J614" s="58"/>
    </row>
    <row r="615" spans="9:10">
      <c r="I615" s="58"/>
      <c r="J615" s="58"/>
    </row>
    <row r="616" spans="9:10">
      <c r="I616" s="58"/>
      <c r="J616" s="58"/>
    </row>
    <row r="617" spans="9:10">
      <c r="I617" s="58"/>
      <c r="J617" s="58"/>
    </row>
    <row r="618" spans="9:10">
      <c r="I618" s="58"/>
      <c r="J618" s="58"/>
    </row>
    <row r="619" spans="9:10">
      <c r="I619" s="58"/>
      <c r="J619" s="58"/>
    </row>
    <row r="620" spans="9:10">
      <c r="I620" s="58"/>
      <c r="J620" s="58"/>
    </row>
    <row r="621" spans="9:10">
      <c r="I621" s="58"/>
      <c r="J621" s="58"/>
    </row>
    <row r="622" spans="9:10">
      <c r="I622" s="58"/>
      <c r="J622" s="58"/>
    </row>
    <row r="623" spans="9:10">
      <c r="I623" s="58"/>
      <c r="J623" s="58"/>
    </row>
    <row r="624" spans="9:10">
      <c r="I624" s="58"/>
      <c r="J624" s="58"/>
    </row>
    <row r="625" spans="9:10">
      <c r="I625" s="58"/>
      <c r="J625" s="58"/>
    </row>
    <row r="626" spans="9:10">
      <c r="I626" s="58"/>
      <c r="J626" s="58"/>
    </row>
    <row r="627" spans="9:10">
      <c r="I627" s="58"/>
      <c r="J627" s="58"/>
    </row>
    <row r="628" spans="9:10">
      <c r="I628" s="58"/>
      <c r="J628" s="58"/>
    </row>
    <row r="629" spans="9:10">
      <c r="I629" s="58"/>
      <c r="J629" s="58"/>
    </row>
    <row r="630" spans="9:10">
      <c r="I630" s="58"/>
      <c r="J630" s="58"/>
    </row>
    <row r="631" spans="9:10">
      <c r="I631" s="58"/>
      <c r="J631" s="58"/>
    </row>
    <row r="632" spans="9:10">
      <c r="I632" s="58"/>
      <c r="J632" s="58"/>
    </row>
    <row r="633" spans="9:10">
      <c r="I633" s="58"/>
      <c r="J633" s="58"/>
    </row>
    <row r="634" spans="9:10">
      <c r="I634" s="58"/>
      <c r="J634" s="58"/>
    </row>
    <row r="635" spans="9:10">
      <c r="I635" s="58"/>
      <c r="J635" s="58"/>
    </row>
    <row r="636" spans="9:10">
      <c r="I636" s="58"/>
      <c r="J636" s="58"/>
    </row>
    <row r="637" spans="9:10">
      <c r="I637" s="58"/>
      <c r="J637" s="58"/>
    </row>
    <row r="638" spans="9:10">
      <c r="I638" s="58"/>
      <c r="J638" s="58"/>
    </row>
    <row r="639" spans="9:10">
      <c r="I639" s="58"/>
      <c r="J639" s="58"/>
    </row>
    <row r="640" spans="9:10">
      <c r="I640" s="58"/>
      <c r="J640" s="58"/>
    </row>
    <row r="641" spans="9:10">
      <c r="I641" s="58"/>
      <c r="J641" s="58"/>
    </row>
    <row r="642" spans="9:10">
      <c r="I642" s="58"/>
      <c r="J642" s="58"/>
    </row>
    <row r="643" spans="9:10">
      <c r="I643" s="58"/>
      <c r="J643" s="58"/>
    </row>
    <row r="644" spans="9:10">
      <c r="I644" s="58"/>
      <c r="J644" s="58"/>
    </row>
    <row r="645" spans="9:10">
      <c r="I645" s="58"/>
      <c r="J645" s="58"/>
    </row>
    <row r="646" spans="9:10">
      <c r="I646" s="58"/>
      <c r="J646" s="58"/>
    </row>
    <row r="647" spans="9:10">
      <c r="I647" s="58"/>
      <c r="J647" s="58"/>
    </row>
    <row r="648" spans="9:10">
      <c r="I648" s="58"/>
      <c r="J648" s="58"/>
    </row>
    <row r="649" spans="9:10">
      <c r="I649" s="58"/>
      <c r="J649" s="58"/>
    </row>
    <row r="650" spans="9:10">
      <c r="I650" s="58"/>
      <c r="J650" s="58"/>
    </row>
    <row r="651" spans="9:10">
      <c r="I651" s="58"/>
      <c r="J651" s="58"/>
    </row>
    <row r="652" spans="9:10">
      <c r="I652" s="58"/>
      <c r="J652" s="58"/>
    </row>
    <row r="653" spans="9:10">
      <c r="I653" s="58"/>
      <c r="J653" s="58"/>
    </row>
    <row r="654" spans="9:10">
      <c r="I654" s="58"/>
      <c r="J654" s="58"/>
    </row>
    <row r="655" spans="9:10">
      <c r="I655" s="58"/>
      <c r="J655" s="58"/>
    </row>
    <row r="656" spans="9:10">
      <c r="I656" s="58"/>
      <c r="J656" s="58"/>
    </row>
    <row r="657" spans="9:10">
      <c r="I657" s="58"/>
      <c r="J657" s="58"/>
    </row>
    <row r="658" spans="9:10">
      <c r="I658" s="58"/>
      <c r="J658" s="58"/>
    </row>
    <row r="659" spans="9:10">
      <c r="I659" s="58"/>
      <c r="J659" s="58"/>
    </row>
    <row r="660" spans="9:10">
      <c r="I660" s="58"/>
      <c r="J660" s="58"/>
    </row>
    <row r="661" spans="9:10">
      <c r="I661" s="58"/>
      <c r="J661" s="58"/>
    </row>
    <row r="662" spans="9:10">
      <c r="I662" s="58"/>
      <c r="J662" s="58"/>
    </row>
    <row r="663" spans="9:10">
      <c r="I663" s="58"/>
      <c r="J663" s="58"/>
    </row>
    <row r="664" spans="9:10">
      <c r="I664" s="58"/>
      <c r="J664" s="58"/>
    </row>
    <row r="665" spans="9:10">
      <c r="I665" s="58"/>
      <c r="J665" s="58"/>
    </row>
    <row r="666" spans="9:10">
      <c r="I666" s="58"/>
      <c r="J666" s="58"/>
    </row>
    <row r="667" spans="9:10">
      <c r="I667" s="58"/>
      <c r="J667" s="58"/>
    </row>
    <row r="668" spans="9:10">
      <c r="I668" s="58"/>
      <c r="J668" s="58"/>
    </row>
    <row r="669" spans="9:10">
      <c r="I669" s="58"/>
      <c r="J669" s="58"/>
    </row>
    <row r="670" spans="9:10">
      <c r="I670" s="58"/>
      <c r="J670" s="58"/>
    </row>
    <row r="671" spans="9:10">
      <c r="I671" s="58"/>
      <c r="J671" s="58"/>
    </row>
    <row r="672" spans="9:10">
      <c r="I672" s="58"/>
      <c r="J672" s="58"/>
    </row>
    <row r="673" spans="9:10">
      <c r="I673" s="58"/>
      <c r="J673" s="58"/>
    </row>
    <row r="674" spans="9:10">
      <c r="I674" s="58"/>
      <c r="J674" s="58"/>
    </row>
    <row r="675" spans="9:10">
      <c r="I675" s="58"/>
      <c r="J675" s="58"/>
    </row>
    <row r="676" spans="9:10">
      <c r="I676" s="58"/>
      <c r="J676" s="58"/>
    </row>
    <row r="677" spans="9:10">
      <c r="I677" s="58"/>
      <c r="J677" s="58"/>
    </row>
    <row r="678" spans="9:10">
      <c r="I678" s="58"/>
      <c r="J678" s="58"/>
    </row>
    <row r="679" spans="9:10">
      <c r="I679" s="58"/>
      <c r="J679" s="58"/>
    </row>
    <row r="680" spans="9:10">
      <c r="I680" s="58"/>
      <c r="J680" s="58"/>
    </row>
    <row r="681" spans="9:10">
      <c r="I681" s="58"/>
      <c r="J681" s="58"/>
    </row>
    <row r="682" spans="9:10">
      <c r="I682" s="58"/>
      <c r="J682" s="58"/>
    </row>
    <row r="683" spans="9:10">
      <c r="I683" s="58"/>
      <c r="J683" s="58"/>
    </row>
    <row r="684" spans="9:10">
      <c r="I684" s="58"/>
      <c r="J684" s="58"/>
    </row>
    <row r="685" spans="9:10">
      <c r="I685" s="58"/>
      <c r="J685" s="58"/>
    </row>
    <row r="686" spans="9:10">
      <c r="I686" s="58"/>
      <c r="J686" s="58"/>
    </row>
    <row r="687" spans="9:10">
      <c r="I687" s="58"/>
      <c r="J687" s="58"/>
    </row>
    <row r="688" spans="9:10">
      <c r="I688" s="58"/>
      <c r="J688" s="58"/>
    </row>
    <row r="689" spans="9:10">
      <c r="I689" s="58"/>
      <c r="J689" s="58"/>
    </row>
    <row r="690" spans="9:10">
      <c r="I690" s="58"/>
      <c r="J690" s="58"/>
    </row>
    <row r="691" spans="9:10">
      <c r="I691" s="58"/>
      <c r="J691" s="58"/>
    </row>
    <row r="692" spans="9:10">
      <c r="I692" s="58"/>
      <c r="J692" s="58"/>
    </row>
    <row r="693" spans="9:10">
      <c r="I693" s="58"/>
      <c r="J693" s="58"/>
    </row>
    <row r="694" spans="9:10">
      <c r="I694" s="58"/>
      <c r="J694" s="58"/>
    </row>
    <row r="695" spans="9:10">
      <c r="I695" s="58"/>
      <c r="J695" s="58"/>
    </row>
    <row r="696" spans="9:10">
      <c r="I696" s="58"/>
      <c r="J696" s="58"/>
    </row>
    <row r="697" spans="9:10">
      <c r="I697" s="58"/>
      <c r="J697" s="58"/>
    </row>
    <row r="698" spans="9:10">
      <c r="I698" s="58"/>
      <c r="J698" s="58"/>
    </row>
    <row r="699" spans="9:10">
      <c r="I699" s="58"/>
      <c r="J699" s="58"/>
    </row>
    <row r="700" spans="9:10">
      <c r="I700" s="58"/>
      <c r="J700" s="58"/>
    </row>
    <row r="701" spans="9:10">
      <c r="I701" s="58"/>
      <c r="J701" s="58"/>
    </row>
    <row r="702" spans="9:10">
      <c r="I702" s="58"/>
      <c r="J702" s="58"/>
    </row>
    <row r="703" spans="9:10">
      <c r="I703" s="58"/>
      <c r="J703" s="58"/>
    </row>
    <row r="704" spans="9:10">
      <c r="I704" s="58"/>
      <c r="J704" s="58"/>
    </row>
    <row r="705" spans="9:10">
      <c r="I705" s="58"/>
      <c r="J705" s="58"/>
    </row>
    <row r="706" spans="9:10">
      <c r="I706" s="58"/>
      <c r="J706" s="58"/>
    </row>
    <row r="707" spans="9:10">
      <c r="I707" s="58"/>
      <c r="J707" s="58"/>
    </row>
    <row r="708" spans="9:10">
      <c r="I708" s="58"/>
      <c r="J708" s="58"/>
    </row>
    <row r="709" spans="9:10">
      <c r="I709" s="58"/>
      <c r="J709" s="58"/>
    </row>
    <row r="710" spans="9:10">
      <c r="I710" s="58"/>
      <c r="J710" s="58"/>
    </row>
    <row r="711" spans="9:10">
      <c r="I711" s="58"/>
      <c r="J711" s="58"/>
    </row>
    <row r="712" spans="9:10">
      <c r="I712" s="58"/>
      <c r="J712" s="58"/>
    </row>
    <row r="713" spans="9:10">
      <c r="I713" s="58"/>
      <c r="J713" s="58"/>
    </row>
    <row r="714" spans="9:10">
      <c r="I714" s="58"/>
      <c r="J714" s="58"/>
    </row>
    <row r="715" spans="9:10">
      <c r="I715" s="58"/>
      <c r="J715" s="58"/>
    </row>
    <row r="716" spans="9:10">
      <c r="I716" s="58"/>
      <c r="J716" s="58"/>
    </row>
    <row r="717" spans="9:10">
      <c r="I717" s="58"/>
      <c r="J717" s="58"/>
    </row>
    <row r="718" spans="9:10">
      <c r="I718" s="58"/>
      <c r="J718" s="58"/>
    </row>
    <row r="719" spans="9:10">
      <c r="I719" s="58"/>
      <c r="J719" s="58"/>
    </row>
    <row r="720" spans="9:10">
      <c r="I720" s="58"/>
      <c r="J720" s="58"/>
    </row>
    <row r="721" spans="9:10">
      <c r="I721" s="58"/>
      <c r="J721" s="58"/>
    </row>
    <row r="722" spans="9:10">
      <c r="I722" s="58"/>
      <c r="J722" s="58"/>
    </row>
    <row r="723" spans="9:10">
      <c r="I723" s="58"/>
      <c r="J723" s="58"/>
    </row>
    <row r="724" spans="9:10">
      <c r="I724" s="58"/>
      <c r="J724" s="58"/>
    </row>
    <row r="725" spans="9:10">
      <c r="I725" s="58"/>
      <c r="J725" s="58"/>
    </row>
    <row r="726" spans="9:10">
      <c r="I726" s="58"/>
      <c r="J726" s="58"/>
    </row>
    <row r="727" spans="9:10">
      <c r="I727" s="58"/>
      <c r="J727" s="58"/>
    </row>
    <row r="728" spans="9:10">
      <c r="I728" s="58"/>
      <c r="J728" s="58"/>
    </row>
    <row r="729" spans="9:10">
      <c r="I729" s="58"/>
      <c r="J729" s="58"/>
    </row>
    <row r="730" spans="9:10">
      <c r="I730" s="58"/>
      <c r="J730" s="58"/>
    </row>
    <row r="731" spans="9:10">
      <c r="I731" s="58"/>
      <c r="J731" s="58"/>
    </row>
    <row r="732" spans="9:10">
      <c r="I732" s="58"/>
      <c r="J732" s="58"/>
    </row>
    <row r="733" spans="9:10">
      <c r="I733" s="58"/>
      <c r="J733" s="58"/>
    </row>
    <row r="734" spans="9:10">
      <c r="I734" s="58"/>
      <c r="J734" s="58"/>
    </row>
    <row r="735" spans="9:10">
      <c r="I735" s="58"/>
      <c r="J735" s="58"/>
    </row>
    <row r="736" spans="9:10">
      <c r="I736" s="58"/>
      <c r="J736" s="58"/>
    </row>
    <row r="737" spans="9:10">
      <c r="I737" s="58"/>
      <c r="J737" s="58"/>
    </row>
    <row r="738" spans="9:10">
      <c r="I738" s="58"/>
      <c r="J738" s="58"/>
    </row>
    <row r="739" spans="9:10">
      <c r="I739" s="58"/>
      <c r="J739" s="58"/>
    </row>
    <row r="740" spans="9:10">
      <c r="I740" s="58"/>
      <c r="J740" s="58"/>
    </row>
    <row r="741" spans="9:10">
      <c r="I741" s="58"/>
      <c r="J741" s="58"/>
    </row>
    <row r="742" spans="9:10">
      <c r="I742" s="58"/>
      <c r="J742" s="58"/>
    </row>
    <row r="743" spans="9:10">
      <c r="I743" s="58"/>
      <c r="J743" s="58"/>
    </row>
    <row r="744" spans="9:10">
      <c r="I744" s="58"/>
      <c r="J744" s="58"/>
    </row>
    <row r="745" spans="9:10">
      <c r="I745" s="58"/>
      <c r="J745" s="58"/>
    </row>
    <row r="746" spans="9:10">
      <c r="I746" s="58"/>
      <c r="J746" s="58"/>
    </row>
    <row r="747" spans="9:10">
      <c r="I747" s="58"/>
      <c r="J747" s="58"/>
    </row>
    <row r="748" spans="9:10">
      <c r="I748" s="58"/>
      <c r="J748" s="58"/>
    </row>
    <row r="749" spans="9:10">
      <c r="I749" s="58"/>
      <c r="J749" s="58"/>
    </row>
    <row r="750" spans="9:10">
      <c r="I750" s="58"/>
      <c r="J750" s="58"/>
    </row>
    <row r="751" spans="9:10">
      <c r="I751" s="58"/>
      <c r="J751" s="58"/>
    </row>
    <row r="752" spans="9:10">
      <c r="I752" s="58"/>
      <c r="J752" s="58"/>
    </row>
    <row r="753" spans="9:10">
      <c r="I753" s="58"/>
      <c r="J753" s="58"/>
    </row>
    <row r="754" spans="9:10">
      <c r="I754" s="58"/>
      <c r="J754" s="58"/>
    </row>
    <row r="755" spans="9:10">
      <c r="I755" s="58"/>
      <c r="J755" s="58"/>
    </row>
    <row r="756" spans="9:10">
      <c r="I756" s="58"/>
      <c r="J756" s="58"/>
    </row>
    <row r="757" spans="9:10">
      <c r="I757" s="58"/>
      <c r="J757" s="58"/>
    </row>
    <row r="758" spans="9:10">
      <c r="I758" s="58"/>
      <c r="J758" s="58"/>
    </row>
    <row r="759" spans="9:10">
      <c r="I759" s="58"/>
      <c r="J759" s="58"/>
    </row>
    <row r="760" spans="9:10">
      <c r="I760" s="58"/>
      <c r="J760" s="58"/>
    </row>
    <row r="761" spans="9:10">
      <c r="I761" s="58"/>
      <c r="J761" s="58"/>
    </row>
    <row r="762" spans="9:10">
      <c r="I762" s="58"/>
      <c r="J762" s="58"/>
    </row>
    <row r="763" spans="9:10">
      <c r="I763" s="58"/>
      <c r="J763" s="58"/>
    </row>
    <row r="764" spans="9:10">
      <c r="I764" s="58"/>
      <c r="J764" s="58"/>
    </row>
    <row r="765" spans="9:10">
      <c r="I765" s="58"/>
      <c r="J765" s="58"/>
    </row>
    <row r="766" spans="9:10">
      <c r="I766" s="58"/>
      <c r="J766" s="58"/>
    </row>
    <row r="767" spans="9:10">
      <c r="I767" s="58"/>
      <c r="J767" s="58"/>
    </row>
    <row r="768" spans="9:10">
      <c r="I768" s="58"/>
      <c r="J768" s="58"/>
    </row>
    <row r="769" spans="9:10">
      <c r="I769" s="58"/>
      <c r="J769" s="58"/>
    </row>
    <row r="770" spans="9:10">
      <c r="I770" s="58"/>
      <c r="J770" s="58"/>
    </row>
    <row r="771" spans="9:10">
      <c r="I771" s="58"/>
      <c r="J771" s="58"/>
    </row>
    <row r="772" spans="9:10">
      <c r="I772" s="58"/>
      <c r="J772" s="58"/>
    </row>
    <row r="773" spans="9:10">
      <c r="I773" s="58"/>
      <c r="J773" s="58"/>
    </row>
    <row r="774" spans="9:10">
      <c r="I774" s="58"/>
      <c r="J774" s="58"/>
    </row>
    <row r="775" spans="9:10">
      <c r="I775" s="58"/>
      <c r="J775" s="58"/>
    </row>
    <row r="776" spans="9:10">
      <c r="I776" s="58"/>
      <c r="J776" s="58"/>
    </row>
    <row r="777" spans="9:10">
      <c r="I777" s="58"/>
      <c r="J777" s="58"/>
    </row>
    <row r="778" spans="9:10">
      <c r="I778" s="58"/>
      <c r="J778" s="58"/>
    </row>
    <row r="779" spans="9:10">
      <c r="I779" s="58"/>
      <c r="J779" s="58"/>
    </row>
    <row r="780" spans="9:10">
      <c r="I780" s="58"/>
      <c r="J780" s="58"/>
    </row>
    <row r="781" spans="9:10">
      <c r="I781" s="58"/>
      <c r="J781" s="58"/>
    </row>
    <row r="782" spans="9:10">
      <c r="I782" s="58"/>
      <c r="J782" s="58"/>
    </row>
    <row r="783" spans="9:10">
      <c r="I783" s="58"/>
      <c r="J783" s="58"/>
    </row>
    <row r="784" spans="9:10">
      <c r="I784" s="58"/>
      <c r="J784" s="58"/>
    </row>
    <row r="785" spans="9:10">
      <c r="I785" s="58"/>
      <c r="J785" s="58"/>
    </row>
    <row r="786" spans="9:10">
      <c r="I786" s="58"/>
      <c r="J786" s="58"/>
    </row>
    <row r="787" spans="9:10">
      <c r="I787" s="58"/>
      <c r="J787" s="58"/>
    </row>
    <row r="788" spans="9:10">
      <c r="I788" s="58"/>
      <c r="J788" s="58"/>
    </row>
    <row r="789" spans="9:10">
      <c r="I789" s="58"/>
      <c r="J789" s="58"/>
    </row>
    <row r="790" spans="9:10">
      <c r="I790" s="58"/>
      <c r="J790" s="58"/>
    </row>
    <row r="791" spans="9:10">
      <c r="I791" s="58"/>
      <c r="J791" s="58"/>
    </row>
    <row r="792" spans="9:10">
      <c r="I792" s="58"/>
      <c r="J792" s="58"/>
    </row>
    <row r="793" spans="9:10">
      <c r="I793" s="58"/>
      <c r="J793" s="58"/>
    </row>
    <row r="794" spans="9:10">
      <c r="I794" s="58"/>
      <c r="J794" s="58"/>
    </row>
    <row r="795" spans="9:10">
      <c r="I795" s="58"/>
      <c r="J795" s="58"/>
    </row>
    <row r="796" spans="9:10">
      <c r="I796" s="58"/>
      <c r="J796" s="58"/>
    </row>
    <row r="797" spans="9:10">
      <c r="I797" s="58"/>
      <c r="J797" s="58"/>
    </row>
    <row r="798" spans="9:10">
      <c r="I798" s="58"/>
      <c r="J798" s="58"/>
    </row>
    <row r="799" spans="9:10">
      <c r="I799" s="58"/>
      <c r="J799" s="58"/>
    </row>
    <row r="800" spans="9:10">
      <c r="I800" s="58"/>
      <c r="J800" s="58"/>
    </row>
    <row r="801" spans="9:10">
      <c r="I801" s="58"/>
      <c r="J801" s="58"/>
    </row>
    <row r="802" spans="9:10">
      <c r="I802" s="58"/>
      <c r="J802" s="58"/>
    </row>
    <row r="803" spans="9:10">
      <c r="I803" s="58"/>
      <c r="J803" s="58"/>
    </row>
    <row r="804" spans="9:10">
      <c r="I804" s="58"/>
      <c r="J804" s="58"/>
    </row>
    <row r="805" spans="9:10">
      <c r="I805" s="58"/>
      <c r="J805" s="58"/>
    </row>
    <row r="806" spans="9:10">
      <c r="I806" s="58"/>
      <c r="J806" s="58"/>
    </row>
    <row r="807" spans="9:10">
      <c r="I807" s="58"/>
      <c r="J807" s="58"/>
    </row>
    <row r="808" spans="9:10">
      <c r="I808" s="58"/>
      <c r="J808" s="58"/>
    </row>
    <row r="809" spans="9:10">
      <c r="I809" s="58"/>
      <c r="J809" s="58"/>
    </row>
    <row r="810" spans="9:10">
      <c r="I810" s="58"/>
      <c r="J810" s="58"/>
    </row>
    <row r="811" spans="9:10">
      <c r="I811" s="58"/>
      <c r="J811" s="58"/>
    </row>
    <row r="812" spans="9:10">
      <c r="I812" s="58"/>
      <c r="J812" s="58"/>
    </row>
    <row r="813" spans="9:10">
      <c r="I813" s="58"/>
      <c r="J813" s="58"/>
    </row>
    <row r="814" spans="9:10">
      <c r="I814" s="58"/>
      <c r="J814" s="58"/>
    </row>
    <row r="815" spans="9:10">
      <c r="I815" s="58"/>
      <c r="J815" s="58"/>
    </row>
    <row r="816" spans="9:10">
      <c r="I816" s="58"/>
      <c r="J816" s="58"/>
    </row>
    <row r="817" spans="9:10">
      <c r="I817" s="58"/>
      <c r="J817" s="58"/>
    </row>
    <row r="818" spans="9:10">
      <c r="I818" s="58"/>
      <c r="J818" s="58"/>
    </row>
    <row r="819" spans="9:10">
      <c r="I819" s="58"/>
      <c r="J819" s="58"/>
    </row>
    <row r="820" spans="9:10">
      <c r="I820" s="58"/>
      <c r="J820" s="58"/>
    </row>
    <row r="821" spans="9:10">
      <c r="I821" s="58"/>
      <c r="J821" s="58"/>
    </row>
    <row r="822" spans="9:10">
      <c r="I822" s="58"/>
      <c r="J822" s="58"/>
    </row>
    <row r="823" spans="9:10">
      <c r="I823" s="58"/>
      <c r="J823" s="58"/>
    </row>
    <row r="824" spans="9:10">
      <c r="I824" s="58"/>
      <c r="J824" s="58"/>
    </row>
    <row r="825" spans="9:10">
      <c r="I825" s="58"/>
      <c r="J825" s="58"/>
    </row>
    <row r="826" spans="9:10">
      <c r="I826" s="58"/>
      <c r="J826" s="58"/>
    </row>
    <row r="827" spans="9:10">
      <c r="I827" s="58"/>
      <c r="J827" s="58"/>
    </row>
    <row r="828" spans="9:10">
      <c r="I828" s="58"/>
      <c r="J828" s="58"/>
    </row>
    <row r="829" spans="9:10">
      <c r="I829" s="58"/>
      <c r="J829" s="58"/>
    </row>
    <row r="830" spans="9:10">
      <c r="I830" s="58"/>
      <c r="J830" s="58"/>
    </row>
    <row r="831" spans="9:10">
      <c r="I831" s="58"/>
      <c r="J831" s="58"/>
    </row>
    <row r="832" spans="9:10">
      <c r="I832" s="58"/>
      <c r="J832" s="58"/>
    </row>
    <row r="833" spans="9:10">
      <c r="I833" s="58"/>
      <c r="J833" s="58"/>
    </row>
    <row r="834" spans="9:10">
      <c r="I834" s="58"/>
      <c r="J834" s="58"/>
    </row>
    <row r="835" spans="9:10">
      <c r="I835" s="58"/>
      <c r="J835" s="58"/>
    </row>
    <row r="836" spans="9:10">
      <c r="I836" s="58"/>
      <c r="J836" s="58"/>
    </row>
    <row r="837" spans="9:10">
      <c r="I837" s="58"/>
      <c r="J837" s="58"/>
    </row>
    <row r="838" spans="9:10">
      <c r="I838" s="58"/>
      <c r="J838" s="58"/>
    </row>
    <row r="839" spans="9:10">
      <c r="I839" s="58"/>
      <c r="J839" s="58"/>
    </row>
    <row r="840" spans="9:10">
      <c r="I840" s="58"/>
      <c r="J840" s="58"/>
    </row>
    <row r="841" spans="9:10">
      <c r="I841" s="58"/>
      <c r="J841" s="58"/>
    </row>
    <row r="842" spans="9:10">
      <c r="I842" s="58"/>
      <c r="J842" s="58"/>
    </row>
    <row r="843" spans="9:10">
      <c r="I843" s="58"/>
      <c r="J843" s="58"/>
    </row>
    <row r="844" spans="9:10">
      <c r="I844" s="58"/>
      <c r="J844" s="58"/>
    </row>
    <row r="845" spans="9:10">
      <c r="I845" s="58"/>
      <c r="J845" s="58"/>
    </row>
    <row r="846" spans="9:10">
      <c r="I846" s="58"/>
      <c r="J846" s="58"/>
    </row>
    <row r="847" spans="9:10">
      <c r="I847" s="58"/>
      <c r="J847" s="58"/>
    </row>
    <row r="848" spans="9:10">
      <c r="I848" s="58"/>
      <c r="J848" s="58"/>
    </row>
    <row r="849" spans="9:10">
      <c r="I849" s="58"/>
      <c r="J849" s="58"/>
    </row>
    <row r="850" spans="9:10">
      <c r="I850" s="58"/>
      <c r="J850" s="58"/>
    </row>
    <row r="851" spans="9:10">
      <c r="I851" s="58"/>
      <c r="J851" s="58"/>
    </row>
    <row r="852" spans="9:10">
      <c r="I852" s="58"/>
      <c r="J852" s="58"/>
    </row>
    <row r="853" spans="9:10">
      <c r="I853" s="58"/>
      <c r="J853" s="58"/>
    </row>
    <row r="854" spans="9:10">
      <c r="I854" s="58"/>
      <c r="J854" s="58"/>
    </row>
    <row r="855" spans="9:10">
      <c r="I855" s="58"/>
      <c r="J855" s="58"/>
    </row>
    <row r="856" spans="9:10">
      <c r="I856" s="58"/>
      <c r="J856" s="58"/>
    </row>
    <row r="857" spans="9:10">
      <c r="I857" s="58"/>
      <c r="J857" s="58"/>
    </row>
    <row r="858" spans="9:10">
      <c r="I858" s="58"/>
      <c r="J858" s="58"/>
    </row>
    <row r="859" spans="9:10">
      <c r="I859" s="58"/>
      <c r="J859" s="58"/>
    </row>
    <row r="860" spans="9:10">
      <c r="I860" s="58"/>
      <c r="J860" s="58"/>
    </row>
    <row r="861" spans="9:10">
      <c r="I861" s="58"/>
      <c r="J861" s="58"/>
    </row>
    <row r="862" spans="9:10">
      <c r="I862" s="58"/>
      <c r="J862" s="58"/>
    </row>
    <row r="863" spans="9:10">
      <c r="I863" s="58"/>
      <c r="J863" s="58"/>
    </row>
    <row r="864" spans="9:10">
      <c r="I864" s="58"/>
      <c r="J864" s="58"/>
    </row>
    <row r="865" spans="9:10">
      <c r="I865" s="58"/>
      <c r="J865" s="58"/>
    </row>
    <row r="866" spans="9:10">
      <c r="I866" s="58"/>
      <c r="J866" s="58"/>
    </row>
    <row r="867" spans="9:10">
      <c r="I867" s="58"/>
      <c r="J867" s="58"/>
    </row>
    <row r="868" spans="9:10">
      <c r="I868" s="58"/>
      <c r="J868" s="58"/>
    </row>
    <row r="869" spans="9:10">
      <c r="I869" s="58"/>
      <c r="J869" s="58"/>
    </row>
    <row r="870" spans="9:10">
      <c r="I870" s="58"/>
      <c r="J870" s="58"/>
    </row>
    <row r="871" spans="9:10">
      <c r="I871" s="58"/>
      <c r="J871" s="58"/>
    </row>
    <row r="872" spans="9:10">
      <c r="I872" s="58"/>
      <c r="J872" s="58"/>
    </row>
    <row r="873" spans="9:10">
      <c r="I873" s="58"/>
      <c r="J873" s="58"/>
    </row>
    <row r="874" spans="9:10">
      <c r="I874" s="58"/>
      <c r="J874" s="58"/>
    </row>
    <row r="875" spans="9:10">
      <c r="I875" s="58"/>
      <c r="J875" s="58"/>
    </row>
    <row r="876" spans="9:10">
      <c r="I876" s="58"/>
      <c r="J876" s="58"/>
    </row>
    <row r="877" spans="9:10">
      <c r="I877" s="58"/>
      <c r="J877" s="58"/>
    </row>
    <row r="878" spans="9:10">
      <c r="I878" s="58"/>
      <c r="J878" s="58"/>
    </row>
    <row r="879" spans="9:10">
      <c r="I879" s="58"/>
      <c r="J879" s="58"/>
    </row>
    <row r="880" spans="9:10">
      <c r="I880" s="58"/>
      <c r="J880" s="58"/>
    </row>
    <row r="881" spans="9:10">
      <c r="I881" s="58"/>
      <c r="J881" s="58"/>
    </row>
    <row r="882" spans="9:10">
      <c r="I882" s="58"/>
      <c r="J882" s="58"/>
    </row>
    <row r="883" spans="9:10">
      <c r="I883" s="58"/>
      <c r="J883" s="58"/>
    </row>
    <row r="884" spans="9:10">
      <c r="I884" s="58"/>
      <c r="J884" s="58"/>
    </row>
    <row r="885" spans="9:10">
      <c r="I885" s="58"/>
      <c r="J885" s="58"/>
    </row>
  </sheetData>
  <conditionalFormatting sqref="A197">
    <cfRule type="duplicateValues" dxfId="20" priority="5"/>
    <cfRule type="duplicateValues" dxfId="19" priority="6"/>
  </conditionalFormatting>
  <conditionalFormatting sqref="A197:A199">
    <cfRule type="duplicateValues" dxfId="18" priority="7"/>
  </conditionalFormatting>
  <conditionalFormatting sqref="A198">
    <cfRule type="duplicateValues" dxfId="17" priority="3"/>
    <cfRule type="duplicateValues" dxfId="16" priority="4"/>
  </conditionalFormatting>
  <conditionalFormatting sqref="A199">
    <cfRule type="duplicateValues" dxfId="15" priority="1"/>
    <cfRule type="duplicateValues" dxfId="14" priority="2"/>
  </conditionalFormatting>
  <conditionalFormatting sqref="T5:XFD199 A1:XFD4 A5:S196 B197:S199 A200:XFD1048576">
    <cfRule type="cellIs" dxfId="13" priority="10" operator="equal">
      <formula>0</formula>
    </cfRule>
  </conditionalFormatting>
  <pageMargins left="0.7" right="0.7" top="0.75" bottom="0.75" header="0.3" footer="0.3"/>
  <pageSetup orientation="portrait" horizontalDpi="4294967295" verticalDpi="4294967295"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9F91D-D5F4-4C0E-9A79-2681C8C468E9}">
  <dimension ref="A2:D24"/>
  <sheetViews>
    <sheetView showGridLines="0" workbookViewId="0"/>
  </sheetViews>
  <sheetFormatPr defaultRowHeight="15"/>
  <cols>
    <col min="1" max="1" width="28" customWidth="1"/>
    <col min="2" max="2" width="35.140625" customWidth="1"/>
  </cols>
  <sheetData>
    <row r="2" spans="1:4" ht="18.75">
      <c r="A2" s="32" t="s">
        <v>2537</v>
      </c>
    </row>
    <row r="3" spans="1:4" ht="25.5">
      <c r="A3" s="167" t="s">
        <v>2538</v>
      </c>
    </row>
    <row r="5" spans="1:4" ht="60.75" customHeight="1">
      <c r="A5" s="313" t="s">
        <v>2539</v>
      </c>
      <c r="B5" s="313"/>
    </row>
    <row r="7" spans="1:4" ht="18.75">
      <c r="B7" s="168"/>
      <c r="C7" s="168"/>
    </row>
    <row r="8" spans="1:4">
      <c r="A8" s="169" t="s">
        <v>2540</v>
      </c>
      <c r="B8" s="170"/>
      <c r="D8" s="31"/>
    </row>
    <row r="9" spans="1:4">
      <c r="A9" t="s">
        <v>2541</v>
      </c>
      <c r="B9" t="s">
        <v>2542</v>
      </c>
      <c r="D9" s="31"/>
    </row>
    <row r="10" spans="1:4">
      <c r="A10" t="s">
        <v>2543</v>
      </c>
      <c r="B10" s="164" t="s">
        <v>2544</v>
      </c>
      <c r="D10" s="31"/>
    </row>
    <row r="11" spans="1:4">
      <c r="A11" t="s">
        <v>2545</v>
      </c>
      <c r="B11" s="164" t="s">
        <v>2546</v>
      </c>
      <c r="D11" s="171"/>
    </row>
    <row r="12" spans="1:4">
      <c r="A12" t="s">
        <v>2547</v>
      </c>
      <c r="B12" s="164" t="s">
        <v>2548</v>
      </c>
      <c r="D12" s="1"/>
    </row>
    <row r="13" spans="1:4">
      <c r="A13" t="s">
        <v>2549</v>
      </c>
      <c r="B13" s="164" t="s">
        <v>2550</v>
      </c>
      <c r="D13" s="1"/>
    </row>
    <row r="15" spans="1:4">
      <c r="A15" s="169" t="s">
        <v>2551</v>
      </c>
      <c r="B15" s="170"/>
    </row>
    <row r="16" spans="1:4">
      <c r="A16" s="13" t="s">
        <v>2552</v>
      </c>
    </row>
    <row r="17" spans="1:1">
      <c r="A17" t="s">
        <v>2553</v>
      </c>
    </row>
    <row r="18" spans="1:1">
      <c r="A18" t="s">
        <v>2554</v>
      </c>
    </row>
    <row r="19" spans="1:1">
      <c r="A19" s="164" t="s">
        <v>2555</v>
      </c>
    </row>
    <row r="21" spans="1:1">
      <c r="A21" s="13" t="s">
        <v>2556</v>
      </c>
    </row>
    <row r="22" spans="1:1">
      <c r="A22" t="s">
        <v>2557</v>
      </c>
    </row>
    <row r="23" spans="1:1">
      <c r="A23" t="s">
        <v>2558</v>
      </c>
    </row>
    <row r="24" spans="1:1">
      <c r="A24" s="164" t="s">
        <v>2559</v>
      </c>
    </row>
  </sheetData>
  <mergeCells count="1">
    <mergeCell ref="A5:B5"/>
  </mergeCells>
  <hyperlinks>
    <hyperlink ref="B10" r:id="rId1" xr:uid="{70340E2E-804A-4757-BDAB-1683250E28CE}"/>
    <hyperlink ref="A19" r:id="rId2" xr:uid="{8445D5FD-6D5C-42EA-8C1A-AC2E0CA4CB87}"/>
    <hyperlink ref="A24" r:id="rId3" xr:uid="{158FFA3E-D5B6-489E-ACEE-D8E819057678}"/>
    <hyperlink ref="B13" r:id="rId4" xr:uid="{66A0C95C-08AC-4736-8692-F359F87B87A8}"/>
    <hyperlink ref="B11" r:id="rId5" xr:uid="{B8CBD68A-4DF7-48D2-ADBE-2338B32FDC02}"/>
    <hyperlink ref="B12" r:id="rId6" xr:uid="{448BC567-A953-4EC1-9356-9AE0F6C48A95}"/>
  </hyperlinks>
  <pageMargins left="0.7" right="0.7" top="0.75" bottom="0.75" header="0.3" footer="0.3"/>
  <pageSetup orientation="portrait" horizontalDpi="4294967293" verticalDpi="0" r:id="rId7"/>
  <drawing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K20"/>
  <sheetViews>
    <sheetView showGridLines="0" zoomScaleNormal="100" workbookViewId="0"/>
  </sheetViews>
  <sheetFormatPr defaultRowHeight="15"/>
  <cols>
    <col min="1" max="1" width="2" customWidth="1"/>
    <col min="2" max="3" width="9" customWidth="1"/>
    <col min="6" max="6" width="9.140625" customWidth="1"/>
    <col min="7" max="7" width="13.140625" customWidth="1"/>
  </cols>
  <sheetData>
    <row r="2" spans="2:11" ht="15.75">
      <c r="B2" s="27" t="s">
        <v>2560</v>
      </c>
    </row>
    <row r="3" spans="2:11" ht="25.5">
      <c r="B3" s="28" t="s">
        <v>2538</v>
      </c>
    </row>
    <row r="4" spans="2:11" ht="14.25" customHeight="1">
      <c r="B4" s="29"/>
    </row>
    <row r="5" spans="2:11" ht="14.25" customHeight="1">
      <c r="B5" s="29"/>
    </row>
    <row r="6" spans="2:11">
      <c r="B6" s="314" t="s">
        <v>2561</v>
      </c>
      <c r="C6" s="314"/>
      <c r="D6" s="314" t="s">
        <v>2562</v>
      </c>
      <c r="E6" s="314"/>
      <c r="F6" s="314"/>
      <c r="G6" s="33" t="s">
        <v>2563</v>
      </c>
      <c r="H6" s="314" t="s">
        <v>2564</v>
      </c>
      <c r="I6" s="314"/>
      <c r="J6" s="314"/>
      <c r="K6" s="314"/>
    </row>
    <row r="7" spans="2:11" ht="15.75">
      <c r="B7" s="318" t="s">
        <v>2565</v>
      </c>
      <c r="C7" s="318"/>
      <c r="D7" s="315" t="s">
        <v>2566</v>
      </c>
      <c r="E7" s="315"/>
      <c r="F7" s="315"/>
      <c r="G7" s="12">
        <v>1999597</v>
      </c>
      <c r="H7" s="317" t="s">
        <v>2567</v>
      </c>
      <c r="I7" s="317"/>
      <c r="J7" s="317"/>
      <c r="K7" s="317"/>
    </row>
    <row r="8" spans="2:11">
      <c r="B8" s="316"/>
      <c r="C8" s="316"/>
      <c r="D8" s="315" t="s">
        <v>2568</v>
      </c>
      <c r="E8" s="315"/>
      <c r="F8" s="315"/>
      <c r="G8" s="12">
        <v>1999596</v>
      </c>
      <c r="H8" s="317" t="s">
        <v>2569</v>
      </c>
      <c r="I8" s="317"/>
      <c r="J8" s="317"/>
      <c r="K8" s="317"/>
    </row>
    <row r="9" spans="2:11">
      <c r="B9" s="316"/>
      <c r="C9" s="316"/>
      <c r="D9" s="315" t="s">
        <v>2570</v>
      </c>
      <c r="E9" s="315"/>
      <c r="F9" s="315"/>
      <c r="G9" s="12">
        <v>1999684</v>
      </c>
      <c r="H9" s="317" t="s">
        <v>2571</v>
      </c>
      <c r="I9" s="317"/>
      <c r="J9" s="317"/>
      <c r="K9" s="317"/>
    </row>
    <row r="11" spans="2:11">
      <c r="B11" s="314" t="s">
        <v>2572</v>
      </c>
      <c r="C11" s="314"/>
      <c r="D11" s="39"/>
    </row>
    <row r="12" spans="2:11">
      <c r="B12" s="42" t="s">
        <v>2573</v>
      </c>
    </row>
    <row r="15" spans="2:11">
      <c r="B15" s="40" t="s">
        <v>2551</v>
      </c>
      <c r="C15" s="41"/>
      <c r="D15" s="15"/>
      <c r="E15" s="15"/>
      <c r="F15" s="15"/>
      <c r="G15" s="15"/>
      <c r="H15" s="15"/>
      <c r="I15" s="15"/>
      <c r="J15" s="15"/>
    </row>
    <row r="16" spans="2:11">
      <c r="B16" s="315" t="s">
        <v>2574</v>
      </c>
      <c r="C16" s="315"/>
      <c r="D16" s="315"/>
      <c r="E16" s="319" t="s">
        <v>2575</v>
      </c>
      <c r="F16" s="319"/>
      <c r="G16" s="43" t="s">
        <v>2576</v>
      </c>
      <c r="H16" s="44"/>
      <c r="I16" s="44"/>
    </row>
    <row r="17" spans="2:9">
      <c r="B17" s="315" t="s">
        <v>2577</v>
      </c>
      <c r="C17" s="315"/>
      <c r="D17" s="315"/>
      <c r="E17" s="319" t="s">
        <v>2575</v>
      </c>
      <c r="F17" s="319"/>
      <c r="G17" s="43" t="s">
        <v>2576</v>
      </c>
      <c r="H17" s="44"/>
      <c r="I17" s="44"/>
    </row>
    <row r="18" spans="2:9">
      <c r="B18" s="315" t="s">
        <v>2578</v>
      </c>
      <c r="C18" s="315"/>
      <c r="D18" s="315"/>
      <c r="E18" s="319" t="s">
        <v>2579</v>
      </c>
      <c r="F18" s="319"/>
      <c r="G18" s="42" t="s">
        <v>2580</v>
      </c>
      <c r="H18" s="44"/>
      <c r="I18" s="44"/>
    </row>
    <row r="19" spans="2:9">
      <c r="B19" s="315" t="s">
        <v>2581</v>
      </c>
      <c r="C19" s="315"/>
      <c r="D19" s="315"/>
      <c r="E19" s="319" t="s">
        <v>2582</v>
      </c>
      <c r="F19" s="319"/>
      <c r="G19" s="42" t="s">
        <v>2583</v>
      </c>
      <c r="H19" s="44"/>
      <c r="I19" s="44"/>
    </row>
    <row r="20" spans="2:9">
      <c r="B20" s="26"/>
      <c r="C20" s="26"/>
    </row>
  </sheetData>
  <mergeCells count="21">
    <mergeCell ref="B19:D19"/>
    <mergeCell ref="E19:F19"/>
    <mergeCell ref="E16:F16"/>
    <mergeCell ref="B17:D17"/>
    <mergeCell ref="E17:F17"/>
    <mergeCell ref="B18:D18"/>
    <mergeCell ref="E18:F18"/>
    <mergeCell ref="B6:C6"/>
    <mergeCell ref="D6:F6"/>
    <mergeCell ref="H6:K6"/>
    <mergeCell ref="B7:C7"/>
    <mergeCell ref="D7:F7"/>
    <mergeCell ref="H7:K7"/>
    <mergeCell ref="B11:C11"/>
    <mergeCell ref="B16:D16"/>
    <mergeCell ref="B8:C8"/>
    <mergeCell ref="D8:F8"/>
    <mergeCell ref="H8:K8"/>
    <mergeCell ref="B9:C9"/>
    <mergeCell ref="D9:F9"/>
    <mergeCell ref="H9:K9"/>
  </mergeCells>
  <hyperlinks>
    <hyperlink ref="H8" r:id="rId1" xr:uid="{893EEEAA-4AA3-408E-8AA9-ED19D8E7ED10}"/>
    <hyperlink ref="H9" r:id="rId2" xr:uid="{90871917-A842-4F6A-B7DA-E00379DE9216}"/>
    <hyperlink ref="H7" r:id="rId3" xr:uid="{357CA4FA-091A-4D03-9E0D-3CFB94851DCB}"/>
    <hyperlink ref="G16" r:id="rId4" xr:uid="{84594BC1-E6B2-4F7E-BD9C-140E91DD94E8}"/>
    <hyperlink ref="G18" r:id="rId5" xr:uid="{0B436C12-6DE0-4C8E-A78A-8CC39DB766D6}"/>
    <hyperlink ref="G19" r:id="rId6" xr:uid="{90E36C21-B32F-43B1-BC7A-A2EB138044A0}"/>
    <hyperlink ref="B12" r:id="rId7" xr:uid="{C9362BD2-463A-4F53-A1B9-2FC9691CE2AA}"/>
    <hyperlink ref="G17" r:id="rId8" xr:uid="{D1E49EC1-0E1B-40D0-A216-B09CD074C0DC}"/>
  </hyperlinks>
  <pageMargins left="0.7" right="0.7" top="0.75" bottom="0.75" header="0.3" footer="0.3"/>
  <pageSetup orientation="portrait" r:id="rId9"/>
  <customProperties>
    <customPr name="EpmWorksheetKeyString_GUID" r:id="rId10"/>
    <customPr name="IbpWorksheetKeyString_GUID" r:id="rId11"/>
  </customProperties>
  <drawing r:id="rId1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ADF20-4400-4229-AC2B-B4D615B47774}">
  <sheetPr>
    <pageSetUpPr fitToPage="1"/>
  </sheetPr>
  <dimension ref="A1:AA28"/>
  <sheetViews>
    <sheetView zoomScale="75" zoomScaleNormal="75" workbookViewId="0"/>
  </sheetViews>
  <sheetFormatPr defaultColWidth="8.85546875" defaultRowHeight="15.75"/>
  <cols>
    <col min="1" max="22" width="8.85546875" style="23"/>
    <col min="23" max="23" width="28.42578125" style="23" bestFit="1" customWidth="1"/>
    <col min="24" max="24" width="30.28515625" style="23" customWidth="1"/>
    <col min="25" max="25" width="18.85546875" style="23" customWidth="1"/>
    <col min="26" max="26" width="40.28515625" style="23" customWidth="1"/>
    <col min="27" max="27" width="22.42578125" style="23" customWidth="1"/>
  </cols>
  <sheetData>
    <row r="1" spans="22:27">
      <c r="V1" s="24" t="s">
        <v>2584</v>
      </c>
      <c r="W1" s="25" t="s">
        <v>2585</v>
      </c>
      <c r="X1" s="25" t="s">
        <v>2586</v>
      </c>
      <c r="Y1" s="25" t="s">
        <v>2587</v>
      </c>
      <c r="Z1" s="25" t="s">
        <v>2588</v>
      </c>
      <c r="AA1" s="25" t="s">
        <v>2589</v>
      </c>
    </row>
    <row r="2" spans="22:27" ht="31.5" customHeight="1">
      <c r="V2" s="34">
        <v>1</v>
      </c>
      <c r="W2" s="30" t="s">
        <v>2590</v>
      </c>
      <c r="X2" s="35" t="s">
        <v>2591</v>
      </c>
      <c r="Y2" s="36" t="s">
        <v>2592</v>
      </c>
      <c r="Z2" s="37" t="s">
        <v>2593</v>
      </c>
      <c r="AA2" s="38" t="s">
        <v>2594</v>
      </c>
    </row>
    <row r="3" spans="22:27" ht="31.5" customHeight="1">
      <c r="V3" s="34">
        <f t="shared" ref="V3:V20" si="0">V2+1</f>
        <v>2</v>
      </c>
      <c r="W3" s="30" t="s">
        <v>2595</v>
      </c>
      <c r="X3" s="35" t="s">
        <v>2591</v>
      </c>
      <c r="Y3" s="36" t="s">
        <v>2596</v>
      </c>
      <c r="Z3" s="37" t="s">
        <v>2597</v>
      </c>
      <c r="AA3" s="38" t="s">
        <v>2594</v>
      </c>
    </row>
    <row r="4" spans="22:27" ht="31.5" customHeight="1">
      <c r="V4" s="34">
        <f t="shared" si="0"/>
        <v>3</v>
      </c>
      <c r="W4" s="30" t="s">
        <v>2598</v>
      </c>
      <c r="X4" s="30" t="s">
        <v>2599</v>
      </c>
      <c r="Y4" s="36" t="s">
        <v>2600</v>
      </c>
      <c r="Z4" s="36" t="s">
        <v>2601</v>
      </c>
      <c r="AA4" s="38" t="s">
        <v>2594</v>
      </c>
    </row>
    <row r="5" spans="22:27" ht="31.5" customHeight="1">
      <c r="V5" s="34">
        <f t="shared" si="0"/>
        <v>4</v>
      </c>
      <c r="W5" s="30" t="s">
        <v>2602</v>
      </c>
      <c r="X5" s="30" t="s">
        <v>2599</v>
      </c>
      <c r="Y5" s="36" t="s">
        <v>2600</v>
      </c>
      <c r="Z5" s="37" t="s">
        <v>2603</v>
      </c>
      <c r="AA5" s="38" t="s">
        <v>2594</v>
      </c>
    </row>
    <row r="6" spans="22:27" ht="31.5" customHeight="1">
      <c r="V6" s="34">
        <f t="shared" si="0"/>
        <v>5</v>
      </c>
      <c r="W6" s="30" t="s">
        <v>2604</v>
      </c>
      <c r="X6" s="30" t="s">
        <v>2605</v>
      </c>
      <c r="Y6" s="36" t="s">
        <v>2606</v>
      </c>
      <c r="Z6" s="37" t="s">
        <v>2607</v>
      </c>
      <c r="AA6" s="38" t="s">
        <v>2594</v>
      </c>
    </row>
    <row r="7" spans="22:27" ht="31.5" customHeight="1">
      <c r="V7" s="34">
        <f t="shared" si="0"/>
        <v>6</v>
      </c>
      <c r="W7" s="30" t="s">
        <v>2608</v>
      </c>
      <c r="X7" s="30" t="s">
        <v>2609</v>
      </c>
      <c r="Y7" s="36" t="s">
        <v>2610</v>
      </c>
      <c r="Z7" s="37" t="s">
        <v>2611</v>
      </c>
      <c r="AA7" s="38" t="s">
        <v>2594</v>
      </c>
    </row>
    <row r="8" spans="22:27" ht="31.5" customHeight="1">
      <c r="V8" s="34">
        <f t="shared" si="0"/>
        <v>7</v>
      </c>
      <c r="W8" s="30" t="s">
        <v>2612</v>
      </c>
      <c r="X8" s="30" t="s">
        <v>2609</v>
      </c>
      <c r="Y8" s="36" t="s">
        <v>2610</v>
      </c>
      <c r="Z8" s="37" t="s">
        <v>2613</v>
      </c>
      <c r="AA8" s="38" t="s">
        <v>2594</v>
      </c>
    </row>
    <row r="9" spans="22:27" ht="31.5" customHeight="1">
      <c r="V9" s="34">
        <f t="shared" si="0"/>
        <v>8</v>
      </c>
      <c r="W9" s="30" t="s">
        <v>2614</v>
      </c>
      <c r="X9" s="30" t="s">
        <v>2615</v>
      </c>
      <c r="Y9" s="36" t="s">
        <v>2616</v>
      </c>
      <c r="Z9" s="37" t="s">
        <v>2617</v>
      </c>
      <c r="AA9" s="38" t="s">
        <v>2618</v>
      </c>
    </row>
    <row r="10" spans="22:27" ht="31.5" customHeight="1">
      <c r="V10" s="34">
        <f t="shared" si="0"/>
        <v>9</v>
      </c>
      <c r="W10" s="30" t="s">
        <v>2619</v>
      </c>
      <c r="X10" s="30" t="s">
        <v>2620</v>
      </c>
      <c r="Y10" s="36" t="s">
        <v>2621</v>
      </c>
      <c r="Z10" s="37" t="s">
        <v>2622</v>
      </c>
      <c r="AA10" s="38" t="s">
        <v>2623</v>
      </c>
    </row>
    <row r="11" spans="22:27" ht="31.5" customHeight="1">
      <c r="V11" s="34">
        <f t="shared" si="0"/>
        <v>10</v>
      </c>
      <c r="W11" s="30" t="s">
        <v>2624</v>
      </c>
      <c r="X11" s="30" t="s">
        <v>2625</v>
      </c>
      <c r="Y11" s="36" t="s">
        <v>2626</v>
      </c>
      <c r="Z11" s="37" t="s">
        <v>2627</v>
      </c>
      <c r="AA11" s="38" t="s">
        <v>2623</v>
      </c>
    </row>
    <row r="12" spans="22:27" ht="31.5" customHeight="1">
      <c r="V12" s="34">
        <f t="shared" si="0"/>
        <v>11</v>
      </c>
      <c r="W12" s="30" t="s">
        <v>2628</v>
      </c>
      <c r="X12" s="30" t="s">
        <v>2629</v>
      </c>
      <c r="Y12" s="36" t="s">
        <v>2630</v>
      </c>
      <c r="Z12" s="37" t="s">
        <v>2631</v>
      </c>
      <c r="AA12" s="38" t="s">
        <v>2623</v>
      </c>
    </row>
    <row r="13" spans="22:27" ht="31.5" customHeight="1">
      <c r="V13" s="34">
        <f t="shared" si="0"/>
        <v>12</v>
      </c>
      <c r="W13" s="30" t="s">
        <v>2632</v>
      </c>
      <c r="X13" s="35" t="s">
        <v>2633</v>
      </c>
      <c r="Y13" s="36" t="s">
        <v>2634</v>
      </c>
      <c r="Z13" s="37" t="s">
        <v>2635</v>
      </c>
      <c r="AA13" s="38" t="s">
        <v>2618</v>
      </c>
    </row>
    <row r="14" spans="22:27" ht="31.5" customHeight="1">
      <c r="V14" s="34">
        <f t="shared" si="0"/>
        <v>13</v>
      </c>
      <c r="W14" s="30" t="s">
        <v>2636</v>
      </c>
      <c r="X14" s="30" t="s">
        <v>2637</v>
      </c>
      <c r="Y14" s="36" t="s">
        <v>2638</v>
      </c>
      <c r="Z14" s="11" t="s">
        <v>2639</v>
      </c>
      <c r="AA14" s="38" t="s">
        <v>2618</v>
      </c>
    </row>
    <row r="15" spans="22:27" ht="31.5" customHeight="1">
      <c r="V15" s="34">
        <f t="shared" si="0"/>
        <v>14</v>
      </c>
      <c r="W15" s="30" t="s">
        <v>2640</v>
      </c>
      <c r="X15" s="30" t="s">
        <v>2641</v>
      </c>
      <c r="Y15" s="36" t="s">
        <v>2642</v>
      </c>
      <c r="Z15" s="37" t="s">
        <v>2643</v>
      </c>
      <c r="AA15" s="38" t="s">
        <v>2623</v>
      </c>
    </row>
    <row r="16" spans="22:27" ht="31.5" customHeight="1">
      <c r="V16" s="34">
        <f t="shared" si="0"/>
        <v>15</v>
      </c>
      <c r="W16" s="30" t="s">
        <v>2644</v>
      </c>
      <c r="X16" s="30" t="s">
        <v>2645</v>
      </c>
      <c r="Y16" s="36" t="s">
        <v>2646</v>
      </c>
      <c r="Z16" s="36" t="s">
        <v>2647</v>
      </c>
      <c r="AA16" s="38" t="s">
        <v>2618</v>
      </c>
    </row>
    <row r="17" spans="6:27" ht="31.5" customHeight="1">
      <c r="V17" s="34">
        <f t="shared" si="0"/>
        <v>16</v>
      </c>
      <c r="W17" s="30" t="s">
        <v>2648</v>
      </c>
      <c r="X17" s="30" t="s">
        <v>2649</v>
      </c>
      <c r="Y17" s="36" t="s">
        <v>2650</v>
      </c>
      <c r="Z17" s="37" t="s">
        <v>2651</v>
      </c>
      <c r="AA17" s="38" t="s">
        <v>2623</v>
      </c>
    </row>
    <row r="18" spans="6:27" ht="31.5" customHeight="1">
      <c r="V18" s="34">
        <f t="shared" si="0"/>
        <v>17</v>
      </c>
      <c r="W18" s="30" t="s">
        <v>2652</v>
      </c>
      <c r="X18" s="30" t="s">
        <v>2653</v>
      </c>
      <c r="Y18" s="36" t="s">
        <v>2650</v>
      </c>
      <c r="Z18" s="37" t="s">
        <v>2654</v>
      </c>
      <c r="AA18" s="38" t="s">
        <v>2623</v>
      </c>
    </row>
    <row r="19" spans="6:27" ht="31.5" customHeight="1">
      <c r="V19" s="34">
        <f t="shared" si="0"/>
        <v>18</v>
      </c>
      <c r="W19" s="30" t="s">
        <v>2655</v>
      </c>
      <c r="X19" s="30" t="s">
        <v>2656</v>
      </c>
      <c r="Y19" s="36" t="s">
        <v>2657</v>
      </c>
      <c r="Z19" s="37" t="s">
        <v>2658</v>
      </c>
      <c r="AA19" s="38" t="s">
        <v>2623</v>
      </c>
    </row>
    <row r="20" spans="6:27" ht="31.5" customHeight="1">
      <c r="V20" s="34">
        <f t="shared" si="0"/>
        <v>19</v>
      </c>
      <c r="W20" s="30" t="s">
        <v>2659</v>
      </c>
      <c r="X20" s="30" t="s">
        <v>2599</v>
      </c>
      <c r="Y20" s="36" t="s">
        <v>2600</v>
      </c>
      <c r="Z20" s="37" t="s">
        <v>2660</v>
      </c>
      <c r="AA20" s="38" t="s">
        <v>2594</v>
      </c>
    </row>
    <row r="22" spans="6:27">
      <c r="W22" s="172"/>
    </row>
    <row r="23" spans="6:27">
      <c r="W23" s="172"/>
    </row>
    <row r="28" spans="6:27">
      <c r="F28" s="26"/>
    </row>
  </sheetData>
  <pageMargins left="0.7" right="0.7" top="0.75" bottom="0.75" header="0.3" footer="0.3"/>
  <pageSetup scale="3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ADDE0-F411-4EBC-9D00-F24EC7644BF0}">
  <dimension ref="A1:X31"/>
  <sheetViews>
    <sheetView workbookViewId="0"/>
  </sheetViews>
  <sheetFormatPr defaultRowHeight="15"/>
  <sheetData>
    <row r="1" spans="1:24" ht="15.75">
      <c r="A1" s="173"/>
      <c r="B1" s="173"/>
      <c r="C1" s="173"/>
      <c r="D1" s="173"/>
      <c r="E1" s="174"/>
      <c r="F1" s="17"/>
      <c r="G1" s="17"/>
      <c r="H1" s="17"/>
      <c r="I1" s="17"/>
      <c r="J1" s="17"/>
      <c r="K1" s="17"/>
      <c r="L1" s="17"/>
      <c r="M1" s="17"/>
      <c r="N1" s="17"/>
      <c r="O1" s="17"/>
      <c r="P1" s="17"/>
      <c r="Q1" s="17"/>
      <c r="R1" s="17"/>
      <c r="S1" s="17"/>
      <c r="T1" s="17"/>
      <c r="U1" s="17"/>
      <c r="V1" s="17"/>
      <c r="W1" s="17"/>
      <c r="X1" s="17"/>
    </row>
    <row r="2" spans="1:24" ht="15.75">
      <c r="A2" s="175" t="s">
        <v>2661</v>
      </c>
      <c r="B2" s="174"/>
      <c r="C2" s="174"/>
      <c r="D2" s="174"/>
      <c r="E2" s="176"/>
      <c r="F2" s="17"/>
      <c r="G2" s="17"/>
      <c r="H2" s="17"/>
      <c r="I2" s="17"/>
      <c r="J2" s="17"/>
      <c r="K2" s="17"/>
      <c r="L2" s="17"/>
      <c r="M2" s="17"/>
      <c r="N2" s="17"/>
      <c r="O2" s="17"/>
      <c r="P2" s="17"/>
      <c r="Q2" s="17"/>
      <c r="R2" s="17"/>
      <c r="S2" s="17"/>
      <c r="T2" s="17"/>
      <c r="U2" s="17"/>
      <c r="V2" s="17"/>
      <c r="W2" s="17"/>
      <c r="X2" s="17"/>
    </row>
    <row r="3" spans="1:24" ht="15.75">
      <c r="A3" s="176"/>
      <c r="B3" s="176"/>
      <c r="C3" s="176"/>
      <c r="D3" s="176"/>
      <c r="E3" s="176"/>
      <c r="F3" s="17"/>
      <c r="G3" s="17"/>
      <c r="H3" s="17"/>
      <c r="I3" s="17"/>
      <c r="J3" s="17"/>
      <c r="K3" s="17"/>
      <c r="L3" s="17"/>
      <c r="M3" s="17"/>
      <c r="N3" s="17"/>
      <c r="O3" s="17"/>
      <c r="P3" s="17"/>
      <c r="Q3" s="17"/>
      <c r="R3" s="17"/>
      <c r="S3" s="17"/>
      <c r="T3" s="17"/>
      <c r="U3" s="17"/>
      <c r="V3" s="17"/>
      <c r="W3" s="17"/>
      <c r="X3" s="17"/>
    </row>
    <row r="4" spans="1:24" ht="15.75">
      <c r="A4" s="177" t="s">
        <v>2662</v>
      </c>
      <c r="B4" s="177"/>
      <c r="C4" s="177"/>
      <c r="D4" s="176"/>
      <c r="E4" s="176"/>
      <c r="F4" s="17"/>
      <c r="G4" s="17"/>
      <c r="H4" s="17"/>
      <c r="I4" s="17"/>
      <c r="J4" s="17"/>
      <c r="K4" s="17"/>
      <c r="L4" s="17"/>
      <c r="M4" s="17"/>
      <c r="N4" s="17"/>
      <c r="O4" s="17"/>
      <c r="P4" s="17"/>
      <c r="Q4" s="17"/>
      <c r="R4" s="17"/>
      <c r="S4" s="17"/>
      <c r="T4" s="17"/>
      <c r="U4" s="17"/>
      <c r="V4" s="17"/>
      <c r="W4" s="17"/>
      <c r="X4" s="17"/>
    </row>
    <row r="5" spans="1:24" ht="15.75">
      <c r="A5" s="178" t="s">
        <v>2663</v>
      </c>
      <c r="B5" s="176"/>
      <c r="C5" s="176"/>
      <c r="D5" s="176"/>
      <c r="E5" s="176"/>
      <c r="F5" s="17"/>
      <c r="G5" s="17"/>
      <c r="H5" s="17"/>
      <c r="I5" s="17"/>
      <c r="J5" s="17"/>
      <c r="K5" s="17"/>
      <c r="L5" s="17"/>
      <c r="M5" s="17"/>
      <c r="N5" s="17"/>
      <c r="O5" s="17"/>
      <c r="P5" s="17"/>
      <c r="Q5" s="17"/>
      <c r="R5" s="17"/>
      <c r="S5" s="17"/>
      <c r="T5" s="17"/>
      <c r="U5" s="17"/>
      <c r="V5" s="17"/>
      <c r="W5" s="17"/>
      <c r="X5" s="17"/>
    </row>
    <row r="6" spans="1:24" ht="15.75">
      <c r="A6" s="176" t="s">
        <v>2664</v>
      </c>
      <c r="B6" s="176"/>
      <c r="C6" s="176"/>
      <c r="D6" s="176"/>
      <c r="E6" s="176"/>
      <c r="F6" s="17"/>
      <c r="G6" s="17"/>
      <c r="H6" s="17"/>
      <c r="I6" s="17"/>
      <c r="J6" s="17"/>
      <c r="K6" s="17"/>
      <c r="L6" s="17"/>
      <c r="M6" s="17"/>
      <c r="N6" s="17"/>
      <c r="O6" s="17"/>
      <c r="P6" s="17"/>
      <c r="Q6" s="17"/>
      <c r="R6" s="17"/>
      <c r="S6" s="17"/>
      <c r="T6" s="17"/>
      <c r="U6" s="17"/>
      <c r="V6" s="17"/>
      <c r="W6" s="17"/>
      <c r="X6" s="17"/>
    </row>
    <row r="7" spans="1:24" ht="15.75">
      <c r="A7" s="176"/>
      <c r="B7" s="176"/>
      <c r="C7" s="176"/>
      <c r="D7" s="176"/>
      <c r="E7" s="176"/>
      <c r="F7" s="17"/>
      <c r="G7" s="17"/>
      <c r="H7" s="17"/>
      <c r="I7" s="17"/>
      <c r="J7" s="17"/>
      <c r="K7" s="17"/>
      <c r="L7" s="17"/>
      <c r="M7" s="17"/>
      <c r="N7" s="17"/>
      <c r="O7" s="17"/>
      <c r="P7" s="17"/>
      <c r="Q7" s="17"/>
      <c r="R7" s="17"/>
      <c r="S7" s="17"/>
      <c r="T7" s="17"/>
      <c r="U7" s="17"/>
      <c r="V7" s="17"/>
      <c r="W7" s="17"/>
      <c r="X7" s="17"/>
    </row>
    <row r="8" spans="1:24" ht="15.75">
      <c r="A8" s="177" t="s">
        <v>2665</v>
      </c>
      <c r="B8" s="176"/>
      <c r="C8" s="176"/>
      <c r="D8" s="176"/>
      <c r="E8" s="176"/>
      <c r="F8" s="17"/>
      <c r="G8" s="17"/>
      <c r="H8" s="17"/>
      <c r="I8" s="17"/>
      <c r="J8" s="17"/>
      <c r="K8" s="17"/>
      <c r="L8" s="17"/>
      <c r="M8" s="17"/>
      <c r="N8" s="17"/>
      <c r="O8" s="17"/>
      <c r="P8" s="17"/>
      <c r="Q8" s="17"/>
      <c r="R8" s="17"/>
      <c r="S8" s="17"/>
      <c r="T8" s="17"/>
      <c r="U8" s="17"/>
      <c r="V8" s="17"/>
      <c r="W8" s="17"/>
      <c r="X8" s="17"/>
    </row>
    <row r="9" spans="1:24" ht="15.75">
      <c r="A9" s="178" t="s">
        <v>2666</v>
      </c>
      <c r="B9" s="176"/>
      <c r="C9" s="176"/>
      <c r="D9" s="176"/>
      <c r="E9" s="176"/>
      <c r="F9" s="17"/>
      <c r="G9" s="17"/>
      <c r="H9" s="17"/>
      <c r="I9" s="17"/>
      <c r="J9" s="17"/>
      <c r="K9" s="17"/>
      <c r="L9" s="17"/>
      <c r="M9" s="17"/>
      <c r="N9" s="17"/>
      <c r="O9" s="17"/>
      <c r="P9" s="17"/>
      <c r="Q9" s="17"/>
      <c r="R9" s="17"/>
      <c r="S9" s="17"/>
      <c r="T9" s="17"/>
      <c r="U9" s="17"/>
      <c r="V9" s="17"/>
      <c r="W9" s="17"/>
      <c r="X9" s="17"/>
    </row>
    <row r="10" spans="1:24" ht="15.75">
      <c r="A10" s="176" t="s">
        <v>2667</v>
      </c>
      <c r="B10" s="176"/>
      <c r="C10" s="176"/>
      <c r="D10" s="176"/>
      <c r="E10" s="176"/>
      <c r="F10" s="17"/>
      <c r="G10" s="17"/>
      <c r="H10" s="17"/>
      <c r="I10" s="17"/>
      <c r="J10" s="17"/>
      <c r="K10" s="17"/>
      <c r="L10" s="17"/>
      <c r="M10" s="17"/>
      <c r="N10" s="17"/>
      <c r="O10" s="17"/>
      <c r="P10" s="17"/>
      <c r="Q10" s="17"/>
      <c r="R10" s="17"/>
      <c r="S10" s="17"/>
      <c r="T10" s="17"/>
      <c r="U10" s="17"/>
      <c r="V10" s="17"/>
      <c r="W10" s="17"/>
      <c r="X10" s="17"/>
    </row>
    <row r="11" spans="1:24" ht="15.75">
      <c r="A11" s="176"/>
      <c r="B11" s="176"/>
      <c r="C11" s="176"/>
      <c r="D11" s="176"/>
      <c r="E11" s="176"/>
      <c r="F11" s="17"/>
      <c r="G11" s="17"/>
      <c r="H11" s="17"/>
      <c r="I11" s="17"/>
      <c r="J11" s="17"/>
      <c r="K11" s="17"/>
      <c r="L11" s="17"/>
      <c r="M11" s="17"/>
      <c r="N11" s="17"/>
      <c r="O11" s="17"/>
      <c r="P11" s="17"/>
      <c r="Q11" s="17"/>
      <c r="R11" s="17"/>
      <c r="S11" s="17"/>
      <c r="T11" s="17"/>
      <c r="U11" s="17"/>
      <c r="V11" s="17"/>
      <c r="W11" s="17"/>
      <c r="X11" s="17"/>
    </row>
    <row r="12" spans="1:24" ht="15.75">
      <c r="A12" s="179" t="s">
        <v>2668</v>
      </c>
      <c r="B12" s="180"/>
      <c r="C12" s="180"/>
      <c r="D12" s="176"/>
      <c r="E12" s="176"/>
      <c r="F12" s="17"/>
      <c r="G12" s="17"/>
      <c r="H12" s="17"/>
      <c r="I12" s="17"/>
      <c r="J12" s="17"/>
      <c r="K12" s="17"/>
      <c r="L12" s="17"/>
      <c r="M12" s="17"/>
      <c r="N12" s="17"/>
      <c r="O12" s="17"/>
      <c r="P12" s="17"/>
      <c r="Q12" s="17"/>
      <c r="R12" s="17"/>
      <c r="S12" s="17"/>
      <c r="T12" s="17"/>
      <c r="U12" s="17"/>
      <c r="V12" s="17"/>
      <c r="W12" s="17"/>
      <c r="X12" s="17"/>
    </row>
    <row r="13" spans="1:24" ht="15.75">
      <c r="A13" s="179" t="s">
        <v>2669</v>
      </c>
      <c r="B13" s="180"/>
      <c r="C13" s="180"/>
      <c r="D13" s="176"/>
      <c r="E13" s="176"/>
      <c r="F13" s="17"/>
      <c r="G13" s="17"/>
      <c r="H13" s="17"/>
      <c r="I13" s="17"/>
      <c r="J13" s="17"/>
      <c r="K13" s="17"/>
      <c r="L13" s="17"/>
      <c r="M13" s="17"/>
      <c r="N13" s="17"/>
      <c r="O13" s="17"/>
      <c r="P13" s="17"/>
      <c r="Q13" s="17"/>
      <c r="R13" s="17"/>
      <c r="S13" s="17"/>
      <c r="T13" s="17"/>
      <c r="U13" s="17"/>
      <c r="V13" s="17"/>
      <c r="W13" s="17"/>
      <c r="X13" s="17"/>
    </row>
    <row r="14" spans="1:24" ht="15.75">
      <c r="A14" s="180" t="s">
        <v>2670</v>
      </c>
      <c r="B14" s="180"/>
      <c r="C14" s="180"/>
      <c r="D14" s="176"/>
      <c r="E14" s="176"/>
      <c r="F14" s="17"/>
      <c r="G14" s="17"/>
      <c r="H14" s="17"/>
      <c r="I14" s="17"/>
      <c r="J14" s="17"/>
      <c r="K14" s="17"/>
      <c r="L14" s="17"/>
      <c r="M14" s="17"/>
      <c r="N14" s="17"/>
      <c r="O14" s="17"/>
      <c r="P14" s="17"/>
      <c r="Q14" s="17"/>
      <c r="R14" s="17"/>
      <c r="S14" s="17"/>
      <c r="T14" s="17"/>
      <c r="U14" s="17"/>
      <c r="V14" s="17"/>
      <c r="W14" s="17"/>
      <c r="X14" s="17"/>
    </row>
    <row r="15" spans="1:24" ht="15.75">
      <c r="A15" s="180"/>
      <c r="B15" s="180"/>
      <c r="C15" s="180"/>
      <c r="D15" s="176"/>
      <c r="E15" s="181"/>
      <c r="F15" s="17"/>
      <c r="G15" s="17"/>
      <c r="H15" s="17"/>
      <c r="I15" s="17"/>
      <c r="J15" s="17"/>
      <c r="K15" s="17"/>
      <c r="L15" s="17"/>
      <c r="M15" s="17"/>
      <c r="N15" s="17"/>
      <c r="O15" s="17"/>
      <c r="P15" s="17"/>
      <c r="Q15" s="17"/>
      <c r="R15" s="17"/>
      <c r="S15" s="17"/>
      <c r="T15" s="17"/>
      <c r="U15" s="17"/>
      <c r="V15" s="17"/>
      <c r="W15" s="17"/>
      <c r="X15" s="17"/>
    </row>
    <row r="16" spans="1:24" ht="15.75">
      <c r="A16" s="180" t="s">
        <v>2671</v>
      </c>
      <c r="B16" s="180"/>
      <c r="C16" s="180"/>
      <c r="D16" s="176"/>
      <c r="E16" s="181"/>
      <c r="F16" s="17"/>
      <c r="G16" s="17"/>
      <c r="H16" s="17"/>
      <c r="I16" s="17"/>
      <c r="J16" s="17"/>
      <c r="K16" s="17"/>
      <c r="L16" s="17"/>
      <c r="M16" s="17"/>
      <c r="N16" s="17"/>
      <c r="O16" s="17"/>
      <c r="P16" s="17"/>
      <c r="Q16" s="17"/>
      <c r="R16" s="17"/>
      <c r="S16" s="17"/>
      <c r="T16" s="17"/>
      <c r="U16" s="17"/>
      <c r="V16" s="17"/>
      <c r="W16" s="17"/>
      <c r="X16" s="17"/>
    </row>
    <row r="17" spans="1:24" ht="15.75">
      <c r="A17" s="180" t="s">
        <v>2672</v>
      </c>
      <c r="B17" s="180"/>
      <c r="C17" s="180"/>
      <c r="D17" s="176"/>
      <c r="E17" s="181"/>
      <c r="F17" s="17"/>
      <c r="G17" s="17"/>
      <c r="H17" s="17"/>
      <c r="I17" s="17"/>
      <c r="J17" s="17"/>
      <c r="K17" s="17"/>
      <c r="L17" s="17"/>
      <c r="M17" s="17"/>
      <c r="N17" s="17"/>
      <c r="O17" s="17"/>
      <c r="P17" s="17"/>
      <c r="Q17" s="17"/>
      <c r="R17" s="17"/>
      <c r="S17" s="17"/>
      <c r="T17" s="17"/>
      <c r="U17" s="17"/>
      <c r="V17" s="17"/>
      <c r="W17" s="17"/>
      <c r="X17" s="17"/>
    </row>
    <row r="18" spans="1:24" ht="15.75">
      <c r="A18" s="180" t="s">
        <v>2673</v>
      </c>
      <c r="B18" s="180"/>
      <c r="C18" s="180"/>
      <c r="D18" s="176"/>
      <c r="E18" s="176"/>
      <c r="F18" s="17"/>
      <c r="G18" s="17"/>
      <c r="H18" s="17"/>
      <c r="I18" s="17"/>
      <c r="J18" s="17"/>
      <c r="K18" s="17"/>
      <c r="L18" s="17"/>
      <c r="M18" s="17"/>
      <c r="N18" s="17"/>
      <c r="O18" s="17"/>
      <c r="P18" s="17"/>
      <c r="Q18" s="17"/>
      <c r="R18" s="17"/>
      <c r="S18" s="17"/>
      <c r="T18" s="17"/>
      <c r="U18" s="17"/>
      <c r="V18" s="17"/>
      <c r="W18" s="17"/>
      <c r="X18" s="17"/>
    </row>
    <row r="19" spans="1:24" ht="15.75">
      <c r="A19" s="179"/>
      <c r="B19" s="180"/>
      <c r="C19" s="180"/>
      <c r="D19" s="176"/>
      <c r="E19" s="176"/>
      <c r="F19" s="17"/>
      <c r="G19" s="17"/>
      <c r="H19" s="17"/>
      <c r="I19" s="17"/>
      <c r="J19" s="17"/>
      <c r="K19" s="17"/>
      <c r="L19" s="17"/>
      <c r="M19" s="17"/>
      <c r="N19" s="17"/>
      <c r="O19" s="17"/>
      <c r="P19" s="17"/>
      <c r="Q19" s="17"/>
      <c r="R19" s="17"/>
      <c r="S19" s="17"/>
      <c r="T19" s="17"/>
      <c r="U19" s="17"/>
      <c r="V19" s="17"/>
      <c r="W19" s="17"/>
      <c r="X19" s="17"/>
    </row>
    <row r="20" spans="1:24" ht="15.75">
      <c r="A20" s="176"/>
      <c r="B20" s="176"/>
      <c r="C20" s="176"/>
      <c r="D20" s="176"/>
      <c r="E20" s="176"/>
      <c r="F20" s="17"/>
      <c r="G20" s="17"/>
      <c r="H20" s="17"/>
      <c r="I20" s="17"/>
      <c r="J20" s="17"/>
      <c r="K20" s="17"/>
      <c r="L20" s="17"/>
      <c r="M20" s="17"/>
      <c r="N20" s="17"/>
      <c r="O20" s="17"/>
      <c r="P20" s="17"/>
      <c r="Q20" s="17"/>
      <c r="R20" s="17"/>
      <c r="S20" s="17"/>
      <c r="T20" s="17"/>
      <c r="U20" s="17"/>
      <c r="V20" s="17"/>
      <c r="W20" s="17"/>
      <c r="X20" s="17"/>
    </row>
    <row r="21" spans="1:24" ht="15.75">
      <c r="A21" s="182" t="s">
        <v>2674</v>
      </c>
      <c r="B21" s="181"/>
      <c r="C21" s="181"/>
      <c r="D21" s="181"/>
      <c r="E21" s="176"/>
      <c r="F21" s="17"/>
      <c r="G21" s="17"/>
      <c r="H21" s="17"/>
      <c r="I21" s="17"/>
      <c r="J21" s="17"/>
      <c r="K21" s="17"/>
      <c r="L21" s="17"/>
      <c r="M21" s="17"/>
      <c r="N21" s="17"/>
      <c r="O21" s="17"/>
      <c r="P21" s="17"/>
      <c r="Q21" s="17"/>
      <c r="R21" s="17"/>
      <c r="S21" s="17"/>
      <c r="T21" s="17"/>
      <c r="U21" s="17"/>
      <c r="V21" s="17"/>
      <c r="W21" s="17"/>
      <c r="X21" s="17"/>
    </row>
    <row r="22" spans="1:24" ht="15.75">
      <c r="A22" s="183" t="s">
        <v>2675</v>
      </c>
      <c r="B22" s="181"/>
      <c r="C22" s="181"/>
      <c r="D22" s="181"/>
      <c r="E22" s="176"/>
      <c r="F22" s="17"/>
      <c r="G22" s="17"/>
      <c r="H22" s="17"/>
      <c r="I22" s="17"/>
      <c r="J22" s="17"/>
      <c r="K22" s="17"/>
      <c r="L22" s="17"/>
      <c r="M22" s="17"/>
      <c r="N22" s="17"/>
      <c r="O22" s="17"/>
      <c r="P22" s="17"/>
      <c r="Q22" s="17"/>
      <c r="R22" s="17"/>
      <c r="S22" s="17"/>
      <c r="T22" s="17"/>
      <c r="U22" s="17"/>
      <c r="V22" s="17"/>
      <c r="W22" s="17"/>
      <c r="X22" s="17"/>
    </row>
    <row r="23" spans="1:24" ht="15.75">
      <c r="A23" s="181" t="s">
        <v>2676</v>
      </c>
      <c r="B23" s="181"/>
      <c r="C23" s="181"/>
      <c r="D23" s="181"/>
      <c r="E23" s="176"/>
      <c r="F23" s="17"/>
      <c r="G23" s="17"/>
      <c r="H23" s="17"/>
      <c r="I23" s="17"/>
      <c r="J23" s="17"/>
      <c r="K23" s="17"/>
      <c r="L23" s="17"/>
      <c r="M23" s="17"/>
      <c r="N23" s="17"/>
      <c r="O23" s="17"/>
      <c r="P23" s="17"/>
      <c r="Q23" s="17"/>
      <c r="R23" s="17"/>
      <c r="S23" s="17"/>
      <c r="T23" s="17"/>
      <c r="U23" s="17"/>
      <c r="V23" s="17"/>
      <c r="W23" s="17"/>
      <c r="X23" s="17"/>
    </row>
    <row r="24" spans="1:24" ht="15.75">
      <c r="A24" s="176"/>
      <c r="B24" s="176"/>
      <c r="C24" s="176"/>
      <c r="D24" s="176"/>
      <c r="E24" s="176"/>
      <c r="F24" s="17"/>
      <c r="G24" s="17"/>
      <c r="H24" s="17"/>
      <c r="I24" s="17"/>
      <c r="J24" s="17"/>
      <c r="K24" s="17"/>
      <c r="L24" s="17"/>
      <c r="M24" s="17"/>
      <c r="N24" s="17"/>
      <c r="O24" s="17"/>
      <c r="P24" s="17"/>
      <c r="Q24" s="17"/>
      <c r="R24" s="17"/>
      <c r="S24" s="17"/>
      <c r="T24" s="17"/>
      <c r="U24" s="17"/>
      <c r="V24" s="17"/>
      <c r="W24" s="17"/>
      <c r="X24" s="17"/>
    </row>
    <row r="25" spans="1:24" ht="15.75">
      <c r="A25" s="182" t="s">
        <v>2677</v>
      </c>
      <c r="B25" s="181"/>
      <c r="C25" s="181"/>
      <c r="D25" s="184"/>
      <c r="E25" s="176"/>
      <c r="F25" s="10"/>
      <c r="G25" s="10"/>
      <c r="H25" s="10"/>
      <c r="I25" s="10"/>
      <c r="J25" s="10"/>
      <c r="K25" s="10"/>
      <c r="L25" s="10"/>
      <c r="M25" s="10"/>
      <c r="N25" s="10"/>
      <c r="O25" s="10"/>
      <c r="P25" s="10"/>
      <c r="Q25" s="10"/>
      <c r="R25" s="10"/>
      <c r="S25" s="10"/>
      <c r="T25" s="10"/>
      <c r="U25" s="10"/>
      <c r="V25" s="17"/>
      <c r="W25" s="17"/>
      <c r="X25" s="17"/>
    </row>
    <row r="26" spans="1:24" ht="15.75">
      <c r="A26" s="183" t="s">
        <v>2678</v>
      </c>
      <c r="B26" s="181"/>
      <c r="C26" s="181"/>
      <c r="D26" s="184"/>
      <c r="E26" s="176"/>
      <c r="F26" s="10"/>
      <c r="G26" s="10"/>
      <c r="H26" s="10"/>
      <c r="I26" s="10"/>
      <c r="J26" s="10"/>
      <c r="K26" s="10"/>
      <c r="L26" s="10"/>
      <c r="M26" s="10"/>
      <c r="N26" s="10"/>
      <c r="O26" s="10"/>
      <c r="P26" s="10"/>
      <c r="Q26" s="10"/>
      <c r="R26" s="10"/>
      <c r="S26" s="10"/>
      <c r="T26" s="10"/>
      <c r="U26" s="10"/>
      <c r="V26" s="17"/>
      <c r="W26" s="17"/>
      <c r="X26" s="17"/>
    </row>
    <row r="27" spans="1:24" ht="15.75">
      <c r="A27" s="181" t="s">
        <v>2679</v>
      </c>
      <c r="B27" s="181"/>
      <c r="C27" s="181"/>
      <c r="D27" s="184"/>
      <c r="E27" s="176"/>
      <c r="F27" s="10"/>
      <c r="G27" s="10"/>
      <c r="H27" s="10"/>
      <c r="I27" s="10"/>
      <c r="J27" s="10"/>
      <c r="K27" s="10"/>
      <c r="L27" s="10"/>
      <c r="M27" s="10"/>
      <c r="N27" s="10"/>
      <c r="O27" s="10"/>
      <c r="P27" s="10"/>
      <c r="Q27" s="10"/>
      <c r="R27" s="10"/>
      <c r="S27" s="10"/>
      <c r="T27" s="10"/>
      <c r="U27" s="10"/>
      <c r="V27" s="17"/>
      <c r="W27" s="17"/>
      <c r="X27" s="17"/>
    </row>
    <row r="28" spans="1:24" ht="15.75">
      <c r="A28" s="176"/>
      <c r="B28" s="176"/>
      <c r="C28" s="176"/>
      <c r="D28" s="176"/>
      <c r="E28" s="176"/>
      <c r="F28" s="10"/>
      <c r="G28" s="10"/>
      <c r="H28" s="10"/>
      <c r="I28" s="10"/>
      <c r="J28" s="10"/>
      <c r="K28" s="10"/>
      <c r="L28" s="10"/>
      <c r="M28" s="10"/>
      <c r="N28" s="10"/>
      <c r="O28" s="10"/>
      <c r="P28" s="10"/>
      <c r="Q28" s="10"/>
      <c r="R28" s="10"/>
      <c r="S28" s="10"/>
      <c r="T28" s="10"/>
      <c r="U28" s="10"/>
      <c r="V28" s="17"/>
      <c r="W28" s="17"/>
      <c r="X28" s="17"/>
    </row>
    <row r="29" spans="1:24" ht="15.75">
      <c r="A29" s="178"/>
      <c r="B29" s="176"/>
      <c r="C29" s="176"/>
      <c r="D29" s="176"/>
      <c r="E29" s="176"/>
      <c r="F29" s="10"/>
      <c r="G29" s="10"/>
      <c r="H29" s="10"/>
      <c r="I29" s="10"/>
      <c r="J29" s="10"/>
      <c r="K29" s="10"/>
      <c r="L29" s="10"/>
      <c r="M29" s="10"/>
      <c r="N29" s="10"/>
      <c r="O29" s="10"/>
      <c r="P29" s="10"/>
      <c r="Q29" s="10"/>
      <c r="R29" s="10"/>
      <c r="S29" s="10"/>
      <c r="T29" s="10"/>
      <c r="U29" s="10"/>
      <c r="V29" s="17"/>
      <c r="W29" s="17"/>
      <c r="X29" s="17"/>
    </row>
    <row r="30" spans="1:24" ht="15.75">
      <c r="A30" s="176"/>
      <c r="B30" s="176"/>
      <c r="C30" s="176"/>
      <c r="D30" s="176"/>
      <c r="E30" s="176"/>
      <c r="F30" s="10"/>
      <c r="G30" s="10"/>
      <c r="H30" s="10"/>
      <c r="I30" s="10"/>
      <c r="J30" s="10"/>
      <c r="K30" s="10"/>
      <c r="L30" s="10"/>
      <c r="M30" s="10"/>
      <c r="N30" s="10"/>
      <c r="O30" s="10"/>
      <c r="P30" s="10"/>
      <c r="Q30" s="10"/>
      <c r="R30" s="10"/>
      <c r="S30" s="10"/>
      <c r="T30" s="10"/>
      <c r="U30" s="10"/>
      <c r="V30" s="17"/>
      <c r="W30" s="17"/>
      <c r="X30" s="17"/>
    </row>
    <row r="31" spans="1:24" ht="15.75">
      <c r="A31" s="176"/>
      <c r="B31" s="176"/>
      <c r="C31" s="176"/>
      <c r="D31" s="176"/>
      <c r="E31" s="176"/>
      <c r="F31" s="10"/>
      <c r="G31" s="10"/>
      <c r="H31" s="10"/>
      <c r="I31" s="10"/>
      <c r="J31" s="10"/>
      <c r="K31" s="10"/>
      <c r="L31" s="10"/>
      <c r="M31" s="10"/>
      <c r="N31" s="10"/>
      <c r="O31" s="10"/>
      <c r="P31" s="10"/>
      <c r="Q31" s="10"/>
      <c r="R31" s="10"/>
      <c r="S31" s="10"/>
      <c r="T31" s="10"/>
      <c r="U31" s="10"/>
      <c r="V31" s="17"/>
      <c r="W31" s="17"/>
      <c r="X31" s="17"/>
    </row>
  </sheetData>
  <hyperlinks>
    <hyperlink ref="A5" r:id="rId1" xr:uid="{3FD0610D-B2E9-4146-B4E4-9629600765F6}"/>
    <hyperlink ref="A9" r:id="rId2" xr:uid="{4154A702-25DD-48B9-9493-7561A728432B}"/>
    <hyperlink ref="A22" r:id="rId3" xr:uid="{411A0CFB-CB60-46DA-8883-10CB2A565E03}"/>
    <hyperlink ref="A26" r:id="rId4" xr:uid="{FD77F351-1EF5-44C4-B789-399A592C202F}"/>
  </hyperlinks>
  <pageMargins left="0.7" right="0.7" top="0.75" bottom="0.75" header="0.3" footer="0.3"/>
  <pageSetup orientation="portrait" horizontalDpi="4294967293" verticalDpi="0" r:id="rId5"/>
  <drawing r:id="rId6"/>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437"/>
  <sheetViews>
    <sheetView zoomScale="75" zoomScaleNormal="75" zoomScaleSheetLayoutView="85" workbookViewId="0">
      <pane ySplit="1" topLeftCell="A402" activePane="bottomLeft" state="frozen"/>
      <selection activeCell="D35" sqref="D35"/>
      <selection pane="bottomLeft" activeCell="D427" sqref="D427"/>
    </sheetView>
  </sheetViews>
  <sheetFormatPr defaultColWidth="8.85546875" defaultRowHeight="15" customHeight="1"/>
  <cols>
    <col min="1" max="1" width="12.42578125" style="45" customWidth="1"/>
    <col min="2" max="2" width="31.42578125" style="45" bestFit="1" customWidth="1"/>
    <col min="3" max="3" width="59.85546875" style="45" bestFit="1" customWidth="1"/>
    <col min="4" max="4" width="59.85546875" style="45" customWidth="1"/>
    <col min="5" max="5" width="18.85546875" style="55" bestFit="1" customWidth="1"/>
    <col min="6" max="16384" width="8.85546875" style="45"/>
  </cols>
  <sheetData>
    <row r="1" spans="1:5" s="163" customFormat="1" ht="15" customHeight="1">
      <c r="A1" s="34" t="s">
        <v>2680</v>
      </c>
      <c r="B1" s="162" t="s">
        <v>2681</v>
      </c>
      <c r="C1" s="34" t="s">
        <v>138</v>
      </c>
      <c r="D1" s="34" t="s">
        <v>2682</v>
      </c>
      <c r="E1" s="51" t="s">
        <v>2683</v>
      </c>
    </row>
    <row r="2" spans="1:5" s="54" customFormat="1" ht="15" customHeight="1">
      <c r="A2" s="45" t="s">
        <v>2684</v>
      </c>
      <c r="B2" s="46" t="s">
        <v>2685</v>
      </c>
      <c r="C2" s="45">
        <v>9025123582</v>
      </c>
      <c r="D2" s="45" t="s">
        <v>2686</v>
      </c>
      <c r="E2" s="55" t="s">
        <v>2687</v>
      </c>
    </row>
    <row r="3" spans="1:5" s="54" customFormat="1" ht="15" customHeight="1">
      <c r="A3" s="45" t="s">
        <v>2684</v>
      </c>
      <c r="B3" s="46" t="s">
        <v>2685</v>
      </c>
      <c r="C3" s="45" t="s">
        <v>2089</v>
      </c>
      <c r="D3" s="45" t="s">
        <v>2688</v>
      </c>
      <c r="E3" s="55" t="s">
        <v>2687</v>
      </c>
    </row>
    <row r="4" spans="1:5" s="52" customFormat="1" ht="15" customHeight="1">
      <c r="A4" s="45" t="s">
        <v>2684</v>
      </c>
      <c r="B4" s="46" t="s">
        <v>2685</v>
      </c>
      <c r="C4" s="45" t="s">
        <v>2092</v>
      </c>
      <c r="D4" s="45" t="s">
        <v>2689</v>
      </c>
      <c r="E4" s="55" t="s">
        <v>2687</v>
      </c>
    </row>
    <row r="5" spans="1:5" s="52" customFormat="1" ht="15" customHeight="1">
      <c r="A5" s="45" t="s">
        <v>2684</v>
      </c>
      <c r="B5" s="46" t="s">
        <v>2685</v>
      </c>
      <c r="C5" s="45" t="s">
        <v>2093</v>
      </c>
      <c r="D5" s="45" t="s">
        <v>2690</v>
      </c>
      <c r="E5" s="55" t="s">
        <v>2687</v>
      </c>
    </row>
    <row r="6" spans="1:5" ht="15" customHeight="1">
      <c r="A6" s="45" t="s">
        <v>2684</v>
      </c>
      <c r="B6" s="46" t="s">
        <v>2685</v>
      </c>
      <c r="C6" s="45" t="s">
        <v>2094</v>
      </c>
      <c r="D6" s="45" t="s">
        <v>2691</v>
      </c>
      <c r="E6" s="55" t="s">
        <v>2687</v>
      </c>
    </row>
    <row r="7" spans="1:5" ht="15" customHeight="1">
      <c r="A7" s="45" t="s">
        <v>2684</v>
      </c>
      <c r="B7" s="46" t="s">
        <v>2685</v>
      </c>
      <c r="C7" s="45" t="s">
        <v>2095</v>
      </c>
      <c r="D7" s="45" t="s">
        <v>2692</v>
      </c>
      <c r="E7" s="55" t="s">
        <v>2687</v>
      </c>
    </row>
    <row r="8" spans="1:5" ht="15" customHeight="1">
      <c r="A8" s="45" t="s">
        <v>2684</v>
      </c>
      <c r="B8" s="46" t="s">
        <v>2685</v>
      </c>
      <c r="C8" s="45" t="s">
        <v>2096</v>
      </c>
      <c r="D8" s="45" t="s">
        <v>2693</v>
      </c>
      <c r="E8" s="55" t="s">
        <v>2687</v>
      </c>
    </row>
    <row r="9" spans="1:5" ht="15" customHeight="1">
      <c r="A9" s="45" t="s">
        <v>2684</v>
      </c>
      <c r="B9" s="46" t="s">
        <v>2685</v>
      </c>
      <c r="C9" s="45" t="s">
        <v>2097</v>
      </c>
      <c r="D9" s="45" t="s">
        <v>2694</v>
      </c>
      <c r="E9" s="55" t="s">
        <v>2687</v>
      </c>
    </row>
    <row r="10" spans="1:5" ht="15" customHeight="1">
      <c r="A10" s="45" t="s">
        <v>2684</v>
      </c>
      <c r="B10" s="46" t="s">
        <v>2685</v>
      </c>
      <c r="C10" s="45">
        <v>91611752</v>
      </c>
      <c r="D10" s="45" t="s">
        <v>2695</v>
      </c>
      <c r="E10" s="55" t="s">
        <v>2687</v>
      </c>
    </row>
    <row r="11" spans="1:5" ht="15" customHeight="1">
      <c r="A11" s="45" t="s">
        <v>2684</v>
      </c>
      <c r="B11" s="46" t="s">
        <v>2685</v>
      </c>
      <c r="C11" s="45">
        <v>91611753</v>
      </c>
      <c r="D11" s="45" t="s">
        <v>2696</v>
      </c>
      <c r="E11" s="55" t="s">
        <v>2687</v>
      </c>
    </row>
    <row r="12" spans="1:5" ht="15" customHeight="1">
      <c r="A12" s="45" t="s">
        <v>2684</v>
      </c>
      <c r="B12" s="46" t="s">
        <v>2685</v>
      </c>
      <c r="C12" s="45" t="s">
        <v>2119</v>
      </c>
      <c r="D12" s="45" t="s">
        <v>2697</v>
      </c>
      <c r="E12" s="55" t="s">
        <v>2687</v>
      </c>
    </row>
    <row r="13" spans="1:5" ht="15" customHeight="1">
      <c r="A13" s="45" t="s">
        <v>2684</v>
      </c>
      <c r="B13" s="46" t="s">
        <v>2685</v>
      </c>
      <c r="C13" s="45">
        <v>91611842</v>
      </c>
      <c r="D13" s="45" t="s">
        <v>2698</v>
      </c>
      <c r="E13" s="55" t="s">
        <v>2687</v>
      </c>
    </row>
    <row r="14" spans="1:5" ht="15" customHeight="1">
      <c r="A14" s="45" t="s">
        <v>2684</v>
      </c>
      <c r="B14" s="46" t="s">
        <v>2685</v>
      </c>
      <c r="C14" s="45">
        <v>90507089</v>
      </c>
      <c r="D14" s="45" t="s">
        <v>2699</v>
      </c>
      <c r="E14" s="55" t="s">
        <v>2687</v>
      </c>
    </row>
    <row r="15" spans="1:5" ht="15" customHeight="1">
      <c r="A15" s="45" t="s">
        <v>2684</v>
      </c>
      <c r="B15" s="46" t="s">
        <v>2685</v>
      </c>
      <c r="C15" s="45">
        <v>90507088</v>
      </c>
      <c r="D15" s="45" t="s">
        <v>2700</v>
      </c>
      <c r="E15" s="55" t="s">
        <v>2687</v>
      </c>
    </row>
    <row r="16" spans="1:5" ht="15" customHeight="1">
      <c r="A16" s="45" t="s">
        <v>2684</v>
      </c>
      <c r="B16" s="46" t="s">
        <v>2685</v>
      </c>
      <c r="C16" s="45" t="s">
        <v>2701</v>
      </c>
      <c r="D16" s="45" t="s">
        <v>2702</v>
      </c>
      <c r="E16" s="55" t="s">
        <v>2687</v>
      </c>
    </row>
    <row r="17" spans="1:5" ht="15" customHeight="1">
      <c r="A17" s="45" t="s">
        <v>2684</v>
      </c>
      <c r="B17" s="46" t="s">
        <v>2685</v>
      </c>
      <c r="C17" s="45" t="s">
        <v>2197</v>
      </c>
      <c r="D17" s="45" t="s">
        <v>2703</v>
      </c>
      <c r="E17" s="55" t="s">
        <v>2687</v>
      </c>
    </row>
    <row r="18" spans="1:5" ht="15" customHeight="1">
      <c r="A18" s="45" t="s">
        <v>2684</v>
      </c>
      <c r="B18" s="46" t="s">
        <v>2685</v>
      </c>
      <c r="C18" s="45" t="s">
        <v>2198</v>
      </c>
      <c r="D18" s="45" t="s">
        <v>2704</v>
      </c>
      <c r="E18" s="55" t="s">
        <v>2687</v>
      </c>
    </row>
    <row r="19" spans="1:5" ht="15" customHeight="1">
      <c r="A19" s="45" t="s">
        <v>2684</v>
      </c>
      <c r="B19" s="46" t="s">
        <v>2685</v>
      </c>
      <c r="C19" s="45">
        <v>90490005</v>
      </c>
      <c r="D19" s="45" t="s">
        <v>2705</v>
      </c>
      <c r="E19" s="55" t="s">
        <v>2687</v>
      </c>
    </row>
    <row r="20" spans="1:5" ht="15" customHeight="1">
      <c r="A20" s="45" t="s">
        <v>2684</v>
      </c>
      <c r="B20" s="46" t="s">
        <v>2685</v>
      </c>
      <c r="C20" s="45">
        <v>90280040</v>
      </c>
      <c r="D20" s="45" t="s">
        <v>2706</v>
      </c>
      <c r="E20" s="55" t="s">
        <v>2687</v>
      </c>
    </row>
    <row r="21" spans="1:5" ht="15" customHeight="1">
      <c r="A21" s="45" t="s">
        <v>2684</v>
      </c>
      <c r="B21" s="46" t="s">
        <v>2685</v>
      </c>
      <c r="C21" s="45">
        <v>90280117</v>
      </c>
      <c r="D21" s="45" t="s">
        <v>2707</v>
      </c>
      <c r="E21" s="55" t="s">
        <v>2687</v>
      </c>
    </row>
    <row r="22" spans="1:5" ht="15" customHeight="1">
      <c r="A22" s="45" t="s">
        <v>2684</v>
      </c>
      <c r="B22" s="46" t="s">
        <v>2685</v>
      </c>
      <c r="C22" s="45">
        <v>91610110</v>
      </c>
      <c r="D22" s="45" t="s">
        <v>2708</v>
      </c>
      <c r="E22" s="55" t="s">
        <v>2687</v>
      </c>
    </row>
    <row r="23" spans="1:5" ht="15" customHeight="1">
      <c r="A23" s="45" t="s">
        <v>2684</v>
      </c>
      <c r="B23" s="46" t="s">
        <v>2685</v>
      </c>
      <c r="C23" s="45">
        <v>91611301</v>
      </c>
      <c r="D23" s="45" t="s">
        <v>2709</v>
      </c>
      <c r="E23" s="55" t="s">
        <v>2687</v>
      </c>
    </row>
    <row r="24" spans="1:5" ht="15" customHeight="1">
      <c r="A24" s="45" t="s">
        <v>2684</v>
      </c>
      <c r="B24" s="46" t="s">
        <v>2685</v>
      </c>
      <c r="C24" s="45">
        <v>91611302</v>
      </c>
      <c r="D24" s="45" t="s">
        <v>2710</v>
      </c>
      <c r="E24" s="55" t="s">
        <v>2687</v>
      </c>
    </row>
    <row r="25" spans="1:5" ht="15" customHeight="1">
      <c r="A25" s="45" t="s">
        <v>2684</v>
      </c>
      <c r="B25" s="46" t="s">
        <v>2685</v>
      </c>
      <c r="C25" s="45">
        <v>91611378</v>
      </c>
      <c r="D25" s="45" t="s">
        <v>2711</v>
      </c>
      <c r="E25" s="55" t="s">
        <v>2687</v>
      </c>
    </row>
    <row r="26" spans="1:5" ht="15" customHeight="1">
      <c r="A26" s="45" t="s">
        <v>2684</v>
      </c>
      <c r="B26" s="46" t="s">
        <v>2685</v>
      </c>
      <c r="C26" s="45">
        <v>91611379</v>
      </c>
      <c r="D26" s="45" t="s">
        <v>2712</v>
      </c>
      <c r="E26" s="55" t="s">
        <v>2687</v>
      </c>
    </row>
    <row r="27" spans="1:5" ht="15" customHeight="1">
      <c r="A27" s="45" t="s">
        <v>2684</v>
      </c>
      <c r="B27" s="46" t="s">
        <v>2685</v>
      </c>
      <c r="C27" s="45">
        <v>91610108</v>
      </c>
      <c r="D27" s="45" t="s">
        <v>2713</v>
      </c>
      <c r="E27" s="55" t="s">
        <v>2687</v>
      </c>
    </row>
    <row r="28" spans="1:5" ht="15" customHeight="1">
      <c r="A28" s="45" t="s">
        <v>2684</v>
      </c>
      <c r="B28" s="46" t="s">
        <v>2685</v>
      </c>
      <c r="C28" s="45">
        <v>91611303</v>
      </c>
      <c r="D28" s="45" t="s">
        <v>2714</v>
      </c>
      <c r="E28" s="55" t="s">
        <v>2687</v>
      </c>
    </row>
    <row r="29" spans="1:5" ht="15" customHeight="1">
      <c r="A29" s="45" t="s">
        <v>2684</v>
      </c>
      <c r="B29" s="46" t="s">
        <v>2685</v>
      </c>
      <c r="C29" s="45">
        <v>90310052</v>
      </c>
      <c r="D29" s="45" t="s">
        <v>2715</v>
      </c>
      <c r="E29" s="55" t="s">
        <v>2687</v>
      </c>
    </row>
    <row r="30" spans="1:5" ht="15" customHeight="1">
      <c r="A30" s="45" t="s">
        <v>2684</v>
      </c>
      <c r="B30" s="46" t="s">
        <v>2716</v>
      </c>
      <c r="C30" s="45" t="s">
        <v>2243</v>
      </c>
      <c r="D30" s="45" t="s">
        <v>2717</v>
      </c>
      <c r="E30" s="55" t="s">
        <v>2687</v>
      </c>
    </row>
    <row r="31" spans="1:5" ht="15" customHeight="1">
      <c r="A31" s="45" t="s">
        <v>2684</v>
      </c>
      <c r="B31" s="46" t="s">
        <v>2716</v>
      </c>
      <c r="C31" s="45" t="s">
        <v>2718</v>
      </c>
      <c r="D31" s="45" t="s">
        <v>2719</v>
      </c>
      <c r="E31" s="55" t="s">
        <v>2687</v>
      </c>
    </row>
    <row r="32" spans="1:5" ht="15" customHeight="1">
      <c r="A32" s="45" t="s">
        <v>2684</v>
      </c>
      <c r="B32" s="46" t="s">
        <v>2716</v>
      </c>
      <c r="C32" s="45">
        <v>91510180</v>
      </c>
      <c r="D32" s="45" t="s">
        <v>2720</v>
      </c>
      <c r="E32" s="55" t="s">
        <v>2687</v>
      </c>
    </row>
    <row r="33" spans="1:5" ht="15" customHeight="1">
      <c r="A33" s="45" t="s">
        <v>2684</v>
      </c>
      <c r="B33" s="46" t="s">
        <v>2716</v>
      </c>
      <c r="C33" s="45">
        <v>90280080</v>
      </c>
      <c r="D33" s="45" t="s">
        <v>2721</v>
      </c>
      <c r="E33" s="55" t="s">
        <v>2687</v>
      </c>
    </row>
    <row r="34" spans="1:5" ht="15" customHeight="1">
      <c r="A34" s="45" t="s">
        <v>2684</v>
      </c>
      <c r="B34" s="46" t="s">
        <v>2716</v>
      </c>
      <c r="C34" s="45">
        <v>90280090</v>
      </c>
      <c r="D34" s="45" t="s">
        <v>2722</v>
      </c>
      <c r="E34" s="55" t="s">
        <v>2687</v>
      </c>
    </row>
    <row r="35" spans="1:5" ht="15" customHeight="1">
      <c r="A35" s="45" t="s">
        <v>2684</v>
      </c>
      <c r="B35" s="46" t="s">
        <v>2716</v>
      </c>
      <c r="C35" s="45">
        <v>91611430</v>
      </c>
      <c r="D35" s="45" t="s">
        <v>2723</v>
      </c>
      <c r="E35" s="55" t="s">
        <v>2687</v>
      </c>
    </row>
    <row r="36" spans="1:5" ht="15" customHeight="1">
      <c r="A36" s="45" t="s">
        <v>2684</v>
      </c>
      <c r="B36" s="46" t="s">
        <v>2716</v>
      </c>
      <c r="C36" s="45">
        <v>91611440</v>
      </c>
      <c r="D36" s="45" t="s">
        <v>2724</v>
      </c>
      <c r="E36" s="55" t="s">
        <v>2687</v>
      </c>
    </row>
    <row r="37" spans="1:5" ht="15" customHeight="1">
      <c r="A37" s="45" t="s">
        <v>2684</v>
      </c>
      <c r="B37" s="46" t="s">
        <v>2716</v>
      </c>
      <c r="C37" s="45">
        <v>91611460</v>
      </c>
      <c r="D37" s="45" t="s">
        <v>2725</v>
      </c>
      <c r="E37" s="55" t="s">
        <v>2687</v>
      </c>
    </row>
    <row r="38" spans="1:5" ht="15" customHeight="1">
      <c r="A38" s="45" t="s">
        <v>2684</v>
      </c>
      <c r="B38" s="46" t="s">
        <v>2716</v>
      </c>
      <c r="C38" s="45">
        <v>91611480</v>
      </c>
      <c r="D38" s="45" t="s">
        <v>2726</v>
      </c>
      <c r="E38" s="55" t="s">
        <v>2687</v>
      </c>
    </row>
    <row r="39" spans="1:5" ht="15" customHeight="1">
      <c r="A39" s="45" t="s">
        <v>2684</v>
      </c>
      <c r="B39" s="46" t="s">
        <v>2716</v>
      </c>
      <c r="C39" s="45">
        <v>91611500</v>
      </c>
      <c r="D39" s="45" t="s">
        <v>2727</v>
      </c>
      <c r="E39" s="55" t="s">
        <v>2687</v>
      </c>
    </row>
    <row r="40" spans="1:5" ht="15" customHeight="1">
      <c r="A40" s="45" t="s">
        <v>2684</v>
      </c>
      <c r="B40" s="46" t="s">
        <v>2685</v>
      </c>
      <c r="C40" s="45" t="s">
        <v>1971</v>
      </c>
      <c r="D40" s="45" t="s">
        <v>2728</v>
      </c>
      <c r="E40" s="55" t="s">
        <v>2687</v>
      </c>
    </row>
    <row r="41" spans="1:5" ht="15" customHeight="1">
      <c r="A41" s="45" t="s">
        <v>80</v>
      </c>
      <c r="B41" s="46" t="s">
        <v>2685</v>
      </c>
      <c r="C41" s="45" t="s">
        <v>1691</v>
      </c>
      <c r="D41" s="45" t="s">
        <v>1691</v>
      </c>
      <c r="E41" s="55" t="s">
        <v>2687</v>
      </c>
    </row>
    <row r="42" spans="1:5" ht="15" customHeight="1">
      <c r="A42" s="45" t="s">
        <v>2684</v>
      </c>
      <c r="B42" s="46" t="s">
        <v>2685</v>
      </c>
      <c r="C42" s="45" t="s">
        <v>2729</v>
      </c>
      <c r="D42" s="45" t="s">
        <v>2729</v>
      </c>
      <c r="E42" s="55" t="s">
        <v>2687</v>
      </c>
    </row>
    <row r="43" spans="1:5" ht="15" customHeight="1">
      <c r="A43" s="45" t="s">
        <v>1</v>
      </c>
      <c r="B43" s="46" t="s">
        <v>2730</v>
      </c>
      <c r="C43" s="45" t="s">
        <v>2731</v>
      </c>
      <c r="D43" s="45" t="s">
        <v>2731</v>
      </c>
      <c r="E43" s="55" t="s">
        <v>2687</v>
      </c>
    </row>
    <row r="44" spans="1:5" ht="15" customHeight="1">
      <c r="A44" s="45" t="s">
        <v>1</v>
      </c>
      <c r="B44" s="46" t="s">
        <v>2730</v>
      </c>
      <c r="C44" s="45" t="s">
        <v>2732</v>
      </c>
      <c r="D44" s="45" t="s">
        <v>2732</v>
      </c>
      <c r="E44" s="55" t="s">
        <v>2687</v>
      </c>
    </row>
    <row r="45" spans="1:5" ht="15" customHeight="1">
      <c r="A45" s="45" t="s">
        <v>1</v>
      </c>
      <c r="B45" s="46" t="s">
        <v>2730</v>
      </c>
      <c r="C45" s="45" t="s">
        <v>2733</v>
      </c>
      <c r="D45" s="45" t="s">
        <v>2733</v>
      </c>
      <c r="E45" s="55" t="s">
        <v>2687</v>
      </c>
    </row>
    <row r="46" spans="1:5" ht="15" customHeight="1">
      <c r="A46" s="45" t="s">
        <v>1</v>
      </c>
      <c r="B46" s="46" t="s">
        <v>2716</v>
      </c>
      <c r="C46" s="45" t="s">
        <v>2734</v>
      </c>
      <c r="D46" s="45" t="s">
        <v>2735</v>
      </c>
      <c r="E46" s="55" t="s">
        <v>2687</v>
      </c>
    </row>
    <row r="47" spans="1:5" ht="15" customHeight="1">
      <c r="A47" s="45" t="s">
        <v>1</v>
      </c>
      <c r="B47" s="46" t="s">
        <v>2716</v>
      </c>
      <c r="C47" s="45" t="s">
        <v>2736</v>
      </c>
      <c r="D47" s="45" t="s">
        <v>2737</v>
      </c>
      <c r="E47" s="55" t="s">
        <v>2687</v>
      </c>
    </row>
    <row r="48" spans="1:5" ht="15" customHeight="1">
      <c r="A48" s="45" t="s">
        <v>1</v>
      </c>
      <c r="B48" s="46" t="s">
        <v>2716</v>
      </c>
      <c r="C48" s="45" t="s">
        <v>2738</v>
      </c>
      <c r="D48" s="45" t="s">
        <v>2739</v>
      </c>
      <c r="E48" s="55" t="s">
        <v>2687</v>
      </c>
    </row>
    <row r="49" spans="1:5" ht="15" customHeight="1">
      <c r="A49" s="45" t="s">
        <v>1</v>
      </c>
      <c r="B49" s="46" t="s">
        <v>2716</v>
      </c>
      <c r="C49" s="45" t="s">
        <v>2740</v>
      </c>
      <c r="D49" s="45" t="s">
        <v>2741</v>
      </c>
      <c r="E49" s="55" t="s">
        <v>2687</v>
      </c>
    </row>
    <row r="50" spans="1:5" ht="15" customHeight="1">
      <c r="A50" s="45" t="s">
        <v>1</v>
      </c>
      <c r="B50" s="46" t="s">
        <v>2716</v>
      </c>
      <c r="C50" s="45" t="s">
        <v>2742</v>
      </c>
      <c r="D50" s="45" t="s">
        <v>2743</v>
      </c>
      <c r="E50" s="55" t="s">
        <v>2687</v>
      </c>
    </row>
    <row r="51" spans="1:5" ht="15" customHeight="1">
      <c r="A51" s="45" t="s">
        <v>1</v>
      </c>
      <c r="B51" s="46" t="s">
        <v>2716</v>
      </c>
      <c r="C51" s="45" t="s">
        <v>2744</v>
      </c>
      <c r="D51" s="45" t="s">
        <v>2745</v>
      </c>
      <c r="E51" s="55" t="s">
        <v>2687</v>
      </c>
    </row>
    <row r="52" spans="1:5" ht="15" customHeight="1">
      <c r="A52" s="45" t="s">
        <v>1</v>
      </c>
      <c r="B52" s="46" t="s">
        <v>2716</v>
      </c>
      <c r="C52" s="45" t="s">
        <v>2746</v>
      </c>
      <c r="D52" s="45" t="s">
        <v>2747</v>
      </c>
      <c r="E52" s="55" t="s">
        <v>2687</v>
      </c>
    </row>
    <row r="53" spans="1:5" ht="15" customHeight="1">
      <c r="A53" s="45" t="s">
        <v>1</v>
      </c>
      <c r="B53" s="46" t="s">
        <v>2716</v>
      </c>
      <c r="C53" s="45" t="s">
        <v>2748</v>
      </c>
      <c r="D53" s="45" t="s">
        <v>2749</v>
      </c>
      <c r="E53" s="55" t="s">
        <v>2687</v>
      </c>
    </row>
    <row r="54" spans="1:5" ht="15" customHeight="1">
      <c r="A54" s="45" t="s">
        <v>1</v>
      </c>
      <c r="B54" s="46" t="s">
        <v>2716</v>
      </c>
      <c r="C54" s="45" t="s">
        <v>2750</v>
      </c>
      <c r="D54" s="45" t="s">
        <v>2751</v>
      </c>
      <c r="E54" s="55" t="s">
        <v>2687</v>
      </c>
    </row>
    <row r="55" spans="1:5" ht="15" customHeight="1">
      <c r="A55" s="45" t="s">
        <v>32</v>
      </c>
      <c r="B55" s="46" t="s">
        <v>2752</v>
      </c>
      <c r="C55" s="45" t="s">
        <v>786</v>
      </c>
      <c r="D55" s="45" t="s">
        <v>2753</v>
      </c>
      <c r="E55" s="55" t="s">
        <v>2687</v>
      </c>
    </row>
    <row r="56" spans="1:5" ht="15" customHeight="1">
      <c r="A56" s="45" t="s">
        <v>32</v>
      </c>
      <c r="B56" s="46" t="s">
        <v>2752</v>
      </c>
      <c r="C56" s="45" t="s">
        <v>787</v>
      </c>
      <c r="D56" s="45" t="s">
        <v>2754</v>
      </c>
      <c r="E56" s="55" t="s">
        <v>2687</v>
      </c>
    </row>
    <row r="57" spans="1:5" ht="15" customHeight="1">
      <c r="A57" s="45" t="s">
        <v>32</v>
      </c>
      <c r="B57" s="46" t="s">
        <v>2752</v>
      </c>
      <c r="C57" s="45" t="s">
        <v>788</v>
      </c>
      <c r="D57" s="45" t="s">
        <v>2755</v>
      </c>
      <c r="E57" s="55" t="s">
        <v>2687</v>
      </c>
    </row>
    <row r="58" spans="1:5" ht="15" customHeight="1">
      <c r="A58" s="45" t="s">
        <v>32</v>
      </c>
      <c r="B58" s="46" t="s">
        <v>2752</v>
      </c>
      <c r="C58" s="45" t="s">
        <v>789</v>
      </c>
      <c r="D58" s="45" t="s">
        <v>2756</v>
      </c>
      <c r="E58" s="55" t="s">
        <v>2687</v>
      </c>
    </row>
    <row r="59" spans="1:5" ht="15" customHeight="1">
      <c r="A59" s="45" t="s">
        <v>52</v>
      </c>
      <c r="B59" s="46" t="s">
        <v>2716</v>
      </c>
      <c r="C59" s="45" t="s">
        <v>821</v>
      </c>
      <c r="D59" s="45" t="s">
        <v>821</v>
      </c>
      <c r="E59" s="55" t="s">
        <v>2687</v>
      </c>
    </row>
    <row r="60" spans="1:5" ht="15" customHeight="1">
      <c r="A60" s="45" t="s">
        <v>52</v>
      </c>
      <c r="B60" s="46" t="s">
        <v>2716</v>
      </c>
      <c r="C60" s="45" t="s">
        <v>2757</v>
      </c>
      <c r="D60" s="45" t="s">
        <v>2757</v>
      </c>
      <c r="E60" s="55" t="s">
        <v>2687</v>
      </c>
    </row>
    <row r="61" spans="1:5" ht="15" customHeight="1">
      <c r="A61" s="45" t="s">
        <v>52</v>
      </c>
      <c r="B61" s="46" t="s">
        <v>2716</v>
      </c>
      <c r="C61" s="45" t="s">
        <v>2758</v>
      </c>
      <c r="D61" s="45" t="s">
        <v>2758</v>
      </c>
      <c r="E61" s="55" t="s">
        <v>2687</v>
      </c>
    </row>
    <row r="62" spans="1:5" ht="15" customHeight="1">
      <c r="A62" s="45" t="s">
        <v>2759</v>
      </c>
      <c r="B62" s="46" t="s">
        <v>2685</v>
      </c>
      <c r="C62" s="45" t="s">
        <v>2760</v>
      </c>
      <c r="D62" s="45" t="s">
        <v>2760</v>
      </c>
      <c r="E62" s="55" t="s">
        <v>2687</v>
      </c>
    </row>
    <row r="63" spans="1:5" ht="15" customHeight="1">
      <c r="A63" s="45" t="s">
        <v>2684</v>
      </c>
      <c r="B63" s="46" t="s">
        <v>2716</v>
      </c>
      <c r="C63" s="45" t="s">
        <v>2761</v>
      </c>
      <c r="D63" s="45" t="s">
        <v>2761</v>
      </c>
      <c r="E63" s="55" t="s">
        <v>2687</v>
      </c>
    </row>
    <row r="64" spans="1:5" ht="15" customHeight="1">
      <c r="A64" s="45" t="s">
        <v>2684</v>
      </c>
      <c r="B64" s="46" t="s">
        <v>2716</v>
      </c>
      <c r="C64" s="45" t="s">
        <v>2762</v>
      </c>
      <c r="D64" s="45" t="s">
        <v>2762</v>
      </c>
      <c r="E64" s="55" t="s">
        <v>2687</v>
      </c>
    </row>
    <row r="65" spans="1:5" ht="15" customHeight="1">
      <c r="A65" s="45" t="s">
        <v>2684</v>
      </c>
      <c r="B65" s="46" t="s">
        <v>2716</v>
      </c>
      <c r="C65" s="45" t="s">
        <v>2763</v>
      </c>
      <c r="D65" s="45" t="s">
        <v>2763</v>
      </c>
      <c r="E65" s="55" t="s">
        <v>2687</v>
      </c>
    </row>
    <row r="66" spans="1:5" ht="15" customHeight="1">
      <c r="A66" s="45" t="s">
        <v>2684</v>
      </c>
      <c r="B66" s="46" t="s">
        <v>2716</v>
      </c>
      <c r="C66" s="45">
        <v>91611841</v>
      </c>
      <c r="D66" s="45">
        <v>91611841</v>
      </c>
      <c r="E66" s="55" t="s">
        <v>2687</v>
      </c>
    </row>
    <row r="67" spans="1:5" ht="15" customHeight="1">
      <c r="A67" s="45" t="s">
        <v>2684</v>
      </c>
      <c r="B67" s="46" t="s">
        <v>2716</v>
      </c>
      <c r="C67" s="45">
        <v>91616086</v>
      </c>
      <c r="D67" s="45">
        <v>91616086</v>
      </c>
      <c r="E67" s="55" t="s">
        <v>2687</v>
      </c>
    </row>
    <row r="68" spans="1:5" ht="15" customHeight="1">
      <c r="A68" s="45" t="s">
        <v>2684</v>
      </c>
      <c r="B68" s="46" t="s">
        <v>2716</v>
      </c>
      <c r="C68" s="45">
        <v>91616087</v>
      </c>
      <c r="D68" s="45">
        <v>91616087</v>
      </c>
      <c r="E68" s="55" t="s">
        <v>2687</v>
      </c>
    </row>
    <row r="69" spans="1:5" ht="15" customHeight="1">
      <c r="A69" s="45" t="s">
        <v>2684</v>
      </c>
      <c r="B69" s="46" t="s">
        <v>2716</v>
      </c>
      <c r="C69" s="45">
        <v>91611845</v>
      </c>
      <c r="D69" s="45">
        <v>91611845</v>
      </c>
      <c r="E69" s="55" t="s">
        <v>2687</v>
      </c>
    </row>
    <row r="70" spans="1:5" ht="15" customHeight="1">
      <c r="A70" s="45" t="s">
        <v>2684</v>
      </c>
      <c r="B70" s="46" t="s">
        <v>2716</v>
      </c>
      <c r="C70" s="45">
        <v>90480120</v>
      </c>
      <c r="D70" s="45">
        <v>90480120</v>
      </c>
      <c r="E70" s="55" t="s">
        <v>2687</v>
      </c>
    </row>
    <row r="71" spans="1:5" ht="15" customHeight="1">
      <c r="A71" s="45" t="s">
        <v>32</v>
      </c>
      <c r="B71" s="46" t="s">
        <v>2716</v>
      </c>
      <c r="C71" s="45" t="s">
        <v>2764</v>
      </c>
      <c r="D71" s="45" t="s">
        <v>2765</v>
      </c>
      <c r="E71" s="55" t="s">
        <v>2687</v>
      </c>
    </row>
    <row r="72" spans="1:5" ht="15" customHeight="1">
      <c r="A72" s="45" t="s">
        <v>32</v>
      </c>
      <c r="B72" s="46" t="s">
        <v>2716</v>
      </c>
      <c r="C72" s="45" t="s">
        <v>2766</v>
      </c>
      <c r="D72" s="45" t="s">
        <v>2767</v>
      </c>
      <c r="E72" s="55" t="s">
        <v>2687</v>
      </c>
    </row>
    <row r="73" spans="1:5" ht="15" customHeight="1">
      <c r="A73" s="45" t="s">
        <v>32</v>
      </c>
      <c r="B73" s="46" t="s">
        <v>2716</v>
      </c>
      <c r="C73" s="45" t="s">
        <v>2768</v>
      </c>
      <c r="D73" s="45" t="s">
        <v>2769</v>
      </c>
      <c r="E73" s="55" t="s">
        <v>2687</v>
      </c>
    </row>
    <row r="74" spans="1:5" ht="15" customHeight="1">
      <c r="A74" s="45" t="s">
        <v>32</v>
      </c>
      <c r="B74" s="46" t="s">
        <v>2716</v>
      </c>
      <c r="C74" s="45" t="s">
        <v>2770</v>
      </c>
      <c r="D74" s="45" t="s">
        <v>2771</v>
      </c>
      <c r="E74" s="55" t="s">
        <v>2687</v>
      </c>
    </row>
    <row r="75" spans="1:5" ht="15" customHeight="1">
      <c r="A75" s="45" t="s">
        <v>32</v>
      </c>
      <c r="B75" s="46" t="s">
        <v>2716</v>
      </c>
      <c r="C75" s="45" t="s">
        <v>2772</v>
      </c>
      <c r="D75" s="45" t="s">
        <v>2773</v>
      </c>
      <c r="E75" s="55" t="s">
        <v>2687</v>
      </c>
    </row>
    <row r="76" spans="1:5" ht="15" customHeight="1">
      <c r="A76" s="45" t="s">
        <v>32</v>
      </c>
      <c r="B76" s="46" t="s">
        <v>2716</v>
      </c>
      <c r="C76" s="45" t="s">
        <v>2774</v>
      </c>
      <c r="D76" s="45" t="s">
        <v>2775</v>
      </c>
      <c r="E76" s="55" t="s">
        <v>2687</v>
      </c>
    </row>
    <row r="77" spans="1:5" ht="15" customHeight="1">
      <c r="A77" s="45" t="s">
        <v>32</v>
      </c>
      <c r="B77" s="46" t="s">
        <v>2716</v>
      </c>
      <c r="C77" s="45" t="s">
        <v>2776</v>
      </c>
      <c r="D77" s="45" t="s">
        <v>2777</v>
      </c>
      <c r="E77" s="55" t="s">
        <v>2687</v>
      </c>
    </row>
    <row r="78" spans="1:5" ht="15" customHeight="1">
      <c r="A78" s="45" t="s">
        <v>32</v>
      </c>
      <c r="B78" s="46" t="s">
        <v>2716</v>
      </c>
      <c r="C78" s="45" t="s">
        <v>2778</v>
      </c>
      <c r="D78" s="45" t="s">
        <v>2779</v>
      </c>
      <c r="E78" s="55" t="s">
        <v>2687</v>
      </c>
    </row>
    <row r="79" spans="1:5" ht="15" customHeight="1">
      <c r="A79" s="45" t="s">
        <v>32</v>
      </c>
      <c r="B79" s="46" t="s">
        <v>2716</v>
      </c>
      <c r="C79" s="45" t="s">
        <v>2780</v>
      </c>
      <c r="D79" s="45" t="s">
        <v>2781</v>
      </c>
      <c r="E79" s="55" t="s">
        <v>2687</v>
      </c>
    </row>
    <row r="80" spans="1:5" ht="15" customHeight="1">
      <c r="A80" s="45" t="s">
        <v>32</v>
      </c>
      <c r="B80" s="46" t="s">
        <v>2716</v>
      </c>
      <c r="C80" s="45" t="s">
        <v>2782</v>
      </c>
      <c r="D80" s="45" t="s">
        <v>2783</v>
      </c>
      <c r="E80" s="55" t="s">
        <v>2687</v>
      </c>
    </row>
    <row r="81" spans="1:5" ht="15" customHeight="1">
      <c r="A81" s="45" t="s">
        <v>32</v>
      </c>
      <c r="B81" s="46" t="s">
        <v>2730</v>
      </c>
      <c r="C81" s="45" t="s">
        <v>2784</v>
      </c>
      <c r="D81" s="45" t="s">
        <v>2785</v>
      </c>
      <c r="E81" s="55" t="s">
        <v>2687</v>
      </c>
    </row>
    <row r="82" spans="1:5" ht="15" customHeight="1">
      <c r="A82" s="45" t="s">
        <v>32</v>
      </c>
      <c r="B82" s="46" t="s">
        <v>2730</v>
      </c>
      <c r="C82" s="45" t="s">
        <v>2786</v>
      </c>
      <c r="D82" s="45" t="s">
        <v>2787</v>
      </c>
      <c r="E82" s="55" t="s">
        <v>2687</v>
      </c>
    </row>
    <row r="83" spans="1:5" ht="15" customHeight="1">
      <c r="A83" s="45" t="s">
        <v>32</v>
      </c>
      <c r="B83" s="46" t="s">
        <v>2730</v>
      </c>
      <c r="C83" s="45" t="s">
        <v>2788</v>
      </c>
      <c r="D83" s="45" t="s">
        <v>2789</v>
      </c>
      <c r="E83" s="55" t="s">
        <v>2687</v>
      </c>
    </row>
    <row r="84" spans="1:5" ht="15" customHeight="1">
      <c r="A84" s="45" t="s">
        <v>32</v>
      </c>
      <c r="B84" s="46" t="s">
        <v>2730</v>
      </c>
      <c r="C84" s="45" t="s">
        <v>2790</v>
      </c>
      <c r="D84" s="45" t="s">
        <v>2791</v>
      </c>
      <c r="E84" s="55" t="s">
        <v>2687</v>
      </c>
    </row>
    <row r="85" spans="1:5" ht="15" customHeight="1">
      <c r="A85" s="45" t="s">
        <v>32</v>
      </c>
      <c r="B85" s="46" t="s">
        <v>2730</v>
      </c>
      <c r="C85" s="45" t="s">
        <v>2792</v>
      </c>
      <c r="D85" s="45" t="s">
        <v>2793</v>
      </c>
      <c r="E85" s="55" t="s">
        <v>2687</v>
      </c>
    </row>
    <row r="86" spans="1:5" ht="15" customHeight="1">
      <c r="A86" s="45" t="s">
        <v>32</v>
      </c>
      <c r="B86" s="46" t="s">
        <v>2730</v>
      </c>
      <c r="C86" s="45" t="s">
        <v>2794</v>
      </c>
      <c r="D86" s="45" t="s">
        <v>2795</v>
      </c>
      <c r="E86" s="55" t="s">
        <v>2687</v>
      </c>
    </row>
    <row r="87" spans="1:5" ht="15" customHeight="1">
      <c r="A87" s="45" t="s">
        <v>32</v>
      </c>
      <c r="B87" s="46" t="s">
        <v>2730</v>
      </c>
      <c r="C87" s="45" t="s">
        <v>2796</v>
      </c>
      <c r="D87" s="45" t="s">
        <v>2797</v>
      </c>
      <c r="E87" s="55" t="s">
        <v>2687</v>
      </c>
    </row>
    <row r="88" spans="1:5" ht="15" customHeight="1">
      <c r="A88" s="45" t="s">
        <v>32</v>
      </c>
      <c r="B88" s="46" t="s">
        <v>2730</v>
      </c>
      <c r="C88" s="45" t="s">
        <v>2798</v>
      </c>
      <c r="D88" s="45" t="s">
        <v>2799</v>
      </c>
      <c r="E88" s="55" t="s">
        <v>2687</v>
      </c>
    </row>
    <row r="89" spans="1:5" ht="15" customHeight="1">
      <c r="A89" s="45" t="s">
        <v>32</v>
      </c>
      <c r="B89" s="46" t="s">
        <v>2730</v>
      </c>
      <c r="C89" s="45" t="s">
        <v>2800</v>
      </c>
      <c r="D89" s="45" t="s">
        <v>2801</v>
      </c>
      <c r="E89" s="55" t="s">
        <v>2687</v>
      </c>
    </row>
    <row r="90" spans="1:5" ht="15" customHeight="1">
      <c r="A90" s="45" t="s">
        <v>32</v>
      </c>
      <c r="B90" s="46" t="s">
        <v>2730</v>
      </c>
      <c r="C90" s="45" t="s">
        <v>2802</v>
      </c>
      <c r="D90" s="45" t="s">
        <v>2803</v>
      </c>
      <c r="E90" s="55" t="s">
        <v>2687</v>
      </c>
    </row>
    <row r="91" spans="1:5" ht="15" customHeight="1">
      <c r="A91" s="45" t="s">
        <v>32</v>
      </c>
      <c r="B91" s="46" t="s">
        <v>2730</v>
      </c>
      <c r="C91" s="45" t="s">
        <v>2804</v>
      </c>
      <c r="D91" s="45" t="s">
        <v>2805</v>
      </c>
      <c r="E91" s="55" t="s">
        <v>2687</v>
      </c>
    </row>
    <row r="92" spans="1:5" ht="15" customHeight="1">
      <c r="A92" s="45" t="s">
        <v>32</v>
      </c>
      <c r="B92" s="46" t="s">
        <v>2730</v>
      </c>
      <c r="C92" s="45" t="s">
        <v>2806</v>
      </c>
      <c r="D92" s="45" t="s">
        <v>2807</v>
      </c>
      <c r="E92" s="55" t="s">
        <v>2687</v>
      </c>
    </row>
    <row r="93" spans="1:5" ht="15" customHeight="1">
      <c r="A93" s="45" t="s">
        <v>32</v>
      </c>
      <c r="B93" s="46" t="s">
        <v>2730</v>
      </c>
      <c r="C93" s="45" t="s">
        <v>2808</v>
      </c>
      <c r="D93" s="45" t="s">
        <v>2809</v>
      </c>
      <c r="E93" s="55" t="s">
        <v>2687</v>
      </c>
    </row>
    <row r="94" spans="1:5" ht="15" customHeight="1">
      <c r="A94" s="45" t="s">
        <v>32</v>
      </c>
      <c r="B94" s="46" t="s">
        <v>2730</v>
      </c>
      <c r="C94" s="45" t="s">
        <v>2810</v>
      </c>
      <c r="D94" s="45" t="s">
        <v>2811</v>
      </c>
      <c r="E94" s="55" t="s">
        <v>2687</v>
      </c>
    </row>
    <row r="95" spans="1:5" ht="15" customHeight="1">
      <c r="A95" s="45" t="s">
        <v>32</v>
      </c>
      <c r="B95" s="46" t="s">
        <v>2730</v>
      </c>
      <c r="C95" s="45" t="s">
        <v>589</v>
      </c>
      <c r="D95" s="45" t="s">
        <v>2812</v>
      </c>
      <c r="E95" s="55" t="s">
        <v>2687</v>
      </c>
    </row>
    <row r="96" spans="1:5" ht="15" customHeight="1">
      <c r="A96" s="45" t="s">
        <v>32</v>
      </c>
      <c r="B96" s="46" t="s">
        <v>2730</v>
      </c>
      <c r="C96" s="45" t="s">
        <v>2813</v>
      </c>
      <c r="D96" s="45" t="s">
        <v>2814</v>
      </c>
      <c r="E96" s="55" t="s">
        <v>2687</v>
      </c>
    </row>
    <row r="97" spans="1:5" ht="15" customHeight="1">
      <c r="A97" s="45" t="s">
        <v>32</v>
      </c>
      <c r="B97" s="46" t="s">
        <v>2730</v>
      </c>
      <c r="C97" s="45" t="s">
        <v>2815</v>
      </c>
      <c r="D97" s="45" t="s">
        <v>2816</v>
      </c>
      <c r="E97" s="55" t="s">
        <v>2687</v>
      </c>
    </row>
    <row r="98" spans="1:5" ht="15" customHeight="1">
      <c r="A98" s="45" t="s">
        <v>32</v>
      </c>
      <c r="B98" s="46" t="s">
        <v>2730</v>
      </c>
      <c r="C98" s="45" t="s">
        <v>2817</v>
      </c>
      <c r="D98" s="45" t="s">
        <v>2818</v>
      </c>
      <c r="E98" s="55" t="s">
        <v>2687</v>
      </c>
    </row>
    <row r="99" spans="1:5" ht="15" customHeight="1">
      <c r="A99" s="45" t="s">
        <v>32</v>
      </c>
      <c r="B99" s="46" t="s">
        <v>2730</v>
      </c>
      <c r="C99" s="45" t="s">
        <v>2819</v>
      </c>
      <c r="D99" s="45" t="s">
        <v>2820</v>
      </c>
      <c r="E99" s="55" t="s">
        <v>2687</v>
      </c>
    </row>
    <row r="100" spans="1:5" ht="15" customHeight="1">
      <c r="A100" s="45" t="s">
        <v>32</v>
      </c>
      <c r="B100" s="46" t="s">
        <v>2730</v>
      </c>
      <c r="C100" s="45" t="s">
        <v>608</v>
      </c>
      <c r="D100" s="45" t="s">
        <v>2821</v>
      </c>
      <c r="E100" s="55" t="s">
        <v>2687</v>
      </c>
    </row>
    <row r="101" spans="1:5" ht="15" customHeight="1">
      <c r="A101" s="45" t="s">
        <v>32</v>
      </c>
      <c r="B101" s="46" t="s">
        <v>2730</v>
      </c>
      <c r="C101" s="45" t="s">
        <v>609</v>
      </c>
      <c r="D101" s="45" t="s">
        <v>2822</v>
      </c>
      <c r="E101" s="55" t="s">
        <v>2687</v>
      </c>
    </row>
    <row r="102" spans="1:5" ht="15" customHeight="1">
      <c r="A102" s="45" t="s">
        <v>32</v>
      </c>
      <c r="B102" s="46" t="s">
        <v>2730</v>
      </c>
      <c r="C102" s="45" t="s">
        <v>2823</v>
      </c>
      <c r="D102" s="45" t="s">
        <v>2824</v>
      </c>
      <c r="E102" s="55" t="s">
        <v>2687</v>
      </c>
    </row>
    <row r="103" spans="1:5" ht="15" customHeight="1">
      <c r="A103" s="45" t="s">
        <v>32</v>
      </c>
      <c r="B103" s="46" t="s">
        <v>2730</v>
      </c>
      <c r="C103" s="45" t="s">
        <v>615</v>
      </c>
      <c r="D103" s="45" t="s">
        <v>2825</v>
      </c>
      <c r="E103" s="55" t="s">
        <v>2687</v>
      </c>
    </row>
    <row r="104" spans="1:5" ht="15" customHeight="1">
      <c r="A104" s="45" t="s">
        <v>32</v>
      </c>
      <c r="B104" s="46" t="s">
        <v>2730</v>
      </c>
      <c r="C104" s="45" t="s">
        <v>2826</v>
      </c>
      <c r="D104" s="45" t="s">
        <v>2827</v>
      </c>
      <c r="E104" s="55" t="s">
        <v>2687</v>
      </c>
    </row>
    <row r="105" spans="1:5" ht="15" customHeight="1">
      <c r="A105" s="45" t="s">
        <v>32</v>
      </c>
      <c r="B105" s="46" t="s">
        <v>2730</v>
      </c>
      <c r="C105" s="45" t="s">
        <v>2828</v>
      </c>
      <c r="D105" s="45" t="s">
        <v>2829</v>
      </c>
      <c r="E105" s="55" t="s">
        <v>2687</v>
      </c>
    </row>
    <row r="106" spans="1:5" ht="15" customHeight="1">
      <c r="A106" s="45" t="s">
        <v>32</v>
      </c>
      <c r="B106" s="46" t="s">
        <v>2730</v>
      </c>
      <c r="C106" s="45" t="s">
        <v>621</v>
      </c>
      <c r="D106" s="45" t="s">
        <v>2830</v>
      </c>
      <c r="E106" s="55" t="s">
        <v>2687</v>
      </c>
    </row>
    <row r="107" spans="1:5" ht="15" customHeight="1">
      <c r="A107" s="45" t="s">
        <v>32</v>
      </c>
      <c r="B107" s="46" t="s">
        <v>2730</v>
      </c>
      <c r="C107" s="45" t="s">
        <v>2831</v>
      </c>
      <c r="D107" s="45" t="s">
        <v>2832</v>
      </c>
      <c r="E107" s="55" t="s">
        <v>2687</v>
      </c>
    </row>
    <row r="108" spans="1:5" ht="15" customHeight="1">
      <c r="A108" s="45" t="s">
        <v>32</v>
      </c>
      <c r="B108" s="46" t="s">
        <v>2730</v>
      </c>
      <c r="C108" s="45" t="s">
        <v>2833</v>
      </c>
      <c r="D108" s="45" t="s">
        <v>2834</v>
      </c>
      <c r="E108" s="55" t="s">
        <v>2687</v>
      </c>
    </row>
    <row r="109" spans="1:5" ht="15" customHeight="1">
      <c r="A109" s="45" t="s">
        <v>32</v>
      </c>
      <c r="B109" s="46" t="s">
        <v>2730</v>
      </c>
      <c r="C109" s="45" t="s">
        <v>2835</v>
      </c>
      <c r="D109" s="45" t="s">
        <v>2836</v>
      </c>
      <c r="E109" s="55" t="s">
        <v>2687</v>
      </c>
    </row>
    <row r="110" spans="1:5" ht="15" customHeight="1">
      <c r="A110" s="45" t="s">
        <v>32</v>
      </c>
      <c r="B110" s="46" t="s">
        <v>2730</v>
      </c>
      <c r="C110" s="45" t="s">
        <v>2837</v>
      </c>
      <c r="D110" s="45" t="s">
        <v>2838</v>
      </c>
      <c r="E110" s="55" t="s">
        <v>2687</v>
      </c>
    </row>
    <row r="111" spans="1:5" ht="15" customHeight="1">
      <c r="A111" s="45" t="s">
        <v>32</v>
      </c>
      <c r="B111" s="46" t="s">
        <v>2730</v>
      </c>
      <c r="C111" s="45" t="s">
        <v>2839</v>
      </c>
      <c r="D111" s="45" t="s">
        <v>2840</v>
      </c>
      <c r="E111" s="55" t="s">
        <v>2687</v>
      </c>
    </row>
    <row r="112" spans="1:5" ht="15" customHeight="1">
      <c r="A112" s="45" t="s">
        <v>32</v>
      </c>
      <c r="B112" s="46" t="s">
        <v>2730</v>
      </c>
      <c r="C112" s="45" t="s">
        <v>641</v>
      </c>
      <c r="D112" s="45" t="s">
        <v>2841</v>
      </c>
      <c r="E112" s="55" t="s">
        <v>2687</v>
      </c>
    </row>
    <row r="113" spans="1:5" ht="15" customHeight="1">
      <c r="A113" s="45" t="s">
        <v>32</v>
      </c>
      <c r="B113" s="46" t="s">
        <v>2730</v>
      </c>
      <c r="C113" s="45" t="s">
        <v>643</v>
      </c>
      <c r="D113" s="45" t="s">
        <v>2842</v>
      </c>
      <c r="E113" s="55" t="s">
        <v>2687</v>
      </c>
    </row>
    <row r="114" spans="1:5" ht="15" customHeight="1">
      <c r="A114" s="45" t="s">
        <v>32</v>
      </c>
      <c r="B114" s="46" t="s">
        <v>2730</v>
      </c>
      <c r="C114" s="45" t="s">
        <v>2843</v>
      </c>
      <c r="D114" s="45" t="s">
        <v>2844</v>
      </c>
      <c r="E114" s="55" t="s">
        <v>2687</v>
      </c>
    </row>
    <row r="115" spans="1:5" ht="15" customHeight="1">
      <c r="A115" s="45" t="s">
        <v>32</v>
      </c>
      <c r="B115" s="46" t="s">
        <v>2730</v>
      </c>
      <c r="C115" s="45" t="s">
        <v>2845</v>
      </c>
      <c r="D115" s="45" t="s">
        <v>2846</v>
      </c>
      <c r="E115" s="55" t="s">
        <v>2687</v>
      </c>
    </row>
    <row r="116" spans="1:5" ht="15" customHeight="1">
      <c r="A116" s="45" t="s">
        <v>32</v>
      </c>
      <c r="B116" s="46" t="s">
        <v>2730</v>
      </c>
      <c r="C116" s="45" t="s">
        <v>2847</v>
      </c>
      <c r="D116" s="45" t="s">
        <v>2848</v>
      </c>
      <c r="E116" s="55" t="s">
        <v>2687</v>
      </c>
    </row>
    <row r="117" spans="1:5" ht="15" customHeight="1">
      <c r="A117" s="45" t="s">
        <v>32</v>
      </c>
      <c r="B117" s="46" t="s">
        <v>2730</v>
      </c>
      <c r="C117" s="45" t="s">
        <v>2849</v>
      </c>
      <c r="D117" s="45" t="s">
        <v>2848</v>
      </c>
      <c r="E117" s="55" t="s">
        <v>2687</v>
      </c>
    </row>
    <row r="118" spans="1:5" ht="15" customHeight="1">
      <c r="A118" s="45" t="s">
        <v>32</v>
      </c>
      <c r="B118" s="46" t="s">
        <v>2730</v>
      </c>
      <c r="C118" s="45" t="s">
        <v>2850</v>
      </c>
      <c r="D118" s="45" t="s">
        <v>2851</v>
      </c>
      <c r="E118" s="55" t="s">
        <v>2687</v>
      </c>
    </row>
    <row r="119" spans="1:5" ht="15" customHeight="1">
      <c r="A119" s="45" t="s">
        <v>32</v>
      </c>
      <c r="B119" s="46" t="s">
        <v>2730</v>
      </c>
      <c r="C119" s="45" t="s">
        <v>760</v>
      </c>
      <c r="D119" s="45" t="s">
        <v>2852</v>
      </c>
      <c r="E119" s="55" t="s">
        <v>2687</v>
      </c>
    </row>
    <row r="120" spans="1:5" ht="15" customHeight="1">
      <c r="A120" s="45" t="s">
        <v>32</v>
      </c>
      <c r="B120" s="46" t="s">
        <v>2730</v>
      </c>
      <c r="C120" s="45" t="s">
        <v>769</v>
      </c>
      <c r="D120" s="45" t="s">
        <v>2853</v>
      </c>
      <c r="E120" s="55" t="s">
        <v>2687</v>
      </c>
    </row>
    <row r="121" spans="1:5" ht="15" customHeight="1">
      <c r="A121" s="45" t="s">
        <v>32</v>
      </c>
      <c r="B121" s="46" t="s">
        <v>2730</v>
      </c>
      <c r="C121" s="45" t="s">
        <v>770</v>
      </c>
      <c r="D121" s="45" t="s">
        <v>2854</v>
      </c>
      <c r="E121" s="55" t="s">
        <v>2687</v>
      </c>
    </row>
    <row r="122" spans="1:5" ht="15" customHeight="1">
      <c r="A122" s="45" t="s">
        <v>32</v>
      </c>
      <c r="B122" s="46" t="s">
        <v>2730</v>
      </c>
      <c r="C122" s="45" t="s">
        <v>774</v>
      </c>
      <c r="D122" s="45" t="s">
        <v>2855</v>
      </c>
      <c r="E122" s="55" t="s">
        <v>2687</v>
      </c>
    </row>
    <row r="123" spans="1:5" ht="15" customHeight="1">
      <c r="A123" s="45" t="s">
        <v>32</v>
      </c>
      <c r="B123" s="46" t="s">
        <v>2730</v>
      </c>
      <c r="C123" s="45" t="s">
        <v>782</v>
      </c>
      <c r="D123" s="45" t="s">
        <v>2856</v>
      </c>
      <c r="E123" s="55" t="s">
        <v>2687</v>
      </c>
    </row>
    <row r="124" spans="1:5" ht="15" customHeight="1">
      <c r="A124" s="45" t="s">
        <v>32</v>
      </c>
      <c r="B124" s="46" t="s">
        <v>2730</v>
      </c>
      <c r="C124" s="45" t="s">
        <v>547</v>
      </c>
      <c r="D124" s="45" t="s">
        <v>2857</v>
      </c>
      <c r="E124" s="55" t="s">
        <v>2687</v>
      </c>
    </row>
    <row r="125" spans="1:5" ht="15" customHeight="1">
      <c r="A125" s="45" t="s">
        <v>32</v>
      </c>
      <c r="B125" s="46" t="s">
        <v>2730</v>
      </c>
      <c r="C125" s="45" t="s">
        <v>554</v>
      </c>
      <c r="D125" s="45" t="s">
        <v>2858</v>
      </c>
      <c r="E125" s="55" t="s">
        <v>2687</v>
      </c>
    </row>
    <row r="126" spans="1:5" ht="15" customHeight="1">
      <c r="A126" s="45" t="s">
        <v>32</v>
      </c>
      <c r="B126" s="46" t="s">
        <v>2730</v>
      </c>
      <c r="C126" s="45" t="s">
        <v>2826</v>
      </c>
      <c r="D126" s="45" t="s">
        <v>2827</v>
      </c>
      <c r="E126" s="55" t="s">
        <v>2687</v>
      </c>
    </row>
    <row r="127" spans="1:5" ht="15" customHeight="1">
      <c r="A127" s="45" t="s">
        <v>32</v>
      </c>
      <c r="B127" s="46" t="s">
        <v>2730</v>
      </c>
      <c r="C127" s="45" t="s">
        <v>2828</v>
      </c>
      <c r="D127" s="45" t="s">
        <v>2829</v>
      </c>
      <c r="E127" s="55" t="s">
        <v>2687</v>
      </c>
    </row>
    <row r="128" spans="1:5" ht="15" customHeight="1">
      <c r="A128" s="45" t="s">
        <v>32</v>
      </c>
      <c r="B128" s="46" t="s">
        <v>2730</v>
      </c>
      <c r="C128" s="45" t="s">
        <v>621</v>
      </c>
      <c r="D128" s="45" t="s">
        <v>2830</v>
      </c>
      <c r="E128" s="55" t="s">
        <v>2687</v>
      </c>
    </row>
    <row r="129" spans="1:5" ht="15" customHeight="1">
      <c r="A129" s="45" t="s">
        <v>32</v>
      </c>
      <c r="B129" s="46" t="s">
        <v>2730</v>
      </c>
      <c r="C129" s="45" t="s">
        <v>622</v>
      </c>
      <c r="D129" s="45" t="s">
        <v>2859</v>
      </c>
      <c r="E129" s="55" t="s">
        <v>2687</v>
      </c>
    </row>
    <row r="130" spans="1:5" ht="15" customHeight="1">
      <c r="A130" s="45" t="s">
        <v>32</v>
      </c>
      <c r="B130" s="46" t="s">
        <v>2730</v>
      </c>
      <c r="C130" s="45" t="s">
        <v>659</v>
      </c>
      <c r="D130" s="45" t="s">
        <v>2860</v>
      </c>
      <c r="E130" s="55" t="s">
        <v>2687</v>
      </c>
    </row>
    <row r="131" spans="1:5" ht="15" customHeight="1">
      <c r="A131" s="45" t="s">
        <v>32</v>
      </c>
      <c r="B131" s="46" t="s">
        <v>2730</v>
      </c>
      <c r="C131" s="45" t="s">
        <v>665</v>
      </c>
      <c r="D131" s="45" t="s">
        <v>2844</v>
      </c>
      <c r="E131" s="55" t="s">
        <v>2687</v>
      </c>
    </row>
    <row r="132" spans="1:5" ht="15" customHeight="1">
      <c r="A132" s="45" t="s">
        <v>32</v>
      </c>
      <c r="B132" s="46" t="s">
        <v>2730</v>
      </c>
      <c r="C132" s="45" t="s">
        <v>2843</v>
      </c>
      <c r="D132" s="45" t="s">
        <v>2844</v>
      </c>
      <c r="E132" s="55" t="s">
        <v>2687</v>
      </c>
    </row>
    <row r="133" spans="1:5" ht="15" customHeight="1">
      <c r="A133" s="45" t="s">
        <v>32</v>
      </c>
      <c r="B133" s="46" t="s">
        <v>2730</v>
      </c>
      <c r="C133" s="45" t="s">
        <v>666</v>
      </c>
      <c r="D133" s="45" t="s">
        <v>2846</v>
      </c>
      <c r="E133" s="55" t="s">
        <v>2687</v>
      </c>
    </row>
    <row r="134" spans="1:5" ht="15" customHeight="1">
      <c r="A134" s="45" t="s">
        <v>32</v>
      </c>
      <c r="B134" s="46" t="s">
        <v>2730</v>
      </c>
      <c r="C134" s="45" t="s">
        <v>2845</v>
      </c>
      <c r="D134" s="45" t="s">
        <v>2846</v>
      </c>
      <c r="E134" s="55" t="s">
        <v>2687</v>
      </c>
    </row>
    <row r="135" spans="1:5" ht="15" customHeight="1">
      <c r="A135" s="45" t="s">
        <v>32</v>
      </c>
      <c r="B135" s="46" t="s">
        <v>2730</v>
      </c>
      <c r="C135" s="45" t="s">
        <v>667</v>
      </c>
      <c r="D135" s="45" t="s">
        <v>2846</v>
      </c>
      <c r="E135" s="55" t="s">
        <v>2687</v>
      </c>
    </row>
    <row r="136" spans="1:5" ht="15" customHeight="1">
      <c r="A136" s="45" t="s">
        <v>32</v>
      </c>
      <c r="B136" s="46" t="s">
        <v>2730</v>
      </c>
      <c r="C136" s="45" t="s">
        <v>2861</v>
      </c>
      <c r="D136" s="45" t="s">
        <v>2862</v>
      </c>
      <c r="E136" s="55" t="s">
        <v>2687</v>
      </c>
    </row>
    <row r="137" spans="1:5" ht="15" customHeight="1">
      <c r="A137" s="45" t="s">
        <v>32</v>
      </c>
      <c r="B137" s="46" t="s">
        <v>2730</v>
      </c>
      <c r="C137" s="45" t="s">
        <v>2863</v>
      </c>
      <c r="D137" s="45" t="s">
        <v>2864</v>
      </c>
      <c r="E137" s="55" t="s">
        <v>2687</v>
      </c>
    </row>
    <row r="138" spans="1:5" ht="15" customHeight="1">
      <c r="A138" s="45" t="s">
        <v>32</v>
      </c>
      <c r="B138" s="46" t="s">
        <v>2730</v>
      </c>
      <c r="C138" s="45" t="s">
        <v>2865</v>
      </c>
      <c r="D138" s="45" t="s">
        <v>2866</v>
      </c>
      <c r="E138" s="55" t="s">
        <v>2687</v>
      </c>
    </row>
    <row r="139" spans="1:5" ht="15" customHeight="1">
      <c r="A139" s="45" t="s">
        <v>32</v>
      </c>
      <c r="B139" s="46" t="s">
        <v>2730</v>
      </c>
      <c r="C139" s="45" t="s">
        <v>2867</v>
      </c>
      <c r="D139" s="45" t="s">
        <v>2868</v>
      </c>
      <c r="E139" s="55" t="s">
        <v>2687</v>
      </c>
    </row>
    <row r="140" spans="1:5" ht="15" customHeight="1">
      <c r="A140" s="45" t="s">
        <v>32</v>
      </c>
      <c r="B140" s="46" t="s">
        <v>2730</v>
      </c>
      <c r="C140" s="45" t="s">
        <v>675</v>
      </c>
      <c r="D140" s="45" t="s">
        <v>2869</v>
      </c>
      <c r="E140" s="55" t="s">
        <v>2687</v>
      </c>
    </row>
    <row r="141" spans="1:5" ht="15" customHeight="1">
      <c r="A141" s="45" t="s">
        <v>32</v>
      </c>
      <c r="B141" s="46" t="s">
        <v>2730</v>
      </c>
      <c r="C141" s="45" t="s">
        <v>757</v>
      </c>
      <c r="D141" s="45" t="s">
        <v>2870</v>
      </c>
      <c r="E141" s="55" t="s">
        <v>2687</v>
      </c>
    </row>
    <row r="142" spans="1:5" ht="15" customHeight="1">
      <c r="A142" s="45" t="s">
        <v>32</v>
      </c>
      <c r="B142" s="46" t="s">
        <v>2730</v>
      </c>
      <c r="C142" s="45" t="s">
        <v>804</v>
      </c>
      <c r="D142" s="45" t="s">
        <v>2871</v>
      </c>
      <c r="E142" s="55" t="s">
        <v>2687</v>
      </c>
    </row>
    <row r="143" spans="1:5" ht="15" customHeight="1">
      <c r="A143" s="45" t="s">
        <v>32</v>
      </c>
      <c r="B143" s="46" t="s">
        <v>2730</v>
      </c>
      <c r="C143" s="45" t="s">
        <v>806</v>
      </c>
      <c r="D143" s="45" t="s">
        <v>2872</v>
      </c>
      <c r="E143" s="55" t="s">
        <v>2687</v>
      </c>
    </row>
    <row r="144" spans="1:5" ht="15" customHeight="1">
      <c r="A144" s="45" t="s">
        <v>32</v>
      </c>
      <c r="B144" s="46" t="s">
        <v>2730</v>
      </c>
      <c r="C144" s="45" t="s">
        <v>807</v>
      </c>
      <c r="D144" s="45" t="s">
        <v>2873</v>
      </c>
      <c r="E144" s="55" t="s">
        <v>2687</v>
      </c>
    </row>
    <row r="145" spans="1:5" ht="15" customHeight="1">
      <c r="A145" s="45" t="s">
        <v>80</v>
      </c>
      <c r="B145" s="46" t="s">
        <v>2874</v>
      </c>
      <c r="C145" s="45" t="s">
        <v>1226</v>
      </c>
      <c r="D145" s="45" t="s">
        <v>1226</v>
      </c>
      <c r="E145" s="55" t="s">
        <v>2687</v>
      </c>
    </row>
    <row r="146" spans="1:5" ht="15" customHeight="1">
      <c r="A146" s="45" t="s">
        <v>80</v>
      </c>
      <c r="B146" s="46" t="s">
        <v>2874</v>
      </c>
      <c r="C146" s="45" t="s">
        <v>1227</v>
      </c>
      <c r="D146" s="45" t="s">
        <v>1227</v>
      </c>
      <c r="E146" s="55" t="s">
        <v>2687</v>
      </c>
    </row>
    <row r="147" spans="1:5" ht="15" customHeight="1">
      <c r="A147" s="45" t="s">
        <v>80</v>
      </c>
      <c r="B147" s="46" t="s">
        <v>2874</v>
      </c>
      <c r="C147" s="45" t="s">
        <v>1202</v>
      </c>
      <c r="D147" s="45" t="s">
        <v>1202</v>
      </c>
      <c r="E147" s="55" t="s">
        <v>2687</v>
      </c>
    </row>
    <row r="148" spans="1:5" ht="15" customHeight="1">
      <c r="A148" s="45" t="s">
        <v>80</v>
      </c>
      <c r="B148" s="46" t="s">
        <v>2874</v>
      </c>
      <c r="C148" s="45" t="s">
        <v>1203</v>
      </c>
      <c r="D148" s="45" t="s">
        <v>1203</v>
      </c>
      <c r="E148" s="55" t="s">
        <v>2687</v>
      </c>
    </row>
    <row r="149" spans="1:5" ht="15" customHeight="1">
      <c r="A149" s="45" t="s">
        <v>80</v>
      </c>
      <c r="B149" s="46" t="s">
        <v>2874</v>
      </c>
      <c r="C149" s="45" t="s">
        <v>1204</v>
      </c>
      <c r="D149" s="45" t="s">
        <v>1204</v>
      </c>
      <c r="E149" s="55" t="s">
        <v>2687</v>
      </c>
    </row>
    <row r="150" spans="1:5" ht="15" customHeight="1">
      <c r="A150" s="45" t="s">
        <v>80</v>
      </c>
      <c r="B150" s="46" t="s">
        <v>2874</v>
      </c>
      <c r="C150" s="45" t="s">
        <v>1205</v>
      </c>
      <c r="D150" s="45" t="s">
        <v>1205</v>
      </c>
      <c r="E150" s="55" t="s">
        <v>2687</v>
      </c>
    </row>
    <row r="151" spans="1:5" ht="15" customHeight="1">
      <c r="A151" s="45" t="s">
        <v>80</v>
      </c>
      <c r="B151" s="46" t="s">
        <v>2874</v>
      </c>
      <c r="C151" s="45" t="s">
        <v>1242</v>
      </c>
      <c r="D151" s="45" t="s">
        <v>1242</v>
      </c>
      <c r="E151" s="55" t="s">
        <v>2687</v>
      </c>
    </row>
    <row r="152" spans="1:5" ht="15" customHeight="1">
      <c r="A152" s="45" t="s">
        <v>80</v>
      </c>
      <c r="B152" s="46" t="s">
        <v>2874</v>
      </c>
      <c r="C152" s="45" t="s">
        <v>1243</v>
      </c>
      <c r="D152" s="45" t="s">
        <v>1243</v>
      </c>
      <c r="E152" s="55" t="s">
        <v>2687</v>
      </c>
    </row>
    <row r="153" spans="1:5" ht="15" customHeight="1">
      <c r="A153" s="45" t="s">
        <v>80</v>
      </c>
      <c r="B153" s="46" t="s">
        <v>2874</v>
      </c>
      <c r="C153" s="45" t="s">
        <v>1244</v>
      </c>
      <c r="D153" s="45" t="s">
        <v>1244</v>
      </c>
      <c r="E153" s="55" t="s">
        <v>2687</v>
      </c>
    </row>
    <row r="154" spans="1:5" ht="15" customHeight="1">
      <c r="A154" s="45" t="s">
        <v>80</v>
      </c>
      <c r="B154" s="46" t="s">
        <v>2874</v>
      </c>
      <c r="C154" s="45" t="s">
        <v>1245</v>
      </c>
      <c r="D154" s="45" t="s">
        <v>1245</v>
      </c>
      <c r="E154" s="55" t="s">
        <v>2687</v>
      </c>
    </row>
    <row r="155" spans="1:5" ht="15" customHeight="1">
      <c r="A155" s="45" t="s">
        <v>1</v>
      </c>
      <c r="B155" s="46" t="s">
        <v>2875</v>
      </c>
      <c r="C155" s="45" t="s">
        <v>381</v>
      </c>
      <c r="D155" s="45" t="s">
        <v>381</v>
      </c>
      <c r="E155" s="55" t="s">
        <v>2687</v>
      </c>
    </row>
    <row r="156" spans="1:5" ht="15" customHeight="1">
      <c r="A156" s="45" t="s">
        <v>1</v>
      </c>
      <c r="B156" s="46" t="s">
        <v>2875</v>
      </c>
      <c r="C156" s="45" t="s">
        <v>382</v>
      </c>
      <c r="D156" s="45" t="s">
        <v>382</v>
      </c>
      <c r="E156" s="55" t="s">
        <v>2687</v>
      </c>
    </row>
    <row r="157" spans="1:5" ht="15" customHeight="1">
      <c r="A157" s="45" t="s">
        <v>32</v>
      </c>
      <c r="B157" s="46" t="s">
        <v>2876</v>
      </c>
      <c r="C157" s="45" t="s">
        <v>786</v>
      </c>
      <c r="D157" s="45" t="s">
        <v>786</v>
      </c>
      <c r="E157" s="55" t="s">
        <v>2687</v>
      </c>
    </row>
    <row r="158" spans="1:5" ht="15" customHeight="1">
      <c r="A158" s="45" t="s">
        <v>32</v>
      </c>
      <c r="B158" s="46" t="s">
        <v>2876</v>
      </c>
      <c r="C158" s="45" t="s">
        <v>787</v>
      </c>
      <c r="D158" s="45" t="s">
        <v>787</v>
      </c>
      <c r="E158" s="55" t="s">
        <v>2687</v>
      </c>
    </row>
    <row r="159" spans="1:5" ht="15" customHeight="1">
      <c r="A159" s="45" t="s">
        <v>32</v>
      </c>
      <c r="B159" s="46" t="s">
        <v>2876</v>
      </c>
      <c r="C159" s="45" t="s">
        <v>788</v>
      </c>
      <c r="D159" s="45" t="s">
        <v>788</v>
      </c>
      <c r="E159" s="55" t="s">
        <v>2687</v>
      </c>
    </row>
    <row r="160" spans="1:5" ht="15" customHeight="1">
      <c r="A160" s="45" t="s">
        <v>32</v>
      </c>
      <c r="B160" s="46" t="s">
        <v>2876</v>
      </c>
      <c r="C160" s="45" t="s">
        <v>789</v>
      </c>
      <c r="D160" s="45" t="s">
        <v>789</v>
      </c>
      <c r="E160" s="55" t="s">
        <v>2687</v>
      </c>
    </row>
    <row r="161" spans="1:5" ht="15" customHeight="1">
      <c r="A161" s="45" t="s">
        <v>32</v>
      </c>
      <c r="B161" s="46" t="s">
        <v>2876</v>
      </c>
      <c r="C161" s="45" t="s">
        <v>560</v>
      </c>
      <c r="D161" s="45" t="s">
        <v>560</v>
      </c>
      <c r="E161" s="55" t="s">
        <v>2687</v>
      </c>
    </row>
    <row r="162" spans="1:5" ht="15" customHeight="1">
      <c r="A162" s="45" t="s">
        <v>32</v>
      </c>
      <c r="B162" s="46" t="s">
        <v>2877</v>
      </c>
      <c r="C162" s="45" t="s">
        <v>2878</v>
      </c>
      <c r="D162" s="45" t="s">
        <v>2878</v>
      </c>
      <c r="E162" s="55" t="s">
        <v>2687</v>
      </c>
    </row>
    <row r="163" spans="1:5" ht="15" customHeight="1">
      <c r="A163" s="45" t="s">
        <v>32</v>
      </c>
      <c r="B163" s="46" t="s">
        <v>2877</v>
      </c>
      <c r="C163" s="45" t="s">
        <v>2879</v>
      </c>
      <c r="D163" s="45" t="s">
        <v>2879</v>
      </c>
      <c r="E163" s="55" t="s">
        <v>2687</v>
      </c>
    </row>
    <row r="164" spans="1:5" ht="15" customHeight="1">
      <c r="A164" s="45" t="s">
        <v>32</v>
      </c>
      <c r="B164" s="46" t="s">
        <v>2877</v>
      </c>
      <c r="C164" s="45" t="s">
        <v>2766</v>
      </c>
      <c r="D164" s="45" t="s">
        <v>2766</v>
      </c>
      <c r="E164" s="55" t="s">
        <v>2687</v>
      </c>
    </row>
    <row r="165" spans="1:5" ht="15" customHeight="1">
      <c r="A165" s="45" t="s">
        <v>32</v>
      </c>
      <c r="B165" s="46" t="s">
        <v>2877</v>
      </c>
      <c r="C165" s="45" t="s">
        <v>2880</v>
      </c>
      <c r="D165" s="45" t="s">
        <v>2880</v>
      </c>
      <c r="E165" s="55" t="s">
        <v>2687</v>
      </c>
    </row>
    <row r="166" spans="1:5" ht="15" customHeight="1">
      <c r="A166" s="45" t="s">
        <v>32</v>
      </c>
      <c r="B166" s="46" t="s">
        <v>2877</v>
      </c>
      <c r="C166" s="45" t="s">
        <v>2881</v>
      </c>
      <c r="D166" s="45" t="s">
        <v>2881</v>
      </c>
      <c r="E166" s="55" t="s">
        <v>2687</v>
      </c>
    </row>
    <row r="167" spans="1:5" ht="15" customHeight="1">
      <c r="A167" s="45" t="s">
        <v>32</v>
      </c>
      <c r="B167" s="46" t="s">
        <v>2877</v>
      </c>
      <c r="C167" s="45" t="s">
        <v>2768</v>
      </c>
      <c r="D167" s="45" t="s">
        <v>2768</v>
      </c>
      <c r="E167" s="55" t="s">
        <v>2687</v>
      </c>
    </row>
    <row r="168" spans="1:5" ht="15" customHeight="1">
      <c r="A168" s="45" t="s">
        <v>32</v>
      </c>
      <c r="B168" s="46" t="s">
        <v>2877</v>
      </c>
      <c r="C168" s="45" t="s">
        <v>2770</v>
      </c>
      <c r="D168" s="45" t="s">
        <v>2770</v>
      </c>
      <c r="E168" s="55" t="s">
        <v>2687</v>
      </c>
    </row>
    <row r="169" spans="1:5" ht="15" customHeight="1">
      <c r="A169" s="45" t="s">
        <v>32</v>
      </c>
      <c r="B169" s="46" t="s">
        <v>2877</v>
      </c>
      <c r="C169" s="45" t="s">
        <v>2772</v>
      </c>
      <c r="D169" s="45" t="s">
        <v>2772</v>
      </c>
      <c r="E169" s="55" t="s">
        <v>2687</v>
      </c>
    </row>
    <row r="170" spans="1:5" ht="15" customHeight="1">
      <c r="A170" s="45" t="s">
        <v>32</v>
      </c>
      <c r="B170" s="46" t="s">
        <v>2877</v>
      </c>
      <c r="C170" s="45" t="s">
        <v>2774</v>
      </c>
      <c r="D170" s="45" t="s">
        <v>2774</v>
      </c>
      <c r="E170" s="55" t="s">
        <v>2687</v>
      </c>
    </row>
    <row r="171" spans="1:5" ht="15" customHeight="1">
      <c r="A171" s="45" t="s">
        <v>32</v>
      </c>
      <c r="B171" s="46" t="s">
        <v>2877</v>
      </c>
      <c r="C171" s="45" t="s">
        <v>2882</v>
      </c>
      <c r="D171" s="45" t="s">
        <v>2882</v>
      </c>
      <c r="E171" s="55" t="s">
        <v>2687</v>
      </c>
    </row>
    <row r="172" spans="1:5" ht="15" customHeight="1">
      <c r="A172" s="45" t="s">
        <v>32</v>
      </c>
      <c r="B172" s="46" t="s">
        <v>2877</v>
      </c>
      <c r="C172" s="45" t="s">
        <v>2883</v>
      </c>
      <c r="D172" s="45" t="s">
        <v>2883</v>
      </c>
      <c r="E172" s="55" t="s">
        <v>2687</v>
      </c>
    </row>
    <row r="173" spans="1:5" ht="15" customHeight="1">
      <c r="A173" s="45" t="s">
        <v>32</v>
      </c>
      <c r="B173" s="46" t="s">
        <v>2877</v>
      </c>
      <c r="C173" s="45" t="s">
        <v>2884</v>
      </c>
      <c r="D173" s="45" t="s">
        <v>2884</v>
      </c>
      <c r="E173" s="55" t="s">
        <v>2687</v>
      </c>
    </row>
    <row r="174" spans="1:5" ht="15" customHeight="1">
      <c r="A174" s="45" t="s">
        <v>32</v>
      </c>
      <c r="B174" s="46" t="s">
        <v>2877</v>
      </c>
      <c r="C174" s="45" t="s">
        <v>2778</v>
      </c>
      <c r="D174" s="45" t="s">
        <v>2778</v>
      </c>
      <c r="E174" s="55" t="s">
        <v>2687</v>
      </c>
    </row>
    <row r="175" spans="1:5" ht="15" customHeight="1">
      <c r="A175" s="45" t="s">
        <v>32</v>
      </c>
      <c r="B175" s="46" t="s">
        <v>2885</v>
      </c>
      <c r="C175" s="45" t="s">
        <v>559</v>
      </c>
      <c r="D175" s="45" t="s">
        <v>559</v>
      </c>
      <c r="E175" s="55" t="s">
        <v>2687</v>
      </c>
    </row>
    <row r="176" spans="1:5" ht="15" customHeight="1">
      <c r="A176" s="45" t="s">
        <v>32</v>
      </c>
      <c r="B176" s="46" t="s">
        <v>2885</v>
      </c>
      <c r="C176" s="45" t="s">
        <v>589</v>
      </c>
      <c r="D176" s="45" t="s">
        <v>589</v>
      </c>
      <c r="E176" s="55" t="s">
        <v>2687</v>
      </c>
    </row>
    <row r="177" spans="1:5" ht="15" customHeight="1">
      <c r="A177" s="45" t="s">
        <v>32</v>
      </c>
      <c r="B177" s="46" t="s">
        <v>2885</v>
      </c>
      <c r="C177" s="45" t="s">
        <v>2813</v>
      </c>
      <c r="D177" s="45" t="s">
        <v>2813</v>
      </c>
      <c r="E177" s="55" t="s">
        <v>2687</v>
      </c>
    </row>
    <row r="178" spans="1:5" ht="15" customHeight="1">
      <c r="A178" s="45" t="s">
        <v>32</v>
      </c>
      <c r="B178" s="46" t="s">
        <v>2885</v>
      </c>
      <c r="C178" s="45" t="s">
        <v>608</v>
      </c>
      <c r="D178" s="45" t="s">
        <v>608</v>
      </c>
      <c r="E178" s="55" t="s">
        <v>2687</v>
      </c>
    </row>
    <row r="179" spans="1:5" ht="15" customHeight="1">
      <c r="A179" s="45" t="s">
        <v>32</v>
      </c>
      <c r="B179" s="46" t="s">
        <v>2885</v>
      </c>
      <c r="C179" s="45" t="s">
        <v>609</v>
      </c>
      <c r="D179" s="45" t="s">
        <v>609</v>
      </c>
      <c r="E179" s="55" t="s">
        <v>2687</v>
      </c>
    </row>
    <row r="180" spans="1:5" ht="15" customHeight="1">
      <c r="A180" s="45" t="s">
        <v>32</v>
      </c>
      <c r="B180" s="46" t="s">
        <v>2885</v>
      </c>
      <c r="C180" s="45" t="s">
        <v>615</v>
      </c>
      <c r="D180" s="45" t="s">
        <v>615</v>
      </c>
      <c r="E180" s="55" t="s">
        <v>2687</v>
      </c>
    </row>
    <row r="181" spans="1:5" ht="15" customHeight="1">
      <c r="A181" s="45" t="s">
        <v>32</v>
      </c>
      <c r="B181" s="46" t="s">
        <v>2885</v>
      </c>
      <c r="C181" s="45" t="s">
        <v>621</v>
      </c>
      <c r="D181" s="45" t="s">
        <v>621</v>
      </c>
      <c r="E181" s="55" t="s">
        <v>2687</v>
      </c>
    </row>
    <row r="182" spans="1:5" ht="15" customHeight="1">
      <c r="A182" s="45" t="s">
        <v>32</v>
      </c>
      <c r="B182" s="46" t="s">
        <v>2885</v>
      </c>
      <c r="C182" s="45" t="s">
        <v>641</v>
      </c>
      <c r="D182" s="45" t="s">
        <v>641</v>
      </c>
      <c r="E182" s="55" t="s">
        <v>2687</v>
      </c>
    </row>
    <row r="183" spans="1:5" ht="15" customHeight="1">
      <c r="A183" s="45" t="s">
        <v>32</v>
      </c>
      <c r="B183" s="46" t="s">
        <v>2885</v>
      </c>
      <c r="C183" s="45" t="s">
        <v>643</v>
      </c>
      <c r="D183" s="45" t="s">
        <v>643</v>
      </c>
      <c r="E183" s="55" t="s">
        <v>2687</v>
      </c>
    </row>
    <row r="184" spans="1:5" ht="15" customHeight="1">
      <c r="A184" s="45" t="s">
        <v>32</v>
      </c>
      <c r="B184" s="46" t="s">
        <v>2885</v>
      </c>
      <c r="C184" s="45" t="s">
        <v>760</v>
      </c>
      <c r="D184" s="45" t="s">
        <v>760</v>
      </c>
      <c r="E184" s="55" t="s">
        <v>2687</v>
      </c>
    </row>
    <row r="185" spans="1:5" ht="15" customHeight="1">
      <c r="A185" s="45" t="s">
        <v>32</v>
      </c>
      <c r="B185" s="46" t="s">
        <v>2885</v>
      </c>
      <c r="C185" s="45" t="s">
        <v>2886</v>
      </c>
      <c r="D185" s="45" t="s">
        <v>2886</v>
      </c>
      <c r="E185" s="55" t="s">
        <v>2687</v>
      </c>
    </row>
    <row r="186" spans="1:5" ht="15" customHeight="1">
      <c r="A186" s="45" t="s">
        <v>32</v>
      </c>
      <c r="B186" s="46" t="s">
        <v>2885</v>
      </c>
      <c r="C186" s="45" t="s">
        <v>769</v>
      </c>
      <c r="D186" s="45" t="s">
        <v>769</v>
      </c>
      <c r="E186" s="55" t="s">
        <v>2687</v>
      </c>
    </row>
    <row r="187" spans="1:5" ht="15" customHeight="1">
      <c r="A187" s="45" t="s">
        <v>32</v>
      </c>
      <c r="B187" s="46" t="s">
        <v>2885</v>
      </c>
      <c r="C187" s="45" t="s">
        <v>770</v>
      </c>
      <c r="D187" s="45" t="s">
        <v>770</v>
      </c>
      <c r="E187" s="55" t="s">
        <v>2687</v>
      </c>
    </row>
    <row r="188" spans="1:5" ht="15" customHeight="1">
      <c r="A188" s="45" t="s">
        <v>32</v>
      </c>
      <c r="B188" s="46" t="s">
        <v>2885</v>
      </c>
      <c r="C188" s="45" t="s">
        <v>774</v>
      </c>
      <c r="D188" s="45" t="s">
        <v>774</v>
      </c>
      <c r="E188" s="55" t="s">
        <v>2687</v>
      </c>
    </row>
    <row r="189" spans="1:5" ht="15" customHeight="1">
      <c r="A189" s="45" t="s">
        <v>32</v>
      </c>
      <c r="B189" s="46" t="s">
        <v>2885</v>
      </c>
      <c r="C189" s="45" t="s">
        <v>782</v>
      </c>
      <c r="D189" s="45" t="s">
        <v>782</v>
      </c>
      <c r="E189" s="55" t="s">
        <v>2687</v>
      </c>
    </row>
    <row r="190" spans="1:5" ht="15" customHeight="1">
      <c r="A190" s="45" t="s">
        <v>80</v>
      </c>
      <c r="B190" s="46" t="s">
        <v>2874</v>
      </c>
      <c r="C190" s="45" t="s">
        <v>1812</v>
      </c>
      <c r="D190" s="45" t="s">
        <v>1812</v>
      </c>
      <c r="E190" s="55" t="s">
        <v>2687</v>
      </c>
    </row>
    <row r="191" spans="1:5" ht="15" customHeight="1">
      <c r="A191" s="45" t="s">
        <v>80</v>
      </c>
      <c r="B191" s="46" t="s">
        <v>2874</v>
      </c>
      <c r="C191" s="45" t="s">
        <v>1813</v>
      </c>
      <c r="D191" s="45" t="s">
        <v>1813</v>
      </c>
      <c r="E191" s="55" t="s">
        <v>2687</v>
      </c>
    </row>
    <row r="192" spans="1:5" ht="15" customHeight="1">
      <c r="A192" s="45" t="s">
        <v>80</v>
      </c>
      <c r="B192" s="46" t="s">
        <v>2874</v>
      </c>
      <c r="C192" s="45" t="s">
        <v>1814</v>
      </c>
      <c r="D192" s="45" t="s">
        <v>1814</v>
      </c>
      <c r="E192" s="55" t="s">
        <v>2687</v>
      </c>
    </row>
    <row r="193" spans="1:5" ht="15" customHeight="1">
      <c r="A193" s="45" t="s">
        <v>80</v>
      </c>
      <c r="B193" s="46" t="s">
        <v>2874</v>
      </c>
      <c r="C193" s="45" t="s">
        <v>1815</v>
      </c>
      <c r="D193" s="45" t="s">
        <v>1815</v>
      </c>
      <c r="E193" s="55" t="s">
        <v>2687</v>
      </c>
    </row>
    <row r="194" spans="1:5" ht="15" customHeight="1">
      <c r="A194" s="45" t="s">
        <v>80</v>
      </c>
      <c r="B194" s="46" t="s">
        <v>2874</v>
      </c>
      <c r="C194" s="45" t="s">
        <v>1816</v>
      </c>
      <c r="D194" s="45" t="s">
        <v>1816</v>
      </c>
      <c r="E194" s="55" t="s">
        <v>2687</v>
      </c>
    </row>
    <row r="195" spans="1:5" ht="15" customHeight="1">
      <c r="A195" s="45" t="s">
        <v>2684</v>
      </c>
      <c r="B195" s="46" t="s">
        <v>2887</v>
      </c>
      <c r="C195" s="45" t="s">
        <v>2888</v>
      </c>
      <c r="E195" s="55" t="s">
        <v>2687</v>
      </c>
    </row>
    <row r="196" spans="1:5" ht="15" customHeight="1">
      <c r="A196" s="45" t="s">
        <v>2684</v>
      </c>
      <c r="B196" s="46" t="s">
        <v>2887</v>
      </c>
      <c r="C196" s="45" t="s">
        <v>2180</v>
      </c>
      <c r="E196" s="55" t="s">
        <v>2687</v>
      </c>
    </row>
    <row r="197" spans="1:5" ht="15" customHeight="1">
      <c r="A197" s="45" t="s">
        <v>2684</v>
      </c>
      <c r="B197" s="46" t="s">
        <v>2887</v>
      </c>
      <c r="C197" s="45" t="s">
        <v>2889</v>
      </c>
      <c r="E197" s="55" t="s">
        <v>2687</v>
      </c>
    </row>
    <row r="198" spans="1:5" ht="15" customHeight="1">
      <c r="A198" s="45" t="s">
        <v>2684</v>
      </c>
      <c r="B198" s="46" t="s">
        <v>2877</v>
      </c>
      <c r="C198" s="45">
        <v>91515042</v>
      </c>
      <c r="D198" s="45" t="s">
        <v>2890</v>
      </c>
      <c r="E198" s="55" t="s">
        <v>2687</v>
      </c>
    </row>
    <row r="199" spans="1:5" ht="15" customHeight="1">
      <c r="A199" s="45" t="s">
        <v>2684</v>
      </c>
      <c r="B199" s="46" t="s">
        <v>2877</v>
      </c>
      <c r="C199" s="45" t="s">
        <v>2243</v>
      </c>
      <c r="D199" s="45" t="s">
        <v>2717</v>
      </c>
      <c r="E199" s="55" t="s">
        <v>2687</v>
      </c>
    </row>
    <row r="200" spans="1:5" ht="15" customHeight="1">
      <c r="A200" s="45" t="s">
        <v>2684</v>
      </c>
      <c r="B200" s="46" t="s">
        <v>2877</v>
      </c>
      <c r="C200" s="45">
        <v>91510180</v>
      </c>
      <c r="D200" s="45" t="s">
        <v>2720</v>
      </c>
      <c r="E200" s="55" t="s">
        <v>2687</v>
      </c>
    </row>
    <row r="201" spans="1:5" ht="15" customHeight="1">
      <c r="A201" s="45" t="s">
        <v>2684</v>
      </c>
      <c r="B201" s="46" t="s">
        <v>2877</v>
      </c>
      <c r="C201" s="45" t="s">
        <v>2718</v>
      </c>
      <c r="D201" s="45" t="s">
        <v>2719</v>
      </c>
      <c r="E201" s="55" t="s">
        <v>2687</v>
      </c>
    </row>
    <row r="202" spans="1:5" ht="15" customHeight="1">
      <c r="A202" s="45" t="s">
        <v>2684</v>
      </c>
      <c r="B202" s="46" t="s">
        <v>2877</v>
      </c>
      <c r="C202" s="45">
        <v>9025123589</v>
      </c>
      <c r="D202" s="45" t="s">
        <v>2891</v>
      </c>
      <c r="E202" s="55" t="s">
        <v>2687</v>
      </c>
    </row>
    <row r="203" spans="1:5" ht="15" customHeight="1">
      <c r="A203" s="45" t="s">
        <v>2684</v>
      </c>
      <c r="B203" s="46" t="s">
        <v>2877</v>
      </c>
      <c r="C203" s="45">
        <v>9025123588</v>
      </c>
      <c r="D203" s="45" t="s">
        <v>2891</v>
      </c>
      <c r="E203" s="55" t="s">
        <v>2687</v>
      </c>
    </row>
    <row r="204" spans="1:5" ht="15" customHeight="1">
      <c r="A204" s="45" t="s">
        <v>2684</v>
      </c>
      <c r="B204" s="46" t="s">
        <v>2877</v>
      </c>
      <c r="C204" s="45" t="s">
        <v>2892</v>
      </c>
      <c r="D204" s="45" t="s">
        <v>2688</v>
      </c>
      <c r="E204" s="55" t="s">
        <v>2687</v>
      </c>
    </row>
    <row r="205" spans="1:5" ht="15" customHeight="1">
      <c r="A205" s="45" t="s">
        <v>2684</v>
      </c>
      <c r="B205" s="46" t="s">
        <v>2877</v>
      </c>
      <c r="C205" s="45">
        <v>91616086</v>
      </c>
      <c r="D205" s="45" t="s">
        <v>2893</v>
      </c>
      <c r="E205" s="55" t="s">
        <v>2687</v>
      </c>
    </row>
    <row r="206" spans="1:5" ht="15" customHeight="1">
      <c r="A206" s="45" t="s">
        <v>2684</v>
      </c>
      <c r="B206" s="46" t="s">
        <v>2877</v>
      </c>
      <c r="C206" s="45">
        <v>91616087</v>
      </c>
      <c r="D206" s="45" t="s">
        <v>2894</v>
      </c>
      <c r="E206" s="55" t="s">
        <v>2687</v>
      </c>
    </row>
    <row r="207" spans="1:5" ht="15" customHeight="1">
      <c r="A207" s="45" t="s">
        <v>2684</v>
      </c>
      <c r="B207" s="46" t="s">
        <v>2877</v>
      </c>
      <c r="C207" s="45">
        <v>91311210</v>
      </c>
      <c r="D207" s="45" t="s">
        <v>2895</v>
      </c>
      <c r="E207" s="55" t="s">
        <v>2687</v>
      </c>
    </row>
    <row r="208" spans="1:5" ht="15" customHeight="1">
      <c r="A208" s="45" t="s">
        <v>2684</v>
      </c>
      <c r="B208" s="46" t="s">
        <v>2877</v>
      </c>
      <c r="C208" s="45">
        <v>91611460</v>
      </c>
      <c r="D208" s="45" t="s">
        <v>2725</v>
      </c>
      <c r="E208" s="55" t="s">
        <v>2687</v>
      </c>
    </row>
    <row r="209" spans="1:5" ht="15" customHeight="1">
      <c r="A209" s="45" t="s">
        <v>2684</v>
      </c>
      <c r="B209" s="46" t="s">
        <v>2877</v>
      </c>
      <c r="C209" s="45">
        <v>0</v>
      </c>
      <c r="D209" s="45" t="s">
        <v>2726</v>
      </c>
      <c r="E209" s="55" t="s">
        <v>2687</v>
      </c>
    </row>
    <row r="210" spans="1:5" ht="15" customHeight="1">
      <c r="A210" s="45" t="s">
        <v>2684</v>
      </c>
      <c r="B210" s="46" t="s">
        <v>2877</v>
      </c>
      <c r="C210" s="45">
        <v>91611430</v>
      </c>
      <c r="D210" s="45" t="s">
        <v>2723</v>
      </c>
      <c r="E210" s="55" t="s">
        <v>2687</v>
      </c>
    </row>
    <row r="211" spans="1:5" ht="15" customHeight="1">
      <c r="A211" s="45" t="s">
        <v>2684</v>
      </c>
      <c r="B211" s="46" t="s">
        <v>2877</v>
      </c>
      <c r="C211" s="45">
        <v>91611440</v>
      </c>
      <c r="D211" s="45" t="s">
        <v>2724</v>
      </c>
      <c r="E211" s="55" t="s">
        <v>2687</v>
      </c>
    </row>
    <row r="212" spans="1:5" ht="15" customHeight="1">
      <c r="A212" s="45" t="s">
        <v>2684</v>
      </c>
      <c r="B212" s="46" t="s">
        <v>2877</v>
      </c>
      <c r="C212" s="45">
        <v>91611500</v>
      </c>
      <c r="D212" s="45" t="s">
        <v>2727</v>
      </c>
      <c r="E212" s="55" t="s">
        <v>2687</v>
      </c>
    </row>
    <row r="213" spans="1:5" ht="15" customHeight="1">
      <c r="A213" s="45" t="s">
        <v>2684</v>
      </c>
      <c r="B213" s="46" t="s">
        <v>2877</v>
      </c>
      <c r="C213" s="45">
        <v>91611520</v>
      </c>
      <c r="D213" s="45" t="s">
        <v>2896</v>
      </c>
      <c r="E213" s="55" t="s">
        <v>2687</v>
      </c>
    </row>
    <row r="214" spans="1:5" ht="15" customHeight="1">
      <c r="A214" s="45" t="s">
        <v>2684</v>
      </c>
      <c r="B214" s="46" t="s">
        <v>2877</v>
      </c>
      <c r="C214" s="45">
        <v>91611841</v>
      </c>
      <c r="D214" s="45" t="s">
        <v>2897</v>
      </c>
      <c r="E214" s="55" t="s">
        <v>2687</v>
      </c>
    </row>
    <row r="215" spans="1:5" ht="15" customHeight="1">
      <c r="A215" s="45" t="s">
        <v>2684</v>
      </c>
      <c r="B215" s="46" t="s">
        <v>2874</v>
      </c>
      <c r="C215" s="45" t="s">
        <v>2186</v>
      </c>
      <c r="D215" s="45" t="s">
        <v>2898</v>
      </c>
      <c r="E215" s="55" t="s">
        <v>2687</v>
      </c>
    </row>
    <row r="216" spans="1:5" ht="15" customHeight="1">
      <c r="A216" s="45" t="s">
        <v>2684</v>
      </c>
      <c r="B216" s="46" t="s">
        <v>2874</v>
      </c>
      <c r="C216" s="45" t="s">
        <v>2187</v>
      </c>
      <c r="D216" s="45" t="s">
        <v>2899</v>
      </c>
      <c r="E216" s="55" t="s">
        <v>2687</v>
      </c>
    </row>
    <row r="217" spans="1:5" ht="15" customHeight="1">
      <c r="A217" s="45" t="s">
        <v>2684</v>
      </c>
      <c r="B217" s="46" t="s">
        <v>2874</v>
      </c>
      <c r="C217" s="45" t="s">
        <v>2188</v>
      </c>
      <c r="D217" s="45" t="s">
        <v>2900</v>
      </c>
      <c r="E217" s="55" t="s">
        <v>2687</v>
      </c>
    </row>
    <row r="218" spans="1:5" ht="15" customHeight="1">
      <c r="A218" s="45" t="s">
        <v>2684</v>
      </c>
      <c r="B218" s="46" t="s">
        <v>2874</v>
      </c>
      <c r="C218" s="45" t="s">
        <v>2901</v>
      </c>
      <c r="D218" s="45" t="s">
        <v>2902</v>
      </c>
      <c r="E218" s="55" t="s">
        <v>2687</v>
      </c>
    </row>
    <row r="219" spans="1:5" ht="15" customHeight="1">
      <c r="A219" s="45" t="s">
        <v>2903</v>
      </c>
      <c r="B219" s="46" t="s">
        <v>2904</v>
      </c>
      <c r="C219" s="45" t="s">
        <v>2396</v>
      </c>
      <c r="D219" s="45" t="s">
        <v>2905</v>
      </c>
      <c r="E219" s="55" t="s">
        <v>2687</v>
      </c>
    </row>
    <row r="220" spans="1:5" ht="15" customHeight="1">
      <c r="A220" s="45" t="s">
        <v>1</v>
      </c>
      <c r="B220" s="46" t="s">
        <v>2906</v>
      </c>
      <c r="C220" s="45" t="s">
        <v>2907</v>
      </c>
      <c r="D220" s="45" t="s">
        <v>2907</v>
      </c>
      <c r="E220" s="55" t="s">
        <v>2687</v>
      </c>
    </row>
    <row r="221" spans="1:5" ht="15" customHeight="1">
      <c r="A221" s="45" t="s">
        <v>1</v>
      </c>
      <c r="B221" s="46" t="s">
        <v>2906</v>
      </c>
      <c r="C221" s="45" t="s">
        <v>235</v>
      </c>
      <c r="D221" s="45" t="s">
        <v>235</v>
      </c>
      <c r="E221" s="55" t="s">
        <v>2687</v>
      </c>
    </row>
    <row r="222" spans="1:5" ht="15" customHeight="1">
      <c r="A222" s="45" t="s">
        <v>1</v>
      </c>
      <c r="B222" s="46" t="s">
        <v>2906</v>
      </c>
      <c r="C222" s="45" t="s">
        <v>236</v>
      </c>
      <c r="D222" s="45" t="s">
        <v>236</v>
      </c>
      <c r="E222" s="55" t="s">
        <v>2687</v>
      </c>
    </row>
    <row r="223" spans="1:5" ht="15" customHeight="1">
      <c r="A223" s="45" t="s">
        <v>1</v>
      </c>
      <c r="B223" s="46" t="s">
        <v>2906</v>
      </c>
      <c r="C223" s="45" t="s">
        <v>2908</v>
      </c>
      <c r="D223" s="45" t="s">
        <v>2908</v>
      </c>
      <c r="E223" s="55" t="s">
        <v>2687</v>
      </c>
    </row>
    <row r="224" spans="1:5" ht="15" customHeight="1">
      <c r="A224" s="45" t="s">
        <v>1</v>
      </c>
      <c r="B224" s="46" t="s">
        <v>2906</v>
      </c>
      <c r="C224" s="45" t="s">
        <v>230</v>
      </c>
      <c r="D224" s="45" t="s">
        <v>230</v>
      </c>
      <c r="E224" s="55" t="s">
        <v>2687</v>
      </c>
    </row>
    <row r="225" spans="1:5" ht="15" customHeight="1">
      <c r="A225" s="45" t="s">
        <v>1</v>
      </c>
      <c r="B225" s="46" t="s">
        <v>2906</v>
      </c>
      <c r="C225" s="45" t="s">
        <v>231</v>
      </c>
      <c r="D225" s="45" t="s">
        <v>231</v>
      </c>
      <c r="E225" s="55" t="s">
        <v>2687</v>
      </c>
    </row>
    <row r="226" spans="1:5" ht="15" customHeight="1">
      <c r="A226" s="45" t="s">
        <v>1</v>
      </c>
      <c r="B226" s="46" t="s">
        <v>2906</v>
      </c>
      <c r="C226" s="45" t="s">
        <v>234</v>
      </c>
      <c r="D226" s="45" t="s">
        <v>234</v>
      </c>
      <c r="E226" s="55" t="s">
        <v>2687</v>
      </c>
    </row>
    <row r="227" spans="1:5" ht="15" customHeight="1">
      <c r="A227" s="45" t="s">
        <v>1</v>
      </c>
      <c r="B227" s="46" t="s">
        <v>2906</v>
      </c>
      <c r="C227" s="45" t="s">
        <v>233</v>
      </c>
      <c r="D227" s="45" t="s">
        <v>233</v>
      </c>
      <c r="E227" s="55" t="s">
        <v>2687</v>
      </c>
    </row>
    <row r="228" spans="1:5" ht="15" customHeight="1">
      <c r="A228" s="45" t="s">
        <v>1</v>
      </c>
      <c r="B228" s="46" t="s">
        <v>2906</v>
      </c>
      <c r="C228" s="45" t="s">
        <v>233</v>
      </c>
      <c r="D228" s="45" t="s">
        <v>233</v>
      </c>
      <c r="E228" s="55" t="s">
        <v>2687</v>
      </c>
    </row>
    <row r="229" spans="1:5" ht="15" customHeight="1">
      <c r="A229" s="45" t="s">
        <v>1</v>
      </c>
      <c r="B229" s="46" t="s">
        <v>2906</v>
      </c>
      <c r="C229" s="45" t="s">
        <v>332</v>
      </c>
      <c r="D229" s="45" t="s">
        <v>332</v>
      </c>
      <c r="E229" s="55" t="s">
        <v>2687</v>
      </c>
    </row>
    <row r="230" spans="1:5" ht="15" customHeight="1">
      <c r="A230" s="45" t="s">
        <v>1</v>
      </c>
      <c r="B230" s="46" t="s">
        <v>2906</v>
      </c>
      <c r="C230" s="45" t="s">
        <v>333</v>
      </c>
      <c r="D230" s="45" t="s">
        <v>333</v>
      </c>
      <c r="E230" s="55" t="s">
        <v>2687</v>
      </c>
    </row>
    <row r="231" spans="1:5" ht="15" customHeight="1">
      <c r="A231" s="45" t="s">
        <v>1</v>
      </c>
      <c r="B231" s="46" t="s">
        <v>2906</v>
      </c>
      <c r="C231" s="45" t="s">
        <v>2909</v>
      </c>
      <c r="D231" s="45" t="s">
        <v>2909</v>
      </c>
      <c r="E231" s="55" t="s">
        <v>2687</v>
      </c>
    </row>
    <row r="232" spans="1:5" ht="15" customHeight="1">
      <c r="A232" s="45" t="s">
        <v>1</v>
      </c>
      <c r="B232" s="46" t="s">
        <v>2906</v>
      </c>
      <c r="C232" s="45" t="s">
        <v>323</v>
      </c>
      <c r="D232" s="45" t="s">
        <v>323</v>
      </c>
      <c r="E232" s="55" t="s">
        <v>2687</v>
      </c>
    </row>
    <row r="233" spans="1:5" ht="15" customHeight="1">
      <c r="A233" s="45" t="s">
        <v>1</v>
      </c>
      <c r="B233" s="46" t="s">
        <v>2906</v>
      </c>
      <c r="C233" s="45" t="s">
        <v>334</v>
      </c>
      <c r="D233" s="45" t="s">
        <v>334</v>
      </c>
      <c r="E233" s="55" t="s">
        <v>2687</v>
      </c>
    </row>
    <row r="234" spans="1:5" ht="15" customHeight="1">
      <c r="A234" s="45" t="s">
        <v>1</v>
      </c>
      <c r="B234" s="46" t="s">
        <v>2906</v>
      </c>
      <c r="C234" s="45" t="s">
        <v>335</v>
      </c>
      <c r="D234" s="45" t="s">
        <v>335</v>
      </c>
      <c r="E234" s="55" t="s">
        <v>2687</v>
      </c>
    </row>
    <row r="235" spans="1:5" ht="15" customHeight="1">
      <c r="A235" s="45" t="s">
        <v>1</v>
      </c>
      <c r="B235" s="46" t="s">
        <v>2906</v>
      </c>
      <c r="C235" s="45" t="s">
        <v>336</v>
      </c>
      <c r="D235" s="45" t="s">
        <v>336</v>
      </c>
      <c r="E235" s="55" t="s">
        <v>2687</v>
      </c>
    </row>
    <row r="236" spans="1:5" ht="15" customHeight="1">
      <c r="A236" s="45" t="s">
        <v>1</v>
      </c>
      <c r="B236" s="46" t="s">
        <v>2906</v>
      </c>
      <c r="C236" s="45" t="s">
        <v>337</v>
      </c>
      <c r="D236" s="45" t="s">
        <v>337</v>
      </c>
      <c r="E236" s="55" t="s">
        <v>2687</v>
      </c>
    </row>
    <row r="237" spans="1:5" ht="15" customHeight="1">
      <c r="A237" s="45" t="s">
        <v>80</v>
      </c>
      <c r="B237" s="46" t="s">
        <v>2874</v>
      </c>
      <c r="C237" s="45" t="s">
        <v>2910</v>
      </c>
      <c r="D237" s="45" t="s">
        <v>2910</v>
      </c>
      <c r="E237" s="55" t="s">
        <v>2687</v>
      </c>
    </row>
    <row r="238" spans="1:5" ht="15" customHeight="1">
      <c r="A238" s="45" t="s">
        <v>2684</v>
      </c>
      <c r="B238" s="46" t="s">
        <v>2874</v>
      </c>
      <c r="C238" s="45" t="s">
        <v>2019</v>
      </c>
      <c r="D238" s="45" t="s">
        <v>2911</v>
      </c>
      <c r="E238" s="55">
        <v>44932</v>
      </c>
    </row>
    <row r="239" spans="1:5" ht="15" customHeight="1">
      <c r="A239" s="45" t="s">
        <v>2684</v>
      </c>
      <c r="B239" s="46" t="s">
        <v>2874</v>
      </c>
      <c r="C239" s="45" t="s">
        <v>2005</v>
      </c>
      <c r="D239" s="45" t="s">
        <v>2912</v>
      </c>
      <c r="E239" s="55">
        <v>44932</v>
      </c>
    </row>
    <row r="240" spans="1:5" ht="15" customHeight="1">
      <c r="A240" s="45" t="s">
        <v>2684</v>
      </c>
      <c r="B240" s="46" t="s">
        <v>2874</v>
      </c>
      <c r="C240" s="45" t="s">
        <v>2007</v>
      </c>
      <c r="D240" s="45" t="s">
        <v>2913</v>
      </c>
      <c r="E240" s="55">
        <v>44932</v>
      </c>
    </row>
    <row r="241" spans="1:9" ht="15" customHeight="1">
      <c r="A241" s="45" t="s">
        <v>2684</v>
      </c>
      <c r="B241" s="46" t="s">
        <v>2874</v>
      </c>
      <c r="C241" s="45" t="s">
        <v>2008</v>
      </c>
      <c r="D241" s="45" t="s">
        <v>2914</v>
      </c>
      <c r="E241" s="55">
        <v>44932</v>
      </c>
    </row>
    <row r="242" spans="1:9" ht="15" customHeight="1">
      <c r="A242" s="45" t="s">
        <v>80</v>
      </c>
      <c r="B242" s="46" t="s">
        <v>2877</v>
      </c>
      <c r="C242" s="45" t="s">
        <v>2915</v>
      </c>
      <c r="D242" s="45" t="s">
        <v>2915</v>
      </c>
      <c r="E242" s="55">
        <v>44932</v>
      </c>
    </row>
    <row r="243" spans="1:9" ht="15" customHeight="1">
      <c r="A243" s="45" t="s">
        <v>80</v>
      </c>
      <c r="B243" s="46" t="s">
        <v>2877</v>
      </c>
      <c r="C243" s="45" t="s">
        <v>2916</v>
      </c>
      <c r="D243" s="45" t="s">
        <v>2916</v>
      </c>
      <c r="E243" s="55">
        <v>44932</v>
      </c>
    </row>
    <row r="244" spans="1:9" ht="15" customHeight="1">
      <c r="A244" s="45" t="s">
        <v>80</v>
      </c>
      <c r="B244" s="46" t="s">
        <v>2877</v>
      </c>
      <c r="C244" s="45" t="s">
        <v>2917</v>
      </c>
      <c r="D244" s="45" t="s">
        <v>2917</v>
      </c>
      <c r="E244" s="55">
        <v>44932</v>
      </c>
    </row>
    <row r="245" spans="1:9" ht="15" customHeight="1">
      <c r="A245" s="45" t="s">
        <v>80</v>
      </c>
      <c r="B245" s="46" t="s">
        <v>2877</v>
      </c>
      <c r="C245" s="45" t="s">
        <v>2918</v>
      </c>
      <c r="D245" s="45" t="s">
        <v>2918</v>
      </c>
      <c r="E245" s="55">
        <v>44932</v>
      </c>
    </row>
    <row r="246" spans="1:9" ht="15" customHeight="1">
      <c r="A246" s="45" t="s">
        <v>80</v>
      </c>
      <c r="B246" s="46" t="s">
        <v>2876</v>
      </c>
      <c r="C246" s="45" t="s">
        <v>1852</v>
      </c>
      <c r="D246" s="45" t="s">
        <v>1852</v>
      </c>
      <c r="E246" s="55">
        <v>44932</v>
      </c>
      <c r="H246" s="56"/>
      <c r="I246" s="57"/>
    </row>
    <row r="247" spans="1:9" ht="15" customHeight="1">
      <c r="A247" s="45" t="s">
        <v>80</v>
      </c>
      <c r="B247" s="46" t="s">
        <v>2876</v>
      </c>
      <c r="C247" s="45" t="s">
        <v>1853</v>
      </c>
      <c r="D247" s="45" t="s">
        <v>1853</v>
      </c>
      <c r="E247" s="55">
        <v>44932</v>
      </c>
      <c r="H247" s="48"/>
    </row>
    <row r="248" spans="1:9" ht="15" customHeight="1">
      <c r="A248" s="45" t="s">
        <v>80</v>
      </c>
      <c r="B248" s="46" t="s">
        <v>2876</v>
      </c>
      <c r="C248" s="45" t="s">
        <v>1854</v>
      </c>
      <c r="D248" s="45" t="s">
        <v>1854</v>
      </c>
      <c r="E248" s="55">
        <v>44932</v>
      </c>
      <c r="H248" s="48"/>
    </row>
    <row r="249" spans="1:9" ht="15" customHeight="1">
      <c r="A249" s="45" t="s">
        <v>80</v>
      </c>
      <c r="B249" s="46" t="s">
        <v>2876</v>
      </c>
      <c r="C249" s="45" t="s">
        <v>1855</v>
      </c>
      <c r="D249" s="45" t="s">
        <v>1855</v>
      </c>
      <c r="E249" s="55">
        <v>44932</v>
      </c>
      <c r="H249" s="48"/>
    </row>
    <row r="250" spans="1:9" ht="15" customHeight="1">
      <c r="A250" s="45" t="s">
        <v>80</v>
      </c>
      <c r="B250" s="46" t="s">
        <v>2876</v>
      </c>
      <c r="C250" s="45" t="s">
        <v>1856</v>
      </c>
      <c r="D250" s="45" t="s">
        <v>1856</v>
      </c>
      <c r="E250" s="55">
        <v>44932</v>
      </c>
      <c r="H250" s="48"/>
    </row>
    <row r="251" spans="1:9" ht="15" customHeight="1">
      <c r="A251" s="45" t="s">
        <v>1</v>
      </c>
      <c r="B251" s="46" t="s">
        <v>2876</v>
      </c>
      <c r="C251" s="45" t="s">
        <v>166</v>
      </c>
      <c r="D251" s="45" t="s">
        <v>2919</v>
      </c>
      <c r="E251" s="55">
        <v>44932</v>
      </c>
    </row>
    <row r="252" spans="1:9" ht="15" customHeight="1">
      <c r="A252" s="45" t="s">
        <v>1</v>
      </c>
      <c r="B252" s="46" t="s">
        <v>2876</v>
      </c>
      <c r="C252" s="45" t="s">
        <v>167</v>
      </c>
      <c r="D252" s="45" t="s">
        <v>2920</v>
      </c>
      <c r="E252" s="55">
        <v>44932</v>
      </c>
    </row>
    <row r="253" spans="1:9" ht="15" customHeight="1">
      <c r="A253" s="45" t="s">
        <v>1</v>
      </c>
      <c r="B253" s="46" t="s">
        <v>2876</v>
      </c>
      <c r="C253" s="45" t="s">
        <v>168</v>
      </c>
      <c r="D253" s="45" t="s">
        <v>2921</v>
      </c>
      <c r="E253" s="55">
        <v>44932</v>
      </c>
    </row>
    <row r="254" spans="1:9" ht="15" customHeight="1">
      <c r="A254" s="45" t="s">
        <v>1</v>
      </c>
      <c r="B254" s="46" t="s">
        <v>2876</v>
      </c>
      <c r="C254" s="45" t="s">
        <v>169</v>
      </c>
      <c r="D254" s="45" t="s">
        <v>2922</v>
      </c>
      <c r="E254" s="55">
        <v>44932</v>
      </c>
    </row>
    <row r="255" spans="1:9" ht="15" customHeight="1">
      <c r="A255" s="45" t="s">
        <v>2684</v>
      </c>
      <c r="B255" s="46" t="s">
        <v>2874</v>
      </c>
      <c r="C255" s="45" t="s">
        <v>2384</v>
      </c>
      <c r="D255" s="45" t="s">
        <v>2923</v>
      </c>
      <c r="E255" s="55">
        <v>44932</v>
      </c>
    </row>
    <row r="256" spans="1:9" ht="15" customHeight="1">
      <c r="A256" s="45" t="s">
        <v>80</v>
      </c>
      <c r="B256" s="46" t="s">
        <v>2876</v>
      </c>
      <c r="C256" s="45" t="s">
        <v>1851</v>
      </c>
      <c r="D256" s="45" t="s">
        <v>1851</v>
      </c>
      <c r="E256" s="55">
        <v>44935</v>
      </c>
    </row>
    <row r="257" spans="1:5" ht="15" customHeight="1">
      <c r="A257" s="45" t="s">
        <v>80</v>
      </c>
      <c r="B257" s="46" t="s">
        <v>2874</v>
      </c>
      <c r="C257" s="45" t="s">
        <v>1691</v>
      </c>
      <c r="D257" s="45" t="s">
        <v>1691</v>
      </c>
      <c r="E257" s="55">
        <v>44937</v>
      </c>
    </row>
    <row r="258" spans="1:5" ht="15" customHeight="1">
      <c r="A258" s="45" t="s">
        <v>80</v>
      </c>
      <c r="B258" s="46" t="s">
        <v>2876</v>
      </c>
      <c r="C258" s="45" t="s">
        <v>1687</v>
      </c>
      <c r="D258" s="45" t="s">
        <v>2924</v>
      </c>
      <c r="E258" s="55">
        <v>44964</v>
      </c>
    </row>
    <row r="259" spans="1:5" ht="15" customHeight="1">
      <c r="A259" s="45" t="s">
        <v>80</v>
      </c>
      <c r="B259" s="46" t="s">
        <v>2925</v>
      </c>
      <c r="C259" s="45" t="s">
        <v>1852</v>
      </c>
      <c r="D259" s="45" t="s">
        <v>1852</v>
      </c>
      <c r="E259" s="55">
        <v>44971</v>
      </c>
    </row>
    <row r="260" spans="1:5" ht="15" customHeight="1">
      <c r="A260" s="45" t="s">
        <v>80</v>
      </c>
      <c r="B260" s="46" t="s">
        <v>2925</v>
      </c>
      <c r="C260" s="45" t="s">
        <v>1851</v>
      </c>
      <c r="D260" s="45" t="s">
        <v>1851</v>
      </c>
      <c r="E260" s="55">
        <v>44971</v>
      </c>
    </row>
    <row r="261" spans="1:5" ht="15" customHeight="1">
      <c r="A261" s="45" t="s">
        <v>80</v>
      </c>
      <c r="B261" s="46" t="s">
        <v>2925</v>
      </c>
      <c r="C261" s="45" t="s">
        <v>1853</v>
      </c>
      <c r="D261" s="45" t="s">
        <v>1853</v>
      </c>
      <c r="E261" s="55">
        <v>44971</v>
      </c>
    </row>
    <row r="262" spans="1:5" ht="15" customHeight="1">
      <c r="A262" s="45" t="s">
        <v>80</v>
      </c>
      <c r="B262" s="46" t="s">
        <v>2925</v>
      </c>
      <c r="C262" s="45" t="s">
        <v>1854</v>
      </c>
      <c r="D262" s="45" t="s">
        <v>1854</v>
      </c>
      <c r="E262" s="55">
        <v>44971</v>
      </c>
    </row>
    <row r="263" spans="1:5" ht="15" customHeight="1">
      <c r="A263" s="45" t="s">
        <v>80</v>
      </c>
      <c r="B263" s="46" t="s">
        <v>2925</v>
      </c>
      <c r="C263" s="45" t="s">
        <v>1855</v>
      </c>
      <c r="D263" s="45" t="s">
        <v>1855</v>
      </c>
      <c r="E263" s="55">
        <v>44971</v>
      </c>
    </row>
    <row r="264" spans="1:5" ht="15" customHeight="1">
      <c r="A264" s="45" t="s">
        <v>80</v>
      </c>
      <c r="B264" s="46" t="s">
        <v>2925</v>
      </c>
      <c r="C264" s="45" t="s">
        <v>1856</v>
      </c>
      <c r="D264" s="45" t="s">
        <v>1856</v>
      </c>
      <c r="E264" s="55">
        <v>44971</v>
      </c>
    </row>
    <row r="265" spans="1:5" ht="15" customHeight="1">
      <c r="A265" s="45" t="s">
        <v>1</v>
      </c>
      <c r="B265" s="46" t="s">
        <v>2925</v>
      </c>
      <c r="C265" s="45" t="s">
        <v>166</v>
      </c>
      <c r="D265" s="45" t="s">
        <v>2919</v>
      </c>
      <c r="E265" s="55">
        <v>44971</v>
      </c>
    </row>
    <row r="266" spans="1:5" ht="15" customHeight="1">
      <c r="A266" s="45" t="s">
        <v>1</v>
      </c>
      <c r="B266" s="46" t="s">
        <v>2925</v>
      </c>
      <c r="C266" s="45" t="s">
        <v>167</v>
      </c>
      <c r="D266" s="45" t="s">
        <v>2920</v>
      </c>
      <c r="E266" s="55">
        <v>44971</v>
      </c>
    </row>
    <row r="267" spans="1:5" ht="15" customHeight="1">
      <c r="A267" s="45" t="s">
        <v>1</v>
      </c>
      <c r="B267" s="46" t="s">
        <v>2925</v>
      </c>
      <c r="C267" s="45" t="s">
        <v>168</v>
      </c>
      <c r="D267" s="45" t="s">
        <v>2921</v>
      </c>
      <c r="E267" s="55">
        <v>44971</v>
      </c>
    </row>
    <row r="268" spans="1:5" ht="15" customHeight="1">
      <c r="A268" s="45" t="s">
        <v>1</v>
      </c>
      <c r="B268" s="46" t="s">
        <v>2925</v>
      </c>
      <c r="C268" s="45" t="s">
        <v>169</v>
      </c>
      <c r="D268" s="45" t="s">
        <v>2922</v>
      </c>
      <c r="E268" s="55">
        <v>44971</v>
      </c>
    </row>
    <row r="269" spans="1:5" ht="15" customHeight="1">
      <c r="A269" s="45" t="s">
        <v>2684</v>
      </c>
      <c r="B269" s="46" t="s">
        <v>2877</v>
      </c>
      <c r="C269" s="45">
        <v>90510340</v>
      </c>
      <c r="D269" s="45" t="s">
        <v>2926</v>
      </c>
      <c r="E269" s="55">
        <v>45007</v>
      </c>
    </row>
    <row r="270" spans="1:5" ht="15" customHeight="1">
      <c r="A270" s="45" t="s">
        <v>2684</v>
      </c>
      <c r="B270" s="46" t="s">
        <v>2887</v>
      </c>
      <c r="C270" s="45">
        <v>91616091</v>
      </c>
      <c r="D270" s="45" t="s">
        <v>2927</v>
      </c>
      <c r="E270" s="55">
        <v>45009</v>
      </c>
    </row>
    <row r="271" spans="1:5" ht="15" customHeight="1">
      <c r="A271" s="45" t="s">
        <v>1</v>
      </c>
      <c r="B271" s="46" t="s">
        <v>2928</v>
      </c>
      <c r="C271" s="45" t="s">
        <v>2929</v>
      </c>
      <c r="D271" s="45" t="s">
        <v>2930</v>
      </c>
      <c r="E271" s="55">
        <v>45005</v>
      </c>
    </row>
    <row r="272" spans="1:5" ht="15" customHeight="1">
      <c r="A272" s="45" t="s">
        <v>32</v>
      </c>
      <c r="B272" s="46" t="s">
        <v>2874</v>
      </c>
      <c r="C272" s="45" t="s">
        <v>523</v>
      </c>
      <c r="D272" s="45" t="s">
        <v>2931</v>
      </c>
      <c r="E272" s="55">
        <v>45005</v>
      </c>
    </row>
    <row r="273" spans="1:5" ht="15" customHeight="1">
      <c r="A273" s="45" t="s">
        <v>32</v>
      </c>
      <c r="B273" s="46" t="s">
        <v>2874</v>
      </c>
      <c r="C273" s="45" t="s">
        <v>524</v>
      </c>
      <c r="D273" s="45" t="s">
        <v>2932</v>
      </c>
      <c r="E273" s="55">
        <v>45005</v>
      </c>
    </row>
    <row r="274" spans="1:5" ht="15" customHeight="1">
      <c r="A274" s="45" t="s">
        <v>32</v>
      </c>
      <c r="B274" s="46" t="s">
        <v>2874</v>
      </c>
      <c r="C274" s="45" t="s">
        <v>525</v>
      </c>
      <c r="D274" s="45" t="s">
        <v>2933</v>
      </c>
      <c r="E274" s="55">
        <v>45005</v>
      </c>
    </row>
    <row r="275" spans="1:5" ht="15" customHeight="1">
      <c r="A275" s="45" t="s">
        <v>32</v>
      </c>
      <c r="B275" s="46" t="s">
        <v>2887</v>
      </c>
      <c r="C275" s="45" t="s">
        <v>599</v>
      </c>
      <c r="D275" s="45" t="s">
        <v>599</v>
      </c>
      <c r="E275" s="55">
        <v>45014</v>
      </c>
    </row>
    <row r="276" spans="1:5" ht="15" customHeight="1">
      <c r="A276" s="45" t="s">
        <v>32</v>
      </c>
      <c r="B276" s="46" t="s">
        <v>2887</v>
      </c>
      <c r="C276" s="45" t="s">
        <v>602</v>
      </c>
      <c r="D276" s="45" t="s">
        <v>602</v>
      </c>
      <c r="E276" s="55">
        <v>45014</v>
      </c>
    </row>
    <row r="277" spans="1:5" ht="15" customHeight="1">
      <c r="A277" s="45" t="s">
        <v>32</v>
      </c>
      <c r="B277" s="46" t="s">
        <v>2887</v>
      </c>
      <c r="C277" s="45" t="s">
        <v>603</v>
      </c>
      <c r="D277" s="45" t="s">
        <v>603</v>
      </c>
      <c r="E277" s="55">
        <v>45014</v>
      </c>
    </row>
    <row r="278" spans="1:5" ht="15" customHeight="1">
      <c r="A278" s="45" t="s">
        <v>32</v>
      </c>
      <c r="B278" s="46" t="s">
        <v>2887</v>
      </c>
      <c r="C278" s="45" t="s">
        <v>612</v>
      </c>
      <c r="D278" s="45" t="s">
        <v>612</v>
      </c>
      <c r="E278" s="55">
        <v>45014</v>
      </c>
    </row>
    <row r="279" spans="1:5" ht="15" customHeight="1">
      <c r="A279" s="45" t="s">
        <v>32</v>
      </c>
      <c r="B279" s="46" t="s">
        <v>2887</v>
      </c>
      <c r="C279" s="45" t="s">
        <v>600</v>
      </c>
      <c r="D279" s="45" t="s">
        <v>600</v>
      </c>
      <c r="E279" s="55">
        <v>45014</v>
      </c>
    </row>
    <row r="280" spans="1:5" ht="15" customHeight="1">
      <c r="A280" s="45" t="s">
        <v>32</v>
      </c>
      <c r="B280" s="46" t="s">
        <v>2887</v>
      </c>
      <c r="C280" s="45" t="s">
        <v>601</v>
      </c>
      <c r="D280" s="45" t="s">
        <v>601</v>
      </c>
      <c r="E280" s="55">
        <v>45014</v>
      </c>
    </row>
    <row r="281" spans="1:5" ht="15" customHeight="1">
      <c r="A281" s="45" t="s">
        <v>32</v>
      </c>
      <c r="B281" s="46" t="s">
        <v>2887</v>
      </c>
      <c r="C281" s="45" t="s">
        <v>605</v>
      </c>
      <c r="D281" s="45" t="s">
        <v>605</v>
      </c>
      <c r="E281" s="55">
        <v>45014</v>
      </c>
    </row>
    <row r="282" spans="1:5" ht="15" customHeight="1">
      <c r="A282" s="45" t="s">
        <v>32</v>
      </c>
      <c r="B282" s="46" t="s">
        <v>2887</v>
      </c>
      <c r="C282" s="45" t="s">
        <v>606</v>
      </c>
      <c r="D282" s="45" t="s">
        <v>606</v>
      </c>
      <c r="E282" s="55">
        <v>45014</v>
      </c>
    </row>
    <row r="283" spans="1:5" ht="15" customHeight="1">
      <c r="A283" s="45" t="s">
        <v>32</v>
      </c>
      <c r="B283" s="46" t="s">
        <v>2887</v>
      </c>
      <c r="C283" s="45" t="s">
        <v>608</v>
      </c>
      <c r="D283" s="45" t="s">
        <v>608</v>
      </c>
      <c r="E283" s="55">
        <v>45014</v>
      </c>
    </row>
    <row r="284" spans="1:5" ht="15" customHeight="1">
      <c r="A284" s="45" t="s">
        <v>32</v>
      </c>
      <c r="B284" s="46" t="s">
        <v>2887</v>
      </c>
      <c r="C284" s="45" t="s">
        <v>609</v>
      </c>
      <c r="D284" s="45" t="s">
        <v>609</v>
      </c>
      <c r="E284" s="55">
        <v>45014</v>
      </c>
    </row>
    <row r="285" spans="1:5" ht="15" customHeight="1">
      <c r="A285" s="45" t="s">
        <v>32</v>
      </c>
      <c r="B285" s="46" t="s">
        <v>2887</v>
      </c>
      <c r="C285" s="45" t="s">
        <v>610</v>
      </c>
      <c r="D285" s="45" t="s">
        <v>610</v>
      </c>
      <c r="E285" s="55">
        <v>45014</v>
      </c>
    </row>
    <row r="286" spans="1:5" ht="15" customHeight="1">
      <c r="A286" s="45" t="s">
        <v>32</v>
      </c>
      <c r="B286" s="46" t="s">
        <v>2887</v>
      </c>
      <c r="C286" s="45" t="s">
        <v>611</v>
      </c>
      <c r="D286" s="45" t="s">
        <v>611</v>
      </c>
      <c r="E286" s="55">
        <v>45014</v>
      </c>
    </row>
    <row r="287" spans="1:5" ht="15" customHeight="1">
      <c r="A287" s="45" t="s">
        <v>32</v>
      </c>
      <c r="B287" s="46" t="s">
        <v>2887</v>
      </c>
      <c r="C287" s="45" t="s">
        <v>607</v>
      </c>
      <c r="D287" s="45" t="s">
        <v>607</v>
      </c>
      <c r="E287" s="55">
        <v>45014</v>
      </c>
    </row>
    <row r="288" spans="1:5" ht="15" customHeight="1">
      <c r="A288" s="45" t="s">
        <v>32</v>
      </c>
      <c r="B288" s="46" t="s">
        <v>2887</v>
      </c>
      <c r="C288" s="45" t="s">
        <v>613</v>
      </c>
      <c r="D288" s="45" t="s">
        <v>613</v>
      </c>
      <c r="E288" s="55">
        <v>45014</v>
      </c>
    </row>
    <row r="289" spans="1:5" ht="15" customHeight="1">
      <c r="A289" s="45" t="s">
        <v>32</v>
      </c>
      <c r="B289" s="46" t="s">
        <v>2887</v>
      </c>
      <c r="C289" s="45" t="s">
        <v>614</v>
      </c>
      <c r="D289" s="45" t="s">
        <v>614</v>
      </c>
      <c r="E289" s="55">
        <v>45014</v>
      </c>
    </row>
    <row r="290" spans="1:5" ht="15" customHeight="1">
      <c r="A290" s="45" t="s">
        <v>32</v>
      </c>
      <c r="B290" s="46" t="s">
        <v>2887</v>
      </c>
      <c r="C290" s="45" t="s">
        <v>615</v>
      </c>
      <c r="D290" s="45" t="s">
        <v>615</v>
      </c>
      <c r="E290" s="55">
        <v>45014</v>
      </c>
    </row>
    <row r="291" spans="1:5" ht="15" customHeight="1">
      <c r="A291" s="45" t="s">
        <v>32</v>
      </c>
      <c r="B291" s="46" t="s">
        <v>2887</v>
      </c>
      <c r="C291" s="45" t="s">
        <v>616</v>
      </c>
      <c r="D291" s="45" t="s">
        <v>616</v>
      </c>
      <c r="E291" s="55">
        <v>45014</v>
      </c>
    </row>
    <row r="292" spans="1:5" ht="15" customHeight="1">
      <c r="A292" s="45" t="s">
        <v>32</v>
      </c>
      <c r="B292" s="46" t="s">
        <v>2887</v>
      </c>
      <c r="C292" s="45" t="s">
        <v>617</v>
      </c>
      <c r="D292" s="45" t="s">
        <v>617</v>
      </c>
      <c r="E292" s="55">
        <v>45014</v>
      </c>
    </row>
    <row r="293" spans="1:5" ht="15" customHeight="1">
      <c r="A293" s="12" t="s">
        <v>32</v>
      </c>
      <c r="B293" s="46" t="s">
        <v>2877</v>
      </c>
      <c r="C293" s="12" t="s">
        <v>2934</v>
      </c>
      <c r="D293" s="12" t="s">
        <v>2935</v>
      </c>
      <c r="E293" s="276">
        <v>45040</v>
      </c>
    </row>
    <row r="294" spans="1:5" ht="15" customHeight="1">
      <c r="A294" s="12" t="s">
        <v>32</v>
      </c>
      <c r="B294" s="46" t="s">
        <v>2877</v>
      </c>
      <c r="C294" s="12" t="s">
        <v>2936</v>
      </c>
      <c r="D294" s="12" t="s">
        <v>2937</v>
      </c>
      <c r="E294" s="276">
        <v>45040</v>
      </c>
    </row>
    <row r="295" spans="1:5" ht="15" customHeight="1">
      <c r="A295" s="12" t="s">
        <v>32</v>
      </c>
      <c r="B295" s="46" t="s">
        <v>2877</v>
      </c>
      <c r="C295" s="12" t="s">
        <v>2938</v>
      </c>
      <c r="D295" s="12" t="s">
        <v>2939</v>
      </c>
      <c r="E295" s="276">
        <v>45040</v>
      </c>
    </row>
    <row r="296" spans="1:5" ht="15" customHeight="1">
      <c r="A296" s="12" t="s">
        <v>32</v>
      </c>
      <c r="B296" s="46" t="s">
        <v>2877</v>
      </c>
      <c r="C296" s="12" t="s">
        <v>2940</v>
      </c>
      <c r="D296" s="12" t="s">
        <v>2941</v>
      </c>
      <c r="E296" s="276">
        <v>45040</v>
      </c>
    </row>
    <row r="297" spans="1:5" ht="15" customHeight="1">
      <c r="A297" s="12" t="s">
        <v>32</v>
      </c>
      <c r="B297" s="46" t="s">
        <v>2877</v>
      </c>
      <c r="C297" s="12" t="s">
        <v>2942</v>
      </c>
      <c r="D297" s="12" t="s">
        <v>2943</v>
      </c>
      <c r="E297" s="276">
        <v>45040</v>
      </c>
    </row>
    <row r="298" spans="1:5" ht="15" customHeight="1">
      <c r="A298" s="12" t="s">
        <v>32</v>
      </c>
      <c r="B298" s="46" t="s">
        <v>2877</v>
      </c>
      <c r="C298" s="12" t="s">
        <v>2886</v>
      </c>
      <c r="D298" s="12" t="s">
        <v>2944</v>
      </c>
      <c r="E298" s="276">
        <v>45040</v>
      </c>
    </row>
    <row r="299" spans="1:5" ht="15" customHeight="1">
      <c r="A299" s="12" t="s">
        <v>32</v>
      </c>
      <c r="B299" s="46" t="s">
        <v>2877</v>
      </c>
      <c r="C299" s="12" t="s">
        <v>2945</v>
      </c>
      <c r="D299" s="12" t="s">
        <v>2946</v>
      </c>
      <c r="E299" s="276">
        <v>45040</v>
      </c>
    </row>
    <row r="300" spans="1:5" ht="15" customHeight="1">
      <c r="A300" s="12" t="s">
        <v>32</v>
      </c>
      <c r="B300" s="46" t="s">
        <v>2877</v>
      </c>
      <c r="C300" s="12" t="s">
        <v>2947</v>
      </c>
      <c r="D300" s="12" t="s">
        <v>2948</v>
      </c>
      <c r="E300" s="276">
        <v>45040</v>
      </c>
    </row>
    <row r="301" spans="1:5" ht="15" customHeight="1">
      <c r="A301" s="12" t="s">
        <v>32</v>
      </c>
      <c r="B301" s="46" t="s">
        <v>2877</v>
      </c>
      <c r="C301" s="12" t="s">
        <v>2949</v>
      </c>
      <c r="D301" s="12" t="s">
        <v>2950</v>
      </c>
      <c r="E301" s="276">
        <v>45040</v>
      </c>
    </row>
    <row r="302" spans="1:5" ht="15" customHeight="1">
      <c r="A302" s="45" t="s">
        <v>57</v>
      </c>
      <c r="B302" s="46" t="s">
        <v>2904</v>
      </c>
      <c r="C302" s="12" t="s">
        <v>871</v>
      </c>
      <c r="D302" t="s">
        <v>2951</v>
      </c>
      <c r="E302" s="276">
        <v>45028</v>
      </c>
    </row>
    <row r="303" spans="1:5" ht="15" customHeight="1">
      <c r="A303" s="45" t="s">
        <v>52</v>
      </c>
      <c r="B303" s="46" t="s">
        <v>2877</v>
      </c>
      <c r="C303" s="12" t="s">
        <v>2952</v>
      </c>
      <c r="D303" t="s">
        <v>2953</v>
      </c>
      <c r="E303" s="276">
        <v>45031</v>
      </c>
    </row>
    <row r="304" spans="1:5" ht="15" customHeight="1">
      <c r="A304" s="45" t="s">
        <v>52</v>
      </c>
      <c r="B304" s="46" t="s">
        <v>2877</v>
      </c>
      <c r="C304" s="12" t="s">
        <v>2954</v>
      </c>
      <c r="D304"/>
      <c r="E304" s="276">
        <v>45031</v>
      </c>
    </row>
    <row r="305" spans="1:5" ht="15" customHeight="1">
      <c r="A305" s="45" t="s">
        <v>52</v>
      </c>
      <c r="B305" s="46" t="s">
        <v>2877</v>
      </c>
      <c r="C305" s="12" t="s">
        <v>2955</v>
      </c>
      <c r="D305"/>
      <c r="E305" s="276">
        <v>45031</v>
      </c>
    </row>
    <row r="306" spans="1:5" ht="15" customHeight="1">
      <c r="A306" s="45" t="s">
        <v>52</v>
      </c>
      <c r="B306" s="46" t="s">
        <v>2877</v>
      </c>
      <c r="C306" s="12" t="s">
        <v>2956</v>
      </c>
      <c r="D306"/>
      <c r="E306" s="276">
        <v>45031</v>
      </c>
    </row>
    <row r="307" spans="1:5" ht="15" customHeight="1">
      <c r="A307" s="45" t="s">
        <v>52</v>
      </c>
      <c r="B307" s="46" t="s">
        <v>2877</v>
      </c>
      <c r="C307" s="12" t="s">
        <v>2957</v>
      </c>
      <c r="D307"/>
      <c r="E307" s="276">
        <v>45031</v>
      </c>
    </row>
    <row r="308" spans="1:5" ht="15" customHeight="1">
      <c r="A308" s="45" t="s">
        <v>52</v>
      </c>
      <c r="B308" s="46" t="s">
        <v>2877</v>
      </c>
      <c r="C308" s="12" t="s">
        <v>2958</v>
      </c>
      <c r="D308"/>
      <c r="E308" s="276">
        <v>45031</v>
      </c>
    </row>
    <row r="309" spans="1:5" ht="15" customHeight="1">
      <c r="A309" s="45" t="s">
        <v>52</v>
      </c>
      <c r="B309" s="46" t="s">
        <v>2877</v>
      </c>
      <c r="C309" s="12" t="s">
        <v>2959</v>
      </c>
      <c r="D309"/>
      <c r="E309" s="276">
        <v>45031</v>
      </c>
    </row>
    <row r="310" spans="1:5" ht="15" customHeight="1">
      <c r="A310" s="45" t="s">
        <v>52</v>
      </c>
      <c r="B310" s="46" t="s">
        <v>2877</v>
      </c>
      <c r="C310" s="12" t="s">
        <v>2960</v>
      </c>
      <c r="D310" t="s">
        <v>2953</v>
      </c>
      <c r="E310" s="276">
        <v>45031</v>
      </c>
    </row>
    <row r="311" spans="1:5" ht="15" customHeight="1">
      <c r="A311" s="12" t="s">
        <v>80</v>
      </c>
      <c r="B311" s="46" t="s">
        <v>2961</v>
      </c>
      <c r="C311" s="12" t="s">
        <v>1828</v>
      </c>
      <c r="D311" t="s">
        <v>2962</v>
      </c>
      <c r="E311" s="276">
        <v>45037</v>
      </c>
    </row>
    <row r="312" spans="1:5" ht="15" customHeight="1">
      <c r="A312" s="12" t="s">
        <v>80</v>
      </c>
      <c r="B312" s="46" t="s">
        <v>2961</v>
      </c>
      <c r="C312" s="12" t="s">
        <v>1830</v>
      </c>
      <c r="D312" t="s">
        <v>2963</v>
      </c>
      <c r="E312" s="276">
        <v>45037</v>
      </c>
    </row>
    <row r="313" spans="1:5" ht="15" customHeight="1">
      <c r="A313" s="12" t="s">
        <v>80</v>
      </c>
      <c r="B313" s="46" t="s">
        <v>2961</v>
      </c>
      <c r="C313" s="12" t="s">
        <v>1832</v>
      </c>
      <c r="D313" t="s">
        <v>2964</v>
      </c>
      <c r="E313" s="276">
        <v>45037</v>
      </c>
    </row>
    <row r="314" spans="1:5" ht="15" customHeight="1">
      <c r="A314" s="12" t="s">
        <v>80</v>
      </c>
      <c r="B314" s="46" t="s">
        <v>2961</v>
      </c>
      <c r="C314" s="12" t="s">
        <v>1834</v>
      </c>
      <c r="D314" t="s">
        <v>2965</v>
      </c>
      <c r="E314" s="276">
        <v>45037</v>
      </c>
    </row>
    <row r="315" spans="1:5" ht="15" customHeight="1">
      <c r="A315" s="12" t="s">
        <v>80</v>
      </c>
      <c r="B315" s="46" t="s">
        <v>2961</v>
      </c>
      <c r="C315" s="12" t="s">
        <v>1839</v>
      </c>
      <c r="D315" t="s">
        <v>2966</v>
      </c>
      <c r="E315" s="276">
        <v>45037</v>
      </c>
    </row>
    <row r="316" spans="1:5" ht="15" customHeight="1">
      <c r="A316" s="12" t="s">
        <v>80</v>
      </c>
      <c r="B316" s="46" t="s">
        <v>2961</v>
      </c>
      <c r="C316" s="12" t="s">
        <v>1840</v>
      </c>
      <c r="D316" t="s">
        <v>2967</v>
      </c>
      <c r="E316" s="276">
        <v>45037</v>
      </c>
    </row>
    <row r="317" spans="1:5" ht="15" customHeight="1">
      <c r="A317" s="12" t="s">
        <v>80</v>
      </c>
      <c r="B317" s="46" t="s">
        <v>2961</v>
      </c>
      <c r="C317" s="12" t="s">
        <v>1841</v>
      </c>
      <c r="D317" t="s">
        <v>2968</v>
      </c>
      <c r="E317" s="276">
        <v>45037</v>
      </c>
    </row>
    <row r="318" spans="1:5" ht="15" customHeight="1">
      <c r="A318" s="12" t="s">
        <v>80</v>
      </c>
      <c r="B318" s="46" t="s">
        <v>2961</v>
      </c>
      <c r="C318" s="12" t="s">
        <v>1844</v>
      </c>
      <c r="D318" t="s">
        <v>2969</v>
      </c>
      <c r="E318" s="276">
        <v>45037</v>
      </c>
    </row>
    <row r="319" spans="1:5" ht="15" customHeight="1">
      <c r="A319" s="12" t="s">
        <v>32</v>
      </c>
      <c r="B319" s="46" t="s">
        <v>2970</v>
      </c>
      <c r="C319" s="12" t="s">
        <v>640</v>
      </c>
      <c r="D319" t="s">
        <v>2971</v>
      </c>
      <c r="E319" s="276">
        <v>45041</v>
      </c>
    </row>
    <row r="320" spans="1:5" ht="15" customHeight="1">
      <c r="A320" s="12" t="s">
        <v>32</v>
      </c>
      <c r="B320" s="46" t="s">
        <v>2970</v>
      </c>
      <c r="C320" s="12" t="s">
        <v>641</v>
      </c>
      <c r="D320" t="s">
        <v>2841</v>
      </c>
      <c r="E320" s="276">
        <v>45041</v>
      </c>
    </row>
    <row r="321" spans="1:5" ht="15" customHeight="1">
      <c r="A321" s="12" t="s">
        <v>32</v>
      </c>
      <c r="B321" s="46" t="s">
        <v>2970</v>
      </c>
      <c r="C321" s="12" t="s">
        <v>642</v>
      </c>
      <c r="D321" t="s">
        <v>2972</v>
      </c>
      <c r="E321" s="276">
        <v>45041</v>
      </c>
    </row>
    <row r="322" spans="1:5" ht="15" customHeight="1">
      <c r="A322" s="12" t="s">
        <v>32</v>
      </c>
      <c r="B322" s="46" t="s">
        <v>2970</v>
      </c>
      <c r="C322" s="12" t="s">
        <v>643</v>
      </c>
      <c r="D322" t="s">
        <v>2842</v>
      </c>
      <c r="E322" s="276">
        <v>45041</v>
      </c>
    </row>
    <row r="323" spans="1:5" ht="15" customHeight="1">
      <c r="A323" s="12" t="s">
        <v>32</v>
      </c>
      <c r="B323" s="46" t="s">
        <v>2970</v>
      </c>
      <c r="C323" s="12" t="s">
        <v>644</v>
      </c>
      <c r="D323" t="s">
        <v>2973</v>
      </c>
      <c r="E323" s="276">
        <v>45041</v>
      </c>
    </row>
    <row r="324" spans="1:5" ht="15" customHeight="1">
      <c r="A324" s="12" t="s">
        <v>32</v>
      </c>
      <c r="B324" s="46" t="s">
        <v>2970</v>
      </c>
      <c r="C324" s="12" t="s">
        <v>645</v>
      </c>
      <c r="D324" t="s">
        <v>2974</v>
      </c>
      <c r="E324" s="276">
        <v>45041</v>
      </c>
    </row>
    <row r="325" spans="1:5" ht="15" customHeight="1">
      <c r="A325" s="12" t="s">
        <v>32</v>
      </c>
      <c r="B325" s="46" t="s">
        <v>2970</v>
      </c>
      <c r="C325" s="12" t="s">
        <v>646</v>
      </c>
      <c r="D325" t="s">
        <v>2975</v>
      </c>
      <c r="E325" s="276">
        <v>45041</v>
      </c>
    </row>
    <row r="326" spans="1:5" ht="15" customHeight="1">
      <c r="A326" s="12" t="s">
        <v>1</v>
      </c>
      <c r="B326" s="46" t="s">
        <v>2976</v>
      </c>
      <c r="C326" s="12" t="s">
        <v>2733</v>
      </c>
      <c r="D326" t="s">
        <v>2977</v>
      </c>
      <c r="E326" s="276">
        <v>45044</v>
      </c>
    </row>
    <row r="327" spans="1:5" ht="15" customHeight="1">
      <c r="A327" s="12" t="s">
        <v>1</v>
      </c>
      <c r="B327" s="46" t="s">
        <v>2976</v>
      </c>
      <c r="C327" s="12" t="s">
        <v>2732</v>
      </c>
      <c r="D327" t="s">
        <v>2978</v>
      </c>
      <c r="E327" s="276">
        <v>45044</v>
      </c>
    </row>
    <row r="328" spans="1:5" ht="15" customHeight="1">
      <c r="A328" s="12" t="s">
        <v>1</v>
      </c>
      <c r="B328" s="46" t="s">
        <v>2976</v>
      </c>
      <c r="C328" s="12" t="s">
        <v>2731</v>
      </c>
      <c r="D328" t="s">
        <v>2979</v>
      </c>
      <c r="E328" s="276">
        <v>45044</v>
      </c>
    </row>
    <row r="329" spans="1:5" ht="15" customHeight="1">
      <c r="A329" s="45" t="s">
        <v>124</v>
      </c>
      <c r="B329" s="46" t="s">
        <v>2976</v>
      </c>
      <c r="C329" s="45" t="s">
        <v>2980</v>
      </c>
      <c r="D329" s="45" t="s">
        <v>2981</v>
      </c>
      <c r="E329" s="55">
        <v>45050</v>
      </c>
    </row>
    <row r="330" spans="1:5" ht="15" customHeight="1">
      <c r="A330" s="45" t="s">
        <v>124</v>
      </c>
      <c r="B330" s="46" t="s">
        <v>2976</v>
      </c>
      <c r="C330" t="s">
        <v>2982</v>
      </c>
      <c r="D330" t="s">
        <v>2983</v>
      </c>
      <c r="E330" s="55">
        <v>45050</v>
      </c>
    </row>
    <row r="331" spans="1:5" ht="15" customHeight="1">
      <c r="A331" s="45" t="s">
        <v>124</v>
      </c>
      <c r="B331" s="46" t="s">
        <v>2976</v>
      </c>
      <c r="C331" t="s">
        <v>2982</v>
      </c>
      <c r="D331" s="45" t="s">
        <v>2984</v>
      </c>
      <c r="E331" s="55">
        <v>45050</v>
      </c>
    </row>
    <row r="332" spans="1:5" ht="15" customHeight="1">
      <c r="A332" s="45" t="s">
        <v>124</v>
      </c>
      <c r="B332" s="46" t="s">
        <v>2976</v>
      </c>
      <c r="C332" t="s">
        <v>2982</v>
      </c>
      <c r="D332" s="45" t="s">
        <v>2985</v>
      </c>
      <c r="E332" s="55">
        <v>45050</v>
      </c>
    </row>
    <row r="333" spans="1:5" ht="15" customHeight="1">
      <c r="A333" s="45" t="s">
        <v>124</v>
      </c>
      <c r="B333" s="46" t="s">
        <v>2976</v>
      </c>
      <c r="C333" t="s">
        <v>2982</v>
      </c>
      <c r="D333" s="45" t="s">
        <v>2986</v>
      </c>
      <c r="E333" s="55">
        <v>45050</v>
      </c>
    </row>
    <row r="334" spans="1:5" ht="15" customHeight="1">
      <c r="A334" s="45" t="s">
        <v>124</v>
      </c>
      <c r="B334" s="46" t="s">
        <v>2976</v>
      </c>
      <c r="C334" s="45" t="s">
        <v>2987</v>
      </c>
      <c r="D334" s="45" t="s">
        <v>2987</v>
      </c>
      <c r="E334" s="55">
        <v>45050</v>
      </c>
    </row>
    <row r="335" spans="1:5" ht="15" customHeight="1">
      <c r="A335" s="45" t="s">
        <v>124</v>
      </c>
      <c r="B335" s="46" t="s">
        <v>2976</v>
      </c>
      <c r="C335" s="45" t="s">
        <v>2988</v>
      </c>
      <c r="D335" s="45" t="s">
        <v>2988</v>
      </c>
      <c r="E335" s="55">
        <v>45050</v>
      </c>
    </row>
    <row r="336" spans="1:5" ht="15" customHeight="1">
      <c r="A336" s="45" t="s">
        <v>124</v>
      </c>
      <c r="B336" s="46" t="s">
        <v>2976</v>
      </c>
      <c r="C336" s="45" t="s">
        <v>2982</v>
      </c>
      <c r="D336" s="45" t="s">
        <v>2989</v>
      </c>
      <c r="E336" s="55">
        <v>45050</v>
      </c>
    </row>
    <row r="337" spans="1:5" ht="15" customHeight="1">
      <c r="A337" s="45" t="s">
        <v>124</v>
      </c>
      <c r="B337" s="46" t="s">
        <v>2976</v>
      </c>
      <c r="C337" s="45" t="s">
        <v>2982</v>
      </c>
      <c r="D337" s="45" t="s">
        <v>2990</v>
      </c>
      <c r="E337" s="55">
        <v>45050</v>
      </c>
    </row>
    <row r="338" spans="1:5" ht="15" customHeight="1">
      <c r="A338" s="45" t="s">
        <v>124</v>
      </c>
      <c r="B338" s="46" t="s">
        <v>2976</v>
      </c>
      <c r="C338" s="45" t="s">
        <v>2982</v>
      </c>
      <c r="D338" s="45" t="s">
        <v>2991</v>
      </c>
      <c r="E338" s="55">
        <v>45050</v>
      </c>
    </row>
    <row r="339" spans="1:5" ht="15" customHeight="1">
      <c r="A339" s="45" t="s">
        <v>80</v>
      </c>
      <c r="B339" s="46" t="s">
        <v>2976</v>
      </c>
      <c r="C339" s="45" t="s">
        <v>2992</v>
      </c>
      <c r="D339" s="45" t="s">
        <v>2992</v>
      </c>
      <c r="E339" s="55">
        <v>45054</v>
      </c>
    </row>
    <row r="340" spans="1:5" ht="15" customHeight="1">
      <c r="A340" s="45" t="s">
        <v>80</v>
      </c>
      <c r="B340" s="46" t="s">
        <v>2976</v>
      </c>
      <c r="C340" s="45" t="s">
        <v>2993</v>
      </c>
      <c r="D340" s="45" t="s">
        <v>2993</v>
      </c>
      <c r="E340" s="55">
        <v>45054</v>
      </c>
    </row>
    <row r="341" spans="1:5" ht="15" customHeight="1">
      <c r="A341" s="45" t="s">
        <v>80</v>
      </c>
      <c r="B341" s="46" t="s">
        <v>2976</v>
      </c>
      <c r="C341" s="45" t="s">
        <v>2994</v>
      </c>
      <c r="D341" s="45" t="s">
        <v>2994</v>
      </c>
      <c r="E341" s="55">
        <v>45054</v>
      </c>
    </row>
    <row r="342" spans="1:5" ht="15" customHeight="1">
      <c r="A342" s="45" t="s">
        <v>116</v>
      </c>
      <c r="B342" s="46" t="s">
        <v>2976</v>
      </c>
      <c r="C342" s="45">
        <v>97120422</v>
      </c>
      <c r="D342" s="45" t="s">
        <v>2995</v>
      </c>
      <c r="E342" s="55">
        <v>45078</v>
      </c>
    </row>
    <row r="343" spans="1:5" ht="15" customHeight="1">
      <c r="A343" s="45" t="s">
        <v>116</v>
      </c>
      <c r="B343" s="46" t="s">
        <v>2976</v>
      </c>
      <c r="C343" s="45">
        <v>90510350</v>
      </c>
      <c r="D343" s="45" t="s">
        <v>2996</v>
      </c>
      <c r="E343" s="55">
        <v>45078</v>
      </c>
    </row>
    <row r="344" spans="1:5" ht="15" customHeight="1">
      <c r="A344" s="45" t="s">
        <v>1</v>
      </c>
      <c r="B344" s="46" t="s">
        <v>2976</v>
      </c>
      <c r="C344" s="45" t="s">
        <v>2997</v>
      </c>
      <c r="E344" s="55">
        <v>45090</v>
      </c>
    </row>
    <row r="345" spans="1:5" ht="15" customHeight="1">
      <c r="A345" s="45" t="s">
        <v>1</v>
      </c>
      <c r="B345" s="46" t="s">
        <v>2976</v>
      </c>
      <c r="C345" s="45" t="s">
        <v>2998</v>
      </c>
      <c r="E345" s="55">
        <v>45090</v>
      </c>
    </row>
    <row r="346" spans="1:5" ht="15" customHeight="1">
      <c r="A346" s="45" t="s">
        <v>1</v>
      </c>
      <c r="B346" s="46" t="s">
        <v>2976</v>
      </c>
      <c r="C346" s="45" t="s">
        <v>2999</v>
      </c>
      <c r="E346" s="55">
        <v>45090</v>
      </c>
    </row>
    <row r="347" spans="1:5" ht="15" customHeight="1">
      <c r="A347" s="45" t="s">
        <v>1</v>
      </c>
      <c r="B347" s="46" t="s">
        <v>2976</v>
      </c>
      <c r="C347" s="45" t="s">
        <v>3000</v>
      </c>
      <c r="E347" s="55">
        <v>45090</v>
      </c>
    </row>
    <row r="348" spans="1:5" ht="15" customHeight="1">
      <c r="A348" s="45" t="s">
        <v>1</v>
      </c>
      <c r="B348" s="46" t="s">
        <v>2976</v>
      </c>
      <c r="C348" s="45" t="s">
        <v>3001</v>
      </c>
      <c r="E348" s="55">
        <v>45090</v>
      </c>
    </row>
    <row r="349" spans="1:5" ht="15" customHeight="1">
      <c r="A349" s="45" t="s">
        <v>1</v>
      </c>
      <c r="B349" s="46" t="s">
        <v>2976</v>
      </c>
      <c r="C349" s="45" t="s">
        <v>3002</v>
      </c>
      <c r="E349" s="55">
        <v>45090</v>
      </c>
    </row>
    <row r="350" spans="1:5" ht="15" customHeight="1">
      <c r="A350" s="45" t="s">
        <v>1</v>
      </c>
      <c r="B350" s="46" t="s">
        <v>2976</v>
      </c>
      <c r="C350" s="45" t="s">
        <v>3003</v>
      </c>
      <c r="E350" s="55">
        <v>45090</v>
      </c>
    </row>
    <row r="351" spans="1:5" ht="15" customHeight="1">
      <c r="A351" s="45" t="s">
        <v>1</v>
      </c>
      <c r="B351" s="46" t="s">
        <v>2976</v>
      </c>
      <c r="C351" s="45" t="s">
        <v>3004</v>
      </c>
      <c r="E351" s="55">
        <v>45103</v>
      </c>
    </row>
    <row r="352" spans="1:5" ht="15" customHeight="1">
      <c r="A352" s="45" t="s">
        <v>1</v>
      </c>
      <c r="B352" s="46" t="s">
        <v>2976</v>
      </c>
      <c r="C352" s="45" t="s">
        <v>3005</v>
      </c>
      <c r="E352" s="55">
        <v>45103</v>
      </c>
    </row>
    <row r="353" spans="1:5" ht="15" customHeight="1">
      <c r="A353" s="45" t="s">
        <v>1</v>
      </c>
      <c r="B353" s="46" t="s">
        <v>2976</v>
      </c>
      <c r="C353" s="45" t="s">
        <v>3006</v>
      </c>
      <c r="E353" s="55">
        <v>45103</v>
      </c>
    </row>
    <row r="354" spans="1:5" ht="15" customHeight="1">
      <c r="A354" s="45" t="s">
        <v>1</v>
      </c>
      <c r="B354" s="46" t="s">
        <v>2976</v>
      </c>
      <c r="C354" s="45" t="s">
        <v>2929</v>
      </c>
      <c r="E354" s="55">
        <v>45103</v>
      </c>
    </row>
    <row r="355" spans="1:5" ht="15" customHeight="1">
      <c r="A355" s="45" t="s">
        <v>1</v>
      </c>
      <c r="B355" s="46" t="s">
        <v>2976</v>
      </c>
      <c r="C355" s="45" t="s">
        <v>2909</v>
      </c>
      <c r="E355" s="55">
        <v>45103</v>
      </c>
    </row>
    <row r="356" spans="1:5" ht="15" customHeight="1">
      <c r="A356" s="45" t="s">
        <v>1</v>
      </c>
      <c r="B356" s="46" t="s">
        <v>2976</v>
      </c>
      <c r="C356" s="45" t="s">
        <v>3007</v>
      </c>
      <c r="E356" s="55">
        <v>45103</v>
      </c>
    </row>
    <row r="357" spans="1:5" ht="15" customHeight="1">
      <c r="A357" s="45" t="s">
        <v>1</v>
      </c>
      <c r="B357" s="46" t="s">
        <v>2976</v>
      </c>
      <c r="C357" s="45" t="s">
        <v>3008</v>
      </c>
      <c r="E357" s="55">
        <v>45103</v>
      </c>
    </row>
    <row r="358" spans="1:5" ht="15" customHeight="1">
      <c r="A358" s="45" t="s">
        <v>32</v>
      </c>
      <c r="B358" s="46" t="s">
        <v>2976</v>
      </c>
      <c r="C358" s="45" t="s">
        <v>3011</v>
      </c>
      <c r="E358" s="55">
        <v>45103</v>
      </c>
    </row>
    <row r="359" spans="1:5" ht="15" customHeight="1">
      <c r="A359" s="45" t="s">
        <v>52</v>
      </c>
      <c r="B359" s="46" t="s">
        <v>2976</v>
      </c>
      <c r="C359" s="45" t="s">
        <v>3017</v>
      </c>
      <c r="E359" s="55">
        <v>45103</v>
      </c>
    </row>
    <row r="360" spans="1:5" ht="15" customHeight="1">
      <c r="A360" s="45" t="s">
        <v>52</v>
      </c>
      <c r="B360" s="46" t="s">
        <v>2976</v>
      </c>
      <c r="C360" s="45" t="s">
        <v>3018</v>
      </c>
      <c r="E360" s="55">
        <v>45103</v>
      </c>
    </row>
    <row r="361" spans="1:5" ht="15" customHeight="1">
      <c r="A361" s="45" t="s">
        <v>52</v>
      </c>
      <c r="B361" s="46" t="s">
        <v>2976</v>
      </c>
      <c r="C361" s="45" t="s">
        <v>3019</v>
      </c>
      <c r="E361" s="55">
        <v>45103</v>
      </c>
    </row>
    <row r="362" spans="1:5" ht="15" customHeight="1">
      <c r="A362" s="45" t="s">
        <v>80</v>
      </c>
      <c r="B362" s="46" t="s">
        <v>2976</v>
      </c>
      <c r="C362" s="45" t="s">
        <v>3020</v>
      </c>
      <c r="E362" s="55">
        <v>45103</v>
      </c>
    </row>
    <row r="363" spans="1:5" ht="15" customHeight="1">
      <c r="A363" s="45" t="s">
        <v>80</v>
      </c>
      <c r="B363" s="46" t="s">
        <v>2976</v>
      </c>
      <c r="C363" s="45" t="s">
        <v>3021</v>
      </c>
      <c r="E363" s="55">
        <v>45103</v>
      </c>
    </row>
    <row r="364" spans="1:5" ht="15" customHeight="1">
      <c r="A364" s="45" t="s">
        <v>80</v>
      </c>
      <c r="B364" s="46" t="s">
        <v>2976</v>
      </c>
      <c r="C364" s="45" t="s">
        <v>3022</v>
      </c>
      <c r="E364" s="55">
        <v>45103</v>
      </c>
    </row>
    <row r="365" spans="1:5" ht="15" customHeight="1">
      <c r="A365" s="45" t="s">
        <v>80</v>
      </c>
      <c r="B365" s="46" t="s">
        <v>2976</v>
      </c>
      <c r="C365" s="45" t="s">
        <v>3023</v>
      </c>
      <c r="E365" s="55">
        <v>45103</v>
      </c>
    </row>
    <row r="366" spans="1:5" ht="15" customHeight="1">
      <c r="A366" s="59" t="s">
        <v>1</v>
      </c>
      <c r="B366" s="49" t="s">
        <v>2976</v>
      </c>
      <c r="C366" s="59" t="s">
        <v>499</v>
      </c>
      <c r="D366" s="59"/>
      <c r="E366" s="156">
        <v>45170</v>
      </c>
    </row>
    <row r="367" spans="1:5" ht="15" customHeight="1">
      <c r="A367" s="59" t="s">
        <v>1</v>
      </c>
      <c r="B367" s="49" t="s">
        <v>2976</v>
      </c>
      <c r="C367" s="59" t="s">
        <v>501</v>
      </c>
      <c r="D367" s="59"/>
      <c r="E367" s="156">
        <v>45170</v>
      </c>
    </row>
    <row r="368" spans="1:5" ht="15" customHeight="1">
      <c r="A368" s="59" t="s">
        <v>1</v>
      </c>
      <c r="B368" s="49" t="s">
        <v>2976</v>
      </c>
      <c r="C368" s="59" t="s">
        <v>502</v>
      </c>
      <c r="D368" s="59"/>
      <c r="E368" s="156">
        <v>45170</v>
      </c>
    </row>
    <row r="369" spans="1:5" ht="15" customHeight="1">
      <c r="A369" s="59" t="s">
        <v>1</v>
      </c>
      <c r="B369" s="49" t="s">
        <v>2976</v>
      </c>
      <c r="C369" s="59" t="s">
        <v>503</v>
      </c>
      <c r="D369" s="59"/>
      <c r="E369" s="156">
        <v>45170</v>
      </c>
    </row>
    <row r="370" spans="1:5" ht="15" customHeight="1">
      <c r="A370" s="59" t="s">
        <v>1</v>
      </c>
      <c r="B370" s="49" t="s">
        <v>2976</v>
      </c>
      <c r="C370" s="59" t="s">
        <v>504</v>
      </c>
      <c r="D370" s="59"/>
      <c r="E370" s="156">
        <v>45170</v>
      </c>
    </row>
    <row r="371" spans="1:5" ht="15" customHeight="1">
      <c r="A371" s="59" t="s">
        <v>32</v>
      </c>
      <c r="B371" s="49" t="s">
        <v>2976</v>
      </c>
      <c r="C371" s="59" t="s">
        <v>640</v>
      </c>
      <c r="D371" s="59"/>
      <c r="E371" s="156">
        <v>45170</v>
      </c>
    </row>
    <row r="372" spans="1:5" ht="15" customHeight="1">
      <c r="A372" s="59" t="s">
        <v>32</v>
      </c>
      <c r="B372" s="49" t="s">
        <v>2976</v>
      </c>
      <c r="C372" s="59" t="s">
        <v>641</v>
      </c>
      <c r="D372" s="59"/>
      <c r="E372" s="156">
        <v>45170</v>
      </c>
    </row>
    <row r="373" spans="1:5" ht="15" customHeight="1">
      <c r="A373" s="59" t="s">
        <v>32</v>
      </c>
      <c r="B373" s="49" t="s">
        <v>2976</v>
      </c>
      <c r="C373" s="59" t="s">
        <v>642</v>
      </c>
      <c r="D373" s="59"/>
      <c r="E373" s="156">
        <v>45170</v>
      </c>
    </row>
    <row r="374" spans="1:5" ht="15" customHeight="1">
      <c r="A374" s="59" t="s">
        <v>32</v>
      </c>
      <c r="B374" s="49" t="s">
        <v>2976</v>
      </c>
      <c r="C374" s="59" t="s">
        <v>643</v>
      </c>
      <c r="D374" s="59"/>
      <c r="E374" s="156">
        <v>45170</v>
      </c>
    </row>
    <row r="375" spans="1:5" ht="15" customHeight="1">
      <c r="A375" s="59" t="s">
        <v>32</v>
      </c>
      <c r="B375" s="49" t="s">
        <v>2976</v>
      </c>
      <c r="C375" s="59" t="s">
        <v>644</v>
      </c>
      <c r="D375" s="59"/>
      <c r="E375" s="156">
        <v>45170</v>
      </c>
    </row>
    <row r="376" spans="1:5" ht="15" customHeight="1">
      <c r="A376" s="59" t="s">
        <v>32</v>
      </c>
      <c r="B376" s="49" t="s">
        <v>2976</v>
      </c>
      <c r="C376" s="59" t="s">
        <v>645</v>
      </c>
      <c r="D376" s="59"/>
      <c r="E376" s="156">
        <v>45170</v>
      </c>
    </row>
    <row r="377" spans="1:5" ht="15" customHeight="1">
      <c r="A377" s="59" t="s">
        <v>32</v>
      </c>
      <c r="B377" s="49" t="s">
        <v>2976</v>
      </c>
      <c r="C377" s="59" t="s">
        <v>646</v>
      </c>
      <c r="D377" s="59"/>
      <c r="E377" s="156">
        <v>45170</v>
      </c>
    </row>
    <row r="378" spans="1:5" ht="15" customHeight="1">
      <c r="A378" s="59" t="s">
        <v>32</v>
      </c>
      <c r="B378" s="49" t="s">
        <v>2976</v>
      </c>
      <c r="C378" s="59" t="s">
        <v>793</v>
      </c>
      <c r="D378" s="59"/>
      <c r="E378" s="156">
        <v>45170</v>
      </c>
    </row>
    <row r="379" spans="1:5" ht="15" customHeight="1">
      <c r="A379" s="59" t="s">
        <v>52</v>
      </c>
      <c r="B379" s="49" t="s">
        <v>2976</v>
      </c>
      <c r="C379" s="59" t="s">
        <v>824</v>
      </c>
      <c r="D379" s="59"/>
      <c r="E379" s="156">
        <v>45170</v>
      </c>
    </row>
    <row r="380" spans="1:5" ht="15" customHeight="1">
      <c r="A380" s="59" t="s">
        <v>52</v>
      </c>
      <c r="B380" s="49" t="s">
        <v>2976</v>
      </c>
      <c r="C380" s="59" t="s">
        <v>828</v>
      </c>
      <c r="D380" s="59"/>
      <c r="E380" s="156">
        <v>45170</v>
      </c>
    </row>
    <row r="381" spans="1:5" ht="15" customHeight="1">
      <c r="A381" s="59" t="s">
        <v>52</v>
      </c>
      <c r="B381" s="49" t="s">
        <v>2976</v>
      </c>
      <c r="C381" s="59" t="s">
        <v>855</v>
      </c>
      <c r="D381" s="59"/>
      <c r="E381" s="156">
        <v>45170</v>
      </c>
    </row>
    <row r="382" spans="1:5" ht="15" customHeight="1">
      <c r="A382" s="59" t="s">
        <v>80</v>
      </c>
      <c r="B382" s="49" t="s">
        <v>2976</v>
      </c>
      <c r="C382" s="59" t="s">
        <v>1675</v>
      </c>
      <c r="D382" s="59"/>
      <c r="E382" s="156">
        <v>45170</v>
      </c>
    </row>
    <row r="383" spans="1:5" ht="15" customHeight="1">
      <c r="A383" s="59" t="s">
        <v>80</v>
      </c>
      <c r="B383" s="49" t="s">
        <v>2976</v>
      </c>
      <c r="C383" s="59" t="s">
        <v>1676</v>
      </c>
      <c r="D383" s="59"/>
      <c r="E383" s="156">
        <v>45170</v>
      </c>
    </row>
    <row r="384" spans="1:5" ht="15" customHeight="1">
      <c r="A384" s="59" t="s">
        <v>80</v>
      </c>
      <c r="B384" s="49" t="s">
        <v>2976</v>
      </c>
      <c r="C384" s="59" t="s">
        <v>1677</v>
      </c>
      <c r="D384" s="59"/>
      <c r="E384" s="156">
        <v>45170</v>
      </c>
    </row>
    <row r="385" spans="1:5" ht="15" customHeight="1">
      <c r="A385" s="59" t="s">
        <v>80</v>
      </c>
      <c r="B385" s="49" t="s">
        <v>2976</v>
      </c>
      <c r="C385" s="59" t="s">
        <v>1678</v>
      </c>
      <c r="D385" s="59"/>
      <c r="E385" s="156">
        <v>45170</v>
      </c>
    </row>
    <row r="386" spans="1:5" ht="15" customHeight="1">
      <c r="A386" s="59" t="s">
        <v>116</v>
      </c>
      <c r="B386" s="49" t="s">
        <v>2976</v>
      </c>
      <c r="C386" s="59">
        <v>90280130</v>
      </c>
      <c r="D386" s="59"/>
      <c r="E386" s="156">
        <v>45170</v>
      </c>
    </row>
    <row r="387" spans="1:5" ht="15" customHeight="1">
      <c r="A387" s="59" t="s">
        <v>116</v>
      </c>
      <c r="B387" s="49" t="s">
        <v>2976</v>
      </c>
      <c r="C387" s="59">
        <v>90356970</v>
      </c>
      <c r="D387" s="59"/>
      <c r="E387" s="156">
        <v>45170</v>
      </c>
    </row>
    <row r="388" spans="1:5" ht="15" customHeight="1">
      <c r="A388" s="59" t="s">
        <v>116</v>
      </c>
      <c r="B388" s="49" t="s">
        <v>2976</v>
      </c>
      <c r="C388" s="59">
        <v>90356971</v>
      </c>
      <c r="D388" s="59"/>
      <c r="E388" s="156">
        <v>45170</v>
      </c>
    </row>
    <row r="389" spans="1:5" ht="15" customHeight="1">
      <c r="A389" s="59" t="s">
        <v>116</v>
      </c>
      <c r="B389" s="49" t="s">
        <v>2976</v>
      </c>
      <c r="C389" s="59">
        <v>90356972</v>
      </c>
      <c r="D389" s="59"/>
      <c r="E389" s="156">
        <v>45170</v>
      </c>
    </row>
    <row r="390" spans="1:5" ht="15" customHeight="1">
      <c r="A390" s="59" t="s">
        <v>116</v>
      </c>
      <c r="B390" s="49" t="s">
        <v>2976</v>
      </c>
      <c r="C390" s="59">
        <v>90356973</v>
      </c>
      <c r="D390" s="59"/>
      <c r="E390" s="156">
        <v>45170</v>
      </c>
    </row>
    <row r="391" spans="1:5" ht="15" customHeight="1">
      <c r="A391" s="59" t="s">
        <v>116</v>
      </c>
      <c r="B391" s="49" t="s">
        <v>2976</v>
      </c>
      <c r="C391" s="59">
        <v>90356974</v>
      </c>
      <c r="D391" s="59"/>
      <c r="E391" s="156">
        <v>45170</v>
      </c>
    </row>
    <row r="392" spans="1:5" ht="15" customHeight="1">
      <c r="A392" s="59" t="s">
        <v>116</v>
      </c>
      <c r="B392" s="49" t="s">
        <v>2976</v>
      </c>
      <c r="C392" s="59">
        <v>90356975</v>
      </c>
      <c r="D392" s="59"/>
      <c r="E392" s="156">
        <v>45170</v>
      </c>
    </row>
    <row r="393" spans="1:5" ht="15" customHeight="1">
      <c r="A393" s="59" t="s">
        <v>116</v>
      </c>
      <c r="B393" s="49" t="s">
        <v>2976</v>
      </c>
      <c r="C393" s="59">
        <v>90356976</v>
      </c>
      <c r="D393" s="59"/>
      <c r="E393" s="156">
        <v>45170</v>
      </c>
    </row>
    <row r="394" spans="1:5" ht="15" customHeight="1">
      <c r="A394" s="59" t="s">
        <v>116</v>
      </c>
      <c r="B394" s="49" t="s">
        <v>2976</v>
      </c>
      <c r="C394" s="59">
        <v>90356977</v>
      </c>
      <c r="D394" s="59"/>
      <c r="E394" s="156">
        <v>45170</v>
      </c>
    </row>
    <row r="395" spans="1:5" ht="15" customHeight="1">
      <c r="A395" s="59" t="s">
        <v>116</v>
      </c>
      <c r="B395" s="49" t="s">
        <v>2976</v>
      </c>
      <c r="C395" s="59">
        <v>90356978</v>
      </c>
      <c r="D395" s="59"/>
      <c r="E395" s="156">
        <v>45170</v>
      </c>
    </row>
    <row r="396" spans="1:5" ht="15" customHeight="1">
      <c r="A396" s="59" t="s">
        <v>116</v>
      </c>
      <c r="B396" s="49" t="s">
        <v>2976</v>
      </c>
      <c r="C396" s="59">
        <v>90356979</v>
      </c>
      <c r="D396" s="59"/>
      <c r="E396" s="156">
        <v>45170</v>
      </c>
    </row>
    <row r="397" spans="1:5" ht="15" customHeight="1">
      <c r="A397" s="59" t="s">
        <v>116</v>
      </c>
      <c r="B397" s="49" t="s">
        <v>2976</v>
      </c>
      <c r="C397" s="59">
        <v>90356980</v>
      </c>
      <c r="D397" s="59"/>
      <c r="E397" s="156">
        <v>45170</v>
      </c>
    </row>
    <row r="398" spans="1:5" ht="15" customHeight="1">
      <c r="A398" s="59" t="s">
        <v>116</v>
      </c>
      <c r="B398" s="49" t="s">
        <v>2976</v>
      </c>
      <c r="C398" s="59">
        <v>90356981</v>
      </c>
      <c r="D398" s="59"/>
      <c r="E398" s="156">
        <v>45170</v>
      </c>
    </row>
    <row r="399" spans="1:5" ht="15" customHeight="1">
      <c r="A399" s="59" t="s">
        <v>116</v>
      </c>
      <c r="B399" s="49" t="s">
        <v>2976</v>
      </c>
      <c r="C399" s="59">
        <v>90356982</v>
      </c>
      <c r="D399" s="59"/>
      <c r="E399" s="156">
        <v>45170</v>
      </c>
    </row>
    <row r="400" spans="1:5" ht="15" customHeight="1">
      <c r="A400" s="59" t="s">
        <v>116</v>
      </c>
      <c r="B400" s="49" t="s">
        <v>2976</v>
      </c>
      <c r="C400" s="59">
        <v>90356983</v>
      </c>
      <c r="D400" s="59"/>
      <c r="E400" s="156">
        <v>45170</v>
      </c>
    </row>
    <row r="401" spans="1:5" ht="15" customHeight="1">
      <c r="A401" s="59" t="s">
        <v>116</v>
      </c>
      <c r="B401" s="49" t="s">
        <v>2976</v>
      </c>
      <c r="C401" s="59">
        <v>90356984</v>
      </c>
      <c r="D401" s="59"/>
      <c r="E401" s="156">
        <v>45170</v>
      </c>
    </row>
    <row r="402" spans="1:5" ht="15" customHeight="1">
      <c r="A402" s="59" t="s">
        <v>116</v>
      </c>
      <c r="B402" s="49" t="s">
        <v>2976</v>
      </c>
      <c r="C402" s="59">
        <v>90356985</v>
      </c>
      <c r="D402" s="59"/>
      <c r="E402" s="156">
        <v>45170</v>
      </c>
    </row>
    <row r="403" spans="1:5" ht="15" customHeight="1">
      <c r="A403" s="59" t="s">
        <v>116</v>
      </c>
      <c r="B403" s="49" t="s">
        <v>2976</v>
      </c>
      <c r="C403" s="59">
        <v>90356986</v>
      </c>
      <c r="D403" s="59"/>
      <c r="E403" s="156">
        <v>45170</v>
      </c>
    </row>
    <row r="404" spans="1:5" ht="15" customHeight="1">
      <c r="A404" s="59" t="s">
        <v>116</v>
      </c>
      <c r="B404" s="49" t="s">
        <v>2976</v>
      </c>
      <c r="C404" s="59">
        <v>90356987</v>
      </c>
      <c r="D404" s="59"/>
      <c r="E404" s="156">
        <v>45170</v>
      </c>
    </row>
    <row r="405" spans="1:5" ht="15" customHeight="1">
      <c r="A405" s="59" t="s">
        <v>116</v>
      </c>
      <c r="B405" s="49" t="s">
        <v>2976</v>
      </c>
      <c r="C405" s="59">
        <v>90356988</v>
      </c>
      <c r="D405" s="59"/>
      <c r="E405" s="156">
        <v>45170</v>
      </c>
    </row>
    <row r="406" spans="1:5" ht="15" customHeight="1">
      <c r="A406" s="59" t="s">
        <v>116</v>
      </c>
      <c r="B406" s="49" t="s">
        <v>2976</v>
      </c>
      <c r="C406" s="59">
        <v>90356989</v>
      </c>
      <c r="D406" s="59"/>
      <c r="E406" s="156">
        <v>45170</v>
      </c>
    </row>
    <row r="407" spans="1:5" ht="15" customHeight="1">
      <c r="A407" s="59" t="s">
        <v>116</v>
      </c>
      <c r="B407" s="49" t="s">
        <v>2976</v>
      </c>
      <c r="C407" s="59">
        <v>90480140</v>
      </c>
      <c r="D407" s="59"/>
      <c r="E407" s="156">
        <v>45170</v>
      </c>
    </row>
    <row r="408" spans="1:5" ht="15" customHeight="1">
      <c r="A408" s="59" t="s">
        <v>116</v>
      </c>
      <c r="B408" s="49" t="s">
        <v>2976</v>
      </c>
      <c r="C408" s="59">
        <v>90480150</v>
      </c>
      <c r="D408" s="59"/>
      <c r="E408" s="156">
        <v>45170</v>
      </c>
    </row>
    <row r="409" spans="1:5" ht="15" customHeight="1">
      <c r="A409" s="59" t="s">
        <v>116</v>
      </c>
      <c r="B409" s="49" t="s">
        <v>2976</v>
      </c>
      <c r="C409" s="59">
        <v>90480170</v>
      </c>
      <c r="D409" s="59"/>
      <c r="E409" s="156">
        <v>45170</v>
      </c>
    </row>
    <row r="410" spans="1:5" ht="15" customHeight="1">
      <c r="A410" s="59" t="s">
        <v>116</v>
      </c>
      <c r="B410" s="49" t="s">
        <v>2976</v>
      </c>
      <c r="C410" s="59">
        <v>90480175</v>
      </c>
      <c r="D410" s="59"/>
      <c r="E410" s="156">
        <v>45170</v>
      </c>
    </row>
    <row r="411" spans="1:5" ht="15" customHeight="1">
      <c r="A411" s="59" t="s">
        <v>116</v>
      </c>
      <c r="B411" s="49" t="s">
        <v>2976</v>
      </c>
      <c r="C411" s="59">
        <v>90480180</v>
      </c>
      <c r="D411" s="59"/>
      <c r="E411" s="156">
        <v>45170</v>
      </c>
    </row>
    <row r="412" spans="1:5" ht="15" customHeight="1">
      <c r="A412" s="59" t="s">
        <v>116</v>
      </c>
      <c r="B412" s="49" t="s">
        <v>2976</v>
      </c>
      <c r="C412" s="59">
        <v>90480185</v>
      </c>
      <c r="D412" s="59"/>
      <c r="E412" s="156">
        <v>45170</v>
      </c>
    </row>
    <row r="413" spans="1:5" ht="15" customHeight="1">
      <c r="A413" s="59" t="s">
        <v>116</v>
      </c>
      <c r="B413" s="49" t="s">
        <v>2976</v>
      </c>
      <c r="C413" s="59">
        <v>90480190</v>
      </c>
      <c r="D413" s="59"/>
      <c r="E413" s="156">
        <v>45170</v>
      </c>
    </row>
    <row r="414" spans="1:5" ht="15" customHeight="1">
      <c r="A414" s="59" t="s">
        <v>116</v>
      </c>
      <c r="B414" s="49" t="s">
        <v>2976</v>
      </c>
      <c r="C414" s="59">
        <v>90480195</v>
      </c>
      <c r="D414" s="59"/>
      <c r="E414" s="156">
        <v>45170</v>
      </c>
    </row>
    <row r="415" spans="1:5" ht="15" customHeight="1">
      <c r="A415" s="59" t="s">
        <v>116</v>
      </c>
      <c r="B415" s="49" t="s">
        <v>2976</v>
      </c>
      <c r="C415" s="59">
        <v>90480200</v>
      </c>
      <c r="D415" s="59"/>
      <c r="E415" s="156">
        <v>45170</v>
      </c>
    </row>
    <row r="416" spans="1:5" ht="15" customHeight="1">
      <c r="A416" s="59" t="s">
        <v>116</v>
      </c>
      <c r="B416" s="49" t="s">
        <v>2976</v>
      </c>
      <c r="C416" s="59">
        <v>90480210</v>
      </c>
      <c r="D416" s="59"/>
      <c r="E416" s="156">
        <v>45170</v>
      </c>
    </row>
    <row r="417" spans="1:5" ht="15" customHeight="1">
      <c r="A417" s="59" t="s">
        <v>116</v>
      </c>
      <c r="B417" s="49" t="s">
        <v>2976</v>
      </c>
      <c r="C417" s="59">
        <v>91611086</v>
      </c>
      <c r="D417" s="59"/>
      <c r="E417" s="156">
        <v>45170</v>
      </c>
    </row>
    <row r="418" spans="1:5" ht="15" customHeight="1">
      <c r="A418" s="59" t="s">
        <v>116</v>
      </c>
      <c r="B418" s="49" t="s">
        <v>2976</v>
      </c>
      <c r="C418" s="59">
        <v>91611090</v>
      </c>
      <c r="D418" s="59"/>
      <c r="E418" s="156">
        <v>45170</v>
      </c>
    </row>
    <row r="419" spans="1:5" ht="15" customHeight="1">
      <c r="A419" s="59" t="s">
        <v>116</v>
      </c>
      <c r="B419" s="49" t="s">
        <v>2976</v>
      </c>
      <c r="C419" s="59">
        <v>91611530</v>
      </c>
      <c r="D419" s="59"/>
      <c r="E419" s="156">
        <v>45170</v>
      </c>
    </row>
    <row r="420" spans="1:5" ht="15" customHeight="1">
      <c r="A420" s="59" t="s">
        <v>116</v>
      </c>
      <c r="B420" s="49" t="s">
        <v>2976</v>
      </c>
      <c r="C420" s="59">
        <v>97120418</v>
      </c>
      <c r="D420" s="59"/>
      <c r="E420" s="156">
        <v>45170</v>
      </c>
    </row>
    <row r="421" spans="1:5" ht="15" customHeight="1">
      <c r="A421" s="59" t="s">
        <v>116</v>
      </c>
      <c r="B421" s="49" t="s">
        <v>2976</v>
      </c>
      <c r="C421" s="59">
        <v>97120422</v>
      </c>
      <c r="D421" s="59"/>
      <c r="E421" s="156">
        <v>45170</v>
      </c>
    </row>
    <row r="422" spans="1:5" ht="15" customHeight="1">
      <c r="A422" s="59" t="s">
        <v>116</v>
      </c>
      <c r="B422" s="49" t="s">
        <v>2976</v>
      </c>
      <c r="C422" s="59">
        <v>97120913</v>
      </c>
      <c r="D422" s="59"/>
      <c r="E422" s="156">
        <v>45170</v>
      </c>
    </row>
    <row r="423" spans="1:5" ht="15" customHeight="1">
      <c r="A423" s="59" t="s">
        <v>116</v>
      </c>
      <c r="B423" s="49" t="s">
        <v>2976</v>
      </c>
      <c r="C423" s="59">
        <v>97120931</v>
      </c>
      <c r="D423" s="59"/>
      <c r="E423" s="156">
        <v>45170</v>
      </c>
    </row>
    <row r="424" spans="1:5" ht="15" customHeight="1">
      <c r="A424" s="59" t="s">
        <v>116</v>
      </c>
      <c r="B424" s="49" t="s">
        <v>2976</v>
      </c>
      <c r="C424" s="59">
        <v>9025121795</v>
      </c>
      <c r="D424" s="59"/>
      <c r="E424" s="156">
        <v>45170</v>
      </c>
    </row>
    <row r="425" spans="1:5" ht="15" customHeight="1">
      <c r="A425" s="59" t="s">
        <v>116</v>
      </c>
      <c r="B425" s="49" t="s">
        <v>2976</v>
      </c>
      <c r="C425" s="59" t="s">
        <v>2090</v>
      </c>
      <c r="D425" s="59"/>
      <c r="E425" s="156">
        <v>45170</v>
      </c>
    </row>
    <row r="426" spans="1:5" ht="15" customHeight="1">
      <c r="A426" s="59" t="s">
        <v>116</v>
      </c>
      <c r="B426" s="49" t="s">
        <v>2976</v>
      </c>
      <c r="C426" s="59" t="s">
        <v>2089</v>
      </c>
      <c r="D426" s="59"/>
      <c r="E426" s="156">
        <v>45170</v>
      </c>
    </row>
    <row r="427" spans="1:5" customFormat="1" ht="15" customHeight="1">
      <c r="A427" s="59" t="s">
        <v>124</v>
      </c>
      <c r="B427" s="49" t="s">
        <v>2976</v>
      </c>
      <c r="C427" s="59">
        <v>5056217</v>
      </c>
      <c r="D427" s="59"/>
      <c r="E427" s="156">
        <v>45200</v>
      </c>
    </row>
    <row r="428" spans="1:5" customFormat="1" ht="15" customHeight="1">
      <c r="A428" s="59" t="s">
        <v>124</v>
      </c>
      <c r="B428" s="49" t="s">
        <v>2976</v>
      </c>
      <c r="C428" s="59">
        <v>5056219</v>
      </c>
      <c r="D428" s="59"/>
      <c r="E428" s="156">
        <v>45200</v>
      </c>
    </row>
    <row r="429" spans="1:5" customFormat="1" ht="15" customHeight="1"/>
    <row r="430" spans="1:5" customFormat="1" ht="15" customHeight="1"/>
    <row r="431" spans="1:5" customFormat="1" ht="15" customHeight="1"/>
    <row r="432" spans="1:5" customFormat="1" ht="15" customHeight="1"/>
    <row r="433" customFormat="1" ht="15" customHeight="1"/>
    <row r="434" customFormat="1" ht="15" customHeight="1"/>
    <row r="435" customFormat="1" ht="15" customHeight="1"/>
    <row r="436" customFormat="1" ht="15" customHeight="1"/>
    <row r="437" customFormat="1" ht="15" customHeight="1"/>
  </sheetData>
  <autoFilter ref="A1:E437" xr:uid="{00000000-0001-0000-1000-000000000000}"/>
  <conditionalFormatting sqref="H246:I250">
    <cfRule type="expression" dxfId="12" priority="2">
      <formula>MOD(ROW(),2)=0</formula>
    </cfRule>
    <cfRule type="expression" dxfId="11" priority="3">
      <formula>MOD(ROW(),2)=1</formula>
    </cfRule>
  </conditionalFormatting>
  <pageMargins left="0.7" right="0.7" top="0.75" bottom="0.75" header="0.3" footer="0.3"/>
  <pageSetup scale="62" orientation="portrait" verticalDpi="4294967295" r:id="rId1"/>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9F346-8178-4F2C-8BC0-C63C1CF4EBEE}">
  <dimension ref="A1:AE2905"/>
  <sheetViews>
    <sheetView zoomScale="75" zoomScaleNormal="75" workbookViewId="0">
      <pane xSplit="2" ySplit="2" topLeftCell="C3" activePane="bottomRight" state="frozen"/>
      <selection pane="topRight" activeCell="B1" sqref="B1"/>
      <selection pane="bottomLeft" activeCell="A2" sqref="A2"/>
      <selection pane="bottomRight" activeCell="C3" sqref="C3"/>
    </sheetView>
  </sheetViews>
  <sheetFormatPr defaultColWidth="9.140625" defaultRowHeight="15" outlineLevelCol="1"/>
  <cols>
    <col min="1" max="1" width="23.85546875" style="268" customWidth="1"/>
    <col min="2" max="2" width="15.5703125" style="259" customWidth="1"/>
    <col min="3" max="3" width="13.140625" style="259" customWidth="1" outlineLevel="1"/>
    <col min="4" max="4" width="18.28515625" style="259" customWidth="1" outlineLevel="1"/>
    <col min="5" max="9" width="13.140625" style="259" customWidth="1" outlineLevel="1"/>
    <col min="10" max="14" width="13.140625" style="295" customWidth="1"/>
    <col min="15" max="15" width="13.140625" style="265" customWidth="1"/>
    <col min="16" max="17" width="16.28515625" style="266" customWidth="1" outlineLevel="1"/>
    <col min="18" max="18" width="13.140625" style="266" customWidth="1" outlineLevel="1"/>
    <col min="19" max="22" width="13.140625" style="265" customWidth="1" outlineLevel="1"/>
    <col min="23" max="23" width="13.140625" style="259" customWidth="1" outlineLevel="1"/>
    <col min="24" max="24" width="42.42578125" style="264" customWidth="1" outlineLevel="1"/>
    <col min="25" max="26" width="13.140625" style="259" customWidth="1"/>
    <col min="27" max="27" width="15.28515625" style="264" customWidth="1"/>
    <col min="28" max="29" width="15.28515625" style="267" customWidth="1"/>
    <col min="30" max="30" width="9.140625" style="275"/>
    <col min="31" max="31" width="9.140625" style="268"/>
    <col min="32" max="32" width="33.140625" style="259" customWidth="1"/>
    <col min="33" max="16384" width="9.140625" style="259"/>
  </cols>
  <sheetData>
    <row r="1" spans="1:31">
      <c r="A1" s="274">
        <v>1</v>
      </c>
      <c r="B1" s="274">
        <f>A1+1</f>
        <v>2</v>
      </c>
      <c r="C1" s="274">
        <f t="shared" ref="C1:AB1" si="0">B1+1</f>
        <v>3</v>
      </c>
      <c r="D1" s="274">
        <f t="shared" si="0"/>
        <v>4</v>
      </c>
      <c r="E1" s="274">
        <f>D1+1</f>
        <v>5</v>
      </c>
      <c r="F1" s="274">
        <f t="shared" si="0"/>
        <v>6</v>
      </c>
      <c r="G1" s="274">
        <f t="shared" si="0"/>
        <v>7</v>
      </c>
      <c r="H1" s="274">
        <f t="shared" si="0"/>
        <v>8</v>
      </c>
      <c r="I1" s="274">
        <f t="shared" si="0"/>
        <v>9</v>
      </c>
      <c r="J1" s="274">
        <f>I1+1</f>
        <v>10</v>
      </c>
      <c r="K1" s="274">
        <f>J1+1</f>
        <v>11</v>
      </c>
      <c r="L1" s="274">
        <f>K1+1</f>
        <v>12</v>
      </c>
      <c r="M1" s="274">
        <f t="shared" si="0"/>
        <v>13</v>
      </c>
      <c r="N1" s="274">
        <f t="shared" si="0"/>
        <v>14</v>
      </c>
      <c r="O1" s="274">
        <f t="shared" si="0"/>
        <v>15</v>
      </c>
      <c r="P1" s="274">
        <f>O1+1</f>
        <v>16</v>
      </c>
      <c r="Q1" s="274">
        <f t="shared" si="0"/>
        <v>17</v>
      </c>
      <c r="R1" s="274">
        <f>Q1+1</f>
        <v>18</v>
      </c>
      <c r="S1" s="274">
        <f>R1+1</f>
        <v>19</v>
      </c>
      <c r="T1" s="274">
        <f>S1+1</f>
        <v>20</v>
      </c>
      <c r="U1" s="274">
        <f>T1+1</f>
        <v>21</v>
      </c>
      <c r="V1" s="274">
        <f t="shared" si="0"/>
        <v>22</v>
      </c>
      <c r="W1" s="274">
        <f t="shared" si="0"/>
        <v>23</v>
      </c>
      <c r="X1" s="274">
        <f t="shared" si="0"/>
        <v>24</v>
      </c>
      <c r="Y1" s="274">
        <f t="shared" si="0"/>
        <v>25</v>
      </c>
      <c r="Z1" s="274">
        <f t="shared" si="0"/>
        <v>26</v>
      </c>
      <c r="AA1" s="274">
        <f>Z1+1</f>
        <v>27</v>
      </c>
      <c r="AB1" s="274">
        <f t="shared" si="0"/>
        <v>28</v>
      </c>
      <c r="AC1" s="274">
        <f>AB1+1</f>
        <v>29</v>
      </c>
      <c r="AD1" s="259"/>
      <c r="AE1" s="259"/>
    </row>
    <row r="2" spans="1:31" s="263" customFormat="1" ht="45.75" thickBot="1">
      <c r="A2" s="260" t="s">
        <v>138</v>
      </c>
      <c r="B2" s="260" t="s">
        <v>2680</v>
      </c>
      <c r="C2" s="260" t="s">
        <v>139</v>
      </c>
      <c r="D2" s="260" t="s">
        <v>140</v>
      </c>
      <c r="E2" s="260" t="s">
        <v>141</v>
      </c>
      <c r="F2" s="260" t="s">
        <v>142</v>
      </c>
      <c r="G2" s="260" t="s">
        <v>143</v>
      </c>
      <c r="H2" s="260" t="s">
        <v>144</v>
      </c>
      <c r="I2" s="260" t="s">
        <v>145</v>
      </c>
      <c r="J2" s="294" t="s">
        <v>146</v>
      </c>
      <c r="K2" s="294" t="s">
        <v>808</v>
      </c>
      <c r="L2" s="294" t="s">
        <v>148</v>
      </c>
      <c r="M2" s="294" t="s">
        <v>3024</v>
      </c>
      <c r="N2" s="294" t="s">
        <v>1011</v>
      </c>
      <c r="O2" s="262" t="s">
        <v>149</v>
      </c>
      <c r="P2" s="262" t="s">
        <v>150</v>
      </c>
      <c r="Q2" s="262" t="s">
        <v>151</v>
      </c>
      <c r="R2" s="261" t="s">
        <v>152</v>
      </c>
      <c r="S2" s="261" t="s">
        <v>153</v>
      </c>
      <c r="T2" s="261" t="s">
        <v>154</v>
      </c>
      <c r="U2" s="261" t="s">
        <v>155</v>
      </c>
      <c r="V2" s="260" t="s">
        <v>156</v>
      </c>
      <c r="W2" s="260" t="s">
        <v>157</v>
      </c>
      <c r="X2" s="260" t="s">
        <v>158</v>
      </c>
      <c r="Y2" s="260" t="s">
        <v>159</v>
      </c>
      <c r="Z2" s="260" t="s">
        <v>3025</v>
      </c>
      <c r="AA2" s="260" t="s">
        <v>8351</v>
      </c>
      <c r="AB2" s="154" t="s">
        <v>8352</v>
      </c>
      <c r="AC2" s="154" t="s">
        <v>8353</v>
      </c>
    </row>
    <row r="3" spans="1:31" ht="15.75" thickTop="1">
      <c r="A3" s="259" t="s">
        <v>160</v>
      </c>
      <c r="B3" s="259" t="s">
        <v>1</v>
      </c>
      <c r="C3" s="264"/>
      <c r="D3" s="264"/>
      <c r="H3" s="264"/>
      <c r="I3" s="264"/>
      <c r="J3" s="295">
        <v>0</v>
      </c>
      <c r="K3" s="295">
        <v>0</v>
      </c>
      <c r="L3" s="295">
        <v>0</v>
      </c>
      <c r="O3" s="266"/>
      <c r="R3" s="265"/>
      <c r="V3" s="259"/>
      <c r="Y3" s="259">
        <v>1</v>
      </c>
      <c r="AA3" s="259"/>
      <c r="AB3" s="259"/>
      <c r="AC3" s="259"/>
      <c r="AD3" s="259"/>
      <c r="AE3" s="259"/>
    </row>
    <row r="4" spans="1:31">
      <c r="A4" s="259" t="s">
        <v>161</v>
      </c>
      <c r="B4" s="259" t="s">
        <v>1</v>
      </c>
      <c r="C4" s="264"/>
      <c r="D4" s="264"/>
      <c r="H4" s="264"/>
      <c r="I4" s="264"/>
      <c r="J4" s="295">
        <v>0</v>
      </c>
      <c r="K4" s="295">
        <v>0</v>
      </c>
      <c r="L4" s="295">
        <v>0</v>
      </c>
      <c r="O4" s="266"/>
      <c r="R4" s="265"/>
      <c r="V4" s="259"/>
      <c r="Y4" s="259">
        <v>2</v>
      </c>
      <c r="AA4" s="270"/>
      <c r="AB4" s="270"/>
      <c r="AC4" s="270"/>
      <c r="AD4" s="259"/>
      <c r="AE4" s="259"/>
    </row>
    <row r="5" spans="1:31">
      <c r="A5" s="259" t="s">
        <v>162</v>
      </c>
      <c r="B5" s="259" t="s">
        <v>1</v>
      </c>
      <c r="C5" s="264" t="s">
        <v>3026</v>
      </c>
      <c r="D5" s="264" t="s">
        <v>162</v>
      </c>
      <c r="E5" s="259">
        <v>82200200</v>
      </c>
      <c r="H5" s="264" t="s">
        <v>3027</v>
      </c>
      <c r="I5" s="264" t="s">
        <v>3027</v>
      </c>
      <c r="J5" s="295">
        <v>212.94</v>
      </c>
      <c r="K5" s="295">
        <v>155</v>
      </c>
      <c r="L5" s="295">
        <v>115.1</v>
      </c>
      <c r="O5" s="266"/>
      <c r="P5" s="266">
        <v>885038040804</v>
      </c>
      <c r="Q5" s="266">
        <v>9002761048308</v>
      </c>
      <c r="R5" s="265">
        <v>2.0299999999999998</v>
      </c>
      <c r="S5" s="265">
        <v>4.25</v>
      </c>
      <c r="T5" s="265">
        <v>4.79</v>
      </c>
      <c r="U5" s="265">
        <v>9.7200000000000006</v>
      </c>
      <c r="V5" s="259" t="s">
        <v>3028</v>
      </c>
      <c r="W5" s="259" t="s">
        <v>3029</v>
      </c>
      <c r="Y5" s="259">
        <v>3</v>
      </c>
      <c r="Z5" s="259" t="s">
        <v>3030</v>
      </c>
      <c r="AA5" s="270"/>
      <c r="AB5" s="270"/>
      <c r="AC5" s="270"/>
      <c r="AD5" s="259"/>
      <c r="AE5" s="259"/>
    </row>
    <row r="6" spans="1:31">
      <c r="A6" s="259" t="s">
        <v>163</v>
      </c>
      <c r="B6" s="259" t="s">
        <v>1</v>
      </c>
      <c r="C6" s="264" t="s">
        <v>3026</v>
      </c>
      <c r="D6" s="264" t="s">
        <v>163</v>
      </c>
      <c r="E6" s="259">
        <v>82200200</v>
      </c>
      <c r="H6" s="264" t="s">
        <v>3031</v>
      </c>
      <c r="I6" s="264" t="s">
        <v>3031</v>
      </c>
      <c r="J6" s="295">
        <v>144.19999999999999</v>
      </c>
      <c r="K6" s="295">
        <v>105</v>
      </c>
      <c r="L6" s="295">
        <v>71.38</v>
      </c>
      <c r="O6" s="266"/>
      <c r="P6" s="266">
        <v>885038048442</v>
      </c>
      <c r="Q6" s="266">
        <v>9002761048452</v>
      </c>
      <c r="R6" s="265">
        <v>2.13</v>
      </c>
      <c r="S6" s="265">
        <v>7.165</v>
      </c>
      <c r="T6" s="265">
        <v>4.4800000000000004</v>
      </c>
      <c r="U6" s="265">
        <v>8.6999999999999993</v>
      </c>
      <c r="V6" s="259" t="s">
        <v>3028</v>
      </c>
      <c r="W6" s="259" t="s">
        <v>3029</v>
      </c>
      <c r="Y6" s="259">
        <v>4</v>
      </c>
      <c r="Z6" s="259" t="s">
        <v>3030</v>
      </c>
      <c r="AA6" s="270"/>
      <c r="AB6" s="270"/>
      <c r="AC6" s="270"/>
      <c r="AD6" s="259"/>
      <c r="AE6" s="259"/>
    </row>
    <row r="7" spans="1:31">
      <c r="A7" s="259" t="s">
        <v>164</v>
      </c>
      <c r="B7" s="259" t="s">
        <v>1</v>
      </c>
      <c r="C7" s="264" t="s">
        <v>3032</v>
      </c>
      <c r="D7" s="264" t="s">
        <v>3033</v>
      </c>
      <c r="E7" s="259" t="s">
        <v>3034</v>
      </c>
      <c r="H7" s="264" t="s">
        <v>3035</v>
      </c>
      <c r="I7" s="264" t="s">
        <v>3036</v>
      </c>
      <c r="J7" s="295">
        <v>400.16</v>
      </c>
      <c r="K7" s="295">
        <v>285</v>
      </c>
      <c r="L7" s="295">
        <v>213.51</v>
      </c>
      <c r="O7" s="266">
        <v>4</v>
      </c>
      <c r="P7" s="266">
        <v>885038040811</v>
      </c>
      <c r="Q7" s="266">
        <v>9002761040814</v>
      </c>
      <c r="R7" s="265">
        <v>5.18</v>
      </c>
      <c r="S7" s="265">
        <v>10.51</v>
      </c>
      <c r="T7" s="265">
        <v>9.06</v>
      </c>
      <c r="U7" s="265">
        <v>10.24</v>
      </c>
      <c r="V7" s="259" t="s">
        <v>3028</v>
      </c>
      <c r="W7" s="259" t="s">
        <v>3029</v>
      </c>
      <c r="Y7" s="259">
        <v>5</v>
      </c>
      <c r="Z7" s="259" t="s">
        <v>3037</v>
      </c>
      <c r="AA7" s="259"/>
      <c r="AB7" s="259"/>
      <c r="AC7" s="259"/>
      <c r="AD7" s="259"/>
      <c r="AE7" s="259"/>
    </row>
    <row r="8" spans="1:31">
      <c r="A8" s="259" t="s">
        <v>165</v>
      </c>
      <c r="B8" s="259" t="s">
        <v>1</v>
      </c>
      <c r="C8" s="264"/>
      <c r="D8" s="264"/>
      <c r="H8" s="264"/>
      <c r="I8" s="264"/>
      <c r="J8" s="295">
        <v>0</v>
      </c>
      <c r="K8" s="295">
        <v>0</v>
      </c>
      <c r="L8" s="295">
        <v>0</v>
      </c>
      <c r="O8" s="266"/>
      <c r="R8" s="265"/>
      <c r="V8" s="259"/>
      <c r="Y8" s="259">
        <v>6</v>
      </c>
      <c r="AA8" s="259"/>
      <c r="AB8" s="259"/>
      <c r="AC8" s="259"/>
      <c r="AD8" s="259"/>
      <c r="AE8" s="259"/>
    </row>
    <row r="9" spans="1:31">
      <c r="A9" s="259" t="s">
        <v>166</v>
      </c>
      <c r="B9" s="259" t="s">
        <v>1</v>
      </c>
      <c r="C9" s="264" t="s">
        <v>3026</v>
      </c>
      <c r="D9" s="264" t="s">
        <v>2919</v>
      </c>
      <c r="E9" s="259" t="s">
        <v>3038</v>
      </c>
      <c r="H9" s="264" t="s">
        <v>3039</v>
      </c>
      <c r="I9" s="264" t="s">
        <v>3040</v>
      </c>
      <c r="J9" s="295">
        <v>150.35</v>
      </c>
      <c r="K9" s="295">
        <v>99</v>
      </c>
      <c r="L9" s="295">
        <v>71.64</v>
      </c>
      <c r="O9" s="266">
        <v>8</v>
      </c>
      <c r="P9" s="266">
        <v>885038037033</v>
      </c>
      <c r="Q9" s="266">
        <v>9002761037036</v>
      </c>
      <c r="R9" s="265">
        <v>9.5</v>
      </c>
      <c r="S9" s="265">
        <v>3</v>
      </c>
      <c r="T9" s="265">
        <v>7.5</v>
      </c>
      <c r="U9" s="265">
        <v>3.5</v>
      </c>
      <c r="V9" s="259" t="s">
        <v>3028</v>
      </c>
      <c r="W9" s="259" t="s">
        <v>3029</v>
      </c>
      <c r="X9" s="269" t="s">
        <v>3041</v>
      </c>
      <c r="Y9" s="259">
        <v>7</v>
      </c>
      <c r="Z9" s="259" t="s">
        <v>3030</v>
      </c>
      <c r="AA9" s="259"/>
      <c r="AB9" s="259"/>
      <c r="AC9" s="259"/>
      <c r="AD9" s="259"/>
      <c r="AE9" s="259"/>
    </row>
    <row r="10" spans="1:31">
      <c r="A10" s="259" t="s">
        <v>167</v>
      </c>
      <c r="B10" s="259" t="s">
        <v>1</v>
      </c>
      <c r="C10" s="264" t="s">
        <v>3026</v>
      </c>
      <c r="D10" s="264" t="s">
        <v>2920</v>
      </c>
      <c r="E10" s="259" t="s">
        <v>3038</v>
      </c>
      <c r="H10" s="264" t="s">
        <v>3039</v>
      </c>
      <c r="I10" s="264" t="s">
        <v>3042</v>
      </c>
      <c r="J10" s="295">
        <v>150.35</v>
      </c>
      <c r="K10" s="295">
        <v>99</v>
      </c>
      <c r="L10" s="295">
        <v>71.64</v>
      </c>
      <c r="O10" s="266">
        <v>8</v>
      </c>
      <c r="P10" s="266">
        <v>885038037040</v>
      </c>
      <c r="Q10" s="266">
        <v>9002761037043</v>
      </c>
      <c r="R10" s="265">
        <v>9.5</v>
      </c>
      <c r="S10" s="265">
        <v>3</v>
      </c>
      <c r="T10" s="265">
        <v>7.5</v>
      </c>
      <c r="U10" s="265">
        <v>3.5</v>
      </c>
      <c r="V10" s="259" t="s">
        <v>3028</v>
      </c>
      <c r="W10" s="259" t="s">
        <v>3029</v>
      </c>
      <c r="X10" s="269" t="s">
        <v>3043</v>
      </c>
      <c r="Y10" s="259">
        <v>8</v>
      </c>
      <c r="Z10" s="259" t="s">
        <v>3030</v>
      </c>
      <c r="AA10" s="259"/>
      <c r="AB10" s="259"/>
      <c r="AC10" s="259"/>
      <c r="AD10" s="259"/>
      <c r="AE10" s="259"/>
    </row>
    <row r="11" spans="1:31">
      <c r="A11" s="259" t="s">
        <v>168</v>
      </c>
      <c r="B11" s="259" t="s">
        <v>1</v>
      </c>
      <c r="C11" s="264" t="s">
        <v>3026</v>
      </c>
      <c r="D11" s="264" t="s">
        <v>2921</v>
      </c>
      <c r="E11" s="259" t="s">
        <v>3038</v>
      </c>
      <c r="H11" s="264" t="s">
        <v>3039</v>
      </c>
      <c r="I11" s="264" t="s">
        <v>3044</v>
      </c>
      <c r="J11" s="295">
        <v>266.89999999999998</v>
      </c>
      <c r="K11" s="295">
        <v>159</v>
      </c>
      <c r="L11" s="295">
        <v>118.33</v>
      </c>
      <c r="O11" s="266">
        <v>8</v>
      </c>
      <c r="P11" s="266">
        <v>885038037057</v>
      </c>
      <c r="Q11" s="266">
        <v>9002761037050</v>
      </c>
      <c r="R11" s="265">
        <v>9</v>
      </c>
      <c r="S11" s="265">
        <v>5</v>
      </c>
      <c r="T11" s="265">
        <v>8.5</v>
      </c>
      <c r="U11" s="265">
        <v>5.5</v>
      </c>
      <c r="V11" s="259" t="s">
        <v>3028</v>
      </c>
      <c r="W11" s="259" t="s">
        <v>3029</v>
      </c>
      <c r="X11" s="269" t="s">
        <v>3045</v>
      </c>
      <c r="Y11" s="259">
        <v>9</v>
      </c>
      <c r="Z11" s="259" t="s">
        <v>3030</v>
      </c>
      <c r="AA11" s="259"/>
      <c r="AB11" s="259"/>
      <c r="AC11" s="259"/>
      <c r="AD11" s="259"/>
      <c r="AE11" s="259"/>
    </row>
    <row r="12" spans="1:31">
      <c r="A12" s="259" t="s">
        <v>169</v>
      </c>
      <c r="B12" s="259" t="s">
        <v>1</v>
      </c>
      <c r="C12" s="264" t="s">
        <v>3026</v>
      </c>
      <c r="D12" s="264" t="s">
        <v>2922</v>
      </c>
      <c r="E12" s="259" t="s">
        <v>3038</v>
      </c>
      <c r="H12" s="264" t="s">
        <v>3039</v>
      </c>
      <c r="I12" s="264" t="s">
        <v>3046</v>
      </c>
      <c r="J12" s="295">
        <v>371.79</v>
      </c>
      <c r="K12" s="295">
        <v>199</v>
      </c>
      <c r="L12" s="295">
        <v>151.16</v>
      </c>
      <c r="O12" s="266">
        <v>8</v>
      </c>
      <c r="P12" s="266">
        <v>885038037064</v>
      </c>
      <c r="Q12" s="266">
        <v>9002761037067</v>
      </c>
      <c r="R12" s="265">
        <v>13.5</v>
      </c>
      <c r="S12" s="265">
        <v>21</v>
      </c>
      <c r="T12" s="265">
        <v>20</v>
      </c>
      <c r="U12" s="265">
        <v>5.5</v>
      </c>
      <c r="V12" s="259" t="s">
        <v>3028</v>
      </c>
      <c r="W12" s="259" t="s">
        <v>3029</v>
      </c>
      <c r="X12" s="269" t="s">
        <v>3047</v>
      </c>
      <c r="Y12" s="259">
        <v>10</v>
      </c>
      <c r="Z12" s="259" t="s">
        <v>3030</v>
      </c>
      <c r="AA12" s="259"/>
      <c r="AB12" s="259"/>
      <c r="AC12" s="259"/>
      <c r="AD12" s="259"/>
      <c r="AE12" s="259"/>
    </row>
    <row r="13" spans="1:31">
      <c r="A13" s="259" t="s">
        <v>170</v>
      </c>
      <c r="B13" s="259" t="s">
        <v>1</v>
      </c>
      <c r="C13" s="264" t="s">
        <v>3026</v>
      </c>
      <c r="D13" s="264" t="s">
        <v>3048</v>
      </c>
      <c r="E13" s="259" t="s">
        <v>3038</v>
      </c>
      <c r="H13" s="264" t="s">
        <v>3039</v>
      </c>
      <c r="I13" s="264" t="s">
        <v>3049</v>
      </c>
      <c r="J13" s="295">
        <v>1055.21</v>
      </c>
      <c r="K13" s="295">
        <v>840</v>
      </c>
      <c r="L13" s="295">
        <v>599.99</v>
      </c>
      <c r="O13" s="266">
        <v>2</v>
      </c>
      <c r="P13" s="266">
        <v>885038037071</v>
      </c>
      <c r="Q13" s="266">
        <v>9002761037074</v>
      </c>
      <c r="R13" s="265">
        <v>15.5</v>
      </c>
      <c r="S13" s="265">
        <v>18</v>
      </c>
      <c r="T13" s="265">
        <v>7.25</v>
      </c>
      <c r="U13" s="265">
        <v>5.9</v>
      </c>
      <c r="V13" s="259" t="s">
        <v>3028</v>
      </c>
      <c r="W13" s="259" t="s">
        <v>3029</v>
      </c>
      <c r="X13" s="269" t="s">
        <v>3050</v>
      </c>
      <c r="Y13" s="259">
        <v>11</v>
      </c>
      <c r="Z13" s="259" t="s">
        <v>3030</v>
      </c>
      <c r="AA13" s="259"/>
      <c r="AB13" s="259"/>
      <c r="AC13" s="259"/>
      <c r="AD13" s="259"/>
      <c r="AE13" s="259"/>
    </row>
    <row r="14" spans="1:31">
      <c r="A14" s="259" t="s">
        <v>171</v>
      </c>
      <c r="B14" s="259" t="s">
        <v>1</v>
      </c>
      <c r="C14" s="264"/>
      <c r="D14" s="264"/>
      <c r="H14" s="264"/>
      <c r="I14" s="264"/>
      <c r="J14" s="295">
        <v>0</v>
      </c>
      <c r="K14" s="295">
        <v>0</v>
      </c>
      <c r="L14" s="295">
        <v>0</v>
      </c>
      <c r="O14" s="266"/>
      <c r="R14" s="265"/>
      <c r="V14" s="259"/>
      <c r="Y14" s="259">
        <v>12</v>
      </c>
      <c r="AA14" s="259"/>
      <c r="AB14" s="259"/>
      <c r="AC14" s="259"/>
      <c r="AD14" s="259"/>
      <c r="AE14" s="259"/>
    </row>
    <row r="15" spans="1:31">
      <c r="A15" s="259" t="s">
        <v>172</v>
      </c>
      <c r="B15" s="259" t="s">
        <v>1</v>
      </c>
      <c r="C15" s="264" t="s">
        <v>3026</v>
      </c>
      <c r="D15" s="264" t="s">
        <v>3051</v>
      </c>
      <c r="E15" s="259" t="s">
        <v>3052</v>
      </c>
      <c r="H15" s="264" t="s">
        <v>3039</v>
      </c>
      <c r="I15" s="264" t="s">
        <v>3053</v>
      </c>
      <c r="J15" s="295">
        <v>363.46</v>
      </c>
      <c r="K15" s="295">
        <v>249</v>
      </c>
      <c r="L15" s="295">
        <v>179.59</v>
      </c>
      <c r="O15" s="266">
        <v>12</v>
      </c>
      <c r="P15" s="266">
        <v>885038034605</v>
      </c>
      <c r="Q15" s="266">
        <v>9002761034608</v>
      </c>
      <c r="R15" s="265">
        <v>3.5</v>
      </c>
      <c r="S15" s="265">
        <v>11</v>
      </c>
      <c r="T15" s="265">
        <v>8</v>
      </c>
      <c r="U15" s="265">
        <v>3.4</v>
      </c>
      <c r="V15" s="259" t="s">
        <v>3028</v>
      </c>
      <c r="W15" s="259" t="s">
        <v>3029</v>
      </c>
      <c r="X15" s="269" t="s">
        <v>3054</v>
      </c>
      <c r="Y15" s="259">
        <v>13</v>
      </c>
      <c r="Z15" s="259" t="s">
        <v>3030</v>
      </c>
      <c r="AA15" s="259"/>
      <c r="AB15" s="259"/>
      <c r="AC15" s="259"/>
      <c r="AD15" s="259"/>
      <c r="AE15" s="259"/>
    </row>
    <row r="16" spans="1:31">
      <c r="A16" s="259" t="s">
        <v>173</v>
      </c>
      <c r="B16" s="259" t="s">
        <v>1</v>
      </c>
      <c r="C16" s="264" t="s">
        <v>3026</v>
      </c>
      <c r="D16" s="264" t="s">
        <v>3055</v>
      </c>
      <c r="E16" s="259">
        <v>82200200</v>
      </c>
      <c r="H16" s="264" t="s">
        <v>3039</v>
      </c>
      <c r="I16" s="264" t="s">
        <v>3056</v>
      </c>
      <c r="J16" s="295">
        <v>438.91</v>
      </c>
      <c r="K16" s="295">
        <v>350</v>
      </c>
      <c r="L16" s="295">
        <v>245.62</v>
      </c>
      <c r="O16" s="266">
        <v>12</v>
      </c>
      <c r="P16" s="266">
        <v>885038028758</v>
      </c>
      <c r="Q16" s="266">
        <v>9002761028751</v>
      </c>
      <c r="R16" s="265">
        <v>8</v>
      </c>
      <c r="S16" s="265">
        <v>3.5</v>
      </c>
      <c r="T16" s="265">
        <v>11</v>
      </c>
      <c r="U16" s="265">
        <v>3.35</v>
      </c>
      <c r="V16" s="259" t="s">
        <v>3028</v>
      </c>
      <c r="W16" s="259" t="s">
        <v>3029</v>
      </c>
      <c r="X16" s="269" t="s">
        <v>3057</v>
      </c>
      <c r="Y16" s="259">
        <v>14</v>
      </c>
      <c r="Z16" s="259" t="s">
        <v>3030</v>
      </c>
      <c r="AA16" s="259"/>
      <c r="AB16" s="259"/>
      <c r="AC16" s="259"/>
      <c r="AD16" s="259"/>
      <c r="AE16" s="259"/>
    </row>
    <row r="17" spans="1:31">
      <c r="A17" s="259" t="s">
        <v>174</v>
      </c>
      <c r="B17" s="259" t="s">
        <v>1</v>
      </c>
      <c r="C17" s="264" t="s">
        <v>3026</v>
      </c>
      <c r="D17" s="264" t="s">
        <v>3058</v>
      </c>
      <c r="E17" s="259" t="s">
        <v>3038</v>
      </c>
      <c r="H17" s="264" t="s">
        <v>3039</v>
      </c>
      <c r="I17" s="264" t="s">
        <v>3059</v>
      </c>
      <c r="J17" s="295">
        <v>599.03</v>
      </c>
      <c r="K17" s="295">
        <v>479</v>
      </c>
      <c r="L17" s="295">
        <v>348.98</v>
      </c>
      <c r="O17" s="266"/>
      <c r="P17" s="266">
        <v>885038021117</v>
      </c>
      <c r="Q17" s="266">
        <v>9002761021110</v>
      </c>
      <c r="R17" s="265">
        <v>8.5</v>
      </c>
      <c r="S17" s="265">
        <v>11</v>
      </c>
      <c r="T17" s="265">
        <v>4</v>
      </c>
      <c r="U17" s="265">
        <v>4</v>
      </c>
      <c r="V17" s="259" t="s">
        <v>3060</v>
      </c>
      <c r="W17" s="259" t="s">
        <v>3061</v>
      </c>
      <c r="X17" s="269" t="s">
        <v>3062</v>
      </c>
      <c r="Y17" s="259">
        <v>15</v>
      </c>
      <c r="Z17" s="259" t="s">
        <v>3030</v>
      </c>
      <c r="AA17" s="259"/>
      <c r="AB17" s="259"/>
      <c r="AC17" s="259"/>
      <c r="AD17" s="259"/>
      <c r="AE17" s="259"/>
    </row>
    <row r="18" spans="1:31">
      <c r="A18" s="259" t="s">
        <v>175</v>
      </c>
      <c r="B18" s="259" t="s">
        <v>1</v>
      </c>
      <c r="C18" s="264" t="s">
        <v>3026</v>
      </c>
      <c r="D18" s="264" t="s">
        <v>3063</v>
      </c>
      <c r="E18" s="259" t="s">
        <v>3038</v>
      </c>
      <c r="H18" s="264" t="s">
        <v>3039</v>
      </c>
      <c r="I18" s="264" t="s">
        <v>3064</v>
      </c>
      <c r="J18" s="295">
        <v>1055.21</v>
      </c>
      <c r="K18" s="295">
        <v>840</v>
      </c>
      <c r="L18" s="295">
        <v>599.99</v>
      </c>
      <c r="O18" s="266"/>
      <c r="P18" s="266">
        <v>885038038252</v>
      </c>
      <c r="Q18" s="266">
        <v>9002761038255</v>
      </c>
      <c r="R18" s="265">
        <v>4</v>
      </c>
      <c r="S18" s="265">
        <v>11.25</v>
      </c>
      <c r="T18" s="265">
        <v>8.5</v>
      </c>
      <c r="U18" s="265">
        <v>3.9</v>
      </c>
      <c r="V18" s="259" t="s">
        <v>3060</v>
      </c>
      <c r="W18" s="259" t="s">
        <v>3061</v>
      </c>
      <c r="X18" s="269" t="s">
        <v>3065</v>
      </c>
      <c r="Y18" s="259">
        <v>16</v>
      </c>
      <c r="Z18" s="259" t="s">
        <v>3030</v>
      </c>
      <c r="AA18" s="259"/>
      <c r="AB18" s="259"/>
      <c r="AC18" s="259"/>
      <c r="AD18" s="259"/>
      <c r="AE18" s="259"/>
    </row>
    <row r="19" spans="1:31">
      <c r="A19" s="259" t="s">
        <v>176</v>
      </c>
      <c r="B19" s="259" t="s">
        <v>1</v>
      </c>
      <c r="C19" s="264" t="s">
        <v>3026</v>
      </c>
      <c r="D19" s="264" t="s">
        <v>3066</v>
      </c>
      <c r="E19" s="259" t="s">
        <v>3038</v>
      </c>
      <c r="H19" s="264" t="s">
        <v>3039</v>
      </c>
      <c r="I19" s="264" t="s">
        <v>3067</v>
      </c>
      <c r="J19" s="295">
        <v>1655.44</v>
      </c>
      <c r="K19" s="295">
        <v>1319</v>
      </c>
      <c r="L19" s="295">
        <v>954.37</v>
      </c>
      <c r="O19" s="266"/>
      <c r="P19" s="266">
        <v>885038025917</v>
      </c>
      <c r="Q19" s="266">
        <v>9002761025910</v>
      </c>
      <c r="R19" s="265">
        <v>10</v>
      </c>
      <c r="S19" s="265">
        <v>11</v>
      </c>
      <c r="T19" s="265">
        <v>2.5</v>
      </c>
      <c r="U19" s="265">
        <v>5.6</v>
      </c>
      <c r="V19" s="259" t="s">
        <v>3060</v>
      </c>
      <c r="W19" s="259" t="s">
        <v>3061</v>
      </c>
      <c r="X19" s="269" t="s">
        <v>3068</v>
      </c>
      <c r="Y19" s="259">
        <v>17</v>
      </c>
      <c r="Z19" s="259" t="s">
        <v>3030</v>
      </c>
      <c r="AA19" s="259"/>
      <c r="AB19" s="259"/>
      <c r="AC19" s="259"/>
      <c r="AD19" s="259"/>
      <c r="AE19" s="259"/>
    </row>
    <row r="20" spans="1:31">
      <c r="A20" s="259" t="s">
        <v>177</v>
      </c>
      <c r="B20" s="259" t="s">
        <v>1</v>
      </c>
      <c r="C20" s="264" t="s">
        <v>3026</v>
      </c>
      <c r="D20" s="264" t="s">
        <v>3069</v>
      </c>
      <c r="E20" s="259" t="s">
        <v>3038</v>
      </c>
      <c r="H20" s="264" t="s">
        <v>3039</v>
      </c>
      <c r="I20" s="264" t="s">
        <v>3070</v>
      </c>
      <c r="J20" s="295">
        <v>1655.44</v>
      </c>
      <c r="K20" s="295">
        <v>1319</v>
      </c>
      <c r="L20" s="295">
        <v>955.09</v>
      </c>
      <c r="O20" s="266"/>
      <c r="P20" s="266">
        <v>885038025924</v>
      </c>
      <c r="Q20" s="266">
        <v>9002761025927</v>
      </c>
      <c r="R20" s="265">
        <v>8.5</v>
      </c>
      <c r="S20" s="265">
        <v>11.5</v>
      </c>
      <c r="T20" s="265">
        <v>3</v>
      </c>
      <c r="U20" s="265">
        <v>5.6</v>
      </c>
      <c r="V20" s="259" t="s">
        <v>3060</v>
      </c>
      <c r="W20" s="259" t="s">
        <v>3061</v>
      </c>
      <c r="X20" s="269" t="s">
        <v>3071</v>
      </c>
      <c r="Y20" s="259">
        <v>18</v>
      </c>
      <c r="Z20" s="259" t="s">
        <v>3030</v>
      </c>
      <c r="AA20" s="259"/>
      <c r="AB20" s="259"/>
      <c r="AC20" s="259"/>
      <c r="AD20" s="259"/>
      <c r="AE20" s="259"/>
    </row>
    <row r="21" spans="1:31">
      <c r="A21" s="259" t="s">
        <v>178</v>
      </c>
      <c r="B21" s="259" t="s">
        <v>1</v>
      </c>
      <c r="C21" s="264" t="s">
        <v>3026</v>
      </c>
      <c r="D21" s="264" t="s">
        <v>3072</v>
      </c>
      <c r="E21" s="259" t="s">
        <v>3038</v>
      </c>
      <c r="H21" s="264" t="s">
        <v>3039</v>
      </c>
      <c r="I21" s="264" t="s">
        <v>3073</v>
      </c>
      <c r="J21" s="295">
        <v>827.12</v>
      </c>
      <c r="K21" s="295">
        <v>659</v>
      </c>
      <c r="L21" s="295">
        <v>461.34</v>
      </c>
      <c r="O21" s="266">
        <v>1.7619047619047619</v>
      </c>
      <c r="P21" s="266">
        <v>885038006077</v>
      </c>
      <c r="Q21" s="266">
        <v>9002761006070</v>
      </c>
      <c r="R21" s="265">
        <v>12</v>
      </c>
      <c r="S21" s="265">
        <v>3.5</v>
      </c>
      <c r="T21" s="265">
        <v>6</v>
      </c>
      <c r="U21" s="265">
        <v>3.6</v>
      </c>
      <c r="V21" s="259" t="s">
        <v>3060</v>
      </c>
      <c r="W21" s="259" t="s">
        <v>3061</v>
      </c>
      <c r="X21" s="269" t="s">
        <v>3074</v>
      </c>
      <c r="Y21" s="259">
        <v>19</v>
      </c>
      <c r="Z21" s="259" t="s">
        <v>3030</v>
      </c>
      <c r="AA21" s="259"/>
      <c r="AB21" s="259"/>
      <c r="AC21" s="259"/>
      <c r="AD21" s="259"/>
      <c r="AE21" s="259"/>
    </row>
    <row r="22" spans="1:31">
      <c r="A22" s="259" t="s">
        <v>179</v>
      </c>
      <c r="B22" s="259" t="s">
        <v>1</v>
      </c>
      <c r="C22" s="264" t="s">
        <v>3026</v>
      </c>
      <c r="D22" s="264" t="s">
        <v>3075</v>
      </c>
      <c r="E22" s="259" t="s">
        <v>3038</v>
      </c>
      <c r="H22" s="264" t="s">
        <v>3039</v>
      </c>
      <c r="I22" s="264" t="s">
        <v>3076</v>
      </c>
      <c r="J22" s="295">
        <v>9002.2900000000009</v>
      </c>
      <c r="K22" s="295">
        <v>7199</v>
      </c>
      <c r="L22" s="295">
        <v>5041.1099999999997</v>
      </c>
      <c r="O22" s="266"/>
      <c r="P22" s="266">
        <v>885038002482</v>
      </c>
      <c r="Q22" s="266">
        <v>9002761002485</v>
      </c>
      <c r="R22" s="265">
        <v>16.5</v>
      </c>
      <c r="S22" s="265">
        <v>19</v>
      </c>
      <c r="T22" s="265">
        <v>16.5</v>
      </c>
      <c r="U22" s="265">
        <v>10.8</v>
      </c>
      <c r="V22" s="259" t="s">
        <v>3060</v>
      </c>
      <c r="W22" s="259" t="s">
        <v>3061</v>
      </c>
      <c r="X22" s="269" t="s">
        <v>3077</v>
      </c>
      <c r="Y22" s="259">
        <v>20</v>
      </c>
      <c r="Z22" s="259" t="s">
        <v>3030</v>
      </c>
      <c r="AA22" s="259"/>
      <c r="AB22" s="259"/>
      <c r="AC22" s="259"/>
      <c r="AD22" s="259"/>
      <c r="AE22" s="259"/>
    </row>
    <row r="23" spans="1:31">
      <c r="A23" s="259" t="s">
        <v>180</v>
      </c>
      <c r="B23" s="259" t="s">
        <v>1</v>
      </c>
      <c r="C23" s="264" t="s">
        <v>3026</v>
      </c>
      <c r="D23" s="264" t="s">
        <v>3078</v>
      </c>
      <c r="E23" s="259" t="s">
        <v>3038</v>
      </c>
      <c r="H23" s="264" t="s">
        <v>3039</v>
      </c>
      <c r="I23" s="264" t="s">
        <v>3079</v>
      </c>
      <c r="J23" s="295">
        <v>1355.32</v>
      </c>
      <c r="K23" s="295">
        <v>1085</v>
      </c>
      <c r="L23" s="295">
        <v>808.15</v>
      </c>
      <c r="O23" s="266"/>
      <c r="P23" s="266">
        <v>885038025849</v>
      </c>
      <c r="Q23" s="266">
        <v>9002761025842</v>
      </c>
      <c r="R23" s="265">
        <v>15</v>
      </c>
      <c r="S23" s="265">
        <v>12</v>
      </c>
      <c r="T23" s="265">
        <v>4</v>
      </c>
      <c r="U23" s="265">
        <v>4</v>
      </c>
      <c r="V23" s="259" t="s">
        <v>3060</v>
      </c>
      <c r="W23" s="259" t="s">
        <v>3061</v>
      </c>
      <c r="X23" s="269" t="s">
        <v>3080</v>
      </c>
      <c r="Y23" s="259">
        <v>21</v>
      </c>
      <c r="Z23" s="259" t="s">
        <v>3030</v>
      </c>
      <c r="AA23" s="259"/>
      <c r="AB23" s="259"/>
      <c r="AC23" s="259"/>
      <c r="AD23" s="259"/>
      <c r="AE23" s="259"/>
    </row>
    <row r="24" spans="1:31">
      <c r="A24" s="259" t="s">
        <v>181</v>
      </c>
      <c r="B24" s="259" t="s">
        <v>1</v>
      </c>
      <c r="C24" s="264" t="s">
        <v>3081</v>
      </c>
      <c r="D24" s="264" t="s">
        <v>3082</v>
      </c>
      <c r="E24" s="259" t="s">
        <v>3038</v>
      </c>
      <c r="H24" s="264" t="s">
        <v>3039</v>
      </c>
      <c r="I24" s="264" t="s">
        <v>3083</v>
      </c>
      <c r="J24" s="295">
        <v>2419.08</v>
      </c>
      <c r="K24" s="295">
        <v>1870</v>
      </c>
      <c r="L24" s="295">
        <v>1346.92</v>
      </c>
      <c r="O24" s="266"/>
      <c r="P24" s="266">
        <v>885038038269</v>
      </c>
      <c r="R24" s="265"/>
      <c r="V24" s="259" t="s">
        <v>3028</v>
      </c>
      <c r="W24" s="259" t="s">
        <v>3029</v>
      </c>
      <c r="X24" s="269" t="s">
        <v>3084</v>
      </c>
      <c r="Y24" s="259">
        <v>22</v>
      </c>
      <c r="Z24" s="259" t="s">
        <v>3030</v>
      </c>
      <c r="AA24" s="259"/>
      <c r="AB24" s="259"/>
      <c r="AC24" s="259"/>
      <c r="AD24" s="259"/>
      <c r="AE24" s="259"/>
    </row>
    <row r="25" spans="1:31">
      <c r="A25" s="259" t="s">
        <v>182</v>
      </c>
      <c r="B25" s="259" t="s">
        <v>1</v>
      </c>
      <c r="C25" s="264" t="s">
        <v>3026</v>
      </c>
      <c r="D25" s="264" t="s">
        <v>3085</v>
      </c>
      <c r="E25" s="259" t="s">
        <v>3038</v>
      </c>
      <c r="H25" s="264" t="s">
        <v>3039</v>
      </c>
      <c r="I25" s="264" t="s">
        <v>3083</v>
      </c>
      <c r="J25" s="295">
        <v>3600.19</v>
      </c>
      <c r="K25" s="295">
        <v>2825</v>
      </c>
      <c r="L25" s="295">
        <v>2112.2199999999998</v>
      </c>
      <c r="O25" s="266"/>
      <c r="P25" s="266">
        <v>885038025931</v>
      </c>
      <c r="Q25" s="266">
        <v>9002761025934</v>
      </c>
      <c r="R25" s="265">
        <v>13</v>
      </c>
      <c r="S25" s="265">
        <v>16</v>
      </c>
      <c r="T25" s="265">
        <v>16</v>
      </c>
      <c r="U25" s="265">
        <v>4</v>
      </c>
      <c r="V25" s="259" t="s">
        <v>3060</v>
      </c>
      <c r="W25" s="259" t="s">
        <v>3061</v>
      </c>
      <c r="X25" s="269" t="s">
        <v>3086</v>
      </c>
      <c r="Y25" s="259">
        <v>23</v>
      </c>
      <c r="Z25" s="259" t="s">
        <v>3030</v>
      </c>
      <c r="AA25" s="259"/>
      <c r="AB25" s="259"/>
      <c r="AC25" s="259"/>
      <c r="AD25" s="259"/>
      <c r="AE25" s="259"/>
    </row>
    <row r="26" spans="1:31">
      <c r="A26" s="259" t="s">
        <v>183</v>
      </c>
      <c r="B26" s="259" t="s">
        <v>1</v>
      </c>
      <c r="C26" s="264" t="s">
        <v>3026</v>
      </c>
      <c r="D26" s="264" t="s">
        <v>3087</v>
      </c>
      <c r="E26" s="259" t="s">
        <v>3038</v>
      </c>
      <c r="H26" s="264" t="s">
        <v>3039</v>
      </c>
      <c r="I26" s="264" t="s">
        <v>3083</v>
      </c>
      <c r="J26" s="295">
        <v>3600.19</v>
      </c>
      <c r="K26" s="295">
        <v>2825</v>
      </c>
      <c r="L26" s="295">
        <v>2112.2199999999998</v>
      </c>
      <c r="O26" s="266"/>
      <c r="P26" s="266">
        <v>885038025948</v>
      </c>
      <c r="Q26" s="266">
        <v>9002761025941</v>
      </c>
      <c r="R26" s="265">
        <v>2.5</v>
      </c>
      <c r="S26" s="265">
        <v>23</v>
      </c>
      <c r="T26" s="265">
        <v>15</v>
      </c>
      <c r="U26" s="265">
        <v>4</v>
      </c>
      <c r="V26" s="259" t="s">
        <v>3060</v>
      </c>
      <c r="W26" s="259" t="s">
        <v>3061</v>
      </c>
      <c r="X26" s="269" t="s">
        <v>3088</v>
      </c>
      <c r="Y26" s="259">
        <v>24</v>
      </c>
      <c r="Z26" s="259" t="s">
        <v>3030</v>
      </c>
      <c r="AA26" s="259"/>
      <c r="AB26" s="259"/>
      <c r="AC26" s="259"/>
      <c r="AD26" s="259"/>
      <c r="AE26" s="259"/>
    </row>
    <row r="27" spans="1:31">
      <c r="A27" s="259" t="s">
        <v>184</v>
      </c>
      <c r="B27" s="259" t="s">
        <v>1</v>
      </c>
      <c r="C27" s="264" t="s">
        <v>3026</v>
      </c>
      <c r="D27" s="264" t="s">
        <v>3089</v>
      </c>
      <c r="E27" s="259" t="s">
        <v>3038</v>
      </c>
      <c r="H27" s="264" t="s">
        <v>3039</v>
      </c>
      <c r="I27" s="264" t="s">
        <v>3083</v>
      </c>
      <c r="J27" s="295">
        <v>1799.5</v>
      </c>
      <c r="K27" s="295">
        <v>1439</v>
      </c>
      <c r="L27" s="295">
        <v>1007.55</v>
      </c>
      <c r="O27" s="266">
        <v>1.6899509803921569</v>
      </c>
      <c r="P27" s="266">
        <v>885038007968</v>
      </c>
      <c r="Q27" s="266">
        <v>9002761007961</v>
      </c>
      <c r="R27" s="265">
        <v>4</v>
      </c>
      <c r="S27" s="265">
        <v>11.5</v>
      </c>
      <c r="T27" s="265">
        <v>9</v>
      </c>
      <c r="U27" s="265">
        <v>4</v>
      </c>
      <c r="V27" s="259" t="s">
        <v>3060</v>
      </c>
      <c r="W27" s="259" t="s">
        <v>3061</v>
      </c>
      <c r="X27" s="269" t="s">
        <v>3090</v>
      </c>
      <c r="Y27" s="259">
        <v>25</v>
      </c>
      <c r="Z27" s="259" t="s">
        <v>3030</v>
      </c>
      <c r="AA27" s="259"/>
      <c r="AB27" s="259"/>
      <c r="AC27" s="259"/>
      <c r="AD27" s="259"/>
      <c r="AE27" s="259"/>
    </row>
    <row r="28" spans="1:31">
      <c r="A28" s="259" t="s">
        <v>185</v>
      </c>
      <c r="B28" s="259" t="s">
        <v>1</v>
      </c>
      <c r="C28" s="264"/>
      <c r="D28" s="264"/>
      <c r="H28" s="264"/>
      <c r="I28" s="264"/>
      <c r="J28" s="295">
        <v>0</v>
      </c>
      <c r="K28" s="295">
        <v>0</v>
      </c>
      <c r="L28" s="295">
        <v>0</v>
      </c>
      <c r="O28" s="266"/>
      <c r="R28" s="265"/>
      <c r="V28" s="259"/>
      <c r="Y28" s="259">
        <v>26</v>
      </c>
      <c r="AA28" s="259"/>
      <c r="AB28" s="259"/>
      <c r="AC28" s="259"/>
      <c r="AD28" s="259"/>
      <c r="AE28" s="259"/>
    </row>
    <row r="29" spans="1:31">
      <c r="A29" s="259" t="s">
        <v>186</v>
      </c>
      <c r="B29" s="259" t="s">
        <v>1</v>
      </c>
      <c r="C29" s="264"/>
      <c r="D29" s="264"/>
      <c r="H29" s="264"/>
      <c r="I29" s="264"/>
      <c r="J29" s="295">
        <v>0</v>
      </c>
      <c r="K29" s="295">
        <v>0</v>
      </c>
      <c r="L29" s="295">
        <v>0</v>
      </c>
      <c r="O29" s="266"/>
      <c r="R29" s="265"/>
      <c r="V29" s="259"/>
      <c r="Y29" s="259">
        <v>27</v>
      </c>
      <c r="AA29" s="259"/>
      <c r="AB29" s="259"/>
      <c r="AC29" s="259"/>
      <c r="AD29" s="259"/>
      <c r="AE29" s="259"/>
    </row>
    <row r="30" spans="1:31">
      <c r="A30" s="259" t="s">
        <v>187</v>
      </c>
      <c r="B30" s="259" t="s">
        <v>1</v>
      </c>
      <c r="C30" s="264" t="s">
        <v>3026</v>
      </c>
      <c r="D30" s="264" t="s">
        <v>3091</v>
      </c>
      <c r="E30" s="259" t="s">
        <v>3092</v>
      </c>
      <c r="H30" s="264" t="s">
        <v>3093</v>
      </c>
      <c r="I30" s="264" t="s">
        <v>3094</v>
      </c>
      <c r="J30" s="295">
        <v>90.03</v>
      </c>
      <c r="K30" s="295">
        <v>75</v>
      </c>
      <c r="L30" s="295">
        <v>49.58</v>
      </c>
      <c r="O30" s="266">
        <v>20</v>
      </c>
      <c r="P30" s="266">
        <v>885038026969</v>
      </c>
      <c r="Q30" s="266">
        <v>9002761026962</v>
      </c>
      <c r="R30" s="265">
        <v>3</v>
      </c>
      <c r="S30" s="265">
        <v>6</v>
      </c>
      <c r="T30" s="265">
        <v>8</v>
      </c>
      <c r="U30" s="265">
        <v>8.4</v>
      </c>
      <c r="V30" s="259" t="s">
        <v>3028</v>
      </c>
      <c r="W30" s="259" t="s">
        <v>3029</v>
      </c>
      <c r="X30" s="269" t="s">
        <v>3095</v>
      </c>
      <c r="Y30" s="259">
        <v>28</v>
      </c>
      <c r="Z30" s="259" t="s">
        <v>3030</v>
      </c>
      <c r="AA30" s="259"/>
      <c r="AB30" s="259"/>
      <c r="AC30" s="259"/>
      <c r="AD30" s="259"/>
      <c r="AE30" s="259"/>
    </row>
    <row r="31" spans="1:31">
      <c r="A31" s="259" t="s">
        <v>188</v>
      </c>
      <c r="B31" s="259" t="s">
        <v>1</v>
      </c>
      <c r="C31" s="264" t="s">
        <v>3026</v>
      </c>
      <c r="D31" s="264" t="s">
        <v>3096</v>
      </c>
      <c r="E31" s="259" t="s">
        <v>3092</v>
      </c>
      <c r="H31" s="264" t="s">
        <v>3093</v>
      </c>
      <c r="I31" s="264" t="s">
        <v>3097</v>
      </c>
      <c r="J31" s="295">
        <v>114.04</v>
      </c>
      <c r="K31" s="295">
        <v>89</v>
      </c>
      <c r="L31" s="295">
        <v>62.18</v>
      </c>
      <c r="O31" s="266">
        <v>20</v>
      </c>
      <c r="P31" s="266">
        <v>885038026945</v>
      </c>
      <c r="Q31" s="266">
        <v>9002761026948</v>
      </c>
      <c r="R31" s="265">
        <v>3</v>
      </c>
      <c r="S31" s="265">
        <v>8</v>
      </c>
      <c r="T31" s="265">
        <v>6</v>
      </c>
      <c r="U31" s="265">
        <v>8.4</v>
      </c>
      <c r="V31" s="259" t="s">
        <v>3028</v>
      </c>
      <c r="W31" s="259" t="s">
        <v>3029</v>
      </c>
      <c r="X31" s="269" t="s">
        <v>3098</v>
      </c>
      <c r="Y31" s="259">
        <v>29</v>
      </c>
      <c r="Z31" s="259" t="s">
        <v>3030</v>
      </c>
      <c r="AA31" s="259"/>
      <c r="AB31" s="259"/>
      <c r="AC31" s="259"/>
      <c r="AD31" s="259"/>
      <c r="AE31" s="259"/>
    </row>
    <row r="32" spans="1:31">
      <c r="A32" s="259" t="s">
        <v>189</v>
      </c>
      <c r="B32" s="259" t="s">
        <v>1</v>
      </c>
      <c r="C32" s="264" t="s">
        <v>3026</v>
      </c>
      <c r="D32" s="264" t="s">
        <v>3099</v>
      </c>
      <c r="E32" s="259" t="s">
        <v>3052</v>
      </c>
      <c r="H32" s="264" t="s">
        <v>3093</v>
      </c>
      <c r="I32" s="264" t="s">
        <v>3100</v>
      </c>
      <c r="J32" s="295">
        <v>274.91000000000003</v>
      </c>
      <c r="K32" s="295">
        <v>216</v>
      </c>
      <c r="L32" s="295">
        <v>145.71</v>
      </c>
      <c r="O32" s="266"/>
      <c r="P32" s="266">
        <v>885038018599</v>
      </c>
      <c r="Q32" s="266">
        <v>9002761018592</v>
      </c>
      <c r="R32" s="265">
        <v>7</v>
      </c>
      <c r="S32" s="265">
        <v>3</v>
      </c>
      <c r="T32" s="265">
        <v>5</v>
      </c>
      <c r="U32" s="265" t="s">
        <v>3101</v>
      </c>
      <c r="V32" s="259" t="s">
        <v>3028</v>
      </c>
      <c r="W32" s="259" t="s">
        <v>3029</v>
      </c>
      <c r="X32" s="269" t="s">
        <v>3102</v>
      </c>
      <c r="Y32" s="259">
        <v>30</v>
      </c>
      <c r="Z32" s="259" t="s">
        <v>3030</v>
      </c>
      <c r="AA32" s="259"/>
      <c r="AB32" s="259"/>
      <c r="AC32" s="259"/>
      <c r="AD32" s="259"/>
      <c r="AE32" s="259"/>
    </row>
    <row r="33" spans="1:31">
      <c r="A33" s="259" t="s">
        <v>190</v>
      </c>
      <c r="B33" s="259" t="s">
        <v>1</v>
      </c>
      <c r="C33" s="264" t="s">
        <v>3026</v>
      </c>
      <c r="D33" s="264" t="s">
        <v>3103</v>
      </c>
      <c r="E33" s="259" t="s">
        <v>3052</v>
      </c>
      <c r="H33" s="264" t="s">
        <v>3093</v>
      </c>
      <c r="I33" s="264" t="s">
        <v>3104</v>
      </c>
      <c r="J33" s="295">
        <v>373.34</v>
      </c>
      <c r="K33" s="295">
        <v>299</v>
      </c>
      <c r="L33" s="295">
        <v>228.66</v>
      </c>
      <c r="O33" s="266">
        <v>20</v>
      </c>
      <c r="P33" s="266">
        <v>885038039419</v>
      </c>
      <c r="Q33" s="266">
        <v>9002761039702</v>
      </c>
      <c r="R33" s="265">
        <v>8</v>
      </c>
      <c r="S33" s="265">
        <v>2.5</v>
      </c>
      <c r="T33" s="265">
        <v>5.5</v>
      </c>
      <c r="U33" s="265">
        <v>2.5499999999999998</v>
      </c>
      <c r="V33" s="259" t="s">
        <v>3028</v>
      </c>
      <c r="W33" s="259" t="s">
        <v>3029</v>
      </c>
      <c r="X33" s="269" t="s">
        <v>3105</v>
      </c>
      <c r="Y33" s="259">
        <v>31</v>
      </c>
      <c r="Z33" s="259" t="s">
        <v>3030</v>
      </c>
      <c r="AA33" s="259"/>
      <c r="AB33" s="259"/>
      <c r="AC33" s="259"/>
      <c r="AD33" s="259"/>
      <c r="AE33" s="259"/>
    </row>
    <row r="34" spans="1:31">
      <c r="A34" s="259" t="s">
        <v>191</v>
      </c>
      <c r="B34" s="259" t="s">
        <v>1</v>
      </c>
      <c r="C34" s="264" t="s">
        <v>3093</v>
      </c>
      <c r="D34" s="264" t="s">
        <v>3106</v>
      </c>
      <c r="E34" s="259" t="s">
        <v>3052</v>
      </c>
      <c r="H34" s="264" t="s">
        <v>3093</v>
      </c>
      <c r="I34" s="264" t="s">
        <v>3107</v>
      </c>
      <c r="J34" s="295">
        <v>778.47</v>
      </c>
      <c r="K34" s="295">
        <v>629</v>
      </c>
      <c r="L34" s="295">
        <v>439.29</v>
      </c>
      <c r="O34" s="266"/>
      <c r="P34" s="266">
        <v>885038040125</v>
      </c>
      <c r="Q34" s="266">
        <v>9002761040128</v>
      </c>
      <c r="R34" s="265"/>
      <c r="U34" s="265">
        <v>3.2</v>
      </c>
      <c r="V34" s="259" t="s">
        <v>3028</v>
      </c>
      <c r="W34" s="259" t="s">
        <v>3029</v>
      </c>
      <c r="X34" s="269" t="s">
        <v>3108</v>
      </c>
      <c r="Y34" s="259">
        <v>32</v>
      </c>
      <c r="Z34" s="259" t="s">
        <v>3030</v>
      </c>
      <c r="AA34" s="259"/>
      <c r="AB34" s="259"/>
      <c r="AC34" s="259"/>
      <c r="AD34" s="259"/>
      <c r="AE34" s="259"/>
    </row>
    <row r="35" spans="1:31">
      <c r="A35" s="259" t="s">
        <v>192</v>
      </c>
      <c r="B35" s="259" t="s">
        <v>1</v>
      </c>
      <c r="C35" s="264" t="s">
        <v>3026</v>
      </c>
      <c r="D35" s="264" t="s">
        <v>3109</v>
      </c>
      <c r="E35" s="259" t="s">
        <v>3092</v>
      </c>
      <c r="H35" s="264" t="s">
        <v>3093</v>
      </c>
      <c r="I35" s="264" t="s">
        <v>3110</v>
      </c>
      <c r="J35" s="295">
        <v>154.86000000000001</v>
      </c>
      <c r="K35" s="295">
        <v>119</v>
      </c>
      <c r="L35" s="295">
        <v>83.19</v>
      </c>
      <c r="O35" s="266">
        <v>12</v>
      </c>
      <c r="P35" s="266">
        <v>885038018575</v>
      </c>
      <c r="Q35" s="266">
        <v>9002761018578</v>
      </c>
      <c r="R35" s="265">
        <v>5.5</v>
      </c>
      <c r="S35" s="265">
        <v>2.75</v>
      </c>
      <c r="T35" s="265">
        <v>8</v>
      </c>
      <c r="U35" s="265">
        <v>2.8</v>
      </c>
      <c r="V35" s="259" t="s">
        <v>3028</v>
      </c>
      <c r="W35" s="259" t="s">
        <v>3029</v>
      </c>
      <c r="X35" s="269" t="s">
        <v>3111</v>
      </c>
      <c r="Y35" s="259">
        <v>33</v>
      </c>
      <c r="Z35" s="259" t="s">
        <v>3030</v>
      </c>
      <c r="AA35" s="259"/>
      <c r="AB35" s="259"/>
      <c r="AC35" s="259"/>
      <c r="AD35" s="259"/>
      <c r="AE35" s="259"/>
    </row>
    <row r="36" spans="1:31">
      <c r="A36" s="259" t="s">
        <v>193</v>
      </c>
      <c r="B36" s="259" t="s">
        <v>1</v>
      </c>
      <c r="C36" s="264" t="s">
        <v>3026</v>
      </c>
      <c r="D36" s="264" t="s">
        <v>3112</v>
      </c>
      <c r="E36" s="259" t="s">
        <v>3092</v>
      </c>
      <c r="H36" s="264" t="s">
        <v>3093</v>
      </c>
      <c r="I36" s="264" t="s">
        <v>3113</v>
      </c>
      <c r="J36" s="295">
        <v>166.86</v>
      </c>
      <c r="K36" s="295">
        <v>129</v>
      </c>
      <c r="L36" s="295">
        <v>88.16</v>
      </c>
      <c r="O36" s="266">
        <v>12</v>
      </c>
      <c r="P36" s="266">
        <v>885038018582</v>
      </c>
      <c r="Q36" s="266">
        <v>9002761018585</v>
      </c>
      <c r="R36" s="265">
        <v>5.5</v>
      </c>
      <c r="S36" s="265">
        <v>2.75</v>
      </c>
      <c r="T36" s="265">
        <v>5</v>
      </c>
      <c r="U36" s="265">
        <v>1.2</v>
      </c>
      <c r="V36" s="259" t="s">
        <v>3028</v>
      </c>
      <c r="W36" s="259" t="s">
        <v>3029</v>
      </c>
      <c r="X36" s="269" t="s">
        <v>3114</v>
      </c>
      <c r="Y36" s="259">
        <v>34</v>
      </c>
      <c r="Z36" s="259" t="s">
        <v>3030</v>
      </c>
      <c r="AA36" s="259"/>
      <c r="AB36" s="259"/>
      <c r="AC36" s="259"/>
      <c r="AD36" s="259"/>
      <c r="AE36" s="259"/>
    </row>
    <row r="37" spans="1:31">
      <c r="A37" s="259" t="s">
        <v>194</v>
      </c>
      <c r="B37" s="259" t="s">
        <v>1</v>
      </c>
      <c r="C37" s="264" t="s">
        <v>3026</v>
      </c>
      <c r="D37" s="264" t="s">
        <v>3115</v>
      </c>
      <c r="E37" s="259" t="s">
        <v>3092</v>
      </c>
      <c r="H37" s="264" t="s">
        <v>3093</v>
      </c>
      <c r="I37" s="264" t="s">
        <v>3116</v>
      </c>
      <c r="J37" s="295">
        <v>154.86000000000001</v>
      </c>
      <c r="K37" s="295">
        <v>119</v>
      </c>
      <c r="L37" s="295">
        <v>83.19</v>
      </c>
      <c r="O37" s="266">
        <v>12</v>
      </c>
      <c r="P37" s="266">
        <v>885038038566</v>
      </c>
      <c r="Q37" s="266">
        <v>9002761038569</v>
      </c>
      <c r="R37" s="265">
        <v>15</v>
      </c>
      <c r="S37" s="265">
        <v>22</v>
      </c>
      <c r="T37" s="265">
        <v>25</v>
      </c>
      <c r="U37" s="265">
        <v>2.6</v>
      </c>
      <c r="V37" s="259" t="s">
        <v>3028</v>
      </c>
      <c r="W37" s="259" t="s">
        <v>3029</v>
      </c>
      <c r="X37" s="269" t="s">
        <v>3117</v>
      </c>
      <c r="Y37" s="259">
        <v>35</v>
      </c>
      <c r="Z37" s="259" t="s">
        <v>3030</v>
      </c>
      <c r="AA37" s="259"/>
      <c r="AB37" s="259"/>
      <c r="AC37" s="259"/>
      <c r="AD37" s="259"/>
      <c r="AE37" s="259"/>
    </row>
    <row r="38" spans="1:31">
      <c r="A38" s="259" t="s">
        <v>195</v>
      </c>
      <c r="B38" s="259" t="s">
        <v>1</v>
      </c>
      <c r="C38" s="264" t="s">
        <v>3026</v>
      </c>
      <c r="D38" s="264" t="s">
        <v>3118</v>
      </c>
      <c r="E38" s="259" t="s">
        <v>3092</v>
      </c>
      <c r="H38" s="264" t="s">
        <v>3093</v>
      </c>
      <c r="I38" s="264" t="s">
        <v>3119</v>
      </c>
      <c r="J38" s="295">
        <v>166.86</v>
      </c>
      <c r="K38" s="295">
        <v>129</v>
      </c>
      <c r="L38" s="295">
        <v>94.28</v>
      </c>
      <c r="O38" s="266">
        <v>12</v>
      </c>
      <c r="P38" s="266">
        <v>885038038573</v>
      </c>
      <c r="Q38" s="266">
        <v>9002761038576</v>
      </c>
      <c r="R38" s="265">
        <v>2</v>
      </c>
      <c r="S38" s="265">
        <v>5</v>
      </c>
      <c r="T38" s="265">
        <v>4</v>
      </c>
      <c r="U38" s="265">
        <v>2.6</v>
      </c>
      <c r="V38" s="259" t="s">
        <v>3028</v>
      </c>
      <c r="W38" s="259" t="s">
        <v>3029</v>
      </c>
      <c r="X38" s="269" t="s">
        <v>3117</v>
      </c>
      <c r="Y38" s="259">
        <v>36</v>
      </c>
      <c r="Z38" s="259" t="s">
        <v>3030</v>
      </c>
      <c r="AA38" s="259"/>
      <c r="AB38" s="259"/>
      <c r="AC38" s="259"/>
      <c r="AD38" s="259"/>
      <c r="AE38" s="259"/>
    </row>
    <row r="39" spans="1:31">
      <c r="A39" s="259" t="s">
        <v>196</v>
      </c>
      <c r="B39" s="259" t="s">
        <v>1</v>
      </c>
      <c r="C39" s="264" t="s">
        <v>3026</v>
      </c>
      <c r="D39" s="264" t="s">
        <v>3120</v>
      </c>
      <c r="E39" s="259" t="s">
        <v>3092</v>
      </c>
      <c r="H39" s="264" t="s">
        <v>3093</v>
      </c>
      <c r="I39" s="264" t="s">
        <v>3121</v>
      </c>
      <c r="J39" s="295">
        <v>274.91000000000003</v>
      </c>
      <c r="K39" s="295">
        <v>219</v>
      </c>
      <c r="L39" s="295">
        <v>161.63</v>
      </c>
      <c r="O39" s="266">
        <v>20</v>
      </c>
      <c r="P39" s="266">
        <v>885038021414</v>
      </c>
      <c r="Q39" s="266">
        <v>9002761021417</v>
      </c>
      <c r="R39" s="265">
        <v>3</v>
      </c>
      <c r="S39" s="265">
        <v>6</v>
      </c>
      <c r="T39" s="265">
        <v>8</v>
      </c>
      <c r="U39" s="265">
        <v>4</v>
      </c>
      <c r="V39" s="259" t="s">
        <v>3028</v>
      </c>
      <c r="W39" s="259" t="s">
        <v>3029</v>
      </c>
      <c r="X39" s="269" t="s">
        <v>3122</v>
      </c>
      <c r="Y39" s="259">
        <v>37</v>
      </c>
      <c r="Z39" s="259" t="s">
        <v>3030</v>
      </c>
      <c r="AA39" s="259"/>
      <c r="AB39" s="259"/>
      <c r="AC39" s="259"/>
      <c r="AD39" s="259"/>
      <c r="AE39" s="259"/>
    </row>
    <row r="40" spans="1:31">
      <c r="A40" s="259" t="s">
        <v>197</v>
      </c>
      <c r="B40" s="259" t="s">
        <v>1</v>
      </c>
      <c r="C40" s="264" t="s">
        <v>3026</v>
      </c>
      <c r="D40" s="264" t="s">
        <v>3123</v>
      </c>
      <c r="E40" s="259" t="s">
        <v>3092</v>
      </c>
      <c r="H40" s="264" t="s">
        <v>3093</v>
      </c>
      <c r="I40" s="264" t="s">
        <v>3124</v>
      </c>
      <c r="J40" s="295">
        <v>286.91000000000003</v>
      </c>
      <c r="K40" s="295">
        <v>226</v>
      </c>
      <c r="L40" s="295">
        <v>170.17</v>
      </c>
      <c r="O40" s="266">
        <v>20</v>
      </c>
      <c r="P40" s="266">
        <v>885038021421</v>
      </c>
      <c r="Q40" s="266">
        <v>9002761021424</v>
      </c>
      <c r="R40" s="265">
        <v>15</v>
      </c>
      <c r="S40" s="265">
        <v>17</v>
      </c>
      <c r="T40" s="265">
        <v>12</v>
      </c>
      <c r="U40" s="265">
        <v>4</v>
      </c>
      <c r="V40" s="259" t="s">
        <v>3028</v>
      </c>
      <c r="W40" s="259" t="s">
        <v>3029</v>
      </c>
      <c r="X40" s="269" t="s">
        <v>3125</v>
      </c>
      <c r="Y40" s="259">
        <v>38</v>
      </c>
      <c r="Z40" s="259" t="s">
        <v>3030</v>
      </c>
      <c r="AA40" s="259"/>
      <c r="AB40" s="259"/>
      <c r="AC40" s="259"/>
      <c r="AD40" s="259"/>
      <c r="AE40" s="259"/>
    </row>
    <row r="41" spans="1:31">
      <c r="A41" s="259" t="s">
        <v>198</v>
      </c>
      <c r="B41" s="259" t="s">
        <v>1</v>
      </c>
      <c r="C41" s="264"/>
      <c r="D41" s="264"/>
      <c r="H41" s="264"/>
      <c r="I41" s="264"/>
      <c r="J41" s="295">
        <v>0</v>
      </c>
      <c r="K41" s="295">
        <v>0</v>
      </c>
      <c r="L41" s="295">
        <v>0</v>
      </c>
      <c r="O41" s="266"/>
      <c r="R41" s="265"/>
      <c r="V41" s="259"/>
      <c r="Y41" s="259">
        <v>39</v>
      </c>
      <c r="AA41" s="259"/>
      <c r="AB41" s="259"/>
      <c r="AC41" s="259"/>
      <c r="AD41" s="259"/>
      <c r="AE41" s="259"/>
    </row>
    <row r="42" spans="1:31">
      <c r="A42" s="259" t="s">
        <v>199</v>
      </c>
      <c r="B42" s="259" t="s">
        <v>1</v>
      </c>
      <c r="C42" s="264" t="s">
        <v>3026</v>
      </c>
      <c r="D42" s="264" t="s">
        <v>3126</v>
      </c>
      <c r="E42" s="259" t="s">
        <v>3092</v>
      </c>
      <c r="H42" s="264" t="s">
        <v>3127</v>
      </c>
      <c r="I42" s="264" t="s">
        <v>3128</v>
      </c>
      <c r="J42" s="295">
        <v>154.86000000000001</v>
      </c>
      <c r="K42" s="295">
        <v>119</v>
      </c>
      <c r="L42" s="295">
        <v>83.19</v>
      </c>
      <c r="O42" s="266">
        <v>20</v>
      </c>
      <c r="P42" s="266">
        <v>885038026976</v>
      </c>
      <c r="Q42" s="266">
        <v>9002761026979</v>
      </c>
      <c r="R42" s="265">
        <v>3</v>
      </c>
      <c r="S42" s="265">
        <v>8</v>
      </c>
      <c r="T42" s="265">
        <v>6</v>
      </c>
      <c r="U42" s="265">
        <v>3.6</v>
      </c>
      <c r="V42" s="259" t="s">
        <v>3028</v>
      </c>
      <c r="W42" s="259" t="s">
        <v>3029</v>
      </c>
      <c r="X42" s="269" t="s">
        <v>3129</v>
      </c>
      <c r="Y42" s="259">
        <v>40</v>
      </c>
      <c r="Z42" s="259" t="s">
        <v>3030</v>
      </c>
      <c r="AA42" s="259"/>
      <c r="AB42" s="259"/>
      <c r="AC42" s="259"/>
      <c r="AD42" s="259"/>
      <c r="AE42" s="259"/>
    </row>
    <row r="43" spans="1:31">
      <c r="A43" s="259" t="s">
        <v>200</v>
      </c>
      <c r="B43" s="259" t="s">
        <v>1</v>
      </c>
      <c r="C43" s="264" t="s">
        <v>3026</v>
      </c>
      <c r="D43" s="264" t="s">
        <v>3130</v>
      </c>
      <c r="E43" s="259" t="s">
        <v>3092</v>
      </c>
      <c r="H43" s="264" t="s">
        <v>3127</v>
      </c>
      <c r="I43" s="264" t="s">
        <v>3131</v>
      </c>
      <c r="J43" s="295">
        <v>106.84</v>
      </c>
      <c r="K43" s="295">
        <v>82</v>
      </c>
      <c r="L43" s="295">
        <v>60</v>
      </c>
      <c r="O43" s="266">
        <v>30</v>
      </c>
      <c r="P43" s="266">
        <v>885038026952</v>
      </c>
      <c r="Q43" s="266">
        <v>9002761026955</v>
      </c>
      <c r="R43" s="265">
        <v>3</v>
      </c>
      <c r="S43" s="265">
        <v>7</v>
      </c>
      <c r="T43" s="265">
        <v>5</v>
      </c>
      <c r="U43" s="265">
        <v>2.4</v>
      </c>
      <c r="V43" s="259" t="s">
        <v>3028</v>
      </c>
      <c r="W43" s="259" t="s">
        <v>3029</v>
      </c>
      <c r="X43" s="269" t="s">
        <v>3132</v>
      </c>
      <c r="Y43" s="259">
        <v>41</v>
      </c>
      <c r="Z43" s="259" t="s">
        <v>3030</v>
      </c>
      <c r="AA43" s="259"/>
      <c r="AB43" s="259"/>
      <c r="AC43" s="259"/>
      <c r="AD43" s="259"/>
      <c r="AE43" s="259"/>
    </row>
    <row r="44" spans="1:31">
      <c r="A44" s="259" t="s">
        <v>201</v>
      </c>
      <c r="B44" s="259" t="s">
        <v>1</v>
      </c>
      <c r="C44" s="264" t="s">
        <v>3026</v>
      </c>
      <c r="D44" s="264" t="s">
        <v>3133</v>
      </c>
      <c r="E44" s="259" t="s">
        <v>3052</v>
      </c>
      <c r="H44" s="264" t="s">
        <v>3127</v>
      </c>
      <c r="I44" s="264" t="s">
        <v>3134</v>
      </c>
      <c r="J44" s="295">
        <v>250.9</v>
      </c>
      <c r="K44" s="295">
        <v>205</v>
      </c>
      <c r="L44" s="295">
        <v>145.71</v>
      </c>
      <c r="O44" s="266">
        <v>5</v>
      </c>
      <c r="P44" s="266">
        <v>885038006251</v>
      </c>
      <c r="Q44" s="266">
        <v>9002761006254</v>
      </c>
      <c r="R44" s="265">
        <v>6.5</v>
      </c>
      <c r="S44" s="265">
        <v>10.5</v>
      </c>
      <c r="T44" s="265">
        <v>2.5</v>
      </c>
      <c r="U44" s="265">
        <v>2.4</v>
      </c>
      <c r="V44" s="259" t="s">
        <v>3060</v>
      </c>
      <c r="W44" s="259" t="s">
        <v>3061</v>
      </c>
      <c r="X44" s="269" t="s">
        <v>3135</v>
      </c>
      <c r="Y44" s="259">
        <v>42</v>
      </c>
      <c r="Z44" s="259" t="s">
        <v>3030</v>
      </c>
      <c r="AA44" s="259"/>
      <c r="AB44" s="259"/>
      <c r="AC44" s="259"/>
      <c r="AD44" s="259"/>
      <c r="AE44" s="259"/>
    </row>
    <row r="45" spans="1:31">
      <c r="A45" s="259" t="s">
        <v>202</v>
      </c>
      <c r="B45" s="259" t="s">
        <v>1</v>
      </c>
      <c r="C45" s="264" t="s">
        <v>3026</v>
      </c>
      <c r="D45" s="264" t="s">
        <v>3136</v>
      </c>
      <c r="E45" s="259" t="s">
        <v>3052</v>
      </c>
      <c r="H45" s="264" t="s">
        <v>3127</v>
      </c>
      <c r="I45" s="264" t="s">
        <v>3137</v>
      </c>
      <c r="J45" s="295">
        <v>190.87</v>
      </c>
      <c r="K45" s="295">
        <v>154</v>
      </c>
      <c r="L45" s="295">
        <v>111.43</v>
      </c>
      <c r="O45" s="266">
        <v>10</v>
      </c>
      <c r="P45" s="266">
        <v>885038003809</v>
      </c>
      <c r="Q45" s="266">
        <v>9002761003802</v>
      </c>
      <c r="R45" s="265">
        <v>6.8112000000000004</v>
      </c>
      <c r="S45" s="265">
        <v>11.6</v>
      </c>
      <c r="T45" s="265">
        <v>8.4</v>
      </c>
      <c r="U45" s="265">
        <v>8.4</v>
      </c>
      <c r="V45" s="259" t="s">
        <v>3060</v>
      </c>
      <c r="W45" s="259" t="s">
        <v>3061</v>
      </c>
      <c r="X45" s="269" t="s">
        <v>3138</v>
      </c>
      <c r="Y45" s="259">
        <v>43</v>
      </c>
      <c r="Z45" s="259" t="s">
        <v>3030</v>
      </c>
      <c r="AA45" s="259"/>
      <c r="AB45" s="259"/>
      <c r="AC45" s="259"/>
      <c r="AD45" s="259"/>
      <c r="AE45" s="259"/>
    </row>
    <row r="46" spans="1:31">
      <c r="A46" s="259" t="s">
        <v>203</v>
      </c>
      <c r="B46" s="259" t="s">
        <v>1</v>
      </c>
      <c r="C46" s="264" t="s">
        <v>3026</v>
      </c>
      <c r="D46" s="264" t="s">
        <v>3139</v>
      </c>
      <c r="E46" s="259" t="s">
        <v>3052</v>
      </c>
      <c r="H46" s="264" t="s">
        <v>3127</v>
      </c>
      <c r="I46" s="264" t="s">
        <v>3140</v>
      </c>
      <c r="J46" s="295">
        <v>298.92</v>
      </c>
      <c r="K46" s="295">
        <v>236</v>
      </c>
      <c r="L46" s="295">
        <v>171.43</v>
      </c>
      <c r="O46" s="266">
        <v>30</v>
      </c>
      <c r="P46" s="266">
        <v>885038039365</v>
      </c>
      <c r="Q46" s="266">
        <v>9002761005936</v>
      </c>
      <c r="R46" s="265">
        <v>6.5</v>
      </c>
      <c r="S46" s="265">
        <v>2.5</v>
      </c>
      <c r="T46" s="265">
        <v>5</v>
      </c>
      <c r="U46" s="265">
        <v>2.4</v>
      </c>
      <c r="V46" s="259" t="s">
        <v>3028</v>
      </c>
      <c r="W46" s="259" t="s">
        <v>3029</v>
      </c>
      <c r="X46" s="269" t="s">
        <v>3141</v>
      </c>
      <c r="Y46" s="259">
        <v>44</v>
      </c>
      <c r="Z46" s="259" t="s">
        <v>3030</v>
      </c>
      <c r="AA46" s="259"/>
      <c r="AB46" s="259"/>
      <c r="AC46" s="259"/>
      <c r="AD46" s="259"/>
      <c r="AE46" s="259"/>
    </row>
    <row r="47" spans="1:31">
      <c r="A47" s="259" t="s">
        <v>204</v>
      </c>
      <c r="B47" s="259" t="s">
        <v>1</v>
      </c>
      <c r="C47" s="264" t="s">
        <v>3026</v>
      </c>
      <c r="D47" s="264" t="s">
        <v>3142</v>
      </c>
      <c r="E47" s="259" t="s">
        <v>3052</v>
      </c>
      <c r="H47" s="264" t="s">
        <v>3127</v>
      </c>
      <c r="I47" s="264" t="s">
        <v>3143</v>
      </c>
      <c r="J47" s="295">
        <v>286.91000000000003</v>
      </c>
      <c r="K47" s="295">
        <v>226</v>
      </c>
      <c r="L47" s="295">
        <v>158.82</v>
      </c>
      <c r="O47" s="266">
        <v>12</v>
      </c>
      <c r="P47" s="266">
        <v>885038018605</v>
      </c>
      <c r="Q47" s="266">
        <v>9002761018608</v>
      </c>
      <c r="R47" s="265">
        <v>7</v>
      </c>
      <c r="S47" s="265">
        <v>3</v>
      </c>
      <c r="T47" s="265">
        <v>6</v>
      </c>
      <c r="U47" s="265">
        <v>2.8</v>
      </c>
      <c r="V47" s="259" t="s">
        <v>3028</v>
      </c>
      <c r="W47" s="259" t="s">
        <v>3029</v>
      </c>
      <c r="X47" s="269" t="s">
        <v>3144</v>
      </c>
      <c r="Y47" s="259">
        <v>45</v>
      </c>
      <c r="Z47" s="259" t="s">
        <v>3030</v>
      </c>
      <c r="AA47" s="259"/>
      <c r="AB47" s="259"/>
      <c r="AC47" s="259"/>
      <c r="AD47" s="259"/>
      <c r="AE47" s="259"/>
    </row>
    <row r="48" spans="1:31">
      <c r="A48" s="259" t="s">
        <v>205</v>
      </c>
      <c r="B48" s="259" t="s">
        <v>1</v>
      </c>
      <c r="C48" s="264" t="s">
        <v>3026</v>
      </c>
      <c r="D48" s="264" t="s">
        <v>3145</v>
      </c>
      <c r="E48" s="259" t="s">
        <v>3052</v>
      </c>
      <c r="H48" s="264" t="s">
        <v>3127</v>
      </c>
      <c r="I48" s="264" t="s">
        <v>3146</v>
      </c>
      <c r="J48" s="295">
        <v>382.95</v>
      </c>
      <c r="K48" s="295">
        <v>298</v>
      </c>
      <c r="L48" s="295">
        <v>209.24</v>
      </c>
      <c r="O48" s="266">
        <v>12</v>
      </c>
      <c r="P48" s="266">
        <v>885038018612</v>
      </c>
      <c r="Q48" s="266">
        <v>9002761018615</v>
      </c>
      <c r="R48" s="265">
        <v>7</v>
      </c>
      <c r="S48" s="265">
        <v>3</v>
      </c>
      <c r="T48" s="265">
        <v>6</v>
      </c>
      <c r="U48" s="265">
        <v>2.8</v>
      </c>
      <c r="V48" s="259" t="s">
        <v>3028</v>
      </c>
      <c r="W48" s="259" t="s">
        <v>3029</v>
      </c>
      <c r="X48" s="269" t="s">
        <v>3147</v>
      </c>
      <c r="Y48" s="259">
        <v>46</v>
      </c>
      <c r="Z48" s="259" t="s">
        <v>3030</v>
      </c>
      <c r="AA48" s="259"/>
      <c r="AB48" s="259"/>
      <c r="AC48" s="259"/>
      <c r="AD48" s="259"/>
      <c r="AE48" s="259"/>
    </row>
    <row r="49" spans="1:31">
      <c r="A49" s="259" t="s">
        <v>206</v>
      </c>
      <c r="B49" s="259" t="s">
        <v>1</v>
      </c>
      <c r="C49" s="264" t="s">
        <v>3026</v>
      </c>
      <c r="D49" s="264" t="s">
        <v>3148</v>
      </c>
      <c r="E49" s="259" t="s">
        <v>3052</v>
      </c>
      <c r="H49" s="264" t="s">
        <v>3127</v>
      </c>
      <c r="I49" s="264" t="s">
        <v>3149</v>
      </c>
      <c r="J49" s="295">
        <v>286.91000000000003</v>
      </c>
      <c r="K49" s="295">
        <v>226</v>
      </c>
      <c r="L49" s="295">
        <v>158.82</v>
      </c>
      <c r="O49" s="266">
        <v>12</v>
      </c>
      <c r="P49" s="266">
        <v>885038018629</v>
      </c>
      <c r="Q49" s="266">
        <v>9002761018622</v>
      </c>
      <c r="R49" s="265">
        <v>7</v>
      </c>
      <c r="S49" s="265">
        <v>3</v>
      </c>
      <c r="T49" s="265">
        <v>6</v>
      </c>
      <c r="U49" s="265">
        <v>2.8</v>
      </c>
      <c r="V49" s="259" t="s">
        <v>3028</v>
      </c>
      <c r="W49" s="259" t="s">
        <v>3029</v>
      </c>
      <c r="X49" s="269" t="s">
        <v>3150</v>
      </c>
      <c r="Y49" s="259">
        <v>47</v>
      </c>
      <c r="Z49" s="259" t="s">
        <v>3030</v>
      </c>
      <c r="AA49" s="259"/>
      <c r="AB49" s="259"/>
      <c r="AC49" s="259"/>
      <c r="AD49" s="259"/>
      <c r="AE49" s="259"/>
    </row>
    <row r="50" spans="1:31">
      <c r="A50" s="259" t="s">
        <v>207</v>
      </c>
      <c r="B50" s="259" t="s">
        <v>1</v>
      </c>
      <c r="C50" s="264" t="s">
        <v>3026</v>
      </c>
      <c r="D50" s="264" t="s">
        <v>3151</v>
      </c>
      <c r="E50" s="259" t="s">
        <v>3052</v>
      </c>
      <c r="H50" s="264" t="s">
        <v>3127</v>
      </c>
      <c r="I50" s="264" t="s">
        <v>3152</v>
      </c>
      <c r="J50" s="295">
        <v>370.94</v>
      </c>
      <c r="K50" s="295">
        <v>298</v>
      </c>
      <c r="L50" s="295">
        <v>209.24</v>
      </c>
      <c r="O50" s="266">
        <v>12</v>
      </c>
      <c r="P50" s="266">
        <v>885038018636</v>
      </c>
      <c r="Q50" s="266">
        <v>9002761018639</v>
      </c>
      <c r="R50" s="265">
        <v>9</v>
      </c>
      <c r="S50" s="265">
        <v>9</v>
      </c>
      <c r="T50" s="265">
        <v>12</v>
      </c>
      <c r="U50" s="265">
        <v>2.8</v>
      </c>
      <c r="V50" s="259" t="s">
        <v>3028</v>
      </c>
      <c r="W50" s="259" t="s">
        <v>3029</v>
      </c>
      <c r="X50" s="269" t="s">
        <v>3153</v>
      </c>
      <c r="Y50" s="259">
        <v>48</v>
      </c>
      <c r="Z50" s="259" t="s">
        <v>3030</v>
      </c>
      <c r="AA50" s="259"/>
      <c r="AB50" s="259"/>
      <c r="AC50" s="259"/>
      <c r="AD50" s="259"/>
      <c r="AE50" s="259"/>
    </row>
    <row r="51" spans="1:31">
      <c r="A51" s="259" t="s">
        <v>208</v>
      </c>
      <c r="B51" s="259" t="s">
        <v>1</v>
      </c>
      <c r="C51" s="264" t="s">
        <v>3026</v>
      </c>
      <c r="D51" s="264" t="s">
        <v>3154</v>
      </c>
      <c r="E51" s="259" t="s">
        <v>3052</v>
      </c>
      <c r="H51" s="264" t="s">
        <v>3127</v>
      </c>
      <c r="I51" s="264" t="s">
        <v>3155</v>
      </c>
      <c r="J51" s="295">
        <v>286.91000000000003</v>
      </c>
      <c r="K51" s="295">
        <v>226</v>
      </c>
      <c r="L51" s="295">
        <v>158.82</v>
      </c>
      <c r="O51" s="266">
        <v>12</v>
      </c>
      <c r="P51" s="266">
        <v>885038018643</v>
      </c>
      <c r="Q51" s="266">
        <v>9002761018646</v>
      </c>
      <c r="R51" s="265">
        <v>3</v>
      </c>
      <c r="S51" s="265">
        <v>6</v>
      </c>
      <c r="T51" s="265">
        <v>8</v>
      </c>
      <c r="U51" s="265">
        <v>2.8</v>
      </c>
      <c r="V51" s="259" t="s">
        <v>3028</v>
      </c>
      <c r="W51" s="259" t="s">
        <v>3029</v>
      </c>
      <c r="X51" s="269" t="s">
        <v>3156</v>
      </c>
      <c r="Y51" s="259">
        <v>49</v>
      </c>
      <c r="Z51" s="259" t="s">
        <v>3030</v>
      </c>
      <c r="AA51" s="259"/>
      <c r="AB51" s="259"/>
      <c r="AC51" s="259"/>
      <c r="AD51" s="259"/>
      <c r="AE51" s="259"/>
    </row>
    <row r="52" spans="1:31">
      <c r="A52" s="259" t="s">
        <v>209</v>
      </c>
      <c r="B52" s="259" t="s">
        <v>1</v>
      </c>
      <c r="C52" s="264" t="s">
        <v>3026</v>
      </c>
      <c r="D52" s="264" t="s">
        <v>3157</v>
      </c>
      <c r="E52" s="259">
        <v>81200200</v>
      </c>
      <c r="H52" s="264" t="s">
        <v>3127</v>
      </c>
      <c r="I52" s="264" t="s">
        <v>3158</v>
      </c>
      <c r="J52" s="295">
        <v>1055.21</v>
      </c>
      <c r="K52" s="295">
        <v>840</v>
      </c>
      <c r="L52" s="295">
        <v>624.48</v>
      </c>
      <c r="O52" s="266"/>
      <c r="P52" s="266">
        <v>885038019473</v>
      </c>
      <c r="Q52" s="266">
        <v>9002761019476</v>
      </c>
      <c r="R52" s="265">
        <v>3.5</v>
      </c>
      <c r="S52" s="265">
        <v>11.5</v>
      </c>
      <c r="T52" s="265">
        <v>3.5</v>
      </c>
      <c r="U52" s="265">
        <v>3</v>
      </c>
      <c r="V52" s="259" t="s">
        <v>3060</v>
      </c>
      <c r="W52" s="259" t="s">
        <v>3061</v>
      </c>
      <c r="X52" s="269" t="s">
        <v>3105</v>
      </c>
      <c r="Y52" s="259">
        <v>50</v>
      </c>
      <c r="Z52" s="259" t="s">
        <v>3030</v>
      </c>
      <c r="AA52" s="259"/>
      <c r="AB52" s="259"/>
      <c r="AC52" s="259"/>
      <c r="AD52" s="259"/>
      <c r="AE52" s="259"/>
    </row>
    <row r="53" spans="1:31">
      <c r="A53" s="259" t="s">
        <v>210</v>
      </c>
      <c r="B53" s="259" t="s">
        <v>1</v>
      </c>
      <c r="C53" s="264" t="s">
        <v>3026</v>
      </c>
      <c r="D53" s="264" t="s">
        <v>3159</v>
      </c>
      <c r="E53" s="259" t="s">
        <v>3092</v>
      </c>
      <c r="H53" s="264" t="s">
        <v>3127</v>
      </c>
      <c r="I53" s="264" t="s">
        <v>3160</v>
      </c>
      <c r="J53" s="295">
        <v>154.86000000000001</v>
      </c>
      <c r="K53" s="295">
        <v>119</v>
      </c>
      <c r="L53" s="295">
        <v>83.19</v>
      </c>
      <c r="O53" s="266">
        <v>30</v>
      </c>
      <c r="P53" s="266">
        <v>885038023937</v>
      </c>
      <c r="Q53" s="266">
        <v>9002761023930</v>
      </c>
      <c r="R53" s="265">
        <v>7</v>
      </c>
      <c r="S53" s="265">
        <v>3</v>
      </c>
      <c r="T53" s="265">
        <v>5</v>
      </c>
      <c r="U53" s="265">
        <v>3.2</v>
      </c>
      <c r="V53" s="259" t="s">
        <v>3028</v>
      </c>
      <c r="W53" s="259" t="s">
        <v>3029</v>
      </c>
      <c r="X53" s="269" t="s">
        <v>3161</v>
      </c>
      <c r="Y53" s="259">
        <v>51</v>
      </c>
      <c r="Z53" s="259" t="s">
        <v>3030</v>
      </c>
      <c r="AA53" s="259"/>
      <c r="AB53" s="259"/>
      <c r="AC53" s="259"/>
      <c r="AD53" s="259"/>
      <c r="AE53" s="259"/>
    </row>
    <row r="54" spans="1:31">
      <c r="A54" s="259" t="s">
        <v>211</v>
      </c>
      <c r="B54" s="259" t="s">
        <v>1</v>
      </c>
      <c r="C54" s="264" t="s">
        <v>3026</v>
      </c>
      <c r="D54" s="264" t="s">
        <v>3162</v>
      </c>
      <c r="E54" s="259" t="s">
        <v>3092</v>
      </c>
      <c r="H54" s="264" t="s">
        <v>3127</v>
      </c>
      <c r="I54" s="264" t="s">
        <v>3163</v>
      </c>
      <c r="J54" s="295">
        <v>298.92</v>
      </c>
      <c r="K54" s="295">
        <v>236</v>
      </c>
      <c r="L54" s="295">
        <v>171.43</v>
      </c>
      <c r="O54" s="266">
        <v>8</v>
      </c>
      <c r="P54" s="266">
        <v>885038038207</v>
      </c>
      <c r="Q54" s="266">
        <v>9002761038200</v>
      </c>
      <c r="R54" s="265">
        <v>4.5</v>
      </c>
      <c r="S54" s="265">
        <v>3</v>
      </c>
      <c r="T54" s="265">
        <v>3</v>
      </c>
      <c r="U54" s="265">
        <v>3.92</v>
      </c>
      <c r="V54" s="259" t="s">
        <v>3028</v>
      </c>
      <c r="W54" s="259" t="s">
        <v>3029</v>
      </c>
      <c r="X54" s="269" t="s">
        <v>3164</v>
      </c>
      <c r="Y54" s="259">
        <v>52</v>
      </c>
      <c r="Z54" s="259" t="s">
        <v>3030</v>
      </c>
      <c r="AA54" s="259"/>
      <c r="AB54" s="259"/>
      <c r="AC54" s="259"/>
      <c r="AD54" s="259"/>
      <c r="AE54" s="259"/>
    </row>
    <row r="55" spans="1:31">
      <c r="A55" s="259" t="s">
        <v>212</v>
      </c>
      <c r="B55" s="259" t="s">
        <v>1</v>
      </c>
      <c r="C55" s="264" t="s">
        <v>3026</v>
      </c>
      <c r="D55" s="264" t="s">
        <v>3165</v>
      </c>
      <c r="E55" s="259" t="s">
        <v>3092</v>
      </c>
      <c r="H55" s="264" t="s">
        <v>3127</v>
      </c>
      <c r="I55" s="264" t="s">
        <v>3166</v>
      </c>
      <c r="J55" s="295">
        <v>755.09</v>
      </c>
      <c r="K55" s="295">
        <v>603</v>
      </c>
      <c r="L55" s="295">
        <v>419.32</v>
      </c>
      <c r="O55" s="266"/>
      <c r="P55" s="266">
        <v>885038033196</v>
      </c>
      <c r="Q55" s="266">
        <v>9002761033199</v>
      </c>
      <c r="R55" s="265">
        <v>4</v>
      </c>
      <c r="S55" s="265">
        <v>8</v>
      </c>
      <c r="T55" s="265">
        <v>9</v>
      </c>
      <c r="U55" s="265">
        <v>4</v>
      </c>
      <c r="V55" s="259" t="s">
        <v>3060</v>
      </c>
      <c r="W55" s="259" t="s">
        <v>3061</v>
      </c>
      <c r="X55" s="269" t="s">
        <v>3167</v>
      </c>
      <c r="Y55" s="259">
        <v>53</v>
      </c>
      <c r="Z55" s="259" t="s">
        <v>3030</v>
      </c>
      <c r="AA55" s="259"/>
      <c r="AB55" s="259"/>
      <c r="AC55" s="259"/>
      <c r="AD55" s="259"/>
      <c r="AE55" s="259"/>
    </row>
    <row r="56" spans="1:31">
      <c r="A56" s="259" t="s">
        <v>213</v>
      </c>
      <c r="B56" s="259" t="s">
        <v>1</v>
      </c>
      <c r="C56" s="264" t="s">
        <v>3026</v>
      </c>
      <c r="D56" s="264" t="s">
        <v>3168</v>
      </c>
      <c r="E56" s="259" t="s">
        <v>3092</v>
      </c>
      <c r="H56" s="264" t="s">
        <v>3127</v>
      </c>
      <c r="I56" s="264" t="s">
        <v>3169</v>
      </c>
      <c r="J56" s="295">
        <v>599.03</v>
      </c>
      <c r="K56" s="295">
        <v>484</v>
      </c>
      <c r="L56" s="295">
        <v>359.24</v>
      </c>
      <c r="O56" s="266"/>
      <c r="P56" s="266">
        <v>885038038023</v>
      </c>
      <c r="Q56" s="266">
        <v>9002761038026</v>
      </c>
      <c r="R56" s="265">
        <v>10</v>
      </c>
      <c r="S56" s="265">
        <v>15</v>
      </c>
      <c r="T56" s="265">
        <v>15</v>
      </c>
      <c r="U56" s="265">
        <v>4</v>
      </c>
      <c r="V56" s="259" t="s">
        <v>3028</v>
      </c>
      <c r="W56" s="259" t="s">
        <v>3029</v>
      </c>
      <c r="X56" s="269" t="s">
        <v>3170</v>
      </c>
      <c r="Y56" s="259">
        <v>54</v>
      </c>
      <c r="Z56" s="259" t="s">
        <v>3030</v>
      </c>
      <c r="AA56" s="259"/>
      <c r="AB56" s="259"/>
      <c r="AC56" s="259"/>
      <c r="AD56" s="259"/>
      <c r="AE56" s="259"/>
    </row>
    <row r="57" spans="1:31">
      <c r="A57" s="259" t="s">
        <v>214</v>
      </c>
      <c r="B57" s="259" t="s">
        <v>1</v>
      </c>
      <c r="C57" s="264" t="s">
        <v>3026</v>
      </c>
      <c r="D57" s="264" t="s">
        <v>3171</v>
      </c>
      <c r="E57" s="259" t="s">
        <v>3092</v>
      </c>
      <c r="H57" s="264" t="s">
        <v>3127</v>
      </c>
      <c r="I57" s="264" t="s">
        <v>3172</v>
      </c>
      <c r="J57" s="295">
        <v>1342.12</v>
      </c>
      <c r="K57" s="295">
        <v>957</v>
      </c>
      <c r="L57" s="295">
        <v>684.48</v>
      </c>
      <c r="O57" s="266"/>
      <c r="P57" s="266">
        <v>885038039013</v>
      </c>
      <c r="Q57" s="266">
        <v>9002761039016</v>
      </c>
      <c r="R57" s="265">
        <v>14</v>
      </c>
      <c r="S57" s="265">
        <v>19</v>
      </c>
      <c r="T57" s="265">
        <v>16</v>
      </c>
      <c r="U57" s="265">
        <v>12.6</v>
      </c>
      <c r="V57" s="259" t="s">
        <v>3028</v>
      </c>
      <c r="W57" s="259" t="s">
        <v>3029</v>
      </c>
      <c r="X57" s="269" t="s">
        <v>3173</v>
      </c>
      <c r="Y57" s="259">
        <v>55</v>
      </c>
      <c r="Z57" s="259" t="s">
        <v>3030</v>
      </c>
      <c r="AA57" s="259"/>
      <c r="AB57" s="259"/>
      <c r="AC57" s="259"/>
      <c r="AD57" s="259"/>
      <c r="AE57" s="259"/>
    </row>
    <row r="58" spans="1:31">
      <c r="A58" s="259" t="s">
        <v>215</v>
      </c>
      <c r="B58" s="259" t="s">
        <v>1</v>
      </c>
      <c r="C58" s="264" t="s">
        <v>3026</v>
      </c>
      <c r="D58" s="264" t="s">
        <v>3174</v>
      </c>
      <c r="E58" s="259">
        <v>83200201</v>
      </c>
      <c r="H58" s="264" t="s">
        <v>3127</v>
      </c>
      <c r="I58" s="264" t="s">
        <v>3175</v>
      </c>
      <c r="J58" s="295">
        <v>2999.96</v>
      </c>
      <c r="K58" s="295">
        <v>2399</v>
      </c>
      <c r="L58" s="295">
        <v>1714.26</v>
      </c>
      <c r="O58" s="266"/>
      <c r="P58" s="266">
        <v>885038035343</v>
      </c>
      <c r="Q58" s="266">
        <v>9002761035346</v>
      </c>
      <c r="R58" s="265">
        <v>11</v>
      </c>
      <c r="S58" s="265">
        <v>9</v>
      </c>
      <c r="T58" s="265">
        <v>15</v>
      </c>
      <c r="U58" s="265">
        <v>5.6</v>
      </c>
      <c r="V58" s="259" t="s">
        <v>3060</v>
      </c>
      <c r="W58" s="259" t="s">
        <v>3061</v>
      </c>
      <c r="X58" s="269" t="s">
        <v>3176</v>
      </c>
      <c r="Y58" s="259">
        <v>56</v>
      </c>
      <c r="Z58" s="259" t="s">
        <v>3030</v>
      </c>
      <c r="AA58" s="259"/>
      <c r="AB58" s="259"/>
      <c r="AC58" s="259"/>
      <c r="AD58" s="259"/>
      <c r="AE58" s="259"/>
    </row>
    <row r="59" spans="1:31">
      <c r="A59" s="259" t="s">
        <v>216</v>
      </c>
      <c r="B59" s="259" t="s">
        <v>1</v>
      </c>
      <c r="C59" s="264"/>
      <c r="D59" s="264"/>
      <c r="H59" s="264"/>
      <c r="I59" s="264"/>
      <c r="J59" s="295">
        <v>0</v>
      </c>
      <c r="K59" s="295">
        <v>0</v>
      </c>
      <c r="L59" s="295">
        <v>0</v>
      </c>
      <c r="O59" s="266"/>
      <c r="R59" s="265"/>
      <c r="V59" s="259"/>
      <c r="Y59" s="259">
        <v>57</v>
      </c>
      <c r="AA59" s="259"/>
      <c r="AB59" s="259"/>
      <c r="AC59" s="259"/>
      <c r="AD59" s="259"/>
      <c r="AE59" s="259"/>
    </row>
    <row r="60" spans="1:31">
      <c r="A60" s="259" t="s">
        <v>217</v>
      </c>
      <c r="B60" s="259" t="s">
        <v>1</v>
      </c>
      <c r="C60" s="264" t="s">
        <v>3026</v>
      </c>
      <c r="D60" s="264" t="s">
        <v>3177</v>
      </c>
      <c r="E60" s="259" t="s">
        <v>3052</v>
      </c>
      <c r="H60" s="264" t="s">
        <v>3178</v>
      </c>
      <c r="I60" s="264" t="s">
        <v>3179</v>
      </c>
      <c r="J60" s="295">
        <v>671.06</v>
      </c>
      <c r="K60" s="295">
        <v>541</v>
      </c>
      <c r="L60" s="295">
        <v>391.83</v>
      </c>
      <c r="O60" s="266"/>
      <c r="P60" s="266">
        <v>885038024965</v>
      </c>
      <c r="Q60" s="266">
        <v>9002761024968</v>
      </c>
      <c r="R60" s="265">
        <v>4</v>
      </c>
      <c r="S60" s="265">
        <v>12</v>
      </c>
      <c r="T60" s="265">
        <v>8</v>
      </c>
      <c r="U60" s="265">
        <v>3.048</v>
      </c>
      <c r="V60" s="259" t="s">
        <v>3028</v>
      </c>
      <c r="W60" s="259" t="s">
        <v>3029</v>
      </c>
      <c r="X60" s="269" t="s">
        <v>3180</v>
      </c>
      <c r="Y60" s="259">
        <v>58</v>
      </c>
      <c r="Z60" s="259" t="s">
        <v>3030</v>
      </c>
      <c r="AA60" s="259"/>
      <c r="AB60" s="259"/>
      <c r="AC60" s="259"/>
      <c r="AD60" s="259"/>
      <c r="AE60" s="259"/>
    </row>
    <row r="61" spans="1:31">
      <c r="A61" s="259" t="s">
        <v>218</v>
      </c>
      <c r="B61" s="259" t="s">
        <v>1</v>
      </c>
      <c r="C61" s="264" t="s">
        <v>3026</v>
      </c>
      <c r="D61" s="264" t="s">
        <v>3181</v>
      </c>
      <c r="E61" s="259" t="s">
        <v>3052</v>
      </c>
      <c r="H61" s="264" t="s">
        <v>3178</v>
      </c>
      <c r="I61" s="264" t="s">
        <v>3182</v>
      </c>
      <c r="J61" s="295">
        <v>635.04999999999995</v>
      </c>
      <c r="K61" s="295">
        <v>504</v>
      </c>
      <c r="L61" s="295">
        <v>367.34</v>
      </c>
      <c r="O61" s="266"/>
      <c r="P61" s="266">
        <v>885038024972</v>
      </c>
      <c r="Q61" s="266">
        <v>9002761024975</v>
      </c>
      <c r="R61" s="265">
        <v>5</v>
      </c>
      <c r="S61" s="265">
        <v>9</v>
      </c>
      <c r="T61" s="265">
        <v>13</v>
      </c>
      <c r="U61" s="265">
        <v>3.048</v>
      </c>
      <c r="V61" s="259" t="s">
        <v>3028</v>
      </c>
      <c r="W61" s="259" t="s">
        <v>3029</v>
      </c>
      <c r="X61" s="269" t="s">
        <v>3183</v>
      </c>
      <c r="Y61" s="259">
        <v>59</v>
      </c>
      <c r="Z61" s="259" t="s">
        <v>3030</v>
      </c>
      <c r="AA61" s="259"/>
      <c r="AB61" s="259"/>
      <c r="AC61" s="259"/>
      <c r="AD61" s="259"/>
      <c r="AE61" s="259"/>
    </row>
    <row r="62" spans="1:31">
      <c r="A62" s="259" t="s">
        <v>219</v>
      </c>
      <c r="B62" s="259" t="s">
        <v>1</v>
      </c>
      <c r="C62" s="264" t="s">
        <v>3026</v>
      </c>
      <c r="D62" s="264" t="s">
        <v>3184</v>
      </c>
      <c r="E62" s="259" t="s">
        <v>3052</v>
      </c>
      <c r="H62" s="264" t="s">
        <v>3178</v>
      </c>
      <c r="I62" s="264" t="s">
        <v>3185</v>
      </c>
      <c r="J62" s="295">
        <v>502.99</v>
      </c>
      <c r="K62" s="295">
        <v>502.99</v>
      </c>
      <c r="L62" s="295">
        <v>367.34</v>
      </c>
      <c r="O62" s="266"/>
      <c r="P62" s="266">
        <v>885038025306</v>
      </c>
      <c r="Q62" s="266">
        <v>9002761025309</v>
      </c>
      <c r="R62" s="265">
        <v>6</v>
      </c>
      <c r="S62" s="265">
        <v>8</v>
      </c>
      <c r="T62" s="265">
        <v>11</v>
      </c>
      <c r="U62" s="265">
        <v>3.048</v>
      </c>
      <c r="V62" s="259" t="s">
        <v>3028</v>
      </c>
      <c r="W62" s="259" t="s">
        <v>3029</v>
      </c>
      <c r="X62" s="269" t="s">
        <v>3186</v>
      </c>
      <c r="Y62" s="259">
        <v>60</v>
      </c>
      <c r="Z62" s="259" t="s">
        <v>3030</v>
      </c>
      <c r="AA62" s="259"/>
      <c r="AB62" s="259"/>
      <c r="AC62" s="259"/>
      <c r="AD62" s="259"/>
      <c r="AE62" s="259"/>
    </row>
    <row r="63" spans="1:31">
      <c r="A63" s="259" t="s">
        <v>220</v>
      </c>
      <c r="B63" s="259" t="s">
        <v>1</v>
      </c>
      <c r="C63" s="264" t="s">
        <v>3026</v>
      </c>
      <c r="D63" s="264" t="s">
        <v>3187</v>
      </c>
      <c r="E63" s="259" t="s">
        <v>3052</v>
      </c>
      <c r="H63" s="264" t="s">
        <v>3178</v>
      </c>
      <c r="I63" s="264" t="s">
        <v>3188</v>
      </c>
      <c r="J63" s="295">
        <v>334.93</v>
      </c>
      <c r="K63" s="295">
        <v>263</v>
      </c>
      <c r="L63" s="295">
        <v>184.03</v>
      </c>
      <c r="O63" s="266">
        <v>12</v>
      </c>
      <c r="P63" s="266">
        <v>885038018650</v>
      </c>
      <c r="Q63" s="266">
        <v>9002761018653</v>
      </c>
      <c r="R63" s="265">
        <v>3</v>
      </c>
      <c r="S63" s="265">
        <v>6</v>
      </c>
      <c r="T63" s="265">
        <v>8</v>
      </c>
      <c r="U63" s="265">
        <v>2.8</v>
      </c>
      <c r="V63" s="259" t="s">
        <v>3028</v>
      </c>
      <c r="W63" s="259" t="s">
        <v>3029</v>
      </c>
      <c r="X63" s="269" t="s">
        <v>3189</v>
      </c>
      <c r="Y63" s="259">
        <v>61</v>
      </c>
      <c r="Z63" s="259" t="s">
        <v>3030</v>
      </c>
      <c r="AA63" s="259"/>
      <c r="AB63" s="259"/>
      <c r="AC63" s="259"/>
      <c r="AD63" s="259"/>
      <c r="AE63" s="259"/>
    </row>
    <row r="64" spans="1:31">
      <c r="A64" s="259" t="s">
        <v>221</v>
      </c>
      <c r="B64" s="259" t="s">
        <v>1</v>
      </c>
      <c r="C64" s="264" t="s">
        <v>3026</v>
      </c>
      <c r="D64" s="264" t="s">
        <v>3190</v>
      </c>
      <c r="E64" s="259" t="s">
        <v>3052</v>
      </c>
      <c r="H64" s="264" t="s">
        <v>3178</v>
      </c>
      <c r="I64" s="264" t="s">
        <v>3191</v>
      </c>
      <c r="J64" s="295">
        <v>274.91000000000003</v>
      </c>
      <c r="K64" s="295">
        <v>216</v>
      </c>
      <c r="L64" s="295">
        <v>161.16</v>
      </c>
      <c r="O64" s="266">
        <v>12</v>
      </c>
      <c r="P64" s="266">
        <v>885038018667</v>
      </c>
      <c r="Q64" s="266">
        <v>9002761018660</v>
      </c>
      <c r="R64" s="265">
        <v>3</v>
      </c>
      <c r="S64" s="265">
        <v>6</v>
      </c>
      <c r="T64" s="265">
        <v>8</v>
      </c>
      <c r="U64" s="265">
        <v>2.8</v>
      </c>
      <c r="V64" s="259" t="s">
        <v>3028</v>
      </c>
      <c r="W64" s="259" t="s">
        <v>3029</v>
      </c>
      <c r="X64" s="269" t="s">
        <v>3192</v>
      </c>
      <c r="Y64" s="259">
        <v>62</v>
      </c>
      <c r="Z64" s="259" t="s">
        <v>3030</v>
      </c>
      <c r="AA64" s="259"/>
      <c r="AB64" s="259"/>
      <c r="AC64" s="259"/>
      <c r="AD64" s="259"/>
      <c r="AE64" s="259"/>
    </row>
    <row r="65" spans="1:31">
      <c r="A65" s="259" t="s">
        <v>222</v>
      </c>
      <c r="B65" s="259" t="s">
        <v>1</v>
      </c>
      <c r="C65" s="264" t="s">
        <v>3193</v>
      </c>
      <c r="D65" s="264" t="s">
        <v>3194</v>
      </c>
      <c r="E65" s="259" t="s">
        <v>3195</v>
      </c>
      <c r="H65" s="264" t="s">
        <v>3196</v>
      </c>
      <c r="I65" s="264" t="s">
        <v>3197</v>
      </c>
      <c r="J65" s="295">
        <v>221.33</v>
      </c>
      <c r="K65" s="295">
        <v>170</v>
      </c>
      <c r="L65" s="295">
        <v>126.12</v>
      </c>
      <c r="O65" s="266">
        <v>20</v>
      </c>
      <c r="P65" s="266">
        <v>885038030720</v>
      </c>
      <c r="Q65" s="266">
        <v>9002761030723</v>
      </c>
      <c r="R65" s="265">
        <v>8</v>
      </c>
      <c r="S65" s="265">
        <v>3</v>
      </c>
      <c r="T65" s="265">
        <v>6</v>
      </c>
      <c r="U65" s="265">
        <v>2.8</v>
      </c>
      <c r="V65" s="259" t="s">
        <v>3028</v>
      </c>
      <c r="W65" s="259" t="s">
        <v>3029</v>
      </c>
      <c r="X65" s="269" t="s">
        <v>3198</v>
      </c>
      <c r="Y65" s="259">
        <v>63</v>
      </c>
      <c r="Z65" s="259" t="s">
        <v>3030</v>
      </c>
      <c r="AA65" s="259"/>
      <c r="AB65" s="259"/>
      <c r="AC65" s="259"/>
      <c r="AD65" s="259"/>
      <c r="AE65" s="259"/>
    </row>
    <row r="66" spans="1:31">
      <c r="A66" s="259" t="s">
        <v>223</v>
      </c>
      <c r="B66" s="259" t="s">
        <v>1</v>
      </c>
      <c r="C66" s="264" t="s">
        <v>3026</v>
      </c>
      <c r="D66" s="264" t="s">
        <v>3199</v>
      </c>
      <c r="E66" s="259" t="s">
        <v>3195</v>
      </c>
      <c r="H66" s="264" t="s">
        <v>3178</v>
      </c>
      <c r="I66" s="264" t="s">
        <v>3200</v>
      </c>
      <c r="J66" s="295">
        <v>214.88</v>
      </c>
      <c r="K66" s="295">
        <v>170</v>
      </c>
      <c r="L66" s="295">
        <v>122.45</v>
      </c>
      <c r="O66" s="266">
        <v>12</v>
      </c>
      <c r="P66" s="266">
        <v>885038018674</v>
      </c>
      <c r="Q66" s="266">
        <v>9002761018677</v>
      </c>
      <c r="R66" s="265">
        <v>3</v>
      </c>
      <c r="S66" s="265">
        <v>8</v>
      </c>
      <c r="T66" s="265">
        <v>6</v>
      </c>
      <c r="U66" s="265">
        <v>2.8</v>
      </c>
      <c r="V66" s="259" t="s">
        <v>3028</v>
      </c>
      <c r="W66" s="259" t="s">
        <v>3029</v>
      </c>
      <c r="X66" s="269" t="s">
        <v>3201</v>
      </c>
      <c r="Y66" s="259">
        <v>64</v>
      </c>
      <c r="Z66" s="259" t="s">
        <v>3030</v>
      </c>
      <c r="AA66" s="259"/>
      <c r="AB66" s="259"/>
      <c r="AC66" s="259"/>
      <c r="AD66" s="259"/>
      <c r="AE66" s="259"/>
    </row>
    <row r="67" spans="1:31">
      <c r="A67" s="259" t="s">
        <v>224</v>
      </c>
      <c r="B67" s="259" t="s">
        <v>1</v>
      </c>
      <c r="C67" s="264"/>
      <c r="D67" s="264"/>
      <c r="H67" s="264"/>
      <c r="I67" s="264"/>
      <c r="J67" s="295">
        <v>0</v>
      </c>
      <c r="K67" s="295">
        <v>0</v>
      </c>
      <c r="L67" s="295">
        <v>0</v>
      </c>
      <c r="O67" s="266"/>
      <c r="R67" s="265"/>
      <c r="V67" s="259"/>
      <c r="Y67" s="259">
        <v>65</v>
      </c>
      <c r="AA67" s="259"/>
      <c r="AB67" s="259"/>
      <c r="AC67" s="259"/>
      <c r="AD67" s="259"/>
      <c r="AE67" s="259"/>
    </row>
    <row r="68" spans="1:31">
      <c r="A68" s="259" t="s">
        <v>225</v>
      </c>
      <c r="B68" s="259" t="s">
        <v>1</v>
      </c>
      <c r="C68" s="264" t="s">
        <v>3193</v>
      </c>
      <c r="D68" s="264" t="s">
        <v>3202</v>
      </c>
      <c r="E68" s="259" t="s">
        <v>3195</v>
      </c>
      <c r="H68" s="264" t="s">
        <v>3203</v>
      </c>
      <c r="I68" s="264" t="s">
        <v>3204</v>
      </c>
      <c r="J68" s="295">
        <v>159.51</v>
      </c>
      <c r="K68" s="295">
        <v>125</v>
      </c>
      <c r="L68" s="295">
        <v>88.28</v>
      </c>
      <c r="O68" s="266">
        <v>30</v>
      </c>
      <c r="P68" s="266">
        <v>885038019589</v>
      </c>
      <c r="Q68" s="266">
        <v>9002761019582</v>
      </c>
      <c r="R68" s="265">
        <v>3</v>
      </c>
      <c r="S68" s="265">
        <v>7</v>
      </c>
      <c r="T68" s="265">
        <v>5</v>
      </c>
      <c r="U68" s="265">
        <v>2</v>
      </c>
      <c r="V68" s="259" t="s">
        <v>3028</v>
      </c>
      <c r="W68" s="259" t="s">
        <v>3029</v>
      </c>
      <c r="X68" s="269" t="s">
        <v>3205</v>
      </c>
      <c r="Y68" s="259">
        <v>66</v>
      </c>
      <c r="Z68" s="259" t="s">
        <v>3030</v>
      </c>
      <c r="AA68" s="259"/>
      <c r="AB68" s="259"/>
      <c r="AC68" s="259"/>
      <c r="AD68" s="259"/>
      <c r="AE68" s="259"/>
    </row>
    <row r="69" spans="1:31">
      <c r="A69" s="259" t="s">
        <v>226</v>
      </c>
      <c r="B69" s="259" t="s">
        <v>1</v>
      </c>
      <c r="C69" s="264" t="s">
        <v>3193</v>
      </c>
      <c r="D69" s="264" t="s">
        <v>3206</v>
      </c>
      <c r="E69" s="259" t="s">
        <v>3195</v>
      </c>
      <c r="H69" s="264" t="s">
        <v>3203</v>
      </c>
      <c r="I69" s="264" t="s">
        <v>3207</v>
      </c>
      <c r="J69" s="295">
        <v>204.02</v>
      </c>
      <c r="K69" s="295">
        <v>155</v>
      </c>
      <c r="L69" s="295">
        <v>114.77</v>
      </c>
      <c r="O69" s="266">
        <v>30</v>
      </c>
      <c r="P69" s="266">
        <v>885038006220</v>
      </c>
      <c r="Q69" s="266">
        <v>9002761006223</v>
      </c>
      <c r="R69" s="265">
        <v>3</v>
      </c>
      <c r="S69" s="265">
        <v>7</v>
      </c>
      <c r="T69" s="265">
        <v>5</v>
      </c>
      <c r="U69" s="265">
        <v>2</v>
      </c>
      <c r="V69" s="259" t="s">
        <v>3028</v>
      </c>
      <c r="W69" s="259" t="s">
        <v>3029</v>
      </c>
      <c r="X69" s="269" t="s">
        <v>3208</v>
      </c>
      <c r="Y69" s="259">
        <v>67</v>
      </c>
      <c r="Z69" s="259" t="s">
        <v>3030</v>
      </c>
      <c r="AA69" s="259"/>
      <c r="AB69" s="259"/>
      <c r="AC69" s="259"/>
      <c r="AD69" s="259"/>
      <c r="AE69" s="259"/>
    </row>
    <row r="70" spans="1:31">
      <c r="A70" s="259" t="s">
        <v>227</v>
      </c>
      <c r="B70" s="259" t="s">
        <v>1</v>
      </c>
      <c r="C70" s="264" t="s">
        <v>3193</v>
      </c>
      <c r="D70" s="264" t="s">
        <v>3209</v>
      </c>
      <c r="E70" s="259" t="s">
        <v>3195</v>
      </c>
      <c r="H70" s="264" t="s">
        <v>3203</v>
      </c>
      <c r="I70" s="264" t="s">
        <v>3210</v>
      </c>
      <c r="J70" s="295">
        <v>233.69</v>
      </c>
      <c r="K70" s="295">
        <v>185</v>
      </c>
      <c r="L70" s="295">
        <v>132.43</v>
      </c>
      <c r="O70" s="266"/>
      <c r="P70" s="266">
        <v>885038028437</v>
      </c>
      <c r="Q70" s="266">
        <v>9002761028430</v>
      </c>
      <c r="R70" s="265">
        <v>3</v>
      </c>
      <c r="S70" s="265">
        <v>3</v>
      </c>
      <c r="T70" s="265">
        <v>3</v>
      </c>
      <c r="U70" s="265">
        <v>2.4</v>
      </c>
      <c r="V70" s="259" t="s">
        <v>3028</v>
      </c>
      <c r="W70" s="259" t="s">
        <v>3029</v>
      </c>
      <c r="X70" s="269" t="s">
        <v>3211</v>
      </c>
      <c r="Y70" s="259">
        <v>68</v>
      </c>
      <c r="Z70" s="259" t="s">
        <v>3030</v>
      </c>
      <c r="AA70" s="259"/>
      <c r="AB70" s="259"/>
      <c r="AC70" s="259"/>
      <c r="AD70" s="259"/>
      <c r="AE70" s="259"/>
    </row>
    <row r="71" spans="1:31">
      <c r="A71" s="259" t="s">
        <v>228</v>
      </c>
      <c r="B71" s="259" t="s">
        <v>1</v>
      </c>
      <c r="C71" s="264" t="s">
        <v>1949</v>
      </c>
      <c r="D71" s="264" t="s">
        <v>3212</v>
      </c>
      <c r="E71" s="259">
        <v>20010200</v>
      </c>
      <c r="H71" s="264" t="s">
        <v>1949</v>
      </c>
      <c r="I71" s="264" t="s">
        <v>3213</v>
      </c>
      <c r="J71" s="295">
        <v>180.07</v>
      </c>
      <c r="K71" s="295">
        <v>145</v>
      </c>
      <c r="L71" s="295">
        <v>102.04</v>
      </c>
      <c r="O71" s="266"/>
      <c r="P71" s="266">
        <v>885038039648</v>
      </c>
      <c r="Q71" s="266">
        <v>9002761011074</v>
      </c>
      <c r="R71" s="265">
        <v>3</v>
      </c>
      <c r="S71" s="265">
        <v>9</v>
      </c>
      <c r="T71" s="265">
        <v>6</v>
      </c>
      <c r="U71" s="265">
        <v>3.2</v>
      </c>
      <c r="V71" s="259" t="s">
        <v>3060</v>
      </c>
      <c r="W71" s="259" t="s">
        <v>3061</v>
      </c>
      <c r="X71" s="269" t="s">
        <v>3214</v>
      </c>
      <c r="Y71" s="259">
        <v>69</v>
      </c>
      <c r="Z71" s="259" t="s">
        <v>3030</v>
      </c>
      <c r="AA71" s="259"/>
      <c r="AB71" s="259"/>
      <c r="AC71" s="259"/>
      <c r="AD71" s="259"/>
      <c r="AE71" s="259"/>
    </row>
    <row r="72" spans="1:31">
      <c r="A72" s="259" t="s">
        <v>229</v>
      </c>
      <c r="B72" s="259" t="s">
        <v>1</v>
      </c>
      <c r="C72" s="264" t="s">
        <v>3215</v>
      </c>
      <c r="D72" s="264" t="s">
        <v>3216</v>
      </c>
      <c r="E72" s="259" t="s">
        <v>3195</v>
      </c>
      <c r="H72" s="264" t="s">
        <v>3217</v>
      </c>
      <c r="I72" s="264"/>
      <c r="J72" s="295">
        <v>369.14</v>
      </c>
      <c r="K72" s="295">
        <v>309</v>
      </c>
      <c r="L72" s="295">
        <v>214.88</v>
      </c>
      <c r="O72" s="266"/>
      <c r="P72" s="266">
        <v>885038039044</v>
      </c>
      <c r="R72" s="265"/>
      <c r="V72" s="259" t="s">
        <v>3218</v>
      </c>
      <c r="W72" s="259" t="s">
        <v>3061</v>
      </c>
      <c r="X72" s="269" t="s">
        <v>3219</v>
      </c>
      <c r="Y72" s="259">
        <v>70</v>
      </c>
      <c r="Z72" s="259" t="s">
        <v>3030</v>
      </c>
      <c r="AA72" s="259"/>
      <c r="AB72" s="259"/>
      <c r="AC72" s="259"/>
      <c r="AD72" s="259"/>
      <c r="AE72" s="259"/>
    </row>
    <row r="73" spans="1:31">
      <c r="A73" s="259" t="s">
        <v>230</v>
      </c>
      <c r="B73" s="259" t="s">
        <v>1</v>
      </c>
      <c r="C73" s="264" t="s">
        <v>3215</v>
      </c>
      <c r="D73" s="264" t="s">
        <v>3220</v>
      </c>
      <c r="E73" s="259" t="s">
        <v>3195</v>
      </c>
      <c r="H73" s="264" t="s">
        <v>3217</v>
      </c>
      <c r="I73" s="264" t="s">
        <v>3221</v>
      </c>
      <c r="J73" s="295">
        <v>154.63999999999999</v>
      </c>
      <c r="K73" s="295">
        <v>0</v>
      </c>
      <c r="L73" s="295">
        <v>83.77</v>
      </c>
      <c r="O73" s="266"/>
      <c r="P73" s="266">
        <v>885038039037</v>
      </c>
      <c r="R73" s="265"/>
      <c r="V73" s="259" t="s">
        <v>3218</v>
      </c>
      <c r="X73" s="269" t="s">
        <v>3222</v>
      </c>
      <c r="Y73" s="259">
        <v>71</v>
      </c>
      <c r="Z73" s="259" t="s">
        <v>3030</v>
      </c>
      <c r="AA73" s="259"/>
      <c r="AB73" s="259"/>
      <c r="AC73" s="259"/>
      <c r="AD73" s="259"/>
      <c r="AE73" s="259"/>
    </row>
    <row r="74" spans="1:31">
      <c r="A74" s="259" t="s">
        <v>231</v>
      </c>
      <c r="B74" s="259" t="s">
        <v>1</v>
      </c>
      <c r="C74" s="264" t="s">
        <v>3215</v>
      </c>
      <c r="D74" s="264" t="s">
        <v>3223</v>
      </c>
      <c r="E74" s="259" t="s">
        <v>3195</v>
      </c>
      <c r="H74" s="264" t="s">
        <v>3217</v>
      </c>
      <c r="I74" s="264" t="s">
        <v>3223</v>
      </c>
      <c r="J74" s="295">
        <v>154.63999999999999</v>
      </c>
      <c r="K74" s="295">
        <v>0</v>
      </c>
      <c r="L74" s="295">
        <v>83.77</v>
      </c>
      <c r="O74" s="266"/>
      <c r="P74" s="266">
        <v>885038039020</v>
      </c>
      <c r="R74" s="265"/>
      <c r="V74" s="259" t="s">
        <v>3218</v>
      </c>
      <c r="W74" s="259" t="s">
        <v>3061</v>
      </c>
      <c r="X74" s="269" t="s">
        <v>3224</v>
      </c>
      <c r="Y74" s="259">
        <v>72</v>
      </c>
      <c r="Z74" s="259" t="s">
        <v>3030</v>
      </c>
      <c r="AA74" s="259"/>
      <c r="AB74" s="259"/>
      <c r="AC74" s="259"/>
      <c r="AD74" s="259"/>
      <c r="AE74" s="259"/>
    </row>
    <row r="75" spans="1:31">
      <c r="A75" s="259" t="s">
        <v>232</v>
      </c>
      <c r="B75" s="259" t="s">
        <v>1</v>
      </c>
      <c r="C75" s="264" t="s">
        <v>3026</v>
      </c>
      <c r="D75" s="264" t="s">
        <v>3225</v>
      </c>
      <c r="E75" s="259" t="s">
        <v>3195</v>
      </c>
      <c r="H75" s="264" t="s">
        <v>3225</v>
      </c>
      <c r="I75" s="264" t="s">
        <v>3225</v>
      </c>
      <c r="J75" s="295">
        <v>253.06</v>
      </c>
      <c r="K75" s="295">
        <v>195</v>
      </c>
      <c r="L75" s="295">
        <v>137.08000000000001</v>
      </c>
      <c r="O75" s="266"/>
      <c r="P75" s="266">
        <v>885038038436</v>
      </c>
      <c r="R75" s="265"/>
      <c r="V75" s="259"/>
      <c r="X75" s="269" t="s">
        <v>3226</v>
      </c>
      <c r="Y75" s="259">
        <v>73</v>
      </c>
      <c r="Z75" s="259" t="s">
        <v>3227</v>
      </c>
      <c r="AA75" s="259"/>
      <c r="AB75" s="259"/>
      <c r="AC75" s="259"/>
      <c r="AD75" s="259"/>
      <c r="AE75" s="259"/>
    </row>
    <row r="76" spans="1:31">
      <c r="A76" s="259" t="s">
        <v>233</v>
      </c>
      <c r="B76" s="259" t="s">
        <v>1</v>
      </c>
      <c r="C76" s="264" t="s">
        <v>3026</v>
      </c>
      <c r="D76" s="264" t="s">
        <v>3228</v>
      </c>
      <c r="E76" s="259" t="s">
        <v>3195</v>
      </c>
      <c r="H76" s="264" t="s">
        <v>3228</v>
      </c>
      <c r="I76" s="264" t="s">
        <v>3228</v>
      </c>
      <c r="J76" s="295">
        <v>253.06</v>
      </c>
      <c r="K76" s="295">
        <v>0</v>
      </c>
      <c r="L76" s="295">
        <v>137.08000000000001</v>
      </c>
      <c r="O76" s="266"/>
      <c r="P76" s="266">
        <v>885038038412</v>
      </c>
      <c r="R76" s="265"/>
      <c r="V76" s="259" t="s">
        <v>3218</v>
      </c>
      <c r="X76" s="269" t="s">
        <v>3226</v>
      </c>
      <c r="Y76" s="259">
        <v>74</v>
      </c>
      <c r="Z76" s="259" t="s">
        <v>3227</v>
      </c>
      <c r="AA76" s="259"/>
      <c r="AB76" s="259"/>
      <c r="AC76" s="259"/>
      <c r="AD76" s="259"/>
      <c r="AE76" s="259"/>
    </row>
    <row r="77" spans="1:31">
      <c r="A77" s="259" t="s">
        <v>234</v>
      </c>
      <c r="B77" s="259" t="s">
        <v>1</v>
      </c>
      <c r="C77" s="264" t="s">
        <v>3026</v>
      </c>
      <c r="D77" s="264" t="s">
        <v>3229</v>
      </c>
      <c r="E77" s="259" t="s">
        <v>3195</v>
      </c>
      <c r="H77" s="264" t="s">
        <v>3229</v>
      </c>
      <c r="I77" s="264" t="s">
        <v>3229</v>
      </c>
      <c r="J77" s="295">
        <v>253.06</v>
      </c>
      <c r="K77" s="295">
        <v>0</v>
      </c>
      <c r="L77" s="295">
        <v>137.08000000000001</v>
      </c>
      <c r="O77" s="266"/>
      <c r="P77" s="266">
        <v>885038038405</v>
      </c>
      <c r="R77" s="265">
        <v>7</v>
      </c>
      <c r="S77" s="265">
        <v>6.5</v>
      </c>
      <c r="T77" s="265">
        <v>2.5</v>
      </c>
      <c r="V77" s="259" t="s">
        <v>3218</v>
      </c>
      <c r="W77" s="259" t="s">
        <v>3061</v>
      </c>
      <c r="X77" s="269" t="s">
        <v>3226</v>
      </c>
      <c r="Y77" s="259">
        <v>75</v>
      </c>
      <c r="Z77" s="259" t="s">
        <v>3227</v>
      </c>
      <c r="AA77" s="259"/>
      <c r="AB77" s="259"/>
      <c r="AC77" s="259"/>
      <c r="AD77" s="259"/>
      <c r="AE77" s="259"/>
    </row>
    <row r="78" spans="1:31">
      <c r="A78" s="259" t="s">
        <v>235</v>
      </c>
      <c r="B78" s="259" t="s">
        <v>1</v>
      </c>
      <c r="C78" s="264" t="s">
        <v>3026</v>
      </c>
      <c r="D78" s="264" t="s">
        <v>3230</v>
      </c>
      <c r="E78" s="259" t="s">
        <v>3195</v>
      </c>
      <c r="H78" s="264" t="s">
        <v>15</v>
      </c>
      <c r="I78" s="264" t="s">
        <v>15</v>
      </c>
      <c r="J78" s="295">
        <v>503.32</v>
      </c>
      <c r="K78" s="295">
        <v>0</v>
      </c>
      <c r="L78" s="295">
        <v>272.66000000000003</v>
      </c>
      <c r="O78" s="266"/>
      <c r="P78" s="266">
        <v>885038033899</v>
      </c>
      <c r="R78" s="265"/>
      <c r="V78" s="259" t="s">
        <v>3218</v>
      </c>
      <c r="X78" s="269" t="s">
        <v>3231</v>
      </c>
      <c r="Y78" s="259">
        <v>76</v>
      </c>
      <c r="Z78" s="259" t="s">
        <v>3227</v>
      </c>
      <c r="AA78" s="259"/>
      <c r="AB78" s="259"/>
      <c r="AC78" s="259"/>
      <c r="AD78" s="259"/>
      <c r="AE78" s="259"/>
    </row>
    <row r="79" spans="1:31">
      <c r="A79" s="259" t="s">
        <v>236</v>
      </c>
      <c r="B79" s="259" t="s">
        <v>1</v>
      </c>
      <c r="C79" s="264" t="s">
        <v>3026</v>
      </c>
      <c r="D79" s="264" t="s">
        <v>3232</v>
      </c>
      <c r="E79" s="259" t="s">
        <v>3195</v>
      </c>
      <c r="H79" s="264" t="s">
        <v>15</v>
      </c>
      <c r="I79" s="264" t="s">
        <v>15</v>
      </c>
      <c r="J79" s="295">
        <v>503.32</v>
      </c>
      <c r="K79" s="295">
        <v>0</v>
      </c>
      <c r="L79" s="295">
        <v>272.66000000000003</v>
      </c>
      <c r="O79" s="266"/>
      <c r="P79" s="266">
        <v>885038033905</v>
      </c>
      <c r="R79" s="265"/>
      <c r="V79" s="259" t="s">
        <v>3218</v>
      </c>
      <c r="X79" s="269" t="s">
        <v>3233</v>
      </c>
      <c r="Y79" s="259">
        <v>77</v>
      </c>
      <c r="Z79" s="259" t="s">
        <v>3227</v>
      </c>
      <c r="AA79" s="259"/>
      <c r="AB79" s="259"/>
      <c r="AC79" s="259"/>
      <c r="AD79" s="259"/>
      <c r="AE79" s="259"/>
    </row>
    <row r="80" spans="1:31">
      <c r="A80" s="259" t="s">
        <v>237</v>
      </c>
      <c r="B80" s="259" t="s">
        <v>1</v>
      </c>
      <c r="C80" s="264"/>
      <c r="D80" s="264"/>
      <c r="H80" s="264"/>
      <c r="I80" s="264"/>
      <c r="J80" s="295">
        <v>0</v>
      </c>
      <c r="K80" s="295">
        <v>0</v>
      </c>
      <c r="L80" s="295">
        <v>0</v>
      </c>
      <c r="O80" s="266"/>
      <c r="R80" s="265"/>
      <c r="V80" s="259"/>
      <c r="Y80" s="259">
        <v>79</v>
      </c>
      <c r="AA80" s="259"/>
      <c r="AB80" s="259"/>
      <c r="AC80" s="259"/>
      <c r="AD80" s="259"/>
      <c r="AE80" s="259"/>
    </row>
    <row r="81" spans="1:31">
      <c r="A81" s="259" t="s">
        <v>238</v>
      </c>
      <c r="B81" s="259" t="s">
        <v>1</v>
      </c>
      <c r="C81" s="264"/>
      <c r="D81" s="264"/>
      <c r="H81" s="264"/>
      <c r="I81" s="264"/>
      <c r="J81" s="295">
        <v>0</v>
      </c>
      <c r="K81" s="295">
        <v>0</v>
      </c>
      <c r="L81" s="295">
        <v>0</v>
      </c>
      <c r="O81" s="266"/>
      <c r="R81" s="265"/>
      <c r="V81" s="259"/>
      <c r="Y81" s="259">
        <v>80</v>
      </c>
      <c r="AA81" s="259"/>
      <c r="AB81" s="259"/>
      <c r="AC81" s="259"/>
      <c r="AD81" s="259"/>
      <c r="AE81" s="259"/>
    </row>
    <row r="82" spans="1:31">
      <c r="A82" s="259" t="s">
        <v>239</v>
      </c>
      <c r="B82" s="259" t="s">
        <v>1</v>
      </c>
      <c r="C82" s="264" t="s">
        <v>3193</v>
      </c>
      <c r="D82" s="264" t="s">
        <v>3234</v>
      </c>
      <c r="E82" s="259" t="s">
        <v>3195</v>
      </c>
      <c r="H82" s="264" t="s">
        <v>3235</v>
      </c>
      <c r="I82" s="264" t="s">
        <v>3236</v>
      </c>
      <c r="J82" s="295">
        <v>233.69</v>
      </c>
      <c r="K82" s="295">
        <v>181</v>
      </c>
      <c r="L82" s="295">
        <v>129.83000000000001</v>
      </c>
      <c r="O82" s="266">
        <v>20</v>
      </c>
      <c r="P82" s="266">
        <v>885038028390</v>
      </c>
      <c r="Q82" s="266">
        <v>9002761028393</v>
      </c>
      <c r="R82" s="265">
        <v>3</v>
      </c>
      <c r="S82" s="265">
        <v>3</v>
      </c>
      <c r="T82" s="265">
        <v>18</v>
      </c>
      <c r="U82" s="265">
        <v>2</v>
      </c>
      <c r="V82" s="259" t="s">
        <v>3028</v>
      </c>
      <c r="W82" s="259" t="s">
        <v>3029</v>
      </c>
      <c r="X82" s="269" t="s">
        <v>3237</v>
      </c>
      <c r="Y82" s="259">
        <v>81</v>
      </c>
      <c r="Z82" s="259" t="s">
        <v>3030</v>
      </c>
      <c r="AA82" s="259"/>
      <c r="AB82" s="259"/>
      <c r="AC82" s="259"/>
      <c r="AD82" s="259"/>
      <c r="AE82" s="259"/>
    </row>
    <row r="83" spans="1:31">
      <c r="A83" s="259" t="s">
        <v>240</v>
      </c>
      <c r="B83" s="259" t="s">
        <v>1</v>
      </c>
      <c r="C83" s="264" t="s">
        <v>3193</v>
      </c>
      <c r="D83" s="264" t="s">
        <v>3238</v>
      </c>
      <c r="E83" s="259" t="s">
        <v>3195</v>
      </c>
      <c r="H83" s="264" t="s">
        <v>3235</v>
      </c>
      <c r="I83" s="264" t="s">
        <v>3239</v>
      </c>
      <c r="J83" s="295">
        <v>233.69</v>
      </c>
      <c r="K83" s="295">
        <v>181</v>
      </c>
      <c r="L83" s="295">
        <v>129.83000000000001</v>
      </c>
      <c r="O83" s="266"/>
      <c r="P83" s="266">
        <v>885038028406</v>
      </c>
      <c r="Q83" s="266">
        <v>9002761028409</v>
      </c>
      <c r="R83" s="265">
        <v>5</v>
      </c>
      <c r="S83" s="265">
        <v>22</v>
      </c>
      <c r="T83" s="265">
        <v>11</v>
      </c>
      <c r="U83" s="265">
        <v>2.8</v>
      </c>
      <c r="V83" s="259" t="s">
        <v>3028</v>
      </c>
      <c r="W83" s="259" t="s">
        <v>3029</v>
      </c>
      <c r="X83" s="269" t="s">
        <v>3240</v>
      </c>
      <c r="Y83" s="259">
        <v>82</v>
      </c>
      <c r="Z83" s="259" t="s">
        <v>3030</v>
      </c>
      <c r="AA83" s="259"/>
      <c r="AB83" s="259"/>
      <c r="AC83" s="259"/>
      <c r="AD83" s="259"/>
      <c r="AE83" s="259"/>
    </row>
    <row r="84" spans="1:31">
      <c r="A84" s="259" t="s">
        <v>241</v>
      </c>
      <c r="B84" s="259" t="s">
        <v>1</v>
      </c>
      <c r="C84" s="264" t="s">
        <v>3193</v>
      </c>
      <c r="D84" s="264" t="s">
        <v>3241</v>
      </c>
      <c r="E84" s="259" t="s">
        <v>3195</v>
      </c>
      <c r="H84" s="264" t="s">
        <v>3242</v>
      </c>
      <c r="I84" s="264" t="s">
        <v>3243</v>
      </c>
      <c r="J84" s="295">
        <v>233.69</v>
      </c>
      <c r="K84" s="295">
        <v>181</v>
      </c>
      <c r="L84" s="295">
        <v>129.83000000000001</v>
      </c>
      <c r="O84" s="266">
        <v>10</v>
      </c>
      <c r="P84" s="266">
        <v>885038028413</v>
      </c>
      <c r="Q84" s="266">
        <v>9002761028416</v>
      </c>
      <c r="R84" s="265">
        <v>6</v>
      </c>
      <c r="S84" s="265">
        <v>8</v>
      </c>
      <c r="T84" s="265">
        <v>11</v>
      </c>
      <c r="U84" s="265">
        <v>5.2</v>
      </c>
      <c r="V84" s="259" t="s">
        <v>3028</v>
      </c>
      <c r="W84" s="259" t="s">
        <v>3029</v>
      </c>
      <c r="X84" s="269" t="s">
        <v>3244</v>
      </c>
      <c r="Y84" s="259">
        <v>83</v>
      </c>
      <c r="Z84" s="259" t="s">
        <v>3030</v>
      </c>
      <c r="AA84" s="259"/>
      <c r="AB84" s="259"/>
      <c r="AC84" s="259"/>
      <c r="AD84" s="259"/>
      <c r="AE84" s="259"/>
    </row>
    <row r="85" spans="1:31">
      <c r="A85" s="259" t="s">
        <v>242</v>
      </c>
      <c r="B85" s="259" t="s">
        <v>1</v>
      </c>
      <c r="C85" s="264" t="s">
        <v>3193</v>
      </c>
      <c r="D85" s="264" t="s">
        <v>3245</v>
      </c>
      <c r="E85" s="259" t="s">
        <v>3195</v>
      </c>
      <c r="H85" s="264" t="s">
        <v>3235</v>
      </c>
      <c r="I85" s="264" t="s">
        <v>3246</v>
      </c>
      <c r="J85" s="295">
        <v>283.14999999999998</v>
      </c>
      <c r="K85" s="295">
        <v>222</v>
      </c>
      <c r="L85" s="295">
        <v>154.56</v>
      </c>
      <c r="O85" s="266">
        <v>40</v>
      </c>
      <c r="P85" s="266">
        <v>885038003069</v>
      </c>
      <c r="Q85" s="266">
        <v>9002761003062</v>
      </c>
      <c r="R85" s="265">
        <v>3</v>
      </c>
      <c r="S85" s="265">
        <v>11</v>
      </c>
      <c r="T85" s="265">
        <v>5</v>
      </c>
      <c r="U85" s="265">
        <v>3.2</v>
      </c>
      <c r="V85" s="259" t="s">
        <v>3247</v>
      </c>
      <c r="W85" s="259" t="s">
        <v>3061</v>
      </c>
      <c r="X85" s="269" t="s">
        <v>3248</v>
      </c>
      <c r="Y85" s="259">
        <v>84</v>
      </c>
      <c r="Z85" s="259" t="s">
        <v>3030</v>
      </c>
      <c r="AA85" s="259"/>
      <c r="AB85" s="259"/>
      <c r="AC85" s="259"/>
      <c r="AD85" s="259"/>
      <c r="AE85" s="259"/>
    </row>
    <row r="86" spans="1:31">
      <c r="A86" s="259" t="s">
        <v>243</v>
      </c>
      <c r="B86" s="259" t="s">
        <v>1</v>
      </c>
      <c r="C86" s="264" t="s">
        <v>3193</v>
      </c>
      <c r="D86" s="264" t="s">
        <v>3249</v>
      </c>
      <c r="E86" s="259" t="s">
        <v>3195</v>
      </c>
      <c r="H86" s="264" t="s">
        <v>3235</v>
      </c>
      <c r="I86" s="264" t="s">
        <v>3250</v>
      </c>
      <c r="J86" s="295">
        <v>394.44</v>
      </c>
      <c r="K86" s="295">
        <v>308</v>
      </c>
      <c r="L86" s="295">
        <v>216.38</v>
      </c>
      <c r="O86" s="266">
        <v>40</v>
      </c>
      <c r="P86" s="266">
        <v>885038016373</v>
      </c>
      <c r="Q86" s="266">
        <v>9002761016376</v>
      </c>
      <c r="R86" s="265">
        <v>4</v>
      </c>
      <c r="S86" s="265">
        <v>6</v>
      </c>
      <c r="T86" s="265">
        <v>12</v>
      </c>
      <c r="U86" s="265">
        <v>3.2</v>
      </c>
      <c r="V86" s="259" t="s">
        <v>3247</v>
      </c>
      <c r="W86" s="259" t="s">
        <v>3061</v>
      </c>
      <c r="X86" s="269" t="s">
        <v>3251</v>
      </c>
      <c r="Y86" s="259">
        <v>85</v>
      </c>
      <c r="Z86" s="259" t="s">
        <v>3030</v>
      </c>
      <c r="AA86" s="259"/>
      <c r="AB86" s="259"/>
      <c r="AC86" s="259"/>
      <c r="AD86" s="259"/>
      <c r="AE86" s="259"/>
    </row>
    <row r="87" spans="1:31">
      <c r="A87" s="259" t="s">
        <v>244</v>
      </c>
      <c r="B87" s="259" t="s">
        <v>1</v>
      </c>
      <c r="C87" s="264" t="s">
        <v>3193</v>
      </c>
      <c r="D87" s="264" t="s">
        <v>3252</v>
      </c>
      <c r="E87" s="259" t="s">
        <v>3195</v>
      </c>
      <c r="H87" s="264" t="s">
        <v>3235</v>
      </c>
      <c r="I87" s="264" t="s">
        <v>3253</v>
      </c>
      <c r="J87" s="295">
        <v>283.14999999999998</v>
      </c>
      <c r="K87" s="295">
        <v>222</v>
      </c>
      <c r="L87" s="295">
        <v>154.56</v>
      </c>
      <c r="O87" s="266">
        <v>40</v>
      </c>
      <c r="P87" s="266">
        <v>885038003076</v>
      </c>
      <c r="Q87" s="266">
        <v>9002761003079</v>
      </c>
      <c r="R87" s="265">
        <v>3.5</v>
      </c>
      <c r="S87" s="265">
        <v>11.5</v>
      </c>
      <c r="T87" s="265">
        <v>5</v>
      </c>
      <c r="U87" s="265">
        <v>3.6</v>
      </c>
      <c r="V87" s="259" t="s">
        <v>3247</v>
      </c>
      <c r="W87" s="259" t="s">
        <v>3061</v>
      </c>
      <c r="X87" s="269" t="s">
        <v>3254</v>
      </c>
      <c r="Y87" s="259">
        <v>86</v>
      </c>
      <c r="Z87" s="259" t="s">
        <v>3030</v>
      </c>
      <c r="AA87" s="259"/>
      <c r="AB87" s="259"/>
      <c r="AC87" s="259"/>
      <c r="AD87" s="259"/>
      <c r="AE87" s="259"/>
    </row>
    <row r="88" spans="1:31">
      <c r="A88" s="259" t="s">
        <v>245</v>
      </c>
      <c r="B88" s="259" t="s">
        <v>1</v>
      </c>
      <c r="C88" s="264" t="s">
        <v>3193</v>
      </c>
      <c r="D88" s="264" t="s">
        <v>3255</v>
      </c>
      <c r="E88" s="259" t="s">
        <v>3195</v>
      </c>
      <c r="H88" s="264" t="s">
        <v>3235</v>
      </c>
      <c r="I88" s="264" t="s">
        <v>3256</v>
      </c>
      <c r="J88" s="295">
        <v>159.51</v>
      </c>
      <c r="K88" s="295">
        <v>123</v>
      </c>
      <c r="L88" s="295">
        <v>86.55</v>
      </c>
      <c r="O88" s="266"/>
      <c r="P88" s="266">
        <v>885038030645</v>
      </c>
      <c r="Q88" s="266">
        <v>9002761030648</v>
      </c>
      <c r="R88" s="265">
        <v>3</v>
      </c>
      <c r="S88" s="265">
        <v>48</v>
      </c>
      <c r="T88" s="265">
        <v>16</v>
      </c>
      <c r="U88" s="265">
        <v>1.28</v>
      </c>
      <c r="V88" s="259" t="s">
        <v>3247</v>
      </c>
      <c r="W88" s="259" t="s">
        <v>3061</v>
      </c>
      <c r="X88" s="269" t="s">
        <v>3257</v>
      </c>
      <c r="Y88" s="259">
        <v>87</v>
      </c>
      <c r="Z88" s="259" t="s">
        <v>3030</v>
      </c>
      <c r="AA88" s="259"/>
      <c r="AB88" s="259"/>
      <c r="AC88" s="259"/>
      <c r="AD88" s="259"/>
      <c r="AE88" s="259"/>
    </row>
    <row r="89" spans="1:31">
      <c r="A89" s="259" t="s">
        <v>246</v>
      </c>
      <c r="B89" s="259" t="s">
        <v>1</v>
      </c>
      <c r="C89" s="264" t="s">
        <v>3193</v>
      </c>
      <c r="D89" s="264" t="s">
        <v>3258</v>
      </c>
      <c r="E89" s="259" t="s">
        <v>3195</v>
      </c>
      <c r="H89" s="264" t="s">
        <v>3235</v>
      </c>
      <c r="I89" s="264" t="s">
        <v>3259</v>
      </c>
      <c r="J89" s="295">
        <v>307.88</v>
      </c>
      <c r="K89" s="295">
        <v>247</v>
      </c>
      <c r="L89" s="295">
        <v>173.11</v>
      </c>
      <c r="O89" s="266">
        <v>25</v>
      </c>
      <c r="P89" s="266">
        <v>885038008477</v>
      </c>
      <c r="Q89" s="266">
        <v>9002761008470</v>
      </c>
      <c r="R89" s="265">
        <v>3</v>
      </c>
      <c r="S89" s="265">
        <v>4</v>
      </c>
      <c r="T89" s="265">
        <v>20</v>
      </c>
      <c r="U89" s="265">
        <v>3</v>
      </c>
      <c r="V89" s="259" t="s">
        <v>3247</v>
      </c>
      <c r="W89" s="259" t="s">
        <v>3061</v>
      </c>
      <c r="X89" s="269" t="s">
        <v>3260</v>
      </c>
      <c r="Y89" s="259">
        <v>88</v>
      </c>
      <c r="Z89" s="259" t="s">
        <v>3030</v>
      </c>
      <c r="AA89" s="259"/>
      <c r="AB89" s="259"/>
      <c r="AC89" s="259"/>
      <c r="AD89" s="259"/>
      <c r="AE89" s="259"/>
    </row>
    <row r="90" spans="1:31">
      <c r="A90" s="259" t="s">
        <v>247</v>
      </c>
      <c r="B90" s="259" t="s">
        <v>1</v>
      </c>
      <c r="C90" s="264" t="s">
        <v>3193</v>
      </c>
      <c r="D90" s="264" t="s">
        <v>3261</v>
      </c>
      <c r="E90" s="259" t="s">
        <v>3195</v>
      </c>
      <c r="H90" s="264" t="s">
        <v>3235</v>
      </c>
      <c r="I90" s="264" t="s">
        <v>3262</v>
      </c>
      <c r="J90" s="295">
        <v>246.06</v>
      </c>
      <c r="K90" s="295">
        <v>195</v>
      </c>
      <c r="L90" s="295">
        <v>138.49</v>
      </c>
      <c r="O90" s="266">
        <v>25</v>
      </c>
      <c r="P90" s="266">
        <v>885038005704</v>
      </c>
      <c r="Q90" s="266">
        <v>9002761005707</v>
      </c>
      <c r="R90" s="265">
        <v>3</v>
      </c>
      <c r="S90" s="265">
        <v>3</v>
      </c>
      <c r="T90" s="265">
        <v>18</v>
      </c>
      <c r="U90" s="265">
        <v>2.8</v>
      </c>
      <c r="V90" s="259" t="s">
        <v>3247</v>
      </c>
      <c r="W90" s="259" t="s">
        <v>3061</v>
      </c>
      <c r="X90" s="269" t="s">
        <v>3263</v>
      </c>
      <c r="Y90" s="259">
        <v>89</v>
      </c>
      <c r="Z90" s="259" t="s">
        <v>3264</v>
      </c>
      <c r="AA90" s="259"/>
      <c r="AB90" s="259"/>
      <c r="AC90" s="259"/>
      <c r="AD90" s="259"/>
      <c r="AE90" s="259"/>
    </row>
    <row r="91" spans="1:31">
      <c r="A91" s="259" t="s">
        <v>248</v>
      </c>
      <c r="B91" s="259" t="s">
        <v>1</v>
      </c>
      <c r="C91" s="264" t="s">
        <v>3193</v>
      </c>
      <c r="D91" s="264" t="s">
        <v>3265</v>
      </c>
      <c r="E91" s="259" t="s">
        <v>3195</v>
      </c>
      <c r="H91" s="264" t="s">
        <v>3235</v>
      </c>
      <c r="I91" s="264" t="s">
        <v>3266</v>
      </c>
      <c r="J91" s="295">
        <v>159.51</v>
      </c>
      <c r="K91" s="295">
        <v>123</v>
      </c>
      <c r="L91" s="295">
        <v>86.55</v>
      </c>
      <c r="O91" s="266"/>
      <c r="P91" s="266">
        <v>885038030652</v>
      </c>
      <c r="Q91" s="266">
        <v>9002761030655</v>
      </c>
      <c r="R91" s="265">
        <v>1</v>
      </c>
      <c r="S91" s="265">
        <v>13.5</v>
      </c>
      <c r="T91" s="265">
        <v>1.5</v>
      </c>
      <c r="U91" s="265">
        <v>1.28</v>
      </c>
      <c r="V91" s="259" t="s">
        <v>3247</v>
      </c>
      <c r="W91" s="259" t="s">
        <v>3061</v>
      </c>
      <c r="X91" s="269" t="s">
        <v>3267</v>
      </c>
      <c r="Y91" s="259">
        <v>90</v>
      </c>
      <c r="Z91" s="259" t="s">
        <v>3030</v>
      </c>
      <c r="AA91" s="259"/>
      <c r="AB91" s="259"/>
      <c r="AC91" s="259"/>
      <c r="AD91" s="259"/>
      <c r="AE91" s="259"/>
    </row>
    <row r="92" spans="1:31">
      <c r="A92" s="259" t="s">
        <v>249</v>
      </c>
      <c r="B92" s="259" t="s">
        <v>1</v>
      </c>
      <c r="C92" s="264" t="s">
        <v>3193</v>
      </c>
      <c r="D92" s="264" t="s">
        <v>3268</v>
      </c>
      <c r="E92" s="259" t="s">
        <v>3195</v>
      </c>
      <c r="H92" s="264" t="s">
        <v>3235</v>
      </c>
      <c r="I92" s="264" t="s">
        <v>3269</v>
      </c>
      <c r="J92" s="295">
        <v>357.34</v>
      </c>
      <c r="K92" s="295">
        <v>278</v>
      </c>
      <c r="L92" s="295">
        <v>197.84</v>
      </c>
      <c r="O92" s="266">
        <v>25</v>
      </c>
      <c r="P92" s="266">
        <v>885038016380</v>
      </c>
      <c r="Q92" s="266">
        <v>9002761016383</v>
      </c>
      <c r="R92" s="265">
        <v>3</v>
      </c>
      <c r="S92" s="265">
        <v>5</v>
      </c>
      <c r="T92" s="265">
        <v>21</v>
      </c>
      <c r="U92" s="265">
        <v>2.8</v>
      </c>
      <c r="V92" s="259" t="s">
        <v>3247</v>
      </c>
      <c r="W92" s="259" t="s">
        <v>3061</v>
      </c>
      <c r="X92" s="269" t="s">
        <v>3270</v>
      </c>
      <c r="Y92" s="259">
        <v>91</v>
      </c>
      <c r="Z92" s="259" t="s">
        <v>3030</v>
      </c>
      <c r="AA92" s="259"/>
      <c r="AB92" s="259"/>
      <c r="AC92" s="259"/>
      <c r="AD92" s="259"/>
      <c r="AE92" s="259"/>
    </row>
    <row r="93" spans="1:31">
      <c r="A93" s="259" t="s">
        <v>250</v>
      </c>
      <c r="B93" s="259" t="s">
        <v>1</v>
      </c>
      <c r="C93" s="264" t="s">
        <v>3193</v>
      </c>
      <c r="D93" s="264" t="s">
        <v>3271</v>
      </c>
      <c r="E93" s="259" t="s">
        <v>3195</v>
      </c>
      <c r="H93" s="264" t="s">
        <v>3235</v>
      </c>
      <c r="I93" s="264" t="s">
        <v>3272</v>
      </c>
      <c r="J93" s="295">
        <v>307.88</v>
      </c>
      <c r="K93" s="295">
        <v>247</v>
      </c>
      <c r="L93" s="295">
        <v>173.11</v>
      </c>
      <c r="O93" s="266">
        <v>25</v>
      </c>
      <c r="P93" s="266">
        <v>885038003090</v>
      </c>
      <c r="Q93" s="266">
        <v>9002761003093</v>
      </c>
      <c r="R93" s="265">
        <v>5</v>
      </c>
      <c r="S93" s="265">
        <v>11</v>
      </c>
      <c r="T93" s="265">
        <v>22</v>
      </c>
      <c r="U93" s="265">
        <v>3.2</v>
      </c>
      <c r="V93" s="259" t="s">
        <v>3247</v>
      </c>
      <c r="W93" s="259" t="s">
        <v>3061</v>
      </c>
      <c r="X93" s="269" t="s">
        <v>3273</v>
      </c>
      <c r="Y93" s="259">
        <v>92</v>
      </c>
      <c r="Z93" s="259" t="s">
        <v>3030</v>
      </c>
      <c r="AA93" s="259"/>
      <c r="AB93" s="259"/>
      <c r="AC93" s="259"/>
      <c r="AD93" s="259"/>
      <c r="AE93" s="259"/>
    </row>
    <row r="94" spans="1:31">
      <c r="A94" s="259" t="s">
        <v>251</v>
      </c>
      <c r="B94" s="259" t="s">
        <v>1</v>
      </c>
      <c r="C94" s="264" t="s">
        <v>3193</v>
      </c>
      <c r="D94" s="264" t="s">
        <v>3274</v>
      </c>
      <c r="E94" s="259" t="s">
        <v>3195</v>
      </c>
      <c r="H94" s="264" t="s">
        <v>3235</v>
      </c>
      <c r="I94" s="264" t="s">
        <v>3275</v>
      </c>
      <c r="J94" s="295">
        <v>307.88</v>
      </c>
      <c r="K94" s="295">
        <v>247</v>
      </c>
      <c r="L94" s="295">
        <v>173.11</v>
      </c>
      <c r="O94" s="266">
        <v>25</v>
      </c>
      <c r="P94" s="266">
        <v>885038003106</v>
      </c>
      <c r="Q94" s="266">
        <v>9002761003109</v>
      </c>
      <c r="R94" s="265">
        <v>3</v>
      </c>
      <c r="S94" s="265">
        <v>5</v>
      </c>
      <c r="T94" s="265">
        <v>20</v>
      </c>
      <c r="U94" s="265">
        <v>3.2</v>
      </c>
      <c r="V94" s="259" t="s">
        <v>3247</v>
      </c>
      <c r="W94" s="259" t="s">
        <v>3061</v>
      </c>
      <c r="X94" s="269" t="s">
        <v>3276</v>
      </c>
      <c r="Y94" s="259">
        <v>93</v>
      </c>
      <c r="Z94" s="259" t="s">
        <v>3030</v>
      </c>
      <c r="AA94" s="259"/>
      <c r="AB94" s="259"/>
      <c r="AC94" s="259"/>
      <c r="AD94" s="259"/>
      <c r="AE94" s="259"/>
    </row>
    <row r="95" spans="1:31">
      <c r="A95" s="259" t="s">
        <v>252</v>
      </c>
      <c r="B95" s="259" t="s">
        <v>1</v>
      </c>
      <c r="C95" s="264" t="s">
        <v>3193</v>
      </c>
      <c r="D95" s="264" t="s">
        <v>3277</v>
      </c>
      <c r="E95" s="259" t="s">
        <v>3195</v>
      </c>
      <c r="H95" s="264" t="s">
        <v>3235</v>
      </c>
      <c r="I95" s="264" t="s">
        <v>3278</v>
      </c>
      <c r="J95" s="295">
        <v>307.88</v>
      </c>
      <c r="K95" s="295">
        <v>247</v>
      </c>
      <c r="L95" s="295">
        <v>173.11</v>
      </c>
      <c r="O95" s="266">
        <v>25</v>
      </c>
      <c r="P95" s="266">
        <v>885038004578</v>
      </c>
      <c r="Q95" s="266">
        <v>9002761004571</v>
      </c>
      <c r="R95" s="265">
        <v>3</v>
      </c>
      <c r="S95" s="265">
        <v>26</v>
      </c>
      <c r="T95" s="265">
        <v>5</v>
      </c>
      <c r="U95" s="265">
        <v>3.2</v>
      </c>
      <c r="V95" s="259" t="s">
        <v>3247</v>
      </c>
      <c r="W95" s="259" t="s">
        <v>3061</v>
      </c>
      <c r="X95" s="269" t="s">
        <v>3279</v>
      </c>
      <c r="Y95" s="259">
        <v>94</v>
      </c>
      <c r="Z95" s="259" t="s">
        <v>3030</v>
      </c>
      <c r="AA95" s="259"/>
      <c r="AB95" s="259"/>
      <c r="AC95" s="259"/>
      <c r="AD95" s="259"/>
      <c r="AE95" s="259"/>
    </row>
    <row r="96" spans="1:31">
      <c r="A96" s="259" t="s">
        <v>253</v>
      </c>
      <c r="B96" s="259" t="s">
        <v>1</v>
      </c>
      <c r="C96" s="264" t="s">
        <v>3193</v>
      </c>
      <c r="D96" s="264" t="s">
        <v>3280</v>
      </c>
      <c r="E96" s="259" t="s">
        <v>3195</v>
      </c>
      <c r="H96" s="264" t="s">
        <v>3235</v>
      </c>
      <c r="I96" s="264" t="s">
        <v>3281</v>
      </c>
      <c r="J96" s="295">
        <v>307.88</v>
      </c>
      <c r="K96" s="295">
        <v>247</v>
      </c>
      <c r="L96" s="295">
        <v>173.11</v>
      </c>
      <c r="O96" s="266">
        <v>25</v>
      </c>
      <c r="P96" s="266">
        <v>885038004585</v>
      </c>
      <c r="Q96" s="266">
        <v>9002761004588</v>
      </c>
      <c r="R96" s="265">
        <v>5</v>
      </c>
      <c r="S96" s="265">
        <v>5</v>
      </c>
      <c r="T96" s="265">
        <v>27</v>
      </c>
      <c r="U96" s="265">
        <v>3.2</v>
      </c>
      <c r="V96" s="259" t="s">
        <v>3247</v>
      </c>
      <c r="W96" s="259" t="s">
        <v>3061</v>
      </c>
      <c r="X96" s="269" t="s">
        <v>3282</v>
      </c>
      <c r="Y96" s="259">
        <v>95</v>
      </c>
      <c r="Z96" s="259" t="s">
        <v>3030</v>
      </c>
      <c r="AA96" s="259"/>
      <c r="AB96" s="259"/>
      <c r="AC96" s="259"/>
      <c r="AD96" s="259"/>
      <c r="AE96" s="259"/>
    </row>
    <row r="97" spans="1:31">
      <c r="A97" s="259" t="s">
        <v>254</v>
      </c>
      <c r="B97" s="259" t="s">
        <v>1</v>
      </c>
      <c r="C97" s="264" t="s">
        <v>3193</v>
      </c>
      <c r="D97" s="264" t="s">
        <v>3283</v>
      </c>
      <c r="E97" s="259" t="s">
        <v>3195</v>
      </c>
      <c r="H97" s="264" t="s">
        <v>3235</v>
      </c>
      <c r="I97" s="264" t="s">
        <v>3284</v>
      </c>
      <c r="J97" s="295">
        <v>246.06</v>
      </c>
      <c r="K97" s="295">
        <v>195</v>
      </c>
      <c r="L97" s="295">
        <v>138.49</v>
      </c>
      <c r="O97" s="266">
        <v>25</v>
      </c>
      <c r="P97" s="266">
        <v>885038005711</v>
      </c>
      <c r="Q97" s="266">
        <v>9002761005714</v>
      </c>
      <c r="R97" s="265">
        <v>3</v>
      </c>
      <c r="S97" s="265">
        <v>26</v>
      </c>
      <c r="T97" s="265">
        <v>3</v>
      </c>
      <c r="U97" s="265">
        <v>2.8</v>
      </c>
      <c r="V97" s="259" t="s">
        <v>3247</v>
      </c>
      <c r="W97" s="259" t="s">
        <v>3061</v>
      </c>
      <c r="X97" s="269" t="s">
        <v>3285</v>
      </c>
      <c r="Y97" s="259">
        <v>96</v>
      </c>
      <c r="Z97" s="259" t="s">
        <v>3037</v>
      </c>
      <c r="AA97" s="259"/>
      <c r="AB97" s="259"/>
      <c r="AC97" s="259"/>
      <c r="AD97" s="259"/>
      <c r="AE97" s="259"/>
    </row>
    <row r="98" spans="1:31">
      <c r="A98" s="259" t="s">
        <v>255</v>
      </c>
      <c r="B98" s="259" t="s">
        <v>1</v>
      </c>
      <c r="C98" s="264" t="s">
        <v>3193</v>
      </c>
      <c r="D98" s="264" t="s">
        <v>3286</v>
      </c>
      <c r="E98" s="259" t="s">
        <v>3195</v>
      </c>
      <c r="H98" s="264" t="s">
        <v>3235</v>
      </c>
      <c r="I98" s="264" t="s">
        <v>3287</v>
      </c>
      <c r="J98" s="295">
        <v>307.88</v>
      </c>
      <c r="K98" s="295">
        <v>247</v>
      </c>
      <c r="L98" s="295">
        <v>173.11</v>
      </c>
      <c r="O98" s="266">
        <v>25</v>
      </c>
      <c r="P98" s="266">
        <v>885038008484</v>
      </c>
      <c r="Q98" s="266">
        <v>9002761008487</v>
      </c>
      <c r="R98" s="265">
        <v>3</v>
      </c>
      <c r="S98" s="265">
        <v>4</v>
      </c>
      <c r="T98" s="265">
        <v>27</v>
      </c>
      <c r="U98" s="265">
        <v>3</v>
      </c>
      <c r="V98" s="259" t="s">
        <v>3247</v>
      </c>
      <c r="W98" s="259" t="s">
        <v>3061</v>
      </c>
      <c r="X98" s="269" t="s">
        <v>3288</v>
      </c>
      <c r="Y98" s="259">
        <v>97</v>
      </c>
      <c r="Z98" s="259" t="s">
        <v>3030</v>
      </c>
      <c r="AA98" s="259"/>
      <c r="AB98" s="259"/>
      <c r="AC98" s="259"/>
      <c r="AD98" s="259"/>
      <c r="AE98" s="259"/>
    </row>
    <row r="99" spans="1:31">
      <c r="A99" s="259" t="s">
        <v>256</v>
      </c>
      <c r="B99" s="259" t="s">
        <v>1</v>
      </c>
      <c r="C99" s="264" t="s">
        <v>3193</v>
      </c>
      <c r="D99" s="264" t="s">
        <v>3289</v>
      </c>
      <c r="E99" s="259" t="s">
        <v>3195</v>
      </c>
      <c r="H99" s="264" t="s">
        <v>3235</v>
      </c>
      <c r="I99" s="264" t="s">
        <v>3290</v>
      </c>
      <c r="J99" s="295">
        <v>431.53</v>
      </c>
      <c r="K99" s="295">
        <v>346</v>
      </c>
      <c r="L99" s="295">
        <v>242.35</v>
      </c>
      <c r="O99" s="266">
        <v>25</v>
      </c>
      <c r="P99" s="266">
        <v>885038016397</v>
      </c>
      <c r="Q99" s="266">
        <v>9002761016390</v>
      </c>
      <c r="R99" s="265">
        <v>26</v>
      </c>
      <c r="S99" s="265">
        <v>3</v>
      </c>
      <c r="T99" s="265">
        <v>5</v>
      </c>
      <c r="U99" s="265">
        <v>3</v>
      </c>
      <c r="V99" s="259" t="s">
        <v>3247</v>
      </c>
      <c r="W99" s="259" t="s">
        <v>3061</v>
      </c>
      <c r="X99" s="269" t="s">
        <v>3291</v>
      </c>
      <c r="Y99" s="259">
        <v>98</v>
      </c>
      <c r="Z99" s="259" t="s">
        <v>3030</v>
      </c>
      <c r="AA99" s="259"/>
      <c r="AB99" s="259"/>
      <c r="AC99" s="259"/>
      <c r="AD99" s="259"/>
      <c r="AE99" s="259"/>
    </row>
    <row r="100" spans="1:31">
      <c r="A100" s="259" t="s">
        <v>257</v>
      </c>
      <c r="B100" s="259" t="s">
        <v>1</v>
      </c>
      <c r="C100" s="264" t="s">
        <v>3193</v>
      </c>
      <c r="D100" s="264" t="s">
        <v>3292</v>
      </c>
      <c r="E100" s="259" t="s">
        <v>3195</v>
      </c>
      <c r="H100" s="264" t="s">
        <v>3235</v>
      </c>
      <c r="I100" s="264" t="s">
        <v>3293</v>
      </c>
      <c r="J100" s="295">
        <v>246.06</v>
      </c>
      <c r="K100" s="295">
        <v>195</v>
      </c>
      <c r="L100" s="295">
        <v>138.49</v>
      </c>
      <c r="O100" s="266"/>
      <c r="P100" s="266">
        <v>885038030669</v>
      </c>
      <c r="Q100" s="266">
        <v>9002761030662</v>
      </c>
      <c r="R100" s="265">
        <v>1.5</v>
      </c>
      <c r="S100" s="265">
        <v>21</v>
      </c>
      <c r="T100" s="265">
        <v>1.5</v>
      </c>
      <c r="U100" s="265">
        <v>1.28</v>
      </c>
      <c r="V100" s="259" t="s">
        <v>3247</v>
      </c>
      <c r="W100" s="259" t="s">
        <v>3061</v>
      </c>
      <c r="X100" s="269" t="s">
        <v>3294</v>
      </c>
      <c r="Y100" s="259">
        <v>99</v>
      </c>
      <c r="Z100" s="259" t="s">
        <v>3030</v>
      </c>
      <c r="AA100" s="259"/>
      <c r="AB100" s="259"/>
      <c r="AC100" s="259"/>
      <c r="AD100" s="259"/>
      <c r="AE100" s="259"/>
    </row>
    <row r="101" spans="1:31">
      <c r="A101" s="259" t="s">
        <v>258</v>
      </c>
      <c r="B101" s="259" t="s">
        <v>1</v>
      </c>
      <c r="C101" s="264" t="s">
        <v>3193</v>
      </c>
      <c r="D101" s="264" t="s">
        <v>3295</v>
      </c>
      <c r="E101" s="259" t="s">
        <v>3195</v>
      </c>
      <c r="H101" s="264" t="s">
        <v>3235</v>
      </c>
      <c r="I101" s="264" t="s">
        <v>3296</v>
      </c>
      <c r="J101" s="295">
        <v>233.69</v>
      </c>
      <c r="K101" s="295">
        <v>181</v>
      </c>
      <c r="L101" s="295">
        <v>132.43</v>
      </c>
      <c r="O101" s="266">
        <v>20</v>
      </c>
      <c r="P101" s="266">
        <v>885038028345</v>
      </c>
      <c r="Q101" s="266">
        <v>9002761028348</v>
      </c>
      <c r="R101" s="265">
        <v>3</v>
      </c>
      <c r="S101" s="265">
        <v>25</v>
      </c>
      <c r="T101" s="265">
        <v>3</v>
      </c>
      <c r="U101" s="265">
        <v>3.6</v>
      </c>
      <c r="V101" s="259" t="s">
        <v>3028</v>
      </c>
      <c r="W101" s="259" t="s">
        <v>3029</v>
      </c>
      <c r="X101" s="269" t="s">
        <v>3297</v>
      </c>
      <c r="Y101" s="259">
        <v>100</v>
      </c>
      <c r="Z101" s="259" t="s">
        <v>3030</v>
      </c>
      <c r="AA101" s="259"/>
      <c r="AB101" s="259"/>
      <c r="AC101" s="259"/>
      <c r="AD101" s="259"/>
      <c r="AE101" s="259"/>
    </row>
    <row r="102" spans="1:31">
      <c r="A102" s="259" t="s">
        <v>259</v>
      </c>
      <c r="B102" s="259" t="s">
        <v>1</v>
      </c>
      <c r="C102" s="264" t="s">
        <v>3193</v>
      </c>
      <c r="D102" s="264" t="s">
        <v>3298</v>
      </c>
      <c r="E102" s="259" t="s">
        <v>3195</v>
      </c>
      <c r="H102" s="264" t="s">
        <v>3235</v>
      </c>
      <c r="I102" s="264" t="s">
        <v>3299</v>
      </c>
      <c r="J102" s="295">
        <v>233.69</v>
      </c>
      <c r="K102" s="295">
        <v>181</v>
      </c>
      <c r="L102" s="295">
        <v>132.43</v>
      </c>
      <c r="O102" s="266">
        <v>20</v>
      </c>
      <c r="P102" s="266">
        <v>885038028369</v>
      </c>
      <c r="Q102" s="266">
        <v>9002761028362</v>
      </c>
      <c r="R102" s="265">
        <v>3</v>
      </c>
      <c r="S102" s="265">
        <v>25</v>
      </c>
      <c r="T102" s="265">
        <v>3</v>
      </c>
      <c r="U102" s="265">
        <v>3</v>
      </c>
      <c r="V102" s="259" t="s">
        <v>3028</v>
      </c>
      <c r="W102" s="259" t="s">
        <v>3029</v>
      </c>
      <c r="X102" s="269" t="s">
        <v>3300</v>
      </c>
      <c r="Y102" s="259">
        <v>101</v>
      </c>
      <c r="Z102" s="259" t="s">
        <v>3030</v>
      </c>
      <c r="AA102" s="259"/>
      <c r="AB102" s="259"/>
      <c r="AC102" s="259"/>
      <c r="AD102" s="259"/>
      <c r="AE102" s="259"/>
    </row>
    <row r="103" spans="1:31">
      <c r="A103" s="259" t="s">
        <v>260</v>
      </c>
      <c r="B103" s="259" t="s">
        <v>1</v>
      </c>
      <c r="C103" s="264" t="s">
        <v>3193</v>
      </c>
      <c r="D103" s="264" t="s">
        <v>3301</v>
      </c>
      <c r="E103" s="259" t="s">
        <v>3195</v>
      </c>
      <c r="H103" s="264" t="s">
        <v>3235</v>
      </c>
      <c r="I103" s="264" t="s">
        <v>3302</v>
      </c>
      <c r="J103" s="295">
        <v>233.69</v>
      </c>
      <c r="K103" s="295">
        <v>181</v>
      </c>
      <c r="L103" s="295">
        <v>132.43</v>
      </c>
      <c r="O103" s="266">
        <v>20</v>
      </c>
      <c r="P103" s="266">
        <v>885038028352</v>
      </c>
      <c r="Q103" s="266">
        <v>9002761028355</v>
      </c>
      <c r="R103" s="265">
        <v>2.5</v>
      </c>
      <c r="S103" s="265">
        <v>13.5</v>
      </c>
      <c r="T103" s="265">
        <v>3</v>
      </c>
      <c r="U103" s="265">
        <v>2.8</v>
      </c>
      <c r="V103" s="259" t="s">
        <v>3028</v>
      </c>
      <c r="W103" s="259" t="s">
        <v>3029</v>
      </c>
      <c r="X103" s="269" t="s">
        <v>3303</v>
      </c>
      <c r="Y103" s="259">
        <v>102</v>
      </c>
      <c r="Z103" s="259" t="s">
        <v>3030</v>
      </c>
      <c r="AA103" s="259"/>
      <c r="AB103" s="259"/>
      <c r="AC103" s="259"/>
      <c r="AD103" s="259"/>
      <c r="AE103" s="259"/>
    </row>
    <row r="104" spans="1:31">
      <c r="A104" s="259" t="s">
        <v>261</v>
      </c>
      <c r="B104" s="259" t="s">
        <v>1</v>
      </c>
      <c r="C104" s="264" t="s">
        <v>3193</v>
      </c>
      <c r="D104" s="264" t="s">
        <v>3304</v>
      </c>
      <c r="E104" s="259" t="s">
        <v>3195</v>
      </c>
      <c r="H104" s="264" t="s">
        <v>3235</v>
      </c>
      <c r="I104" s="264" t="s">
        <v>3305</v>
      </c>
      <c r="J104" s="295">
        <v>233.69</v>
      </c>
      <c r="K104" s="295">
        <v>181</v>
      </c>
      <c r="L104" s="295">
        <v>132.43</v>
      </c>
      <c r="O104" s="266">
        <v>20</v>
      </c>
      <c r="P104" s="266">
        <v>885038028376</v>
      </c>
      <c r="Q104" s="266">
        <v>9002761028379</v>
      </c>
      <c r="R104" s="265">
        <v>2.5</v>
      </c>
      <c r="S104" s="265">
        <v>13.5</v>
      </c>
      <c r="T104" s="265">
        <v>3</v>
      </c>
      <c r="U104" s="265">
        <v>3</v>
      </c>
      <c r="V104" s="259" t="s">
        <v>3028</v>
      </c>
      <c r="W104" s="259" t="s">
        <v>3029</v>
      </c>
      <c r="X104" s="269" t="s">
        <v>3306</v>
      </c>
      <c r="Y104" s="259">
        <v>103</v>
      </c>
      <c r="Z104" s="259" t="s">
        <v>3030</v>
      </c>
      <c r="AA104" s="259"/>
      <c r="AB104" s="259"/>
      <c r="AC104" s="259"/>
      <c r="AD104" s="259"/>
      <c r="AE104" s="259"/>
    </row>
    <row r="105" spans="1:31">
      <c r="A105" s="259" t="s">
        <v>262</v>
      </c>
      <c r="B105" s="259" t="s">
        <v>1</v>
      </c>
      <c r="C105" s="264" t="s">
        <v>3193</v>
      </c>
      <c r="D105" s="264" t="s">
        <v>3307</v>
      </c>
      <c r="E105" s="259" t="s">
        <v>3195</v>
      </c>
      <c r="H105" s="264" t="s">
        <v>3235</v>
      </c>
      <c r="I105" s="264" t="s">
        <v>3308</v>
      </c>
      <c r="J105" s="295">
        <v>728.29</v>
      </c>
      <c r="K105" s="295">
        <v>576</v>
      </c>
      <c r="L105" s="295">
        <v>408.04</v>
      </c>
      <c r="O105" s="266">
        <v>3</v>
      </c>
      <c r="P105" s="266">
        <v>885038005698</v>
      </c>
      <c r="Q105" s="266">
        <v>9002761005691</v>
      </c>
      <c r="R105" s="265">
        <v>2</v>
      </c>
      <c r="S105" s="265">
        <v>17</v>
      </c>
      <c r="T105" s="265">
        <v>47</v>
      </c>
      <c r="U105" s="265">
        <v>2.88</v>
      </c>
      <c r="V105" s="259" t="s">
        <v>3247</v>
      </c>
      <c r="W105" s="259" t="s">
        <v>3061</v>
      </c>
      <c r="X105" s="269" t="s">
        <v>3309</v>
      </c>
      <c r="Y105" s="259">
        <v>104</v>
      </c>
      <c r="Z105" s="259" t="s">
        <v>3030</v>
      </c>
      <c r="AA105" s="259"/>
      <c r="AB105" s="259"/>
      <c r="AC105" s="259"/>
      <c r="AD105" s="259"/>
      <c r="AE105" s="259"/>
    </row>
    <row r="106" spans="1:31">
      <c r="A106" s="259" t="s">
        <v>263</v>
      </c>
      <c r="B106" s="259" t="s">
        <v>1</v>
      </c>
      <c r="C106" s="264" t="s">
        <v>3193</v>
      </c>
      <c r="D106" s="264" t="s">
        <v>3310</v>
      </c>
      <c r="E106" s="259" t="s">
        <v>3195</v>
      </c>
      <c r="H106" s="264" t="s">
        <v>3235</v>
      </c>
      <c r="I106" s="264" t="s">
        <v>3311</v>
      </c>
      <c r="J106" s="295">
        <v>357.34</v>
      </c>
      <c r="K106" s="295">
        <v>278</v>
      </c>
      <c r="L106" s="295">
        <v>201.79</v>
      </c>
      <c r="O106" s="266"/>
      <c r="P106" s="266">
        <v>885038037774</v>
      </c>
      <c r="Q106" s="266">
        <v>9002761037777</v>
      </c>
      <c r="R106" s="265">
        <v>4</v>
      </c>
      <c r="S106" s="265">
        <v>17</v>
      </c>
      <c r="T106" s="265">
        <v>14</v>
      </c>
      <c r="U106" s="265">
        <v>2</v>
      </c>
      <c r="V106" s="259" t="s">
        <v>3247</v>
      </c>
      <c r="W106" s="259" t="s">
        <v>3061</v>
      </c>
      <c r="X106" s="269" t="s">
        <v>3312</v>
      </c>
      <c r="Y106" s="259">
        <v>105</v>
      </c>
      <c r="Z106" s="259" t="s">
        <v>3030</v>
      </c>
      <c r="AA106" s="259"/>
      <c r="AB106" s="259"/>
      <c r="AC106" s="259"/>
      <c r="AD106" s="259"/>
      <c r="AE106" s="259"/>
    </row>
    <row r="107" spans="1:31">
      <c r="A107" s="259" t="s">
        <v>264</v>
      </c>
      <c r="B107" s="259" t="s">
        <v>1</v>
      </c>
      <c r="C107" s="264" t="s">
        <v>3193</v>
      </c>
      <c r="D107" s="264" t="s">
        <v>3313</v>
      </c>
      <c r="E107" s="259" t="s">
        <v>3195</v>
      </c>
      <c r="H107" s="264" t="s">
        <v>3235</v>
      </c>
      <c r="I107" s="264" t="s">
        <v>3314</v>
      </c>
      <c r="J107" s="295">
        <v>468.63</v>
      </c>
      <c r="K107" s="295">
        <v>366</v>
      </c>
      <c r="L107" s="295">
        <v>264.85000000000002</v>
      </c>
      <c r="O107" s="266"/>
      <c r="P107" s="266">
        <v>885038037781</v>
      </c>
      <c r="Q107" s="266">
        <v>9002761037784</v>
      </c>
      <c r="R107" s="265">
        <v>4</v>
      </c>
      <c r="S107" s="265">
        <v>17</v>
      </c>
      <c r="T107" s="265">
        <v>14</v>
      </c>
      <c r="U107" s="265">
        <v>2</v>
      </c>
      <c r="V107" s="259" t="s">
        <v>3247</v>
      </c>
      <c r="W107" s="259" t="s">
        <v>3061</v>
      </c>
      <c r="X107" s="269" t="s">
        <v>3315</v>
      </c>
      <c r="Y107" s="259">
        <v>106</v>
      </c>
      <c r="Z107" s="259" t="s">
        <v>3030</v>
      </c>
      <c r="AA107" s="259"/>
      <c r="AB107" s="259"/>
      <c r="AC107" s="259"/>
      <c r="AD107" s="259"/>
      <c r="AE107" s="259"/>
    </row>
    <row r="108" spans="1:31">
      <c r="A108" s="259" t="s">
        <v>265</v>
      </c>
      <c r="B108" s="259" t="s">
        <v>1</v>
      </c>
      <c r="C108" s="264" t="s">
        <v>3193</v>
      </c>
      <c r="D108" s="264" t="s">
        <v>3316</v>
      </c>
      <c r="E108" s="259" t="s">
        <v>3195</v>
      </c>
      <c r="H108" s="264" t="s">
        <v>3317</v>
      </c>
      <c r="I108" s="264" t="s">
        <v>3318</v>
      </c>
      <c r="J108" s="295">
        <v>394.44</v>
      </c>
      <c r="K108" s="295">
        <v>308</v>
      </c>
      <c r="L108" s="295">
        <v>220.71</v>
      </c>
      <c r="O108" s="266"/>
      <c r="P108" s="266">
        <v>885038034087</v>
      </c>
      <c r="Q108" s="266">
        <v>9002761034080</v>
      </c>
      <c r="R108" s="265">
        <v>14</v>
      </c>
      <c r="S108" s="265">
        <v>24</v>
      </c>
      <c r="T108" s="265">
        <v>23</v>
      </c>
      <c r="U108" s="265">
        <v>6</v>
      </c>
      <c r="V108" s="259" t="s">
        <v>3319</v>
      </c>
      <c r="W108" s="259" t="s">
        <v>3029</v>
      </c>
      <c r="X108" s="269" t="s">
        <v>3320</v>
      </c>
      <c r="Y108" s="259">
        <v>107</v>
      </c>
      <c r="Z108" s="259" t="s">
        <v>3030</v>
      </c>
      <c r="AA108" s="259"/>
      <c r="AB108" s="259"/>
      <c r="AC108" s="259"/>
      <c r="AD108" s="259"/>
      <c r="AE108" s="259"/>
    </row>
    <row r="109" spans="1:31">
      <c r="A109" s="259" t="s">
        <v>266</v>
      </c>
      <c r="B109" s="259" t="s">
        <v>1</v>
      </c>
      <c r="C109" s="264" t="s">
        <v>3193</v>
      </c>
      <c r="D109" s="264" t="s">
        <v>3321</v>
      </c>
      <c r="E109" s="259" t="s">
        <v>3195</v>
      </c>
      <c r="H109" s="264" t="s">
        <v>3317</v>
      </c>
      <c r="I109" s="264" t="s">
        <v>3318</v>
      </c>
      <c r="J109" s="295">
        <v>419.17</v>
      </c>
      <c r="K109" s="295">
        <v>335</v>
      </c>
      <c r="L109" s="295">
        <v>239.63</v>
      </c>
      <c r="O109" s="266"/>
      <c r="P109" s="266">
        <v>885038034094</v>
      </c>
      <c r="Q109" s="266">
        <v>9002761034097</v>
      </c>
      <c r="R109" s="265">
        <v>4</v>
      </c>
      <c r="S109" s="265">
        <v>21.5</v>
      </c>
      <c r="T109" s="265">
        <v>6</v>
      </c>
      <c r="U109" s="265">
        <v>0</v>
      </c>
      <c r="V109" s="259" t="s">
        <v>3319</v>
      </c>
      <c r="W109" s="259" t="s">
        <v>3029</v>
      </c>
      <c r="X109" s="269" t="s">
        <v>3322</v>
      </c>
      <c r="Y109" s="259">
        <v>108</v>
      </c>
      <c r="Z109" s="259" t="s">
        <v>3030</v>
      </c>
      <c r="AA109" s="259"/>
      <c r="AB109" s="259"/>
      <c r="AC109" s="259"/>
      <c r="AD109" s="259"/>
      <c r="AE109" s="259"/>
    </row>
    <row r="110" spans="1:31">
      <c r="A110" s="259" t="s">
        <v>267</v>
      </c>
      <c r="B110" s="259" t="s">
        <v>1</v>
      </c>
      <c r="C110" s="264" t="s">
        <v>3193</v>
      </c>
      <c r="D110" s="264" t="s">
        <v>3323</v>
      </c>
      <c r="E110" s="259" t="s">
        <v>3195</v>
      </c>
      <c r="H110" s="264" t="s">
        <v>3317</v>
      </c>
      <c r="I110" s="264" t="s">
        <v>3324</v>
      </c>
      <c r="J110" s="295">
        <v>394.44</v>
      </c>
      <c r="K110" s="295">
        <v>308</v>
      </c>
      <c r="L110" s="295">
        <v>216.38</v>
      </c>
      <c r="O110" s="266"/>
      <c r="P110" s="266">
        <v>885038034100</v>
      </c>
      <c r="Q110" s="266">
        <v>9002761034103</v>
      </c>
      <c r="R110" s="265">
        <v>3</v>
      </c>
      <c r="S110" s="265">
        <v>4</v>
      </c>
      <c r="T110" s="265">
        <v>6</v>
      </c>
      <c r="U110" s="265">
        <v>13.5</v>
      </c>
      <c r="V110" s="259" t="s">
        <v>3319</v>
      </c>
      <c r="W110" s="259" t="s">
        <v>3029</v>
      </c>
      <c r="X110" s="269" t="s">
        <v>3325</v>
      </c>
      <c r="Y110" s="259">
        <v>109</v>
      </c>
      <c r="Z110" s="259" t="s">
        <v>3030</v>
      </c>
      <c r="AA110" s="259"/>
      <c r="AB110" s="259"/>
      <c r="AC110" s="259"/>
      <c r="AD110" s="259"/>
      <c r="AE110" s="259"/>
    </row>
    <row r="111" spans="1:31">
      <c r="A111" s="259" t="s">
        <v>268</v>
      </c>
      <c r="B111" s="259" t="s">
        <v>1</v>
      </c>
      <c r="C111" s="264" t="s">
        <v>3326</v>
      </c>
      <c r="D111" s="264" t="s">
        <v>3327</v>
      </c>
      <c r="E111" s="259" t="s">
        <v>3195</v>
      </c>
      <c r="H111" s="264" t="s">
        <v>1949</v>
      </c>
      <c r="I111" s="264" t="s">
        <v>3326</v>
      </c>
      <c r="J111" s="295">
        <v>480.99</v>
      </c>
      <c r="K111" s="295">
        <v>480.99</v>
      </c>
      <c r="L111" s="295">
        <v>228.75</v>
      </c>
      <c r="O111" s="266"/>
      <c r="P111" s="266">
        <v>9002761035858</v>
      </c>
      <c r="Q111" s="266">
        <v>9002761035858</v>
      </c>
      <c r="R111" s="265">
        <v>1.7</v>
      </c>
      <c r="S111" s="265">
        <v>20</v>
      </c>
      <c r="T111" s="265">
        <v>10</v>
      </c>
      <c r="U111" s="265">
        <v>7</v>
      </c>
      <c r="V111" s="259" t="s">
        <v>3028</v>
      </c>
      <c r="W111" s="259" t="s">
        <v>3029</v>
      </c>
      <c r="X111" s="269" t="s">
        <v>3328</v>
      </c>
      <c r="Y111" s="259">
        <v>110</v>
      </c>
      <c r="Z111" s="259" t="s">
        <v>3329</v>
      </c>
      <c r="AA111" s="259"/>
      <c r="AB111" s="259"/>
      <c r="AC111" s="259"/>
      <c r="AD111" s="259"/>
      <c r="AE111" s="259"/>
    </row>
    <row r="112" spans="1:31">
      <c r="A112" s="259" t="s">
        <v>269</v>
      </c>
      <c r="B112" s="259" t="s">
        <v>1</v>
      </c>
      <c r="C112" s="264" t="s">
        <v>3193</v>
      </c>
      <c r="D112" s="264" t="s">
        <v>3330</v>
      </c>
      <c r="E112" s="259" t="s">
        <v>3195</v>
      </c>
      <c r="H112" s="264" t="s">
        <v>3317</v>
      </c>
      <c r="I112" s="264" t="s">
        <v>3331</v>
      </c>
      <c r="J112" s="295">
        <v>159.51</v>
      </c>
      <c r="K112" s="295">
        <v>123</v>
      </c>
      <c r="L112" s="295">
        <v>86.55</v>
      </c>
      <c r="O112" s="266"/>
      <c r="P112" s="266">
        <v>885038034117</v>
      </c>
      <c r="Q112" s="266">
        <v>9002761034110</v>
      </c>
      <c r="R112" s="265">
        <v>2</v>
      </c>
      <c r="S112" s="265">
        <v>4</v>
      </c>
      <c r="T112" s="265">
        <v>6</v>
      </c>
      <c r="U112" s="265">
        <v>13.5</v>
      </c>
      <c r="V112" s="259" t="s">
        <v>3319</v>
      </c>
      <c r="W112" s="259" t="s">
        <v>3029</v>
      </c>
      <c r="X112" s="269" t="s">
        <v>3332</v>
      </c>
      <c r="Y112" s="259">
        <v>111</v>
      </c>
      <c r="Z112" s="259" t="s">
        <v>3030</v>
      </c>
      <c r="AA112" s="259"/>
      <c r="AB112" s="259"/>
      <c r="AC112" s="259"/>
      <c r="AD112" s="259"/>
      <c r="AE112" s="259"/>
    </row>
    <row r="113" spans="1:31">
      <c r="A113" s="259" t="s">
        <v>270</v>
      </c>
      <c r="B113" s="259" t="s">
        <v>1</v>
      </c>
      <c r="C113" s="264" t="s">
        <v>3193</v>
      </c>
      <c r="D113" s="264" t="s">
        <v>3333</v>
      </c>
      <c r="E113" s="259" t="s">
        <v>3195</v>
      </c>
      <c r="H113" s="264" t="s">
        <v>3334</v>
      </c>
      <c r="I113" s="264" t="s">
        <v>3335</v>
      </c>
      <c r="J113" s="295">
        <v>158.16999999999999</v>
      </c>
      <c r="K113" s="295">
        <v>123</v>
      </c>
      <c r="L113" s="295">
        <v>87.41</v>
      </c>
      <c r="O113" s="266">
        <v>30</v>
      </c>
      <c r="P113" s="266">
        <v>885038003021</v>
      </c>
      <c r="Q113" s="266">
        <v>9002761003024</v>
      </c>
      <c r="R113" s="265">
        <v>3</v>
      </c>
      <c r="S113" s="265">
        <v>7</v>
      </c>
      <c r="T113" s="265">
        <v>5</v>
      </c>
      <c r="U113" s="265">
        <v>2</v>
      </c>
      <c r="V113" s="259" t="s">
        <v>3028</v>
      </c>
      <c r="W113" s="259" t="s">
        <v>3029</v>
      </c>
      <c r="X113" s="269" t="s">
        <v>3336</v>
      </c>
      <c r="Y113" s="259">
        <v>112</v>
      </c>
      <c r="Z113" s="259" t="s">
        <v>3030</v>
      </c>
      <c r="AA113" s="259"/>
      <c r="AB113" s="259"/>
      <c r="AC113" s="259"/>
      <c r="AD113" s="259"/>
      <c r="AE113" s="259"/>
    </row>
    <row r="114" spans="1:31">
      <c r="A114" s="259" t="s">
        <v>271</v>
      </c>
      <c r="B114" s="259" t="s">
        <v>1</v>
      </c>
      <c r="C114" s="264" t="s">
        <v>3193</v>
      </c>
      <c r="D114" s="264" t="s">
        <v>3337</v>
      </c>
      <c r="E114" s="259" t="s">
        <v>3195</v>
      </c>
      <c r="H114" s="264" t="s">
        <v>3334</v>
      </c>
      <c r="I114" s="264" t="s">
        <v>3338</v>
      </c>
      <c r="J114" s="295">
        <v>246.06</v>
      </c>
      <c r="K114" s="295">
        <v>195</v>
      </c>
      <c r="L114" s="295">
        <v>141.26</v>
      </c>
      <c r="O114" s="266">
        <v>40</v>
      </c>
      <c r="P114" s="266">
        <v>885038003045</v>
      </c>
      <c r="Q114" s="266">
        <v>9002761003048</v>
      </c>
      <c r="R114" s="265">
        <v>7</v>
      </c>
      <c r="S114" s="265">
        <v>3</v>
      </c>
      <c r="T114" s="265">
        <v>5</v>
      </c>
      <c r="U114" s="265">
        <v>2</v>
      </c>
      <c r="V114" s="259" t="s">
        <v>3028</v>
      </c>
      <c r="W114" s="259" t="s">
        <v>3029</v>
      </c>
      <c r="X114" s="269" t="s">
        <v>3339</v>
      </c>
      <c r="Y114" s="259">
        <v>113</v>
      </c>
      <c r="Z114" s="259" t="s">
        <v>3030</v>
      </c>
      <c r="AA114" s="259"/>
      <c r="AB114" s="259"/>
      <c r="AC114" s="259"/>
      <c r="AD114" s="259"/>
      <c r="AE114" s="259"/>
    </row>
    <row r="115" spans="1:31">
      <c r="A115" s="259" t="s">
        <v>272</v>
      </c>
      <c r="B115" s="259" t="s">
        <v>1</v>
      </c>
      <c r="C115" s="264" t="s">
        <v>3193</v>
      </c>
      <c r="D115" s="264" t="s">
        <v>3340</v>
      </c>
      <c r="E115" s="259" t="s">
        <v>3195</v>
      </c>
      <c r="H115" s="264" t="s">
        <v>3334</v>
      </c>
      <c r="I115" s="264" t="s">
        <v>3341</v>
      </c>
      <c r="J115" s="295">
        <v>159.51</v>
      </c>
      <c r="K115" s="295">
        <v>123</v>
      </c>
      <c r="L115" s="295">
        <v>88.28</v>
      </c>
      <c r="O115" s="266"/>
      <c r="P115" s="266">
        <v>885038003946</v>
      </c>
      <c r="Q115" s="266">
        <v>9002761003949</v>
      </c>
      <c r="R115" s="265">
        <v>8</v>
      </c>
      <c r="S115" s="265">
        <v>3</v>
      </c>
      <c r="T115" s="265">
        <v>6</v>
      </c>
      <c r="U115" s="265">
        <v>2.8</v>
      </c>
      <c r="V115" s="259" t="s">
        <v>3342</v>
      </c>
      <c r="W115" s="259" t="s">
        <v>3061</v>
      </c>
      <c r="X115" s="269" t="s">
        <v>3343</v>
      </c>
      <c r="Y115" s="259">
        <v>114</v>
      </c>
      <c r="Z115" s="259" t="s">
        <v>3030</v>
      </c>
      <c r="AA115" s="259"/>
      <c r="AB115" s="259"/>
      <c r="AC115" s="259"/>
      <c r="AD115" s="259"/>
      <c r="AE115" s="259"/>
    </row>
    <row r="116" spans="1:31">
      <c r="A116" s="259" t="s">
        <v>273</v>
      </c>
      <c r="B116" s="259" t="s">
        <v>1</v>
      </c>
      <c r="C116" s="264" t="s">
        <v>3193</v>
      </c>
      <c r="D116" s="264" t="s">
        <v>3344</v>
      </c>
      <c r="E116" s="259" t="s">
        <v>3195</v>
      </c>
      <c r="H116" s="264" t="s">
        <v>3334</v>
      </c>
      <c r="I116" s="264" t="s">
        <v>3345</v>
      </c>
      <c r="J116" s="295">
        <v>246.06</v>
      </c>
      <c r="K116" s="295">
        <v>195</v>
      </c>
      <c r="L116" s="295">
        <v>141.26</v>
      </c>
      <c r="O116" s="266"/>
      <c r="P116" s="266">
        <v>885038030607</v>
      </c>
      <c r="Q116" s="266">
        <v>9002761030600</v>
      </c>
      <c r="R116" s="265">
        <v>5</v>
      </c>
      <c r="S116" s="265">
        <v>8.5</v>
      </c>
      <c r="T116" s="265">
        <v>7</v>
      </c>
      <c r="U116" s="265">
        <v>1.28</v>
      </c>
      <c r="V116" s="259" t="s">
        <v>3060</v>
      </c>
      <c r="W116" s="259" t="s">
        <v>3061</v>
      </c>
      <c r="X116" s="269" t="s">
        <v>3346</v>
      </c>
      <c r="Y116" s="259">
        <v>115</v>
      </c>
      <c r="Z116" s="259" t="s">
        <v>3030</v>
      </c>
      <c r="AA116" s="259"/>
      <c r="AB116" s="259"/>
      <c r="AC116" s="259"/>
      <c r="AD116" s="259"/>
      <c r="AE116" s="259"/>
    </row>
    <row r="117" spans="1:31">
      <c r="A117" s="259" t="s">
        <v>274</v>
      </c>
      <c r="B117" s="259" t="s">
        <v>1</v>
      </c>
      <c r="C117" s="264" t="s">
        <v>1949</v>
      </c>
      <c r="D117" s="264" t="s">
        <v>3347</v>
      </c>
      <c r="E117" s="259" t="s">
        <v>3195</v>
      </c>
      <c r="H117" s="264" t="s">
        <v>3334</v>
      </c>
      <c r="I117" s="264" t="s">
        <v>3348</v>
      </c>
      <c r="J117" s="295">
        <v>406.96</v>
      </c>
      <c r="K117" s="295">
        <v>325</v>
      </c>
      <c r="L117" s="295">
        <v>230.2</v>
      </c>
      <c r="O117" s="266"/>
      <c r="P117" s="266">
        <v>885038030621</v>
      </c>
      <c r="R117" s="265">
        <v>1.5</v>
      </c>
      <c r="S117" s="265">
        <v>8</v>
      </c>
      <c r="T117" s="265">
        <v>1.5</v>
      </c>
      <c r="V117" s="259" t="s">
        <v>3218</v>
      </c>
      <c r="W117" s="259" t="s">
        <v>3061</v>
      </c>
      <c r="X117" s="269" t="s">
        <v>3349</v>
      </c>
      <c r="Y117" s="259">
        <v>116</v>
      </c>
      <c r="Z117" s="259" t="s">
        <v>3030</v>
      </c>
      <c r="AA117" s="259"/>
      <c r="AB117" s="259"/>
      <c r="AC117" s="259"/>
      <c r="AD117" s="259"/>
      <c r="AE117" s="259"/>
    </row>
    <row r="118" spans="1:31">
      <c r="A118" s="259" t="s">
        <v>275</v>
      </c>
      <c r="B118" s="259" t="s">
        <v>1</v>
      </c>
      <c r="C118" s="264" t="s">
        <v>1949</v>
      </c>
      <c r="D118" s="264" t="s">
        <v>3350</v>
      </c>
      <c r="E118" s="259">
        <v>20260000</v>
      </c>
      <c r="H118" s="264" t="s">
        <v>1949</v>
      </c>
      <c r="I118" s="264" t="s">
        <v>3351</v>
      </c>
      <c r="J118" s="295">
        <v>10.32</v>
      </c>
      <c r="K118" s="295">
        <v>10.32</v>
      </c>
      <c r="L118" s="295">
        <v>6.18</v>
      </c>
      <c r="O118" s="266"/>
      <c r="P118" s="266">
        <v>885038026839</v>
      </c>
      <c r="Q118" s="266">
        <v>9002761026832</v>
      </c>
      <c r="R118" s="265">
        <v>1</v>
      </c>
      <c r="S118" s="265">
        <v>1</v>
      </c>
      <c r="T118" s="265">
        <v>3</v>
      </c>
      <c r="U118" s="265">
        <v>0</v>
      </c>
      <c r="V118" s="259" t="s">
        <v>3352</v>
      </c>
      <c r="W118" s="259" t="s">
        <v>3061</v>
      </c>
      <c r="X118" s="269" t="s">
        <v>3353</v>
      </c>
      <c r="Y118" s="259">
        <v>117</v>
      </c>
      <c r="Z118" s="259" t="s">
        <v>3030</v>
      </c>
      <c r="AA118" s="259"/>
      <c r="AB118" s="259"/>
      <c r="AC118" s="259"/>
      <c r="AD118" s="259"/>
      <c r="AE118" s="259"/>
    </row>
    <row r="119" spans="1:31">
      <c r="A119" s="259" t="s">
        <v>276</v>
      </c>
      <c r="B119" s="259" t="s">
        <v>1</v>
      </c>
      <c r="C119" s="264" t="s">
        <v>3193</v>
      </c>
      <c r="D119" s="264" t="s">
        <v>3354</v>
      </c>
      <c r="E119" s="259" t="s">
        <v>3195</v>
      </c>
      <c r="H119" s="264" t="s">
        <v>18</v>
      </c>
      <c r="I119" s="264" t="s">
        <v>3355</v>
      </c>
      <c r="J119" s="295">
        <v>48.22</v>
      </c>
      <c r="K119" s="295">
        <v>37</v>
      </c>
      <c r="L119" s="295">
        <v>24.73</v>
      </c>
      <c r="O119" s="266"/>
      <c r="P119" s="266">
        <v>885038039181</v>
      </c>
      <c r="Q119" s="266">
        <v>9002761039184</v>
      </c>
      <c r="R119" s="265">
        <v>1</v>
      </c>
      <c r="S119" s="265">
        <v>4</v>
      </c>
      <c r="T119" s="265">
        <v>2.5</v>
      </c>
      <c r="U119" s="265" t="s">
        <v>3101</v>
      </c>
      <c r="V119" s="259" t="s">
        <v>3247</v>
      </c>
      <c r="W119" s="259" t="s">
        <v>3061</v>
      </c>
      <c r="X119" s="269" t="s">
        <v>3356</v>
      </c>
      <c r="Y119" s="259">
        <v>118</v>
      </c>
      <c r="Z119" s="259" t="s">
        <v>3264</v>
      </c>
      <c r="AA119" s="259"/>
      <c r="AB119" s="259"/>
      <c r="AC119" s="259"/>
      <c r="AD119" s="259"/>
      <c r="AE119" s="259"/>
    </row>
    <row r="120" spans="1:31">
      <c r="A120" s="259" t="s">
        <v>277</v>
      </c>
      <c r="B120" s="259" t="s">
        <v>1</v>
      </c>
      <c r="C120" s="264" t="s">
        <v>3193</v>
      </c>
      <c r="D120" s="264" t="s">
        <v>3357</v>
      </c>
      <c r="E120" s="259" t="s">
        <v>3195</v>
      </c>
      <c r="H120" s="264" t="s">
        <v>3358</v>
      </c>
      <c r="I120" s="264" t="s">
        <v>3359</v>
      </c>
      <c r="J120" s="295">
        <v>92.74</v>
      </c>
      <c r="K120" s="295">
        <v>72</v>
      </c>
      <c r="L120" s="295">
        <v>51.93</v>
      </c>
      <c r="O120" s="266"/>
      <c r="P120" s="266">
        <v>885038031048</v>
      </c>
      <c r="Q120" s="266">
        <v>9002761031041</v>
      </c>
      <c r="R120" s="265">
        <v>2</v>
      </c>
      <c r="S120" s="265">
        <v>5</v>
      </c>
      <c r="T120" s="265">
        <v>3</v>
      </c>
      <c r="U120" s="265">
        <v>2.2000000000000002</v>
      </c>
      <c r="V120" s="259" t="s">
        <v>3247</v>
      </c>
      <c r="W120" s="259" t="s">
        <v>3061</v>
      </c>
      <c r="X120" s="269" t="s">
        <v>3360</v>
      </c>
      <c r="Y120" s="259">
        <v>119</v>
      </c>
      <c r="Z120" s="259" t="s">
        <v>3030</v>
      </c>
      <c r="AA120" s="259"/>
      <c r="AB120" s="259"/>
      <c r="AC120" s="259"/>
      <c r="AD120" s="259"/>
      <c r="AE120" s="259"/>
    </row>
    <row r="121" spans="1:31">
      <c r="A121" s="259" t="s">
        <v>278</v>
      </c>
      <c r="B121" s="259" t="s">
        <v>1</v>
      </c>
      <c r="C121" s="264" t="s">
        <v>3193</v>
      </c>
      <c r="D121" s="264" t="s">
        <v>3361</v>
      </c>
      <c r="E121" s="259" t="s">
        <v>3195</v>
      </c>
      <c r="H121" s="264" t="s">
        <v>3358</v>
      </c>
      <c r="I121" s="264" t="s">
        <v>3362</v>
      </c>
      <c r="J121" s="295">
        <v>92.74</v>
      </c>
      <c r="K121" s="295">
        <v>72</v>
      </c>
      <c r="L121" s="295">
        <v>51.93</v>
      </c>
      <c r="O121" s="266"/>
      <c r="P121" s="266">
        <v>885038037006</v>
      </c>
      <c r="Q121" s="266">
        <v>9002761030709</v>
      </c>
      <c r="R121" s="265">
        <v>3</v>
      </c>
      <c r="S121" s="265">
        <v>5</v>
      </c>
      <c r="T121" s="265">
        <v>3</v>
      </c>
      <c r="U121" s="265">
        <v>2.2000000000000002</v>
      </c>
      <c r="V121" s="259" t="s">
        <v>3247</v>
      </c>
      <c r="W121" s="259" t="s">
        <v>3061</v>
      </c>
      <c r="X121" s="269" t="s">
        <v>3363</v>
      </c>
      <c r="Y121" s="259">
        <v>120</v>
      </c>
      <c r="Z121" s="259" t="s">
        <v>3030</v>
      </c>
      <c r="AA121" s="259"/>
      <c r="AB121" s="259"/>
      <c r="AC121" s="259"/>
      <c r="AD121" s="259"/>
      <c r="AE121" s="259"/>
    </row>
    <row r="122" spans="1:31">
      <c r="A122" s="259" t="s">
        <v>279</v>
      </c>
      <c r="B122" s="259" t="s">
        <v>1</v>
      </c>
      <c r="C122" s="264" t="s">
        <v>1949</v>
      </c>
      <c r="D122" s="264" t="s">
        <v>3364</v>
      </c>
      <c r="E122" s="259" t="s">
        <v>3195</v>
      </c>
      <c r="H122" s="264" t="s">
        <v>1949</v>
      </c>
      <c r="I122" s="264" t="s">
        <v>3365</v>
      </c>
      <c r="J122" s="295">
        <v>193.27</v>
      </c>
      <c r="K122" s="295">
        <v>170</v>
      </c>
      <c r="L122" s="295">
        <v>120.11</v>
      </c>
      <c r="O122" s="266"/>
      <c r="P122" s="266">
        <v>885038002086</v>
      </c>
      <c r="Q122" s="266">
        <v>9002761002089</v>
      </c>
      <c r="R122" s="265">
        <v>3</v>
      </c>
      <c r="S122" s="265">
        <v>3</v>
      </c>
      <c r="T122" s="265">
        <v>3</v>
      </c>
      <c r="U122" s="265">
        <v>2</v>
      </c>
      <c r="V122" s="259" t="s">
        <v>3247</v>
      </c>
      <c r="W122" s="259" t="s">
        <v>3061</v>
      </c>
      <c r="X122" s="269" t="s">
        <v>3366</v>
      </c>
      <c r="Y122" s="259">
        <v>121</v>
      </c>
      <c r="Z122" s="259" t="s">
        <v>3030</v>
      </c>
      <c r="AA122" s="259"/>
      <c r="AB122" s="259"/>
      <c r="AC122" s="259"/>
      <c r="AD122" s="259"/>
      <c r="AE122" s="259"/>
    </row>
    <row r="123" spans="1:31">
      <c r="A123" s="259" t="s">
        <v>280</v>
      </c>
      <c r="B123" s="259" t="s">
        <v>1</v>
      </c>
      <c r="C123" s="264" t="s">
        <v>3193</v>
      </c>
      <c r="D123" s="264" t="s">
        <v>3367</v>
      </c>
      <c r="E123" s="259" t="s">
        <v>3195</v>
      </c>
      <c r="H123" s="264" t="s">
        <v>3358</v>
      </c>
      <c r="I123" s="264" t="s">
        <v>3368</v>
      </c>
      <c r="J123" s="295">
        <v>92.74</v>
      </c>
      <c r="K123" s="295">
        <v>72</v>
      </c>
      <c r="L123" s="295">
        <v>51.93</v>
      </c>
      <c r="O123" s="266"/>
      <c r="P123" s="266">
        <v>885038030676</v>
      </c>
      <c r="Q123" s="266">
        <v>9002761030679</v>
      </c>
      <c r="R123" s="265">
        <v>2</v>
      </c>
      <c r="S123" s="265">
        <v>3</v>
      </c>
      <c r="T123" s="265">
        <v>4</v>
      </c>
      <c r="U123" s="265">
        <v>22</v>
      </c>
      <c r="V123" s="259" t="s">
        <v>3247</v>
      </c>
      <c r="W123" s="259" t="s">
        <v>3061</v>
      </c>
      <c r="X123" s="269" t="s">
        <v>3369</v>
      </c>
      <c r="Y123" s="259">
        <v>122</v>
      </c>
      <c r="Z123" s="259" t="s">
        <v>3030</v>
      </c>
      <c r="AA123" s="259"/>
      <c r="AB123" s="259"/>
      <c r="AC123" s="259"/>
      <c r="AD123" s="259"/>
      <c r="AE123" s="259"/>
    </row>
    <row r="124" spans="1:31">
      <c r="A124" s="259" t="s">
        <v>281</v>
      </c>
      <c r="B124" s="259" t="s">
        <v>1</v>
      </c>
      <c r="C124" s="264" t="s">
        <v>3193</v>
      </c>
      <c r="D124" s="264" t="s">
        <v>3370</v>
      </c>
      <c r="E124" s="259" t="s">
        <v>3195</v>
      </c>
      <c r="H124" s="264" t="s">
        <v>3358</v>
      </c>
      <c r="I124" s="264" t="s">
        <v>3371</v>
      </c>
      <c r="J124" s="295">
        <v>117.47</v>
      </c>
      <c r="K124" s="295">
        <v>92</v>
      </c>
      <c r="L124" s="295">
        <v>64.3</v>
      </c>
      <c r="O124" s="266"/>
      <c r="P124" s="266">
        <v>885038030683</v>
      </c>
      <c r="Q124" s="266">
        <v>9002761030686</v>
      </c>
      <c r="R124" s="265">
        <v>13</v>
      </c>
      <c r="S124" s="265">
        <v>18</v>
      </c>
      <c r="T124" s="265">
        <v>17</v>
      </c>
      <c r="U124" s="265">
        <v>2.2000000000000002</v>
      </c>
      <c r="V124" s="259" t="s">
        <v>3247</v>
      </c>
      <c r="W124" s="259" t="s">
        <v>3061</v>
      </c>
      <c r="X124" s="269" t="s">
        <v>3372</v>
      </c>
      <c r="Y124" s="259">
        <v>123</v>
      </c>
      <c r="Z124" s="259" t="s">
        <v>3037</v>
      </c>
      <c r="AA124" s="259"/>
      <c r="AB124" s="259"/>
      <c r="AC124" s="259"/>
      <c r="AD124" s="259"/>
      <c r="AE124" s="259"/>
    </row>
    <row r="125" spans="1:31">
      <c r="A125" s="259" t="s">
        <v>282</v>
      </c>
      <c r="B125" s="259" t="s">
        <v>1</v>
      </c>
      <c r="C125" s="264" t="s">
        <v>3193</v>
      </c>
      <c r="D125" s="264" t="s">
        <v>3373</v>
      </c>
      <c r="E125" s="259" t="s">
        <v>3195</v>
      </c>
      <c r="H125" s="264" t="s">
        <v>3358</v>
      </c>
      <c r="I125" s="264" t="s">
        <v>3374</v>
      </c>
      <c r="J125" s="295">
        <v>246.06</v>
      </c>
      <c r="K125" s="295">
        <v>195</v>
      </c>
      <c r="L125" s="295">
        <v>138.49</v>
      </c>
      <c r="O125" s="266"/>
      <c r="P125" s="266">
        <v>885038030690</v>
      </c>
      <c r="Q125" s="266">
        <v>9002761030693</v>
      </c>
      <c r="R125" s="265">
        <v>2</v>
      </c>
      <c r="S125" s="265">
        <v>4</v>
      </c>
      <c r="T125" s="265">
        <v>3</v>
      </c>
      <c r="U125" s="265">
        <v>2.2000000000000002</v>
      </c>
      <c r="V125" s="259" t="s">
        <v>3247</v>
      </c>
      <c r="W125" s="259" t="s">
        <v>3061</v>
      </c>
      <c r="X125" s="269" t="s">
        <v>3375</v>
      </c>
      <c r="Y125" s="259">
        <v>124</v>
      </c>
      <c r="Z125" s="259" t="s">
        <v>3030</v>
      </c>
      <c r="AA125" s="259"/>
      <c r="AB125" s="259"/>
      <c r="AC125" s="259"/>
      <c r="AD125" s="259"/>
      <c r="AE125" s="259"/>
    </row>
    <row r="126" spans="1:31">
      <c r="A126" s="259" t="s">
        <v>283</v>
      </c>
      <c r="B126" s="259" t="s">
        <v>1</v>
      </c>
      <c r="C126" s="264" t="s">
        <v>3193</v>
      </c>
      <c r="D126" s="264" t="s">
        <v>3376</v>
      </c>
      <c r="E126" s="259" t="s">
        <v>3377</v>
      </c>
      <c r="G126" s="259" t="s">
        <v>3378</v>
      </c>
      <c r="H126" s="264" t="s">
        <v>3379</v>
      </c>
      <c r="I126" s="264" t="s">
        <v>3380</v>
      </c>
      <c r="J126" s="295">
        <v>51.93</v>
      </c>
      <c r="K126" s="295">
        <v>37</v>
      </c>
      <c r="L126" s="295">
        <v>30.91</v>
      </c>
      <c r="O126" s="266"/>
      <c r="P126" s="266">
        <v>885038034957</v>
      </c>
      <c r="Q126" s="266">
        <v>9002761034950</v>
      </c>
      <c r="R126" s="265">
        <v>2</v>
      </c>
      <c r="S126" s="265">
        <v>13.5</v>
      </c>
      <c r="T126" s="265">
        <v>9</v>
      </c>
      <c r="U126" s="265">
        <v>1.6</v>
      </c>
      <c r="V126" s="259" t="s">
        <v>3028</v>
      </c>
      <c r="W126" s="259" t="s">
        <v>3029</v>
      </c>
      <c r="X126" s="269" t="s">
        <v>3381</v>
      </c>
      <c r="Y126" s="259">
        <v>125</v>
      </c>
      <c r="Z126" s="259" t="s">
        <v>3030</v>
      </c>
      <c r="AA126" s="259"/>
      <c r="AB126" s="259"/>
      <c r="AC126" s="259"/>
      <c r="AD126" s="259"/>
      <c r="AE126" s="259"/>
    </row>
    <row r="127" spans="1:31">
      <c r="A127" s="259" t="s">
        <v>284</v>
      </c>
      <c r="B127" s="259" t="s">
        <v>1</v>
      </c>
      <c r="C127" s="264" t="s">
        <v>1949</v>
      </c>
      <c r="D127" s="264" t="s">
        <v>3382</v>
      </c>
      <c r="E127" s="259" t="s">
        <v>3195</v>
      </c>
      <c r="H127" s="264" t="s">
        <v>3383</v>
      </c>
      <c r="I127" s="264" t="s">
        <v>3384</v>
      </c>
      <c r="J127" s="295">
        <v>0</v>
      </c>
      <c r="K127" s="295">
        <v>0</v>
      </c>
      <c r="L127" s="295">
        <v>0</v>
      </c>
      <c r="O127" s="266"/>
      <c r="P127" s="266">
        <v>885038028499</v>
      </c>
      <c r="Q127" s="266">
        <v>9002761039511</v>
      </c>
      <c r="R127" s="265"/>
      <c r="U127" s="265" t="s">
        <v>3101</v>
      </c>
      <c r="V127" s="259" t="s">
        <v>3060</v>
      </c>
      <c r="W127" s="259" t="s">
        <v>3061</v>
      </c>
      <c r="Y127" s="259">
        <v>126</v>
      </c>
      <c r="Z127" s="259" t="s">
        <v>3264</v>
      </c>
      <c r="AA127" s="259"/>
      <c r="AB127" s="259"/>
      <c r="AC127" s="259"/>
      <c r="AD127" s="259"/>
      <c r="AE127" s="259"/>
    </row>
    <row r="128" spans="1:31">
      <c r="A128" s="259" t="s">
        <v>285</v>
      </c>
      <c r="B128" s="259" t="s">
        <v>1</v>
      </c>
      <c r="C128" s="264" t="s">
        <v>3193</v>
      </c>
      <c r="D128" s="264" t="s">
        <v>3385</v>
      </c>
      <c r="E128" s="259" t="s">
        <v>3195</v>
      </c>
      <c r="H128" s="264" t="s">
        <v>3358</v>
      </c>
      <c r="I128" s="264" t="s">
        <v>3386</v>
      </c>
      <c r="J128" s="295">
        <v>265.83999999999997</v>
      </c>
      <c r="K128" s="295">
        <v>212</v>
      </c>
      <c r="L128" s="295">
        <v>147.13999999999999</v>
      </c>
      <c r="O128" s="266">
        <v>40</v>
      </c>
      <c r="P128" s="266">
        <v>885038003113</v>
      </c>
      <c r="Q128" s="266">
        <v>9002761003116</v>
      </c>
      <c r="R128" s="265">
        <v>4</v>
      </c>
      <c r="S128" s="265">
        <v>5</v>
      </c>
      <c r="T128" s="265">
        <v>12</v>
      </c>
      <c r="U128" s="265">
        <v>3.6</v>
      </c>
      <c r="V128" s="259" t="s">
        <v>3247</v>
      </c>
      <c r="W128" s="259" t="s">
        <v>3061</v>
      </c>
      <c r="X128" s="269" t="s">
        <v>3387</v>
      </c>
      <c r="Y128" s="259">
        <v>127</v>
      </c>
      <c r="Z128" s="259" t="s">
        <v>3030</v>
      </c>
      <c r="AA128" s="259"/>
      <c r="AB128" s="259"/>
      <c r="AC128" s="259"/>
      <c r="AD128" s="259"/>
      <c r="AE128" s="259"/>
    </row>
    <row r="129" spans="1:31">
      <c r="A129" s="259" t="s">
        <v>286</v>
      </c>
      <c r="B129" s="259" t="s">
        <v>1</v>
      </c>
      <c r="C129" s="264" t="s">
        <v>3193</v>
      </c>
      <c r="D129" s="264" t="s">
        <v>3388</v>
      </c>
      <c r="E129" s="259" t="s">
        <v>3195</v>
      </c>
      <c r="H129" s="264" t="s">
        <v>3358</v>
      </c>
      <c r="I129" s="264" t="s">
        <v>3389</v>
      </c>
      <c r="J129" s="295">
        <v>159.51</v>
      </c>
      <c r="K129" s="295">
        <v>123</v>
      </c>
      <c r="L129" s="295">
        <v>86.55</v>
      </c>
      <c r="O129" s="266"/>
      <c r="P129" s="266">
        <v>885038031000</v>
      </c>
      <c r="Q129" s="266">
        <v>9002761031003</v>
      </c>
      <c r="R129" s="265">
        <v>2</v>
      </c>
      <c r="S129" s="265">
        <v>3</v>
      </c>
      <c r="T129" s="265">
        <v>5</v>
      </c>
      <c r="U129" s="265">
        <v>2.4</v>
      </c>
      <c r="V129" s="259" t="s">
        <v>3247</v>
      </c>
      <c r="W129" s="259" t="s">
        <v>3061</v>
      </c>
      <c r="X129" s="269" t="s">
        <v>3390</v>
      </c>
      <c r="Y129" s="259">
        <v>128</v>
      </c>
      <c r="Z129" s="259" t="s">
        <v>3030</v>
      </c>
      <c r="AA129" s="259"/>
      <c r="AB129" s="259"/>
      <c r="AC129" s="259"/>
      <c r="AD129" s="259"/>
      <c r="AE129" s="259"/>
    </row>
    <row r="130" spans="1:31">
      <c r="A130" s="259" t="s">
        <v>287</v>
      </c>
      <c r="B130" s="259" t="s">
        <v>1</v>
      </c>
      <c r="C130" s="264"/>
      <c r="D130" s="264"/>
      <c r="H130" s="264"/>
      <c r="I130" s="264"/>
      <c r="J130" s="295">
        <v>0</v>
      </c>
      <c r="K130" s="295">
        <v>0</v>
      </c>
      <c r="L130" s="295">
        <v>0</v>
      </c>
      <c r="O130" s="266"/>
      <c r="R130" s="265"/>
      <c r="V130" s="259"/>
      <c r="Y130" s="259">
        <v>129</v>
      </c>
      <c r="AA130" s="259"/>
      <c r="AB130" s="259"/>
      <c r="AC130" s="259"/>
      <c r="AD130" s="259"/>
      <c r="AE130" s="259"/>
    </row>
    <row r="131" spans="1:31">
      <c r="A131" s="259" t="s">
        <v>288</v>
      </c>
      <c r="B131" s="259" t="s">
        <v>1</v>
      </c>
      <c r="C131" s="264" t="s">
        <v>3193</v>
      </c>
      <c r="D131" s="264" t="s">
        <v>3391</v>
      </c>
      <c r="E131" s="259" t="s">
        <v>3195</v>
      </c>
      <c r="H131" s="264" t="s">
        <v>3392</v>
      </c>
      <c r="I131" s="264" t="s">
        <v>3393</v>
      </c>
      <c r="J131" s="295">
        <v>468.63</v>
      </c>
      <c r="K131" s="295">
        <v>366</v>
      </c>
      <c r="L131" s="295">
        <v>264.85000000000002</v>
      </c>
      <c r="O131" s="266">
        <v>30</v>
      </c>
      <c r="P131" s="266">
        <v>885038003977</v>
      </c>
      <c r="Q131" s="266">
        <v>9002761003970</v>
      </c>
      <c r="R131" s="265">
        <v>7</v>
      </c>
      <c r="S131" s="265">
        <v>3</v>
      </c>
      <c r="T131" s="265">
        <v>5</v>
      </c>
      <c r="U131" s="265">
        <v>2.4</v>
      </c>
      <c r="V131" s="259" t="s">
        <v>3028</v>
      </c>
      <c r="W131" s="259" t="s">
        <v>3029</v>
      </c>
      <c r="X131" s="269" t="s">
        <v>3394</v>
      </c>
      <c r="Y131" s="259">
        <v>130</v>
      </c>
      <c r="Z131" s="259" t="s">
        <v>3030</v>
      </c>
      <c r="AA131" s="259"/>
      <c r="AB131" s="259"/>
      <c r="AC131" s="259"/>
      <c r="AD131" s="259"/>
      <c r="AE131" s="259"/>
    </row>
    <row r="132" spans="1:31">
      <c r="A132" s="259" t="s">
        <v>289</v>
      </c>
      <c r="B132" s="259" t="s">
        <v>1</v>
      </c>
      <c r="C132" s="264" t="s">
        <v>3193</v>
      </c>
      <c r="D132" s="264" t="s">
        <v>3395</v>
      </c>
      <c r="E132" s="259" t="s">
        <v>3195</v>
      </c>
      <c r="H132" s="264" t="s">
        <v>3392</v>
      </c>
      <c r="I132" s="264" t="s">
        <v>3396</v>
      </c>
      <c r="J132" s="295">
        <v>159.51</v>
      </c>
      <c r="K132" s="295">
        <v>123</v>
      </c>
      <c r="L132" s="295">
        <v>88.28</v>
      </c>
      <c r="O132" s="266"/>
      <c r="P132" s="266">
        <v>885038031062</v>
      </c>
      <c r="Q132" s="266">
        <v>9002761031065</v>
      </c>
      <c r="R132" s="265">
        <v>5</v>
      </c>
      <c r="S132" s="265">
        <v>12</v>
      </c>
      <c r="T132" s="265">
        <v>10</v>
      </c>
      <c r="U132" s="265">
        <v>1.69</v>
      </c>
      <c r="V132" s="259" t="s">
        <v>3319</v>
      </c>
      <c r="W132" s="259" t="s">
        <v>3029</v>
      </c>
      <c r="X132" s="269" t="s">
        <v>3397</v>
      </c>
      <c r="Y132" s="259">
        <v>131</v>
      </c>
      <c r="Z132" s="259" t="s">
        <v>3030</v>
      </c>
      <c r="AA132" s="259"/>
      <c r="AB132" s="259"/>
      <c r="AC132" s="259"/>
      <c r="AD132" s="259"/>
      <c r="AE132" s="259"/>
    </row>
    <row r="133" spans="1:31">
      <c r="A133" s="259" t="s">
        <v>290</v>
      </c>
      <c r="B133" s="259" t="s">
        <v>1</v>
      </c>
      <c r="C133" s="264" t="s">
        <v>3193</v>
      </c>
      <c r="D133" s="264" t="s">
        <v>3398</v>
      </c>
      <c r="E133" s="259" t="s">
        <v>3195</v>
      </c>
      <c r="H133" s="264" t="s">
        <v>3392</v>
      </c>
      <c r="I133" s="264" t="s">
        <v>3399</v>
      </c>
      <c r="J133" s="295">
        <v>159.51</v>
      </c>
      <c r="K133" s="295">
        <v>123</v>
      </c>
      <c r="L133" s="295">
        <v>88.28</v>
      </c>
      <c r="O133" s="266"/>
      <c r="P133" s="266">
        <v>885038031079</v>
      </c>
      <c r="Q133" s="266">
        <v>9002761031072</v>
      </c>
      <c r="R133" s="265">
        <v>5</v>
      </c>
      <c r="S133" s="265">
        <v>12</v>
      </c>
      <c r="T133" s="265">
        <v>10</v>
      </c>
      <c r="U133" s="265">
        <v>1.69</v>
      </c>
      <c r="V133" s="259" t="s">
        <v>3319</v>
      </c>
      <c r="W133" s="259" t="s">
        <v>3029</v>
      </c>
      <c r="X133" s="269" t="s">
        <v>3400</v>
      </c>
      <c r="Y133" s="259">
        <v>132</v>
      </c>
      <c r="Z133" s="259" t="s">
        <v>3030</v>
      </c>
      <c r="AA133" s="259"/>
      <c r="AB133" s="259"/>
      <c r="AC133" s="259"/>
      <c r="AD133" s="259"/>
      <c r="AE133" s="259"/>
    </row>
    <row r="134" spans="1:31">
      <c r="A134" s="259" t="s">
        <v>291</v>
      </c>
      <c r="B134" s="259" t="s">
        <v>1</v>
      </c>
      <c r="C134" s="264" t="s">
        <v>3081</v>
      </c>
      <c r="D134" s="264" t="s">
        <v>3401</v>
      </c>
      <c r="E134" s="259">
        <v>83300200</v>
      </c>
      <c r="H134" s="264" t="s">
        <v>3392</v>
      </c>
      <c r="I134" s="264" t="s">
        <v>3402</v>
      </c>
      <c r="J134" s="295">
        <v>815.12</v>
      </c>
      <c r="K134" s="295">
        <v>562</v>
      </c>
      <c r="L134" s="295">
        <v>423.86</v>
      </c>
      <c r="O134" s="266"/>
      <c r="P134" s="266">
        <v>885038040514</v>
      </c>
      <c r="R134" s="265"/>
      <c r="V134" s="259" t="s">
        <v>3028</v>
      </c>
      <c r="W134" s="259" t="s">
        <v>3029</v>
      </c>
      <c r="X134" s="269" t="s">
        <v>3403</v>
      </c>
      <c r="Y134" s="259">
        <v>133</v>
      </c>
      <c r="Z134" s="259" t="s">
        <v>3227</v>
      </c>
      <c r="AA134" s="259"/>
      <c r="AB134" s="259"/>
      <c r="AC134" s="259"/>
      <c r="AD134" s="259"/>
      <c r="AE134" s="259"/>
    </row>
    <row r="135" spans="1:31">
      <c r="A135" s="259" t="s">
        <v>292</v>
      </c>
      <c r="B135" s="259" t="s">
        <v>1</v>
      </c>
      <c r="C135" s="264" t="s">
        <v>3081</v>
      </c>
      <c r="D135" s="264" t="s">
        <v>3404</v>
      </c>
      <c r="E135" s="259">
        <v>83200201</v>
      </c>
      <c r="H135" s="264" t="s">
        <v>3392</v>
      </c>
      <c r="I135" s="264" t="s">
        <v>3405</v>
      </c>
      <c r="J135" s="295">
        <v>659.06</v>
      </c>
      <c r="K135" s="295">
        <v>453</v>
      </c>
      <c r="L135" s="295">
        <v>342.71</v>
      </c>
      <c r="O135" s="266"/>
      <c r="P135" s="266">
        <v>885038040507</v>
      </c>
      <c r="R135" s="265">
        <v>1.65</v>
      </c>
      <c r="S135" s="265">
        <v>6.9</v>
      </c>
      <c r="T135" s="265">
        <v>65</v>
      </c>
      <c r="U135" s="265">
        <v>3.1</v>
      </c>
      <c r="V135" s="259" t="s">
        <v>3028</v>
      </c>
      <c r="W135" s="259" t="s">
        <v>3029</v>
      </c>
      <c r="X135" s="269" t="s">
        <v>3406</v>
      </c>
      <c r="Y135" s="259">
        <v>134</v>
      </c>
      <c r="Z135" s="259" t="s">
        <v>3227</v>
      </c>
      <c r="AA135" s="259"/>
      <c r="AB135" s="259"/>
      <c r="AC135" s="259"/>
      <c r="AD135" s="259"/>
      <c r="AE135" s="259"/>
    </row>
    <row r="136" spans="1:31">
      <c r="A136" s="259" t="s">
        <v>293</v>
      </c>
      <c r="B136" s="259" t="s">
        <v>1</v>
      </c>
      <c r="C136" s="264" t="s">
        <v>3193</v>
      </c>
      <c r="D136" s="264" t="s">
        <v>3407</v>
      </c>
      <c r="E136" s="259" t="s">
        <v>3408</v>
      </c>
      <c r="H136" s="264" t="s">
        <v>3409</v>
      </c>
      <c r="I136" s="264" t="s">
        <v>3410</v>
      </c>
      <c r="J136" s="295">
        <v>617</v>
      </c>
      <c r="K136" s="295">
        <v>494</v>
      </c>
      <c r="L136" s="295">
        <v>346.21</v>
      </c>
      <c r="O136" s="266"/>
      <c r="P136" s="266">
        <v>885038024798</v>
      </c>
      <c r="Q136" s="266">
        <v>9002761024791</v>
      </c>
      <c r="R136" s="265">
        <v>3</v>
      </c>
      <c r="S136" s="265">
        <v>10</v>
      </c>
      <c r="T136" s="265">
        <v>5</v>
      </c>
      <c r="U136" s="265">
        <v>0.38</v>
      </c>
      <c r="V136" s="259" t="s">
        <v>3028</v>
      </c>
      <c r="W136" s="259" t="s">
        <v>3029</v>
      </c>
      <c r="X136" s="269" t="s">
        <v>3411</v>
      </c>
      <c r="Y136" s="259">
        <v>135</v>
      </c>
      <c r="Z136" s="259" t="s">
        <v>3030</v>
      </c>
      <c r="AA136" s="259"/>
      <c r="AB136" s="259"/>
      <c r="AC136" s="259"/>
      <c r="AD136" s="259"/>
      <c r="AE136" s="259"/>
    </row>
    <row r="137" spans="1:31">
      <c r="A137" s="259" t="s">
        <v>294</v>
      </c>
      <c r="B137" s="259" t="s">
        <v>1</v>
      </c>
      <c r="C137" s="264" t="s">
        <v>3193</v>
      </c>
      <c r="D137" s="264" t="s">
        <v>3412</v>
      </c>
      <c r="E137" s="259" t="s">
        <v>3408</v>
      </c>
      <c r="H137" s="264" t="s">
        <v>3409</v>
      </c>
      <c r="I137" s="264" t="s">
        <v>3413</v>
      </c>
      <c r="J137" s="295">
        <v>265.83999999999997</v>
      </c>
      <c r="K137" s="295">
        <v>212</v>
      </c>
      <c r="L137" s="295">
        <v>147.13999999999999</v>
      </c>
      <c r="O137" s="266"/>
      <c r="P137" s="266">
        <v>885038024859</v>
      </c>
      <c r="Q137" s="266">
        <v>9002761024852</v>
      </c>
      <c r="R137" s="265">
        <v>3</v>
      </c>
      <c r="S137" s="265">
        <v>6</v>
      </c>
      <c r="T137" s="265">
        <v>4</v>
      </c>
      <c r="U137" s="265">
        <v>2.8</v>
      </c>
      <c r="V137" s="259" t="s">
        <v>3028</v>
      </c>
      <c r="W137" s="259" t="s">
        <v>3029</v>
      </c>
      <c r="X137" s="269" t="s">
        <v>3414</v>
      </c>
      <c r="Y137" s="259">
        <v>136</v>
      </c>
      <c r="Z137" s="259" t="s">
        <v>3030</v>
      </c>
      <c r="AA137" s="259"/>
      <c r="AB137" s="259"/>
      <c r="AC137" s="259"/>
      <c r="AD137" s="259"/>
      <c r="AE137" s="259"/>
    </row>
    <row r="138" spans="1:31">
      <c r="A138" s="259" t="s">
        <v>295</v>
      </c>
      <c r="B138" s="259" t="s">
        <v>1</v>
      </c>
      <c r="C138" s="264" t="s">
        <v>3193</v>
      </c>
      <c r="D138" s="264" t="s">
        <v>3415</v>
      </c>
      <c r="E138" s="259" t="s">
        <v>3408</v>
      </c>
      <c r="H138" s="264" t="s">
        <v>3409</v>
      </c>
      <c r="I138" s="264" t="s">
        <v>3416</v>
      </c>
      <c r="J138" s="295">
        <v>307.88</v>
      </c>
      <c r="K138" s="295">
        <v>247</v>
      </c>
      <c r="L138" s="295">
        <v>173.11</v>
      </c>
      <c r="O138" s="266"/>
      <c r="P138" s="266">
        <v>885038024842</v>
      </c>
      <c r="Q138" s="266">
        <v>9002761024845</v>
      </c>
      <c r="R138" s="265">
        <v>3</v>
      </c>
      <c r="S138" s="265">
        <v>6</v>
      </c>
      <c r="T138" s="265">
        <v>4</v>
      </c>
      <c r="U138" s="265">
        <v>2.8</v>
      </c>
      <c r="V138" s="259" t="s">
        <v>3028</v>
      </c>
      <c r="W138" s="259" t="s">
        <v>3029</v>
      </c>
      <c r="X138" s="269" t="s">
        <v>3417</v>
      </c>
      <c r="Y138" s="259">
        <v>137</v>
      </c>
      <c r="Z138" s="259" t="s">
        <v>3030</v>
      </c>
      <c r="AA138" s="259"/>
      <c r="AB138" s="259"/>
      <c r="AC138" s="259"/>
      <c r="AD138" s="259"/>
      <c r="AE138" s="259"/>
    </row>
    <row r="139" spans="1:31">
      <c r="A139" s="259" t="s">
        <v>296</v>
      </c>
      <c r="B139" s="259" t="s">
        <v>1</v>
      </c>
      <c r="C139" s="264" t="s">
        <v>3193</v>
      </c>
      <c r="D139" s="264" t="s">
        <v>3418</v>
      </c>
      <c r="E139" s="259" t="s">
        <v>3408</v>
      </c>
      <c r="H139" s="264" t="s">
        <v>3409</v>
      </c>
      <c r="I139" s="264" t="s">
        <v>3419</v>
      </c>
      <c r="J139" s="295">
        <v>184.24</v>
      </c>
      <c r="K139" s="295">
        <v>144</v>
      </c>
      <c r="L139" s="295">
        <v>103.86</v>
      </c>
      <c r="O139" s="266"/>
      <c r="P139" s="266">
        <v>885038024835</v>
      </c>
      <c r="Q139" s="266">
        <v>9002761024838</v>
      </c>
      <c r="R139" s="265">
        <v>3</v>
      </c>
      <c r="S139" s="265">
        <v>4</v>
      </c>
      <c r="T139" s="265">
        <v>6</v>
      </c>
      <c r="U139" s="265">
        <v>2.8</v>
      </c>
      <c r="V139" s="259" t="s">
        <v>3028</v>
      </c>
      <c r="W139" s="259" t="s">
        <v>3029</v>
      </c>
      <c r="X139" s="269" t="s">
        <v>3420</v>
      </c>
      <c r="Y139" s="259">
        <v>138</v>
      </c>
      <c r="Z139" s="259" t="s">
        <v>3030</v>
      </c>
      <c r="AA139" s="259"/>
      <c r="AB139" s="259"/>
      <c r="AC139" s="259"/>
      <c r="AD139" s="259"/>
      <c r="AE139" s="259"/>
    </row>
    <row r="140" spans="1:31">
      <c r="A140" s="259" t="s">
        <v>297</v>
      </c>
      <c r="B140" s="259" t="s">
        <v>1</v>
      </c>
      <c r="C140" s="264" t="s">
        <v>3193</v>
      </c>
      <c r="D140" s="264" t="s">
        <v>3421</v>
      </c>
      <c r="E140" s="259" t="s">
        <v>3408</v>
      </c>
      <c r="G140" s="259" t="s">
        <v>3378</v>
      </c>
      <c r="H140" s="264" t="s">
        <v>3409</v>
      </c>
      <c r="I140" s="264" t="s">
        <v>3422</v>
      </c>
      <c r="J140" s="295">
        <v>221.33</v>
      </c>
      <c r="K140" s="295">
        <v>170</v>
      </c>
      <c r="L140" s="295">
        <v>121.17</v>
      </c>
      <c r="O140" s="266"/>
      <c r="P140" s="266">
        <v>885038025573</v>
      </c>
      <c r="Q140" s="266">
        <v>9002761025576</v>
      </c>
      <c r="R140" s="265">
        <v>0.47739999999999999</v>
      </c>
      <c r="S140" s="265">
        <v>9.6</v>
      </c>
      <c r="T140" s="265">
        <v>4.8</v>
      </c>
      <c r="U140" s="265">
        <v>2.8</v>
      </c>
      <c r="V140" s="259" t="s">
        <v>3028</v>
      </c>
      <c r="W140" s="259" t="s">
        <v>3029</v>
      </c>
      <c r="X140" s="269" t="s">
        <v>3423</v>
      </c>
      <c r="Y140" s="259">
        <v>139</v>
      </c>
      <c r="Z140" s="259" t="s">
        <v>3030</v>
      </c>
      <c r="AA140" s="259"/>
      <c r="AB140" s="259"/>
      <c r="AC140" s="259"/>
      <c r="AD140" s="259"/>
      <c r="AE140" s="259"/>
    </row>
    <row r="141" spans="1:31">
      <c r="A141" s="259" t="s">
        <v>298</v>
      </c>
      <c r="B141" s="259" t="s">
        <v>1</v>
      </c>
      <c r="C141" s="264" t="s">
        <v>3193</v>
      </c>
      <c r="D141" s="264" t="s">
        <v>3424</v>
      </c>
      <c r="E141" s="259" t="s">
        <v>3408</v>
      </c>
      <c r="H141" s="264" t="s">
        <v>3409</v>
      </c>
      <c r="I141" s="264" t="s">
        <v>3425</v>
      </c>
      <c r="J141" s="295">
        <v>283.14999999999998</v>
      </c>
      <c r="K141" s="295">
        <v>222</v>
      </c>
      <c r="L141" s="295">
        <v>154.56</v>
      </c>
      <c r="O141" s="266"/>
      <c r="P141" s="266">
        <v>885038024828</v>
      </c>
      <c r="Q141" s="266">
        <v>9002761024821</v>
      </c>
      <c r="R141" s="265">
        <v>7</v>
      </c>
      <c r="S141" s="265">
        <v>8</v>
      </c>
      <c r="T141" s="265">
        <v>8</v>
      </c>
      <c r="U141" s="265">
        <v>2.8</v>
      </c>
      <c r="V141" s="259" t="s">
        <v>3028</v>
      </c>
      <c r="W141" s="259" t="s">
        <v>3029</v>
      </c>
      <c r="X141" s="269" t="s">
        <v>3426</v>
      </c>
      <c r="Y141" s="259">
        <v>140</v>
      </c>
      <c r="Z141" s="259" t="s">
        <v>3030</v>
      </c>
      <c r="AA141" s="259"/>
      <c r="AB141" s="259"/>
      <c r="AC141" s="259"/>
      <c r="AD141" s="259"/>
      <c r="AE141" s="259"/>
    </row>
    <row r="142" spans="1:31">
      <c r="A142" s="259" t="s">
        <v>299</v>
      </c>
      <c r="B142" s="259" t="s">
        <v>1</v>
      </c>
      <c r="C142" s="264" t="s">
        <v>3193</v>
      </c>
      <c r="D142" s="264" t="s">
        <v>3427</v>
      </c>
      <c r="E142" s="259" t="s">
        <v>3408</v>
      </c>
      <c r="H142" s="264" t="s">
        <v>3409</v>
      </c>
      <c r="I142" s="264" t="s">
        <v>3428</v>
      </c>
      <c r="J142" s="295">
        <v>617</v>
      </c>
      <c r="K142" s="295">
        <v>494</v>
      </c>
      <c r="L142" s="295">
        <v>346.21</v>
      </c>
      <c r="O142" s="266"/>
      <c r="P142" s="266">
        <v>885038024804</v>
      </c>
      <c r="Q142" s="266">
        <v>9002761024807</v>
      </c>
      <c r="R142" s="265">
        <v>23</v>
      </c>
      <c r="S142" s="265">
        <v>10</v>
      </c>
      <c r="T142" s="265">
        <v>14</v>
      </c>
      <c r="U142" s="265">
        <v>2.8</v>
      </c>
      <c r="V142" s="259" t="s">
        <v>3028</v>
      </c>
      <c r="W142" s="259" t="s">
        <v>3029</v>
      </c>
      <c r="X142" s="269" t="s">
        <v>3429</v>
      </c>
      <c r="Y142" s="259">
        <v>141</v>
      </c>
      <c r="Z142" s="259" t="s">
        <v>3030</v>
      </c>
      <c r="AA142" s="259"/>
      <c r="AB142" s="259"/>
      <c r="AC142" s="259"/>
      <c r="AD142" s="259"/>
      <c r="AE142" s="259"/>
    </row>
    <row r="143" spans="1:31">
      <c r="A143" s="259" t="s">
        <v>300</v>
      </c>
      <c r="B143" s="259" t="s">
        <v>1</v>
      </c>
      <c r="C143" s="264" t="s">
        <v>3193</v>
      </c>
      <c r="D143" s="264" t="s">
        <v>3430</v>
      </c>
      <c r="E143" s="259">
        <v>81200200</v>
      </c>
      <c r="H143" s="264" t="s">
        <v>3409</v>
      </c>
      <c r="I143" s="264" t="s">
        <v>3431</v>
      </c>
      <c r="J143" s="295">
        <v>468.63</v>
      </c>
      <c r="K143" s="295">
        <v>366</v>
      </c>
      <c r="L143" s="295">
        <v>259.66000000000003</v>
      </c>
      <c r="O143" s="266"/>
      <c r="P143" s="266">
        <v>885038024910</v>
      </c>
      <c r="Q143" s="266">
        <v>9002761024913</v>
      </c>
      <c r="R143" s="265">
        <v>3</v>
      </c>
      <c r="S143" s="265">
        <v>5</v>
      </c>
      <c r="T143" s="265">
        <v>10</v>
      </c>
      <c r="U143" s="265">
        <v>2.8</v>
      </c>
      <c r="V143" s="259" t="s">
        <v>3028</v>
      </c>
      <c r="W143" s="259" t="s">
        <v>3029</v>
      </c>
      <c r="X143" s="269" t="s">
        <v>3432</v>
      </c>
      <c r="Y143" s="259">
        <v>142</v>
      </c>
      <c r="Z143" s="259" t="s">
        <v>3030</v>
      </c>
      <c r="AA143" s="259"/>
      <c r="AB143" s="259"/>
      <c r="AC143" s="259"/>
      <c r="AD143" s="259"/>
      <c r="AE143" s="259"/>
    </row>
    <row r="144" spans="1:31">
      <c r="A144" s="259" t="s">
        <v>301</v>
      </c>
      <c r="B144" s="259" t="s">
        <v>1</v>
      </c>
      <c r="C144" s="264" t="s">
        <v>3193</v>
      </c>
      <c r="D144" s="264" t="s">
        <v>3433</v>
      </c>
      <c r="E144" s="259" t="s">
        <v>3408</v>
      </c>
      <c r="H144" s="264" t="s">
        <v>3409</v>
      </c>
      <c r="I144" s="264" t="s">
        <v>3434</v>
      </c>
      <c r="J144" s="295">
        <v>530.45000000000005</v>
      </c>
      <c r="K144" s="295">
        <v>422</v>
      </c>
      <c r="L144" s="295">
        <v>294.27999999999997</v>
      </c>
      <c r="O144" s="266"/>
      <c r="P144" s="266">
        <v>885038024903</v>
      </c>
      <c r="Q144" s="266">
        <v>9002761024906</v>
      </c>
      <c r="R144" s="265">
        <v>3</v>
      </c>
      <c r="S144" s="265">
        <v>10</v>
      </c>
      <c r="T144" s="265">
        <v>5</v>
      </c>
      <c r="U144" s="265">
        <v>2.8</v>
      </c>
      <c r="V144" s="259" t="s">
        <v>3028</v>
      </c>
      <c r="W144" s="259" t="s">
        <v>3029</v>
      </c>
      <c r="X144" s="269" t="s">
        <v>3435</v>
      </c>
      <c r="Y144" s="259">
        <v>143</v>
      </c>
      <c r="Z144" s="259" t="s">
        <v>3030</v>
      </c>
      <c r="AA144" s="259"/>
      <c r="AB144" s="259"/>
      <c r="AC144" s="259"/>
      <c r="AD144" s="259"/>
      <c r="AE144" s="259"/>
    </row>
    <row r="145" spans="1:31">
      <c r="A145" s="259" t="s">
        <v>302</v>
      </c>
      <c r="B145" s="259" t="s">
        <v>1</v>
      </c>
      <c r="C145" s="264" t="s">
        <v>3193</v>
      </c>
      <c r="D145" s="264" t="s">
        <v>3436</v>
      </c>
      <c r="E145" s="259" t="s">
        <v>3408</v>
      </c>
      <c r="H145" s="264" t="s">
        <v>3409</v>
      </c>
      <c r="I145" s="264" t="s">
        <v>3437</v>
      </c>
      <c r="J145" s="295">
        <v>542.80999999999995</v>
      </c>
      <c r="K145" s="295">
        <v>432</v>
      </c>
      <c r="L145" s="295">
        <v>302.94</v>
      </c>
      <c r="O145" s="266"/>
      <c r="P145" s="266">
        <v>885038024897</v>
      </c>
      <c r="Q145" s="266">
        <v>9002761024890</v>
      </c>
      <c r="R145" s="265">
        <v>3</v>
      </c>
      <c r="S145" s="265">
        <v>5</v>
      </c>
      <c r="T145" s="265">
        <v>10</v>
      </c>
      <c r="U145" s="265">
        <v>2.8</v>
      </c>
      <c r="V145" s="259" t="s">
        <v>3028</v>
      </c>
      <c r="W145" s="259" t="s">
        <v>3029</v>
      </c>
      <c r="X145" s="269" t="s">
        <v>3438</v>
      </c>
      <c r="Y145" s="259">
        <v>144</v>
      </c>
      <c r="Z145" s="259" t="s">
        <v>3030</v>
      </c>
      <c r="AA145" s="259"/>
      <c r="AB145" s="259"/>
      <c r="AC145" s="259"/>
      <c r="AD145" s="259"/>
      <c r="AE145" s="259"/>
    </row>
    <row r="146" spans="1:31">
      <c r="A146" s="259" t="s">
        <v>303</v>
      </c>
      <c r="B146" s="259" t="s">
        <v>1</v>
      </c>
      <c r="C146" s="264" t="s">
        <v>3193</v>
      </c>
      <c r="D146" s="264" t="s">
        <v>3439</v>
      </c>
      <c r="E146" s="259" t="s">
        <v>3408</v>
      </c>
      <c r="H146" s="264" t="s">
        <v>3409</v>
      </c>
      <c r="I146" s="264" t="s">
        <v>3440</v>
      </c>
      <c r="J146" s="295">
        <v>530.45000000000005</v>
      </c>
      <c r="K146" s="295">
        <v>422</v>
      </c>
      <c r="L146" s="295">
        <v>294.27999999999997</v>
      </c>
      <c r="O146" s="266"/>
      <c r="P146" s="266">
        <v>885038024880</v>
      </c>
      <c r="Q146" s="266">
        <v>9002761024883</v>
      </c>
      <c r="R146" s="265">
        <v>3</v>
      </c>
      <c r="S146" s="265">
        <v>10</v>
      </c>
      <c r="T146" s="265">
        <v>5</v>
      </c>
      <c r="U146" s="265">
        <v>2.8</v>
      </c>
      <c r="V146" s="259" t="s">
        <v>3028</v>
      </c>
      <c r="W146" s="259" t="s">
        <v>3029</v>
      </c>
      <c r="X146" s="269" t="s">
        <v>3441</v>
      </c>
      <c r="Y146" s="259">
        <v>145</v>
      </c>
      <c r="Z146" s="259" t="s">
        <v>3030</v>
      </c>
      <c r="AA146" s="259"/>
      <c r="AB146" s="259"/>
      <c r="AC146" s="259"/>
      <c r="AD146" s="259"/>
      <c r="AE146" s="259"/>
    </row>
    <row r="147" spans="1:31">
      <c r="A147" s="259" t="s">
        <v>304</v>
      </c>
      <c r="B147" s="259" t="s">
        <v>1</v>
      </c>
      <c r="C147" s="264" t="s">
        <v>3193</v>
      </c>
      <c r="D147" s="264" t="s">
        <v>3442</v>
      </c>
      <c r="E147" s="259" t="s">
        <v>3408</v>
      </c>
      <c r="H147" s="264" t="s">
        <v>3409</v>
      </c>
      <c r="I147" s="264" t="s">
        <v>3443</v>
      </c>
      <c r="J147" s="295">
        <v>579.91</v>
      </c>
      <c r="K147" s="295">
        <v>453</v>
      </c>
      <c r="L147" s="295">
        <v>321.48</v>
      </c>
      <c r="O147" s="266"/>
      <c r="P147" s="266">
        <v>885038024866</v>
      </c>
      <c r="Q147" s="266">
        <v>9002761024869</v>
      </c>
      <c r="R147" s="265">
        <v>3</v>
      </c>
      <c r="S147" s="265">
        <v>5</v>
      </c>
      <c r="T147" s="265">
        <v>9</v>
      </c>
      <c r="U147" s="265">
        <v>2.8</v>
      </c>
      <c r="V147" s="259" t="s">
        <v>3028</v>
      </c>
      <c r="W147" s="259" t="s">
        <v>3029</v>
      </c>
      <c r="X147" s="269" t="s">
        <v>3444</v>
      </c>
      <c r="Y147" s="259">
        <v>146</v>
      </c>
      <c r="Z147" s="259" t="s">
        <v>3030</v>
      </c>
      <c r="AA147" s="259"/>
      <c r="AB147" s="259"/>
      <c r="AC147" s="259"/>
      <c r="AD147" s="259"/>
      <c r="AE147" s="259"/>
    </row>
    <row r="148" spans="1:31">
      <c r="A148" s="259" t="s">
        <v>305</v>
      </c>
      <c r="B148" s="259" t="s">
        <v>1</v>
      </c>
      <c r="C148" s="264" t="s">
        <v>3193</v>
      </c>
      <c r="D148" s="264" t="s">
        <v>3445</v>
      </c>
      <c r="E148" s="259" t="s">
        <v>3408</v>
      </c>
      <c r="H148" s="264" t="s">
        <v>3409</v>
      </c>
      <c r="I148" s="264" t="s">
        <v>3446</v>
      </c>
      <c r="J148" s="295">
        <v>542.80999999999995</v>
      </c>
      <c r="K148" s="295">
        <v>432</v>
      </c>
      <c r="L148" s="295">
        <v>304.17</v>
      </c>
      <c r="O148" s="266"/>
      <c r="P148" s="266">
        <v>885038024873</v>
      </c>
      <c r="Q148" s="266">
        <v>9002761024876</v>
      </c>
      <c r="R148" s="265">
        <v>3</v>
      </c>
      <c r="S148" s="265">
        <v>10</v>
      </c>
      <c r="T148" s="265">
        <v>5</v>
      </c>
      <c r="U148" s="265">
        <v>2.8</v>
      </c>
      <c r="V148" s="259" t="s">
        <v>3028</v>
      </c>
      <c r="W148" s="259" t="s">
        <v>3029</v>
      </c>
      <c r="X148" s="269" t="s">
        <v>3447</v>
      </c>
      <c r="Y148" s="259">
        <v>147</v>
      </c>
      <c r="Z148" s="259" t="s">
        <v>3030</v>
      </c>
      <c r="AA148" s="259"/>
      <c r="AB148" s="259"/>
      <c r="AC148" s="259"/>
      <c r="AD148" s="259"/>
      <c r="AE148" s="259"/>
    </row>
    <row r="149" spans="1:31">
      <c r="A149" s="259" t="s">
        <v>306</v>
      </c>
      <c r="B149" s="259" t="s">
        <v>1</v>
      </c>
      <c r="C149" s="264"/>
      <c r="D149" s="264"/>
      <c r="H149" s="264"/>
      <c r="I149" s="264"/>
      <c r="J149" s="295">
        <v>0</v>
      </c>
      <c r="K149" s="295">
        <v>0</v>
      </c>
      <c r="L149" s="295">
        <v>0</v>
      </c>
      <c r="O149" s="266"/>
      <c r="R149" s="265"/>
      <c r="V149" s="259"/>
      <c r="Y149" s="259">
        <v>148</v>
      </c>
      <c r="AA149" s="259"/>
      <c r="AB149" s="259"/>
      <c r="AC149" s="259"/>
      <c r="AD149" s="259"/>
      <c r="AE149" s="259"/>
    </row>
    <row r="150" spans="1:31">
      <c r="A150" s="259" t="s">
        <v>307</v>
      </c>
      <c r="B150" s="259" t="s">
        <v>1</v>
      </c>
      <c r="C150" s="264" t="s">
        <v>3193</v>
      </c>
      <c r="D150" s="264" t="s">
        <v>3448</v>
      </c>
      <c r="E150" s="259" t="s">
        <v>3195</v>
      </c>
      <c r="H150" s="264" t="s">
        <v>3449</v>
      </c>
      <c r="I150" s="264" t="s">
        <v>3450</v>
      </c>
      <c r="J150" s="295">
        <v>233.69</v>
      </c>
      <c r="K150" s="295">
        <v>181</v>
      </c>
      <c r="L150" s="295">
        <v>132.43</v>
      </c>
      <c r="O150" s="266">
        <v>30</v>
      </c>
      <c r="P150" s="266">
        <v>885038028383</v>
      </c>
      <c r="Q150" s="266">
        <v>9002761028386</v>
      </c>
      <c r="R150" s="265">
        <v>7</v>
      </c>
      <c r="S150" s="265">
        <v>3</v>
      </c>
      <c r="T150" s="265">
        <v>5</v>
      </c>
      <c r="U150" s="265">
        <v>2.4</v>
      </c>
      <c r="V150" s="259" t="s">
        <v>3028</v>
      </c>
      <c r="W150" s="259" t="s">
        <v>3029</v>
      </c>
      <c r="X150" s="269" t="s">
        <v>3451</v>
      </c>
      <c r="Y150" s="259">
        <v>149</v>
      </c>
      <c r="Z150" s="259" t="s">
        <v>3030</v>
      </c>
      <c r="AA150" s="259"/>
      <c r="AB150" s="259"/>
      <c r="AC150" s="259"/>
      <c r="AD150" s="259"/>
      <c r="AE150" s="259"/>
    </row>
    <row r="151" spans="1:31">
      <c r="A151" s="259" t="s">
        <v>308</v>
      </c>
      <c r="B151" s="259" t="s">
        <v>1</v>
      </c>
      <c r="C151" s="264" t="s">
        <v>3193</v>
      </c>
      <c r="D151" s="264" t="s">
        <v>3452</v>
      </c>
      <c r="E151" s="259" t="s">
        <v>3195</v>
      </c>
      <c r="H151" s="264" t="s">
        <v>3449</v>
      </c>
      <c r="I151" s="264" t="s">
        <v>3453</v>
      </c>
      <c r="J151" s="295">
        <v>233.69</v>
      </c>
      <c r="K151" s="295">
        <v>181</v>
      </c>
      <c r="L151" s="295">
        <v>132.43</v>
      </c>
      <c r="O151" s="266"/>
      <c r="P151" s="266">
        <v>885038028659</v>
      </c>
      <c r="Q151" s="266">
        <v>9002761028652</v>
      </c>
      <c r="R151" s="265">
        <v>7</v>
      </c>
      <c r="S151" s="265">
        <v>3</v>
      </c>
      <c r="T151" s="265">
        <v>5</v>
      </c>
      <c r="U151" s="265">
        <v>6.08</v>
      </c>
      <c r="V151" s="259" t="s">
        <v>3028</v>
      </c>
      <c r="W151" s="259" t="s">
        <v>3029</v>
      </c>
      <c r="X151" s="269" t="s">
        <v>3454</v>
      </c>
      <c r="Y151" s="259">
        <v>150</v>
      </c>
      <c r="Z151" s="259" t="s">
        <v>3030</v>
      </c>
      <c r="AA151" s="259"/>
      <c r="AB151" s="259"/>
      <c r="AC151" s="259"/>
      <c r="AD151" s="259"/>
      <c r="AE151" s="259"/>
    </row>
    <row r="152" spans="1:31">
      <c r="A152" s="259" t="s">
        <v>309</v>
      </c>
      <c r="B152" s="259" t="s">
        <v>1</v>
      </c>
      <c r="C152" s="264" t="s">
        <v>3193</v>
      </c>
      <c r="D152" s="264" t="s">
        <v>3455</v>
      </c>
      <c r="E152" s="259" t="s">
        <v>3195</v>
      </c>
      <c r="H152" s="264" t="s">
        <v>3196</v>
      </c>
      <c r="I152" s="264" t="s">
        <v>3456</v>
      </c>
      <c r="J152" s="295">
        <v>159.51</v>
      </c>
      <c r="K152" s="295">
        <v>123</v>
      </c>
      <c r="L152" s="295">
        <v>88.28</v>
      </c>
      <c r="O152" s="266"/>
      <c r="P152" s="266">
        <v>885038035268</v>
      </c>
      <c r="Q152" s="266">
        <v>9002761035261</v>
      </c>
      <c r="R152" s="265">
        <v>5</v>
      </c>
      <c r="S152" s="265">
        <v>1</v>
      </c>
      <c r="T152" s="265">
        <v>9</v>
      </c>
      <c r="U152" s="265">
        <v>1.2</v>
      </c>
      <c r="V152" s="259" t="s">
        <v>3028</v>
      </c>
      <c r="W152" s="259" t="s">
        <v>3029</v>
      </c>
      <c r="X152" s="269" t="s">
        <v>3457</v>
      </c>
      <c r="Y152" s="259">
        <v>151</v>
      </c>
      <c r="Z152" s="259" t="s">
        <v>3030</v>
      </c>
      <c r="AA152" s="259"/>
      <c r="AB152" s="259"/>
      <c r="AC152" s="259"/>
      <c r="AD152" s="259"/>
      <c r="AE152" s="259"/>
    </row>
    <row r="153" spans="1:31">
      <c r="A153" s="259" t="s">
        <v>310</v>
      </c>
      <c r="B153" s="259" t="s">
        <v>1</v>
      </c>
      <c r="C153" s="264" t="s">
        <v>3193</v>
      </c>
      <c r="D153" s="264" t="s">
        <v>3458</v>
      </c>
      <c r="E153" s="259" t="s">
        <v>3377</v>
      </c>
      <c r="H153" s="264" t="s">
        <v>3379</v>
      </c>
      <c r="I153" s="264" t="s">
        <v>3459</v>
      </c>
      <c r="J153" s="295">
        <v>579.91</v>
      </c>
      <c r="K153" s="295">
        <v>453</v>
      </c>
      <c r="L153" s="295">
        <v>321.48</v>
      </c>
      <c r="O153" s="266"/>
      <c r="P153" s="266">
        <v>885038035886</v>
      </c>
      <c r="Q153" s="266">
        <v>9002761035889</v>
      </c>
      <c r="R153" s="265">
        <v>2</v>
      </c>
      <c r="S153" s="265">
        <v>6</v>
      </c>
      <c r="T153" s="265">
        <v>3</v>
      </c>
      <c r="U153" s="265">
        <v>1</v>
      </c>
      <c r="V153" s="259" t="s">
        <v>3218</v>
      </c>
      <c r="W153" s="259" t="s">
        <v>3061</v>
      </c>
      <c r="X153" s="269" t="s">
        <v>3460</v>
      </c>
      <c r="Y153" s="259">
        <v>152</v>
      </c>
      <c r="Z153" s="259" t="s">
        <v>3037</v>
      </c>
      <c r="AA153" s="259"/>
      <c r="AB153" s="259"/>
      <c r="AC153" s="259"/>
      <c r="AD153" s="259"/>
      <c r="AE153" s="259"/>
    </row>
    <row r="154" spans="1:31">
      <c r="A154" s="259" t="s">
        <v>311</v>
      </c>
      <c r="B154" s="259" t="s">
        <v>1</v>
      </c>
      <c r="C154" s="264" t="s">
        <v>3193</v>
      </c>
      <c r="D154" s="264" t="s">
        <v>3461</v>
      </c>
      <c r="E154" s="259" t="s">
        <v>3377</v>
      </c>
      <c r="H154" s="264" t="s">
        <v>3379</v>
      </c>
      <c r="I154" s="264" t="s">
        <v>3462</v>
      </c>
      <c r="J154" s="295">
        <v>4944.68</v>
      </c>
      <c r="K154" s="295">
        <v>3893</v>
      </c>
      <c r="L154" s="295">
        <v>2720.25</v>
      </c>
      <c r="O154" s="266"/>
      <c r="P154" s="266">
        <v>885038035893</v>
      </c>
      <c r="Q154" s="266">
        <v>9002761035896</v>
      </c>
      <c r="R154" s="265"/>
      <c r="U154" s="265">
        <v>2</v>
      </c>
      <c r="V154" s="259" t="s">
        <v>3218</v>
      </c>
      <c r="W154" s="259" t="s">
        <v>3061</v>
      </c>
      <c r="X154" s="269" t="s">
        <v>3463</v>
      </c>
      <c r="Y154" s="259">
        <v>153</v>
      </c>
      <c r="Z154" s="259" t="s">
        <v>3037</v>
      </c>
      <c r="AA154" s="259"/>
      <c r="AB154" s="259"/>
      <c r="AC154" s="259"/>
      <c r="AD154" s="259"/>
      <c r="AE154" s="259"/>
    </row>
    <row r="155" spans="1:31">
      <c r="A155" s="259" t="s">
        <v>312</v>
      </c>
      <c r="B155" s="259" t="s">
        <v>1</v>
      </c>
      <c r="C155" s="264" t="s">
        <v>3193</v>
      </c>
      <c r="D155" s="264" t="s">
        <v>3464</v>
      </c>
      <c r="E155" s="259" t="s">
        <v>3377</v>
      </c>
      <c r="H155" s="264" t="s">
        <v>3379</v>
      </c>
      <c r="I155" s="264" t="s">
        <v>3465</v>
      </c>
      <c r="J155" s="295">
        <v>4944.68</v>
      </c>
      <c r="K155" s="295">
        <v>3893</v>
      </c>
      <c r="L155" s="295">
        <v>2720.25</v>
      </c>
      <c r="O155" s="266"/>
      <c r="P155" s="266">
        <v>885038035909</v>
      </c>
      <c r="Q155" s="266">
        <v>9002761035902</v>
      </c>
      <c r="R155" s="265"/>
      <c r="U155" s="265">
        <v>7.6</v>
      </c>
      <c r="V155" s="259" t="s">
        <v>3218</v>
      </c>
      <c r="W155" s="259" t="s">
        <v>3061</v>
      </c>
      <c r="X155" s="269" t="s">
        <v>3466</v>
      </c>
      <c r="Y155" s="259">
        <v>154</v>
      </c>
      <c r="Z155" s="259" t="s">
        <v>3037</v>
      </c>
      <c r="AA155" s="259"/>
      <c r="AB155" s="259"/>
      <c r="AC155" s="259"/>
      <c r="AD155" s="259"/>
      <c r="AE155" s="259"/>
    </row>
    <row r="156" spans="1:31">
      <c r="A156" s="259" t="s">
        <v>313</v>
      </c>
      <c r="B156" s="259" t="s">
        <v>1</v>
      </c>
      <c r="C156" s="264" t="s">
        <v>3193</v>
      </c>
      <c r="D156" s="264" t="s">
        <v>3467</v>
      </c>
      <c r="E156" s="259" t="s">
        <v>3195</v>
      </c>
      <c r="H156" s="264" t="s">
        <v>3379</v>
      </c>
      <c r="I156" s="264" t="s">
        <v>3468</v>
      </c>
      <c r="J156" s="295">
        <v>2782.08</v>
      </c>
      <c r="K156" s="295">
        <v>2519</v>
      </c>
      <c r="L156" s="295">
        <v>1892.18</v>
      </c>
      <c r="O156" s="266"/>
      <c r="P156" s="266">
        <v>885038037026</v>
      </c>
      <c r="Q156" s="266">
        <v>9002761037029</v>
      </c>
      <c r="R156" s="265">
        <v>13</v>
      </c>
      <c r="S156" s="265">
        <v>26</v>
      </c>
      <c r="T156" s="265">
        <v>18</v>
      </c>
      <c r="U156" s="265" t="s">
        <v>3101</v>
      </c>
      <c r="V156" s="259" t="s">
        <v>3028</v>
      </c>
      <c r="W156" s="259" t="s">
        <v>3029</v>
      </c>
      <c r="X156" s="264" t="s">
        <v>3469</v>
      </c>
      <c r="Y156" s="259">
        <v>155</v>
      </c>
      <c r="Z156" s="259" t="s">
        <v>3037</v>
      </c>
      <c r="AA156" s="259"/>
      <c r="AB156" s="259"/>
      <c r="AC156" s="259"/>
      <c r="AD156" s="259"/>
      <c r="AE156" s="259"/>
    </row>
    <row r="157" spans="1:31">
      <c r="A157" s="259" t="s">
        <v>314</v>
      </c>
      <c r="B157" s="259" t="s">
        <v>1</v>
      </c>
      <c r="C157" s="264" t="s">
        <v>3193</v>
      </c>
      <c r="D157" s="264" t="s">
        <v>3470</v>
      </c>
      <c r="E157" s="259" t="s">
        <v>3377</v>
      </c>
      <c r="H157" s="264" t="s">
        <v>3379</v>
      </c>
      <c r="I157" s="264" t="s">
        <v>3471</v>
      </c>
      <c r="J157" s="295">
        <v>4326.4399999999996</v>
      </c>
      <c r="K157" s="295">
        <v>3460</v>
      </c>
      <c r="L157" s="295">
        <v>2423.5</v>
      </c>
      <c r="O157" s="266"/>
      <c r="P157" s="266">
        <v>885038037156</v>
      </c>
      <c r="Q157" s="266">
        <v>9002761037159</v>
      </c>
      <c r="R157" s="265">
        <v>5</v>
      </c>
      <c r="S157" s="265">
        <v>13</v>
      </c>
      <c r="T157" s="265">
        <v>12</v>
      </c>
      <c r="U157" s="265">
        <v>3</v>
      </c>
      <c r="V157" s="259" t="s">
        <v>3218</v>
      </c>
      <c r="W157" s="259" t="s">
        <v>3061</v>
      </c>
      <c r="X157" s="269" t="s">
        <v>3472</v>
      </c>
      <c r="Y157" s="259">
        <v>156</v>
      </c>
      <c r="Z157" s="259" t="s">
        <v>3037</v>
      </c>
      <c r="AA157" s="259"/>
      <c r="AB157" s="259"/>
      <c r="AC157" s="259"/>
      <c r="AD157" s="259"/>
      <c r="AE157" s="259"/>
    </row>
    <row r="158" spans="1:31">
      <c r="A158" s="259" t="s">
        <v>315</v>
      </c>
      <c r="B158" s="259" t="s">
        <v>1</v>
      </c>
      <c r="C158" s="264" t="s">
        <v>3193</v>
      </c>
      <c r="D158" s="264" t="s">
        <v>3473</v>
      </c>
      <c r="E158" s="259" t="s">
        <v>3377</v>
      </c>
      <c r="H158" s="264" t="s">
        <v>3379</v>
      </c>
      <c r="I158" s="264" t="s">
        <v>3474</v>
      </c>
      <c r="J158" s="295">
        <v>84.49</v>
      </c>
      <c r="K158" s="295">
        <v>61</v>
      </c>
      <c r="L158" s="295">
        <v>50.87</v>
      </c>
      <c r="O158" s="266"/>
      <c r="P158" s="266">
        <v>885038034964</v>
      </c>
      <c r="Q158" s="266">
        <v>9002761034967</v>
      </c>
      <c r="R158" s="265">
        <v>2</v>
      </c>
      <c r="S158" s="265">
        <v>13.5</v>
      </c>
      <c r="T158" s="265">
        <v>9</v>
      </c>
      <c r="U158" s="265">
        <v>2</v>
      </c>
      <c r="V158" s="259" t="s">
        <v>3028</v>
      </c>
      <c r="W158" s="259" t="s">
        <v>3029</v>
      </c>
      <c r="X158" s="269" t="s">
        <v>3381</v>
      </c>
      <c r="Y158" s="259">
        <v>157</v>
      </c>
      <c r="Z158" s="259" t="s">
        <v>3030</v>
      </c>
      <c r="AA158" s="259"/>
      <c r="AB158" s="259"/>
      <c r="AC158" s="259"/>
      <c r="AD158" s="259"/>
      <c r="AE158" s="259"/>
    </row>
    <row r="159" spans="1:31">
      <c r="A159" s="259" t="s">
        <v>316</v>
      </c>
      <c r="B159" s="259" t="s">
        <v>1</v>
      </c>
      <c r="C159" s="264" t="s">
        <v>3193</v>
      </c>
      <c r="D159" s="264" t="s">
        <v>3475</v>
      </c>
      <c r="E159" s="259" t="s">
        <v>3377</v>
      </c>
      <c r="H159" s="264" t="s">
        <v>3379</v>
      </c>
      <c r="I159" s="264" t="s">
        <v>3476</v>
      </c>
      <c r="J159" s="295">
        <v>76.66</v>
      </c>
      <c r="K159" s="295">
        <v>61</v>
      </c>
      <c r="L159" s="295">
        <v>46.99</v>
      </c>
      <c r="O159" s="266"/>
      <c r="P159" s="266">
        <v>885038035039</v>
      </c>
      <c r="Q159" s="266">
        <v>9002761035032</v>
      </c>
      <c r="R159" s="265">
        <v>1</v>
      </c>
      <c r="S159" s="265">
        <v>5</v>
      </c>
      <c r="T159" s="265">
        <v>4</v>
      </c>
      <c r="U159" s="265">
        <v>0.8</v>
      </c>
      <c r="V159" s="259" t="s">
        <v>3028</v>
      </c>
      <c r="W159" s="259" t="s">
        <v>3029</v>
      </c>
      <c r="X159" s="269" t="s">
        <v>3477</v>
      </c>
      <c r="Y159" s="259">
        <v>158</v>
      </c>
      <c r="Z159" s="259" t="s">
        <v>3037</v>
      </c>
      <c r="AA159" s="259"/>
      <c r="AB159" s="259"/>
      <c r="AC159" s="259"/>
      <c r="AD159" s="259"/>
      <c r="AE159" s="259"/>
    </row>
    <row r="160" spans="1:31">
      <c r="A160" s="259" t="s">
        <v>317</v>
      </c>
      <c r="B160" s="259" t="s">
        <v>1</v>
      </c>
      <c r="C160" s="264" t="s">
        <v>3193</v>
      </c>
      <c r="D160" s="264" t="s">
        <v>3478</v>
      </c>
      <c r="E160" s="259" t="s">
        <v>3377</v>
      </c>
      <c r="G160" s="259" t="s">
        <v>3378</v>
      </c>
      <c r="H160" s="264" t="s">
        <v>3379</v>
      </c>
      <c r="I160" s="264" t="s">
        <v>3479</v>
      </c>
      <c r="J160" s="295">
        <v>320.54000000000002</v>
      </c>
      <c r="K160" s="295">
        <v>253</v>
      </c>
      <c r="L160" s="295">
        <v>194.19</v>
      </c>
      <c r="O160" s="266"/>
      <c r="P160" s="266">
        <v>885038034988</v>
      </c>
      <c r="Q160" s="266">
        <v>9002761034981</v>
      </c>
      <c r="R160" s="265">
        <v>2</v>
      </c>
      <c r="S160" s="265">
        <v>11</v>
      </c>
      <c r="T160" s="265">
        <v>8</v>
      </c>
      <c r="U160" s="265">
        <v>3.6</v>
      </c>
      <c r="V160" s="259" t="s">
        <v>3028</v>
      </c>
      <c r="W160" s="259" t="s">
        <v>3029</v>
      </c>
      <c r="X160" s="269" t="s">
        <v>3381</v>
      </c>
      <c r="Y160" s="259">
        <v>159</v>
      </c>
      <c r="Z160" s="259" t="s">
        <v>3030</v>
      </c>
      <c r="AA160" s="259"/>
      <c r="AB160" s="259"/>
      <c r="AC160" s="259"/>
      <c r="AD160" s="259"/>
      <c r="AE160" s="259"/>
    </row>
    <row r="161" spans="1:31">
      <c r="A161" s="259" t="s">
        <v>318</v>
      </c>
      <c r="B161" s="259" t="s">
        <v>1</v>
      </c>
      <c r="C161" s="264" t="s">
        <v>3193</v>
      </c>
      <c r="D161" s="264" t="s">
        <v>3480</v>
      </c>
      <c r="E161" s="259" t="s">
        <v>3377</v>
      </c>
      <c r="H161" s="264" t="s">
        <v>3379</v>
      </c>
      <c r="I161" s="264" t="s">
        <v>3481</v>
      </c>
      <c r="J161" s="295">
        <v>639.15</v>
      </c>
      <c r="K161" s="295">
        <v>504</v>
      </c>
      <c r="L161" s="295">
        <v>388.38</v>
      </c>
      <c r="O161" s="266"/>
      <c r="P161" s="266">
        <v>885038034995</v>
      </c>
      <c r="Q161" s="266">
        <v>9002761034998</v>
      </c>
      <c r="R161" s="265">
        <v>3</v>
      </c>
      <c r="S161" s="265">
        <v>15</v>
      </c>
      <c r="T161" s="265">
        <v>10</v>
      </c>
      <c r="U161" s="265">
        <v>4.4000000000000004</v>
      </c>
      <c r="V161" s="259" t="s">
        <v>3028</v>
      </c>
      <c r="W161" s="259" t="s">
        <v>3029</v>
      </c>
      <c r="X161" s="269" t="s">
        <v>3381</v>
      </c>
      <c r="Y161" s="259">
        <v>160</v>
      </c>
      <c r="Z161" s="259" t="s">
        <v>3030</v>
      </c>
      <c r="AA161" s="259"/>
      <c r="AB161" s="259"/>
      <c r="AC161" s="259"/>
      <c r="AD161" s="259"/>
      <c r="AE161" s="259"/>
    </row>
    <row r="162" spans="1:31">
      <c r="A162" s="259" t="s">
        <v>319</v>
      </c>
      <c r="B162" s="259" t="s">
        <v>1</v>
      </c>
      <c r="C162" s="264" t="s">
        <v>3193</v>
      </c>
      <c r="D162" s="264" t="s">
        <v>3482</v>
      </c>
      <c r="E162" s="259" t="s">
        <v>3377</v>
      </c>
      <c r="G162" s="259" t="s">
        <v>3378</v>
      </c>
      <c r="H162" s="264" t="s">
        <v>3379</v>
      </c>
      <c r="I162" s="264" t="s">
        <v>3483</v>
      </c>
      <c r="J162" s="295">
        <v>926.12</v>
      </c>
      <c r="K162" s="295">
        <v>741</v>
      </c>
      <c r="L162" s="295">
        <v>556.41999999999996</v>
      </c>
      <c r="O162" s="266"/>
      <c r="P162" s="266">
        <v>885038035008</v>
      </c>
      <c r="Q162" s="266">
        <v>9002761035001</v>
      </c>
      <c r="R162" s="265">
        <v>4</v>
      </c>
      <c r="S162" s="265">
        <v>14</v>
      </c>
      <c r="T162" s="265">
        <v>12</v>
      </c>
      <c r="U162" s="265">
        <v>4.4000000000000004</v>
      </c>
      <c r="V162" s="259" t="s">
        <v>3028</v>
      </c>
      <c r="W162" s="259" t="s">
        <v>3029</v>
      </c>
      <c r="X162" s="269" t="s">
        <v>3381</v>
      </c>
      <c r="Y162" s="259">
        <v>161</v>
      </c>
      <c r="Z162" s="259" t="s">
        <v>3030</v>
      </c>
      <c r="AA162" s="259"/>
      <c r="AB162" s="259"/>
      <c r="AC162" s="259"/>
      <c r="AD162" s="259"/>
      <c r="AE162" s="259"/>
    </row>
    <row r="163" spans="1:31">
      <c r="A163" s="259" t="s">
        <v>320</v>
      </c>
      <c r="B163" s="259" t="s">
        <v>1</v>
      </c>
      <c r="C163" s="264" t="s">
        <v>3193</v>
      </c>
      <c r="D163" s="264" t="s">
        <v>3484</v>
      </c>
      <c r="E163" s="259" t="s">
        <v>3377</v>
      </c>
      <c r="H163" s="264" t="s">
        <v>3379</v>
      </c>
      <c r="I163" s="264" t="s">
        <v>3485</v>
      </c>
      <c r="J163" s="295">
        <v>130.15</v>
      </c>
      <c r="K163" s="295">
        <v>102</v>
      </c>
      <c r="L163" s="295">
        <v>79.84</v>
      </c>
      <c r="O163" s="266"/>
      <c r="P163" s="266">
        <v>885038035015</v>
      </c>
      <c r="Q163" s="266">
        <v>9002761035018</v>
      </c>
      <c r="R163" s="265">
        <v>1</v>
      </c>
      <c r="S163" s="265">
        <v>6</v>
      </c>
      <c r="T163" s="265">
        <v>5</v>
      </c>
      <c r="U163" s="265">
        <v>1.6</v>
      </c>
      <c r="V163" s="259" t="s">
        <v>3028</v>
      </c>
      <c r="W163" s="259" t="s">
        <v>3029</v>
      </c>
      <c r="X163" s="269" t="s">
        <v>3381</v>
      </c>
      <c r="Y163" s="259">
        <v>162</v>
      </c>
      <c r="Z163" s="259" t="s">
        <v>3030</v>
      </c>
      <c r="AA163" s="259"/>
      <c r="AB163" s="259"/>
      <c r="AC163" s="259"/>
      <c r="AD163" s="259"/>
      <c r="AE163" s="259"/>
    </row>
    <row r="164" spans="1:31">
      <c r="A164" s="259" t="s">
        <v>321</v>
      </c>
      <c r="B164" s="259" t="s">
        <v>1</v>
      </c>
      <c r="C164" s="264" t="s">
        <v>3193</v>
      </c>
      <c r="D164" s="264" t="s">
        <v>3486</v>
      </c>
      <c r="E164" s="259" t="s">
        <v>3377</v>
      </c>
      <c r="G164" s="259" t="s">
        <v>3378</v>
      </c>
      <c r="H164" s="264" t="s">
        <v>3379</v>
      </c>
      <c r="I164" s="264" t="s">
        <v>3487</v>
      </c>
      <c r="J164" s="295">
        <v>184.24</v>
      </c>
      <c r="K164" s="295">
        <v>144</v>
      </c>
      <c r="L164" s="295">
        <v>111.28</v>
      </c>
      <c r="O164" s="266"/>
      <c r="P164" s="266">
        <v>885038035022</v>
      </c>
      <c r="Q164" s="266">
        <v>9002761035025</v>
      </c>
      <c r="R164" s="265">
        <v>1</v>
      </c>
      <c r="S164" s="265">
        <v>6</v>
      </c>
      <c r="T164" s="265">
        <v>5</v>
      </c>
      <c r="U164" s="265">
        <v>1.6</v>
      </c>
      <c r="V164" s="259" t="s">
        <v>3028</v>
      </c>
      <c r="W164" s="259" t="s">
        <v>3029</v>
      </c>
      <c r="X164" s="269" t="s">
        <v>3381</v>
      </c>
      <c r="Y164" s="259">
        <v>163</v>
      </c>
      <c r="Z164" s="259" t="s">
        <v>3227</v>
      </c>
      <c r="AA164" s="259"/>
      <c r="AB164" s="259"/>
      <c r="AC164" s="259"/>
      <c r="AD164" s="259"/>
      <c r="AE164" s="259"/>
    </row>
    <row r="165" spans="1:31">
      <c r="A165" s="259" t="s">
        <v>322</v>
      </c>
      <c r="B165" s="259" t="s">
        <v>1</v>
      </c>
      <c r="C165" s="264" t="s">
        <v>3193</v>
      </c>
      <c r="D165" s="264" t="s">
        <v>3488</v>
      </c>
      <c r="E165" s="259" t="s">
        <v>3377</v>
      </c>
      <c r="H165" s="264" t="s">
        <v>3379</v>
      </c>
      <c r="I165" s="264" t="s">
        <v>3489</v>
      </c>
      <c r="J165" s="295">
        <v>13.76</v>
      </c>
      <c r="K165" s="295">
        <v>13.76</v>
      </c>
      <c r="L165" s="295">
        <v>9.27</v>
      </c>
      <c r="O165" s="266"/>
      <c r="P165" s="266">
        <v>885038035046</v>
      </c>
      <c r="Q165" s="266">
        <v>9002761035049</v>
      </c>
      <c r="R165" s="265">
        <v>1</v>
      </c>
      <c r="S165" s="265">
        <v>5</v>
      </c>
      <c r="T165" s="265">
        <v>4</v>
      </c>
      <c r="U165" s="265">
        <v>0.2</v>
      </c>
      <c r="V165" s="259" t="s">
        <v>3028</v>
      </c>
      <c r="W165" s="259" t="s">
        <v>3029</v>
      </c>
      <c r="X165" s="269" t="s">
        <v>3381</v>
      </c>
      <c r="Y165" s="259">
        <v>164</v>
      </c>
      <c r="Z165" s="259" t="s">
        <v>3037</v>
      </c>
      <c r="AA165" s="259"/>
      <c r="AB165" s="259"/>
      <c r="AC165" s="259"/>
      <c r="AD165" s="259"/>
      <c r="AE165" s="259"/>
    </row>
    <row r="166" spans="1:31">
      <c r="A166" s="259" t="s">
        <v>323</v>
      </c>
      <c r="B166" s="259" t="s">
        <v>1</v>
      </c>
      <c r="C166" s="264" t="s">
        <v>3193</v>
      </c>
      <c r="D166" s="264" t="s">
        <v>3490</v>
      </c>
      <c r="E166" s="259" t="s">
        <v>3195</v>
      </c>
      <c r="H166" s="264" t="s">
        <v>18</v>
      </c>
      <c r="I166" s="264" t="s">
        <v>3491</v>
      </c>
      <c r="J166" s="295">
        <v>85.32</v>
      </c>
      <c r="K166" s="295">
        <v>0</v>
      </c>
      <c r="L166" s="295">
        <v>50.7</v>
      </c>
      <c r="O166" s="266"/>
      <c r="P166" s="266">
        <v>885038039075</v>
      </c>
      <c r="Q166" s="266">
        <v>9002761039078</v>
      </c>
      <c r="R166" s="265">
        <v>1</v>
      </c>
      <c r="S166" s="265">
        <v>4</v>
      </c>
      <c r="T166" s="265">
        <v>2.5</v>
      </c>
      <c r="U166" s="265" t="s">
        <v>3101</v>
      </c>
      <c r="V166" s="259" t="s">
        <v>3247</v>
      </c>
      <c r="W166" s="259" t="s">
        <v>3061</v>
      </c>
      <c r="X166" s="269" t="s">
        <v>3492</v>
      </c>
      <c r="Y166" s="259">
        <v>165</v>
      </c>
      <c r="Z166" s="259" t="s">
        <v>3030</v>
      </c>
      <c r="AA166" s="259"/>
      <c r="AB166" s="259"/>
      <c r="AC166" s="259"/>
      <c r="AD166" s="259"/>
      <c r="AE166" s="259"/>
    </row>
    <row r="167" spans="1:31">
      <c r="A167" s="259" t="s">
        <v>324</v>
      </c>
      <c r="B167" s="259" t="s">
        <v>1</v>
      </c>
      <c r="C167" s="264" t="s">
        <v>3193</v>
      </c>
      <c r="D167" s="264" t="s">
        <v>3493</v>
      </c>
      <c r="E167" s="259" t="s">
        <v>3377</v>
      </c>
      <c r="H167" s="264" t="s">
        <v>3379</v>
      </c>
      <c r="I167" s="264" t="s">
        <v>3494</v>
      </c>
      <c r="J167" s="295">
        <v>406.8</v>
      </c>
      <c r="K167" s="295">
        <v>325</v>
      </c>
      <c r="L167" s="295">
        <v>247.3</v>
      </c>
      <c r="O167" s="266"/>
      <c r="P167" s="266">
        <v>885038035435</v>
      </c>
      <c r="Q167" s="266">
        <v>9002761035438</v>
      </c>
      <c r="R167" s="265">
        <v>23</v>
      </c>
      <c r="S167" s="265">
        <v>6</v>
      </c>
      <c r="T167" s="265">
        <v>9</v>
      </c>
      <c r="U167" s="265">
        <v>5.6</v>
      </c>
      <c r="V167" s="259" t="s">
        <v>3028</v>
      </c>
      <c r="W167" s="259" t="s">
        <v>3029</v>
      </c>
      <c r="X167" s="269" t="s">
        <v>3495</v>
      </c>
      <c r="Y167" s="259">
        <v>166</v>
      </c>
      <c r="Z167" s="259" t="s">
        <v>3030</v>
      </c>
      <c r="AA167" s="259"/>
      <c r="AB167" s="259"/>
      <c r="AC167" s="259"/>
      <c r="AD167" s="259"/>
      <c r="AE167" s="259"/>
    </row>
    <row r="168" spans="1:31">
      <c r="A168" s="259" t="s">
        <v>325</v>
      </c>
      <c r="B168" s="259" t="s">
        <v>1</v>
      </c>
      <c r="C168" s="264" t="s">
        <v>3193</v>
      </c>
      <c r="D168" s="264" t="s">
        <v>3496</v>
      </c>
      <c r="E168" s="259" t="s">
        <v>3377</v>
      </c>
      <c r="H168" s="264" t="s">
        <v>3379</v>
      </c>
      <c r="I168" s="264" t="s">
        <v>3497</v>
      </c>
      <c r="J168" s="295">
        <v>518.08000000000004</v>
      </c>
      <c r="K168" s="295">
        <v>407</v>
      </c>
      <c r="L168" s="295">
        <v>306.64999999999998</v>
      </c>
      <c r="O168" s="266"/>
      <c r="P168" s="266">
        <v>885038035442</v>
      </c>
      <c r="Q168" s="266">
        <v>9002761035445</v>
      </c>
      <c r="R168" s="265">
        <v>7</v>
      </c>
      <c r="S168" s="265">
        <v>23</v>
      </c>
      <c r="T168" s="265">
        <v>9</v>
      </c>
      <c r="U168" s="265">
        <v>5.6</v>
      </c>
      <c r="V168" s="259" t="s">
        <v>3028</v>
      </c>
      <c r="W168" s="259" t="s">
        <v>3029</v>
      </c>
      <c r="X168" s="269" t="s">
        <v>3498</v>
      </c>
      <c r="Y168" s="259">
        <v>167</v>
      </c>
      <c r="Z168" s="259" t="s">
        <v>3030</v>
      </c>
      <c r="AA168" s="259"/>
      <c r="AB168" s="259"/>
      <c r="AC168" s="259"/>
      <c r="AD168" s="259"/>
      <c r="AE168" s="259"/>
    </row>
    <row r="169" spans="1:31">
      <c r="A169" s="259" t="s">
        <v>326</v>
      </c>
      <c r="B169" s="259" t="s">
        <v>1</v>
      </c>
      <c r="C169" s="264" t="s">
        <v>3193</v>
      </c>
      <c r="D169" s="264" t="s">
        <v>3499</v>
      </c>
      <c r="E169" s="259" t="s">
        <v>3377</v>
      </c>
      <c r="H169" s="264" t="s">
        <v>3379</v>
      </c>
      <c r="I169" s="264" t="s">
        <v>3500</v>
      </c>
      <c r="J169" s="295">
        <v>406.8</v>
      </c>
      <c r="K169" s="295">
        <v>325</v>
      </c>
      <c r="L169" s="295">
        <v>247.3</v>
      </c>
      <c r="O169" s="266"/>
      <c r="P169" s="266">
        <v>885038035459</v>
      </c>
      <c r="Q169" s="266">
        <v>9002761035452</v>
      </c>
      <c r="R169" s="265">
        <v>7</v>
      </c>
      <c r="S169" s="265">
        <v>23</v>
      </c>
      <c r="T169" s="265">
        <v>9</v>
      </c>
      <c r="U169" s="265">
        <v>5.6</v>
      </c>
      <c r="V169" s="259" t="s">
        <v>3028</v>
      </c>
      <c r="W169" s="259" t="s">
        <v>3029</v>
      </c>
      <c r="X169" s="269" t="s">
        <v>3501</v>
      </c>
      <c r="Y169" s="259">
        <v>168</v>
      </c>
      <c r="Z169" s="259" t="s">
        <v>3030</v>
      </c>
      <c r="AA169" s="259"/>
      <c r="AB169" s="259"/>
      <c r="AC169" s="259"/>
      <c r="AD169" s="259"/>
      <c r="AE169" s="259"/>
    </row>
    <row r="170" spans="1:31">
      <c r="A170" s="259" t="s">
        <v>327</v>
      </c>
      <c r="B170" s="259" t="s">
        <v>1</v>
      </c>
      <c r="C170" s="264" t="s">
        <v>3193</v>
      </c>
      <c r="D170" s="264" t="s">
        <v>3502</v>
      </c>
      <c r="E170" s="259" t="s">
        <v>3377</v>
      </c>
      <c r="H170" s="264" t="s">
        <v>3379</v>
      </c>
      <c r="I170" s="264" t="s">
        <v>3503</v>
      </c>
      <c r="J170" s="295">
        <v>518.08000000000004</v>
      </c>
      <c r="K170" s="295">
        <v>407</v>
      </c>
      <c r="L170" s="295">
        <v>306.64999999999998</v>
      </c>
      <c r="O170" s="266"/>
      <c r="P170" s="266">
        <v>885038035466</v>
      </c>
      <c r="Q170" s="266">
        <v>9002761035469</v>
      </c>
      <c r="R170" s="265">
        <v>7</v>
      </c>
      <c r="S170" s="265">
        <v>23</v>
      </c>
      <c r="T170" s="265">
        <v>9</v>
      </c>
      <c r="U170" s="265">
        <v>5.6</v>
      </c>
      <c r="V170" s="259" t="s">
        <v>3028</v>
      </c>
      <c r="W170" s="259" t="s">
        <v>3029</v>
      </c>
      <c r="X170" s="269" t="s">
        <v>3504</v>
      </c>
      <c r="Y170" s="259">
        <v>169</v>
      </c>
      <c r="Z170" s="259" t="s">
        <v>3030</v>
      </c>
      <c r="AA170" s="259"/>
      <c r="AB170" s="259"/>
      <c r="AC170" s="259"/>
      <c r="AD170" s="259"/>
      <c r="AE170" s="259"/>
    </row>
    <row r="171" spans="1:31">
      <c r="A171" s="259" t="s">
        <v>328</v>
      </c>
      <c r="B171" s="259" t="s">
        <v>1</v>
      </c>
      <c r="C171" s="264" t="s">
        <v>3193</v>
      </c>
      <c r="D171" s="264" t="s">
        <v>3505</v>
      </c>
      <c r="E171" s="259" t="s">
        <v>3377</v>
      </c>
      <c r="H171" s="264" t="s">
        <v>3379</v>
      </c>
      <c r="I171" s="264" t="s">
        <v>3506</v>
      </c>
      <c r="J171" s="295">
        <v>1683.5</v>
      </c>
      <c r="K171" s="295">
        <v>1345</v>
      </c>
      <c r="L171" s="295">
        <v>1004.54</v>
      </c>
      <c r="O171" s="266"/>
      <c r="P171" s="266">
        <v>885038035633</v>
      </c>
      <c r="Q171" s="266">
        <v>9002761035636</v>
      </c>
      <c r="R171" s="265">
        <v>8</v>
      </c>
      <c r="S171" s="265">
        <v>16</v>
      </c>
      <c r="T171" s="265">
        <v>21</v>
      </c>
      <c r="U171" s="265">
        <v>7.6</v>
      </c>
      <c r="V171" s="259" t="s">
        <v>3028</v>
      </c>
      <c r="W171" s="259" t="s">
        <v>3029</v>
      </c>
      <c r="X171" s="269" t="s">
        <v>3507</v>
      </c>
      <c r="Y171" s="259">
        <v>170</v>
      </c>
      <c r="Z171" s="259" t="s">
        <v>3030</v>
      </c>
      <c r="AA171" s="259"/>
      <c r="AB171" s="259"/>
      <c r="AC171" s="259"/>
      <c r="AD171" s="259"/>
      <c r="AE171" s="259"/>
    </row>
    <row r="172" spans="1:31">
      <c r="A172" s="259" t="s">
        <v>329</v>
      </c>
      <c r="B172" s="259" t="s">
        <v>1</v>
      </c>
      <c r="C172" s="264" t="s">
        <v>3193</v>
      </c>
      <c r="D172" s="264" t="s">
        <v>3508</v>
      </c>
      <c r="E172" s="259" t="s">
        <v>3195</v>
      </c>
      <c r="H172" s="264" t="s">
        <v>3379</v>
      </c>
      <c r="I172" s="264" t="s">
        <v>3509</v>
      </c>
      <c r="J172" s="295">
        <v>122.41</v>
      </c>
      <c r="K172" s="295">
        <v>98</v>
      </c>
      <c r="L172" s="295">
        <v>74.19</v>
      </c>
      <c r="O172" s="266">
        <v>20</v>
      </c>
      <c r="P172" s="266">
        <v>885038034643</v>
      </c>
      <c r="Q172" s="266">
        <v>9002761034646</v>
      </c>
      <c r="R172" s="265">
        <v>12</v>
      </c>
      <c r="S172" s="265">
        <v>18</v>
      </c>
      <c r="T172" s="265">
        <v>13</v>
      </c>
      <c r="U172" s="265">
        <v>5.6</v>
      </c>
      <c r="V172" s="259" t="s">
        <v>3028</v>
      </c>
      <c r="W172" s="259" t="s">
        <v>3029</v>
      </c>
      <c r="X172" s="269" t="s">
        <v>3510</v>
      </c>
      <c r="Y172" s="259">
        <v>171</v>
      </c>
      <c r="Z172" s="259" t="s">
        <v>3030</v>
      </c>
      <c r="AA172" s="259"/>
      <c r="AB172" s="259"/>
      <c r="AC172" s="259"/>
      <c r="AD172" s="259"/>
      <c r="AE172" s="259"/>
    </row>
    <row r="173" spans="1:31">
      <c r="A173" s="259" t="s">
        <v>330</v>
      </c>
      <c r="B173" s="259" t="s">
        <v>1</v>
      </c>
      <c r="C173" s="264" t="s">
        <v>3193</v>
      </c>
      <c r="D173" s="264" t="s">
        <v>3511</v>
      </c>
      <c r="E173" s="259" t="s">
        <v>3377</v>
      </c>
      <c r="G173" s="259" t="s">
        <v>3378</v>
      </c>
      <c r="H173" s="264" t="s">
        <v>3379</v>
      </c>
      <c r="I173" s="264" t="s">
        <v>3512</v>
      </c>
      <c r="J173" s="295">
        <v>4944.68</v>
      </c>
      <c r="K173" s="295">
        <v>3893</v>
      </c>
      <c r="L173" s="295">
        <v>2720.25</v>
      </c>
      <c r="O173" s="266"/>
      <c r="P173" s="266">
        <v>885038037163</v>
      </c>
      <c r="Q173" s="266">
        <v>9002761037166</v>
      </c>
      <c r="R173" s="265"/>
      <c r="U173" s="265">
        <v>3</v>
      </c>
      <c r="V173" s="259" t="s">
        <v>3218</v>
      </c>
      <c r="W173" s="259" t="s">
        <v>3061</v>
      </c>
      <c r="X173" s="269" t="s">
        <v>3513</v>
      </c>
      <c r="Y173" s="259">
        <v>172</v>
      </c>
      <c r="Z173" s="259" t="s">
        <v>3227</v>
      </c>
      <c r="AA173" s="259"/>
      <c r="AB173" s="259"/>
      <c r="AC173" s="259"/>
      <c r="AD173" s="259"/>
      <c r="AE173" s="259"/>
    </row>
    <row r="174" spans="1:31">
      <c r="A174" s="259" t="s">
        <v>331</v>
      </c>
      <c r="B174" s="259" t="s">
        <v>1</v>
      </c>
      <c r="C174" s="264"/>
      <c r="D174" s="264"/>
      <c r="H174" s="264"/>
      <c r="I174" s="264"/>
      <c r="J174" s="295">
        <v>0</v>
      </c>
      <c r="K174" s="295">
        <v>0</v>
      </c>
      <c r="L174" s="295">
        <v>0</v>
      </c>
      <c r="O174" s="266"/>
      <c r="R174" s="265"/>
      <c r="V174" s="259"/>
      <c r="Y174" s="259">
        <v>173</v>
      </c>
      <c r="AA174" s="259"/>
      <c r="AB174" s="259"/>
      <c r="AC174" s="259"/>
      <c r="AD174" s="259"/>
      <c r="AE174" s="259"/>
    </row>
    <row r="175" spans="1:31">
      <c r="A175" s="259" t="s">
        <v>332</v>
      </c>
      <c r="B175" s="259" t="s">
        <v>1</v>
      </c>
      <c r="C175" s="264" t="s">
        <v>3193</v>
      </c>
      <c r="D175" s="264" t="s">
        <v>3514</v>
      </c>
      <c r="E175" s="259" t="s">
        <v>3515</v>
      </c>
      <c r="H175" s="264" t="s">
        <v>15</v>
      </c>
      <c r="I175" s="264" t="s">
        <v>3516</v>
      </c>
      <c r="J175" s="295">
        <v>555.17999999999995</v>
      </c>
      <c r="K175" s="295">
        <v>0</v>
      </c>
      <c r="L175" s="295">
        <v>344.98</v>
      </c>
      <c r="O175" s="266"/>
      <c r="P175" s="266">
        <v>885038038443</v>
      </c>
      <c r="R175" s="265"/>
      <c r="V175" s="259" t="s">
        <v>3218</v>
      </c>
      <c r="W175" s="259" t="s">
        <v>3029</v>
      </c>
      <c r="X175" s="269" t="s">
        <v>3517</v>
      </c>
      <c r="Y175" s="259">
        <v>174</v>
      </c>
      <c r="Z175" s="259" t="s">
        <v>3227</v>
      </c>
      <c r="AA175" s="259"/>
      <c r="AB175" s="259"/>
      <c r="AC175" s="259"/>
      <c r="AD175" s="259"/>
      <c r="AE175" s="259"/>
    </row>
    <row r="176" spans="1:31">
      <c r="A176" s="259" t="s">
        <v>333</v>
      </c>
      <c r="B176" s="259" t="s">
        <v>1</v>
      </c>
      <c r="C176" s="264" t="s">
        <v>3193</v>
      </c>
      <c r="D176" s="264" t="s">
        <v>3518</v>
      </c>
      <c r="E176" s="259" t="s">
        <v>3195</v>
      </c>
      <c r="H176" s="264" t="s">
        <v>18</v>
      </c>
      <c r="I176" s="264" t="s">
        <v>3519</v>
      </c>
      <c r="J176" s="295">
        <v>85.32</v>
      </c>
      <c r="K176" s="295">
        <v>0</v>
      </c>
      <c r="L176" s="295">
        <v>50.7</v>
      </c>
      <c r="O176" s="266"/>
      <c r="P176" s="266">
        <v>885038039051</v>
      </c>
      <c r="Q176" s="266">
        <v>9002761039054</v>
      </c>
      <c r="R176" s="265">
        <v>1</v>
      </c>
      <c r="S176" s="265">
        <v>4</v>
      </c>
      <c r="T176" s="265">
        <v>2.5</v>
      </c>
      <c r="U176" s="265" t="s">
        <v>3101</v>
      </c>
      <c r="V176" s="259" t="s">
        <v>3247</v>
      </c>
      <c r="W176" s="259" t="s">
        <v>3061</v>
      </c>
      <c r="X176" s="269" t="s">
        <v>3520</v>
      </c>
      <c r="Y176" s="259">
        <v>175</v>
      </c>
      <c r="Z176" s="259" t="s">
        <v>3030</v>
      </c>
      <c r="AA176" s="259"/>
      <c r="AB176" s="259"/>
      <c r="AC176" s="259"/>
      <c r="AD176" s="259"/>
      <c r="AE176" s="259"/>
    </row>
    <row r="177" spans="1:31">
      <c r="A177" s="259" t="s">
        <v>334</v>
      </c>
      <c r="B177" s="259" t="s">
        <v>1</v>
      </c>
      <c r="C177" s="264" t="s">
        <v>3193</v>
      </c>
      <c r="D177" s="264" t="s">
        <v>3521</v>
      </c>
      <c r="E177" s="259" t="s">
        <v>3195</v>
      </c>
      <c r="H177" s="264" t="s">
        <v>18</v>
      </c>
      <c r="I177" s="264" t="s">
        <v>3522</v>
      </c>
      <c r="J177" s="295">
        <v>85.32</v>
      </c>
      <c r="K177" s="295">
        <v>0</v>
      </c>
      <c r="L177" s="295">
        <v>50.7</v>
      </c>
      <c r="O177" s="266"/>
      <c r="P177" s="266">
        <v>885038039082</v>
      </c>
      <c r="Q177" s="266">
        <v>9002761039085</v>
      </c>
      <c r="R177" s="265">
        <v>1</v>
      </c>
      <c r="S177" s="265">
        <v>4</v>
      </c>
      <c r="T177" s="265">
        <v>2.5</v>
      </c>
      <c r="U177" s="265" t="s">
        <v>3101</v>
      </c>
      <c r="V177" s="259" t="s">
        <v>3247</v>
      </c>
      <c r="W177" s="259" t="s">
        <v>3061</v>
      </c>
      <c r="X177" s="269" t="s">
        <v>3523</v>
      </c>
      <c r="Y177" s="259">
        <v>176</v>
      </c>
      <c r="Z177" s="259" t="s">
        <v>3030</v>
      </c>
      <c r="AA177" s="259"/>
      <c r="AB177" s="259"/>
      <c r="AC177" s="259"/>
      <c r="AD177" s="259"/>
      <c r="AE177" s="259"/>
    </row>
    <row r="178" spans="1:31">
      <c r="A178" s="259" t="s">
        <v>335</v>
      </c>
      <c r="B178" s="259" t="s">
        <v>1</v>
      </c>
      <c r="C178" s="264" t="s">
        <v>3193</v>
      </c>
      <c r="D178" s="264" t="s">
        <v>3524</v>
      </c>
      <c r="E178" s="259" t="s">
        <v>3195</v>
      </c>
      <c r="H178" s="264" t="s">
        <v>18</v>
      </c>
      <c r="I178" s="264" t="s">
        <v>3525</v>
      </c>
      <c r="J178" s="295">
        <v>85.32</v>
      </c>
      <c r="K178" s="295">
        <v>0</v>
      </c>
      <c r="L178" s="295">
        <v>50.7</v>
      </c>
      <c r="O178" s="266"/>
      <c r="P178" s="266">
        <v>885038039099</v>
      </c>
      <c r="Q178" s="266">
        <v>9002761039092</v>
      </c>
      <c r="R178" s="265">
        <v>1</v>
      </c>
      <c r="S178" s="265">
        <v>4</v>
      </c>
      <c r="T178" s="265">
        <v>2.5</v>
      </c>
      <c r="U178" s="265" t="s">
        <v>3101</v>
      </c>
      <c r="V178" s="259" t="s">
        <v>3247</v>
      </c>
      <c r="W178" s="259" t="s">
        <v>3061</v>
      </c>
      <c r="X178" s="269" t="s">
        <v>3526</v>
      </c>
      <c r="Y178" s="259">
        <v>177</v>
      </c>
      <c r="Z178" s="259" t="s">
        <v>3037</v>
      </c>
      <c r="AA178" s="259"/>
      <c r="AB178" s="259"/>
      <c r="AC178" s="259"/>
      <c r="AD178" s="259"/>
      <c r="AE178" s="259"/>
    </row>
    <row r="179" spans="1:31">
      <c r="A179" s="259" t="s">
        <v>336</v>
      </c>
      <c r="B179" s="259" t="s">
        <v>1</v>
      </c>
      <c r="C179" s="264" t="s">
        <v>3193</v>
      </c>
      <c r="D179" s="264" t="s">
        <v>3527</v>
      </c>
      <c r="E179" s="259" t="s">
        <v>3195</v>
      </c>
      <c r="H179" s="264" t="s">
        <v>18</v>
      </c>
      <c r="I179" s="264" t="s">
        <v>3528</v>
      </c>
      <c r="J179" s="295">
        <v>85.32</v>
      </c>
      <c r="K179" s="295">
        <v>0</v>
      </c>
      <c r="L179" s="295">
        <v>50.7</v>
      </c>
      <c r="O179" s="266"/>
      <c r="P179" s="266">
        <v>885038039105</v>
      </c>
      <c r="Q179" s="266">
        <v>9002761039108</v>
      </c>
      <c r="R179" s="265">
        <v>1</v>
      </c>
      <c r="S179" s="265">
        <v>4</v>
      </c>
      <c r="T179" s="265">
        <v>2</v>
      </c>
      <c r="U179" s="265" t="s">
        <v>3101</v>
      </c>
      <c r="V179" s="259" t="s">
        <v>3247</v>
      </c>
      <c r="W179" s="259" t="s">
        <v>3061</v>
      </c>
      <c r="X179" s="269" t="s">
        <v>3529</v>
      </c>
      <c r="Y179" s="259">
        <v>178</v>
      </c>
      <c r="Z179" s="259" t="s">
        <v>3264</v>
      </c>
      <c r="AA179" s="259"/>
      <c r="AB179" s="259"/>
      <c r="AC179" s="259"/>
      <c r="AD179" s="259"/>
      <c r="AE179" s="259"/>
    </row>
    <row r="180" spans="1:31">
      <c r="A180" s="259" t="s">
        <v>337</v>
      </c>
      <c r="B180" s="259" t="s">
        <v>1</v>
      </c>
      <c r="C180" s="264" t="s">
        <v>3193</v>
      </c>
      <c r="D180" s="264" t="s">
        <v>3530</v>
      </c>
      <c r="E180" s="259" t="s">
        <v>3195</v>
      </c>
      <c r="H180" s="264" t="s">
        <v>18</v>
      </c>
      <c r="I180" s="264" t="s">
        <v>3531</v>
      </c>
      <c r="J180" s="295">
        <v>85.32</v>
      </c>
      <c r="K180" s="295">
        <v>0</v>
      </c>
      <c r="L180" s="295">
        <v>50.7</v>
      </c>
      <c r="O180" s="266"/>
      <c r="P180" s="266">
        <v>885038039112</v>
      </c>
      <c r="Q180" s="266">
        <v>9002761039115</v>
      </c>
      <c r="R180" s="265">
        <v>1</v>
      </c>
      <c r="S180" s="265">
        <v>4</v>
      </c>
      <c r="T180" s="265">
        <v>2.5</v>
      </c>
      <c r="U180" s="265" t="s">
        <v>3101</v>
      </c>
      <c r="V180" s="259" t="s">
        <v>3247</v>
      </c>
      <c r="W180" s="259" t="s">
        <v>3061</v>
      </c>
      <c r="X180" s="269" t="s">
        <v>3532</v>
      </c>
      <c r="Y180" s="259">
        <v>179</v>
      </c>
      <c r="Z180" s="259" t="s">
        <v>3264</v>
      </c>
      <c r="AA180" s="259"/>
      <c r="AB180" s="259"/>
      <c r="AC180" s="259"/>
      <c r="AD180" s="259"/>
      <c r="AE180" s="259"/>
    </row>
    <row r="181" spans="1:31">
      <c r="A181" s="259" t="s">
        <v>338</v>
      </c>
      <c r="B181" s="259" t="s">
        <v>1</v>
      </c>
      <c r="C181" s="264" t="s">
        <v>3193</v>
      </c>
      <c r="D181" s="264" t="s">
        <v>3533</v>
      </c>
      <c r="E181" s="259" t="s">
        <v>3195</v>
      </c>
      <c r="G181" s="259" t="s">
        <v>3378</v>
      </c>
      <c r="H181" s="264" t="s">
        <v>18</v>
      </c>
      <c r="I181" s="264" t="s">
        <v>3534</v>
      </c>
      <c r="J181" s="295">
        <v>85.32</v>
      </c>
      <c r="K181" s="295">
        <v>72</v>
      </c>
      <c r="L181" s="295">
        <v>50.7</v>
      </c>
      <c r="O181" s="266"/>
      <c r="P181" s="266">
        <v>885038039174</v>
      </c>
      <c r="Q181" s="266">
        <v>9002761039177</v>
      </c>
      <c r="R181" s="265">
        <v>1</v>
      </c>
      <c r="S181" s="265">
        <v>4</v>
      </c>
      <c r="T181" s="265">
        <v>2.5</v>
      </c>
      <c r="U181" s="265" t="s">
        <v>3101</v>
      </c>
      <c r="V181" s="259" t="s">
        <v>3028</v>
      </c>
      <c r="W181" s="259" t="s">
        <v>3029</v>
      </c>
      <c r="X181" s="269"/>
      <c r="Y181" s="259">
        <v>180</v>
      </c>
      <c r="Z181" s="259" t="s">
        <v>3227</v>
      </c>
      <c r="AA181" s="259"/>
      <c r="AB181" s="259"/>
      <c r="AC181" s="259"/>
      <c r="AD181" s="259"/>
      <c r="AE181" s="259"/>
    </row>
    <row r="182" spans="1:31">
      <c r="A182" s="259" t="s">
        <v>339</v>
      </c>
      <c r="B182" s="259" t="s">
        <v>1</v>
      </c>
      <c r="C182" s="264" t="s">
        <v>3193</v>
      </c>
      <c r="D182" s="264" t="s">
        <v>3535</v>
      </c>
      <c r="E182" s="259" t="s">
        <v>3195</v>
      </c>
      <c r="H182" s="264" t="s">
        <v>18</v>
      </c>
      <c r="I182" s="264" t="s">
        <v>3536</v>
      </c>
      <c r="J182" s="295">
        <v>122.41</v>
      </c>
      <c r="K182" s="295">
        <v>109</v>
      </c>
      <c r="L182" s="295">
        <v>76.66</v>
      </c>
      <c r="O182" s="266"/>
      <c r="P182" s="266">
        <v>885038039129</v>
      </c>
      <c r="Q182" s="266">
        <v>9002761039122</v>
      </c>
      <c r="R182" s="265">
        <v>1</v>
      </c>
      <c r="S182" s="265">
        <v>4.5</v>
      </c>
      <c r="T182" s="265">
        <v>2.5</v>
      </c>
      <c r="U182" s="265" t="s">
        <v>3101</v>
      </c>
      <c r="V182" s="259" t="s">
        <v>3247</v>
      </c>
      <c r="W182" s="259" t="s">
        <v>3061</v>
      </c>
      <c r="X182" s="269" t="s">
        <v>3537</v>
      </c>
      <c r="Y182" s="259">
        <v>181</v>
      </c>
      <c r="Z182" s="259" t="s">
        <v>3030</v>
      </c>
      <c r="AA182" s="259"/>
      <c r="AB182" s="259"/>
      <c r="AC182" s="259"/>
      <c r="AD182" s="259"/>
      <c r="AE182" s="259"/>
    </row>
    <row r="183" spans="1:31">
      <c r="A183" s="259" t="s">
        <v>340</v>
      </c>
      <c r="B183" s="259" t="s">
        <v>1</v>
      </c>
      <c r="C183" s="264" t="s">
        <v>3193</v>
      </c>
      <c r="D183" s="264" t="s">
        <v>3538</v>
      </c>
      <c r="E183" s="259" t="s">
        <v>3195</v>
      </c>
      <c r="H183" s="264" t="s">
        <v>18</v>
      </c>
      <c r="I183" s="264" t="s">
        <v>3539</v>
      </c>
      <c r="J183" s="295">
        <v>122.41</v>
      </c>
      <c r="K183" s="295">
        <v>109</v>
      </c>
      <c r="L183" s="295">
        <v>76.66</v>
      </c>
      <c r="O183" s="266"/>
      <c r="P183" s="266">
        <v>885038039136</v>
      </c>
      <c r="Q183" s="266">
        <v>9002761039139</v>
      </c>
      <c r="R183" s="265">
        <v>1</v>
      </c>
      <c r="S183" s="265">
        <v>4</v>
      </c>
      <c r="T183" s="265">
        <v>3</v>
      </c>
      <c r="U183" s="265" t="s">
        <v>3101</v>
      </c>
      <c r="V183" s="259" t="s">
        <v>3247</v>
      </c>
      <c r="W183" s="259" t="s">
        <v>3061</v>
      </c>
      <c r="X183" s="269" t="s">
        <v>3540</v>
      </c>
      <c r="Y183" s="259">
        <v>182</v>
      </c>
      <c r="Z183" s="259" t="s">
        <v>3037</v>
      </c>
      <c r="AA183" s="259"/>
      <c r="AB183" s="259"/>
      <c r="AC183" s="259"/>
      <c r="AD183" s="259"/>
      <c r="AE183" s="259"/>
    </row>
    <row r="184" spans="1:31">
      <c r="A184" s="259" t="s">
        <v>341</v>
      </c>
      <c r="B184" s="259" t="s">
        <v>1</v>
      </c>
      <c r="C184" s="264" t="s">
        <v>3193</v>
      </c>
      <c r="D184" s="264" t="s">
        <v>3541</v>
      </c>
      <c r="E184" s="259" t="s">
        <v>3195</v>
      </c>
      <c r="H184" s="264" t="s">
        <v>18</v>
      </c>
      <c r="I184" s="264" t="s">
        <v>3542</v>
      </c>
      <c r="J184" s="295">
        <v>122.41</v>
      </c>
      <c r="K184" s="295">
        <v>109</v>
      </c>
      <c r="L184" s="295">
        <v>76.66</v>
      </c>
      <c r="O184" s="266"/>
      <c r="P184" s="266">
        <v>885038039143</v>
      </c>
      <c r="Q184" s="266">
        <v>9002761039146</v>
      </c>
      <c r="R184" s="265">
        <v>1.01</v>
      </c>
      <c r="S184" s="265">
        <v>4</v>
      </c>
      <c r="T184" s="265">
        <v>2.5</v>
      </c>
      <c r="U184" s="265" t="s">
        <v>3101</v>
      </c>
      <c r="V184" s="259" t="s">
        <v>3247</v>
      </c>
      <c r="W184" s="259" t="s">
        <v>3061</v>
      </c>
      <c r="X184" s="269" t="s">
        <v>3543</v>
      </c>
      <c r="Y184" s="259">
        <v>183</v>
      </c>
      <c r="Z184" s="259" t="s">
        <v>3037</v>
      </c>
      <c r="AA184" s="259"/>
      <c r="AB184" s="259"/>
      <c r="AC184" s="259"/>
      <c r="AD184" s="259"/>
      <c r="AE184" s="259"/>
    </row>
    <row r="185" spans="1:31">
      <c r="A185" s="259" t="s">
        <v>342</v>
      </c>
      <c r="B185" s="259" t="s">
        <v>1</v>
      </c>
      <c r="C185" s="264" t="s">
        <v>3193</v>
      </c>
      <c r="D185" s="264" t="s">
        <v>3544</v>
      </c>
      <c r="E185" s="259" t="s">
        <v>3195</v>
      </c>
      <c r="H185" s="264" t="s">
        <v>18</v>
      </c>
      <c r="I185" s="264" t="s">
        <v>3545</v>
      </c>
      <c r="J185" s="295">
        <v>122.41</v>
      </c>
      <c r="K185" s="295">
        <v>109</v>
      </c>
      <c r="L185" s="295">
        <v>76.66</v>
      </c>
      <c r="O185" s="266"/>
      <c r="P185" s="266">
        <v>885038039150</v>
      </c>
      <c r="Q185" s="266">
        <v>9002761039153</v>
      </c>
      <c r="R185" s="265">
        <v>1</v>
      </c>
      <c r="S185" s="265">
        <v>10</v>
      </c>
      <c r="T185" s="265">
        <v>2.5</v>
      </c>
      <c r="U185" s="265" t="s">
        <v>3101</v>
      </c>
      <c r="V185" s="259" t="s">
        <v>3247</v>
      </c>
      <c r="W185" s="259" t="s">
        <v>3061</v>
      </c>
      <c r="X185" s="269" t="s">
        <v>3546</v>
      </c>
      <c r="Y185" s="259">
        <v>184</v>
      </c>
      <c r="Z185" s="259" t="s">
        <v>3037</v>
      </c>
      <c r="AA185" s="259"/>
      <c r="AB185" s="259"/>
      <c r="AC185" s="259"/>
      <c r="AD185" s="259"/>
      <c r="AE185" s="259"/>
    </row>
    <row r="186" spans="1:31">
      <c r="A186" s="259" t="s">
        <v>343</v>
      </c>
      <c r="B186" s="259" t="s">
        <v>1</v>
      </c>
      <c r="C186" s="264" t="s">
        <v>3193</v>
      </c>
      <c r="D186" s="264" t="s">
        <v>3547</v>
      </c>
      <c r="E186" s="259" t="s">
        <v>3195</v>
      </c>
      <c r="H186" s="264" t="s">
        <v>18</v>
      </c>
      <c r="I186" s="264" t="s">
        <v>3548</v>
      </c>
      <c r="J186" s="295">
        <v>122.41</v>
      </c>
      <c r="K186" s="295">
        <v>109</v>
      </c>
      <c r="L186" s="295">
        <v>76.66</v>
      </c>
      <c r="O186" s="266"/>
      <c r="P186" s="266">
        <v>885038039167</v>
      </c>
      <c r="Q186" s="266">
        <v>9002761039160</v>
      </c>
      <c r="R186" s="265">
        <v>17.5</v>
      </c>
      <c r="S186" s="265">
        <v>13</v>
      </c>
      <c r="T186" s="265">
        <v>11.5</v>
      </c>
      <c r="U186" s="265" t="s">
        <v>3101</v>
      </c>
      <c r="V186" s="259" t="s">
        <v>3247</v>
      </c>
      <c r="W186" s="259" t="s">
        <v>3061</v>
      </c>
      <c r="X186" s="269" t="s">
        <v>3549</v>
      </c>
      <c r="Y186" s="259">
        <v>185</v>
      </c>
      <c r="Z186" s="259" t="s">
        <v>3037</v>
      </c>
      <c r="AA186" s="259"/>
      <c r="AB186" s="259"/>
      <c r="AC186" s="259"/>
      <c r="AD186" s="259"/>
      <c r="AE186" s="259"/>
    </row>
    <row r="187" spans="1:31">
      <c r="A187" s="259" t="s">
        <v>344</v>
      </c>
      <c r="B187" s="259" t="s">
        <v>1</v>
      </c>
      <c r="C187" s="264" t="s">
        <v>3193</v>
      </c>
      <c r="D187" s="264" t="s">
        <v>3550</v>
      </c>
      <c r="E187" s="259" t="s">
        <v>3195</v>
      </c>
      <c r="H187" s="264" t="s">
        <v>18</v>
      </c>
      <c r="I187" s="264" t="s">
        <v>3551</v>
      </c>
      <c r="J187" s="295">
        <v>35.86</v>
      </c>
      <c r="K187" s="295">
        <v>20</v>
      </c>
      <c r="L187" s="295">
        <v>16.07</v>
      </c>
      <c r="O187" s="266"/>
      <c r="P187" s="266">
        <v>885038039341</v>
      </c>
      <c r="Q187" s="266">
        <v>9002761039344</v>
      </c>
      <c r="R187" s="265">
        <v>1</v>
      </c>
      <c r="S187" s="265">
        <v>0.4</v>
      </c>
      <c r="T187" s="265">
        <v>2.5</v>
      </c>
      <c r="U187" s="265" t="s">
        <v>3101</v>
      </c>
      <c r="V187" s="259" t="s">
        <v>3247</v>
      </c>
      <c r="W187" s="259" t="s">
        <v>3061</v>
      </c>
      <c r="X187" s="269" t="s">
        <v>3552</v>
      </c>
      <c r="Y187" s="259">
        <v>186</v>
      </c>
      <c r="Z187" s="259" t="s">
        <v>3037</v>
      </c>
      <c r="AA187" s="259"/>
      <c r="AB187" s="259"/>
      <c r="AC187" s="259"/>
      <c r="AD187" s="259"/>
      <c r="AE187" s="259"/>
    </row>
    <row r="188" spans="1:31">
      <c r="A188" s="259" t="s">
        <v>345</v>
      </c>
      <c r="B188" s="259" t="s">
        <v>1</v>
      </c>
      <c r="C188" s="264" t="s">
        <v>3193</v>
      </c>
      <c r="D188" s="264" t="s">
        <v>3553</v>
      </c>
      <c r="E188" s="259" t="s">
        <v>3195</v>
      </c>
      <c r="H188" s="264" t="s">
        <v>18</v>
      </c>
      <c r="I188" s="264" t="s">
        <v>3551</v>
      </c>
      <c r="J188" s="295">
        <v>35.86</v>
      </c>
      <c r="K188" s="295">
        <v>20</v>
      </c>
      <c r="L188" s="295">
        <v>16.07</v>
      </c>
      <c r="O188" s="266"/>
      <c r="P188" s="266">
        <v>885038039358</v>
      </c>
      <c r="Q188" s="266">
        <v>9002761039351</v>
      </c>
      <c r="R188" s="265">
        <v>1</v>
      </c>
      <c r="S188" s="265">
        <v>4</v>
      </c>
      <c r="T188" s="265">
        <v>2.5</v>
      </c>
      <c r="U188" s="265" t="s">
        <v>3101</v>
      </c>
      <c r="V188" s="259" t="s">
        <v>3247</v>
      </c>
      <c r="W188" s="259" t="s">
        <v>3061</v>
      </c>
      <c r="X188" s="269" t="s">
        <v>3554</v>
      </c>
      <c r="Y188" s="259">
        <v>187</v>
      </c>
      <c r="Z188" s="259" t="s">
        <v>3037</v>
      </c>
      <c r="AA188" s="259"/>
      <c r="AB188" s="259"/>
      <c r="AC188" s="259"/>
      <c r="AD188" s="259"/>
      <c r="AE188" s="259"/>
    </row>
    <row r="189" spans="1:31">
      <c r="A189" s="259" t="s">
        <v>346</v>
      </c>
      <c r="B189" s="259" t="s">
        <v>1</v>
      </c>
      <c r="C189" s="264" t="s">
        <v>1949</v>
      </c>
      <c r="D189" s="264" t="s">
        <v>3555</v>
      </c>
      <c r="E189" s="259" t="s">
        <v>3556</v>
      </c>
      <c r="H189" s="264" t="s">
        <v>1949</v>
      </c>
      <c r="I189" s="264" t="s">
        <v>3557</v>
      </c>
      <c r="J189" s="295">
        <v>37.21</v>
      </c>
      <c r="K189" s="295">
        <v>30</v>
      </c>
      <c r="L189" s="295">
        <v>23.06</v>
      </c>
      <c r="O189" s="266"/>
      <c r="P189" s="266">
        <v>885038039617</v>
      </c>
      <c r="Q189" s="266">
        <v>9002761039610</v>
      </c>
      <c r="R189" s="265">
        <v>2</v>
      </c>
      <c r="S189" s="265">
        <v>10.5</v>
      </c>
      <c r="T189" s="265">
        <v>5</v>
      </c>
      <c r="U189" s="265">
        <v>2.8</v>
      </c>
      <c r="V189" s="259" t="s">
        <v>3028</v>
      </c>
      <c r="W189" s="259" t="s">
        <v>3029</v>
      </c>
      <c r="X189" s="269" t="s">
        <v>3558</v>
      </c>
      <c r="Y189" s="259">
        <v>188</v>
      </c>
      <c r="Z189" s="259" t="s">
        <v>3030</v>
      </c>
      <c r="AA189" s="259"/>
      <c r="AB189" s="259"/>
      <c r="AC189" s="259"/>
      <c r="AD189" s="259"/>
      <c r="AE189" s="259"/>
    </row>
    <row r="190" spans="1:31">
      <c r="A190" s="259" t="s">
        <v>347</v>
      </c>
      <c r="B190" s="259" t="s">
        <v>1</v>
      </c>
      <c r="C190" s="264" t="s">
        <v>1949</v>
      </c>
      <c r="D190" s="264" t="s">
        <v>3559</v>
      </c>
      <c r="E190" s="259" t="s">
        <v>3560</v>
      </c>
      <c r="H190" s="264" t="s">
        <v>3561</v>
      </c>
      <c r="I190" s="264" t="s">
        <v>3562</v>
      </c>
      <c r="J190" s="295">
        <v>43.22</v>
      </c>
      <c r="K190" s="295">
        <v>37</v>
      </c>
      <c r="L190" s="295">
        <v>25.34</v>
      </c>
      <c r="O190" s="266"/>
      <c r="P190" s="266">
        <v>885038028932</v>
      </c>
      <c r="Q190" s="266">
        <v>9002761028935</v>
      </c>
      <c r="R190" s="265">
        <v>1</v>
      </c>
      <c r="S190" s="265">
        <v>5</v>
      </c>
      <c r="T190" s="265">
        <v>5</v>
      </c>
      <c r="U190" s="265">
        <v>0.8</v>
      </c>
      <c r="V190" s="259" t="s">
        <v>3028</v>
      </c>
      <c r="W190" s="259" t="s">
        <v>3029</v>
      </c>
      <c r="X190" s="269" t="s">
        <v>3563</v>
      </c>
      <c r="Y190" s="259">
        <v>189</v>
      </c>
      <c r="Z190" s="259" t="s">
        <v>3030</v>
      </c>
      <c r="AA190" s="259"/>
      <c r="AB190" s="259"/>
      <c r="AC190" s="259"/>
      <c r="AD190" s="259"/>
      <c r="AE190" s="259"/>
    </row>
    <row r="191" spans="1:31">
      <c r="A191" s="259" t="s">
        <v>348</v>
      </c>
      <c r="B191" s="259" t="s">
        <v>1</v>
      </c>
      <c r="C191" s="264" t="s">
        <v>1949</v>
      </c>
      <c r="D191" s="264" t="s">
        <v>3564</v>
      </c>
      <c r="E191" s="259" t="s">
        <v>3565</v>
      </c>
      <c r="H191" s="264" t="s">
        <v>1949</v>
      </c>
      <c r="I191" s="264" t="s">
        <v>3566</v>
      </c>
      <c r="J191" s="295">
        <v>33.61</v>
      </c>
      <c r="K191" s="295">
        <v>26</v>
      </c>
      <c r="L191" s="295">
        <v>18.55</v>
      </c>
      <c r="O191" s="266"/>
      <c r="P191" s="266">
        <v>885038007869</v>
      </c>
      <c r="Q191" s="266">
        <v>9002761007862</v>
      </c>
      <c r="R191" s="265">
        <v>7</v>
      </c>
      <c r="S191" s="265">
        <v>3</v>
      </c>
      <c r="T191" s="265">
        <v>2.5</v>
      </c>
      <c r="U191" s="265">
        <v>7</v>
      </c>
      <c r="V191" s="259" t="s">
        <v>3060</v>
      </c>
      <c r="W191" s="259" t="s">
        <v>3061</v>
      </c>
      <c r="X191" s="269" t="s">
        <v>3567</v>
      </c>
      <c r="Y191" s="259">
        <v>190</v>
      </c>
      <c r="Z191" s="259" t="s">
        <v>3030</v>
      </c>
      <c r="AA191" s="259"/>
      <c r="AB191" s="259"/>
      <c r="AC191" s="259"/>
      <c r="AD191" s="259"/>
      <c r="AE191" s="259"/>
    </row>
    <row r="192" spans="1:31">
      <c r="A192" s="259" t="s">
        <v>349</v>
      </c>
      <c r="B192" s="259" t="s">
        <v>1</v>
      </c>
      <c r="C192" s="264" t="s">
        <v>1949</v>
      </c>
      <c r="D192" s="264" t="s">
        <v>3568</v>
      </c>
      <c r="E192" s="259" t="s">
        <v>3565</v>
      </c>
      <c r="H192" s="264" t="s">
        <v>1949</v>
      </c>
      <c r="I192" s="264" t="s">
        <v>3569</v>
      </c>
      <c r="J192" s="295">
        <v>42.02</v>
      </c>
      <c r="K192" s="295">
        <v>30</v>
      </c>
      <c r="L192" s="295">
        <v>23.53</v>
      </c>
      <c r="O192" s="266"/>
      <c r="P192" s="266">
        <v>885038008293</v>
      </c>
      <c r="Q192" s="266">
        <v>9002761008296</v>
      </c>
      <c r="R192" s="265">
        <v>3</v>
      </c>
      <c r="S192" s="265">
        <v>2.5</v>
      </c>
      <c r="T192" s="265">
        <v>7</v>
      </c>
      <c r="U192" s="265">
        <v>7</v>
      </c>
      <c r="V192" s="259" t="s">
        <v>3060</v>
      </c>
      <c r="W192" s="259" t="s">
        <v>3061</v>
      </c>
      <c r="X192" s="269" t="s">
        <v>3570</v>
      </c>
      <c r="Y192" s="259">
        <v>191</v>
      </c>
      <c r="Z192" s="259" t="s">
        <v>3030</v>
      </c>
      <c r="AA192" s="259"/>
      <c r="AB192" s="259"/>
      <c r="AC192" s="259"/>
      <c r="AD192" s="259"/>
      <c r="AE192" s="259"/>
    </row>
    <row r="193" spans="1:31">
      <c r="A193" s="259" t="s">
        <v>350</v>
      </c>
      <c r="B193" s="259" t="s">
        <v>1</v>
      </c>
      <c r="C193" s="264" t="s">
        <v>1949</v>
      </c>
      <c r="D193" s="264" t="s">
        <v>3571</v>
      </c>
      <c r="E193" s="259" t="s">
        <v>3572</v>
      </c>
      <c r="H193" s="264" t="s">
        <v>1949</v>
      </c>
      <c r="I193" s="264" t="s">
        <v>3573</v>
      </c>
      <c r="J193" s="295">
        <v>34.81</v>
      </c>
      <c r="K193" s="295">
        <v>20</v>
      </c>
      <c r="L193" s="295">
        <v>14.59</v>
      </c>
      <c r="O193" s="266"/>
      <c r="P193" s="266">
        <v>885038005384</v>
      </c>
      <c r="Q193" s="266">
        <v>9002761005387</v>
      </c>
      <c r="R193" s="265">
        <v>3</v>
      </c>
      <c r="S193" s="265">
        <v>4</v>
      </c>
      <c r="T193" s="265">
        <v>5</v>
      </c>
      <c r="U193" s="265" t="s">
        <v>3101</v>
      </c>
      <c r="V193" s="259" t="s">
        <v>3574</v>
      </c>
      <c r="W193" s="259" t="s">
        <v>3061</v>
      </c>
      <c r="X193" s="269" t="s">
        <v>3575</v>
      </c>
      <c r="Y193" s="259">
        <v>192</v>
      </c>
      <c r="Z193" s="259" t="s">
        <v>3030</v>
      </c>
      <c r="AA193" s="259"/>
      <c r="AB193" s="259"/>
      <c r="AC193" s="259"/>
      <c r="AD193" s="259"/>
      <c r="AE193" s="259"/>
    </row>
    <row r="194" spans="1:31">
      <c r="A194" s="259" t="s">
        <v>351</v>
      </c>
      <c r="B194" s="259" t="s">
        <v>1</v>
      </c>
      <c r="C194" s="264" t="s">
        <v>1949</v>
      </c>
      <c r="D194" s="264" t="s">
        <v>3576</v>
      </c>
      <c r="E194" s="259" t="s">
        <v>3577</v>
      </c>
      <c r="H194" s="264" t="s">
        <v>3561</v>
      </c>
      <c r="I194" s="264" t="s">
        <v>3578</v>
      </c>
      <c r="J194" s="295">
        <v>43.22</v>
      </c>
      <c r="K194" s="295">
        <v>37</v>
      </c>
      <c r="L194" s="295">
        <v>27.15</v>
      </c>
      <c r="O194" s="266"/>
      <c r="P194" s="266">
        <v>885038006800</v>
      </c>
      <c r="Q194" s="266">
        <v>9002761006803</v>
      </c>
      <c r="R194" s="265">
        <v>2</v>
      </c>
      <c r="S194" s="265">
        <v>4</v>
      </c>
      <c r="T194" s="265">
        <v>6</v>
      </c>
      <c r="U194" s="265">
        <v>1.4</v>
      </c>
      <c r="V194" s="259" t="s">
        <v>3028</v>
      </c>
      <c r="W194" s="259" t="s">
        <v>3029</v>
      </c>
      <c r="X194" s="269" t="s">
        <v>3579</v>
      </c>
      <c r="Y194" s="259">
        <v>193</v>
      </c>
      <c r="Z194" s="259" t="s">
        <v>3030</v>
      </c>
      <c r="AA194" s="259"/>
      <c r="AB194" s="259"/>
      <c r="AC194" s="259"/>
      <c r="AD194" s="259"/>
      <c r="AE194" s="259"/>
    </row>
    <row r="195" spans="1:31">
      <c r="A195" s="259" t="s">
        <v>352</v>
      </c>
      <c r="B195" s="259" t="s">
        <v>1</v>
      </c>
      <c r="C195" s="264" t="s">
        <v>3193</v>
      </c>
      <c r="D195" s="264" t="s">
        <v>3580</v>
      </c>
      <c r="E195" s="259" t="s">
        <v>3195</v>
      </c>
      <c r="H195" s="264" t="s">
        <v>18</v>
      </c>
      <c r="I195" s="264" t="s">
        <v>3355</v>
      </c>
      <c r="J195" s="295">
        <v>48.22</v>
      </c>
      <c r="K195" s="295">
        <v>37</v>
      </c>
      <c r="L195" s="295">
        <v>24.73</v>
      </c>
      <c r="O195" s="266"/>
      <c r="P195" s="266">
        <v>885038039198</v>
      </c>
      <c r="Q195" s="266">
        <v>9002761039191</v>
      </c>
      <c r="R195" s="265">
        <v>2</v>
      </c>
      <c r="S195" s="265">
        <v>10</v>
      </c>
      <c r="T195" s="265">
        <v>6</v>
      </c>
      <c r="U195" s="265" t="s">
        <v>3101</v>
      </c>
      <c r="V195" s="259" t="s">
        <v>3247</v>
      </c>
      <c r="W195" s="259" t="s">
        <v>3061</v>
      </c>
      <c r="X195" s="269" t="s">
        <v>3581</v>
      </c>
      <c r="Y195" s="259">
        <v>194</v>
      </c>
      <c r="Z195" s="259" t="s">
        <v>3037</v>
      </c>
      <c r="AA195" s="259"/>
      <c r="AB195" s="259"/>
      <c r="AC195" s="259"/>
      <c r="AD195" s="259"/>
      <c r="AE195" s="259"/>
    </row>
    <row r="196" spans="1:31">
      <c r="A196" s="259" t="s">
        <v>353</v>
      </c>
      <c r="B196" s="259" t="s">
        <v>1</v>
      </c>
      <c r="C196" s="264" t="s">
        <v>3193</v>
      </c>
      <c r="D196" s="264" t="s">
        <v>3582</v>
      </c>
      <c r="E196" s="259" t="s">
        <v>3195</v>
      </c>
      <c r="H196" s="264" t="s">
        <v>18</v>
      </c>
      <c r="I196" s="264" t="s">
        <v>3355</v>
      </c>
      <c r="J196" s="295">
        <v>48.22</v>
      </c>
      <c r="K196" s="295">
        <v>37</v>
      </c>
      <c r="L196" s="295">
        <v>24.73</v>
      </c>
      <c r="O196" s="266"/>
      <c r="P196" s="266">
        <v>885038039211</v>
      </c>
      <c r="Q196" s="266">
        <v>9002761039214</v>
      </c>
      <c r="R196" s="265">
        <v>1</v>
      </c>
      <c r="S196" s="265">
        <v>4</v>
      </c>
      <c r="T196" s="265">
        <v>2</v>
      </c>
      <c r="U196" s="265" t="s">
        <v>3101</v>
      </c>
      <c r="V196" s="259" t="s">
        <v>3247</v>
      </c>
      <c r="W196" s="259" t="s">
        <v>3061</v>
      </c>
      <c r="X196" s="269" t="s">
        <v>3583</v>
      </c>
      <c r="Y196" s="259">
        <v>195</v>
      </c>
      <c r="Z196" s="259" t="s">
        <v>3037</v>
      </c>
      <c r="AA196" s="259"/>
      <c r="AB196" s="259"/>
      <c r="AC196" s="259"/>
      <c r="AD196" s="259"/>
      <c r="AE196" s="259"/>
    </row>
    <row r="197" spans="1:31">
      <c r="A197" s="259" t="s">
        <v>354</v>
      </c>
      <c r="B197" s="259" t="s">
        <v>1</v>
      </c>
      <c r="C197" s="264" t="s">
        <v>3193</v>
      </c>
      <c r="D197" s="264" t="s">
        <v>3584</v>
      </c>
      <c r="E197" s="259" t="s">
        <v>3195</v>
      </c>
      <c r="H197" s="264" t="s">
        <v>18</v>
      </c>
      <c r="I197" s="264" t="s">
        <v>3355</v>
      </c>
      <c r="J197" s="295">
        <v>48.22</v>
      </c>
      <c r="K197" s="295">
        <v>37</v>
      </c>
      <c r="L197" s="295">
        <v>24.73</v>
      </c>
      <c r="O197" s="266"/>
      <c r="P197" s="266">
        <v>885038039228</v>
      </c>
      <c r="Q197" s="266">
        <v>9002761039221</v>
      </c>
      <c r="R197" s="265">
        <v>1</v>
      </c>
      <c r="S197" s="265">
        <v>4</v>
      </c>
      <c r="T197" s="265">
        <v>2.5</v>
      </c>
      <c r="U197" s="265" t="s">
        <v>3101</v>
      </c>
      <c r="V197" s="259" t="s">
        <v>3247</v>
      </c>
      <c r="W197" s="259" t="s">
        <v>3061</v>
      </c>
      <c r="X197" s="269" t="s">
        <v>3585</v>
      </c>
      <c r="Y197" s="259">
        <v>196</v>
      </c>
      <c r="Z197" s="259" t="s">
        <v>3264</v>
      </c>
      <c r="AA197" s="259"/>
      <c r="AB197" s="259"/>
      <c r="AC197" s="259"/>
      <c r="AD197" s="259"/>
      <c r="AE197" s="259"/>
    </row>
    <row r="198" spans="1:31">
      <c r="A198" s="259" t="s">
        <v>355</v>
      </c>
      <c r="B198" s="259" t="s">
        <v>1</v>
      </c>
      <c r="C198" s="264" t="s">
        <v>3193</v>
      </c>
      <c r="D198" s="264" t="s">
        <v>3586</v>
      </c>
      <c r="E198" s="259" t="s">
        <v>3195</v>
      </c>
      <c r="H198" s="264" t="s">
        <v>18</v>
      </c>
      <c r="I198" s="264" t="s">
        <v>3587</v>
      </c>
      <c r="J198" s="295">
        <v>97.68</v>
      </c>
      <c r="K198" s="295">
        <v>88</v>
      </c>
      <c r="L198" s="295">
        <v>59.35</v>
      </c>
      <c r="O198" s="266"/>
      <c r="P198" s="266">
        <v>885038039303</v>
      </c>
      <c r="Q198" s="266">
        <v>9002761039306</v>
      </c>
      <c r="R198" s="265">
        <v>4.5</v>
      </c>
      <c r="S198" s="265">
        <v>2.5</v>
      </c>
      <c r="T198" s="265">
        <v>1</v>
      </c>
      <c r="U198" s="265" t="s">
        <v>3101</v>
      </c>
      <c r="V198" s="259" t="s">
        <v>3247</v>
      </c>
      <c r="W198" s="259" t="s">
        <v>3061</v>
      </c>
      <c r="X198" s="269" t="s">
        <v>3588</v>
      </c>
      <c r="Y198" s="259">
        <v>197</v>
      </c>
      <c r="Z198" s="259" t="s">
        <v>3037</v>
      </c>
      <c r="AA198" s="259"/>
      <c r="AB198" s="259"/>
      <c r="AC198" s="259"/>
      <c r="AD198" s="259"/>
      <c r="AE198" s="259"/>
    </row>
    <row r="199" spans="1:31">
      <c r="A199" s="259" t="s">
        <v>356</v>
      </c>
      <c r="B199" s="259" t="s">
        <v>1</v>
      </c>
      <c r="C199" s="264" t="s">
        <v>3193</v>
      </c>
      <c r="D199" s="264" t="s">
        <v>3589</v>
      </c>
      <c r="E199" s="259" t="s">
        <v>3195</v>
      </c>
      <c r="H199" s="264" t="s">
        <v>18</v>
      </c>
      <c r="I199" s="264" t="s">
        <v>3587</v>
      </c>
      <c r="J199" s="295">
        <v>97.68</v>
      </c>
      <c r="K199" s="295">
        <v>88</v>
      </c>
      <c r="L199" s="295">
        <v>59.35</v>
      </c>
      <c r="O199" s="266"/>
      <c r="P199" s="266">
        <v>885038039310</v>
      </c>
      <c r="Q199" s="266">
        <v>9002761039313</v>
      </c>
      <c r="R199" s="265">
        <v>1</v>
      </c>
      <c r="S199" s="265">
        <v>4</v>
      </c>
      <c r="T199" s="265">
        <v>2.5</v>
      </c>
      <c r="U199" s="265" t="s">
        <v>3101</v>
      </c>
      <c r="V199" s="259" t="s">
        <v>3247</v>
      </c>
      <c r="W199" s="259" t="s">
        <v>3061</v>
      </c>
      <c r="X199" s="269" t="s">
        <v>3590</v>
      </c>
      <c r="Y199" s="259">
        <v>198</v>
      </c>
      <c r="Z199" s="259" t="s">
        <v>3037</v>
      </c>
      <c r="AA199" s="259"/>
      <c r="AB199" s="259"/>
      <c r="AC199" s="259"/>
      <c r="AD199" s="259"/>
      <c r="AE199" s="259"/>
    </row>
    <row r="200" spans="1:31">
      <c r="A200" s="259" t="s">
        <v>357</v>
      </c>
      <c r="B200" s="259" t="s">
        <v>1</v>
      </c>
      <c r="C200" s="264" t="s">
        <v>3193</v>
      </c>
      <c r="D200" s="264" t="s">
        <v>3591</v>
      </c>
      <c r="E200" s="259" t="s">
        <v>3195</v>
      </c>
      <c r="H200" s="264" t="s">
        <v>18</v>
      </c>
      <c r="I200" s="264" t="s">
        <v>3587</v>
      </c>
      <c r="J200" s="295">
        <v>97.68</v>
      </c>
      <c r="K200" s="295">
        <v>88</v>
      </c>
      <c r="L200" s="295">
        <v>59.35</v>
      </c>
      <c r="O200" s="266"/>
      <c r="P200" s="266">
        <v>885038039327</v>
      </c>
      <c r="Q200" s="266">
        <v>9002761039320</v>
      </c>
      <c r="R200" s="265">
        <v>1</v>
      </c>
      <c r="S200" s="265">
        <v>4</v>
      </c>
      <c r="T200" s="265">
        <v>2.5</v>
      </c>
      <c r="U200" s="265" t="s">
        <v>3101</v>
      </c>
      <c r="V200" s="259" t="s">
        <v>3247</v>
      </c>
      <c r="W200" s="259" t="s">
        <v>3061</v>
      </c>
      <c r="X200" s="269" t="s">
        <v>3592</v>
      </c>
      <c r="Y200" s="259">
        <v>199</v>
      </c>
      <c r="Z200" s="259" t="s">
        <v>3037</v>
      </c>
      <c r="AA200" s="259"/>
      <c r="AB200" s="259"/>
      <c r="AC200" s="259"/>
      <c r="AD200" s="259"/>
      <c r="AE200" s="259"/>
    </row>
    <row r="201" spans="1:31">
      <c r="A201" s="259" t="s">
        <v>358</v>
      </c>
      <c r="B201" s="259" t="s">
        <v>1</v>
      </c>
      <c r="C201" s="264" t="s">
        <v>3193</v>
      </c>
      <c r="D201" s="264" t="s">
        <v>3593</v>
      </c>
      <c r="E201" s="259" t="s">
        <v>3195</v>
      </c>
      <c r="H201" s="264" t="s">
        <v>18</v>
      </c>
      <c r="I201" s="264" t="s">
        <v>3587</v>
      </c>
      <c r="J201" s="295">
        <v>97.68</v>
      </c>
      <c r="K201" s="295">
        <v>88</v>
      </c>
      <c r="L201" s="295">
        <v>59.35</v>
      </c>
      <c r="O201" s="266"/>
      <c r="P201" s="266">
        <v>885038039334</v>
      </c>
      <c r="Q201" s="266">
        <v>9002761039337</v>
      </c>
      <c r="R201" s="265">
        <v>1</v>
      </c>
      <c r="S201" s="265">
        <v>4</v>
      </c>
      <c r="T201" s="265">
        <v>2.5</v>
      </c>
      <c r="U201" s="265" t="s">
        <v>3101</v>
      </c>
      <c r="V201" s="259" t="s">
        <v>3247</v>
      </c>
      <c r="W201" s="259" t="s">
        <v>3061</v>
      </c>
      <c r="X201" s="269" t="s">
        <v>3594</v>
      </c>
      <c r="Y201" s="259">
        <v>200</v>
      </c>
      <c r="Z201" s="259" t="s">
        <v>3037</v>
      </c>
      <c r="AA201" s="259"/>
      <c r="AB201" s="259"/>
      <c r="AC201" s="259"/>
      <c r="AD201" s="259"/>
      <c r="AE201" s="259"/>
    </row>
    <row r="202" spans="1:31">
      <c r="A202" s="259" t="s">
        <v>359</v>
      </c>
      <c r="B202" s="259" t="s">
        <v>1</v>
      </c>
      <c r="C202" s="264" t="s">
        <v>3193</v>
      </c>
      <c r="D202" s="264" t="s">
        <v>3595</v>
      </c>
      <c r="E202" s="259" t="s">
        <v>3195</v>
      </c>
      <c r="H202" s="264" t="s">
        <v>18</v>
      </c>
      <c r="I202" s="264" t="s">
        <v>3355</v>
      </c>
      <c r="J202" s="295">
        <v>48.22</v>
      </c>
      <c r="K202" s="295">
        <v>37</v>
      </c>
      <c r="L202" s="295">
        <v>24.73</v>
      </c>
      <c r="O202" s="266"/>
      <c r="P202" s="266">
        <v>885038039235</v>
      </c>
      <c r="Q202" s="266">
        <v>9002761039238</v>
      </c>
      <c r="R202" s="265">
        <v>1</v>
      </c>
      <c r="S202" s="265">
        <v>4.25</v>
      </c>
      <c r="T202" s="265">
        <v>2.25</v>
      </c>
      <c r="U202" s="265" t="s">
        <v>3101</v>
      </c>
      <c r="V202" s="259" t="s">
        <v>3247</v>
      </c>
      <c r="W202" s="259" t="s">
        <v>3061</v>
      </c>
      <c r="X202" s="269" t="s">
        <v>3596</v>
      </c>
      <c r="Y202" s="259">
        <v>201</v>
      </c>
      <c r="Z202" s="259" t="s">
        <v>3037</v>
      </c>
      <c r="AA202" s="259"/>
      <c r="AB202" s="259"/>
      <c r="AC202" s="259"/>
      <c r="AD202" s="259"/>
      <c r="AE202" s="259"/>
    </row>
    <row r="203" spans="1:31">
      <c r="A203" s="259" t="s">
        <v>360</v>
      </c>
      <c r="B203" s="259" t="s">
        <v>1</v>
      </c>
      <c r="C203" s="264" t="s">
        <v>3193</v>
      </c>
      <c r="D203" s="264" t="s">
        <v>3597</v>
      </c>
      <c r="E203" s="259" t="s">
        <v>3195</v>
      </c>
      <c r="H203" s="264" t="s">
        <v>18</v>
      </c>
      <c r="I203" s="264" t="s">
        <v>3355</v>
      </c>
      <c r="J203" s="295">
        <v>48.22</v>
      </c>
      <c r="K203" s="295">
        <v>37</v>
      </c>
      <c r="L203" s="295">
        <v>24.73</v>
      </c>
      <c r="O203" s="266"/>
      <c r="P203" s="266">
        <v>885038039242</v>
      </c>
      <c r="Q203" s="266">
        <v>9002761039245</v>
      </c>
      <c r="R203" s="265">
        <v>1</v>
      </c>
      <c r="S203" s="265">
        <v>4</v>
      </c>
      <c r="T203" s="265">
        <v>2.5</v>
      </c>
      <c r="U203" s="265" t="s">
        <v>3101</v>
      </c>
      <c r="V203" s="259" t="s">
        <v>3247</v>
      </c>
      <c r="W203" s="259" t="s">
        <v>3061</v>
      </c>
      <c r="X203" s="269" t="s">
        <v>3598</v>
      </c>
      <c r="Y203" s="259">
        <v>202</v>
      </c>
      <c r="Z203" s="259" t="s">
        <v>3037</v>
      </c>
      <c r="AA203" s="259"/>
      <c r="AB203" s="259"/>
      <c r="AC203" s="259"/>
      <c r="AD203" s="259"/>
      <c r="AE203" s="259"/>
    </row>
    <row r="204" spans="1:31">
      <c r="A204" s="259" t="s">
        <v>361</v>
      </c>
      <c r="B204" s="259" t="s">
        <v>1</v>
      </c>
      <c r="C204" s="264"/>
      <c r="D204" s="264" t="s">
        <v>3599</v>
      </c>
      <c r="E204" s="259" t="s">
        <v>3600</v>
      </c>
      <c r="H204" s="264"/>
      <c r="I204" s="264" t="s">
        <v>3599</v>
      </c>
      <c r="J204" s="295">
        <v>3088.72</v>
      </c>
      <c r="K204" s="295">
        <v>3088.72</v>
      </c>
      <c r="L204" s="295">
        <v>1235.24</v>
      </c>
      <c r="O204" s="266"/>
      <c r="P204" s="266">
        <v>885038040118</v>
      </c>
      <c r="R204" s="265"/>
      <c r="V204" s="259"/>
      <c r="W204" s="259" t="s">
        <v>3061</v>
      </c>
      <c r="X204" s="269" t="s">
        <v>3601</v>
      </c>
      <c r="Y204" s="259">
        <v>203</v>
      </c>
      <c r="Z204" s="259" t="s">
        <v>3037</v>
      </c>
      <c r="AA204" s="259"/>
      <c r="AB204" s="259"/>
      <c r="AC204" s="259"/>
      <c r="AD204" s="259"/>
      <c r="AE204" s="259"/>
    </row>
    <row r="205" spans="1:31">
      <c r="A205" s="259" t="s">
        <v>2</v>
      </c>
      <c r="B205" s="259" t="s">
        <v>1</v>
      </c>
      <c r="C205" s="264"/>
      <c r="D205" s="264"/>
      <c r="H205" s="264"/>
      <c r="I205" s="264"/>
      <c r="J205" s="295">
        <v>0</v>
      </c>
      <c r="K205" s="295">
        <v>0</v>
      </c>
      <c r="L205" s="295">
        <v>0</v>
      </c>
      <c r="O205" s="266"/>
      <c r="R205" s="265"/>
      <c r="V205" s="259"/>
      <c r="X205" s="269"/>
      <c r="Y205" s="259">
        <v>204</v>
      </c>
      <c r="AA205" s="259"/>
      <c r="AB205" s="259"/>
      <c r="AC205" s="259"/>
      <c r="AD205" s="259"/>
      <c r="AE205" s="259"/>
    </row>
    <row r="206" spans="1:31">
      <c r="A206" s="259" t="s">
        <v>362</v>
      </c>
      <c r="B206" s="259" t="s">
        <v>1</v>
      </c>
      <c r="C206" s="264"/>
      <c r="D206" s="264"/>
      <c r="H206" s="264"/>
      <c r="I206" s="264"/>
      <c r="J206" s="295">
        <v>0</v>
      </c>
      <c r="K206" s="295">
        <v>0</v>
      </c>
      <c r="L206" s="295">
        <v>0</v>
      </c>
      <c r="O206" s="266"/>
      <c r="R206" s="265"/>
      <c r="V206" s="259"/>
      <c r="X206" s="269"/>
      <c r="Y206" s="259">
        <v>205</v>
      </c>
      <c r="AA206" s="259"/>
      <c r="AB206" s="259"/>
      <c r="AC206" s="259"/>
      <c r="AD206" s="259"/>
      <c r="AE206" s="259"/>
    </row>
    <row r="207" spans="1:31">
      <c r="A207" s="259" t="s">
        <v>363</v>
      </c>
      <c r="B207" s="259" t="s">
        <v>1</v>
      </c>
      <c r="C207" s="264" t="s">
        <v>3215</v>
      </c>
      <c r="D207" s="264" t="s">
        <v>3602</v>
      </c>
      <c r="E207" s="259" t="s">
        <v>3556</v>
      </c>
      <c r="H207" s="264" t="s">
        <v>3603</v>
      </c>
      <c r="I207" s="264" t="s">
        <v>3604</v>
      </c>
      <c r="J207" s="295">
        <v>193.57</v>
      </c>
      <c r="K207" s="295">
        <v>155</v>
      </c>
      <c r="L207" s="295">
        <v>116.14</v>
      </c>
      <c r="O207" s="266"/>
      <c r="P207" s="266">
        <v>885038027669</v>
      </c>
      <c r="Q207" s="266">
        <v>9002761027662</v>
      </c>
      <c r="R207" s="265">
        <v>3</v>
      </c>
      <c r="S207" s="265">
        <v>14</v>
      </c>
      <c r="T207" s="265">
        <v>9.5</v>
      </c>
      <c r="U207" s="265">
        <v>2.6</v>
      </c>
      <c r="V207" s="259" t="s">
        <v>3028</v>
      </c>
      <c r="W207" s="259" t="s">
        <v>3029</v>
      </c>
      <c r="X207" s="269" t="s">
        <v>3605</v>
      </c>
      <c r="Y207" s="259">
        <v>206</v>
      </c>
      <c r="Z207" s="259" t="s">
        <v>3030</v>
      </c>
      <c r="AA207" s="259"/>
      <c r="AB207" s="259"/>
      <c r="AC207" s="259"/>
      <c r="AD207" s="259"/>
      <c r="AE207" s="259"/>
    </row>
    <row r="208" spans="1:31">
      <c r="A208" s="259" t="s">
        <v>364</v>
      </c>
      <c r="B208" s="259" t="s">
        <v>1</v>
      </c>
      <c r="C208" s="264" t="s">
        <v>3215</v>
      </c>
      <c r="D208" s="264" t="s">
        <v>3606</v>
      </c>
      <c r="E208" s="259" t="s">
        <v>3556</v>
      </c>
      <c r="H208" s="264" t="s">
        <v>3603</v>
      </c>
      <c r="I208" s="264" t="s">
        <v>3607</v>
      </c>
      <c r="J208" s="295">
        <v>226.89</v>
      </c>
      <c r="K208" s="295">
        <v>140</v>
      </c>
      <c r="L208" s="295">
        <v>107.14</v>
      </c>
      <c r="O208" s="266"/>
      <c r="P208" s="266">
        <v>885038027737</v>
      </c>
      <c r="Q208" s="266">
        <v>9002761027730</v>
      </c>
      <c r="R208" s="265">
        <v>5</v>
      </c>
      <c r="S208" s="265">
        <v>15</v>
      </c>
      <c r="T208" s="265">
        <v>10</v>
      </c>
      <c r="U208" s="265">
        <v>2.6</v>
      </c>
      <c r="V208" s="259" t="s">
        <v>3028</v>
      </c>
      <c r="W208" s="259" t="s">
        <v>3029</v>
      </c>
      <c r="X208" s="269" t="s">
        <v>3608</v>
      </c>
      <c r="Y208" s="259">
        <v>207</v>
      </c>
      <c r="Z208" s="259" t="s">
        <v>3030</v>
      </c>
      <c r="AA208" s="259"/>
      <c r="AB208" s="259"/>
      <c r="AC208" s="259"/>
      <c r="AD208" s="259"/>
      <c r="AE208" s="259"/>
    </row>
    <row r="209" spans="1:31">
      <c r="A209" s="259" t="s">
        <v>365</v>
      </c>
      <c r="B209" s="259" t="s">
        <v>1</v>
      </c>
      <c r="C209" s="264" t="s">
        <v>3215</v>
      </c>
      <c r="D209" s="264" t="s">
        <v>3609</v>
      </c>
      <c r="E209" s="259" t="s">
        <v>3556</v>
      </c>
      <c r="H209" s="264" t="s">
        <v>3603</v>
      </c>
      <c r="I209" s="264" t="s">
        <v>3610</v>
      </c>
      <c r="J209" s="295">
        <v>226.89</v>
      </c>
      <c r="K209" s="295">
        <v>195</v>
      </c>
      <c r="L209" s="295">
        <v>116</v>
      </c>
      <c r="O209" s="266"/>
      <c r="P209" s="266">
        <v>885038027805</v>
      </c>
      <c r="Q209" s="266">
        <v>9002761027808</v>
      </c>
      <c r="R209" s="265">
        <v>9.5</v>
      </c>
      <c r="S209" s="265">
        <v>14</v>
      </c>
      <c r="T209" s="265">
        <v>2.5</v>
      </c>
      <c r="U209" s="265">
        <v>2.6</v>
      </c>
      <c r="V209" s="259" t="s">
        <v>3028</v>
      </c>
      <c r="W209" s="259" t="s">
        <v>3029</v>
      </c>
      <c r="X209" s="269" t="s">
        <v>3611</v>
      </c>
      <c r="Y209" s="259">
        <v>208</v>
      </c>
      <c r="Z209" s="259" t="s">
        <v>3030</v>
      </c>
      <c r="AA209" s="259"/>
      <c r="AB209" s="259"/>
      <c r="AC209" s="259"/>
      <c r="AD209" s="259"/>
      <c r="AE209" s="259"/>
    </row>
    <row r="210" spans="1:31">
      <c r="A210" s="259" t="s">
        <v>366</v>
      </c>
      <c r="B210" s="259" t="s">
        <v>1</v>
      </c>
      <c r="C210" s="264" t="s">
        <v>3215</v>
      </c>
      <c r="D210" s="264" t="s">
        <v>3612</v>
      </c>
      <c r="E210" s="259" t="s">
        <v>3556</v>
      </c>
      <c r="H210" s="264" t="s">
        <v>3603</v>
      </c>
      <c r="I210" s="264" t="s">
        <v>3613</v>
      </c>
      <c r="J210" s="295">
        <v>298.62</v>
      </c>
      <c r="K210" s="295">
        <v>236</v>
      </c>
      <c r="L210" s="295">
        <v>179.17</v>
      </c>
      <c r="O210" s="266">
        <v>5</v>
      </c>
      <c r="P210" s="266">
        <v>885038027874</v>
      </c>
      <c r="Q210" s="266">
        <v>9002761027877</v>
      </c>
      <c r="R210" s="265">
        <v>4</v>
      </c>
      <c r="S210" s="265">
        <v>17</v>
      </c>
      <c r="T210" s="265">
        <v>13</v>
      </c>
      <c r="U210" s="265">
        <v>3.2</v>
      </c>
      <c r="V210" s="259" t="s">
        <v>3028</v>
      </c>
      <c r="W210" s="259" t="s">
        <v>3029</v>
      </c>
      <c r="X210" s="269" t="s">
        <v>3614</v>
      </c>
      <c r="Y210" s="259">
        <v>209</v>
      </c>
      <c r="Z210" s="259" t="s">
        <v>3030</v>
      </c>
      <c r="AA210" s="259"/>
      <c r="AB210" s="259"/>
      <c r="AC210" s="259"/>
      <c r="AD210" s="259"/>
      <c r="AE210" s="259"/>
    </row>
    <row r="211" spans="1:31">
      <c r="A211" s="259" t="s">
        <v>367</v>
      </c>
      <c r="B211" s="259" t="s">
        <v>1</v>
      </c>
      <c r="C211" s="264" t="s">
        <v>3215</v>
      </c>
      <c r="D211" s="264" t="s">
        <v>3615</v>
      </c>
      <c r="E211" s="259" t="s">
        <v>3556</v>
      </c>
      <c r="H211" s="264" t="s">
        <v>3603</v>
      </c>
      <c r="I211" s="264" t="s">
        <v>3616</v>
      </c>
      <c r="J211" s="295">
        <v>298.62</v>
      </c>
      <c r="K211" s="295">
        <v>236</v>
      </c>
      <c r="L211" s="295">
        <v>179.17</v>
      </c>
      <c r="O211" s="266">
        <v>5</v>
      </c>
      <c r="P211" s="266">
        <v>885038027942</v>
      </c>
      <c r="Q211" s="266">
        <v>9002761027945</v>
      </c>
      <c r="R211" s="265">
        <v>3</v>
      </c>
      <c r="S211" s="265">
        <v>13</v>
      </c>
      <c r="T211" s="265">
        <v>17</v>
      </c>
      <c r="U211" s="265">
        <v>3.2</v>
      </c>
      <c r="V211" s="259" t="s">
        <v>3028</v>
      </c>
      <c r="W211" s="259" t="s">
        <v>3029</v>
      </c>
      <c r="X211" s="269" t="s">
        <v>3617</v>
      </c>
      <c r="Y211" s="259">
        <v>210</v>
      </c>
      <c r="Z211" s="259" t="s">
        <v>3030</v>
      </c>
      <c r="AA211" s="259"/>
      <c r="AB211" s="259"/>
      <c r="AC211" s="259"/>
      <c r="AD211" s="259"/>
      <c r="AE211" s="259"/>
    </row>
    <row r="212" spans="1:31">
      <c r="A212" s="259" t="s">
        <v>368</v>
      </c>
      <c r="B212" s="259" t="s">
        <v>1</v>
      </c>
      <c r="C212" s="264" t="s">
        <v>3215</v>
      </c>
      <c r="D212" s="264" t="s">
        <v>3618</v>
      </c>
      <c r="E212" s="259" t="s">
        <v>3556</v>
      </c>
      <c r="H212" s="264" t="s">
        <v>3603</v>
      </c>
      <c r="I212" s="264" t="s">
        <v>3619</v>
      </c>
      <c r="J212" s="295">
        <v>223.59</v>
      </c>
      <c r="K212" s="295">
        <v>185</v>
      </c>
      <c r="L212" s="295">
        <v>134.15</v>
      </c>
      <c r="O212" s="266">
        <v>5</v>
      </c>
      <c r="P212" s="266">
        <v>885038028017</v>
      </c>
      <c r="Q212" s="266">
        <v>9002761028010</v>
      </c>
      <c r="R212" s="265">
        <v>13</v>
      </c>
      <c r="S212" s="265">
        <v>3</v>
      </c>
      <c r="T212" s="265">
        <v>17</v>
      </c>
      <c r="U212" s="265">
        <v>3.2</v>
      </c>
      <c r="V212" s="259" t="s">
        <v>3028</v>
      </c>
      <c r="W212" s="259" t="s">
        <v>3029</v>
      </c>
      <c r="X212" s="269" t="s">
        <v>3620</v>
      </c>
      <c r="Y212" s="259">
        <v>211</v>
      </c>
      <c r="Z212" s="259" t="s">
        <v>3030</v>
      </c>
      <c r="AA212" s="259"/>
      <c r="AB212" s="259"/>
      <c r="AC212" s="259"/>
      <c r="AD212" s="259"/>
      <c r="AE212" s="259"/>
    </row>
    <row r="213" spans="1:31">
      <c r="A213" s="259" t="s">
        <v>369</v>
      </c>
      <c r="B213" s="259" t="s">
        <v>1</v>
      </c>
      <c r="C213" s="264" t="s">
        <v>3215</v>
      </c>
      <c r="D213" s="264" t="s">
        <v>3621</v>
      </c>
      <c r="E213" s="259" t="s">
        <v>3556</v>
      </c>
      <c r="H213" s="264" t="s">
        <v>3603</v>
      </c>
      <c r="I213" s="264" t="s">
        <v>3622</v>
      </c>
      <c r="J213" s="295">
        <v>223.59</v>
      </c>
      <c r="K213" s="295">
        <v>185</v>
      </c>
      <c r="L213" s="295">
        <v>134.15</v>
      </c>
      <c r="O213" s="266">
        <v>5</v>
      </c>
      <c r="P213" s="266">
        <v>885038028086</v>
      </c>
      <c r="Q213" s="266">
        <v>9002761028089</v>
      </c>
      <c r="R213" s="265">
        <v>5</v>
      </c>
      <c r="S213" s="265">
        <v>16.5</v>
      </c>
      <c r="T213" s="265">
        <v>20</v>
      </c>
      <c r="U213" s="265">
        <v>3.2</v>
      </c>
      <c r="V213" s="259" t="s">
        <v>3028</v>
      </c>
      <c r="W213" s="259" t="s">
        <v>3029</v>
      </c>
      <c r="X213" s="269" t="s">
        <v>3623</v>
      </c>
      <c r="Y213" s="259">
        <v>212</v>
      </c>
      <c r="Z213" s="259" t="s">
        <v>3030</v>
      </c>
      <c r="AA213" s="259"/>
      <c r="AB213" s="259"/>
      <c r="AC213" s="259"/>
      <c r="AD213" s="259"/>
      <c r="AE213" s="259"/>
    </row>
    <row r="214" spans="1:31">
      <c r="A214" s="259" t="s">
        <v>370</v>
      </c>
      <c r="B214" s="259" t="s">
        <v>1</v>
      </c>
      <c r="C214" s="264"/>
      <c r="D214" s="264"/>
      <c r="H214" s="264"/>
      <c r="I214" s="264"/>
      <c r="J214" s="295">
        <v>0</v>
      </c>
      <c r="K214" s="295">
        <v>0</v>
      </c>
      <c r="L214" s="295">
        <v>0</v>
      </c>
      <c r="O214" s="266"/>
      <c r="R214" s="265"/>
      <c r="V214" s="259"/>
      <c r="X214" s="269"/>
      <c r="Y214" s="259">
        <v>213</v>
      </c>
      <c r="AA214" s="259"/>
      <c r="AB214" s="259"/>
      <c r="AC214" s="259"/>
      <c r="AD214" s="259"/>
      <c r="AE214" s="259"/>
    </row>
    <row r="215" spans="1:31">
      <c r="A215" s="259" t="s">
        <v>371</v>
      </c>
      <c r="B215" s="259" t="s">
        <v>1</v>
      </c>
      <c r="C215" s="264" t="s">
        <v>3624</v>
      </c>
      <c r="D215" s="264" t="s">
        <v>3625</v>
      </c>
      <c r="E215" s="259" t="s">
        <v>3556</v>
      </c>
      <c r="H215" s="264" t="s">
        <v>3626</v>
      </c>
      <c r="I215" s="264" t="s">
        <v>3627</v>
      </c>
      <c r="J215" s="295">
        <v>148.86000000000001</v>
      </c>
      <c r="K215" s="295">
        <v>119</v>
      </c>
      <c r="L215" s="295">
        <v>85.71</v>
      </c>
      <c r="O215" s="266">
        <v>12</v>
      </c>
      <c r="P215" s="266">
        <v>885038038979</v>
      </c>
      <c r="Q215" s="266" t="s">
        <v>3628</v>
      </c>
      <c r="R215" s="265">
        <v>11.5</v>
      </c>
      <c r="S215" s="265">
        <v>9.5</v>
      </c>
      <c r="T215" s="265">
        <v>2.5</v>
      </c>
      <c r="U215" s="265">
        <v>2.34</v>
      </c>
      <c r="V215" s="259" t="s">
        <v>3028</v>
      </c>
      <c r="W215" s="259" t="s">
        <v>3029</v>
      </c>
      <c r="X215" s="269" t="s">
        <v>3629</v>
      </c>
      <c r="Y215" s="259">
        <v>214</v>
      </c>
      <c r="Z215" s="259" t="s">
        <v>3030</v>
      </c>
      <c r="AA215" s="259"/>
      <c r="AB215" s="259"/>
      <c r="AC215" s="259"/>
      <c r="AD215" s="259"/>
      <c r="AE215" s="259"/>
    </row>
    <row r="216" spans="1:31">
      <c r="A216" s="259" t="s">
        <v>372</v>
      </c>
      <c r="B216" s="259" t="s">
        <v>1</v>
      </c>
      <c r="C216" s="264" t="s">
        <v>3624</v>
      </c>
      <c r="D216" s="264" t="s">
        <v>3630</v>
      </c>
      <c r="E216" s="259" t="s">
        <v>3556</v>
      </c>
      <c r="H216" s="264" t="s">
        <v>3626</v>
      </c>
      <c r="I216" s="264" t="s">
        <v>3627</v>
      </c>
      <c r="J216" s="295">
        <v>148.86000000000001</v>
      </c>
      <c r="K216" s="295">
        <v>119</v>
      </c>
      <c r="L216" s="295">
        <v>85.71</v>
      </c>
      <c r="O216" s="266">
        <v>12</v>
      </c>
      <c r="P216" s="266">
        <v>885038038986</v>
      </c>
      <c r="Q216" s="266" t="s">
        <v>3631</v>
      </c>
      <c r="R216" s="265">
        <v>11.5</v>
      </c>
      <c r="S216" s="265">
        <v>9.5</v>
      </c>
      <c r="T216" s="265">
        <v>2.5</v>
      </c>
      <c r="U216" s="265">
        <v>2.34</v>
      </c>
      <c r="V216" s="259" t="s">
        <v>3028</v>
      </c>
      <c r="W216" s="259" t="s">
        <v>3029</v>
      </c>
      <c r="X216" s="269" t="s">
        <v>3632</v>
      </c>
      <c r="Y216" s="259">
        <v>215</v>
      </c>
      <c r="Z216" s="259" t="s">
        <v>3030</v>
      </c>
      <c r="AA216" s="259"/>
      <c r="AB216" s="259"/>
      <c r="AC216" s="259"/>
      <c r="AD216" s="259"/>
      <c r="AE216" s="259"/>
    </row>
    <row r="217" spans="1:31">
      <c r="A217" s="259" t="s">
        <v>373</v>
      </c>
      <c r="B217" s="259" t="s">
        <v>1</v>
      </c>
      <c r="C217" s="264" t="s">
        <v>3624</v>
      </c>
      <c r="D217" s="264" t="s">
        <v>3633</v>
      </c>
      <c r="E217" s="259" t="s">
        <v>3556</v>
      </c>
      <c r="H217" s="264" t="s">
        <v>3626</v>
      </c>
      <c r="I217" s="264" t="s">
        <v>3627</v>
      </c>
      <c r="J217" s="295">
        <v>155.91</v>
      </c>
      <c r="K217" s="295">
        <v>119</v>
      </c>
      <c r="L217" s="295">
        <v>85.71</v>
      </c>
      <c r="O217" s="266">
        <v>12</v>
      </c>
      <c r="P217" s="266">
        <v>885038038993</v>
      </c>
      <c r="Q217" s="266" t="s">
        <v>3634</v>
      </c>
      <c r="R217" s="265">
        <v>11.5</v>
      </c>
      <c r="S217" s="265">
        <v>9.5</v>
      </c>
      <c r="T217" s="265">
        <v>2.5</v>
      </c>
      <c r="U217" s="265">
        <v>2.34</v>
      </c>
      <c r="V217" s="259" t="s">
        <v>3028</v>
      </c>
      <c r="W217" s="259" t="s">
        <v>3029</v>
      </c>
      <c r="X217" s="269" t="s">
        <v>3635</v>
      </c>
      <c r="Y217" s="259">
        <v>216</v>
      </c>
      <c r="Z217" s="259" t="s">
        <v>3030</v>
      </c>
      <c r="AA217" s="259"/>
      <c r="AB217" s="259"/>
      <c r="AC217" s="259"/>
      <c r="AD217" s="259"/>
      <c r="AE217" s="259"/>
    </row>
    <row r="218" spans="1:31">
      <c r="A218" s="259" t="s">
        <v>374</v>
      </c>
      <c r="B218" s="259" t="s">
        <v>1</v>
      </c>
      <c r="C218" s="264" t="s">
        <v>3624</v>
      </c>
      <c r="D218" s="264" t="s">
        <v>3636</v>
      </c>
      <c r="E218" s="259" t="s">
        <v>3556</v>
      </c>
      <c r="H218" s="264" t="s">
        <v>3626</v>
      </c>
      <c r="I218" s="264" t="s">
        <v>3627</v>
      </c>
      <c r="J218" s="295">
        <v>118.85</v>
      </c>
      <c r="K218" s="295">
        <v>118.85</v>
      </c>
      <c r="L218" s="295">
        <v>85.71</v>
      </c>
      <c r="O218" s="266">
        <v>12</v>
      </c>
      <c r="P218" s="266">
        <v>885038039006</v>
      </c>
      <c r="Q218" s="266" t="s">
        <v>3637</v>
      </c>
      <c r="R218" s="265">
        <v>11.5</v>
      </c>
      <c r="S218" s="265">
        <v>9.5</v>
      </c>
      <c r="T218" s="265">
        <v>2.5</v>
      </c>
      <c r="U218" s="265">
        <v>2.34</v>
      </c>
      <c r="V218" s="259" t="s">
        <v>3028</v>
      </c>
      <c r="W218" s="259" t="s">
        <v>3029</v>
      </c>
      <c r="X218" s="269" t="s">
        <v>3638</v>
      </c>
      <c r="Y218" s="259">
        <v>217</v>
      </c>
      <c r="Z218" s="259" t="s">
        <v>3030</v>
      </c>
      <c r="AA218" s="259"/>
      <c r="AB218" s="259"/>
      <c r="AC218" s="259"/>
      <c r="AD218" s="259"/>
      <c r="AE218" s="259"/>
    </row>
    <row r="219" spans="1:31">
      <c r="A219" s="259" t="s">
        <v>375</v>
      </c>
      <c r="B219" s="259" t="s">
        <v>1</v>
      </c>
      <c r="C219" s="264" t="s">
        <v>3624</v>
      </c>
      <c r="D219" s="264" t="s">
        <v>3639</v>
      </c>
      <c r="E219" s="259" t="s">
        <v>3556</v>
      </c>
      <c r="H219" s="264" t="s">
        <v>3626</v>
      </c>
      <c r="I219" s="264" t="s">
        <v>3640</v>
      </c>
      <c r="J219" s="295">
        <v>155.91</v>
      </c>
      <c r="K219" s="295">
        <v>140</v>
      </c>
      <c r="L219" s="295">
        <v>96.6</v>
      </c>
      <c r="O219" s="266">
        <v>12</v>
      </c>
      <c r="P219" s="266">
        <v>885038038931</v>
      </c>
      <c r="Q219" s="266" t="s">
        <v>3641</v>
      </c>
      <c r="R219" s="265">
        <v>9</v>
      </c>
      <c r="S219" s="265">
        <v>12</v>
      </c>
      <c r="T219" s="265">
        <v>2.5</v>
      </c>
      <c r="U219" s="265">
        <v>2.34</v>
      </c>
      <c r="V219" s="259" t="s">
        <v>3028</v>
      </c>
      <c r="W219" s="259" t="s">
        <v>3029</v>
      </c>
      <c r="X219" s="269" t="s">
        <v>3642</v>
      </c>
      <c r="Y219" s="259">
        <v>218</v>
      </c>
      <c r="Z219" s="259" t="s">
        <v>3030</v>
      </c>
      <c r="AA219" s="259"/>
      <c r="AB219" s="259"/>
      <c r="AC219" s="259"/>
      <c r="AD219" s="259"/>
      <c r="AE219" s="259"/>
    </row>
    <row r="220" spans="1:31">
      <c r="A220" s="259" t="s">
        <v>376</v>
      </c>
      <c r="B220" s="259" t="s">
        <v>1</v>
      </c>
      <c r="C220" s="264" t="s">
        <v>3624</v>
      </c>
      <c r="D220" s="264" t="s">
        <v>3643</v>
      </c>
      <c r="E220" s="259" t="s">
        <v>3556</v>
      </c>
      <c r="H220" s="264" t="s">
        <v>3626</v>
      </c>
      <c r="I220" s="264" t="s">
        <v>3640</v>
      </c>
      <c r="J220" s="295">
        <v>155.91</v>
      </c>
      <c r="K220" s="295">
        <v>140</v>
      </c>
      <c r="L220" s="295">
        <v>96.6</v>
      </c>
      <c r="O220" s="266">
        <v>12</v>
      </c>
      <c r="P220" s="266">
        <v>885038038948</v>
      </c>
      <c r="Q220" s="266" t="s">
        <v>3644</v>
      </c>
      <c r="R220" s="265">
        <v>11.5</v>
      </c>
      <c r="S220" s="265">
        <v>9.5</v>
      </c>
      <c r="T220" s="265">
        <v>2.5</v>
      </c>
      <c r="U220" s="265">
        <v>2.34</v>
      </c>
      <c r="V220" s="259" t="s">
        <v>3028</v>
      </c>
      <c r="W220" s="259" t="s">
        <v>3029</v>
      </c>
      <c r="X220" s="269" t="s">
        <v>3645</v>
      </c>
      <c r="Y220" s="259">
        <v>219</v>
      </c>
      <c r="Z220" s="259" t="s">
        <v>3030</v>
      </c>
      <c r="AA220" s="259"/>
      <c r="AB220" s="259"/>
      <c r="AC220" s="259"/>
      <c r="AD220" s="259"/>
      <c r="AE220" s="259"/>
    </row>
    <row r="221" spans="1:31">
      <c r="A221" s="259" t="s">
        <v>377</v>
      </c>
      <c r="B221" s="259" t="s">
        <v>1</v>
      </c>
      <c r="C221" s="264" t="s">
        <v>3624</v>
      </c>
      <c r="D221" s="264" t="s">
        <v>3646</v>
      </c>
      <c r="E221" s="259" t="s">
        <v>3556</v>
      </c>
      <c r="H221" s="264" t="s">
        <v>3626</v>
      </c>
      <c r="I221" s="264" t="s">
        <v>3640</v>
      </c>
      <c r="J221" s="295">
        <v>155.91</v>
      </c>
      <c r="K221" s="295">
        <v>140</v>
      </c>
      <c r="L221" s="295">
        <v>96.6</v>
      </c>
      <c r="O221" s="266">
        <v>12</v>
      </c>
      <c r="P221" s="266">
        <v>885038038955</v>
      </c>
      <c r="Q221" s="266" t="s">
        <v>3647</v>
      </c>
      <c r="R221" s="265">
        <v>11.5</v>
      </c>
      <c r="S221" s="265">
        <v>9.5</v>
      </c>
      <c r="T221" s="265">
        <v>2.5</v>
      </c>
      <c r="U221" s="265">
        <v>2.34</v>
      </c>
      <c r="V221" s="259" t="s">
        <v>3028</v>
      </c>
      <c r="W221" s="259" t="s">
        <v>3029</v>
      </c>
      <c r="X221" s="269" t="s">
        <v>3648</v>
      </c>
      <c r="Y221" s="259">
        <v>220</v>
      </c>
      <c r="Z221" s="259" t="s">
        <v>3030</v>
      </c>
      <c r="AA221" s="259"/>
      <c r="AB221" s="259"/>
      <c r="AC221" s="259"/>
      <c r="AD221" s="259"/>
      <c r="AE221" s="259"/>
    </row>
    <row r="222" spans="1:31">
      <c r="A222" s="259" t="s">
        <v>378</v>
      </c>
      <c r="B222" s="259" t="s">
        <v>1</v>
      </c>
      <c r="C222" s="264" t="s">
        <v>3624</v>
      </c>
      <c r="D222" s="264" t="s">
        <v>3649</v>
      </c>
      <c r="E222" s="259" t="s">
        <v>3556</v>
      </c>
      <c r="H222" s="264" t="s">
        <v>3626</v>
      </c>
      <c r="I222" s="264" t="s">
        <v>3640</v>
      </c>
      <c r="J222" s="295">
        <v>155.91</v>
      </c>
      <c r="K222" s="295">
        <v>140</v>
      </c>
      <c r="L222" s="295">
        <v>85.94</v>
      </c>
      <c r="O222" s="266">
        <v>12</v>
      </c>
      <c r="P222" s="266">
        <v>885038038962</v>
      </c>
      <c r="Q222" s="266" t="s">
        <v>3650</v>
      </c>
      <c r="R222" s="265">
        <v>11.5</v>
      </c>
      <c r="S222" s="265">
        <v>9.5</v>
      </c>
      <c r="T222" s="265">
        <v>2.5</v>
      </c>
      <c r="U222" s="265">
        <v>2.34</v>
      </c>
      <c r="V222" s="259" t="s">
        <v>3028</v>
      </c>
      <c r="W222" s="259" t="s">
        <v>3029</v>
      </c>
      <c r="X222" s="269" t="s">
        <v>3651</v>
      </c>
      <c r="Y222" s="259">
        <v>221</v>
      </c>
      <c r="Z222" s="259" t="s">
        <v>3030</v>
      </c>
      <c r="AA222" s="259"/>
      <c r="AB222" s="259"/>
      <c r="AC222" s="259"/>
      <c r="AD222" s="259"/>
      <c r="AE222" s="259"/>
    </row>
    <row r="223" spans="1:31">
      <c r="A223" s="259" t="s">
        <v>379</v>
      </c>
      <c r="B223" s="259" t="s">
        <v>1</v>
      </c>
      <c r="C223" s="264" t="s">
        <v>3215</v>
      </c>
      <c r="D223" s="264" t="s">
        <v>3652</v>
      </c>
      <c r="E223" s="259" t="s">
        <v>3556</v>
      </c>
      <c r="H223" s="264" t="s">
        <v>3653</v>
      </c>
      <c r="I223" s="264" t="s">
        <v>3654</v>
      </c>
      <c r="J223" s="295">
        <v>298.92</v>
      </c>
      <c r="K223" s="295">
        <v>236</v>
      </c>
      <c r="L223" s="295">
        <v>171.43</v>
      </c>
      <c r="O223" s="266">
        <v>12</v>
      </c>
      <c r="P223" s="266">
        <v>885038038917</v>
      </c>
      <c r="Q223" s="266" t="s">
        <v>3655</v>
      </c>
      <c r="R223" s="265">
        <v>11.5</v>
      </c>
      <c r="S223" s="265">
        <v>11.5</v>
      </c>
      <c r="T223" s="265">
        <v>2.5</v>
      </c>
      <c r="U223" s="265">
        <v>2.34</v>
      </c>
      <c r="V223" s="259" t="s">
        <v>3028</v>
      </c>
      <c r="W223" s="259" t="s">
        <v>3029</v>
      </c>
      <c r="X223" s="269" t="s">
        <v>3656</v>
      </c>
      <c r="Y223" s="259">
        <v>222</v>
      </c>
      <c r="Z223" s="259" t="s">
        <v>3030</v>
      </c>
      <c r="AA223" s="259"/>
      <c r="AB223" s="259"/>
      <c r="AC223" s="259"/>
      <c r="AD223" s="259"/>
      <c r="AE223" s="259"/>
    </row>
    <row r="224" spans="1:31">
      <c r="A224" s="259" t="s">
        <v>380</v>
      </c>
      <c r="B224" s="259" t="s">
        <v>1</v>
      </c>
      <c r="C224" s="264" t="s">
        <v>3215</v>
      </c>
      <c r="D224" s="264" t="s">
        <v>3657</v>
      </c>
      <c r="E224" s="259" t="s">
        <v>3556</v>
      </c>
      <c r="H224" s="264" t="s">
        <v>3653</v>
      </c>
      <c r="I224" s="264" t="s">
        <v>3654</v>
      </c>
      <c r="J224" s="295">
        <v>298.92</v>
      </c>
      <c r="K224" s="295">
        <v>236</v>
      </c>
      <c r="L224" s="295">
        <v>171.43</v>
      </c>
      <c r="O224" s="266">
        <v>12</v>
      </c>
      <c r="P224" s="266">
        <v>885038038924</v>
      </c>
      <c r="Q224" s="266" t="s">
        <v>3658</v>
      </c>
      <c r="R224" s="265">
        <v>12</v>
      </c>
      <c r="S224" s="265">
        <v>11.5</v>
      </c>
      <c r="T224" s="265">
        <v>2.5</v>
      </c>
      <c r="U224" s="265">
        <v>2.34</v>
      </c>
      <c r="V224" s="259" t="s">
        <v>3028</v>
      </c>
      <c r="W224" s="259" t="s">
        <v>3029</v>
      </c>
      <c r="X224" s="269" t="s">
        <v>3659</v>
      </c>
      <c r="Y224" s="259">
        <v>223</v>
      </c>
      <c r="Z224" s="259" t="s">
        <v>3030</v>
      </c>
      <c r="AA224" s="259"/>
      <c r="AB224" s="259"/>
      <c r="AC224" s="259"/>
      <c r="AD224" s="259"/>
      <c r="AE224" s="259"/>
    </row>
    <row r="225" spans="1:31">
      <c r="A225" s="259" t="s">
        <v>381</v>
      </c>
      <c r="B225" s="259" t="s">
        <v>1</v>
      </c>
      <c r="C225" s="264" t="s">
        <v>3215</v>
      </c>
      <c r="D225" s="264" t="s">
        <v>3660</v>
      </c>
      <c r="E225" s="259" t="s">
        <v>3556</v>
      </c>
      <c r="H225" s="264" t="s">
        <v>3653</v>
      </c>
      <c r="I225" s="264" t="s">
        <v>3661</v>
      </c>
      <c r="J225" s="295">
        <v>380.6</v>
      </c>
      <c r="K225" s="295">
        <v>265</v>
      </c>
      <c r="L225" s="295">
        <v>190.3</v>
      </c>
      <c r="O225" s="266">
        <v>12</v>
      </c>
      <c r="P225" s="266">
        <v>885038038870</v>
      </c>
      <c r="Q225" s="266" t="s">
        <v>3662</v>
      </c>
      <c r="R225" s="265">
        <v>11.5</v>
      </c>
      <c r="S225" s="265">
        <v>11.5</v>
      </c>
      <c r="T225" s="265">
        <v>2.5</v>
      </c>
      <c r="U225" s="265">
        <v>2.34</v>
      </c>
      <c r="V225" s="259" t="s">
        <v>3028</v>
      </c>
      <c r="W225" s="259" t="s">
        <v>3029</v>
      </c>
      <c r="X225" s="269" t="s">
        <v>3663</v>
      </c>
      <c r="Y225" s="259">
        <v>224</v>
      </c>
      <c r="Z225" s="259" t="s">
        <v>3030</v>
      </c>
      <c r="AA225" s="259"/>
      <c r="AB225" s="259"/>
      <c r="AC225" s="259"/>
      <c r="AD225" s="259"/>
      <c r="AE225" s="259"/>
    </row>
    <row r="226" spans="1:31">
      <c r="A226" s="259" t="s">
        <v>382</v>
      </c>
      <c r="B226" s="259" t="s">
        <v>1</v>
      </c>
      <c r="C226" s="264" t="s">
        <v>3215</v>
      </c>
      <c r="D226" s="264" t="s">
        <v>3664</v>
      </c>
      <c r="E226" s="259" t="s">
        <v>3556</v>
      </c>
      <c r="H226" s="264" t="s">
        <v>3653</v>
      </c>
      <c r="I226" s="264" t="s">
        <v>3661</v>
      </c>
      <c r="J226" s="295">
        <v>342.85</v>
      </c>
      <c r="K226" s="295">
        <v>236</v>
      </c>
      <c r="L226" s="295">
        <v>171.43</v>
      </c>
      <c r="O226" s="266">
        <v>12</v>
      </c>
      <c r="P226" s="266">
        <v>885038038887</v>
      </c>
      <c r="Q226" s="266" t="s">
        <v>3665</v>
      </c>
      <c r="R226" s="265">
        <v>11.5</v>
      </c>
      <c r="S226" s="265">
        <v>11.5</v>
      </c>
      <c r="T226" s="265">
        <v>2.5</v>
      </c>
      <c r="U226" s="265">
        <v>2.34</v>
      </c>
      <c r="V226" s="259" t="s">
        <v>3028</v>
      </c>
      <c r="W226" s="259" t="s">
        <v>3029</v>
      </c>
      <c r="X226" s="269" t="s">
        <v>3666</v>
      </c>
      <c r="Y226" s="259">
        <v>225</v>
      </c>
      <c r="Z226" s="259" t="s">
        <v>3030</v>
      </c>
      <c r="AA226" s="259"/>
      <c r="AB226" s="259"/>
      <c r="AC226" s="259"/>
      <c r="AD226" s="259"/>
      <c r="AE226" s="259"/>
    </row>
    <row r="227" spans="1:31">
      <c r="A227" s="259" t="s">
        <v>383</v>
      </c>
      <c r="B227" s="259" t="s">
        <v>1</v>
      </c>
      <c r="C227" s="264" t="s">
        <v>3215</v>
      </c>
      <c r="D227" s="264" t="s">
        <v>3667</v>
      </c>
      <c r="E227" s="259" t="s">
        <v>3556</v>
      </c>
      <c r="H227" s="264" t="s">
        <v>3653</v>
      </c>
      <c r="I227" s="264" t="s">
        <v>3668</v>
      </c>
      <c r="J227" s="295">
        <v>329.01</v>
      </c>
      <c r="K227" s="295">
        <v>236</v>
      </c>
      <c r="L227" s="295">
        <v>171.43</v>
      </c>
      <c r="O227" s="266">
        <v>12</v>
      </c>
      <c r="P227" s="266">
        <v>885038038894</v>
      </c>
      <c r="Q227" s="266" t="s">
        <v>3669</v>
      </c>
      <c r="R227" s="265">
        <v>11.5</v>
      </c>
      <c r="S227" s="265">
        <v>11.5</v>
      </c>
      <c r="T227" s="265">
        <v>2.5</v>
      </c>
      <c r="U227" s="265">
        <v>2.34</v>
      </c>
      <c r="V227" s="259" t="s">
        <v>3028</v>
      </c>
      <c r="W227" s="259" t="s">
        <v>3029</v>
      </c>
      <c r="X227" s="269" t="s">
        <v>3670</v>
      </c>
      <c r="Y227" s="259">
        <v>226</v>
      </c>
      <c r="Z227" s="259" t="s">
        <v>3030</v>
      </c>
      <c r="AA227" s="259"/>
      <c r="AB227" s="259"/>
      <c r="AC227" s="259"/>
      <c r="AD227" s="259"/>
      <c r="AE227" s="259"/>
    </row>
    <row r="228" spans="1:31">
      <c r="A228" s="259" t="s">
        <v>384</v>
      </c>
      <c r="B228" s="259" t="s">
        <v>1</v>
      </c>
      <c r="C228" s="264" t="s">
        <v>3215</v>
      </c>
      <c r="D228" s="264" t="s">
        <v>3671</v>
      </c>
      <c r="E228" s="259" t="s">
        <v>3556</v>
      </c>
      <c r="H228" s="264" t="s">
        <v>3653</v>
      </c>
      <c r="I228" s="264" t="s">
        <v>3668</v>
      </c>
      <c r="J228" s="295">
        <v>329.01</v>
      </c>
      <c r="K228" s="295">
        <v>236</v>
      </c>
      <c r="L228" s="295">
        <v>171.43</v>
      </c>
      <c r="O228" s="266">
        <v>12</v>
      </c>
      <c r="P228" s="266">
        <v>885038038900</v>
      </c>
      <c r="Q228" s="266" t="s">
        <v>3672</v>
      </c>
      <c r="R228" s="265">
        <v>11.5</v>
      </c>
      <c r="S228" s="265">
        <v>11.5</v>
      </c>
      <c r="T228" s="265">
        <v>2.5</v>
      </c>
      <c r="U228" s="265">
        <v>2.34</v>
      </c>
      <c r="V228" s="259" t="s">
        <v>3028</v>
      </c>
      <c r="W228" s="259" t="s">
        <v>3029</v>
      </c>
      <c r="X228" s="269" t="s">
        <v>3673</v>
      </c>
      <c r="Y228" s="259">
        <v>227</v>
      </c>
      <c r="Z228" s="259" t="s">
        <v>3030</v>
      </c>
      <c r="AA228" s="259"/>
      <c r="AB228" s="259"/>
      <c r="AC228" s="259"/>
      <c r="AD228" s="259"/>
      <c r="AE228" s="259"/>
    </row>
    <row r="229" spans="1:31">
      <c r="A229" s="259" t="s">
        <v>385</v>
      </c>
      <c r="B229" s="259" t="s">
        <v>1</v>
      </c>
      <c r="C229" s="264"/>
      <c r="D229" s="264"/>
      <c r="H229" s="264"/>
      <c r="I229" s="264"/>
      <c r="J229" s="295">
        <v>0</v>
      </c>
      <c r="K229" s="295">
        <v>0</v>
      </c>
      <c r="L229" s="295">
        <v>0</v>
      </c>
      <c r="O229" s="266"/>
      <c r="R229" s="265"/>
      <c r="V229" s="259"/>
      <c r="X229" s="269"/>
      <c r="Y229" s="259">
        <v>228</v>
      </c>
      <c r="AA229" s="259"/>
      <c r="AB229" s="259"/>
      <c r="AC229" s="259"/>
      <c r="AD229" s="259"/>
      <c r="AE229" s="259"/>
    </row>
    <row r="230" spans="1:31">
      <c r="A230" s="259" t="s">
        <v>386</v>
      </c>
      <c r="B230" s="259" t="s">
        <v>1</v>
      </c>
      <c r="C230" s="264" t="s">
        <v>3215</v>
      </c>
      <c r="D230" s="264" t="s">
        <v>3674</v>
      </c>
      <c r="E230" s="259" t="s">
        <v>3675</v>
      </c>
      <c r="H230" s="264" t="s">
        <v>3676</v>
      </c>
      <c r="I230" s="264" t="s">
        <v>3677</v>
      </c>
      <c r="J230" s="295">
        <v>226.89</v>
      </c>
      <c r="K230" s="295">
        <v>181</v>
      </c>
      <c r="L230" s="295">
        <v>134.69</v>
      </c>
      <c r="O230" s="266"/>
      <c r="P230" s="266">
        <v>885038036166</v>
      </c>
      <c r="Q230" s="266">
        <v>9002761036169</v>
      </c>
      <c r="R230" s="265">
        <v>18</v>
      </c>
      <c r="S230" s="265">
        <v>19</v>
      </c>
      <c r="T230" s="265">
        <v>15</v>
      </c>
      <c r="U230" s="265">
        <v>0.4</v>
      </c>
      <c r="V230" s="259" t="s">
        <v>3028</v>
      </c>
      <c r="W230" s="259" t="s">
        <v>3029</v>
      </c>
      <c r="X230" s="269" t="s">
        <v>3678</v>
      </c>
      <c r="Y230" s="259">
        <v>229</v>
      </c>
      <c r="Z230" s="259" t="s">
        <v>3030</v>
      </c>
      <c r="AA230" s="259"/>
      <c r="AB230" s="259"/>
      <c r="AC230" s="259"/>
      <c r="AD230" s="259"/>
      <c r="AE230" s="259"/>
    </row>
    <row r="231" spans="1:31">
      <c r="A231" s="259" t="s">
        <v>387</v>
      </c>
      <c r="B231" s="259" t="s">
        <v>1</v>
      </c>
      <c r="C231" s="264" t="s">
        <v>3215</v>
      </c>
      <c r="D231" s="264" t="s">
        <v>3679</v>
      </c>
      <c r="E231" s="259" t="s">
        <v>3675</v>
      </c>
      <c r="H231" s="264" t="s">
        <v>3676</v>
      </c>
      <c r="I231" s="264" t="s">
        <v>3680</v>
      </c>
      <c r="J231" s="295">
        <v>166.86</v>
      </c>
      <c r="K231" s="295">
        <v>129</v>
      </c>
      <c r="L231" s="295">
        <v>97.96</v>
      </c>
      <c r="O231" s="266"/>
      <c r="P231" s="266">
        <v>885038036258</v>
      </c>
      <c r="Q231" s="266">
        <v>9002761036251</v>
      </c>
      <c r="R231" s="265">
        <v>2.25</v>
      </c>
      <c r="S231" s="265">
        <v>14</v>
      </c>
      <c r="T231" s="265">
        <v>9</v>
      </c>
      <c r="U231" s="265">
        <v>0.4</v>
      </c>
      <c r="V231" s="259" t="s">
        <v>3028</v>
      </c>
      <c r="W231" s="259" t="s">
        <v>3029</v>
      </c>
      <c r="X231" s="269" t="s">
        <v>3681</v>
      </c>
      <c r="Y231" s="259">
        <v>230</v>
      </c>
      <c r="Z231" s="259" t="s">
        <v>3030</v>
      </c>
      <c r="AA231" s="259"/>
      <c r="AB231" s="259"/>
      <c r="AC231" s="259"/>
      <c r="AD231" s="259"/>
      <c r="AE231" s="259"/>
    </row>
    <row r="232" spans="1:31">
      <c r="A232" s="259" t="s">
        <v>388</v>
      </c>
      <c r="B232" s="259" t="s">
        <v>1</v>
      </c>
      <c r="C232" s="264" t="s">
        <v>3215</v>
      </c>
      <c r="D232" s="264" t="s">
        <v>3682</v>
      </c>
      <c r="E232" s="259" t="s">
        <v>3675</v>
      </c>
      <c r="H232" s="264" t="s">
        <v>3676</v>
      </c>
      <c r="I232" s="264" t="s">
        <v>3683</v>
      </c>
      <c r="J232" s="295">
        <v>527</v>
      </c>
      <c r="K232" s="295">
        <v>422</v>
      </c>
      <c r="L232" s="295">
        <v>312.24</v>
      </c>
      <c r="O232" s="266"/>
      <c r="P232" s="266">
        <v>885038036340</v>
      </c>
      <c r="Q232" s="266">
        <v>9002761036343</v>
      </c>
      <c r="R232" s="265">
        <v>14</v>
      </c>
      <c r="S232" s="265">
        <v>17</v>
      </c>
      <c r="T232" s="265">
        <v>17</v>
      </c>
      <c r="U232" s="265">
        <v>3.2</v>
      </c>
      <c r="V232" s="259" t="s">
        <v>3028</v>
      </c>
      <c r="W232" s="259" t="s">
        <v>3029</v>
      </c>
      <c r="X232" s="269" t="s">
        <v>3684</v>
      </c>
      <c r="Y232" s="259">
        <v>231</v>
      </c>
      <c r="Z232" s="259" t="s">
        <v>3030</v>
      </c>
      <c r="AA232" s="259"/>
      <c r="AB232" s="259"/>
      <c r="AC232" s="259"/>
      <c r="AD232" s="259"/>
      <c r="AE232" s="259"/>
    </row>
    <row r="233" spans="1:31">
      <c r="A233" s="259" t="s">
        <v>389</v>
      </c>
      <c r="B233" s="259" t="s">
        <v>1</v>
      </c>
      <c r="C233" s="264" t="s">
        <v>3215</v>
      </c>
      <c r="D233" s="264" t="s">
        <v>3685</v>
      </c>
      <c r="E233" s="259" t="s">
        <v>3675</v>
      </c>
      <c r="H233" s="264" t="s">
        <v>3676</v>
      </c>
      <c r="I233" s="264" t="s">
        <v>3683</v>
      </c>
      <c r="J233" s="295">
        <v>454.98</v>
      </c>
      <c r="K233" s="295">
        <v>356</v>
      </c>
      <c r="L233" s="295">
        <v>266.94</v>
      </c>
      <c r="O233" s="266"/>
      <c r="P233" s="266">
        <v>885038036432</v>
      </c>
      <c r="Q233" s="266">
        <v>9002761036435</v>
      </c>
      <c r="R233" s="265">
        <v>14</v>
      </c>
      <c r="S233" s="265">
        <v>17.5</v>
      </c>
      <c r="T233" s="265">
        <v>17</v>
      </c>
      <c r="U233" s="265">
        <v>3.2</v>
      </c>
      <c r="V233" s="259" t="s">
        <v>3028</v>
      </c>
      <c r="W233" s="259" t="s">
        <v>3029</v>
      </c>
      <c r="X233" s="269" t="s">
        <v>3686</v>
      </c>
      <c r="Y233" s="259">
        <v>232</v>
      </c>
      <c r="Z233" s="259" t="s">
        <v>3030</v>
      </c>
      <c r="AA233" s="259"/>
      <c r="AB233" s="259"/>
      <c r="AC233" s="259"/>
      <c r="AD233" s="259"/>
      <c r="AE233" s="259"/>
    </row>
    <row r="234" spans="1:31">
      <c r="A234" s="259" t="s">
        <v>390</v>
      </c>
      <c r="B234" s="259" t="s">
        <v>1</v>
      </c>
      <c r="C234" s="264" t="s">
        <v>3215</v>
      </c>
      <c r="D234" s="264" t="s">
        <v>3687</v>
      </c>
      <c r="E234" s="259" t="s">
        <v>3675</v>
      </c>
      <c r="H234" s="264" t="s">
        <v>3676</v>
      </c>
      <c r="I234" s="264" t="s">
        <v>3683</v>
      </c>
      <c r="J234" s="295">
        <v>454.98</v>
      </c>
      <c r="K234" s="295">
        <v>356</v>
      </c>
      <c r="L234" s="295">
        <v>266.94</v>
      </c>
      <c r="O234" s="266"/>
      <c r="P234" s="266">
        <v>885038036524</v>
      </c>
      <c r="Q234" s="266">
        <v>9002761036527</v>
      </c>
      <c r="R234" s="265">
        <v>14</v>
      </c>
      <c r="S234" s="265">
        <v>17.5</v>
      </c>
      <c r="T234" s="265">
        <v>17</v>
      </c>
      <c r="U234" s="265">
        <v>3.2</v>
      </c>
      <c r="V234" s="259" t="s">
        <v>3028</v>
      </c>
      <c r="W234" s="259" t="s">
        <v>3029</v>
      </c>
      <c r="X234" s="269" t="s">
        <v>3688</v>
      </c>
      <c r="Y234" s="259">
        <v>233</v>
      </c>
      <c r="Z234" s="259" t="s">
        <v>3030</v>
      </c>
      <c r="AA234" s="259"/>
      <c r="AB234" s="259"/>
      <c r="AC234" s="259"/>
      <c r="AD234" s="259"/>
      <c r="AE234" s="259"/>
    </row>
    <row r="235" spans="1:31">
      <c r="A235" s="259" t="s">
        <v>391</v>
      </c>
      <c r="B235" s="259" t="s">
        <v>1</v>
      </c>
      <c r="C235" s="264" t="s">
        <v>3215</v>
      </c>
      <c r="D235" s="264" t="s">
        <v>3689</v>
      </c>
      <c r="E235" s="259" t="s">
        <v>3675</v>
      </c>
      <c r="H235" s="264" t="s">
        <v>3676</v>
      </c>
      <c r="I235" s="264" t="s">
        <v>3683</v>
      </c>
      <c r="J235" s="295">
        <v>454.98</v>
      </c>
      <c r="K235" s="295">
        <v>356</v>
      </c>
      <c r="L235" s="295">
        <v>269.38</v>
      </c>
      <c r="O235" s="266"/>
      <c r="P235" s="266">
        <v>885038036616</v>
      </c>
      <c r="Q235" s="266">
        <v>9002761036619</v>
      </c>
      <c r="R235" s="265">
        <v>14</v>
      </c>
      <c r="S235" s="265">
        <v>17</v>
      </c>
      <c r="T235" s="265">
        <v>17</v>
      </c>
      <c r="U235" s="265">
        <v>3.2</v>
      </c>
      <c r="V235" s="259" t="s">
        <v>3028</v>
      </c>
      <c r="W235" s="259" t="s">
        <v>3029</v>
      </c>
      <c r="X235" s="269" t="s">
        <v>3690</v>
      </c>
      <c r="Y235" s="259">
        <v>234</v>
      </c>
      <c r="Z235" s="259" t="s">
        <v>3030</v>
      </c>
      <c r="AA235" s="259"/>
      <c r="AB235" s="259"/>
      <c r="AC235" s="259"/>
      <c r="AD235" s="259"/>
      <c r="AE235" s="259"/>
    </row>
    <row r="236" spans="1:31">
      <c r="A236" s="259" t="s">
        <v>392</v>
      </c>
      <c r="B236" s="259" t="s">
        <v>1</v>
      </c>
      <c r="C236" s="264"/>
      <c r="D236" s="264"/>
      <c r="H236" s="264"/>
      <c r="I236" s="264"/>
      <c r="J236" s="295">
        <v>0</v>
      </c>
      <c r="K236" s="295">
        <v>0</v>
      </c>
      <c r="L236" s="295">
        <v>0</v>
      </c>
      <c r="O236" s="266"/>
      <c r="R236" s="265"/>
      <c r="V236" s="259"/>
      <c r="X236" s="269"/>
      <c r="Y236" s="259">
        <v>235</v>
      </c>
      <c r="AA236" s="259"/>
      <c r="AB236" s="259"/>
      <c r="AC236" s="259"/>
      <c r="AD236" s="259"/>
      <c r="AE236" s="259"/>
    </row>
    <row r="237" spans="1:31">
      <c r="A237" s="259" t="s">
        <v>393</v>
      </c>
      <c r="B237" s="259" t="s">
        <v>1</v>
      </c>
      <c r="C237" s="264" t="s">
        <v>3215</v>
      </c>
      <c r="D237" s="264" t="s">
        <v>3691</v>
      </c>
      <c r="E237" s="259">
        <v>81200200</v>
      </c>
      <c r="H237" s="264" t="s">
        <v>3692</v>
      </c>
      <c r="I237" s="264" t="s">
        <v>3693</v>
      </c>
      <c r="J237" s="295">
        <v>454.98</v>
      </c>
      <c r="K237" s="295">
        <v>356</v>
      </c>
      <c r="L237" s="295">
        <v>244.89</v>
      </c>
      <c r="O237" s="266"/>
      <c r="P237" s="266">
        <v>885038029410</v>
      </c>
      <c r="Q237" s="266">
        <v>9002761029413</v>
      </c>
      <c r="R237" s="265">
        <v>3</v>
      </c>
      <c r="S237" s="265">
        <v>14</v>
      </c>
      <c r="T237" s="265">
        <v>10</v>
      </c>
      <c r="U237" s="265">
        <v>14.2</v>
      </c>
      <c r="V237" s="259" t="s">
        <v>3028</v>
      </c>
      <c r="W237" s="259" t="s">
        <v>3029</v>
      </c>
      <c r="X237" s="269" t="s">
        <v>3694</v>
      </c>
      <c r="Y237" s="259">
        <v>236</v>
      </c>
      <c r="Z237" s="259" t="s">
        <v>3030</v>
      </c>
      <c r="AA237" s="259"/>
      <c r="AB237" s="259"/>
      <c r="AC237" s="259"/>
      <c r="AD237" s="259"/>
      <c r="AE237" s="259"/>
    </row>
    <row r="238" spans="1:31">
      <c r="A238" s="259" t="s">
        <v>394</v>
      </c>
      <c r="B238" s="259" t="s">
        <v>1</v>
      </c>
      <c r="C238" s="264" t="s">
        <v>3215</v>
      </c>
      <c r="D238" s="264" t="s">
        <v>3695</v>
      </c>
      <c r="E238" s="259" t="s">
        <v>3675</v>
      </c>
      <c r="H238" s="264" t="s">
        <v>3692</v>
      </c>
      <c r="I238" s="264" t="s">
        <v>3693</v>
      </c>
      <c r="J238" s="295">
        <v>454.98</v>
      </c>
      <c r="K238" s="295">
        <v>356</v>
      </c>
      <c r="L238" s="295">
        <v>244.89</v>
      </c>
      <c r="O238" s="266"/>
      <c r="P238" s="266">
        <v>885038029427</v>
      </c>
      <c r="Q238" s="266">
        <v>9002761029420</v>
      </c>
      <c r="R238" s="265">
        <v>3</v>
      </c>
      <c r="S238" s="265">
        <v>10</v>
      </c>
      <c r="T238" s="265">
        <v>14.5</v>
      </c>
      <c r="U238" s="265">
        <v>14.2</v>
      </c>
      <c r="V238" s="259" t="s">
        <v>3028</v>
      </c>
      <c r="W238" s="259" t="s">
        <v>3029</v>
      </c>
      <c r="X238" s="269" t="s">
        <v>3696</v>
      </c>
      <c r="Y238" s="259">
        <v>237</v>
      </c>
      <c r="Z238" s="259" t="s">
        <v>3030</v>
      </c>
      <c r="AA238" s="259"/>
      <c r="AB238" s="259"/>
      <c r="AC238" s="259"/>
      <c r="AD238" s="259"/>
      <c r="AE238" s="259"/>
    </row>
    <row r="239" spans="1:31">
      <c r="A239" s="259" t="s">
        <v>395</v>
      </c>
      <c r="B239" s="259" t="s">
        <v>1</v>
      </c>
      <c r="C239" s="264" t="s">
        <v>3215</v>
      </c>
      <c r="D239" s="264" t="s">
        <v>3697</v>
      </c>
      <c r="E239" s="259" t="s">
        <v>3675</v>
      </c>
      <c r="H239" s="264" t="s">
        <v>3692</v>
      </c>
      <c r="I239" s="264" t="s">
        <v>3698</v>
      </c>
      <c r="J239" s="295">
        <v>346.93</v>
      </c>
      <c r="K239" s="295">
        <v>278</v>
      </c>
      <c r="L239" s="295">
        <v>195.92</v>
      </c>
      <c r="O239" s="266">
        <v>12</v>
      </c>
      <c r="P239" s="266">
        <v>885038029526</v>
      </c>
      <c r="Q239" s="266">
        <v>9002761029529</v>
      </c>
      <c r="R239" s="265">
        <v>9.5</v>
      </c>
      <c r="S239" s="265">
        <v>14</v>
      </c>
      <c r="T239" s="265">
        <v>2.5</v>
      </c>
      <c r="U239" s="265">
        <v>14.2</v>
      </c>
      <c r="V239" s="259" t="s">
        <v>3028</v>
      </c>
      <c r="W239" s="259" t="s">
        <v>3029</v>
      </c>
      <c r="X239" s="269" t="s">
        <v>3699</v>
      </c>
      <c r="Y239" s="259">
        <v>238</v>
      </c>
      <c r="Z239" s="259" t="s">
        <v>3030</v>
      </c>
      <c r="AA239" s="259"/>
      <c r="AB239" s="259"/>
      <c r="AC239" s="259"/>
      <c r="AD239" s="259"/>
      <c r="AE239" s="259"/>
    </row>
    <row r="240" spans="1:31">
      <c r="A240" s="259" t="s">
        <v>396</v>
      </c>
      <c r="B240" s="259" t="s">
        <v>1</v>
      </c>
      <c r="C240" s="264" t="s">
        <v>3215</v>
      </c>
      <c r="D240" s="264" t="s">
        <v>3700</v>
      </c>
      <c r="E240" s="259" t="s">
        <v>3675</v>
      </c>
      <c r="H240" s="264" t="s">
        <v>3692</v>
      </c>
      <c r="I240" s="264" t="s">
        <v>3698</v>
      </c>
      <c r="J240" s="295">
        <v>346.93</v>
      </c>
      <c r="K240" s="295">
        <v>278</v>
      </c>
      <c r="L240" s="295">
        <v>195.92</v>
      </c>
      <c r="O240" s="266">
        <v>12</v>
      </c>
      <c r="P240" s="266">
        <v>885038029533</v>
      </c>
      <c r="Q240" s="266">
        <v>9002761029536</v>
      </c>
      <c r="R240" s="265">
        <v>3</v>
      </c>
      <c r="S240" s="265">
        <v>10</v>
      </c>
      <c r="T240" s="265">
        <v>14</v>
      </c>
      <c r="U240" s="265">
        <v>14.2</v>
      </c>
      <c r="V240" s="259" t="s">
        <v>3028</v>
      </c>
      <c r="W240" s="259" t="s">
        <v>3029</v>
      </c>
      <c r="X240" s="269" t="s">
        <v>3701</v>
      </c>
      <c r="Y240" s="259">
        <v>239</v>
      </c>
      <c r="Z240" s="259" t="s">
        <v>3030</v>
      </c>
      <c r="AA240" s="259"/>
      <c r="AB240" s="259"/>
      <c r="AC240" s="259"/>
      <c r="AD240" s="259"/>
      <c r="AE240" s="259"/>
    </row>
    <row r="241" spans="1:31">
      <c r="A241" s="259" t="s">
        <v>397</v>
      </c>
      <c r="B241" s="259" t="s">
        <v>1</v>
      </c>
      <c r="C241" s="264" t="s">
        <v>3215</v>
      </c>
      <c r="D241" s="264" t="s">
        <v>3702</v>
      </c>
      <c r="E241" s="259" t="s">
        <v>3675</v>
      </c>
      <c r="H241" s="264" t="s">
        <v>3692</v>
      </c>
      <c r="I241" s="264" t="s">
        <v>3703</v>
      </c>
      <c r="J241" s="295">
        <v>442.97</v>
      </c>
      <c r="K241" s="295">
        <v>346</v>
      </c>
      <c r="L241" s="295">
        <v>232.65</v>
      </c>
      <c r="O241" s="266">
        <v>12</v>
      </c>
      <c r="P241" s="266">
        <v>885038029618</v>
      </c>
      <c r="Q241" s="266">
        <v>9002761029611</v>
      </c>
      <c r="R241" s="265">
        <v>2.5</v>
      </c>
      <c r="S241" s="265">
        <v>14</v>
      </c>
      <c r="T241" s="265">
        <v>9</v>
      </c>
      <c r="U241" s="265">
        <v>2.4</v>
      </c>
      <c r="V241" s="259" t="s">
        <v>3028</v>
      </c>
      <c r="W241" s="259" t="s">
        <v>3029</v>
      </c>
      <c r="X241" s="269" t="s">
        <v>3704</v>
      </c>
      <c r="Y241" s="259">
        <v>240</v>
      </c>
      <c r="Z241" s="259" t="s">
        <v>3030</v>
      </c>
      <c r="AA241" s="259"/>
      <c r="AB241" s="259"/>
      <c r="AC241" s="259"/>
      <c r="AD241" s="259"/>
      <c r="AE241" s="259"/>
    </row>
    <row r="242" spans="1:31">
      <c r="A242" s="259" t="s">
        <v>398</v>
      </c>
      <c r="B242" s="259" t="s">
        <v>1</v>
      </c>
      <c r="C242" s="264" t="s">
        <v>3215</v>
      </c>
      <c r="D242" s="264" t="s">
        <v>3705</v>
      </c>
      <c r="E242" s="259" t="s">
        <v>3675</v>
      </c>
      <c r="H242" s="264" t="s">
        <v>3692</v>
      </c>
      <c r="I242" s="264" t="s">
        <v>3703</v>
      </c>
      <c r="J242" s="295">
        <v>442.97</v>
      </c>
      <c r="K242" s="295">
        <v>346</v>
      </c>
      <c r="L242" s="295">
        <v>232.65</v>
      </c>
      <c r="O242" s="266">
        <v>12</v>
      </c>
      <c r="P242" s="266">
        <v>885038029625</v>
      </c>
      <c r="Q242" s="266">
        <v>9002761029628</v>
      </c>
      <c r="R242" s="265">
        <v>8</v>
      </c>
      <c r="S242" s="265">
        <v>11</v>
      </c>
      <c r="T242" s="265">
        <v>15</v>
      </c>
      <c r="U242" s="265">
        <v>2.4</v>
      </c>
      <c r="V242" s="259" t="s">
        <v>3028</v>
      </c>
      <c r="W242" s="259" t="s">
        <v>3029</v>
      </c>
      <c r="X242" s="269" t="s">
        <v>3706</v>
      </c>
      <c r="Y242" s="259">
        <v>241</v>
      </c>
      <c r="Z242" s="259" t="s">
        <v>3030</v>
      </c>
      <c r="AA242" s="259"/>
      <c r="AB242" s="259"/>
      <c r="AC242" s="259"/>
      <c r="AD242" s="259"/>
      <c r="AE242" s="259"/>
    </row>
    <row r="243" spans="1:31">
      <c r="A243" s="259" t="s">
        <v>399</v>
      </c>
      <c r="B243" s="259" t="s">
        <v>1</v>
      </c>
      <c r="C243" s="264" t="s">
        <v>3215</v>
      </c>
      <c r="D243" s="264" t="s">
        <v>3707</v>
      </c>
      <c r="E243" s="259" t="s">
        <v>3675</v>
      </c>
      <c r="H243" s="264" t="s">
        <v>3692</v>
      </c>
      <c r="I243" s="264" t="s">
        <v>3708</v>
      </c>
      <c r="J243" s="295">
        <v>346.93</v>
      </c>
      <c r="K243" s="295">
        <v>278</v>
      </c>
      <c r="L243" s="295">
        <v>195.92</v>
      </c>
      <c r="O243" s="266">
        <v>12</v>
      </c>
      <c r="P243" s="266">
        <v>885038029717</v>
      </c>
      <c r="Q243" s="266">
        <v>9002761029710</v>
      </c>
      <c r="R243" s="265">
        <v>2.4</v>
      </c>
      <c r="S243" s="265">
        <v>14</v>
      </c>
      <c r="T243" s="265">
        <v>9.25</v>
      </c>
      <c r="U243" s="265">
        <v>14.2</v>
      </c>
      <c r="V243" s="259" t="s">
        <v>3028</v>
      </c>
      <c r="W243" s="259" t="s">
        <v>3029</v>
      </c>
      <c r="X243" s="269" t="s">
        <v>3709</v>
      </c>
      <c r="Y243" s="259">
        <v>242</v>
      </c>
      <c r="Z243" s="259" t="s">
        <v>3030</v>
      </c>
      <c r="AA243" s="259"/>
      <c r="AB243" s="259"/>
      <c r="AC243" s="259"/>
      <c r="AD243" s="259"/>
      <c r="AE243" s="259"/>
    </row>
    <row r="244" spans="1:31">
      <c r="A244" s="259" t="s">
        <v>400</v>
      </c>
      <c r="B244" s="259" t="s">
        <v>1</v>
      </c>
      <c r="C244" s="264" t="s">
        <v>3215</v>
      </c>
      <c r="D244" s="264" t="s">
        <v>3710</v>
      </c>
      <c r="E244" s="259" t="s">
        <v>3675</v>
      </c>
      <c r="H244" s="264" t="s">
        <v>3692</v>
      </c>
      <c r="I244" s="264" t="s">
        <v>3708</v>
      </c>
      <c r="J244" s="295">
        <v>346.93</v>
      </c>
      <c r="K244" s="295">
        <v>278</v>
      </c>
      <c r="L244" s="295">
        <v>195.92</v>
      </c>
      <c r="O244" s="266">
        <v>12</v>
      </c>
      <c r="P244" s="266">
        <v>885038029724</v>
      </c>
      <c r="Q244" s="266">
        <v>9002761029727</v>
      </c>
      <c r="R244" s="265">
        <v>3</v>
      </c>
      <c r="S244" s="265">
        <v>9</v>
      </c>
      <c r="T244" s="265">
        <v>14</v>
      </c>
      <c r="U244" s="265">
        <v>14.2</v>
      </c>
      <c r="V244" s="259" t="s">
        <v>3028</v>
      </c>
      <c r="W244" s="259" t="s">
        <v>3029</v>
      </c>
      <c r="X244" s="269" t="s">
        <v>3711</v>
      </c>
      <c r="Y244" s="259">
        <v>243</v>
      </c>
      <c r="Z244" s="259" t="s">
        <v>3030</v>
      </c>
      <c r="AA244" s="259"/>
      <c r="AB244" s="259"/>
      <c r="AC244" s="259"/>
      <c r="AD244" s="259"/>
      <c r="AE244" s="259"/>
    </row>
    <row r="245" spans="1:31">
      <c r="A245" s="259" t="s">
        <v>401</v>
      </c>
      <c r="B245" s="259" t="s">
        <v>1</v>
      </c>
      <c r="C245" s="264" t="s">
        <v>3215</v>
      </c>
      <c r="D245" s="264" t="s">
        <v>3712</v>
      </c>
      <c r="E245" s="259" t="s">
        <v>3675</v>
      </c>
      <c r="H245" s="264" t="s">
        <v>3692</v>
      </c>
      <c r="I245" s="264" t="s">
        <v>3713</v>
      </c>
      <c r="J245" s="295">
        <v>755.09</v>
      </c>
      <c r="K245" s="295">
        <v>603</v>
      </c>
      <c r="L245" s="295">
        <v>416.32</v>
      </c>
      <c r="O245" s="266">
        <v>5</v>
      </c>
      <c r="P245" s="266">
        <v>885038029847</v>
      </c>
      <c r="Q245" s="266">
        <v>9002761029840</v>
      </c>
      <c r="R245" s="265">
        <v>4</v>
      </c>
      <c r="S245" s="265">
        <v>17</v>
      </c>
      <c r="T245" s="265">
        <v>13</v>
      </c>
      <c r="U245" s="265">
        <v>3.2</v>
      </c>
      <c r="V245" s="259" t="s">
        <v>3028</v>
      </c>
      <c r="W245" s="259" t="s">
        <v>3029</v>
      </c>
      <c r="X245" s="269" t="s">
        <v>3714</v>
      </c>
      <c r="Y245" s="259">
        <v>244</v>
      </c>
      <c r="Z245" s="259" t="s">
        <v>3030</v>
      </c>
      <c r="AA245" s="259"/>
      <c r="AB245" s="259"/>
      <c r="AC245" s="259"/>
      <c r="AD245" s="259"/>
      <c r="AE245" s="259"/>
    </row>
    <row r="246" spans="1:31">
      <c r="A246" s="259" t="s">
        <v>402</v>
      </c>
      <c r="B246" s="259" t="s">
        <v>1</v>
      </c>
      <c r="C246" s="264" t="s">
        <v>3215</v>
      </c>
      <c r="D246" s="264" t="s">
        <v>3715</v>
      </c>
      <c r="E246" s="259" t="s">
        <v>3675</v>
      </c>
      <c r="H246" s="264" t="s">
        <v>3692</v>
      </c>
      <c r="I246" s="264" t="s">
        <v>3713</v>
      </c>
      <c r="J246" s="295">
        <v>755.09</v>
      </c>
      <c r="K246" s="295">
        <v>603</v>
      </c>
      <c r="L246" s="295">
        <v>416.32</v>
      </c>
      <c r="O246" s="266">
        <v>5</v>
      </c>
      <c r="P246" s="266">
        <v>885038029854</v>
      </c>
      <c r="Q246" s="266">
        <v>9002761029857</v>
      </c>
      <c r="R246" s="265">
        <v>5</v>
      </c>
      <c r="S246" s="265">
        <v>20</v>
      </c>
      <c r="T246" s="265">
        <v>17</v>
      </c>
      <c r="U246" s="265">
        <v>3.2</v>
      </c>
      <c r="V246" s="259" t="s">
        <v>3028</v>
      </c>
      <c r="W246" s="259" t="s">
        <v>3029</v>
      </c>
      <c r="X246" s="269" t="s">
        <v>3716</v>
      </c>
      <c r="Y246" s="259">
        <v>245</v>
      </c>
      <c r="Z246" s="259" t="s">
        <v>3030</v>
      </c>
      <c r="AA246" s="259"/>
      <c r="AB246" s="259"/>
      <c r="AC246" s="259"/>
      <c r="AD246" s="259"/>
      <c r="AE246" s="259"/>
    </row>
    <row r="247" spans="1:31">
      <c r="A247" s="259" t="s">
        <v>403</v>
      </c>
      <c r="B247" s="259" t="s">
        <v>1</v>
      </c>
      <c r="C247" s="264" t="s">
        <v>3215</v>
      </c>
      <c r="D247" s="264" t="s">
        <v>3717</v>
      </c>
      <c r="E247" s="259" t="s">
        <v>3675</v>
      </c>
      <c r="H247" s="264" t="s">
        <v>3692</v>
      </c>
      <c r="I247" s="264" t="s">
        <v>3718</v>
      </c>
      <c r="J247" s="295">
        <v>827.12</v>
      </c>
      <c r="K247" s="295">
        <v>659</v>
      </c>
      <c r="L247" s="295">
        <v>453.06</v>
      </c>
      <c r="O247" s="266">
        <v>5</v>
      </c>
      <c r="P247" s="266">
        <v>885038029946</v>
      </c>
      <c r="Q247" s="266">
        <v>9002761029949</v>
      </c>
      <c r="R247" s="265">
        <v>4</v>
      </c>
      <c r="S247" s="265">
        <v>4</v>
      </c>
      <c r="T247" s="265">
        <v>17</v>
      </c>
      <c r="U247" s="265">
        <v>3.2</v>
      </c>
      <c r="V247" s="259" t="s">
        <v>3028</v>
      </c>
      <c r="W247" s="259" t="s">
        <v>3029</v>
      </c>
      <c r="X247" s="269" t="s">
        <v>3719</v>
      </c>
      <c r="Y247" s="259">
        <v>246</v>
      </c>
      <c r="Z247" s="259" t="s">
        <v>3030</v>
      </c>
      <c r="AA247" s="259"/>
      <c r="AB247" s="259"/>
      <c r="AC247" s="259"/>
      <c r="AD247" s="259"/>
      <c r="AE247" s="259"/>
    </row>
    <row r="248" spans="1:31">
      <c r="A248" s="259" t="s">
        <v>404</v>
      </c>
      <c r="B248" s="259" t="s">
        <v>1</v>
      </c>
      <c r="C248" s="264" t="s">
        <v>3215</v>
      </c>
      <c r="D248" s="264" t="s">
        <v>3720</v>
      </c>
      <c r="E248" s="259">
        <v>81200200</v>
      </c>
      <c r="H248" s="264" t="s">
        <v>3692</v>
      </c>
      <c r="I248" s="264" t="s">
        <v>3718</v>
      </c>
      <c r="J248" s="295">
        <v>827.12</v>
      </c>
      <c r="K248" s="295">
        <v>659</v>
      </c>
      <c r="L248" s="295">
        <v>453.06</v>
      </c>
      <c r="O248" s="266">
        <v>5</v>
      </c>
      <c r="P248" s="266">
        <v>885038029953</v>
      </c>
      <c r="Q248" s="266">
        <v>9002761029956</v>
      </c>
      <c r="R248" s="265">
        <v>3</v>
      </c>
      <c r="S248" s="265">
        <v>14</v>
      </c>
      <c r="T248" s="265">
        <v>17</v>
      </c>
      <c r="U248" s="265">
        <v>3.2</v>
      </c>
      <c r="V248" s="259" t="s">
        <v>3028</v>
      </c>
      <c r="W248" s="259" t="s">
        <v>3029</v>
      </c>
      <c r="X248" s="269" t="s">
        <v>3721</v>
      </c>
      <c r="Y248" s="259">
        <v>247</v>
      </c>
      <c r="Z248" s="259" t="s">
        <v>3030</v>
      </c>
      <c r="AA248" s="259"/>
      <c r="AB248" s="259"/>
      <c r="AC248" s="259"/>
      <c r="AD248" s="259"/>
      <c r="AE248" s="259"/>
    </row>
    <row r="249" spans="1:31">
      <c r="A249" s="259" t="s">
        <v>405</v>
      </c>
      <c r="B249" s="259" t="s">
        <v>1</v>
      </c>
      <c r="C249" s="264" t="s">
        <v>3215</v>
      </c>
      <c r="D249" s="264" t="s">
        <v>3722</v>
      </c>
      <c r="E249" s="259" t="s">
        <v>3675</v>
      </c>
      <c r="H249" s="264" t="s">
        <v>3692</v>
      </c>
      <c r="I249" s="264" t="s">
        <v>3723</v>
      </c>
      <c r="J249" s="295">
        <v>755.09</v>
      </c>
      <c r="K249" s="295">
        <v>603</v>
      </c>
      <c r="L249" s="295">
        <v>416.32</v>
      </c>
      <c r="O249" s="266">
        <v>5</v>
      </c>
      <c r="P249" s="266">
        <v>885038030041</v>
      </c>
      <c r="Q249" s="266">
        <v>9002761030044</v>
      </c>
      <c r="R249" s="265">
        <v>7</v>
      </c>
      <c r="S249" s="265">
        <v>42</v>
      </c>
      <c r="T249" s="265">
        <v>6</v>
      </c>
      <c r="U249" s="265">
        <v>3.2</v>
      </c>
      <c r="V249" s="259" t="s">
        <v>3028</v>
      </c>
      <c r="W249" s="259" t="s">
        <v>3029</v>
      </c>
      <c r="X249" s="269" t="s">
        <v>3724</v>
      </c>
      <c r="Y249" s="259">
        <v>248</v>
      </c>
      <c r="Z249" s="259" t="s">
        <v>3030</v>
      </c>
      <c r="AA249" s="259"/>
      <c r="AB249" s="259"/>
      <c r="AC249" s="259"/>
      <c r="AD249" s="259"/>
      <c r="AE249" s="259"/>
    </row>
    <row r="250" spans="1:31">
      <c r="A250" s="259" t="s">
        <v>406</v>
      </c>
      <c r="B250" s="259" t="s">
        <v>1</v>
      </c>
      <c r="C250" s="264" t="s">
        <v>3215</v>
      </c>
      <c r="D250" s="264" t="s">
        <v>3725</v>
      </c>
      <c r="E250" s="259" t="s">
        <v>3675</v>
      </c>
      <c r="H250" s="264" t="s">
        <v>3692</v>
      </c>
      <c r="I250" s="264" t="s">
        <v>3723</v>
      </c>
      <c r="J250" s="295">
        <v>755.09</v>
      </c>
      <c r="K250" s="295">
        <v>603</v>
      </c>
      <c r="L250" s="295">
        <v>416.32</v>
      </c>
      <c r="O250" s="266">
        <v>5</v>
      </c>
      <c r="P250" s="266">
        <v>885038030058</v>
      </c>
      <c r="Q250" s="266">
        <v>9002761030051</v>
      </c>
      <c r="R250" s="265">
        <v>3</v>
      </c>
      <c r="S250" s="265">
        <v>17</v>
      </c>
      <c r="T250" s="265">
        <v>13</v>
      </c>
      <c r="U250" s="265">
        <v>3.2</v>
      </c>
      <c r="V250" s="259" t="s">
        <v>3028</v>
      </c>
      <c r="W250" s="259" t="s">
        <v>3029</v>
      </c>
      <c r="X250" s="269" t="s">
        <v>3726</v>
      </c>
      <c r="Y250" s="259">
        <v>249</v>
      </c>
      <c r="Z250" s="259" t="s">
        <v>3030</v>
      </c>
      <c r="AA250" s="259"/>
      <c r="AB250" s="259"/>
      <c r="AC250" s="259"/>
      <c r="AD250" s="259"/>
      <c r="AE250" s="259"/>
    </row>
    <row r="251" spans="1:31">
      <c r="A251" s="259" t="s">
        <v>407</v>
      </c>
      <c r="B251" s="259" t="s">
        <v>1</v>
      </c>
      <c r="C251" s="264" t="s">
        <v>3215</v>
      </c>
      <c r="D251" s="264" t="s">
        <v>3727</v>
      </c>
      <c r="E251" s="259">
        <v>81200200</v>
      </c>
      <c r="H251" s="264" t="s">
        <v>3692</v>
      </c>
      <c r="I251" s="264" t="s">
        <v>3728</v>
      </c>
      <c r="J251" s="295">
        <v>899.15</v>
      </c>
      <c r="K251" s="295">
        <v>720</v>
      </c>
      <c r="L251" s="295">
        <v>489.79</v>
      </c>
      <c r="O251" s="266">
        <v>5</v>
      </c>
      <c r="P251" s="266">
        <v>885038030140</v>
      </c>
      <c r="Q251" s="266">
        <v>9002761030143</v>
      </c>
      <c r="R251" s="265">
        <v>14</v>
      </c>
      <c r="S251" s="265">
        <v>17</v>
      </c>
      <c r="T251" s="265">
        <v>3</v>
      </c>
      <c r="U251" s="265">
        <v>3.2</v>
      </c>
      <c r="V251" s="259" t="s">
        <v>3028</v>
      </c>
      <c r="W251" s="259" t="s">
        <v>3029</v>
      </c>
      <c r="X251" s="269" t="s">
        <v>3729</v>
      </c>
      <c r="Y251" s="259">
        <v>250</v>
      </c>
      <c r="Z251" s="259" t="s">
        <v>3030</v>
      </c>
      <c r="AA251" s="259"/>
      <c r="AB251" s="259"/>
      <c r="AC251" s="259"/>
      <c r="AD251" s="259"/>
      <c r="AE251" s="259"/>
    </row>
    <row r="252" spans="1:31">
      <c r="A252" s="259" t="s">
        <v>408</v>
      </c>
      <c r="B252" s="259" t="s">
        <v>1</v>
      </c>
      <c r="C252" s="264" t="s">
        <v>3215</v>
      </c>
      <c r="D252" s="264" t="s">
        <v>3730</v>
      </c>
      <c r="E252" s="259">
        <v>81200200</v>
      </c>
      <c r="H252" s="264" t="s">
        <v>3692</v>
      </c>
      <c r="I252" s="264" t="s">
        <v>3728</v>
      </c>
      <c r="J252" s="295">
        <v>899.15</v>
      </c>
      <c r="K252" s="295">
        <v>720</v>
      </c>
      <c r="L252" s="295">
        <v>489.79</v>
      </c>
      <c r="O252" s="266">
        <v>5</v>
      </c>
      <c r="P252" s="266">
        <v>885038030157</v>
      </c>
      <c r="Q252" s="266">
        <v>9002761030150</v>
      </c>
      <c r="R252" s="265">
        <v>13</v>
      </c>
      <c r="S252" s="265">
        <v>3</v>
      </c>
      <c r="T252" s="265">
        <v>17</v>
      </c>
      <c r="U252" s="265">
        <v>3.2</v>
      </c>
      <c r="V252" s="259" t="s">
        <v>3028</v>
      </c>
      <c r="W252" s="259" t="s">
        <v>3029</v>
      </c>
      <c r="X252" s="269" t="s">
        <v>3731</v>
      </c>
      <c r="Y252" s="259">
        <v>251</v>
      </c>
      <c r="Z252" s="259" t="s">
        <v>3030</v>
      </c>
      <c r="AA252" s="259"/>
      <c r="AB252" s="259"/>
      <c r="AC252" s="259"/>
      <c r="AD252" s="259"/>
      <c r="AE252" s="259"/>
    </row>
    <row r="253" spans="1:31">
      <c r="A253" s="259" t="s">
        <v>409</v>
      </c>
      <c r="B253" s="259" t="s">
        <v>1</v>
      </c>
      <c r="C253" s="264" t="s">
        <v>3215</v>
      </c>
      <c r="D253" s="264" t="s">
        <v>3732</v>
      </c>
      <c r="E253" s="259" t="s">
        <v>3675</v>
      </c>
      <c r="H253" s="264" t="s">
        <v>3692</v>
      </c>
      <c r="I253" s="264" t="s">
        <v>3733</v>
      </c>
      <c r="J253" s="295">
        <v>899.15</v>
      </c>
      <c r="K253" s="295">
        <v>720</v>
      </c>
      <c r="L253" s="295">
        <v>489.79</v>
      </c>
      <c r="O253" s="266">
        <v>5</v>
      </c>
      <c r="P253" s="266">
        <v>885038030249</v>
      </c>
      <c r="Q253" s="266">
        <v>9002761030242</v>
      </c>
      <c r="R253" s="265">
        <v>9</v>
      </c>
      <c r="S253" s="265">
        <v>17</v>
      </c>
      <c r="T253" s="265">
        <v>17</v>
      </c>
      <c r="U253" s="265">
        <v>3.2</v>
      </c>
      <c r="V253" s="259" t="s">
        <v>3028</v>
      </c>
      <c r="W253" s="259" t="s">
        <v>3029</v>
      </c>
      <c r="X253" s="269" t="s">
        <v>3734</v>
      </c>
      <c r="Y253" s="259">
        <v>252</v>
      </c>
      <c r="Z253" s="259" t="s">
        <v>3030</v>
      </c>
      <c r="AA253" s="259"/>
      <c r="AB253" s="259"/>
      <c r="AC253" s="259"/>
      <c r="AD253" s="259"/>
      <c r="AE253" s="259"/>
    </row>
    <row r="254" spans="1:31">
      <c r="A254" s="259" t="s">
        <v>410</v>
      </c>
      <c r="B254" s="259" t="s">
        <v>1</v>
      </c>
      <c r="C254" s="264" t="s">
        <v>3215</v>
      </c>
      <c r="D254" s="264" t="s">
        <v>3735</v>
      </c>
      <c r="E254" s="259" t="s">
        <v>3675</v>
      </c>
      <c r="H254" s="264" t="s">
        <v>3692</v>
      </c>
      <c r="I254" s="264" t="s">
        <v>3733</v>
      </c>
      <c r="J254" s="295">
        <v>899.15</v>
      </c>
      <c r="K254" s="295">
        <v>720</v>
      </c>
      <c r="L254" s="295">
        <v>489.79</v>
      </c>
      <c r="O254" s="266">
        <v>5</v>
      </c>
      <c r="P254" s="266">
        <v>885038030256</v>
      </c>
      <c r="Q254" s="266">
        <v>9002761030259</v>
      </c>
      <c r="R254" s="265">
        <v>4</v>
      </c>
      <c r="S254" s="265">
        <v>17</v>
      </c>
      <c r="T254" s="265">
        <v>13</v>
      </c>
      <c r="U254" s="265">
        <v>3.2</v>
      </c>
      <c r="V254" s="259" t="s">
        <v>3028</v>
      </c>
      <c r="W254" s="259" t="s">
        <v>3029</v>
      </c>
      <c r="X254" s="269" t="s">
        <v>3736</v>
      </c>
      <c r="Y254" s="259">
        <v>253</v>
      </c>
      <c r="Z254" s="259" t="s">
        <v>3030</v>
      </c>
      <c r="AA254" s="259"/>
      <c r="AB254" s="259"/>
      <c r="AC254" s="259"/>
      <c r="AD254" s="259"/>
      <c r="AE254" s="259"/>
    </row>
    <row r="255" spans="1:31">
      <c r="A255" s="259" t="s">
        <v>411</v>
      </c>
      <c r="B255" s="259" t="s">
        <v>1</v>
      </c>
      <c r="C255" s="264"/>
      <c r="D255" s="264"/>
      <c r="H255" s="264"/>
      <c r="I255" s="264"/>
      <c r="J255" s="295">
        <v>0</v>
      </c>
      <c r="K255" s="295">
        <v>0</v>
      </c>
      <c r="L255" s="295">
        <v>0</v>
      </c>
      <c r="O255" s="266"/>
      <c r="R255" s="265"/>
      <c r="V255" s="259"/>
      <c r="X255" s="269"/>
      <c r="Y255" s="259">
        <v>254</v>
      </c>
      <c r="AA255" s="259"/>
      <c r="AB255" s="259"/>
      <c r="AC255" s="259"/>
      <c r="AD255" s="259"/>
      <c r="AE255" s="259"/>
    </row>
    <row r="256" spans="1:31">
      <c r="A256" s="259" t="s">
        <v>412</v>
      </c>
      <c r="B256" s="259" t="s">
        <v>1</v>
      </c>
      <c r="C256" s="264" t="s">
        <v>3215</v>
      </c>
      <c r="D256" s="264" t="s">
        <v>3737</v>
      </c>
      <c r="E256" s="259" t="s">
        <v>3738</v>
      </c>
      <c r="G256" s="259" t="s">
        <v>3378</v>
      </c>
      <c r="H256" s="264" t="s">
        <v>3739</v>
      </c>
      <c r="I256" s="264" t="s">
        <v>3740</v>
      </c>
      <c r="J256" s="295">
        <v>659.06</v>
      </c>
      <c r="K256" s="295">
        <v>525</v>
      </c>
      <c r="L256" s="295">
        <v>367.34</v>
      </c>
      <c r="O256" s="266">
        <v>4</v>
      </c>
      <c r="P256" s="266">
        <v>885038021636</v>
      </c>
      <c r="Q256" s="266">
        <v>9002761021639</v>
      </c>
      <c r="R256" s="265">
        <v>9</v>
      </c>
      <c r="S256" s="265">
        <v>4</v>
      </c>
      <c r="T256" s="265">
        <v>14</v>
      </c>
      <c r="U256" s="265">
        <v>1.2</v>
      </c>
      <c r="V256" s="259" t="s">
        <v>3028</v>
      </c>
      <c r="W256" s="259" t="s">
        <v>3029</v>
      </c>
      <c r="X256" s="269" t="s">
        <v>3741</v>
      </c>
      <c r="Y256" s="259">
        <v>255</v>
      </c>
      <c r="Z256" s="259" t="s">
        <v>3227</v>
      </c>
      <c r="AA256" s="259"/>
      <c r="AB256" s="259"/>
      <c r="AC256" s="259"/>
      <c r="AD256" s="259"/>
      <c r="AE256" s="259"/>
    </row>
    <row r="257" spans="1:31">
      <c r="A257" s="259" t="s">
        <v>413</v>
      </c>
      <c r="B257" s="259" t="s">
        <v>1</v>
      </c>
      <c r="C257" s="264" t="s">
        <v>3215</v>
      </c>
      <c r="D257" s="264" t="s">
        <v>3742</v>
      </c>
      <c r="E257" s="259" t="s">
        <v>3738</v>
      </c>
      <c r="G257" s="259" t="s">
        <v>3378</v>
      </c>
      <c r="H257" s="264" t="s">
        <v>3739</v>
      </c>
      <c r="I257" s="264" t="s">
        <v>3740</v>
      </c>
      <c r="J257" s="295">
        <v>659.06</v>
      </c>
      <c r="K257" s="295">
        <v>514</v>
      </c>
      <c r="L257" s="295">
        <v>367.34</v>
      </c>
      <c r="O257" s="266">
        <v>4</v>
      </c>
      <c r="P257" s="266">
        <v>885038021643</v>
      </c>
      <c r="Q257" s="266">
        <v>9002761021646</v>
      </c>
      <c r="R257" s="265">
        <v>6</v>
      </c>
      <c r="S257" s="265">
        <v>11</v>
      </c>
      <c r="T257" s="265">
        <v>15</v>
      </c>
      <c r="U257" s="265">
        <v>4.4000000000000004</v>
      </c>
      <c r="V257" s="259" t="s">
        <v>3028</v>
      </c>
      <c r="W257" s="259" t="s">
        <v>3029</v>
      </c>
      <c r="X257" s="269" t="s">
        <v>3743</v>
      </c>
      <c r="Y257" s="259">
        <v>256</v>
      </c>
      <c r="Z257" s="259" t="s">
        <v>3227</v>
      </c>
      <c r="AA257" s="259"/>
      <c r="AB257" s="259"/>
      <c r="AC257" s="259"/>
      <c r="AD257" s="259"/>
      <c r="AE257" s="259"/>
    </row>
    <row r="258" spans="1:31">
      <c r="A258" s="259" t="s">
        <v>414</v>
      </c>
      <c r="B258" s="259" t="s">
        <v>1</v>
      </c>
      <c r="C258" s="264" t="s">
        <v>3215</v>
      </c>
      <c r="D258" s="264" t="s">
        <v>3744</v>
      </c>
      <c r="E258" s="259" t="s">
        <v>3738</v>
      </c>
      <c r="G258" s="259" t="s">
        <v>3378</v>
      </c>
      <c r="H258" s="264" t="s">
        <v>3739</v>
      </c>
      <c r="I258" s="264" t="s">
        <v>3745</v>
      </c>
      <c r="J258" s="295">
        <v>659.06</v>
      </c>
      <c r="K258" s="295">
        <v>525</v>
      </c>
      <c r="L258" s="295">
        <v>367.34</v>
      </c>
      <c r="O258" s="266">
        <v>4</v>
      </c>
      <c r="P258" s="266">
        <v>885038021759</v>
      </c>
      <c r="Q258" s="266">
        <v>9002761021752</v>
      </c>
      <c r="R258" s="265">
        <v>4</v>
      </c>
      <c r="S258" s="265">
        <v>4</v>
      </c>
      <c r="T258" s="265">
        <v>14</v>
      </c>
      <c r="U258" s="265">
        <v>4.4000000000000004</v>
      </c>
      <c r="V258" s="259" t="s">
        <v>3028</v>
      </c>
      <c r="W258" s="259" t="s">
        <v>3029</v>
      </c>
      <c r="X258" s="269" t="s">
        <v>3746</v>
      </c>
      <c r="Y258" s="259">
        <v>257</v>
      </c>
      <c r="Z258" s="259" t="s">
        <v>3227</v>
      </c>
      <c r="AA258" s="259"/>
      <c r="AB258" s="259"/>
      <c r="AC258" s="259"/>
      <c r="AD258" s="259"/>
      <c r="AE258" s="259"/>
    </row>
    <row r="259" spans="1:31">
      <c r="A259" s="259" t="s">
        <v>415</v>
      </c>
      <c r="B259" s="259" t="s">
        <v>1</v>
      </c>
      <c r="C259" s="264" t="s">
        <v>3215</v>
      </c>
      <c r="D259" s="264" t="s">
        <v>3747</v>
      </c>
      <c r="E259" s="259">
        <v>81200200</v>
      </c>
      <c r="G259" s="259" t="s">
        <v>3378</v>
      </c>
      <c r="H259" s="264" t="s">
        <v>3739</v>
      </c>
      <c r="I259" s="264" t="s">
        <v>3748</v>
      </c>
      <c r="J259" s="295">
        <v>1127.24</v>
      </c>
      <c r="K259" s="295">
        <v>896</v>
      </c>
      <c r="L259" s="295">
        <v>642.85</v>
      </c>
      <c r="O259" s="266"/>
      <c r="P259" s="266">
        <v>885038033578</v>
      </c>
      <c r="Q259" s="266">
        <v>9002761034936</v>
      </c>
      <c r="R259" s="265">
        <v>3</v>
      </c>
      <c r="S259" s="265">
        <v>9</v>
      </c>
      <c r="T259" s="265">
        <v>9</v>
      </c>
      <c r="U259" s="265">
        <v>2.2000000000000002</v>
      </c>
      <c r="V259" s="259" t="s">
        <v>3218</v>
      </c>
      <c r="W259" s="259" t="s">
        <v>3061</v>
      </c>
      <c r="X259" s="269" t="s">
        <v>3749</v>
      </c>
      <c r="Y259" s="259">
        <v>258</v>
      </c>
      <c r="Z259" s="259" t="s">
        <v>3227</v>
      </c>
      <c r="AA259" s="259"/>
      <c r="AB259" s="259"/>
      <c r="AC259" s="259"/>
      <c r="AD259" s="259"/>
      <c r="AE259" s="259"/>
    </row>
    <row r="260" spans="1:31">
      <c r="A260" s="259" t="s">
        <v>416</v>
      </c>
      <c r="B260" s="259" t="s">
        <v>1</v>
      </c>
      <c r="C260" s="264" t="s">
        <v>3215</v>
      </c>
      <c r="D260" s="264" t="s">
        <v>3750</v>
      </c>
      <c r="E260" s="259" t="s">
        <v>3738</v>
      </c>
      <c r="G260" s="259" t="s">
        <v>3378</v>
      </c>
      <c r="H260" s="264" t="s">
        <v>3739</v>
      </c>
      <c r="I260" s="264" t="s">
        <v>3751</v>
      </c>
      <c r="J260" s="295">
        <v>1499.38</v>
      </c>
      <c r="K260" s="295">
        <v>1200</v>
      </c>
      <c r="L260" s="295">
        <v>857.13</v>
      </c>
      <c r="O260" s="266"/>
      <c r="P260" s="266">
        <v>885038033776</v>
      </c>
      <c r="Q260" s="266">
        <v>9002761033779</v>
      </c>
      <c r="R260" s="265">
        <v>20</v>
      </c>
      <c r="S260" s="265">
        <v>6</v>
      </c>
      <c r="T260" s="265">
        <v>15</v>
      </c>
      <c r="U260" s="265">
        <v>5.2</v>
      </c>
      <c r="V260" s="259" t="s">
        <v>3028</v>
      </c>
      <c r="W260" s="259" t="s">
        <v>3029</v>
      </c>
      <c r="X260" s="269" t="s">
        <v>3752</v>
      </c>
      <c r="Y260" s="259">
        <v>259</v>
      </c>
      <c r="Z260" s="259" t="s">
        <v>3227</v>
      </c>
      <c r="AA260" s="259"/>
      <c r="AB260" s="259"/>
      <c r="AC260" s="259"/>
      <c r="AD260" s="259"/>
      <c r="AE260" s="259"/>
    </row>
    <row r="261" spans="1:31">
      <c r="A261" s="259" t="s">
        <v>417</v>
      </c>
      <c r="B261" s="259" t="s">
        <v>1</v>
      </c>
      <c r="C261" s="264"/>
      <c r="D261" s="264"/>
      <c r="H261" s="264"/>
      <c r="I261" s="264"/>
      <c r="J261" s="295">
        <v>0</v>
      </c>
      <c r="K261" s="295">
        <v>0</v>
      </c>
      <c r="L261" s="295">
        <v>0</v>
      </c>
      <c r="O261" s="266"/>
      <c r="R261" s="265"/>
      <c r="V261" s="259"/>
      <c r="X261" s="269"/>
      <c r="Y261" s="259">
        <v>260</v>
      </c>
      <c r="AA261" s="259"/>
      <c r="AB261" s="259"/>
      <c r="AC261" s="259"/>
      <c r="AD261" s="259"/>
      <c r="AE261" s="259"/>
    </row>
    <row r="262" spans="1:31">
      <c r="A262" s="259" t="s">
        <v>418</v>
      </c>
      <c r="B262" s="259" t="s">
        <v>1</v>
      </c>
      <c r="C262" s="264" t="s">
        <v>3215</v>
      </c>
      <c r="D262" s="264" t="s">
        <v>3753</v>
      </c>
      <c r="E262" s="259" t="s">
        <v>3754</v>
      </c>
      <c r="H262" s="264" t="s">
        <v>3755</v>
      </c>
      <c r="I262" s="264" t="s">
        <v>3756</v>
      </c>
      <c r="J262" s="295">
        <v>328.63</v>
      </c>
      <c r="K262" s="295">
        <v>263</v>
      </c>
      <c r="L262" s="295">
        <v>197.18</v>
      </c>
      <c r="O262" s="266"/>
      <c r="P262" s="266">
        <v>885038040613</v>
      </c>
      <c r="R262" s="265">
        <v>1.65</v>
      </c>
      <c r="S262" s="265">
        <v>6.9</v>
      </c>
      <c r="T262" s="265">
        <v>65</v>
      </c>
      <c r="U262" s="265">
        <v>3.1</v>
      </c>
      <c r="V262" s="259" t="s">
        <v>3028</v>
      </c>
      <c r="W262" s="259" t="s">
        <v>3029</v>
      </c>
      <c r="X262" s="269" t="s">
        <v>3757</v>
      </c>
      <c r="Y262" s="259">
        <v>261</v>
      </c>
      <c r="Z262" s="259" t="s">
        <v>3030</v>
      </c>
      <c r="AA262" s="259"/>
      <c r="AB262" s="259"/>
      <c r="AC262" s="259"/>
      <c r="AD262" s="259"/>
      <c r="AE262" s="259"/>
    </row>
    <row r="263" spans="1:31">
      <c r="A263" s="259" t="s">
        <v>419</v>
      </c>
      <c r="B263" s="259" t="s">
        <v>1</v>
      </c>
      <c r="C263" s="264" t="s">
        <v>3215</v>
      </c>
      <c r="D263" s="264" t="s">
        <v>3753</v>
      </c>
      <c r="E263" s="259" t="s">
        <v>3754</v>
      </c>
      <c r="H263" s="264" t="s">
        <v>3758</v>
      </c>
      <c r="I263" s="264" t="s">
        <v>3759</v>
      </c>
      <c r="J263" s="295">
        <v>328.63</v>
      </c>
      <c r="K263" s="295">
        <v>263</v>
      </c>
      <c r="L263" s="295">
        <v>197.18</v>
      </c>
      <c r="O263" s="266"/>
      <c r="P263" s="266">
        <v>885038040620</v>
      </c>
      <c r="R263" s="265"/>
      <c r="V263" s="259" t="s">
        <v>3028</v>
      </c>
      <c r="W263" s="259" t="s">
        <v>3029</v>
      </c>
      <c r="X263" s="269" t="s">
        <v>3760</v>
      </c>
      <c r="Y263" s="259">
        <v>262</v>
      </c>
      <c r="Z263" s="259" t="s">
        <v>3030</v>
      </c>
      <c r="AA263" s="259"/>
      <c r="AB263" s="259"/>
      <c r="AC263" s="259"/>
      <c r="AD263" s="259"/>
      <c r="AE263" s="259"/>
    </row>
    <row r="264" spans="1:31">
      <c r="A264" s="259" t="s">
        <v>420</v>
      </c>
      <c r="B264" s="259" t="s">
        <v>1</v>
      </c>
      <c r="C264" s="264" t="s">
        <v>3215</v>
      </c>
      <c r="D264" s="264" t="s">
        <v>3761</v>
      </c>
      <c r="E264" s="259" t="s">
        <v>3754</v>
      </c>
      <c r="H264" s="264" t="s">
        <v>3762</v>
      </c>
      <c r="I264" s="264" t="s">
        <v>3763</v>
      </c>
      <c r="J264" s="295">
        <v>448.67</v>
      </c>
      <c r="K264" s="295">
        <v>356</v>
      </c>
      <c r="L264" s="295">
        <v>269.2</v>
      </c>
      <c r="O264" s="266"/>
      <c r="P264" s="266">
        <v>885038040668</v>
      </c>
      <c r="R264" s="265"/>
      <c r="V264" s="259" t="s">
        <v>3028</v>
      </c>
      <c r="W264" s="259" t="s">
        <v>3029</v>
      </c>
      <c r="X264" s="269" t="s">
        <v>3764</v>
      </c>
      <c r="Y264" s="259">
        <v>263</v>
      </c>
      <c r="Z264" s="259" t="s">
        <v>3030</v>
      </c>
      <c r="AA264" s="259"/>
      <c r="AB264" s="259"/>
      <c r="AC264" s="259"/>
      <c r="AD264" s="259"/>
      <c r="AE264" s="259"/>
    </row>
    <row r="265" spans="1:31">
      <c r="A265" s="259" t="s">
        <v>421</v>
      </c>
      <c r="B265" s="259" t="s">
        <v>1</v>
      </c>
      <c r="C265" s="264" t="s">
        <v>3215</v>
      </c>
      <c r="D265" s="264" t="s">
        <v>3761</v>
      </c>
      <c r="E265" s="259" t="s">
        <v>3754</v>
      </c>
      <c r="H265" s="264" t="s">
        <v>3765</v>
      </c>
      <c r="I265" s="264" t="s">
        <v>3766</v>
      </c>
      <c r="J265" s="295">
        <v>448.67</v>
      </c>
      <c r="K265" s="295">
        <v>356</v>
      </c>
      <c r="L265" s="295">
        <v>269.2</v>
      </c>
      <c r="O265" s="266"/>
      <c r="P265" s="266">
        <v>885038040675</v>
      </c>
      <c r="R265" s="265"/>
      <c r="V265" s="259" t="s">
        <v>3028</v>
      </c>
      <c r="W265" s="259" t="s">
        <v>3029</v>
      </c>
      <c r="X265" s="269" t="s">
        <v>3767</v>
      </c>
      <c r="Y265" s="259">
        <v>264</v>
      </c>
      <c r="Z265" s="259" t="s">
        <v>3030</v>
      </c>
      <c r="AA265" s="259"/>
      <c r="AB265" s="259"/>
      <c r="AC265" s="259"/>
      <c r="AD265" s="259"/>
      <c r="AE265" s="259"/>
    </row>
    <row r="266" spans="1:31">
      <c r="A266" s="259" t="s">
        <v>422</v>
      </c>
      <c r="B266" s="259" t="s">
        <v>1</v>
      </c>
      <c r="C266" s="264"/>
      <c r="D266" s="264"/>
      <c r="H266" s="264"/>
      <c r="I266" s="264"/>
      <c r="J266" s="295">
        <v>0</v>
      </c>
      <c r="K266" s="295">
        <v>0</v>
      </c>
      <c r="L266" s="295">
        <v>0</v>
      </c>
      <c r="O266" s="266"/>
      <c r="R266" s="265"/>
      <c r="V266" s="259"/>
      <c r="X266" s="269"/>
      <c r="Y266" s="259">
        <v>265</v>
      </c>
      <c r="AA266" s="259"/>
      <c r="AB266" s="259"/>
      <c r="AC266" s="259"/>
      <c r="AD266" s="259"/>
      <c r="AE266" s="259"/>
    </row>
    <row r="267" spans="1:31">
      <c r="A267" s="259" t="s">
        <v>423</v>
      </c>
      <c r="B267" s="259" t="s">
        <v>1</v>
      </c>
      <c r="C267" s="264" t="s">
        <v>3215</v>
      </c>
      <c r="D267" s="264" t="s">
        <v>3768</v>
      </c>
      <c r="E267" s="259" t="s">
        <v>5</v>
      </c>
      <c r="H267" s="264" t="s">
        <v>3768</v>
      </c>
      <c r="I267" s="264" t="s">
        <v>3769</v>
      </c>
      <c r="J267" s="295">
        <v>504.36</v>
      </c>
      <c r="K267" s="295">
        <v>418</v>
      </c>
      <c r="L267" s="295">
        <v>297</v>
      </c>
      <c r="O267" s="266"/>
      <c r="P267" s="266">
        <v>885038037378</v>
      </c>
      <c r="R267" s="265"/>
      <c r="V267" s="259" t="s">
        <v>3028</v>
      </c>
      <c r="X267" s="269" t="s">
        <v>3770</v>
      </c>
      <c r="Y267" s="259">
        <v>266</v>
      </c>
      <c r="Z267" s="259" t="s">
        <v>3227</v>
      </c>
      <c r="AA267" s="259"/>
      <c r="AB267" s="259"/>
      <c r="AC267" s="259"/>
      <c r="AD267" s="259"/>
      <c r="AE267" s="259"/>
    </row>
    <row r="268" spans="1:31">
      <c r="A268" s="259" t="s">
        <v>424</v>
      </c>
      <c r="B268" s="259" t="s">
        <v>1</v>
      </c>
      <c r="C268" s="264" t="s">
        <v>3215</v>
      </c>
      <c r="D268" s="264" t="s">
        <v>3771</v>
      </c>
      <c r="E268" s="259" t="s">
        <v>5</v>
      </c>
      <c r="H268" s="264" t="s">
        <v>3771</v>
      </c>
      <c r="I268" s="264"/>
      <c r="J268" s="295">
        <v>421.84</v>
      </c>
      <c r="K268" s="295">
        <v>346</v>
      </c>
      <c r="L268" s="295">
        <v>248.14</v>
      </c>
      <c r="O268" s="266"/>
      <c r="P268" s="266">
        <v>885038037293</v>
      </c>
      <c r="R268" s="265"/>
      <c r="V268" s="259" t="s">
        <v>3028</v>
      </c>
      <c r="X268" s="269" t="s">
        <v>3772</v>
      </c>
      <c r="Y268" s="259">
        <v>267</v>
      </c>
      <c r="Z268" s="259" t="s">
        <v>3227</v>
      </c>
      <c r="AA268" s="259"/>
      <c r="AB268" s="259"/>
      <c r="AC268" s="259"/>
      <c r="AD268" s="259"/>
      <c r="AE268" s="259"/>
    </row>
    <row r="269" spans="1:31">
      <c r="A269" s="259" t="s">
        <v>425</v>
      </c>
      <c r="B269" s="259" t="s">
        <v>1</v>
      </c>
      <c r="C269" s="264" t="s">
        <v>3215</v>
      </c>
      <c r="D269" s="264" t="s">
        <v>3773</v>
      </c>
      <c r="E269" s="259" t="s">
        <v>5</v>
      </c>
      <c r="H269" s="264" t="s">
        <v>3773</v>
      </c>
      <c r="I269" s="264" t="s">
        <v>3774</v>
      </c>
      <c r="J269" s="295">
        <v>1889.47</v>
      </c>
      <c r="K269" s="295">
        <v>1513</v>
      </c>
      <c r="L269" s="295">
        <v>1079.99</v>
      </c>
      <c r="O269" s="266"/>
      <c r="P269" s="266">
        <v>885038037217</v>
      </c>
      <c r="R269" s="265"/>
      <c r="V269" s="259" t="s">
        <v>3028</v>
      </c>
      <c r="X269" s="269" t="s">
        <v>3775</v>
      </c>
      <c r="Y269" s="259">
        <v>268</v>
      </c>
      <c r="Z269" s="259" t="s">
        <v>3227</v>
      </c>
      <c r="AA269" s="259"/>
      <c r="AB269" s="259"/>
      <c r="AC269" s="259"/>
      <c r="AD269" s="259"/>
      <c r="AE269" s="259"/>
    </row>
    <row r="270" spans="1:31">
      <c r="A270" s="259" t="s">
        <v>426</v>
      </c>
      <c r="B270" s="259" t="s">
        <v>1</v>
      </c>
      <c r="C270" s="264" t="s">
        <v>3215</v>
      </c>
      <c r="D270" s="264" t="s">
        <v>3776</v>
      </c>
      <c r="E270" s="259" t="s">
        <v>5</v>
      </c>
      <c r="H270" s="264" t="s">
        <v>3776</v>
      </c>
      <c r="I270" s="264" t="s">
        <v>3777</v>
      </c>
      <c r="J270" s="295">
        <v>3654.16</v>
      </c>
      <c r="K270" s="295">
        <v>2519</v>
      </c>
      <c r="L270" s="295">
        <v>1835.98</v>
      </c>
      <c r="O270" s="266"/>
      <c r="P270" s="266">
        <v>885038037170</v>
      </c>
      <c r="R270" s="265"/>
      <c r="V270" s="259" t="s">
        <v>3028</v>
      </c>
      <c r="X270" s="269" t="s">
        <v>3778</v>
      </c>
      <c r="Y270" s="259">
        <v>269</v>
      </c>
      <c r="Z270" s="259" t="s">
        <v>3227</v>
      </c>
      <c r="AA270" s="259"/>
      <c r="AB270" s="259"/>
      <c r="AC270" s="259"/>
      <c r="AD270" s="259"/>
      <c r="AE270" s="259"/>
    </row>
    <row r="271" spans="1:31">
      <c r="A271" s="259" t="s">
        <v>427</v>
      </c>
      <c r="B271" s="259" t="s">
        <v>1</v>
      </c>
      <c r="C271" s="264" t="s">
        <v>3215</v>
      </c>
      <c r="D271" s="264" t="s">
        <v>3779</v>
      </c>
      <c r="E271" s="259" t="s">
        <v>5</v>
      </c>
      <c r="H271" s="264" t="s">
        <v>3779</v>
      </c>
      <c r="I271" s="264" t="s">
        <v>3780</v>
      </c>
      <c r="J271" s="295">
        <v>3780.2</v>
      </c>
      <c r="K271" s="295">
        <v>2611</v>
      </c>
      <c r="L271" s="295">
        <v>1900.26</v>
      </c>
      <c r="O271" s="266"/>
      <c r="P271" s="266">
        <v>885038037187</v>
      </c>
      <c r="R271" s="265"/>
      <c r="V271" s="259" t="s">
        <v>3028</v>
      </c>
      <c r="X271" s="269" t="s">
        <v>3781</v>
      </c>
      <c r="Y271" s="259">
        <v>270</v>
      </c>
      <c r="Z271" s="259" t="s">
        <v>3227</v>
      </c>
      <c r="AA271" s="259"/>
      <c r="AB271" s="259"/>
      <c r="AC271" s="259"/>
      <c r="AD271" s="259"/>
      <c r="AE271" s="259"/>
    </row>
    <row r="272" spans="1:31">
      <c r="A272" s="259" t="s">
        <v>428</v>
      </c>
      <c r="B272" s="259" t="s">
        <v>1</v>
      </c>
      <c r="C272" s="264" t="s">
        <v>3193</v>
      </c>
      <c r="D272" s="264" t="s">
        <v>3782</v>
      </c>
      <c r="E272" s="259" t="s">
        <v>3195</v>
      </c>
      <c r="H272" s="264" t="s">
        <v>18</v>
      </c>
      <c r="I272" s="264" t="s">
        <v>3587</v>
      </c>
      <c r="J272" s="295">
        <v>60.59</v>
      </c>
      <c r="K272" s="295">
        <v>47</v>
      </c>
      <c r="L272" s="295">
        <v>33.380000000000003</v>
      </c>
      <c r="O272" s="266"/>
      <c r="P272" s="266">
        <v>885038039266</v>
      </c>
      <c r="Q272" s="266">
        <v>9002761039269</v>
      </c>
      <c r="R272" s="265">
        <v>1</v>
      </c>
      <c r="S272" s="265">
        <v>4.25</v>
      </c>
      <c r="T272" s="265">
        <v>2.5</v>
      </c>
      <c r="U272" s="265" t="s">
        <v>3101</v>
      </c>
      <c r="V272" s="259" t="s">
        <v>3247</v>
      </c>
      <c r="W272" s="259" t="s">
        <v>3061</v>
      </c>
      <c r="X272" s="269" t="s">
        <v>3783</v>
      </c>
      <c r="Y272" s="259">
        <v>271</v>
      </c>
      <c r="Z272" s="259" t="s">
        <v>3037</v>
      </c>
      <c r="AA272" s="259"/>
      <c r="AB272" s="259"/>
      <c r="AC272" s="259"/>
      <c r="AD272" s="259"/>
      <c r="AE272" s="259"/>
    </row>
    <row r="273" spans="1:31">
      <c r="A273" s="259" t="s">
        <v>429</v>
      </c>
      <c r="B273" s="259" t="s">
        <v>1</v>
      </c>
      <c r="C273" s="264" t="s">
        <v>3215</v>
      </c>
      <c r="D273" s="264" t="s">
        <v>3784</v>
      </c>
      <c r="E273" s="259" t="s">
        <v>5</v>
      </c>
      <c r="H273" s="264" t="s">
        <v>3784</v>
      </c>
      <c r="I273" s="264" t="s">
        <v>3785</v>
      </c>
      <c r="J273" s="295">
        <v>3120.01</v>
      </c>
      <c r="K273" s="295">
        <v>2389</v>
      </c>
      <c r="L273" s="295">
        <v>1657.5</v>
      </c>
      <c r="O273" s="266"/>
      <c r="P273" s="266">
        <v>885038037200</v>
      </c>
      <c r="R273" s="265"/>
      <c r="V273" s="259" t="s">
        <v>3028</v>
      </c>
      <c r="X273" s="269" t="s">
        <v>3786</v>
      </c>
      <c r="Y273" s="259">
        <v>272</v>
      </c>
      <c r="Z273" s="259" t="s">
        <v>3227</v>
      </c>
      <c r="AA273" s="259"/>
      <c r="AB273" s="259"/>
      <c r="AC273" s="259"/>
      <c r="AD273" s="259"/>
      <c r="AE273" s="259"/>
    </row>
    <row r="274" spans="1:31">
      <c r="A274" s="259" t="s">
        <v>430</v>
      </c>
      <c r="B274" s="259" t="s">
        <v>1</v>
      </c>
      <c r="C274" s="264"/>
      <c r="D274" s="264"/>
      <c r="H274" s="264"/>
      <c r="I274" s="264"/>
      <c r="J274" s="295">
        <v>0</v>
      </c>
      <c r="K274" s="295">
        <v>0</v>
      </c>
      <c r="L274" s="295">
        <v>0</v>
      </c>
      <c r="O274" s="266"/>
      <c r="R274" s="265"/>
      <c r="V274" s="259"/>
      <c r="X274" s="269"/>
      <c r="Y274" s="259">
        <v>273</v>
      </c>
      <c r="AA274" s="259"/>
      <c r="AB274" s="259"/>
      <c r="AC274" s="259"/>
      <c r="AD274" s="259"/>
      <c r="AE274" s="259"/>
    </row>
    <row r="275" spans="1:31">
      <c r="A275" s="259" t="s">
        <v>431</v>
      </c>
      <c r="B275" s="259" t="s">
        <v>1</v>
      </c>
      <c r="C275" s="264" t="s">
        <v>3215</v>
      </c>
      <c r="D275" s="264" t="s">
        <v>3787</v>
      </c>
      <c r="E275" s="259" t="s">
        <v>3788</v>
      </c>
      <c r="H275" s="264" t="s">
        <v>3789</v>
      </c>
      <c r="I275" s="264" t="s">
        <v>3680</v>
      </c>
      <c r="J275" s="295">
        <v>370.94</v>
      </c>
      <c r="K275" s="295">
        <v>329</v>
      </c>
      <c r="L275" s="295">
        <v>203.77</v>
      </c>
      <c r="O275" s="266"/>
      <c r="P275" s="266">
        <v>885038038658</v>
      </c>
      <c r="Q275" s="266">
        <v>9002761038651</v>
      </c>
      <c r="R275" s="265">
        <v>15</v>
      </c>
      <c r="S275" s="265">
        <v>21</v>
      </c>
      <c r="T275" s="265">
        <v>3</v>
      </c>
      <c r="U275" s="265">
        <v>2.4</v>
      </c>
      <c r="V275" s="259" t="s">
        <v>3028</v>
      </c>
      <c r="W275" s="259" t="s">
        <v>3029</v>
      </c>
      <c r="X275" s="269" t="s">
        <v>3790</v>
      </c>
      <c r="Y275" s="259">
        <v>274</v>
      </c>
      <c r="Z275" s="259" t="s">
        <v>3030</v>
      </c>
      <c r="AA275" s="259"/>
      <c r="AB275" s="259"/>
      <c r="AC275" s="259"/>
      <c r="AD275" s="259"/>
      <c r="AE275" s="259"/>
    </row>
    <row r="276" spans="1:31">
      <c r="A276" s="259" t="s">
        <v>432</v>
      </c>
      <c r="B276" s="259" t="s">
        <v>1</v>
      </c>
      <c r="C276" s="264" t="s">
        <v>3215</v>
      </c>
      <c r="D276" s="264" t="s">
        <v>3791</v>
      </c>
      <c r="E276" s="259" t="s">
        <v>3788</v>
      </c>
      <c r="H276" s="264" t="s">
        <v>3789</v>
      </c>
      <c r="I276" s="264" t="s">
        <v>3677</v>
      </c>
      <c r="J276" s="295">
        <v>298.92</v>
      </c>
      <c r="K276" s="295">
        <v>236</v>
      </c>
      <c r="L276" s="295">
        <v>146.94</v>
      </c>
      <c r="O276" s="266"/>
      <c r="P276" s="266">
        <v>885038038665</v>
      </c>
      <c r="Q276" s="266">
        <v>9002761038668</v>
      </c>
      <c r="R276" s="265">
        <v>1.8</v>
      </c>
      <c r="S276" s="265">
        <v>5</v>
      </c>
      <c r="T276" s="265">
        <v>4</v>
      </c>
      <c r="U276" s="265">
        <v>2.4</v>
      </c>
      <c r="V276" s="259" t="s">
        <v>3028</v>
      </c>
      <c r="W276" s="259" t="s">
        <v>3029</v>
      </c>
      <c r="X276" s="269" t="s">
        <v>3790</v>
      </c>
      <c r="Y276" s="259">
        <v>275</v>
      </c>
      <c r="Z276" s="259" t="s">
        <v>3030</v>
      </c>
      <c r="AA276" s="259"/>
      <c r="AB276" s="259"/>
      <c r="AC276" s="259"/>
      <c r="AD276" s="259"/>
      <c r="AE276" s="259"/>
    </row>
    <row r="277" spans="1:31">
      <c r="A277" s="259" t="s">
        <v>433</v>
      </c>
      <c r="B277" s="259" t="s">
        <v>1</v>
      </c>
      <c r="C277" s="264" t="s">
        <v>3193</v>
      </c>
      <c r="D277" s="264" t="s">
        <v>3792</v>
      </c>
      <c r="E277" s="259" t="s">
        <v>3195</v>
      </c>
      <c r="H277" s="264" t="s">
        <v>18</v>
      </c>
      <c r="I277" s="264" t="s">
        <v>3587</v>
      </c>
      <c r="J277" s="295">
        <v>60.59</v>
      </c>
      <c r="K277" s="295">
        <v>47</v>
      </c>
      <c r="L277" s="295">
        <v>33.380000000000003</v>
      </c>
      <c r="O277" s="266"/>
      <c r="P277" s="266">
        <v>885038039273</v>
      </c>
      <c r="Q277" s="266">
        <v>9002761039276</v>
      </c>
      <c r="R277" s="265">
        <v>1</v>
      </c>
      <c r="S277" s="265">
        <v>3</v>
      </c>
      <c r="T277" s="265">
        <v>4</v>
      </c>
      <c r="U277" s="265" t="s">
        <v>3101</v>
      </c>
      <c r="V277" s="259" t="s">
        <v>3247</v>
      </c>
      <c r="W277" s="259" t="s">
        <v>3061</v>
      </c>
      <c r="X277" s="269" t="s">
        <v>3793</v>
      </c>
      <c r="Y277" s="259">
        <v>276</v>
      </c>
      <c r="Z277" s="259" t="s">
        <v>3037</v>
      </c>
      <c r="AA277" s="259"/>
      <c r="AB277" s="259"/>
      <c r="AC277" s="259"/>
      <c r="AD277" s="259"/>
      <c r="AE277" s="259"/>
    </row>
    <row r="278" spans="1:31">
      <c r="A278" s="259" t="s">
        <v>434</v>
      </c>
      <c r="B278" s="259" t="s">
        <v>1</v>
      </c>
      <c r="C278" s="264"/>
      <c r="D278" s="264"/>
      <c r="H278" s="264"/>
      <c r="I278" s="264"/>
      <c r="J278" s="295">
        <v>0</v>
      </c>
      <c r="K278" s="295">
        <v>0</v>
      </c>
      <c r="L278" s="295">
        <v>0</v>
      </c>
      <c r="O278" s="266"/>
      <c r="R278" s="265"/>
      <c r="V278" s="259"/>
      <c r="X278" s="269"/>
      <c r="Y278" s="259">
        <v>277</v>
      </c>
      <c r="AA278" s="259"/>
      <c r="AB278" s="259"/>
      <c r="AC278" s="259"/>
      <c r="AD278" s="259"/>
      <c r="AE278" s="259"/>
    </row>
    <row r="279" spans="1:31">
      <c r="A279" s="259" t="s">
        <v>25</v>
      </c>
      <c r="B279" s="259" t="s">
        <v>1</v>
      </c>
      <c r="C279" s="264"/>
      <c r="D279" s="264"/>
      <c r="H279" s="264"/>
      <c r="I279" s="264"/>
      <c r="J279" s="295">
        <v>0</v>
      </c>
      <c r="K279" s="295">
        <v>0</v>
      </c>
      <c r="L279" s="295">
        <v>0</v>
      </c>
      <c r="O279" s="266"/>
      <c r="R279" s="265"/>
      <c r="V279" s="259"/>
      <c r="X279" s="269"/>
      <c r="Y279" s="259">
        <v>278</v>
      </c>
      <c r="AA279" s="259"/>
      <c r="AB279" s="259"/>
      <c r="AC279" s="259"/>
      <c r="AD279" s="259"/>
      <c r="AE279" s="259"/>
    </row>
    <row r="280" spans="1:31">
      <c r="A280" s="259" t="s">
        <v>435</v>
      </c>
      <c r="B280" s="259" t="s">
        <v>1</v>
      </c>
      <c r="C280" s="264" t="s">
        <v>3215</v>
      </c>
      <c r="D280" s="264" t="s">
        <v>3794</v>
      </c>
      <c r="E280" s="259" t="s">
        <v>3795</v>
      </c>
      <c r="H280" s="264" t="s">
        <v>3796</v>
      </c>
      <c r="I280" s="264" t="s">
        <v>3797</v>
      </c>
      <c r="J280" s="295">
        <v>178.87</v>
      </c>
      <c r="K280" s="295">
        <v>140</v>
      </c>
      <c r="L280" s="295">
        <v>97.96</v>
      </c>
      <c r="O280" s="266">
        <v>36</v>
      </c>
      <c r="P280" s="266">
        <v>885038019503</v>
      </c>
      <c r="Q280" s="266">
        <v>9002761019506</v>
      </c>
      <c r="R280" s="265">
        <v>3</v>
      </c>
      <c r="S280" s="265">
        <v>3</v>
      </c>
      <c r="T280" s="265">
        <v>5</v>
      </c>
      <c r="U280" s="265">
        <v>2.4</v>
      </c>
      <c r="V280" s="259" t="s">
        <v>3028</v>
      </c>
      <c r="W280" s="259" t="s">
        <v>3029</v>
      </c>
      <c r="X280" s="269" t="s">
        <v>3798</v>
      </c>
      <c r="Y280" s="259">
        <v>279</v>
      </c>
      <c r="Z280" s="259" t="s">
        <v>3030</v>
      </c>
      <c r="AA280" s="259"/>
      <c r="AB280" s="259"/>
      <c r="AC280" s="259"/>
      <c r="AD280" s="259"/>
      <c r="AE280" s="259"/>
    </row>
    <row r="281" spans="1:31">
      <c r="A281" s="259" t="s">
        <v>436</v>
      </c>
      <c r="B281" s="259" t="s">
        <v>1</v>
      </c>
      <c r="C281" s="264" t="s">
        <v>3215</v>
      </c>
      <c r="D281" s="264" t="s">
        <v>3799</v>
      </c>
      <c r="E281" s="259" t="s">
        <v>3795</v>
      </c>
      <c r="H281" s="264" t="s">
        <v>3796</v>
      </c>
      <c r="I281" s="264" t="s">
        <v>3800</v>
      </c>
      <c r="J281" s="295">
        <v>298.92</v>
      </c>
      <c r="K281" s="295">
        <v>236</v>
      </c>
      <c r="L281" s="295">
        <v>171.43</v>
      </c>
      <c r="O281" s="266">
        <v>36</v>
      </c>
      <c r="P281" s="266">
        <v>885038019510</v>
      </c>
      <c r="Q281" s="266">
        <v>9002761019513</v>
      </c>
      <c r="R281" s="265">
        <v>3</v>
      </c>
      <c r="S281" s="265">
        <v>3</v>
      </c>
      <c r="T281" s="265">
        <v>5</v>
      </c>
      <c r="U281" s="265">
        <v>6.8</v>
      </c>
      <c r="V281" s="259" t="s">
        <v>3028</v>
      </c>
      <c r="W281" s="259" t="s">
        <v>3029</v>
      </c>
      <c r="X281" s="269" t="s">
        <v>3801</v>
      </c>
      <c r="Y281" s="259">
        <v>280</v>
      </c>
      <c r="Z281" s="259" t="s">
        <v>3030</v>
      </c>
      <c r="AA281" s="259"/>
      <c r="AB281" s="259"/>
      <c r="AC281" s="259"/>
      <c r="AD281" s="259"/>
      <c r="AE281" s="259"/>
    </row>
    <row r="282" spans="1:31">
      <c r="A282" s="259" t="s">
        <v>437</v>
      </c>
      <c r="B282" s="259" t="s">
        <v>1</v>
      </c>
      <c r="C282" s="264" t="s">
        <v>3093</v>
      </c>
      <c r="D282" s="264" t="s">
        <v>3802</v>
      </c>
      <c r="E282" s="259" t="s">
        <v>3803</v>
      </c>
      <c r="H282" s="264" t="s">
        <v>3093</v>
      </c>
      <c r="I282" s="264" t="s">
        <v>3804</v>
      </c>
      <c r="J282" s="295">
        <v>373.34</v>
      </c>
      <c r="K282" s="295">
        <v>298</v>
      </c>
      <c r="L282" s="295">
        <v>228.68</v>
      </c>
      <c r="O282" s="266"/>
      <c r="P282" s="266">
        <v>885038040149</v>
      </c>
      <c r="Q282" s="266">
        <v>9002761040142</v>
      </c>
      <c r="R282" s="265">
        <v>3</v>
      </c>
      <c r="S282" s="265">
        <v>4</v>
      </c>
      <c r="T282" s="265">
        <v>3.25</v>
      </c>
      <c r="U282" s="265">
        <v>3.2</v>
      </c>
      <c r="V282" s="259" t="s">
        <v>3028</v>
      </c>
      <c r="W282" s="259" t="s">
        <v>3029</v>
      </c>
      <c r="X282" s="269" t="s">
        <v>3805</v>
      </c>
      <c r="Y282" s="259">
        <v>281</v>
      </c>
      <c r="Z282" s="259" t="s">
        <v>3030</v>
      </c>
      <c r="AA282" s="259"/>
      <c r="AB282" s="259"/>
      <c r="AC282" s="259"/>
      <c r="AD282" s="259"/>
      <c r="AE282" s="259"/>
    </row>
    <row r="283" spans="1:31">
      <c r="A283" s="259" t="s">
        <v>438</v>
      </c>
      <c r="B283" s="259" t="s">
        <v>1</v>
      </c>
      <c r="C283" s="264" t="s">
        <v>3215</v>
      </c>
      <c r="D283" s="264" t="s">
        <v>3806</v>
      </c>
      <c r="E283" s="259" t="s">
        <v>3795</v>
      </c>
      <c r="H283" s="264" t="s">
        <v>3796</v>
      </c>
      <c r="I283" s="264" t="s">
        <v>3807</v>
      </c>
      <c r="J283" s="295">
        <v>298.92</v>
      </c>
      <c r="K283" s="295">
        <v>236</v>
      </c>
      <c r="L283" s="295">
        <v>171.43</v>
      </c>
      <c r="O283" s="266">
        <v>36</v>
      </c>
      <c r="P283" s="266">
        <v>885038024477</v>
      </c>
      <c r="Q283" s="266">
        <v>9002761024470</v>
      </c>
      <c r="R283" s="265">
        <v>4</v>
      </c>
      <c r="S283" s="265">
        <v>3</v>
      </c>
      <c r="T283" s="265">
        <v>5</v>
      </c>
      <c r="U283" s="265">
        <v>5.2</v>
      </c>
      <c r="V283" s="259" t="s">
        <v>3028</v>
      </c>
      <c r="W283" s="259" t="s">
        <v>3029</v>
      </c>
      <c r="X283" s="269" t="s">
        <v>3808</v>
      </c>
      <c r="Y283" s="259">
        <v>282</v>
      </c>
      <c r="Z283" s="259" t="s">
        <v>3030</v>
      </c>
      <c r="AA283" s="259"/>
      <c r="AB283" s="259"/>
      <c r="AC283" s="259"/>
      <c r="AD283" s="259"/>
      <c r="AE283" s="259"/>
    </row>
    <row r="284" spans="1:31">
      <c r="A284" s="259" t="s">
        <v>439</v>
      </c>
      <c r="B284" s="259" t="s">
        <v>1</v>
      </c>
      <c r="C284" s="264" t="s">
        <v>3809</v>
      </c>
      <c r="D284" s="264" t="s">
        <v>3810</v>
      </c>
      <c r="E284" s="259" t="s">
        <v>3795</v>
      </c>
      <c r="H284" s="264" t="s">
        <v>3811</v>
      </c>
      <c r="I284" s="264" t="s">
        <v>3812</v>
      </c>
      <c r="J284" s="295">
        <v>743.09</v>
      </c>
      <c r="K284" s="295">
        <v>603</v>
      </c>
      <c r="L284" s="295">
        <v>419.32</v>
      </c>
      <c r="O284" s="266"/>
      <c r="P284" s="266">
        <v>885038040132</v>
      </c>
      <c r="Q284" s="266">
        <v>9002761040135</v>
      </c>
      <c r="R284" s="265"/>
      <c r="U284" s="265">
        <v>3.2</v>
      </c>
      <c r="V284" s="259" t="s">
        <v>3028</v>
      </c>
      <c r="W284" s="259" t="s">
        <v>3029</v>
      </c>
      <c r="X284" s="269" t="s">
        <v>3813</v>
      </c>
      <c r="Y284" s="259">
        <v>283</v>
      </c>
      <c r="Z284" s="259" t="s">
        <v>3030</v>
      </c>
      <c r="AA284" s="259"/>
      <c r="AB284" s="259"/>
      <c r="AC284" s="259"/>
      <c r="AD284" s="259"/>
      <c r="AE284" s="259"/>
    </row>
    <row r="285" spans="1:31">
      <c r="A285" s="259" t="s">
        <v>440</v>
      </c>
      <c r="B285" s="259" t="s">
        <v>1</v>
      </c>
      <c r="C285" s="264" t="s">
        <v>3215</v>
      </c>
      <c r="D285" s="264" t="s">
        <v>3814</v>
      </c>
      <c r="E285" s="259" t="s">
        <v>3795</v>
      </c>
      <c r="H285" s="264" t="s">
        <v>3815</v>
      </c>
      <c r="I285" s="264" t="s">
        <v>3816</v>
      </c>
      <c r="J285" s="295">
        <v>143.30000000000001</v>
      </c>
      <c r="K285" s="295">
        <v>119</v>
      </c>
      <c r="L285" s="295">
        <v>85.71</v>
      </c>
      <c r="O285" s="266"/>
      <c r="P285" s="266">
        <v>885038038238</v>
      </c>
      <c r="R285" s="265">
        <v>1</v>
      </c>
      <c r="S285" s="265">
        <v>3</v>
      </c>
      <c r="T285" s="265">
        <v>4</v>
      </c>
      <c r="V285" s="259" t="s">
        <v>3218</v>
      </c>
      <c r="W285" s="259" t="s">
        <v>3061</v>
      </c>
      <c r="X285" s="269" t="s">
        <v>3817</v>
      </c>
      <c r="Y285" s="259">
        <v>284</v>
      </c>
      <c r="Z285" s="259" t="s">
        <v>3030</v>
      </c>
      <c r="AA285" s="259"/>
      <c r="AB285" s="259"/>
      <c r="AC285" s="259"/>
      <c r="AD285" s="259"/>
      <c r="AE285" s="259"/>
    </row>
    <row r="286" spans="1:31">
      <c r="A286" s="259" t="s">
        <v>441</v>
      </c>
      <c r="B286" s="259" t="s">
        <v>1</v>
      </c>
      <c r="C286" s="264" t="s">
        <v>1949</v>
      </c>
      <c r="D286" s="264" t="s">
        <v>3818</v>
      </c>
      <c r="E286" s="259" t="s">
        <v>3803</v>
      </c>
      <c r="H286" s="264" t="s">
        <v>3818</v>
      </c>
      <c r="I286" s="264" t="s">
        <v>3818</v>
      </c>
      <c r="J286" s="295">
        <v>923.16</v>
      </c>
      <c r="K286" s="295">
        <v>659</v>
      </c>
      <c r="L286" s="295">
        <v>461.34</v>
      </c>
      <c r="O286" s="266"/>
      <c r="P286" s="266">
        <v>885038037835</v>
      </c>
      <c r="R286" s="265">
        <v>24</v>
      </c>
      <c r="S286" s="265">
        <v>24</v>
      </c>
      <c r="T286" s="265">
        <v>4</v>
      </c>
      <c r="V286" s="259" t="s">
        <v>3028</v>
      </c>
      <c r="W286" s="259" t="s">
        <v>3029</v>
      </c>
      <c r="X286" s="269" t="s">
        <v>3819</v>
      </c>
      <c r="Y286" s="259">
        <v>285</v>
      </c>
      <c r="Z286" s="259" t="s">
        <v>3030</v>
      </c>
      <c r="AA286" s="259"/>
      <c r="AB286" s="259"/>
      <c r="AC286" s="259"/>
      <c r="AD286" s="259"/>
      <c r="AE286" s="259"/>
    </row>
    <row r="287" spans="1:31">
      <c r="A287" s="259" t="s">
        <v>442</v>
      </c>
      <c r="B287" s="259" t="s">
        <v>1</v>
      </c>
      <c r="C287" s="264" t="s">
        <v>1949</v>
      </c>
      <c r="D287" s="264" t="s">
        <v>3820</v>
      </c>
      <c r="E287" s="259" t="s">
        <v>3803</v>
      </c>
      <c r="H287" s="264" t="s">
        <v>3820</v>
      </c>
      <c r="I287" s="264" t="s">
        <v>3820</v>
      </c>
      <c r="J287" s="295">
        <v>1163.25</v>
      </c>
      <c r="K287" s="295">
        <v>871</v>
      </c>
      <c r="L287" s="295">
        <v>583.20000000000005</v>
      </c>
      <c r="O287" s="266"/>
      <c r="P287" s="266">
        <v>885038039754</v>
      </c>
      <c r="R287" s="265"/>
      <c r="V287" s="259" t="s">
        <v>3028</v>
      </c>
      <c r="W287" s="259" t="s">
        <v>3029</v>
      </c>
      <c r="X287" s="269" t="s">
        <v>3821</v>
      </c>
      <c r="Y287" s="259">
        <v>286</v>
      </c>
      <c r="Z287" s="259" t="s">
        <v>3030</v>
      </c>
      <c r="AA287" s="259"/>
      <c r="AB287" s="259"/>
      <c r="AC287" s="259"/>
      <c r="AD287" s="259"/>
      <c r="AE287" s="259"/>
    </row>
    <row r="288" spans="1:31">
      <c r="A288" s="259" t="s">
        <v>443</v>
      </c>
      <c r="B288" s="259" t="s">
        <v>1</v>
      </c>
      <c r="C288" s="264" t="s">
        <v>3215</v>
      </c>
      <c r="D288" s="264" t="s">
        <v>3822</v>
      </c>
      <c r="E288" s="259" t="s">
        <v>3803</v>
      </c>
      <c r="H288" s="264" t="s">
        <v>3823</v>
      </c>
      <c r="I288" s="264" t="s">
        <v>3823</v>
      </c>
      <c r="J288" s="295">
        <v>280.87</v>
      </c>
      <c r="K288" s="295">
        <v>195</v>
      </c>
      <c r="L288" s="295">
        <v>155.51</v>
      </c>
      <c r="O288" s="266"/>
      <c r="P288" s="266">
        <v>885038038030</v>
      </c>
      <c r="R288" s="265"/>
      <c r="V288" s="259" t="s">
        <v>3028</v>
      </c>
      <c r="X288" s="269" t="s">
        <v>3824</v>
      </c>
      <c r="Y288" s="259">
        <v>287</v>
      </c>
      <c r="Z288" s="259" t="s">
        <v>3030</v>
      </c>
      <c r="AA288" s="259"/>
      <c r="AB288" s="259"/>
      <c r="AC288" s="259"/>
      <c r="AD288" s="259"/>
      <c r="AE288" s="259"/>
    </row>
    <row r="289" spans="1:31">
      <c r="A289" s="259" t="s">
        <v>444</v>
      </c>
      <c r="B289" s="259" t="s">
        <v>1</v>
      </c>
      <c r="C289" s="264" t="s">
        <v>1949</v>
      </c>
      <c r="D289" s="264" t="s">
        <v>3825</v>
      </c>
      <c r="E289" s="259" t="s">
        <v>3803</v>
      </c>
      <c r="H289" s="264" t="s">
        <v>3826</v>
      </c>
      <c r="I289" s="264" t="s">
        <v>3825</v>
      </c>
      <c r="J289" s="295">
        <v>281.02</v>
      </c>
      <c r="K289" s="295">
        <v>281</v>
      </c>
      <c r="L289" s="295">
        <v>165.3</v>
      </c>
      <c r="O289" s="266"/>
      <c r="P289" s="266">
        <v>885038038047</v>
      </c>
      <c r="R289" s="265">
        <v>11.75</v>
      </c>
      <c r="S289" s="265">
        <v>2.5</v>
      </c>
      <c r="T289" s="265">
        <v>5.25</v>
      </c>
      <c r="V289" s="259" t="s">
        <v>3028</v>
      </c>
      <c r="W289" s="259" t="s">
        <v>3029</v>
      </c>
      <c r="X289" s="269" t="s">
        <v>3827</v>
      </c>
      <c r="Y289" s="259">
        <v>288</v>
      </c>
      <c r="Z289" s="259" t="s">
        <v>3030</v>
      </c>
      <c r="AA289" s="259"/>
      <c r="AB289" s="259"/>
      <c r="AC289" s="259"/>
      <c r="AD289" s="259"/>
      <c r="AE289" s="259"/>
    </row>
    <row r="290" spans="1:31">
      <c r="A290" s="259" t="s">
        <v>445</v>
      </c>
      <c r="B290" s="259" t="s">
        <v>1</v>
      </c>
      <c r="C290" s="264" t="s">
        <v>1949</v>
      </c>
      <c r="D290" s="264" t="s">
        <v>3828</v>
      </c>
      <c r="E290" s="259" t="s">
        <v>3803</v>
      </c>
      <c r="H290" s="264" t="s">
        <v>3826</v>
      </c>
      <c r="I290" s="264" t="s">
        <v>3828</v>
      </c>
      <c r="J290" s="295">
        <v>567.82000000000005</v>
      </c>
      <c r="K290" s="295">
        <v>567.82000000000005</v>
      </c>
      <c r="L290" s="295">
        <v>340.66</v>
      </c>
      <c r="O290" s="266"/>
      <c r="P290" s="266">
        <v>885038038061</v>
      </c>
      <c r="R290" s="265">
        <v>11.5</v>
      </c>
      <c r="S290" s="265">
        <v>11</v>
      </c>
      <c r="T290" s="265">
        <v>11</v>
      </c>
      <c r="V290" s="259" t="s">
        <v>3028</v>
      </c>
      <c r="W290" s="259" t="s">
        <v>3029</v>
      </c>
      <c r="X290" s="269" t="s">
        <v>3829</v>
      </c>
      <c r="Y290" s="259">
        <v>289</v>
      </c>
      <c r="Z290" s="259" t="s">
        <v>3030</v>
      </c>
      <c r="AA290" s="259"/>
      <c r="AB290" s="259"/>
      <c r="AC290" s="259"/>
      <c r="AD290" s="259"/>
      <c r="AE290" s="259"/>
    </row>
    <row r="291" spans="1:31">
      <c r="A291" s="259" t="s">
        <v>446</v>
      </c>
      <c r="B291" s="259" t="s">
        <v>1</v>
      </c>
      <c r="C291" s="264" t="s">
        <v>1949</v>
      </c>
      <c r="D291" s="264" t="s">
        <v>3830</v>
      </c>
      <c r="E291" s="259" t="s">
        <v>3803</v>
      </c>
      <c r="H291" s="264" t="s">
        <v>3826</v>
      </c>
      <c r="I291" s="264" t="s">
        <v>3830</v>
      </c>
      <c r="J291" s="295">
        <v>0</v>
      </c>
      <c r="K291" s="295">
        <v>0</v>
      </c>
      <c r="L291" s="295">
        <v>340.93</v>
      </c>
      <c r="O291" s="266"/>
      <c r="P291" s="266">
        <v>885038038078</v>
      </c>
      <c r="R291" s="265">
        <v>11.5</v>
      </c>
      <c r="S291" s="265">
        <v>11.5</v>
      </c>
      <c r="T291" s="265">
        <v>1.5</v>
      </c>
      <c r="V291" s="259" t="s">
        <v>3028</v>
      </c>
      <c r="W291" s="259" t="s">
        <v>3029</v>
      </c>
      <c r="X291" s="269" t="s">
        <v>3831</v>
      </c>
      <c r="Y291" s="259">
        <v>290</v>
      </c>
      <c r="Z291" s="259" t="s">
        <v>3030</v>
      </c>
      <c r="AA291" s="259"/>
      <c r="AB291" s="259"/>
      <c r="AC291" s="259"/>
      <c r="AD291" s="259"/>
      <c r="AE291" s="259"/>
    </row>
    <row r="292" spans="1:31">
      <c r="A292" s="259" t="s">
        <v>447</v>
      </c>
      <c r="B292" s="259" t="s">
        <v>1</v>
      </c>
      <c r="C292" s="264" t="s">
        <v>3215</v>
      </c>
      <c r="D292" s="264" t="s">
        <v>3832</v>
      </c>
      <c r="E292" s="259" t="s">
        <v>3803</v>
      </c>
      <c r="G292" s="259" t="s">
        <v>3378</v>
      </c>
      <c r="H292" s="264" t="s">
        <v>3826</v>
      </c>
      <c r="I292" s="264" t="s">
        <v>3833</v>
      </c>
      <c r="J292" s="295">
        <v>749.09</v>
      </c>
      <c r="K292" s="295">
        <v>603</v>
      </c>
      <c r="L292" s="295">
        <v>427.71</v>
      </c>
      <c r="O292" s="266"/>
      <c r="P292" s="266">
        <v>885038034414</v>
      </c>
      <c r="Q292" s="266">
        <v>9002761034417</v>
      </c>
      <c r="R292" s="265">
        <v>8</v>
      </c>
      <c r="S292" s="265">
        <v>15</v>
      </c>
      <c r="T292" s="265">
        <v>11</v>
      </c>
      <c r="U292" s="265">
        <v>0</v>
      </c>
      <c r="V292" s="259" t="s">
        <v>3834</v>
      </c>
      <c r="W292" s="259" t="s">
        <v>3061</v>
      </c>
      <c r="X292" s="269" t="s">
        <v>3835</v>
      </c>
      <c r="Y292" s="259">
        <v>291</v>
      </c>
      <c r="Z292" s="259" t="s">
        <v>3227</v>
      </c>
      <c r="AA292" s="259"/>
      <c r="AB292" s="259"/>
      <c r="AC292" s="259"/>
      <c r="AD292" s="259"/>
      <c r="AE292" s="259"/>
    </row>
    <row r="293" spans="1:31">
      <c r="A293" s="259" t="s">
        <v>448</v>
      </c>
      <c r="B293" s="259" t="s">
        <v>1</v>
      </c>
      <c r="C293" s="264" t="s">
        <v>1949</v>
      </c>
      <c r="D293" s="264" t="s">
        <v>3836</v>
      </c>
      <c r="E293" s="259" t="s">
        <v>3803</v>
      </c>
      <c r="H293" s="264" t="s">
        <v>47</v>
      </c>
      <c r="I293" s="264" t="s">
        <v>3837</v>
      </c>
      <c r="J293" s="295">
        <v>776.7</v>
      </c>
      <c r="K293" s="295">
        <v>648</v>
      </c>
      <c r="L293" s="295">
        <v>452.94</v>
      </c>
      <c r="O293" s="266">
        <v>0.58315301391035546</v>
      </c>
      <c r="P293" s="266">
        <v>885038026792</v>
      </c>
      <c r="Q293" s="266">
        <v>9002761026795</v>
      </c>
      <c r="R293" s="265"/>
      <c r="U293" s="265">
        <v>2.4</v>
      </c>
      <c r="V293" s="259" t="s">
        <v>3060</v>
      </c>
      <c r="W293" s="259" t="s">
        <v>3061</v>
      </c>
      <c r="X293" s="273" t="s">
        <v>3838</v>
      </c>
      <c r="Y293" s="259">
        <v>292</v>
      </c>
      <c r="Z293" s="259" t="s">
        <v>3037</v>
      </c>
      <c r="AA293" s="259"/>
      <c r="AB293" s="259"/>
      <c r="AC293" s="259"/>
      <c r="AD293" s="259"/>
      <c r="AE293" s="259"/>
    </row>
    <row r="294" spans="1:31">
      <c r="A294" s="259" t="s">
        <v>449</v>
      </c>
      <c r="B294" s="259" t="s">
        <v>1</v>
      </c>
      <c r="C294" s="264" t="s">
        <v>3215</v>
      </c>
      <c r="D294" s="264" t="s">
        <v>3839</v>
      </c>
      <c r="E294" s="259" t="s">
        <v>3803</v>
      </c>
      <c r="H294" s="264" t="s">
        <v>25</v>
      </c>
      <c r="I294" s="264" t="s">
        <v>3840</v>
      </c>
      <c r="J294" s="295">
        <v>1343.74</v>
      </c>
      <c r="K294" s="295">
        <v>994</v>
      </c>
      <c r="L294" s="295">
        <v>759.17</v>
      </c>
      <c r="O294" s="266">
        <v>0.56497175141242939</v>
      </c>
      <c r="P294" s="266">
        <v>885038039662</v>
      </c>
      <c r="R294" s="265">
        <v>2.5</v>
      </c>
      <c r="S294" s="265">
        <v>18</v>
      </c>
      <c r="T294" s="265">
        <v>2.5</v>
      </c>
      <c r="V294" s="259" t="s">
        <v>3028</v>
      </c>
      <c r="W294" s="259" t="s">
        <v>3029</v>
      </c>
      <c r="X294" s="269" t="s">
        <v>3841</v>
      </c>
      <c r="Y294" s="259">
        <v>293</v>
      </c>
      <c r="Z294" s="259" t="s">
        <v>3030</v>
      </c>
      <c r="AA294" s="259"/>
      <c r="AB294" s="259"/>
      <c r="AC294" s="259"/>
      <c r="AD294" s="259"/>
      <c r="AE294" s="259"/>
    </row>
    <row r="295" spans="1:31">
      <c r="A295" s="259" t="s">
        <v>450</v>
      </c>
      <c r="B295" s="259" t="s">
        <v>1</v>
      </c>
      <c r="C295" s="264" t="s">
        <v>1949</v>
      </c>
      <c r="D295" s="264" t="s">
        <v>3842</v>
      </c>
      <c r="E295" s="259">
        <v>83200100</v>
      </c>
      <c r="H295" s="264" t="s">
        <v>3383</v>
      </c>
      <c r="I295" s="264" t="s">
        <v>3843</v>
      </c>
      <c r="J295" s="295">
        <v>0</v>
      </c>
      <c r="K295" s="295">
        <v>0</v>
      </c>
      <c r="L295" s="295">
        <v>134.85</v>
      </c>
      <c r="O295" s="266"/>
      <c r="P295" s="266">
        <v>885038039594</v>
      </c>
      <c r="Q295" s="266">
        <v>9002761039597</v>
      </c>
      <c r="R295" s="265"/>
      <c r="U295" s="265" t="s">
        <v>3101</v>
      </c>
      <c r="V295" s="259" t="s">
        <v>3060</v>
      </c>
      <c r="W295" s="259" t="s">
        <v>3061</v>
      </c>
      <c r="X295" s="269" t="s">
        <v>3844</v>
      </c>
      <c r="Y295" s="259">
        <v>294</v>
      </c>
      <c r="AA295" s="259"/>
      <c r="AB295" s="259"/>
      <c r="AC295" s="259"/>
      <c r="AD295" s="259"/>
      <c r="AE295" s="259"/>
    </row>
    <row r="296" spans="1:31">
      <c r="A296" s="259" t="s">
        <v>451</v>
      </c>
      <c r="B296" s="259" t="s">
        <v>1</v>
      </c>
      <c r="C296" s="264" t="s">
        <v>3826</v>
      </c>
      <c r="D296" s="264" t="s">
        <v>3845</v>
      </c>
      <c r="E296" s="259" t="s">
        <v>3803</v>
      </c>
      <c r="H296" s="264"/>
      <c r="I296" s="264" t="s">
        <v>3846</v>
      </c>
      <c r="J296" s="295">
        <v>414.83</v>
      </c>
      <c r="K296" s="295">
        <v>414.83</v>
      </c>
      <c r="L296" s="295">
        <v>261.79000000000002</v>
      </c>
      <c r="O296" s="266"/>
      <c r="P296" s="266">
        <v>885038038054</v>
      </c>
      <c r="R296" s="265">
        <v>11</v>
      </c>
      <c r="S296" s="265">
        <v>11</v>
      </c>
      <c r="T296" s="265">
        <v>13.5</v>
      </c>
      <c r="V296" s="259" t="s">
        <v>3028</v>
      </c>
      <c r="W296" s="259" t="s">
        <v>3029</v>
      </c>
      <c r="X296" s="269" t="s">
        <v>3847</v>
      </c>
      <c r="Y296" s="259">
        <v>295</v>
      </c>
      <c r="Z296" s="259" t="s">
        <v>3030</v>
      </c>
      <c r="AA296" s="259"/>
      <c r="AB296" s="259"/>
      <c r="AC296" s="259"/>
      <c r="AD296" s="259"/>
      <c r="AE296" s="259"/>
    </row>
    <row r="297" spans="1:31">
      <c r="A297" s="259" t="s">
        <v>452</v>
      </c>
      <c r="B297" s="259" t="s">
        <v>1</v>
      </c>
      <c r="C297" s="264" t="s">
        <v>3215</v>
      </c>
      <c r="D297" s="264" t="s">
        <v>3848</v>
      </c>
      <c r="E297" s="259">
        <v>0</v>
      </c>
      <c r="H297" s="264" t="s">
        <v>3849</v>
      </c>
      <c r="I297" s="264" t="s">
        <v>3850</v>
      </c>
      <c r="J297" s="295">
        <v>899.15</v>
      </c>
      <c r="K297" s="295">
        <v>720</v>
      </c>
      <c r="L297" s="295">
        <v>539.4</v>
      </c>
      <c r="O297" s="266">
        <v>0.61281708945260349</v>
      </c>
      <c r="P297" s="266">
        <v>885038026624</v>
      </c>
      <c r="Q297" s="266">
        <v>9002761026627</v>
      </c>
      <c r="R297" s="265"/>
      <c r="U297" s="265">
        <v>6.0960000000000001</v>
      </c>
      <c r="V297" s="259" t="s">
        <v>3218</v>
      </c>
      <c r="W297" s="259" t="s">
        <v>3061</v>
      </c>
      <c r="X297" s="269" t="s">
        <v>3851</v>
      </c>
      <c r="Y297" s="259">
        <v>296</v>
      </c>
      <c r="AA297" s="259"/>
      <c r="AB297" s="259"/>
      <c r="AC297" s="259"/>
      <c r="AD297" s="259"/>
      <c r="AE297" s="259"/>
    </row>
    <row r="298" spans="1:31">
      <c r="A298" s="259" t="s">
        <v>453</v>
      </c>
      <c r="B298" s="259" t="s">
        <v>1</v>
      </c>
      <c r="C298" s="264" t="s">
        <v>3215</v>
      </c>
      <c r="D298" s="264" t="s">
        <v>3852</v>
      </c>
      <c r="E298" s="259" t="s">
        <v>3803</v>
      </c>
      <c r="H298" s="264" t="s">
        <v>25</v>
      </c>
      <c r="I298" s="264" t="s">
        <v>3853</v>
      </c>
      <c r="J298" s="295">
        <v>454.98</v>
      </c>
      <c r="K298" s="295">
        <v>356</v>
      </c>
      <c r="L298" s="295">
        <v>275.51</v>
      </c>
      <c r="O298" s="266">
        <v>0.60554089709762537</v>
      </c>
      <c r="P298" s="266">
        <v>885038017813</v>
      </c>
      <c r="Q298" s="266">
        <v>9002761017816</v>
      </c>
      <c r="R298" s="265">
        <v>4</v>
      </c>
      <c r="S298" s="265">
        <v>10</v>
      </c>
      <c r="T298" s="265">
        <v>14</v>
      </c>
      <c r="U298" s="265">
        <v>4</v>
      </c>
      <c r="V298" s="259" t="s">
        <v>3218</v>
      </c>
      <c r="W298" s="259" t="s">
        <v>3061</v>
      </c>
      <c r="X298" s="269" t="s">
        <v>3854</v>
      </c>
      <c r="Y298" s="259">
        <v>297</v>
      </c>
      <c r="Z298" s="259" t="s">
        <v>3030</v>
      </c>
      <c r="AA298" s="259"/>
      <c r="AB298" s="259"/>
      <c r="AC298" s="259"/>
      <c r="AD298" s="259"/>
      <c r="AE298" s="259"/>
    </row>
    <row r="299" spans="1:31">
      <c r="A299" s="259" t="s">
        <v>454</v>
      </c>
      <c r="B299" s="259" t="s">
        <v>1</v>
      </c>
      <c r="C299" s="264" t="s">
        <v>3193</v>
      </c>
      <c r="D299" s="264" t="s">
        <v>3855</v>
      </c>
      <c r="E299" s="259" t="s">
        <v>3195</v>
      </c>
      <c r="H299" s="264" t="s">
        <v>18</v>
      </c>
      <c r="I299" s="264" t="s">
        <v>3587</v>
      </c>
      <c r="J299" s="295">
        <v>60.59</v>
      </c>
      <c r="K299" s="295">
        <v>47</v>
      </c>
      <c r="L299" s="295">
        <v>33.380000000000003</v>
      </c>
      <c r="O299" s="266"/>
      <c r="P299" s="266">
        <v>885038039280</v>
      </c>
      <c r="Q299" s="266">
        <v>9002761039283</v>
      </c>
      <c r="R299" s="265">
        <v>1</v>
      </c>
      <c r="S299" s="265">
        <v>3</v>
      </c>
      <c r="T299" s="265">
        <v>4</v>
      </c>
      <c r="U299" s="265" t="s">
        <v>3101</v>
      </c>
      <c r="V299" s="259" t="s">
        <v>3247</v>
      </c>
      <c r="W299" s="259" t="s">
        <v>3061</v>
      </c>
      <c r="X299" s="269" t="s">
        <v>3856</v>
      </c>
      <c r="Y299" s="259">
        <v>298</v>
      </c>
      <c r="Z299" s="259" t="s">
        <v>3037</v>
      </c>
      <c r="AA299" s="259"/>
      <c r="AB299" s="259"/>
      <c r="AC299" s="259"/>
      <c r="AD299" s="259"/>
      <c r="AE299" s="259"/>
    </row>
    <row r="300" spans="1:31">
      <c r="A300" s="259" t="s">
        <v>455</v>
      </c>
      <c r="B300" s="259" t="s">
        <v>1</v>
      </c>
      <c r="C300" s="264" t="s">
        <v>3193</v>
      </c>
      <c r="D300" s="264" t="s">
        <v>3857</v>
      </c>
      <c r="E300" s="259" t="s">
        <v>3195</v>
      </c>
      <c r="H300" s="264" t="s">
        <v>18</v>
      </c>
      <c r="I300" s="264" t="s">
        <v>3587</v>
      </c>
      <c r="J300" s="295">
        <v>60.59</v>
      </c>
      <c r="K300" s="295">
        <v>47</v>
      </c>
      <c r="L300" s="295">
        <v>33.380000000000003</v>
      </c>
      <c r="O300" s="266"/>
      <c r="P300" s="266">
        <v>885038039297</v>
      </c>
      <c r="Q300" s="266">
        <v>9002761039290</v>
      </c>
      <c r="R300" s="265">
        <v>1</v>
      </c>
      <c r="S300" s="265">
        <v>4</v>
      </c>
      <c r="T300" s="265">
        <v>2.5</v>
      </c>
      <c r="U300" s="265" t="s">
        <v>3101</v>
      </c>
      <c r="V300" s="259" t="s">
        <v>3247</v>
      </c>
      <c r="W300" s="259" t="s">
        <v>3061</v>
      </c>
      <c r="X300" s="269" t="s">
        <v>3858</v>
      </c>
      <c r="Y300" s="259">
        <v>299</v>
      </c>
      <c r="Z300" s="259" t="s">
        <v>3037</v>
      </c>
      <c r="AA300" s="259"/>
      <c r="AB300" s="259"/>
      <c r="AC300" s="259"/>
      <c r="AD300" s="259"/>
      <c r="AE300" s="259"/>
    </row>
    <row r="301" spans="1:31">
      <c r="A301" s="259" t="s">
        <v>456</v>
      </c>
      <c r="B301" s="259" t="s">
        <v>1</v>
      </c>
      <c r="C301" s="264" t="s">
        <v>3215</v>
      </c>
      <c r="D301" s="264" t="s">
        <v>3859</v>
      </c>
      <c r="E301" s="259" t="s">
        <v>3803</v>
      </c>
      <c r="H301" s="264" t="s">
        <v>3815</v>
      </c>
      <c r="I301" s="264" t="s">
        <v>3860</v>
      </c>
      <c r="J301" s="295">
        <v>671.06</v>
      </c>
      <c r="K301" s="295">
        <v>566</v>
      </c>
      <c r="L301" s="295">
        <v>387.77</v>
      </c>
      <c r="O301" s="266">
        <v>0.54737581425541382</v>
      </c>
      <c r="P301" s="266">
        <v>885038038344</v>
      </c>
      <c r="Q301" s="266">
        <v>9002761038347</v>
      </c>
      <c r="R301" s="265">
        <v>3.5</v>
      </c>
      <c r="S301" s="265">
        <v>8.75</v>
      </c>
      <c r="T301" s="265">
        <v>7.25</v>
      </c>
      <c r="U301" s="265">
        <v>3.43</v>
      </c>
      <c r="V301" s="259" t="s">
        <v>3028</v>
      </c>
      <c r="W301" s="259" t="s">
        <v>3029</v>
      </c>
      <c r="X301" s="269" t="s">
        <v>3861</v>
      </c>
      <c r="Y301" s="259">
        <v>300</v>
      </c>
      <c r="Z301" s="259" t="s">
        <v>3030</v>
      </c>
      <c r="AA301" s="259"/>
      <c r="AB301" s="259"/>
      <c r="AC301" s="259"/>
      <c r="AD301" s="259"/>
      <c r="AE301" s="259"/>
    </row>
    <row r="302" spans="1:31">
      <c r="A302" s="259" t="s">
        <v>457</v>
      </c>
      <c r="B302" s="259" t="s">
        <v>1</v>
      </c>
      <c r="C302" s="264" t="s">
        <v>1949</v>
      </c>
      <c r="D302" s="264" t="s">
        <v>3862</v>
      </c>
      <c r="E302" s="259" t="s">
        <v>3863</v>
      </c>
      <c r="H302" s="264" t="s">
        <v>1949</v>
      </c>
      <c r="I302" s="264" t="s">
        <v>3864</v>
      </c>
      <c r="J302" s="295">
        <v>223.29</v>
      </c>
      <c r="K302" s="295">
        <v>205</v>
      </c>
      <c r="L302" s="295">
        <v>141.08000000000001</v>
      </c>
      <c r="O302" s="266"/>
      <c r="P302" s="266">
        <v>885038028482</v>
      </c>
      <c r="Q302" s="266">
        <v>9002761028485</v>
      </c>
      <c r="R302" s="265">
        <v>2</v>
      </c>
      <c r="S302" s="265">
        <v>17</v>
      </c>
      <c r="T302" s="265">
        <v>4</v>
      </c>
      <c r="U302" s="265">
        <v>2</v>
      </c>
      <c r="V302" s="259" t="s">
        <v>3028</v>
      </c>
      <c r="W302" s="259" t="s">
        <v>3029</v>
      </c>
      <c r="X302" s="269" t="s">
        <v>3865</v>
      </c>
      <c r="Y302" s="259">
        <v>301</v>
      </c>
      <c r="Z302" s="259" t="s">
        <v>3037</v>
      </c>
      <c r="AA302" s="259"/>
      <c r="AB302" s="259"/>
      <c r="AC302" s="259"/>
      <c r="AD302" s="259"/>
      <c r="AE302" s="259"/>
    </row>
    <row r="303" spans="1:31">
      <c r="A303" s="259" t="s">
        <v>458</v>
      </c>
      <c r="B303" s="259" t="s">
        <v>1</v>
      </c>
      <c r="C303" s="264" t="s">
        <v>1949</v>
      </c>
      <c r="D303" s="264" t="s">
        <v>3866</v>
      </c>
      <c r="E303" s="259" t="s">
        <v>3803</v>
      </c>
      <c r="G303" s="259" t="s">
        <v>3378</v>
      </c>
      <c r="H303" s="264" t="s">
        <v>47</v>
      </c>
      <c r="I303" s="264" t="s">
        <v>3867</v>
      </c>
      <c r="J303" s="295">
        <v>55.22</v>
      </c>
      <c r="K303" s="295">
        <v>47</v>
      </c>
      <c r="L303" s="295">
        <v>29.03</v>
      </c>
      <c r="O303" s="266">
        <v>0.47173913043478261</v>
      </c>
      <c r="P303" s="266">
        <v>885038032465</v>
      </c>
      <c r="Q303" s="266">
        <v>9002761032468</v>
      </c>
      <c r="R303" s="265">
        <v>3</v>
      </c>
      <c r="S303" s="265">
        <v>6</v>
      </c>
      <c r="T303" s="265">
        <v>3</v>
      </c>
      <c r="U303" s="265" t="s">
        <v>3101</v>
      </c>
      <c r="V303" s="259" t="s">
        <v>3028</v>
      </c>
      <c r="W303" s="259" t="s">
        <v>3029</v>
      </c>
      <c r="X303" s="269" t="s">
        <v>3868</v>
      </c>
      <c r="Y303" s="259">
        <v>302</v>
      </c>
      <c r="Z303" s="259" t="s">
        <v>3227</v>
      </c>
      <c r="AA303" s="259"/>
      <c r="AB303" s="259"/>
      <c r="AC303" s="259"/>
      <c r="AD303" s="259"/>
      <c r="AE303" s="259"/>
    </row>
    <row r="304" spans="1:31">
      <c r="A304" s="259" t="s">
        <v>459</v>
      </c>
      <c r="B304" s="259" t="s">
        <v>1</v>
      </c>
      <c r="C304" s="264" t="s">
        <v>1949</v>
      </c>
      <c r="D304" s="264" t="s">
        <v>3869</v>
      </c>
      <c r="E304" s="259" t="s">
        <v>3556</v>
      </c>
      <c r="H304" s="264" t="s">
        <v>1949</v>
      </c>
      <c r="I304" s="264" t="s">
        <v>3870</v>
      </c>
      <c r="J304" s="295">
        <v>52.82</v>
      </c>
      <c r="K304" s="295">
        <v>47</v>
      </c>
      <c r="L304" s="295">
        <v>31.88</v>
      </c>
      <c r="O304" s="266"/>
      <c r="P304" s="266">
        <v>885038032915</v>
      </c>
      <c r="Q304" s="266">
        <v>9002761032918</v>
      </c>
      <c r="R304" s="265">
        <v>2.5</v>
      </c>
      <c r="S304" s="265">
        <v>6.5</v>
      </c>
      <c r="T304" s="265">
        <v>5</v>
      </c>
      <c r="U304" s="265">
        <v>2.2000000000000002</v>
      </c>
      <c r="V304" s="259" t="s">
        <v>3028</v>
      </c>
      <c r="W304" s="259" t="s">
        <v>3029</v>
      </c>
      <c r="X304" s="269" t="s">
        <v>3871</v>
      </c>
      <c r="Y304" s="259">
        <v>303</v>
      </c>
      <c r="Z304" s="259" t="s">
        <v>3030</v>
      </c>
      <c r="AA304" s="259"/>
      <c r="AB304" s="259"/>
      <c r="AC304" s="259"/>
      <c r="AD304" s="259"/>
      <c r="AE304" s="259"/>
    </row>
    <row r="305" spans="1:31">
      <c r="A305" s="259" t="s">
        <v>460</v>
      </c>
      <c r="B305" s="259" t="s">
        <v>1</v>
      </c>
      <c r="C305" s="264" t="s">
        <v>1949</v>
      </c>
      <c r="D305" s="264" t="s">
        <v>3872</v>
      </c>
      <c r="E305" s="259">
        <v>83200200</v>
      </c>
      <c r="H305" s="264" t="s">
        <v>1949</v>
      </c>
      <c r="I305" s="264" t="s">
        <v>3873</v>
      </c>
      <c r="J305" s="295">
        <v>58.82</v>
      </c>
      <c r="K305" s="295">
        <v>47</v>
      </c>
      <c r="L305" s="295">
        <v>32.090000000000003</v>
      </c>
      <c r="O305" s="266"/>
      <c r="P305" s="266">
        <v>885038037453</v>
      </c>
      <c r="Q305" s="266">
        <v>9002761037456</v>
      </c>
      <c r="R305" s="265">
        <v>2</v>
      </c>
      <c r="S305" s="265">
        <v>10.25</v>
      </c>
      <c r="T305" s="265">
        <v>4.5</v>
      </c>
      <c r="U305" s="265">
        <v>2</v>
      </c>
      <c r="V305" s="259" t="s">
        <v>3028</v>
      </c>
      <c r="W305" s="259" t="s">
        <v>3029</v>
      </c>
      <c r="X305" s="269" t="s">
        <v>3874</v>
      </c>
      <c r="Y305" s="259">
        <v>304</v>
      </c>
      <c r="Z305" s="259" t="s">
        <v>3030</v>
      </c>
      <c r="AA305" s="259"/>
      <c r="AB305" s="259"/>
      <c r="AC305" s="259"/>
      <c r="AD305" s="259"/>
      <c r="AE305" s="259"/>
    </row>
    <row r="306" spans="1:31">
      <c r="A306" s="259" t="s">
        <v>461</v>
      </c>
      <c r="B306" s="259" t="s">
        <v>1</v>
      </c>
      <c r="C306" s="264" t="s">
        <v>1949</v>
      </c>
      <c r="D306" s="264" t="s">
        <v>3875</v>
      </c>
      <c r="E306" s="259" t="s">
        <v>3803</v>
      </c>
      <c r="H306" s="264" t="s">
        <v>3561</v>
      </c>
      <c r="I306" s="264" t="s">
        <v>3876</v>
      </c>
      <c r="J306" s="295">
        <v>58.82</v>
      </c>
      <c r="K306" s="295">
        <v>47</v>
      </c>
      <c r="L306" s="295">
        <v>32.770000000000003</v>
      </c>
      <c r="O306" s="266"/>
      <c r="P306" s="266">
        <v>885038004257</v>
      </c>
      <c r="Q306" s="266">
        <v>9002761004250</v>
      </c>
      <c r="R306" s="265">
        <v>0.5</v>
      </c>
      <c r="S306" s="265">
        <v>0.5</v>
      </c>
      <c r="T306" s="265">
        <v>1.5</v>
      </c>
      <c r="U306" s="265">
        <v>0.4</v>
      </c>
      <c r="V306" s="259" t="s">
        <v>3060</v>
      </c>
      <c r="W306" s="259" t="s">
        <v>3061</v>
      </c>
      <c r="X306" s="269" t="s">
        <v>3877</v>
      </c>
      <c r="Y306" s="259">
        <v>305</v>
      </c>
      <c r="Z306" s="259" t="s">
        <v>3030</v>
      </c>
      <c r="AA306" s="259"/>
      <c r="AB306" s="259"/>
      <c r="AC306" s="259"/>
      <c r="AD306" s="259"/>
      <c r="AE306" s="259"/>
    </row>
    <row r="307" spans="1:31">
      <c r="A307" s="259" t="s">
        <v>462</v>
      </c>
      <c r="B307" s="259" t="s">
        <v>1</v>
      </c>
      <c r="C307" s="264" t="s">
        <v>1949</v>
      </c>
      <c r="D307" s="264" t="s">
        <v>3878</v>
      </c>
      <c r="E307" s="259" t="s">
        <v>3803</v>
      </c>
      <c r="H307" s="264" t="s">
        <v>3561</v>
      </c>
      <c r="I307" s="264" t="s">
        <v>3879</v>
      </c>
      <c r="J307" s="295">
        <v>73.23</v>
      </c>
      <c r="K307" s="295">
        <v>61</v>
      </c>
      <c r="L307" s="295">
        <v>45.93</v>
      </c>
      <c r="O307" s="266">
        <v>0.56913782635094101</v>
      </c>
      <c r="P307" s="266">
        <v>885038026761</v>
      </c>
      <c r="Q307" s="266">
        <v>9002761026764</v>
      </c>
      <c r="R307" s="265">
        <v>11</v>
      </c>
      <c r="S307" s="265">
        <v>13</v>
      </c>
      <c r="T307" s="265">
        <v>3</v>
      </c>
      <c r="U307" s="265">
        <v>2</v>
      </c>
      <c r="V307" s="259" t="s">
        <v>3028</v>
      </c>
      <c r="W307" s="259" t="s">
        <v>3029</v>
      </c>
      <c r="X307" s="269" t="s">
        <v>3880</v>
      </c>
      <c r="Y307" s="259">
        <v>306</v>
      </c>
      <c r="Z307" s="259" t="s">
        <v>3030</v>
      </c>
      <c r="AA307" s="259"/>
      <c r="AB307" s="259"/>
      <c r="AC307" s="259"/>
      <c r="AD307" s="259"/>
      <c r="AE307" s="259"/>
    </row>
    <row r="308" spans="1:31">
      <c r="A308" s="259" t="s">
        <v>463</v>
      </c>
      <c r="B308" s="259" t="s">
        <v>1</v>
      </c>
      <c r="C308" s="264" t="s">
        <v>1949</v>
      </c>
      <c r="D308" s="264" t="s">
        <v>3881</v>
      </c>
      <c r="E308" s="259" t="s">
        <v>3803</v>
      </c>
      <c r="H308" s="264" t="s">
        <v>3561</v>
      </c>
      <c r="I308" s="264" t="s">
        <v>3882</v>
      </c>
      <c r="J308" s="295">
        <v>17.2</v>
      </c>
      <c r="K308" s="295">
        <v>17.2</v>
      </c>
      <c r="L308" s="295">
        <v>13.72</v>
      </c>
      <c r="O308" s="266">
        <v>0.55562499999999992</v>
      </c>
      <c r="P308" s="266">
        <v>885038026778</v>
      </c>
      <c r="Q308" s="266">
        <v>9002761026771</v>
      </c>
      <c r="R308" s="265">
        <v>1</v>
      </c>
      <c r="S308" s="265">
        <v>3</v>
      </c>
      <c r="T308" s="265">
        <v>3</v>
      </c>
      <c r="U308" s="265">
        <v>0.4</v>
      </c>
      <c r="V308" s="259" t="s">
        <v>3028</v>
      </c>
      <c r="W308" s="259" t="s">
        <v>3029</v>
      </c>
      <c r="X308" s="269" t="s">
        <v>3883</v>
      </c>
      <c r="Y308" s="259">
        <v>307</v>
      </c>
      <c r="Z308" s="259" t="s">
        <v>3030</v>
      </c>
      <c r="AA308" s="259"/>
      <c r="AB308" s="259"/>
      <c r="AC308" s="259"/>
      <c r="AD308" s="259"/>
      <c r="AE308" s="259"/>
    </row>
    <row r="309" spans="1:31">
      <c r="A309" s="259" t="s">
        <v>3</v>
      </c>
      <c r="B309" s="259" t="s">
        <v>1</v>
      </c>
      <c r="C309" s="264"/>
      <c r="D309" s="264"/>
      <c r="H309" s="264"/>
      <c r="I309" s="264"/>
      <c r="J309" s="295">
        <v>0</v>
      </c>
      <c r="K309" s="295">
        <v>0</v>
      </c>
      <c r="L309" s="295">
        <v>0</v>
      </c>
      <c r="O309" s="266"/>
      <c r="R309" s="265"/>
      <c r="V309" s="259"/>
      <c r="X309" s="269"/>
      <c r="Y309" s="259">
        <v>308</v>
      </c>
      <c r="AA309" s="259"/>
      <c r="AB309" s="259"/>
      <c r="AC309" s="259"/>
      <c r="AD309" s="259"/>
      <c r="AE309" s="259"/>
    </row>
    <row r="310" spans="1:31">
      <c r="A310" s="259" t="s">
        <v>464</v>
      </c>
      <c r="B310" s="259" t="s">
        <v>1</v>
      </c>
      <c r="C310" s="264" t="s">
        <v>1949</v>
      </c>
      <c r="D310" s="264" t="s">
        <v>3884</v>
      </c>
      <c r="E310" s="259" t="s">
        <v>3195</v>
      </c>
      <c r="H310" s="264" t="s">
        <v>1949</v>
      </c>
      <c r="I310" s="264" t="s">
        <v>3885</v>
      </c>
      <c r="J310" s="295">
        <v>72.03</v>
      </c>
      <c r="K310" s="295">
        <v>61</v>
      </c>
      <c r="L310" s="295">
        <v>40.799999999999997</v>
      </c>
      <c r="O310" s="266"/>
      <c r="P310" s="266">
        <v>885038005025</v>
      </c>
      <c r="Q310" s="266">
        <v>9002761005028</v>
      </c>
      <c r="R310" s="265">
        <v>3</v>
      </c>
      <c r="S310" s="265">
        <v>3</v>
      </c>
      <c r="T310" s="265">
        <v>3</v>
      </c>
      <c r="U310" s="265">
        <v>2.8</v>
      </c>
      <c r="V310" s="259" t="s">
        <v>3247</v>
      </c>
      <c r="W310" s="259" t="s">
        <v>3061</v>
      </c>
      <c r="X310" s="269" t="s">
        <v>3886</v>
      </c>
      <c r="Y310" s="259">
        <v>309</v>
      </c>
      <c r="Z310" s="259" t="s">
        <v>3030</v>
      </c>
      <c r="AA310" s="259"/>
      <c r="AB310" s="259"/>
      <c r="AC310" s="259"/>
      <c r="AD310" s="259"/>
      <c r="AE310" s="259"/>
    </row>
    <row r="311" spans="1:31">
      <c r="A311" s="259" t="s">
        <v>465</v>
      </c>
      <c r="B311" s="259" t="s">
        <v>1</v>
      </c>
      <c r="C311" s="264" t="s">
        <v>3</v>
      </c>
      <c r="D311" s="264" t="s">
        <v>3887</v>
      </c>
      <c r="E311" s="259" t="s">
        <v>3888</v>
      </c>
      <c r="H311" s="264" t="s">
        <v>3889</v>
      </c>
      <c r="I311" s="264" t="s">
        <v>3890</v>
      </c>
      <c r="J311" s="295">
        <v>106.84</v>
      </c>
      <c r="K311" s="295">
        <v>75</v>
      </c>
      <c r="L311" s="295">
        <v>46.3</v>
      </c>
      <c r="O311" s="266">
        <v>10</v>
      </c>
      <c r="P311" s="266">
        <v>885038038795</v>
      </c>
      <c r="Q311" s="266">
        <v>9002761038798</v>
      </c>
      <c r="R311" s="265">
        <v>3</v>
      </c>
      <c r="S311" s="265">
        <v>2</v>
      </c>
      <c r="T311" s="265">
        <v>2</v>
      </c>
      <c r="U311" s="265">
        <v>9.25</v>
      </c>
      <c r="V311" s="259" t="s">
        <v>3028</v>
      </c>
      <c r="W311" s="259" t="s">
        <v>3029</v>
      </c>
      <c r="X311" s="269" t="s">
        <v>3891</v>
      </c>
      <c r="Y311" s="259">
        <v>310</v>
      </c>
      <c r="Z311" s="259" t="s">
        <v>3030</v>
      </c>
      <c r="AA311" s="259"/>
      <c r="AB311" s="259"/>
      <c r="AC311" s="259"/>
      <c r="AD311" s="259"/>
      <c r="AE311" s="259"/>
    </row>
    <row r="312" spans="1:31">
      <c r="A312" s="259" t="s">
        <v>466</v>
      </c>
      <c r="B312" s="259" t="s">
        <v>1</v>
      </c>
      <c r="C312" s="264" t="s">
        <v>3</v>
      </c>
      <c r="D312" s="264" t="s">
        <v>3892</v>
      </c>
      <c r="E312" s="259" t="s">
        <v>3888</v>
      </c>
      <c r="H312" s="264" t="s">
        <v>3893</v>
      </c>
      <c r="I312" s="264" t="s">
        <v>3894</v>
      </c>
      <c r="J312" s="295">
        <v>210.08</v>
      </c>
      <c r="K312" s="295">
        <v>119</v>
      </c>
      <c r="L312" s="295">
        <v>84.49</v>
      </c>
      <c r="O312" s="266"/>
      <c r="P312" s="266">
        <v>885038038245</v>
      </c>
      <c r="R312" s="265">
        <v>9002761038248</v>
      </c>
      <c r="S312" s="265" t="s">
        <v>3101</v>
      </c>
      <c r="T312" s="265" t="s">
        <v>3101</v>
      </c>
      <c r="U312" s="265" t="s">
        <v>3101</v>
      </c>
      <c r="V312" s="259" t="s">
        <v>3028</v>
      </c>
      <c r="W312" s="259" t="s">
        <v>3029</v>
      </c>
      <c r="X312" s="269" t="s">
        <v>3895</v>
      </c>
      <c r="Y312" s="259">
        <v>311</v>
      </c>
      <c r="Z312" s="259" t="s">
        <v>3030</v>
      </c>
      <c r="AA312" s="259"/>
      <c r="AB312" s="259"/>
      <c r="AC312" s="259"/>
      <c r="AD312" s="259"/>
      <c r="AE312" s="259"/>
    </row>
    <row r="313" spans="1:31">
      <c r="A313" s="259" t="s">
        <v>467</v>
      </c>
      <c r="B313" s="259" t="s">
        <v>1</v>
      </c>
      <c r="C313" s="264" t="s">
        <v>3</v>
      </c>
      <c r="D313" s="264" t="s">
        <v>3896</v>
      </c>
      <c r="E313" s="259" t="s">
        <v>3888</v>
      </c>
      <c r="H313" s="264" t="s">
        <v>3893</v>
      </c>
      <c r="I313" s="264" t="s">
        <v>3897</v>
      </c>
      <c r="J313" s="295">
        <v>154.86000000000001</v>
      </c>
      <c r="K313" s="295">
        <v>85</v>
      </c>
      <c r="L313" s="295">
        <v>60</v>
      </c>
      <c r="O313" s="266"/>
      <c r="P313" s="266">
        <v>885038026730</v>
      </c>
      <c r="Q313" s="266">
        <v>9002761026733</v>
      </c>
      <c r="R313" s="265">
        <v>9</v>
      </c>
      <c r="S313" s="265">
        <v>9</v>
      </c>
      <c r="T313" s="265">
        <v>4.5</v>
      </c>
      <c r="U313" s="265">
        <v>4.4000000000000004</v>
      </c>
      <c r="V313" s="259" t="s">
        <v>3028</v>
      </c>
      <c r="W313" s="259" t="s">
        <v>3029</v>
      </c>
      <c r="X313" s="269" t="s">
        <v>3898</v>
      </c>
      <c r="Y313" s="259">
        <v>312</v>
      </c>
      <c r="Z313" s="259" t="s">
        <v>3030</v>
      </c>
      <c r="AA313" s="259"/>
      <c r="AB313" s="259"/>
      <c r="AC313" s="259"/>
      <c r="AD313" s="259"/>
      <c r="AE313" s="259"/>
    </row>
    <row r="314" spans="1:31">
      <c r="A314" s="259" t="s">
        <v>468</v>
      </c>
      <c r="B314" s="259" t="s">
        <v>1</v>
      </c>
      <c r="C314" s="264" t="s">
        <v>3</v>
      </c>
      <c r="D314" s="264" t="s">
        <v>3899</v>
      </c>
      <c r="E314" s="259" t="s">
        <v>3888</v>
      </c>
      <c r="H314" s="264" t="s">
        <v>3893</v>
      </c>
      <c r="I314" s="264" t="s">
        <v>3900</v>
      </c>
      <c r="J314" s="295">
        <v>226.89</v>
      </c>
      <c r="K314" s="295">
        <v>185</v>
      </c>
      <c r="L314" s="295">
        <v>128.57</v>
      </c>
      <c r="O314" s="266">
        <v>30</v>
      </c>
      <c r="P314" s="266">
        <v>885038021193</v>
      </c>
      <c r="Q314" s="266">
        <v>9002761021196</v>
      </c>
      <c r="R314" s="265">
        <v>9</v>
      </c>
      <c r="S314" s="265">
        <v>9</v>
      </c>
      <c r="T314" s="265">
        <v>4.5</v>
      </c>
      <c r="U314" s="265">
        <v>4.4000000000000004</v>
      </c>
      <c r="V314" s="259" t="s">
        <v>3028</v>
      </c>
      <c r="W314" s="259" t="s">
        <v>3029</v>
      </c>
      <c r="X314" s="269" t="s">
        <v>3901</v>
      </c>
      <c r="Y314" s="259">
        <v>313</v>
      </c>
      <c r="Z314" s="259" t="s">
        <v>3030</v>
      </c>
      <c r="AA314" s="259"/>
      <c r="AB314" s="259"/>
      <c r="AC314" s="259"/>
      <c r="AD314" s="259"/>
      <c r="AE314" s="259"/>
    </row>
    <row r="315" spans="1:31">
      <c r="A315" s="259" t="s">
        <v>469</v>
      </c>
      <c r="B315" s="259" t="s">
        <v>1</v>
      </c>
      <c r="C315" s="264" t="s">
        <v>3</v>
      </c>
      <c r="D315" s="264" t="s">
        <v>3902</v>
      </c>
      <c r="E315" s="259" t="s">
        <v>3888</v>
      </c>
      <c r="H315" s="264" t="s">
        <v>3893</v>
      </c>
      <c r="I315" s="264" t="s">
        <v>3903</v>
      </c>
      <c r="J315" s="295">
        <v>346.93</v>
      </c>
      <c r="K315" s="295">
        <v>279</v>
      </c>
      <c r="L315" s="295">
        <v>192.43</v>
      </c>
      <c r="O315" s="266">
        <v>30</v>
      </c>
      <c r="P315" s="266">
        <v>885038021209</v>
      </c>
      <c r="Q315" s="266">
        <v>9002761021202</v>
      </c>
      <c r="R315" s="265">
        <v>10</v>
      </c>
      <c r="S315" s="265">
        <v>6</v>
      </c>
      <c r="T315" s="265">
        <v>10</v>
      </c>
      <c r="U315" s="265">
        <v>4.4000000000000004</v>
      </c>
      <c r="V315" s="259" t="s">
        <v>3028</v>
      </c>
      <c r="W315" s="259" t="s">
        <v>3029</v>
      </c>
      <c r="X315" s="269" t="s">
        <v>3904</v>
      </c>
      <c r="Y315" s="259">
        <v>314</v>
      </c>
      <c r="Z315" s="259" t="s">
        <v>3030</v>
      </c>
      <c r="AA315" s="259"/>
      <c r="AB315" s="259"/>
      <c r="AC315" s="259"/>
      <c r="AD315" s="259"/>
      <c r="AE315" s="259"/>
    </row>
    <row r="316" spans="1:31">
      <c r="A316" s="259" t="s">
        <v>470</v>
      </c>
      <c r="B316" s="259" t="s">
        <v>1</v>
      </c>
      <c r="C316" s="264" t="s">
        <v>3</v>
      </c>
      <c r="D316" s="264" t="s">
        <v>470</v>
      </c>
      <c r="E316" s="259" t="s">
        <v>3888</v>
      </c>
      <c r="H316" s="264" t="s">
        <v>3905</v>
      </c>
      <c r="I316" s="264" t="s">
        <v>3905</v>
      </c>
      <c r="J316" s="295">
        <v>148.56</v>
      </c>
      <c r="K316" s="295">
        <v>119</v>
      </c>
      <c r="L316" s="295">
        <v>76.23</v>
      </c>
      <c r="O316" s="266"/>
      <c r="P316" s="266">
        <v>885038040729</v>
      </c>
      <c r="Q316" s="266">
        <v>9002761040722</v>
      </c>
      <c r="R316" s="265">
        <v>1.48</v>
      </c>
      <c r="S316" s="265">
        <v>4.33</v>
      </c>
      <c r="T316" s="265">
        <v>8.86</v>
      </c>
      <c r="U316" s="265">
        <v>9.25</v>
      </c>
      <c r="V316" s="259" t="s">
        <v>3028</v>
      </c>
      <c r="W316" s="259" t="s">
        <v>3029</v>
      </c>
      <c r="X316" s="269" t="s">
        <v>3906</v>
      </c>
      <c r="Y316" s="259">
        <v>315</v>
      </c>
      <c r="Z316" s="259" t="s">
        <v>3030</v>
      </c>
      <c r="AA316" s="259"/>
      <c r="AB316" s="259"/>
      <c r="AC316" s="259"/>
      <c r="AD316" s="259"/>
      <c r="AE316" s="259"/>
    </row>
    <row r="317" spans="1:31">
      <c r="A317" s="259" t="s">
        <v>471</v>
      </c>
      <c r="B317" s="259" t="s">
        <v>1</v>
      </c>
      <c r="C317" s="264" t="s">
        <v>3</v>
      </c>
      <c r="D317" s="264" t="s">
        <v>3907</v>
      </c>
      <c r="E317" s="259" t="s">
        <v>3888</v>
      </c>
      <c r="H317" s="264" t="s">
        <v>3908</v>
      </c>
      <c r="I317" s="264" t="s">
        <v>3909</v>
      </c>
      <c r="J317" s="295">
        <v>193.57</v>
      </c>
      <c r="K317" s="295">
        <v>155</v>
      </c>
      <c r="L317" s="295">
        <v>108.4</v>
      </c>
      <c r="O317" s="266"/>
      <c r="P317" s="266">
        <v>885038040774</v>
      </c>
      <c r="R317" s="265"/>
      <c r="V317" s="259" t="s">
        <v>3028</v>
      </c>
      <c r="W317" s="259" t="s">
        <v>3061</v>
      </c>
      <c r="X317" s="269" t="s">
        <v>3910</v>
      </c>
      <c r="Y317" s="259">
        <v>316</v>
      </c>
      <c r="Z317" s="259" t="s">
        <v>3030</v>
      </c>
      <c r="AA317" s="259"/>
      <c r="AB317" s="259"/>
      <c r="AC317" s="259"/>
      <c r="AD317" s="259"/>
      <c r="AE317" s="259"/>
    </row>
    <row r="318" spans="1:31">
      <c r="A318" s="259" t="s">
        <v>472</v>
      </c>
      <c r="B318" s="259" t="s">
        <v>1</v>
      </c>
      <c r="C318" s="264" t="s">
        <v>3</v>
      </c>
      <c r="D318" s="264" t="s">
        <v>472</v>
      </c>
      <c r="E318" s="259" t="s">
        <v>3888</v>
      </c>
      <c r="H318" s="264" t="s">
        <v>3911</v>
      </c>
      <c r="I318" s="264" t="s">
        <v>3911</v>
      </c>
      <c r="J318" s="295">
        <v>223.59</v>
      </c>
      <c r="K318" s="295">
        <v>185</v>
      </c>
      <c r="L318" s="295">
        <v>125.21</v>
      </c>
      <c r="O318" s="266"/>
      <c r="P318" s="266">
        <v>885038040712</v>
      </c>
      <c r="Q318" s="266">
        <v>9002761040715</v>
      </c>
      <c r="R318" s="265">
        <v>1.69</v>
      </c>
      <c r="S318" s="265">
        <v>4.33</v>
      </c>
      <c r="T318" s="265">
        <v>8.86</v>
      </c>
      <c r="U318" s="265">
        <v>9.25</v>
      </c>
      <c r="V318" s="259" t="s">
        <v>3028</v>
      </c>
      <c r="W318" s="259" t="s">
        <v>3029</v>
      </c>
      <c r="X318" s="269" t="s">
        <v>3912</v>
      </c>
      <c r="Y318" s="259">
        <v>317</v>
      </c>
      <c r="Z318" s="259" t="s">
        <v>3030</v>
      </c>
      <c r="AA318" s="259"/>
      <c r="AB318" s="259"/>
      <c r="AC318" s="259"/>
      <c r="AD318" s="259"/>
      <c r="AE318" s="259"/>
    </row>
    <row r="319" spans="1:31">
      <c r="A319" s="259" t="s">
        <v>473</v>
      </c>
      <c r="B319" s="259" t="s">
        <v>1</v>
      </c>
      <c r="C319" s="264" t="s">
        <v>3</v>
      </c>
      <c r="D319" s="264" t="s">
        <v>473</v>
      </c>
      <c r="E319" s="259" t="s">
        <v>3888</v>
      </c>
      <c r="H319" s="264" t="s">
        <v>3913</v>
      </c>
      <c r="I319" s="264" t="s">
        <v>3914</v>
      </c>
      <c r="J319" s="295">
        <v>268.60000000000002</v>
      </c>
      <c r="K319" s="295">
        <v>216</v>
      </c>
      <c r="L319" s="295">
        <v>150.41999999999999</v>
      </c>
      <c r="O319" s="266"/>
      <c r="P319" s="266">
        <v>885038040781</v>
      </c>
      <c r="R319" s="265"/>
      <c r="V319" s="259" t="s">
        <v>3028</v>
      </c>
      <c r="W319" s="259" t="s">
        <v>3061</v>
      </c>
      <c r="X319" s="269" t="s">
        <v>3915</v>
      </c>
      <c r="Y319" s="259">
        <v>318</v>
      </c>
      <c r="Z319" s="259" t="s">
        <v>3030</v>
      </c>
      <c r="AA319" s="259"/>
      <c r="AB319" s="259"/>
      <c r="AC319" s="259"/>
      <c r="AD319" s="259"/>
      <c r="AE319" s="259"/>
    </row>
    <row r="320" spans="1:31">
      <c r="A320" s="259" t="s">
        <v>474</v>
      </c>
      <c r="B320" s="259" t="s">
        <v>1</v>
      </c>
      <c r="C320" s="264" t="s">
        <v>3</v>
      </c>
      <c r="D320" s="264" t="s">
        <v>3916</v>
      </c>
      <c r="E320" s="259" t="s">
        <v>3888</v>
      </c>
      <c r="H320" s="264" t="s">
        <v>3893</v>
      </c>
      <c r="I320" s="264" t="s">
        <v>3917</v>
      </c>
      <c r="J320" s="295">
        <v>298.62</v>
      </c>
      <c r="K320" s="295">
        <v>239</v>
      </c>
      <c r="L320" s="295">
        <v>167.22</v>
      </c>
      <c r="O320" s="266"/>
      <c r="P320" s="266">
        <v>885038038085</v>
      </c>
      <c r="Q320" s="266">
        <v>9002761038088</v>
      </c>
      <c r="R320" s="265">
        <v>9</v>
      </c>
      <c r="S320" s="265">
        <v>9</v>
      </c>
      <c r="T320" s="265">
        <v>4</v>
      </c>
      <c r="U320" s="265">
        <v>1.2</v>
      </c>
      <c r="V320" s="259" t="s">
        <v>3028</v>
      </c>
      <c r="W320" s="259" t="s">
        <v>3029</v>
      </c>
      <c r="X320" s="269" t="s">
        <v>3918</v>
      </c>
      <c r="Y320" s="259">
        <v>319</v>
      </c>
      <c r="Z320" s="259" t="s">
        <v>3030</v>
      </c>
      <c r="AA320" s="259"/>
      <c r="AB320" s="259"/>
      <c r="AC320" s="259"/>
      <c r="AD320" s="259"/>
      <c r="AE320" s="259"/>
    </row>
    <row r="321" spans="1:31">
      <c r="A321" s="259" t="s">
        <v>475</v>
      </c>
      <c r="B321" s="259" t="s">
        <v>1</v>
      </c>
      <c r="C321" s="264" t="s">
        <v>3</v>
      </c>
      <c r="D321" s="264" t="s">
        <v>3919</v>
      </c>
      <c r="E321" s="259" t="s">
        <v>3888</v>
      </c>
      <c r="H321" s="264" t="s">
        <v>3920</v>
      </c>
      <c r="I321" s="264" t="s">
        <v>3921</v>
      </c>
      <c r="J321" s="295">
        <v>298.92</v>
      </c>
      <c r="K321" s="295">
        <v>239</v>
      </c>
      <c r="L321" s="295">
        <v>171.43</v>
      </c>
      <c r="O321" s="266"/>
      <c r="P321" s="266">
        <v>885038035695</v>
      </c>
      <c r="Q321" s="266">
        <v>9002761035698</v>
      </c>
      <c r="R321" s="265">
        <v>13</v>
      </c>
      <c r="S321" s="265">
        <v>19</v>
      </c>
      <c r="T321" s="265">
        <v>17</v>
      </c>
      <c r="U321" s="265">
        <v>4.5999999999999996</v>
      </c>
      <c r="V321" s="259" t="s">
        <v>3028</v>
      </c>
      <c r="W321" s="259" t="s">
        <v>3029</v>
      </c>
      <c r="X321" s="269" t="s">
        <v>3922</v>
      </c>
      <c r="Y321" s="259">
        <v>320</v>
      </c>
      <c r="Z321" s="259" t="s">
        <v>3030</v>
      </c>
      <c r="AA321" s="259"/>
      <c r="AB321" s="259"/>
      <c r="AC321" s="259"/>
      <c r="AD321" s="259"/>
      <c r="AE321" s="259"/>
    </row>
    <row r="322" spans="1:31">
      <c r="A322" s="259" t="s">
        <v>476</v>
      </c>
      <c r="B322" s="259" t="s">
        <v>1</v>
      </c>
      <c r="C322" s="264" t="s">
        <v>3</v>
      </c>
      <c r="D322" s="264" t="s">
        <v>3923</v>
      </c>
      <c r="E322" s="259" t="s">
        <v>3888</v>
      </c>
      <c r="H322" s="264" t="s">
        <v>3920</v>
      </c>
      <c r="I322" s="264" t="s">
        <v>3924</v>
      </c>
      <c r="J322" s="295">
        <v>671.06</v>
      </c>
      <c r="K322" s="295">
        <v>545</v>
      </c>
      <c r="L322" s="295">
        <v>385.71</v>
      </c>
      <c r="O322" s="266">
        <v>0.5747763864042934</v>
      </c>
      <c r="P322" s="266">
        <v>885038018803</v>
      </c>
      <c r="Q322" s="266">
        <v>9002761018806</v>
      </c>
      <c r="R322" s="265">
        <v>13</v>
      </c>
      <c r="S322" s="265">
        <v>20</v>
      </c>
      <c r="T322" s="265">
        <v>20</v>
      </c>
      <c r="U322" s="265">
        <v>5.2</v>
      </c>
      <c r="V322" s="259" t="s">
        <v>3028</v>
      </c>
      <c r="W322" s="259" t="s">
        <v>3029</v>
      </c>
      <c r="X322" s="269" t="s">
        <v>3925</v>
      </c>
      <c r="Y322" s="259">
        <v>321</v>
      </c>
      <c r="Z322" s="259" t="s">
        <v>3030</v>
      </c>
      <c r="AA322" s="259"/>
      <c r="AB322" s="259"/>
      <c r="AC322" s="259"/>
      <c r="AD322" s="259"/>
      <c r="AE322" s="259"/>
    </row>
    <row r="323" spans="1:31">
      <c r="A323" s="259" t="s">
        <v>477</v>
      </c>
      <c r="B323" s="259" t="s">
        <v>1</v>
      </c>
      <c r="C323" s="264" t="s">
        <v>3</v>
      </c>
      <c r="D323" s="264" t="s">
        <v>3926</v>
      </c>
      <c r="E323" s="259" t="s">
        <v>3888</v>
      </c>
      <c r="H323" s="264" t="s">
        <v>3920</v>
      </c>
      <c r="I323" s="264" t="s">
        <v>3927</v>
      </c>
      <c r="J323" s="295">
        <v>527</v>
      </c>
      <c r="K323" s="295">
        <v>425</v>
      </c>
      <c r="L323" s="295">
        <v>300</v>
      </c>
      <c r="O323" s="266">
        <v>6</v>
      </c>
      <c r="P323" s="266">
        <v>885038021216</v>
      </c>
      <c r="Q323" s="266">
        <v>9002761021219</v>
      </c>
      <c r="R323" s="265">
        <v>12</v>
      </c>
      <c r="S323" s="265">
        <v>5</v>
      </c>
      <c r="T323" s="265">
        <v>9</v>
      </c>
      <c r="U323" s="265">
        <v>5.2</v>
      </c>
      <c r="V323" s="259" t="s">
        <v>3028</v>
      </c>
      <c r="W323" s="259" t="s">
        <v>3029</v>
      </c>
      <c r="X323" s="269" t="s">
        <v>3928</v>
      </c>
      <c r="Y323" s="259">
        <v>322</v>
      </c>
      <c r="Z323" s="259" t="s">
        <v>3030</v>
      </c>
      <c r="AA323" s="259"/>
      <c r="AB323" s="259"/>
      <c r="AC323" s="259"/>
      <c r="AD323" s="259"/>
      <c r="AE323" s="259"/>
    </row>
    <row r="324" spans="1:31">
      <c r="A324" s="259" t="s">
        <v>478</v>
      </c>
      <c r="B324" s="259" t="s">
        <v>1</v>
      </c>
      <c r="C324" s="264" t="s">
        <v>3</v>
      </c>
      <c r="D324" s="264" t="s">
        <v>3929</v>
      </c>
      <c r="E324" s="259" t="s">
        <v>3888</v>
      </c>
      <c r="H324" s="264" t="s">
        <v>3920</v>
      </c>
      <c r="I324" s="264" t="s">
        <v>3930</v>
      </c>
      <c r="J324" s="295">
        <v>827.12</v>
      </c>
      <c r="K324" s="295">
        <v>659</v>
      </c>
      <c r="L324" s="295">
        <v>461.34</v>
      </c>
      <c r="O324" s="266"/>
      <c r="P324" s="266">
        <v>885038035688</v>
      </c>
      <c r="Q324" s="266">
        <v>9002761035681</v>
      </c>
      <c r="R324" s="265">
        <v>11.75</v>
      </c>
      <c r="S324" s="265">
        <v>5</v>
      </c>
      <c r="T324" s="265">
        <v>9</v>
      </c>
      <c r="U324" s="265">
        <v>5.2</v>
      </c>
      <c r="V324" s="259" t="s">
        <v>3342</v>
      </c>
      <c r="W324" s="259" t="s">
        <v>3061</v>
      </c>
      <c r="X324" s="269" t="s">
        <v>3931</v>
      </c>
      <c r="Y324" s="259">
        <v>323</v>
      </c>
      <c r="Z324" s="259" t="s">
        <v>3030</v>
      </c>
      <c r="AA324" s="259"/>
      <c r="AB324" s="259"/>
      <c r="AC324" s="259"/>
      <c r="AD324" s="259"/>
      <c r="AE324" s="259"/>
    </row>
    <row r="325" spans="1:31">
      <c r="A325" s="259" t="s">
        <v>479</v>
      </c>
      <c r="B325" s="259" t="s">
        <v>1</v>
      </c>
      <c r="C325" s="264" t="s">
        <v>3</v>
      </c>
      <c r="D325" s="264" t="s">
        <v>3932</v>
      </c>
      <c r="E325" s="259" t="s">
        <v>3888</v>
      </c>
      <c r="H325" s="264" t="s">
        <v>3920</v>
      </c>
      <c r="I325" s="264" t="s">
        <v>3933</v>
      </c>
      <c r="J325" s="295">
        <v>2255.67</v>
      </c>
      <c r="K325" s="295">
        <v>1799</v>
      </c>
      <c r="L325" s="295">
        <v>1285.7</v>
      </c>
      <c r="O325" s="266"/>
      <c r="P325" s="266">
        <v>885038035770</v>
      </c>
      <c r="Q325" s="266">
        <v>9002761035773</v>
      </c>
      <c r="R325" s="265">
        <v>6</v>
      </c>
      <c r="S325" s="265">
        <v>14</v>
      </c>
      <c r="T325" s="265">
        <v>12</v>
      </c>
      <c r="U325" s="265">
        <v>5.2</v>
      </c>
      <c r="V325" s="259" t="s">
        <v>3342</v>
      </c>
      <c r="W325" s="259" t="s">
        <v>3061</v>
      </c>
      <c r="X325" s="269" t="s">
        <v>3934</v>
      </c>
      <c r="Y325" s="259">
        <v>324</v>
      </c>
      <c r="Z325" s="259" t="s">
        <v>3030</v>
      </c>
      <c r="AA325" s="259"/>
      <c r="AB325" s="259"/>
      <c r="AC325" s="259"/>
      <c r="AD325" s="259"/>
      <c r="AE325" s="259"/>
    </row>
    <row r="326" spans="1:31">
      <c r="A326" s="259" t="s">
        <v>480</v>
      </c>
      <c r="B326" s="259" t="s">
        <v>1</v>
      </c>
      <c r="C326" s="264" t="s">
        <v>3</v>
      </c>
      <c r="D326" s="264" t="s">
        <v>3935</v>
      </c>
      <c r="E326" s="259" t="s">
        <v>3888</v>
      </c>
      <c r="H326" s="264" t="s">
        <v>3936</v>
      </c>
      <c r="I326" s="264" t="s">
        <v>3937</v>
      </c>
      <c r="J326" s="295">
        <v>2255.67</v>
      </c>
      <c r="K326" s="295">
        <v>1799</v>
      </c>
      <c r="L326" s="295">
        <v>1376.61</v>
      </c>
      <c r="O326" s="266"/>
      <c r="P326" s="266">
        <v>885038039709</v>
      </c>
      <c r="Q326" s="266">
        <v>9002761039702</v>
      </c>
      <c r="R326" s="265">
        <v>7.75</v>
      </c>
      <c r="S326" s="265">
        <v>16.25</v>
      </c>
      <c r="T326" s="265">
        <v>11.5</v>
      </c>
      <c r="V326" s="259" t="s">
        <v>3342</v>
      </c>
      <c r="W326" s="259" t="s">
        <v>3061</v>
      </c>
      <c r="X326" s="269" t="s">
        <v>3938</v>
      </c>
      <c r="Y326" s="259">
        <v>325</v>
      </c>
      <c r="Z326" s="259" t="s">
        <v>3030</v>
      </c>
      <c r="AA326" s="259"/>
      <c r="AB326" s="259"/>
      <c r="AC326" s="259"/>
      <c r="AD326" s="259"/>
      <c r="AE326" s="259"/>
    </row>
    <row r="327" spans="1:31">
      <c r="A327" s="259" t="s">
        <v>481</v>
      </c>
      <c r="B327" s="259" t="s">
        <v>1</v>
      </c>
      <c r="C327" s="264" t="s">
        <v>3</v>
      </c>
      <c r="D327" s="264" t="s">
        <v>3939</v>
      </c>
      <c r="E327" s="259" t="s">
        <v>3377</v>
      </c>
      <c r="H327" s="264" t="s">
        <v>3940</v>
      </c>
      <c r="I327" s="264" t="s">
        <v>3941</v>
      </c>
      <c r="J327" s="295">
        <v>142.86000000000001</v>
      </c>
      <c r="K327" s="295">
        <v>109</v>
      </c>
      <c r="L327" s="295">
        <v>75.63</v>
      </c>
      <c r="O327" s="266"/>
      <c r="P327" s="266">
        <v>885038036784</v>
      </c>
      <c r="Q327" s="266">
        <v>9002761036787</v>
      </c>
      <c r="R327" s="265">
        <v>3</v>
      </c>
      <c r="S327" s="265">
        <v>9</v>
      </c>
      <c r="T327" s="265">
        <v>8</v>
      </c>
      <c r="U327" s="265">
        <v>2.4</v>
      </c>
      <c r="V327" s="259" t="s">
        <v>3342</v>
      </c>
      <c r="W327" s="259" t="s">
        <v>3061</v>
      </c>
      <c r="X327" s="269" t="s">
        <v>3942</v>
      </c>
      <c r="Y327" s="259">
        <v>326</v>
      </c>
      <c r="Z327" s="259" t="s">
        <v>3030</v>
      </c>
      <c r="AA327" s="259"/>
      <c r="AB327" s="259"/>
      <c r="AC327" s="259"/>
      <c r="AD327" s="259"/>
      <c r="AE327" s="259"/>
    </row>
    <row r="328" spans="1:31">
      <c r="A328" s="259" t="s">
        <v>8</v>
      </c>
      <c r="B328" s="259" t="s">
        <v>1</v>
      </c>
      <c r="C328" s="264"/>
      <c r="D328" s="264"/>
      <c r="H328" s="264"/>
      <c r="I328" s="264"/>
      <c r="J328" s="295">
        <v>0</v>
      </c>
      <c r="K328" s="295">
        <v>0</v>
      </c>
      <c r="L328" s="295">
        <v>0</v>
      </c>
      <c r="O328" s="266"/>
      <c r="R328" s="265"/>
      <c r="V328" s="259"/>
      <c r="X328" s="269"/>
      <c r="Y328" s="259">
        <v>327</v>
      </c>
      <c r="AA328" s="259"/>
      <c r="AB328" s="259"/>
      <c r="AC328" s="259"/>
      <c r="AD328" s="259"/>
      <c r="AE328" s="259"/>
    </row>
    <row r="329" spans="1:31">
      <c r="A329" s="259" t="s">
        <v>482</v>
      </c>
      <c r="B329" s="259" t="s">
        <v>1</v>
      </c>
      <c r="C329" s="264" t="s">
        <v>3</v>
      </c>
      <c r="D329" s="264" t="s">
        <v>3943</v>
      </c>
      <c r="E329" s="259" t="s">
        <v>3377</v>
      </c>
      <c r="H329" s="264" t="s">
        <v>3196</v>
      </c>
      <c r="I329" s="264" t="s">
        <v>3944</v>
      </c>
      <c r="J329" s="295">
        <v>275</v>
      </c>
      <c r="K329" s="295">
        <v>220</v>
      </c>
      <c r="L329" s="295">
        <v>151.26</v>
      </c>
      <c r="O329" s="266"/>
      <c r="P329" s="266">
        <v>885038036791</v>
      </c>
      <c r="Q329" s="266">
        <v>9002761036794</v>
      </c>
      <c r="R329" s="265">
        <v>4</v>
      </c>
      <c r="S329" s="265">
        <v>8</v>
      </c>
      <c r="T329" s="265">
        <v>8</v>
      </c>
      <c r="U329" s="265">
        <v>2.4</v>
      </c>
      <c r="V329" s="259" t="s">
        <v>3342</v>
      </c>
      <c r="W329" s="259" t="s">
        <v>3061</v>
      </c>
      <c r="X329" s="269" t="s">
        <v>3945</v>
      </c>
      <c r="Y329" s="259">
        <v>328</v>
      </c>
      <c r="Z329" s="259" t="s">
        <v>3030</v>
      </c>
      <c r="AA329" s="259"/>
      <c r="AB329" s="259"/>
      <c r="AC329" s="259"/>
      <c r="AD329" s="259"/>
      <c r="AE329" s="259"/>
    </row>
    <row r="330" spans="1:31">
      <c r="A330" s="259" t="s">
        <v>483</v>
      </c>
      <c r="B330" s="259" t="s">
        <v>1</v>
      </c>
      <c r="C330" s="264" t="s">
        <v>3</v>
      </c>
      <c r="D330" s="264" t="s">
        <v>3946</v>
      </c>
      <c r="E330" s="259" t="s">
        <v>3560</v>
      </c>
      <c r="G330" s="259" t="s">
        <v>3378</v>
      </c>
      <c r="H330" s="264" t="s">
        <v>3196</v>
      </c>
      <c r="I330" s="264" t="s">
        <v>3947</v>
      </c>
      <c r="J330" s="295">
        <v>350</v>
      </c>
      <c r="K330" s="295">
        <v>280</v>
      </c>
      <c r="L330" s="295">
        <v>192.07</v>
      </c>
      <c r="O330" s="266"/>
      <c r="P330" s="266">
        <v>885038028840</v>
      </c>
      <c r="Q330" s="266">
        <v>9002761028843</v>
      </c>
      <c r="R330" s="265">
        <v>5</v>
      </c>
      <c r="S330" s="265">
        <v>9</v>
      </c>
      <c r="T330" s="265">
        <v>9</v>
      </c>
      <c r="U330" s="265">
        <v>4.4000000000000004</v>
      </c>
      <c r="V330" s="259" t="s">
        <v>3028</v>
      </c>
      <c r="W330" s="259" t="s">
        <v>3029</v>
      </c>
      <c r="X330" s="269" t="s">
        <v>3948</v>
      </c>
      <c r="Y330" s="259">
        <v>329</v>
      </c>
      <c r="Z330" s="259" t="s">
        <v>3227</v>
      </c>
      <c r="AA330" s="259"/>
      <c r="AB330" s="259"/>
      <c r="AC330" s="259"/>
      <c r="AD330" s="259"/>
      <c r="AE330" s="259"/>
    </row>
    <row r="331" spans="1:31">
      <c r="A331" s="259" t="s">
        <v>484</v>
      </c>
      <c r="B331" s="259" t="s">
        <v>1</v>
      </c>
      <c r="C331" s="264" t="s">
        <v>3</v>
      </c>
      <c r="D331" s="264" t="s">
        <v>3949</v>
      </c>
      <c r="E331" s="259" t="s">
        <v>3560</v>
      </c>
      <c r="H331" s="264" t="s">
        <v>3196</v>
      </c>
      <c r="I331" s="264" t="s">
        <v>3950</v>
      </c>
      <c r="J331" s="295">
        <v>385</v>
      </c>
      <c r="K331" s="295">
        <v>300</v>
      </c>
      <c r="L331" s="295">
        <v>210.08</v>
      </c>
      <c r="O331" s="266"/>
      <c r="P331" s="266">
        <v>885038028857</v>
      </c>
      <c r="Q331" s="266">
        <v>9002761028850</v>
      </c>
      <c r="R331" s="265">
        <v>4.5</v>
      </c>
      <c r="S331" s="265">
        <v>9</v>
      </c>
      <c r="T331" s="265">
        <v>9</v>
      </c>
      <c r="U331" s="265">
        <v>4.4000000000000004</v>
      </c>
      <c r="V331" s="259" t="s">
        <v>3028</v>
      </c>
      <c r="W331" s="259" t="s">
        <v>3029</v>
      </c>
      <c r="X331" s="269" t="s">
        <v>3951</v>
      </c>
      <c r="Y331" s="259">
        <v>330</v>
      </c>
      <c r="Z331" s="259" t="s">
        <v>3030</v>
      </c>
      <c r="AA331" s="259"/>
      <c r="AB331" s="259"/>
      <c r="AC331" s="259"/>
      <c r="AD331" s="259"/>
      <c r="AE331" s="259"/>
    </row>
    <row r="332" spans="1:31">
      <c r="A332" s="259" t="s">
        <v>485</v>
      </c>
      <c r="B332" s="259" t="s">
        <v>1</v>
      </c>
      <c r="C332" s="264" t="s">
        <v>3</v>
      </c>
      <c r="D332" s="264" t="s">
        <v>3952</v>
      </c>
      <c r="E332" s="259" t="s">
        <v>3560</v>
      </c>
      <c r="G332" s="259" t="s">
        <v>3378</v>
      </c>
      <c r="H332" s="264" t="s">
        <v>3196</v>
      </c>
      <c r="I332" s="264" t="s">
        <v>3953</v>
      </c>
      <c r="J332" s="295">
        <v>350</v>
      </c>
      <c r="K332" s="295">
        <v>280</v>
      </c>
      <c r="L332" s="295">
        <v>192.07</v>
      </c>
      <c r="O332" s="266"/>
      <c r="P332" s="266">
        <v>885038028864</v>
      </c>
      <c r="Q332" s="266">
        <v>9002761028867</v>
      </c>
      <c r="R332" s="265">
        <v>5</v>
      </c>
      <c r="S332" s="265">
        <v>9</v>
      </c>
      <c r="T332" s="265">
        <v>9</v>
      </c>
      <c r="U332" s="265">
        <v>4.4000000000000004</v>
      </c>
      <c r="V332" s="259" t="s">
        <v>3028</v>
      </c>
      <c r="W332" s="259" t="s">
        <v>3029</v>
      </c>
      <c r="X332" s="269" t="s">
        <v>3954</v>
      </c>
      <c r="Y332" s="259">
        <v>331</v>
      </c>
      <c r="Z332" s="259" t="s">
        <v>3227</v>
      </c>
      <c r="AA332" s="259"/>
      <c r="AB332" s="259"/>
      <c r="AC332" s="259"/>
      <c r="AD332" s="259"/>
      <c r="AE332" s="259"/>
    </row>
    <row r="333" spans="1:31">
      <c r="A333" s="259" t="s">
        <v>486</v>
      </c>
      <c r="B333" s="259" t="s">
        <v>1</v>
      </c>
      <c r="C333" s="264" t="s">
        <v>3</v>
      </c>
      <c r="D333" s="264" t="s">
        <v>3955</v>
      </c>
      <c r="E333" s="259" t="s">
        <v>3560</v>
      </c>
      <c r="H333" s="264" t="s">
        <v>3196</v>
      </c>
      <c r="I333" s="264" t="s">
        <v>3956</v>
      </c>
      <c r="J333" s="295">
        <v>385</v>
      </c>
      <c r="K333" s="295">
        <v>300</v>
      </c>
      <c r="L333" s="295">
        <v>210.08</v>
      </c>
      <c r="O333" s="266"/>
      <c r="P333" s="266">
        <v>885038028871</v>
      </c>
      <c r="Q333" s="266">
        <v>9002761028874</v>
      </c>
      <c r="R333" s="265">
        <v>5</v>
      </c>
      <c r="S333" s="265">
        <v>9</v>
      </c>
      <c r="T333" s="265">
        <v>9</v>
      </c>
      <c r="U333" s="265">
        <v>4.4000000000000004</v>
      </c>
      <c r="V333" s="259" t="s">
        <v>3028</v>
      </c>
      <c r="W333" s="259" t="s">
        <v>3029</v>
      </c>
      <c r="X333" s="269" t="s">
        <v>3957</v>
      </c>
      <c r="Y333" s="259">
        <v>332</v>
      </c>
      <c r="Z333" s="259" t="s">
        <v>3030</v>
      </c>
      <c r="AA333" s="259"/>
      <c r="AB333" s="259"/>
      <c r="AC333" s="259"/>
      <c r="AD333" s="259"/>
      <c r="AE333" s="259"/>
    </row>
    <row r="334" spans="1:31">
      <c r="A334" s="259" t="s">
        <v>487</v>
      </c>
      <c r="B334" s="259" t="s">
        <v>1</v>
      </c>
      <c r="C334" s="264" t="s">
        <v>3</v>
      </c>
      <c r="D334" s="264" t="s">
        <v>3958</v>
      </c>
      <c r="E334" s="259" t="s">
        <v>3888</v>
      </c>
      <c r="G334" s="259" t="s">
        <v>3378</v>
      </c>
      <c r="H334" s="264"/>
      <c r="I334" s="264"/>
      <c r="J334" s="295">
        <v>360</v>
      </c>
      <c r="K334" s="295">
        <v>290</v>
      </c>
      <c r="L334" s="295">
        <v>197.97</v>
      </c>
      <c r="O334" s="266"/>
      <c r="P334" s="266">
        <v>885038039679</v>
      </c>
      <c r="R334" s="265">
        <v>9.5</v>
      </c>
      <c r="S334" s="265">
        <v>4.5</v>
      </c>
      <c r="T334" s="265">
        <v>9</v>
      </c>
      <c r="U334" s="265">
        <v>7.88</v>
      </c>
      <c r="V334" s="259" t="s">
        <v>3218</v>
      </c>
      <c r="W334" s="259" t="s">
        <v>3061</v>
      </c>
      <c r="X334" s="269" t="s">
        <v>3959</v>
      </c>
      <c r="Y334" s="259">
        <v>333</v>
      </c>
      <c r="Z334" s="259" t="s">
        <v>3227</v>
      </c>
      <c r="AA334" s="259"/>
      <c r="AB334" s="259"/>
      <c r="AC334" s="259"/>
      <c r="AD334" s="259"/>
      <c r="AE334" s="259"/>
    </row>
    <row r="335" spans="1:31">
      <c r="A335" s="259" t="s">
        <v>488</v>
      </c>
      <c r="B335" s="259" t="s">
        <v>1</v>
      </c>
      <c r="C335" s="264" t="s">
        <v>3</v>
      </c>
      <c r="D335" s="264" t="s">
        <v>3960</v>
      </c>
      <c r="E335" s="259" t="s">
        <v>3888</v>
      </c>
      <c r="H335" s="264" t="s">
        <v>3196</v>
      </c>
      <c r="I335" s="264" t="s">
        <v>3944</v>
      </c>
      <c r="J335" s="295">
        <v>395</v>
      </c>
      <c r="K335" s="295">
        <v>315</v>
      </c>
      <c r="L335" s="295">
        <v>214.54</v>
      </c>
      <c r="O335" s="266"/>
      <c r="P335" s="266">
        <v>885038039686</v>
      </c>
      <c r="R335" s="265">
        <v>9</v>
      </c>
      <c r="S335" s="265">
        <v>4.5</v>
      </c>
      <c r="T335" s="265">
        <v>9</v>
      </c>
      <c r="U335" s="265">
        <v>7.88</v>
      </c>
      <c r="V335" s="259" t="s">
        <v>3218</v>
      </c>
      <c r="W335" s="259" t="s">
        <v>3061</v>
      </c>
      <c r="X335" s="269" t="s">
        <v>3961</v>
      </c>
      <c r="Y335" s="259">
        <v>334</v>
      </c>
      <c r="Z335" s="259" t="s">
        <v>3030</v>
      </c>
      <c r="AA335" s="259"/>
      <c r="AB335" s="259"/>
      <c r="AC335" s="259"/>
      <c r="AD335" s="259"/>
      <c r="AE335" s="259"/>
    </row>
    <row r="336" spans="1:31">
      <c r="A336" s="259" t="s">
        <v>489</v>
      </c>
      <c r="B336" s="259" t="s">
        <v>1</v>
      </c>
      <c r="C336" s="264" t="s">
        <v>3</v>
      </c>
      <c r="D336" s="264" t="s">
        <v>3962</v>
      </c>
      <c r="E336" s="259" t="s">
        <v>3888</v>
      </c>
      <c r="H336" s="264"/>
      <c r="I336" s="264"/>
      <c r="J336" s="295">
        <v>395</v>
      </c>
      <c r="K336" s="295">
        <v>315</v>
      </c>
      <c r="L336" s="295">
        <v>214.54</v>
      </c>
      <c r="O336" s="266"/>
      <c r="P336" s="266">
        <v>885038039693</v>
      </c>
      <c r="R336" s="265">
        <v>5</v>
      </c>
      <c r="S336" s="265">
        <v>9.5</v>
      </c>
      <c r="T336" s="265">
        <v>9</v>
      </c>
      <c r="U336" s="265">
        <v>7.88</v>
      </c>
      <c r="V336" s="259" t="s">
        <v>3218</v>
      </c>
      <c r="W336" s="259" t="s">
        <v>3061</v>
      </c>
      <c r="X336" s="269" t="s">
        <v>3963</v>
      </c>
      <c r="Y336" s="259">
        <v>335</v>
      </c>
      <c r="Z336" s="259" t="s">
        <v>3030</v>
      </c>
      <c r="AA336" s="259"/>
      <c r="AB336" s="259"/>
      <c r="AC336" s="259"/>
      <c r="AD336" s="259"/>
      <c r="AE336" s="259"/>
    </row>
    <row r="337" spans="1:31">
      <c r="A337" s="259" t="s">
        <v>490</v>
      </c>
      <c r="B337" s="259" t="s">
        <v>1</v>
      </c>
      <c r="C337" s="264" t="s">
        <v>1949</v>
      </c>
      <c r="D337" s="264" t="s">
        <v>3964</v>
      </c>
      <c r="E337" s="259" t="s">
        <v>3888</v>
      </c>
      <c r="F337" s="259" t="s">
        <v>490</v>
      </c>
      <c r="H337" s="264" t="s">
        <v>3561</v>
      </c>
      <c r="I337" s="264" t="s">
        <v>3965</v>
      </c>
      <c r="J337" s="295">
        <v>73.23</v>
      </c>
      <c r="K337" s="295">
        <v>72</v>
      </c>
      <c r="L337" s="295">
        <v>43.97</v>
      </c>
      <c r="O337" s="266"/>
      <c r="P337" s="266">
        <v>885038028918</v>
      </c>
      <c r="Q337" s="266">
        <v>9002761028911</v>
      </c>
      <c r="R337" s="265">
        <v>1</v>
      </c>
      <c r="S337" s="265">
        <v>5</v>
      </c>
      <c r="T337" s="265">
        <v>5</v>
      </c>
      <c r="U337" s="265">
        <v>0.8</v>
      </c>
      <c r="V337" s="259" t="s">
        <v>3028</v>
      </c>
      <c r="W337" s="259" t="s">
        <v>3029</v>
      </c>
      <c r="X337" s="269" t="s">
        <v>3966</v>
      </c>
      <c r="Y337" s="259">
        <v>336</v>
      </c>
      <c r="Z337" s="259" t="s">
        <v>3030</v>
      </c>
      <c r="AA337" s="259"/>
      <c r="AB337" s="259"/>
      <c r="AC337" s="259"/>
      <c r="AD337" s="259"/>
      <c r="AE337" s="259"/>
    </row>
    <row r="338" spans="1:31">
      <c r="A338" s="259" t="s">
        <v>491</v>
      </c>
      <c r="B338" s="259" t="s">
        <v>1</v>
      </c>
      <c r="C338" s="264" t="s">
        <v>1949</v>
      </c>
      <c r="D338" s="264" t="s">
        <v>3967</v>
      </c>
      <c r="E338" s="259" t="s">
        <v>3560</v>
      </c>
      <c r="H338" s="264" t="s">
        <v>3561</v>
      </c>
      <c r="I338" s="264" t="s">
        <v>3968</v>
      </c>
      <c r="J338" s="295">
        <v>67.23</v>
      </c>
      <c r="K338" s="295">
        <v>61</v>
      </c>
      <c r="L338" s="295">
        <v>40.770000000000003</v>
      </c>
      <c r="O338" s="266"/>
      <c r="P338" s="266">
        <v>885038028925</v>
      </c>
      <c r="Q338" s="266">
        <v>9002761028928</v>
      </c>
      <c r="R338" s="265">
        <v>1</v>
      </c>
      <c r="S338" s="265">
        <v>7</v>
      </c>
      <c r="T338" s="265">
        <v>6</v>
      </c>
      <c r="U338" s="265">
        <v>0.8</v>
      </c>
      <c r="V338" s="259" t="s">
        <v>3028</v>
      </c>
      <c r="W338" s="259" t="s">
        <v>3029</v>
      </c>
      <c r="X338" s="269" t="s">
        <v>3969</v>
      </c>
      <c r="Y338" s="259">
        <v>337</v>
      </c>
      <c r="Z338" s="259" t="s">
        <v>3030</v>
      </c>
      <c r="AA338" s="259"/>
      <c r="AB338" s="259"/>
      <c r="AC338" s="259"/>
      <c r="AD338" s="259"/>
      <c r="AE338" s="259"/>
    </row>
    <row r="339" spans="1:31">
      <c r="A339" s="259" t="s">
        <v>492</v>
      </c>
      <c r="B339" s="259" t="s">
        <v>1</v>
      </c>
      <c r="C339" s="264" t="s">
        <v>3</v>
      </c>
      <c r="D339" s="264" t="s">
        <v>3970</v>
      </c>
      <c r="E339" s="259" t="s">
        <v>3888</v>
      </c>
      <c r="H339" s="264" t="s">
        <v>3889</v>
      </c>
      <c r="I339" s="264" t="s">
        <v>3971</v>
      </c>
      <c r="J339" s="295">
        <v>85</v>
      </c>
      <c r="K339" s="295">
        <v>65</v>
      </c>
      <c r="L339" s="295">
        <v>39.14</v>
      </c>
      <c r="O339" s="266">
        <v>10</v>
      </c>
      <c r="P339" s="266">
        <v>885038038788</v>
      </c>
      <c r="Q339" s="266">
        <v>9002761038781</v>
      </c>
      <c r="R339" s="265">
        <v>10</v>
      </c>
      <c r="S339" s="265">
        <v>23</v>
      </c>
      <c r="T339" s="265">
        <v>19</v>
      </c>
      <c r="U339" s="265">
        <v>9.25</v>
      </c>
      <c r="V339" s="259" t="s">
        <v>3028</v>
      </c>
      <c r="W339" s="259" t="s">
        <v>3029</v>
      </c>
      <c r="X339" s="269" t="s">
        <v>3972</v>
      </c>
      <c r="Y339" s="259">
        <v>338</v>
      </c>
      <c r="Z339" s="259" t="s">
        <v>3030</v>
      </c>
      <c r="AA339" s="259"/>
      <c r="AB339" s="259"/>
      <c r="AC339" s="259"/>
      <c r="AD339" s="259"/>
      <c r="AE339" s="259"/>
    </row>
    <row r="340" spans="1:31">
      <c r="A340" s="259" t="s">
        <v>493</v>
      </c>
      <c r="B340" s="259" t="s">
        <v>1</v>
      </c>
      <c r="C340" s="264" t="s">
        <v>1949</v>
      </c>
      <c r="D340" s="264" t="s">
        <v>3973</v>
      </c>
      <c r="E340" s="259" t="s">
        <v>3560</v>
      </c>
      <c r="H340" s="264" t="s">
        <v>3561</v>
      </c>
      <c r="I340" s="264" t="s">
        <v>3974</v>
      </c>
      <c r="J340" s="295">
        <v>118.85</v>
      </c>
      <c r="K340" s="295">
        <v>109</v>
      </c>
      <c r="L340" s="295">
        <v>69.599999999999994</v>
      </c>
      <c r="O340" s="266"/>
      <c r="P340" s="266">
        <v>885038028949</v>
      </c>
      <c r="Q340" s="266">
        <v>9002761028942</v>
      </c>
      <c r="R340" s="265">
        <v>2</v>
      </c>
      <c r="S340" s="265">
        <v>10</v>
      </c>
      <c r="T340" s="265">
        <v>6</v>
      </c>
      <c r="U340" s="265">
        <v>0.8</v>
      </c>
      <c r="V340" s="259" t="s">
        <v>3247</v>
      </c>
      <c r="W340" s="259" t="s">
        <v>3061</v>
      </c>
      <c r="X340" s="269" t="s">
        <v>3975</v>
      </c>
      <c r="Y340" s="259">
        <v>339</v>
      </c>
      <c r="Z340" s="259" t="s">
        <v>3030</v>
      </c>
      <c r="AA340" s="259"/>
      <c r="AB340" s="259"/>
      <c r="AC340" s="259"/>
      <c r="AD340" s="259"/>
      <c r="AE340" s="259"/>
    </row>
    <row r="341" spans="1:31">
      <c r="A341" s="259" t="s">
        <v>494</v>
      </c>
      <c r="B341" s="259" t="s">
        <v>1</v>
      </c>
      <c r="C341" s="264" t="s">
        <v>1949</v>
      </c>
      <c r="D341" s="264" t="s">
        <v>3976</v>
      </c>
      <c r="E341" s="259" t="s">
        <v>3560</v>
      </c>
      <c r="H341" s="264" t="s">
        <v>3561</v>
      </c>
      <c r="I341" s="264" t="s">
        <v>3974</v>
      </c>
      <c r="J341" s="295">
        <v>73.23</v>
      </c>
      <c r="K341" s="295">
        <v>72</v>
      </c>
      <c r="L341" s="295">
        <v>43.97</v>
      </c>
      <c r="O341" s="266"/>
      <c r="P341" s="266">
        <v>885038028956</v>
      </c>
      <c r="Q341" s="266">
        <v>9002761028959</v>
      </c>
      <c r="R341" s="265">
        <v>1</v>
      </c>
      <c r="S341" s="265">
        <v>5</v>
      </c>
      <c r="T341" s="265">
        <v>5</v>
      </c>
      <c r="U341" s="265">
        <v>0.8</v>
      </c>
      <c r="V341" s="259" t="s">
        <v>3028</v>
      </c>
      <c r="W341" s="259" t="s">
        <v>3029</v>
      </c>
      <c r="X341" s="269" t="s">
        <v>3977</v>
      </c>
      <c r="Y341" s="259">
        <v>340</v>
      </c>
      <c r="Z341" s="259" t="s">
        <v>3030</v>
      </c>
      <c r="AA341" s="259"/>
      <c r="AB341" s="259"/>
      <c r="AC341" s="259"/>
      <c r="AD341" s="259"/>
      <c r="AE341" s="259"/>
    </row>
    <row r="342" spans="1:31">
      <c r="A342" s="259" t="s">
        <v>4</v>
      </c>
      <c r="B342" s="259" t="s">
        <v>1</v>
      </c>
      <c r="C342" s="264"/>
      <c r="D342" s="264"/>
      <c r="H342" s="264"/>
      <c r="I342" s="264"/>
      <c r="J342" s="295">
        <v>0</v>
      </c>
      <c r="K342" s="295">
        <v>0</v>
      </c>
      <c r="L342" s="295">
        <v>0</v>
      </c>
      <c r="O342" s="266"/>
      <c r="R342" s="265"/>
      <c r="V342" s="259"/>
      <c r="X342" s="269"/>
      <c r="Y342" s="259">
        <v>341</v>
      </c>
      <c r="AA342" s="259"/>
      <c r="AB342" s="259"/>
      <c r="AC342" s="259"/>
      <c r="AD342" s="259"/>
      <c r="AE342" s="259"/>
    </row>
    <row r="343" spans="1:31">
      <c r="A343" s="259" t="s">
        <v>495</v>
      </c>
      <c r="B343" s="259" t="s">
        <v>1</v>
      </c>
      <c r="C343" s="264" t="s">
        <v>3978</v>
      </c>
      <c r="D343" s="264" t="s">
        <v>3979</v>
      </c>
      <c r="E343" s="259">
        <v>81200600</v>
      </c>
      <c r="H343" s="264" t="s">
        <v>3980</v>
      </c>
      <c r="I343" s="264" t="s">
        <v>3981</v>
      </c>
      <c r="J343" s="295">
        <v>154.86000000000001</v>
      </c>
      <c r="K343" s="295">
        <v>129</v>
      </c>
      <c r="L343" s="295">
        <v>95.27</v>
      </c>
      <c r="O343" s="266"/>
      <c r="P343" s="266">
        <v>885038038825</v>
      </c>
      <c r="Q343" s="266">
        <v>9002761038828</v>
      </c>
      <c r="R343" s="265">
        <v>2</v>
      </c>
      <c r="S343" s="265">
        <v>8</v>
      </c>
      <c r="T343" s="265">
        <v>8</v>
      </c>
      <c r="U343" s="265">
        <v>3.15</v>
      </c>
      <c r="V343" s="259" t="s">
        <v>3028</v>
      </c>
      <c r="W343" s="259" t="s">
        <v>3029</v>
      </c>
      <c r="X343" s="269" t="s">
        <v>3982</v>
      </c>
      <c r="Y343" s="259">
        <v>342</v>
      </c>
      <c r="Z343" s="259" t="s">
        <v>3030</v>
      </c>
      <c r="AA343" s="259"/>
      <c r="AB343" s="259"/>
      <c r="AC343" s="259"/>
      <c r="AD343" s="259"/>
      <c r="AE343" s="259"/>
    </row>
    <row r="344" spans="1:31">
      <c r="A344" s="259" t="s">
        <v>496</v>
      </c>
      <c r="B344" s="259" t="s">
        <v>1</v>
      </c>
      <c r="C344" s="264" t="s">
        <v>3978</v>
      </c>
      <c r="D344" s="264" t="s">
        <v>3983</v>
      </c>
      <c r="E344" s="259" t="s">
        <v>3577</v>
      </c>
      <c r="H344" s="264" t="s">
        <v>3980</v>
      </c>
      <c r="I344" s="264" t="s">
        <v>3984</v>
      </c>
      <c r="J344" s="295">
        <v>226.89</v>
      </c>
      <c r="K344" s="295">
        <v>226.89</v>
      </c>
      <c r="L344" s="295">
        <v>163.01</v>
      </c>
      <c r="O344" s="266"/>
      <c r="P344" s="266">
        <v>885038038849</v>
      </c>
      <c r="Q344" s="266">
        <v>9002761038842</v>
      </c>
      <c r="R344" s="265">
        <v>9.5</v>
      </c>
      <c r="S344" s="265">
        <v>22.5</v>
      </c>
      <c r="T344" s="265">
        <v>3.5</v>
      </c>
      <c r="U344" s="265">
        <v>3.74</v>
      </c>
      <c r="V344" s="259" t="s">
        <v>3028</v>
      </c>
      <c r="W344" s="259" t="s">
        <v>3029</v>
      </c>
      <c r="X344" s="269" t="s">
        <v>3985</v>
      </c>
      <c r="Y344" s="259">
        <v>343</v>
      </c>
      <c r="Z344" s="259" t="s">
        <v>3030</v>
      </c>
      <c r="AA344" s="259"/>
      <c r="AB344" s="259"/>
      <c r="AC344" s="259"/>
      <c r="AD344" s="259"/>
      <c r="AE344" s="259"/>
    </row>
    <row r="345" spans="1:31">
      <c r="A345" s="259" t="s">
        <v>497</v>
      </c>
      <c r="B345" s="259" t="s">
        <v>1</v>
      </c>
      <c r="C345" s="264" t="s">
        <v>3978</v>
      </c>
      <c r="D345" s="264" t="s">
        <v>3986</v>
      </c>
      <c r="E345" s="259" t="s">
        <v>3577</v>
      </c>
      <c r="H345" s="264" t="s">
        <v>3980</v>
      </c>
      <c r="I345" s="264" t="s">
        <v>3987</v>
      </c>
      <c r="J345" s="295">
        <v>262.89999999999998</v>
      </c>
      <c r="K345" s="295">
        <v>205</v>
      </c>
      <c r="L345" s="295">
        <v>144</v>
      </c>
      <c r="O345" s="266"/>
      <c r="P345" s="266">
        <v>885038038863</v>
      </c>
      <c r="Q345" s="266">
        <v>9002761038866</v>
      </c>
      <c r="R345" s="265">
        <v>11</v>
      </c>
      <c r="S345" s="265">
        <v>11</v>
      </c>
      <c r="T345" s="265">
        <v>23</v>
      </c>
      <c r="U345" s="265">
        <v>3.74</v>
      </c>
      <c r="V345" s="259" t="s">
        <v>3028</v>
      </c>
      <c r="W345" s="259" t="s">
        <v>3029</v>
      </c>
      <c r="X345" s="269" t="s">
        <v>3988</v>
      </c>
      <c r="Y345" s="259">
        <v>344</v>
      </c>
      <c r="Z345" s="259" t="s">
        <v>3030</v>
      </c>
      <c r="AA345" s="259"/>
      <c r="AB345" s="259"/>
      <c r="AC345" s="259"/>
      <c r="AD345" s="259"/>
      <c r="AE345" s="259"/>
    </row>
    <row r="346" spans="1:31">
      <c r="A346" s="259" t="s">
        <v>498</v>
      </c>
      <c r="B346" s="259" t="s">
        <v>1</v>
      </c>
      <c r="C346" s="264"/>
      <c r="D346" s="264"/>
      <c r="H346" s="264"/>
      <c r="I346" s="264"/>
      <c r="J346" s="295">
        <v>0</v>
      </c>
      <c r="K346" s="295">
        <v>0</v>
      </c>
      <c r="L346" s="295">
        <v>0</v>
      </c>
      <c r="O346" s="266"/>
      <c r="R346" s="265"/>
      <c r="V346" s="259"/>
      <c r="X346" s="269"/>
      <c r="Y346" s="259">
        <v>345</v>
      </c>
      <c r="AA346" s="259"/>
      <c r="AB346" s="259"/>
      <c r="AC346" s="259"/>
      <c r="AD346" s="259"/>
      <c r="AE346" s="259"/>
    </row>
    <row r="347" spans="1:31">
      <c r="A347" s="259" t="s">
        <v>500</v>
      </c>
      <c r="B347" s="259" t="s">
        <v>1</v>
      </c>
      <c r="C347" s="264" t="s">
        <v>3193</v>
      </c>
      <c r="D347" s="264" t="s">
        <v>3992</v>
      </c>
      <c r="E347" s="259" t="s">
        <v>3989</v>
      </c>
      <c r="H347" s="264" t="s">
        <v>3990</v>
      </c>
      <c r="I347" s="264" t="s">
        <v>3991</v>
      </c>
      <c r="J347" s="295">
        <v>3708.2</v>
      </c>
      <c r="K347" s="295">
        <v>2941</v>
      </c>
      <c r="L347" s="295">
        <v>2057.5</v>
      </c>
      <c r="O347" s="266"/>
      <c r="P347" s="266">
        <v>885038038702</v>
      </c>
      <c r="Q347" s="266">
        <v>9002761038705</v>
      </c>
      <c r="R347" s="265">
        <v>2.5</v>
      </c>
      <c r="S347" s="265">
        <v>23</v>
      </c>
      <c r="T347" s="265">
        <v>15</v>
      </c>
      <c r="U347" s="265">
        <v>24</v>
      </c>
      <c r="V347" s="259" t="s">
        <v>3574</v>
      </c>
      <c r="W347" s="259" t="s">
        <v>3061</v>
      </c>
      <c r="X347" s="269" t="s">
        <v>3993</v>
      </c>
      <c r="Y347" s="259">
        <v>347</v>
      </c>
      <c r="Z347" s="259" t="s">
        <v>3037</v>
      </c>
      <c r="AA347" s="259"/>
      <c r="AB347" s="259"/>
      <c r="AC347" s="259"/>
      <c r="AD347" s="259"/>
      <c r="AE347" s="259"/>
    </row>
    <row r="348" spans="1:31">
      <c r="A348" s="259" t="s">
        <v>505</v>
      </c>
      <c r="B348" s="259" t="s">
        <v>1</v>
      </c>
      <c r="C348" s="264" t="s">
        <v>1949</v>
      </c>
      <c r="D348" s="264" t="s">
        <v>3994</v>
      </c>
      <c r="E348" s="259" t="s">
        <v>3989</v>
      </c>
      <c r="H348" s="264" t="s">
        <v>3561</v>
      </c>
      <c r="I348" s="264" t="s">
        <v>3995</v>
      </c>
      <c r="J348" s="295">
        <v>88.83</v>
      </c>
      <c r="K348" s="295">
        <v>72</v>
      </c>
      <c r="L348" s="295">
        <v>49.58</v>
      </c>
      <c r="O348" s="266"/>
      <c r="P348" s="266">
        <v>885038030591</v>
      </c>
      <c r="Q348" s="266">
        <v>9002761030594</v>
      </c>
      <c r="R348" s="265">
        <v>1</v>
      </c>
      <c r="S348" s="265">
        <v>3</v>
      </c>
      <c r="T348" s="265">
        <v>5</v>
      </c>
      <c r="U348" s="265">
        <v>0.8</v>
      </c>
      <c r="V348" s="259" t="s">
        <v>3996</v>
      </c>
      <c r="W348" s="259" t="s">
        <v>3029</v>
      </c>
      <c r="X348" s="269" t="s">
        <v>3997</v>
      </c>
      <c r="Y348" s="259">
        <v>352</v>
      </c>
      <c r="AA348" s="259"/>
      <c r="AB348" s="259"/>
      <c r="AC348" s="259"/>
      <c r="AD348" s="259"/>
      <c r="AE348" s="259"/>
    </row>
    <row r="349" spans="1:31">
      <c r="A349" s="259" t="s">
        <v>506</v>
      </c>
      <c r="B349" s="259" t="s">
        <v>1</v>
      </c>
      <c r="C349" s="264"/>
      <c r="D349" s="264"/>
      <c r="H349" s="264"/>
      <c r="I349" s="264"/>
      <c r="J349" s="295">
        <v>0</v>
      </c>
      <c r="K349" s="295">
        <v>0</v>
      </c>
      <c r="L349" s="295">
        <v>0</v>
      </c>
      <c r="O349" s="266"/>
      <c r="R349" s="265"/>
      <c r="V349" s="259"/>
      <c r="X349" s="269"/>
      <c r="Y349" s="259">
        <v>353</v>
      </c>
      <c r="AA349" s="259"/>
      <c r="AB349" s="259"/>
      <c r="AC349" s="259"/>
      <c r="AD349" s="259"/>
      <c r="AE349" s="259"/>
    </row>
    <row r="350" spans="1:31">
      <c r="A350" s="259" t="s">
        <v>507</v>
      </c>
      <c r="B350" s="259" t="s">
        <v>1</v>
      </c>
      <c r="C350" s="264" t="s">
        <v>1949</v>
      </c>
      <c r="D350" s="264" t="s">
        <v>3998</v>
      </c>
      <c r="E350" s="259" t="s">
        <v>3999</v>
      </c>
      <c r="H350" s="264" t="s">
        <v>3383</v>
      </c>
      <c r="I350" s="264" t="s">
        <v>4000</v>
      </c>
      <c r="J350" s="295">
        <v>0</v>
      </c>
      <c r="K350" s="295">
        <v>0</v>
      </c>
      <c r="L350" s="295">
        <v>6.54</v>
      </c>
      <c r="O350" s="266"/>
      <c r="P350" s="266">
        <v>885038039600</v>
      </c>
      <c r="Q350" s="266">
        <v>9002761039603</v>
      </c>
      <c r="R350" s="265"/>
      <c r="U350" s="265" t="s">
        <v>3101</v>
      </c>
      <c r="V350" s="259" t="s">
        <v>3028</v>
      </c>
      <c r="W350" s="259" t="s">
        <v>3029</v>
      </c>
      <c r="X350" s="269" t="s">
        <v>4001</v>
      </c>
      <c r="Y350" s="259">
        <v>354</v>
      </c>
      <c r="AA350" s="259"/>
      <c r="AB350" s="259"/>
      <c r="AC350" s="259"/>
      <c r="AD350" s="259"/>
      <c r="AE350" s="259"/>
    </row>
    <row r="351" spans="1:31">
      <c r="A351" s="259" t="s">
        <v>508</v>
      </c>
      <c r="B351" s="259" t="s">
        <v>1</v>
      </c>
      <c r="C351" s="264" t="s">
        <v>3561</v>
      </c>
      <c r="D351" s="264" t="s">
        <v>4002</v>
      </c>
      <c r="E351" s="259" t="s">
        <v>3038</v>
      </c>
      <c r="H351" s="264" t="s">
        <v>4002</v>
      </c>
      <c r="I351" s="264" t="s">
        <v>4002</v>
      </c>
      <c r="J351" s="295">
        <v>52.82</v>
      </c>
      <c r="K351" s="295">
        <v>41</v>
      </c>
      <c r="L351" s="295">
        <v>31.03</v>
      </c>
      <c r="O351" s="266"/>
      <c r="P351" s="266">
        <v>885038003137</v>
      </c>
      <c r="R351" s="265"/>
      <c r="V351" s="259" t="s">
        <v>3247</v>
      </c>
      <c r="X351" s="269" t="s">
        <v>4003</v>
      </c>
      <c r="Y351" s="259">
        <v>355</v>
      </c>
      <c r="Z351" s="259" t="s">
        <v>3030</v>
      </c>
      <c r="AA351" s="259"/>
      <c r="AB351" s="259"/>
      <c r="AC351" s="259"/>
      <c r="AD351" s="259"/>
      <c r="AE351" s="259"/>
    </row>
    <row r="352" spans="1:31">
      <c r="A352" s="259" t="s">
        <v>509</v>
      </c>
      <c r="B352" s="259" t="s">
        <v>1</v>
      </c>
      <c r="C352" s="264" t="s">
        <v>1949</v>
      </c>
      <c r="D352" s="264" t="s">
        <v>4004</v>
      </c>
      <c r="E352" s="259">
        <v>83200200</v>
      </c>
      <c r="H352" s="264" t="s">
        <v>1949</v>
      </c>
      <c r="I352" s="264" t="s">
        <v>4005</v>
      </c>
      <c r="J352" s="295">
        <v>118.85</v>
      </c>
      <c r="K352" s="295">
        <v>98</v>
      </c>
      <c r="L352" s="295">
        <v>66.39</v>
      </c>
      <c r="O352" s="266"/>
      <c r="P352" s="266">
        <v>885038004851</v>
      </c>
      <c r="Q352" s="266">
        <v>9002761004854</v>
      </c>
      <c r="R352" s="265">
        <v>3.5</v>
      </c>
      <c r="S352" s="265">
        <v>10</v>
      </c>
      <c r="T352" s="265">
        <v>10</v>
      </c>
      <c r="U352" s="265">
        <v>1.2</v>
      </c>
      <c r="V352" s="259" t="s">
        <v>3574</v>
      </c>
      <c r="W352" s="259" t="s">
        <v>3061</v>
      </c>
      <c r="X352" s="269" t="s">
        <v>4006</v>
      </c>
      <c r="Y352" s="259">
        <v>356</v>
      </c>
      <c r="Z352" s="259" t="s">
        <v>3030</v>
      </c>
      <c r="AA352" s="259"/>
      <c r="AB352" s="259"/>
      <c r="AC352" s="259"/>
      <c r="AD352" s="259"/>
      <c r="AE352" s="259"/>
    </row>
    <row r="353" spans="1:31">
      <c r="A353" s="259" t="s">
        <v>510</v>
      </c>
      <c r="B353" s="259" t="s">
        <v>1</v>
      </c>
      <c r="C353" s="264" t="s">
        <v>1949</v>
      </c>
      <c r="D353" s="264" t="s">
        <v>4007</v>
      </c>
      <c r="E353" s="259" t="s">
        <v>3565</v>
      </c>
      <c r="H353" s="264" t="s">
        <v>1949</v>
      </c>
      <c r="I353" s="264" t="s">
        <v>4008</v>
      </c>
      <c r="J353" s="295">
        <v>18.010000000000002</v>
      </c>
      <c r="K353" s="295">
        <v>18.010000000000002</v>
      </c>
      <c r="L353" s="295">
        <v>12.6</v>
      </c>
      <c r="O353" s="266"/>
      <c r="P353" s="266">
        <v>885038002222</v>
      </c>
      <c r="Q353" s="266">
        <v>9002761002225</v>
      </c>
      <c r="R353" s="265">
        <v>2</v>
      </c>
      <c r="S353" s="265">
        <v>2</v>
      </c>
      <c r="T353" s="265">
        <v>3</v>
      </c>
      <c r="U353" s="265">
        <v>1.6</v>
      </c>
      <c r="V353" s="259" t="s">
        <v>3352</v>
      </c>
      <c r="W353" s="259" t="s">
        <v>3061</v>
      </c>
      <c r="X353" s="269" t="s">
        <v>4009</v>
      </c>
      <c r="Y353" s="259">
        <v>357</v>
      </c>
      <c r="Z353" s="259" t="s">
        <v>3030</v>
      </c>
      <c r="AA353" s="259"/>
      <c r="AB353" s="259"/>
      <c r="AC353" s="259"/>
      <c r="AD353" s="259"/>
      <c r="AE353" s="259"/>
    </row>
    <row r="354" spans="1:31">
      <c r="A354" s="259" t="s">
        <v>511</v>
      </c>
      <c r="B354" s="259" t="s">
        <v>1</v>
      </c>
      <c r="C354" s="264" t="s">
        <v>1949</v>
      </c>
      <c r="D354" s="264" t="s">
        <v>4010</v>
      </c>
      <c r="E354" s="259" t="s">
        <v>3577</v>
      </c>
      <c r="H354" s="264" t="s">
        <v>3561</v>
      </c>
      <c r="I354" s="264" t="s">
        <v>4011</v>
      </c>
      <c r="J354" s="295">
        <v>52.99</v>
      </c>
      <c r="K354" s="295">
        <v>51</v>
      </c>
      <c r="L354" s="295">
        <v>32.03</v>
      </c>
      <c r="O354" s="266"/>
      <c r="P354" s="266">
        <v>885038026686</v>
      </c>
      <c r="Q354" s="266">
        <v>9002761026689</v>
      </c>
      <c r="R354" s="265">
        <v>2</v>
      </c>
      <c r="S354" s="265">
        <v>4</v>
      </c>
      <c r="T354" s="265">
        <v>6</v>
      </c>
      <c r="U354" s="265">
        <v>1</v>
      </c>
      <c r="V354" s="259" t="s">
        <v>3028</v>
      </c>
      <c r="W354" s="259" t="s">
        <v>3029</v>
      </c>
      <c r="X354" s="269" t="s">
        <v>4012</v>
      </c>
      <c r="Y354" s="259">
        <v>358</v>
      </c>
      <c r="Z354" s="259" t="s">
        <v>3030</v>
      </c>
      <c r="AA354" s="259"/>
      <c r="AB354" s="259"/>
      <c r="AC354" s="259"/>
      <c r="AD354" s="259"/>
      <c r="AE354" s="259"/>
    </row>
    <row r="355" spans="1:31">
      <c r="A355" s="259" t="s">
        <v>512</v>
      </c>
      <c r="B355" s="259" t="s">
        <v>1</v>
      </c>
      <c r="C355" s="264" t="s">
        <v>1949</v>
      </c>
      <c r="D355" s="264" t="s">
        <v>4013</v>
      </c>
      <c r="E355" s="259" t="s">
        <v>3803</v>
      </c>
      <c r="H355" s="264" t="s">
        <v>47</v>
      </c>
      <c r="I355" s="264" t="s">
        <v>4014</v>
      </c>
      <c r="J355" s="295">
        <v>31.21</v>
      </c>
      <c r="K355" s="295">
        <v>20</v>
      </c>
      <c r="L355" s="295">
        <v>14.5</v>
      </c>
      <c r="O355" s="266"/>
      <c r="P355" s="266">
        <v>885038033523</v>
      </c>
      <c r="Q355" s="266">
        <v>9002761033526</v>
      </c>
      <c r="R355" s="265">
        <v>8</v>
      </c>
      <c r="S355" s="265">
        <v>17</v>
      </c>
      <c r="T355" s="265">
        <v>12</v>
      </c>
      <c r="U355" s="265">
        <v>2.032</v>
      </c>
      <c r="V355" s="259" t="s">
        <v>3028</v>
      </c>
      <c r="W355" s="259" t="s">
        <v>3029</v>
      </c>
      <c r="X355" s="269" t="s">
        <v>4015</v>
      </c>
      <c r="Y355" s="259">
        <v>359</v>
      </c>
      <c r="Z355" s="259" t="s">
        <v>3030</v>
      </c>
      <c r="AA355" s="259"/>
      <c r="AB355" s="259"/>
      <c r="AC355" s="259"/>
      <c r="AD355" s="259"/>
      <c r="AE355" s="259"/>
    </row>
    <row r="356" spans="1:31">
      <c r="A356" s="259" t="s">
        <v>513</v>
      </c>
      <c r="B356" s="259" t="s">
        <v>1</v>
      </c>
      <c r="C356" s="264" t="s">
        <v>3215</v>
      </c>
      <c r="D356" s="264" t="s">
        <v>4016</v>
      </c>
      <c r="E356" s="259" t="s">
        <v>3788</v>
      </c>
      <c r="G356" s="259" t="s">
        <v>3378</v>
      </c>
      <c r="H356" s="264" t="s">
        <v>3789</v>
      </c>
      <c r="I356" s="264" t="s">
        <v>3677</v>
      </c>
      <c r="J356" s="295">
        <v>370.94</v>
      </c>
      <c r="K356" s="295">
        <v>329</v>
      </c>
      <c r="L356" s="295">
        <v>202.83</v>
      </c>
      <c r="O356" s="266"/>
      <c r="P356" s="266">
        <v>885038038672</v>
      </c>
      <c r="Q356" s="266">
        <v>9002761038675</v>
      </c>
      <c r="R356" s="265">
        <v>15</v>
      </c>
      <c r="S356" s="265">
        <v>13</v>
      </c>
      <c r="T356" s="265">
        <v>21</v>
      </c>
      <c r="U356" s="265">
        <v>2.4</v>
      </c>
      <c r="V356" s="259" t="s">
        <v>3028</v>
      </c>
      <c r="W356" s="259" t="s">
        <v>3029</v>
      </c>
      <c r="X356" s="269" t="s">
        <v>4017</v>
      </c>
      <c r="Y356" s="259">
        <v>360</v>
      </c>
      <c r="Z356" s="259" t="s">
        <v>3227</v>
      </c>
      <c r="AA356" s="259"/>
      <c r="AB356" s="259"/>
      <c r="AC356" s="259"/>
      <c r="AD356" s="259"/>
      <c r="AE356" s="259"/>
    </row>
    <row r="357" spans="1:31">
      <c r="A357" s="259" t="s">
        <v>514</v>
      </c>
      <c r="B357" s="259" t="s">
        <v>1</v>
      </c>
      <c r="C357" s="264"/>
      <c r="D357" s="264" t="s">
        <v>4018</v>
      </c>
      <c r="H357" s="264" t="s">
        <v>3039</v>
      </c>
      <c r="I357" s="264" t="s">
        <v>4019</v>
      </c>
      <c r="J357" s="295">
        <v>0</v>
      </c>
      <c r="K357" s="295">
        <v>355</v>
      </c>
      <c r="L357" s="295">
        <v>257.14</v>
      </c>
      <c r="O357" s="266"/>
      <c r="P357" s="266">
        <v>885038002604</v>
      </c>
      <c r="R357" s="265"/>
      <c r="V357" s="259" t="s">
        <v>3218</v>
      </c>
      <c r="X357" s="269" t="s">
        <v>4020</v>
      </c>
      <c r="Y357" s="259">
        <v>361</v>
      </c>
      <c r="Z357" s="259" t="s">
        <v>3030</v>
      </c>
      <c r="AA357" s="259"/>
      <c r="AB357" s="259"/>
      <c r="AC357" s="259"/>
      <c r="AD357" s="259"/>
      <c r="AE357" s="259"/>
    </row>
    <row r="358" spans="1:31">
      <c r="A358" s="259" t="s">
        <v>515</v>
      </c>
      <c r="B358" s="259" t="s">
        <v>1</v>
      </c>
      <c r="C358" s="264" t="s">
        <v>1949</v>
      </c>
      <c r="D358" s="264" t="s">
        <v>4021</v>
      </c>
      <c r="E358" s="259">
        <v>81300000</v>
      </c>
      <c r="H358" s="264" t="s">
        <v>3383</v>
      </c>
      <c r="I358" s="264" t="s">
        <v>4022</v>
      </c>
      <c r="J358" s="295">
        <v>0</v>
      </c>
      <c r="K358" s="295">
        <v>0</v>
      </c>
      <c r="L358" s="295">
        <v>4.45</v>
      </c>
      <c r="O358" s="266"/>
      <c r="P358" s="266">
        <v>885038039570</v>
      </c>
      <c r="Q358" s="266">
        <v>9002761039573</v>
      </c>
      <c r="R358" s="265"/>
      <c r="U358" s="265" t="s">
        <v>3101</v>
      </c>
      <c r="V358" s="259" t="s">
        <v>3574</v>
      </c>
      <c r="W358" s="259" t="s">
        <v>3061</v>
      </c>
      <c r="X358" s="269" t="s">
        <v>4023</v>
      </c>
      <c r="Y358" s="259">
        <v>362</v>
      </c>
      <c r="Z358" s="259" t="s">
        <v>3030</v>
      </c>
      <c r="AA358" s="259"/>
      <c r="AB358" s="259"/>
      <c r="AC358" s="259"/>
      <c r="AD358" s="259"/>
      <c r="AE358" s="259"/>
    </row>
    <row r="359" spans="1:31">
      <c r="A359" s="259" t="s">
        <v>516</v>
      </c>
      <c r="B359" s="259" t="s">
        <v>1</v>
      </c>
      <c r="C359" s="264" t="s">
        <v>1949</v>
      </c>
      <c r="D359" s="264" t="s">
        <v>4024</v>
      </c>
      <c r="E359" s="259" t="s">
        <v>3999</v>
      </c>
      <c r="H359" s="264" t="s">
        <v>3383</v>
      </c>
      <c r="I359" s="264" t="s">
        <v>4025</v>
      </c>
      <c r="J359" s="295">
        <v>0</v>
      </c>
      <c r="K359" s="295">
        <v>0</v>
      </c>
      <c r="L359" s="295">
        <v>7.09</v>
      </c>
      <c r="O359" s="266"/>
      <c r="P359" s="266">
        <v>885038039471</v>
      </c>
      <c r="Q359" s="266">
        <v>9002761039474</v>
      </c>
      <c r="R359" s="265"/>
      <c r="U359" s="265" t="s">
        <v>3101</v>
      </c>
      <c r="V359" s="259" t="s">
        <v>3352</v>
      </c>
      <c r="W359" s="259" t="s">
        <v>3061</v>
      </c>
      <c r="X359" s="269" t="s">
        <v>4026</v>
      </c>
      <c r="Y359" s="259">
        <v>363</v>
      </c>
      <c r="AA359" s="259"/>
      <c r="AB359" s="259"/>
      <c r="AC359" s="259"/>
      <c r="AD359" s="259"/>
      <c r="AE359" s="259"/>
    </row>
    <row r="360" spans="1:31">
      <c r="A360" s="259" t="s">
        <v>517</v>
      </c>
      <c r="B360" s="259" t="s">
        <v>1</v>
      </c>
      <c r="C360" s="264" t="s">
        <v>1949</v>
      </c>
      <c r="D360" s="264" t="s">
        <v>4027</v>
      </c>
      <c r="E360" s="259" t="s">
        <v>3999</v>
      </c>
      <c r="H360" s="264" t="s">
        <v>3383</v>
      </c>
      <c r="I360" s="264" t="s">
        <v>4028</v>
      </c>
      <c r="J360" s="295">
        <v>0</v>
      </c>
      <c r="K360" s="295">
        <v>0</v>
      </c>
      <c r="L360" s="295">
        <v>47.41</v>
      </c>
      <c r="O360" s="266"/>
      <c r="P360" s="266">
        <v>885038039488</v>
      </c>
      <c r="Q360" s="266">
        <v>9002761039481</v>
      </c>
      <c r="R360" s="265"/>
      <c r="U360" s="265" t="s">
        <v>3101</v>
      </c>
      <c r="V360" s="259" t="s">
        <v>3060</v>
      </c>
      <c r="W360" s="259" t="s">
        <v>3061</v>
      </c>
      <c r="X360" s="269" t="s">
        <v>4029</v>
      </c>
      <c r="Y360" s="259">
        <v>364</v>
      </c>
      <c r="Z360" s="259" t="s">
        <v>3037</v>
      </c>
      <c r="AA360" s="259"/>
      <c r="AB360" s="259"/>
      <c r="AC360" s="259"/>
      <c r="AD360" s="259"/>
      <c r="AE360" s="259"/>
    </row>
    <row r="361" spans="1:31">
      <c r="A361" s="259" t="s">
        <v>518</v>
      </c>
      <c r="B361" s="259" t="s">
        <v>1</v>
      </c>
      <c r="C361" s="264" t="s">
        <v>1949</v>
      </c>
      <c r="D361" s="264" t="s">
        <v>4030</v>
      </c>
      <c r="E361" s="259" t="s">
        <v>3803</v>
      </c>
      <c r="G361" s="259" t="s">
        <v>3378</v>
      </c>
      <c r="H361" s="264" t="s">
        <v>3561</v>
      </c>
      <c r="I361" s="264" t="s">
        <v>4031</v>
      </c>
      <c r="J361" s="295">
        <v>118.85</v>
      </c>
      <c r="K361" s="295">
        <v>98</v>
      </c>
      <c r="L361" s="295">
        <v>58.38</v>
      </c>
      <c r="O361" s="266"/>
      <c r="P361" s="266">
        <v>885038026815</v>
      </c>
      <c r="Q361" s="266">
        <v>9002761026818</v>
      </c>
      <c r="R361" s="265">
        <v>3</v>
      </c>
      <c r="S361" s="265">
        <v>4</v>
      </c>
      <c r="T361" s="265">
        <v>5</v>
      </c>
      <c r="U361" s="265">
        <v>3.2</v>
      </c>
      <c r="V361" s="259" t="s">
        <v>3342</v>
      </c>
      <c r="W361" s="259" t="s">
        <v>3061</v>
      </c>
      <c r="X361" s="269" t="s">
        <v>4032</v>
      </c>
      <c r="Y361" s="259">
        <v>365</v>
      </c>
      <c r="Z361" s="259" t="s">
        <v>3227</v>
      </c>
      <c r="AA361" s="259"/>
      <c r="AB361" s="259"/>
      <c r="AC361" s="259"/>
      <c r="AD361" s="259"/>
      <c r="AE361" s="259"/>
    </row>
    <row r="362" spans="1:31">
      <c r="A362" s="259" t="s">
        <v>519</v>
      </c>
      <c r="B362" s="259" t="s">
        <v>1</v>
      </c>
      <c r="C362" s="264" t="s">
        <v>3026</v>
      </c>
      <c r="D362" s="264" t="s">
        <v>4033</v>
      </c>
      <c r="E362" s="259" t="s">
        <v>3565</v>
      </c>
      <c r="H362" s="264" t="s">
        <v>3178</v>
      </c>
      <c r="I362" s="264" t="s">
        <v>4034</v>
      </c>
      <c r="J362" s="295">
        <v>106.84</v>
      </c>
      <c r="K362" s="295">
        <v>82</v>
      </c>
      <c r="L362" s="295">
        <v>61.22</v>
      </c>
      <c r="O362" s="266">
        <v>50</v>
      </c>
      <c r="P362" s="266">
        <v>885038018681</v>
      </c>
      <c r="Q362" s="266">
        <v>9002761018684</v>
      </c>
      <c r="R362" s="265">
        <v>2</v>
      </c>
      <c r="S362" s="265">
        <v>4</v>
      </c>
      <c r="T362" s="265">
        <v>6</v>
      </c>
      <c r="U362" s="265">
        <v>2</v>
      </c>
      <c r="V362" s="259" t="s">
        <v>3247</v>
      </c>
      <c r="W362" s="259" t="s">
        <v>3061</v>
      </c>
      <c r="X362" s="269" t="s">
        <v>4035</v>
      </c>
      <c r="Y362" s="259">
        <v>366</v>
      </c>
      <c r="Z362" s="259" t="s">
        <v>3030</v>
      </c>
      <c r="AA362" s="259"/>
      <c r="AB362" s="259"/>
      <c r="AC362" s="259"/>
      <c r="AD362" s="259"/>
      <c r="AE362" s="259"/>
    </row>
    <row r="363" spans="1:31">
      <c r="A363" s="60" t="s">
        <v>5011</v>
      </c>
      <c r="B363" s="60" t="s">
        <v>32</v>
      </c>
      <c r="C363" s="45" t="s">
        <v>5012</v>
      </c>
      <c r="D363" s="45" t="s">
        <v>5013</v>
      </c>
      <c r="E363" s="60" t="s">
        <v>4139</v>
      </c>
      <c r="F363" s="60"/>
      <c r="G363" s="60" t="s">
        <v>4048</v>
      </c>
      <c r="H363" s="45" t="s">
        <v>8385</v>
      </c>
      <c r="I363" s="45" t="s">
        <v>8385</v>
      </c>
      <c r="J363" s="296">
        <v>40</v>
      </c>
      <c r="K363" s="296">
        <v>40</v>
      </c>
      <c r="L363" s="296">
        <v>20</v>
      </c>
      <c r="M363" s="296"/>
      <c r="N363" s="296"/>
      <c r="O363" s="47">
        <v>0</v>
      </c>
      <c r="P363" s="47">
        <v>718878035160</v>
      </c>
      <c r="Q363" s="47">
        <v>0</v>
      </c>
      <c r="R363" s="63">
        <v>0.1</v>
      </c>
      <c r="S363" s="63">
        <v>5</v>
      </c>
      <c r="T363" s="63">
        <v>4.25</v>
      </c>
      <c r="U363" s="63">
        <v>0.5</v>
      </c>
      <c r="V363" s="63" t="s">
        <v>8354</v>
      </c>
      <c r="W363" s="60" t="s">
        <v>4130</v>
      </c>
      <c r="X363" s="45" t="s">
        <v>8386</v>
      </c>
      <c r="Y363" s="60">
        <v>1</v>
      </c>
      <c r="Z363" s="60"/>
      <c r="AA363" s="270"/>
      <c r="AB363" s="270"/>
      <c r="AC363" s="270"/>
      <c r="AD363" s="259"/>
      <c r="AE363" s="259"/>
    </row>
    <row r="364" spans="1:31">
      <c r="A364" s="60" t="s">
        <v>5014</v>
      </c>
      <c r="B364" s="60" t="s">
        <v>32</v>
      </c>
      <c r="C364" s="45" t="s">
        <v>5012</v>
      </c>
      <c r="D364" s="45" t="s">
        <v>5015</v>
      </c>
      <c r="E364" s="60" t="s">
        <v>4139</v>
      </c>
      <c r="F364" s="60"/>
      <c r="G364" s="60" t="s">
        <v>4048</v>
      </c>
      <c r="H364" s="45" t="s">
        <v>8387</v>
      </c>
      <c r="I364" s="45" t="s">
        <v>8387</v>
      </c>
      <c r="J364" s="296">
        <v>308</v>
      </c>
      <c r="K364" s="296">
        <v>308</v>
      </c>
      <c r="L364" s="296">
        <v>154</v>
      </c>
      <c r="M364" s="296"/>
      <c r="N364" s="296"/>
      <c r="O364" s="47">
        <v>0</v>
      </c>
      <c r="P364" s="47">
        <v>718878035153</v>
      </c>
      <c r="Q364" s="47">
        <v>0</v>
      </c>
      <c r="R364" s="63">
        <v>0.1</v>
      </c>
      <c r="S364" s="63">
        <v>5</v>
      </c>
      <c r="T364" s="63">
        <v>4.25</v>
      </c>
      <c r="U364" s="63">
        <v>0.75</v>
      </c>
      <c r="V364" s="63" t="s">
        <v>3834</v>
      </c>
      <c r="W364" s="60" t="s">
        <v>3061</v>
      </c>
      <c r="X364" s="45" t="s">
        <v>8388</v>
      </c>
      <c r="Y364" s="60">
        <v>2</v>
      </c>
      <c r="Z364" s="60"/>
      <c r="AA364" s="270"/>
      <c r="AB364" s="270"/>
      <c r="AC364" s="270"/>
      <c r="AD364" s="259"/>
      <c r="AE364" s="259"/>
    </row>
    <row r="365" spans="1:31">
      <c r="A365" s="60" t="s">
        <v>8356</v>
      </c>
      <c r="B365" s="60" t="s">
        <v>32</v>
      </c>
      <c r="C365" s="45" t="s">
        <v>48</v>
      </c>
      <c r="D365" s="45" t="s">
        <v>8360</v>
      </c>
      <c r="E365" s="60" t="s">
        <v>4139</v>
      </c>
      <c r="F365" s="60"/>
      <c r="G365" s="60" t="s">
        <v>4048</v>
      </c>
      <c r="H365" s="45" t="s">
        <v>8364</v>
      </c>
      <c r="I365" s="45" t="s">
        <v>8364</v>
      </c>
      <c r="J365" s="296">
        <v>1130</v>
      </c>
      <c r="K365" s="296">
        <v>1130</v>
      </c>
      <c r="L365" s="296">
        <v>565</v>
      </c>
      <c r="M365" s="296"/>
      <c r="N365" s="296"/>
      <c r="O365" s="47">
        <v>0</v>
      </c>
      <c r="P365" s="47">
        <v>718878034828</v>
      </c>
      <c r="Q365" s="47">
        <v>0</v>
      </c>
      <c r="R365" s="63">
        <v>1.26</v>
      </c>
      <c r="S365" s="63">
        <v>5.04</v>
      </c>
      <c r="T365" s="63">
        <v>5.14</v>
      </c>
      <c r="U365" s="63">
        <v>1.18</v>
      </c>
      <c r="V365" s="63" t="s">
        <v>4159</v>
      </c>
      <c r="W365" s="60" t="s">
        <v>3061</v>
      </c>
      <c r="X365" s="45" t="s">
        <v>8368</v>
      </c>
      <c r="Y365" s="60">
        <v>3</v>
      </c>
      <c r="Z365" s="60"/>
      <c r="AA365" s="60"/>
      <c r="AB365" s="45"/>
      <c r="AC365" s="45"/>
      <c r="AD365" s="259"/>
      <c r="AE365" s="259"/>
    </row>
    <row r="366" spans="1:31">
      <c r="A366" s="60" t="s">
        <v>8357</v>
      </c>
      <c r="B366" s="60" t="s">
        <v>32</v>
      </c>
      <c r="C366" s="45" t="s">
        <v>48</v>
      </c>
      <c r="D366" s="45" t="s">
        <v>8361</v>
      </c>
      <c r="E366" s="60" t="s">
        <v>4139</v>
      </c>
      <c r="F366" s="60"/>
      <c r="G366" s="60" t="s">
        <v>4048</v>
      </c>
      <c r="H366" s="45" t="s">
        <v>8365</v>
      </c>
      <c r="I366" s="45" t="s">
        <v>8365</v>
      </c>
      <c r="J366" s="296">
        <v>1190</v>
      </c>
      <c r="K366" s="296">
        <v>1190</v>
      </c>
      <c r="L366" s="296">
        <v>595</v>
      </c>
      <c r="M366" s="296"/>
      <c r="N366" s="296"/>
      <c r="O366" s="47">
        <v>0</v>
      </c>
      <c r="P366" s="47">
        <v>718878034842</v>
      </c>
      <c r="Q366" s="47">
        <v>0</v>
      </c>
      <c r="R366" s="63">
        <v>1.58</v>
      </c>
      <c r="S366" s="63">
        <v>5.16</v>
      </c>
      <c r="T366" s="63">
        <v>5.8</v>
      </c>
      <c r="U366" s="63">
        <v>1.66</v>
      </c>
      <c r="V366" s="63" t="s">
        <v>4159</v>
      </c>
      <c r="W366" s="60" t="s">
        <v>3061</v>
      </c>
      <c r="X366" s="45" t="s">
        <v>8369</v>
      </c>
      <c r="Y366" s="60">
        <v>4</v>
      </c>
      <c r="Z366" s="60"/>
      <c r="AA366" s="60"/>
      <c r="AB366" s="45"/>
      <c r="AC366" s="45"/>
      <c r="AD366" s="259"/>
      <c r="AE366" s="259"/>
    </row>
    <row r="367" spans="1:31">
      <c r="A367" s="60" t="s">
        <v>8358</v>
      </c>
      <c r="B367" s="60" t="s">
        <v>32</v>
      </c>
      <c r="C367" s="45" t="s">
        <v>48</v>
      </c>
      <c r="D367" s="45" t="s">
        <v>8362</v>
      </c>
      <c r="E367" s="60" t="s">
        <v>4139</v>
      </c>
      <c r="F367" s="60"/>
      <c r="G367" s="60" t="s">
        <v>4048</v>
      </c>
      <c r="H367" s="45" t="s">
        <v>8366</v>
      </c>
      <c r="I367" s="45" t="s">
        <v>8366</v>
      </c>
      <c r="J367" s="296">
        <v>2270</v>
      </c>
      <c r="K367" s="296">
        <v>2270</v>
      </c>
      <c r="L367" s="296">
        <v>1135</v>
      </c>
      <c r="M367" s="296"/>
      <c r="N367" s="296"/>
      <c r="O367" s="47">
        <v>0</v>
      </c>
      <c r="P367" s="47">
        <v>718878034880</v>
      </c>
      <c r="Q367" s="47">
        <v>0</v>
      </c>
      <c r="R367" s="63">
        <v>6.05</v>
      </c>
      <c r="S367" s="63">
        <v>9.14</v>
      </c>
      <c r="T367" s="63">
        <v>17.32</v>
      </c>
      <c r="U367" s="63">
        <v>1.7</v>
      </c>
      <c r="V367" s="63" t="s">
        <v>4159</v>
      </c>
      <c r="W367" s="60" t="s">
        <v>3061</v>
      </c>
      <c r="X367" s="45" t="s">
        <v>8370</v>
      </c>
      <c r="Y367" s="60">
        <v>5</v>
      </c>
      <c r="Z367" s="60"/>
      <c r="AA367" s="60"/>
      <c r="AB367" s="45"/>
      <c r="AC367" s="45"/>
      <c r="AD367" s="259"/>
      <c r="AE367" s="259"/>
    </row>
    <row r="368" spans="1:31">
      <c r="A368" s="60" t="s">
        <v>8359</v>
      </c>
      <c r="B368" s="60" t="s">
        <v>32</v>
      </c>
      <c r="C368" s="45" t="s">
        <v>48</v>
      </c>
      <c r="D368" s="45" t="s">
        <v>8363</v>
      </c>
      <c r="E368" s="60" t="s">
        <v>4139</v>
      </c>
      <c r="F368" s="60"/>
      <c r="G368" s="60" t="s">
        <v>4048</v>
      </c>
      <c r="H368" s="45" t="s">
        <v>8367</v>
      </c>
      <c r="I368" s="45" t="s">
        <v>8367</v>
      </c>
      <c r="J368" s="296">
        <v>2990</v>
      </c>
      <c r="K368" s="296">
        <v>2990</v>
      </c>
      <c r="L368" s="296">
        <v>1495</v>
      </c>
      <c r="M368" s="296"/>
      <c r="N368" s="296"/>
      <c r="O368" s="47">
        <v>0</v>
      </c>
      <c r="P368" s="47">
        <v>718878034897</v>
      </c>
      <c r="Q368" s="47">
        <v>0</v>
      </c>
      <c r="R368" s="63">
        <v>6.26</v>
      </c>
      <c r="S368" s="63">
        <v>9.14</v>
      </c>
      <c r="T368" s="63">
        <v>17.32</v>
      </c>
      <c r="U368" s="63">
        <v>1.7</v>
      </c>
      <c r="V368" s="63" t="s">
        <v>4159</v>
      </c>
      <c r="W368" s="60" t="s">
        <v>3061</v>
      </c>
      <c r="X368" s="45" t="s">
        <v>8371</v>
      </c>
      <c r="Y368" s="60">
        <v>6</v>
      </c>
      <c r="Z368" s="60"/>
      <c r="AA368" s="60"/>
      <c r="AB368" s="45"/>
      <c r="AC368" s="45"/>
      <c r="AD368" s="259"/>
      <c r="AE368" s="259"/>
    </row>
    <row r="369" spans="1:31">
      <c r="A369" s="60" t="s">
        <v>5002</v>
      </c>
      <c r="B369" s="60" t="s">
        <v>32</v>
      </c>
      <c r="C369" s="45" t="s">
        <v>5003</v>
      </c>
      <c r="D369" s="45" t="s">
        <v>5004</v>
      </c>
      <c r="E369" s="60" t="s">
        <v>4139</v>
      </c>
      <c r="F369" s="60"/>
      <c r="G369" s="60" t="s">
        <v>4048</v>
      </c>
      <c r="H369" s="45" t="s">
        <v>8373</v>
      </c>
      <c r="I369" s="45" t="s">
        <v>8374</v>
      </c>
      <c r="J369" s="296">
        <v>410</v>
      </c>
      <c r="K369" s="296">
        <v>410</v>
      </c>
      <c r="L369" s="296">
        <v>205</v>
      </c>
      <c r="M369" s="296"/>
      <c r="N369" s="296"/>
      <c r="O369" s="47">
        <v>12</v>
      </c>
      <c r="P369" s="47">
        <v>718878034835</v>
      </c>
      <c r="Q369" s="47">
        <v>0</v>
      </c>
      <c r="R369" s="63">
        <v>1.2</v>
      </c>
      <c r="S369" s="63">
        <v>8.25</v>
      </c>
      <c r="T369" s="63">
        <v>7.5</v>
      </c>
      <c r="U369" s="63">
        <v>3.25</v>
      </c>
      <c r="V369" s="63" t="s">
        <v>4159</v>
      </c>
      <c r="W369" s="60" t="s">
        <v>3061</v>
      </c>
      <c r="X369" s="45" t="s">
        <v>8375</v>
      </c>
      <c r="Y369" s="60">
        <v>7</v>
      </c>
      <c r="Z369" s="60"/>
      <c r="AA369" s="270"/>
      <c r="AB369" s="270"/>
      <c r="AC369" s="270"/>
      <c r="AD369" s="259"/>
      <c r="AE369" s="259"/>
    </row>
    <row r="370" spans="1:31">
      <c r="A370" s="60" t="s">
        <v>5005</v>
      </c>
      <c r="B370" s="60" t="s">
        <v>32</v>
      </c>
      <c r="C370" s="45" t="s">
        <v>5003</v>
      </c>
      <c r="D370" s="45" t="s">
        <v>5006</v>
      </c>
      <c r="E370" s="60" t="s">
        <v>4139</v>
      </c>
      <c r="F370" s="60"/>
      <c r="G370" s="60" t="s">
        <v>4048</v>
      </c>
      <c r="H370" s="45" t="s">
        <v>8376</v>
      </c>
      <c r="I370" s="45" t="s">
        <v>8377</v>
      </c>
      <c r="J370" s="296">
        <v>520</v>
      </c>
      <c r="K370" s="296">
        <v>520</v>
      </c>
      <c r="L370" s="296">
        <v>260</v>
      </c>
      <c r="M370" s="296"/>
      <c r="N370" s="296"/>
      <c r="O370" s="47">
        <v>12</v>
      </c>
      <c r="P370" s="47">
        <v>718878034859</v>
      </c>
      <c r="Q370" s="47">
        <v>0</v>
      </c>
      <c r="R370" s="63">
        <v>1.2</v>
      </c>
      <c r="S370" s="63">
        <v>8.25</v>
      </c>
      <c r="T370" s="63">
        <v>7.5</v>
      </c>
      <c r="U370" s="63">
        <v>3.25</v>
      </c>
      <c r="V370" s="63" t="s">
        <v>4159</v>
      </c>
      <c r="W370" s="60" t="s">
        <v>3061</v>
      </c>
      <c r="X370" s="45" t="s">
        <v>8378</v>
      </c>
      <c r="Y370" s="60">
        <v>8</v>
      </c>
      <c r="Z370" s="60"/>
      <c r="AA370" s="270"/>
      <c r="AB370" s="270"/>
      <c r="AC370" s="270"/>
      <c r="AD370" s="259"/>
      <c r="AE370" s="259"/>
    </row>
    <row r="371" spans="1:31">
      <c r="A371" s="60" t="s">
        <v>5007</v>
      </c>
      <c r="B371" s="60" t="s">
        <v>32</v>
      </c>
      <c r="C371" s="45" t="s">
        <v>5003</v>
      </c>
      <c r="D371" s="45" t="s">
        <v>5008</v>
      </c>
      <c r="E371" s="60" t="s">
        <v>4139</v>
      </c>
      <c r="F371" s="60"/>
      <c r="G371" s="60" t="s">
        <v>4048</v>
      </c>
      <c r="H371" s="45" t="s">
        <v>8379</v>
      </c>
      <c r="I371" s="45" t="s">
        <v>8380</v>
      </c>
      <c r="J371" s="296">
        <v>410</v>
      </c>
      <c r="K371" s="296">
        <v>410</v>
      </c>
      <c r="L371" s="296">
        <v>205</v>
      </c>
      <c r="M371" s="296"/>
      <c r="N371" s="296"/>
      <c r="O371" s="47">
        <v>12</v>
      </c>
      <c r="P371" s="47">
        <v>718878034866</v>
      </c>
      <c r="Q371" s="47">
        <v>0</v>
      </c>
      <c r="R371" s="63">
        <v>1.2</v>
      </c>
      <c r="S371" s="63">
        <v>8.25</v>
      </c>
      <c r="T371" s="63">
        <v>7.5</v>
      </c>
      <c r="U371" s="63">
        <v>3.25</v>
      </c>
      <c r="V371" s="63" t="s">
        <v>4159</v>
      </c>
      <c r="W371" s="60" t="s">
        <v>3061</v>
      </c>
      <c r="X371" s="45" t="s">
        <v>8381</v>
      </c>
      <c r="Y371" s="60">
        <v>9</v>
      </c>
      <c r="Z371" s="60"/>
      <c r="AA371" s="270"/>
      <c r="AB371" s="270"/>
      <c r="AC371" s="270"/>
      <c r="AD371" s="259"/>
      <c r="AE371" s="259"/>
    </row>
    <row r="372" spans="1:31">
      <c r="A372" s="60" t="s">
        <v>5009</v>
      </c>
      <c r="B372" s="60" t="s">
        <v>32</v>
      </c>
      <c r="C372" s="45" t="s">
        <v>5003</v>
      </c>
      <c r="D372" s="45" t="s">
        <v>5010</v>
      </c>
      <c r="E372" s="60" t="s">
        <v>4139</v>
      </c>
      <c r="F372" s="60"/>
      <c r="G372" s="60" t="s">
        <v>4048</v>
      </c>
      <c r="H372" s="45" t="s">
        <v>8382</v>
      </c>
      <c r="I372" s="45" t="s">
        <v>8383</v>
      </c>
      <c r="J372" s="296">
        <v>410</v>
      </c>
      <c r="K372" s="296">
        <v>410</v>
      </c>
      <c r="L372" s="296">
        <v>205</v>
      </c>
      <c r="M372" s="296"/>
      <c r="N372" s="296"/>
      <c r="O372" s="47">
        <v>12</v>
      </c>
      <c r="P372" s="47">
        <v>718878034873</v>
      </c>
      <c r="Q372" s="47">
        <v>0</v>
      </c>
      <c r="R372" s="63">
        <v>1.2</v>
      </c>
      <c r="S372" s="63">
        <v>8.25</v>
      </c>
      <c r="T372" s="63">
        <v>7.5</v>
      </c>
      <c r="U372" s="63">
        <v>3.25</v>
      </c>
      <c r="V372" s="63" t="s">
        <v>4159</v>
      </c>
      <c r="W372" s="60" t="s">
        <v>3061</v>
      </c>
      <c r="X372" s="45" t="s">
        <v>8384</v>
      </c>
      <c r="Y372" s="60">
        <v>10</v>
      </c>
      <c r="Z372" s="60"/>
      <c r="AA372" s="270"/>
      <c r="AB372" s="270"/>
      <c r="AC372" s="270"/>
      <c r="AD372" s="259"/>
      <c r="AE372" s="259"/>
    </row>
    <row r="373" spans="1:31">
      <c r="A373" s="259" t="s">
        <v>521</v>
      </c>
      <c r="B373" s="259" t="s">
        <v>32</v>
      </c>
      <c r="C373" s="264" t="s">
        <v>4036</v>
      </c>
      <c r="D373" s="264" t="s">
        <v>4037</v>
      </c>
      <c r="E373" s="259" t="s">
        <v>4038</v>
      </c>
      <c r="G373" s="259">
        <v>0</v>
      </c>
      <c r="H373" s="264" t="s">
        <v>4039</v>
      </c>
      <c r="I373" s="264" t="s">
        <v>4040</v>
      </c>
      <c r="J373" s="295">
        <v>8003.1</v>
      </c>
      <c r="K373" s="295">
        <v>8003.1</v>
      </c>
      <c r="L373" s="295">
        <v>4001.55</v>
      </c>
      <c r="O373" s="266">
        <v>0</v>
      </c>
      <c r="P373" s="266">
        <v>718878026434</v>
      </c>
      <c r="Q373" s="266">
        <v>0</v>
      </c>
      <c r="R373" s="265">
        <v>23.37</v>
      </c>
      <c r="S373" s="265">
        <v>19</v>
      </c>
      <c r="T373" s="265">
        <v>15</v>
      </c>
      <c r="U373" s="265">
        <v>3.5</v>
      </c>
      <c r="V373" s="259" t="s">
        <v>3247</v>
      </c>
      <c r="W373" s="259" t="s">
        <v>3061</v>
      </c>
      <c r="X373" s="269" t="s">
        <v>4041</v>
      </c>
      <c r="Y373" s="60">
        <v>11</v>
      </c>
      <c r="Z373" s="259" t="s">
        <v>4042</v>
      </c>
      <c r="AA373" s="259"/>
      <c r="AB373" s="259"/>
      <c r="AC373" s="259"/>
      <c r="AD373" s="259"/>
      <c r="AE373" s="259"/>
    </row>
    <row r="374" spans="1:31">
      <c r="A374" s="259" t="s">
        <v>522</v>
      </c>
      <c r="B374" s="259" t="s">
        <v>32</v>
      </c>
      <c r="C374" s="264" t="s">
        <v>4036</v>
      </c>
      <c r="D374" s="264" t="s">
        <v>4043</v>
      </c>
      <c r="E374" s="259" t="s">
        <v>4038</v>
      </c>
      <c r="G374" s="259">
        <v>0</v>
      </c>
      <c r="H374" s="264" t="s">
        <v>4044</v>
      </c>
      <c r="I374" s="264" t="s">
        <v>4045</v>
      </c>
      <c r="J374" s="295">
        <v>10289.700000000001</v>
      </c>
      <c r="K374" s="295">
        <v>10289.700000000001</v>
      </c>
      <c r="L374" s="295">
        <v>5144.8500000000004</v>
      </c>
      <c r="O374" s="266">
        <v>0</v>
      </c>
      <c r="P374" s="266">
        <v>718878026465</v>
      </c>
      <c r="Q374" s="266">
        <v>0</v>
      </c>
      <c r="R374" s="265">
        <v>26.96</v>
      </c>
      <c r="S374" s="265">
        <v>19</v>
      </c>
      <c r="T374" s="265">
        <v>15</v>
      </c>
      <c r="U374" s="265">
        <v>3.5</v>
      </c>
      <c r="V374" s="259" t="s">
        <v>3247</v>
      </c>
      <c r="W374" s="259" t="s">
        <v>3061</v>
      </c>
      <c r="X374" s="264" t="s">
        <v>4046</v>
      </c>
      <c r="Y374" s="60">
        <v>12</v>
      </c>
      <c r="Z374" s="259" t="s">
        <v>4042</v>
      </c>
      <c r="AA374" s="259"/>
      <c r="AB374" s="259"/>
      <c r="AC374" s="259"/>
      <c r="AD374" s="259"/>
      <c r="AE374" s="259"/>
    </row>
    <row r="375" spans="1:31">
      <c r="A375" s="259" t="s">
        <v>525</v>
      </c>
      <c r="B375" s="259" t="s">
        <v>32</v>
      </c>
      <c r="C375" s="264" t="s">
        <v>51</v>
      </c>
      <c r="D375" s="264" t="s">
        <v>2933</v>
      </c>
      <c r="E375" s="259" t="s">
        <v>4047</v>
      </c>
      <c r="G375" s="259" t="s">
        <v>4048</v>
      </c>
      <c r="H375" s="264" t="s">
        <v>4055</v>
      </c>
      <c r="I375" s="264" t="s">
        <v>4056</v>
      </c>
      <c r="J375" s="295">
        <v>1750</v>
      </c>
      <c r="K375" s="295">
        <v>1750</v>
      </c>
      <c r="L375" s="295">
        <v>875</v>
      </c>
      <c r="O375" s="266">
        <v>0</v>
      </c>
      <c r="P375" s="266">
        <v>718878035009</v>
      </c>
      <c r="Q375" s="266">
        <v>0</v>
      </c>
      <c r="R375" s="265">
        <v>1.5</v>
      </c>
      <c r="S375" s="265">
        <v>7.87</v>
      </c>
      <c r="T375" s="265">
        <v>5</v>
      </c>
      <c r="U375" s="265">
        <v>1.05</v>
      </c>
      <c r="V375" s="259" t="s">
        <v>3247</v>
      </c>
      <c r="W375" s="259" t="s">
        <v>3061</v>
      </c>
      <c r="X375" s="264" t="s">
        <v>4057</v>
      </c>
      <c r="Y375" s="60">
        <v>13</v>
      </c>
      <c r="Z375" s="259" t="s">
        <v>4042</v>
      </c>
      <c r="AA375" s="259"/>
      <c r="AB375" s="259"/>
      <c r="AC375" s="259"/>
      <c r="AD375" s="259"/>
      <c r="AE375" s="259"/>
    </row>
    <row r="376" spans="1:31">
      <c r="A376" s="259" t="s">
        <v>527</v>
      </c>
      <c r="B376" s="259" t="s">
        <v>32</v>
      </c>
      <c r="C376" s="264" t="s">
        <v>51</v>
      </c>
      <c r="D376" s="264" t="s">
        <v>4062</v>
      </c>
      <c r="E376" s="259" t="s">
        <v>4047</v>
      </c>
      <c r="G376" s="259" t="s">
        <v>4048</v>
      </c>
      <c r="H376" s="264" t="s">
        <v>4063</v>
      </c>
      <c r="I376" s="264" t="s">
        <v>4064</v>
      </c>
      <c r="J376" s="295">
        <v>1500</v>
      </c>
      <c r="K376" s="295">
        <v>1500</v>
      </c>
      <c r="L376" s="295">
        <v>750</v>
      </c>
      <c r="O376" s="266">
        <v>0</v>
      </c>
      <c r="P376" s="266">
        <v>718878035146</v>
      </c>
      <c r="Q376" s="266">
        <v>0</v>
      </c>
      <c r="R376" s="265">
        <v>0.9</v>
      </c>
      <c r="S376" s="265">
        <v>5.2</v>
      </c>
      <c r="T376" s="265">
        <v>2.2999999999999998</v>
      </c>
      <c r="U376" s="265">
        <v>4.2</v>
      </c>
      <c r="V376" s="259" t="s">
        <v>3247</v>
      </c>
      <c r="W376" s="259" t="s">
        <v>3061</v>
      </c>
      <c r="X376" s="264" t="s">
        <v>4065</v>
      </c>
      <c r="Y376" s="60">
        <v>14</v>
      </c>
      <c r="Z376" s="259" t="s">
        <v>4042</v>
      </c>
      <c r="AA376" s="259"/>
      <c r="AB376" s="259"/>
      <c r="AC376" s="259"/>
      <c r="AD376" s="259"/>
      <c r="AE376" s="259"/>
    </row>
    <row r="377" spans="1:31">
      <c r="A377" s="259" t="s">
        <v>523</v>
      </c>
      <c r="B377" s="259" t="s">
        <v>32</v>
      </c>
      <c r="C377" s="264" t="s">
        <v>51</v>
      </c>
      <c r="D377" s="264" t="s">
        <v>2931</v>
      </c>
      <c r="E377" s="259" t="s">
        <v>4047</v>
      </c>
      <c r="G377" s="259" t="s">
        <v>4048</v>
      </c>
      <c r="H377" s="264" t="s">
        <v>4049</v>
      </c>
      <c r="I377" s="264" t="s">
        <v>4050</v>
      </c>
      <c r="J377" s="295">
        <v>1750</v>
      </c>
      <c r="K377" s="295">
        <v>1750</v>
      </c>
      <c r="L377" s="295">
        <v>875</v>
      </c>
      <c r="O377" s="266">
        <v>0</v>
      </c>
      <c r="P377" s="266">
        <v>718878035016</v>
      </c>
      <c r="Q377" s="266">
        <v>0</v>
      </c>
      <c r="R377" s="265">
        <v>1.5</v>
      </c>
      <c r="S377" s="265">
        <v>7.87</v>
      </c>
      <c r="T377" s="265">
        <v>5</v>
      </c>
      <c r="U377" s="265">
        <v>1.05</v>
      </c>
      <c r="V377" s="259" t="s">
        <v>3247</v>
      </c>
      <c r="W377" s="259" t="s">
        <v>3061</v>
      </c>
      <c r="X377" s="264" t="s">
        <v>4051</v>
      </c>
      <c r="Y377" s="60">
        <v>15</v>
      </c>
      <c r="Z377" s="259" t="s">
        <v>4042</v>
      </c>
      <c r="AA377" s="259"/>
      <c r="AB377" s="259"/>
      <c r="AC377" s="259"/>
      <c r="AD377" s="259"/>
      <c r="AE377" s="259"/>
    </row>
    <row r="378" spans="1:31">
      <c r="A378" s="259" t="s">
        <v>524</v>
      </c>
      <c r="B378" s="259" t="s">
        <v>32</v>
      </c>
      <c r="C378" s="264" t="s">
        <v>51</v>
      </c>
      <c r="D378" s="264" t="s">
        <v>2932</v>
      </c>
      <c r="E378" s="259" t="s">
        <v>4047</v>
      </c>
      <c r="G378" s="259" t="s">
        <v>4048</v>
      </c>
      <c r="H378" s="264" t="s">
        <v>4052</v>
      </c>
      <c r="I378" s="264" t="s">
        <v>4053</v>
      </c>
      <c r="J378" s="295">
        <v>1725</v>
      </c>
      <c r="K378" s="295">
        <v>1725</v>
      </c>
      <c r="L378" s="295">
        <v>862.5</v>
      </c>
      <c r="O378" s="266">
        <v>0</v>
      </c>
      <c r="P378" s="266">
        <v>718878034811</v>
      </c>
      <c r="Q378" s="266">
        <v>0</v>
      </c>
      <c r="R378" s="265">
        <v>1.5</v>
      </c>
      <c r="S378" s="265">
        <v>7.87</v>
      </c>
      <c r="T378" s="265">
        <v>5</v>
      </c>
      <c r="U378" s="265">
        <v>1.05</v>
      </c>
      <c r="V378" s="259" t="s">
        <v>3247</v>
      </c>
      <c r="W378" s="259" t="s">
        <v>3061</v>
      </c>
      <c r="X378" s="264" t="s">
        <v>4054</v>
      </c>
      <c r="Y378" s="60">
        <v>16</v>
      </c>
      <c r="Z378" s="259" t="s">
        <v>4042</v>
      </c>
      <c r="AA378" s="259"/>
      <c r="AB378" s="259"/>
      <c r="AC378" s="259"/>
      <c r="AD378" s="259"/>
      <c r="AE378" s="259"/>
    </row>
    <row r="379" spans="1:31">
      <c r="A379" s="259" t="s">
        <v>526</v>
      </c>
      <c r="B379" s="259" t="s">
        <v>32</v>
      </c>
      <c r="C379" s="264" t="s">
        <v>51</v>
      </c>
      <c r="D379" s="264" t="s">
        <v>4058</v>
      </c>
      <c r="E379" s="259" t="s">
        <v>4047</v>
      </c>
      <c r="G379" s="259" t="s">
        <v>4048</v>
      </c>
      <c r="H379" s="264" t="s">
        <v>4059</v>
      </c>
      <c r="I379" s="264" t="s">
        <v>4060</v>
      </c>
      <c r="J379" s="295">
        <v>1500</v>
      </c>
      <c r="K379" s="295">
        <v>1500</v>
      </c>
      <c r="L379" s="295">
        <v>750</v>
      </c>
      <c r="O379" s="266">
        <v>0</v>
      </c>
      <c r="P379" s="266">
        <v>718878034996</v>
      </c>
      <c r="Q379" s="266">
        <v>0</v>
      </c>
      <c r="R379" s="265">
        <v>0.9</v>
      </c>
      <c r="S379" s="265">
        <v>5.2</v>
      </c>
      <c r="T379" s="265">
        <v>2.2999999999999998</v>
      </c>
      <c r="U379" s="265">
        <v>4.2</v>
      </c>
      <c r="V379" s="259" t="s">
        <v>3247</v>
      </c>
      <c r="W379" s="259" t="s">
        <v>3061</v>
      </c>
      <c r="X379" s="264" t="s">
        <v>4061</v>
      </c>
      <c r="Y379" s="60">
        <v>17</v>
      </c>
      <c r="Z379" s="259" t="s">
        <v>4042</v>
      </c>
      <c r="AA379" s="259"/>
      <c r="AB379" s="259"/>
      <c r="AC379" s="259"/>
      <c r="AD379" s="259"/>
      <c r="AE379" s="259"/>
    </row>
    <row r="380" spans="1:31" ht="15.75">
      <c r="A380" s="259" t="s">
        <v>8345</v>
      </c>
      <c r="B380" s="64" t="s">
        <v>32</v>
      </c>
      <c r="C380" s="64" t="s">
        <v>51</v>
      </c>
      <c r="D380" s="45" t="s">
        <v>8347</v>
      </c>
      <c r="E380" s="278" t="s">
        <v>4047</v>
      </c>
      <c r="F380" s="60"/>
      <c r="G380" s="60" t="s">
        <v>4048</v>
      </c>
      <c r="H380" s="60" t="s">
        <v>8349</v>
      </c>
      <c r="I380" s="45" t="s">
        <v>8349</v>
      </c>
      <c r="J380" s="297">
        <v>1150</v>
      </c>
      <c r="K380" s="296">
        <v>1150</v>
      </c>
      <c r="L380" s="296">
        <v>575</v>
      </c>
      <c r="M380" s="296"/>
      <c r="N380" s="296"/>
      <c r="O380" s="64">
        <v>0</v>
      </c>
      <c r="P380" s="266">
        <v>718878034927</v>
      </c>
      <c r="Q380" s="63">
        <v>0</v>
      </c>
      <c r="R380" s="47">
        <v>1.5</v>
      </c>
      <c r="S380" s="47">
        <v>7.87</v>
      </c>
      <c r="T380" s="47">
        <v>5</v>
      </c>
      <c r="U380" s="63">
        <v>1.05</v>
      </c>
      <c r="V380" s="63" t="s">
        <v>3247</v>
      </c>
      <c r="W380" s="63" t="s">
        <v>3061</v>
      </c>
      <c r="X380" s="63" t="s">
        <v>8428</v>
      </c>
      <c r="Y380" s="60">
        <v>18</v>
      </c>
      <c r="Z380" s="60"/>
      <c r="AA380" s="60"/>
      <c r="AB380" s="45"/>
      <c r="AC380" s="45"/>
      <c r="AD380" s="259"/>
      <c r="AE380" s="259"/>
    </row>
    <row r="381" spans="1:31" ht="15.75">
      <c r="A381" s="259" t="s">
        <v>8346</v>
      </c>
      <c r="B381" s="64" t="s">
        <v>32</v>
      </c>
      <c r="C381" s="64" t="s">
        <v>51</v>
      </c>
      <c r="D381" s="45" t="s">
        <v>8348</v>
      </c>
      <c r="E381" s="278" t="s">
        <v>4047</v>
      </c>
      <c r="F381" s="60"/>
      <c r="G381" s="60" t="s">
        <v>4048</v>
      </c>
      <c r="H381" s="60" t="s">
        <v>8350</v>
      </c>
      <c r="I381" s="45" t="s">
        <v>8350</v>
      </c>
      <c r="J381" s="297">
        <v>1125</v>
      </c>
      <c r="K381" s="296">
        <v>1125</v>
      </c>
      <c r="L381" s="296">
        <v>562.5</v>
      </c>
      <c r="M381" s="296"/>
      <c r="N381" s="296"/>
      <c r="O381" s="64">
        <v>0</v>
      </c>
      <c r="P381" s="266">
        <v>718878034910</v>
      </c>
      <c r="Q381" s="63">
        <v>0</v>
      </c>
      <c r="R381" s="47">
        <v>0.59</v>
      </c>
      <c r="S381" s="47">
        <v>7.87</v>
      </c>
      <c r="T381" s="47">
        <v>5</v>
      </c>
      <c r="U381" s="63">
        <v>1.05</v>
      </c>
      <c r="V381" s="63" t="s">
        <v>3247</v>
      </c>
      <c r="W381" s="63" t="s">
        <v>3061</v>
      </c>
      <c r="X381" s="63" t="s">
        <v>8429</v>
      </c>
      <c r="Y381" s="60">
        <v>19</v>
      </c>
      <c r="Z381" s="60"/>
      <c r="AA381" s="60"/>
      <c r="AB381" s="45"/>
      <c r="AC381" s="45"/>
      <c r="AD381" s="259"/>
      <c r="AE381" s="259"/>
    </row>
    <row r="382" spans="1:31">
      <c r="A382" s="259" t="s">
        <v>528</v>
      </c>
      <c r="B382" s="259" t="s">
        <v>32</v>
      </c>
      <c r="C382" s="264" t="s">
        <v>43</v>
      </c>
      <c r="D382" s="264" t="s">
        <v>4066</v>
      </c>
      <c r="E382" s="259" t="s">
        <v>4067</v>
      </c>
      <c r="G382" s="259">
        <v>0</v>
      </c>
      <c r="H382" s="264" t="s">
        <v>4068</v>
      </c>
      <c r="I382" s="264" t="s">
        <v>4068</v>
      </c>
      <c r="J382" s="295">
        <v>917.1</v>
      </c>
      <c r="K382" s="295">
        <v>917.1</v>
      </c>
      <c r="L382" s="295">
        <v>458.55</v>
      </c>
      <c r="O382" s="266">
        <v>0</v>
      </c>
      <c r="P382" s="266">
        <v>718878034538</v>
      </c>
      <c r="Q382" s="266">
        <v>0</v>
      </c>
      <c r="R382" s="265">
        <v>2.9</v>
      </c>
      <c r="S382" s="265">
        <v>8.4</v>
      </c>
      <c r="T382" s="265">
        <v>8.07</v>
      </c>
      <c r="U382" s="265">
        <v>1.73</v>
      </c>
      <c r="V382" s="259" t="s">
        <v>3247</v>
      </c>
      <c r="W382" s="259" t="s">
        <v>3061</v>
      </c>
      <c r="X382" s="264" t="s">
        <v>4069</v>
      </c>
      <c r="Y382" s="60">
        <v>20</v>
      </c>
      <c r="Z382" s="259" t="s">
        <v>3030</v>
      </c>
      <c r="AA382" s="259"/>
      <c r="AB382" s="259"/>
      <c r="AC382" s="259"/>
      <c r="AD382" s="259"/>
      <c r="AE382" s="259"/>
    </row>
    <row r="383" spans="1:31">
      <c r="A383" s="259" t="s">
        <v>529</v>
      </c>
      <c r="B383" s="259" t="s">
        <v>32</v>
      </c>
      <c r="C383" s="264" t="s">
        <v>43</v>
      </c>
      <c r="D383" s="264" t="s">
        <v>4070</v>
      </c>
      <c r="E383" s="259" t="s">
        <v>4067</v>
      </c>
      <c r="G383" s="259">
        <v>0</v>
      </c>
      <c r="H383" s="264" t="s">
        <v>4071</v>
      </c>
      <c r="I383" s="264" t="s">
        <v>4071</v>
      </c>
      <c r="J383" s="295">
        <v>2838.7</v>
      </c>
      <c r="K383" s="295">
        <v>2838.7</v>
      </c>
      <c r="L383" s="295">
        <v>1419.35</v>
      </c>
      <c r="O383" s="266">
        <v>0</v>
      </c>
      <c r="P383" s="266">
        <v>718878034552</v>
      </c>
      <c r="Q383" s="266">
        <v>0</v>
      </c>
      <c r="R383" s="265">
        <v>6.6</v>
      </c>
      <c r="S383" s="265">
        <v>17.239999999999998</v>
      </c>
      <c r="T383" s="265">
        <v>10.59</v>
      </c>
      <c r="U383" s="265">
        <v>1.73</v>
      </c>
      <c r="V383" s="259" t="s">
        <v>3247</v>
      </c>
      <c r="W383" s="259" t="s">
        <v>3061</v>
      </c>
      <c r="X383" s="264" t="s">
        <v>4072</v>
      </c>
      <c r="Y383" s="60">
        <v>21</v>
      </c>
      <c r="Z383" s="259" t="s">
        <v>3030</v>
      </c>
      <c r="AA383" s="259"/>
      <c r="AB383" s="259"/>
      <c r="AC383" s="259"/>
      <c r="AD383" s="259"/>
      <c r="AE383" s="259"/>
    </row>
    <row r="384" spans="1:31">
      <c r="A384" s="259" t="s">
        <v>530</v>
      </c>
      <c r="B384" s="259" t="s">
        <v>32</v>
      </c>
      <c r="C384" s="264" t="s">
        <v>43</v>
      </c>
      <c r="D384" s="264" t="s">
        <v>4073</v>
      </c>
      <c r="E384" s="259" t="s">
        <v>4067</v>
      </c>
      <c r="G384" s="259">
        <v>0</v>
      </c>
      <c r="H384" s="264" t="s">
        <v>4074</v>
      </c>
      <c r="I384" s="264" t="s">
        <v>4074</v>
      </c>
      <c r="J384" s="295">
        <v>1715</v>
      </c>
      <c r="K384" s="295">
        <v>1715</v>
      </c>
      <c r="L384" s="295">
        <v>857.5</v>
      </c>
      <c r="O384" s="266">
        <v>0</v>
      </c>
      <c r="P384" s="266">
        <v>718878034545</v>
      </c>
      <c r="Q384" s="266">
        <v>0</v>
      </c>
      <c r="R384" s="265">
        <v>6.3</v>
      </c>
      <c r="S384" s="265">
        <v>17.239999999999998</v>
      </c>
      <c r="T384" s="265">
        <v>10.59</v>
      </c>
      <c r="U384" s="265">
        <v>1.73</v>
      </c>
      <c r="V384" s="259" t="s">
        <v>3247</v>
      </c>
      <c r="W384" s="259" t="s">
        <v>3061</v>
      </c>
      <c r="X384" s="264" t="s">
        <v>4075</v>
      </c>
      <c r="Y384" s="60">
        <v>22</v>
      </c>
      <c r="Z384" s="259" t="s">
        <v>3030</v>
      </c>
      <c r="AA384" s="259"/>
      <c r="AB384" s="259"/>
      <c r="AC384" s="259"/>
      <c r="AD384" s="259"/>
      <c r="AE384" s="259"/>
    </row>
    <row r="385" spans="1:31">
      <c r="A385" s="259" t="s">
        <v>531</v>
      </c>
      <c r="B385" s="259" t="s">
        <v>32</v>
      </c>
      <c r="C385" s="264" t="s">
        <v>43</v>
      </c>
      <c r="D385" s="264" t="s">
        <v>4076</v>
      </c>
      <c r="E385" s="259" t="s">
        <v>4067</v>
      </c>
      <c r="G385" s="259">
        <v>0</v>
      </c>
      <c r="H385" s="264" t="s">
        <v>4077</v>
      </c>
      <c r="I385" s="264" t="s">
        <v>4077</v>
      </c>
      <c r="J385" s="295">
        <v>5487.8</v>
      </c>
      <c r="K385" s="295">
        <v>5487.8</v>
      </c>
      <c r="L385" s="295">
        <v>2743.9</v>
      </c>
      <c r="O385" s="266">
        <v>0</v>
      </c>
      <c r="P385" s="266">
        <v>718878034569</v>
      </c>
      <c r="Q385" s="266">
        <v>0</v>
      </c>
      <c r="R385" s="265">
        <v>7.9</v>
      </c>
      <c r="S385" s="265">
        <v>17.239999999999998</v>
      </c>
      <c r="T385" s="265">
        <v>10.59</v>
      </c>
      <c r="U385" s="265">
        <v>1.73</v>
      </c>
      <c r="V385" s="259" t="s">
        <v>3247</v>
      </c>
      <c r="W385" s="259" t="s">
        <v>3061</v>
      </c>
      <c r="X385" s="264" t="s">
        <v>4078</v>
      </c>
      <c r="Y385" s="60">
        <v>23</v>
      </c>
      <c r="Z385" s="259" t="s">
        <v>3030</v>
      </c>
      <c r="AA385" s="259"/>
      <c r="AB385" s="259"/>
      <c r="AC385" s="259"/>
      <c r="AD385" s="259"/>
      <c r="AE385" s="259"/>
    </row>
    <row r="386" spans="1:31">
      <c r="A386" s="259" t="s">
        <v>532</v>
      </c>
      <c r="B386" s="259" t="s">
        <v>32</v>
      </c>
      <c r="C386" s="264" t="s">
        <v>43</v>
      </c>
      <c r="D386" s="264" t="s">
        <v>4079</v>
      </c>
      <c r="E386" s="259" t="s">
        <v>4067</v>
      </c>
      <c r="G386" s="259">
        <v>0</v>
      </c>
      <c r="H386" s="264" t="s">
        <v>4080</v>
      </c>
      <c r="I386" s="264" t="s">
        <v>4080</v>
      </c>
      <c r="J386" s="295">
        <v>3201.2</v>
      </c>
      <c r="K386" s="295">
        <v>3201.2</v>
      </c>
      <c r="L386" s="295">
        <v>1600.6</v>
      </c>
      <c r="O386" s="266">
        <v>0</v>
      </c>
      <c r="P386" s="266">
        <v>718878034521</v>
      </c>
      <c r="Q386" s="266">
        <v>0</v>
      </c>
      <c r="R386" s="265">
        <v>3.1</v>
      </c>
      <c r="S386" s="265">
        <v>8.4</v>
      </c>
      <c r="T386" s="265">
        <v>8.07</v>
      </c>
      <c r="U386" s="265">
        <v>1.73</v>
      </c>
      <c r="V386" s="259" t="s">
        <v>3247</v>
      </c>
      <c r="W386" s="259" t="s">
        <v>3061</v>
      </c>
      <c r="X386" s="264" t="s">
        <v>4081</v>
      </c>
      <c r="Y386" s="60">
        <v>24</v>
      </c>
      <c r="Z386" s="259" t="s">
        <v>3030</v>
      </c>
      <c r="AA386" s="259"/>
      <c r="AB386" s="259"/>
      <c r="AC386" s="259"/>
      <c r="AD386" s="259"/>
      <c r="AE386" s="259"/>
    </row>
    <row r="387" spans="1:31">
      <c r="A387" s="259" t="s">
        <v>533</v>
      </c>
      <c r="B387" s="259" t="s">
        <v>32</v>
      </c>
      <c r="C387" s="264" t="s">
        <v>41</v>
      </c>
      <c r="D387" s="264" t="s">
        <v>4082</v>
      </c>
      <c r="E387" s="259" t="s">
        <v>4083</v>
      </c>
      <c r="G387" s="259" t="s">
        <v>4048</v>
      </c>
      <c r="H387" s="264" t="s">
        <v>4084</v>
      </c>
      <c r="I387" s="264" t="s">
        <v>4084</v>
      </c>
      <c r="J387" s="295">
        <v>200</v>
      </c>
      <c r="K387" s="295">
        <v>200</v>
      </c>
      <c r="L387" s="295">
        <v>100</v>
      </c>
      <c r="O387" s="266">
        <v>0</v>
      </c>
      <c r="P387" s="266">
        <v>718878035030</v>
      </c>
      <c r="Q387" s="266">
        <v>0</v>
      </c>
      <c r="R387" s="265">
        <v>0.46</v>
      </c>
      <c r="S387" s="265">
        <v>7.82</v>
      </c>
      <c r="T387" s="265">
        <v>1.96</v>
      </c>
      <c r="U387" s="265">
        <v>3.6</v>
      </c>
      <c r="V387" s="259" t="s">
        <v>3247</v>
      </c>
      <c r="W387" s="259" t="s">
        <v>3061</v>
      </c>
      <c r="X387" s="264" t="s">
        <v>4085</v>
      </c>
      <c r="Y387" s="60">
        <v>25</v>
      </c>
      <c r="Z387" s="259" t="s">
        <v>4042</v>
      </c>
      <c r="AA387" s="259"/>
      <c r="AB387" s="259"/>
      <c r="AC387" s="259"/>
      <c r="AD387" s="259"/>
      <c r="AE387" s="259"/>
    </row>
    <row r="388" spans="1:31">
      <c r="A388" s="259" t="s">
        <v>534</v>
      </c>
      <c r="B388" s="259" t="s">
        <v>32</v>
      </c>
      <c r="C388" s="264" t="s">
        <v>41</v>
      </c>
      <c r="D388" s="264" t="s">
        <v>4086</v>
      </c>
      <c r="E388" s="259" t="s">
        <v>4083</v>
      </c>
      <c r="G388" s="259" t="s">
        <v>4048</v>
      </c>
      <c r="H388" s="264" t="s">
        <v>4087</v>
      </c>
      <c r="I388" s="264" t="s">
        <v>4087</v>
      </c>
      <c r="J388" s="295">
        <v>225</v>
      </c>
      <c r="K388" s="295">
        <v>225</v>
      </c>
      <c r="L388" s="295">
        <v>112.5</v>
      </c>
      <c r="O388" s="266">
        <v>0</v>
      </c>
      <c r="P388" s="266">
        <v>718878035047</v>
      </c>
      <c r="Q388" s="266">
        <v>0</v>
      </c>
      <c r="R388" s="265">
        <v>0.61</v>
      </c>
      <c r="S388" s="265">
        <v>9.4700000000000006</v>
      </c>
      <c r="T388" s="265">
        <v>2.75</v>
      </c>
      <c r="U388" s="265">
        <v>3.82</v>
      </c>
      <c r="V388" s="259" t="s">
        <v>3247</v>
      </c>
      <c r="W388" s="259" t="s">
        <v>3061</v>
      </c>
      <c r="X388" s="264" t="s">
        <v>4088</v>
      </c>
      <c r="Y388" s="60">
        <v>26</v>
      </c>
      <c r="Z388" s="259" t="s">
        <v>4042</v>
      </c>
      <c r="AA388" s="259"/>
      <c r="AB388" s="259"/>
      <c r="AC388" s="259"/>
      <c r="AD388" s="259"/>
      <c r="AE388" s="259"/>
    </row>
    <row r="389" spans="1:31">
      <c r="A389" s="259" t="s">
        <v>535</v>
      </c>
      <c r="B389" s="259" t="s">
        <v>32</v>
      </c>
      <c r="C389" s="264" t="s">
        <v>41</v>
      </c>
      <c r="D389" s="264" t="s">
        <v>4089</v>
      </c>
      <c r="E389" s="259" t="s">
        <v>4083</v>
      </c>
      <c r="G389" s="259" t="s">
        <v>4048</v>
      </c>
      <c r="H389" s="264" t="s">
        <v>4090</v>
      </c>
      <c r="I389" s="264" t="s">
        <v>4090</v>
      </c>
      <c r="J389" s="295">
        <v>275</v>
      </c>
      <c r="K389" s="295">
        <v>275</v>
      </c>
      <c r="L389" s="295">
        <v>137.5</v>
      </c>
      <c r="O389" s="266">
        <v>0</v>
      </c>
      <c r="P389" s="266">
        <v>718878035061</v>
      </c>
      <c r="Q389" s="266">
        <v>0</v>
      </c>
      <c r="R389" s="265">
        <v>0.92</v>
      </c>
      <c r="S389" s="265">
        <v>6.39</v>
      </c>
      <c r="T389" s="265">
        <v>5.71</v>
      </c>
      <c r="U389" s="265">
        <v>5.76</v>
      </c>
      <c r="V389" s="259" t="s">
        <v>3247</v>
      </c>
      <c r="W389" s="259" t="s">
        <v>3061</v>
      </c>
      <c r="X389" s="264" t="s">
        <v>4091</v>
      </c>
      <c r="Y389" s="60">
        <v>27</v>
      </c>
      <c r="Z389" s="259" t="s">
        <v>4042</v>
      </c>
      <c r="AA389" s="259"/>
      <c r="AB389" s="259"/>
      <c r="AC389" s="259"/>
      <c r="AD389" s="259"/>
      <c r="AE389" s="259"/>
    </row>
    <row r="390" spans="1:31">
      <c r="A390" s="259" t="s">
        <v>536</v>
      </c>
      <c r="B390" s="259" t="s">
        <v>32</v>
      </c>
      <c r="C390" s="264" t="s">
        <v>41</v>
      </c>
      <c r="D390" s="264" t="s">
        <v>4092</v>
      </c>
      <c r="E390" s="259" t="s">
        <v>4083</v>
      </c>
      <c r="G390" s="259" t="s">
        <v>4048</v>
      </c>
      <c r="H390" s="264" t="s">
        <v>4093</v>
      </c>
      <c r="I390" s="264" t="s">
        <v>4093</v>
      </c>
      <c r="J390" s="295">
        <v>225</v>
      </c>
      <c r="K390" s="295">
        <v>225</v>
      </c>
      <c r="L390" s="295">
        <v>112.5</v>
      </c>
      <c r="O390" s="266">
        <v>0</v>
      </c>
      <c r="P390" s="266">
        <v>718878035054</v>
      </c>
      <c r="Q390" s="266">
        <v>0</v>
      </c>
      <c r="R390" s="265">
        <v>0.43</v>
      </c>
      <c r="S390" s="265">
        <v>4.79</v>
      </c>
      <c r="T390" s="265">
        <v>2.84</v>
      </c>
      <c r="U390" s="265">
        <v>4.32</v>
      </c>
      <c r="V390" s="259" t="s">
        <v>3247</v>
      </c>
      <c r="W390" s="259" t="s">
        <v>3061</v>
      </c>
      <c r="X390" s="264" t="s">
        <v>4094</v>
      </c>
      <c r="Y390" s="60">
        <v>28</v>
      </c>
      <c r="Z390" s="259" t="s">
        <v>4042</v>
      </c>
      <c r="AA390" s="259"/>
      <c r="AB390" s="259"/>
      <c r="AC390" s="259"/>
      <c r="AD390" s="259"/>
      <c r="AE390" s="259"/>
    </row>
    <row r="391" spans="1:31">
      <c r="A391" s="259" t="s">
        <v>537</v>
      </c>
      <c r="B391" s="259" t="s">
        <v>32</v>
      </c>
      <c r="C391" s="264" t="s">
        <v>38</v>
      </c>
      <c r="D391" s="264" t="s">
        <v>4095</v>
      </c>
      <c r="E391" s="259" t="s">
        <v>4083</v>
      </c>
      <c r="G391" s="259" t="s">
        <v>4048</v>
      </c>
      <c r="H391" s="264" t="s">
        <v>4096</v>
      </c>
      <c r="I391" s="264" t="s">
        <v>4097</v>
      </c>
      <c r="J391" s="295">
        <v>1300</v>
      </c>
      <c r="K391" s="295">
        <v>1300</v>
      </c>
      <c r="L391" s="295">
        <v>650</v>
      </c>
      <c r="O391" s="266">
        <v>0</v>
      </c>
      <c r="P391" s="266">
        <v>718878035023</v>
      </c>
      <c r="Q391" s="266">
        <v>0</v>
      </c>
      <c r="R391" s="265">
        <v>0.38</v>
      </c>
      <c r="S391" s="265">
        <v>3.18</v>
      </c>
      <c r="T391" s="265">
        <v>0.96</v>
      </c>
      <c r="U391" s="265">
        <v>5.65</v>
      </c>
      <c r="V391" s="259" t="s">
        <v>3247</v>
      </c>
      <c r="W391" s="259" t="s">
        <v>3061</v>
      </c>
      <c r="X391" s="264" t="s">
        <v>4098</v>
      </c>
      <c r="Y391" s="60">
        <v>29</v>
      </c>
      <c r="Z391" s="259" t="s">
        <v>4042</v>
      </c>
      <c r="AA391" s="259"/>
      <c r="AB391" s="259"/>
      <c r="AC391" s="259"/>
      <c r="AD391" s="259"/>
      <c r="AE391" s="259"/>
    </row>
    <row r="392" spans="1:31">
      <c r="A392" s="259" t="s">
        <v>538</v>
      </c>
      <c r="B392" s="259" t="s">
        <v>32</v>
      </c>
      <c r="C392" s="264" t="s">
        <v>38</v>
      </c>
      <c r="D392" s="264" t="s">
        <v>4099</v>
      </c>
      <c r="E392" s="259" t="s">
        <v>4083</v>
      </c>
      <c r="G392" s="259" t="s">
        <v>4048</v>
      </c>
      <c r="H392" s="264" t="s">
        <v>4100</v>
      </c>
      <c r="I392" s="264" t="s">
        <v>4101</v>
      </c>
      <c r="J392" s="295">
        <v>1988</v>
      </c>
      <c r="K392" s="295">
        <v>1988</v>
      </c>
      <c r="L392" s="295">
        <v>994</v>
      </c>
      <c r="O392" s="266">
        <v>0</v>
      </c>
      <c r="P392" s="266">
        <v>718878035078</v>
      </c>
      <c r="Q392" s="266">
        <v>0</v>
      </c>
      <c r="R392" s="265">
        <v>1.06</v>
      </c>
      <c r="S392" s="265">
        <v>8.39</v>
      </c>
      <c r="T392" s="265">
        <v>1.05</v>
      </c>
      <c r="U392" s="265">
        <v>5.03</v>
      </c>
      <c r="V392" s="259" t="s">
        <v>3247</v>
      </c>
      <c r="W392" s="259" t="s">
        <v>3061</v>
      </c>
      <c r="X392" s="264" t="s">
        <v>4102</v>
      </c>
      <c r="Y392" s="60">
        <v>30</v>
      </c>
      <c r="Z392" s="259" t="s">
        <v>4042</v>
      </c>
      <c r="AA392" s="259"/>
      <c r="AB392" s="259"/>
      <c r="AC392" s="259"/>
      <c r="AD392" s="259"/>
      <c r="AE392" s="259"/>
    </row>
    <row r="393" spans="1:31">
      <c r="A393" s="259" t="s">
        <v>539</v>
      </c>
      <c r="B393" s="259" t="s">
        <v>32</v>
      </c>
      <c r="C393" s="264" t="s">
        <v>38</v>
      </c>
      <c r="D393" s="264" t="s">
        <v>4103</v>
      </c>
      <c r="E393" s="259" t="s">
        <v>4083</v>
      </c>
      <c r="G393" s="259" t="s">
        <v>4048</v>
      </c>
      <c r="H393" s="264" t="s">
        <v>4104</v>
      </c>
      <c r="I393" s="264" t="s">
        <v>4105</v>
      </c>
      <c r="J393" s="295">
        <v>1988</v>
      </c>
      <c r="K393" s="295">
        <v>1988</v>
      </c>
      <c r="L393" s="295">
        <v>994</v>
      </c>
      <c r="O393" s="266">
        <v>0</v>
      </c>
      <c r="P393" s="266">
        <v>718878035085</v>
      </c>
      <c r="Q393" s="266">
        <v>0</v>
      </c>
      <c r="R393" s="265">
        <v>1.17</v>
      </c>
      <c r="S393" s="265">
        <v>7.94</v>
      </c>
      <c r="T393" s="265">
        <v>0.88</v>
      </c>
      <c r="U393" s="265">
        <v>5.88</v>
      </c>
      <c r="V393" s="259" t="s">
        <v>3247</v>
      </c>
      <c r="W393" s="259" t="s">
        <v>3061</v>
      </c>
      <c r="X393" s="264" t="s">
        <v>4106</v>
      </c>
      <c r="Y393" s="60">
        <v>31</v>
      </c>
      <c r="Z393" s="259" t="s">
        <v>4042</v>
      </c>
      <c r="AA393" s="259"/>
      <c r="AB393" s="259"/>
      <c r="AC393" s="259"/>
      <c r="AD393" s="259"/>
      <c r="AE393" s="259"/>
    </row>
    <row r="394" spans="1:31">
      <c r="A394" s="259" t="s">
        <v>540</v>
      </c>
      <c r="B394" s="259" t="s">
        <v>32</v>
      </c>
      <c r="C394" s="264" t="s">
        <v>38</v>
      </c>
      <c r="D394" s="264" t="s">
        <v>4107</v>
      </c>
      <c r="E394" s="259" t="s">
        <v>4083</v>
      </c>
      <c r="G394" s="259" t="s">
        <v>4048</v>
      </c>
      <c r="H394" s="264" t="s">
        <v>4108</v>
      </c>
      <c r="I394" s="264" t="s">
        <v>4109</v>
      </c>
      <c r="J394" s="295">
        <v>2800</v>
      </c>
      <c r="K394" s="295">
        <v>2800</v>
      </c>
      <c r="L394" s="295">
        <v>1400</v>
      </c>
      <c r="O394" s="266">
        <v>0</v>
      </c>
      <c r="P394" s="266">
        <v>718878035092</v>
      </c>
      <c r="Q394" s="266">
        <v>0</v>
      </c>
      <c r="R394" s="265">
        <v>1.25</v>
      </c>
      <c r="S394" s="265">
        <v>9.56</v>
      </c>
      <c r="T394" s="265">
        <v>0.81</v>
      </c>
      <c r="U394" s="265">
        <v>6.88</v>
      </c>
      <c r="V394" s="259" t="s">
        <v>3247</v>
      </c>
      <c r="W394" s="259" t="s">
        <v>3061</v>
      </c>
      <c r="X394" s="264" t="s">
        <v>4110</v>
      </c>
      <c r="Y394" s="60">
        <v>32</v>
      </c>
      <c r="Z394" s="259" t="s">
        <v>4042</v>
      </c>
      <c r="AA394" s="259"/>
      <c r="AB394" s="259"/>
      <c r="AC394" s="259"/>
      <c r="AD394" s="259"/>
      <c r="AE394" s="259"/>
    </row>
    <row r="395" spans="1:31">
      <c r="A395" s="259" t="s">
        <v>541</v>
      </c>
      <c r="B395" s="259" t="s">
        <v>32</v>
      </c>
      <c r="C395" s="264" t="s">
        <v>38</v>
      </c>
      <c r="D395" s="264" t="s">
        <v>4111</v>
      </c>
      <c r="E395" s="259" t="s">
        <v>4083</v>
      </c>
      <c r="G395" s="259" t="s">
        <v>4048</v>
      </c>
      <c r="H395" s="264" t="s">
        <v>4112</v>
      </c>
      <c r="I395" s="264" t="s">
        <v>4113</v>
      </c>
      <c r="J395" s="295">
        <v>2800</v>
      </c>
      <c r="K395" s="295">
        <v>2800</v>
      </c>
      <c r="L395" s="295">
        <v>1400</v>
      </c>
      <c r="O395" s="266">
        <v>0</v>
      </c>
      <c r="P395" s="266">
        <v>718878035108</v>
      </c>
      <c r="Q395" s="266">
        <v>0</v>
      </c>
      <c r="R395" s="265">
        <v>1.25</v>
      </c>
      <c r="S395" s="265">
        <v>9.56</v>
      </c>
      <c r="T395" s="265">
        <v>0.81</v>
      </c>
      <c r="U395" s="265">
        <v>6.88</v>
      </c>
      <c r="V395" s="259" t="s">
        <v>3247</v>
      </c>
      <c r="W395" s="259" t="s">
        <v>3061</v>
      </c>
      <c r="X395" s="264" t="s">
        <v>4114</v>
      </c>
      <c r="Y395" s="60">
        <v>33</v>
      </c>
      <c r="Z395" s="259" t="s">
        <v>4042</v>
      </c>
      <c r="AA395" s="259"/>
      <c r="AB395" s="259"/>
      <c r="AC395" s="259"/>
      <c r="AD395" s="259"/>
      <c r="AE395" s="259"/>
    </row>
    <row r="396" spans="1:31">
      <c r="A396" s="259" t="s">
        <v>542</v>
      </c>
      <c r="B396" s="259" t="s">
        <v>32</v>
      </c>
      <c r="C396" s="264" t="s">
        <v>38</v>
      </c>
      <c r="D396" s="264" t="s">
        <v>4115</v>
      </c>
      <c r="E396" s="259" t="s">
        <v>4083</v>
      </c>
      <c r="G396" s="259" t="s">
        <v>4048</v>
      </c>
      <c r="H396" s="264" t="s">
        <v>4116</v>
      </c>
      <c r="I396" s="264" t="s">
        <v>4117</v>
      </c>
      <c r="J396" s="295">
        <v>4500</v>
      </c>
      <c r="K396" s="295">
        <v>4500</v>
      </c>
      <c r="L396" s="295">
        <v>2250</v>
      </c>
      <c r="O396" s="266">
        <v>0</v>
      </c>
      <c r="P396" s="266">
        <v>718878035115</v>
      </c>
      <c r="Q396" s="266">
        <v>0</v>
      </c>
      <c r="R396" s="265">
        <v>3.86</v>
      </c>
      <c r="S396" s="265">
        <v>14.7</v>
      </c>
      <c r="T396" s="265">
        <v>1</v>
      </c>
      <c r="U396" s="265">
        <v>9.5</v>
      </c>
      <c r="V396" s="259" t="s">
        <v>3247</v>
      </c>
      <c r="W396" s="259" t="s">
        <v>3061</v>
      </c>
      <c r="X396" s="264" t="s">
        <v>4118</v>
      </c>
      <c r="Y396" s="60">
        <v>34</v>
      </c>
      <c r="Z396" s="259" t="s">
        <v>4042</v>
      </c>
      <c r="AA396" s="259"/>
      <c r="AB396" s="259"/>
      <c r="AC396" s="259"/>
      <c r="AD396" s="259"/>
      <c r="AE396" s="259"/>
    </row>
    <row r="397" spans="1:31">
      <c r="A397" s="259" t="s">
        <v>543</v>
      </c>
      <c r="B397" s="259" t="s">
        <v>32</v>
      </c>
      <c r="C397" s="264" t="s">
        <v>38</v>
      </c>
      <c r="D397" s="264" t="s">
        <v>4119</v>
      </c>
      <c r="E397" s="259" t="s">
        <v>4083</v>
      </c>
      <c r="G397" s="259" t="s">
        <v>4048</v>
      </c>
      <c r="H397" s="264" t="s">
        <v>4120</v>
      </c>
      <c r="I397" s="264" t="s">
        <v>4121</v>
      </c>
      <c r="J397" s="295">
        <v>4500</v>
      </c>
      <c r="K397" s="295">
        <v>4500</v>
      </c>
      <c r="L397" s="295">
        <v>2250</v>
      </c>
      <c r="O397" s="266">
        <v>0</v>
      </c>
      <c r="P397" s="266">
        <v>718878035122</v>
      </c>
      <c r="Q397" s="266">
        <v>0</v>
      </c>
      <c r="R397" s="265">
        <v>3.86</v>
      </c>
      <c r="S397" s="265">
        <v>14.7</v>
      </c>
      <c r="T397" s="265">
        <v>1</v>
      </c>
      <c r="U397" s="265">
        <v>9.5</v>
      </c>
      <c r="V397" s="259" t="s">
        <v>3247</v>
      </c>
      <c r="W397" s="259" t="s">
        <v>3061</v>
      </c>
      <c r="X397" s="264" t="s">
        <v>4122</v>
      </c>
      <c r="Y397" s="60">
        <v>35</v>
      </c>
      <c r="Z397" s="259" t="s">
        <v>4042</v>
      </c>
      <c r="AA397" s="259"/>
      <c r="AB397" s="259"/>
      <c r="AC397" s="259"/>
      <c r="AD397" s="259"/>
      <c r="AE397" s="259"/>
    </row>
    <row r="398" spans="1:31">
      <c r="A398" s="259" t="s">
        <v>544</v>
      </c>
      <c r="B398" s="259" t="s">
        <v>32</v>
      </c>
      <c r="C398" s="264" t="s">
        <v>43</v>
      </c>
      <c r="D398" s="264" t="s">
        <v>4123</v>
      </c>
      <c r="E398" s="259" t="s">
        <v>4067</v>
      </c>
      <c r="G398" s="259">
        <v>0</v>
      </c>
      <c r="H398" s="264" t="s">
        <v>4124</v>
      </c>
      <c r="I398" s="264" t="s">
        <v>4124</v>
      </c>
      <c r="J398" s="295">
        <v>848.3</v>
      </c>
      <c r="K398" s="295">
        <v>848.3</v>
      </c>
      <c r="L398" s="295">
        <v>424.15</v>
      </c>
      <c r="O398" s="266">
        <v>0</v>
      </c>
      <c r="P398" s="266">
        <v>718878034576</v>
      </c>
      <c r="Q398" s="266">
        <v>0</v>
      </c>
      <c r="R398" s="265">
        <v>0.21</v>
      </c>
      <c r="S398" s="265">
        <v>3.44</v>
      </c>
      <c r="T398" s="265">
        <v>1.43</v>
      </c>
      <c r="U398" s="265">
        <v>0.66</v>
      </c>
      <c r="V398" s="259" t="s">
        <v>3247</v>
      </c>
      <c r="W398" s="259" t="s">
        <v>3061</v>
      </c>
      <c r="X398" s="264" t="s">
        <v>4125</v>
      </c>
      <c r="Y398" s="60">
        <v>36</v>
      </c>
      <c r="Z398" s="259" t="s">
        <v>3030</v>
      </c>
      <c r="AA398" s="259"/>
      <c r="AB398" s="259"/>
      <c r="AC398" s="259"/>
      <c r="AD398" s="259"/>
      <c r="AE398" s="259"/>
    </row>
    <row r="399" spans="1:31">
      <c r="A399" s="259" t="s">
        <v>545</v>
      </c>
      <c r="B399" s="259" t="s">
        <v>32</v>
      </c>
      <c r="C399" s="264" t="s">
        <v>4126</v>
      </c>
      <c r="D399" s="264" t="s">
        <v>4127</v>
      </c>
      <c r="E399" s="259" t="s">
        <v>4067</v>
      </c>
      <c r="G399" s="259" t="s">
        <v>4048</v>
      </c>
      <c r="H399" s="264" t="s">
        <v>4128</v>
      </c>
      <c r="I399" s="264" t="s">
        <v>4129</v>
      </c>
      <c r="J399" s="295">
        <v>1750</v>
      </c>
      <c r="K399" s="295">
        <v>1750</v>
      </c>
      <c r="L399" s="295">
        <v>875</v>
      </c>
      <c r="O399" s="266">
        <v>0</v>
      </c>
      <c r="P399" s="266">
        <v>718878035184</v>
      </c>
      <c r="Q399" s="266">
        <v>0</v>
      </c>
      <c r="R399" s="265">
        <v>2.98</v>
      </c>
      <c r="S399" s="265">
        <v>0</v>
      </c>
      <c r="T399" s="265">
        <v>0</v>
      </c>
      <c r="U399" s="265">
        <v>0</v>
      </c>
      <c r="V399" s="259" t="s">
        <v>3028</v>
      </c>
      <c r="W399" s="259" t="s">
        <v>4130</v>
      </c>
      <c r="X399" s="264" t="s">
        <v>4131</v>
      </c>
      <c r="Y399" s="60">
        <v>37</v>
      </c>
      <c r="Z399" s="259" t="s">
        <v>4042</v>
      </c>
      <c r="AA399" s="259"/>
      <c r="AB399" s="259"/>
      <c r="AC399" s="259"/>
      <c r="AD399" s="259"/>
      <c r="AE399" s="259"/>
    </row>
    <row r="400" spans="1:31">
      <c r="A400" s="259" t="s">
        <v>546</v>
      </c>
      <c r="B400" s="259" t="s">
        <v>32</v>
      </c>
      <c r="C400" s="264" t="s">
        <v>4126</v>
      </c>
      <c r="D400" s="264" t="s">
        <v>4132</v>
      </c>
      <c r="E400" s="259" t="s">
        <v>4067</v>
      </c>
      <c r="G400" s="259" t="s">
        <v>4048</v>
      </c>
      <c r="H400" s="264" t="s">
        <v>4133</v>
      </c>
      <c r="I400" s="264" t="s">
        <v>4134</v>
      </c>
      <c r="J400" s="295">
        <v>1750</v>
      </c>
      <c r="K400" s="295">
        <v>1750</v>
      </c>
      <c r="L400" s="295">
        <v>875</v>
      </c>
      <c r="O400" s="266">
        <v>0</v>
      </c>
      <c r="P400" s="266">
        <v>718878035177</v>
      </c>
      <c r="Q400" s="266">
        <v>0</v>
      </c>
      <c r="R400" s="265">
        <v>3.02</v>
      </c>
      <c r="S400" s="265">
        <v>0</v>
      </c>
      <c r="T400" s="265">
        <v>0</v>
      </c>
      <c r="U400" s="265">
        <v>0</v>
      </c>
      <c r="V400" s="259" t="s">
        <v>3028</v>
      </c>
      <c r="W400" s="259" t="s">
        <v>4130</v>
      </c>
      <c r="X400" s="264" t="s">
        <v>4131</v>
      </c>
      <c r="Y400" s="60">
        <v>38</v>
      </c>
      <c r="Z400" s="259" t="s">
        <v>4042</v>
      </c>
      <c r="AA400" s="259"/>
      <c r="AB400" s="259"/>
      <c r="AC400" s="259"/>
      <c r="AD400" s="259"/>
      <c r="AE400" s="259"/>
    </row>
    <row r="401" spans="1:31">
      <c r="A401" s="259" t="s">
        <v>547</v>
      </c>
      <c r="B401" s="259" t="s">
        <v>32</v>
      </c>
      <c r="C401" s="264" t="s">
        <v>41</v>
      </c>
      <c r="D401" s="264" t="s">
        <v>2857</v>
      </c>
      <c r="E401" s="259" t="s">
        <v>4083</v>
      </c>
      <c r="G401" s="259">
        <v>0</v>
      </c>
      <c r="H401" s="264" t="s">
        <v>4135</v>
      </c>
      <c r="I401" s="264" t="s">
        <v>4136</v>
      </c>
      <c r="J401" s="295">
        <v>228.7</v>
      </c>
      <c r="K401" s="295">
        <v>228.7</v>
      </c>
      <c r="L401" s="295">
        <v>114.35</v>
      </c>
      <c r="O401" s="266">
        <v>0</v>
      </c>
      <c r="P401" s="266">
        <v>718878022931</v>
      </c>
      <c r="Q401" s="266">
        <v>0</v>
      </c>
      <c r="R401" s="265">
        <v>1.65</v>
      </c>
      <c r="S401" s="265">
        <v>7.19</v>
      </c>
      <c r="T401" s="265">
        <v>6.81</v>
      </c>
      <c r="U401" s="265">
        <v>1.9</v>
      </c>
      <c r="V401" s="259" t="s">
        <v>3834</v>
      </c>
      <c r="W401" s="259" t="s">
        <v>3061</v>
      </c>
      <c r="X401" s="264" t="s">
        <v>4137</v>
      </c>
      <c r="Y401" s="60">
        <v>39</v>
      </c>
      <c r="Z401" s="259" t="s">
        <v>3030</v>
      </c>
      <c r="AA401" s="259"/>
      <c r="AB401" s="259"/>
      <c r="AC401" s="259"/>
      <c r="AD401" s="259"/>
      <c r="AE401" s="259"/>
    </row>
    <row r="402" spans="1:31">
      <c r="A402" s="259" t="s">
        <v>548</v>
      </c>
      <c r="B402" s="259" t="s">
        <v>32</v>
      </c>
      <c r="C402" s="264" t="s">
        <v>34</v>
      </c>
      <c r="D402" s="264" t="s">
        <v>4138</v>
      </c>
      <c r="E402" s="259" t="s">
        <v>4139</v>
      </c>
      <c r="G402" s="259">
        <v>0</v>
      </c>
      <c r="H402" s="264" t="s">
        <v>4140</v>
      </c>
      <c r="I402" s="264" t="s">
        <v>4141</v>
      </c>
      <c r="J402" s="295">
        <v>62.9</v>
      </c>
      <c r="K402" s="295">
        <v>62.9</v>
      </c>
      <c r="L402" s="295">
        <v>31.45</v>
      </c>
      <c r="O402" s="266">
        <v>0</v>
      </c>
      <c r="P402" s="266">
        <v>718878000151</v>
      </c>
      <c r="Q402" s="266">
        <v>0</v>
      </c>
      <c r="R402" s="265">
        <v>0.5</v>
      </c>
      <c r="S402" s="265">
        <v>6</v>
      </c>
      <c r="T402" s="265">
        <v>4</v>
      </c>
      <c r="U402" s="265">
        <v>0.5</v>
      </c>
      <c r="V402" s="259" t="s">
        <v>3028</v>
      </c>
      <c r="W402" s="259" t="s">
        <v>4130</v>
      </c>
      <c r="X402" s="264" t="s">
        <v>4142</v>
      </c>
      <c r="Y402" s="60">
        <v>40</v>
      </c>
      <c r="AA402" s="259"/>
      <c r="AB402" s="259"/>
      <c r="AC402" s="259"/>
      <c r="AD402" s="259"/>
      <c r="AE402" s="259"/>
    </row>
    <row r="403" spans="1:31">
      <c r="A403" s="60" t="s">
        <v>3009</v>
      </c>
      <c r="B403" s="60" t="s">
        <v>32</v>
      </c>
      <c r="C403" s="45" t="s">
        <v>4036</v>
      </c>
      <c r="D403" s="45" t="s">
        <v>8397</v>
      </c>
      <c r="E403" s="60" t="s">
        <v>4139</v>
      </c>
      <c r="F403" s="60"/>
      <c r="G403" s="60">
        <v>0</v>
      </c>
      <c r="H403" s="45" t="s">
        <v>8398</v>
      </c>
      <c r="I403" s="45" t="s">
        <v>8399</v>
      </c>
      <c r="J403" s="296">
        <v>42</v>
      </c>
      <c r="K403" s="296">
        <v>42</v>
      </c>
      <c r="L403" s="296">
        <v>21</v>
      </c>
      <c r="M403" s="296"/>
      <c r="N403" s="296"/>
      <c r="O403" s="47">
        <v>0</v>
      </c>
      <c r="P403" s="47">
        <v>718878000168</v>
      </c>
      <c r="Q403" s="47">
        <v>0</v>
      </c>
      <c r="R403" s="63">
        <v>0</v>
      </c>
      <c r="S403" s="63">
        <v>6</v>
      </c>
      <c r="T403" s="63">
        <v>0</v>
      </c>
      <c r="U403" s="63">
        <v>0</v>
      </c>
      <c r="V403" s="60" t="s">
        <v>3028</v>
      </c>
      <c r="W403" s="60" t="s">
        <v>4130</v>
      </c>
      <c r="X403" s="45" t="s">
        <v>8400</v>
      </c>
      <c r="Y403" s="60">
        <v>41</v>
      </c>
      <c r="Z403" s="60" t="s">
        <v>3227</v>
      </c>
      <c r="AA403" s="60"/>
      <c r="AB403" s="286"/>
      <c r="AC403" s="287"/>
      <c r="AD403" s="259"/>
      <c r="AE403" s="259"/>
    </row>
    <row r="404" spans="1:31">
      <c r="A404" s="259" t="s">
        <v>549</v>
      </c>
      <c r="B404" s="259" t="s">
        <v>32</v>
      </c>
      <c r="C404" s="264" t="s">
        <v>40</v>
      </c>
      <c r="D404" s="264" t="s">
        <v>4143</v>
      </c>
      <c r="E404" s="259" t="s">
        <v>4038</v>
      </c>
      <c r="G404" s="259">
        <v>0</v>
      </c>
      <c r="H404" s="264" t="s">
        <v>4144</v>
      </c>
      <c r="I404" s="264" t="s">
        <v>4144</v>
      </c>
      <c r="J404" s="295">
        <v>888.4</v>
      </c>
      <c r="K404" s="295">
        <v>888.4</v>
      </c>
      <c r="L404" s="295">
        <v>444.2</v>
      </c>
      <c r="O404" s="266">
        <v>0</v>
      </c>
      <c r="P404" s="266">
        <v>718878004982</v>
      </c>
      <c r="Q404" s="266">
        <v>0</v>
      </c>
      <c r="R404" s="265">
        <v>1.1000000000000001</v>
      </c>
      <c r="S404" s="265">
        <v>8.75</v>
      </c>
      <c r="T404" s="265">
        <v>5.2</v>
      </c>
      <c r="U404" s="265">
        <v>1</v>
      </c>
      <c r="V404" s="259" t="s">
        <v>3028</v>
      </c>
      <c r="W404" s="259" t="s">
        <v>4130</v>
      </c>
      <c r="X404" s="264" t="s">
        <v>4145</v>
      </c>
      <c r="Y404" s="60">
        <v>42</v>
      </c>
      <c r="Z404" s="259" t="s">
        <v>3030</v>
      </c>
      <c r="AA404" s="259"/>
      <c r="AB404" s="259"/>
      <c r="AC404" s="259"/>
      <c r="AD404" s="259"/>
      <c r="AE404" s="259"/>
    </row>
    <row r="405" spans="1:31">
      <c r="A405" s="259" t="s">
        <v>550</v>
      </c>
      <c r="B405" s="259" t="s">
        <v>32</v>
      </c>
      <c r="C405" s="264" t="s">
        <v>40</v>
      </c>
      <c r="D405" s="264" t="s">
        <v>4146</v>
      </c>
      <c r="E405" s="259" t="s">
        <v>4038</v>
      </c>
      <c r="G405" s="259">
        <v>0</v>
      </c>
      <c r="H405" s="264" t="s">
        <v>4147</v>
      </c>
      <c r="I405" s="264" t="s">
        <v>4147</v>
      </c>
      <c r="J405" s="295">
        <v>1189</v>
      </c>
      <c r="K405" s="295">
        <v>1189</v>
      </c>
      <c r="L405" s="295">
        <v>594.5</v>
      </c>
      <c r="O405" s="266">
        <v>0</v>
      </c>
      <c r="P405" s="266">
        <v>718878026496</v>
      </c>
      <c r="Q405" s="266">
        <v>0</v>
      </c>
      <c r="R405" s="265">
        <v>2</v>
      </c>
      <c r="S405" s="265">
        <v>8.67</v>
      </c>
      <c r="T405" s="265">
        <v>6.33</v>
      </c>
      <c r="U405" s="265">
        <v>1</v>
      </c>
      <c r="V405" s="259" t="s">
        <v>3028</v>
      </c>
      <c r="W405" s="259" t="s">
        <v>4130</v>
      </c>
      <c r="X405" s="264" t="s">
        <v>4148</v>
      </c>
      <c r="Y405" s="60">
        <v>43</v>
      </c>
      <c r="Z405" s="259" t="s">
        <v>3030</v>
      </c>
      <c r="AA405" s="259"/>
      <c r="AB405" s="259"/>
      <c r="AC405" s="259"/>
      <c r="AD405" s="259"/>
      <c r="AE405" s="259"/>
    </row>
    <row r="406" spans="1:31">
      <c r="A406" s="259" t="s">
        <v>551</v>
      </c>
      <c r="B406" s="259" t="s">
        <v>32</v>
      </c>
      <c r="C406" s="264" t="s">
        <v>40</v>
      </c>
      <c r="D406" s="264" t="s">
        <v>4149</v>
      </c>
      <c r="E406" s="259" t="s">
        <v>4038</v>
      </c>
      <c r="G406" s="259">
        <v>0</v>
      </c>
      <c r="H406" s="264" t="s">
        <v>4150</v>
      </c>
      <c r="I406" s="264" t="s">
        <v>4150</v>
      </c>
      <c r="J406" s="295">
        <v>1189</v>
      </c>
      <c r="K406" s="295">
        <v>1189</v>
      </c>
      <c r="L406" s="295">
        <v>594.5</v>
      </c>
      <c r="O406" s="266">
        <v>0</v>
      </c>
      <c r="P406" s="266">
        <v>718878026496</v>
      </c>
      <c r="Q406" s="266">
        <v>0</v>
      </c>
      <c r="R406" s="265">
        <v>2</v>
      </c>
      <c r="S406" s="265">
        <v>8.67</v>
      </c>
      <c r="T406" s="265">
        <v>6.33</v>
      </c>
      <c r="U406" s="265">
        <v>1</v>
      </c>
      <c r="V406" s="259" t="s">
        <v>3247</v>
      </c>
      <c r="W406" s="259" t="s">
        <v>3061</v>
      </c>
      <c r="X406" s="264" t="s">
        <v>4148</v>
      </c>
      <c r="Y406" s="60">
        <v>44</v>
      </c>
      <c r="Z406" s="259" t="s">
        <v>4042</v>
      </c>
      <c r="AA406" s="259"/>
      <c r="AB406" s="259"/>
      <c r="AC406" s="259"/>
      <c r="AD406" s="259"/>
      <c r="AE406" s="259"/>
    </row>
    <row r="407" spans="1:31">
      <c r="A407" s="60" t="s">
        <v>3010</v>
      </c>
      <c r="B407" s="60" t="s">
        <v>32</v>
      </c>
      <c r="C407" s="45" t="s">
        <v>43</v>
      </c>
      <c r="D407" s="45" t="s">
        <v>2787</v>
      </c>
      <c r="E407" s="60" t="s">
        <v>4067</v>
      </c>
      <c r="F407" s="60"/>
      <c r="G407" s="259" t="s">
        <v>3378</v>
      </c>
      <c r="H407" s="45" t="s">
        <v>8401</v>
      </c>
      <c r="I407" s="45" t="s">
        <v>8401</v>
      </c>
      <c r="J407" s="296">
        <v>1668.6</v>
      </c>
      <c r="K407" s="296">
        <v>1668.6</v>
      </c>
      <c r="L407" s="296">
        <v>834.3</v>
      </c>
      <c r="M407" s="296"/>
      <c r="N407" s="296"/>
      <c r="O407" s="47">
        <v>0</v>
      </c>
      <c r="P407" s="47">
        <v>718878024508</v>
      </c>
      <c r="Q407" s="47">
        <v>0</v>
      </c>
      <c r="R407" s="63">
        <v>3</v>
      </c>
      <c r="S407" s="63">
        <v>8.75</v>
      </c>
      <c r="T407" s="63">
        <v>7</v>
      </c>
      <c r="U407" s="63">
        <v>1.69</v>
      </c>
      <c r="V407" s="60" t="s">
        <v>3834</v>
      </c>
      <c r="W407" s="60" t="s">
        <v>3061</v>
      </c>
      <c r="X407" s="45" t="s">
        <v>8402</v>
      </c>
      <c r="Y407" s="60">
        <v>45</v>
      </c>
      <c r="Z407" s="60" t="s">
        <v>3227</v>
      </c>
      <c r="AA407" s="60"/>
      <c r="AB407" s="286"/>
      <c r="AC407" s="287"/>
      <c r="AD407" s="259"/>
      <c r="AE407" s="259"/>
    </row>
    <row r="408" spans="1:31">
      <c r="A408" s="259" t="s">
        <v>552</v>
      </c>
      <c r="B408" s="259" t="s">
        <v>32</v>
      </c>
      <c r="C408" s="264" t="s">
        <v>40</v>
      </c>
      <c r="D408" s="264" t="s">
        <v>4151</v>
      </c>
      <c r="E408" s="259" t="s">
        <v>4038</v>
      </c>
      <c r="G408" s="259">
        <v>0</v>
      </c>
      <c r="H408" s="264" t="s">
        <v>4152</v>
      </c>
      <c r="I408" s="264" t="s">
        <v>4153</v>
      </c>
      <c r="J408" s="295">
        <v>780.3</v>
      </c>
      <c r="K408" s="295">
        <v>780.3</v>
      </c>
      <c r="L408" s="295">
        <v>390.15</v>
      </c>
      <c r="O408" s="266">
        <v>0</v>
      </c>
      <c r="P408" s="266">
        <v>718878022160</v>
      </c>
      <c r="Q408" s="266">
        <v>0</v>
      </c>
      <c r="R408" s="265">
        <v>0.45</v>
      </c>
      <c r="S408" s="265">
        <v>1.75</v>
      </c>
      <c r="T408" s="265">
        <v>1.25</v>
      </c>
      <c r="U408" s="265">
        <v>4.2</v>
      </c>
      <c r="V408" s="259" t="s">
        <v>3834</v>
      </c>
      <c r="W408" s="259" t="s">
        <v>3061</v>
      </c>
      <c r="X408" s="264" t="s">
        <v>4154</v>
      </c>
      <c r="Y408" s="60">
        <v>46</v>
      </c>
      <c r="Z408" s="259" t="s">
        <v>3030</v>
      </c>
      <c r="AA408" s="259"/>
      <c r="AB408" s="259"/>
      <c r="AC408" s="259"/>
      <c r="AD408" s="259"/>
      <c r="AE408" s="259"/>
    </row>
    <row r="409" spans="1:31">
      <c r="A409" s="259" t="s">
        <v>553</v>
      </c>
      <c r="B409" s="259" t="s">
        <v>32</v>
      </c>
      <c r="C409" s="264" t="s">
        <v>40</v>
      </c>
      <c r="D409" s="264" t="s">
        <v>4155</v>
      </c>
      <c r="E409" s="259" t="s">
        <v>4038</v>
      </c>
      <c r="G409" s="259">
        <v>0</v>
      </c>
      <c r="H409" s="264" t="s">
        <v>4156</v>
      </c>
      <c r="I409" s="264" t="s">
        <v>4157</v>
      </c>
      <c r="J409" s="295">
        <v>780.3</v>
      </c>
      <c r="K409" s="295">
        <v>780.3</v>
      </c>
      <c r="L409" s="295">
        <v>390.15</v>
      </c>
      <c r="O409" s="266">
        <v>0</v>
      </c>
      <c r="P409" s="266">
        <v>718878022177</v>
      </c>
      <c r="Q409" s="266">
        <v>0</v>
      </c>
      <c r="R409" s="265">
        <v>0.45</v>
      </c>
      <c r="S409" s="265">
        <v>1.75</v>
      </c>
      <c r="T409" s="265">
        <v>1.25</v>
      </c>
      <c r="U409" s="265">
        <v>4.2</v>
      </c>
      <c r="V409" s="259" t="s">
        <v>3834</v>
      </c>
      <c r="W409" s="259" t="s">
        <v>3061</v>
      </c>
      <c r="X409" s="264" t="s">
        <v>4154</v>
      </c>
      <c r="Y409" s="60">
        <v>47</v>
      </c>
      <c r="Z409" s="259" t="s">
        <v>3030</v>
      </c>
      <c r="AA409" s="259"/>
      <c r="AB409" s="259"/>
      <c r="AC409" s="259"/>
      <c r="AD409" s="259"/>
      <c r="AE409" s="259"/>
    </row>
    <row r="410" spans="1:31">
      <c r="A410" s="259" t="s">
        <v>554</v>
      </c>
      <c r="B410" s="259" t="s">
        <v>32</v>
      </c>
      <c r="C410" s="264" t="s">
        <v>43</v>
      </c>
      <c r="D410" s="264" t="s">
        <v>2858</v>
      </c>
      <c r="E410" s="259" t="s">
        <v>4067</v>
      </c>
      <c r="G410" s="259">
        <v>0</v>
      </c>
      <c r="H410" s="264" t="s">
        <v>4158</v>
      </c>
      <c r="I410" s="264" t="s">
        <v>4158</v>
      </c>
      <c r="J410" s="295">
        <v>1776.7</v>
      </c>
      <c r="K410" s="295">
        <v>1776.7</v>
      </c>
      <c r="L410" s="295">
        <v>888.35</v>
      </c>
      <c r="O410" s="266">
        <v>0</v>
      </c>
      <c r="P410" s="266">
        <v>718878006047</v>
      </c>
      <c r="Q410" s="266">
        <v>0</v>
      </c>
      <c r="R410" s="265">
        <v>2.97</v>
      </c>
      <c r="S410" s="265">
        <v>9.4499999999999993</v>
      </c>
      <c r="T410" s="265">
        <v>7.88</v>
      </c>
      <c r="U410" s="265">
        <v>1.18</v>
      </c>
      <c r="V410" s="259" t="s">
        <v>4159</v>
      </c>
      <c r="W410" s="259" t="s">
        <v>3061</v>
      </c>
      <c r="X410" s="264" t="s">
        <v>4160</v>
      </c>
      <c r="Y410" s="60">
        <v>48</v>
      </c>
      <c r="Z410" s="259" t="s">
        <v>3030</v>
      </c>
      <c r="AA410" s="259"/>
      <c r="AB410" s="259"/>
      <c r="AC410" s="259"/>
      <c r="AD410" s="259"/>
      <c r="AE410" s="259"/>
    </row>
    <row r="411" spans="1:31">
      <c r="A411" s="259" t="s">
        <v>555</v>
      </c>
      <c r="B411" s="259" t="s">
        <v>32</v>
      </c>
      <c r="C411" s="264" t="s">
        <v>43</v>
      </c>
      <c r="D411" s="264" t="s">
        <v>4161</v>
      </c>
      <c r="E411" s="259" t="s">
        <v>4067</v>
      </c>
      <c r="G411" s="259">
        <v>0</v>
      </c>
      <c r="H411" s="264" t="s">
        <v>4162</v>
      </c>
      <c r="I411" s="264" t="s">
        <v>4162</v>
      </c>
      <c r="J411" s="295">
        <v>1829.3</v>
      </c>
      <c r="K411" s="295">
        <v>1829.3</v>
      </c>
      <c r="L411" s="295">
        <v>914.65</v>
      </c>
      <c r="O411" s="266">
        <v>0</v>
      </c>
      <c r="P411" s="266">
        <v>718878024522</v>
      </c>
      <c r="Q411" s="266">
        <v>0</v>
      </c>
      <c r="R411" s="265">
        <v>3.5</v>
      </c>
      <c r="S411" s="265">
        <v>10</v>
      </c>
      <c r="T411" s="265">
        <v>7</v>
      </c>
      <c r="U411" s="265">
        <v>1.69</v>
      </c>
      <c r="V411" s="259" t="s">
        <v>3834</v>
      </c>
      <c r="W411" s="259" t="s">
        <v>3061</v>
      </c>
      <c r="X411" s="264" t="s">
        <v>4163</v>
      </c>
      <c r="Y411" s="60">
        <v>49</v>
      </c>
      <c r="Z411" s="259" t="s">
        <v>3227</v>
      </c>
      <c r="AA411" s="259"/>
      <c r="AB411" s="259"/>
      <c r="AC411" s="259"/>
      <c r="AD411" s="259"/>
      <c r="AE411" s="259"/>
    </row>
    <row r="412" spans="1:31">
      <c r="A412" s="259" t="s">
        <v>556</v>
      </c>
      <c r="B412" s="259" t="s">
        <v>32</v>
      </c>
      <c r="C412" s="264" t="s">
        <v>43</v>
      </c>
      <c r="D412" s="264" t="s">
        <v>4164</v>
      </c>
      <c r="E412" s="259" t="s">
        <v>4067</v>
      </c>
      <c r="G412" s="259">
        <v>0</v>
      </c>
      <c r="H412" s="264" t="s">
        <v>4165</v>
      </c>
      <c r="I412" s="264" t="s">
        <v>4165</v>
      </c>
      <c r="J412" s="295">
        <v>2206.6</v>
      </c>
      <c r="K412" s="295">
        <v>2206.6</v>
      </c>
      <c r="L412" s="295">
        <v>1103.3</v>
      </c>
      <c r="O412" s="266">
        <v>0</v>
      </c>
      <c r="P412" s="266">
        <v>718878009833</v>
      </c>
      <c r="Q412" s="266">
        <v>0</v>
      </c>
      <c r="R412" s="265">
        <v>8.3800000000000008</v>
      </c>
      <c r="S412" s="265">
        <v>17.32</v>
      </c>
      <c r="T412" s="265">
        <v>11.81</v>
      </c>
      <c r="U412" s="265">
        <v>1.71</v>
      </c>
      <c r="V412" s="259" t="s">
        <v>3028</v>
      </c>
      <c r="W412" s="259" t="s">
        <v>4130</v>
      </c>
      <c r="X412" s="264" t="s">
        <v>4166</v>
      </c>
      <c r="Y412" s="60">
        <v>50</v>
      </c>
      <c r="Z412" s="259" t="s">
        <v>3030</v>
      </c>
      <c r="AA412" s="259"/>
      <c r="AB412" s="259"/>
      <c r="AC412" s="259"/>
      <c r="AD412" s="259"/>
      <c r="AE412" s="259"/>
    </row>
    <row r="413" spans="1:31">
      <c r="A413" s="259" t="s">
        <v>557</v>
      </c>
      <c r="B413" s="259" t="s">
        <v>32</v>
      </c>
      <c r="C413" s="264" t="s">
        <v>40</v>
      </c>
      <c r="D413" s="264" t="s">
        <v>2789</v>
      </c>
      <c r="E413" s="259" t="s">
        <v>4038</v>
      </c>
      <c r="G413" s="292" t="s">
        <v>4167</v>
      </c>
      <c r="H413" s="264" t="s">
        <v>4168</v>
      </c>
      <c r="I413" s="264" t="s">
        <v>4169</v>
      </c>
      <c r="J413" s="295">
        <v>2589.6</v>
      </c>
      <c r="K413" s="295">
        <v>1198</v>
      </c>
      <c r="L413" s="295">
        <v>599</v>
      </c>
      <c r="O413" s="266">
        <v>0</v>
      </c>
      <c r="P413" s="266">
        <v>718878023051</v>
      </c>
      <c r="Q413" s="266">
        <v>0</v>
      </c>
      <c r="R413" s="265">
        <v>1.1000000000000001</v>
      </c>
      <c r="S413" s="265">
        <v>8.75</v>
      </c>
      <c r="T413" s="265">
        <v>5.2</v>
      </c>
      <c r="U413" s="265">
        <v>1</v>
      </c>
      <c r="V413" s="259" t="s">
        <v>3834</v>
      </c>
      <c r="W413" s="259" t="s">
        <v>3061</v>
      </c>
      <c r="X413" s="264" t="s">
        <v>4170</v>
      </c>
      <c r="Y413" s="60">
        <v>51</v>
      </c>
      <c r="Z413" s="259" t="s">
        <v>3227</v>
      </c>
      <c r="AA413" s="259"/>
      <c r="AB413" s="259"/>
      <c r="AC413" s="259"/>
      <c r="AD413" s="259"/>
      <c r="AE413" s="259"/>
    </row>
    <row r="414" spans="1:31">
      <c r="A414" s="259" t="s">
        <v>558</v>
      </c>
      <c r="B414" s="259" t="s">
        <v>32</v>
      </c>
      <c r="C414" s="264" t="s">
        <v>40</v>
      </c>
      <c r="D414" s="264" t="s">
        <v>2791</v>
      </c>
      <c r="E414" s="259" t="s">
        <v>4038</v>
      </c>
      <c r="G414" s="292" t="s">
        <v>4167</v>
      </c>
      <c r="H414" s="264" t="s">
        <v>4171</v>
      </c>
      <c r="I414" s="264" t="s">
        <v>4172</v>
      </c>
      <c r="J414" s="295">
        <v>2589.6</v>
      </c>
      <c r="K414" s="295">
        <v>1198</v>
      </c>
      <c r="L414" s="295">
        <v>599</v>
      </c>
      <c r="O414" s="266">
        <v>0</v>
      </c>
      <c r="P414" s="266">
        <v>718878022214</v>
      </c>
      <c r="Q414" s="266">
        <v>0</v>
      </c>
      <c r="R414" s="265">
        <v>1.1000000000000001</v>
      </c>
      <c r="S414" s="265">
        <v>8.75</v>
      </c>
      <c r="T414" s="265">
        <v>5.2</v>
      </c>
      <c r="U414" s="265">
        <v>1</v>
      </c>
      <c r="V414" s="259" t="s">
        <v>3834</v>
      </c>
      <c r="W414" s="259" t="s">
        <v>3061</v>
      </c>
      <c r="X414" s="264" t="s">
        <v>4173</v>
      </c>
      <c r="Y414" s="60">
        <v>52</v>
      </c>
      <c r="Z414" s="259" t="s">
        <v>3227</v>
      </c>
      <c r="AA414" s="259"/>
      <c r="AB414" s="259"/>
      <c r="AC414" s="259"/>
      <c r="AD414" s="259"/>
      <c r="AE414" s="259"/>
    </row>
    <row r="415" spans="1:31">
      <c r="A415" s="259" t="s">
        <v>559</v>
      </c>
      <c r="B415" s="259" t="s">
        <v>32</v>
      </c>
      <c r="C415" s="264" t="s">
        <v>40</v>
      </c>
      <c r="D415" s="264" t="s">
        <v>2793</v>
      </c>
      <c r="E415" s="259" t="s">
        <v>4038</v>
      </c>
      <c r="G415" s="292" t="s">
        <v>4167</v>
      </c>
      <c r="H415" s="264" t="s">
        <v>4174</v>
      </c>
      <c r="I415" s="264" t="s">
        <v>4175</v>
      </c>
      <c r="J415" s="295">
        <v>2023.6</v>
      </c>
      <c r="K415" s="295">
        <v>1198</v>
      </c>
      <c r="L415" s="295">
        <v>599</v>
      </c>
      <c r="O415" s="266">
        <v>0</v>
      </c>
      <c r="P415" s="266">
        <v>718878022238</v>
      </c>
      <c r="Q415" s="266">
        <v>0</v>
      </c>
      <c r="R415" s="265">
        <v>1.1000000000000001</v>
      </c>
      <c r="S415" s="265">
        <v>8.75</v>
      </c>
      <c r="T415" s="265">
        <v>5.2</v>
      </c>
      <c r="U415" s="265">
        <v>1</v>
      </c>
      <c r="V415" s="259" t="s">
        <v>3834</v>
      </c>
      <c r="W415" s="259" t="s">
        <v>3061</v>
      </c>
      <c r="X415" s="264" t="s">
        <v>4176</v>
      </c>
      <c r="Y415" s="60">
        <v>53</v>
      </c>
      <c r="Z415" s="259" t="s">
        <v>3227</v>
      </c>
      <c r="AA415" s="259"/>
      <c r="AB415" s="259"/>
      <c r="AC415" s="259"/>
      <c r="AD415" s="259"/>
      <c r="AE415" s="259"/>
    </row>
    <row r="416" spans="1:31">
      <c r="A416" s="259" t="s">
        <v>560</v>
      </c>
      <c r="B416" s="259" t="s">
        <v>32</v>
      </c>
      <c r="C416" s="264" t="s">
        <v>40</v>
      </c>
      <c r="D416" s="264" t="s">
        <v>2795</v>
      </c>
      <c r="E416" s="259" t="s">
        <v>4038</v>
      </c>
      <c r="G416" s="292" t="s">
        <v>4167</v>
      </c>
      <c r="H416" s="264" t="s">
        <v>4177</v>
      </c>
      <c r="I416" s="264" t="s">
        <v>4178</v>
      </c>
      <c r="J416" s="295">
        <v>2023.6</v>
      </c>
      <c r="K416" s="295">
        <v>1198</v>
      </c>
      <c r="L416" s="295">
        <v>599</v>
      </c>
      <c r="O416" s="266">
        <v>0</v>
      </c>
      <c r="P416" s="266">
        <v>718878249116</v>
      </c>
      <c r="Q416" s="266">
        <v>0</v>
      </c>
      <c r="R416" s="265">
        <v>1.1000000000000001</v>
      </c>
      <c r="S416" s="265">
        <v>8.75</v>
      </c>
      <c r="T416" s="265">
        <v>5.2</v>
      </c>
      <c r="U416" s="265">
        <v>1</v>
      </c>
      <c r="V416" s="259" t="s">
        <v>3834</v>
      </c>
      <c r="W416" s="259" t="s">
        <v>3061</v>
      </c>
      <c r="X416" s="264" t="s">
        <v>4179</v>
      </c>
      <c r="Y416" s="60">
        <v>54</v>
      </c>
      <c r="Z416" s="259" t="s">
        <v>3227</v>
      </c>
      <c r="AA416" s="259"/>
      <c r="AB416" s="259"/>
      <c r="AC416" s="259"/>
      <c r="AD416" s="259"/>
      <c r="AE416" s="259"/>
    </row>
    <row r="417" spans="1:31">
      <c r="A417" s="259" t="s">
        <v>561</v>
      </c>
      <c r="B417" s="259" t="s">
        <v>32</v>
      </c>
      <c r="C417" s="264" t="s">
        <v>40</v>
      </c>
      <c r="D417" s="264" t="s">
        <v>4180</v>
      </c>
      <c r="E417" s="259" t="s">
        <v>4038</v>
      </c>
      <c r="G417" s="259">
        <v>0</v>
      </c>
      <c r="H417" s="264" t="s">
        <v>4181</v>
      </c>
      <c r="I417" s="264" t="s">
        <v>4181</v>
      </c>
      <c r="J417" s="295">
        <v>1966.5</v>
      </c>
      <c r="K417" s="295">
        <v>1966.5</v>
      </c>
      <c r="L417" s="295">
        <v>983.25</v>
      </c>
      <c r="O417" s="266">
        <v>0</v>
      </c>
      <c r="P417" s="266">
        <v>718878026519</v>
      </c>
      <c r="Q417" s="266">
        <v>0</v>
      </c>
      <c r="R417" s="265">
        <v>1.94</v>
      </c>
      <c r="S417" s="265">
        <v>8.66</v>
      </c>
      <c r="T417" s="265">
        <v>6.3</v>
      </c>
      <c r="U417" s="265">
        <v>0.98</v>
      </c>
      <c r="V417" s="259" t="s">
        <v>3028</v>
      </c>
      <c r="W417" s="259" t="s">
        <v>4130</v>
      </c>
      <c r="X417" s="264" t="s">
        <v>4182</v>
      </c>
      <c r="Y417" s="60">
        <v>55</v>
      </c>
      <c r="Z417" s="259" t="s">
        <v>3030</v>
      </c>
      <c r="AA417" s="259"/>
      <c r="AB417" s="259"/>
      <c r="AC417" s="259"/>
      <c r="AD417" s="259"/>
      <c r="AE417" s="259"/>
    </row>
    <row r="418" spans="1:31">
      <c r="A418" s="259" t="s">
        <v>562</v>
      </c>
      <c r="B418" s="259" t="s">
        <v>32</v>
      </c>
      <c r="C418" s="264" t="s">
        <v>40</v>
      </c>
      <c r="D418" s="264" t="s">
        <v>4183</v>
      </c>
      <c r="E418" s="259" t="s">
        <v>4038</v>
      </c>
      <c r="G418" s="259">
        <v>0</v>
      </c>
      <c r="H418" s="264" t="s">
        <v>4184</v>
      </c>
      <c r="I418" s="264" t="s">
        <v>4184</v>
      </c>
      <c r="J418" s="295">
        <v>1966.5</v>
      </c>
      <c r="K418" s="295">
        <v>1966.5</v>
      </c>
      <c r="L418" s="295">
        <v>983.25</v>
      </c>
      <c r="O418" s="266">
        <v>0</v>
      </c>
      <c r="P418" s="266">
        <v>718878026526</v>
      </c>
      <c r="Q418" s="266">
        <v>0</v>
      </c>
      <c r="R418" s="265">
        <v>1.94</v>
      </c>
      <c r="S418" s="265">
        <v>8.66</v>
      </c>
      <c r="T418" s="265">
        <v>6.3</v>
      </c>
      <c r="U418" s="265">
        <v>0.98</v>
      </c>
      <c r="V418" s="259" t="s">
        <v>3247</v>
      </c>
      <c r="W418" s="259" t="s">
        <v>3061</v>
      </c>
      <c r="X418" s="264" t="s">
        <v>4182</v>
      </c>
      <c r="Y418" s="60">
        <v>56</v>
      </c>
      <c r="Z418" s="259" t="s">
        <v>3030</v>
      </c>
      <c r="AA418" s="259"/>
      <c r="AB418" s="259"/>
      <c r="AC418" s="259"/>
      <c r="AD418" s="259"/>
      <c r="AE418" s="259"/>
    </row>
    <row r="419" spans="1:31">
      <c r="A419" s="259" t="s">
        <v>563</v>
      </c>
      <c r="B419" s="259" t="s">
        <v>32</v>
      </c>
      <c r="C419" s="264" t="s">
        <v>40</v>
      </c>
      <c r="D419" s="264" t="s">
        <v>2799</v>
      </c>
      <c r="E419" s="259" t="s">
        <v>4038</v>
      </c>
      <c r="G419" s="259">
        <v>0</v>
      </c>
      <c r="H419" s="264" t="s">
        <v>4185</v>
      </c>
      <c r="I419" s="264" t="s">
        <v>4185</v>
      </c>
      <c r="J419" s="295">
        <v>742.6</v>
      </c>
      <c r="K419" s="295">
        <v>742.6</v>
      </c>
      <c r="L419" s="295">
        <v>371.3</v>
      </c>
      <c r="O419" s="266">
        <v>0</v>
      </c>
      <c r="P419" s="266">
        <v>718878003978</v>
      </c>
      <c r="Q419" s="266">
        <v>0</v>
      </c>
      <c r="R419" s="265">
        <v>0</v>
      </c>
      <c r="S419" s="265">
        <v>5.6260000000000003</v>
      </c>
      <c r="T419" s="265">
        <v>5.15</v>
      </c>
      <c r="U419" s="265">
        <v>1.0129999999999999</v>
      </c>
      <c r="V419" s="259" t="s">
        <v>4159</v>
      </c>
      <c r="W419" s="259" t="s">
        <v>3061</v>
      </c>
      <c r="X419" s="264" t="s">
        <v>4186</v>
      </c>
      <c r="Y419" s="60">
        <v>57</v>
      </c>
      <c r="Z419" s="259" t="s">
        <v>3030</v>
      </c>
      <c r="AA419" s="259"/>
      <c r="AB419" s="259"/>
      <c r="AC419" s="259"/>
      <c r="AD419" s="259"/>
      <c r="AE419" s="259"/>
    </row>
    <row r="420" spans="1:31">
      <c r="A420" s="259" t="s">
        <v>564</v>
      </c>
      <c r="B420" s="259" t="s">
        <v>32</v>
      </c>
      <c r="C420" s="264" t="s">
        <v>40</v>
      </c>
      <c r="D420" s="264" t="s">
        <v>4187</v>
      </c>
      <c r="E420" s="259" t="s">
        <v>4038</v>
      </c>
      <c r="G420" s="259">
        <v>0</v>
      </c>
      <c r="H420" s="264" t="s">
        <v>4188</v>
      </c>
      <c r="I420" s="264" t="s">
        <v>4188</v>
      </c>
      <c r="J420" s="295">
        <v>1417.7</v>
      </c>
      <c r="K420" s="295">
        <v>1417.7</v>
      </c>
      <c r="L420" s="295">
        <v>708.85</v>
      </c>
      <c r="O420" s="266">
        <v>0</v>
      </c>
      <c r="P420" s="266">
        <v>718878026533</v>
      </c>
      <c r="Q420" s="266">
        <v>0</v>
      </c>
      <c r="R420" s="265">
        <v>2.2000000000000002</v>
      </c>
      <c r="S420" s="265">
        <v>8.67</v>
      </c>
      <c r="T420" s="265">
        <v>6.33</v>
      </c>
      <c r="U420" s="265">
        <v>1</v>
      </c>
      <c r="V420" s="259" t="s">
        <v>3028</v>
      </c>
      <c r="W420" s="259" t="s">
        <v>4130</v>
      </c>
      <c r="X420" s="264" t="s">
        <v>4189</v>
      </c>
      <c r="Y420" s="60">
        <v>58</v>
      </c>
      <c r="Z420" s="259" t="s">
        <v>3030</v>
      </c>
      <c r="AA420" s="259"/>
      <c r="AB420" s="259"/>
      <c r="AC420" s="259"/>
      <c r="AD420" s="259"/>
      <c r="AE420" s="259"/>
    </row>
    <row r="421" spans="1:31">
      <c r="A421" s="259" t="s">
        <v>565</v>
      </c>
      <c r="B421" s="259" t="s">
        <v>32</v>
      </c>
      <c r="C421" s="264" t="s">
        <v>40</v>
      </c>
      <c r="D421" s="264" t="s">
        <v>4190</v>
      </c>
      <c r="E421" s="259" t="s">
        <v>4038</v>
      </c>
      <c r="G421" s="259">
        <v>0</v>
      </c>
      <c r="H421" s="264" t="s">
        <v>4191</v>
      </c>
      <c r="I421" s="264" t="s">
        <v>4191</v>
      </c>
      <c r="J421" s="295">
        <v>1417.7</v>
      </c>
      <c r="K421" s="295">
        <v>1417.7</v>
      </c>
      <c r="L421" s="295">
        <v>708.85</v>
      </c>
      <c r="O421" s="266">
        <v>0</v>
      </c>
      <c r="P421" s="266">
        <v>718878026533</v>
      </c>
      <c r="Q421" s="266">
        <v>0</v>
      </c>
      <c r="R421" s="265">
        <v>2.2000000000000002</v>
      </c>
      <c r="S421" s="265">
        <v>8.67</v>
      </c>
      <c r="T421" s="265">
        <v>6.33</v>
      </c>
      <c r="U421" s="265">
        <v>1</v>
      </c>
      <c r="V421" s="259" t="s">
        <v>3247</v>
      </c>
      <c r="W421" s="259" t="s">
        <v>3061</v>
      </c>
      <c r="X421" s="264" t="s">
        <v>4189</v>
      </c>
      <c r="Y421" s="60">
        <v>59</v>
      </c>
      <c r="Z421" s="259" t="s">
        <v>3030</v>
      </c>
      <c r="AA421" s="259"/>
      <c r="AB421" s="259"/>
      <c r="AC421" s="259"/>
      <c r="AD421" s="259"/>
      <c r="AE421" s="259"/>
    </row>
    <row r="422" spans="1:31">
      <c r="A422" s="259" t="s">
        <v>566</v>
      </c>
      <c r="B422" s="259" t="s">
        <v>32</v>
      </c>
      <c r="C422" s="264" t="s">
        <v>40</v>
      </c>
      <c r="D422" s="264" t="s">
        <v>2803</v>
      </c>
      <c r="E422" s="259" t="s">
        <v>4038</v>
      </c>
      <c r="G422" s="292" t="s">
        <v>4167</v>
      </c>
      <c r="H422" s="264" t="s">
        <v>4192</v>
      </c>
      <c r="I422" s="264" t="s">
        <v>4193</v>
      </c>
      <c r="J422" s="295">
        <v>2590.6999999999998</v>
      </c>
      <c r="K422" s="295">
        <v>1198</v>
      </c>
      <c r="L422" s="295">
        <v>599</v>
      </c>
      <c r="O422" s="266">
        <v>0</v>
      </c>
      <c r="P422" s="266">
        <v>718878022306</v>
      </c>
      <c r="Q422" s="266">
        <v>0</v>
      </c>
      <c r="R422" s="265">
        <v>1.1000000000000001</v>
      </c>
      <c r="S422" s="265">
        <v>8.75</v>
      </c>
      <c r="T422" s="265">
        <v>5.2</v>
      </c>
      <c r="U422" s="265">
        <v>1</v>
      </c>
      <c r="V422" s="259" t="s">
        <v>3834</v>
      </c>
      <c r="W422" s="259" t="s">
        <v>3061</v>
      </c>
      <c r="X422" s="264" t="s">
        <v>4194</v>
      </c>
      <c r="Y422" s="60">
        <v>60</v>
      </c>
      <c r="Z422" s="259" t="s">
        <v>3227</v>
      </c>
      <c r="AA422" s="259"/>
      <c r="AB422" s="259"/>
      <c r="AC422" s="259"/>
      <c r="AD422" s="259"/>
      <c r="AE422" s="259"/>
    </row>
    <row r="423" spans="1:31">
      <c r="A423" s="259" t="s">
        <v>567</v>
      </c>
      <c r="B423" s="259" t="s">
        <v>32</v>
      </c>
      <c r="C423" s="264" t="s">
        <v>40</v>
      </c>
      <c r="D423" s="264" t="s">
        <v>2807</v>
      </c>
      <c r="E423" s="259" t="s">
        <v>4038</v>
      </c>
      <c r="G423" s="292" t="s">
        <v>4167</v>
      </c>
      <c r="H423" s="264" t="s">
        <v>4195</v>
      </c>
      <c r="I423" s="264" t="s">
        <v>4196</v>
      </c>
      <c r="J423" s="295">
        <v>2023.6</v>
      </c>
      <c r="K423" s="295">
        <v>1198</v>
      </c>
      <c r="L423" s="295">
        <v>599</v>
      </c>
      <c r="O423" s="266">
        <v>0</v>
      </c>
      <c r="P423" s="266">
        <v>718878022337</v>
      </c>
      <c r="Q423" s="266">
        <v>0</v>
      </c>
      <c r="R423" s="265">
        <v>1.1000000000000001</v>
      </c>
      <c r="S423" s="265">
        <v>8.75</v>
      </c>
      <c r="T423" s="265">
        <v>5.2</v>
      </c>
      <c r="U423" s="265">
        <v>1</v>
      </c>
      <c r="V423" s="259" t="s">
        <v>3834</v>
      </c>
      <c r="W423" s="259" t="s">
        <v>3061</v>
      </c>
      <c r="X423" s="264" t="s">
        <v>4197</v>
      </c>
      <c r="Y423" s="60">
        <v>61</v>
      </c>
      <c r="Z423" s="259" t="s">
        <v>3227</v>
      </c>
      <c r="AA423" s="259"/>
      <c r="AB423" s="259"/>
      <c r="AC423" s="259"/>
      <c r="AD423" s="259"/>
      <c r="AE423" s="259"/>
    </row>
    <row r="424" spans="1:31">
      <c r="A424" s="259" t="s">
        <v>568</v>
      </c>
      <c r="B424" s="259" t="s">
        <v>32</v>
      </c>
      <c r="C424" s="264" t="s">
        <v>40</v>
      </c>
      <c r="D424" s="264" t="s">
        <v>2809</v>
      </c>
      <c r="E424" s="259" t="s">
        <v>4038</v>
      </c>
      <c r="G424" s="292" t="s">
        <v>4167</v>
      </c>
      <c r="H424" s="264" t="s">
        <v>4198</v>
      </c>
      <c r="I424" s="264" t="s">
        <v>4199</v>
      </c>
      <c r="J424" s="295">
        <v>2023.6</v>
      </c>
      <c r="K424" s="295">
        <v>1198</v>
      </c>
      <c r="L424" s="295">
        <v>599</v>
      </c>
      <c r="O424" s="266">
        <v>0</v>
      </c>
      <c r="P424" s="266">
        <v>718878249222</v>
      </c>
      <c r="Q424" s="266">
        <v>0</v>
      </c>
      <c r="R424" s="265">
        <v>1.1000000000000001</v>
      </c>
      <c r="S424" s="265">
        <v>8.75</v>
      </c>
      <c r="T424" s="265">
        <v>5.2</v>
      </c>
      <c r="U424" s="265">
        <v>1</v>
      </c>
      <c r="V424" s="259" t="s">
        <v>3834</v>
      </c>
      <c r="W424" s="259" t="s">
        <v>3061</v>
      </c>
      <c r="X424" s="264" t="s">
        <v>4200</v>
      </c>
      <c r="Y424" s="60">
        <v>62</v>
      </c>
      <c r="Z424" s="259" t="s">
        <v>3227</v>
      </c>
      <c r="AA424" s="259"/>
      <c r="AB424" s="259"/>
      <c r="AC424" s="259"/>
      <c r="AD424" s="259"/>
      <c r="AE424" s="259"/>
    </row>
    <row r="425" spans="1:31">
      <c r="A425" s="259" t="s">
        <v>569</v>
      </c>
      <c r="B425" s="259" t="s">
        <v>32</v>
      </c>
      <c r="C425" s="264" t="s">
        <v>40</v>
      </c>
      <c r="D425" s="264" t="s">
        <v>4201</v>
      </c>
      <c r="E425" s="259" t="s">
        <v>4038</v>
      </c>
      <c r="G425" s="259">
        <v>0</v>
      </c>
      <c r="H425" s="264" t="s">
        <v>4202</v>
      </c>
      <c r="I425" s="264" t="s">
        <v>4202</v>
      </c>
      <c r="J425" s="295">
        <v>2195.1</v>
      </c>
      <c r="K425" s="295">
        <v>2195.1</v>
      </c>
      <c r="L425" s="295">
        <v>1097.55</v>
      </c>
      <c r="O425" s="266">
        <v>0</v>
      </c>
      <c r="P425" s="266">
        <v>718878026557</v>
      </c>
      <c r="Q425" s="266">
        <v>0</v>
      </c>
      <c r="R425" s="265">
        <v>2.25</v>
      </c>
      <c r="S425" s="265">
        <v>8.66</v>
      </c>
      <c r="T425" s="265">
        <v>8.66</v>
      </c>
      <c r="U425" s="265">
        <v>0.98</v>
      </c>
      <c r="V425" s="259" t="s">
        <v>3028</v>
      </c>
      <c r="W425" s="259" t="s">
        <v>4130</v>
      </c>
      <c r="X425" s="264" t="s">
        <v>4203</v>
      </c>
      <c r="Y425" s="60">
        <v>63</v>
      </c>
      <c r="Z425" s="259" t="s">
        <v>3030</v>
      </c>
      <c r="AA425" s="259"/>
      <c r="AB425" s="259"/>
      <c r="AC425" s="259"/>
      <c r="AD425" s="259"/>
      <c r="AE425" s="259"/>
    </row>
    <row r="426" spans="1:31">
      <c r="A426" s="259" t="s">
        <v>570</v>
      </c>
      <c r="B426" s="259" t="s">
        <v>32</v>
      </c>
      <c r="C426" s="264" t="s">
        <v>40</v>
      </c>
      <c r="D426" s="264" t="s">
        <v>4204</v>
      </c>
      <c r="E426" s="259" t="s">
        <v>4038</v>
      </c>
      <c r="G426" s="259">
        <v>0</v>
      </c>
      <c r="H426" s="264" t="s">
        <v>4205</v>
      </c>
      <c r="I426" s="264" t="s">
        <v>4205</v>
      </c>
      <c r="J426" s="295">
        <v>2195.1</v>
      </c>
      <c r="K426" s="295">
        <v>2195.1</v>
      </c>
      <c r="L426" s="295">
        <v>1097.55</v>
      </c>
      <c r="O426" s="266">
        <v>0</v>
      </c>
      <c r="P426" s="266">
        <v>718878026564</v>
      </c>
      <c r="Q426" s="266">
        <v>0</v>
      </c>
      <c r="R426" s="265">
        <v>2.25</v>
      </c>
      <c r="S426" s="265">
        <v>8.66</v>
      </c>
      <c r="T426" s="265">
        <v>8.66</v>
      </c>
      <c r="U426" s="265">
        <v>0.98</v>
      </c>
      <c r="V426" s="259" t="s">
        <v>3247</v>
      </c>
      <c r="W426" s="259" t="s">
        <v>3061</v>
      </c>
      <c r="X426" s="264" t="s">
        <v>4203</v>
      </c>
      <c r="Y426" s="60">
        <v>64</v>
      </c>
      <c r="Z426" s="259" t="s">
        <v>3030</v>
      </c>
      <c r="AA426" s="259"/>
      <c r="AB426" s="259"/>
      <c r="AC426" s="259"/>
      <c r="AD426" s="259"/>
      <c r="AE426" s="259"/>
    </row>
    <row r="427" spans="1:31">
      <c r="A427" s="259" t="s">
        <v>571</v>
      </c>
      <c r="B427" s="259" t="s">
        <v>32</v>
      </c>
      <c r="C427" s="264" t="s">
        <v>43</v>
      </c>
      <c r="D427" s="264" t="s">
        <v>4206</v>
      </c>
      <c r="E427" s="259" t="s">
        <v>4067</v>
      </c>
      <c r="G427" s="292" t="s">
        <v>4207</v>
      </c>
      <c r="H427" s="264" t="s">
        <v>4208</v>
      </c>
      <c r="I427" s="264" t="s">
        <v>4209</v>
      </c>
      <c r="J427" s="295">
        <v>1520.6</v>
      </c>
      <c r="K427" s="295">
        <v>998</v>
      </c>
      <c r="L427" s="295">
        <v>499</v>
      </c>
      <c r="O427" s="266">
        <v>0</v>
      </c>
      <c r="P427" s="266">
        <v>718878009840</v>
      </c>
      <c r="Q427" s="266">
        <v>0</v>
      </c>
      <c r="R427" s="265" t="s">
        <v>4210</v>
      </c>
      <c r="S427" s="265" t="s">
        <v>4211</v>
      </c>
      <c r="T427" s="265" t="s">
        <v>4212</v>
      </c>
      <c r="U427" s="265" t="s">
        <v>4213</v>
      </c>
      <c r="V427" s="259" t="s">
        <v>3028</v>
      </c>
      <c r="W427" s="259" t="s">
        <v>4130</v>
      </c>
      <c r="X427" s="264" t="s">
        <v>4214</v>
      </c>
      <c r="Y427" s="60">
        <v>65</v>
      </c>
      <c r="Z427" s="259" t="s">
        <v>3030</v>
      </c>
      <c r="AA427" s="259"/>
      <c r="AB427" s="259"/>
      <c r="AC427" s="259"/>
      <c r="AD427" s="259"/>
      <c r="AE427" s="259"/>
    </row>
    <row r="428" spans="1:31">
      <c r="A428" s="259" t="s">
        <v>572</v>
      </c>
      <c r="B428" s="259" t="s">
        <v>32</v>
      </c>
      <c r="C428" s="264" t="s">
        <v>39</v>
      </c>
      <c r="D428" s="264" t="s">
        <v>4215</v>
      </c>
      <c r="E428" s="259" t="s">
        <v>4067</v>
      </c>
      <c r="G428" s="259">
        <v>0</v>
      </c>
      <c r="H428" s="264" t="s">
        <v>4216</v>
      </c>
      <c r="I428" s="264" t="s">
        <v>4217</v>
      </c>
      <c r="J428" s="295">
        <v>85.5</v>
      </c>
      <c r="K428" s="295">
        <v>85.5</v>
      </c>
      <c r="L428" s="295">
        <v>42.75</v>
      </c>
      <c r="O428" s="266">
        <v>0</v>
      </c>
      <c r="P428" s="266">
        <v>718878022948</v>
      </c>
      <c r="Q428" s="266">
        <v>0</v>
      </c>
      <c r="R428" s="265">
        <v>2.5</v>
      </c>
      <c r="S428" s="265">
        <v>19</v>
      </c>
      <c r="T428" s="265">
        <v>5.25</v>
      </c>
      <c r="U428" s="265">
        <v>1.75</v>
      </c>
      <c r="V428" s="259" t="s">
        <v>3834</v>
      </c>
      <c r="W428" s="259" t="s">
        <v>3061</v>
      </c>
      <c r="X428" s="264" t="s">
        <v>4218</v>
      </c>
      <c r="Y428" s="60">
        <v>66</v>
      </c>
      <c r="AA428" s="259"/>
      <c r="AB428" s="259"/>
      <c r="AC428" s="259"/>
      <c r="AD428" s="259"/>
      <c r="AE428" s="259"/>
    </row>
    <row r="429" spans="1:31">
      <c r="A429" s="259" t="s">
        <v>573</v>
      </c>
      <c r="B429" s="259" t="s">
        <v>32</v>
      </c>
      <c r="C429" s="264" t="s">
        <v>39</v>
      </c>
      <c r="D429" s="264" t="s">
        <v>4219</v>
      </c>
      <c r="E429" s="259" t="s">
        <v>4067</v>
      </c>
      <c r="G429" s="259">
        <v>0</v>
      </c>
      <c r="H429" s="264" t="s">
        <v>4220</v>
      </c>
      <c r="I429" s="264" t="s">
        <v>4221</v>
      </c>
      <c r="J429" s="295">
        <v>125.7</v>
      </c>
      <c r="K429" s="295">
        <v>125.7</v>
      </c>
      <c r="L429" s="295">
        <v>62.85</v>
      </c>
      <c r="O429" s="266">
        <v>0</v>
      </c>
      <c r="P429" s="266">
        <v>718878022849</v>
      </c>
      <c r="Q429" s="266">
        <v>0</v>
      </c>
      <c r="R429" s="265">
        <v>2.65</v>
      </c>
      <c r="S429" s="265">
        <v>19</v>
      </c>
      <c r="T429" s="265">
        <v>5.25</v>
      </c>
      <c r="U429" s="265">
        <v>1.75</v>
      </c>
      <c r="V429" s="259" t="s">
        <v>3834</v>
      </c>
      <c r="W429" s="259" t="s">
        <v>3061</v>
      </c>
      <c r="X429" s="264" t="s">
        <v>4218</v>
      </c>
      <c r="Y429" s="60">
        <v>67</v>
      </c>
      <c r="AA429" s="259"/>
      <c r="AB429" s="259"/>
      <c r="AC429" s="259"/>
      <c r="AD429" s="259"/>
      <c r="AE429" s="259"/>
    </row>
    <row r="430" spans="1:31">
      <c r="A430" s="259" t="s">
        <v>574</v>
      </c>
      <c r="B430" s="259" t="s">
        <v>32</v>
      </c>
      <c r="C430" s="264" t="s">
        <v>39</v>
      </c>
      <c r="D430" s="264" t="s">
        <v>4222</v>
      </c>
      <c r="E430" s="259" t="s">
        <v>4067</v>
      </c>
      <c r="G430" s="259">
        <v>0</v>
      </c>
      <c r="H430" s="264" t="s">
        <v>4223</v>
      </c>
      <c r="I430" s="264" t="s">
        <v>4224</v>
      </c>
      <c r="J430" s="295">
        <v>48</v>
      </c>
      <c r="K430" s="295">
        <v>48</v>
      </c>
      <c r="L430" s="295">
        <v>24</v>
      </c>
      <c r="O430" s="266">
        <v>0</v>
      </c>
      <c r="P430" s="266">
        <v>718878022955</v>
      </c>
      <c r="Q430" s="266">
        <v>0</v>
      </c>
      <c r="R430" s="265">
        <v>0.5</v>
      </c>
      <c r="S430" s="265">
        <v>3.25</v>
      </c>
      <c r="T430" s="265">
        <v>0.84</v>
      </c>
      <c r="U430" s="265">
        <v>1</v>
      </c>
      <c r="V430" s="259" t="s">
        <v>3834</v>
      </c>
      <c r="W430" s="259" t="s">
        <v>3061</v>
      </c>
      <c r="X430" s="264" t="s">
        <v>4225</v>
      </c>
      <c r="Y430" s="60">
        <v>68</v>
      </c>
      <c r="AA430" s="259"/>
      <c r="AB430" s="259"/>
      <c r="AC430" s="259"/>
      <c r="AD430" s="259"/>
      <c r="AE430" s="259"/>
    </row>
    <row r="431" spans="1:31">
      <c r="A431" s="259" t="s">
        <v>575</v>
      </c>
      <c r="B431" s="259" t="s">
        <v>32</v>
      </c>
      <c r="C431" s="264" t="s">
        <v>39</v>
      </c>
      <c r="D431" s="264" t="s">
        <v>4226</v>
      </c>
      <c r="E431" s="259" t="s">
        <v>4067</v>
      </c>
      <c r="G431" s="259">
        <v>0</v>
      </c>
      <c r="H431" s="264" t="s">
        <v>4227</v>
      </c>
      <c r="I431" s="264" t="s">
        <v>4228</v>
      </c>
      <c r="J431" s="295">
        <v>65.900000000000006</v>
      </c>
      <c r="K431" s="295">
        <v>65.900000000000006</v>
      </c>
      <c r="L431" s="295">
        <v>32.950000000000003</v>
      </c>
      <c r="O431" s="266">
        <v>0</v>
      </c>
      <c r="P431" s="266">
        <v>0</v>
      </c>
      <c r="Q431" s="266">
        <v>0</v>
      </c>
      <c r="R431" s="265">
        <v>0</v>
      </c>
      <c r="S431" s="265">
        <v>3.25</v>
      </c>
      <c r="T431" s="265">
        <v>0.84</v>
      </c>
      <c r="U431" s="265">
        <v>3.25</v>
      </c>
      <c r="V431" s="259" t="s">
        <v>3834</v>
      </c>
      <c r="W431" s="259" t="s">
        <v>3061</v>
      </c>
      <c r="X431" s="264" t="s">
        <v>4229</v>
      </c>
      <c r="Y431" s="60">
        <v>69</v>
      </c>
      <c r="Z431" s="259" t="s">
        <v>3037</v>
      </c>
      <c r="AA431" s="259"/>
      <c r="AB431" s="259"/>
      <c r="AC431" s="259"/>
      <c r="AD431" s="259"/>
      <c r="AE431" s="259"/>
    </row>
    <row r="432" spans="1:31">
      <c r="A432" s="259" t="s">
        <v>576</v>
      </c>
      <c r="B432" s="259" t="s">
        <v>32</v>
      </c>
      <c r="C432" s="264" t="s">
        <v>43</v>
      </c>
      <c r="D432" s="264" t="s">
        <v>4230</v>
      </c>
      <c r="E432" s="259" t="s">
        <v>4067</v>
      </c>
      <c r="G432" s="292" t="s">
        <v>4207</v>
      </c>
      <c r="H432" s="264" t="s">
        <v>4231</v>
      </c>
      <c r="I432" s="264" t="s">
        <v>4232</v>
      </c>
      <c r="J432" s="295">
        <v>3178.4</v>
      </c>
      <c r="K432" s="295">
        <v>1998</v>
      </c>
      <c r="L432" s="295">
        <v>999</v>
      </c>
      <c r="O432" s="266">
        <v>0</v>
      </c>
      <c r="P432" s="266">
        <v>718878009857</v>
      </c>
      <c r="Q432" s="266">
        <v>0</v>
      </c>
      <c r="R432" s="265" t="s">
        <v>4233</v>
      </c>
      <c r="S432" s="265">
        <v>8.66</v>
      </c>
      <c r="T432" s="265">
        <v>5.9</v>
      </c>
      <c r="U432" s="265">
        <v>1.65</v>
      </c>
      <c r="V432" s="259" t="s">
        <v>3028</v>
      </c>
      <c r="W432" s="259" t="s">
        <v>4130</v>
      </c>
      <c r="X432" s="264" t="s">
        <v>4234</v>
      </c>
      <c r="Y432" s="60">
        <v>70</v>
      </c>
      <c r="Z432" s="259" t="s">
        <v>3030</v>
      </c>
      <c r="AA432" s="259"/>
      <c r="AB432" s="259"/>
      <c r="AC432" s="259"/>
      <c r="AD432" s="259"/>
      <c r="AE432" s="259"/>
    </row>
    <row r="433" spans="1:31">
      <c r="A433" s="259" t="s">
        <v>577</v>
      </c>
      <c r="B433" s="259" t="s">
        <v>32</v>
      </c>
      <c r="C433" s="264" t="s">
        <v>43</v>
      </c>
      <c r="D433" s="264" t="s">
        <v>4235</v>
      </c>
      <c r="E433" s="259" t="s">
        <v>4067</v>
      </c>
      <c r="G433" s="259">
        <v>0</v>
      </c>
      <c r="H433" s="264" t="s">
        <v>4236</v>
      </c>
      <c r="I433" s="264" t="s">
        <v>4237</v>
      </c>
      <c r="J433" s="295">
        <v>648.29999999999995</v>
      </c>
      <c r="K433" s="295">
        <v>648.29999999999995</v>
      </c>
      <c r="L433" s="295">
        <v>324.14999999999998</v>
      </c>
      <c r="O433" s="266">
        <v>0</v>
      </c>
      <c r="P433" s="266">
        <v>718878009864</v>
      </c>
      <c r="Q433" s="266">
        <v>0</v>
      </c>
      <c r="R433" s="265">
        <v>1.1000000000000001</v>
      </c>
      <c r="S433" s="265">
        <v>4.33</v>
      </c>
      <c r="T433" s="265">
        <v>5.91</v>
      </c>
      <c r="U433" s="265">
        <v>0.98</v>
      </c>
      <c r="V433" s="259" t="s">
        <v>3028</v>
      </c>
      <c r="W433" s="259" t="s">
        <v>4130</v>
      </c>
      <c r="X433" s="264" t="s">
        <v>4238</v>
      </c>
      <c r="Y433" s="60">
        <v>71</v>
      </c>
      <c r="Z433" s="259" t="s">
        <v>3030</v>
      </c>
      <c r="AA433" s="259"/>
      <c r="AB433" s="259"/>
      <c r="AC433" s="259"/>
      <c r="AD433" s="259"/>
      <c r="AE433" s="259"/>
    </row>
    <row r="434" spans="1:31">
      <c r="A434" s="259" t="s">
        <v>578</v>
      </c>
      <c r="B434" s="259" t="s">
        <v>32</v>
      </c>
      <c r="C434" s="264" t="s">
        <v>43</v>
      </c>
      <c r="D434" s="264" t="s">
        <v>4239</v>
      </c>
      <c r="E434" s="259" t="s">
        <v>4067</v>
      </c>
      <c r="G434" s="259">
        <v>0</v>
      </c>
      <c r="H434" s="264" t="s">
        <v>4240</v>
      </c>
      <c r="I434" s="264" t="s">
        <v>4241</v>
      </c>
      <c r="J434" s="295">
        <v>426.2</v>
      </c>
      <c r="K434" s="295">
        <v>426.2</v>
      </c>
      <c r="L434" s="295">
        <v>213.1</v>
      </c>
      <c r="O434" s="266">
        <v>0</v>
      </c>
      <c r="P434" s="266">
        <v>718878009871</v>
      </c>
      <c r="Q434" s="266">
        <v>0</v>
      </c>
      <c r="R434" s="265">
        <v>1.1000000000000001</v>
      </c>
      <c r="S434" s="265">
        <v>4.33</v>
      </c>
      <c r="T434" s="265">
        <v>5.91</v>
      </c>
      <c r="U434" s="265">
        <v>0.98</v>
      </c>
      <c r="V434" s="259" t="s">
        <v>3028</v>
      </c>
      <c r="W434" s="259" t="s">
        <v>4130</v>
      </c>
      <c r="X434" s="264" t="s">
        <v>4242</v>
      </c>
      <c r="Y434" s="60">
        <v>72</v>
      </c>
      <c r="Z434" s="259" t="s">
        <v>3030</v>
      </c>
      <c r="AA434" s="259"/>
      <c r="AB434" s="259"/>
      <c r="AC434" s="259"/>
      <c r="AD434" s="259"/>
      <c r="AE434" s="259"/>
    </row>
    <row r="435" spans="1:31">
      <c r="A435" s="259" t="s">
        <v>579</v>
      </c>
      <c r="B435" s="259" t="s">
        <v>32</v>
      </c>
      <c r="C435" s="264" t="s">
        <v>43</v>
      </c>
      <c r="D435" s="264" t="s">
        <v>4243</v>
      </c>
      <c r="E435" s="259" t="s">
        <v>4067</v>
      </c>
      <c r="G435" s="259">
        <v>0</v>
      </c>
      <c r="H435" s="264" t="s">
        <v>4244</v>
      </c>
      <c r="I435" s="264" t="s">
        <v>4244</v>
      </c>
      <c r="J435" s="295">
        <v>1058.7</v>
      </c>
      <c r="K435" s="295">
        <v>1058.7</v>
      </c>
      <c r="L435" s="295">
        <v>529.35</v>
      </c>
      <c r="O435" s="266">
        <v>0</v>
      </c>
      <c r="P435" s="266">
        <v>718878009888</v>
      </c>
      <c r="Q435" s="266">
        <v>0</v>
      </c>
      <c r="R435" s="265">
        <v>2.2000000000000002</v>
      </c>
      <c r="S435" s="265">
        <v>9.2200000000000006</v>
      </c>
      <c r="T435" s="265">
        <v>5.63</v>
      </c>
      <c r="U435" s="265">
        <v>0.98</v>
      </c>
      <c r="V435" s="259" t="s">
        <v>3028</v>
      </c>
      <c r="W435" s="259" t="s">
        <v>4130</v>
      </c>
      <c r="X435" s="264" t="s">
        <v>4245</v>
      </c>
      <c r="Y435" s="60">
        <v>73</v>
      </c>
      <c r="Z435" s="259" t="s">
        <v>3030</v>
      </c>
      <c r="AA435" s="259"/>
      <c r="AB435" s="259"/>
      <c r="AC435" s="259"/>
      <c r="AD435" s="259"/>
      <c r="AE435" s="259"/>
    </row>
    <row r="436" spans="1:31">
      <c r="A436" s="259" t="s">
        <v>580</v>
      </c>
      <c r="B436" s="259" t="s">
        <v>32</v>
      </c>
      <c r="C436" s="264" t="s">
        <v>43</v>
      </c>
      <c r="D436" s="264" t="s">
        <v>4246</v>
      </c>
      <c r="E436" s="259" t="s">
        <v>4067</v>
      </c>
      <c r="G436" s="259">
        <v>0</v>
      </c>
      <c r="H436" s="264" t="s">
        <v>4247</v>
      </c>
      <c r="I436" s="264" t="s">
        <v>4247</v>
      </c>
      <c r="J436" s="295">
        <v>8489</v>
      </c>
      <c r="K436" s="295">
        <v>8489</v>
      </c>
      <c r="L436" s="295">
        <v>4244.5</v>
      </c>
      <c r="O436" s="266">
        <v>0</v>
      </c>
      <c r="P436" s="266">
        <v>718878009895</v>
      </c>
      <c r="Q436" s="266">
        <v>0</v>
      </c>
      <c r="R436" s="265">
        <v>4</v>
      </c>
      <c r="S436" s="265">
        <v>17.32</v>
      </c>
      <c r="T436" s="265">
        <v>12.6</v>
      </c>
      <c r="U436" s="265">
        <v>1.71</v>
      </c>
      <c r="V436" s="259" t="s">
        <v>3028</v>
      </c>
      <c r="W436" s="259" t="s">
        <v>4130</v>
      </c>
      <c r="X436" s="264" t="s">
        <v>4248</v>
      </c>
      <c r="Y436" s="60">
        <v>74</v>
      </c>
      <c r="Z436" s="259" t="s">
        <v>3030</v>
      </c>
      <c r="AA436" s="259"/>
      <c r="AB436" s="259"/>
      <c r="AC436" s="259"/>
      <c r="AD436" s="259"/>
      <c r="AE436" s="259"/>
    </row>
    <row r="437" spans="1:31">
      <c r="A437" s="259" t="s">
        <v>581</v>
      </c>
      <c r="B437" s="259" t="s">
        <v>32</v>
      </c>
      <c r="C437" s="264" t="s">
        <v>4036</v>
      </c>
      <c r="D437" s="264" t="s">
        <v>4249</v>
      </c>
      <c r="E437" s="259" t="s">
        <v>4038</v>
      </c>
      <c r="G437" s="259" t="s">
        <v>3378</v>
      </c>
      <c r="H437" s="264" t="s">
        <v>4250</v>
      </c>
      <c r="I437" s="264" t="s">
        <v>4251</v>
      </c>
      <c r="J437" s="295">
        <v>112</v>
      </c>
      <c r="K437" s="295">
        <v>112</v>
      </c>
      <c r="L437" s="295">
        <v>56</v>
      </c>
      <c r="O437" s="266">
        <v>0</v>
      </c>
      <c r="P437" s="266">
        <v>718878023129</v>
      </c>
      <c r="Q437" s="266">
        <v>0</v>
      </c>
      <c r="R437" s="265">
        <v>1</v>
      </c>
      <c r="S437" s="265">
        <v>196</v>
      </c>
      <c r="T437" s="265">
        <v>1</v>
      </c>
      <c r="U437" s="265">
        <v>0.5</v>
      </c>
      <c r="V437" s="259" t="s">
        <v>3028</v>
      </c>
      <c r="W437" s="259" t="s">
        <v>4130</v>
      </c>
      <c r="X437" s="264" t="s">
        <v>4252</v>
      </c>
      <c r="Y437" s="60">
        <v>75</v>
      </c>
      <c r="Z437" s="259" t="s">
        <v>3227</v>
      </c>
      <c r="AA437" s="259"/>
      <c r="AB437" s="259"/>
      <c r="AC437" s="259"/>
      <c r="AD437" s="259"/>
      <c r="AE437" s="259"/>
    </row>
    <row r="438" spans="1:31">
      <c r="A438" s="259" t="s">
        <v>582</v>
      </c>
      <c r="B438" s="259" t="s">
        <v>32</v>
      </c>
      <c r="C438" s="264" t="s">
        <v>4036</v>
      </c>
      <c r="D438" s="264" t="s">
        <v>4253</v>
      </c>
      <c r="E438" s="259" t="s">
        <v>4038</v>
      </c>
      <c r="G438" s="259" t="s">
        <v>3378</v>
      </c>
      <c r="H438" s="264" t="s">
        <v>4254</v>
      </c>
      <c r="I438" s="264" t="s">
        <v>4255</v>
      </c>
      <c r="J438" s="295">
        <v>114.3</v>
      </c>
      <c r="K438" s="295">
        <v>114.3</v>
      </c>
      <c r="L438" s="295">
        <v>57.15</v>
      </c>
      <c r="O438" s="266">
        <v>0</v>
      </c>
      <c r="P438" s="266">
        <v>718878022887</v>
      </c>
      <c r="Q438" s="266">
        <v>0</v>
      </c>
      <c r="R438" s="265">
        <v>1</v>
      </c>
      <c r="S438" s="265">
        <v>196</v>
      </c>
      <c r="T438" s="265">
        <v>1</v>
      </c>
      <c r="U438" s="265">
        <v>0.5</v>
      </c>
      <c r="V438" s="259" t="s">
        <v>3028</v>
      </c>
      <c r="W438" s="259" t="s">
        <v>4130</v>
      </c>
      <c r="X438" s="264" t="s">
        <v>4256</v>
      </c>
      <c r="Y438" s="60">
        <v>76</v>
      </c>
      <c r="Z438" s="259" t="s">
        <v>3227</v>
      </c>
      <c r="AA438" s="259"/>
      <c r="AB438" s="259"/>
      <c r="AC438" s="259"/>
      <c r="AD438" s="259"/>
      <c r="AE438" s="259"/>
    </row>
    <row r="439" spans="1:31">
      <c r="A439" s="259" t="s">
        <v>583</v>
      </c>
      <c r="B439" s="259" t="s">
        <v>32</v>
      </c>
      <c r="C439" s="264" t="s">
        <v>4036</v>
      </c>
      <c r="D439" s="264" t="s">
        <v>4257</v>
      </c>
      <c r="E439" s="259" t="s">
        <v>4038</v>
      </c>
      <c r="G439" s="259" t="s">
        <v>3378</v>
      </c>
      <c r="H439" s="264" t="s">
        <v>4258</v>
      </c>
      <c r="I439" s="264" t="s">
        <v>4259</v>
      </c>
      <c r="J439" s="295">
        <v>54.9</v>
      </c>
      <c r="K439" s="295">
        <v>54.9</v>
      </c>
      <c r="L439" s="295">
        <v>27.45</v>
      </c>
      <c r="O439" s="266">
        <v>0</v>
      </c>
      <c r="P439" s="266">
        <v>718878023143</v>
      </c>
      <c r="Q439" s="266">
        <v>0</v>
      </c>
      <c r="R439" s="265">
        <v>1</v>
      </c>
      <c r="S439" s="265">
        <v>196</v>
      </c>
      <c r="T439" s="265">
        <v>0.5</v>
      </c>
      <c r="U439" s="265">
        <v>0.5</v>
      </c>
      <c r="V439" s="259" t="s">
        <v>3028</v>
      </c>
      <c r="W439" s="259" t="s">
        <v>4130</v>
      </c>
      <c r="X439" s="264" t="s">
        <v>4260</v>
      </c>
      <c r="Y439" s="60">
        <v>77</v>
      </c>
      <c r="Z439" s="259" t="s">
        <v>3227</v>
      </c>
      <c r="AA439" s="259"/>
      <c r="AB439" s="259"/>
      <c r="AC439" s="259"/>
      <c r="AD439" s="259"/>
      <c r="AE439" s="259"/>
    </row>
    <row r="440" spans="1:31">
      <c r="A440" s="259" t="s">
        <v>584</v>
      </c>
      <c r="B440" s="259" t="s">
        <v>32</v>
      </c>
      <c r="C440" s="264" t="s">
        <v>4036</v>
      </c>
      <c r="D440" s="264" t="s">
        <v>4261</v>
      </c>
      <c r="E440" s="259" t="s">
        <v>4139</v>
      </c>
      <c r="G440" s="259" t="s">
        <v>3378</v>
      </c>
      <c r="H440" s="264" t="s">
        <v>4262</v>
      </c>
      <c r="I440" s="264" t="s">
        <v>4263</v>
      </c>
      <c r="J440" s="295">
        <v>112</v>
      </c>
      <c r="K440" s="295">
        <v>112</v>
      </c>
      <c r="L440" s="295">
        <v>56</v>
      </c>
      <c r="O440" s="266">
        <v>0</v>
      </c>
      <c r="P440" s="266">
        <v>718878023167</v>
      </c>
      <c r="Q440" s="266">
        <v>0</v>
      </c>
      <c r="R440" s="265">
        <v>1</v>
      </c>
      <c r="S440" s="265">
        <v>9</v>
      </c>
      <c r="T440" s="265">
        <v>6</v>
      </c>
      <c r="U440" s="265">
        <v>0.5</v>
      </c>
      <c r="V440" s="259" t="s">
        <v>3028</v>
      </c>
      <c r="W440" s="259" t="s">
        <v>4130</v>
      </c>
      <c r="X440" s="264" t="s">
        <v>4264</v>
      </c>
      <c r="Y440" s="60">
        <v>78</v>
      </c>
      <c r="Z440" s="259" t="s">
        <v>3227</v>
      </c>
      <c r="AA440" s="259"/>
      <c r="AB440" s="259"/>
      <c r="AC440" s="259"/>
      <c r="AD440" s="259"/>
      <c r="AE440" s="259"/>
    </row>
    <row r="441" spans="1:31">
      <c r="A441" s="259" t="s">
        <v>585</v>
      </c>
      <c r="B441" s="259" t="s">
        <v>32</v>
      </c>
      <c r="C441" s="264" t="s">
        <v>45</v>
      </c>
      <c r="D441" s="264" t="s">
        <v>4265</v>
      </c>
      <c r="E441" s="259" t="s">
        <v>4047</v>
      </c>
      <c r="G441" s="259" t="s">
        <v>3378</v>
      </c>
      <c r="H441" s="264" t="s">
        <v>4266</v>
      </c>
      <c r="I441" s="264" t="s">
        <v>4267</v>
      </c>
      <c r="J441" s="295">
        <v>61.7</v>
      </c>
      <c r="K441" s="295">
        <v>61.7</v>
      </c>
      <c r="L441" s="295">
        <v>30.85</v>
      </c>
      <c r="O441" s="266">
        <v>0</v>
      </c>
      <c r="P441" s="266">
        <v>718878022962</v>
      </c>
      <c r="Q441" s="266">
        <v>0</v>
      </c>
      <c r="R441" s="265">
        <v>1</v>
      </c>
      <c r="S441" s="265">
        <v>196</v>
      </c>
      <c r="T441" s="265">
        <v>1</v>
      </c>
      <c r="U441" s="265">
        <v>0.5</v>
      </c>
      <c r="V441" s="259" t="s">
        <v>3028</v>
      </c>
      <c r="W441" s="259" t="s">
        <v>4130</v>
      </c>
      <c r="X441" s="264" t="s">
        <v>4268</v>
      </c>
      <c r="Y441" s="60">
        <v>79</v>
      </c>
      <c r="Z441" s="259" t="s">
        <v>3227</v>
      </c>
      <c r="AA441" s="259"/>
      <c r="AB441" s="259"/>
      <c r="AC441" s="259"/>
      <c r="AD441" s="259"/>
      <c r="AE441" s="259"/>
    </row>
    <row r="442" spans="1:31">
      <c r="A442" s="259" t="s">
        <v>586</v>
      </c>
      <c r="B442" s="259" t="s">
        <v>32</v>
      </c>
      <c r="C442" s="264" t="s">
        <v>37</v>
      </c>
      <c r="D442" s="264" t="s">
        <v>4269</v>
      </c>
      <c r="E442" s="259" t="s">
        <v>4067</v>
      </c>
      <c r="G442" s="259">
        <v>0</v>
      </c>
      <c r="H442" s="264" t="s">
        <v>4270</v>
      </c>
      <c r="I442" s="264" t="s">
        <v>4271</v>
      </c>
      <c r="J442" s="295">
        <v>201220.8</v>
      </c>
      <c r="K442" s="295">
        <v>201220.8</v>
      </c>
      <c r="L442" s="295">
        <v>100610.4</v>
      </c>
      <c r="O442" s="266">
        <v>0</v>
      </c>
      <c r="P442" s="266">
        <v>718878023174</v>
      </c>
      <c r="Q442" s="266">
        <v>0</v>
      </c>
      <c r="R442" s="265">
        <v>198</v>
      </c>
      <c r="S442" s="265">
        <v>19</v>
      </c>
      <c r="T442" s="265">
        <v>21.75</v>
      </c>
      <c r="U442" s="265">
        <v>29.625</v>
      </c>
      <c r="V442" s="259" t="s">
        <v>3834</v>
      </c>
      <c r="W442" s="259" t="s">
        <v>3061</v>
      </c>
      <c r="X442" s="264" t="s">
        <v>4272</v>
      </c>
      <c r="Y442" s="60">
        <v>80</v>
      </c>
      <c r="Z442" s="259" t="s">
        <v>3037</v>
      </c>
      <c r="AA442" s="259"/>
      <c r="AB442" s="259"/>
      <c r="AC442" s="259"/>
      <c r="AD442" s="259"/>
      <c r="AE442" s="259"/>
    </row>
    <row r="443" spans="1:31">
      <c r="A443" s="259" t="s">
        <v>587</v>
      </c>
      <c r="B443" s="259" t="s">
        <v>32</v>
      </c>
      <c r="C443" s="264" t="s">
        <v>37</v>
      </c>
      <c r="D443" s="264" t="s">
        <v>4273</v>
      </c>
      <c r="E443" s="259" t="s">
        <v>4067</v>
      </c>
      <c r="G443" s="259">
        <v>0</v>
      </c>
      <c r="H443" s="264" t="s">
        <v>4274</v>
      </c>
      <c r="I443" s="264" t="s">
        <v>4275</v>
      </c>
      <c r="J443" s="295">
        <v>35213.599999999999</v>
      </c>
      <c r="K443" s="295">
        <v>35213.599999999999</v>
      </c>
      <c r="L443" s="295">
        <v>17606.8</v>
      </c>
      <c r="O443" s="266">
        <v>0</v>
      </c>
      <c r="P443" s="266">
        <v>718878000151</v>
      </c>
      <c r="Q443" s="266">
        <v>0</v>
      </c>
      <c r="R443" s="265">
        <v>198</v>
      </c>
      <c r="S443" s="265">
        <v>19</v>
      </c>
      <c r="T443" s="265">
        <v>21.75</v>
      </c>
      <c r="U443" s="265">
        <v>29.625</v>
      </c>
      <c r="V443" s="259" t="s">
        <v>4159</v>
      </c>
      <c r="W443" s="259" t="s">
        <v>3061</v>
      </c>
      <c r="X443" s="264" t="s">
        <v>4276</v>
      </c>
      <c r="Y443" s="60">
        <v>81</v>
      </c>
      <c r="Z443" s="259" t="s">
        <v>3227</v>
      </c>
      <c r="AA443" s="259"/>
      <c r="AB443" s="259"/>
      <c r="AC443" s="259"/>
      <c r="AD443" s="259"/>
      <c r="AE443" s="259"/>
    </row>
    <row r="444" spans="1:31">
      <c r="A444" s="259" t="s">
        <v>588</v>
      </c>
      <c r="B444" s="259" t="s">
        <v>32</v>
      </c>
      <c r="C444" s="264" t="s">
        <v>37</v>
      </c>
      <c r="D444" s="264" t="s">
        <v>4277</v>
      </c>
      <c r="E444" s="259" t="s">
        <v>4067</v>
      </c>
      <c r="G444" s="259">
        <v>0</v>
      </c>
      <c r="H444" s="264" t="s">
        <v>4278</v>
      </c>
      <c r="I444" s="264" t="s">
        <v>4279</v>
      </c>
      <c r="J444" s="295">
        <v>25152.6</v>
      </c>
      <c r="K444" s="295">
        <v>25152.6</v>
      </c>
      <c r="L444" s="295">
        <v>12576.3</v>
      </c>
      <c r="O444" s="266">
        <v>0</v>
      </c>
      <c r="P444" s="266">
        <v>718878023204</v>
      </c>
      <c r="Q444" s="266">
        <v>0</v>
      </c>
      <c r="R444" s="265">
        <v>5.48</v>
      </c>
      <c r="S444" s="265">
        <v>3</v>
      </c>
      <c r="T444" s="265">
        <v>2</v>
      </c>
      <c r="U444" s="265">
        <v>0.4</v>
      </c>
      <c r="V444" s="259" t="s">
        <v>3834</v>
      </c>
      <c r="W444" s="259" t="s">
        <v>3061</v>
      </c>
      <c r="X444" s="264" t="s">
        <v>4280</v>
      </c>
      <c r="Y444" s="60">
        <v>82</v>
      </c>
      <c r="Z444" s="259" t="s">
        <v>3227</v>
      </c>
      <c r="AA444" s="259"/>
      <c r="AB444" s="259"/>
      <c r="AC444" s="259"/>
      <c r="AD444" s="259"/>
      <c r="AE444" s="259"/>
    </row>
    <row r="445" spans="1:31">
      <c r="A445" s="259" t="s">
        <v>589</v>
      </c>
      <c r="B445" s="259" t="s">
        <v>32</v>
      </c>
      <c r="C445" s="264" t="s">
        <v>40</v>
      </c>
      <c r="D445" s="264" t="s">
        <v>2812</v>
      </c>
      <c r="E445" s="259" t="s">
        <v>4067</v>
      </c>
      <c r="G445" s="259">
        <v>0</v>
      </c>
      <c r="H445" s="264" t="s">
        <v>4281</v>
      </c>
      <c r="I445" s="264" t="s">
        <v>4281</v>
      </c>
      <c r="J445" s="295">
        <v>1372</v>
      </c>
      <c r="K445" s="295">
        <v>1372</v>
      </c>
      <c r="L445" s="295">
        <v>686</v>
      </c>
      <c r="O445" s="266">
        <v>0</v>
      </c>
      <c r="P445" s="266">
        <v>718878000267</v>
      </c>
      <c r="Q445" s="266">
        <v>0</v>
      </c>
      <c r="R445" s="265">
        <v>0</v>
      </c>
      <c r="S445" s="265">
        <v>0</v>
      </c>
      <c r="T445" s="265">
        <v>0</v>
      </c>
      <c r="U445" s="265">
        <v>0</v>
      </c>
      <c r="V445" s="259" t="s">
        <v>4159</v>
      </c>
      <c r="W445" s="259" t="s">
        <v>3061</v>
      </c>
      <c r="X445" s="264">
        <v>0</v>
      </c>
      <c r="Y445" s="60">
        <v>83</v>
      </c>
      <c r="Z445" s="259" t="s">
        <v>3030</v>
      </c>
      <c r="AA445" s="259"/>
      <c r="AB445" s="259"/>
      <c r="AC445" s="259"/>
      <c r="AD445" s="259"/>
      <c r="AE445" s="259"/>
    </row>
    <row r="446" spans="1:31">
      <c r="A446" s="259" t="s">
        <v>590</v>
      </c>
      <c r="B446" s="259" t="s">
        <v>32</v>
      </c>
      <c r="C446" s="264" t="s">
        <v>40</v>
      </c>
      <c r="D446" s="264" t="s">
        <v>4282</v>
      </c>
      <c r="E446" s="259" t="s">
        <v>4038</v>
      </c>
      <c r="G446" s="259" t="s">
        <v>3378</v>
      </c>
      <c r="H446" s="264" t="s">
        <v>4283</v>
      </c>
      <c r="I446" s="264" t="s">
        <v>4284</v>
      </c>
      <c r="J446" s="295">
        <v>1772.1</v>
      </c>
      <c r="K446" s="295">
        <v>1772.1</v>
      </c>
      <c r="L446" s="295">
        <v>886.05</v>
      </c>
      <c r="O446" s="266">
        <v>0</v>
      </c>
      <c r="P446" s="266">
        <v>718878022368</v>
      </c>
      <c r="Q446" s="266">
        <v>0</v>
      </c>
      <c r="R446" s="265">
        <v>0</v>
      </c>
      <c r="S446" s="265">
        <v>0</v>
      </c>
      <c r="T446" s="265">
        <v>0</v>
      </c>
      <c r="U446" s="265">
        <v>0</v>
      </c>
      <c r="V446" s="259" t="s">
        <v>4159</v>
      </c>
      <c r="W446" s="259" t="s">
        <v>3061</v>
      </c>
      <c r="X446" s="264" t="s">
        <v>4285</v>
      </c>
      <c r="Y446" s="60">
        <v>84</v>
      </c>
      <c r="Z446" s="259" t="s">
        <v>3227</v>
      </c>
      <c r="AA446" s="259"/>
      <c r="AB446" s="259"/>
      <c r="AC446" s="259"/>
      <c r="AD446" s="259"/>
      <c r="AE446" s="259"/>
    </row>
    <row r="447" spans="1:31">
      <c r="A447" s="259" t="s">
        <v>591</v>
      </c>
      <c r="B447" s="259" t="s">
        <v>32</v>
      </c>
      <c r="C447" s="264" t="s">
        <v>40</v>
      </c>
      <c r="D447" s="264" t="s">
        <v>4286</v>
      </c>
      <c r="E447" s="259" t="s">
        <v>4038</v>
      </c>
      <c r="G447" s="259" t="s">
        <v>3378</v>
      </c>
      <c r="H447" s="264" t="s">
        <v>4287</v>
      </c>
      <c r="I447" s="264" t="s">
        <v>4288</v>
      </c>
      <c r="J447" s="295">
        <v>2309.5</v>
      </c>
      <c r="K447" s="295">
        <v>2309.5</v>
      </c>
      <c r="L447" s="295">
        <v>1154.75</v>
      </c>
      <c r="O447" s="266">
        <v>0</v>
      </c>
      <c r="P447" s="266">
        <v>718878022382</v>
      </c>
      <c r="Q447" s="266">
        <v>0</v>
      </c>
      <c r="R447" s="265">
        <v>0</v>
      </c>
      <c r="S447" s="265">
        <v>0</v>
      </c>
      <c r="T447" s="265">
        <v>0</v>
      </c>
      <c r="U447" s="265">
        <v>0</v>
      </c>
      <c r="V447" s="259" t="s">
        <v>4159</v>
      </c>
      <c r="W447" s="259" t="s">
        <v>3061</v>
      </c>
      <c r="X447" s="264" t="s">
        <v>4289</v>
      </c>
      <c r="Y447" s="60">
        <v>85</v>
      </c>
      <c r="Z447" s="259" t="s">
        <v>3227</v>
      </c>
      <c r="AA447" s="259"/>
      <c r="AB447" s="259"/>
      <c r="AC447" s="259"/>
      <c r="AD447" s="259"/>
      <c r="AE447" s="259"/>
    </row>
    <row r="448" spans="1:31">
      <c r="A448" s="259" t="s">
        <v>592</v>
      </c>
      <c r="B448" s="259" t="s">
        <v>32</v>
      </c>
      <c r="C448" s="264" t="s">
        <v>40</v>
      </c>
      <c r="D448" s="264" t="s">
        <v>4290</v>
      </c>
      <c r="E448" s="259" t="s">
        <v>4038</v>
      </c>
      <c r="G448" s="259" t="s">
        <v>3378</v>
      </c>
      <c r="H448" s="264" t="s">
        <v>4291</v>
      </c>
      <c r="I448" s="264" t="s">
        <v>4292</v>
      </c>
      <c r="J448" s="295">
        <v>2309.5</v>
      </c>
      <c r="K448" s="295">
        <v>2309.5</v>
      </c>
      <c r="L448" s="295">
        <v>1154.75</v>
      </c>
      <c r="O448" s="266">
        <v>0</v>
      </c>
      <c r="P448" s="266">
        <v>718878022399</v>
      </c>
      <c r="Q448" s="266">
        <v>0</v>
      </c>
      <c r="R448" s="265">
        <v>0</v>
      </c>
      <c r="S448" s="265">
        <v>0</v>
      </c>
      <c r="T448" s="265">
        <v>0</v>
      </c>
      <c r="U448" s="265">
        <v>0</v>
      </c>
      <c r="V448" s="259" t="s">
        <v>4159</v>
      </c>
      <c r="W448" s="259" t="s">
        <v>3061</v>
      </c>
      <c r="X448" s="264" t="s">
        <v>4293</v>
      </c>
      <c r="Y448" s="60">
        <v>86</v>
      </c>
      <c r="Z448" s="259" t="s">
        <v>3227</v>
      </c>
      <c r="AA448" s="259"/>
      <c r="AB448" s="259"/>
      <c r="AC448" s="259"/>
      <c r="AD448" s="259"/>
      <c r="AE448" s="259"/>
    </row>
    <row r="449" spans="1:31">
      <c r="A449" s="259" t="s">
        <v>593</v>
      </c>
      <c r="B449" s="259" t="s">
        <v>32</v>
      </c>
      <c r="C449" s="264" t="s">
        <v>40</v>
      </c>
      <c r="D449" s="264" t="s">
        <v>4294</v>
      </c>
      <c r="E449" s="259" t="s">
        <v>4038</v>
      </c>
      <c r="G449" s="259" t="s">
        <v>3378</v>
      </c>
      <c r="H449" s="264" t="s">
        <v>4295</v>
      </c>
      <c r="I449" s="264" t="s">
        <v>4296</v>
      </c>
      <c r="J449" s="295">
        <v>1772.1</v>
      </c>
      <c r="K449" s="295">
        <v>1772.1</v>
      </c>
      <c r="L449" s="295">
        <v>886.05</v>
      </c>
      <c r="O449" s="266">
        <v>0</v>
      </c>
      <c r="P449" s="266">
        <v>718878240885</v>
      </c>
      <c r="Q449" s="266">
        <v>0</v>
      </c>
      <c r="R449" s="265">
        <v>1.05</v>
      </c>
      <c r="S449" s="265">
        <v>17.78</v>
      </c>
      <c r="T449" s="265">
        <v>33.020000000000003</v>
      </c>
      <c r="U449" s="265">
        <v>5.08</v>
      </c>
      <c r="V449" s="259" t="s">
        <v>4159</v>
      </c>
      <c r="W449" s="259" t="s">
        <v>3061</v>
      </c>
      <c r="X449" s="264" t="s">
        <v>4297</v>
      </c>
      <c r="Y449" s="60">
        <v>87</v>
      </c>
      <c r="Z449" s="259" t="s">
        <v>3227</v>
      </c>
      <c r="AA449" s="259"/>
      <c r="AB449" s="259"/>
      <c r="AC449" s="259"/>
      <c r="AD449" s="259"/>
      <c r="AE449" s="259"/>
    </row>
    <row r="450" spans="1:31">
      <c r="A450" s="259" t="s">
        <v>594</v>
      </c>
      <c r="B450" s="259" t="s">
        <v>32</v>
      </c>
      <c r="C450" s="264" t="s">
        <v>40</v>
      </c>
      <c r="D450" s="264" t="s">
        <v>4298</v>
      </c>
      <c r="E450" s="259" t="s">
        <v>4038</v>
      </c>
      <c r="G450" s="259" t="s">
        <v>3378</v>
      </c>
      <c r="H450" s="264" t="s">
        <v>4299</v>
      </c>
      <c r="I450" s="264" t="s">
        <v>4300</v>
      </c>
      <c r="J450" s="295">
        <v>2400.9</v>
      </c>
      <c r="K450" s="295">
        <v>2400.9</v>
      </c>
      <c r="L450" s="295">
        <v>1200.45</v>
      </c>
      <c r="O450" s="266">
        <v>0</v>
      </c>
      <c r="P450" s="266">
        <v>718878240991</v>
      </c>
      <c r="Q450" s="266">
        <v>0</v>
      </c>
      <c r="R450" s="265">
        <v>3.15</v>
      </c>
      <c r="S450" s="265">
        <v>16</v>
      </c>
      <c r="T450" s="265">
        <v>5</v>
      </c>
      <c r="U450" s="265">
        <v>6</v>
      </c>
      <c r="V450" s="259" t="s">
        <v>4159</v>
      </c>
      <c r="W450" s="259" t="s">
        <v>3061</v>
      </c>
      <c r="X450" s="264" t="s">
        <v>4301</v>
      </c>
      <c r="Y450" s="60">
        <v>88</v>
      </c>
      <c r="Z450" s="259" t="s">
        <v>3227</v>
      </c>
      <c r="AA450" s="259"/>
      <c r="AB450" s="259"/>
      <c r="AC450" s="259"/>
      <c r="AD450" s="259"/>
      <c r="AE450" s="259"/>
    </row>
    <row r="451" spans="1:31">
      <c r="A451" s="259" t="s">
        <v>595</v>
      </c>
      <c r="B451" s="259" t="s">
        <v>32</v>
      </c>
      <c r="C451" s="264" t="s">
        <v>40</v>
      </c>
      <c r="D451" s="264" t="s">
        <v>4302</v>
      </c>
      <c r="E451" s="259" t="s">
        <v>4038</v>
      </c>
      <c r="G451" s="259" t="s">
        <v>3378</v>
      </c>
      <c r="H451" s="264" t="s">
        <v>4303</v>
      </c>
      <c r="I451" s="264" t="s">
        <v>4304</v>
      </c>
      <c r="J451" s="295">
        <v>6448.2</v>
      </c>
      <c r="K451" s="295">
        <v>6448.2</v>
      </c>
      <c r="L451" s="295">
        <v>3224.1</v>
      </c>
      <c r="O451" s="266">
        <v>0</v>
      </c>
      <c r="P451" s="266">
        <v>718878023280</v>
      </c>
      <c r="Q451" s="266">
        <v>0</v>
      </c>
      <c r="R451" s="265">
        <v>2</v>
      </c>
      <c r="S451" s="265">
        <v>16</v>
      </c>
      <c r="T451" s="265">
        <v>5</v>
      </c>
      <c r="U451" s="265">
        <v>6</v>
      </c>
      <c r="V451" s="259" t="s">
        <v>3834</v>
      </c>
      <c r="W451" s="259" t="s">
        <v>3061</v>
      </c>
      <c r="X451" s="264" t="s">
        <v>4305</v>
      </c>
      <c r="Y451" s="60">
        <v>89</v>
      </c>
      <c r="Z451" s="259" t="s">
        <v>3227</v>
      </c>
      <c r="AA451" s="259"/>
      <c r="AB451" s="259"/>
      <c r="AC451" s="259"/>
      <c r="AD451" s="259"/>
      <c r="AE451" s="259"/>
    </row>
    <row r="452" spans="1:31">
      <c r="A452" s="259" t="s">
        <v>596</v>
      </c>
      <c r="B452" s="259" t="s">
        <v>32</v>
      </c>
      <c r="C452" s="264" t="s">
        <v>40</v>
      </c>
      <c r="D452" s="264" t="s">
        <v>4306</v>
      </c>
      <c r="E452" s="259" t="s">
        <v>4038</v>
      </c>
      <c r="G452" s="259" t="s">
        <v>3378</v>
      </c>
      <c r="H452" s="264" t="s">
        <v>4307</v>
      </c>
      <c r="I452" s="264" t="s">
        <v>4308</v>
      </c>
      <c r="J452" s="295">
        <v>3601.4</v>
      </c>
      <c r="K452" s="295">
        <v>3601.4</v>
      </c>
      <c r="L452" s="295">
        <v>1800.7</v>
      </c>
      <c r="O452" s="266">
        <v>0</v>
      </c>
      <c r="P452" s="266">
        <v>718878022498</v>
      </c>
      <c r="Q452" s="266">
        <v>0</v>
      </c>
      <c r="R452" s="265">
        <v>0</v>
      </c>
      <c r="S452" s="265">
        <v>0</v>
      </c>
      <c r="T452" s="265">
        <v>0</v>
      </c>
      <c r="U452" s="265">
        <v>0</v>
      </c>
      <c r="V452" s="259" t="s">
        <v>4159</v>
      </c>
      <c r="W452" s="259" t="s">
        <v>3061</v>
      </c>
      <c r="X452" s="264" t="s">
        <v>4309</v>
      </c>
      <c r="Y452" s="60">
        <v>90</v>
      </c>
      <c r="Z452" s="259" t="s">
        <v>3227</v>
      </c>
      <c r="AA452" s="259"/>
      <c r="AB452" s="259"/>
      <c r="AC452" s="259"/>
      <c r="AD452" s="259"/>
      <c r="AE452" s="259"/>
    </row>
    <row r="453" spans="1:31">
      <c r="A453" s="259" t="s">
        <v>597</v>
      </c>
      <c r="B453" s="259" t="s">
        <v>32</v>
      </c>
      <c r="C453" s="264" t="s">
        <v>40</v>
      </c>
      <c r="D453" s="264" t="s">
        <v>4310</v>
      </c>
      <c r="E453" s="259" t="s">
        <v>4038</v>
      </c>
      <c r="G453" s="259">
        <v>0</v>
      </c>
      <c r="H453" s="264" t="s">
        <v>4311</v>
      </c>
      <c r="I453" s="264" t="s">
        <v>4312</v>
      </c>
      <c r="J453" s="295">
        <v>1860.7</v>
      </c>
      <c r="K453" s="295">
        <v>1860.7</v>
      </c>
      <c r="L453" s="295">
        <v>930.35</v>
      </c>
      <c r="O453" s="266">
        <v>0</v>
      </c>
      <c r="P453" s="266">
        <v>718878022535</v>
      </c>
      <c r="Q453" s="266">
        <v>0</v>
      </c>
      <c r="R453" s="265">
        <v>0</v>
      </c>
      <c r="S453" s="265">
        <v>0</v>
      </c>
      <c r="T453" s="265">
        <v>0</v>
      </c>
      <c r="U453" s="265">
        <v>0</v>
      </c>
      <c r="V453" s="259" t="s">
        <v>4159</v>
      </c>
      <c r="W453" s="259" t="s">
        <v>3061</v>
      </c>
      <c r="X453" s="264" t="s">
        <v>4313</v>
      </c>
      <c r="Y453" s="60">
        <v>91</v>
      </c>
      <c r="Z453" s="259" t="s">
        <v>3030</v>
      </c>
      <c r="AA453" s="259"/>
      <c r="AB453" s="259"/>
      <c r="AC453" s="259"/>
      <c r="AD453" s="259"/>
      <c r="AE453" s="259"/>
    </row>
    <row r="454" spans="1:31">
      <c r="A454" s="259" t="s">
        <v>598</v>
      </c>
      <c r="B454" s="259" t="s">
        <v>32</v>
      </c>
      <c r="C454" s="264" t="s">
        <v>40</v>
      </c>
      <c r="D454" s="264" t="s">
        <v>4314</v>
      </c>
      <c r="E454" s="259" t="s">
        <v>4038</v>
      </c>
      <c r="G454" s="259">
        <v>0</v>
      </c>
      <c r="H454" s="264" t="s">
        <v>4315</v>
      </c>
      <c r="I454" s="264" t="s">
        <v>4316</v>
      </c>
      <c r="J454" s="295">
        <v>2252.3000000000002</v>
      </c>
      <c r="K454" s="295">
        <v>2252.3000000000002</v>
      </c>
      <c r="L454" s="295">
        <v>1126.1500000000001</v>
      </c>
      <c r="O454" s="266">
        <v>0</v>
      </c>
      <c r="P454" s="266">
        <v>718878022559</v>
      </c>
      <c r="Q454" s="266">
        <v>0</v>
      </c>
      <c r="R454" s="265">
        <v>0</v>
      </c>
      <c r="S454" s="265">
        <v>0</v>
      </c>
      <c r="T454" s="265">
        <v>0</v>
      </c>
      <c r="U454" s="265">
        <v>0</v>
      </c>
      <c r="V454" s="259" t="s">
        <v>4159</v>
      </c>
      <c r="W454" s="259" t="s">
        <v>3061</v>
      </c>
      <c r="X454" s="264">
        <v>0</v>
      </c>
      <c r="Y454" s="60">
        <v>92</v>
      </c>
      <c r="Z454" s="259" t="s">
        <v>3264</v>
      </c>
      <c r="AA454" s="259"/>
      <c r="AB454" s="259"/>
      <c r="AC454" s="259"/>
      <c r="AD454" s="259"/>
      <c r="AE454" s="259"/>
    </row>
    <row r="455" spans="1:31">
      <c r="A455" s="259" t="s">
        <v>599</v>
      </c>
      <c r="B455" s="259" t="s">
        <v>32</v>
      </c>
      <c r="C455" s="264" t="s">
        <v>40</v>
      </c>
      <c r="D455" s="264" t="s">
        <v>2816</v>
      </c>
      <c r="E455" s="259" t="s">
        <v>4038</v>
      </c>
      <c r="G455" s="259">
        <v>0</v>
      </c>
      <c r="H455" s="264" t="s">
        <v>4317</v>
      </c>
      <c r="I455" s="264" t="s">
        <v>4318</v>
      </c>
      <c r="J455" s="295">
        <v>14965</v>
      </c>
      <c r="K455" s="295">
        <v>14965</v>
      </c>
      <c r="L455" s="295">
        <v>7482.5</v>
      </c>
      <c r="O455" s="266">
        <v>0</v>
      </c>
      <c r="P455" s="266">
        <v>718878022580</v>
      </c>
      <c r="Q455" s="266">
        <v>0</v>
      </c>
      <c r="R455" s="265">
        <v>35</v>
      </c>
      <c r="S455" s="265">
        <v>19</v>
      </c>
      <c r="T455" s="265">
        <v>16</v>
      </c>
      <c r="U455" s="265">
        <v>1.8125</v>
      </c>
      <c r="V455" s="259" t="s">
        <v>4159</v>
      </c>
      <c r="W455" s="259" t="s">
        <v>3061</v>
      </c>
      <c r="X455" s="264" t="s">
        <v>4319</v>
      </c>
      <c r="Y455" s="60">
        <v>93</v>
      </c>
      <c r="Z455" s="259" t="s">
        <v>3030</v>
      </c>
      <c r="AA455" s="259"/>
      <c r="AB455" s="259"/>
      <c r="AC455" s="259"/>
      <c r="AD455" s="259"/>
      <c r="AE455" s="259"/>
    </row>
    <row r="456" spans="1:31">
      <c r="A456" s="259" t="s">
        <v>600</v>
      </c>
      <c r="B456" s="259" t="s">
        <v>32</v>
      </c>
      <c r="C456" s="264" t="s">
        <v>40</v>
      </c>
      <c r="D456" s="264" t="s">
        <v>4320</v>
      </c>
      <c r="E456" s="259" t="s">
        <v>4038</v>
      </c>
      <c r="G456" s="259">
        <v>0</v>
      </c>
      <c r="H456" s="264" t="s">
        <v>4321</v>
      </c>
      <c r="I456" s="264" t="s">
        <v>4321</v>
      </c>
      <c r="J456" s="295">
        <v>4296</v>
      </c>
      <c r="K456" s="295">
        <v>4296</v>
      </c>
      <c r="L456" s="295">
        <v>2148</v>
      </c>
      <c r="O456" s="266">
        <v>0</v>
      </c>
      <c r="P456" s="266">
        <v>718878022597</v>
      </c>
      <c r="Q456" s="266">
        <v>0</v>
      </c>
      <c r="R456" s="265">
        <v>3</v>
      </c>
      <c r="S456" s="265">
        <v>16</v>
      </c>
      <c r="T456" s="265">
        <v>11</v>
      </c>
      <c r="U456" s="265">
        <v>3</v>
      </c>
      <c r="V456" s="259" t="s">
        <v>4159</v>
      </c>
      <c r="W456" s="259" t="s">
        <v>3061</v>
      </c>
      <c r="X456" s="264" t="s">
        <v>4322</v>
      </c>
      <c r="Y456" s="60">
        <v>94</v>
      </c>
      <c r="Z456" s="259" t="s">
        <v>3030</v>
      </c>
      <c r="AA456" s="259"/>
      <c r="AB456" s="259"/>
      <c r="AC456" s="259"/>
      <c r="AD456" s="259"/>
      <c r="AE456" s="259"/>
    </row>
    <row r="457" spans="1:31">
      <c r="A457" s="259" t="s">
        <v>601</v>
      </c>
      <c r="B457" s="259" t="s">
        <v>32</v>
      </c>
      <c r="C457" s="264" t="s">
        <v>40</v>
      </c>
      <c r="D457" s="264" t="s">
        <v>4323</v>
      </c>
      <c r="E457" s="259" t="s">
        <v>4038</v>
      </c>
      <c r="G457" s="259">
        <v>0</v>
      </c>
      <c r="H457" s="264" t="s">
        <v>4324</v>
      </c>
      <c r="I457" s="264" t="s">
        <v>4324</v>
      </c>
      <c r="J457" s="295">
        <v>6028</v>
      </c>
      <c r="K457" s="295">
        <v>6028</v>
      </c>
      <c r="L457" s="295">
        <v>3014</v>
      </c>
      <c r="O457" s="266">
        <v>0</v>
      </c>
      <c r="P457" s="266">
        <v>718878023372</v>
      </c>
      <c r="Q457" s="266">
        <v>0</v>
      </c>
      <c r="R457" s="265">
        <v>2</v>
      </c>
      <c r="S457" s="265">
        <v>20</v>
      </c>
      <c r="T457" s="265">
        <v>11</v>
      </c>
      <c r="U457" s="265">
        <v>5</v>
      </c>
      <c r="V457" s="259" t="s">
        <v>3834</v>
      </c>
      <c r="W457" s="259" t="s">
        <v>3061</v>
      </c>
      <c r="X457" s="264">
        <v>0</v>
      </c>
      <c r="Y457" s="60">
        <v>95</v>
      </c>
      <c r="Z457" s="259" t="s">
        <v>4325</v>
      </c>
      <c r="AA457" s="259"/>
      <c r="AB457" s="259"/>
      <c r="AC457" s="259"/>
      <c r="AD457" s="259"/>
      <c r="AE457" s="259"/>
    </row>
    <row r="458" spans="1:31">
      <c r="A458" s="259" t="s">
        <v>602</v>
      </c>
      <c r="B458" s="259" t="s">
        <v>32</v>
      </c>
      <c r="C458" s="264" t="s">
        <v>40</v>
      </c>
      <c r="D458" s="264" t="s">
        <v>2818</v>
      </c>
      <c r="E458" s="259" t="s">
        <v>4038</v>
      </c>
      <c r="G458" s="259">
        <v>0</v>
      </c>
      <c r="H458" s="264" t="s">
        <v>4326</v>
      </c>
      <c r="I458" s="264" t="s">
        <v>4327</v>
      </c>
      <c r="J458" s="295">
        <v>16264</v>
      </c>
      <c r="K458" s="295">
        <v>16264</v>
      </c>
      <c r="L458" s="295">
        <v>8132</v>
      </c>
      <c r="O458" s="266">
        <v>0</v>
      </c>
      <c r="P458" s="266">
        <v>718878022610</v>
      </c>
      <c r="Q458" s="266">
        <v>0</v>
      </c>
      <c r="R458" s="265">
        <v>55</v>
      </c>
      <c r="S458" s="265">
        <v>19</v>
      </c>
      <c r="T458" s="265">
        <v>16</v>
      </c>
      <c r="U458" s="265">
        <v>6.84</v>
      </c>
      <c r="V458" s="259" t="s">
        <v>4159</v>
      </c>
      <c r="W458" s="259" t="s">
        <v>3061</v>
      </c>
      <c r="X458" s="264" t="s">
        <v>4328</v>
      </c>
      <c r="Y458" s="60">
        <v>96</v>
      </c>
      <c r="Z458" s="259" t="s">
        <v>3030</v>
      </c>
      <c r="AA458" s="259"/>
      <c r="AB458" s="259"/>
      <c r="AC458" s="259"/>
      <c r="AD458" s="259"/>
      <c r="AE458" s="259"/>
    </row>
    <row r="459" spans="1:31">
      <c r="A459" s="259" t="s">
        <v>603</v>
      </c>
      <c r="B459" s="259" t="s">
        <v>32</v>
      </c>
      <c r="C459" s="264" t="s">
        <v>40</v>
      </c>
      <c r="D459" s="264" t="s">
        <v>2820</v>
      </c>
      <c r="E459" s="259" t="s">
        <v>4038</v>
      </c>
      <c r="G459" s="259">
        <v>0</v>
      </c>
      <c r="H459" s="264" t="s">
        <v>4329</v>
      </c>
      <c r="I459" s="264" t="s">
        <v>4330</v>
      </c>
      <c r="J459" s="295">
        <v>29702</v>
      </c>
      <c r="K459" s="295">
        <v>29702</v>
      </c>
      <c r="L459" s="295">
        <v>14851</v>
      </c>
      <c r="O459" s="266">
        <v>0</v>
      </c>
      <c r="P459" s="266">
        <v>718878022641</v>
      </c>
      <c r="Q459" s="266">
        <v>0</v>
      </c>
      <c r="R459" s="265">
        <v>73</v>
      </c>
      <c r="S459" s="265">
        <v>19</v>
      </c>
      <c r="T459" s="265">
        <v>21</v>
      </c>
      <c r="U459" s="265">
        <v>10.5</v>
      </c>
      <c r="V459" s="259" t="s">
        <v>4159</v>
      </c>
      <c r="W459" s="259" t="s">
        <v>3061</v>
      </c>
      <c r="X459" s="264" t="s">
        <v>4331</v>
      </c>
      <c r="Y459" s="60">
        <v>97</v>
      </c>
      <c r="Z459" s="259" t="s">
        <v>3030</v>
      </c>
      <c r="AA459" s="259"/>
      <c r="AB459" s="259"/>
      <c r="AC459" s="259"/>
      <c r="AD459" s="259"/>
      <c r="AE459" s="259"/>
    </row>
    <row r="460" spans="1:31">
      <c r="A460" s="259" t="s">
        <v>604</v>
      </c>
      <c r="B460" s="259" t="s">
        <v>32</v>
      </c>
      <c r="C460" s="264" t="s">
        <v>40</v>
      </c>
      <c r="D460" s="264" t="s">
        <v>4332</v>
      </c>
      <c r="E460" s="259" t="s">
        <v>4038</v>
      </c>
      <c r="G460" s="259">
        <v>0</v>
      </c>
      <c r="H460" s="264" t="s">
        <v>4333</v>
      </c>
      <c r="I460" s="264" t="s">
        <v>4334</v>
      </c>
      <c r="J460" s="295">
        <v>1772.1</v>
      </c>
      <c r="K460" s="295">
        <v>1772.1</v>
      </c>
      <c r="L460" s="295">
        <v>886.05</v>
      </c>
      <c r="O460" s="266">
        <v>0</v>
      </c>
      <c r="P460" s="266">
        <v>718878022658</v>
      </c>
      <c r="Q460" s="266">
        <v>0</v>
      </c>
      <c r="R460" s="265">
        <v>2</v>
      </c>
      <c r="S460" s="265">
        <v>16.25</v>
      </c>
      <c r="T460" s="265">
        <v>11.75</v>
      </c>
      <c r="U460" s="265">
        <v>3.25</v>
      </c>
      <c r="V460" s="259" t="s">
        <v>4159</v>
      </c>
      <c r="W460" s="259" t="s">
        <v>3061</v>
      </c>
      <c r="X460" s="264" t="s">
        <v>4335</v>
      </c>
      <c r="Y460" s="60">
        <v>98</v>
      </c>
      <c r="Z460" s="259" t="s">
        <v>3227</v>
      </c>
      <c r="AA460" s="259"/>
      <c r="AB460" s="259"/>
      <c r="AC460" s="259"/>
      <c r="AD460" s="259"/>
      <c r="AE460" s="259"/>
    </row>
    <row r="461" spans="1:31">
      <c r="A461" s="259" t="s">
        <v>605</v>
      </c>
      <c r="B461" s="259" t="s">
        <v>32</v>
      </c>
      <c r="C461" s="264" t="s">
        <v>40</v>
      </c>
      <c r="D461" s="264" t="s">
        <v>4336</v>
      </c>
      <c r="E461" s="259" t="s">
        <v>4038</v>
      </c>
      <c r="G461" s="259">
        <v>0</v>
      </c>
      <c r="H461" s="264" t="s">
        <v>4337</v>
      </c>
      <c r="I461" s="264" t="s">
        <v>4338</v>
      </c>
      <c r="J461" s="295">
        <v>2348</v>
      </c>
      <c r="K461" s="295">
        <v>2348</v>
      </c>
      <c r="L461" s="295">
        <v>1174</v>
      </c>
      <c r="O461" s="266">
        <v>0</v>
      </c>
      <c r="P461" s="266">
        <v>718878020142</v>
      </c>
      <c r="Q461" s="266">
        <v>0</v>
      </c>
      <c r="R461" s="265">
        <v>0</v>
      </c>
      <c r="S461" s="265">
        <v>0</v>
      </c>
      <c r="T461" s="265">
        <v>0</v>
      </c>
      <c r="U461" s="265">
        <v>0</v>
      </c>
      <c r="V461" s="259" t="s">
        <v>4159</v>
      </c>
      <c r="W461" s="259" t="s">
        <v>3061</v>
      </c>
      <c r="X461" s="264" t="s">
        <v>4339</v>
      </c>
      <c r="Y461" s="60">
        <v>99</v>
      </c>
      <c r="Z461" s="259" t="s">
        <v>3030</v>
      </c>
      <c r="AA461" s="259"/>
      <c r="AB461" s="259"/>
      <c r="AC461" s="259"/>
      <c r="AD461" s="259"/>
      <c r="AE461" s="259"/>
    </row>
    <row r="462" spans="1:31">
      <c r="A462" s="259" t="s">
        <v>606</v>
      </c>
      <c r="B462" s="259" t="s">
        <v>32</v>
      </c>
      <c r="C462" s="264" t="s">
        <v>40</v>
      </c>
      <c r="D462" s="264" t="s">
        <v>4340</v>
      </c>
      <c r="E462" s="259" t="s">
        <v>4038</v>
      </c>
      <c r="G462" s="259">
        <v>0</v>
      </c>
      <c r="H462" s="264" t="s">
        <v>4341</v>
      </c>
      <c r="I462" s="264" t="s">
        <v>4342</v>
      </c>
      <c r="J462" s="295">
        <v>2348</v>
      </c>
      <c r="K462" s="295">
        <v>2348</v>
      </c>
      <c r="L462" s="295">
        <v>1174</v>
      </c>
      <c r="O462" s="266">
        <v>0</v>
      </c>
      <c r="P462" s="266">
        <v>718878020159</v>
      </c>
      <c r="Q462" s="266">
        <v>0</v>
      </c>
      <c r="R462" s="265">
        <v>0</v>
      </c>
      <c r="S462" s="265">
        <v>0</v>
      </c>
      <c r="T462" s="265">
        <v>0</v>
      </c>
      <c r="U462" s="265">
        <v>0</v>
      </c>
      <c r="V462" s="259" t="s">
        <v>4159</v>
      </c>
      <c r="W462" s="259" t="s">
        <v>3061</v>
      </c>
      <c r="X462" s="264" t="s">
        <v>4343</v>
      </c>
      <c r="Y462" s="60">
        <v>100</v>
      </c>
      <c r="Z462" s="259" t="s">
        <v>3030</v>
      </c>
      <c r="AA462" s="259"/>
      <c r="AB462" s="259"/>
      <c r="AC462" s="259"/>
      <c r="AD462" s="259"/>
      <c r="AE462" s="259"/>
    </row>
    <row r="463" spans="1:31">
      <c r="A463" s="259" t="s">
        <v>607</v>
      </c>
      <c r="B463" s="259" t="s">
        <v>32</v>
      </c>
      <c r="C463" s="264" t="s">
        <v>40</v>
      </c>
      <c r="D463" s="264" t="s">
        <v>4344</v>
      </c>
      <c r="E463" s="259" t="s">
        <v>4038</v>
      </c>
      <c r="G463" s="259">
        <v>0</v>
      </c>
      <c r="H463" s="264" t="s">
        <v>4345</v>
      </c>
      <c r="I463" s="264" t="s">
        <v>4346</v>
      </c>
      <c r="J463" s="295">
        <v>3106</v>
      </c>
      <c r="K463" s="295">
        <v>3106</v>
      </c>
      <c r="L463" s="295">
        <v>1553</v>
      </c>
      <c r="O463" s="266">
        <v>0</v>
      </c>
      <c r="P463" s="266">
        <v>718878022672</v>
      </c>
      <c r="Q463" s="266">
        <v>0</v>
      </c>
      <c r="R463" s="265">
        <v>0</v>
      </c>
      <c r="S463" s="265">
        <v>0</v>
      </c>
      <c r="T463" s="265">
        <v>0</v>
      </c>
      <c r="U463" s="265">
        <v>0</v>
      </c>
      <c r="V463" s="259" t="s">
        <v>4159</v>
      </c>
      <c r="W463" s="259" t="s">
        <v>3061</v>
      </c>
      <c r="X463" s="264" t="s">
        <v>4347</v>
      </c>
      <c r="Y463" s="60">
        <v>101</v>
      </c>
      <c r="Z463" s="259" t="s">
        <v>3030</v>
      </c>
      <c r="AA463" s="259"/>
      <c r="AB463" s="259"/>
      <c r="AC463" s="259"/>
      <c r="AD463" s="259"/>
      <c r="AE463" s="259"/>
    </row>
    <row r="464" spans="1:31">
      <c r="A464" s="259" t="s">
        <v>608</v>
      </c>
      <c r="B464" s="259" t="s">
        <v>32</v>
      </c>
      <c r="C464" s="264" t="s">
        <v>40</v>
      </c>
      <c r="D464" s="264" t="s">
        <v>2821</v>
      </c>
      <c r="E464" s="259" t="s">
        <v>4038</v>
      </c>
      <c r="G464" s="259">
        <v>0</v>
      </c>
      <c r="H464" s="264" t="s">
        <v>4348</v>
      </c>
      <c r="I464" s="264" t="s">
        <v>4349</v>
      </c>
      <c r="J464" s="295">
        <v>3258</v>
      </c>
      <c r="K464" s="295">
        <v>3258</v>
      </c>
      <c r="L464" s="295">
        <v>1629</v>
      </c>
      <c r="O464" s="266">
        <v>0</v>
      </c>
      <c r="P464" s="266">
        <v>718878026571</v>
      </c>
      <c r="Q464" s="266">
        <v>0</v>
      </c>
      <c r="R464" s="265">
        <v>0</v>
      </c>
      <c r="S464" s="265">
        <v>0</v>
      </c>
      <c r="T464" s="265">
        <v>0</v>
      </c>
      <c r="U464" s="265">
        <v>0</v>
      </c>
      <c r="V464" s="259" t="s">
        <v>3247</v>
      </c>
      <c r="W464" s="259" t="s">
        <v>3061</v>
      </c>
      <c r="X464" s="264" t="s">
        <v>4350</v>
      </c>
      <c r="Y464" s="60">
        <v>102</v>
      </c>
      <c r="Z464" s="259" t="s">
        <v>3030</v>
      </c>
      <c r="AA464" s="259"/>
      <c r="AB464" s="259"/>
      <c r="AC464" s="259"/>
      <c r="AD464" s="259"/>
      <c r="AE464" s="259"/>
    </row>
    <row r="465" spans="1:31">
      <c r="A465" s="259" t="s">
        <v>609</v>
      </c>
      <c r="B465" s="259" t="s">
        <v>32</v>
      </c>
      <c r="C465" s="264" t="s">
        <v>40</v>
      </c>
      <c r="D465" s="264" t="s">
        <v>2822</v>
      </c>
      <c r="E465" s="259" t="s">
        <v>4038</v>
      </c>
      <c r="G465" s="259">
        <v>0</v>
      </c>
      <c r="H465" s="264" t="s">
        <v>4351</v>
      </c>
      <c r="I465" s="264" t="s">
        <v>4352</v>
      </c>
      <c r="J465" s="295">
        <v>3258</v>
      </c>
      <c r="K465" s="295">
        <v>3258</v>
      </c>
      <c r="L465" s="295">
        <v>1629</v>
      </c>
      <c r="O465" s="266">
        <v>0</v>
      </c>
      <c r="P465" s="266">
        <v>718878026588</v>
      </c>
      <c r="Q465" s="266">
        <v>0</v>
      </c>
      <c r="R465" s="265">
        <v>0</v>
      </c>
      <c r="S465" s="265">
        <v>0</v>
      </c>
      <c r="T465" s="265">
        <v>0</v>
      </c>
      <c r="U465" s="265">
        <v>0</v>
      </c>
      <c r="V465" s="259" t="s">
        <v>3247</v>
      </c>
      <c r="W465" s="259" t="s">
        <v>3061</v>
      </c>
      <c r="X465" s="264" t="s">
        <v>4353</v>
      </c>
      <c r="Y465" s="60">
        <v>103</v>
      </c>
      <c r="Z465" s="259" t="s">
        <v>3030</v>
      </c>
      <c r="AA465" s="259"/>
      <c r="AB465" s="259"/>
      <c r="AC465" s="259"/>
      <c r="AD465" s="259"/>
      <c r="AE465" s="259"/>
    </row>
    <row r="466" spans="1:31">
      <c r="A466" s="259" t="s">
        <v>610</v>
      </c>
      <c r="B466" s="259" t="s">
        <v>32</v>
      </c>
      <c r="C466" s="264" t="s">
        <v>40</v>
      </c>
      <c r="D466" s="264" t="s">
        <v>4354</v>
      </c>
      <c r="E466" s="259" t="s">
        <v>4038</v>
      </c>
      <c r="G466" s="259">
        <v>0</v>
      </c>
      <c r="H466" s="264" t="s">
        <v>4355</v>
      </c>
      <c r="I466" s="264" t="s">
        <v>4356</v>
      </c>
      <c r="J466" s="295">
        <v>5060</v>
      </c>
      <c r="K466" s="295">
        <v>5060</v>
      </c>
      <c r="L466" s="295">
        <v>2530</v>
      </c>
      <c r="O466" s="266">
        <v>0</v>
      </c>
      <c r="P466" s="266">
        <v>718878026595</v>
      </c>
      <c r="Q466" s="266">
        <v>0</v>
      </c>
      <c r="R466" s="265">
        <v>2</v>
      </c>
      <c r="S466" s="265">
        <v>16.25</v>
      </c>
      <c r="T466" s="265">
        <v>11.75</v>
      </c>
      <c r="U466" s="265">
        <v>3.25</v>
      </c>
      <c r="V466" s="259" t="s">
        <v>3247</v>
      </c>
      <c r="W466" s="259" t="s">
        <v>3061</v>
      </c>
      <c r="X466" s="264" t="s">
        <v>4357</v>
      </c>
      <c r="Y466" s="60">
        <v>104</v>
      </c>
      <c r="Z466" s="259" t="s">
        <v>3030</v>
      </c>
      <c r="AA466" s="259"/>
      <c r="AB466" s="259"/>
      <c r="AC466" s="259"/>
      <c r="AD466" s="259"/>
      <c r="AE466" s="259"/>
    </row>
    <row r="467" spans="1:31">
      <c r="A467" s="259" t="s">
        <v>611</v>
      </c>
      <c r="B467" s="259" t="s">
        <v>32</v>
      </c>
      <c r="C467" s="264" t="s">
        <v>40</v>
      </c>
      <c r="D467" s="264" t="s">
        <v>4358</v>
      </c>
      <c r="E467" s="259" t="s">
        <v>4038</v>
      </c>
      <c r="G467" s="259">
        <v>0</v>
      </c>
      <c r="H467" s="264" t="s">
        <v>4359</v>
      </c>
      <c r="I467" s="264" t="s">
        <v>4360</v>
      </c>
      <c r="J467" s="295">
        <v>5060</v>
      </c>
      <c r="K467" s="295">
        <v>5060</v>
      </c>
      <c r="L467" s="295">
        <v>2530</v>
      </c>
      <c r="O467" s="266">
        <v>0</v>
      </c>
      <c r="P467" s="266">
        <v>718878026601</v>
      </c>
      <c r="Q467" s="266">
        <v>0</v>
      </c>
      <c r="R467" s="265">
        <v>2</v>
      </c>
      <c r="S467" s="265">
        <v>16.25</v>
      </c>
      <c r="T467" s="265">
        <v>11.75</v>
      </c>
      <c r="U467" s="265">
        <v>3.25</v>
      </c>
      <c r="V467" s="259" t="s">
        <v>3247</v>
      </c>
      <c r="W467" s="259" t="s">
        <v>3061</v>
      </c>
      <c r="X467" s="264" t="s">
        <v>4361</v>
      </c>
      <c r="Y467" s="60">
        <v>105</v>
      </c>
      <c r="Z467" s="259" t="s">
        <v>3030</v>
      </c>
      <c r="AA467" s="259"/>
      <c r="AB467" s="259"/>
      <c r="AC467" s="259"/>
      <c r="AD467" s="259"/>
      <c r="AE467" s="259"/>
    </row>
    <row r="468" spans="1:31">
      <c r="A468" s="259" t="s">
        <v>612</v>
      </c>
      <c r="B468" s="259" t="s">
        <v>32</v>
      </c>
      <c r="C468" s="264" t="s">
        <v>40</v>
      </c>
      <c r="D468" s="264" t="s">
        <v>2824</v>
      </c>
      <c r="E468" s="259" t="s">
        <v>4038</v>
      </c>
      <c r="G468" s="259">
        <v>0</v>
      </c>
      <c r="H468" s="264" t="s">
        <v>4362</v>
      </c>
      <c r="I468" s="264" t="s">
        <v>4363</v>
      </c>
      <c r="J468" s="295">
        <v>59408</v>
      </c>
      <c r="K468" s="295">
        <v>59408</v>
      </c>
      <c r="L468" s="295">
        <v>29704</v>
      </c>
      <c r="O468" s="266">
        <v>0</v>
      </c>
      <c r="P468" s="266">
        <v>718878022726</v>
      </c>
      <c r="Q468" s="266">
        <v>0</v>
      </c>
      <c r="R468" s="265">
        <v>150</v>
      </c>
      <c r="S468" s="265">
        <v>22.75</v>
      </c>
      <c r="T468" s="265">
        <v>20.125</v>
      </c>
      <c r="U468" s="265">
        <v>18.9375</v>
      </c>
      <c r="V468" s="259" t="s">
        <v>4159</v>
      </c>
      <c r="W468" s="259" t="s">
        <v>3061</v>
      </c>
      <c r="X468" s="264" t="s">
        <v>4364</v>
      </c>
      <c r="Y468" s="60">
        <v>106</v>
      </c>
      <c r="Z468" s="259" t="s">
        <v>3030</v>
      </c>
      <c r="AA468" s="259"/>
      <c r="AB468" s="259"/>
      <c r="AC468" s="259"/>
      <c r="AD468" s="259"/>
      <c r="AE468" s="259"/>
    </row>
    <row r="469" spans="1:31">
      <c r="A469" s="259" t="s">
        <v>613</v>
      </c>
      <c r="B469" s="259" t="s">
        <v>32</v>
      </c>
      <c r="C469" s="264" t="s">
        <v>40</v>
      </c>
      <c r="D469" s="264" t="s">
        <v>4365</v>
      </c>
      <c r="E469" s="259" t="s">
        <v>4038</v>
      </c>
      <c r="G469" s="259">
        <v>0</v>
      </c>
      <c r="H469" s="264" t="s">
        <v>4366</v>
      </c>
      <c r="I469" s="264" t="s">
        <v>4367</v>
      </c>
      <c r="J469" s="295">
        <v>5956</v>
      </c>
      <c r="K469" s="295">
        <v>5956</v>
      </c>
      <c r="L469" s="295">
        <v>2978</v>
      </c>
      <c r="O469" s="266">
        <v>0</v>
      </c>
      <c r="P469" s="266">
        <v>718878245996</v>
      </c>
      <c r="Q469" s="266">
        <v>0</v>
      </c>
      <c r="R469" s="265">
        <v>0</v>
      </c>
      <c r="S469" s="265">
        <v>0</v>
      </c>
      <c r="T469" s="265">
        <v>0</v>
      </c>
      <c r="U469" s="265">
        <v>0</v>
      </c>
      <c r="V469" s="259" t="s">
        <v>4159</v>
      </c>
      <c r="W469" s="259" t="s">
        <v>3061</v>
      </c>
      <c r="X469" s="264" t="s">
        <v>4368</v>
      </c>
      <c r="Y469" s="60">
        <v>107</v>
      </c>
      <c r="Z469" s="259" t="s">
        <v>3030</v>
      </c>
      <c r="AA469" s="259"/>
      <c r="AB469" s="259"/>
      <c r="AC469" s="259"/>
      <c r="AD469" s="259"/>
      <c r="AE469" s="259"/>
    </row>
    <row r="470" spans="1:31">
      <c r="A470" s="259" t="s">
        <v>614</v>
      </c>
      <c r="B470" s="259" t="s">
        <v>32</v>
      </c>
      <c r="C470" s="264" t="s">
        <v>40</v>
      </c>
      <c r="D470" s="264" t="s">
        <v>4369</v>
      </c>
      <c r="E470" s="259" t="s">
        <v>4038</v>
      </c>
      <c r="G470" s="259">
        <v>0</v>
      </c>
      <c r="H470" s="264" t="s">
        <v>4370</v>
      </c>
      <c r="I470" s="264" t="s">
        <v>4371</v>
      </c>
      <c r="J470" s="295">
        <v>7500</v>
      </c>
      <c r="K470" s="295">
        <v>7500</v>
      </c>
      <c r="L470" s="295">
        <v>3750</v>
      </c>
      <c r="O470" s="266">
        <v>0</v>
      </c>
      <c r="P470" s="266">
        <v>718878246009</v>
      </c>
      <c r="Q470" s="266">
        <v>0</v>
      </c>
      <c r="R470" s="265">
        <v>0</v>
      </c>
      <c r="S470" s="265">
        <v>0</v>
      </c>
      <c r="T470" s="265">
        <v>0</v>
      </c>
      <c r="U470" s="265">
        <v>0</v>
      </c>
      <c r="V470" s="259" t="s">
        <v>4159</v>
      </c>
      <c r="W470" s="259" t="s">
        <v>3061</v>
      </c>
      <c r="X470" s="264" t="s">
        <v>4372</v>
      </c>
      <c r="Y470" s="60">
        <v>108</v>
      </c>
      <c r="Z470" s="259" t="s">
        <v>3030</v>
      </c>
      <c r="AA470" s="259"/>
      <c r="AB470" s="259"/>
      <c r="AC470" s="259"/>
      <c r="AD470" s="259"/>
      <c r="AE470" s="259"/>
    </row>
    <row r="471" spans="1:31">
      <c r="A471" s="259" t="s">
        <v>615</v>
      </c>
      <c r="B471" s="259" t="s">
        <v>32</v>
      </c>
      <c r="C471" s="264" t="s">
        <v>40</v>
      </c>
      <c r="D471" s="264" t="s">
        <v>2825</v>
      </c>
      <c r="E471" s="259" t="s">
        <v>4038</v>
      </c>
      <c r="G471" s="259">
        <v>0</v>
      </c>
      <c r="H471" s="264" t="s">
        <v>4373</v>
      </c>
      <c r="I471" s="264" t="s">
        <v>4374</v>
      </c>
      <c r="J471" s="295">
        <v>15000</v>
      </c>
      <c r="K471" s="295">
        <v>15000</v>
      </c>
      <c r="L471" s="295">
        <v>7500</v>
      </c>
      <c r="O471" s="266">
        <v>0</v>
      </c>
      <c r="P471" s="266">
        <v>718878246115</v>
      </c>
      <c r="Q471" s="266">
        <v>0</v>
      </c>
      <c r="R471" s="265">
        <v>28.66</v>
      </c>
      <c r="S471" s="265">
        <v>22</v>
      </c>
      <c r="T471" s="265">
        <v>22</v>
      </c>
      <c r="U471" s="265">
        <v>7</v>
      </c>
      <c r="V471" s="259" t="s">
        <v>3834</v>
      </c>
      <c r="W471" s="259" t="s">
        <v>3061</v>
      </c>
      <c r="X471" s="264" t="s">
        <v>4375</v>
      </c>
      <c r="Y471" s="60">
        <v>109</v>
      </c>
      <c r="Z471" s="259" t="s">
        <v>3030</v>
      </c>
      <c r="AA471" s="259"/>
      <c r="AB471" s="259"/>
      <c r="AC471" s="259"/>
      <c r="AD471" s="259"/>
      <c r="AE471" s="259"/>
    </row>
    <row r="472" spans="1:31">
      <c r="A472" s="259" t="s">
        <v>616</v>
      </c>
      <c r="B472" s="259" t="s">
        <v>32</v>
      </c>
      <c r="C472" s="264" t="s">
        <v>40</v>
      </c>
      <c r="D472" s="264" t="s">
        <v>4376</v>
      </c>
      <c r="E472" s="259" t="s">
        <v>4038</v>
      </c>
      <c r="G472" s="259">
        <v>0</v>
      </c>
      <c r="H472" s="264" t="s">
        <v>4377</v>
      </c>
      <c r="I472" s="264" t="s">
        <v>4377</v>
      </c>
      <c r="J472" s="295">
        <v>7500</v>
      </c>
      <c r="K472" s="295">
        <v>7500</v>
      </c>
      <c r="L472" s="295">
        <v>3750</v>
      </c>
      <c r="O472" s="266">
        <v>0</v>
      </c>
      <c r="P472" s="266">
        <v>718878000250</v>
      </c>
      <c r="Q472" s="266">
        <v>0</v>
      </c>
      <c r="R472" s="265">
        <v>0</v>
      </c>
      <c r="S472" s="265">
        <v>0</v>
      </c>
      <c r="T472" s="265">
        <v>0</v>
      </c>
      <c r="U472" s="265">
        <v>0</v>
      </c>
      <c r="V472" s="259" t="s">
        <v>4159</v>
      </c>
      <c r="W472" s="259" t="s">
        <v>3061</v>
      </c>
      <c r="X472" s="264" t="s">
        <v>4378</v>
      </c>
      <c r="Y472" s="60">
        <v>110</v>
      </c>
      <c r="Z472" s="259" t="s">
        <v>3030</v>
      </c>
      <c r="AA472" s="259"/>
      <c r="AB472" s="259"/>
      <c r="AC472" s="259"/>
      <c r="AD472" s="259"/>
      <c r="AE472" s="259"/>
    </row>
    <row r="473" spans="1:31">
      <c r="A473" s="259" t="s">
        <v>617</v>
      </c>
      <c r="B473" s="259" t="s">
        <v>32</v>
      </c>
      <c r="C473" s="264" t="s">
        <v>40</v>
      </c>
      <c r="D473" s="264" t="s">
        <v>4379</v>
      </c>
      <c r="E473" s="259" t="s">
        <v>4038</v>
      </c>
      <c r="G473" s="259">
        <v>0</v>
      </c>
      <c r="H473" s="264" t="s">
        <v>4380</v>
      </c>
      <c r="I473" s="264" t="s">
        <v>4380</v>
      </c>
      <c r="J473" s="295">
        <v>15000</v>
      </c>
      <c r="K473" s="295">
        <v>15000</v>
      </c>
      <c r="L473" s="295">
        <v>7500</v>
      </c>
      <c r="O473" s="266">
        <v>0</v>
      </c>
      <c r="P473" s="266">
        <v>718878003961</v>
      </c>
      <c r="Q473" s="266">
        <v>0</v>
      </c>
      <c r="R473" s="265">
        <v>2</v>
      </c>
      <c r="S473" s="265">
        <v>16</v>
      </c>
      <c r="T473" s="265">
        <v>12</v>
      </c>
      <c r="U473" s="265">
        <v>3.5</v>
      </c>
      <c r="V473" s="259" t="s">
        <v>4159</v>
      </c>
      <c r="W473" s="259" t="s">
        <v>3061</v>
      </c>
      <c r="X473" s="264" t="s">
        <v>4381</v>
      </c>
      <c r="Y473" s="60">
        <v>111</v>
      </c>
      <c r="Z473" s="259" t="s">
        <v>3264</v>
      </c>
      <c r="AA473" s="259"/>
      <c r="AB473" s="259"/>
      <c r="AC473" s="259"/>
      <c r="AD473" s="259"/>
      <c r="AE473" s="259"/>
    </row>
    <row r="474" spans="1:31">
      <c r="A474" s="259" t="s">
        <v>618</v>
      </c>
      <c r="B474" s="259" t="s">
        <v>32</v>
      </c>
      <c r="C474" s="264" t="s">
        <v>34</v>
      </c>
      <c r="D474" s="264" t="s">
        <v>4382</v>
      </c>
      <c r="E474" s="259" t="s">
        <v>4139</v>
      </c>
      <c r="G474" s="259">
        <v>0</v>
      </c>
      <c r="H474" s="264" t="s">
        <v>4383</v>
      </c>
      <c r="I474" s="264" t="s">
        <v>4384</v>
      </c>
      <c r="J474" s="295">
        <v>40</v>
      </c>
      <c r="K474" s="295">
        <v>40</v>
      </c>
      <c r="L474" s="295">
        <v>20</v>
      </c>
      <c r="O474" s="266">
        <v>0</v>
      </c>
      <c r="P474" s="266">
        <v>718878001660</v>
      </c>
      <c r="Q474" s="266">
        <v>0</v>
      </c>
      <c r="R474" s="265">
        <v>1</v>
      </c>
      <c r="S474" s="265">
        <v>13</v>
      </c>
      <c r="T474" s="265">
        <v>4</v>
      </c>
      <c r="U474" s="265">
        <v>1</v>
      </c>
      <c r="V474" s="259" t="s">
        <v>3028</v>
      </c>
      <c r="W474" s="259" t="s">
        <v>4130</v>
      </c>
      <c r="X474" s="264" t="s">
        <v>4385</v>
      </c>
      <c r="Y474" s="60">
        <v>112</v>
      </c>
      <c r="Z474" s="259" t="s">
        <v>3227</v>
      </c>
      <c r="AA474" s="259"/>
      <c r="AB474" s="259"/>
      <c r="AC474" s="259"/>
      <c r="AD474" s="259"/>
      <c r="AE474" s="259"/>
    </row>
    <row r="475" spans="1:31">
      <c r="A475" s="259" t="s">
        <v>619</v>
      </c>
      <c r="B475" s="259" t="s">
        <v>32</v>
      </c>
      <c r="C475" s="264" t="s">
        <v>34</v>
      </c>
      <c r="D475" s="264" t="s">
        <v>4386</v>
      </c>
      <c r="E475" s="259" t="s">
        <v>4139</v>
      </c>
      <c r="G475" s="259">
        <v>0</v>
      </c>
      <c r="H475" s="264" t="s">
        <v>4387</v>
      </c>
      <c r="I475" s="264" t="s">
        <v>4388</v>
      </c>
      <c r="J475" s="295">
        <v>20.6</v>
      </c>
      <c r="K475" s="295">
        <v>20.6</v>
      </c>
      <c r="L475" s="295">
        <v>10.3</v>
      </c>
      <c r="O475" s="266">
        <v>0</v>
      </c>
      <c r="P475" s="266">
        <v>718878001677</v>
      </c>
      <c r="Q475" s="266">
        <v>0</v>
      </c>
      <c r="R475" s="265">
        <v>1</v>
      </c>
      <c r="S475" s="265">
        <v>13</v>
      </c>
      <c r="T475" s="265">
        <v>4</v>
      </c>
      <c r="U475" s="265">
        <v>1</v>
      </c>
      <c r="V475" s="259" t="s">
        <v>3028</v>
      </c>
      <c r="W475" s="259" t="s">
        <v>4130</v>
      </c>
      <c r="X475" s="264" t="s">
        <v>4389</v>
      </c>
      <c r="Y475" s="60">
        <v>113</v>
      </c>
      <c r="Z475" s="259" t="s">
        <v>3227</v>
      </c>
      <c r="AA475" s="259"/>
      <c r="AB475" s="259"/>
      <c r="AC475" s="259"/>
      <c r="AD475" s="259"/>
      <c r="AE475" s="259"/>
    </row>
    <row r="476" spans="1:31">
      <c r="A476" s="259" t="s">
        <v>620</v>
      </c>
      <c r="B476" s="259" t="s">
        <v>32</v>
      </c>
      <c r="C476" s="264" t="s">
        <v>40</v>
      </c>
      <c r="D476" s="264" t="s">
        <v>4390</v>
      </c>
      <c r="E476" s="259" t="s">
        <v>4038</v>
      </c>
      <c r="G476" s="259">
        <v>0</v>
      </c>
      <c r="H476" s="264" t="s">
        <v>4391</v>
      </c>
      <c r="I476" s="264" t="s">
        <v>4391</v>
      </c>
      <c r="J476" s="295">
        <v>86</v>
      </c>
      <c r="K476" s="295">
        <v>86</v>
      </c>
      <c r="L476" s="295">
        <v>43</v>
      </c>
      <c r="O476" s="266">
        <v>0</v>
      </c>
      <c r="P476" s="266">
        <v>718878001462</v>
      </c>
      <c r="Q476" s="266">
        <v>0</v>
      </c>
      <c r="R476" s="265">
        <v>1</v>
      </c>
      <c r="S476" s="265">
        <v>8.5</v>
      </c>
      <c r="T476" s="265">
        <v>6</v>
      </c>
      <c r="U476" s="265">
        <v>2.5</v>
      </c>
      <c r="V476" s="259" t="s">
        <v>4159</v>
      </c>
      <c r="W476" s="259" t="s">
        <v>3061</v>
      </c>
      <c r="X476" s="264">
        <v>0</v>
      </c>
      <c r="Y476" s="60">
        <v>114</v>
      </c>
      <c r="Z476" s="259" t="s">
        <v>3030</v>
      </c>
      <c r="AA476" s="259"/>
      <c r="AB476" s="259"/>
      <c r="AC476" s="259"/>
      <c r="AD476" s="259"/>
      <c r="AE476" s="259"/>
    </row>
    <row r="477" spans="1:31">
      <c r="A477" s="60" t="s">
        <v>3012</v>
      </c>
      <c r="B477" s="60" t="s">
        <v>32</v>
      </c>
      <c r="C477" s="45" t="s">
        <v>4036</v>
      </c>
      <c r="D477" s="45" t="s">
        <v>2827</v>
      </c>
      <c r="E477" s="60" t="s">
        <v>4038</v>
      </c>
      <c r="F477" s="60"/>
      <c r="G477" s="293" t="s">
        <v>4167</v>
      </c>
      <c r="H477" s="45" t="s">
        <v>8403</v>
      </c>
      <c r="I477" s="45" t="s">
        <v>8404</v>
      </c>
      <c r="J477" s="296">
        <v>5636.5</v>
      </c>
      <c r="K477" s="296">
        <v>2998</v>
      </c>
      <c r="L477" s="296">
        <v>1499</v>
      </c>
      <c r="M477" s="296"/>
      <c r="N477" s="296"/>
      <c r="O477" s="47">
        <v>0</v>
      </c>
      <c r="P477" s="47">
        <v>718878020074</v>
      </c>
      <c r="Q477" s="47">
        <v>0</v>
      </c>
      <c r="R477" s="63">
        <v>0</v>
      </c>
      <c r="S477" s="63">
        <v>19</v>
      </c>
      <c r="T477" s="63">
        <v>14</v>
      </c>
      <c r="U477" s="63">
        <v>1.6875</v>
      </c>
      <c r="V477" s="60" t="s">
        <v>4159</v>
      </c>
      <c r="W477" s="60" t="s">
        <v>3061</v>
      </c>
      <c r="X477" s="45" t="s">
        <v>8405</v>
      </c>
      <c r="Y477" s="60">
        <v>115</v>
      </c>
      <c r="Z477" s="60" t="s">
        <v>3227</v>
      </c>
      <c r="AA477" s="60"/>
      <c r="AB477" s="286"/>
      <c r="AC477" s="287"/>
      <c r="AD477" s="259"/>
      <c r="AE477" s="259"/>
    </row>
    <row r="478" spans="1:31">
      <c r="A478" s="60" t="s">
        <v>3013</v>
      </c>
      <c r="B478" s="60" t="s">
        <v>32</v>
      </c>
      <c r="C478" s="45" t="s">
        <v>4036</v>
      </c>
      <c r="D478" s="45" t="s">
        <v>2829</v>
      </c>
      <c r="E478" s="60" t="s">
        <v>4038</v>
      </c>
      <c r="F478" s="60"/>
      <c r="G478" s="293" t="s">
        <v>4167</v>
      </c>
      <c r="H478" s="45" t="s">
        <v>8406</v>
      </c>
      <c r="I478" s="45" t="s">
        <v>8407</v>
      </c>
      <c r="J478" s="296">
        <v>6356.7</v>
      </c>
      <c r="K478" s="296">
        <v>3398</v>
      </c>
      <c r="L478" s="296">
        <v>1699</v>
      </c>
      <c r="M478" s="296"/>
      <c r="N478" s="296"/>
      <c r="O478" s="47">
        <v>0</v>
      </c>
      <c r="P478" s="47">
        <v>718878020104</v>
      </c>
      <c r="Q478" s="47">
        <v>0</v>
      </c>
      <c r="R478" s="63">
        <v>0</v>
      </c>
      <c r="S478" s="63">
        <v>19</v>
      </c>
      <c r="T478" s="63">
        <v>14</v>
      </c>
      <c r="U478" s="63">
        <v>1.6875</v>
      </c>
      <c r="V478" s="60" t="s">
        <v>4159</v>
      </c>
      <c r="W478" s="60" t="s">
        <v>3061</v>
      </c>
      <c r="X478" s="45" t="s">
        <v>8408</v>
      </c>
      <c r="Y478" s="60">
        <v>116</v>
      </c>
      <c r="Z478" s="60" t="s">
        <v>3227</v>
      </c>
      <c r="AA478" s="60"/>
      <c r="AB478" s="286"/>
      <c r="AC478" s="287"/>
      <c r="AD478" s="259"/>
      <c r="AE478" s="259"/>
    </row>
    <row r="479" spans="1:31">
      <c r="A479" s="259" t="s">
        <v>621</v>
      </c>
      <c r="B479" s="259" t="s">
        <v>32</v>
      </c>
      <c r="C479" s="264" t="s">
        <v>4036</v>
      </c>
      <c r="D479" s="264" t="s">
        <v>2830</v>
      </c>
      <c r="E479" s="259" t="s">
        <v>4038</v>
      </c>
      <c r="G479" s="259">
        <v>0</v>
      </c>
      <c r="H479" s="264" t="s">
        <v>4392</v>
      </c>
      <c r="I479" s="264" t="s">
        <v>4040</v>
      </c>
      <c r="J479" s="295">
        <v>8003.1</v>
      </c>
      <c r="K479" s="295">
        <v>8003.1</v>
      </c>
      <c r="L479" s="295">
        <v>4001.55</v>
      </c>
      <c r="O479" s="266">
        <v>0</v>
      </c>
      <c r="P479" s="266">
        <v>718878026434</v>
      </c>
      <c r="Q479" s="266">
        <v>0</v>
      </c>
      <c r="R479" s="265">
        <v>22.64</v>
      </c>
      <c r="S479" s="265">
        <v>17.329999999999998</v>
      </c>
      <c r="T479" s="265">
        <v>15</v>
      </c>
      <c r="U479" s="265">
        <v>3.5</v>
      </c>
      <c r="V479" s="259" t="s">
        <v>3028</v>
      </c>
      <c r="W479" s="259" t="s">
        <v>4130</v>
      </c>
      <c r="X479" s="264" t="s">
        <v>4041</v>
      </c>
      <c r="Y479" s="60">
        <v>117</v>
      </c>
      <c r="Z479" s="259" t="s">
        <v>3030</v>
      </c>
      <c r="AA479" s="259"/>
      <c r="AB479" s="259"/>
      <c r="AC479" s="259"/>
      <c r="AD479" s="259"/>
      <c r="AE479" s="259"/>
    </row>
    <row r="480" spans="1:31">
      <c r="A480" s="259" t="s">
        <v>622</v>
      </c>
      <c r="B480" s="259" t="s">
        <v>32</v>
      </c>
      <c r="C480" s="264" t="s">
        <v>4036</v>
      </c>
      <c r="D480" s="264" t="s">
        <v>2859</v>
      </c>
      <c r="E480" s="259" t="s">
        <v>4038</v>
      </c>
      <c r="G480" s="259">
        <v>0</v>
      </c>
      <c r="H480" s="264" t="s">
        <v>4393</v>
      </c>
      <c r="I480" s="264" t="s">
        <v>4045</v>
      </c>
      <c r="J480" s="295">
        <v>10289.700000000001</v>
      </c>
      <c r="K480" s="295">
        <v>10289.700000000001</v>
      </c>
      <c r="L480" s="295">
        <v>5144.8500000000004</v>
      </c>
      <c r="O480" s="266">
        <v>0</v>
      </c>
      <c r="P480" s="266">
        <v>718878026458</v>
      </c>
      <c r="Q480" s="266">
        <v>0</v>
      </c>
      <c r="R480" s="265">
        <v>26.24</v>
      </c>
      <c r="S480" s="265">
        <v>17.329999999999998</v>
      </c>
      <c r="T480" s="265">
        <v>15</v>
      </c>
      <c r="U480" s="265">
        <v>3.5</v>
      </c>
      <c r="V480" s="259" t="s">
        <v>3028</v>
      </c>
      <c r="W480" s="259" t="s">
        <v>4130</v>
      </c>
      <c r="X480" s="264" t="s">
        <v>4046</v>
      </c>
      <c r="Y480" s="60">
        <v>118</v>
      </c>
      <c r="Z480" s="259" t="s">
        <v>3030</v>
      </c>
      <c r="AA480" s="259"/>
      <c r="AB480" s="259"/>
      <c r="AC480" s="259"/>
      <c r="AD480" s="259"/>
      <c r="AE480" s="259"/>
    </row>
    <row r="481" spans="1:31">
      <c r="A481" s="259" t="s">
        <v>623</v>
      </c>
      <c r="B481" s="259" t="s">
        <v>32</v>
      </c>
      <c r="C481" s="264" t="s">
        <v>4036</v>
      </c>
      <c r="D481" s="264" t="s">
        <v>2834</v>
      </c>
      <c r="E481" s="259" t="s">
        <v>4038</v>
      </c>
      <c r="G481" s="292" t="s">
        <v>4167</v>
      </c>
      <c r="H481" s="264" t="s">
        <v>4394</v>
      </c>
      <c r="I481" s="264" t="s">
        <v>4395</v>
      </c>
      <c r="J481" s="295">
        <v>6345.3</v>
      </c>
      <c r="K481" s="295">
        <v>4580</v>
      </c>
      <c r="L481" s="295">
        <v>2290</v>
      </c>
      <c r="O481" s="266">
        <v>0</v>
      </c>
      <c r="P481" s="266">
        <v>718878024768</v>
      </c>
      <c r="Q481" s="266">
        <v>0</v>
      </c>
      <c r="R481" s="265">
        <v>18.2</v>
      </c>
      <c r="S481" s="265">
        <v>17</v>
      </c>
      <c r="T481" s="265">
        <v>14</v>
      </c>
      <c r="U481" s="265">
        <v>5.1875</v>
      </c>
      <c r="V481" s="259" t="s">
        <v>4159</v>
      </c>
      <c r="W481" s="259" t="s">
        <v>3061</v>
      </c>
      <c r="X481" s="264" t="s">
        <v>4396</v>
      </c>
      <c r="Y481" s="60">
        <v>119</v>
      </c>
      <c r="Z481" s="259" t="s">
        <v>3227</v>
      </c>
      <c r="AA481" s="259"/>
      <c r="AB481" s="259"/>
      <c r="AC481" s="259"/>
      <c r="AD481" s="259"/>
      <c r="AE481" s="259"/>
    </row>
    <row r="482" spans="1:31">
      <c r="A482" s="259" t="s">
        <v>624</v>
      </c>
      <c r="B482" s="259" t="s">
        <v>32</v>
      </c>
      <c r="C482" s="264" t="s">
        <v>4036</v>
      </c>
      <c r="D482" s="264" t="s">
        <v>4397</v>
      </c>
      <c r="E482" s="259" t="s">
        <v>4038</v>
      </c>
      <c r="G482" s="292" t="s">
        <v>4167</v>
      </c>
      <c r="H482" s="264" t="s">
        <v>4398</v>
      </c>
      <c r="I482" s="264" t="s">
        <v>4399</v>
      </c>
      <c r="J482" s="295">
        <v>6345.3</v>
      </c>
      <c r="K482" s="295">
        <v>4780</v>
      </c>
      <c r="L482" s="295">
        <v>2390</v>
      </c>
      <c r="O482" s="266">
        <v>0</v>
      </c>
      <c r="P482" s="266">
        <v>718878247556</v>
      </c>
      <c r="Q482" s="266">
        <v>0</v>
      </c>
      <c r="R482" s="265">
        <v>18.2</v>
      </c>
      <c r="S482" s="265">
        <v>17</v>
      </c>
      <c r="T482" s="265">
        <v>14</v>
      </c>
      <c r="U482" s="265">
        <v>5.1875</v>
      </c>
      <c r="V482" s="259" t="s">
        <v>4159</v>
      </c>
      <c r="W482" s="259" t="s">
        <v>3061</v>
      </c>
      <c r="X482" s="264" t="s">
        <v>4396</v>
      </c>
      <c r="Y482" s="60">
        <v>120</v>
      </c>
      <c r="Z482" s="259" t="s">
        <v>3227</v>
      </c>
      <c r="AA482" s="259"/>
      <c r="AB482" s="259"/>
      <c r="AC482" s="259"/>
      <c r="AD482" s="259"/>
      <c r="AE482" s="259"/>
    </row>
    <row r="483" spans="1:31">
      <c r="A483" s="259" t="s">
        <v>625</v>
      </c>
      <c r="B483" s="259" t="s">
        <v>32</v>
      </c>
      <c r="C483" s="264" t="s">
        <v>48</v>
      </c>
      <c r="D483" s="264" t="s">
        <v>4400</v>
      </c>
      <c r="E483" s="259" t="s">
        <v>4139</v>
      </c>
      <c r="G483" s="259">
        <v>0</v>
      </c>
      <c r="H483" s="264" t="s">
        <v>4401</v>
      </c>
      <c r="I483" s="264" t="s">
        <v>4402</v>
      </c>
      <c r="J483" s="295">
        <v>708.8</v>
      </c>
      <c r="K483" s="295">
        <v>708.8</v>
      </c>
      <c r="L483" s="295">
        <v>354.4</v>
      </c>
      <c r="O483" s="266">
        <v>0</v>
      </c>
      <c r="P483" s="266">
        <v>718878229996</v>
      </c>
      <c r="Q483" s="266">
        <v>0</v>
      </c>
      <c r="R483" s="265">
        <v>1</v>
      </c>
      <c r="S483" s="265">
        <v>4.38</v>
      </c>
      <c r="T483" s="265">
        <v>5.13</v>
      </c>
      <c r="U483" s="265">
        <v>1</v>
      </c>
      <c r="V483" s="259" t="s">
        <v>4159</v>
      </c>
      <c r="W483" s="259" t="s">
        <v>3061</v>
      </c>
      <c r="X483" s="264" t="s">
        <v>4403</v>
      </c>
      <c r="Y483" s="60">
        <v>121</v>
      </c>
      <c r="Z483" s="259" t="s">
        <v>3030</v>
      </c>
      <c r="AA483" s="259"/>
      <c r="AB483" s="259"/>
      <c r="AC483" s="259"/>
      <c r="AD483" s="259"/>
      <c r="AE483" s="259"/>
    </row>
    <row r="484" spans="1:31">
      <c r="A484" s="259" t="s">
        <v>626</v>
      </c>
      <c r="B484" s="259" t="s">
        <v>32</v>
      </c>
      <c r="C484" s="264" t="s">
        <v>48</v>
      </c>
      <c r="D484" s="264" t="s">
        <v>4404</v>
      </c>
      <c r="E484" s="259" t="s">
        <v>4139</v>
      </c>
      <c r="G484" s="259">
        <v>0</v>
      </c>
      <c r="H484" s="264" t="s">
        <v>4405</v>
      </c>
      <c r="I484" s="264" t="s">
        <v>4406</v>
      </c>
      <c r="J484" s="295">
        <v>708.8</v>
      </c>
      <c r="K484" s="295">
        <v>708.8</v>
      </c>
      <c r="L484" s="295">
        <v>354.4</v>
      </c>
      <c r="O484" s="266">
        <v>0</v>
      </c>
      <c r="P484" s="266">
        <v>718878230008</v>
      </c>
      <c r="Q484" s="266">
        <v>0</v>
      </c>
      <c r="R484" s="265">
        <v>1</v>
      </c>
      <c r="S484" s="265">
        <v>4.38</v>
      </c>
      <c r="T484" s="265">
        <v>5.13</v>
      </c>
      <c r="U484" s="265">
        <v>1</v>
      </c>
      <c r="V484" s="259" t="s">
        <v>4159</v>
      </c>
      <c r="W484" s="259" t="s">
        <v>3061</v>
      </c>
      <c r="X484" s="264" t="s">
        <v>4407</v>
      </c>
      <c r="Y484" s="60">
        <v>122</v>
      </c>
      <c r="Z484" s="259" t="s">
        <v>3030</v>
      </c>
      <c r="AA484" s="259"/>
      <c r="AB484" s="259"/>
      <c r="AC484" s="259"/>
      <c r="AD484" s="259"/>
      <c r="AE484" s="259"/>
    </row>
    <row r="485" spans="1:31">
      <c r="A485" s="259" t="s">
        <v>627</v>
      </c>
      <c r="B485" s="259" t="s">
        <v>32</v>
      </c>
      <c r="C485" s="264" t="s">
        <v>48</v>
      </c>
      <c r="D485" s="264" t="s">
        <v>4408</v>
      </c>
      <c r="E485" s="259" t="s">
        <v>4139</v>
      </c>
      <c r="G485" s="259">
        <v>0</v>
      </c>
      <c r="H485" s="264" t="s">
        <v>4409</v>
      </c>
      <c r="I485" s="264" t="s">
        <v>4410</v>
      </c>
      <c r="J485" s="295">
        <v>823.2</v>
      </c>
      <c r="K485" s="295">
        <v>823.2</v>
      </c>
      <c r="L485" s="295">
        <v>411.6</v>
      </c>
      <c r="O485" s="266">
        <v>0</v>
      </c>
      <c r="P485" s="266">
        <v>718878230114</v>
      </c>
      <c r="Q485" s="266">
        <v>0</v>
      </c>
      <c r="R485" s="265">
        <v>1</v>
      </c>
      <c r="S485" s="265">
        <v>4.38</v>
      </c>
      <c r="T485" s="265">
        <v>5.13</v>
      </c>
      <c r="U485" s="265">
        <v>1</v>
      </c>
      <c r="V485" s="259" t="s">
        <v>4159</v>
      </c>
      <c r="W485" s="259" t="s">
        <v>3061</v>
      </c>
      <c r="X485" s="264" t="s">
        <v>4411</v>
      </c>
      <c r="Y485" s="60">
        <v>123</v>
      </c>
      <c r="Z485" s="259" t="s">
        <v>3030</v>
      </c>
      <c r="AA485" s="259"/>
      <c r="AB485" s="259"/>
      <c r="AC485" s="259"/>
      <c r="AD485" s="259"/>
      <c r="AE485" s="259"/>
    </row>
    <row r="486" spans="1:31">
      <c r="A486" s="259" t="s">
        <v>628</v>
      </c>
      <c r="B486" s="259" t="s">
        <v>32</v>
      </c>
      <c r="C486" s="264" t="s">
        <v>48</v>
      </c>
      <c r="D486" s="264" t="s">
        <v>4412</v>
      </c>
      <c r="E486" s="259" t="s">
        <v>4139</v>
      </c>
      <c r="G486" s="259">
        <v>0</v>
      </c>
      <c r="H486" s="264" t="s">
        <v>4413</v>
      </c>
      <c r="I486" s="264" t="s">
        <v>4414</v>
      </c>
      <c r="J486" s="295">
        <v>823.2</v>
      </c>
      <c r="K486" s="295">
        <v>823.2</v>
      </c>
      <c r="L486" s="295">
        <v>411.6</v>
      </c>
      <c r="O486" s="266">
        <v>0</v>
      </c>
      <c r="P486" s="266">
        <v>718878230220</v>
      </c>
      <c r="Q486" s="266">
        <v>0</v>
      </c>
      <c r="R486" s="265">
        <v>1</v>
      </c>
      <c r="S486" s="265">
        <v>4.38</v>
      </c>
      <c r="T486" s="265">
        <v>5.13</v>
      </c>
      <c r="U486" s="265">
        <v>1</v>
      </c>
      <c r="V486" s="259" t="s">
        <v>4159</v>
      </c>
      <c r="W486" s="259" t="s">
        <v>3061</v>
      </c>
      <c r="X486" s="264" t="s">
        <v>4415</v>
      </c>
      <c r="Y486" s="60">
        <v>124</v>
      </c>
      <c r="Z486" s="259" t="s">
        <v>3030</v>
      </c>
      <c r="AA486" s="259"/>
      <c r="AB486" s="259"/>
      <c r="AC486" s="259"/>
      <c r="AD486" s="259"/>
      <c r="AE486" s="259"/>
    </row>
    <row r="487" spans="1:31">
      <c r="A487" s="259" t="s">
        <v>629</v>
      </c>
      <c r="B487" s="259" t="s">
        <v>32</v>
      </c>
      <c r="C487" s="264" t="s">
        <v>48</v>
      </c>
      <c r="D487" s="264" t="s">
        <v>4416</v>
      </c>
      <c r="E487" s="259" t="s">
        <v>4139</v>
      </c>
      <c r="G487" s="259">
        <v>0</v>
      </c>
      <c r="H487" s="264" t="s">
        <v>4417</v>
      </c>
      <c r="I487" s="264" t="s">
        <v>4418</v>
      </c>
      <c r="J487" s="295">
        <v>823.2</v>
      </c>
      <c r="K487" s="295">
        <v>823.2</v>
      </c>
      <c r="L487" s="295">
        <v>411.6</v>
      </c>
      <c r="O487" s="266">
        <v>0</v>
      </c>
      <c r="P487" s="266">
        <v>718878230336</v>
      </c>
      <c r="Q487" s="266">
        <v>0</v>
      </c>
      <c r="R487" s="265">
        <v>1</v>
      </c>
      <c r="S487" s="265">
        <v>3</v>
      </c>
      <c r="T487" s="265">
        <v>4.8099999999999996</v>
      </c>
      <c r="U487" s="265">
        <v>3</v>
      </c>
      <c r="V487" s="259" t="s">
        <v>4159</v>
      </c>
      <c r="W487" s="259" t="s">
        <v>3061</v>
      </c>
      <c r="X487" s="264" t="s">
        <v>4419</v>
      </c>
      <c r="Y487" s="60">
        <v>125</v>
      </c>
      <c r="Z487" s="259" t="s">
        <v>3030</v>
      </c>
      <c r="AA487" s="259"/>
      <c r="AB487" s="259"/>
      <c r="AC487" s="259"/>
      <c r="AD487" s="259"/>
      <c r="AE487" s="259"/>
    </row>
    <row r="488" spans="1:31">
      <c r="A488" s="259" t="s">
        <v>630</v>
      </c>
      <c r="B488" s="259" t="s">
        <v>32</v>
      </c>
      <c r="C488" s="264" t="s">
        <v>50</v>
      </c>
      <c r="D488" s="264" t="s">
        <v>4420</v>
      </c>
      <c r="E488" s="259" t="s">
        <v>4139</v>
      </c>
      <c r="G488" s="259">
        <v>0</v>
      </c>
      <c r="H488" s="264" t="s">
        <v>4421</v>
      </c>
      <c r="I488" s="264" t="s">
        <v>4422</v>
      </c>
      <c r="J488" s="295">
        <v>864.3</v>
      </c>
      <c r="K488" s="295">
        <v>864.3</v>
      </c>
      <c r="L488" s="295">
        <v>432.15</v>
      </c>
      <c r="O488" s="266">
        <v>0</v>
      </c>
      <c r="P488" s="266">
        <v>718878024805</v>
      </c>
      <c r="Q488" s="266">
        <v>0</v>
      </c>
      <c r="R488" s="265">
        <v>0.25</v>
      </c>
      <c r="S488" s="265">
        <v>3.44</v>
      </c>
      <c r="T488" s="265">
        <v>4.6900000000000004</v>
      </c>
      <c r="U488" s="265">
        <v>0.56000000000000005</v>
      </c>
      <c r="V488" s="259" t="s">
        <v>4159</v>
      </c>
      <c r="W488" s="259" t="s">
        <v>3061</v>
      </c>
      <c r="X488" s="264" t="s">
        <v>4423</v>
      </c>
      <c r="Y488" s="60">
        <v>126</v>
      </c>
      <c r="Z488" s="259" t="s">
        <v>3030</v>
      </c>
      <c r="AA488" s="259"/>
      <c r="AB488" s="259"/>
      <c r="AC488" s="259"/>
      <c r="AD488" s="259"/>
      <c r="AE488" s="259"/>
    </row>
    <row r="489" spans="1:31">
      <c r="A489" s="259" t="s">
        <v>631</v>
      </c>
      <c r="B489" s="259" t="s">
        <v>32</v>
      </c>
      <c r="C489" s="264" t="s">
        <v>50</v>
      </c>
      <c r="D489" s="264" t="s">
        <v>4424</v>
      </c>
      <c r="E489" s="259" t="s">
        <v>4139</v>
      </c>
      <c r="G489" s="259">
        <v>0</v>
      </c>
      <c r="H489" s="264" t="s">
        <v>4425</v>
      </c>
      <c r="I489" s="264" t="s">
        <v>4422</v>
      </c>
      <c r="J489" s="295">
        <v>864.3</v>
      </c>
      <c r="K489" s="295">
        <v>864.3</v>
      </c>
      <c r="L489" s="295">
        <v>432.15</v>
      </c>
      <c r="O489" s="266">
        <v>0</v>
      </c>
      <c r="P489" s="266">
        <v>718878022863</v>
      </c>
      <c r="Q489" s="266">
        <v>0</v>
      </c>
      <c r="R489" s="265">
        <v>0.25</v>
      </c>
      <c r="S489" s="265">
        <v>3.44</v>
      </c>
      <c r="T489" s="265">
        <v>4.6900000000000004</v>
      </c>
      <c r="U489" s="265">
        <v>0.56000000000000005</v>
      </c>
      <c r="V489" s="259" t="s">
        <v>4159</v>
      </c>
      <c r="W489" s="259" t="s">
        <v>3061</v>
      </c>
      <c r="X489" s="264" t="s">
        <v>4423</v>
      </c>
      <c r="Y489" s="60">
        <v>127</v>
      </c>
      <c r="Z489" s="259" t="s">
        <v>3030</v>
      </c>
      <c r="AA489" s="259"/>
      <c r="AB489" s="259"/>
      <c r="AC489" s="259"/>
      <c r="AD489" s="259"/>
      <c r="AE489" s="259"/>
    </row>
    <row r="490" spans="1:31">
      <c r="A490" s="259" t="s">
        <v>632</v>
      </c>
      <c r="B490" s="259" t="s">
        <v>32</v>
      </c>
      <c r="C490" s="264" t="s">
        <v>50</v>
      </c>
      <c r="D490" s="264" t="s">
        <v>4426</v>
      </c>
      <c r="E490" s="259" t="s">
        <v>4139</v>
      </c>
      <c r="G490" s="259">
        <v>0</v>
      </c>
      <c r="H490" s="264" t="s">
        <v>4427</v>
      </c>
      <c r="I490" s="264" t="s">
        <v>4428</v>
      </c>
      <c r="J490" s="295">
        <v>864.3</v>
      </c>
      <c r="K490" s="295">
        <v>864.3</v>
      </c>
      <c r="L490" s="295">
        <v>432.15</v>
      </c>
      <c r="O490" s="266">
        <v>0</v>
      </c>
      <c r="P490" s="266">
        <v>718878024812</v>
      </c>
      <c r="Q490" s="266">
        <v>0</v>
      </c>
      <c r="R490" s="265">
        <v>0.25</v>
      </c>
      <c r="S490" s="265">
        <v>3.44</v>
      </c>
      <c r="T490" s="265">
        <v>4.6900000000000004</v>
      </c>
      <c r="U490" s="265">
        <v>0.56000000000000005</v>
      </c>
      <c r="V490" s="259" t="s">
        <v>4159</v>
      </c>
      <c r="W490" s="259" t="s">
        <v>3061</v>
      </c>
      <c r="X490" s="264" t="s">
        <v>4423</v>
      </c>
      <c r="Y490" s="60">
        <v>128</v>
      </c>
      <c r="Z490" s="259" t="s">
        <v>3030</v>
      </c>
      <c r="AA490" s="259"/>
      <c r="AB490" s="259"/>
      <c r="AC490" s="259"/>
      <c r="AD490" s="259"/>
      <c r="AE490" s="259"/>
    </row>
    <row r="491" spans="1:31">
      <c r="A491" s="259" t="s">
        <v>633</v>
      </c>
      <c r="B491" s="259" t="s">
        <v>32</v>
      </c>
      <c r="C491" s="264" t="s">
        <v>50</v>
      </c>
      <c r="D491" s="264" t="s">
        <v>4429</v>
      </c>
      <c r="E491" s="259" t="s">
        <v>4139</v>
      </c>
      <c r="G491" s="259">
        <v>0</v>
      </c>
      <c r="H491" s="264" t="s">
        <v>4430</v>
      </c>
      <c r="I491" s="264" t="s">
        <v>4431</v>
      </c>
      <c r="J491" s="295">
        <v>864.3</v>
      </c>
      <c r="K491" s="295">
        <v>864.3</v>
      </c>
      <c r="L491" s="295">
        <v>432.15</v>
      </c>
      <c r="O491" s="266">
        <v>0</v>
      </c>
      <c r="P491" s="266">
        <v>718878024829</v>
      </c>
      <c r="Q491" s="266">
        <v>0</v>
      </c>
      <c r="R491" s="265">
        <v>0.25</v>
      </c>
      <c r="S491" s="265">
        <v>4.6900000000000004</v>
      </c>
      <c r="T491" s="265">
        <v>3.44</v>
      </c>
      <c r="U491" s="265">
        <v>0.56000000000000005</v>
      </c>
      <c r="V491" s="259" t="s">
        <v>4159</v>
      </c>
      <c r="W491" s="259" t="s">
        <v>3061</v>
      </c>
      <c r="X491" s="264" t="s">
        <v>4423</v>
      </c>
      <c r="Y491" s="60">
        <v>129</v>
      </c>
      <c r="Z491" s="259" t="s">
        <v>3030</v>
      </c>
      <c r="AA491" s="259"/>
      <c r="AB491" s="259"/>
      <c r="AC491" s="259"/>
      <c r="AD491" s="259"/>
      <c r="AE491" s="259"/>
    </row>
    <row r="492" spans="1:31">
      <c r="A492" s="259" t="s">
        <v>634</v>
      </c>
      <c r="B492" s="259" t="s">
        <v>32</v>
      </c>
      <c r="C492" s="264" t="s">
        <v>50</v>
      </c>
      <c r="D492" s="264" t="s">
        <v>4432</v>
      </c>
      <c r="E492" s="259" t="s">
        <v>4139</v>
      </c>
      <c r="G492" s="259">
        <v>0</v>
      </c>
      <c r="H492" s="264" t="s">
        <v>4433</v>
      </c>
      <c r="I492" s="264" t="s">
        <v>4434</v>
      </c>
      <c r="J492" s="295">
        <v>1116.4000000000001</v>
      </c>
      <c r="K492" s="295">
        <v>1116.4000000000001</v>
      </c>
      <c r="L492" s="295">
        <v>558.20000000000005</v>
      </c>
      <c r="O492" s="266">
        <v>0</v>
      </c>
      <c r="P492" s="266">
        <v>718878024836</v>
      </c>
      <c r="Q492" s="266">
        <v>0</v>
      </c>
      <c r="R492" s="265">
        <v>0.41</v>
      </c>
      <c r="S492" s="265">
        <v>4.6900000000000004</v>
      </c>
      <c r="T492" s="265">
        <v>6</v>
      </c>
      <c r="U492" s="265">
        <v>1</v>
      </c>
      <c r="V492" s="259" t="s">
        <v>4159</v>
      </c>
      <c r="W492" s="259" t="s">
        <v>3061</v>
      </c>
      <c r="X492" s="264" t="s">
        <v>4435</v>
      </c>
      <c r="Y492" s="60">
        <v>130</v>
      </c>
      <c r="Z492" s="259" t="s">
        <v>3030</v>
      </c>
      <c r="AA492" s="259"/>
      <c r="AB492" s="259"/>
      <c r="AC492" s="259"/>
      <c r="AD492" s="259"/>
      <c r="AE492" s="259"/>
    </row>
    <row r="493" spans="1:31">
      <c r="A493" s="259" t="s">
        <v>635</v>
      </c>
      <c r="B493" s="259" t="s">
        <v>32</v>
      </c>
      <c r="C493" s="264" t="s">
        <v>50</v>
      </c>
      <c r="D493" s="264" t="s">
        <v>4436</v>
      </c>
      <c r="E493" s="259" t="s">
        <v>4139</v>
      </c>
      <c r="G493" s="259">
        <v>0</v>
      </c>
      <c r="H493" s="264" t="s">
        <v>4437</v>
      </c>
      <c r="I493" s="264" t="s">
        <v>4438</v>
      </c>
      <c r="J493" s="295">
        <v>1116.4000000000001</v>
      </c>
      <c r="K493" s="295">
        <v>1116.4000000000001</v>
      </c>
      <c r="L493" s="295">
        <v>558.20000000000005</v>
      </c>
      <c r="O493" s="266">
        <v>0</v>
      </c>
      <c r="P493" s="266">
        <v>718878024843</v>
      </c>
      <c r="Q493" s="266">
        <v>0</v>
      </c>
      <c r="R493" s="265">
        <v>0.41</v>
      </c>
      <c r="S493" s="265">
        <v>4.6900000000000004</v>
      </c>
      <c r="T493" s="265">
        <v>6</v>
      </c>
      <c r="U493" s="265">
        <v>1</v>
      </c>
      <c r="V493" s="259" t="s">
        <v>4159</v>
      </c>
      <c r="W493" s="259" t="s">
        <v>3061</v>
      </c>
      <c r="X493" s="264" t="s">
        <v>4435</v>
      </c>
      <c r="Y493" s="60">
        <v>131</v>
      </c>
      <c r="Z493" s="259" t="s">
        <v>3030</v>
      </c>
      <c r="AA493" s="259"/>
      <c r="AB493" s="259"/>
      <c r="AC493" s="259"/>
      <c r="AD493" s="259"/>
      <c r="AE493" s="259"/>
    </row>
    <row r="494" spans="1:31">
      <c r="A494" s="259" t="s">
        <v>636</v>
      </c>
      <c r="B494" s="259" t="s">
        <v>32</v>
      </c>
      <c r="C494" s="264" t="s">
        <v>48</v>
      </c>
      <c r="D494" s="264" t="s">
        <v>4439</v>
      </c>
      <c r="E494" s="259" t="s">
        <v>4139</v>
      </c>
      <c r="G494" s="259">
        <v>0</v>
      </c>
      <c r="H494" s="264" t="s">
        <v>4440</v>
      </c>
      <c r="I494" s="264" t="s">
        <v>4441</v>
      </c>
      <c r="J494" s="295">
        <v>1401.7</v>
      </c>
      <c r="K494" s="295">
        <v>1401.7</v>
      </c>
      <c r="L494" s="295">
        <v>700.85</v>
      </c>
      <c r="O494" s="266">
        <v>0</v>
      </c>
      <c r="P494" s="266">
        <v>718878024287</v>
      </c>
      <c r="Q494" s="266">
        <v>0</v>
      </c>
      <c r="R494" s="265">
        <v>1.6</v>
      </c>
      <c r="S494" s="265">
        <v>5.81</v>
      </c>
      <c r="T494" s="265">
        <v>5.13</v>
      </c>
      <c r="U494" s="265">
        <v>1.69</v>
      </c>
      <c r="V494" s="259" t="s">
        <v>4159</v>
      </c>
      <c r="W494" s="259" t="s">
        <v>3061</v>
      </c>
      <c r="X494" s="264" t="s">
        <v>4442</v>
      </c>
      <c r="Y494" s="60">
        <v>132</v>
      </c>
      <c r="Z494" s="259" t="s">
        <v>3030</v>
      </c>
      <c r="AA494" s="259"/>
      <c r="AB494" s="259"/>
      <c r="AC494" s="259"/>
      <c r="AD494" s="259"/>
      <c r="AE494" s="259"/>
    </row>
    <row r="495" spans="1:31">
      <c r="A495" s="259" t="s">
        <v>637</v>
      </c>
      <c r="B495" s="259" t="s">
        <v>32</v>
      </c>
      <c r="C495" s="264" t="s">
        <v>48</v>
      </c>
      <c r="D495" s="264" t="s">
        <v>4443</v>
      </c>
      <c r="E495" s="259" t="s">
        <v>4139</v>
      </c>
      <c r="G495" s="259">
        <v>0</v>
      </c>
      <c r="H495" s="264" t="s">
        <v>4444</v>
      </c>
      <c r="I495" s="264" t="s">
        <v>4445</v>
      </c>
      <c r="J495" s="295">
        <v>2590.6999999999998</v>
      </c>
      <c r="K495" s="295">
        <v>2590.6999999999998</v>
      </c>
      <c r="L495" s="295">
        <v>1295.3499999999999</v>
      </c>
      <c r="O495" s="266">
        <v>0</v>
      </c>
      <c r="P495" s="266">
        <v>718878024294</v>
      </c>
      <c r="Q495" s="266">
        <v>0</v>
      </c>
      <c r="R495" s="265">
        <v>6</v>
      </c>
      <c r="S495" s="265">
        <v>17</v>
      </c>
      <c r="T495" s="265">
        <v>9.1300000000000008</v>
      </c>
      <c r="U495" s="265">
        <v>1.8</v>
      </c>
      <c r="V495" s="259" t="s">
        <v>4159</v>
      </c>
      <c r="W495" s="259" t="s">
        <v>3061</v>
      </c>
      <c r="X495" s="264" t="s">
        <v>4446</v>
      </c>
      <c r="Y495" s="60">
        <v>133</v>
      </c>
      <c r="Z495" s="259" t="s">
        <v>3030</v>
      </c>
      <c r="AA495" s="259"/>
      <c r="AB495" s="259"/>
      <c r="AC495" s="259"/>
      <c r="AD495" s="259"/>
      <c r="AE495" s="259"/>
    </row>
    <row r="496" spans="1:31">
      <c r="A496" s="259" t="s">
        <v>638</v>
      </c>
      <c r="B496" s="259" t="s">
        <v>32</v>
      </c>
      <c r="C496" s="264" t="s">
        <v>48</v>
      </c>
      <c r="D496" s="264" t="s">
        <v>4447</v>
      </c>
      <c r="E496" s="259" t="s">
        <v>4139</v>
      </c>
      <c r="G496" s="259">
        <v>0</v>
      </c>
      <c r="H496" s="264" t="s">
        <v>4448</v>
      </c>
      <c r="I496" s="264" t="s">
        <v>4449</v>
      </c>
      <c r="J496" s="295">
        <v>4001.6</v>
      </c>
      <c r="K496" s="295">
        <v>4001.6</v>
      </c>
      <c r="L496" s="295">
        <v>2000.8</v>
      </c>
      <c r="O496" s="266">
        <v>0</v>
      </c>
      <c r="P496" s="266">
        <v>718878024300</v>
      </c>
      <c r="Q496" s="266">
        <v>0</v>
      </c>
      <c r="R496" s="265">
        <v>6</v>
      </c>
      <c r="S496" s="265">
        <v>17</v>
      </c>
      <c r="T496" s="265">
        <v>9.1300000000000008</v>
      </c>
      <c r="U496" s="265">
        <v>1.8</v>
      </c>
      <c r="V496" s="259" t="s">
        <v>4159</v>
      </c>
      <c r="W496" s="259" t="s">
        <v>3061</v>
      </c>
      <c r="X496" s="264" t="s">
        <v>4450</v>
      </c>
      <c r="Y496" s="60">
        <v>134</v>
      </c>
      <c r="Z496" s="259" t="s">
        <v>3030</v>
      </c>
      <c r="AA496" s="259"/>
      <c r="AB496" s="259"/>
      <c r="AC496" s="259"/>
      <c r="AD496" s="259"/>
      <c r="AE496" s="259"/>
    </row>
    <row r="497" spans="1:31">
      <c r="A497" s="259" t="s">
        <v>639</v>
      </c>
      <c r="B497" s="259" t="s">
        <v>32</v>
      </c>
      <c r="C497" s="264" t="s">
        <v>48</v>
      </c>
      <c r="D497" s="264" t="s">
        <v>4451</v>
      </c>
      <c r="E497" s="259" t="s">
        <v>4139</v>
      </c>
      <c r="G497" s="259">
        <v>0</v>
      </c>
      <c r="H497" s="264" t="s">
        <v>4452</v>
      </c>
      <c r="I497" s="264" t="s">
        <v>4453</v>
      </c>
      <c r="J497" s="295">
        <v>5419.2</v>
      </c>
      <c r="K497" s="295">
        <v>5419.2</v>
      </c>
      <c r="L497" s="295">
        <v>2709.6</v>
      </c>
      <c r="O497" s="266">
        <v>0</v>
      </c>
      <c r="P497" s="266">
        <v>718878247990</v>
      </c>
      <c r="Q497" s="266">
        <v>0</v>
      </c>
      <c r="R497" s="265">
        <v>7.6</v>
      </c>
      <c r="S497" s="265">
        <v>17</v>
      </c>
      <c r="T497" s="265">
        <v>9.1300000000000008</v>
      </c>
      <c r="U497" s="265">
        <v>1.8</v>
      </c>
      <c r="V497" s="259" t="s">
        <v>4159</v>
      </c>
      <c r="W497" s="259" t="s">
        <v>3061</v>
      </c>
      <c r="X497" s="264" t="s">
        <v>4454</v>
      </c>
      <c r="Y497" s="60">
        <v>135</v>
      </c>
      <c r="Z497" s="259" t="s">
        <v>3030</v>
      </c>
      <c r="AA497" s="259"/>
      <c r="AB497" s="259"/>
      <c r="AC497" s="259"/>
      <c r="AD497" s="259"/>
      <c r="AE497" s="259"/>
    </row>
    <row r="498" spans="1:31">
      <c r="A498" s="259" t="s">
        <v>647</v>
      </c>
      <c r="B498" s="259" t="s">
        <v>32</v>
      </c>
      <c r="C498" s="264" t="s">
        <v>38</v>
      </c>
      <c r="D498" s="264" t="s">
        <v>4455</v>
      </c>
      <c r="E498" s="259" t="s">
        <v>4083</v>
      </c>
      <c r="G498" s="259" t="s">
        <v>3378</v>
      </c>
      <c r="H498" s="264" t="s">
        <v>4456</v>
      </c>
      <c r="I498" s="264" t="s">
        <v>4457</v>
      </c>
      <c r="J498" s="295">
        <v>2349.5</v>
      </c>
      <c r="K498" s="295">
        <v>2349.5</v>
      </c>
      <c r="L498" s="295">
        <v>1174.75</v>
      </c>
      <c r="O498" s="266">
        <v>0</v>
      </c>
      <c r="P498" s="266">
        <v>718878248225</v>
      </c>
      <c r="Q498" s="266">
        <v>0</v>
      </c>
      <c r="R498" s="265">
        <v>1.4</v>
      </c>
      <c r="S498" s="265">
        <v>7.375</v>
      </c>
      <c r="T498" s="265">
        <v>4.5</v>
      </c>
      <c r="U498" s="265">
        <v>3.1875</v>
      </c>
      <c r="V498" s="259" t="s">
        <v>4159</v>
      </c>
      <c r="W498" s="259" t="s">
        <v>3061</v>
      </c>
      <c r="X498" s="264" t="s">
        <v>4458</v>
      </c>
      <c r="Y498" s="60">
        <v>136</v>
      </c>
      <c r="Z498" s="259" t="s">
        <v>3227</v>
      </c>
      <c r="AA498" s="259"/>
      <c r="AB498" s="259"/>
      <c r="AC498" s="259"/>
      <c r="AD498" s="259"/>
      <c r="AE498" s="259"/>
    </row>
    <row r="499" spans="1:31">
      <c r="A499" s="259" t="s">
        <v>648</v>
      </c>
      <c r="B499" s="259" t="s">
        <v>32</v>
      </c>
      <c r="C499" s="264" t="s">
        <v>41</v>
      </c>
      <c r="D499" s="264" t="s">
        <v>4459</v>
      </c>
      <c r="E499" s="259" t="s">
        <v>4083</v>
      </c>
      <c r="G499" s="259">
        <v>0</v>
      </c>
      <c r="H499" s="264" t="s">
        <v>4460</v>
      </c>
      <c r="I499" s="264" t="s">
        <v>4461</v>
      </c>
      <c r="J499" s="295">
        <v>288.10000000000002</v>
      </c>
      <c r="K499" s="295">
        <v>288.10000000000002</v>
      </c>
      <c r="L499" s="295">
        <v>144.05000000000001</v>
      </c>
      <c r="O499" s="266">
        <v>0</v>
      </c>
      <c r="P499" s="266">
        <v>718878022993</v>
      </c>
      <c r="Q499" s="266">
        <v>0</v>
      </c>
      <c r="R499" s="265">
        <v>1.95</v>
      </c>
      <c r="S499" s="265">
        <v>9.5299999999999994</v>
      </c>
      <c r="T499" s="265">
        <v>9.02</v>
      </c>
      <c r="U499" s="265">
        <v>2.2000000000000002</v>
      </c>
      <c r="V499" s="259" t="s">
        <v>3834</v>
      </c>
      <c r="W499" s="259" t="s">
        <v>3061</v>
      </c>
      <c r="X499" s="264" t="s">
        <v>4458</v>
      </c>
      <c r="Y499" s="60">
        <v>137</v>
      </c>
      <c r="Z499" s="259" t="s">
        <v>3030</v>
      </c>
      <c r="AA499" s="259"/>
      <c r="AB499" s="259"/>
      <c r="AC499" s="259"/>
      <c r="AD499" s="259"/>
      <c r="AE499" s="259"/>
    </row>
    <row r="500" spans="1:31">
      <c r="A500" s="259" t="s">
        <v>649</v>
      </c>
      <c r="B500" s="259" t="s">
        <v>32</v>
      </c>
      <c r="C500" s="264" t="s">
        <v>41</v>
      </c>
      <c r="D500" s="264" t="s">
        <v>4462</v>
      </c>
      <c r="E500" s="259" t="s">
        <v>4083</v>
      </c>
      <c r="G500" s="259">
        <v>0</v>
      </c>
      <c r="H500" s="264" t="s">
        <v>4463</v>
      </c>
      <c r="I500" s="264" t="s">
        <v>4464</v>
      </c>
      <c r="J500" s="295">
        <v>235.5</v>
      </c>
      <c r="K500" s="295">
        <v>235.5</v>
      </c>
      <c r="L500" s="295">
        <v>117.75</v>
      </c>
      <c r="O500" s="266">
        <v>0</v>
      </c>
      <c r="P500" s="266">
        <v>718878249000</v>
      </c>
      <c r="Q500" s="266">
        <v>0</v>
      </c>
      <c r="R500" s="265">
        <v>3.25</v>
      </c>
      <c r="S500" s="265">
        <v>19</v>
      </c>
      <c r="T500" s="265">
        <v>6.97</v>
      </c>
      <c r="U500" s="265">
        <v>2.145</v>
      </c>
      <c r="V500" s="259" t="s">
        <v>3834</v>
      </c>
      <c r="W500" s="259" t="s">
        <v>3061</v>
      </c>
      <c r="X500" s="264" t="s">
        <v>4465</v>
      </c>
      <c r="Y500" s="60">
        <v>138</v>
      </c>
      <c r="Z500" s="259" t="s">
        <v>3030</v>
      </c>
      <c r="AA500" s="259"/>
      <c r="AB500" s="259"/>
      <c r="AC500" s="259"/>
      <c r="AD500" s="259"/>
      <c r="AE500" s="259"/>
    </row>
    <row r="501" spans="1:31">
      <c r="A501" s="259" t="s">
        <v>650</v>
      </c>
      <c r="B501" s="259" t="s">
        <v>32</v>
      </c>
      <c r="C501" s="264" t="s">
        <v>41</v>
      </c>
      <c r="D501" s="264" t="s">
        <v>4466</v>
      </c>
      <c r="E501" s="259" t="s">
        <v>4083</v>
      </c>
      <c r="G501" s="259">
        <v>0</v>
      </c>
      <c r="H501" s="264" t="s">
        <v>4467</v>
      </c>
      <c r="I501" s="264" t="s">
        <v>4468</v>
      </c>
      <c r="J501" s="295">
        <v>235.5</v>
      </c>
      <c r="K501" s="295">
        <v>235.5</v>
      </c>
      <c r="L501" s="295">
        <v>117.75</v>
      </c>
      <c r="O501" s="266">
        <v>0</v>
      </c>
      <c r="P501" s="266">
        <v>718878024898</v>
      </c>
      <c r="Q501" s="266">
        <v>0</v>
      </c>
      <c r="R501" s="265">
        <v>2.75</v>
      </c>
      <c r="S501" s="265">
        <v>19</v>
      </c>
      <c r="T501" s="265">
        <v>5.2190000000000003</v>
      </c>
      <c r="U501" s="265">
        <v>2.1</v>
      </c>
      <c r="V501" s="259" t="s">
        <v>3834</v>
      </c>
      <c r="W501" s="259" t="s">
        <v>3061</v>
      </c>
      <c r="X501" s="264" t="s">
        <v>4469</v>
      </c>
      <c r="Y501" s="60">
        <v>139</v>
      </c>
      <c r="Z501" s="259" t="s">
        <v>3030</v>
      </c>
      <c r="AA501" s="259"/>
      <c r="AB501" s="259"/>
      <c r="AC501" s="259"/>
      <c r="AD501" s="259"/>
      <c r="AE501" s="259"/>
    </row>
    <row r="502" spans="1:31">
      <c r="A502" s="259" t="s">
        <v>651</v>
      </c>
      <c r="B502" s="259" t="s">
        <v>32</v>
      </c>
      <c r="C502" s="264" t="s">
        <v>41</v>
      </c>
      <c r="D502" s="264" t="s">
        <v>4470</v>
      </c>
      <c r="E502" s="259" t="s">
        <v>4083</v>
      </c>
      <c r="G502" s="259">
        <v>0</v>
      </c>
      <c r="H502" s="264" t="s">
        <v>4471</v>
      </c>
      <c r="I502" s="264" t="s">
        <v>4472</v>
      </c>
      <c r="J502" s="295">
        <v>364.9</v>
      </c>
      <c r="K502" s="295">
        <v>364.9</v>
      </c>
      <c r="L502" s="295">
        <v>182.45</v>
      </c>
      <c r="O502" s="266">
        <v>0</v>
      </c>
      <c r="P502" s="266">
        <v>718878023624</v>
      </c>
      <c r="Q502" s="266">
        <v>0</v>
      </c>
      <c r="R502" s="265">
        <v>1.65</v>
      </c>
      <c r="S502" s="265">
        <v>9.99</v>
      </c>
      <c r="T502" s="265">
        <v>4.03</v>
      </c>
      <c r="U502" s="265">
        <v>0.43</v>
      </c>
      <c r="V502" s="259" t="s">
        <v>3028</v>
      </c>
      <c r="W502" s="259" t="s">
        <v>4130</v>
      </c>
      <c r="X502" s="264" t="s">
        <v>4473</v>
      </c>
      <c r="Y502" s="60">
        <v>140</v>
      </c>
      <c r="Z502" s="259" t="s">
        <v>3030</v>
      </c>
      <c r="AA502" s="259"/>
      <c r="AB502" s="259"/>
      <c r="AC502" s="259"/>
      <c r="AD502" s="259"/>
      <c r="AE502" s="259"/>
    </row>
    <row r="503" spans="1:31">
      <c r="A503" s="259" t="s">
        <v>652</v>
      </c>
      <c r="B503" s="259" t="s">
        <v>32</v>
      </c>
      <c r="C503" s="264" t="s">
        <v>41</v>
      </c>
      <c r="D503" s="264" t="s">
        <v>4474</v>
      </c>
      <c r="E503" s="259" t="s">
        <v>4083</v>
      </c>
      <c r="G503" s="259">
        <v>0</v>
      </c>
      <c r="H503" s="264" t="s">
        <v>4475</v>
      </c>
      <c r="I503" s="264" t="s">
        <v>4476</v>
      </c>
      <c r="J503" s="295">
        <v>278.5</v>
      </c>
      <c r="K503" s="295">
        <v>278.5</v>
      </c>
      <c r="L503" s="295">
        <v>139.25</v>
      </c>
      <c r="O503" s="266">
        <v>0</v>
      </c>
      <c r="P503" s="266">
        <v>718878022511</v>
      </c>
      <c r="Q503" s="266">
        <v>0</v>
      </c>
      <c r="R503" s="265">
        <v>0.95</v>
      </c>
      <c r="S503" s="265">
        <v>7.34</v>
      </c>
      <c r="T503" s="265">
        <v>3.2</v>
      </c>
      <c r="U503" s="265">
        <v>0.43</v>
      </c>
      <c r="V503" s="259" t="s">
        <v>3028</v>
      </c>
      <c r="W503" s="259" t="s">
        <v>4130</v>
      </c>
      <c r="X503" s="264" t="s">
        <v>4477</v>
      </c>
      <c r="Y503" s="60">
        <v>141</v>
      </c>
      <c r="Z503" s="259" t="s">
        <v>3030</v>
      </c>
      <c r="AA503" s="259"/>
      <c r="AB503" s="259"/>
      <c r="AC503" s="259"/>
      <c r="AD503" s="259"/>
      <c r="AE503" s="259"/>
    </row>
    <row r="504" spans="1:31">
      <c r="A504" s="259" t="s">
        <v>653</v>
      </c>
      <c r="B504" s="259" t="s">
        <v>32</v>
      </c>
      <c r="C504" s="264" t="s">
        <v>41</v>
      </c>
      <c r="D504" s="264" t="s">
        <v>4478</v>
      </c>
      <c r="E504" s="259" t="s">
        <v>4083</v>
      </c>
      <c r="G504" s="259">
        <v>0</v>
      </c>
      <c r="H504" s="264" t="s">
        <v>4479</v>
      </c>
      <c r="I504" s="264" t="s">
        <v>4480</v>
      </c>
      <c r="J504" s="295">
        <v>247.3</v>
      </c>
      <c r="K504" s="295">
        <v>247.3</v>
      </c>
      <c r="L504" s="295">
        <v>123.65</v>
      </c>
      <c r="O504" s="266">
        <v>0</v>
      </c>
      <c r="P504" s="266">
        <v>718878023648</v>
      </c>
      <c r="Q504" s="266">
        <v>0</v>
      </c>
      <c r="R504" s="265">
        <v>0.25</v>
      </c>
      <c r="S504" s="265">
        <v>10.039999999999999</v>
      </c>
      <c r="T504" s="265">
        <v>6.84</v>
      </c>
      <c r="U504" s="265">
        <v>0.95</v>
      </c>
      <c r="V504" s="259" t="s">
        <v>3028</v>
      </c>
      <c r="W504" s="259" t="s">
        <v>4130</v>
      </c>
      <c r="X504" s="264" t="s">
        <v>4481</v>
      </c>
      <c r="Y504" s="60">
        <v>142</v>
      </c>
      <c r="Z504" s="259" t="s">
        <v>3030</v>
      </c>
      <c r="AA504" s="259"/>
      <c r="AB504" s="259"/>
      <c r="AC504" s="259"/>
      <c r="AD504" s="259"/>
      <c r="AE504" s="259"/>
    </row>
    <row r="505" spans="1:31">
      <c r="A505" s="259" t="s">
        <v>654</v>
      </c>
      <c r="B505" s="259" t="s">
        <v>32</v>
      </c>
      <c r="C505" s="264" t="s">
        <v>41</v>
      </c>
      <c r="D505" s="264" t="s">
        <v>4482</v>
      </c>
      <c r="E505" s="259" t="s">
        <v>4083</v>
      </c>
      <c r="G505" s="259">
        <v>0</v>
      </c>
      <c r="H505" s="264" t="s">
        <v>4483</v>
      </c>
      <c r="I505" s="264" t="s">
        <v>4484</v>
      </c>
      <c r="J505" s="295">
        <v>235.5</v>
      </c>
      <c r="K505" s="295">
        <v>235.5</v>
      </c>
      <c r="L505" s="295">
        <v>117.75</v>
      </c>
      <c r="O505" s="266">
        <v>0</v>
      </c>
      <c r="P505" s="266">
        <v>718878023006</v>
      </c>
      <c r="Q505" s="266">
        <v>0</v>
      </c>
      <c r="R505" s="265">
        <v>0.1</v>
      </c>
      <c r="S505" s="265">
        <v>7.38</v>
      </c>
      <c r="T505" s="265">
        <v>4.88</v>
      </c>
      <c r="U505" s="265">
        <v>0.91</v>
      </c>
      <c r="V505" s="259" t="s">
        <v>3028</v>
      </c>
      <c r="W505" s="259" t="s">
        <v>4130</v>
      </c>
      <c r="X505" s="264" t="s">
        <v>4485</v>
      </c>
      <c r="Y505" s="60">
        <v>143</v>
      </c>
      <c r="Z505" s="259" t="s">
        <v>3030</v>
      </c>
      <c r="AA505" s="259"/>
      <c r="AB505" s="259"/>
      <c r="AC505" s="259"/>
      <c r="AD505" s="259"/>
      <c r="AE505" s="259"/>
    </row>
    <row r="506" spans="1:31">
      <c r="A506" s="259" t="s">
        <v>655</v>
      </c>
      <c r="B506" s="259" t="s">
        <v>32</v>
      </c>
      <c r="C506" s="264" t="s">
        <v>38</v>
      </c>
      <c r="D506" s="264" t="s">
        <v>4486</v>
      </c>
      <c r="E506" s="259" t="s">
        <v>4083</v>
      </c>
      <c r="G506" s="292" t="s">
        <v>4167</v>
      </c>
      <c r="H506" s="264" t="s">
        <v>4487</v>
      </c>
      <c r="I506" s="264" t="s">
        <v>4488</v>
      </c>
      <c r="J506" s="295">
        <v>3064</v>
      </c>
      <c r="K506" s="295">
        <v>1398</v>
      </c>
      <c r="L506" s="295">
        <v>699</v>
      </c>
      <c r="O506" s="266">
        <v>0</v>
      </c>
      <c r="P506" s="266">
        <v>718878024188</v>
      </c>
      <c r="Q506" s="266">
        <v>0</v>
      </c>
      <c r="R506" s="265">
        <v>1.95</v>
      </c>
      <c r="S506" s="265">
        <v>10.0625</v>
      </c>
      <c r="T506" s="265">
        <v>6.8125</v>
      </c>
      <c r="U506" s="265">
        <v>2</v>
      </c>
      <c r="V506" s="259" t="s">
        <v>4159</v>
      </c>
      <c r="W506" s="259" t="s">
        <v>3061</v>
      </c>
      <c r="X506" s="264" t="s">
        <v>4489</v>
      </c>
      <c r="Y506" s="60">
        <v>144</v>
      </c>
      <c r="Z506" s="259" t="s">
        <v>3227</v>
      </c>
      <c r="AA506" s="259"/>
      <c r="AB506" s="259"/>
      <c r="AC506" s="259"/>
      <c r="AD506" s="259"/>
      <c r="AE506" s="259"/>
    </row>
    <row r="507" spans="1:31">
      <c r="A507" s="259" t="s">
        <v>656</v>
      </c>
      <c r="B507" s="259" t="s">
        <v>32</v>
      </c>
      <c r="C507" s="264" t="s">
        <v>41</v>
      </c>
      <c r="D507" s="264" t="s">
        <v>4490</v>
      </c>
      <c r="E507" s="259" t="s">
        <v>4083</v>
      </c>
      <c r="G507" s="259">
        <v>0</v>
      </c>
      <c r="H507" s="264" t="s">
        <v>4491</v>
      </c>
      <c r="I507" s="264" t="s">
        <v>4492</v>
      </c>
      <c r="J507" s="295">
        <v>235.5</v>
      </c>
      <c r="K507" s="295">
        <v>235.5</v>
      </c>
      <c r="L507" s="295">
        <v>117.75</v>
      </c>
      <c r="O507" s="266">
        <v>0</v>
      </c>
      <c r="P507" s="266">
        <v>718878023679</v>
      </c>
      <c r="Q507" s="266">
        <v>0</v>
      </c>
      <c r="R507" s="265">
        <v>0.1</v>
      </c>
      <c r="S507" s="265">
        <v>7.38</v>
      </c>
      <c r="T507" s="265">
        <v>4.88</v>
      </c>
      <c r="U507" s="265">
        <v>0.91</v>
      </c>
      <c r="V507" s="259" t="s">
        <v>3834</v>
      </c>
      <c r="W507" s="259" t="s">
        <v>3061</v>
      </c>
      <c r="X507" s="264" t="s">
        <v>4493</v>
      </c>
      <c r="Y507" s="60">
        <v>145</v>
      </c>
      <c r="Z507" s="259" t="s">
        <v>3030</v>
      </c>
      <c r="AA507" s="259"/>
      <c r="AB507" s="259"/>
      <c r="AC507" s="259"/>
      <c r="AD507" s="259"/>
      <c r="AE507" s="259"/>
    </row>
    <row r="508" spans="1:31">
      <c r="A508" s="259" t="s">
        <v>657</v>
      </c>
      <c r="B508" s="259" t="s">
        <v>32</v>
      </c>
      <c r="C508" s="264" t="s">
        <v>41</v>
      </c>
      <c r="D508" s="264" t="s">
        <v>4494</v>
      </c>
      <c r="E508" s="259" t="s">
        <v>4083</v>
      </c>
      <c r="G508" s="259">
        <v>0</v>
      </c>
      <c r="H508" s="264" t="s">
        <v>4495</v>
      </c>
      <c r="I508" s="264" t="s">
        <v>4496</v>
      </c>
      <c r="J508" s="295">
        <v>235.5</v>
      </c>
      <c r="K508" s="295">
        <v>235.5</v>
      </c>
      <c r="L508" s="295">
        <v>117.75</v>
      </c>
      <c r="O508" s="266">
        <v>0</v>
      </c>
      <c r="P508" s="266">
        <v>718878001400</v>
      </c>
      <c r="Q508" s="266">
        <v>0</v>
      </c>
      <c r="R508" s="265">
        <v>0.25</v>
      </c>
      <c r="S508" s="265">
        <v>9.76</v>
      </c>
      <c r="T508" s="265">
        <v>6.53</v>
      </c>
      <c r="U508" s="265">
        <v>0.98</v>
      </c>
      <c r="V508" s="259" t="s">
        <v>3834</v>
      </c>
      <c r="W508" s="259" t="s">
        <v>3061</v>
      </c>
      <c r="X508" s="264" t="s">
        <v>4497</v>
      </c>
      <c r="Y508" s="60">
        <v>146</v>
      </c>
      <c r="Z508" s="259" t="s">
        <v>3030</v>
      </c>
      <c r="AA508" s="259"/>
      <c r="AB508" s="259"/>
      <c r="AC508" s="259"/>
      <c r="AD508" s="259"/>
      <c r="AE508" s="259"/>
    </row>
    <row r="509" spans="1:31">
      <c r="A509" s="259" t="s">
        <v>658</v>
      </c>
      <c r="B509" s="259" t="s">
        <v>32</v>
      </c>
      <c r="C509" s="264" t="s">
        <v>46</v>
      </c>
      <c r="D509" s="264" t="s">
        <v>4498</v>
      </c>
      <c r="E509" s="259" t="s">
        <v>4499</v>
      </c>
      <c r="G509" s="259">
        <v>0</v>
      </c>
      <c r="H509" s="264" t="s">
        <v>4500</v>
      </c>
      <c r="I509" s="264" t="s">
        <v>4501</v>
      </c>
      <c r="J509" s="295">
        <v>0.01</v>
      </c>
      <c r="K509" s="295">
        <v>0.01</v>
      </c>
      <c r="L509" s="295">
        <v>0.01</v>
      </c>
      <c r="O509" s="266">
        <v>0</v>
      </c>
      <c r="P509" s="266">
        <v>718878026236</v>
      </c>
      <c r="Q509" s="266">
        <v>0</v>
      </c>
      <c r="R509" s="265">
        <v>0</v>
      </c>
      <c r="S509" s="265">
        <v>0</v>
      </c>
      <c r="T509" s="265">
        <v>0</v>
      </c>
      <c r="U509" s="265">
        <v>0</v>
      </c>
      <c r="V509" s="259" t="s">
        <v>3834</v>
      </c>
      <c r="W509" s="259" t="s">
        <v>3061</v>
      </c>
      <c r="X509" s="264" t="s">
        <v>4502</v>
      </c>
      <c r="Y509" s="60">
        <v>147</v>
      </c>
      <c r="AA509" s="259"/>
      <c r="AB509" s="259"/>
      <c r="AC509" s="259"/>
      <c r="AD509" s="259"/>
      <c r="AE509" s="259"/>
    </row>
    <row r="510" spans="1:31">
      <c r="A510" s="259" t="s">
        <v>659</v>
      </c>
      <c r="B510" s="259" t="s">
        <v>32</v>
      </c>
      <c r="C510" s="264" t="s">
        <v>46</v>
      </c>
      <c r="D510" s="264" t="s">
        <v>2860</v>
      </c>
      <c r="E510" s="259" t="s">
        <v>4499</v>
      </c>
      <c r="G510" s="259">
        <v>0</v>
      </c>
      <c r="H510" s="264" t="s">
        <v>4503</v>
      </c>
      <c r="I510" s="264" t="s">
        <v>4504</v>
      </c>
      <c r="J510" s="295">
        <v>9003.5</v>
      </c>
      <c r="K510" s="295">
        <v>9003.5</v>
      </c>
      <c r="L510" s="295">
        <v>6752.63</v>
      </c>
      <c r="O510" s="266">
        <v>0</v>
      </c>
      <c r="P510" s="266">
        <v>718878024966</v>
      </c>
      <c r="Q510" s="266">
        <v>0</v>
      </c>
      <c r="R510" s="265">
        <v>0</v>
      </c>
      <c r="S510" s="265">
        <v>0</v>
      </c>
      <c r="T510" s="265">
        <v>0</v>
      </c>
      <c r="U510" s="265">
        <v>0</v>
      </c>
      <c r="V510" s="259" t="s">
        <v>3834</v>
      </c>
      <c r="W510" s="259" t="s">
        <v>3061</v>
      </c>
      <c r="X510" s="264" t="s">
        <v>4502</v>
      </c>
      <c r="Y510" s="60">
        <v>148</v>
      </c>
      <c r="Z510" s="259" t="s">
        <v>3037</v>
      </c>
      <c r="AA510" s="259"/>
      <c r="AB510" s="259"/>
      <c r="AC510" s="259"/>
      <c r="AD510" s="259"/>
      <c r="AE510" s="259"/>
    </row>
    <row r="511" spans="1:31">
      <c r="A511" s="259" t="s">
        <v>660</v>
      </c>
      <c r="B511" s="259" t="s">
        <v>32</v>
      </c>
      <c r="C511" s="264" t="s">
        <v>46</v>
      </c>
      <c r="D511" s="264" t="s">
        <v>4505</v>
      </c>
      <c r="E511" s="259" t="s">
        <v>4499</v>
      </c>
      <c r="G511" s="259">
        <v>0</v>
      </c>
      <c r="H511" s="264" t="s">
        <v>4506</v>
      </c>
      <c r="I511" s="264" t="s">
        <v>4507</v>
      </c>
      <c r="J511" s="295">
        <v>0.01</v>
      </c>
      <c r="K511" s="295">
        <v>0.01</v>
      </c>
      <c r="L511" s="295">
        <v>0.01</v>
      </c>
      <c r="O511" s="266">
        <v>0</v>
      </c>
      <c r="P511" s="266">
        <v>718878024973</v>
      </c>
      <c r="Q511" s="266">
        <v>0</v>
      </c>
      <c r="R511" s="265">
        <v>0</v>
      </c>
      <c r="S511" s="265">
        <v>0</v>
      </c>
      <c r="T511" s="265">
        <v>0</v>
      </c>
      <c r="U511" s="265">
        <v>0</v>
      </c>
      <c r="V511" s="259" t="s">
        <v>4508</v>
      </c>
      <c r="W511" s="259" t="s">
        <v>3061</v>
      </c>
      <c r="X511" s="264" t="s">
        <v>4502</v>
      </c>
      <c r="Y511" s="60">
        <v>149</v>
      </c>
      <c r="Z511" s="259" t="s">
        <v>3037</v>
      </c>
      <c r="AA511" s="259"/>
      <c r="AB511" s="259"/>
      <c r="AC511" s="259"/>
      <c r="AD511" s="259"/>
      <c r="AE511" s="259"/>
    </row>
    <row r="512" spans="1:31">
      <c r="A512" s="259" t="s">
        <v>661</v>
      </c>
      <c r="B512" s="259" t="s">
        <v>32</v>
      </c>
      <c r="C512" s="264" t="s">
        <v>46</v>
      </c>
      <c r="D512" s="264" t="s">
        <v>4509</v>
      </c>
      <c r="E512" s="259" t="s">
        <v>4499</v>
      </c>
      <c r="G512" s="259">
        <v>0</v>
      </c>
      <c r="H512" s="264" t="s">
        <v>4510</v>
      </c>
      <c r="I512" s="264" t="s">
        <v>4511</v>
      </c>
      <c r="J512" s="295">
        <v>0.01</v>
      </c>
      <c r="K512" s="295">
        <v>0.01</v>
      </c>
      <c r="L512" s="295">
        <v>0.01</v>
      </c>
      <c r="O512" s="266">
        <v>0</v>
      </c>
      <c r="P512" s="266">
        <v>718878024980</v>
      </c>
      <c r="Q512" s="266">
        <v>0</v>
      </c>
      <c r="R512" s="265">
        <v>0</v>
      </c>
      <c r="S512" s="265">
        <v>0</v>
      </c>
      <c r="T512" s="265">
        <v>0</v>
      </c>
      <c r="U512" s="265">
        <v>0</v>
      </c>
      <c r="V512" s="259" t="s">
        <v>3834</v>
      </c>
      <c r="W512" s="259" t="s">
        <v>3061</v>
      </c>
      <c r="X512" s="264" t="s">
        <v>4502</v>
      </c>
      <c r="Y512" s="60">
        <v>150</v>
      </c>
      <c r="Z512" s="259" t="s">
        <v>3037</v>
      </c>
      <c r="AA512" s="259"/>
      <c r="AB512" s="259"/>
      <c r="AC512" s="259"/>
      <c r="AD512" s="259"/>
      <c r="AE512" s="259"/>
    </row>
    <row r="513" spans="1:31">
      <c r="A513" s="259" t="s">
        <v>662</v>
      </c>
      <c r="B513" s="259" t="s">
        <v>32</v>
      </c>
      <c r="C513" s="264" t="s">
        <v>46</v>
      </c>
      <c r="D513" s="264" t="s">
        <v>2860</v>
      </c>
      <c r="E513" s="259" t="s">
        <v>4499</v>
      </c>
      <c r="G513" s="259">
        <v>0</v>
      </c>
      <c r="H513" s="264" t="s">
        <v>4512</v>
      </c>
      <c r="I513" s="264" t="s">
        <v>4513</v>
      </c>
      <c r="J513" s="295">
        <v>9003.5</v>
      </c>
      <c r="K513" s="295">
        <v>9003.5</v>
      </c>
      <c r="L513" s="295">
        <v>6752.63</v>
      </c>
      <c r="O513" s="266">
        <v>0</v>
      </c>
      <c r="P513" s="266">
        <v>718878243886</v>
      </c>
      <c r="Q513" s="266">
        <v>0</v>
      </c>
      <c r="R513" s="265">
        <v>0</v>
      </c>
      <c r="S513" s="265">
        <v>0</v>
      </c>
      <c r="T513" s="265">
        <v>0</v>
      </c>
      <c r="U513" s="265">
        <v>0</v>
      </c>
      <c r="V513" s="259" t="s">
        <v>3834</v>
      </c>
      <c r="W513" s="259" t="s">
        <v>3061</v>
      </c>
      <c r="X513" s="264" t="s">
        <v>4502</v>
      </c>
      <c r="Y513" s="60">
        <v>151</v>
      </c>
      <c r="Z513" s="259" t="s">
        <v>3264</v>
      </c>
      <c r="AA513" s="259"/>
      <c r="AB513" s="259"/>
      <c r="AC513" s="259"/>
      <c r="AD513" s="259"/>
      <c r="AE513" s="259"/>
    </row>
    <row r="514" spans="1:31">
      <c r="A514" s="259" t="s">
        <v>663</v>
      </c>
      <c r="B514" s="259" t="s">
        <v>32</v>
      </c>
      <c r="C514" s="264" t="s">
        <v>46</v>
      </c>
      <c r="D514" s="264" t="s">
        <v>4514</v>
      </c>
      <c r="E514" s="259" t="s">
        <v>4499</v>
      </c>
      <c r="G514" s="259">
        <v>0</v>
      </c>
      <c r="H514" s="264" t="s">
        <v>4515</v>
      </c>
      <c r="I514" s="264" t="s">
        <v>4516</v>
      </c>
      <c r="J514" s="295">
        <v>3001.2</v>
      </c>
      <c r="K514" s="295">
        <v>3001.2</v>
      </c>
      <c r="L514" s="295">
        <v>2250.9</v>
      </c>
      <c r="O514" s="266">
        <v>0</v>
      </c>
      <c r="P514" s="266">
        <v>718878024997</v>
      </c>
      <c r="Q514" s="266">
        <v>0</v>
      </c>
      <c r="R514" s="265">
        <v>0</v>
      </c>
      <c r="S514" s="265">
        <v>0</v>
      </c>
      <c r="T514" s="265">
        <v>0</v>
      </c>
      <c r="U514" s="265">
        <v>0</v>
      </c>
      <c r="V514" s="259" t="s">
        <v>3834</v>
      </c>
      <c r="W514" s="259" t="s">
        <v>3061</v>
      </c>
      <c r="X514" s="264" t="s">
        <v>4502</v>
      </c>
      <c r="Y514" s="60">
        <v>152</v>
      </c>
      <c r="Z514" s="259" t="s">
        <v>3037</v>
      </c>
      <c r="AA514" s="259"/>
      <c r="AB514" s="259"/>
      <c r="AC514" s="259"/>
      <c r="AD514" s="259"/>
      <c r="AE514" s="259"/>
    </row>
    <row r="515" spans="1:31">
      <c r="A515" s="259" t="s">
        <v>664</v>
      </c>
      <c r="B515" s="259" t="s">
        <v>32</v>
      </c>
      <c r="C515" s="264" t="s">
        <v>51</v>
      </c>
      <c r="D515" s="264" t="s">
        <v>4517</v>
      </c>
      <c r="E515" s="259" t="s">
        <v>4047</v>
      </c>
      <c r="G515" s="259">
        <v>0</v>
      </c>
      <c r="H515" s="264" t="s">
        <v>4518</v>
      </c>
      <c r="I515" s="264" t="s">
        <v>4519</v>
      </c>
      <c r="J515" s="295">
        <v>372.1</v>
      </c>
      <c r="K515" s="295">
        <v>372.1</v>
      </c>
      <c r="L515" s="295">
        <v>186.05</v>
      </c>
      <c r="O515" s="266">
        <v>0</v>
      </c>
      <c r="P515" s="266">
        <v>718878023013</v>
      </c>
      <c r="Q515" s="266">
        <v>0</v>
      </c>
      <c r="R515" s="265">
        <v>2</v>
      </c>
      <c r="S515" s="265">
        <v>12</v>
      </c>
      <c r="T515" s="265">
        <v>19</v>
      </c>
      <c r="U515" s="265">
        <v>1.72</v>
      </c>
      <c r="V515" s="259" t="s">
        <v>3834</v>
      </c>
      <c r="W515" s="259" t="s">
        <v>3061</v>
      </c>
      <c r="X515" s="264" t="s">
        <v>4520</v>
      </c>
      <c r="Y515" s="60">
        <v>153</v>
      </c>
      <c r="Z515" s="259" t="s">
        <v>3030</v>
      </c>
      <c r="AA515" s="259"/>
      <c r="AB515" s="259"/>
      <c r="AC515" s="259"/>
      <c r="AD515" s="259"/>
      <c r="AE515" s="259"/>
    </row>
    <row r="516" spans="1:31">
      <c r="A516" s="259" t="s">
        <v>665</v>
      </c>
      <c r="B516" s="259" t="s">
        <v>32</v>
      </c>
      <c r="C516" s="264" t="s">
        <v>44</v>
      </c>
      <c r="D516" s="264" t="s">
        <v>2844</v>
      </c>
      <c r="E516" s="259" t="s">
        <v>4083</v>
      </c>
      <c r="G516" s="292" t="s">
        <v>4167</v>
      </c>
      <c r="H516" s="264" t="s">
        <v>4521</v>
      </c>
      <c r="I516" s="264" t="s">
        <v>4522</v>
      </c>
      <c r="J516" s="295">
        <v>1140.7</v>
      </c>
      <c r="K516" s="295">
        <v>338</v>
      </c>
      <c r="L516" s="295">
        <v>169</v>
      </c>
      <c r="O516" s="266">
        <v>0</v>
      </c>
      <c r="P516" s="266">
        <v>718878009925</v>
      </c>
      <c r="Q516" s="266">
        <v>0</v>
      </c>
      <c r="R516" s="265">
        <v>6.3</v>
      </c>
      <c r="S516" s="265">
        <v>23.5</v>
      </c>
      <c r="T516" s="265">
        <v>3</v>
      </c>
      <c r="U516" s="265">
        <v>4.125</v>
      </c>
      <c r="V516" s="259" t="s">
        <v>3028</v>
      </c>
      <c r="W516" s="259" t="s">
        <v>4130</v>
      </c>
      <c r="X516" s="264" t="s">
        <v>4523</v>
      </c>
      <c r="Y516" s="60">
        <v>154</v>
      </c>
      <c r="Z516" s="259" t="s">
        <v>3227</v>
      </c>
      <c r="AA516" s="259"/>
      <c r="AB516" s="259"/>
      <c r="AC516" s="259"/>
      <c r="AD516" s="259"/>
      <c r="AE516" s="259"/>
    </row>
    <row r="517" spans="1:31">
      <c r="A517" s="259" t="s">
        <v>666</v>
      </c>
      <c r="B517" s="259" t="s">
        <v>32</v>
      </c>
      <c r="C517" s="264" t="s">
        <v>44</v>
      </c>
      <c r="D517" s="264" t="s">
        <v>2846</v>
      </c>
      <c r="E517" s="259" t="s">
        <v>4083</v>
      </c>
      <c r="G517" s="292" t="s">
        <v>4167</v>
      </c>
      <c r="H517" s="264" t="s">
        <v>4524</v>
      </c>
      <c r="I517" s="264" t="s">
        <v>4525</v>
      </c>
      <c r="J517" s="295">
        <v>1140.7</v>
      </c>
      <c r="K517" s="295">
        <v>338</v>
      </c>
      <c r="L517" s="295">
        <v>169</v>
      </c>
      <c r="O517" s="266">
        <v>0</v>
      </c>
      <c r="P517" s="266">
        <v>718878019795</v>
      </c>
      <c r="Q517" s="266">
        <v>0</v>
      </c>
      <c r="R517" s="265">
        <v>6.3</v>
      </c>
      <c r="S517" s="265">
        <v>23.5</v>
      </c>
      <c r="T517" s="265">
        <v>3</v>
      </c>
      <c r="U517" s="265">
        <v>4.125</v>
      </c>
      <c r="V517" s="259" t="s">
        <v>3028</v>
      </c>
      <c r="W517" s="259" t="s">
        <v>4130</v>
      </c>
      <c r="X517" s="264" t="s">
        <v>4523</v>
      </c>
      <c r="Y517" s="60">
        <v>155</v>
      </c>
      <c r="AA517" s="259"/>
      <c r="AB517" s="259"/>
      <c r="AC517" s="259"/>
      <c r="AD517" s="259"/>
      <c r="AE517" s="259"/>
    </row>
    <row r="518" spans="1:31">
      <c r="A518" s="259" t="s">
        <v>667</v>
      </c>
      <c r="B518" s="259" t="s">
        <v>32</v>
      </c>
      <c r="C518" s="264" t="s">
        <v>44</v>
      </c>
      <c r="D518" s="264" t="s">
        <v>2846</v>
      </c>
      <c r="E518" s="259" t="s">
        <v>4083</v>
      </c>
      <c r="G518" s="292" t="s">
        <v>4167</v>
      </c>
      <c r="H518" s="264" t="s">
        <v>4524</v>
      </c>
      <c r="I518" s="264" t="s">
        <v>4525</v>
      </c>
      <c r="J518" s="295">
        <v>1140.7</v>
      </c>
      <c r="K518" s="295">
        <v>338</v>
      </c>
      <c r="L518" s="295">
        <v>169</v>
      </c>
      <c r="O518" s="266">
        <v>0</v>
      </c>
      <c r="P518" s="266">
        <v>718878019795</v>
      </c>
      <c r="Q518" s="266">
        <v>0</v>
      </c>
      <c r="R518" s="265">
        <v>6.3</v>
      </c>
      <c r="S518" s="265">
        <v>23.5</v>
      </c>
      <c r="T518" s="265">
        <v>3</v>
      </c>
      <c r="U518" s="265">
        <v>4.125</v>
      </c>
      <c r="V518" s="259" t="s">
        <v>3028</v>
      </c>
      <c r="W518" s="259" t="s">
        <v>4130</v>
      </c>
      <c r="X518" s="264" t="s">
        <v>4523</v>
      </c>
      <c r="Y518" s="60">
        <v>156</v>
      </c>
      <c r="Z518" s="259" t="s">
        <v>3227</v>
      </c>
      <c r="AA518" s="259"/>
      <c r="AB518" s="259"/>
      <c r="AC518" s="259"/>
      <c r="AD518" s="259"/>
      <c r="AE518" s="259"/>
    </row>
    <row r="519" spans="1:31">
      <c r="A519" s="259" t="s">
        <v>668</v>
      </c>
      <c r="B519" s="259" t="s">
        <v>32</v>
      </c>
      <c r="C519" s="264" t="s">
        <v>44</v>
      </c>
      <c r="D519" s="264" t="s">
        <v>2848</v>
      </c>
      <c r="E519" s="259" t="s">
        <v>4083</v>
      </c>
      <c r="G519" s="292" t="s">
        <v>4167</v>
      </c>
      <c r="H519" s="264" t="s">
        <v>4526</v>
      </c>
      <c r="I519" s="264" t="s">
        <v>4527</v>
      </c>
      <c r="J519" s="295">
        <v>1656.5</v>
      </c>
      <c r="K519" s="295">
        <v>458</v>
      </c>
      <c r="L519" s="295">
        <v>229</v>
      </c>
      <c r="O519" s="266">
        <v>0</v>
      </c>
      <c r="P519" s="266">
        <v>718878009918</v>
      </c>
      <c r="Q519" s="266">
        <v>0</v>
      </c>
      <c r="R519" s="265">
        <v>6.45</v>
      </c>
      <c r="S519" s="265">
        <v>23.5</v>
      </c>
      <c r="T519" s="265">
        <v>5.25</v>
      </c>
      <c r="U519" s="265">
        <v>4.125</v>
      </c>
      <c r="V519" s="259" t="s">
        <v>3028</v>
      </c>
      <c r="W519" s="259" t="s">
        <v>4130</v>
      </c>
      <c r="X519" s="264" t="s">
        <v>4528</v>
      </c>
      <c r="Y519" s="60">
        <v>157</v>
      </c>
      <c r="Z519" s="259" t="s">
        <v>3227</v>
      </c>
      <c r="AA519" s="259"/>
      <c r="AB519" s="259"/>
      <c r="AC519" s="259"/>
      <c r="AD519" s="259"/>
      <c r="AE519" s="259"/>
    </row>
    <row r="520" spans="1:31">
      <c r="A520" s="259" t="s">
        <v>669</v>
      </c>
      <c r="B520" s="259" t="s">
        <v>32</v>
      </c>
      <c r="C520" s="264" t="s">
        <v>35</v>
      </c>
      <c r="D520" s="264" t="s">
        <v>4529</v>
      </c>
      <c r="E520" s="259" t="s">
        <v>4083</v>
      </c>
      <c r="G520" s="292" t="s">
        <v>4167</v>
      </c>
      <c r="H520" s="264" t="s">
        <v>4530</v>
      </c>
      <c r="I520" s="264" t="s">
        <v>4531</v>
      </c>
      <c r="J520" s="295">
        <v>2972.6</v>
      </c>
      <c r="K520" s="295">
        <v>1398</v>
      </c>
      <c r="L520" s="295">
        <v>699</v>
      </c>
      <c r="O520" s="266">
        <v>0</v>
      </c>
      <c r="P520" s="266">
        <v>718878022832</v>
      </c>
      <c r="Q520" s="266">
        <v>0</v>
      </c>
      <c r="R520" s="265">
        <v>1.95</v>
      </c>
      <c r="S520" s="265">
        <v>10.0625</v>
      </c>
      <c r="T520" s="265">
        <v>6.8125</v>
      </c>
      <c r="U520" s="265">
        <v>2</v>
      </c>
      <c r="V520" s="259" t="s">
        <v>4159</v>
      </c>
      <c r="W520" s="259" t="s">
        <v>3061</v>
      </c>
      <c r="X520" s="264" t="s">
        <v>4532</v>
      </c>
      <c r="Y520" s="60">
        <v>158</v>
      </c>
      <c r="Z520" s="259" t="s">
        <v>3227</v>
      </c>
      <c r="AA520" s="259"/>
      <c r="AB520" s="259"/>
      <c r="AC520" s="259"/>
      <c r="AD520" s="259"/>
      <c r="AE520" s="259"/>
    </row>
    <row r="521" spans="1:31">
      <c r="A521" s="259" t="s">
        <v>670</v>
      </c>
      <c r="B521" s="259" t="s">
        <v>32</v>
      </c>
      <c r="C521" s="264" t="s">
        <v>34</v>
      </c>
      <c r="D521" s="264" t="s">
        <v>2862</v>
      </c>
      <c r="E521" s="259" t="s">
        <v>4139</v>
      </c>
      <c r="G521" s="259">
        <v>0</v>
      </c>
      <c r="H521" s="264" t="s">
        <v>4533</v>
      </c>
      <c r="I521" s="264" t="s">
        <v>4534</v>
      </c>
      <c r="J521" s="295">
        <v>188.6</v>
      </c>
      <c r="K521" s="295">
        <v>188.6</v>
      </c>
      <c r="L521" s="295">
        <v>94.3</v>
      </c>
      <c r="O521" s="266">
        <v>0</v>
      </c>
      <c r="P521" s="266">
        <v>718878007532</v>
      </c>
      <c r="Q521" s="266">
        <v>0</v>
      </c>
      <c r="R521" s="265">
        <v>0.35</v>
      </c>
      <c r="S521" s="265">
        <v>3.88</v>
      </c>
      <c r="T521" s="265">
        <v>1.75</v>
      </c>
      <c r="U521" s="265">
        <v>1.25</v>
      </c>
      <c r="V521" s="259" t="s">
        <v>3028</v>
      </c>
      <c r="W521" s="259" t="s">
        <v>4130</v>
      </c>
      <c r="X521" s="264" t="s">
        <v>4535</v>
      </c>
      <c r="Y521" s="60">
        <v>159</v>
      </c>
      <c r="Z521" s="259" t="s">
        <v>3227</v>
      </c>
      <c r="AA521" s="259"/>
      <c r="AB521" s="259"/>
      <c r="AC521" s="259"/>
      <c r="AD521" s="259"/>
      <c r="AE521" s="259"/>
    </row>
    <row r="522" spans="1:31">
      <c r="A522" s="259" t="s">
        <v>671</v>
      </c>
      <c r="B522" s="259" t="s">
        <v>32</v>
      </c>
      <c r="C522" s="264" t="s">
        <v>47</v>
      </c>
      <c r="D522" s="264" t="s">
        <v>4536</v>
      </c>
      <c r="E522" s="259" t="s">
        <v>4139</v>
      </c>
      <c r="G522" s="259">
        <v>0</v>
      </c>
      <c r="H522" s="264" t="s">
        <v>4537</v>
      </c>
      <c r="I522" s="264" t="s">
        <v>4538</v>
      </c>
      <c r="J522" s="295">
        <v>192.1</v>
      </c>
      <c r="K522" s="295">
        <v>192.1</v>
      </c>
      <c r="L522" s="295">
        <v>96.05</v>
      </c>
      <c r="O522" s="266">
        <v>0</v>
      </c>
      <c r="P522" s="266">
        <v>718878022917</v>
      </c>
      <c r="Q522" s="266">
        <v>0</v>
      </c>
      <c r="R522" s="265">
        <v>1.1000000000000001</v>
      </c>
      <c r="S522" s="265">
        <v>4.5</v>
      </c>
      <c r="T522" s="265">
        <v>2</v>
      </c>
      <c r="U522" s="265">
        <v>1.25</v>
      </c>
      <c r="V522" s="259" t="s">
        <v>3028</v>
      </c>
      <c r="W522" s="259" t="s">
        <v>4130</v>
      </c>
      <c r="X522" s="264" t="s">
        <v>4539</v>
      </c>
      <c r="Y522" s="60">
        <v>160</v>
      </c>
      <c r="AA522" s="259"/>
      <c r="AB522" s="259"/>
      <c r="AC522" s="259"/>
      <c r="AD522" s="259"/>
      <c r="AE522" s="259"/>
    </row>
    <row r="523" spans="1:31">
      <c r="A523" s="259" t="s">
        <v>672</v>
      </c>
      <c r="B523" s="259" t="s">
        <v>32</v>
      </c>
      <c r="C523" s="264" t="s">
        <v>47</v>
      </c>
      <c r="D523" s="264" t="s">
        <v>2864</v>
      </c>
      <c r="E523" s="259" t="s">
        <v>4139</v>
      </c>
      <c r="G523" s="259">
        <v>0</v>
      </c>
      <c r="H523" s="264" t="s">
        <v>4540</v>
      </c>
      <c r="I523" s="264" t="s">
        <v>4541</v>
      </c>
      <c r="J523" s="295">
        <v>612.20000000000005</v>
      </c>
      <c r="K523" s="295">
        <v>612.20000000000005</v>
      </c>
      <c r="L523" s="295">
        <v>306.10000000000002</v>
      </c>
      <c r="O523" s="266">
        <v>0</v>
      </c>
      <c r="P523" s="266">
        <v>718878026298</v>
      </c>
      <c r="Q523" s="266">
        <v>0</v>
      </c>
      <c r="R523" s="265">
        <v>1.45</v>
      </c>
      <c r="S523" s="265">
        <v>5.63</v>
      </c>
      <c r="T523" s="265">
        <v>5.13</v>
      </c>
      <c r="U523" s="265">
        <v>1.63</v>
      </c>
      <c r="V523" s="259" t="s">
        <v>3028</v>
      </c>
      <c r="W523" s="259" t="s">
        <v>4130</v>
      </c>
      <c r="X523" s="264" t="s">
        <v>4542</v>
      </c>
      <c r="Y523" s="60">
        <v>161</v>
      </c>
      <c r="Z523" s="259" t="s">
        <v>3030</v>
      </c>
      <c r="AA523" s="259"/>
      <c r="AB523" s="259"/>
      <c r="AC523" s="259"/>
      <c r="AD523" s="259"/>
      <c r="AE523" s="259"/>
    </row>
    <row r="524" spans="1:31">
      <c r="A524" s="259" t="s">
        <v>673</v>
      </c>
      <c r="B524" s="259" t="s">
        <v>32</v>
      </c>
      <c r="C524" s="264" t="s">
        <v>34</v>
      </c>
      <c r="D524" s="264" t="s">
        <v>2866</v>
      </c>
      <c r="E524" s="259" t="s">
        <v>4083</v>
      </c>
      <c r="G524" s="259">
        <v>0</v>
      </c>
      <c r="H524" s="264" t="s">
        <v>4543</v>
      </c>
      <c r="I524" s="264" t="s">
        <v>4544</v>
      </c>
      <c r="J524" s="295">
        <v>153.19999999999999</v>
      </c>
      <c r="K524" s="295">
        <v>153.19999999999999</v>
      </c>
      <c r="L524" s="295">
        <v>76.599999999999994</v>
      </c>
      <c r="O524" s="266">
        <v>0</v>
      </c>
      <c r="P524" s="266">
        <v>718878244333</v>
      </c>
      <c r="Q524" s="266">
        <v>0</v>
      </c>
      <c r="R524" s="265">
        <v>0.44</v>
      </c>
      <c r="S524" s="265">
        <v>5.25</v>
      </c>
      <c r="T524" s="265">
        <v>2.13</v>
      </c>
      <c r="U524" s="265">
        <v>1.44</v>
      </c>
      <c r="V524" s="259" t="s">
        <v>3028</v>
      </c>
      <c r="W524" s="259" t="s">
        <v>4130</v>
      </c>
      <c r="X524" s="264" t="s">
        <v>4545</v>
      </c>
      <c r="Y524" s="60">
        <v>162</v>
      </c>
      <c r="AA524" s="259"/>
      <c r="AB524" s="259"/>
      <c r="AC524" s="259"/>
      <c r="AD524" s="259"/>
      <c r="AE524" s="259"/>
    </row>
    <row r="525" spans="1:31">
      <c r="A525" s="259" t="s">
        <v>674</v>
      </c>
      <c r="B525" s="259" t="s">
        <v>32</v>
      </c>
      <c r="C525" s="264" t="s">
        <v>34</v>
      </c>
      <c r="D525" s="264" t="s">
        <v>2868</v>
      </c>
      <c r="E525" s="259" t="s">
        <v>4083</v>
      </c>
      <c r="G525" s="259">
        <v>0</v>
      </c>
      <c r="H525" s="264" t="s">
        <v>4546</v>
      </c>
      <c r="I525" s="264" t="s">
        <v>4547</v>
      </c>
      <c r="J525" s="295">
        <v>240.1</v>
      </c>
      <c r="K525" s="295">
        <v>240.1</v>
      </c>
      <c r="L525" s="295">
        <v>120.05</v>
      </c>
      <c r="O525" s="266">
        <v>0</v>
      </c>
      <c r="P525" s="266">
        <v>718878246665</v>
      </c>
      <c r="Q525" s="266">
        <v>0</v>
      </c>
      <c r="R525" s="265">
        <v>0.44</v>
      </c>
      <c r="S525" s="265">
        <v>5.25</v>
      </c>
      <c r="T525" s="265">
        <v>2.13</v>
      </c>
      <c r="U525" s="265">
        <v>1.44</v>
      </c>
      <c r="V525" s="259" t="s">
        <v>3028</v>
      </c>
      <c r="W525" s="259" t="s">
        <v>4130</v>
      </c>
      <c r="X525" s="264" t="s">
        <v>4548</v>
      </c>
      <c r="Y525" s="60">
        <v>163</v>
      </c>
      <c r="AA525" s="259"/>
      <c r="AB525" s="259"/>
      <c r="AC525" s="259"/>
      <c r="AD525" s="259"/>
      <c r="AE525" s="259"/>
    </row>
    <row r="526" spans="1:31">
      <c r="A526" s="259" t="s">
        <v>675</v>
      </c>
      <c r="B526" s="259" t="s">
        <v>32</v>
      </c>
      <c r="C526" s="264" t="s">
        <v>48</v>
      </c>
      <c r="D526" s="264" t="s">
        <v>2869</v>
      </c>
      <c r="E526" s="259" t="s">
        <v>4139</v>
      </c>
      <c r="G526" s="259">
        <v>0</v>
      </c>
      <c r="H526" s="264" t="s">
        <v>4549</v>
      </c>
      <c r="I526" s="264" t="s">
        <v>4550</v>
      </c>
      <c r="J526" s="295">
        <v>98.3</v>
      </c>
      <c r="K526" s="295">
        <v>98.3</v>
      </c>
      <c r="L526" s="295">
        <v>49.15</v>
      </c>
      <c r="O526" s="266">
        <v>0</v>
      </c>
      <c r="P526" s="266">
        <v>718878007617</v>
      </c>
      <c r="Q526" s="266">
        <v>0</v>
      </c>
      <c r="R526" s="265">
        <v>0.5</v>
      </c>
      <c r="S526" s="265">
        <v>1.75</v>
      </c>
      <c r="T526" s="265">
        <v>19</v>
      </c>
      <c r="U526" s="265">
        <v>0.5</v>
      </c>
      <c r="V526" s="259" t="s">
        <v>3834</v>
      </c>
      <c r="W526" s="259" t="s">
        <v>3061</v>
      </c>
      <c r="X526" s="264" t="s">
        <v>4551</v>
      </c>
      <c r="Y526" s="60">
        <v>164</v>
      </c>
      <c r="Z526" s="259" t="s">
        <v>3030</v>
      </c>
      <c r="AA526" s="259"/>
      <c r="AB526" s="259"/>
      <c r="AC526" s="259"/>
      <c r="AD526" s="259"/>
      <c r="AE526" s="259"/>
    </row>
    <row r="527" spans="1:31">
      <c r="A527" s="259" t="s">
        <v>676</v>
      </c>
      <c r="B527" s="259" t="s">
        <v>32</v>
      </c>
      <c r="C527" s="264" t="s">
        <v>42</v>
      </c>
      <c r="D527" s="264" t="s">
        <v>4552</v>
      </c>
      <c r="E527" s="259" t="s">
        <v>4038</v>
      </c>
      <c r="G527" s="259" t="s">
        <v>3378</v>
      </c>
      <c r="H527" s="264" t="s">
        <v>4553</v>
      </c>
      <c r="I527" s="264" t="s">
        <v>4554</v>
      </c>
      <c r="J527" s="295">
        <v>174.1</v>
      </c>
      <c r="K527" s="295">
        <v>174.1</v>
      </c>
      <c r="L527" s="295">
        <v>87.05</v>
      </c>
      <c r="O527" s="266">
        <v>0</v>
      </c>
      <c r="P527" s="266">
        <v>718878244777</v>
      </c>
      <c r="Q527" s="266">
        <v>0</v>
      </c>
      <c r="R527" s="265">
        <v>0.35</v>
      </c>
      <c r="S527" s="265">
        <v>2.0499999999999998</v>
      </c>
      <c r="T527" s="265">
        <v>1</v>
      </c>
      <c r="U527" s="265">
        <v>78.75</v>
      </c>
      <c r="V527" s="259" t="s">
        <v>3247</v>
      </c>
      <c r="W527" s="259" t="s">
        <v>3061</v>
      </c>
      <c r="X527" s="264" t="s">
        <v>4555</v>
      </c>
      <c r="Y527" s="60">
        <v>165</v>
      </c>
      <c r="Z527" s="259" t="s">
        <v>3227</v>
      </c>
      <c r="AA527" s="259"/>
      <c r="AB527" s="259"/>
      <c r="AC527" s="259"/>
      <c r="AD527" s="259"/>
      <c r="AE527" s="259"/>
    </row>
    <row r="528" spans="1:31">
      <c r="A528" s="259" t="s">
        <v>677</v>
      </c>
      <c r="B528" s="259" t="s">
        <v>32</v>
      </c>
      <c r="C528" s="264" t="s">
        <v>42</v>
      </c>
      <c r="D528" s="264" t="s">
        <v>4556</v>
      </c>
      <c r="E528" s="259" t="s">
        <v>4038</v>
      </c>
      <c r="G528" s="259">
        <v>0</v>
      </c>
      <c r="H528" s="264" t="s">
        <v>4557</v>
      </c>
      <c r="I528" s="264" t="s">
        <v>4558</v>
      </c>
      <c r="J528" s="295">
        <v>199.3</v>
      </c>
      <c r="K528" s="295">
        <v>199.3</v>
      </c>
      <c r="L528" s="295">
        <v>99.65</v>
      </c>
      <c r="O528" s="266">
        <v>0</v>
      </c>
      <c r="P528" s="266">
        <v>718878007839</v>
      </c>
      <c r="Q528" s="266">
        <v>0</v>
      </c>
      <c r="R528" s="265">
        <v>0.35</v>
      </c>
      <c r="S528" s="265">
        <v>2.0499999999999998</v>
      </c>
      <c r="T528" s="265">
        <v>1</v>
      </c>
      <c r="U528" s="265">
        <v>78.75</v>
      </c>
      <c r="V528" s="259" t="s">
        <v>3834</v>
      </c>
      <c r="W528" s="259" t="s">
        <v>3061</v>
      </c>
      <c r="X528" s="264" t="s">
        <v>4559</v>
      </c>
      <c r="Y528" s="60">
        <v>166</v>
      </c>
      <c r="Z528" s="259" t="s">
        <v>3030</v>
      </c>
      <c r="AA528" s="259"/>
      <c r="AB528" s="259"/>
      <c r="AC528" s="259"/>
      <c r="AD528" s="259"/>
      <c r="AE528" s="259"/>
    </row>
    <row r="529" spans="1:31">
      <c r="A529" s="259" t="s">
        <v>678</v>
      </c>
      <c r="B529" s="259" t="s">
        <v>32</v>
      </c>
      <c r="C529" s="264" t="s">
        <v>42</v>
      </c>
      <c r="D529" s="264" t="s">
        <v>4560</v>
      </c>
      <c r="E529" s="259" t="s">
        <v>4038</v>
      </c>
      <c r="G529" s="259" t="s">
        <v>3378</v>
      </c>
      <c r="H529" s="264" t="s">
        <v>4561</v>
      </c>
      <c r="I529" s="264" t="s">
        <v>4562</v>
      </c>
      <c r="J529" s="295">
        <v>162.1</v>
      </c>
      <c r="K529" s="295">
        <v>162.1</v>
      </c>
      <c r="L529" s="295">
        <v>81.05</v>
      </c>
      <c r="O529" s="266">
        <v>0</v>
      </c>
      <c r="P529" s="266">
        <v>718878244883</v>
      </c>
      <c r="Q529" s="266">
        <v>0</v>
      </c>
      <c r="R529" s="265">
        <v>0.35</v>
      </c>
      <c r="S529" s="265">
        <v>2.0499999999999998</v>
      </c>
      <c r="T529" s="265">
        <v>1</v>
      </c>
      <c r="U529" s="265">
        <v>78.75</v>
      </c>
      <c r="V529" s="259" t="s">
        <v>3834</v>
      </c>
      <c r="W529" s="259" t="s">
        <v>3061</v>
      </c>
      <c r="X529" s="264" t="s">
        <v>4563</v>
      </c>
      <c r="Y529" s="60">
        <v>167</v>
      </c>
      <c r="Z529" s="259" t="s">
        <v>3227</v>
      </c>
      <c r="AA529" s="259"/>
      <c r="AB529" s="259"/>
      <c r="AC529" s="259"/>
      <c r="AD529" s="259"/>
      <c r="AE529" s="259"/>
    </row>
    <row r="530" spans="1:31">
      <c r="A530" s="259" t="s">
        <v>679</v>
      </c>
      <c r="B530" s="259" t="s">
        <v>32</v>
      </c>
      <c r="C530" s="264" t="s">
        <v>42</v>
      </c>
      <c r="D530" s="264" t="s">
        <v>4564</v>
      </c>
      <c r="E530" s="259" t="s">
        <v>4038</v>
      </c>
      <c r="G530" s="259">
        <v>0</v>
      </c>
      <c r="H530" s="264" t="s">
        <v>4565</v>
      </c>
      <c r="I530" s="264" t="s">
        <v>4566</v>
      </c>
      <c r="J530" s="295">
        <v>367.3</v>
      </c>
      <c r="K530" s="295">
        <v>367.3</v>
      </c>
      <c r="L530" s="295">
        <v>183.65</v>
      </c>
      <c r="O530" s="266">
        <v>0</v>
      </c>
      <c r="P530" s="266">
        <v>718878025116</v>
      </c>
      <c r="Q530" s="266">
        <v>0</v>
      </c>
      <c r="R530" s="265">
        <v>1</v>
      </c>
      <c r="S530" s="265">
        <v>8</v>
      </c>
      <c r="T530" s="265">
        <v>1.5</v>
      </c>
      <c r="U530" s="265">
        <v>11.2</v>
      </c>
      <c r="V530" s="259" t="s">
        <v>3834</v>
      </c>
      <c r="W530" s="259" t="s">
        <v>3061</v>
      </c>
      <c r="X530" s="264" t="s">
        <v>4567</v>
      </c>
      <c r="Y530" s="60">
        <v>168</v>
      </c>
      <c r="Z530" s="259" t="s">
        <v>3030</v>
      </c>
      <c r="AA530" s="259"/>
      <c r="AB530" s="259"/>
      <c r="AC530" s="259"/>
      <c r="AD530" s="259"/>
      <c r="AE530" s="259"/>
    </row>
    <row r="531" spans="1:31">
      <c r="A531" s="259" t="s">
        <v>680</v>
      </c>
      <c r="B531" s="259" t="s">
        <v>32</v>
      </c>
      <c r="C531" s="264" t="s">
        <v>42</v>
      </c>
      <c r="D531" s="264" t="s">
        <v>4568</v>
      </c>
      <c r="E531" s="259" t="s">
        <v>4038</v>
      </c>
      <c r="G531" s="259">
        <v>0</v>
      </c>
      <c r="H531" s="264" t="s">
        <v>4569</v>
      </c>
      <c r="I531" s="264" t="s">
        <v>4570</v>
      </c>
      <c r="J531" s="295">
        <v>348.7</v>
      </c>
      <c r="K531" s="295">
        <v>348.7</v>
      </c>
      <c r="L531" s="295">
        <v>174.35</v>
      </c>
      <c r="O531" s="266">
        <v>0</v>
      </c>
      <c r="P531" s="266">
        <v>718878025130</v>
      </c>
      <c r="Q531" s="266">
        <v>0</v>
      </c>
      <c r="R531" s="265">
        <v>1</v>
      </c>
      <c r="S531" s="265">
        <v>8</v>
      </c>
      <c r="T531" s="265">
        <v>1.5</v>
      </c>
      <c r="U531" s="265">
        <v>11.2</v>
      </c>
      <c r="V531" s="259" t="s">
        <v>3834</v>
      </c>
      <c r="W531" s="259" t="s">
        <v>3061</v>
      </c>
      <c r="X531" s="264" t="s">
        <v>4571</v>
      </c>
      <c r="Y531" s="60">
        <v>169</v>
      </c>
      <c r="AA531" s="259"/>
      <c r="AB531" s="259"/>
      <c r="AC531" s="259"/>
      <c r="AD531" s="259"/>
      <c r="AE531" s="259"/>
    </row>
    <row r="532" spans="1:31">
      <c r="A532" s="259" t="s">
        <v>681</v>
      </c>
      <c r="B532" s="259" t="s">
        <v>32</v>
      </c>
      <c r="C532" s="264" t="s">
        <v>42</v>
      </c>
      <c r="D532" s="264" t="s">
        <v>4572</v>
      </c>
      <c r="E532" s="259" t="s">
        <v>4038</v>
      </c>
      <c r="G532" s="292" t="s">
        <v>4167</v>
      </c>
      <c r="H532" s="264" t="s">
        <v>4573</v>
      </c>
      <c r="I532" s="264" t="s">
        <v>4574</v>
      </c>
      <c r="J532" s="295">
        <v>348.7</v>
      </c>
      <c r="K532" s="295">
        <v>203.13</v>
      </c>
      <c r="L532" s="295">
        <v>101.57</v>
      </c>
      <c r="O532" s="266">
        <v>0</v>
      </c>
      <c r="P532" s="266">
        <v>718878025147</v>
      </c>
      <c r="Q532" s="266">
        <v>0</v>
      </c>
      <c r="R532" s="265">
        <v>1</v>
      </c>
      <c r="S532" s="265">
        <v>8</v>
      </c>
      <c r="T532" s="265">
        <v>1.5</v>
      </c>
      <c r="U532" s="265">
        <v>11.2</v>
      </c>
      <c r="V532" s="259" t="s">
        <v>3834</v>
      </c>
      <c r="W532" s="259" t="s">
        <v>3061</v>
      </c>
      <c r="X532" s="264" t="s">
        <v>4575</v>
      </c>
      <c r="Y532" s="60">
        <v>170</v>
      </c>
      <c r="Z532" s="259" t="s">
        <v>3227</v>
      </c>
      <c r="AA532" s="259"/>
      <c r="AB532" s="259"/>
      <c r="AC532" s="259"/>
      <c r="AD532" s="259"/>
      <c r="AE532" s="259"/>
    </row>
    <row r="533" spans="1:31">
      <c r="A533" s="259" t="s">
        <v>682</v>
      </c>
      <c r="B533" s="259" t="s">
        <v>32</v>
      </c>
      <c r="C533" s="264" t="s">
        <v>42</v>
      </c>
      <c r="D533" s="264" t="s">
        <v>4576</v>
      </c>
      <c r="E533" s="259" t="s">
        <v>4038</v>
      </c>
      <c r="G533" s="259">
        <v>0</v>
      </c>
      <c r="H533" s="264" t="s">
        <v>4577</v>
      </c>
      <c r="I533" s="264" t="s">
        <v>4578</v>
      </c>
      <c r="J533" s="295">
        <v>366.1</v>
      </c>
      <c r="K533" s="295">
        <v>366.1</v>
      </c>
      <c r="L533" s="295">
        <v>183.05</v>
      </c>
      <c r="O533" s="266">
        <v>0</v>
      </c>
      <c r="P533" s="266">
        <v>718878025161</v>
      </c>
      <c r="Q533" s="266">
        <v>0</v>
      </c>
      <c r="R533" s="265">
        <v>1</v>
      </c>
      <c r="S533" s="265">
        <v>8</v>
      </c>
      <c r="T533" s="265">
        <v>1.5</v>
      </c>
      <c r="U533" s="265">
        <v>11.2</v>
      </c>
      <c r="V533" s="259" t="s">
        <v>3834</v>
      </c>
      <c r="W533" s="259" t="s">
        <v>3061</v>
      </c>
      <c r="X533" s="264" t="s">
        <v>4579</v>
      </c>
      <c r="Y533" s="60">
        <v>171</v>
      </c>
      <c r="AA533" s="259"/>
      <c r="AB533" s="259"/>
      <c r="AC533" s="259"/>
      <c r="AD533" s="259"/>
      <c r="AE533" s="259"/>
    </row>
    <row r="534" spans="1:31">
      <c r="A534" s="259" t="s">
        <v>683</v>
      </c>
      <c r="B534" s="259" t="s">
        <v>32</v>
      </c>
      <c r="C534" s="264" t="s">
        <v>42</v>
      </c>
      <c r="D534" s="264" t="s">
        <v>4580</v>
      </c>
      <c r="E534" s="259" t="s">
        <v>4038</v>
      </c>
      <c r="G534" s="292" t="s">
        <v>4167</v>
      </c>
      <c r="H534" s="264" t="s">
        <v>4581</v>
      </c>
      <c r="I534" s="264" t="s">
        <v>4582</v>
      </c>
      <c r="J534" s="295">
        <v>365.9</v>
      </c>
      <c r="K534" s="295">
        <v>213.12</v>
      </c>
      <c r="L534" s="295">
        <v>106.56</v>
      </c>
      <c r="O534" s="266">
        <v>0</v>
      </c>
      <c r="P534" s="266">
        <v>718878032930</v>
      </c>
      <c r="Q534" s="266">
        <v>0</v>
      </c>
      <c r="R534" s="265">
        <v>1</v>
      </c>
      <c r="S534" s="265">
        <v>8</v>
      </c>
      <c r="T534" s="265">
        <v>1.5</v>
      </c>
      <c r="U534" s="265">
        <v>11.2</v>
      </c>
      <c r="V534" s="259" t="s">
        <v>3834</v>
      </c>
      <c r="W534" s="259" t="s">
        <v>3061</v>
      </c>
      <c r="X534" s="264" t="s">
        <v>4583</v>
      </c>
      <c r="Y534" s="60">
        <v>172</v>
      </c>
      <c r="Z534" s="259" t="s">
        <v>3227</v>
      </c>
      <c r="AA534" s="259"/>
      <c r="AB534" s="259"/>
      <c r="AC534" s="259"/>
      <c r="AD534" s="259"/>
      <c r="AE534" s="259"/>
    </row>
    <row r="535" spans="1:31">
      <c r="A535" s="259" t="s">
        <v>684</v>
      </c>
      <c r="B535" s="259" t="s">
        <v>32</v>
      </c>
      <c r="C535" s="264" t="s">
        <v>42</v>
      </c>
      <c r="D535" s="264" t="s">
        <v>4584</v>
      </c>
      <c r="E535" s="259" t="s">
        <v>4038</v>
      </c>
      <c r="G535" s="292" t="s">
        <v>4167</v>
      </c>
      <c r="H535" s="264" t="s">
        <v>4585</v>
      </c>
      <c r="I535" s="264" t="s">
        <v>4586</v>
      </c>
      <c r="J535" s="295">
        <v>348.7</v>
      </c>
      <c r="K535" s="295">
        <v>203.13</v>
      </c>
      <c r="L535" s="295">
        <v>101.57</v>
      </c>
      <c r="O535" s="266">
        <v>0</v>
      </c>
      <c r="P535" s="266">
        <v>718878022818</v>
      </c>
      <c r="Q535" s="266">
        <v>0</v>
      </c>
      <c r="R535" s="265">
        <v>1</v>
      </c>
      <c r="S535" s="265">
        <v>8</v>
      </c>
      <c r="T535" s="265">
        <v>1.5</v>
      </c>
      <c r="U535" s="265">
        <v>11.2</v>
      </c>
      <c r="V535" s="259" t="s">
        <v>3834</v>
      </c>
      <c r="W535" s="259" t="s">
        <v>3061</v>
      </c>
      <c r="X535" s="264" t="s">
        <v>4587</v>
      </c>
      <c r="Y535" s="60">
        <v>173</v>
      </c>
      <c r="Z535" s="259" t="s">
        <v>3227</v>
      </c>
      <c r="AA535" s="259"/>
      <c r="AB535" s="259"/>
      <c r="AC535" s="259"/>
      <c r="AD535" s="259"/>
      <c r="AE535" s="259"/>
    </row>
    <row r="536" spans="1:31">
      <c r="A536" s="259" t="s">
        <v>685</v>
      </c>
      <c r="B536" s="259" t="s">
        <v>32</v>
      </c>
      <c r="C536" s="264" t="s">
        <v>42</v>
      </c>
      <c r="D536" s="264" t="s">
        <v>4588</v>
      </c>
      <c r="E536" s="259" t="s">
        <v>4038</v>
      </c>
      <c r="G536" s="259">
        <v>0</v>
      </c>
      <c r="H536" s="264" t="s">
        <v>4589</v>
      </c>
      <c r="I536" s="264" t="s">
        <v>4590</v>
      </c>
      <c r="J536" s="295">
        <v>62.4</v>
      </c>
      <c r="K536" s="295">
        <v>62.4</v>
      </c>
      <c r="L536" s="295">
        <v>31.2</v>
      </c>
      <c r="O536" s="266">
        <v>0</v>
      </c>
      <c r="P536" s="266">
        <v>718878007877</v>
      </c>
      <c r="Q536" s="266">
        <v>0</v>
      </c>
      <c r="R536" s="265">
        <v>0.1</v>
      </c>
      <c r="S536" s="265">
        <v>2.0499999999999998</v>
      </c>
      <c r="T536" s="265">
        <v>1</v>
      </c>
      <c r="U536" s="265">
        <v>2</v>
      </c>
      <c r="V536" s="259" t="s">
        <v>3834</v>
      </c>
      <c r="W536" s="259" t="s">
        <v>3061</v>
      </c>
      <c r="X536" s="264" t="s">
        <v>4591</v>
      </c>
      <c r="Y536" s="60">
        <v>174</v>
      </c>
      <c r="Z536" s="259" t="s">
        <v>3030</v>
      </c>
      <c r="AA536" s="259"/>
      <c r="AB536" s="259"/>
      <c r="AC536" s="259"/>
      <c r="AD536" s="259"/>
      <c r="AE536" s="259"/>
    </row>
    <row r="537" spans="1:31">
      <c r="A537" s="259" t="s">
        <v>686</v>
      </c>
      <c r="B537" s="259" t="s">
        <v>32</v>
      </c>
      <c r="C537" s="264" t="s">
        <v>42</v>
      </c>
      <c r="D537" s="264" t="s">
        <v>4592</v>
      </c>
      <c r="E537" s="259" t="s">
        <v>4038</v>
      </c>
      <c r="G537" s="259">
        <v>0</v>
      </c>
      <c r="H537" s="264" t="s">
        <v>4593</v>
      </c>
      <c r="I537" s="264" t="s">
        <v>4594</v>
      </c>
      <c r="J537" s="295">
        <v>97.2</v>
      </c>
      <c r="K537" s="295">
        <v>97.2</v>
      </c>
      <c r="L537" s="295">
        <v>48.6</v>
      </c>
      <c r="O537" s="266">
        <v>0</v>
      </c>
      <c r="P537" s="266">
        <v>718878007884</v>
      </c>
      <c r="Q537" s="266">
        <v>0</v>
      </c>
      <c r="R537" s="265">
        <v>0.1</v>
      </c>
      <c r="S537" s="265">
        <v>2.0499999999999998</v>
      </c>
      <c r="T537" s="265">
        <v>1</v>
      </c>
      <c r="U537" s="265">
        <v>2</v>
      </c>
      <c r="V537" s="259" t="s">
        <v>3834</v>
      </c>
      <c r="W537" s="259" t="s">
        <v>3061</v>
      </c>
      <c r="X537" s="264" t="s">
        <v>4595</v>
      </c>
      <c r="Y537" s="60">
        <v>175</v>
      </c>
      <c r="Z537" s="259" t="s">
        <v>3030</v>
      </c>
      <c r="AA537" s="259"/>
      <c r="AB537" s="259"/>
      <c r="AC537" s="259"/>
      <c r="AD537" s="259"/>
      <c r="AE537" s="259"/>
    </row>
    <row r="538" spans="1:31">
      <c r="A538" s="259" t="s">
        <v>687</v>
      </c>
      <c r="B538" s="259" t="s">
        <v>32</v>
      </c>
      <c r="C538" s="264" t="s">
        <v>42</v>
      </c>
      <c r="D538" s="264" t="s">
        <v>4596</v>
      </c>
      <c r="E538" s="259" t="s">
        <v>4038</v>
      </c>
      <c r="G538" s="259">
        <v>0</v>
      </c>
      <c r="H538" s="264" t="s">
        <v>4597</v>
      </c>
      <c r="I538" s="264" t="s">
        <v>4598</v>
      </c>
      <c r="J538" s="295">
        <v>78</v>
      </c>
      <c r="K538" s="295">
        <v>78</v>
      </c>
      <c r="L538" s="295">
        <v>39</v>
      </c>
      <c r="O538" s="266">
        <v>0</v>
      </c>
      <c r="P538" s="266">
        <v>718878007891</v>
      </c>
      <c r="Q538" s="266">
        <v>0</v>
      </c>
      <c r="R538" s="265">
        <v>0.25</v>
      </c>
      <c r="S538" s="265">
        <v>2.0499999999999998</v>
      </c>
      <c r="T538" s="265">
        <v>1</v>
      </c>
      <c r="U538" s="265">
        <v>72</v>
      </c>
      <c r="V538" s="259" t="s">
        <v>3834</v>
      </c>
      <c r="W538" s="259" t="s">
        <v>3061</v>
      </c>
      <c r="X538" s="264" t="s">
        <v>4599</v>
      </c>
      <c r="Y538" s="60">
        <v>176</v>
      </c>
      <c r="Z538" s="259" t="s">
        <v>3030</v>
      </c>
      <c r="AA538" s="259"/>
      <c r="AB538" s="259"/>
      <c r="AC538" s="259"/>
      <c r="AD538" s="259"/>
      <c r="AE538" s="259"/>
    </row>
    <row r="539" spans="1:31">
      <c r="A539" s="259" t="s">
        <v>688</v>
      </c>
      <c r="B539" s="259" t="s">
        <v>32</v>
      </c>
      <c r="C539" s="264" t="s">
        <v>42</v>
      </c>
      <c r="D539" s="264" t="s">
        <v>4600</v>
      </c>
      <c r="E539" s="259" t="s">
        <v>4038</v>
      </c>
      <c r="G539" s="259">
        <v>0</v>
      </c>
      <c r="H539" s="264" t="s">
        <v>4601</v>
      </c>
      <c r="I539" s="264" t="s">
        <v>4602</v>
      </c>
      <c r="J539" s="295">
        <v>99.6</v>
      </c>
      <c r="K539" s="295">
        <v>99.6</v>
      </c>
      <c r="L539" s="295">
        <v>49.8</v>
      </c>
      <c r="O539" s="266">
        <v>0</v>
      </c>
      <c r="P539" s="266">
        <v>718878025178</v>
      </c>
      <c r="Q539" s="266">
        <v>0</v>
      </c>
      <c r="R539" s="265">
        <v>0.35</v>
      </c>
      <c r="S539" s="265">
        <v>2.0499999999999998</v>
      </c>
      <c r="T539" s="265">
        <v>1</v>
      </c>
      <c r="U539" s="265">
        <v>72</v>
      </c>
      <c r="V539" s="259" t="s">
        <v>3247</v>
      </c>
      <c r="W539" s="259" t="s">
        <v>3061</v>
      </c>
      <c r="X539" s="264" t="s">
        <v>4603</v>
      </c>
      <c r="Y539" s="60">
        <v>177</v>
      </c>
      <c r="AA539" s="259"/>
      <c r="AB539" s="259"/>
      <c r="AC539" s="259"/>
      <c r="AD539" s="259"/>
      <c r="AE539" s="259"/>
    </row>
    <row r="540" spans="1:31">
      <c r="A540" s="259" t="s">
        <v>689</v>
      </c>
      <c r="B540" s="259" t="s">
        <v>32</v>
      </c>
      <c r="C540" s="264" t="s">
        <v>42</v>
      </c>
      <c r="D540" s="264" t="s">
        <v>4604</v>
      </c>
      <c r="E540" s="259" t="s">
        <v>4038</v>
      </c>
      <c r="G540" s="259">
        <v>0</v>
      </c>
      <c r="H540" s="264" t="s">
        <v>4605</v>
      </c>
      <c r="I540" s="264" t="s">
        <v>4606</v>
      </c>
      <c r="J540" s="295">
        <v>226.4</v>
      </c>
      <c r="K540" s="295">
        <v>226.4</v>
      </c>
      <c r="L540" s="295">
        <v>113.2</v>
      </c>
      <c r="O540" s="266">
        <v>0</v>
      </c>
      <c r="P540" s="266">
        <v>718878249444</v>
      </c>
      <c r="Q540" s="266">
        <v>0</v>
      </c>
      <c r="R540" s="265">
        <v>0.6</v>
      </c>
      <c r="S540" s="265">
        <v>2.0499999999999998</v>
      </c>
      <c r="T540" s="265">
        <v>1</v>
      </c>
      <c r="U540" s="265">
        <v>72</v>
      </c>
      <c r="V540" s="259" t="s">
        <v>3247</v>
      </c>
      <c r="W540" s="259" t="s">
        <v>3061</v>
      </c>
      <c r="X540" s="264" t="s">
        <v>4607</v>
      </c>
      <c r="Y540" s="60">
        <v>178</v>
      </c>
      <c r="AA540" s="259"/>
      <c r="AB540" s="259"/>
      <c r="AC540" s="259"/>
      <c r="AD540" s="259"/>
      <c r="AE540" s="259"/>
    </row>
    <row r="541" spans="1:31">
      <c r="A541" s="259" t="s">
        <v>690</v>
      </c>
      <c r="B541" s="259" t="s">
        <v>32</v>
      </c>
      <c r="C541" s="264" t="s">
        <v>42</v>
      </c>
      <c r="D541" s="264" t="s">
        <v>4608</v>
      </c>
      <c r="E541" s="259" t="s">
        <v>4038</v>
      </c>
      <c r="G541" s="259">
        <v>0</v>
      </c>
      <c r="H541" s="264" t="s">
        <v>4609</v>
      </c>
      <c r="I541" s="264" t="s">
        <v>4610</v>
      </c>
      <c r="J541" s="295">
        <v>72</v>
      </c>
      <c r="K541" s="295">
        <v>72</v>
      </c>
      <c r="L541" s="295">
        <v>36</v>
      </c>
      <c r="O541" s="266">
        <v>0</v>
      </c>
      <c r="P541" s="266">
        <v>718878007907</v>
      </c>
      <c r="Q541" s="266">
        <v>0</v>
      </c>
      <c r="R541" s="265">
        <v>0.1</v>
      </c>
      <c r="S541" s="265">
        <v>2.0499999999999998</v>
      </c>
      <c r="T541" s="265">
        <v>1</v>
      </c>
      <c r="U541" s="265">
        <v>1</v>
      </c>
      <c r="V541" s="259" t="s">
        <v>3834</v>
      </c>
      <c r="W541" s="259" t="s">
        <v>3061</v>
      </c>
      <c r="X541" s="264" t="s">
        <v>4611</v>
      </c>
      <c r="Y541" s="60">
        <v>179</v>
      </c>
      <c r="Z541" s="259" t="s">
        <v>3227</v>
      </c>
      <c r="AA541" s="259"/>
      <c r="AB541" s="259"/>
      <c r="AC541" s="259"/>
      <c r="AD541" s="259"/>
      <c r="AE541" s="259"/>
    </row>
    <row r="542" spans="1:31">
      <c r="A542" s="259" t="s">
        <v>691</v>
      </c>
      <c r="B542" s="259" t="s">
        <v>32</v>
      </c>
      <c r="C542" s="264" t="s">
        <v>42</v>
      </c>
      <c r="D542" s="264" t="s">
        <v>4612</v>
      </c>
      <c r="E542" s="259" t="s">
        <v>4038</v>
      </c>
      <c r="G542" s="259">
        <v>0</v>
      </c>
      <c r="H542" s="264" t="s">
        <v>4613</v>
      </c>
      <c r="I542" s="264" t="s">
        <v>4614</v>
      </c>
      <c r="J542" s="295">
        <v>156.1</v>
      </c>
      <c r="K542" s="295">
        <v>156.1</v>
      </c>
      <c r="L542" s="295">
        <v>78.05</v>
      </c>
      <c r="O542" s="266">
        <v>0</v>
      </c>
      <c r="P542" s="266">
        <v>718878025185</v>
      </c>
      <c r="Q542" s="266">
        <v>0</v>
      </c>
      <c r="R542" s="265">
        <v>0.1</v>
      </c>
      <c r="S542" s="265">
        <v>2.0499999999999998</v>
      </c>
      <c r="T542" s="265">
        <v>1</v>
      </c>
      <c r="U542" s="265">
        <v>1</v>
      </c>
      <c r="V542" s="259" t="s">
        <v>3834</v>
      </c>
      <c r="W542" s="259" t="s">
        <v>3061</v>
      </c>
      <c r="X542" s="264" t="s">
        <v>4615</v>
      </c>
      <c r="Y542" s="60">
        <v>180</v>
      </c>
      <c r="Z542" s="259" t="s">
        <v>3030</v>
      </c>
      <c r="AA542" s="259"/>
      <c r="AB542" s="259"/>
      <c r="AC542" s="259"/>
      <c r="AD542" s="259"/>
      <c r="AE542" s="259"/>
    </row>
    <row r="543" spans="1:31">
      <c r="A543" s="259" t="s">
        <v>692</v>
      </c>
      <c r="B543" s="259" t="s">
        <v>32</v>
      </c>
      <c r="C543" s="264" t="s">
        <v>42</v>
      </c>
      <c r="D543" s="264" t="s">
        <v>4616</v>
      </c>
      <c r="E543" s="259" t="s">
        <v>4038</v>
      </c>
      <c r="G543" s="259">
        <v>0</v>
      </c>
      <c r="H543" s="264" t="s">
        <v>4617</v>
      </c>
      <c r="I543" s="264" t="s">
        <v>4618</v>
      </c>
      <c r="J543" s="295">
        <v>17.100000000000001</v>
      </c>
      <c r="K543" s="295">
        <v>17.100000000000001</v>
      </c>
      <c r="L543" s="295">
        <v>8.5500000000000007</v>
      </c>
      <c r="O543" s="266">
        <v>0</v>
      </c>
      <c r="P543" s="266">
        <v>718878007976</v>
      </c>
      <c r="Q543" s="266">
        <v>0</v>
      </c>
      <c r="R543" s="265">
        <v>0.1</v>
      </c>
      <c r="S543" s="265">
        <v>2.0499999999999998</v>
      </c>
      <c r="T543" s="265">
        <v>0.5</v>
      </c>
      <c r="U543" s="265">
        <v>0.5</v>
      </c>
      <c r="V543" s="259" t="s">
        <v>3834</v>
      </c>
      <c r="W543" s="259" t="s">
        <v>3061</v>
      </c>
      <c r="X543" s="264" t="s">
        <v>4619</v>
      </c>
      <c r="Y543" s="60">
        <v>181</v>
      </c>
      <c r="Z543" s="259" t="s">
        <v>3030</v>
      </c>
      <c r="AA543" s="259"/>
      <c r="AB543" s="259"/>
      <c r="AC543" s="259"/>
      <c r="AD543" s="259"/>
      <c r="AE543" s="259"/>
    </row>
    <row r="544" spans="1:31">
      <c r="A544" s="259" t="s">
        <v>693</v>
      </c>
      <c r="B544" s="259" t="s">
        <v>32</v>
      </c>
      <c r="C544" s="264" t="s">
        <v>42</v>
      </c>
      <c r="D544" s="264" t="s">
        <v>4620</v>
      </c>
      <c r="E544" s="259" t="s">
        <v>4038</v>
      </c>
      <c r="G544" s="259">
        <v>0</v>
      </c>
      <c r="H544" s="264" t="s">
        <v>4621</v>
      </c>
      <c r="I544" s="264" t="s">
        <v>4622</v>
      </c>
      <c r="J544" s="295">
        <v>19.399999999999999</v>
      </c>
      <c r="K544" s="295">
        <v>19.399999999999999</v>
      </c>
      <c r="L544" s="295">
        <v>9.6999999999999993</v>
      </c>
      <c r="O544" s="266">
        <v>0</v>
      </c>
      <c r="P544" s="266">
        <v>718878007983</v>
      </c>
      <c r="Q544" s="266">
        <v>0</v>
      </c>
      <c r="R544" s="265">
        <v>0.1</v>
      </c>
      <c r="S544" s="265">
        <v>2.0499999999999998</v>
      </c>
      <c r="T544" s="265">
        <v>1</v>
      </c>
      <c r="U544" s="265">
        <v>0.5</v>
      </c>
      <c r="V544" s="259" t="s">
        <v>3834</v>
      </c>
      <c r="W544" s="259" t="s">
        <v>3061</v>
      </c>
      <c r="X544" s="264" t="s">
        <v>4623</v>
      </c>
      <c r="Y544" s="60">
        <v>182</v>
      </c>
      <c r="Z544" s="259" t="s">
        <v>3030</v>
      </c>
      <c r="AA544" s="259"/>
      <c r="AB544" s="259"/>
      <c r="AC544" s="259"/>
      <c r="AD544" s="259"/>
      <c r="AE544" s="259"/>
    </row>
    <row r="545" spans="1:31">
      <c r="A545" s="259" t="s">
        <v>694</v>
      </c>
      <c r="B545" s="259" t="s">
        <v>32</v>
      </c>
      <c r="C545" s="264" t="s">
        <v>42</v>
      </c>
      <c r="D545" s="264" t="s">
        <v>4624</v>
      </c>
      <c r="E545" s="259" t="s">
        <v>4038</v>
      </c>
      <c r="G545" s="259">
        <v>0</v>
      </c>
      <c r="H545" s="264" t="s">
        <v>4625</v>
      </c>
      <c r="I545" s="264" t="s">
        <v>4626</v>
      </c>
      <c r="J545" s="295">
        <v>372.1</v>
      </c>
      <c r="K545" s="295">
        <v>372.1</v>
      </c>
      <c r="L545" s="295">
        <v>186.05</v>
      </c>
      <c r="O545" s="266">
        <v>0</v>
      </c>
      <c r="P545" s="266">
        <v>718878025246</v>
      </c>
      <c r="Q545" s="266">
        <v>0</v>
      </c>
      <c r="R545" s="265">
        <v>3.85</v>
      </c>
      <c r="S545" s="265">
        <v>18.899999999999999</v>
      </c>
      <c r="T545" s="265">
        <v>11.61</v>
      </c>
      <c r="U545" s="265">
        <v>0.25</v>
      </c>
      <c r="V545" s="259" t="s">
        <v>3834</v>
      </c>
      <c r="W545" s="259" t="s">
        <v>3061</v>
      </c>
      <c r="X545" s="264" t="s">
        <v>4627</v>
      </c>
      <c r="Y545" s="60">
        <v>183</v>
      </c>
      <c r="Z545" s="259" t="s">
        <v>3227</v>
      </c>
      <c r="AA545" s="259"/>
      <c r="AB545" s="259"/>
      <c r="AC545" s="259"/>
      <c r="AD545" s="259"/>
      <c r="AE545" s="259"/>
    </row>
    <row r="546" spans="1:31">
      <c r="A546" s="259" t="s">
        <v>695</v>
      </c>
      <c r="B546" s="259" t="s">
        <v>32</v>
      </c>
      <c r="C546" s="264" t="s">
        <v>42</v>
      </c>
      <c r="D546" s="264" t="s">
        <v>4628</v>
      </c>
      <c r="E546" s="259" t="s">
        <v>4038</v>
      </c>
      <c r="G546" s="259">
        <v>0</v>
      </c>
      <c r="H546" s="264" t="s">
        <v>4629</v>
      </c>
      <c r="I546" s="264" t="s">
        <v>4630</v>
      </c>
      <c r="J546" s="295">
        <v>372.1</v>
      </c>
      <c r="K546" s="295">
        <v>372.1</v>
      </c>
      <c r="L546" s="295">
        <v>186.05</v>
      </c>
      <c r="O546" s="266">
        <v>0</v>
      </c>
      <c r="P546" s="266">
        <v>718878025260</v>
      </c>
      <c r="Q546" s="266">
        <v>0</v>
      </c>
      <c r="R546" s="265">
        <v>4.5999999999999996</v>
      </c>
      <c r="S546" s="265">
        <v>18.899999999999999</v>
      </c>
      <c r="T546" s="265">
        <v>11.61</v>
      </c>
      <c r="U546" s="265">
        <v>0.25</v>
      </c>
      <c r="V546" s="259" t="s">
        <v>3834</v>
      </c>
      <c r="W546" s="259" t="s">
        <v>3061</v>
      </c>
      <c r="X546" s="264" t="s">
        <v>4627</v>
      </c>
      <c r="Y546" s="60">
        <v>184</v>
      </c>
      <c r="Z546" s="259" t="s">
        <v>3227</v>
      </c>
      <c r="AA546" s="259"/>
      <c r="AB546" s="259"/>
      <c r="AC546" s="259"/>
      <c r="AD546" s="259"/>
      <c r="AE546" s="259"/>
    </row>
    <row r="547" spans="1:31">
      <c r="A547" s="259" t="s">
        <v>696</v>
      </c>
      <c r="B547" s="259" t="s">
        <v>32</v>
      </c>
      <c r="C547" s="264" t="s">
        <v>42</v>
      </c>
      <c r="D547" s="264" t="s">
        <v>4631</v>
      </c>
      <c r="E547" s="259" t="s">
        <v>4038</v>
      </c>
      <c r="G547" s="259">
        <v>0</v>
      </c>
      <c r="H547" s="264" t="s">
        <v>4632</v>
      </c>
      <c r="I547" s="264" t="s">
        <v>4633</v>
      </c>
      <c r="J547" s="295">
        <v>413.9</v>
      </c>
      <c r="K547" s="295">
        <v>413.9</v>
      </c>
      <c r="L547" s="295">
        <v>206.95</v>
      </c>
      <c r="O547" s="266">
        <v>0</v>
      </c>
      <c r="P547" s="266">
        <v>718878233221</v>
      </c>
      <c r="Q547" s="266">
        <v>0</v>
      </c>
      <c r="R547" s="265">
        <v>0</v>
      </c>
      <c r="S547" s="265">
        <v>8.19</v>
      </c>
      <c r="T547" s="265">
        <v>5.43</v>
      </c>
      <c r="U547" s="265">
        <v>4.37</v>
      </c>
      <c r="V547" s="259" t="s">
        <v>3834</v>
      </c>
      <c r="W547" s="259" t="s">
        <v>3061</v>
      </c>
      <c r="X547" s="264" t="s">
        <v>4634</v>
      </c>
      <c r="Y547" s="60">
        <v>185</v>
      </c>
      <c r="Z547" s="259" t="s">
        <v>3030</v>
      </c>
      <c r="AA547" s="259"/>
      <c r="AB547" s="259"/>
      <c r="AC547" s="259"/>
      <c r="AD547" s="259"/>
      <c r="AE547" s="259"/>
    </row>
    <row r="548" spans="1:31">
      <c r="A548" s="259" t="s">
        <v>697</v>
      </c>
      <c r="B548" s="259" t="s">
        <v>32</v>
      </c>
      <c r="C548" s="264" t="s">
        <v>42</v>
      </c>
      <c r="D548" s="264" t="s">
        <v>4635</v>
      </c>
      <c r="E548" s="259" t="s">
        <v>4038</v>
      </c>
      <c r="G548" s="259">
        <v>0</v>
      </c>
      <c r="H548" s="264" t="s">
        <v>4636</v>
      </c>
      <c r="I548" s="264" t="s">
        <v>4637</v>
      </c>
      <c r="J548" s="295">
        <v>413.9</v>
      </c>
      <c r="K548" s="295">
        <v>413.9</v>
      </c>
      <c r="L548" s="295">
        <v>206.95</v>
      </c>
      <c r="O548" s="266">
        <v>0</v>
      </c>
      <c r="P548" s="266">
        <v>718878233337</v>
      </c>
      <c r="Q548" s="266">
        <v>0</v>
      </c>
      <c r="R548" s="265">
        <v>0</v>
      </c>
      <c r="S548" s="265">
        <v>8.19</v>
      </c>
      <c r="T548" s="265">
        <v>5.43</v>
      </c>
      <c r="U548" s="265">
        <v>4.37</v>
      </c>
      <c r="V548" s="259" t="s">
        <v>3834</v>
      </c>
      <c r="W548" s="259" t="s">
        <v>3061</v>
      </c>
      <c r="X548" s="264" t="s">
        <v>4634</v>
      </c>
      <c r="Y548" s="60">
        <v>186</v>
      </c>
      <c r="Z548" s="259" t="s">
        <v>3030</v>
      </c>
      <c r="AA548" s="259"/>
      <c r="AB548" s="259"/>
      <c r="AC548" s="259"/>
      <c r="AD548" s="259"/>
      <c r="AE548" s="259"/>
    </row>
    <row r="549" spans="1:31">
      <c r="A549" s="259" t="s">
        <v>698</v>
      </c>
      <c r="B549" s="259" t="s">
        <v>32</v>
      </c>
      <c r="C549" s="264" t="s">
        <v>42</v>
      </c>
      <c r="D549" s="264" t="s">
        <v>4638</v>
      </c>
      <c r="E549" s="259" t="s">
        <v>4038</v>
      </c>
      <c r="G549" s="259">
        <v>0</v>
      </c>
      <c r="H549" s="264" t="s">
        <v>4639</v>
      </c>
      <c r="I549" s="264" t="s">
        <v>4640</v>
      </c>
      <c r="J549" s="295">
        <v>474.5</v>
      </c>
      <c r="K549" s="295">
        <v>474.5</v>
      </c>
      <c r="L549" s="295">
        <v>237.25</v>
      </c>
      <c r="O549" s="266">
        <v>0</v>
      </c>
      <c r="P549" s="266">
        <v>718878233443</v>
      </c>
      <c r="Q549" s="266">
        <v>0</v>
      </c>
      <c r="R549" s="265">
        <v>0</v>
      </c>
      <c r="S549" s="265">
        <v>11.14</v>
      </c>
      <c r="T549" s="265">
        <v>5.43</v>
      </c>
      <c r="U549" s="265">
        <v>4.37</v>
      </c>
      <c r="V549" s="259" t="s">
        <v>3834</v>
      </c>
      <c r="W549" s="259" t="s">
        <v>3061</v>
      </c>
      <c r="X549" s="264" t="s">
        <v>4641</v>
      </c>
      <c r="Y549" s="60">
        <v>187</v>
      </c>
      <c r="Z549" s="259" t="s">
        <v>3030</v>
      </c>
      <c r="AA549" s="259"/>
      <c r="AB549" s="259"/>
      <c r="AC549" s="259"/>
      <c r="AD549" s="259"/>
      <c r="AE549" s="259"/>
    </row>
    <row r="550" spans="1:31">
      <c r="A550" s="259" t="s">
        <v>699</v>
      </c>
      <c r="B550" s="259" t="s">
        <v>32</v>
      </c>
      <c r="C550" s="264" t="s">
        <v>42</v>
      </c>
      <c r="D550" s="264" t="s">
        <v>4642</v>
      </c>
      <c r="E550" s="259" t="s">
        <v>4038</v>
      </c>
      <c r="G550" s="259">
        <v>0</v>
      </c>
      <c r="H550" s="264" t="s">
        <v>4643</v>
      </c>
      <c r="I550" s="264" t="s">
        <v>4644</v>
      </c>
      <c r="J550" s="295">
        <v>474.5</v>
      </c>
      <c r="K550" s="295">
        <v>474.5</v>
      </c>
      <c r="L550" s="295">
        <v>237.25</v>
      </c>
      <c r="O550" s="266">
        <v>0</v>
      </c>
      <c r="P550" s="266">
        <v>718878233559</v>
      </c>
      <c r="Q550" s="266">
        <v>0</v>
      </c>
      <c r="R550" s="265">
        <v>0</v>
      </c>
      <c r="S550" s="265">
        <v>11.14</v>
      </c>
      <c r="T550" s="265">
        <v>5.43</v>
      </c>
      <c r="U550" s="265">
        <v>4.37</v>
      </c>
      <c r="V550" s="259" t="s">
        <v>3834</v>
      </c>
      <c r="W550" s="259" t="s">
        <v>3061</v>
      </c>
      <c r="X550" s="264" t="s">
        <v>4641</v>
      </c>
      <c r="Y550" s="60">
        <v>188</v>
      </c>
      <c r="Z550" s="259" t="s">
        <v>3030</v>
      </c>
      <c r="AA550" s="259"/>
      <c r="AB550" s="259"/>
      <c r="AC550" s="259"/>
      <c r="AD550" s="259"/>
      <c r="AE550" s="259"/>
    </row>
    <row r="551" spans="1:31">
      <c r="A551" s="259" t="s">
        <v>700</v>
      </c>
      <c r="B551" s="259" t="s">
        <v>32</v>
      </c>
      <c r="C551" s="264" t="s">
        <v>42</v>
      </c>
      <c r="D551" s="264" t="s">
        <v>4645</v>
      </c>
      <c r="E551" s="259" t="s">
        <v>4038</v>
      </c>
      <c r="G551" s="259">
        <v>0</v>
      </c>
      <c r="H551" s="264" t="s">
        <v>4646</v>
      </c>
      <c r="I551" s="264" t="s">
        <v>4647</v>
      </c>
      <c r="J551" s="295">
        <v>532.79999999999995</v>
      </c>
      <c r="K551" s="295">
        <v>532.79999999999995</v>
      </c>
      <c r="L551" s="295">
        <v>266.39999999999998</v>
      </c>
      <c r="O551" s="266">
        <v>0</v>
      </c>
      <c r="P551" s="266">
        <v>718878233665</v>
      </c>
      <c r="Q551" s="266">
        <v>0</v>
      </c>
      <c r="R551" s="265">
        <v>0</v>
      </c>
      <c r="S551" s="265">
        <v>14.09</v>
      </c>
      <c r="T551" s="265">
        <v>5.43</v>
      </c>
      <c r="U551" s="265">
        <v>4.37</v>
      </c>
      <c r="V551" s="259" t="s">
        <v>3834</v>
      </c>
      <c r="W551" s="259" t="s">
        <v>3061</v>
      </c>
      <c r="X551" s="264" t="s">
        <v>4648</v>
      </c>
      <c r="Y551" s="60">
        <v>189</v>
      </c>
      <c r="Z551" s="259" t="s">
        <v>3030</v>
      </c>
      <c r="AA551" s="259"/>
      <c r="AB551" s="259"/>
      <c r="AC551" s="259"/>
      <c r="AD551" s="259"/>
      <c r="AE551" s="259"/>
    </row>
    <row r="552" spans="1:31">
      <c r="A552" s="259" t="s">
        <v>701</v>
      </c>
      <c r="B552" s="259" t="s">
        <v>32</v>
      </c>
      <c r="C552" s="264" t="s">
        <v>42</v>
      </c>
      <c r="D552" s="264" t="s">
        <v>4649</v>
      </c>
      <c r="E552" s="259" t="s">
        <v>4038</v>
      </c>
      <c r="G552" s="259">
        <v>0</v>
      </c>
      <c r="H552" s="264" t="s">
        <v>4650</v>
      </c>
      <c r="I552" s="264" t="s">
        <v>4651</v>
      </c>
      <c r="J552" s="295">
        <v>532.79999999999995</v>
      </c>
      <c r="K552" s="295">
        <v>532.79999999999995</v>
      </c>
      <c r="L552" s="295">
        <v>266.39999999999998</v>
      </c>
      <c r="O552" s="266">
        <v>0</v>
      </c>
      <c r="P552" s="266">
        <v>718878233771</v>
      </c>
      <c r="Q552" s="266">
        <v>0</v>
      </c>
      <c r="R552" s="265">
        <v>0</v>
      </c>
      <c r="S552" s="265">
        <v>14.09</v>
      </c>
      <c r="T552" s="265">
        <v>5.43</v>
      </c>
      <c r="U552" s="265">
        <v>4.37</v>
      </c>
      <c r="V552" s="259" t="s">
        <v>3834</v>
      </c>
      <c r="W552" s="259" t="s">
        <v>3061</v>
      </c>
      <c r="X552" s="264" t="s">
        <v>4648</v>
      </c>
      <c r="Y552" s="60">
        <v>190</v>
      </c>
      <c r="Z552" s="259" t="s">
        <v>3030</v>
      </c>
      <c r="AA552" s="259"/>
      <c r="AB552" s="259"/>
      <c r="AC552" s="259"/>
      <c r="AD552" s="259"/>
      <c r="AE552" s="259"/>
    </row>
    <row r="553" spans="1:31">
      <c r="A553" s="259" t="s">
        <v>702</v>
      </c>
      <c r="B553" s="259" t="s">
        <v>32</v>
      </c>
      <c r="C553" s="264" t="s">
        <v>42</v>
      </c>
      <c r="D553" s="264" t="s">
        <v>4652</v>
      </c>
      <c r="E553" s="259" t="s">
        <v>4038</v>
      </c>
      <c r="G553" s="259">
        <v>0</v>
      </c>
      <c r="H553" s="264" t="s">
        <v>4653</v>
      </c>
      <c r="I553" s="264" t="s">
        <v>4654</v>
      </c>
      <c r="J553" s="295">
        <v>174.1</v>
      </c>
      <c r="K553" s="295">
        <v>174.1</v>
      </c>
      <c r="L553" s="295">
        <v>87.05</v>
      </c>
      <c r="O553" s="266">
        <v>0</v>
      </c>
      <c r="P553" s="266">
        <v>718878233887</v>
      </c>
      <c r="Q553" s="266">
        <v>0</v>
      </c>
      <c r="R553" s="265">
        <v>0.5</v>
      </c>
      <c r="S553" s="265">
        <v>2.0499999999999998</v>
      </c>
      <c r="T553" s="265">
        <v>2</v>
      </c>
      <c r="U553" s="265">
        <v>94.5</v>
      </c>
      <c r="V553" s="259" t="s">
        <v>3834</v>
      </c>
      <c r="W553" s="259" t="s">
        <v>3061</v>
      </c>
      <c r="X553" s="264" t="s">
        <v>4655</v>
      </c>
      <c r="Y553" s="60">
        <v>191</v>
      </c>
      <c r="AA553" s="259"/>
      <c r="AB553" s="259"/>
      <c r="AC553" s="259"/>
      <c r="AD553" s="259"/>
      <c r="AE553" s="259"/>
    </row>
    <row r="554" spans="1:31">
      <c r="A554" s="259" t="s">
        <v>703</v>
      </c>
      <c r="B554" s="259" t="s">
        <v>32</v>
      </c>
      <c r="C554" s="264" t="s">
        <v>42</v>
      </c>
      <c r="D554" s="264" t="s">
        <v>4656</v>
      </c>
      <c r="E554" s="259" t="s">
        <v>4038</v>
      </c>
      <c r="G554" s="259">
        <v>0</v>
      </c>
      <c r="H554" s="264" t="s">
        <v>4657</v>
      </c>
      <c r="I554" s="264" t="s">
        <v>4658</v>
      </c>
      <c r="J554" s="295">
        <v>217.2</v>
      </c>
      <c r="K554" s="295">
        <v>217.2</v>
      </c>
      <c r="L554" s="295">
        <v>108.6</v>
      </c>
      <c r="O554" s="266">
        <v>0</v>
      </c>
      <c r="P554" s="266">
        <v>718878233993</v>
      </c>
      <c r="Q554" s="266">
        <v>0</v>
      </c>
      <c r="R554" s="265">
        <v>0.15</v>
      </c>
      <c r="S554" s="265">
        <v>2.0499999999999998</v>
      </c>
      <c r="T554" s="265">
        <v>2.5</v>
      </c>
      <c r="U554" s="265">
        <v>2</v>
      </c>
      <c r="V554" s="259" t="s">
        <v>3247</v>
      </c>
      <c r="W554" s="259" t="s">
        <v>3061</v>
      </c>
      <c r="X554" s="264" t="s">
        <v>4659</v>
      </c>
      <c r="Y554" s="60">
        <v>192</v>
      </c>
      <c r="AA554" s="259"/>
      <c r="AB554" s="259"/>
      <c r="AC554" s="259"/>
      <c r="AD554" s="259"/>
      <c r="AE554" s="259"/>
    </row>
    <row r="555" spans="1:31">
      <c r="A555" s="259" t="s">
        <v>704</v>
      </c>
      <c r="B555" s="259" t="s">
        <v>32</v>
      </c>
      <c r="C555" s="264" t="s">
        <v>42</v>
      </c>
      <c r="D555" s="264" t="s">
        <v>4660</v>
      </c>
      <c r="E555" s="259" t="s">
        <v>4038</v>
      </c>
      <c r="G555" s="259">
        <v>0</v>
      </c>
      <c r="H555" s="264" t="s">
        <v>4661</v>
      </c>
      <c r="I555" s="264" t="s">
        <v>4662</v>
      </c>
      <c r="J555" s="295">
        <v>217.2</v>
      </c>
      <c r="K555" s="295">
        <v>217.2</v>
      </c>
      <c r="L555" s="295">
        <v>108.6</v>
      </c>
      <c r="O555" s="266">
        <v>0</v>
      </c>
      <c r="P555" s="266">
        <v>718878234006</v>
      </c>
      <c r="Q555" s="266">
        <v>0</v>
      </c>
      <c r="R555" s="265">
        <v>0.15</v>
      </c>
      <c r="S555" s="265">
        <v>2.0499999999999998</v>
      </c>
      <c r="T555" s="265">
        <v>2</v>
      </c>
      <c r="U555" s="265">
        <v>2</v>
      </c>
      <c r="V555" s="259" t="s">
        <v>3247</v>
      </c>
      <c r="W555" s="259" t="s">
        <v>3061</v>
      </c>
      <c r="X555" s="264" t="s">
        <v>4663</v>
      </c>
      <c r="Y555" s="60">
        <v>193</v>
      </c>
      <c r="Z555" s="259" t="s">
        <v>3030</v>
      </c>
      <c r="AA555" s="259"/>
      <c r="AB555" s="259"/>
      <c r="AC555" s="259"/>
      <c r="AD555" s="259"/>
      <c r="AE555" s="259"/>
    </row>
    <row r="556" spans="1:31">
      <c r="A556" s="259" t="s">
        <v>705</v>
      </c>
      <c r="B556" s="259" t="s">
        <v>32</v>
      </c>
      <c r="C556" s="264" t="s">
        <v>42</v>
      </c>
      <c r="D556" s="264" t="s">
        <v>4664</v>
      </c>
      <c r="E556" s="259" t="s">
        <v>4038</v>
      </c>
      <c r="G556" s="259">
        <v>0</v>
      </c>
      <c r="H556" s="264" t="s">
        <v>4665</v>
      </c>
      <c r="I556" s="264" t="s">
        <v>4666</v>
      </c>
      <c r="J556" s="295">
        <v>205.8</v>
      </c>
      <c r="K556" s="295">
        <v>205.8</v>
      </c>
      <c r="L556" s="295">
        <v>102.9</v>
      </c>
      <c r="O556" s="266">
        <v>0</v>
      </c>
      <c r="P556" s="266">
        <v>718878025291</v>
      </c>
      <c r="Q556" s="266">
        <v>0</v>
      </c>
      <c r="R556" s="265">
        <v>0.15</v>
      </c>
      <c r="S556" s="265">
        <v>2.0499999999999998</v>
      </c>
      <c r="T556" s="265">
        <v>2</v>
      </c>
      <c r="U556" s="265">
        <v>2</v>
      </c>
      <c r="V556" s="259" t="s">
        <v>3247</v>
      </c>
      <c r="W556" s="259" t="s">
        <v>3061</v>
      </c>
      <c r="X556" s="264" t="s">
        <v>4667</v>
      </c>
      <c r="Y556" s="60">
        <v>194</v>
      </c>
      <c r="AA556" s="259"/>
      <c r="AB556" s="259"/>
      <c r="AC556" s="259"/>
      <c r="AD556" s="259"/>
      <c r="AE556" s="259"/>
    </row>
    <row r="557" spans="1:31">
      <c r="A557" s="259" t="s">
        <v>706</v>
      </c>
      <c r="B557" s="259" t="s">
        <v>32</v>
      </c>
      <c r="C557" s="264" t="s">
        <v>42</v>
      </c>
      <c r="D557" s="264" t="s">
        <v>4668</v>
      </c>
      <c r="E557" s="259" t="s">
        <v>4038</v>
      </c>
      <c r="G557" s="259">
        <v>0</v>
      </c>
      <c r="H557" s="264" t="s">
        <v>4669</v>
      </c>
      <c r="I557" s="264" t="s">
        <v>4670</v>
      </c>
      <c r="J557" s="295">
        <v>228.1</v>
      </c>
      <c r="K557" s="295">
        <v>228.1</v>
      </c>
      <c r="L557" s="295">
        <v>114.05</v>
      </c>
      <c r="O557" s="266">
        <v>0</v>
      </c>
      <c r="P557" s="266">
        <v>718878234228</v>
      </c>
      <c r="Q557" s="266">
        <v>0</v>
      </c>
      <c r="R557" s="265">
        <v>0.15</v>
      </c>
      <c r="S557" s="265">
        <v>2.0499999999999998</v>
      </c>
      <c r="T557" s="265">
        <v>2.5</v>
      </c>
      <c r="U557" s="265">
        <v>2</v>
      </c>
      <c r="V557" s="259" t="s">
        <v>3247</v>
      </c>
      <c r="W557" s="259" t="s">
        <v>3061</v>
      </c>
      <c r="X557" s="264" t="s">
        <v>4671</v>
      </c>
      <c r="Y557" s="60">
        <v>195</v>
      </c>
      <c r="Z557" s="259" t="s">
        <v>3329</v>
      </c>
      <c r="AA557" s="259"/>
      <c r="AB557" s="259"/>
      <c r="AC557" s="259"/>
      <c r="AD557" s="259"/>
      <c r="AE557" s="259"/>
    </row>
    <row r="558" spans="1:31">
      <c r="A558" s="259" t="s">
        <v>707</v>
      </c>
      <c r="B558" s="259" t="s">
        <v>32</v>
      </c>
      <c r="C558" s="264" t="s">
        <v>42</v>
      </c>
      <c r="D558" s="264" t="s">
        <v>4672</v>
      </c>
      <c r="E558" s="259" t="s">
        <v>4038</v>
      </c>
      <c r="G558" s="259">
        <v>0</v>
      </c>
      <c r="H558" s="264" t="s">
        <v>4673</v>
      </c>
      <c r="I558" s="264" t="s">
        <v>4674</v>
      </c>
      <c r="J558" s="295">
        <v>217.2</v>
      </c>
      <c r="K558" s="295">
        <v>217.2</v>
      </c>
      <c r="L558" s="295">
        <v>108.6</v>
      </c>
      <c r="O558" s="266">
        <v>0</v>
      </c>
      <c r="P558" s="266">
        <v>718878025291</v>
      </c>
      <c r="Q558" s="266">
        <v>0</v>
      </c>
      <c r="R558" s="265">
        <v>0.15</v>
      </c>
      <c r="S558" s="265">
        <v>2.0499999999999998</v>
      </c>
      <c r="T558" s="265">
        <v>2</v>
      </c>
      <c r="U558" s="265">
        <v>2</v>
      </c>
      <c r="V558" s="259" t="s">
        <v>3247</v>
      </c>
      <c r="W558" s="259" t="s">
        <v>3061</v>
      </c>
      <c r="X558" s="264" t="s">
        <v>4675</v>
      </c>
      <c r="Y558" s="60">
        <v>196</v>
      </c>
      <c r="Z558" s="259" t="s">
        <v>3030</v>
      </c>
      <c r="AA558" s="259"/>
      <c r="AB558" s="259"/>
      <c r="AC558" s="259"/>
      <c r="AD558" s="259"/>
      <c r="AE558" s="259"/>
    </row>
    <row r="559" spans="1:31">
      <c r="A559" s="259" t="s">
        <v>708</v>
      </c>
      <c r="B559" s="259" t="s">
        <v>32</v>
      </c>
      <c r="C559" s="264" t="s">
        <v>42</v>
      </c>
      <c r="D559" s="264" t="s">
        <v>4676</v>
      </c>
      <c r="E559" s="259" t="s">
        <v>4038</v>
      </c>
      <c r="G559" s="259">
        <v>0</v>
      </c>
      <c r="H559" s="264" t="s">
        <v>4677</v>
      </c>
      <c r="I559" s="264" t="s">
        <v>4678</v>
      </c>
      <c r="J559" s="295">
        <v>37.700000000000003</v>
      </c>
      <c r="K559" s="295">
        <v>37.700000000000003</v>
      </c>
      <c r="L559" s="295">
        <v>18.850000000000001</v>
      </c>
      <c r="O559" s="266">
        <v>0</v>
      </c>
      <c r="P559" s="266">
        <v>718878234334</v>
      </c>
      <c r="Q559" s="266">
        <v>0</v>
      </c>
      <c r="R559" s="265">
        <v>0.05</v>
      </c>
      <c r="S559" s="265">
        <v>2.0499999999999998</v>
      </c>
      <c r="T559" s="265">
        <v>2</v>
      </c>
      <c r="U559" s="265">
        <v>1</v>
      </c>
      <c r="V559" s="259" t="s">
        <v>3834</v>
      </c>
      <c r="W559" s="259" t="s">
        <v>3061</v>
      </c>
      <c r="X559" s="264" t="s">
        <v>4679</v>
      </c>
      <c r="Y559" s="60">
        <v>197</v>
      </c>
      <c r="Z559" s="259" t="s">
        <v>3030</v>
      </c>
      <c r="AA559" s="259"/>
      <c r="AB559" s="259"/>
      <c r="AC559" s="259"/>
      <c r="AD559" s="259"/>
      <c r="AE559" s="259"/>
    </row>
    <row r="560" spans="1:31">
      <c r="A560" s="259" t="s">
        <v>709</v>
      </c>
      <c r="B560" s="259" t="s">
        <v>32</v>
      </c>
      <c r="C560" s="264" t="s">
        <v>42</v>
      </c>
      <c r="D560" s="264" t="s">
        <v>4680</v>
      </c>
      <c r="E560" s="259" t="s">
        <v>4038</v>
      </c>
      <c r="G560" s="259">
        <v>0</v>
      </c>
      <c r="H560" s="264" t="s">
        <v>4681</v>
      </c>
      <c r="I560" s="264" t="s">
        <v>4682</v>
      </c>
      <c r="J560" s="295">
        <v>26.4</v>
      </c>
      <c r="K560" s="295">
        <v>26.4</v>
      </c>
      <c r="L560" s="295">
        <v>13.2</v>
      </c>
      <c r="O560" s="266">
        <v>0</v>
      </c>
      <c r="P560" s="266">
        <v>718878025314</v>
      </c>
      <c r="Q560" s="266">
        <v>0</v>
      </c>
      <c r="R560" s="265">
        <v>0.05</v>
      </c>
      <c r="S560" s="265">
        <v>2.0499999999999998</v>
      </c>
      <c r="T560" s="265">
        <v>1</v>
      </c>
      <c r="U560" s="265">
        <v>1</v>
      </c>
      <c r="V560" s="259" t="s">
        <v>3834</v>
      </c>
      <c r="W560" s="259" t="s">
        <v>3061</v>
      </c>
      <c r="X560" s="264" t="s">
        <v>4683</v>
      </c>
      <c r="Y560" s="60">
        <v>198</v>
      </c>
      <c r="Z560" s="259" t="s">
        <v>3030</v>
      </c>
      <c r="AA560" s="259"/>
      <c r="AB560" s="259"/>
      <c r="AC560" s="259"/>
      <c r="AD560" s="259"/>
      <c r="AE560" s="259"/>
    </row>
    <row r="561" spans="1:31">
      <c r="A561" s="259" t="s">
        <v>710</v>
      </c>
      <c r="B561" s="259" t="s">
        <v>32</v>
      </c>
      <c r="C561" s="264" t="s">
        <v>42</v>
      </c>
      <c r="D561" s="264" t="s">
        <v>4684</v>
      </c>
      <c r="E561" s="259" t="s">
        <v>4038</v>
      </c>
      <c r="G561" s="259">
        <v>0</v>
      </c>
      <c r="H561" s="264" t="s">
        <v>4685</v>
      </c>
      <c r="I561" s="264" t="s">
        <v>4686</v>
      </c>
      <c r="J561" s="295">
        <v>96</v>
      </c>
      <c r="K561" s="295">
        <v>96</v>
      </c>
      <c r="L561" s="295">
        <v>48</v>
      </c>
      <c r="O561" s="266">
        <v>0</v>
      </c>
      <c r="P561" s="266">
        <v>718878025321</v>
      </c>
      <c r="Q561" s="266">
        <v>0</v>
      </c>
      <c r="R561" s="265">
        <v>0.1</v>
      </c>
      <c r="S561" s="265">
        <v>2.0499999999999998</v>
      </c>
      <c r="T561" s="265">
        <v>1</v>
      </c>
      <c r="U561" s="265">
        <v>2</v>
      </c>
      <c r="V561" s="259" t="s">
        <v>3834</v>
      </c>
      <c r="W561" s="259" t="s">
        <v>3061</v>
      </c>
      <c r="X561" s="264" t="s">
        <v>4687</v>
      </c>
      <c r="Y561" s="60">
        <v>199</v>
      </c>
      <c r="Z561" s="259" t="s">
        <v>3030</v>
      </c>
      <c r="AA561" s="259"/>
      <c r="AB561" s="259"/>
      <c r="AC561" s="259"/>
      <c r="AD561" s="259"/>
      <c r="AE561" s="259"/>
    </row>
    <row r="562" spans="1:31">
      <c r="A562" s="259" t="s">
        <v>711</v>
      </c>
      <c r="B562" s="259" t="s">
        <v>32</v>
      </c>
      <c r="C562" s="264" t="s">
        <v>42</v>
      </c>
      <c r="D562" s="264" t="s">
        <v>4688</v>
      </c>
      <c r="E562" s="259" t="s">
        <v>4038</v>
      </c>
      <c r="G562" s="259">
        <v>0</v>
      </c>
      <c r="H562" s="264" t="s">
        <v>4689</v>
      </c>
      <c r="I562" s="264" t="s">
        <v>4690</v>
      </c>
      <c r="J562" s="295">
        <v>158.5</v>
      </c>
      <c r="K562" s="295">
        <v>158.5</v>
      </c>
      <c r="L562" s="295">
        <v>79.25</v>
      </c>
      <c r="O562" s="266">
        <v>0</v>
      </c>
      <c r="P562" s="266">
        <v>718878025338</v>
      </c>
      <c r="Q562" s="266">
        <v>0</v>
      </c>
      <c r="R562" s="265">
        <v>0.1</v>
      </c>
      <c r="S562" s="265">
        <v>2.0499999999999998</v>
      </c>
      <c r="T562" s="265">
        <v>1</v>
      </c>
      <c r="U562" s="265">
        <v>2</v>
      </c>
      <c r="V562" s="259" t="s">
        <v>3834</v>
      </c>
      <c r="W562" s="259" t="s">
        <v>3061</v>
      </c>
      <c r="X562" s="264" t="s">
        <v>4691</v>
      </c>
      <c r="Y562" s="60">
        <v>200</v>
      </c>
      <c r="Z562" s="259" t="s">
        <v>3030</v>
      </c>
      <c r="AA562" s="259"/>
      <c r="AB562" s="259"/>
      <c r="AC562" s="259"/>
      <c r="AD562" s="259"/>
      <c r="AE562" s="259"/>
    </row>
    <row r="563" spans="1:31">
      <c r="A563" s="259" t="s">
        <v>712</v>
      </c>
      <c r="B563" s="259" t="s">
        <v>32</v>
      </c>
      <c r="C563" s="264" t="s">
        <v>42</v>
      </c>
      <c r="D563" s="264" t="s">
        <v>4692</v>
      </c>
      <c r="E563" s="259" t="s">
        <v>4038</v>
      </c>
      <c r="G563" s="259">
        <v>0</v>
      </c>
      <c r="H563" s="264" t="s">
        <v>4693</v>
      </c>
      <c r="I563" s="264" t="s">
        <v>4694</v>
      </c>
      <c r="J563" s="295">
        <v>528.20000000000005</v>
      </c>
      <c r="K563" s="295">
        <v>528.20000000000005</v>
      </c>
      <c r="L563" s="295">
        <v>264.10000000000002</v>
      </c>
      <c r="O563" s="266">
        <v>0</v>
      </c>
      <c r="P563" s="266">
        <v>718878023884</v>
      </c>
      <c r="Q563" s="266">
        <v>0</v>
      </c>
      <c r="R563" s="265">
        <v>0.4</v>
      </c>
      <c r="S563" s="265">
        <v>2.0499999999999998</v>
      </c>
      <c r="T563" s="265">
        <v>4</v>
      </c>
      <c r="U563" s="265">
        <v>1</v>
      </c>
      <c r="V563" s="259" t="s">
        <v>3834</v>
      </c>
      <c r="W563" s="259" t="s">
        <v>3061</v>
      </c>
      <c r="X563" s="264" t="s">
        <v>4695</v>
      </c>
      <c r="Y563" s="60">
        <v>201</v>
      </c>
      <c r="Z563" s="259" t="s">
        <v>3227</v>
      </c>
      <c r="AA563" s="259"/>
      <c r="AB563" s="259"/>
      <c r="AC563" s="259"/>
      <c r="AD563" s="259"/>
      <c r="AE563" s="259"/>
    </row>
    <row r="564" spans="1:31">
      <c r="A564" s="259" t="s">
        <v>713</v>
      </c>
      <c r="B564" s="259" t="s">
        <v>32</v>
      </c>
      <c r="C564" s="264" t="s">
        <v>42</v>
      </c>
      <c r="D564" s="264" t="s">
        <v>4696</v>
      </c>
      <c r="E564" s="259" t="s">
        <v>4038</v>
      </c>
      <c r="G564" s="259">
        <v>0</v>
      </c>
      <c r="H564" s="264" t="s">
        <v>4693</v>
      </c>
      <c r="I564" s="264" t="s">
        <v>4697</v>
      </c>
      <c r="J564" s="295">
        <v>494.6</v>
      </c>
      <c r="K564" s="295">
        <v>494.6</v>
      </c>
      <c r="L564" s="295">
        <v>247.3</v>
      </c>
      <c r="O564" s="266">
        <v>0</v>
      </c>
      <c r="P564" s="266">
        <v>718878001431</v>
      </c>
      <c r="Q564" s="266">
        <v>0</v>
      </c>
      <c r="R564" s="265">
        <v>0.4</v>
      </c>
      <c r="S564" s="265">
        <v>2.0499999999999998</v>
      </c>
      <c r="T564" s="265">
        <v>4</v>
      </c>
      <c r="U564" s="265">
        <v>1</v>
      </c>
      <c r="V564" s="259" t="s">
        <v>3834</v>
      </c>
      <c r="W564" s="259" t="s">
        <v>3061</v>
      </c>
      <c r="X564" s="264" t="s">
        <v>4698</v>
      </c>
      <c r="Y564" s="60">
        <v>202</v>
      </c>
      <c r="Z564" s="259" t="s">
        <v>3227</v>
      </c>
      <c r="AA564" s="259"/>
      <c r="AB564" s="259"/>
      <c r="AC564" s="259"/>
      <c r="AD564" s="259"/>
      <c r="AE564" s="259"/>
    </row>
    <row r="565" spans="1:31">
      <c r="A565" s="259" t="s">
        <v>714</v>
      </c>
      <c r="B565" s="259" t="s">
        <v>32</v>
      </c>
      <c r="C565" s="264" t="s">
        <v>42</v>
      </c>
      <c r="D565" s="264" t="s">
        <v>4699</v>
      </c>
      <c r="E565" s="259" t="s">
        <v>4038</v>
      </c>
      <c r="G565" s="259">
        <v>0</v>
      </c>
      <c r="H565" s="264" t="s">
        <v>4693</v>
      </c>
      <c r="I565" s="264" t="s">
        <v>4700</v>
      </c>
      <c r="J565" s="295">
        <v>494.6</v>
      </c>
      <c r="K565" s="295">
        <v>494.6</v>
      </c>
      <c r="L565" s="295">
        <v>247.3</v>
      </c>
      <c r="O565" s="266">
        <v>0</v>
      </c>
      <c r="P565" s="266">
        <v>0</v>
      </c>
      <c r="Q565" s="266">
        <v>0</v>
      </c>
      <c r="R565" s="265">
        <v>0.4</v>
      </c>
      <c r="S565" s="265">
        <v>2.0499999999999998</v>
      </c>
      <c r="T565" s="265">
        <v>4</v>
      </c>
      <c r="U565" s="265">
        <v>1</v>
      </c>
      <c r="V565" s="259" t="s">
        <v>3834</v>
      </c>
      <c r="W565" s="259" t="s">
        <v>3061</v>
      </c>
      <c r="X565" s="264" t="s">
        <v>4701</v>
      </c>
      <c r="Y565" s="60">
        <v>203</v>
      </c>
      <c r="Z565" s="259" t="s">
        <v>3227</v>
      </c>
      <c r="AA565" s="259"/>
      <c r="AB565" s="259"/>
      <c r="AC565" s="259"/>
      <c r="AD565" s="259"/>
      <c r="AE565" s="259"/>
    </row>
    <row r="566" spans="1:31">
      <c r="A566" s="259" t="s">
        <v>715</v>
      </c>
      <c r="B566" s="259" t="s">
        <v>32</v>
      </c>
      <c r="C566" s="264" t="s">
        <v>42</v>
      </c>
      <c r="D566" s="264" t="s">
        <v>4702</v>
      </c>
      <c r="E566" s="259" t="s">
        <v>4038</v>
      </c>
      <c r="G566" s="259">
        <v>0</v>
      </c>
      <c r="H566" s="264" t="s">
        <v>4703</v>
      </c>
      <c r="I566" s="264" t="s">
        <v>4704</v>
      </c>
      <c r="J566" s="295">
        <v>177.2</v>
      </c>
      <c r="K566" s="295">
        <v>177.2</v>
      </c>
      <c r="L566" s="295">
        <v>88.6</v>
      </c>
      <c r="O566" s="266">
        <v>0</v>
      </c>
      <c r="P566" s="266">
        <v>718878020081</v>
      </c>
      <c r="Q566" s="266">
        <v>0</v>
      </c>
      <c r="R566" s="265">
        <v>0.5</v>
      </c>
      <c r="S566" s="265">
        <v>2.75</v>
      </c>
      <c r="T566" s="265">
        <v>2.75</v>
      </c>
      <c r="U566" s="265">
        <v>1.75</v>
      </c>
      <c r="V566" s="259" t="s">
        <v>3834</v>
      </c>
      <c r="W566" s="259" t="s">
        <v>3061</v>
      </c>
      <c r="X566" s="264" t="s">
        <v>4705</v>
      </c>
      <c r="Y566" s="60">
        <v>204</v>
      </c>
      <c r="AA566" s="259"/>
      <c r="AB566" s="259"/>
      <c r="AC566" s="259"/>
      <c r="AD566" s="259"/>
      <c r="AE566" s="259"/>
    </row>
    <row r="567" spans="1:31">
      <c r="A567" s="259" t="s">
        <v>716</v>
      </c>
      <c r="B567" s="259" t="s">
        <v>32</v>
      </c>
      <c r="C567" s="264" t="s">
        <v>42</v>
      </c>
      <c r="D567" s="264" t="s">
        <v>4706</v>
      </c>
      <c r="E567" s="259" t="s">
        <v>4038</v>
      </c>
      <c r="G567" s="259" t="s">
        <v>3378</v>
      </c>
      <c r="H567" s="264" t="s">
        <v>4707</v>
      </c>
      <c r="I567" s="264" t="s">
        <v>4708</v>
      </c>
      <c r="J567" s="295">
        <v>126.1</v>
      </c>
      <c r="K567" s="295">
        <v>126.1</v>
      </c>
      <c r="L567" s="295">
        <v>63.05</v>
      </c>
      <c r="O567" s="266">
        <v>0</v>
      </c>
      <c r="P567" s="266">
        <v>718878020135</v>
      </c>
      <c r="Q567" s="266">
        <v>0</v>
      </c>
      <c r="R567" s="265">
        <v>0.5</v>
      </c>
      <c r="S567" s="265">
        <v>2.75</v>
      </c>
      <c r="T567" s="265">
        <v>2.75</v>
      </c>
      <c r="U567" s="265">
        <v>1.75</v>
      </c>
      <c r="V567" s="259" t="s">
        <v>3834</v>
      </c>
      <c r="W567" s="259" t="s">
        <v>3061</v>
      </c>
      <c r="X567" s="264" t="s">
        <v>4709</v>
      </c>
      <c r="Y567" s="60">
        <v>205</v>
      </c>
      <c r="Z567" s="259" t="s">
        <v>3227</v>
      </c>
      <c r="AA567" s="259"/>
      <c r="AB567" s="259"/>
      <c r="AC567" s="259"/>
      <c r="AD567" s="259"/>
      <c r="AE567" s="259"/>
    </row>
    <row r="568" spans="1:31">
      <c r="A568" s="259" t="s">
        <v>717</v>
      </c>
      <c r="B568" s="259" t="s">
        <v>32</v>
      </c>
      <c r="C568" s="264" t="s">
        <v>42</v>
      </c>
      <c r="D568" s="264" t="s">
        <v>4710</v>
      </c>
      <c r="E568" s="259" t="s">
        <v>4038</v>
      </c>
      <c r="G568" s="259" t="s">
        <v>3378</v>
      </c>
      <c r="H568" s="264" t="s">
        <v>4707</v>
      </c>
      <c r="I568" s="264" t="s">
        <v>4711</v>
      </c>
      <c r="J568" s="295">
        <v>126.1</v>
      </c>
      <c r="K568" s="295">
        <v>126.1</v>
      </c>
      <c r="L568" s="295">
        <v>63.05</v>
      </c>
      <c r="O568" s="266">
        <v>0</v>
      </c>
      <c r="P568" s="266">
        <v>718878228555</v>
      </c>
      <c r="Q568" s="266">
        <v>0</v>
      </c>
      <c r="R568" s="265">
        <v>0.5</v>
      </c>
      <c r="S568" s="265">
        <v>2.75</v>
      </c>
      <c r="T568" s="265">
        <v>2.75</v>
      </c>
      <c r="U568" s="265">
        <v>1.75</v>
      </c>
      <c r="V568" s="259" t="s">
        <v>3834</v>
      </c>
      <c r="W568" s="259" t="s">
        <v>3061</v>
      </c>
      <c r="X568" s="264" t="s">
        <v>4709</v>
      </c>
      <c r="Y568" s="60">
        <v>206</v>
      </c>
      <c r="Z568" s="259" t="s">
        <v>3227</v>
      </c>
      <c r="AA568" s="259"/>
      <c r="AB568" s="259"/>
      <c r="AC568" s="259"/>
      <c r="AD568" s="259"/>
      <c r="AE568" s="259"/>
    </row>
    <row r="569" spans="1:31">
      <c r="A569" s="259" t="s">
        <v>718</v>
      </c>
      <c r="B569" s="259" t="s">
        <v>32</v>
      </c>
      <c r="C569" s="264" t="s">
        <v>42</v>
      </c>
      <c r="D569" s="264" t="s">
        <v>4712</v>
      </c>
      <c r="E569" s="259" t="s">
        <v>4038</v>
      </c>
      <c r="G569" s="259" t="s">
        <v>3378</v>
      </c>
      <c r="H569" s="264" t="s">
        <v>4707</v>
      </c>
      <c r="I569" s="264" t="s">
        <v>4713</v>
      </c>
      <c r="J569" s="295">
        <v>126.1</v>
      </c>
      <c r="K569" s="295">
        <v>126.1</v>
      </c>
      <c r="L569" s="295">
        <v>63.05</v>
      </c>
      <c r="O569" s="266">
        <v>0</v>
      </c>
      <c r="P569" s="266">
        <v>718878235331</v>
      </c>
      <c r="Q569" s="266">
        <v>0</v>
      </c>
      <c r="R569" s="265">
        <v>0.5</v>
      </c>
      <c r="S569" s="265">
        <v>2.75</v>
      </c>
      <c r="T569" s="265">
        <v>2.75</v>
      </c>
      <c r="U569" s="265">
        <v>1.75</v>
      </c>
      <c r="V569" s="259" t="s">
        <v>3834</v>
      </c>
      <c r="W569" s="259" t="s">
        <v>3061</v>
      </c>
      <c r="X569" s="264" t="s">
        <v>4709</v>
      </c>
      <c r="Y569" s="60">
        <v>207</v>
      </c>
      <c r="Z569" s="259" t="s">
        <v>3227</v>
      </c>
      <c r="AA569" s="259"/>
      <c r="AB569" s="259"/>
      <c r="AC569" s="259"/>
      <c r="AD569" s="259"/>
      <c r="AE569" s="259"/>
    </row>
    <row r="570" spans="1:31">
      <c r="A570" s="259" t="s">
        <v>719</v>
      </c>
      <c r="B570" s="259" t="s">
        <v>32</v>
      </c>
      <c r="C570" s="264" t="s">
        <v>42</v>
      </c>
      <c r="D570" s="264" t="s">
        <v>4714</v>
      </c>
      <c r="E570" s="259" t="s">
        <v>4038</v>
      </c>
      <c r="G570" s="259" t="s">
        <v>3378</v>
      </c>
      <c r="H570" s="264" t="s">
        <v>4707</v>
      </c>
      <c r="I570" s="264" t="s">
        <v>4715</v>
      </c>
      <c r="J570" s="295">
        <v>126.1</v>
      </c>
      <c r="K570" s="295">
        <v>126.1</v>
      </c>
      <c r="L570" s="295">
        <v>63.05</v>
      </c>
      <c r="O570" s="266">
        <v>0</v>
      </c>
      <c r="P570" s="266">
        <v>718878235447</v>
      </c>
      <c r="Q570" s="266">
        <v>0</v>
      </c>
      <c r="R570" s="265">
        <v>0.5</v>
      </c>
      <c r="S570" s="265">
        <v>2.75</v>
      </c>
      <c r="T570" s="265">
        <v>2.75</v>
      </c>
      <c r="U570" s="265">
        <v>1.75</v>
      </c>
      <c r="V570" s="259" t="s">
        <v>3834</v>
      </c>
      <c r="W570" s="259" t="s">
        <v>3061</v>
      </c>
      <c r="X570" s="264" t="s">
        <v>4709</v>
      </c>
      <c r="Y570" s="60">
        <v>208</v>
      </c>
      <c r="Z570" s="259" t="s">
        <v>3227</v>
      </c>
      <c r="AA570" s="259"/>
      <c r="AB570" s="259"/>
      <c r="AC570" s="259"/>
      <c r="AD570" s="259"/>
      <c r="AE570" s="259"/>
    </row>
    <row r="571" spans="1:31">
      <c r="A571" s="259" t="s">
        <v>720</v>
      </c>
      <c r="B571" s="259" t="s">
        <v>32</v>
      </c>
      <c r="C571" s="264" t="s">
        <v>42</v>
      </c>
      <c r="D571" s="264" t="s">
        <v>4716</v>
      </c>
      <c r="E571" s="259" t="s">
        <v>4038</v>
      </c>
      <c r="G571" s="259" t="s">
        <v>3378</v>
      </c>
      <c r="H571" s="264" t="s">
        <v>4707</v>
      </c>
      <c r="I571" s="264" t="s">
        <v>4717</v>
      </c>
      <c r="J571" s="295">
        <v>126.1</v>
      </c>
      <c r="K571" s="295">
        <v>126.1</v>
      </c>
      <c r="L571" s="295">
        <v>63.05</v>
      </c>
      <c r="O571" s="266">
        <v>0</v>
      </c>
      <c r="P571" s="266">
        <v>718878228661</v>
      </c>
      <c r="Q571" s="266">
        <v>0</v>
      </c>
      <c r="R571" s="265">
        <v>0.5</v>
      </c>
      <c r="S571" s="265">
        <v>2.75</v>
      </c>
      <c r="T571" s="265">
        <v>2.75</v>
      </c>
      <c r="U571" s="265">
        <v>1.75</v>
      </c>
      <c r="V571" s="259" t="s">
        <v>3834</v>
      </c>
      <c r="W571" s="259" t="s">
        <v>3061</v>
      </c>
      <c r="X571" s="264" t="s">
        <v>4709</v>
      </c>
      <c r="Y571" s="60">
        <v>209</v>
      </c>
      <c r="Z571" s="259" t="s">
        <v>3227</v>
      </c>
      <c r="AA571" s="259"/>
      <c r="AB571" s="259"/>
      <c r="AC571" s="259"/>
      <c r="AD571" s="259"/>
      <c r="AE571" s="259"/>
    </row>
    <row r="572" spans="1:31">
      <c r="A572" s="259" t="s">
        <v>721</v>
      </c>
      <c r="B572" s="259" t="s">
        <v>32</v>
      </c>
      <c r="C572" s="264" t="s">
        <v>42</v>
      </c>
      <c r="D572" s="264" t="s">
        <v>4718</v>
      </c>
      <c r="E572" s="259" t="s">
        <v>4038</v>
      </c>
      <c r="G572" s="259" t="s">
        <v>3378</v>
      </c>
      <c r="H572" s="264" t="s">
        <v>4707</v>
      </c>
      <c r="I572" s="264" t="s">
        <v>4719</v>
      </c>
      <c r="J572" s="295">
        <v>58.3</v>
      </c>
      <c r="K572" s="295">
        <v>58.3</v>
      </c>
      <c r="L572" s="295">
        <v>29.15</v>
      </c>
      <c r="O572" s="266">
        <v>0</v>
      </c>
      <c r="P572" s="266">
        <v>718878235669</v>
      </c>
      <c r="Q572" s="266">
        <v>0</v>
      </c>
      <c r="R572" s="265">
        <v>0.5</v>
      </c>
      <c r="S572" s="265">
        <v>2.75</v>
      </c>
      <c r="T572" s="265">
        <v>2.75</v>
      </c>
      <c r="U572" s="265">
        <v>1.75</v>
      </c>
      <c r="V572" s="259" t="s">
        <v>3834</v>
      </c>
      <c r="W572" s="259" t="s">
        <v>3061</v>
      </c>
      <c r="X572" s="264" t="s">
        <v>4709</v>
      </c>
      <c r="Y572" s="60">
        <v>210</v>
      </c>
      <c r="Z572" s="259" t="s">
        <v>3227</v>
      </c>
      <c r="AA572" s="259"/>
      <c r="AB572" s="259"/>
      <c r="AC572" s="259"/>
      <c r="AD572" s="259"/>
      <c r="AE572" s="259"/>
    </row>
    <row r="573" spans="1:31">
      <c r="A573" s="259" t="s">
        <v>722</v>
      </c>
      <c r="B573" s="259" t="s">
        <v>32</v>
      </c>
      <c r="C573" s="264" t="s">
        <v>42</v>
      </c>
      <c r="D573" s="264" t="s">
        <v>4720</v>
      </c>
      <c r="E573" s="259" t="s">
        <v>4038</v>
      </c>
      <c r="G573" s="259" t="s">
        <v>3378</v>
      </c>
      <c r="H573" s="264" t="s">
        <v>4707</v>
      </c>
      <c r="I573" s="264" t="s">
        <v>4721</v>
      </c>
      <c r="J573" s="295">
        <v>126.1</v>
      </c>
      <c r="K573" s="295">
        <v>126.1</v>
      </c>
      <c r="L573" s="295">
        <v>63.05</v>
      </c>
      <c r="O573" s="266">
        <v>0</v>
      </c>
      <c r="P573" s="266">
        <v>718878235775</v>
      </c>
      <c r="Q573" s="266">
        <v>0</v>
      </c>
      <c r="R573" s="265">
        <v>0.5</v>
      </c>
      <c r="S573" s="265">
        <v>2.75</v>
      </c>
      <c r="T573" s="265">
        <v>2.75</v>
      </c>
      <c r="U573" s="265">
        <v>1.75</v>
      </c>
      <c r="V573" s="259" t="s">
        <v>3834</v>
      </c>
      <c r="W573" s="259" t="s">
        <v>3061</v>
      </c>
      <c r="X573" s="264" t="s">
        <v>4709</v>
      </c>
      <c r="Y573" s="60">
        <v>211</v>
      </c>
      <c r="Z573" s="259" t="s">
        <v>3227</v>
      </c>
      <c r="AA573" s="259"/>
      <c r="AB573" s="259"/>
      <c r="AC573" s="259"/>
      <c r="AD573" s="259"/>
      <c r="AE573" s="259"/>
    </row>
    <row r="574" spans="1:31">
      <c r="A574" s="259" t="s">
        <v>723</v>
      </c>
      <c r="B574" s="259" t="s">
        <v>32</v>
      </c>
      <c r="C574" s="264" t="s">
        <v>42</v>
      </c>
      <c r="D574" s="264" t="s">
        <v>4722</v>
      </c>
      <c r="E574" s="259" t="s">
        <v>4038</v>
      </c>
      <c r="G574" s="292" t="s">
        <v>4167</v>
      </c>
      <c r="H574" s="264" t="s">
        <v>4723</v>
      </c>
      <c r="I574" s="264" t="s">
        <v>4724</v>
      </c>
      <c r="J574" s="295">
        <v>2952</v>
      </c>
      <c r="K574" s="295">
        <v>1719.61</v>
      </c>
      <c r="L574" s="295">
        <v>859.81</v>
      </c>
      <c r="O574" s="266">
        <v>0</v>
      </c>
      <c r="P574" s="266">
        <v>718878025345</v>
      </c>
      <c r="Q574" s="266">
        <v>0</v>
      </c>
      <c r="R574" s="265">
        <v>3.58</v>
      </c>
      <c r="S574" s="265">
        <v>10.571</v>
      </c>
      <c r="T574" s="265">
        <v>6.5259999999999998</v>
      </c>
      <c r="U574" s="265">
        <v>4.5670000000000002</v>
      </c>
      <c r="V574" s="259" t="s">
        <v>4159</v>
      </c>
      <c r="W574" s="259" t="s">
        <v>3061</v>
      </c>
      <c r="X574" s="264" t="s">
        <v>4725</v>
      </c>
      <c r="Y574" s="60">
        <v>212</v>
      </c>
      <c r="Z574" s="259" t="s">
        <v>3227</v>
      </c>
      <c r="AA574" s="259"/>
      <c r="AB574" s="259"/>
      <c r="AC574" s="259"/>
      <c r="AD574" s="259"/>
      <c r="AE574" s="259"/>
    </row>
    <row r="575" spans="1:31">
      <c r="A575" s="259" t="s">
        <v>724</v>
      </c>
      <c r="B575" s="259" t="s">
        <v>32</v>
      </c>
      <c r="C575" s="264" t="s">
        <v>42</v>
      </c>
      <c r="D575" s="264" t="s">
        <v>4726</v>
      </c>
      <c r="E575" s="259" t="s">
        <v>4038</v>
      </c>
      <c r="G575" s="292" t="s">
        <v>4167</v>
      </c>
      <c r="H575" s="264" t="s">
        <v>4727</v>
      </c>
      <c r="I575" s="264" t="s">
        <v>4728</v>
      </c>
      <c r="J575" s="295">
        <v>2952</v>
      </c>
      <c r="K575" s="295">
        <v>1719.61</v>
      </c>
      <c r="L575" s="295">
        <v>859.81</v>
      </c>
      <c r="O575" s="266">
        <v>0</v>
      </c>
      <c r="P575" s="266">
        <v>718878025352</v>
      </c>
      <c r="Q575" s="266">
        <v>0</v>
      </c>
      <c r="R575" s="265">
        <v>3.58</v>
      </c>
      <c r="S575" s="265">
        <v>10.571</v>
      </c>
      <c r="T575" s="265">
        <v>6.5259999999999998</v>
      </c>
      <c r="U575" s="265">
        <v>4.5670000000000002</v>
      </c>
      <c r="V575" s="259" t="s">
        <v>4159</v>
      </c>
      <c r="W575" s="259" t="s">
        <v>3061</v>
      </c>
      <c r="X575" s="264" t="s">
        <v>4725</v>
      </c>
      <c r="Y575" s="60">
        <v>213</v>
      </c>
      <c r="Z575" s="259" t="s">
        <v>3227</v>
      </c>
      <c r="AA575" s="259"/>
      <c r="AB575" s="259"/>
      <c r="AC575" s="259"/>
      <c r="AD575" s="259"/>
      <c r="AE575" s="259"/>
    </row>
    <row r="576" spans="1:31">
      <c r="A576" s="259" t="s">
        <v>725</v>
      </c>
      <c r="B576" s="259" t="s">
        <v>32</v>
      </c>
      <c r="C576" s="264" t="s">
        <v>42</v>
      </c>
      <c r="D576" s="264" t="s">
        <v>4729</v>
      </c>
      <c r="E576" s="259" t="s">
        <v>4038</v>
      </c>
      <c r="G576" s="292" t="s">
        <v>4167</v>
      </c>
      <c r="H576" s="264" t="s">
        <v>4730</v>
      </c>
      <c r="I576" s="264" t="s">
        <v>4731</v>
      </c>
      <c r="J576" s="295">
        <v>4138.7</v>
      </c>
      <c r="K576" s="295">
        <v>2410.92</v>
      </c>
      <c r="L576" s="295">
        <v>1205.46</v>
      </c>
      <c r="O576" s="266">
        <v>0</v>
      </c>
      <c r="P576" s="266">
        <v>718878025369</v>
      </c>
      <c r="Q576" s="266">
        <v>0</v>
      </c>
      <c r="R576" s="265">
        <v>5.75</v>
      </c>
      <c r="S576" s="265">
        <v>13.221</v>
      </c>
      <c r="T576" s="265">
        <v>8.4879999999999995</v>
      </c>
      <c r="U576" s="265">
        <v>4.5670000000000002</v>
      </c>
      <c r="V576" s="259" t="s">
        <v>4159</v>
      </c>
      <c r="W576" s="259" t="s">
        <v>3061</v>
      </c>
      <c r="X576" s="264" t="s">
        <v>4732</v>
      </c>
      <c r="Y576" s="60">
        <v>214</v>
      </c>
      <c r="Z576" s="259" t="s">
        <v>3227</v>
      </c>
      <c r="AA576" s="259"/>
      <c r="AB576" s="259"/>
      <c r="AC576" s="259"/>
      <c r="AD576" s="259"/>
      <c r="AE576" s="259"/>
    </row>
    <row r="577" spans="1:31">
      <c r="A577" s="259" t="s">
        <v>726</v>
      </c>
      <c r="B577" s="259" t="s">
        <v>32</v>
      </c>
      <c r="C577" s="264" t="s">
        <v>42</v>
      </c>
      <c r="D577" s="264" t="s">
        <v>4733</v>
      </c>
      <c r="E577" s="259" t="s">
        <v>4038</v>
      </c>
      <c r="G577" s="292" t="s">
        <v>4167</v>
      </c>
      <c r="H577" s="264" t="s">
        <v>4734</v>
      </c>
      <c r="I577" s="264" t="s">
        <v>4735</v>
      </c>
      <c r="J577" s="295">
        <v>4138.7</v>
      </c>
      <c r="K577" s="295">
        <v>2410.92</v>
      </c>
      <c r="L577" s="295">
        <v>1205.46</v>
      </c>
      <c r="O577" s="266">
        <v>0</v>
      </c>
      <c r="P577" s="266">
        <v>718878025376</v>
      </c>
      <c r="Q577" s="266">
        <v>0</v>
      </c>
      <c r="R577" s="265">
        <v>5.75</v>
      </c>
      <c r="S577" s="265">
        <v>13.221</v>
      </c>
      <c r="T577" s="265">
        <v>8.4879999999999995</v>
      </c>
      <c r="U577" s="265">
        <v>4.5670000000000002</v>
      </c>
      <c r="V577" s="259" t="s">
        <v>4159</v>
      </c>
      <c r="W577" s="259" t="s">
        <v>3061</v>
      </c>
      <c r="X577" s="264" t="s">
        <v>4732</v>
      </c>
      <c r="Y577" s="60">
        <v>215</v>
      </c>
      <c r="Z577" s="259" t="s">
        <v>3227</v>
      </c>
      <c r="AA577" s="259"/>
      <c r="AB577" s="259"/>
      <c r="AC577" s="259"/>
      <c r="AD577" s="259"/>
      <c r="AE577" s="259"/>
    </row>
    <row r="578" spans="1:31">
      <c r="A578" s="259" t="s">
        <v>727</v>
      </c>
      <c r="B578" s="259" t="s">
        <v>32</v>
      </c>
      <c r="C578" s="264" t="s">
        <v>49</v>
      </c>
      <c r="D578" s="264" t="s">
        <v>4736</v>
      </c>
      <c r="E578" s="259" t="s">
        <v>4083</v>
      </c>
      <c r="G578" s="259">
        <v>0</v>
      </c>
      <c r="H578" s="264" t="s">
        <v>4737</v>
      </c>
      <c r="I578" s="264" t="s">
        <v>4738</v>
      </c>
      <c r="J578" s="295">
        <v>468.2</v>
      </c>
      <c r="K578" s="295">
        <v>468.2</v>
      </c>
      <c r="L578" s="295">
        <v>234.1</v>
      </c>
      <c r="O578" s="266">
        <v>0</v>
      </c>
      <c r="P578" s="266">
        <v>718878025383</v>
      </c>
      <c r="Q578" s="266">
        <v>0</v>
      </c>
      <c r="R578" s="265">
        <v>0.35</v>
      </c>
      <c r="S578" s="265">
        <v>4</v>
      </c>
      <c r="T578" s="265">
        <v>1.75</v>
      </c>
      <c r="U578" s="265">
        <v>1</v>
      </c>
      <c r="V578" s="259" t="s">
        <v>4159</v>
      </c>
      <c r="W578" s="259" t="s">
        <v>3061</v>
      </c>
      <c r="X578" s="264" t="s">
        <v>4739</v>
      </c>
      <c r="Y578" s="60">
        <v>216</v>
      </c>
      <c r="Z578" s="259" t="s">
        <v>3030</v>
      </c>
      <c r="AA578" s="259"/>
      <c r="AB578" s="259"/>
      <c r="AC578" s="259"/>
      <c r="AD578" s="259"/>
      <c r="AE578" s="259"/>
    </row>
    <row r="579" spans="1:31">
      <c r="A579" s="259" t="s">
        <v>728</v>
      </c>
      <c r="B579" s="259" t="s">
        <v>32</v>
      </c>
      <c r="C579" s="264" t="s">
        <v>49</v>
      </c>
      <c r="D579" s="264" t="s">
        <v>4740</v>
      </c>
      <c r="E579" s="259" t="s">
        <v>4083</v>
      </c>
      <c r="G579" s="259">
        <v>0</v>
      </c>
      <c r="H579" s="264" t="s">
        <v>4741</v>
      </c>
      <c r="I579" s="264" t="s">
        <v>4742</v>
      </c>
      <c r="J579" s="295">
        <v>468.2</v>
      </c>
      <c r="K579" s="295">
        <v>468.2</v>
      </c>
      <c r="L579" s="295">
        <v>234.1</v>
      </c>
      <c r="O579" s="266">
        <v>0</v>
      </c>
      <c r="P579" s="266">
        <v>718878025390</v>
      </c>
      <c r="Q579" s="266">
        <v>0</v>
      </c>
      <c r="R579" s="265">
        <v>0.35</v>
      </c>
      <c r="S579" s="265">
        <v>4</v>
      </c>
      <c r="T579" s="265">
        <v>1.75</v>
      </c>
      <c r="U579" s="265">
        <v>1</v>
      </c>
      <c r="V579" s="259" t="s">
        <v>4159</v>
      </c>
      <c r="W579" s="259" t="s">
        <v>3061</v>
      </c>
      <c r="X579" s="264" t="s">
        <v>4739</v>
      </c>
      <c r="Y579" s="60">
        <v>217</v>
      </c>
      <c r="Z579" s="259" t="s">
        <v>3030</v>
      </c>
      <c r="AA579" s="259"/>
      <c r="AB579" s="259"/>
      <c r="AC579" s="259"/>
      <c r="AD579" s="259"/>
      <c r="AE579" s="259"/>
    </row>
    <row r="580" spans="1:31">
      <c r="A580" s="259" t="s">
        <v>729</v>
      </c>
      <c r="B580" s="259" t="s">
        <v>32</v>
      </c>
      <c r="C580" s="264" t="s">
        <v>49</v>
      </c>
      <c r="D580" s="264" t="s">
        <v>4743</v>
      </c>
      <c r="E580" s="259" t="s">
        <v>4083</v>
      </c>
      <c r="G580" s="259">
        <v>0</v>
      </c>
      <c r="H580" s="264" t="s">
        <v>4744</v>
      </c>
      <c r="I580" s="264" t="s">
        <v>4745</v>
      </c>
      <c r="J580" s="295">
        <v>444.2</v>
      </c>
      <c r="K580" s="295">
        <v>444.2</v>
      </c>
      <c r="L580" s="295">
        <v>222.1</v>
      </c>
      <c r="O580" s="266">
        <v>0</v>
      </c>
      <c r="P580" s="266">
        <v>718878025406</v>
      </c>
      <c r="Q580" s="266">
        <v>0</v>
      </c>
      <c r="R580" s="265">
        <v>0.35</v>
      </c>
      <c r="S580" s="265">
        <v>4</v>
      </c>
      <c r="T580" s="265">
        <v>1.75</v>
      </c>
      <c r="U580" s="265">
        <v>1</v>
      </c>
      <c r="V580" s="259" t="s">
        <v>4159</v>
      </c>
      <c r="W580" s="259" t="s">
        <v>3061</v>
      </c>
      <c r="X580" s="264" t="s">
        <v>4746</v>
      </c>
      <c r="Y580" s="60">
        <v>218</v>
      </c>
      <c r="Z580" s="259" t="s">
        <v>3030</v>
      </c>
      <c r="AA580" s="259"/>
      <c r="AB580" s="259"/>
      <c r="AC580" s="259"/>
      <c r="AD580" s="259"/>
      <c r="AE580" s="259"/>
    </row>
    <row r="581" spans="1:31">
      <c r="A581" s="259" t="s">
        <v>730</v>
      </c>
      <c r="B581" s="259" t="s">
        <v>32</v>
      </c>
      <c r="C581" s="264" t="s">
        <v>49</v>
      </c>
      <c r="D581" s="264" t="s">
        <v>4747</v>
      </c>
      <c r="E581" s="259" t="s">
        <v>4083</v>
      </c>
      <c r="G581" s="259">
        <v>0</v>
      </c>
      <c r="H581" s="264" t="s">
        <v>4748</v>
      </c>
      <c r="I581" s="264" t="s">
        <v>4749</v>
      </c>
      <c r="J581" s="295">
        <v>444.2</v>
      </c>
      <c r="K581" s="295">
        <v>444.2</v>
      </c>
      <c r="L581" s="295">
        <v>222.1</v>
      </c>
      <c r="O581" s="266">
        <v>0</v>
      </c>
      <c r="P581" s="266">
        <v>718878022764</v>
      </c>
      <c r="Q581" s="266">
        <v>0</v>
      </c>
      <c r="R581" s="265">
        <v>0.35</v>
      </c>
      <c r="S581" s="265">
        <v>4</v>
      </c>
      <c r="T581" s="265">
        <v>1.75</v>
      </c>
      <c r="U581" s="265">
        <v>1</v>
      </c>
      <c r="V581" s="259" t="s">
        <v>4159</v>
      </c>
      <c r="W581" s="259" t="s">
        <v>3061</v>
      </c>
      <c r="X581" s="264" t="s">
        <v>4746</v>
      </c>
      <c r="Y581" s="60">
        <v>219</v>
      </c>
      <c r="Z581" s="259" t="s">
        <v>3030</v>
      </c>
      <c r="AA581" s="259"/>
      <c r="AB581" s="259"/>
      <c r="AC581" s="259"/>
      <c r="AD581" s="259"/>
      <c r="AE581" s="259"/>
    </row>
    <row r="582" spans="1:31">
      <c r="A582" s="259" t="s">
        <v>731</v>
      </c>
      <c r="B582" s="259" t="s">
        <v>32</v>
      </c>
      <c r="C582" s="264" t="s">
        <v>49</v>
      </c>
      <c r="D582" s="264" t="s">
        <v>4750</v>
      </c>
      <c r="E582" s="259" t="s">
        <v>4083</v>
      </c>
      <c r="G582" s="259">
        <v>0</v>
      </c>
      <c r="H582" s="264" t="s">
        <v>4751</v>
      </c>
      <c r="I582" s="264" t="s">
        <v>4752</v>
      </c>
      <c r="J582" s="295">
        <v>444.2</v>
      </c>
      <c r="K582" s="295">
        <v>444.2</v>
      </c>
      <c r="L582" s="295">
        <v>222.1</v>
      </c>
      <c r="O582" s="266">
        <v>0</v>
      </c>
      <c r="P582" s="266">
        <v>718878025413</v>
      </c>
      <c r="Q582" s="266">
        <v>0</v>
      </c>
      <c r="R582" s="265">
        <v>0.35</v>
      </c>
      <c r="S582" s="265">
        <v>4</v>
      </c>
      <c r="T582" s="265">
        <v>1.75</v>
      </c>
      <c r="U582" s="265">
        <v>1</v>
      </c>
      <c r="V582" s="259" t="s">
        <v>4159</v>
      </c>
      <c r="W582" s="259" t="s">
        <v>3061</v>
      </c>
      <c r="X582" s="264" t="s">
        <v>4753</v>
      </c>
      <c r="Y582" s="60">
        <v>220</v>
      </c>
      <c r="Z582" s="259" t="s">
        <v>3030</v>
      </c>
      <c r="AA582" s="259"/>
      <c r="AB582" s="259"/>
      <c r="AC582" s="259"/>
      <c r="AD582" s="259"/>
      <c r="AE582" s="259"/>
    </row>
    <row r="583" spans="1:31">
      <c r="A583" s="259" t="s">
        <v>732</v>
      </c>
      <c r="B583" s="259" t="s">
        <v>32</v>
      </c>
      <c r="C583" s="264" t="s">
        <v>49</v>
      </c>
      <c r="D583" s="264" t="s">
        <v>4754</v>
      </c>
      <c r="E583" s="259" t="s">
        <v>4083</v>
      </c>
      <c r="G583" s="259">
        <v>0</v>
      </c>
      <c r="H583" s="264" t="s">
        <v>4755</v>
      </c>
      <c r="I583" s="264" t="s">
        <v>4756</v>
      </c>
      <c r="J583" s="295">
        <v>444.2</v>
      </c>
      <c r="K583" s="295">
        <v>444.2</v>
      </c>
      <c r="L583" s="295">
        <v>222.1</v>
      </c>
      <c r="O583" s="266">
        <v>0</v>
      </c>
      <c r="P583" s="266">
        <v>718878025420</v>
      </c>
      <c r="Q583" s="266">
        <v>0</v>
      </c>
      <c r="R583" s="265">
        <v>0.35</v>
      </c>
      <c r="S583" s="265">
        <v>4</v>
      </c>
      <c r="T583" s="265">
        <v>1.75</v>
      </c>
      <c r="U583" s="265">
        <v>1</v>
      </c>
      <c r="V583" s="259" t="s">
        <v>4159</v>
      </c>
      <c r="W583" s="259" t="s">
        <v>3061</v>
      </c>
      <c r="X583" s="264" t="s">
        <v>4753</v>
      </c>
      <c r="Y583" s="60">
        <v>221</v>
      </c>
      <c r="Z583" s="259" t="s">
        <v>3030</v>
      </c>
      <c r="AA583" s="259"/>
      <c r="AB583" s="259"/>
      <c r="AC583" s="259"/>
      <c r="AD583" s="259"/>
      <c r="AE583" s="259"/>
    </row>
    <row r="584" spans="1:31">
      <c r="A584" s="259" t="s">
        <v>733</v>
      </c>
      <c r="B584" s="259" t="s">
        <v>32</v>
      </c>
      <c r="C584" s="264" t="s">
        <v>49</v>
      </c>
      <c r="D584" s="264" t="s">
        <v>4757</v>
      </c>
      <c r="E584" s="259" t="s">
        <v>4083</v>
      </c>
      <c r="G584" s="259">
        <v>0</v>
      </c>
      <c r="H584" s="264" t="s">
        <v>4758</v>
      </c>
      <c r="I584" s="264" t="s">
        <v>4759</v>
      </c>
      <c r="J584" s="295">
        <v>560.20000000000005</v>
      </c>
      <c r="K584" s="295">
        <v>560.20000000000005</v>
      </c>
      <c r="L584" s="295">
        <v>280.10000000000002</v>
      </c>
      <c r="O584" s="266">
        <v>0</v>
      </c>
      <c r="P584" s="266">
        <v>718878025437</v>
      </c>
      <c r="Q584" s="266">
        <v>0</v>
      </c>
      <c r="R584" s="265">
        <v>0.25</v>
      </c>
      <c r="S584" s="265">
        <v>3.4375</v>
      </c>
      <c r="T584" s="265">
        <v>4.6875</v>
      </c>
      <c r="U584" s="265">
        <v>0.5625</v>
      </c>
      <c r="V584" s="259" t="s">
        <v>4159</v>
      </c>
      <c r="W584" s="259" t="s">
        <v>3061</v>
      </c>
      <c r="X584" s="264" t="s">
        <v>4760</v>
      </c>
      <c r="Y584" s="60">
        <v>222</v>
      </c>
      <c r="Z584" s="259" t="s">
        <v>3030</v>
      </c>
      <c r="AA584" s="259"/>
      <c r="AB584" s="259"/>
      <c r="AC584" s="259"/>
      <c r="AD584" s="259"/>
      <c r="AE584" s="259"/>
    </row>
    <row r="585" spans="1:31">
      <c r="A585" s="259" t="s">
        <v>734</v>
      </c>
      <c r="B585" s="259" t="s">
        <v>32</v>
      </c>
      <c r="C585" s="264" t="s">
        <v>49</v>
      </c>
      <c r="D585" s="264" t="s">
        <v>4761</v>
      </c>
      <c r="E585" s="259" t="s">
        <v>4083</v>
      </c>
      <c r="G585" s="259">
        <v>0</v>
      </c>
      <c r="H585" s="264" t="s">
        <v>4762</v>
      </c>
      <c r="I585" s="264" t="s">
        <v>4763</v>
      </c>
      <c r="J585" s="295">
        <v>560.20000000000005</v>
      </c>
      <c r="K585" s="295">
        <v>560.20000000000005</v>
      </c>
      <c r="L585" s="295">
        <v>280.10000000000002</v>
      </c>
      <c r="O585" s="266">
        <v>0</v>
      </c>
      <c r="P585" s="266">
        <v>718878025444</v>
      </c>
      <c r="Q585" s="266">
        <v>0</v>
      </c>
      <c r="R585" s="265">
        <v>0.25</v>
      </c>
      <c r="S585" s="265">
        <v>3.4375</v>
      </c>
      <c r="T585" s="265">
        <v>4.6875</v>
      </c>
      <c r="U585" s="265">
        <v>0.5625</v>
      </c>
      <c r="V585" s="259" t="s">
        <v>4159</v>
      </c>
      <c r="W585" s="259" t="s">
        <v>3061</v>
      </c>
      <c r="X585" s="264" t="s">
        <v>4760</v>
      </c>
      <c r="Y585" s="60">
        <v>223</v>
      </c>
      <c r="Z585" s="259" t="s">
        <v>3030</v>
      </c>
      <c r="AA585" s="259"/>
      <c r="AB585" s="259"/>
      <c r="AC585" s="259"/>
      <c r="AD585" s="259"/>
      <c r="AE585" s="259"/>
    </row>
    <row r="586" spans="1:31">
      <c r="A586" s="259" t="s">
        <v>735</v>
      </c>
      <c r="B586" s="259" t="s">
        <v>32</v>
      </c>
      <c r="C586" s="264" t="s">
        <v>49</v>
      </c>
      <c r="D586" s="264" t="s">
        <v>4764</v>
      </c>
      <c r="E586" s="259" t="s">
        <v>4083</v>
      </c>
      <c r="G586" s="259">
        <v>0</v>
      </c>
      <c r="H586" s="264" t="s">
        <v>4765</v>
      </c>
      <c r="I586" s="264" t="s">
        <v>4766</v>
      </c>
      <c r="J586" s="295">
        <v>560.20000000000005</v>
      </c>
      <c r="K586" s="295">
        <v>560.20000000000005</v>
      </c>
      <c r="L586" s="295">
        <v>280.10000000000002</v>
      </c>
      <c r="O586" s="266">
        <v>0</v>
      </c>
      <c r="P586" s="266">
        <v>718878025451</v>
      </c>
      <c r="Q586" s="266">
        <v>0</v>
      </c>
      <c r="R586" s="265">
        <v>0.25</v>
      </c>
      <c r="S586" s="265">
        <v>4.6875</v>
      </c>
      <c r="T586" s="265">
        <v>3.4375</v>
      </c>
      <c r="U586" s="265">
        <v>0.5625</v>
      </c>
      <c r="V586" s="259" t="s">
        <v>4159</v>
      </c>
      <c r="W586" s="259" t="s">
        <v>3061</v>
      </c>
      <c r="X586" s="264" t="s">
        <v>4760</v>
      </c>
      <c r="Y586" s="60">
        <v>224</v>
      </c>
      <c r="Z586" s="259" t="s">
        <v>3030</v>
      </c>
      <c r="AA586" s="259"/>
      <c r="AB586" s="259"/>
      <c r="AC586" s="259"/>
      <c r="AD586" s="259"/>
      <c r="AE586" s="259"/>
    </row>
    <row r="587" spans="1:31">
      <c r="A587" s="259" t="s">
        <v>736</v>
      </c>
      <c r="B587" s="259" t="s">
        <v>32</v>
      </c>
      <c r="C587" s="264" t="s">
        <v>49</v>
      </c>
      <c r="D587" s="264" t="s">
        <v>4767</v>
      </c>
      <c r="E587" s="259" t="s">
        <v>4083</v>
      </c>
      <c r="G587" s="259">
        <v>0</v>
      </c>
      <c r="H587" s="264" t="s">
        <v>4768</v>
      </c>
      <c r="I587" s="264" t="s">
        <v>4769</v>
      </c>
      <c r="J587" s="295">
        <v>560.20000000000005</v>
      </c>
      <c r="K587" s="295">
        <v>560.20000000000005</v>
      </c>
      <c r="L587" s="295">
        <v>280.10000000000002</v>
      </c>
      <c r="O587" s="266">
        <v>0</v>
      </c>
      <c r="P587" s="266">
        <v>718878025468</v>
      </c>
      <c r="Q587" s="266">
        <v>0</v>
      </c>
      <c r="R587" s="265">
        <v>0.25</v>
      </c>
      <c r="S587" s="265">
        <v>4.6875</v>
      </c>
      <c r="T587" s="265">
        <v>3.4375</v>
      </c>
      <c r="U587" s="265">
        <v>0.5625</v>
      </c>
      <c r="V587" s="259" t="s">
        <v>4159</v>
      </c>
      <c r="W587" s="259" t="s">
        <v>3061</v>
      </c>
      <c r="X587" s="264" t="s">
        <v>4760</v>
      </c>
      <c r="Y587" s="60">
        <v>225</v>
      </c>
      <c r="Z587" s="259" t="s">
        <v>3030</v>
      </c>
      <c r="AA587" s="259"/>
      <c r="AB587" s="259"/>
      <c r="AC587" s="259"/>
      <c r="AD587" s="259"/>
      <c r="AE587" s="259"/>
    </row>
    <row r="588" spans="1:31">
      <c r="A588" s="259" t="s">
        <v>737</v>
      </c>
      <c r="B588" s="259" t="s">
        <v>32</v>
      </c>
      <c r="C588" s="264" t="s">
        <v>49</v>
      </c>
      <c r="D588" s="264" t="s">
        <v>4770</v>
      </c>
      <c r="E588" s="259" t="s">
        <v>4083</v>
      </c>
      <c r="G588" s="259">
        <v>0</v>
      </c>
      <c r="H588" s="264" t="s">
        <v>4771</v>
      </c>
      <c r="I588" s="264" t="s">
        <v>4772</v>
      </c>
      <c r="J588" s="295">
        <v>674.5</v>
      </c>
      <c r="K588" s="295">
        <v>674.5</v>
      </c>
      <c r="L588" s="295">
        <v>337.25</v>
      </c>
      <c r="O588" s="266">
        <v>0</v>
      </c>
      <c r="P588" s="266">
        <v>718878025475</v>
      </c>
      <c r="Q588" s="266">
        <v>0</v>
      </c>
      <c r="R588" s="265">
        <v>0.41</v>
      </c>
      <c r="S588" s="265">
        <v>4.6875</v>
      </c>
      <c r="T588" s="265">
        <v>6</v>
      </c>
      <c r="U588" s="265">
        <v>1</v>
      </c>
      <c r="V588" s="259" t="s">
        <v>4159</v>
      </c>
      <c r="W588" s="259" t="s">
        <v>3061</v>
      </c>
      <c r="X588" s="264" t="s">
        <v>4773</v>
      </c>
      <c r="Y588" s="60">
        <v>226</v>
      </c>
      <c r="Z588" s="259" t="s">
        <v>3030</v>
      </c>
      <c r="AA588" s="259"/>
      <c r="AB588" s="259"/>
      <c r="AC588" s="259"/>
      <c r="AD588" s="259"/>
      <c r="AE588" s="259"/>
    </row>
    <row r="589" spans="1:31">
      <c r="A589" s="259" t="s">
        <v>738</v>
      </c>
      <c r="B589" s="259" t="s">
        <v>32</v>
      </c>
      <c r="C589" s="264" t="s">
        <v>49</v>
      </c>
      <c r="D589" s="264" t="s">
        <v>4774</v>
      </c>
      <c r="E589" s="259" t="s">
        <v>4083</v>
      </c>
      <c r="G589" s="259">
        <v>0</v>
      </c>
      <c r="H589" s="264" t="s">
        <v>4775</v>
      </c>
      <c r="I589" s="264" t="s">
        <v>4776</v>
      </c>
      <c r="J589" s="295">
        <v>674.5</v>
      </c>
      <c r="K589" s="295">
        <v>674.5</v>
      </c>
      <c r="L589" s="295">
        <v>337.25</v>
      </c>
      <c r="O589" s="266">
        <v>0</v>
      </c>
      <c r="P589" s="266">
        <v>718878025482</v>
      </c>
      <c r="Q589" s="266">
        <v>0</v>
      </c>
      <c r="R589" s="265">
        <v>0.41</v>
      </c>
      <c r="S589" s="265">
        <v>4.6875</v>
      </c>
      <c r="T589" s="265">
        <v>6</v>
      </c>
      <c r="U589" s="265">
        <v>1</v>
      </c>
      <c r="V589" s="259" t="s">
        <v>4159</v>
      </c>
      <c r="W589" s="259" t="s">
        <v>3061</v>
      </c>
      <c r="X589" s="264" t="s">
        <v>4773</v>
      </c>
      <c r="Y589" s="60">
        <v>227</v>
      </c>
      <c r="Z589" s="259" t="s">
        <v>3030</v>
      </c>
      <c r="AA589" s="259"/>
      <c r="AB589" s="259"/>
      <c r="AC589" s="259"/>
      <c r="AD589" s="259"/>
      <c r="AE589" s="259"/>
    </row>
    <row r="590" spans="1:31">
      <c r="A590" s="259" t="s">
        <v>739</v>
      </c>
      <c r="B590" s="259" t="s">
        <v>32</v>
      </c>
      <c r="C590" s="264" t="s">
        <v>41</v>
      </c>
      <c r="D590" s="264" t="s">
        <v>4777</v>
      </c>
      <c r="E590" s="259" t="s">
        <v>4083</v>
      </c>
      <c r="G590" s="259">
        <v>0</v>
      </c>
      <c r="H590" s="264" t="s">
        <v>4778</v>
      </c>
      <c r="I590" s="264" t="s">
        <v>4779</v>
      </c>
      <c r="J590" s="295">
        <v>2938.3</v>
      </c>
      <c r="K590" s="295">
        <v>2938.3</v>
      </c>
      <c r="L590" s="295">
        <v>1469.15</v>
      </c>
      <c r="O590" s="266">
        <v>0</v>
      </c>
      <c r="P590" s="266">
        <v>718878236772</v>
      </c>
      <c r="Q590" s="266">
        <v>0</v>
      </c>
      <c r="R590" s="265">
        <v>2.8</v>
      </c>
      <c r="S590" s="265">
        <v>8.25</v>
      </c>
      <c r="T590" s="265">
        <v>7.1875</v>
      </c>
      <c r="U590" s="265">
        <v>1.5625</v>
      </c>
      <c r="V590" s="259" t="s">
        <v>4159</v>
      </c>
      <c r="W590" s="259" t="s">
        <v>3061</v>
      </c>
      <c r="X590" s="264" t="s">
        <v>4780</v>
      </c>
      <c r="Y590" s="60">
        <v>228</v>
      </c>
      <c r="Z590" s="259" t="s">
        <v>3030</v>
      </c>
      <c r="AA590" s="259"/>
      <c r="AB590" s="259"/>
      <c r="AC590" s="259"/>
      <c r="AD590" s="259"/>
      <c r="AE590" s="259"/>
    </row>
    <row r="591" spans="1:31">
      <c r="A591" s="259" t="s">
        <v>740</v>
      </c>
      <c r="B591" s="259" t="s">
        <v>32</v>
      </c>
      <c r="C591" s="264" t="s">
        <v>41</v>
      </c>
      <c r="D591" s="264" t="s">
        <v>4781</v>
      </c>
      <c r="E591" s="259" t="s">
        <v>4083</v>
      </c>
      <c r="G591" s="259">
        <v>0</v>
      </c>
      <c r="H591" s="264" t="s">
        <v>4782</v>
      </c>
      <c r="I591" s="264" t="s">
        <v>4783</v>
      </c>
      <c r="J591" s="295">
        <v>27.4</v>
      </c>
      <c r="K591" s="295">
        <v>27.4</v>
      </c>
      <c r="L591" s="295">
        <v>13.7</v>
      </c>
      <c r="O591" s="266">
        <v>0</v>
      </c>
      <c r="P591" s="266">
        <v>718878243442</v>
      </c>
      <c r="Q591" s="266">
        <v>0</v>
      </c>
      <c r="R591" s="265">
        <v>0.2</v>
      </c>
      <c r="S591" s="265">
        <v>2</v>
      </c>
      <c r="T591" s="265">
        <v>2</v>
      </c>
      <c r="U591" s="265">
        <v>0.5</v>
      </c>
      <c r="V591" s="259" t="s">
        <v>3028</v>
      </c>
      <c r="W591" s="259" t="s">
        <v>4130</v>
      </c>
      <c r="X591" s="264" t="s">
        <v>4784</v>
      </c>
      <c r="Y591" s="60">
        <v>229</v>
      </c>
      <c r="Z591" s="259" t="s">
        <v>3227</v>
      </c>
      <c r="AA591" s="259"/>
      <c r="AB591" s="259"/>
      <c r="AC591" s="259"/>
      <c r="AD591" s="259"/>
      <c r="AE591" s="259"/>
    </row>
    <row r="592" spans="1:31">
      <c r="A592" s="259" t="s">
        <v>741</v>
      </c>
      <c r="B592" s="259" t="s">
        <v>32</v>
      </c>
      <c r="C592" s="264" t="s">
        <v>41</v>
      </c>
      <c r="D592" s="264" t="s">
        <v>4785</v>
      </c>
      <c r="E592" s="259" t="s">
        <v>4083</v>
      </c>
      <c r="G592" s="259">
        <v>0</v>
      </c>
      <c r="H592" s="264" t="s">
        <v>4786</v>
      </c>
      <c r="I592" s="264" t="s">
        <v>4787</v>
      </c>
      <c r="J592" s="295">
        <v>318.10000000000002</v>
      </c>
      <c r="K592" s="295">
        <v>318.10000000000002</v>
      </c>
      <c r="L592" s="295">
        <v>159.05000000000001</v>
      </c>
      <c r="O592" s="266">
        <v>0</v>
      </c>
      <c r="P592" s="266">
        <v>0</v>
      </c>
      <c r="Q592" s="266">
        <v>0</v>
      </c>
      <c r="R592" s="265">
        <v>1</v>
      </c>
      <c r="S592" s="265">
        <v>19</v>
      </c>
      <c r="T592" s="265">
        <v>7.75</v>
      </c>
      <c r="U592" s="265">
        <v>1.75</v>
      </c>
      <c r="V592" s="259" t="s">
        <v>4159</v>
      </c>
      <c r="W592" s="259" t="s">
        <v>3061</v>
      </c>
      <c r="X592" s="264" t="s">
        <v>4788</v>
      </c>
      <c r="Y592" s="60">
        <v>230</v>
      </c>
      <c r="Z592" s="259" t="s">
        <v>3030</v>
      </c>
      <c r="AA592" s="259"/>
      <c r="AB592" s="259"/>
      <c r="AC592" s="259"/>
      <c r="AD592" s="259"/>
      <c r="AE592" s="259"/>
    </row>
    <row r="593" spans="1:31">
      <c r="A593" s="259" t="s">
        <v>742</v>
      </c>
      <c r="B593" s="259" t="s">
        <v>32</v>
      </c>
      <c r="C593" s="264" t="s">
        <v>38</v>
      </c>
      <c r="D593" s="264" t="s">
        <v>4789</v>
      </c>
      <c r="E593" s="259" t="s">
        <v>4083</v>
      </c>
      <c r="G593" s="292" t="s">
        <v>4167</v>
      </c>
      <c r="H593" s="264" t="s">
        <v>4790</v>
      </c>
      <c r="I593" s="264" t="s">
        <v>4791</v>
      </c>
      <c r="J593" s="295">
        <v>6453.9</v>
      </c>
      <c r="K593" s="295">
        <v>1398</v>
      </c>
      <c r="L593" s="295">
        <v>699</v>
      </c>
      <c r="O593" s="266">
        <v>0</v>
      </c>
      <c r="P593" s="266">
        <v>718878247006</v>
      </c>
      <c r="Q593" s="266">
        <v>0</v>
      </c>
      <c r="R593" s="265">
        <v>2</v>
      </c>
      <c r="S593" s="265">
        <v>6.6875</v>
      </c>
      <c r="T593" s="265">
        <v>9.875</v>
      </c>
      <c r="U593" s="265">
        <v>2.625</v>
      </c>
      <c r="V593" s="259" t="s">
        <v>4159</v>
      </c>
      <c r="W593" s="259" t="s">
        <v>3061</v>
      </c>
      <c r="X593" s="264" t="s">
        <v>4792</v>
      </c>
      <c r="Y593" s="60">
        <v>231</v>
      </c>
      <c r="Z593" s="259" t="s">
        <v>3227</v>
      </c>
      <c r="AA593" s="259"/>
      <c r="AB593" s="259"/>
      <c r="AC593" s="259"/>
      <c r="AD593" s="259"/>
      <c r="AE593" s="259"/>
    </row>
    <row r="594" spans="1:31">
      <c r="A594" s="259" t="s">
        <v>743</v>
      </c>
      <c r="B594" s="259" t="s">
        <v>32</v>
      </c>
      <c r="C594" s="264" t="s">
        <v>38</v>
      </c>
      <c r="D594" s="264" t="s">
        <v>4793</v>
      </c>
      <c r="E594" s="259" t="s">
        <v>4083</v>
      </c>
      <c r="G594" s="292" t="s">
        <v>4167</v>
      </c>
      <c r="H594" s="264" t="s">
        <v>4794</v>
      </c>
      <c r="I594" s="264" t="s">
        <v>4795</v>
      </c>
      <c r="J594" s="295">
        <v>4333.1000000000004</v>
      </c>
      <c r="K594" s="295">
        <v>998</v>
      </c>
      <c r="L594" s="295">
        <v>499</v>
      </c>
      <c r="O594" s="266">
        <v>0</v>
      </c>
      <c r="P594" s="266">
        <v>718878024164</v>
      </c>
      <c r="Q594" s="266">
        <v>0</v>
      </c>
      <c r="R594" s="265">
        <v>1.4</v>
      </c>
      <c r="S594" s="265">
        <v>4.8125</v>
      </c>
      <c r="T594" s="265">
        <v>7.3125</v>
      </c>
      <c r="U594" s="265">
        <v>2.625</v>
      </c>
      <c r="V594" s="259" t="s">
        <v>4159</v>
      </c>
      <c r="W594" s="259" t="s">
        <v>3061</v>
      </c>
      <c r="X594" s="264" t="s">
        <v>4796</v>
      </c>
      <c r="Y594" s="60">
        <v>232</v>
      </c>
      <c r="Z594" s="259" t="s">
        <v>3227</v>
      </c>
      <c r="AA594" s="259"/>
      <c r="AB594" s="259"/>
      <c r="AC594" s="259"/>
      <c r="AD594" s="259"/>
      <c r="AE594" s="259"/>
    </row>
    <row r="595" spans="1:31">
      <c r="A595" s="259" t="s">
        <v>744</v>
      </c>
      <c r="B595" s="259" t="s">
        <v>32</v>
      </c>
      <c r="C595" s="264" t="s">
        <v>38</v>
      </c>
      <c r="D595" s="264" t="s">
        <v>4797</v>
      </c>
      <c r="E595" s="259" t="s">
        <v>4083</v>
      </c>
      <c r="G595" s="292" t="s">
        <v>4167</v>
      </c>
      <c r="H595" s="264" t="s">
        <v>4798</v>
      </c>
      <c r="I595" s="264" t="s">
        <v>4799</v>
      </c>
      <c r="J595" s="295">
        <v>8826.2999999999993</v>
      </c>
      <c r="K595" s="295">
        <v>1398</v>
      </c>
      <c r="L595" s="295">
        <v>699</v>
      </c>
      <c r="O595" s="266">
        <v>0</v>
      </c>
      <c r="P595" s="266">
        <v>718878025581</v>
      </c>
      <c r="Q595" s="266">
        <v>0</v>
      </c>
      <c r="R595" s="265">
        <v>18.850000000000001</v>
      </c>
      <c r="S595" s="265">
        <v>15.324999999999999</v>
      </c>
      <c r="T595" s="265">
        <v>11.01</v>
      </c>
      <c r="U595" s="265">
        <v>6.7530000000000001</v>
      </c>
      <c r="V595" s="259" t="s">
        <v>4159</v>
      </c>
      <c r="W595" s="259" t="s">
        <v>3061</v>
      </c>
      <c r="X595" s="264" t="s">
        <v>4800</v>
      </c>
      <c r="Y595" s="60">
        <v>233</v>
      </c>
      <c r="Z595" s="259" t="s">
        <v>3227</v>
      </c>
      <c r="AA595" s="259"/>
      <c r="AB595" s="259"/>
      <c r="AC595" s="259"/>
      <c r="AD595" s="259"/>
      <c r="AE595" s="259"/>
    </row>
    <row r="596" spans="1:31">
      <c r="A596" s="259" t="s">
        <v>745</v>
      </c>
      <c r="B596" s="259" t="s">
        <v>32</v>
      </c>
      <c r="C596" s="264" t="s">
        <v>38</v>
      </c>
      <c r="D596" s="264" t="s">
        <v>4801</v>
      </c>
      <c r="E596" s="259" t="s">
        <v>4083</v>
      </c>
      <c r="G596" s="292" t="s">
        <v>4167</v>
      </c>
      <c r="H596" s="264" t="s">
        <v>4802</v>
      </c>
      <c r="I596" s="264" t="s">
        <v>4803</v>
      </c>
      <c r="J596" s="295">
        <v>8826.2999999999993</v>
      </c>
      <c r="K596" s="295">
        <v>1398</v>
      </c>
      <c r="L596" s="295">
        <v>699</v>
      </c>
      <c r="O596" s="266">
        <v>0</v>
      </c>
      <c r="P596" s="266">
        <v>718878022771</v>
      </c>
      <c r="Q596" s="266">
        <v>0</v>
      </c>
      <c r="R596" s="265">
        <v>18.850000000000001</v>
      </c>
      <c r="S596" s="265">
        <v>15.324999999999999</v>
      </c>
      <c r="T596" s="265">
        <v>11.01</v>
      </c>
      <c r="U596" s="265">
        <v>6.7530000000000001</v>
      </c>
      <c r="V596" s="259" t="s">
        <v>4159</v>
      </c>
      <c r="W596" s="259" t="s">
        <v>3061</v>
      </c>
      <c r="X596" s="264" t="s">
        <v>4800</v>
      </c>
      <c r="Y596" s="60">
        <v>234</v>
      </c>
      <c r="Z596" s="259" t="s">
        <v>3227</v>
      </c>
      <c r="AA596" s="259"/>
      <c r="AB596" s="259"/>
      <c r="AC596" s="259"/>
      <c r="AD596" s="259"/>
      <c r="AE596" s="259"/>
    </row>
    <row r="597" spans="1:31">
      <c r="A597" s="259" t="s">
        <v>746</v>
      </c>
      <c r="B597" s="259" t="s">
        <v>32</v>
      </c>
      <c r="C597" s="264" t="s">
        <v>41</v>
      </c>
      <c r="D597" s="264" t="s">
        <v>4804</v>
      </c>
      <c r="E597" s="259" t="s">
        <v>4083</v>
      </c>
      <c r="G597" s="259" t="s">
        <v>3378</v>
      </c>
      <c r="H597" s="264" t="s">
        <v>4805</v>
      </c>
      <c r="I597" s="264" t="s">
        <v>4806</v>
      </c>
      <c r="J597" s="295">
        <v>354.4</v>
      </c>
      <c r="K597" s="295">
        <v>354.4</v>
      </c>
      <c r="L597" s="295">
        <v>177.2</v>
      </c>
      <c r="O597" s="266">
        <v>0</v>
      </c>
      <c r="P597" s="266">
        <v>718878034354</v>
      </c>
      <c r="Q597" s="266">
        <v>0</v>
      </c>
      <c r="R597" s="265">
        <v>1.9</v>
      </c>
      <c r="S597" s="265">
        <v>9.92</v>
      </c>
      <c r="T597" s="265">
        <v>5.88</v>
      </c>
      <c r="U597" s="265">
        <v>0.49</v>
      </c>
      <c r="V597" s="259" t="s">
        <v>3028</v>
      </c>
      <c r="W597" s="259" t="s">
        <v>4130</v>
      </c>
      <c r="X597" s="264" t="s">
        <v>4807</v>
      </c>
      <c r="Y597" s="60">
        <v>235</v>
      </c>
      <c r="Z597" s="259" t="s">
        <v>3227</v>
      </c>
      <c r="AA597" s="259"/>
      <c r="AB597" s="259"/>
      <c r="AC597" s="259"/>
      <c r="AD597" s="259"/>
      <c r="AE597" s="259"/>
    </row>
    <row r="598" spans="1:31">
      <c r="A598" s="259" t="s">
        <v>747</v>
      </c>
      <c r="B598" s="259" t="s">
        <v>32</v>
      </c>
      <c r="C598" s="264" t="s">
        <v>41</v>
      </c>
      <c r="D598" s="264" t="s">
        <v>4808</v>
      </c>
      <c r="E598" s="259" t="s">
        <v>4083</v>
      </c>
      <c r="G598" s="259" t="s">
        <v>3378</v>
      </c>
      <c r="H598" s="264" t="s">
        <v>4809</v>
      </c>
      <c r="I598" s="264" t="s">
        <v>4810</v>
      </c>
      <c r="J598" s="295">
        <v>354.4</v>
      </c>
      <c r="K598" s="295">
        <v>354.4</v>
      </c>
      <c r="L598" s="295">
        <v>177.2</v>
      </c>
      <c r="O598" s="266">
        <v>0</v>
      </c>
      <c r="P598" s="266">
        <v>0</v>
      </c>
      <c r="Q598" s="266">
        <v>0</v>
      </c>
      <c r="R598" s="265">
        <v>1.2</v>
      </c>
      <c r="S598" s="265">
        <v>7.31</v>
      </c>
      <c r="T598" s="265">
        <v>4.13</v>
      </c>
      <c r="U598" s="265">
        <v>0.49</v>
      </c>
      <c r="V598" s="259" t="s">
        <v>3028</v>
      </c>
      <c r="W598" s="259" t="s">
        <v>4130</v>
      </c>
      <c r="X598" s="264" t="s">
        <v>4811</v>
      </c>
      <c r="Y598" s="60">
        <v>236</v>
      </c>
      <c r="Z598" s="259" t="s">
        <v>3227</v>
      </c>
      <c r="AA598" s="259"/>
      <c r="AB598" s="259"/>
      <c r="AC598" s="259"/>
      <c r="AD598" s="259"/>
      <c r="AE598" s="259"/>
    </row>
    <row r="599" spans="1:31">
      <c r="A599" s="259" t="s">
        <v>748</v>
      </c>
      <c r="B599" s="259" t="s">
        <v>32</v>
      </c>
      <c r="C599" s="264" t="s">
        <v>41</v>
      </c>
      <c r="D599" s="264" t="s">
        <v>4812</v>
      </c>
      <c r="E599" s="259" t="s">
        <v>4083</v>
      </c>
      <c r="G599" s="259" t="s">
        <v>3378</v>
      </c>
      <c r="H599" s="264" t="s">
        <v>4813</v>
      </c>
      <c r="I599" s="264" t="s">
        <v>4814</v>
      </c>
      <c r="J599" s="295">
        <v>498.2</v>
      </c>
      <c r="K599" s="295">
        <v>498.2</v>
      </c>
      <c r="L599" s="295">
        <v>249.1</v>
      </c>
      <c r="O599" s="266">
        <v>0</v>
      </c>
      <c r="P599" s="266">
        <v>718878024003</v>
      </c>
      <c r="Q599" s="266">
        <v>0</v>
      </c>
      <c r="R599" s="265">
        <v>1.35</v>
      </c>
      <c r="S599" s="265">
        <v>10.63</v>
      </c>
      <c r="T599" s="265">
        <v>7.43</v>
      </c>
      <c r="U599" s="265">
        <v>3.64</v>
      </c>
      <c r="V599" s="259" t="s">
        <v>3028</v>
      </c>
      <c r="W599" s="259" t="s">
        <v>4130</v>
      </c>
      <c r="X599" s="264" t="s">
        <v>4815</v>
      </c>
      <c r="Y599" s="60">
        <v>237</v>
      </c>
      <c r="Z599" s="259" t="s">
        <v>3227</v>
      </c>
      <c r="AA599" s="259"/>
      <c r="AB599" s="259"/>
      <c r="AC599" s="259"/>
      <c r="AD599" s="259"/>
      <c r="AE599" s="259"/>
    </row>
    <row r="600" spans="1:31">
      <c r="A600" s="259" t="s">
        <v>749</v>
      </c>
      <c r="B600" s="259" t="s">
        <v>32</v>
      </c>
      <c r="C600" s="264" t="s">
        <v>41</v>
      </c>
      <c r="D600" s="264" t="s">
        <v>4816</v>
      </c>
      <c r="E600" s="259" t="s">
        <v>4083</v>
      </c>
      <c r="G600" s="259" t="s">
        <v>3378</v>
      </c>
      <c r="H600" s="264" t="s">
        <v>4817</v>
      </c>
      <c r="I600" s="264" t="s">
        <v>4818</v>
      </c>
      <c r="J600" s="295">
        <v>498.2</v>
      </c>
      <c r="K600" s="295">
        <v>498.2</v>
      </c>
      <c r="L600" s="295">
        <v>249.1</v>
      </c>
      <c r="O600" s="266">
        <v>0</v>
      </c>
      <c r="P600" s="266">
        <v>718878033364</v>
      </c>
      <c r="Q600" s="266">
        <v>0</v>
      </c>
      <c r="R600" s="265">
        <v>1</v>
      </c>
      <c r="S600" s="265">
        <v>8.01</v>
      </c>
      <c r="T600" s="265">
        <v>5.5</v>
      </c>
      <c r="U600" s="265">
        <v>3.48</v>
      </c>
      <c r="V600" s="259" t="s">
        <v>3028</v>
      </c>
      <c r="W600" s="259" t="s">
        <v>4130</v>
      </c>
      <c r="X600" s="264" t="s">
        <v>4819</v>
      </c>
      <c r="Y600" s="60">
        <v>238</v>
      </c>
      <c r="Z600" s="259" t="s">
        <v>3227</v>
      </c>
      <c r="AA600" s="259"/>
      <c r="AB600" s="259"/>
      <c r="AC600" s="259"/>
      <c r="AD600" s="259"/>
      <c r="AE600" s="259"/>
    </row>
    <row r="601" spans="1:31">
      <c r="A601" s="259" t="s">
        <v>750</v>
      </c>
      <c r="B601" s="259" t="s">
        <v>32</v>
      </c>
      <c r="C601" s="264" t="s">
        <v>41</v>
      </c>
      <c r="D601" s="264" t="s">
        <v>4820</v>
      </c>
      <c r="E601" s="259" t="s">
        <v>4083</v>
      </c>
      <c r="G601" s="259" t="s">
        <v>3378</v>
      </c>
      <c r="H601" s="264" t="s">
        <v>4821</v>
      </c>
      <c r="I601" s="264" t="s">
        <v>4822</v>
      </c>
      <c r="J601" s="295">
        <v>288.10000000000002</v>
      </c>
      <c r="K601" s="295">
        <v>288.10000000000002</v>
      </c>
      <c r="L601" s="295">
        <v>144.05000000000001</v>
      </c>
      <c r="O601" s="266">
        <v>0</v>
      </c>
      <c r="P601" s="266">
        <v>718878025635</v>
      </c>
      <c r="Q601" s="266">
        <v>0</v>
      </c>
      <c r="R601" s="265">
        <v>1.8</v>
      </c>
      <c r="S601" s="265">
        <v>8.19</v>
      </c>
      <c r="T601" s="265">
        <v>7.68</v>
      </c>
      <c r="U601" s="265">
        <v>3.47</v>
      </c>
      <c r="V601" s="259" t="s">
        <v>3834</v>
      </c>
      <c r="W601" s="259" t="s">
        <v>3061</v>
      </c>
      <c r="X601" s="264" t="s">
        <v>4823</v>
      </c>
      <c r="Y601" s="60">
        <v>239</v>
      </c>
      <c r="Z601" s="259" t="s">
        <v>3227</v>
      </c>
      <c r="AA601" s="259"/>
      <c r="AB601" s="259"/>
      <c r="AC601" s="259"/>
      <c r="AD601" s="259"/>
      <c r="AE601" s="259"/>
    </row>
    <row r="602" spans="1:31">
      <c r="A602" s="259" t="s">
        <v>751</v>
      </c>
      <c r="B602" s="259" t="s">
        <v>32</v>
      </c>
      <c r="C602" s="264" t="s">
        <v>38</v>
      </c>
      <c r="D602" s="264" t="s">
        <v>4824</v>
      </c>
      <c r="E602" s="259" t="s">
        <v>4083</v>
      </c>
      <c r="G602" s="259">
        <v>0</v>
      </c>
      <c r="H602" s="264" t="s">
        <v>4825</v>
      </c>
      <c r="I602" s="264" t="s">
        <v>4826</v>
      </c>
      <c r="J602" s="295">
        <v>2599</v>
      </c>
      <c r="K602" s="295">
        <v>2599</v>
      </c>
      <c r="L602" s="295">
        <v>1299.5</v>
      </c>
      <c r="O602" s="266">
        <v>0</v>
      </c>
      <c r="P602" s="266">
        <v>718878004289</v>
      </c>
      <c r="Q602" s="266">
        <v>0</v>
      </c>
      <c r="R602" s="265">
        <v>2.6</v>
      </c>
      <c r="S602" s="265">
        <v>10.0625</v>
      </c>
      <c r="T602" s="265">
        <v>6.1875</v>
      </c>
      <c r="U602" s="265">
        <v>4.0625</v>
      </c>
      <c r="V602" s="259" t="s">
        <v>4159</v>
      </c>
      <c r="W602" s="259" t="s">
        <v>3061</v>
      </c>
      <c r="X602" s="264" t="s">
        <v>4827</v>
      </c>
      <c r="Y602" s="60">
        <v>240</v>
      </c>
      <c r="Z602" s="259" t="s">
        <v>3030</v>
      </c>
      <c r="AA602" s="259"/>
      <c r="AB602" s="259"/>
      <c r="AC602" s="259"/>
      <c r="AD602" s="259"/>
      <c r="AE602" s="259"/>
    </row>
    <row r="603" spans="1:31">
      <c r="A603" s="259" t="s">
        <v>752</v>
      </c>
      <c r="B603" s="259" t="s">
        <v>32</v>
      </c>
      <c r="C603" s="264" t="s">
        <v>38</v>
      </c>
      <c r="D603" s="264" t="s">
        <v>4828</v>
      </c>
      <c r="E603" s="259" t="s">
        <v>4083</v>
      </c>
      <c r="G603" s="259">
        <v>0</v>
      </c>
      <c r="H603" s="264" t="s">
        <v>4829</v>
      </c>
      <c r="I603" s="264" t="s">
        <v>4830</v>
      </c>
      <c r="J603" s="295">
        <v>2352.9</v>
      </c>
      <c r="K603" s="295">
        <v>2352.9</v>
      </c>
      <c r="L603" s="295">
        <v>1176.45</v>
      </c>
      <c r="O603" s="266">
        <v>0</v>
      </c>
      <c r="P603" s="266">
        <v>718878004258</v>
      </c>
      <c r="Q603" s="266">
        <v>0</v>
      </c>
      <c r="R603" s="265">
        <v>1.95</v>
      </c>
      <c r="S603" s="265">
        <v>10.0625</v>
      </c>
      <c r="T603" s="265">
        <v>6.8125</v>
      </c>
      <c r="U603" s="265">
        <v>2</v>
      </c>
      <c r="V603" s="259" t="s">
        <v>4159</v>
      </c>
      <c r="W603" s="259" t="s">
        <v>3061</v>
      </c>
      <c r="X603" s="264" t="s">
        <v>4831</v>
      </c>
      <c r="Y603" s="60">
        <v>241</v>
      </c>
      <c r="Z603" s="259" t="s">
        <v>3030</v>
      </c>
      <c r="AA603" s="259"/>
      <c r="AB603" s="259"/>
      <c r="AC603" s="259"/>
      <c r="AD603" s="259"/>
      <c r="AE603" s="259"/>
    </row>
    <row r="604" spans="1:31">
      <c r="A604" s="259" t="s">
        <v>753</v>
      </c>
      <c r="B604" s="259" t="s">
        <v>32</v>
      </c>
      <c r="C604" s="264" t="s">
        <v>38</v>
      </c>
      <c r="D604" s="264" t="s">
        <v>4832</v>
      </c>
      <c r="E604" s="259" t="s">
        <v>4083</v>
      </c>
      <c r="G604" s="259">
        <v>0</v>
      </c>
      <c r="H604" s="264" t="s">
        <v>4833</v>
      </c>
      <c r="I604" s="264" t="s">
        <v>4834</v>
      </c>
      <c r="J604" s="295">
        <v>1980.8</v>
      </c>
      <c r="K604" s="295">
        <v>1980.8</v>
      </c>
      <c r="L604" s="295">
        <v>990.4</v>
      </c>
      <c r="O604" s="266">
        <v>0</v>
      </c>
      <c r="P604" s="266">
        <v>718878004241</v>
      </c>
      <c r="Q604" s="266">
        <v>0</v>
      </c>
      <c r="R604" s="265">
        <v>1.4</v>
      </c>
      <c r="S604" s="265">
        <v>7.375</v>
      </c>
      <c r="T604" s="265">
        <v>4.5</v>
      </c>
      <c r="U604" s="265">
        <v>3.1875</v>
      </c>
      <c r="V604" s="259" t="s">
        <v>4159</v>
      </c>
      <c r="W604" s="259" t="s">
        <v>3061</v>
      </c>
      <c r="X604" s="264" t="s">
        <v>4835</v>
      </c>
      <c r="Y604" s="60">
        <v>242</v>
      </c>
      <c r="Z604" s="259" t="s">
        <v>3030</v>
      </c>
      <c r="AA604" s="259"/>
      <c r="AB604" s="259"/>
      <c r="AC604" s="259"/>
      <c r="AD604" s="259"/>
      <c r="AE604" s="259"/>
    </row>
    <row r="605" spans="1:31">
      <c r="A605" s="259" t="s">
        <v>754</v>
      </c>
      <c r="B605" s="259" t="s">
        <v>32</v>
      </c>
      <c r="C605" s="264" t="s">
        <v>38</v>
      </c>
      <c r="D605" s="264" t="s">
        <v>4836</v>
      </c>
      <c r="E605" s="259" t="s">
        <v>4083</v>
      </c>
      <c r="G605" s="259">
        <v>0</v>
      </c>
      <c r="H605" s="264" t="s">
        <v>4837</v>
      </c>
      <c r="I605" s="264" t="s">
        <v>4838</v>
      </c>
      <c r="J605" s="295">
        <v>1728.7</v>
      </c>
      <c r="K605" s="295">
        <v>1728.7</v>
      </c>
      <c r="L605" s="295">
        <v>864.35</v>
      </c>
      <c r="O605" s="266">
        <v>0</v>
      </c>
      <c r="P605" s="266">
        <v>718878004210</v>
      </c>
      <c r="Q605" s="266">
        <v>0</v>
      </c>
      <c r="R605" s="265">
        <v>1.05</v>
      </c>
      <c r="S605" s="265">
        <v>7.375</v>
      </c>
      <c r="T605" s="265">
        <v>4.875</v>
      </c>
      <c r="U605" s="265">
        <v>2.25</v>
      </c>
      <c r="V605" s="259" t="s">
        <v>4159</v>
      </c>
      <c r="W605" s="259" t="s">
        <v>3061</v>
      </c>
      <c r="X605" s="264" t="s">
        <v>4839</v>
      </c>
      <c r="Y605" s="60">
        <v>243</v>
      </c>
      <c r="Z605" s="259" t="s">
        <v>3030</v>
      </c>
      <c r="AA605" s="259"/>
      <c r="AB605" s="259"/>
      <c r="AC605" s="259"/>
      <c r="AD605" s="259"/>
      <c r="AE605" s="259"/>
    </row>
    <row r="606" spans="1:31">
      <c r="A606" s="259" t="s">
        <v>755</v>
      </c>
      <c r="B606" s="259" t="s">
        <v>32</v>
      </c>
      <c r="C606" s="264" t="s">
        <v>41</v>
      </c>
      <c r="D606" s="264" t="s">
        <v>4840</v>
      </c>
      <c r="E606" s="259" t="s">
        <v>4083</v>
      </c>
      <c r="G606" s="259" t="s">
        <v>3378</v>
      </c>
      <c r="H606" s="264" t="s">
        <v>4841</v>
      </c>
      <c r="I606" s="264" t="s">
        <v>4842</v>
      </c>
      <c r="J606" s="295">
        <v>348.7</v>
      </c>
      <c r="K606" s="295">
        <v>348.7</v>
      </c>
      <c r="L606" s="295">
        <v>174.35</v>
      </c>
      <c r="O606" s="266">
        <v>0</v>
      </c>
      <c r="P606" s="266">
        <v>718878025680</v>
      </c>
      <c r="Q606" s="266">
        <v>0</v>
      </c>
      <c r="R606" s="265">
        <v>2.75</v>
      </c>
      <c r="S606" s="265">
        <v>19</v>
      </c>
      <c r="T606" s="265">
        <v>6.97</v>
      </c>
      <c r="U606" s="265">
        <v>2.09</v>
      </c>
      <c r="V606" s="259" t="s">
        <v>3834</v>
      </c>
      <c r="W606" s="259" t="s">
        <v>3061</v>
      </c>
      <c r="X606" s="264" t="s">
        <v>4843</v>
      </c>
      <c r="Y606" s="60">
        <v>244</v>
      </c>
      <c r="Z606" s="259" t="s">
        <v>3227</v>
      </c>
      <c r="AA606" s="259"/>
      <c r="AB606" s="259"/>
      <c r="AC606" s="259"/>
      <c r="AD606" s="259"/>
      <c r="AE606" s="259"/>
    </row>
    <row r="607" spans="1:31">
      <c r="A607" s="259" t="s">
        <v>756</v>
      </c>
      <c r="B607" s="259" t="s">
        <v>32</v>
      </c>
      <c r="C607" s="264" t="s">
        <v>34</v>
      </c>
      <c r="D607" s="264" t="s">
        <v>4844</v>
      </c>
      <c r="E607" s="259" t="s">
        <v>4139</v>
      </c>
      <c r="G607" s="259">
        <v>0</v>
      </c>
      <c r="H607" s="264" t="s">
        <v>4845</v>
      </c>
      <c r="I607" s="264" t="s">
        <v>4846</v>
      </c>
      <c r="J607" s="295">
        <v>588.20000000000005</v>
      </c>
      <c r="K607" s="295">
        <v>588.20000000000005</v>
      </c>
      <c r="L607" s="295">
        <v>294.10000000000002</v>
      </c>
      <c r="O607" s="266">
        <v>0</v>
      </c>
      <c r="P607" s="266">
        <v>718878009611</v>
      </c>
      <c r="Q607" s="266">
        <v>0</v>
      </c>
      <c r="R607" s="265">
        <v>2</v>
      </c>
      <c r="S607" s="265">
        <v>8.5</v>
      </c>
      <c r="T607" s="265">
        <v>6</v>
      </c>
      <c r="U607" s="265">
        <v>2</v>
      </c>
      <c r="V607" s="259" t="s">
        <v>3834</v>
      </c>
      <c r="W607" s="259" t="s">
        <v>3061</v>
      </c>
      <c r="X607" s="264" t="s">
        <v>4847</v>
      </c>
      <c r="Y607" s="60">
        <v>245</v>
      </c>
      <c r="Z607" s="259" t="s">
        <v>3030</v>
      </c>
      <c r="AA607" s="259"/>
      <c r="AB607" s="259"/>
      <c r="AC607" s="259"/>
      <c r="AD607" s="259"/>
      <c r="AE607" s="259"/>
    </row>
    <row r="608" spans="1:31">
      <c r="A608" s="259" t="s">
        <v>757</v>
      </c>
      <c r="B608" s="259" t="s">
        <v>32</v>
      </c>
      <c r="C608" s="264" t="s">
        <v>34</v>
      </c>
      <c r="D608" s="264" t="s">
        <v>2870</v>
      </c>
      <c r="E608" s="259" t="s">
        <v>4139</v>
      </c>
      <c r="G608" s="259" t="s">
        <v>3378</v>
      </c>
      <c r="H608" s="264" t="s">
        <v>4848</v>
      </c>
      <c r="I608" s="264" t="s">
        <v>4849</v>
      </c>
      <c r="J608" s="295">
        <v>185.2</v>
      </c>
      <c r="K608" s="295">
        <v>185.2</v>
      </c>
      <c r="L608" s="295">
        <v>92.6</v>
      </c>
      <c r="O608" s="266">
        <v>0</v>
      </c>
      <c r="P608" s="266">
        <v>718878009826</v>
      </c>
      <c r="Q608" s="266">
        <v>0</v>
      </c>
      <c r="R608" s="265">
        <v>1</v>
      </c>
      <c r="S608" s="265">
        <v>12.5</v>
      </c>
      <c r="T608" s="265">
        <v>1.5</v>
      </c>
      <c r="U608" s="265">
        <v>1.5</v>
      </c>
      <c r="V608" s="259" t="s">
        <v>3834</v>
      </c>
      <c r="W608" s="259" t="s">
        <v>3061</v>
      </c>
      <c r="X608" s="264">
        <v>0</v>
      </c>
      <c r="Y608" s="60">
        <v>246</v>
      </c>
      <c r="Z608" s="259" t="s">
        <v>3227</v>
      </c>
      <c r="AA608" s="259"/>
      <c r="AB608" s="259"/>
      <c r="AC608" s="259"/>
      <c r="AD608" s="259"/>
      <c r="AE608" s="259"/>
    </row>
    <row r="609" spans="1:31">
      <c r="A609" s="259" t="s">
        <v>758</v>
      </c>
      <c r="B609" s="259" t="s">
        <v>32</v>
      </c>
      <c r="C609" s="264" t="s">
        <v>51</v>
      </c>
      <c r="D609" s="264" t="s">
        <v>4850</v>
      </c>
      <c r="E609" s="259" t="s">
        <v>4047</v>
      </c>
      <c r="G609" s="259">
        <v>0</v>
      </c>
      <c r="H609" s="264" t="s">
        <v>4851</v>
      </c>
      <c r="I609" s="264" t="s">
        <v>4852</v>
      </c>
      <c r="J609" s="295">
        <v>1886.4</v>
      </c>
      <c r="K609" s="295">
        <v>1886.4</v>
      </c>
      <c r="L609" s="295">
        <v>943.2</v>
      </c>
      <c r="O609" s="266">
        <v>0</v>
      </c>
      <c r="P609" s="266">
        <v>718878025697</v>
      </c>
      <c r="Q609" s="266">
        <v>0</v>
      </c>
      <c r="R609" s="265">
        <v>0.75</v>
      </c>
      <c r="S609" s="265">
        <v>3.5</v>
      </c>
      <c r="T609" s="265">
        <v>2.25</v>
      </c>
      <c r="U609" s="265">
        <v>4.0599999999999996</v>
      </c>
      <c r="V609" s="259" t="s">
        <v>3028</v>
      </c>
      <c r="W609" s="259" t="s">
        <v>4130</v>
      </c>
      <c r="X609" s="264" t="s">
        <v>4853</v>
      </c>
      <c r="Y609" s="60">
        <v>247</v>
      </c>
      <c r="Z609" s="259" t="s">
        <v>3030</v>
      </c>
      <c r="AA609" s="259"/>
      <c r="AB609" s="259"/>
      <c r="AC609" s="259"/>
      <c r="AD609" s="259"/>
      <c r="AE609" s="259"/>
    </row>
    <row r="610" spans="1:31">
      <c r="A610" s="259" t="s">
        <v>759</v>
      </c>
      <c r="B610" s="259" t="s">
        <v>32</v>
      </c>
      <c r="C610" s="264" t="s">
        <v>51</v>
      </c>
      <c r="D610" s="264" t="s">
        <v>4854</v>
      </c>
      <c r="E610" s="259" t="s">
        <v>4047</v>
      </c>
      <c r="G610" s="259">
        <v>0</v>
      </c>
      <c r="H610" s="264" t="s">
        <v>4855</v>
      </c>
      <c r="I610" s="264" t="s">
        <v>4856</v>
      </c>
      <c r="J610" s="295">
        <v>1886.4</v>
      </c>
      <c r="K610" s="295">
        <v>1886.4</v>
      </c>
      <c r="L610" s="295">
        <v>943.2</v>
      </c>
      <c r="O610" s="266">
        <v>0</v>
      </c>
      <c r="P610" s="266">
        <v>718878025703</v>
      </c>
      <c r="Q610" s="266">
        <v>0</v>
      </c>
      <c r="R610" s="265">
        <v>0.75</v>
      </c>
      <c r="S610" s="265">
        <v>3.5</v>
      </c>
      <c r="T610" s="265">
        <v>2.25</v>
      </c>
      <c r="U610" s="265">
        <v>4.0599999999999996</v>
      </c>
      <c r="V610" s="259" t="s">
        <v>3028</v>
      </c>
      <c r="W610" s="259" t="s">
        <v>4130</v>
      </c>
      <c r="X610" s="264" t="s">
        <v>4853</v>
      </c>
      <c r="Y610" s="60">
        <v>248</v>
      </c>
      <c r="Z610" s="259" t="s">
        <v>3030</v>
      </c>
      <c r="AA610" s="259"/>
      <c r="AB610" s="259"/>
      <c r="AC610" s="259"/>
      <c r="AD610" s="259"/>
      <c r="AE610" s="259"/>
    </row>
    <row r="611" spans="1:31">
      <c r="A611" s="259" t="s">
        <v>760</v>
      </c>
      <c r="B611" s="259" t="s">
        <v>32</v>
      </c>
      <c r="C611" s="264" t="s">
        <v>51</v>
      </c>
      <c r="D611" s="264" t="s">
        <v>2852</v>
      </c>
      <c r="E611" s="259" t="s">
        <v>4047</v>
      </c>
      <c r="G611" s="259">
        <v>0</v>
      </c>
      <c r="H611" s="264" t="s">
        <v>4857</v>
      </c>
      <c r="I611" s="264" t="s">
        <v>4858</v>
      </c>
      <c r="J611" s="295">
        <v>1484</v>
      </c>
      <c r="K611" s="295">
        <v>1484</v>
      </c>
      <c r="L611" s="295">
        <v>742</v>
      </c>
      <c r="O611" s="266">
        <v>0</v>
      </c>
      <c r="P611" s="266">
        <v>718878024331</v>
      </c>
      <c r="Q611" s="266">
        <v>0</v>
      </c>
      <c r="R611" s="265">
        <v>1.55</v>
      </c>
      <c r="S611" s="265">
        <v>7.88</v>
      </c>
      <c r="T611" s="265">
        <v>5.5</v>
      </c>
      <c r="U611" s="265">
        <v>1.05</v>
      </c>
      <c r="V611" s="259" t="s">
        <v>3834</v>
      </c>
      <c r="W611" s="259" t="s">
        <v>3061</v>
      </c>
      <c r="X611" s="264" t="s">
        <v>4859</v>
      </c>
      <c r="Y611" s="60">
        <v>249</v>
      </c>
      <c r="Z611" s="259" t="s">
        <v>3030</v>
      </c>
      <c r="AA611" s="259"/>
      <c r="AB611" s="259"/>
      <c r="AC611" s="259"/>
      <c r="AD611" s="259"/>
      <c r="AE611" s="259"/>
    </row>
    <row r="612" spans="1:31">
      <c r="A612" s="259" t="s">
        <v>761</v>
      </c>
      <c r="B612" s="259" t="s">
        <v>32</v>
      </c>
      <c r="C612" s="264" t="s">
        <v>51</v>
      </c>
      <c r="D612" s="264" t="s">
        <v>4860</v>
      </c>
      <c r="E612" s="259" t="s">
        <v>4047</v>
      </c>
      <c r="G612" s="259">
        <v>0</v>
      </c>
      <c r="H612" s="264" t="s">
        <v>4861</v>
      </c>
      <c r="I612" s="264" t="s">
        <v>4862</v>
      </c>
      <c r="J612" s="295">
        <v>1532</v>
      </c>
      <c r="K612" s="295">
        <v>1532</v>
      </c>
      <c r="L612" s="295">
        <v>766</v>
      </c>
      <c r="O612" s="266">
        <v>0</v>
      </c>
      <c r="P612" s="266">
        <v>718878033456</v>
      </c>
      <c r="Q612" s="266">
        <v>0</v>
      </c>
      <c r="R612" s="265">
        <v>1.55</v>
      </c>
      <c r="S612" s="265">
        <v>7.88</v>
      </c>
      <c r="T612" s="265">
        <v>5.5</v>
      </c>
      <c r="U612" s="265">
        <v>1.05</v>
      </c>
      <c r="V612" s="259" t="s">
        <v>3834</v>
      </c>
      <c r="W612" s="259" t="s">
        <v>3061</v>
      </c>
      <c r="X612" s="264" t="s">
        <v>4863</v>
      </c>
      <c r="Y612" s="60">
        <v>250</v>
      </c>
      <c r="Z612" s="259" t="s">
        <v>3030</v>
      </c>
      <c r="AA612" s="259"/>
      <c r="AB612" s="259"/>
      <c r="AC612" s="259"/>
      <c r="AD612" s="259"/>
      <c r="AE612" s="259"/>
    </row>
    <row r="613" spans="1:31">
      <c r="A613" s="60" t="s">
        <v>762</v>
      </c>
      <c r="B613" s="60" t="s">
        <v>32</v>
      </c>
      <c r="C613" s="45" t="s">
        <v>51</v>
      </c>
      <c r="D613" s="45" t="s">
        <v>8409</v>
      </c>
      <c r="E613" s="60" t="s">
        <v>4047</v>
      </c>
      <c r="F613" s="60"/>
      <c r="G613" s="60" t="s">
        <v>3378</v>
      </c>
      <c r="H613" s="45" t="s">
        <v>8410</v>
      </c>
      <c r="I613" s="45" t="s">
        <v>4864</v>
      </c>
      <c r="J613" s="296">
        <v>1825.9</v>
      </c>
      <c r="K613" s="296">
        <v>1825.9</v>
      </c>
      <c r="L613" s="296">
        <v>912.95</v>
      </c>
      <c r="M613" s="296"/>
      <c r="N613" s="296"/>
      <c r="O613" s="47">
        <v>0</v>
      </c>
      <c r="P613" s="47">
        <v>718878033463</v>
      </c>
      <c r="Q613" s="47">
        <v>0</v>
      </c>
      <c r="R613" s="63">
        <v>1.55</v>
      </c>
      <c r="S613" s="63">
        <v>7.88</v>
      </c>
      <c r="T613" s="63">
        <v>5.5</v>
      </c>
      <c r="U613" s="63">
        <v>1.05</v>
      </c>
      <c r="V613" s="60" t="s">
        <v>4159</v>
      </c>
      <c r="W613" s="60" t="s">
        <v>3061</v>
      </c>
      <c r="X613" s="45" t="s">
        <v>8411</v>
      </c>
      <c r="Y613" s="60">
        <v>251</v>
      </c>
      <c r="Z613" s="60" t="s">
        <v>3227</v>
      </c>
      <c r="AA613" s="60"/>
      <c r="AB613" s="286"/>
      <c r="AC613" s="287"/>
      <c r="AD613" s="259"/>
      <c r="AE613" s="259"/>
    </row>
    <row r="614" spans="1:31">
      <c r="A614" s="60" t="s">
        <v>763</v>
      </c>
      <c r="B614" s="60" t="s">
        <v>32</v>
      </c>
      <c r="C614" s="45" t="s">
        <v>51</v>
      </c>
      <c r="D614" s="45" t="s">
        <v>8412</v>
      </c>
      <c r="E614" s="60" t="s">
        <v>4047</v>
      </c>
      <c r="F614" s="60"/>
      <c r="G614" s="60" t="s">
        <v>3378</v>
      </c>
      <c r="H614" s="45" t="s">
        <v>8413</v>
      </c>
      <c r="I614" s="45" t="s">
        <v>8414</v>
      </c>
      <c r="J614" s="296">
        <v>1886.4</v>
      </c>
      <c r="K614" s="296">
        <v>1886.4</v>
      </c>
      <c r="L614" s="296">
        <v>943.2</v>
      </c>
      <c r="M614" s="296"/>
      <c r="N614" s="296"/>
      <c r="O614" s="47">
        <v>0</v>
      </c>
      <c r="P614" s="47">
        <v>718878033470</v>
      </c>
      <c r="Q614" s="47">
        <v>0</v>
      </c>
      <c r="R614" s="63">
        <v>1.55</v>
      </c>
      <c r="S614" s="63">
        <v>7.88</v>
      </c>
      <c r="T614" s="63">
        <v>5.5</v>
      </c>
      <c r="U614" s="63">
        <v>1.05</v>
      </c>
      <c r="V614" s="60" t="s">
        <v>4159</v>
      </c>
      <c r="W614" s="60" t="s">
        <v>3061</v>
      </c>
      <c r="X614" s="45" t="s">
        <v>8415</v>
      </c>
      <c r="Y614" s="60">
        <v>252</v>
      </c>
      <c r="Z614" s="60" t="s">
        <v>3227</v>
      </c>
      <c r="AA614" s="60"/>
      <c r="AB614" s="286"/>
      <c r="AC614" s="287"/>
      <c r="AD614" s="259"/>
      <c r="AE614" s="259"/>
    </row>
    <row r="615" spans="1:31">
      <c r="A615" s="259" t="s">
        <v>764</v>
      </c>
      <c r="B615" s="259" t="s">
        <v>32</v>
      </c>
      <c r="C615" s="264" t="s">
        <v>51</v>
      </c>
      <c r="D615" s="264" t="s">
        <v>4865</v>
      </c>
      <c r="E615" s="259" t="s">
        <v>4047</v>
      </c>
      <c r="G615" s="259">
        <v>0</v>
      </c>
      <c r="H615" s="264" t="s">
        <v>4866</v>
      </c>
      <c r="I615" s="264" t="s">
        <v>4867</v>
      </c>
      <c r="J615" s="295">
        <v>2000.8</v>
      </c>
      <c r="K615" s="295">
        <v>2000.8</v>
      </c>
      <c r="L615" s="295">
        <v>1000.4</v>
      </c>
      <c r="O615" s="266">
        <v>0</v>
      </c>
      <c r="P615" s="266">
        <v>718878033487</v>
      </c>
      <c r="Q615" s="266">
        <v>0</v>
      </c>
      <c r="R615" s="265">
        <v>1.55</v>
      </c>
      <c r="S615" s="265">
        <v>7.88</v>
      </c>
      <c r="T615" s="265">
        <v>5.5</v>
      </c>
      <c r="U615" s="265">
        <v>1.05</v>
      </c>
      <c r="V615" s="259" t="s">
        <v>4159</v>
      </c>
      <c r="W615" s="259" t="s">
        <v>3061</v>
      </c>
      <c r="X615" s="264" t="s">
        <v>4868</v>
      </c>
      <c r="Y615" s="60">
        <v>253</v>
      </c>
      <c r="Z615" s="259" t="s">
        <v>3030</v>
      </c>
      <c r="AA615" s="259"/>
      <c r="AB615" s="259"/>
      <c r="AC615" s="259"/>
      <c r="AD615" s="259"/>
      <c r="AE615" s="259"/>
    </row>
    <row r="616" spans="1:31">
      <c r="A616" s="259" t="s">
        <v>765</v>
      </c>
      <c r="B616" s="259" t="s">
        <v>32</v>
      </c>
      <c r="C616" s="264" t="s">
        <v>51</v>
      </c>
      <c r="D616" s="264" t="s">
        <v>4869</v>
      </c>
      <c r="E616" s="259" t="s">
        <v>4047</v>
      </c>
      <c r="G616" s="259">
        <v>0</v>
      </c>
      <c r="H616" s="264" t="s">
        <v>4857</v>
      </c>
      <c r="I616" s="264" t="s">
        <v>4870</v>
      </c>
      <c r="J616" s="295">
        <v>1484</v>
      </c>
      <c r="K616" s="295">
        <v>1484</v>
      </c>
      <c r="L616" s="295">
        <v>742</v>
      </c>
      <c r="O616" s="266">
        <v>0</v>
      </c>
      <c r="P616" s="266">
        <v>718878026311</v>
      </c>
      <c r="Q616" s="266">
        <v>0</v>
      </c>
      <c r="R616" s="265">
        <v>1.55</v>
      </c>
      <c r="S616" s="265">
        <v>7.88</v>
      </c>
      <c r="T616" s="265">
        <v>5.5</v>
      </c>
      <c r="U616" s="265">
        <v>1.05</v>
      </c>
      <c r="V616" s="259" t="s">
        <v>3834</v>
      </c>
      <c r="W616" s="259" t="s">
        <v>3061</v>
      </c>
      <c r="X616" s="264" t="s">
        <v>4871</v>
      </c>
      <c r="Y616" s="60">
        <v>254</v>
      </c>
      <c r="Z616" s="259" t="s">
        <v>3030</v>
      </c>
      <c r="AA616" s="259"/>
      <c r="AB616" s="259"/>
      <c r="AC616" s="259"/>
      <c r="AD616" s="259"/>
      <c r="AE616" s="259"/>
    </row>
    <row r="617" spans="1:31">
      <c r="A617" s="259" t="s">
        <v>766</v>
      </c>
      <c r="B617" s="259" t="s">
        <v>32</v>
      </c>
      <c r="C617" s="264" t="s">
        <v>51</v>
      </c>
      <c r="D617" s="264" t="s">
        <v>4872</v>
      </c>
      <c r="E617" s="259" t="s">
        <v>4047</v>
      </c>
      <c r="G617" s="259">
        <v>0</v>
      </c>
      <c r="H617" s="264" t="s">
        <v>4873</v>
      </c>
      <c r="I617" s="264" t="s">
        <v>4874</v>
      </c>
      <c r="J617" s="295">
        <v>1532</v>
      </c>
      <c r="K617" s="295">
        <v>1532</v>
      </c>
      <c r="L617" s="295">
        <v>766</v>
      </c>
      <c r="O617" s="266">
        <v>0</v>
      </c>
      <c r="P617" s="266">
        <v>718878022757</v>
      </c>
      <c r="Q617" s="266">
        <v>0</v>
      </c>
      <c r="R617" s="265">
        <v>1.55</v>
      </c>
      <c r="S617" s="265">
        <v>7.88</v>
      </c>
      <c r="T617" s="265">
        <v>5.5</v>
      </c>
      <c r="U617" s="265">
        <v>1.05</v>
      </c>
      <c r="V617" s="259" t="s">
        <v>4159</v>
      </c>
      <c r="W617" s="259" t="s">
        <v>3061</v>
      </c>
      <c r="X617" s="264" t="s">
        <v>4875</v>
      </c>
      <c r="Y617" s="60">
        <v>255</v>
      </c>
      <c r="Z617" s="259" t="s">
        <v>3030</v>
      </c>
      <c r="AA617" s="259"/>
      <c r="AB617" s="259"/>
      <c r="AC617" s="259"/>
      <c r="AD617" s="259"/>
      <c r="AE617" s="259"/>
    </row>
    <row r="618" spans="1:31">
      <c r="A618" s="259" t="s">
        <v>767</v>
      </c>
      <c r="B618" s="259" t="s">
        <v>32</v>
      </c>
      <c r="C618" s="264" t="s">
        <v>51</v>
      </c>
      <c r="D618" s="264" t="s">
        <v>4876</v>
      </c>
      <c r="E618" s="259" t="s">
        <v>4047</v>
      </c>
      <c r="G618" s="259" t="s">
        <v>3378</v>
      </c>
      <c r="H618" s="264" t="s">
        <v>4877</v>
      </c>
      <c r="I618" s="264" t="s">
        <v>4864</v>
      </c>
      <c r="J618" s="295">
        <v>1825.9</v>
      </c>
      <c r="K618" s="295">
        <v>1825.9</v>
      </c>
      <c r="L618" s="295">
        <v>912.95</v>
      </c>
      <c r="O618" s="266">
        <v>0</v>
      </c>
      <c r="P618" s="266">
        <v>0</v>
      </c>
      <c r="Q618" s="266">
        <v>0</v>
      </c>
      <c r="R618" s="265">
        <v>1.55</v>
      </c>
      <c r="S618" s="265">
        <v>7.88</v>
      </c>
      <c r="T618" s="265">
        <v>5.5</v>
      </c>
      <c r="U618" s="265">
        <v>1.05</v>
      </c>
      <c r="V618" s="259" t="s">
        <v>4159</v>
      </c>
      <c r="W618" s="259" t="s">
        <v>3061</v>
      </c>
      <c r="X618" s="264" t="s">
        <v>4878</v>
      </c>
      <c r="Y618" s="60">
        <v>256</v>
      </c>
      <c r="Z618" s="259" t="s">
        <v>3227</v>
      </c>
      <c r="AA618" s="259"/>
      <c r="AB618" s="259"/>
      <c r="AC618" s="259"/>
      <c r="AD618" s="259"/>
      <c r="AE618" s="259"/>
    </row>
    <row r="619" spans="1:31">
      <c r="A619" s="259" t="s">
        <v>768</v>
      </c>
      <c r="B619" s="259" t="s">
        <v>32</v>
      </c>
      <c r="C619" s="264" t="s">
        <v>51</v>
      </c>
      <c r="D619" s="264" t="s">
        <v>4879</v>
      </c>
      <c r="E619" s="259" t="s">
        <v>4047</v>
      </c>
      <c r="G619" s="259">
        <v>0</v>
      </c>
      <c r="H619" s="264" t="s">
        <v>4880</v>
      </c>
      <c r="I619" s="264" t="s">
        <v>4881</v>
      </c>
      <c r="J619" s="295">
        <v>6465.4</v>
      </c>
      <c r="K619" s="295">
        <v>6465.4</v>
      </c>
      <c r="L619" s="295">
        <v>3232.7</v>
      </c>
      <c r="O619" s="266">
        <v>0</v>
      </c>
      <c r="P619" s="266">
        <v>718878025734</v>
      </c>
      <c r="Q619" s="266">
        <v>0</v>
      </c>
      <c r="R619" s="265">
        <v>7.15</v>
      </c>
      <c r="S619" s="265">
        <v>17.25</v>
      </c>
      <c r="T619" s="265">
        <v>12</v>
      </c>
      <c r="U619" s="265">
        <v>1.75</v>
      </c>
      <c r="V619" s="259" t="s">
        <v>3834</v>
      </c>
      <c r="W619" s="259" t="s">
        <v>3061</v>
      </c>
      <c r="X619" s="264" t="s">
        <v>4882</v>
      </c>
      <c r="Y619" s="60">
        <v>257</v>
      </c>
      <c r="Z619" s="259" t="s">
        <v>3030</v>
      </c>
      <c r="AA619" s="259"/>
      <c r="AB619" s="259"/>
      <c r="AC619" s="259"/>
      <c r="AD619" s="259"/>
      <c r="AE619" s="259"/>
    </row>
    <row r="620" spans="1:31">
      <c r="A620" s="259" t="s">
        <v>769</v>
      </c>
      <c r="B620" s="259" t="s">
        <v>32</v>
      </c>
      <c r="C620" s="264" t="s">
        <v>51</v>
      </c>
      <c r="D620" s="264" t="s">
        <v>2853</v>
      </c>
      <c r="E620" s="259" t="s">
        <v>4047</v>
      </c>
      <c r="G620" s="259">
        <v>0</v>
      </c>
      <c r="H620" s="264" t="s">
        <v>4883</v>
      </c>
      <c r="I620" s="264" t="s">
        <v>4884</v>
      </c>
      <c r="J620" s="295">
        <v>3258.4</v>
      </c>
      <c r="K620" s="295">
        <v>3258.4</v>
      </c>
      <c r="L620" s="295">
        <v>1629.2</v>
      </c>
      <c r="O620" s="266">
        <v>0</v>
      </c>
      <c r="P620" s="266">
        <v>718878034781</v>
      </c>
      <c r="Q620" s="266">
        <v>0</v>
      </c>
      <c r="R620" s="265">
        <v>1.55</v>
      </c>
      <c r="S620" s="265">
        <v>7.88</v>
      </c>
      <c r="T620" s="265">
        <v>5.5</v>
      </c>
      <c r="U620" s="265">
        <v>1.05</v>
      </c>
      <c r="V620" s="259" t="s">
        <v>4159</v>
      </c>
      <c r="W620" s="259" t="s">
        <v>3061</v>
      </c>
      <c r="X620" s="264" t="s">
        <v>4885</v>
      </c>
      <c r="Y620" s="60">
        <v>258</v>
      </c>
      <c r="Z620" s="259" t="s">
        <v>3227</v>
      </c>
      <c r="AA620" s="259"/>
      <c r="AB620" s="259"/>
      <c r="AC620" s="259"/>
      <c r="AD620" s="259"/>
      <c r="AE620" s="259"/>
    </row>
    <row r="621" spans="1:31">
      <c r="A621" s="259" t="s">
        <v>771</v>
      </c>
      <c r="B621" s="259" t="s">
        <v>32</v>
      </c>
      <c r="C621" s="264" t="s">
        <v>51</v>
      </c>
      <c r="D621" s="264" t="s">
        <v>4886</v>
      </c>
      <c r="E621" s="259" t="s">
        <v>4047</v>
      </c>
      <c r="G621" s="292" t="s">
        <v>4167</v>
      </c>
      <c r="H621" s="264" t="s">
        <v>4887</v>
      </c>
      <c r="I621" s="264" t="s">
        <v>4888</v>
      </c>
      <c r="J621" s="295">
        <v>3555.7</v>
      </c>
      <c r="K621" s="295">
        <v>998</v>
      </c>
      <c r="L621" s="295">
        <v>499</v>
      </c>
      <c r="O621" s="266">
        <v>0</v>
      </c>
      <c r="P621" s="266">
        <v>718878033555</v>
      </c>
      <c r="Q621" s="266">
        <v>0</v>
      </c>
      <c r="R621" s="265">
        <v>1.55</v>
      </c>
      <c r="S621" s="265">
        <v>7.88</v>
      </c>
      <c r="T621" s="265">
        <v>5.5</v>
      </c>
      <c r="U621" s="265">
        <v>1.05</v>
      </c>
      <c r="V621" s="259" t="s">
        <v>4159</v>
      </c>
      <c r="W621" s="259" t="s">
        <v>3061</v>
      </c>
      <c r="X621" s="264" t="s">
        <v>4889</v>
      </c>
      <c r="Y621" s="60">
        <v>259</v>
      </c>
      <c r="Z621" s="259" t="s">
        <v>3227</v>
      </c>
      <c r="AA621" s="259"/>
      <c r="AB621" s="259"/>
      <c r="AC621" s="259"/>
      <c r="AD621" s="259"/>
      <c r="AE621" s="259"/>
    </row>
    <row r="622" spans="1:31">
      <c r="A622" s="259" t="s">
        <v>772</v>
      </c>
      <c r="B622" s="259" t="s">
        <v>32</v>
      </c>
      <c r="C622" s="264" t="s">
        <v>51</v>
      </c>
      <c r="D622" s="264" t="s">
        <v>4890</v>
      </c>
      <c r="E622" s="259" t="s">
        <v>4047</v>
      </c>
      <c r="G622" s="292" t="s">
        <v>4167</v>
      </c>
      <c r="H622" s="264" t="s">
        <v>4891</v>
      </c>
      <c r="I622" s="264" t="s">
        <v>4888</v>
      </c>
      <c r="J622" s="295">
        <v>3601.4</v>
      </c>
      <c r="K622" s="295">
        <v>998</v>
      </c>
      <c r="L622" s="295">
        <v>499</v>
      </c>
      <c r="O622" s="266">
        <v>0</v>
      </c>
      <c r="P622" s="266">
        <v>718878033555</v>
      </c>
      <c r="Q622" s="266">
        <v>0</v>
      </c>
      <c r="R622" s="265">
        <v>1.55</v>
      </c>
      <c r="S622" s="265">
        <v>7.88</v>
      </c>
      <c r="T622" s="265">
        <v>5.5</v>
      </c>
      <c r="U622" s="265">
        <v>1.05</v>
      </c>
      <c r="V622" s="259" t="s">
        <v>4159</v>
      </c>
      <c r="W622" s="259" t="s">
        <v>3061</v>
      </c>
      <c r="X622" s="264" t="s">
        <v>4892</v>
      </c>
      <c r="Y622" s="60">
        <v>260</v>
      </c>
      <c r="Z622" s="259" t="s">
        <v>3227</v>
      </c>
      <c r="AA622" s="259"/>
      <c r="AB622" s="259"/>
      <c r="AC622" s="259"/>
      <c r="AD622" s="259"/>
      <c r="AE622" s="259"/>
    </row>
    <row r="623" spans="1:31">
      <c r="A623" s="259" t="s">
        <v>773</v>
      </c>
      <c r="B623" s="259" t="s">
        <v>32</v>
      </c>
      <c r="C623" s="264" t="s">
        <v>51</v>
      </c>
      <c r="D623" s="264" t="s">
        <v>4893</v>
      </c>
      <c r="E623" s="259" t="s">
        <v>4047</v>
      </c>
      <c r="G623" s="259" t="s">
        <v>3378</v>
      </c>
      <c r="H623" s="264" t="s">
        <v>4894</v>
      </c>
      <c r="I623" s="264" t="s">
        <v>4895</v>
      </c>
      <c r="J623" s="295">
        <v>1560.6</v>
      </c>
      <c r="K623" s="295">
        <v>1560.6</v>
      </c>
      <c r="L623" s="295">
        <v>780.3</v>
      </c>
      <c r="O623" s="266">
        <v>0</v>
      </c>
      <c r="P623" s="266">
        <v>0</v>
      </c>
      <c r="Q623" s="266">
        <v>0</v>
      </c>
      <c r="R623" s="265">
        <v>1.55</v>
      </c>
      <c r="S623" s="265">
        <v>7.88</v>
      </c>
      <c r="T623" s="265">
        <v>5.5</v>
      </c>
      <c r="U623" s="265">
        <v>1.05</v>
      </c>
      <c r="V623" s="259" t="s">
        <v>4159</v>
      </c>
      <c r="W623" s="259" t="s">
        <v>3061</v>
      </c>
      <c r="X623" s="264" t="s">
        <v>4896</v>
      </c>
      <c r="Y623" s="60">
        <v>261</v>
      </c>
      <c r="Z623" s="259" t="s">
        <v>3227</v>
      </c>
      <c r="AA623" s="259"/>
      <c r="AB623" s="259"/>
      <c r="AC623" s="259"/>
      <c r="AD623" s="259"/>
      <c r="AE623" s="259"/>
    </row>
    <row r="624" spans="1:31">
      <c r="A624" s="259" t="s">
        <v>775</v>
      </c>
      <c r="B624" s="259" t="s">
        <v>32</v>
      </c>
      <c r="C624" s="264" t="s">
        <v>51</v>
      </c>
      <c r="D624" s="264" t="s">
        <v>4897</v>
      </c>
      <c r="E624" s="259" t="s">
        <v>4047</v>
      </c>
      <c r="G624" s="259">
        <v>0</v>
      </c>
      <c r="H624" s="264" t="s">
        <v>4898</v>
      </c>
      <c r="I624" s="264" t="s">
        <v>4899</v>
      </c>
      <c r="J624" s="295">
        <v>1223.3</v>
      </c>
      <c r="K624" s="295">
        <v>1223.3</v>
      </c>
      <c r="L624" s="295">
        <v>611.65</v>
      </c>
      <c r="O624" s="266">
        <v>0</v>
      </c>
      <c r="P624" s="266">
        <v>718878024423</v>
      </c>
      <c r="Q624" s="266">
        <v>0</v>
      </c>
      <c r="R624" s="265">
        <v>1.55</v>
      </c>
      <c r="S624" s="265">
        <v>7.88</v>
      </c>
      <c r="T624" s="265">
        <v>5.5</v>
      </c>
      <c r="U624" s="265">
        <v>1.05</v>
      </c>
      <c r="V624" s="259" t="s">
        <v>3247</v>
      </c>
      <c r="W624" s="259" t="s">
        <v>3061</v>
      </c>
      <c r="X624" s="264" t="s">
        <v>4900</v>
      </c>
      <c r="Y624" s="60">
        <v>262</v>
      </c>
      <c r="Z624" s="259" t="s">
        <v>3030</v>
      </c>
      <c r="AA624" s="259"/>
      <c r="AB624" s="259"/>
      <c r="AC624" s="259"/>
      <c r="AD624" s="259"/>
      <c r="AE624" s="259"/>
    </row>
    <row r="625" spans="1:31">
      <c r="A625" s="259" t="s">
        <v>776</v>
      </c>
      <c r="B625" s="259" t="s">
        <v>32</v>
      </c>
      <c r="C625" s="264" t="s">
        <v>51</v>
      </c>
      <c r="D625" s="264" t="s">
        <v>4901</v>
      </c>
      <c r="E625" s="259" t="s">
        <v>4047</v>
      </c>
      <c r="G625" s="259">
        <v>0</v>
      </c>
      <c r="H625" s="264" t="s">
        <v>4902</v>
      </c>
      <c r="I625" s="264" t="s">
        <v>4903</v>
      </c>
      <c r="J625" s="295">
        <v>1229</v>
      </c>
      <c r="K625" s="295">
        <v>1229</v>
      </c>
      <c r="L625" s="295">
        <v>614.5</v>
      </c>
      <c r="O625" s="266">
        <v>0</v>
      </c>
      <c r="P625" s="266">
        <v>718878025758</v>
      </c>
      <c r="Q625" s="266">
        <v>0</v>
      </c>
      <c r="R625" s="265">
        <v>1.55</v>
      </c>
      <c r="S625" s="265">
        <v>7.88</v>
      </c>
      <c r="T625" s="265">
        <v>5.5</v>
      </c>
      <c r="U625" s="265">
        <v>1.05</v>
      </c>
      <c r="V625" s="259" t="s">
        <v>3247</v>
      </c>
      <c r="W625" s="259" t="s">
        <v>3061</v>
      </c>
      <c r="X625" s="264" t="s">
        <v>4904</v>
      </c>
      <c r="Y625" s="60">
        <v>263</v>
      </c>
      <c r="Z625" s="259" t="s">
        <v>3030</v>
      </c>
      <c r="AA625" s="259"/>
      <c r="AB625" s="259"/>
      <c r="AC625" s="259"/>
      <c r="AD625" s="259"/>
      <c r="AE625" s="259"/>
    </row>
    <row r="626" spans="1:31">
      <c r="A626" s="259" t="s">
        <v>777</v>
      </c>
      <c r="B626" s="259" t="s">
        <v>32</v>
      </c>
      <c r="C626" s="264" t="s">
        <v>51</v>
      </c>
      <c r="D626" s="264" t="s">
        <v>4905</v>
      </c>
      <c r="E626" s="259" t="s">
        <v>4047</v>
      </c>
      <c r="G626" s="259">
        <v>0</v>
      </c>
      <c r="H626" s="264" t="s">
        <v>4906</v>
      </c>
      <c r="I626" s="264" t="s">
        <v>4907</v>
      </c>
      <c r="J626" s="295">
        <v>1284.5</v>
      </c>
      <c r="K626" s="295">
        <v>1284.5</v>
      </c>
      <c r="L626" s="295">
        <v>642.25</v>
      </c>
      <c r="O626" s="266">
        <v>0</v>
      </c>
      <c r="P626" s="266">
        <v>718878019986</v>
      </c>
      <c r="Q626" s="266">
        <v>0</v>
      </c>
      <c r="R626" s="265">
        <v>0.75</v>
      </c>
      <c r="S626" s="265">
        <v>3.5</v>
      </c>
      <c r="T626" s="265">
        <v>2.25</v>
      </c>
      <c r="U626" s="265">
        <v>4.0599999999999996</v>
      </c>
      <c r="V626" s="259" t="s">
        <v>3247</v>
      </c>
      <c r="W626" s="259" t="s">
        <v>3061</v>
      </c>
      <c r="X626" s="264" t="s">
        <v>4908</v>
      </c>
      <c r="Y626" s="60">
        <v>264</v>
      </c>
      <c r="Z626" s="259" t="s">
        <v>3030</v>
      </c>
      <c r="AA626" s="259"/>
      <c r="AB626" s="259"/>
      <c r="AC626" s="259"/>
      <c r="AD626" s="259"/>
      <c r="AE626" s="259"/>
    </row>
    <row r="627" spans="1:31">
      <c r="A627" s="259" t="s">
        <v>778</v>
      </c>
      <c r="B627" s="259" t="s">
        <v>32</v>
      </c>
      <c r="C627" s="264" t="s">
        <v>51</v>
      </c>
      <c r="D627" s="264" t="s">
        <v>4909</v>
      </c>
      <c r="E627" s="259" t="s">
        <v>4047</v>
      </c>
      <c r="G627" s="259">
        <v>0</v>
      </c>
      <c r="H627" s="264" t="s">
        <v>4910</v>
      </c>
      <c r="I627" s="264" t="s">
        <v>4911</v>
      </c>
      <c r="J627" s="295">
        <v>1284.5</v>
      </c>
      <c r="K627" s="295">
        <v>1284.5</v>
      </c>
      <c r="L627" s="295">
        <v>642.25</v>
      </c>
      <c r="O627" s="266">
        <v>0</v>
      </c>
      <c r="P627" s="266">
        <v>718878019795</v>
      </c>
      <c r="Q627" s="266">
        <v>0</v>
      </c>
      <c r="R627" s="265">
        <v>0.75</v>
      </c>
      <c r="S627" s="265">
        <v>3.5</v>
      </c>
      <c r="T627" s="265">
        <v>2.25</v>
      </c>
      <c r="U627" s="265">
        <v>4.0599999999999996</v>
      </c>
      <c r="V627" s="259" t="s">
        <v>3247</v>
      </c>
      <c r="W627" s="259" t="s">
        <v>3061</v>
      </c>
      <c r="X627" s="264" t="s">
        <v>4908</v>
      </c>
      <c r="Y627" s="60">
        <v>265</v>
      </c>
      <c r="Z627" s="259" t="s">
        <v>3030</v>
      </c>
      <c r="AA627" s="259"/>
      <c r="AB627" s="259"/>
      <c r="AC627" s="259"/>
      <c r="AD627" s="259"/>
      <c r="AE627" s="259"/>
    </row>
    <row r="628" spans="1:31">
      <c r="A628" s="259" t="s">
        <v>779</v>
      </c>
      <c r="B628" s="259" t="s">
        <v>32</v>
      </c>
      <c r="C628" s="264" t="s">
        <v>51</v>
      </c>
      <c r="D628" s="264" t="s">
        <v>4912</v>
      </c>
      <c r="E628" s="259" t="s">
        <v>4047</v>
      </c>
      <c r="G628" s="259">
        <v>0</v>
      </c>
      <c r="H628" s="264" t="s">
        <v>4913</v>
      </c>
      <c r="I628" s="264" t="s">
        <v>4914</v>
      </c>
      <c r="J628" s="295">
        <v>1109</v>
      </c>
      <c r="K628" s="295">
        <v>1109</v>
      </c>
      <c r="L628" s="295">
        <v>554.5</v>
      </c>
      <c r="O628" s="266">
        <v>0</v>
      </c>
      <c r="P628" s="266">
        <v>718878025765</v>
      </c>
      <c r="Q628" s="266">
        <v>0</v>
      </c>
      <c r="R628" s="265">
        <v>1.55</v>
      </c>
      <c r="S628" s="265">
        <v>7.88</v>
      </c>
      <c r="T628" s="265">
        <v>5.5</v>
      </c>
      <c r="U628" s="265">
        <v>1.05</v>
      </c>
      <c r="V628" s="259" t="s">
        <v>3247</v>
      </c>
      <c r="W628" s="259" t="s">
        <v>3061</v>
      </c>
      <c r="X628" s="264" t="s">
        <v>4915</v>
      </c>
      <c r="Y628" s="60">
        <v>266</v>
      </c>
      <c r="Z628" s="259" t="s">
        <v>3030</v>
      </c>
      <c r="AA628" s="259"/>
      <c r="AB628" s="259"/>
      <c r="AC628" s="259"/>
      <c r="AD628" s="259"/>
      <c r="AE628" s="259"/>
    </row>
    <row r="629" spans="1:31">
      <c r="A629" s="259" t="s">
        <v>780</v>
      </c>
      <c r="B629" s="259" t="s">
        <v>32</v>
      </c>
      <c r="C629" s="264" t="s">
        <v>51</v>
      </c>
      <c r="D629" s="264" t="s">
        <v>4916</v>
      </c>
      <c r="E629" s="259" t="s">
        <v>4047</v>
      </c>
      <c r="G629" s="259">
        <v>0</v>
      </c>
      <c r="H629" s="264" t="s">
        <v>4917</v>
      </c>
      <c r="I629" s="264" t="s">
        <v>4918</v>
      </c>
      <c r="J629" s="295">
        <v>12257</v>
      </c>
      <c r="K629" s="295">
        <v>12257</v>
      </c>
      <c r="L629" s="295">
        <v>6128.5</v>
      </c>
      <c r="O629" s="266">
        <v>0</v>
      </c>
      <c r="P629" s="266">
        <v>718878026328</v>
      </c>
      <c r="Q629" s="266">
        <v>0</v>
      </c>
      <c r="R629" s="265">
        <v>7.15</v>
      </c>
      <c r="S629" s="265">
        <v>17.25</v>
      </c>
      <c r="T629" s="265">
        <v>12</v>
      </c>
      <c r="U629" s="265">
        <v>1.75</v>
      </c>
      <c r="V629" s="259" t="s">
        <v>3834</v>
      </c>
      <c r="W629" s="259" t="s">
        <v>3061</v>
      </c>
      <c r="X629" s="264" t="s">
        <v>4919</v>
      </c>
      <c r="Y629" s="60">
        <v>267</v>
      </c>
      <c r="Z629" s="259" t="s">
        <v>3030</v>
      </c>
      <c r="AA629" s="259"/>
      <c r="AB629" s="259"/>
      <c r="AC629" s="259"/>
      <c r="AD629" s="259"/>
      <c r="AE629" s="259"/>
    </row>
    <row r="630" spans="1:31">
      <c r="A630" s="259" t="s">
        <v>781</v>
      </c>
      <c r="B630" s="259" t="s">
        <v>32</v>
      </c>
      <c r="C630" s="264" t="s">
        <v>51</v>
      </c>
      <c r="D630" s="264" t="s">
        <v>4920</v>
      </c>
      <c r="E630" s="259" t="s">
        <v>4047</v>
      </c>
      <c r="G630" s="259">
        <v>0</v>
      </c>
      <c r="H630" s="264" t="s">
        <v>4921</v>
      </c>
      <c r="I630" s="264" t="s">
        <v>4922</v>
      </c>
      <c r="J630" s="295">
        <v>2781</v>
      </c>
      <c r="K630" s="295">
        <v>2781</v>
      </c>
      <c r="L630" s="295">
        <v>1390.5</v>
      </c>
      <c r="O630" s="266">
        <v>0</v>
      </c>
      <c r="P630" s="266">
        <v>718878026359</v>
      </c>
      <c r="Q630" s="266">
        <v>0</v>
      </c>
      <c r="R630" s="265">
        <v>1.65</v>
      </c>
      <c r="S630" s="265">
        <v>7.88</v>
      </c>
      <c r="T630" s="265">
        <v>5.5</v>
      </c>
      <c r="U630" s="265">
        <v>1.05</v>
      </c>
      <c r="V630" s="259" t="s">
        <v>3834</v>
      </c>
      <c r="W630" s="259" t="s">
        <v>3061</v>
      </c>
      <c r="X630" s="264" t="s">
        <v>4923</v>
      </c>
      <c r="Y630" s="60">
        <v>268</v>
      </c>
      <c r="Z630" s="259" t="s">
        <v>3030</v>
      </c>
      <c r="AA630" s="259"/>
      <c r="AB630" s="259"/>
      <c r="AC630" s="259"/>
      <c r="AD630" s="259"/>
      <c r="AE630" s="259"/>
    </row>
    <row r="631" spans="1:31">
      <c r="A631" s="259" t="s">
        <v>782</v>
      </c>
      <c r="B631" s="259" t="s">
        <v>32</v>
      </c>
      <c r="C631" s="264" t="s">
        <v>51</v>
      </c>
      <c r="D631" s="264" t="s">
        <v>2856</v>
      </c>
      <c r="E631" s="259" t="s">
        <v>4047</v>
      </c>
      <c r="G631" s="259">
        <v>0</v>
      </c>
      <c r="H631" s="264" t="s">
        <v>4924</v>
      </c>
      <c r="I631" s="264" t="s">
        <v>4925</v>
      </c>
      <c r="J631" s="295">
        <v>2842.8</v>
      </c>
      <c r="K631" s="295">
        <v>2842.8</v>
      </c>
      <c r="L631" s="295">
        <v>1421.4</v>
      </c>
      <c r="O631" s="266">
        <v>0</v>
      </c>
      <c r="P631" s="266">
        <v>718878034798</v>
      </c>
      <c r="Q631" s="266">
        <v>0</v>
      </c>
      <c r="R631" s="265">
        <v>1.65</v>
      </c>
      <c r="S631" s="265">
        <v>7.88</v>
      </c>
      <c r="T631" s="265">
        <v>5.5</v>
      </c>
      <c r="U631" s="265">
        <v>1.05</v>
      </c>
      <c r="V631" s="259" t="s">
        <v>3834</v>
      </c>
      <c r="W631" s="259" t="s">
        <v>3061</v>
      </c>
      <c r="X631" s="264" t="s">
        <v>4926</v>
      </c>
      <c r="Y631" s="60">
        <v>269</v>
      </c>
      <c r="Z631" s="259" t="s">
        <v>3030</v>
      </c>
      <c r="AA631" s="259"/>
      <c r="AB631" s="259"/>
      <c r="AC631" s="259"/>
      <c r="AD631" s="259"/>
      <c r="AE631" s="259"/>
    </row>
    <row r="632" spans="1:31">
      <c r="A632" s="259" t="s">
        <v>783</v>
      </c>
      <c r="B632" s="259" t="s">
        <v>32</v>
      </c>
      <c r="C632" s="264" t="s">
        <v>51</v>
      </c>
      <c r="D632" s="264" t="s">
        <v>4927</v>
      </c>
      <c r="E632" s="259" t="s">
        <v>4047</v>
      </c>
      <c r="G632" s="259">
        <v>0</v>
      </c>
      <c r="H632" s="264" t="s">
        <v>4928</v>
      </c>
      <c r="I632" s="264" t="s">
        <v>4929</v>
      </c>
      <c r="J632" s="295">
        <v>2513.1999999999998</v>
      </c>
      <c r="K632" s="295">
        <v>2513.1999999999998</v>
      </c>
      <c r="L632" s="295">
        <v>1256.5999999999999</v>
      </c>
      <c r="O632" s="266">
        <v>0</v>
      </c>
      <c r="P632" s="266">
        <v>718878033661</v>
      </c>
      <c r="Q632" s="266">
        <v>0</v>
      </c>
      <c r="R632" s="265">
        <v>1.65</v>
      </c>
      <c r="S632" s="265">
        <v>7.88</v>
      </c>
      <c r="T632" s="265">
        <v>5.5</v>
      </c>
      <c r="U632" s="265">
        <v>1.05</v>
      </c>
      <c r="V632" s="259" t="s">
        <v>3834</v>
      </c>
      <c r="W632" s="259" t="s">
        <v>3061</v>
      </c>
      <c r="X632" s="264" t="s">
        <v>4930</v>
      </c>
      <c r="Y632" s="60">
        <v>270</v>
      </c>
      <c r="Z632" s="259" t="s">
        <v>3030</v>
      </c>
      <c r="AA632" s="259"/>
      <c r="AB632" s="259"/>
      <c r="AC632" s="259"/>
      <c r="AD632" s="259"/>
      <c r="AE632" s="259"/>
    </row>
    <row r="633" spans="1:31">
      <c r="A633" s="259" t="s">
        <v>784</v>
      </c>
      <c r="B633" s="259" t="s">
        <v>32</v>
      </c>
      <c r="C633" s="264" t="s">
        <v>51</v>
      </c>
      <c r="D633" s="264" t="s">
        <v>4931</v>
      </c>
      <c r="E633" s="259" t="s">
        <v>4047</v>
      </c>
      <c r="G633" s="259">
        <v>0</v>
      </c>
      <c r="H633" s="264" t="s">
        <v>4928</v>
      </c>
      <c r="I633" s="264" t="s">
        <v>4932</v>
      </c>
      <c r="J633" s="295">
        <v>2575</v>
      </c>
      <c r="K633" s="295">
        <v>2575</v>
      </c>
      <c r="L633" s="295">
        <v>1287.5</v>
      </c>
      <c r="O633" s="266">
        <v>0</v>
      </c>
      <c r="P633" s="266">
        <v>718878026427</v>
      </c>
      <c r="Q633" s="266">
        <v>0</v>
      </c>
      <c r="R633" s="265">
        <v>1.65</v>
      </c>
      <c r="S633" s="265">
        <v>7.88</v>
      </c>
      <c r="T633" s="265">
        <v>5.5</v>
      </c>
      <c r="U633" s="265">
        <v>1.05</v>
      </c>
      <c r="V633" s="259" t="s">
        <v>3834</v>
      </c>
      <c r="W633" s="259" t="s">
        <v>3061</v>
      </c>
      <c r="X633" s="264" t="s">
        <v>4933</v>
      </c>
      <c r="Y633" s="60">
        <v>271</v>
      </c>
      <c r="Z633" s="259" t="s">
        <v>3030</v>
      </c>
      <c r="AA633" s="259"/>
      <c r="AB633" s="259"/>
      <c r="AC633" s="259"/>
      <c r="AD633" s="259"/>
      <c r="AE633" s="259"/>
    </row>
    <row r="634" spans="1:31">
      <c r="A634" s="259" t="s">
        <v>785</v>
      </c>
      <c r="B634" s="259" t="s">
        <v>32</v>
      </c>
      <c r="C634" s="264" t="s">
        <v>51</v>
      </c>
      <c r="D634" s="264" t="s">
        <v>4934</v>
      </c>
      <c r="E634" s="259" t="s">
        <v>4047</v>
      </c>
      <c r="G634" s="259">
        <v>0</v>
      </c>
      <c r="H634" s="264" t="s">
        <v>4935</v>
      </c>
      <c r="I634" s="264" t="s">
        <v>4936</v>
      </c>
      <c r="J634" s="295">
        <v>8820.6</v>
      </c>
      <c r="K634" s="295">
        <v>8820.6</v>
      </c>
      <c r="L634" s="295">
        <v>4410.3</v>
      </c>
      <c r="O634" s="266">
        <v>0</v>
      </c>
      <c r="P634" s="266">
        <v>718878022795</v>
      </c>
      <c r="Q634" s="266">
        <v>0</v>
      </c>
      <c r="R634" s="265">
        <v>7.15</v>
      </c>
      <c r="S634" s="265">
        <v>17.25</v>
      </c>
      <c r="T634" s="265">
        <v>12</v>
      </c>
      <c r="U634" s="265">
        <v>1.75</v>
      </c>
      <c r="V634" s="259" t="s">
        <v>3834</v>
      </c>
      <c r="W634" s="259" t="s">
        <v>3061</v>
      </c>
      <c r="X634" s="264" t="s">
        <v>4937</v>
      </c>
      <c r="Y634" s="60">
        <v>272</v>
      </c>
      <c r="Z634" s="259" t="s">
        <v>3227</v>
      </c>
      <c r="AA634" s="259"/>
      <c r="AB634" s="259"/>
      <c r="AC634" s="259"/>
      <c r="AD634" s="259"/>
      <c r="AE634" s="259"/>
    </row>
    <row r="635" spans="1:31">
      <c r="A635" s="259" t="s">
        <v>786</v>
      </c>
      <c r="B635" s="259" t="s">
        <v>32</v>
      </c>
      <c r="C635" s="264" t="s">
        <v>51</v>
      </c>
      <c r="D635" s="264" t="s">
        <v>2753</v>
      </c>
      <c r="E635" s="259" t="s">
        <v>4047</v>
      </c>
      <c r="G635" s="259">
        <v>0</v>
      </c>
      <c r="H635" s="264" t="s">
        <v>4938</v>
      </c>
      <c r="I635" s="264" t="s">
        <v>4939</v>
      </c>
      <c r="J635" s="295">
        <v>1333.9</v>
      </c>
      <c r="K635" s="295">
        <v>1333.9</v>
      </c>
      <c r="L635" s="295">
        <v>666.95</v>
      </c>
      <c r="O635" s="266">
        <v>0</v>
      </c>
      <c r="P635" s="266">
        <v>718878024430</v>
      </c>
      <c r="Q635" s="266">
        <v>0</v>
      </c>
      <c r="R635" s="265">
        <v>1.55</v>
      </c>
      <c r="S635" s="265">
        <v>7.88</v>
      </c>
      <c r="T635" s="265">
        <v>5.5</v>
      </c>
      <c r="U635" s="265">
        <v>1.05</v>
      </c>
      <c r="V635" s="259" t="s">
        <v>3834</v>
      </c>
      <c r="W635" s="259" t="s">
        <v>3061</v>
      </c>
      <c r="X635" s="264" t="s">
        <v>4940</v>
      </c>
      <c r="Y635" s="60">
        <v>273</v>
      </c>
      <c r="Z635" s="259" t="s">
        <v>3030</v>
      </c>
      <c r="AA635" s="259"/>
      <c r="AB635" s="259"/>
      <c r="AC635" s="259"/>
      <c r="AD635" s="259"/>
      <c r="AE635" s="259"/>
    </row>
    <row r="636" spans="1:31">
      <c r="A636" s="259" t="s">
        <v>787</v>
      </c>
      <c r="B636" s="259" t="s">
        <v>32</v>
      </c>
      <c r="C636" s="264" t="s">
        <v>51</v>
      </c>
      <c r="D636" s="264" t="s">
        <v>2754</v>
      </c>
      <c r="E636" s="259" t="s">
        <v>4047</v>
      </c>
      <c r="G636" s="259">
        <v>0</v>
      </c>
      <c r="H636" s="264" t="s">
        <v>4941</v>
      </c>
      <c r="I636" s="264" t="s">
        <v>4942</v>
      </c>
      <c r="J636" s="295">
        <v>1359.6</v>
      </c>
      <c r="K636" s="295">
        <v>1359.6</v>
      </c>
      <c r="L636" s="295">
        <v>679.8</v>
      </c>
      <c r="O636" s="266">
        <v>0</v>
      </c>
      <c r="P636" s="266">
        <v>718878025772</v>
      </c>
      <c r="Q636" s="266">
        <v>0</v>
      </c>
      <c r="R636" s="265">
        <v>1.55</v>
      </c>
      <c r="S636" s="265">
        <v>7.88</v>
      </c>
      <c r="T636" s="265">
        <v>5.5</v>
      </c>
      <c r="U636" s="265">
        <v>1.05</v>
      </c>
      <c r="V636" s="259" t="s">
        <v>3834</v>
      </c>
      <c r="W636" s="259" t="s">
        <v>3061</v>
      </c>
      <c r="X636" s="264" t="s">
        <v>4943</v>
      </c>
      <c r="Y636" s="60">
        <v>274</v>
      </c>
      <c r="Z636" s="259" t="s">
        <v>3030</v>
      </c>
      <c r="AA636" s="259"/>
      <c r="AB636" s="259"/>
      <c r="AC636" s="259"/>
      <c r="AD636" s="259"/>
      <c r="AE636" s="259"/>
    </row>
    <row r="637" spans="1:31">
      <c r="A637" s="259" t="s">
        <v>788</v>
      </c>
      <c r="B637" s="259" t="s">
        <v>32</v>
      </c>
      <c r="C637" s="264" t="s">
        <v>51</v>
      </c>
      <c r="D637" s="264" t="s">
        <v>2755</v>
      </c>
      <c r="E637" s="259" t="s">
        <v>4047</v>
      </c>
      <c r="G637" s="259">
        <v>0</v>
      </c>
      <c r="H637" s="264" t="s">
        <v>4944</v>
      </c>
      <c r="I637" s="264" t="s">
        <v>4945</v>
      </c>
      <c r="J637" s="295">
        <v>1230.9000000000001</v>
      </c>
      <c r="K637" s="295">
        <v>1230.9000000000001</v>
      </c>
      <c r="L637" s="295">
        <v>615.45000000000005</v>
      </c>
      <c r="O637" s="266">
        <v>0</v>
      </c>
      <c r="P637" s="266">
        <v>718878024447</v>
      </c>
      <c r="Q637" s="266">
        <v>0</v>
      </c>
      <c r="R637" s="265">
        <v>1.55</v>
      </c>
      <c r="S637" s="265">
        <v>7.88</v>
      </c>
      <c r="T637" s="265">
        <v>5.5</v>
      </c>
      <c r="U637" s="265">
        <v>1.05</v>
      </c>
      <c r="V637" s="259" t="s">
        <v>3834</v>
      </c>
      <c r="W637" s="259" t="s">
        <v>3061</v>
      </c>
      <c r="X637" s="264" t="s">
        <v>4946</v>
      </c>
      <c r="Y637" s="60">
        <v>275</v>
      </c>
      <c r="Z637" s="259" t="s">
        <v>3030</v>
      </c>
      <c r="AA637" s="259"/>
      <c r="AB637" s="259"/>
      <c r="AC637" s="259"/>
      <c r="AD637" s="259"/>
      <c r="AE637" s="259"/>
    </row>
    <row r="638" spans="1:31">
      <c r="A638" s="259" t="s">
        <v>789</v>
      </c>
      <c r="B638" s="259" t="s">
        <v>32</v>
      </c>
      <c r="C638" s="264" t="s">
        <v>51</v>
      </c>
      <c r="D638" s="264" t="s">
        <v>2756</v>
      </c>
      <c r="E638" s="259" t="s">
        <v>4047</v>
      </c>
      <c r="G638" s="259">
        <v>0</v>
      </c>
      <c r="H638" s="264" t="s">
        <v>4947</v>
      </c>
      <c r="I638" s="264" t="s">
        <v>4948</v>
      </c>
      <c r="J638" s="295">
        <v>1256.5999999999999</v>
      </c>
      <c r="K638" s="295">
        <v>1256.5999999999999</v>
      </c>
      <c r="L638" s="295">
        <v>628.29999999999995</v>
      </c>
      <c r="O638" s="266">
        <v>0</v>
      </c>
      <c r="P638" s="266">
        <v>718878025789</v>
      </c>
      <c r="Q638" s="266">
        <v>0</v>
      </c>
      <c r="R638" s="265">
        <v>1.55</v>
      </c>
      <c r="S638" s="265">
        <v>7.88</v>
      </c>
      <c r="T638" s="265">
        <v>5.5</v>
      </c>
      <c r="U638" s="265">
        <v>1.05</v>
      </c>
      <c r="V638" s="259" t="s">
        <v>3834</v>
      </c>
      <c r="W638" s="259" t="s">
        <v>3061</v>
      </c>
      <c r="X638" s="264" t="s">
        <v>4949</v>
      </c>
      <c r="Y638" s="60">
        <v>276</v>
      </c>
      <c r="Z638" s="259" t="s">
        <v>3030</v>
      </c>
      <c r="AA638" s="259"/>
      <c r="AB638" s="259"/>
      <c r="AC638" s="259"/>
      <c r="AD638" s="259"/>
      <c r="AE638" s="259"/>
    </row>
    <row r="639" spans="1:31">
      <c r="A639" s="259" t="s">
        <v>790</v>
      </c>
      <c r="B639" s="259" t="s">
        <v>32</v>
      </c>
      <c r="C639" s="264" t="s">
        <v>51</v>
      </c>
      <c r="D639" s="264" t="s">
        <v>4950</v>
      </c>
      <c r="E639" s="259" t="s">
        <v>4047</v>
      </c>
      <c r="G639" s="259">
        <v>0</v>
      </c>
      <c r="H639" s="264" t="s">
        <v>4951</v>
      </c>
      <c r="I639" s="264" t="s">
        <v>4952</v>
      </c>
      <c r="J639" s="295">
        <v>13330.9</v>
      </c>
      <c r="K639" s="295">
        <v>13330.9</v>
      </c>
      <c r="L639" s="295">
        <v>6665.45</v>
      </c>
      <c r="O639" s="266">
        <v>0</v>
      </c>
      <c r="P639" s="266">
        <v>718878025796</v>
      </c>
      <c r="Q639" s="266">
        <v>0</v>
      </c>
      <c r="R639" s="265">
        <v>19</v>
      </c>
      <c r="S639" s="265">
        <v>17.25</v>
      </c>
      <c r="T639" s="265">
        <v>15.5</v>
      </c>
      <c r="U639" s="265">
        <v>3.5</v>
      </c>
      <c r="V639" s="259" t="s">
        <v>3834</v>
      </c>
      <c r="W639" s="259" t="s">
        <v>3061</v>
      </c>
      <c r="X639" s="264" t="s">
        <v>4953</v>
      </c>
      <c r="Y639" s="60">
        <v>277</v>
      </c>
      <c r="Z639" s="259" t="s">
        <v>3030</v>
      </c>
      <c r="AA639" s="259"/>
      <c r="AB639" s="259"/>
      <c r="AC639" s="259"/>
      <c r="AD639" s="259"/>
      <c r="AE639" s="259"/>
    </row>
    <row r="640" spans="1:31">
      <c r="A640" s="259" t="s">
        <v>791</v>
      </c>
      <c r="B640" s="259" t="s">
        <v>32</v>
      </c>
      <c r="C640" s="264" t="s">
        <v>51</v>
      </c>
      <c r="D640" s="264" t="s">
        <v>4954</v>
      </c>
      <c r="E640" s="259" t="s">
        <v>4047</v>
      </c>
      <c r="G640" s="259">
        <v>0</v>
      </c>
      <c r="H640" s="264" t="s">
        <v>4955</v>
      </c>
      <c r="I640" s="264" t="s">
        <v>4956</v>
      </c>
      <c r="J640" s="295">
        <v>1063.3</v>
      </c>
      <c r="K640" s="295">
        <v>1063.3</v>
      </c>
      <c r="L640" s="295">
        <v>531.65</v>
      </c>
      <c r="O640" s="266">
        <v>0</v>
      </c>
      <c r="P640" s="266">
        <v>718878024454</v>
      </c>
      <c r="Q640" s="266">
        <v>0</v>
      </c>
      <c r="R640" s="265">
        <v>1</v>
      </c>
      <c r="S640" s="265">
        <v>10.5</v>
      </c>
      <c r="T640" s="265">
        <v>8</v>
      </c>
      <c r="U640" s="265">
        <v>2.5</v>
      </c>
      <c r="V640" s="259" t="s">
        <v>3834</v>
      </c>
      <c r="W640" s="259" t="s">
        <v>3061</v>
      </c>
      <c r="X640" s="264" t="s">
        <v>4957</v>
      </c>
      <c r="Y640" s="60">
        <v>278</v>
      </c>
      <c r="Z640" s="259" t="s">
        <v>3030</v>
      </c>
      <c r="AA640" s="259"/>
      <c r="AB640" s="259"/>
      <c r="AC640" s="259"/>
      <c r="AD640" s="259"/>
      <c r="AE640" s="259"/>
    </row>
    <row r="641" spans="1:31">
      <c r="A641" s="259" t="s">
        <v>792</v>
      </c>
      <c r="B641" s="259" t="s">
        <v>32</v>
      </c>
      <c r="C641" s="264" t="s">
        <v>51</v>
      </c>
      <c r="D641" s="264" t="s">
        <v>4958</v>
      </c>
      <c r="E641" s="259" t="s">
        <v>4047</v>
      </c>
      <c r="G641" s="259">
        <v>0</v>
      </c>
      <c r="H641" s="264" t="s">
        <v>4959</v>
      </c>
      <c r="I641" s="264" t="s">
        <v>4960</v>
      </c>
      <c r="J641" s="295">
        <v>1097.5999999999999</v>
      </c>
      <c r="K641" s="295">
        <v>1097.5999999999999</v>
      </c>
      <c r="L641" s="295">
        <v>548.79999999999995</v>
      </c>
      <c r="O641" s="266">
        <v>0</v>
      </c>
      <c r="P641" s="266">
        <v>718878004968</v>
      </c>
      <c r="Q641" s="266">
        <v>0</v>
      </c>
      <c r="R641" s="265">
        <v>1.95</v>
      </c>
      <c r="S641" s="265">
        <v>9.5</v>
      </c>
      <c r="T641" s="265">
        <v>9.75</v>
      </c>
      <c r="U641" s="265">
        <v>2.5</v>
      </c>
      <c r="V641" s="259" t="s">
        <v>3834</v>
      </c>
      <c r="W641" s="259" t="s">
        <v>3061</v>
      </c>
      <c r="X641" s="264" t="s">
        <v>4961</v>
      </c>
      <c r="Y641" s="60">
        <v>279</v>
      </c>
      <c r="Z641" s="259" t="s">
        <v>3030</v>
      </c>
      <c r="AA641" s="259"/>
      <c r="AB641" s="259"/>
      <c r="AC641" s="259"/>
      <c r="AD641" s="259"/>
      <c r="AE641" s="259"/>
    </row>
    <row r="642" spans="1:31">
      <c r="A642" s="60" t="s">
        <v>3014</v>
      </c>
      <c r="B642" s="60" t="s">
        <v>32</v>
      </c>
      <c r="C642" s="45" t="s">
        <v>51</v>
      </c>
      <c r="D642" s="45" t="s">
        <v>8416</v>
      </c>
      <c r="E642" s="60" t="s">
        <v>4047</v>
      </c>
      <c r="F642" s="60"/>
      <c r="G642" s="293" t="s">
        <v>4167</v>
      </c>
      <c r="H642" s="45" t="s">
        <v>8416</v>
      </c>
      <c r="I642" s="45" t="s">
        <v>8417</v>
      </c>
      <c r="J642" s="296">
        <v>5476.4</v>
      </c>
      <c r="K642" s="296">
        <v>2398</v>
      </c>
      <c r="L642" s="296">
        <v>1199</v>
      </c>
      <c r="M642" s="296"/>
      <c r="N642" s="296"/>
      <c r="O642" s="47">
        <v>0</v>
      </c>
      <c r="P642" s="47">
        <v>718878033760</v>
      </c>
      <c r="Q642" s="47">
        <v>0</v>
      </c>
      <c r="R642" s="63">
        <v>19</v>
      </c>
      <c r="S642" s="63">
        <v>17.25</v>
      </c>
      <c r="T642" s="63">
        <v>14</v>
      </c>
      <c r="U642" s="63">
        <v>3.5</v>
      </c>
      <c r="V642" s="60" t="s">
        <v>3247</v>
      </c>
      <c r="W642" s="60" t="s">
        <v>3061</v>
      </c>
      <c r="X642" s="45" t="s">
        <v>4964</v>
      </c>
      <c r="Y642" s="60">
        <v>280</v>
      </c>
      <c r="Z642" s="60" t="s">
        <v>3227</v>
      </c>
      <c r="AA642" s="60"/>
      <c r="AB642" s="286"/>
      <c r="AC642" s="287"/>
      <c r="AD642" s="259"/>
      <c r="AE642" s="259"/>
    </row>
    <row r="643" spans="1:31">
      <c r="A643" s="259" t="s">
        <v>794</v>
      </c>
      <c r="B643" s="259" t="s">
        <v>32</v>
      </c>
      <c r="C643" s="264" t="s">
        <v>51</v>
      </c>
      <c r="D643" s="264" t="s">
        <v>4962</v>
      </c>
      <c r="E643" s="259" t="s">
        <v>4047</v>
      </c>
      <c r="G643" s="292" t="s">
        <v>4167</v>
      </c>
      <c r="H643" s="264" t="s">
        <v>4962</v>
      </c>
      <c r="I643" s="264" t="s">
        <v>4963</v>
      </c>
      <c r="J643" s="295">
        <v>7460</v>
      </c>
      <c r="K643" s="295">
        <v>2998</v>
      </c>
      <c r="L643" s="295">
        <v>1499</v>
      </c>
      <c r="O643" s="266">
        <v>0</v>
      </c>
      <c r="P643" s="266">
        <v>0</v>
      </c>
      <c r="Q643" s="266">
        <v>0</v>
      </c>
      <c r="R643" s="265">
        <v>19</v>
      </c>
      <c r="S643" s="265">
        <v>17.25</v>
      </c>
      <c r="T643" s="265">
        <v>14</v>
      </c>
      <c r="U643" s="265">
        <v>3.5</v>
      </c>
      <c r="V643" s="259" t="s">
        <v>3247</v>
      </c>
      <c r="W643" s="259" t="s">
        <v>3061</v>
      </c>
      <c r="X643" s="264" t="s">
        <v>4964</v>
      </c>
      <c r="Y643" s="60">
        <v>281</v>
      </c>
      <c r="Z643" s="259" t="s">
        <v>3227</v>
      </c>
      <c r="AA643" s="259"/>
      <c r="AB643" s="259"/>
      <c r="AC643" s="259"/>
      <c r="AD643" s="259"/>
      <c r="AE643" s="259"/>
    </row>
    <row r="644" spans="1:31">
      <c r="A644" s="259" t="s">
        <v>795</v>
      </c>
      <c r="B644" s="259" t="s">
        <v>32</v>
      </c>
      <c r="C644" s="264" t="s">
        <v>51</v>
      </c>
      <c r="D644" s="264" t="s">
        <v>4965</v>
      </c>
      <c r="E644" s="259" t="s">
        <v>4047</v>
      </c>
      <c r="G644" s="259">
        <v>0</v>
      </c>
      <c r="H644" s="264" t="s">
        <v>4966</v>
      </c>
      <c r="I644" s="264" t="s">
        <v>4967</v>
      </c>
      <c r="J644" s="295">
        <v>5390.1</v>
      </c>
      <c r="K644" s="295">
        <v>5390.1</v>
      </c>
      <c r="L644" s="295">
        <v>2695.05</v>
      </c>
      <c r="O644" s="266">
        <v>0</v>
      </c>
      <c r="P644" s="266">
        <v>718878025826</v>
      </c>
      <c r="Q644" s="266">
        <v>0</v>
      </c>
      <c r="R644" s="265">
        <v>19</v>
      </c>
      <c r="S644" s="265">
        <v>17.25</v>
      </c>
      <c r="T644" s="265">
        <v>15.5</v>
      </c>
      <c r="U644" s="265">
        <v>3.5</v>
      </c>
      <c r="V644" s="259" t="s">
        <v>3834</v>
      </c>
      <c r="W644" s="259" t="s">
        <v>3061</v>
      </c>
      <c r="X644" s="264" t="s">
        <v>4968</v>
      </c>
      <c r="Y644" s="60">
        <v>283</v>
      </c>
      <c r="Z644" s="259" t="s">
        <v>3030</v>
      </c>
      <c r="AA644" s="259"/>
      <c r="AB644" s="259"/>
      <c r="AC644" s="259"/>
      <c r="AD644" s="259"/>
      <c r="AE644" s="259"/>
    </row>
    <row r="645" spans="1:31">
      <c r="A645" s="259" t="s">
        <v>796</v>
      </c>
      <c r="B645" s="259" t="s">
        <v>32</v>
      </c>
      <c r="C645" s="264" t="s">
        <v>51</v>
      </c>
      <c r="D645" s="264" t="s">
        <v>4969</v>
      </c>
      <c r="E645" s="259" t="s">
        <v>4047</v>
      </c>
      <c r="G645" s="292" t="s">
        <v>4167</v>
      </c>
      <c r="H645" s="264" t="s">
        <v>4970</v>
      </c>
      <c r="I645" s="264" t="s">
        <v>4971</v>
      </c>
      <c r="J645" s="295">
        <v>17138.099999999999</v>
      </c>
      <c r="K645" s="295">
        <v>5798</v>
      </c>
      <c r="L645" s="295">
        <v>2899</v>
      </c>
      <c r="O645" s="266">
        <v>0</v>
      </c>
      <c r="P645" s="266">
        <v>718878025833</v>
      </c>
      <c r="Q645" s="266">
        <v>0</v>
      </c>
      <c r="R645" s="265">
        <v>28</v>
      </c>
      <c r="S645" s="265">
        <v>17.75</v>
      </c>
      <c r="T645" s="265">
        <v>17.5</v>
      </c>
      <c r="U645" s="265">
        <v>3.625</v>
      </c>
      <c r="V645" s="259" t="s">
        <v>3834</v>
      </c>
      <c r="W645" s="259" t="s">
        <v>3061</v>
      </c>
      <c r="X645" s="264" t="s">
        <v>4972</v>
      </c>
      <c r="Y645" s="60">
        <v>284</v>
      </c>
      <c r="Z645" s="259" t="s">
        <v>3227</v>
      </c>
      <c r="AA645" s="259"/>
      <c r="AB645" s="259"/>
      <c r="AC645" s="259"/>
      <c r="AD645" s="259"/>
      <c r="AE645" s="259"/>
    </row>
    <row r="646" spans="1:31">
      <c r="A646" s="60" t="s">
        <v>3015</v>
      </c>
      <c r="B646" s="60" t="s">
        <v>32</v>
      </c>
      <c r="C646" s="45" t="s">
        <v>51</v>
      </c>
      <c r="D646" s="45" t="s">
        <v>8418</v>
      </c>
      <c r="E646" s="60" t="s">
        <v>4047</v>
      </c>
      <c r="F646" s="60"/>
      <c r="G646" s="293" t="s">
        <v>4167</v>
      </c>
      <c r="H646" s="45" t="s">
        <v>8419</v>
      </c>
      <c r="I646" s="45" t="s">
        <v>8420</v>
      </c>
      <c r="J646" s="296">
        <v>2172.3000000000002</v>
      </c>
      <c r="K646" s="296">
        <v>558</v>
      </c>
      <c r="L646" s="296">
        <v>279</v>
      </c>
      <c r="M646" s="296"/>
      <c r="N646" s="296"/>
      <c r="O646" s="47">
        <v>0</v>
      </c>
      <c r="P646" s="47">
        <v>718878025918</v>
      </c>
      <c r="Q646" s="47">
        <v>0</v>
      </c>
      <c r="R646" s="63">
        <v>1</v>
      </c>
      <c r="S646" s="63">
        <v>2.25</v>
      </c>
      <c r="T646" s="63">
        <v>7.5</v>
      </c>
      <c r="U646" s="63">
        <v>4.8</v>
      </c>
      <c r="V646" s="60" t="s">
        <v>4159</v>
      </c>
      <c r="W646" s="60" t="s">
        <v>3061</v>
      </c>
      <c r="X646" s="45" t="s">
        <v>8421</v>
      </c>
      <c r="Y646" s="60">
        <v>285</v>
      </c>
      <c r="Z646" s="60" t="s">
        <v>3227</v>
      </c>
      <c r="AA646" s="60"/>
      <c r="AB646" s="286"/>
      <c r="AC646" s="287"/>
      <c r="AD646" s="259"/>
      <c r="AE646" s="259"/>
    </row>
    <row r="647" spans="1:31">
      <c r="A647" s="60" t="s">
        <v>3016</v>
      </c>
      <c r="B647" s="60" t="s">
        <v>32</v>
      </c>
      <c r="C647" s="45" t="s">
        <v>51</v>
      </c>
      <c r="D647" s="45" t="s">
        <v>8422</v>
      </c>
      <c r="E647" s="60" t="s">
        <v>4047</v>
      </c>
      <c r="F647" s="60"/>
      <c r="G647" s="293" t="s">
        <v>4167</v>
      </c>
      <c r="H647" s="45" t="s">
        <v>8423</v>
      </c>
      <c r="I647" s="45" t="s">
        <v>8424</v>
      </c>
      <c r="J647" s="296">
        <v>2280.9</v>
      </c>
      <c r="K647" s="296">
        <v>518</v>
      </c>
      <c r="L647" s="296">
        <v>259</v>
      </c>
      <c r="M647" s="296"/>
      <c r="N647" s="296"/>
      <c r="O647" s="47">
        <v>0</v>
      </c>
      <c r="P647" s="47">
        <v>718878025925</v>
      </c>
      <c r="Q647" s="47">
        <v>0</v>
      </c>
      <c r="R647" s="63">
        <v>1</v>
      </c>
      <c r="S647" s="63">
        <v>2.25</v>
      </c>
      <c r="T647" s="63">
        <v>7.5</v>
      </c>
      <c r="U647" s="63">
        <v>4.8</v>
      </c>
      <c r="V647" s="60" t="s">
        <v>4159</v>
      </c>
      <c r="W647" s="60" t="s">
        <v>3061</v>
      </c>
      <c r="X647" s="45" t="s">
        <v>8425</v>
      </c>
      <c r="Y647" s="60">
        <v>286</v>
      </c>
      <c r="Z647" s="60" t="s">
        <v>3227</v>
      </c>
      <c r="AA647" s="60"/>
      <c r="AB647" s="286"/>
      <c r="AC647" s="287"/>
      <c r="AD647" s="259"/>
      <c r="AE647" s="259"/>
    </row>
    <row r="648" spans="1:31">
      <c r="A648" s="259" t="s">
        <v>797</v>
      </c>
      <c r="B648" s="259" t="s">
        <v>32</v>
      </c>
      <c r="C648" s="264" t="s">
        <v>51</v>
      </c>
      <c r="D648" s="264" t="s">
        <v>4973</v>
      </c>
      <c r="E648" s="259" t="s">
        <v>4047</v>
      </c>
      <c r="G648" s="259">
        <v>0</v>
      </c>
      <c r="H648" s="264" t="s">
        <v>4974</v>
      </c>
      <c r="I648" s="264" t="s">
        <v>4975</v>
      </c>
      <c r="J648" s="295">
        <v>41.2</v>
      </c>
      <c r="K648" s="295">
        <v>41.2</v>
      </c>
      <c r="L648" s="295">
        <v>20.6</v>
      </c>
      <c r="O648" s="266">
        <v>0</v>
      </c>
      <c r="P648" s="266">
        <v>718878025932</v>
      </c>
      <c r="Q648" s="266">
        <v>0</v>
      </c>
      <c r="R648" s="265">
        <v>0.15</v>
      </c>
      <c r="S648" s="265">
        <v>0.5</v>
      </c>
      <c r="T648" s="265">
        <v>3</v>
      </c>
      <c r="U648" s="265">
        <v>0.5</v>
      </c>
      <c r="V648" s="259" t="s">
        <v>3834</v>
      </c>
      <c r="W648" s="259" t="s">
        <v>3061</v>
      </c>
      <c r="X648" s="264" t="s">
        <v>4976</v>
      </c>
      <c r="Y648" s="60">
        <v>287</v>
      </c>
      <c r="Z648" s="259" t="s">
        <v>3030</v>
      </c>
      <c r="AA648" s="259"/>
      <c r="AB648" s="259"/>
      <c r="AC648" s="259"/>
      <c r="AD648" s="259"/>
      <c r="AE648" s="259"/>
    </row>
    <row r="649" spans="1:31">
      <c r="A649" s="259" t="s">
        <v>798</v>
      </c>
      <c r="B649" s="259" t="s">
        <v>32</v>
      </c>
      <c r="C649" s="264" t="s">
        <v>51</v>
      </c>
      <c r="D649" s="264" t="s">
        <v>4977</v>
      </c>
      <c r="E649" s="259" t="s">
        <v>4047</v>
      </c>
      <c r="G649" s="259">
        <v>0</v>
      </c>
      <c r="H649" s="264" t="s">
        <v>4978</v>
      </c>
      <c r="I649" s="264" t="s">
        <v>4979</v>
      </c>
      <c r="J649" s="295">
        <v>274.39999999999998</v>
      </c>
      <c r="K649" s="295">
        <v>274.39999999999998</v>
      </c>
      <c r="L649" s="295">
        <v>137.19999999999999</v>
      </c>
      <c r="O649" s="266">
        <v>0</v>
      </c>
      <c r="P649" s="266">
        <v>718878025949</v>
      </c>
      <c r="Q649" s="266">
        <v>0</v>
      </c>
      <c r="R649" s="265">
        <v>2</v>
      </c>
      <c r="S649" s="265">
        <v>17</v>
      </c>
      <c r="T649" s="265">
        <v>5</v>
      </c>
      <c r="U649" s="265">
        <v>0.5</v>
      </c>
      <c r="V649" s="259" t="s">
        <v>3834</v>
      </c>
      <c r="W649" s="259" t="s">
        <v>3061</v>
      </c>
      <c r="X649" s="264" t="s">
        <v>4980</v>
      </c>
      <c r="Y649" s="60">
        <v>288</v>
      </c>
      <c r="Z649" s="259" t="s">
        <v>3030</v>
      </c>
      <c r="AA649" s="259"/>
      <c r="AB649" s="259"/>
      <c r="AC649" s="259"/>
      <c r="AD649" s="259"/>
      <c r="AE649" s="259"/>
    </row>
    <row r="650" spans="1:31">
      <c r="A650" s="259" t="s">
        <v>799</v>
      </c>
      <c r="B650" s="259" t="s">
        <v>32</v>
      </c>
      <c r="C650" s="264" t="s">
        <v>51</v>
      </c>
      <c r="D650" s="264" t="s">
        <v>4981</v>
      </c>
      <c r="E650" s="259" t="s">
        <v>4047</v>
      </c>
      <c r="G650" s="259">
        <v>0</v>
      </c>
      <c r="H650" s="264" t="s">
        <v>4982</v>
      </c>
      <c r="I650" s="264" t="s">
        <v>4983</v>
      </c>
      <c r="J650" s="295">
        <v>1596.5</v>
      </c>
      <c r="K650" s="295">
        <v>1596.5</v>
      </c>
      <c r="L650" s="295">
        <v>798.25</v>
      </c>
      <c r="O650" s="266">
        <v>0</v>
      </c>
      <c r="P650" s="266">
        <v>718878025956</v>
      </c>
      <c r="Q650" s="266">
        <v>0</v>
      </c>
      <c r="R650" s="265">
        <v>9</v>
      </c>
      <c r="S650" s="265">
        <v>20</v>
      </c>
      <c r="T650" s="265">
        <v>6.5</v>
      </c>
      <c r="U650" s="265">
        <v>6.5</v>
      </c>
      <c r="V650" s="259" t="s">
        <v>3834</v>
      </c>
      <c r="W650" s="259" t="s">
        <v>3061</v>
      </c>
      <c r="X650" s="264" t="s">
        <v>4984</v>
      </c>
      <c r="Y650" s="60">
        <v>289</v>
      </c>
      <c r="Z650" s="259" t="s">
        <v>3030</v>
      </c>
      <c r="AA650" s="259"/>
      <c r="AB650" s="259"/>
      <c r="AC650" s="259"/>
      <c r="AD650" s="259"/>
      <c r="AE650" s="259"/>
    </row>
    <row r="651" spans="1:31">
      <c r="A651" s="259" t="s">
        <v>800</v>
      </c>
      <c r="B651" s="259" t="s">
        <v>32</v>
      </c>
      <c r="C651" s="264" t="s">
        <v>51</v>
      </c>
      <c r="D651" s="264" t="s">
        <v>4985</v>
      </c>
      <c r="E651" s="259" t="s">
        <v>4047</v>
      </c>
      <c r="G651" s="259">
        <v>0</v>
      </c>
      <c r="H651" s="264" t="s">
        <v>4986</v>
      </c>
      <c r="I651" s="264" t="s">
        <v>4987</v>
      </c>
      <c r="J651" s="295">
        <v>20</v>
      </c>
      <c r="K651" s="295">
        <v>20</v>
      </c>
      <c r="L651" s="295">
        <v>10</v>
      </c>
      <c r="O651" s="266">
        <v>0</v>
      </c>
      <c r="P651" s="266">
        <v>718878033784</v>
      </c>
      <c r="Q651" s="266">
        <v>0</v>
      </c>
      <c r="R651" s="265">
        <v>0.5</v>
      </c>
      <c r="S651" s="265">
        <v>8.4</v>
      </c>
      <c r="T651" s="265">
        <v>0.81</v>
      </c>
      <c r="U651" s="265">
        <v>0.71</v>
      </c>
      <c r="V651" s="259" t="s">
        <v>3834</v>
      </c>
      <c r="W651" s="259" t="s">
        <v>3061</v>
      </c>
      <c r="X651" s="264">
        <v>0</v>
      </c>
      <c r="Y651" s="60">
        <v>290</v>
      </c>
      <c r="Z651" s="259" t="s">
        <v>4325</v>
      </c>
      <c r="AA651" s="259"/>
      <c r="AB651" s="259"/>
      <c r="AC651" s="259"/>
      <c r="AD651" s="259"/>
      <c r="AE651" s="259"/>
    </row>
    <row r="652" spans="1:31">
      <c r="A652" s="259" t="s">
        <v>801</v>
      </c>
      <c r="B652" s="259" t="s">
        <v>32</v>
      </c>
      <c r="C652" s="264" t="s">
        <v>51</v>
      </c>
      <c r="D652" s="264" t="s">
        <v>4988</v>
      </c>
      <c r="E652" s="259" t="s">
        <v>4047</v>
      </c>
      <c r="G652" s="259">
        <v>0</v>
      </c>
      <c r="H652" s="264" t="s">
        <v>4989</v>
      </c>
      <c r="I652" s="264" t="s">
        <v>4990</v>
      </c>
      <c r="J652" s="295">
        <v>114.3</v>
      </c>
      <c r="K652" s="295">
        <v>114.3</v>
      </c>
      <c r="L652" s="295">
        <v>57.15</v>
      </c>
      <c r="O652" s="266">
        <v>0</v>
      </c>
      <c r="P652" s="266">
        <v>718878025963</v>
      </c>
      <c r="Q652" s="266">
        <v>0</v>
      </c>
      <c r="R652" s="265">
        <v>1</v>
      </c>
      <c r="S652" s="265">
        <v>6</v>
      </c>
      <c r="T652" s="265">
        <v>4.5</v>
      </c>
      <c r="U652" s="265">
        <v>2.5</v>
      </c>
      <c r="V652" s="259" t="s">
        <v>3834</v>
      </c>
      <c r="W652" s="259" t="s">
        <v>3061</v>
      </c>
      <c r="X652" s="264" t="s">
        <v>4991</v>
      </c>
      <c r="Y652" s="60">
        <v>291</v>
      </c>
      <c r="Z652" s="259" t="s">
        <v>3030</v>
      </c>
      <c r="AA652" s="259"/>
      <c r="AB652" s="259"/>
      <c r="AC652" s="259"/>
      <c r="AD652" s="259"/>
      <c r="AE652" s="259"/>
    </row>
    <row r="653" spans="1:31">
      <c r="A653" s="259" t="s">
        <v>802</v>
      </c>
      <c r="B653" s="259" t="s">
        <v>32</v>
      </c>
      <c r="C653" s="264" t="s">
        <v>51</v>
      </c>
      <c r="D653" s="264" t="s">
        <v>4992</v>
      </c>
      <c r="E653" s="259" t="s">
        <v>4047</v>
      </c>
      <c r="G653" s="259">
        <v>0</v>
      </c>
      <c r="H653" s="264" t="s">
        <v>4993</v>
      </c>
      <c r="I653" s="264" t="s">
        <v>4994</v>
      </c>
      <c r="J653" s="295">
        <v>114.3</v>
      </c>
      <c r="K653" s="295">
        <v>114.3</v>
      </c>
      <c r="L653" s="295">
        <v>57.15</v>
      </c>
      <c r="O653" s="266">
        <v>0</v>
      </c>
      <c r="P653" s="266">
        <v>718878034491</v>
      </c>
      <c r="Q653" s="266">
        <v>0</v>
      </c>
      <c r="R653" s="265">
        <v>1</v>
      </c>
      <c r="S653" s="265">
        <v>3.1</v>
      </c>
      <c r="T653" s="265">
        <v>2.6</v>
      </c>
      <c r="U653" s="265">
        <v>1.4</v>
      </c>
      <c r="V653" s="259" t="s">
        <v>3247</v>
      </c>
      <c r="W653" s="259" t="s">
        <v>3061</v>
      </c>
      <c r="X653" s="264">
        <v>0</v>
      </c>
      <c r="Y653" s="60">
        <v>292</v>
      </c>
      <c r="Z653" s="259" t="s">
        <v>3037</v>
      </c>
      <c r="AA653" s="259"/>
      <c r="AB653" s="259"/>
      <c r="AC653" s="259"/>
      <c r="AD653" s="259"/>
      <c r="AE653" s="259"/>
    </row>
    <row r="654" spans="1:31">
      <c r="A654" s="259" t="s">
        <v>803</v>
      </c>
      <c r="B654" s="259" t="s">
        <v>32</v>
      </c>
      <c r="C654" s="264" t="s">
        <v>51</v>
      </c>
      <c r="D654" s="264" t="s">
        <v>4995</v>
      </c>
      <c r="E654" s="259" t="s">
        <v>4047</v>
      </c>
      <c r="G654" s="259">
        <v>0</v>
      </c>
      <c r="H654" s="264" t="s">
        <v>4996</v>
      </c>
      <c r="I654" s="264" t="s">
        <v>4997</v>
      </c>
      <c r="J654" s="295">
        <v>16</v>
      </c>
      <c r="K654" s="295">
        <v>16</v>
      </c>
      <c r="L654" s="295">
        <v>8</v>
      </c>
      <c r="O654" s="266">
        <v>0</v>
      </c>
      <c r="P654" s="266">
        <v>718878034484</v>
      </c>
      <c r="Q654" s="266">
        <v>0</v>
      </c>
      <c r="R654" s="265">
        <v>0.25</v>
      </c>
      <c r="S654" s="265">
        <v>0</v>
      </c>
      <c r="T654" s="265">
        <v>0</v>
      </c>
      <c r="U654" s="265">
        <v>0</v>
      </c>
      <c r="V654" s="259" t="s">
        <v>3247</v>
      </c>
      <c r="W654" s="259" t="s">
        <v>3061</v>
      </c>
      <c r="X654" s="264">
        <v>0</v>
      </c>
      <c r="Y654" s="60">
        <v>293</v>
      </c>
      <c r="Z654" s="259" t="s">
        <v>3030</v>
      </c>
      <c r="AA654" s="259"/>
      <c r="AB654" s="259"/>
      <c r="AC654" s="259"/>
      <c r="AD654" s="259"/>
      <c r="AE654" s="259"/>
    </row>
    <row r="655" spans="1:31">
      <c r="A655" s="259" t="s">
        <v>804</v>
      </c>
      <c r="B655" s="259" t="s">
        <v>32</v>
      </c>
      <c r="C655" s="264" t="s">
        <v>51</v>
      </c>
      <c r="D655" s="264" t="s">
        <v>2871</v>
      </c>
      <c r="E655" s="259" t="s">
        <v>4047</v>
      </c>
      <c r="G655" s="259">
        <v>0</v>
      </c>
      <c r="H655" s="264" t="s">
        <v>2871</v>
      </c>
      <c r="I655" s="264" t="s">
        <v>4998</v>
      </c>
      <c r="J655" s="295">
        <v>109.8</v>
      </c>
      <c r="K655" s="295">
        <v>109.8</v>
      </c>
      <c r="L655" s="295">
        <v>54.9</v>
      </c>
      <c r="O655" s="266">
        <v>0</v>
      </c>
      <c r="P655" s="266">
        <v>718878026076</v>
      </c>
      <c r="Q655" s="266">
        <v>0</v>
      </c>
      <c r="R655" s="265">
        <v>0.5</v>
      </c>
      <c r="S655" s="265">
        <v>7</v>
      </c>
      <c r="T655" s="265">
        <v>5</v>
      </c>
      <c r="U655" s="265">
        <v>0.5</v>
      </c>
      <c r="V655" s="259" t="s">
        <v>3834</v>
      </c>
      <c r="W655" s="259" t="s">
        <v>3061</v>
      </c>
      <c r="X655" s="264">
        <v>0</v>
      </c>
      <c r="Y655" s="60">
        <v>294</v>
      </c>
      <c r="Z655" s="259" t="s">
        <v>3037</v>
      </c>
      <c r="AA655" s="259"/>
      <c r="AB655" s="259"/>
      <c r="AC655" s="259"/>
      <c r="AD655" s="259"/>
      <c r="AE655" s="259"/>
    </row>
    <row r="656" spans="1:31">
      <c r="A656" s="259" t="s">
        <v>805</v>
      </c>
      <c r="B656" s="259" t="s">
        <v>32</v>
      </c>
      <c r="C656" s="264" t="s">
        <v>51</v>
      </c>
      <c r="D656" s="264" t="s">
        <v>4999</v>
      </c>
      <c r="E656" s="259" t="s">
        <v>4047</v>
      </c>
      <c r="G656" s="259">
        <v>0</v>
      </c>
      <c r="H656" s="264" t="s">
        <v>5000</v>
      </c>
      <c r="I656" s="264" t="s">
        <v>5001</v>
      </c>
      <c r="J656" s="295">
        <v>194.4</v>
      </c>
      <c r="K656" s="295">
        <v>194.4</v>
      </c>
      <c r="L656" s="295">
        <v>97.2</v>
      </c>
      <c r="O656" s="266">
        <v>0</v>
      </c>
      <c r="P656" s="266">
        <v>718878026090</v>
      </c>
      <c r="Q656" s="266">
        <v>0</v>
      </c>
      <c r="R656" s="265">
        <v>0.25</v>
      </c>
      <c r="S656" s="265">
        <v>2.67</v>
      </c>
      <c r="T656" s="265">
        <v>0.5</v>
      </c>
      <c r="U656" s="265">
        <v>0.6</v>
      </c>
      <c r="V656" s="259" t="s">
        <v>3028</v>
      </c>
      <c r="W656" s="259" t="s">
        <v>4130</v>
      </c>
      <c r="X656" s="264">
        <v>0</v>
      </c>
      <c r="Y656" s="60">
        <v>295</v>
      </c>
      <c r="Z656" s="259" t="s">
        <v>3037</v>
      </c>
      <c r="AA656" s="259"/>
      <c r="AB656" s="259"/>
      <c r="AC656" s="259"/>
      <c r="AD656" s="259"/>
      <c r="AE656" s="259"/>
    </row>
    <row r="657" spans="1:31">
      <c r="A657" s="60" t="s">
        <v>806</v>
      </c>
      <c r="B657" s="60" t="s">
        <v>32</v>
      </c>
      <c r="C657" s="45" t="s">
        <v>51</v>
      </c>
      <c r="D657" s="45" t="s">
        <v>2872</v>
      </c>
      <c r="E657" s="60" t="s">
        <v>4047</v>
      </c>
      <c r="F657" s="60"/>
      <c r="G657" s="60">
        <v>0</v>
      </c>
      <c r="H657" s="45" t="s">
        <v>2872</v>
      </c>
      <c r="I657" s="45" t="s">
        <v>8426</v>
      </c>
      <c r="J657" s="296">
        <v>548.79999999999995</v>
      </c>
      <c r="K657" s="296">
        <v>548.79999999999995</v>
      </c>
      <c r="L657" s="296">
        <v>274.39999999999998</v>
      </c>
      <c r="M657" s="296"/>
      <c r="N657" s="296"/>
      <c r="O657" s="47">
        <v>0</v>
      </c>
      <c r="P657" s="47">
        <v>718878026106</v>
      </c>
      <c r="Q657" s="47">
        <v>0</v>
      </c>
      <c r="R657" s="63">
        <v>0.5</v>
      </c>
      <c r="S657" s="63">
        <v>7</v>
      </c>
      <c r="T657" s="63">
        <v>5</v>
      </c>
      <c r="U657" s="63">
        <v>0.5</v>
      </c>
      <c r="V657" s="60" t="s">
        <v>3834</v>
      </c>
      <c r="W657" s="60" t="s">
        <v>3061</v>
      </c>
      <c r="X657" s="45">
        <v>0</v>
      </c>
      <c r="Y657" s="60">
        <v>296</v>
      </c>
      <c r="Z657" s="60" t="s">
        <v>3227</v>
      </c>
      <c r="AA657" s="60"/>
      <c r="AB657" s="286"/>
      <c r="AC657" s="287"/>
      <c r="AD657" s="259"/>
      <c r="AE657" s="259"/>
    </row>
    <row r="658" spans="1:31">
      <c r="A658" s="60" t="s">
        <v>807</v>
      </c>
      <c r="B658" s="60" t="s">
        <v>32</v>
      </c>
      <c r="C658" s="45" t="s">
        <v>51</v>
      </c>
      <c r="D658" s="45" t="s">
        <v>2873</v>
      </c>
      <c r="E658" s="60" t="s">
        <v>4047</v>
      </c>
      <c r="F658" s="60"/>
      <c r="G658" s="60">
        <v>0</v>
      </c>
      <c r="H658" s="45" t="s">
        <v>2873</v>
      </c>
      <c r="I658" s="45" t="s">
        <v>8427</v>
      </c>
      <c r="J658" s="296">
        <v>132</v>
      </c>
      <c r="K658" s="296">
        <v>132</v>
      </c>
      <c r="L658" s="296">
        <v>66</v>
      </c>
      <c r="M658" s="296"/>
      <c r="N658" s="296"/>
      <c r="O658" s="47">
        <v>0</v>
      </c>
      <c r="P658" s="47">
        <v>718878026113</v>
      </c>
      <c r="Q658" s="47">
        <v>0</v>
      </c>
      <c r="R658" s="63">
        <v>0.5</v>
      </c>
      <c r="S658" s="63">
        <v>4.5</v>
      </c>
      <c r="T658" s="63">
        <v>4.5</v>
      </c>
      <c r="U658" s="63">
        <v>0.5</v>
      </c>
      <c r="V658" s="60" t="s">
        <v>3028</v>
      </c>
      <c r="W658" s="60" t="s">
        <v>4130</v>
      </c>
      <c r="X658" s="45">
        <v>0</v>
      </c>
      <c r="Y658" s="60">
        <v>297</v>
      </c>
      <c r="Z658" s="60" t="s">
        <v>3227</v>
      </c>
      <c r="AA658" s="60"/>
      <c r="AB658" s="286"/>
      <c r="AC658" s="287"/>
      <c r="AD658" s="259"/>
      <c r="AE658" s="259"/>
    </row>
    <row r="659" spans="1:31">
      <c r="A659" s="259" t="s">
        <v>826</v>
      </c>
      <c r="B659" s="259" t="s">
        <v>52</v>
      </c>
      <c r="C659" s="264" t="s">
        <v>5066</v>
      </c>
      <c r="D659" s="264" t="s">
        <v>5075</v>
      </c>
      <c r="E659" s="259" t="s">
        <v>5026</v>
      </c>
      <c r="H659" s="264" t="s">
        <v>5044</v>
      </c>
      <c r="I659" s="264" t="s">
        <v>5076</v>
      </c>
      <c r="J659" s="295">
        <v>1710.66</v>
      </c>
      <c r="K659" s="298">
        <v>1709</v>
      </c>
      <c r="L659" s="295">
        <v>855.33</v>
      </c>
      <c r="O659" s="266"/>
      <c r="P659" s="266">
        <v>691991007897</v>
      </c>
      <c r="R659" s="265">
        <v>6</v>
      </c>
      <c r="S659" s="265">
        <v>12</v>
      </c>
      <c r="T659" s="265">
        <v>7.5</v>
      </c>
      <c r="U659" s="265">
        <v>12</v>
      </c>
      <c r="V659" s="259" t="s">
        <v>5046</v>
      </c>
      <c r="W659" s="259" t="s">
        <v>3029</v>
      </c>
      <c r="X659" s="264" t="s">
        <v>5077</v>
      </c>
      <c r="Y659" s="259">
        <v>17</v>
      </c>
      <c r="Z659" s="259" t="s">
        <v>3030</v>
      </c>
      <c r="AA659" s="259" t="e">
        <v>#N/A</v>
      </c>
      <c r="AB659" s="259"/>
      <c r="AC659" s="259"/>
      <c r="AD659" s="259"/>
      <c r="AE659" s="259"/>
    </row>
    <row r="660" spans="1:31">
      <c r="A660" s="259" t="s">
        <v>827</v>
      </c>
      <c r="B660" s="259" t="s">
        <v>52</v>
      </c>
      <c r="C660" s="264" t="s">
        <v>5066</v>
      </c>
      <c r="D660" s="264" t="s">
        <v>5078</v>
      </c>
      <c r="E660" s="259" t="s">
        <v>5026</v>
      </c>
      <c r="H660" s="264" t="s">
        <v>5074</v>
      </c>
      <c r="I660" s="264" t="s">
        <v>5079</v>
      </c>
      <c r="J660" s="295">
        <v>217.58</v>
      </c>
      <c r="K660" s="298">
        <v>181</v>
      </c>
      <c r="L660" s="295">
        <v>124.44</v>
      </c>
      <c r="O660" s="266"/>
      <c r="P660" s="266">
        <v>691991600470</v>
      </c>
      <c r="R660" s="265">
        <v>0.5</v>
      </c>
      <c r="S660" s="265">
        <v>7</v>
      </c>
      <c r="T660" s="265">
        <v>6</v>
      </c>
      <c r="U660" s="265">
        <v>3.5</v>
      </c>
      <c r="V660" s="259" t="s">
        <v>3028</v>
      </c>
      <c r="W660" s="259" t="s">
        <v>3029</v>
      </c>
      <c r="X660" s="264" t="s">
        <v>5080</v>
      </c>
      <c r="Y660" s="259">
        <v>18</v>
      </c>
      <c r="Z660" s="259" t="s">
        <v>3030</v>
      </c>
      <c r="AA660" s="259" t="e">
        <v>#N/A</v>
      </c>
      <c r="AB660" s="259"/>
      <c r="AC660" s="259"/>
      <c r="AD660" s="259"/>
      <c r="AE660" s="259"/>
    </row>
    <row r="661" spans="1:31">
      <c r="A661" s="259" t="s">
        <v>829</v>
      </c>
      <c r="B661" s="259" t="s">
        <v>52</v>
      </c>
      <c r="C661" s="264" t="s">
        <v>5066</v>
      </c>
      <c r="D661" s="264" t="s">
        <v>5081</v>
      </c>
      <c r="E661" s="259" t="s">
        <v>5026</v>
      </c>
      <c r="F661" s="259" t="s">
        <v>5021</v>
      </c>
      <c r="G661" s="259" t="s">
        <v>3378</v>
      </c>
      <c r="H661" s="264" t="s">
        <v>5068</v>
      </c>
      <c r="I661" s="264" t="s">
        <v>5082</v>
      </c>
      <c r="J661" s="295">
        <v>7537.42</v>
      </c>
      <c r="K661" s="298">
        <v>6031</v>
      </c>
      <c r="L661" s="295">
        <v>4220.83</v>
      </c>
      <c r="O661" s="266"/>
      <c r="R661" s="265"/>
      <c r="V661" s="259" t="s">
        <v>5046</v>
      </c>
      <c r="W661" s="259" t="s">
        <v>3029</v>
      </c>
      <c r="X661" s="264" t="s">
        <v>5083</v>
      </c>
      <c r="Y661" s="259">
        <v>19</v>
      </c>
      <c r="Z661" s="259" t="s">
        <v>3030</v>
      </c>
      <c r="AA661" s="259" t="e">
        <v>#N/A</v>
      </c>
      <c r="AB661" s="259"/>
      <c r="AC661" s="259"/>
      <c r="AD661" s="259"/>
      <c r="AE661" s="259"/>
    </row>
    <row r="662" spans="1:31">
      <c r="A662" s="259" t="s">
        <v>830</v>
      </c>
      <c r="B662" s="259" t="s">
        <v>52</v>
      </c>
      <c r="C662" s="264" t="s">
        <v>5066</v>
      </c>
      <c r="D662" s="264" t="s">
        <v>5084</v>
      </c>
      <c r="E662" s="259" t="s">
        <v>5026</v>
      </c>
      <c r="H662" s="264" t="s">
        <v>5085</v>
      </c>
      <c r="I662" s="264" t="s">
        <v>5086</v>
      </c>
      <c r="J662" s="295">
        <v>899.92</v>
      </c>
      <c r="K662" s="298">
        <v>899.92</v>
      </c>
      <c r="L662" s="295">
        <v>450.17</v>
      </c>
      <c r="O662" s="266"/>
      <c r="P662" s="266">
        <v>691991014024</v>
      </c>
      <c r="R662" s="265">
        <v>1</v>
      </c>
      <c r="S662" s="265">
        <v>10</v>
      </c>
      <c r="T662" s="265">
        <v>6.5</v>
      </c>
      <c r="U662" s="265">
        <v>4</v>
      </c>
      <c r="V662" s="259" t="s">
        <v>5046</v>
      </c>
      <c r="W662" s="259" t="s">
        <v>3029</v>
      </c>
      <c r="X662" s="264" t="s">
        <v>5087</v>
      </c>
      <c r="Y662" s="259">
        <v>20</v>
      </c>
      <c r="Z662" s="259" t="s">
        <v>3030</v>
      </c>
      <c r="AA662" s="259" t="e">
        <v>#N/A</v>
      </c>
      <c r="AB662" s="259"/>
      <c r="AC662" s="259"/>
      <c r="AD662" s="259"/>
      <c r="AE662" s="259"/>
    </row>
    <row r="663" spans="1:31">
      <c r="A663" s="259" t="s">
        <v>831</v>
      </c>
      <c r="B663" s="259" t="s">
        <v>52</v>
      </c>
      <c r="C663" s="264" t="s">
        <v>5066</v>
      </c>
      <c r="D663" s="264" t="s">
        <v>5088</v>
      </c>
      <c r="E663" s="259" t="s">
        <v>5026</v>
      </c>
      <c r="H663" s="264" t="s">
        <v>5085</v>
      </c>
      <c r="I663" s="264" t="s">
        <v>5089</v>
      </c>
      <c r="J663" s="295">
        <v>899.92</v>
      </c>
      <c r="K663" s="298">
        <v>899.92</v>
      </c>
      <c r="L663" s="295">
        <v>450.17</v>
      </c>
      <c r="O663" s="266"/>
      <c r="P663" s="266">
        <v>691991014017</v>
      </c>
      <c r="R663" s="265">
        <v>2</v>
      </c>
      <c r="S663" s="265">
        <v>10</v>
      </c>
      <c r="T663" s="265">
        <v>6.5</v>
      </c>
      <c r="U663" s="265">
        <v>4</v>
      </c>
      <c r="V663" s="259" t="s">
        <v>5046</v>
      </c>
      <c r="W663" s="259" t="s">
        <v>3029</v>
      </c>
      <c r="X663" s="264" t="s">
        <v>5090</v>
      </c>
      <c r="Y663" s="259">
        <v>21</v>
      </c>
      <c r="Z663" s="259" t="s">
        <v>3030</v>
      </c>
      <c r="AA663" s="259" t="e">
        <v>#N/A</v>
      </c>
      <c r="AB663" s="259"/>
      <c r="AC663" s="259"/>
      <c r="AD663" s="259"/>
      <c r="AE663" s="259"/>
    </row>
    <row r="664" spans="1:31">
      <c r="A664" s="259" t="s">
        <v>832</v>
      </c>
      <c r="B664" s="259" t="s">
        <v>52</v>
      </c>
      <c r="C664" s="264" t="s">
        <v>5066</v>
      </c>
      <c r="D664" s="264" t="s">
        <v>5091</v>
      </c>
      <c r="E664" s="259" t="s">
        <v>5026</v>
      </c>
      <c r="F664" s="259" t="s">
        <v>5021</v>
      </c>
      <c r="H664" s="264" t="s">
        <v>5092</v>
      </c>
      <c r="I664" s="264" t="s">
        <v>5093</v>
      </c>
      <c r="J664" s="295">
        <v>1500.62</v>
      </c>
      <c r="K664" s="298">
        <v>1500.62</v>
      </c>
      <c r="L664" s="295">
        <v>749.09</v>
      </c>
      <c r="O664" s="266"/>
      <c r="P664" s="266">
        <v>691991039010</v>
      </c>
      <c r="R664" s="265">
        <v>0.5</v>
      </c>
      <c r="S664" s="265">
        <v>10</v>
      </c>
      <c r="T664" s="265">
        <v>6.5</v>
      </c>
      <c r="U664" s="265">
        <v>4</v>
      </c>
      <c r="V664" s="259" t="s">
        <v>5046</v>
      </c>
      <c r="W664" s="259" t="s">
        <v>3029</v>
      </c>
      <c r="Y664" s="259">
        <v>22</v>
      </c>
      <c r="Z664" s="259" t="s">
        <v>3030</v>
      </c>
      <c r="AA664" s="259" t="e">
        <v>#N/A</v>
      </c>
      <c r="AB664" s="259"/>
      <c r="AC664" s="259"/>
      <c r="AD664" s="259"/>
      <c r="AE664" s="259"/>
    </row>
    <row r="665" spans="1:31">
      <c r="A665" s="259" t="s">
        <v>833</v>
      </c>
      <c r="B665" s="259" t="s">
        <v>52</v>
      </c>
      <c r="C665" s="264" t="s">
        <v>5094</v>
      </c>
      <c r="D665" s="264" t="s">
        <v>5095</v>
      </c>
      <c r="E665" s="259" t="s">
        <v>5026</v>
      </c>
      <c r="H665" s="264" t="s">
        <v>5096</v>
      </c>
      <c r="I665" s="264" t="s">
        <v>5097</v>
      </c>
      <c r="J665" s="295">
        <v>1122.32</v>
      </c>
      <c r="K665" s="298">
        <v>1122.32</v>
      </c>
      <c r="L665" s="295">
        <v>559.94000000000005</v>
      </c>
      <c r="O665" s="266"/>
      <c r="P665" s="266">
        <v>691991600661</v>
      </c>
      <c r="R665" s="265">
        <v>5</v>
      </c>
      <c r="S665" s="265">
        <v>16</v>
      </c>
      <c r="T665" s="265">
        <v>4</v>
      </c>
      <c r="U665" s="265">
        <v>13.5</v>
      </c>
      <c r="V665" s="259" t="s">
        <v>5046</v>
      </c>
      <c r="W665" s="259" t="s">
        <v>3029</v>
      </c>
      <c r="X665" s="264" t="s">
        <v>5098</v>
      </c>
      <c r="Y665" s="259">
        <v>23</v>
      </c>
      <c r="Z665" s="259" t="s">
        <v>3030</v>
      </c>
      <c r="AA665" s="259" t="e">
        <v>#N/A</v>
      </c>
      <c r="AB665" s="259"/>
      <c r="AC665" s="259"/>
      <c r="AD665" s="259"/>
      <c r="AE665" s="259"/>
    </row>
    <row r="666" spans="1:31">
      <c r="A666" s="259" t="s">
        <v>834</v>
      </c>
      <c r="B666" s="259" t="s">
        <v>52</v>
      </c>
      <c r="C666" s="264" t="s">
        <v>5094</v>
      </c>
      <c r="D666" s="264" t="s">
        <v>5099</v>
      </c>
      <c r="E666" s="259" t="s">
        <v>5026</v>
      </c>
      <c r="H666" s="264" t="s">
        <v>5096</v>
      </c>
      <c r="I666" s="264" t="s">
        <v>5100</v>
      </c>
      <c r="J666" s="295">
        <v>950.36</v>
      </c>
      <c r="K666" s="298">
        <v>950.36</v>
      </c>
      <c r="L666" s="295">
        <v>473.8</v>
      </c>
      <c r="O666" s="266"/>
      <c r="P666" s="266">
        <v>691991033414</v>
      </c>
      <c r="R666" s="265">
        <v>5</v>
      </c>
      <c r="S666" s="265">
        <v>16</v>
      </c>
      <c r="T666" s="265">
        <v>13</v>
      </c>
      <c r="U666" s="265">
        <v>4</v>
      </c>
      <c r="V666" s="259" t="s">
        <v>5046</v>
      </c>
      <c r="W666" s="259" t="s">
        <v>3029</v>
      </c>
      <c r="X666" s="264" t="s">
        <v>5101</v>
      </c>
      <c r="Y666" s="259">
        <v>24</v>
      </c>
      <c r="Z666" s="259" t="s">
        <v>3030</v>
      </c>
      <c r="AA666" s="259" t="e">
        <v>#N/A</v>
      </c>
      <c r="AB666" s="259"/>
      <c r="AC666" s="259"/>
      <c r="AD666" s="259"/>
      <c r="AE666" s="259"/>
    </row>
    <row r="667" spans="1:31">
      <c r="A667" s="259" t="s">
        <v>835</v>
      </c>
      <c r="B667" s="259" t="s">
        <v>52</v>
      </c>
      <c r="C667" s="264" t="s">
        <v>5016</v>
      </c>
      <c r="D667" s="264" t="s">
        <v>5102</v>
      </c>
      <c r="E667" s="259" t="s">
        <v>5026</v>
      </c>
      <c r="H667" s="264" t="s">
        <v>5096</v>
      </c>
      <c r="I667" s="264" t="s">
        <v>5103</v>
      </c>
      <c r="J667" s="295">
        <v>1037.48</v>
      </c>
      <c r="K667" s="298">
        <v>1037.48</v>
      </c>
      <c r="L667" s="295">
        <v>516.87</v>
      </c>
      <c r="O667" s="266"/>
      <c r="R667" s="265">
        <v>9</v>
      </c>
      <c r="S667" s="265">
        <v>24</v>
      </c>
      <c r="T667" s="265">
        <v>4.5</v>
      </c>
      <c r="U667" s="265">
        <v>15.5</v>
      </c>
      <c r="V667" s="259" t="s">
        <v>5046</v>
      </c>
      <c r="W667" s="259" t="s">
        <v>3029</v>
      </c>
      <c r="X667" s="264" t="s">
        <v>5104</v>
      </c>
      <c r="Y667" s="259">
        <v>25</v>
      </c>
      <c r="Z667" s="259" t="s">
        <v>3030</v>
      </c>
      <c r="AA667" s="259" t="e">
        <v>#N/A</v>
      </c>
      <c r="AB667" s="259"/>
      <c r="AC667" s="259"/>
      <c r="AD667" s="259"/>
      <c r="AE667" s="259"/>
    </row>
    <row r="668" spans="1:31">
      <c r="A668" s="259" t="s">
        <v>836</v>
      </c>
      <c r="B668" s="259" t="s">
        <v>52</v>
      </c>
      <c r="C668" s="264" t="s">
        <v>5048</v>
      </c>
      <c r="D668" s="264" t="s">
        <v>5105</v>
      </c>
      <c r="E668" s="259" t="s">
        <v>5026</v>
      </c>
      <c r="F668" s="259" t="s">
        <v>5021</v>
      </c>
      <c r="H668" s="264" t="s">
        <v>5092</v>
      </c>
      <c r="I668" s="264" t="s">
        <v>5106</v>
      </c>
      <c r="J668" s="295">
        <v>452.82</v>
      </c>
      <c r="K668" s="298">
        <v>452.82</v>
      </c>
      <c r="L668" s="295">
        <v>225.69</v>
      </c>
      <c r="O668" s="266"/>
      <c r="P668" s="266">
        <v>691991025402</v>
      </c>
      <c r="R668" s="265">
        <v>2</v>
      </c>
      <c r="S668" s="265">
        <v>10</v>
      </c>
      <c r="T668" s="265">
        <v>6</v>
      </c>
      <c r="U668" s="265">
        <v>3.5</v>
      </c>
      <c r="V668" s="259" t="s">
        <v>5046</v>
      </c>
      <c r="W668" s="259" t="s">
        <v>3029</v>
      </c>
      <c r="Y668" s="259">
        <v>26</v>
      </c>
      <c r="Z668" s="259" t="s">
        <v>3030</v>
      </c>
      <c r="AA668" s="259" t="e">
        <v>#N/A</v>
      </c>
      <c r="AB668" s="259"/>
      <c r="AC668" s="259"/>
      <c r="AD668" s="259"/>
      <c r="AE668" s="259"/>
    </row>
    <row r="669" spans="1:31">
      <c r="A669" s="259" t="s">
        <v>837</v>
      </c>
      <c r="B669" s="259" t="s">
        <v>52</v>
      </c>
      <c r="C669" s="264" t="s">
        <v>5107</v>
      </c>
      <c r="D669" s="264" t="s">
        <v>5108</v>
      </c>
      <c r="E669" s="259" t="s">
        <v>5026</v>
      </c>
      <c r="F669" s="259" t="s">
        <v>5021</v>
      </c>
      <c r="H669" s="264" t="s">
        <v>5092</v>
      </c>
      <c r="I669" s="264" t="s">
        <v>5109</v>
      </c>
      <c r="J669" s="295">
        <v>452.82</v>
      </c>
      <c r="K669" s="298">
        <v>452.82</v>
      </c>
      <c r="L669" s="295">
        <v>225.69</v>
      </c>
      <c r="O669" s="266"/>
      <c r="P669" s="266">
        <v>691991025426</v>
      </c>
      <c r="R669" s="265">
        <v>0.8</v>
      </c>
      <c r="S669" s="265">
        <v>10</v>
      </c>
      <c r="T669" s="265">
        <v>6.5</v>
      </c>
      <c r="U669" s="265">
        <v>4</v>
      </c>
      <c r="V669" s="259" t="s">
        <v>5046</v>
      </c>
      <c r="W669" s="259" t="s">
        <v>3029</v>
      </c>
      <c r="X669" s="264" t="s">
        <v>5110</v>
      </c>
      <c r="Y669" s="259">
        <v>27</v>
      </c>
      <c r="Z669" s="259" t="s">
        <v>3030</v>
      </c>
      <c r="AA669" s="259" t="e">
        <v>#N/A</v>
      </c>
      <c r="AB669" s="259"/>
      <c r="AC669" s="259"/>
      <c r="AD669" s="259"/>
      <c r="AE669" s="259"/>
    </row>
    <row r="670" spans="1:31">
      <c r="A670" s="259" t="s">
        <v>838</v>
      </c>
      <c r="B670" s="259" t="s">
        <v>52</v>
      </c>
      <c r="C670" s="264" t="s">
        <v>5094</v>
      </c>
      <c r="D670" s="264" t="s">
        <v>5111</v>
      </c>
      <c r="E670" s="259" t="s">
        <v>5026</v>
      </c>
      <c r="H670" s="264" t="s">
        <v>5112</v>
      </c>
      <c r="I670" s="264" t="s">
        <v>5113</v>
      </c>
      <c r="J670" s="295">
        <v>1179.46</v>
      </c>
      <c r="K670" s="298">
        <v>937</v>
      </c>
      <c r="L670" s="295">
        <v>660.26</v>
      </c>
      <c r="O670" s="266"/>
      <c r="P670" s="266">
        <v>691991000928</v>
      </c>
      <c r="R670" s="265">
        <v>0</v>
      </c>
      <c r="S670" s="265">
        <v>0</v>
      </c>
      <c r="T670" s="265">
        <v>0</v>
      </c>
      <c r="U670" s="265">
        <v>0</v>
      </c>
      <c r="V670" s="259" t="s">
        <v>4159</v>
      </c>
      <c r="W670" s="259" t="s">
        <v>3061</v>
      </c>
      <c r="X670" s="264" t="s">
        <v>5114</v>
      </c>
      <c r="Y670" s="259">
        <v>28</v>
      </c>
      <c r="Z670" s="259" t="s">
        <v>3030</v>
      </c>
      <c r="AA670" s="259" t="e">
        <v>#N/A</v>
      </c>
      <c r="AB670" s="259"/>
      <c r="AC670" s="259"/>
      <c r="AD670" s="259"/>
      <c r="AE670" s="259"/>
    </row>
    <row r="671" spans="1:31">
      <c r="A671" s="259" t="s">
        <v>839</v>
      </c>
      <c r="B671" s="259" t="s">
        <v>52</v>
      </c>
      <c r="C671" s="264" t="s">
        <v>5094</v>
      </c>
      <c r="D671" s="264" t="s">
        <v>5115</v>
      </c>
      <c r="E671" s="259" t="s">
        <v>5026</v>
      </c>
      <c r="F671" s="259" t="s">
        <v>5021</v>
      </c>
      <c r="H671" s="264" t="s">
        <v>5092</v>
      </c>
      <c r="I671" s="264" t="s">
        <v>5116</v>
      </c>
      <c r="J671" s="295">
        <v>452.82</v>
      </c>
      <c r="K671" s="298">
        <v>452.82</v>
      </c>
      <c r="L671" s="295">
        <v>225.69</v>
      </c>
      <c r="O671" s="266"/>
      <c r="P671" s="266">
        <v>691991016332</v>
      </c>
      <c r="R671" s="265">
        <v>2</v>
      </c>
      <c r="S671" s="265">
        <v>10.5</v>
      </c>
      <c r="T671" s="265">
        <v>6.5</v>
      </c>
      <c r="U671" s="265">
        <v>4</v>
      </c>
      <c r="V671" s="259" t="s">
        <v>5046</v>
      </c>
      <c r="W671" s="259" t="s">
        <v>3029</v>
      </c>
      <c r="Y671" s="259">
        <v>29</v>
      </c>
      <c r="Z671" s="259" t="s">
        <v>3030</v>
      </c>
      <c r="AA671" s="259" t="e">
        <v>#N/A</v>
      </c>
      <c r="AB671" s="259"/>
      <c r="AC671" s="259"/>
      <c r="AD671" s="259"/>
      <c r="AE671" s="259"/>
    </row>
    <row r="672" spans="1:31">
      <c r="A672" s="259" t="s">
        <v>840</v>
      </c>
      <c r="B672" s="259" t="s">
        <v>52</v>
      </c>
      <c r="C672" s="264" t="s">
        <v>5117</v>
      </c>
      <c r="D672" s="264" t="s">
        <v>5118</v>
      </c>
      <c r="E672" s="259" t="s">
        <v>5026</v>
      </c>
      <c r="F672" s="259" t="s">
        <v>5021</v>
      </c>
      <c r="H672" s="264" t="s">
        <v>5092</v>
      </c>
      <c r="I672" s="264" t="s">
        <v>5119</v>
      </c>
      <c r="J672" s="295">
        <v>452.82</v>
      </c>
      <c r="K672" s="298">
        <v>452.82</v>
      </c>
      <c r="L672" s="295">
        <v>225.69</v>
      </c>
      <c r="O672" s="266"/>
      <c r="P672" s="266">
        <v>691991033438</v>
      </c>
      <c r="R672" s="265">
        <v>2</v>
      </c>
      <c r="S672" s="265">
        <v>10.5</v>
      </c>
      <c r="T672" s="265">
        <v>6.5</v>
      </c>
      <c r="U672" s="265">
        <v>4</v>
      </c>
      <c r="V672" s="259" t="s">
        <v>5046</v>
      </c>
      <c r="W672" s="259" t="s">
        <v>3029</v>
      </c>
      <c r="Y672" s="259">
        <v>30</v>
      </c>
      <c r="Z672" s="259" t="s">
        <v>3030</v>
      </c>
      <c r="AA672" s="259" t="e">
        <v>#N/A</v>
      </c>
      <c r="AB672" s="259"/>
      <c r="AC672" s="259"/>
      <c r="AD672" s="259"/>
      <c r="AE672" s="259"/>
    </row>
    <row r="673" spans="1:31">
      <c r="A673" s="259" t="s">
        <v>841</v>
      </c>
      <c r="B673" s="259" t="s">
        <v>52</v>
      </c>
      <c r="C673" s="264"/>
      <c r="D673" s="264" t="s">
        <v>5120</v>
      </c>
      <c r="E673" s="259" t="s">
        <v>5026</v>
      </c>
      <c r="H673" s="264" t="s">
        <v>5121</v>
      </c>
      <c r="I673" s="264" t="s">
        <v>5122</v>
      </c>
      <c r="J673" s="295">
        <v>2398.5300000000002</v>
      </c>
      <c r="K673" s="298">
        <v>2398.5300000000002</v>
      </c>
      <c r="L673" s="295">
        <v>1199.26</v>
      </c>
      <c r="O673" s="266"/>
      <c r="P673" s="266">
        <v>691991600753</v>
      </c>
      <c r="R673" s="265">
        <v>0</v>
      </c>
      <c r="S673" s="265">
        <v>0</v>
      </c>
      <c r="T673" s="265">
        <v>0</v>
      </c>
      <c r="U673" s="265">
        <v>0</v>
      </c>
      <c r="V673" s="259" t="s">
        <v>4159</v>
      </c>
      <c r="W673" s="259" t="s">
        <v>3061</v>
      </c>
      <c r="X673" s="264" t="s">
        <v>5123</v>
      </c>
      <c r="Y673" s="259">
        <v>31</v>
      </c>
      <c r="Z673" s="259" t="s">
        <v>3030</v>
      </c>
      <c r="AA673" s="259" t="e">
        <v>#N/A</v>
      </c>
      <c r="AB673" s="259"/>
      <c r="AC673" s="259"/>
      <c r="AD673" s="259"/>
      <c r="AE673" s="259"/>
    </row>
    <row r="674" spans="1:31">
      <c r="A674" s="259" t="s">
        <v>842</v>
      </c>
      <c r="B674" s="259" t="s">
        <v>52</v>
      </c>
      <c r="C674" s="264"/>
      <c r="D674" s="264" t="s">
        <v>5124</v>
      </c>
      <c r="E674" s="259" t="s">
        <v>5026</v>
      </c>
      <c r="H674" s="264" t="s">
        <v>5125</v>
      </c>
      <c r="I674" s="264" t="s">
        <v>5126</v>
      </c>
      <c r="J674" s="295">
        <v>377.16</v>
      </c>
      <c r="K674" s="298">
        <v>377.16</v>
      </c>
      <c r="L674" s="295">
        <v>188.47</v>
      </c>
      <c r="O674" s="266"/>
      <c r="P674" s="266">
        <v>691991014079</v>
      </c>
      <c r="R674" s="265">
        <v>1</v>
      </c>
      <c r="S674" s="265">
        <v>10</v>
      </c>
      <c r="T674" s="265">
        <v>6.5</v>
      </c>
      <c r="U674" s="265">
        <v>3</v>
      </c>
      <c r="V674" s="259" t="s">
        <v>5046</v>
      </c>
      <c r="W674" s="259" t="s">
        <v>3029</v>
      </c>
      <c r="X674" s="264" t="s">
        <v>5127</v>
      </c>
      <c r="Y674" s="259">
        <v>32</v>
      </c>
      <c r="Z674" s="259" t="s">
        <v>3030</v>
      </c>
      <c r="AA674" s="259" t="e">
        <v>#N/A</v>
      </c>
      <c r="AB674" s="259"/>
      <c r="AC674" s="259"/>
      <c r="AD674" s="259"/>
      <c r="AE674" s="259"/>
    </row>
    <row r="675" spans="1:31">
      <c r="A675" s="259" t="s">
        <v>843</v>
      </c>
      <c r="B675" s="259" t="s">
        <v>52</v>
      </c>
      <c r="C675" s="264"/>
      <c r="D675" s="264" t="s">
        <v>843</v>
      </c>
      <c r="E675" s="259" t="s">
        <v>5026</v>
      </c>
      <c r="F675" s="259" t="s">
        <v>5021</v>
      </c>
      <c r="H675" s="264"/>
      <c r="I675" s="264" t="s">
        <v>843</v>
      </c>
      <c r="J675" s="295">
        <v>669.26</v>
      </c>
      <c r="K675" s="298">
        <v>535</v>
      </c>
      <c r="L675" s="295">
        <v>374.55</v>
      </c>
      <c r="O675" s="266"/>
      <c r="P675" s="266">
        <v>691991013881</v>
      </c>
      <c r="R675" s="265">
        <v>0.5</v>
      </c>
      <c r="S675" s="265">
        <v>10</v>
      </c>
      <c r="T675" s="265">
        <v>6.5</v>
      </c>
      <c r="U675" s="265">
        <v>4</v>
      </c>
      <c r="V675" s="259" t="s">
        <v>5046</v>
      </c>
      <c r="W675" s="259" t="s">
        <v>3029</v>
      </c>
      <c r="Y675" s="259">
        <v>33</v>
      </c>
      <c r="Z675" s="259" t="s">
        <v>3030</v>
      </c>
      <c r="AA675" s="259" t="e">
        <v>#N/A</v>
      </c>
      <c r="AB675" s="259"/>
      <c r="AC675" s="259"/>
      <c r="AD675" s="259"/>
      <c r="AE675" s="259"/>
    </row>
    <row r="676" spans="1:31">
      <c r="A676" s="259" t="s">
        <v>844</v>
      </c>
      <c r="B676" s="259" t="s">
        <v>52</v>
      </c>
      <c r="C676" s="264"/>
      <c r="D676" s="264" t="s">
        <v>5128</v>
      </c>
      <c r="E676" s="259" t="s">
        <v>5026</v>
      </c>
      <c r="H676" s="264" t="s">
        <v>5129</v>
      </c>
      <c r="I676" s="264" t="s">
        <v>5130</v>
      </c>
      <c r="J676" s="295">
        <v>749.09</v>
      </c>
      <c r="K676" s="298">
        <v>603</v>
      </c>
      <c r="L676" s="295">
        <v>459.13</v>
      </c>
      <c r="O676" s="266">
        <v>1</v>
      </c>
      <c r="P676" s="266">
        <v>691991013539</v>
      </c>
      <c r="R676" s="265"/>
      <c r="V676" s="259" t="s">
        <v>5131</v>
      </c>
      <c r="W676" s="259" t="s">
        <v>3061</v>
      </c>
      <c r="Y676" s="259">
        <v>34</v>
      </c>
      <c r="Z676" s="259" t="s">
        <v>3030</v>
      </c>
      <c r="AA676" s="259" t="e">
        <v>#N/A</v>
      </c>
      <c r="AB676" s="259"/>
      <c r="AC676" s="259"/>
      <c r="AD676" s="259"/>
      <c r="AE676" s="259"/>
    </row>
    <row r="677" spans="1:31">
      <c r="A677" s="259" t="s">
        <v>845</v>
      </c>
      <c r="B677" s="259" t="s">
        <v>52</v>
      </c>
      <c r="C677" s="264"/>
      <c r="D677" s="264" t="s">
        <v>5132</v>
      </c>
      <c r="E677" s="259" t="s">
        <v>5026</v>
      </c>
      <c r="H677" s="264" t="s">
        <v>5112</v>
      </c>
      <c r="I677" s="264" t="s">
        <v>5133</v>
      </c>
      <c r="J677" s="295">
        <v>360.14</v>
      </c>
      <c r="K677" s="298">
        <v>360.14</v>
      </c>
      <c r="L677" s="295">
        <v>180.07</v>
      </c>
      <c r="O677" s="266"/>
      <c r="P677" s="266">
        <v>691991005305</v>
      </c>
      <c r="R677" s="265">
        <v>2</v>
      </c>
      <c r="S677" s="265">
        <v>12</v>
      </c>
      <c r="T677" s="265">
        <v>11</v>
      </c>
      <c r="U677" s="265">
        <v>7</v>
      </c>
      <c r="V677" s="259" t="s">
        <v>5046</v>
      </c>
      <c r="W677" s="259" t="s">
        <v>3029</v>
      </c>
      <c r="X677" s="264" t="s">
        <v>5134</v>
      </c>
      <c r="Y677" s="259">
        <v>35</v>
      </c>
      <c r="Z677" s="259" t="s">
        <v>3030</v>
      </c>
      <c r="AA677" s="259" t="e">
        <v>#N/A</v>
      </c>
      <c r="AB677" s="259"/>
      <c r="AC677" s="259"/>
      <c r="AD677" s="259"/>
      <c r="AE677" s="259"/>
    </row>
    <row r="678" spans="1:31">
      <c r="A678" s="259" t="s">
        <v>846</v>
      </c>
      <c r="B678" s="259" t="s">
        <v>52</v>
      </c>
      <c r="C678" s="264"/>
      <c r="D678" s="264" t="s">
        <v>5135</v>
      </c>
      <c r="E678" s="259" t="s">
        <v>5026</v>
      </c>
      <c r="H678" s="264" t="s">
        <v>5136</v>
      </c>
      <c r="I678" s="264" t="s">
        <v>5137</v>
      </c>
      <c r="J678" s="295">
        <v>308.38</v>
      </c>
      <c r="K678" s="298">
        <v>308.38</v>
      </c>
      <c r="L678" s="295">
        <v>154.86000000000001</v>
      </c>
      <c r="O678" s="266"/>
      <c r="P678" s="266">
        <v>691991600883</v>
      </c>
      <c r="R678" s="265">
        <v>0.5</v>
      </c>
      <c r="S678" s="265">
        <v>10</v>
      </c>
      <c r="T678" s="265">
        <v>4</v>
      </c>
      <c r="U678" s="265">
        <v>6.5</v>
      </c>
      <c r="V678" s="259" t="s">
        <v>5046</v>
      </c>
      <c r="W678" s="259" t="s">
        <v>3029</v>
      </c>
      <c r="X678" s="264" t="s">
        <v>5138</v>
      </c>
      <c r="Y678" s="259">
        <v>36</v>
      </c>
      <c r="Z678" s="259" t="s">
        <v>3030</v>
      </c>
      <c r="AA678" s="259" t="e">
        <v>#N/A</v>
      </c>
      <c r="AB678" s="259"/>
      <c r="AC678" s="259"/>
      <c r="AD678" s="259"/>
      <c r="AE678" s="259"/>
    </row>
    <row r="679" spans="1:31">
      <c r="A679" s="259" t="s">
        <v>847</v>
      </c>
      <c r="B679" s="259" t="s">
        <v>52</v>
      </c>
      <c r="C679" s="264"/>
      <c r="D679" s="264" t="s">
        <v>5139</v>
      </c>
      <c r="E679" s="259" t="s">
        <v>5026</v>
      </c>
      <c r="H679" s="264" t="s">
        <v>5136</v>
      </c>
      <c r="I679" s="264" t="s">
        <v>5140</v>
      </c>
      <c r="J679" s="295">
        <v>361.11</v>
      </c>
      <c r="K679" s="298">
        <v>361.11</v>
      </c>
      <c r="L679" s="295">
        <v>178.87</v>
      </c>
      <c r="O679" s="266"/>
      <c r="P679" s="266">
        <v>691991600906</v>
      </c>
      <c r="R679" s="265">
        <v>0.5</v>
      </c>
      <c r="S679" s="265">
        <v>10</v>
      </c>
      <c r="T679" s="265">
        <v>4</v>
      </c>
      <c r="U679" s="265">
        <v>6.5</v>
      </c>
      <c r="V679" s="259" t="s">
        <v>5046</v>
      </c>
      <c r="W679" s="259" t="s">
        <v>3029</v>
      </c>
      <c r="X679" s="264" t="s">
        <v>5141</v>
      </c>
      <c r="Y679" s="259">
        <v>37</v>
      </c>
      <c r="Z679" s="259" t="s">
        <v>3030</v>
      </c>
      <c r="AA679" s="259" t="e">
        <v>#N/A</v>
      </c>
      <c r="AB679" s="259"/>
      <c r="AC679" s="259"/>
      <c r="AD679" s="259"/>
      <c r="AE679" s="259"/>
    </row>
    <row r="680" spans="1:31">
      <c r="A680" s="259" t="s">
        <v>848</v>
      </c>
      <c r="B680" s="259" t="s">
        <v>52</v>
      </c>
      <c r="C680" s="264"/>
      <c r="D680" s="264" t="s">
        <v>5142</v>
      </c>
      <c r="E680" s="259" t="s">
        <v>5026</v>
      </c>
      <c r="H680" s="264" t="s">
        <v>5136</v>
      </c>
      <c r="I680" s="264" t="s">
        <v>5143</v>
      </c>
      <c r="J680" s="295">
        <v>357.74</v>
      </c>
      <c r="K680" s="298">
        <v>357.74</v>
      </c>
      <c r="L680" s="295">
        <v>178.87</v>
      </c>
      <c r="O680" s="266"/>
      <c r="P680" s="266">
        <v>691991600890</v>
      </c>
      <c r="R680" s="265">
        <v>0.5</v>
      </c>
      <c r="S680" s="265">
        <v>10</v>
      </c>
      <c r="T680" s="265">
        <v>4</v>
      </c>
      <c r="U680" s="265">
        <v>6.5</v>
      </c>
      <c r="V680" s="259" t="s">
        <v>5046</v>
      </c>
      <c r="W680" s="259" t="s">
        <v>3029</v>
      </c>
      <c r="X680" s="264" t="s">
        <v>5141</v>
      </c>
      <c r="Y680" s="259">
        <v>38</v>
      </c>
      <c r="Z680" s="259" t="s">
        <v>3030</v>
      </c>
      <c r="AA680" s="259" t="e">
        <v>#N/A</v>
      </c>
      <c r="AB680" s="259"/>
      <c r="AC680" s="259"/>
      <c r="AD680" s="259"/>
      <c r="AE680" s="259"/>
    </row>
    <row r="681" spans="1:31">
      <c r="A681" s="259" t="s">
        <v>849</v>
      </c>
      <c r="B681" s="259" t="s">
        <v>52</v>
      </c>
      <c r="C681" s="264"/>
      <c r="D681" s="264" t="s">
        <v>5144</v>
      </c>
      <c r="E681" s="259" t="s">
        <v>5026</v>
      </c>
      <c r="H681" s="264" t="s">
        <v>5136</v>
      </c>
      <c r="I681" s="264" t="s">
        <v>5145</v>
      </c>
      <c r="J681" s="295">
        <v>309.72000000000003</v>
      </c>
      <c r="K681" s="298">
        <v>309.72000000000003</v>
      </c>
      <c r="L681" s="295">
        <v>154.86000000000001</v>
      </c>
      <c r="O681" s="266"/>
      <c r="P681" s="266">
        <v>691991600876</v>
      </c>
      <c r="R681" s="265">
        <v>0.5</v>
      </c>
      <c r="S681" s="265">
        <v>10</v>
      </c>
      <c r="T681" s="265">
        <v>6.5</v>
      </c>
      <c r="U681" s="265">
        <v>4</v>
      </c>
      <c r="V681" s="259" t="s">
        <v>5046</v>
      </c>
      <c r="W681" s="259" t="s">
        <v>3029</v>
      </c>
      <c r="X681" s="264" t="s">
        <v>5138</v>
      </c>
      <c r="Y681" s="259">
        <v>39</v>
      </c>
      <c r="Z681" s="259" t="s">
        <v>3030</v>
      </c>
      <c r="AA681" s="259" t="e">
        <v>#N/A</v>
      </c>
      <c r="AB681" s="259"/>
      <c r="AC681" s="259"/>
      <c r="AD681" s="259"/>
      <c r="AE681" s="259"/>
    </row>
    <row r="682" spans="1:31">
      <c r="A682" s="259" t="s">
        <v>850</v>
      </c>
      <c r="B682" s="259" t="s">
        <v>52</v>
      </c>
      <c r="C682" s="264"/>
      <c r="D682" s="264" t="s">
        <v>5146</v>
      </c>
      <c r="E682" s="259" t="s">
        <v>5026</v>
      </c>
      <c r="H682" s="264" t="s">
        <v>5136</v>
      </c>
      <c r="I682" s="264" t="s">
        <v>5147</v>
      </c>
      <c r="J682" s="295">
        <v>477.79</v>
      </c>
      <c r="K682" s="298">
        <v>477.79</v>
      </c>
      <c r="L682" s="295">
        <v>238.89</v>
      </c>
      <c r="O682" s="266"/>
      <c r="P682" s="266">
        <v>691991600920</v>
      </c>
      <c r="R682" s="265">
        <v>1</v>
      </c>
      <c r="S682" s="265">
        <v>10</v>
      </c>
      <c r="T682" s="265">
        <v>4</v>
      </c>
      <c r="U682" s="265">
        <v>6.5</v>
      </c>
      <c r="V682" s="259" t="s">
        <v>5046</v>
      </c>
      <c r="W682" s="259" t="s">
        <v>3029</v>
      </c>
      <c r="X682" s="264" t="s">
        <v>5141</v>
      </c>
      <c r="Y682" s="259">
        <v>40</v>
      </c>
      <c r="Z682" s="259" t="s">
        <v>3030</v>
      </c>
      <c r="AA682" s="259" t="e">
        <v>#N/A</v>
      </c>
      <c r="AB682" s="259"/>
      <c r="AC682" s="259"/>
      <c r="AD682" s="259"/>
      <c r="AE682" s="259"/>
    </row>
    <row r="683" spans="1:31">
      <c r="A683" s="259" t="s">
        <v>851</v>
      </c>
      <c r="B683" s="259" t="s">
        <v>52</v>
      </c>
      <c r="C683" s="264"/>
      <c r="D683" s="264" t="s">
        <v>5148</v>
      </c>
      <c r="E683" s="259" t="s">
        <v>5026</v>
      </c>
      <c r="H683" s="264" t="s">
        <v>5136</v>
      </c>
      <c r="I683" s="264" t="s">
        <v>5149</v>
      </c>
      <c r="J683" s="295">
        <v>477.79</v>
      </c>
      <c r="K683" s="298">
        <v>477.79</v>
      </c>
      <c r="L683" s="295">
        <v>238.89</v>
      </c>
      <c r="O683" s="266"/>
      <c r="P683" s="266">
        <v>691991600913</v>
      </c>
      <c r="R683" s="265">
        <v>1</v>
      </c>
      <c r="S683" s="265">
        <v>10</v>
      </c>
      <c r="T683" s="265">
        <v>6.5</v>
      </c>
      <c r="U683" s="265">
        <v>4</v>
      </c>
      <c r="V683" s="259" t="s">
        <v>5046</v>
      </c>
      <c r="W683" s="259" t="s">
        <v>3029</v>
      </c>
      <c r="X683" s="264" t="s">
        <v>5150</v>
      </c>
      <c r="Y683" s="259">
        <v>41</v>
      </c>
      <c r="Z683" s="259" t="s">
        <v>3030</v>
      </c>
      <c r="AA683" s="259" t="e">
        <v>#N/A</v>
      </c>
      <c r="AB683" s="259"/>
      <c r="AC683" s="259"/>
      <c r="AD683" s="259"/>
      <c r="AE683" s="259"/>
    </row>
    <row r="684" spans="1:31">
      <c r="A684" s="259" t="s">
        <v>852</v>
      </c>
      <c r="B684" s="259" t="s">
        <v>52</v>
      </c>
      <c r="C684" s="264"/>
      <c r="D684" s="264" t="s">
        <v>5151</v>
      </c>
      <c r="E684" s="259" t="s">
        <v>5026</v>
      </c>
      <c r="H684" s="264" t="s">
        <v>5136</v>
      </c>
      <c r="I684" s="264" t="s">
        <v>5152</v>
      </c>
      <c r="J684" s="295">
        <v>239.6</v>
      </c>
      <c r="K684" s="298">
        <v>239.6</v>
      </c>
      <c r="L684" s="295">
        <v>118.85</v>
      </c>
      <c r="O684" s="266"/>
      <c r="P684" s="266">
        <v>691991600869</v>
      </c>
      <c r="R684" s="265">
        <v>1</v>
      </c>
      <c r="S684" s="265">
        <v>10</v>
      </c>
      <c r="T684" s="265">
        <v>6.5</v>
      </c>
      <c r="U684" s="265">
        <v>4</v>
      </c>
      <c r="V684" s="259" t="s">
        <v>5046</v>
      </c>
      <c r="W684" s="259" t="s">
        <v>3029</v>
      </c>
      <c r="X684" s="264" t="s">
        <v>5153</v>
      </c>
      <c r="Y684" s="259">
        <v>42</v>
      </c>
      <c r="Z684" s="259" t="s">
        <v>3030</v>
      </c>
      <c r="AA684" s="259" t="e">
        <v>#N/A</v>
      </c>
      <c r="AB684" s="259"/>
      <c r="AC684" s="259"/>
      <c r="AD684" s="259"/>
      <c r="AE684" s="259"/>
    </row>
    <row r="685" spans="1:31">
      <c r="A685" s="259" t="s">
        <v>853</v>
      </c>
      <c r="B685" s="259" t="s">
        <v>52</v>
      </c>
      <c r="C685" s="264"/>
      <c r="D685" s="264" t="s">
        <v>5154</v>
      </c>
      <c r="E685" s="259" t="s">
        <v>5026</v>
      </c>
      <c r="H685" s="264" t="s">
        <v>5136</v>
      </c>
      <c r="I685" s="264" t="s">
        <v>5155</v>
      </c>
      <c r="J685" s="295">
        <v>239.6</v>
      </c>
      <c r="K685" s="298">
        <v>239.6</v>
      </c>
      <c r="L685" s="295">
        <v>118.85</v>
      </c>
      <c r="O685" s="266"/>
      <c r="P685" s="266">
        <v>691991600852</v>
      </c>
      <c r="R685" s="265">
        <v>0.5</v>
      </c>
      <c r="S685" s="265">
        <v>10</v>
      </c>
      <c r="T685" s="265">
        <v>6.5</v>
      </c>
      <c r="U685" s="265">
        <v>4</v>
      </c>
      <c r="V685" s="259" t="s">
        <v>5046</v>
      </c>
      <c r="W685" s="259" t="s">
        <v>3029</v>
      </c>
      <c r="X685" s="264" t="s">
        <v>5153</v>
      </c>
      <c r="Y685" s="259">
        <v>43</v>
      </c>
      <c r="Z685" s="259" t="s">
        <v>3030</v>
      </c>
      <c r="AA685" s="259" t="e">
        <v>#N/A</v>
      </c>
      <c r="AB685" s="259"/>
      <c r="AC685" s="259"/>
      <c r="AD685" s="259"/>
      <c r="AE685" s="259"/>
    </row>
    <row r="686" spans="1:31">
      <c r="A686" s="259" t="s">
        <v>854</v>
      </c>
      <c r="B686" s="259" t="s">
        <v>52</v>
      </c>
      <c r="C686" s="264"/>
      <c r="D686" s="264" t="s">
        <v>5156</v>
      </c>
      <c r="E686" s="259" t="s">
        <v>5026</v>
      </c>
      <c r="H686" s="264" t="s">
        <v>5136</v>
      </c>
      <c r="I686" s="264" t="s">
        <v>5157</v>
      </c>
      <c r="J686" s="295">
        <v>239.6</v>
      </c>
      <c r="K686" s="298">
        <v>239.6</v>
      </c>
      <c r="L686" s="295">
        <v>118.85</v>
      </c>
      <c r="O686" s="266"/>
      <c r="P686" s="266">
        <v>691991000409</v>
      </c>
      <c r="R686" s="265">
        <v>0.5</v>
      </c>
      <c r="S686" s="265">
        <v>10</v>
      </c>
      <c r="T686" s="265">
        <v>6.25</v>
      </c>
      <c r="U686" s="265">
        <v>3.75</v>
      </c>
      <c r="V686" s="259" t="s">
        <v>5046</v>
      </c>
      <c r="W686" s="259" t="s">
        <v>3029</v>
      </c>
      <c r="X686" s="264" t="s">
        <v>5153</v>
      </c>
      <c r="Y686" s="259">
        <v>44</v>
      </c>
      <c r="Z686" s="259" t="s">
        <v>3030</v>
      </c>
      <c r="AA686" s="259" t="e">
        <v>#N/A</v>
      </c>
      <c r="AB686" s="259"/>
      <c r="AC686" s="259"/>
      <c r="AD686" s="259"/>
      <c r="AE686" s="259"/>
    </row>
    <row r="687" spans="1:31">
      <c r="A687" s="259" t="s">
        <v>856</v>
      </c>
      <c r="B687" s="259" t="s">
        <v>52</v>
      </c>
      <c r="C687" s="264"/>
      <c r="D687" s="264" t="s">
        <v>5158</v>
      </c>
      <c r="E687" s="259" t="s">
        <v>5026</v>
      </c>
      <c r="H687" s="264" t="s">
        <v>5159</v>
      </c>
      <c r="I687" s="264" t="s">
        <v>5160</v>
      </c>
      <c r="J687" s="295">
        <v>124.85</v>
      </c>
      <c r="K687" s="298">
        <v>124.85</v>
      </c>
      <c r="L687" s="295">
        <v>62.42</v>
      </c>
      <c r="O687" s="266"/>
      <c r="P687" s="266">
        <v>691991600678</v>
      </c>
      <c r="R687" s="265"/>
      <c r="V687" s="259" t="s">
        <v>4159</v>
      </c>
      <c r="W687" s="259" t="s">
        <v>3061</v>
      </c>
      <c r="X687" s="264" t="s">
        <v>5161</v>
      </c>
      <c r="Y687" s="259">
        <v>45</v>
      </c>
      <c r="Z687" s="259" t="s">
        <v>3030</v>
      </c>
      <c r="AA687" s="259" t="e">
        <v>#N/A</v>
      </c>
      <c r="AB687" s="259"/>
      <c r="AC687" s="259"/>
      <c r="AD687" s="259"/>
      <c r="AE687" s="259"/>
    </row>
    <row r="688" spans="1:31">
      <c r="A688" s="259" t="s">
        <v>857</v>
      </c>
      <c r="B688" s="259" t="s">
        <v>52</v>
      </c>
      <c r="C688" s="264"/>
      <c r="D688" s="264" t="s">
        <v>5162</v>
      </c>
      <c r="E688" s="259" t="s">
        <v>5163</v>
      </c>
      <c r="H688" s="264" t="s">
        <v>5074</v>
      </c>
      <c r="I688" s="264" t="s">
        <v>5164</v>
      </c>
      <c r="J688" s="295">
        <v>217.58</v>
      </c>
      <c r="K688" s="298">
        <v>181</v>
      </c>
      <c r="L688" s="295">
        <v>124.55</v>
      </c>
      <c r="O688" s="266"/>
      <c r="P688" s="266">
        <v>691991014062</v>
      </c>
      <c r="R688" s="265"/>
      <c r="V688" s="259" t="s">
        <v>3028</v>
      </c>
      <c r="W688" s="259" t="s">
        <v>3029</v>
      </c>
      <c r="X688" s="264" t="s">
        <v>5165</v>
      </c>
      <c r="Y688" s="259">
        <v>46</v>
      </c>
      <c r="Z688" s="259" t="s">
        <v>3037</v>
      </c>
      <c r="AA688" s="259" t="e">
        <v>#N/A</v>
      </c>
      <c r="AB688" s="259"/>
      <c r="AC688" s="259"/>
      <c r="AD688" s="259"/>
      <c r="AE688" s="259"/>
    </row>
    <row r="689" spans="1:31">
      <c r="A689" s="259" t="s">
        <v>858</v>
      </c>
      <c r="B689" s="259" t="s">
        <v>52</v>
      </c>
      <c r="C689" s="264"/>
      <c r="D689" s="264" t="s">
        <v>5166</v>
      </c>
      <c r="E689" s="259" t="s">
        <v>5163</v>
      </c>
      <c r="H689" s="264" t="s">
        <v>5167</v>
      </c>
      <c r="I689" s="264" t="s">
        <v>5168</v>
      </c>
      <c r="J689" s="295">
        <v>480.34</v>
      </c>
      <c r="K689" s="298">
        <v>480.34</v>
      </c>
      <c r="L689" s="295">
        <v>241.49</v>
      </c>
      <c r="O689" s="266"/>
      <c r="P689" s="266">
        <v>691991025495</v>
      </c>
      <c r="R689" s="265"/>
      <c r="V689" s="259" t="s">
        <v>3834</v>
      </c>
      <c r="W689" s="259" t="s">
        <v>3061</v>
      </c>
      <c r="Y689" s="259">
        <v>47</v>
      </c>
      <c r="Z689" s="259" t="s">
        <v>3037</v>
      </c>
      <c r="AA689" s="259" t="e">
        <v>#N/A</v>
      </c>
      <c r="AB689" s="259"/>
      <c r="AC689" s="259"/>
      <c r="AD689" s="259"/>
      <c r="AE689" s="259"/>
    </row>
    <row r="690" spans="1:31">
      <c r="A690" s="259" t="s">
        <v>859</v>
      </c>
      <c r="B690" s="259" t="s">
        <v>52</v>
      </c>
      <c r="C690" s="264"/>
      <c r="D690" s="264" t="s">
        <v>5169</v>
      </c>
      <c r="E690" s="259" t="s">
        <v>5163</v>
      </c>
      <c r="H690" s="264" t="s">
        <v>5167</v>
      </c>
      <c r="I690" s="264" t="s">
        <v>5170</v>
      </c>
      <c r="J690" s="295">
        <v>292.33</v>
      </c>
      <c r="K690" s="298">
        <v>292.33</v>
      </c>
      <c r="L690" s="295">
        <v>146.27000000000001</v>
      </c>
      <c r="O690" s="266"/>
      <c r="P690" s="266">
        <v>691991025501</v>
      </c>
      <c r="R690" s="265"/>
      <c r="V690" s="259" t="s">
        <v>3834</v>
      </c>
      <c r="W690" s="259" t="s">
        <v>3061</v>
      </c>
      <c r="Y690" s="259">
        <v>48</v>
      </c>
      <c r="Z690" s="259" t="s">
        <v>3037</v>
      </c>
      <c r="AA690" s="259" t="e">
        <v>#N/A</v>
      </c>
      <c r="AB690" s="259"/>
      <c r="AC690" s="259"/>
      <c r="AD690" s="259"/>
      <c r="AE690" s="259"/>
    </row>
    <row r="691" spans="1:31">
      <c r="A691" s="259" t="s">
        <v>810</v>
      </c>
      <c r="B691" s="259" t="s">
        <v>52</v>
      </c>
      <c r="C691" s="264" t="s">
        <v>5016</v>
      </c>
      <c r="D691" s="264" t="s">
        <v>810</v>
      </c>
      <c r="E691" s="259">
        <v>40700000</v>
      </c>
      <c r="H691" s="264" t="s">
        <v>5017</v>
      </c>
      <c r="I691" s="264" t="s">
        <v>5018</v>
      </c>
      <c r="J691" s="295">
        <v>18.010000000000002</v>
      </c>
      <c r="K691" s="298">
        <v>18.010000000000002</v>
      </c>
      <c r="L691" s="295">
        <v>9.6</v>
      </c>
      <c r="O691" s="266"/>
      <c r="R691" s="265"/>
      <c r="V691" s="259" t="s">
        <v>3834</v>
      </c>
      <c r="W691" s="259" t="s">
        <v>3061</v>
      </c>
      <c r="Y691" s="259">
        <f t="shared" ref="Y691:Y705" si="1">Y690+1</f>
        <v>49</v>
      </c>
      <c r="AA691" s="259" t="e">
        <v>#N/A</v>
      </c>
      <c r="AB691" s="259"/>
      <c r="AC691" s="259"/>
      <c r="AD691" s="259"/>
      <c r="AE691" s="259"/>
    </row>
    <row r="692" spans="1:31">
      <c r="A692" s="259" t="s">
        <v>811</v>
      </c>
      <c r="B692" s="259" t="s">
        <v>52</v>
      </c>
      <c r="C692" s="264" t="s">
        <v>5016</v>
      </c>
      <c r="D692" s="264" t="s">
        <v>5019</v>
      </c>
      <c r="E692" s="259" t="s">
        <v>5020</v>
      </c>
      <c r="F692" s="259" t="s">
        <v>5021</v>
      </c>
      <c r="H692" s="264" t="s">
        <v>5022</v>
      </c>
      <c r="I692" s="264" t="s">
        <v>5023</v>
      </c>
      <c r="J692" s="295">
        <v>157.56</v>
      </c>
      <c r="K692" s="298">
        <v>157.56</v>
      </c>
      <c r="L692" s="295">
        <v>87.63</v>
      </c>
      <c r="O692" s="266"/>
      <c r="P692" s="266">
        <v>691991013522</v>
      </c>
      <c r="R692" s="265"/>
      <c r="V692" s="259" t="s">
        <v>4159</v>
      </c>
      <c r="W692" s="259" t="s">
        <v>3061</v>
      </c>
      <c r="Y692" s="259">
        <f t="shared" si="1"/>
        <v>50</v>
      </c>
      <c r="Z692" s="259" t="s">
        <v>3227</v>
      </c>
      <c r="AA692" s="259" t="e">
        <v>#N/A</v>
      </c>
      <c r="AB692" s="259"/>
      <c r="AC692" s="259"/>
      <c r="AD692" s="259"/>
      <c r="AE692" s="259"/>
    </row>
    <row r="693" spans="1:31">
      <c r="A693" s="259" t="s">
        <v>812</v>
      </c>
      <c r="B693" s="259" t="s">
        <v>52</v>
      </c>
      <c r="C693" s="264" t="s">
        <v>5024</v>
      </c>
      <c r="D693" s="264" t="s">
        <v>5025</v>
      </c>
      <c r="E693" s="259" t="s">
        <v>5026</v>
      </c>
      <c r="H693" s="264" t="s">
        <v>5027</v>
      </c>
      <c r="I693" s="264" t="s">
        <v>5028</v>
      </c>
      <c r="J693" s="295">
        <v>113.49</v>
      </c>
      <c r="K693" s="298">
        <v>113.49</v>
      </c>
      <c r="L693" s="295">
        <v>58.82</v>
      </c>
      <c r="O693" s="266"/>
      <c r="P693" s="266">
        <v>691991600845</v>
      </c>
      <c r="R693" s="265">
        <v>1.5</v>
      </c>
      <c r="S693" s="265">
        <v>10</v>
      </c>
      <c r="T693" s="265">
        <v>4</v>
      </c>
      <c r="U693" s="265">
        <v>6.5</v>
      </c>
      <c r="V693" s="259" t="s">
        <v>3028</v>
      </c>
      <c r="W693" s="259" t="s">
        <v>3029</v>
      </c>
      <c r="X693" s="264" t="s">
        <v>5029</v>
      </c>
      <c r="Y693" s="259">
        <f t="shared" si="1"/>
        <v>51</v>
      </c>
      <c r="Z693" s="259" t="s">
        <v>3030</v>
      </c>
      <c r="AA693" s="259" t="e">
        <v>#N/A</v>
      </c>
      <c r="AB693" s="259"/>
      <c r="AC693" s="259"/>
      <c r="AD693" s="259"/>
      <c r="AE693" s="259"/>
    </row>
    <row r="694" spans="1:31">
      <c r="A694" s="259" t="s">
        <v>813</v>
      </c>
      <c r="B694" s="259" t="s">
        <v>52</v>
      </c>
      <c r="C694" s="264" t="s">
        <v>5030</v>
      </c>
      <c r="D694" s="264" t="s">
        <v>5031</v>
      </c>
      <c r="E694" s="259" t="s">
        <v>5026</v>
      </c>
      <c r="H694" s="264" t="s">
        <v>5027</v>
      </c>
      <c r="I694" s="264" t="s">
        <v>5032</v>
      </c>
      <c r="J694" s="295">
        <v>105.04</v>
      </c>
      <c r="K694" s="298">
        <v>82</v>
      </c>
      <c r="L694" s="295">
        <v>60.8</v>
      </c>
      <c r="O694" s="266"/>
      <c r="P694" s="266">
        <v>691991600838</v>
      </c>
      <c r="R694" s="265">
        <v>1</v>
      </c>
      <c r="S694" s="265">
        <v>10</v>
      </c>
      <c r="T694" s="265">
        <v>4</v>
      </c>
      <c r="U694" s="265">
        <v>6.5</v>
      </c>
      <c r="V694" s="259" t="s">
        <v>3028</v>
      </c>
      <c r="W694" s="259" t="s">
        <v>3029</v>
      </c>
      <c r="X694" s="264" t="s">
        <v>5029</v>
      </c>
      <c r="Y694" s="259">
        <f t="shared" si="1"/>
        <v>52</v>
      </c>
      <c r="Z694" s="259" t="s">
        <v>3030</v>
      </c>
      <c r="AA694" s="259" t="e">
        <v>#N/A</v>
      </c>
      <c r="AB694" s="259"/>
      <c r="AC694" s="259"/>
      <c r="AD694" s="259"/>
      <c r="AE694" s="259"/>
    </row>
    <row r="695" spans="1:31">
      <c r="A695" s="259" t="s">
        <v>814</v>
      </c>
      <c r="B695" s="259" t="s">
        <v>52</v>
      </c>
      <c r="C695" s="264" t="s">
        <v>5024</v>
      </c>
      <c r="D695" s="264" t="s">
        <v>5033</v>
      </c>
      <c r="E695" s="259" t="s">
        <v>5026</v>
      </c>
      <c r="H695" s="264" t="s">
        <v>5027</v>
      </c>
      <c r="I695" s="264" t="s">
        <v>5034</v>
      </c>
      <c r="J695" s="295">
        <v>105.04</v>
      </c>
      <c r="K695" s="298">
        <v>82</v>
      </c>
      <c r="L695" s="295">
        <v>60.42</v>
      </c>
      <c r="O695" s="266"/>
      <c r="P695" s="266">
        <v>691991600821</v>
      </c>
      <c r="R695" s="265">
        <v>1</v>
      </c>
      <c r="S695" s="265">
        <v>10</v>
      </c>
      <c r="T695" s="265">
        <v>4</v>
      </c>
      <c r="U695" s="265">
        <v>6.5</v>
      </c>
      <c r="V695" s="259" t="s">
        <v>3028</v>
      </c>
      <c r="W695" s="259" t="s">
        <v>3029</v>
      </c>
      <c r="X695" s="264" t="s">
        <v>5035</v>
      </c>
      <c r="Y695" s="259">
        <f t="shared" si="1"/>
        <v>53</v>
      </c>
      <c r="Z695" s="259" t="s">
        <v>3030</v>
      </c>
      <c r="AA695" s="259" t="e">
        <v>#N/A</v>
      </c>
      <c r="AB695" s="259"/>
      <c r="AC695" s="259"/>
      <c r="AD695" s="259"/>
      <c r="AE695" s="259"/>
    </row>
    <row r="696" spans="1:31">
      <c r="A696" s="259" t="s">
        <v>815</v>
      </c>
      <c r="B696" s="259" t="s">
        <v>52</v>
      </c>
      <c r="C696" s="264" t="s">
        <v>5036</v>
      </c>
      <c r="D696" s="264" t="s">
        <v>5037</v>
      </c>
      <c r="E696" s="259" t="s">
        <v>5026</v>
      </c>
      <c r="H696" s="264" t="s">
        <v>5027</v>
      </c>
      <c r="I696" s="264" t="s">
        <v>5038</v>
      </c>
      <c r="J696" s="295">
        <v>105.04</v>
      </c>
      <c r="K696" s="298">
        <v>82</v>
      </c>
      <c r="L696" s="295">
        <v>60.42</v>
      </c>
      <c r="O696" s="266"/>
      <c r="P696" s="266">
        <v>691991600814</v>
      </c>
      <c r="R696" s="265">
        <v>1</v>
      </c>
      <c r="S696" s="265">
        <v>10</v>
      </c>
      <c r="T696" s="265">
        <v>4</v>
      </c>
      <c r="U696" s="265">
        <v>6.5</v>
      </c>
      <c r="V696" s="259" t="s">
        <v>3028</v>
      </c>
      <c r="W696" s="259" t="s">
        <v>3029</v>
      </c>
      <c r="X696" s="264" t="s">
        <v>5035</v>
      </c>
      <c r="Y696" s="259">
        <f t="shared" si="1"/>
        <v>54</v>
      </c>
      <c r="Z696" s="259" t="s">
        <v>3030</v>
      </c>
      <c r="AA696" s="259" t="e">
        <v>#N/A</v>
      </c>
      <c r="AB696" s="259"/>
      <c r="AC696" s="259"/>
      <c r="AD696" s="259"/>
      <c r="AE696" s="259"/>
    </row>
    <row r="697" spans="1:31">
      <c r="A697" s="259" t="s">
        <v>816</v>
      </c>
      <c r="B697" s="259" t="s">
        <v>52</v>
      </c>
      <c r="C697" s="264" t="s">
        <v>5024</v>
      </c>
      <c r="D697" s="264" t="s">
        <v>5039</v>
      </c>
      <c r="E697" s="259" t="s">
        <v>5020</v>
      </c>
      <c r="H697" s="264" t="s">
        <v>5040</v>
      </c>
      <c r="I697" s="264" t="s">
        <v>5041</v>
      </c>
      <c r="J697" s="295">
        <v>234.09</v>
      </c>
      <c r="K697" s="298">
        <v>232</v>
      </c>
      <c r="L697" s="295">
        <v>147.56</v>
      </c>
      <c r="O697" s="266">
        <v>6</v>
      </c>
      <c r="P697" s="266">
        <v>691991600005</v>
      </c>
      <c r="R697" s="265">
        <v>1.5</v>
      </c>
      <c r="S697" s="265">
        <v>8.5</v>
      </c>
      <c r="T697" s="265">
        <v>2.5</v>
      </c>
      <c r="U697" s="265">
        <v>7.4</v>
      </c>
      <c r="V697" s="259" t="s">
        <v>3028</v>
      </c>
      <c r="W697" s="259" t="s">
        <v>3029</v>
      </c>
      <c r="X697" s="264" t="s">
        <v>5042</v>
      </c>
      <c r="Y697" s="259">
        <f t="shared" si="1"/>
        <v>55</v>
      </c>
      <c r="Z697" s="259" t="s">
        <v>3030</v>
      </c>
      <c r="AA697" s="259" t="e">
        <v>#N/A</v>
      </c>
      <c r="AB697" s="259"/>
      <c r="AC697" s="259"/>
      <c r="AD697" s="259"/>
      <c r="AE697" s="259"/>
    </row>
    <row r="698" spans="1:31">
      <c r="A698" s="259" t="s">
        <v>817</v>
      </c>
      <c r="B698" s="259" t="s">
        <v>52</v>
      </c>
      <c r="C698" s="264" t="s">
        <v>5024</v>
      </c>
      <c r="D698" s="264" t="s">
        <v>5043</v>
      </c>
      <c r="E698" s="259" t="s">
        <v>5026</v>
      </c>
      <c r="H698" s="264" t="s">
        <v>5044</v>
      </c>
      <c r="I698" s="264" t="s">
        <v>5045</v>
      </c>
      <c r="J698" s="295">
        <v>3151.43</v>
      </c>
      <c r="K698" s="298">
        <v>3151.43</v>
      </c>
      <c r="L698" s="295">
        <v>1573.09</v>
      </c>
      <c r="O698" s="266"/>
      <c r="P698" s="266">
        <v>691991004223</v>
      </c>
      <c r="R698" s="265">
        <v>10</v>
      </c>
      <c r="S698" s="265">
        <v>24</v>
      </c>
      <c r="T698" s="265">
        <v>15.7</v>
      </c>
      <c r="U698" s="265">
        <v>4.5</v>
      </c>
      <c r="V698" s="259" t="s">
        <v>5046</v>
      </c>
      <c r="W698" s="259" t="s">
        <v>3061</v>
      </c>
      <c r="X698" s="264" t="s">
        <v>5047</v>
      </c>
      <c r="Y698" s="259">
        <f t="shared" si="1"/>
        <v>56</v>
      </c>
      <c r="Z698" s="259" t="s">
        <v>3030</v>
      </c>
      <c r="AA698" s="259" t="e">
        <v>#N/A</v>
      </c>
      <c r="AB698" s="259"/>
      <c r="AC698" s="259"/>
      <c r="AD698" s="259"/>
      <c r="AE698" s="259"/>
    </row>
    <row r="699" spans="1:31">
      <c r="A699" s="259" t="s">
        <v>818</v>
      </c>
      <c r="B699" s="259" t="s">
        <v>52</v>
      </c>
      <c r="C699" s="264" t="s">
        <v>5048</v>
      </c>
      <c r="D699" s="264" t="s">
        <v>5049</v>
      </c>
      <c r="E699" s="259" t="s">
        <v>5026</v>
      </c>
      <c r="H699" s="264" t="s">
        <v>5044</v>
      </c>
      <c r="I699" s="264" t="s">
        <v>5050</v>
      </c>
      <c r="J699" s="295">
        <v>4247.37</v>
      </c>
      <c r="K699" s="298">
        <v>4247.37</v>
      </c>
      <c r="L699" s="295">
        <v>2117.3200000000002</v>
      </c>
      <c r="O699" s="266"/>
      <c r="R699" s="265">
        <v>13.5</v>
      </c>
      <c r="S699" s="265">
        <v>24.75</v>
      </c>
      <c r="T699" s="265">
        <v>4.5</v>
      </c>
      <c r="U699" s="265">
        <v>19.5</v>
      </c>
      <c r="V699" s="259" t="s">
        <v>5046</v>
      </c>
      <c r="W699" s="259" t="s">
        <v>3061</v>
      </c>
      <c r="X699" s="264" t="s">
        <v>5051</v>
      </c>
      <c r="Y699" s="259">
        <f t="shared" si="1"/>
        <v>57</v>
      </c>
      <c r="Z699" s="259" t="s">
        <v>3030</v>
      </c>
      <c r="AA699" s="259" t="e">
        <v>#N/A</v>
      </c>
      <c r="AB699" s="259"/>
      <c r="AC699" s="259"/>
      <c r="AD699" s="259"/>
      <c r="AE699" s="259"/>
    </row>
    <row r="700" spans="1:31">
      <c r="A700" s="259" t="s">
        <v>819</v>
      </c>
      <c r="B700" s="259" t="s">
        <v>52</v>
      </c>
      <c r="C700" s="264" t="s">
        <v>5048</v>
      </c>
      <c r="D700" s="264" t="s">
        <v>5052</v>
      </c>
      <c r="E700" s="259" t="s">
        <v>5026</v>
      </c>
      <c r="H700" s="264" t="s">
        <v>5044</v>
      </c>
      <c r="I700" s="264" t="s">
        <v>5053</v>
      </c>
      <c r="J700" s="295">
        <v>4298.96</v>
      </c>
      <c r="K700" s="298">
        <v>4298.96</v>
      </c>
      <c r="L700" s="295">
        <v>2117.3200000000002</v>
      </c>
      <c r="O700" s="266"/>
      <c r="P700" s="266">
        <v>691991016424</v>
      </c>
      <c r="R700" s="265">
        <v>12</v>
      </c>
      <c r="S700" s="265">
        <v>24.5</v>
      </c>
      <c r="T700" s="265">
        <v>20</v>
      </c>
      <c r="U700" s="265">
        <v>5</v>
      </c>
      <c r="V700" s="259" t="s">
        <v>5046</v>
      </c>
      <c r="W700" s="259" t="s">
        <v>3061</v>
      </c>
      <c r="X700" s="264" t="s">
        <v>5054</v>
      </c>
      <c r="Y700" s="259">
        <f t="shared" si="1"/>
        <v>58</v>
      </c>
      <c r="Z700" s="259" t="s">
        <v>3030</v>
      </c>
      <c r="AA700" s="259" t="e">
        <v>#N/A</v>
      </c>
      <c r="AB700" s="259"/>
      <c r="AC700" s="259"/>
      <c r="AD700" s="259"/>
      <c r="AE700" s="259"/>
    </row>
    <row r="701" spans="1:31">
      <c r="A701" s="259" t="s">
        <v>820</v>
      </c>
      <c r="B701" s="259" t="s">
        <v>52</v>
      </c>
      <c r="C701" s="264" t="s">
        <v>5024</v>
      </c>
      <c r="D701" s="264" t="s">
        <v>5055</v>
      </c>
      <c r="E701" s="259" t="s">
        <v>5026</v>
      </c>
      <c r="H701" s="264" t="s">
        <v>5044</v>
      </c>
      <c r="I701" s="264" t="s">
        <v>5056</v>
      </c>
      <c r="J701" s="295">
        <v>4247.37</v>
      </c>
      <c r="K701" s="298">
        <v>4247.37</v>
      </c>
      <c r="L701" s="295">
        <v>2117.3200000000002</v>
      </c>
      <c r="O701" s="266"/>
      <c r="R701" s="265">
        <v>13</v>
      </c>
      <c r="S701" s="265">
        <v>25</v>
      </c>
      <c r="T701" s="265">
        <v>4.5</v>
      </c>
      <c r="U701" s="265">
        <v>19.5</v>
      </c>
      <c r="V701" s="259" t="s">
        <v>5046</v>
      </c>
      <c r="W701" s="259" t="s">
        <v>3061</v>
      </c>
      <c r="X701" s="264" t="s">
        <v>5057</v>
      </c>
      <c r="Y701" s="259">
        <f t="shared" si="1"/>
        <v>59</v>
      </c>
      <c r="Z701" s="259" t="s">
        <v>3030</v>
      </c>
      <c r="AA701" s="259" t="e">
        <v>#N/A</v>
      </c>
      <c r="AB701" s="259"/>
      <c r="AC701" s="259"/>
      <c r="AD701" s="259"/>
      <c r="AE701" s="259"/>
    </row>
    <row r="702" spans="1:31">
      <c r="A702" s="259" t="s">
        <v>821</v>
      </c>
      <c r="B702" s="259" t="s">
        <v>52</v>
      </c>
      <c r="C702" s="264" t="s">
        <v>5048</v>
      </c>
      <c r="D702" s="264" t="s">
        <v>5058</v>
      </c>
      <c r="E702" s="259" t="s">
        <v>5026</v>
      </c>
      <c r="H702" s="264" t="s">
        <v>5059</v>
      </c>
      <c r="I702" s="264" t="s">
        <v>5060</v>
      </c>
      <c r="J702" s="295">
        <v>2126.5500000000002</v>
      </c>
      <c r="K702" s="298">
        <v>2126.5500000000002</v>
      </c>
      <c r="L702" s="295">
        <v>1061.21</v>
      </c>
      <c r="O702" s="266"/>
      <c r="P702" s="266">
        <v>691991600623</v>
      </c>
      <c r="R702" s="265">
        <v>1</v>
      </c>
      <c r="S702" s="265">
        <v>10</v>
      </c>
      <c r="T702" s="265">
        <v>6.5</v>
      </c>
      <c r="U702" s="265">
        <v>4</v>
      </c>
      <c r="V702" s="259" t="s">
        <v>5046</v>
      </c>
      <c r="W702" s="259" t="s">
        <v>3061</v>
      </c>
      <c r="X702" s="264" t="s">
        <v>5061</v>
      </c>
      <c r="Y702" s="259">
        <f t="shared" si="1"/>
        <v>60</v>
      </c>
      <c r="Z702" s="259" t="s">
        <v>3227</v>
      </c>
      <c r="AA702" s="259" t="e">
        <v>#N/A</v>
      </c>
      <c r="AB702" s="259"/>
      <c r="AC702" s="259"/>
      <c r="AD702" s="259"/>
      <c r="AE702" s="259"/>
    </row>
    <row r="703" spans="1:31">
      <c r="A703" s="259" t="s">
        <v>822</v>
      </c>
      <c r="B703" s="259" t="s">
        <v>52</v>
      </c>
      <c r="C703" s="264" t="s">
        <v>5062</v>
      </c>
      <c r="D703" s="264" t="s">
        <v>2953</v>
      </c>
      <c r="E703" s="259" t="s">
        <v>5026</v>
      </c>
      <c r="F703" s="259" t="s">
        <v>5021</v>
      </c>
      <c r="H703" s="264" t="s">
        <v>5063</v>
      </c>
      <c r="I703" s="264" t="s">
        <v>5064</v>
      </c>
      <c r="J703" s="295">
        <v>3277.53</v>
      </c>
      <c r="K703" s="298">
        <v>3277.53</v>
      </c>
      <c r="L703" s="295">
        <v>1636.23</v>
      </c>
      <c r="O703" s="266"/>
      <c r="R703" s="265"/>
      <c r="V703" s="259" t="s">
        <v>5046</v>
      </c>
      <c r="W703" s="259" t="s">
        <v>3061</v>
      </c>
      <c r="X703" s="264" t="s">
        <v>5065</v>
      </c>
      <c r="Y703" s="259">
        <f t="shared" si="1"/>
        <v>61</v>
      </c>
      <c r="Z703" s="259" t="s">
        <v>3030</v>
      </c>
      <c r="AA703" s="259" t="e">
        <v>#N/A</v>
      </c>
      <c r="AB703" s="259"/>
      <c r="AC703" s="259"/>
      <c r="AD703" s="259"/>
      <c r="AE703" s="259"/>
    </row>
    <row r="704" spans="1:31">
      <c r="A704" s="259" t="s">
        <v>823</v>
      </c>
      <c r="B704" s="259" t="s">
        <v>52</v>
      </c>
      <c r="C704" s="264" t="s">
        <v>5066</v>
      </c>
      <c r="D704" s="264" t="s">
        <v>5067</v>
      </c>
      <c r="E704" s="259" t="s">
        <v>5026</v>
      </c>
      <c r="F704" s="259" t="s">
        <v>5021</v>
      </c>
      <c r="H704" s="264" t="s">
        <v>5068</v>
      </c>
      <c r="I704" s="264" t="s">
        <v>5069</v>
      </c>
      <c r="J704" s="295">
        <v>4556.8999999999996</v>
      </c>
      <c r="K704" s="298">
        <v>4556.8999999999996</v>
      </c>
      <c r="L704" s="295">
        <v>2272.48</v>
      </c>
      <c r="O704" s="266"/>
      <c r="P704" s="266">
        <v>691991016301</v>
      </c>
      <c r="R704" s="265"/>
      <c r="V704" s="259" t="s">
        <v>5046</v>
      </c>
      <c r="W704" s="259" t="s">
        <v>3061</v>
      </c>
      <c r="X704" s="264" t="s">
        <v>5070</v>
      </c>
      <c r="Y704" s="259">
        <f t="shared" si="1"/>
        <v>62</v>
      </c>
      <c r="Z704" s="259" t="s">
        <v>3030</v>
      </c>
      <c r="AA704" s="259" t="e">
        <v>#N/A</v>
      </c>
      <c r="AB704" s="259"/>
      <c r="AC704" s="259"/>
      <c r="AD704" s="259"/>
      <c r="AE704" s="259"/>
    </row>
    <row r="705" spans="1:31">
      <c r="A705" s="259" t="s">
        <v>825</v>
      </c>
      <c r="B705" s="259" t="s">
        <v>52</v>
      </c>
      <c r="C705" s="264" t="s">
        <v>5066</v>
      </c>
      <c r="D705" s="264" t="s">
        <v>5071</v>
      </c>
      <c r="E705" s="259" t="s">
        <v>5026</v>
      </c>
      <c r="F705" s="259" t="s">
        <v>5021</v>
      </c>
      <c r="H705" s="264" t="s">
        <v>5063</v>
      </c>
      <c r="I705" s="264" t="s">
        <v>5072</v>
      </c>
      <c r="J705" s="295">
        <v>4750.84</v>
      </c>
      <c r="K705" s="298">
        <v>3800</v>
      </c>
      <c r="L705" s="295">
        <v>2660.23</v>
      </c>
      <c r="O705" s="266"/>
      <c r="P705" s="266">
        <v>691991016325</v>
      </c>
      <c r="R705" s="265"/>
      <c r="V705" s="259" t="s">
        <v>5046</v>
      </c>
      <c r="W705" s="259" t="s">
        <v>3029</v>
      </c>
      <c r="X705" s="264" t="s">
        <v>5073</v>
      </c>
      <c r="Y705" s="259">
        <f t="shared" si="1"/>
        <v>63</v>
      </c>
      <c r="Z705" s="259" t="s">
        <v>3030</v>
      </c>
      <c r="AA705" s="259" t="e">
        <v>#N/A</v>
      </c>
      <c r="AB705" s="259"/>
      <c r="AC705" s="259"/>
      <c r="AD705" s="259"/>
      <c r="AE705" s="259"/>
    </row>
    <row r="706" spans="1:31">
      <c r="A706" s="259">
        <v>2516</v>
      </c>
      <c r="B706" s="259" t="s">
        <v>5171</v>
      </c>
      <c r="C706" s="259" t="s">
        <v>5171</v>
      </c>
      <c r="D706" s="259">
        <v>2516</v>
      </c>
      <c r="H706" s="259" t="s">
        <v>5172</v>
      </c>
      <c r="I706" s="259" t="s">
        <v>5173</v>
      </c>
      <c r="J706" s="295">
        <v>52.45</v>
      </c>
      <c r="K706" s="295">
        <v>52.45</v>
      </c>
      <c r="L706" s="295">
        <v>26.22</v>
      </c>
      <c r="O706" s="266">
        <v>2</v>
      </c>
      <c r="P706" s="266">
        <v>69191027376</v>
      </c>
      <c r="R706" s="265">
        <v>3</v>
      </c>
      <c r="S706" s="265">
        <v>11</v>
      </c>
      <c r="T706" s="265">
        <v>11</v>
      </c>
      <c r="U706" s="265">
        <v>8</v>
      </c>
      <c r="V706" s="259" t="s">
        <v>3834</v>
      </c>
      <c r="W706" s="259" t="s">
        <v>3061</v>
      </c>
      <c r="Y706" s="259">
        <v>1</v>
      </c>
      <c r="AA706" s="259" t="e">
        <v>#N/A</v>
      </c>
      <c r="AB706" s="259"/>
      <c r="AC706" s="259"/>
      <c r="AD706" s="259"/>
      <c r="AE706" s="259"/>
    </row>
    <row r="707" spans="1:31">
      <c r="A707" s="259" t="s">
        <v>1880</v>
      </c>
      <c r="B707" s="259" t="s">
        <v>5171</v>
      </c>
      <c r="C707" s="259" t="s">
        <v>5171</v>
      </c>
      <c r="D707" s="259" t="s">
        <v>1880</v>
      </c>
      <c r="E707" s="259" t="s">
        <v>5174</v>
      </c>
      <c r="G707" s="259" t="s">
        <v>3378</v>
      </c>
      <c r="H707" s="259" t="s">
        <v>5175</v>
      </c>
      <c r="I707" s="259" t="s">
        <v>5176</v>
      </c>
      <c r="J707" s="295">
        <v>549.84</v>
      </c>
      <c r="K707" s="295">
        <v>549.84</v>
      </c>
      <c r="L707" s="295">
        <v>274.92</v>
      </c>
      <c r="O707" s="266">
        <v>0</v>
      </c>
      <c r="R707" s="265">
        <v>3</v>
      </c>
      <c r="S707" s="265">
        <v>12</v>
      </c>
      <c r="T707" s="265">
        <v>24</v>
      </c>
      <c r="U707" s="265">
        <v>5</v>
      </c>
      <c r="V707" s="259" t="s">
        <v>4159</v>
      </c>
      <c r="W707" s="259" t="s">
        <v>3061</v>
      </c>
      <c r="Y707" s="259">
        <v>2</v>
      </c>
      <c r="Z707" s="259" t="s">
        <v>3030</v>
      </c>
      <c r="AA707" s="259" t="e">
        <v>#N/A</v>
      </c>
      <c r="AB707" s="259"/>
      <c r="AC707" s="259"/>
      <c r="AD707" s="259"/>
      <c r="AE707" s="259"/>
    </row>
    <row r="708" spans="1:31">
      <c r="A708" s="259" t="s">
        <v>1881</v>
      </c>
      <c r="B708" s="259" t="s">
        <v>5171</v>
      </c>
      <c r="C708" s="259" t="s">
        <v>5171</v>
      </c>
      <c r="D708" s="259" t="s">
        <v>1881</v>
      </c>
      <c r="E708" s="259" t="s">
        <v>5174</v>
      </c>
      <c r="H708" s="259" t="s">
        <v>5177</v>
      </c>
      <c r="I708" s="259" t="s">
        <v>5178</v>
      </c>
      <c r="J708" s="295">
        <v>551.01</v>
      </c>
      <c r="K708" s="295">
        <v>551</v>
      </c>
      <c r="L708" s="295">
        <v>275.51</v>
      </c>
      <c r="O708" s="266">
        <v>0</v>
      </c>
      <c r="P708" s="266">
        <v>691991028380</v>
      </c>
      <c r="R708" s="265">
        <v>3</v>
      </c>
      <c r="S708" s="265">
        <v>8.5</v>
      </c>
      <c r="T708" s="265">
        <v>3</v>
      </c>
      <c r="U708" s="265">
        <v>2</v>
      </c>
      <c r="V708" s="259" t="s">
        <v>4159</v>
      </c>
      <c r="W708" s="259" t="s">
        <v>3061</v>
      </c>
      <c r="Y708" s="259">
        <v>3</v>
      </c>
      <c r="Z708" s="259" t="s">
        <v>3030</v>
      </c>
      <c r="AA708" s="259" t="e">
        <v>#N/A</v>
      </c>
      <c r="AB708" s="259"/>
      <c r="AC708" s="259"/>
      <c r="AD708" s="259"/>
      <c r="AE708" s="259"/>
    </row>
    <row r="709" spans="1:31">
      <c r="A709" s="259" t="s">
        <v>1882</v>
      </c>
      <c r="B709" s="259" t="s">
        <v>5171</v>
      </c>
      <c r="C709" s="259" t="s">
        <v>5171</v>
      </c>
      <c r="D709" s="259" t="s">
        <v>1882</v>
      </c>
      <c r="E709" s="259" t="s">
        <v>5174</v>
      </c>
      <c r="F709" s="259" t="s">
        <v>5021</v>
      </c>
      <c r="H709" s="259" t="s">
        <v>5179</v>
      </c>
      <c r="I709" s="259" t="s">
        <v>5180</v>
      </c>
      <c r="J709" s="295">
        <v>1198.6500000000001</v>
      </c>
      <c r="K709" s="295">
        <v>1198.6500000000001</v>
      </c>
      <c r="L709" s="295">
        <v>599.33000000000004</v>
      </c>
      <c r="O709" s="266">
        <v>0</v>
      </c>
      <c r="P709" s="266">
        <v>691991028397</v>
      </c>
      <c r="R709" s="265">
        <v>3</v>
      </c>
      <c r="S709" s="265">
        <v>8</v>
      </c>
      <c r="T709" s="265">
        <v>2</v>
      </c>
      <c r="U709" s="265">
        <v>3</v>
      </c>
      <c r="V709" s="259" t="s">
        <v>4159</v>
      </c>
      <c r="W709" s="259" t="s">
        <v>3061</v>
      </c>
      <c r="Y709" s="259">
        <v>4</v>
      </c>
      <c r="Z709" s="259" t="s">
        <v>3030</v>
      </c>
      <c r="AA709" s="259" t="e">
        <v>#N/A</v>
      </c>
      <c r="AB709" s="259"/>
      <c r="AC709" s="259"/>
      <c r="AD709" s="259"/>
      <c r="AE709" s="259"/>
    </row>
    <row r="710" spans="1:31">
      <c r="A710" s="259" t="s">
        <v>1883</v>
      </c>
      <c r="B710" s="259" t="s">
        <v>5171</v>
      </c>
      <c r="C710" s="259" t="s">
        <v>5171</v>
      </c>
      <c r="D710" s="259" t="s">
        <v>1883</v>
      </c>
      <c r="E710" s="259" t="s">
        <v>5174</v>
      </c>
      <c r="F710" s="259" t="s">
        <v>5021</v>
      </c>
      <c r="H710" s="259" t="s">
        <v>5181</v>
      </c>
      <c r="I710" s="259" t="s">
        <v>5182</v>
      </c>
      <c r="J710" s="295">
        <v>2493.34</v>
      </c>
      <c r="K710" s="295">
        <v>2493.34</v>
      </c>
      <c r="L710" s="295">
        <v>1246.6600000000001</v>
      </c>
      <c r="O710" s="266">
        <v>0</v>
      </c>
      <c r="P710" s="266">
        <v>691991028410</v>
      </c>
      <c r="R710" s="265">
        <v>3</v>
      </c>
      <c r="S710" s="265">
        <v>13</v>
      </c>
      <c r="T710" s="265">
        <v>13</v>
      </c>
      <c r="U710" s="265">
        <v>7</v>
      </c>
      <c r="V710" s="259" t="s">
        <v>4159</v>
      </c>
      <c r="W710" s="259" t="s">
        <v>3061</v>
      </c>
      <c r="Y710" s="259">
        <v>5</v>
      </c>
      <c r="Z710" s="259" t="s">
        <v>3030</v>
      </c>
      <c r="AA710" s="259" t="e">
        <v>#N/A</v>
      </c>
      <c r="AB710" s="259"/>
      <c r="AC710" s="259"/>
      <c r="AD710" s="259"/>
      <c r="AE710" s="259"/>
    </row>
    <row r="711" spans="1:31">
      <c r="A711" s="259" t="s">
        <v>1884</v>
      </c>
      <c r="B711" s="259" t="s">
        <v>5171</v>
      </c>
      <c r="C711" s="259" t="s">
        <v>5171</v>
      </c>
      <c r="D711" s="259" t="s">
        <v>1884</v>
      </c>
      <c r="E711" s="259" t="s">
        <v>5174</v>
      </c>
      <c r="F711" s="259" t="s">
        <v>5021</v>
      </c>
      <c r="H711" s="259" t="s">
        <v>5183</v>
      </c>
      <c r="I711" s="259" t="s">
        <v>5184</v>
      </c>
      <c r="J711" s="295">
        <v>2493.0300000000002</v>
      </c>
      <c r="K711" s="295">
        <v>2493</v>
      </c>
      <c r="L711" s="295">
        <v>1246.51</v>
      </c>
      <c r="O711" s="266">
        <v>0</v>
      </c>
      <c r="P711" s="266">
        <v>691991028410</v>
      </c>
      <c r="R711" s="265">
        <v>3</v>
      </c>
      <c r="S711" s="265">
        <v>13</v>
      </c>
      <c r="T711" s="265">
        <v>13</v>
      </c>
      <c r="U711" s="265">
        <v>8</v>
      </c>
      <c r="V711" s="259" t="s">
        <v>4159</v>
      </c>
      <c r="W711" s="259" t="s">
        <v>3061</v>
      </c>
      <c r="Y711" s="259">
        <v>6</v>
      </c>
      <c r="Z711" s="259" t="s">
        <v>3030</v>
      </c>
      <c r="AA711" s="259" t="e">
        <v>#N/A</v>
      </c>
      <c r="AB711" s="259"/>
      <c r="AC711" s="259"/>
      <c r="AD711" s="259"/>
      <c r="AE711" s="259"/>
    </row>
    <row r="712" spans="1:31">
      <c r="A712" s="259" t="s">
        <v>1885</v>
      </c>
      <c r="B712" s="259" t="s">
        <v>5171</v>
      </c>
      <c r="C712" s="259" t="s">
        <v>5171</v>
      </c>
      <c r="D712" s="259" t="s">
        <v>1885</v>
      </c>
      <c r="E712" s="259" t="s">
        <v>5174</v>
      </c>
      <c r="F712" s="259" t="s">
        <v>5021</v>
      </c>
      <c r="H712" s="259" t="s">
        <v>1885</v>
      </c>
      <c r="I712" s="259" t="s">
        <v>1885</v>
      </c>
      <c r="J712" s="295">
        <v>3303.63</v>
      </c>
      <c r="K712" s="295">
        <v>3303.63</v>
      </c>
      <c r="L712" s="295">
        <v>1651.82</v>
      </c>
      <c r="O712" s="266"/>
      <c r="P712" s="266">
        <v>691991010415</v>
      </c>
      <c r="R712" s="265">
        <v>3</v>
      </c>
      <c r="S712" s="265">
        <v>13</v>
      </c>
      <c r="T712" s="265">
        <v>13</v>
      </c>
      <c r="U712" s="265">
        <v>8</v>
      </c>
      <c r="V712" s="259" t="s">
        <v>4159</v>
      </c>
      <c r="W712" s="259" t="s">
        <v>3061</v>
      </c>
      <c r="Y712" s="259">
        <v>7</v>
      </c>
      <c r="Z712" s="259" t="s">
        <v>3030</v>
      </c>
      <c r="AA712" s="259" t="e">
        <v>#N/A</v>
      </c>
      <c r="AB712" s="259"/>
      <c r="AC712" s="259"/>
      <c r="AD712" s="259"/>
      <c r="AE712" s="259"/>
    </row>
    <row r="713" spans="1:31">
      <c r="A713" s="259" t="s">
        <v>1886</v>
      </c>
      <c r="B713" s="259" t="s">
        <v>5171</v>
      </c>
      <c r="C713" s="259" t="s">
        <v>5171</v>
      </c>
      <c r="D713" s="259" t="s">
        <v>1886</v>
      </c>
      <c r="E713" s="259" t="s">
        <v>5174</v>
      </c>
      <c r="F713" s="259" t="s">
        <v>5021</v>
      </c>
      <c r="H713" s="259" t="s">
        <v>1886</v>
      </c>
      <c r="I713" s="259" t="s">
        <v>1886</v>
      </c>
      <c r="J713" s="295">
        <v>854.68</v>
      </c>
      <c r="K713" s="295">
        <v>854.68</v>
      </c>
      <c r="L713" s="295">
        <v>427.34</v>
      </c>
      <c r="O713" s="266"/>
      <c r="P713" s="266">
        <v>691991010408</v>
      </c>
      <c r="R713" s="265">
        <v>3</v>
      </c>
      <c r="S713" s="265">
        <v>11</v>
      </c>
      <c r="T713" s="265">
        <v>11</v>
      </c>
      <c r="U713" s="265">
        <v>8</v>
      </c>
      <c r="V713" s="259" t="s">
        <v>4159</v>
      </c>
      <c r="W713" s="259" t="s">
        <v>3061</v>
      </c>
      <c r="Y713" s="259">
        <v>8</v>
      </c>
      <c r="Z713" s="259" t="s">
        <v>3030</v>
      </c>
      <c r="AA713" s="259" t="e">
        <v>#N/A</v>
      </c>
      <c r="AB713" s="259"/>
      <c r="AC713" s="259"/>
      <c r="AD713" s="259"/>
      <c r="AE713" s="259"/>
    </row>
    <row r="714" spans="1:31">
      <c r="A714" s="259" t="s">
        <v>1887</v>
      </c>
      <c r="B714" s="259" t="s">
        <v>5171</v>
      </c>
      <c r="C714" s="259" t="s">
        <v>5171</v>
      </c>
      <c r="D714" s="259" t="s">
        <v>1887</v>
      </c>
      <c r="E714" s="259" t="s">
        <v>5174</v>
      </c>
      <c r="F714" s="259" t="s">
        <v>5021</v>
      </c>
      <c r="H714" s="259" t="s">
        <v>5185</v>
      </c>
      <c r="I714" s="259" t="s">
        <v>5186</v>
      </c>
      <c r="J714" s="295">
        <v>2448.9499999999998</v>
      </c>
      <c r="K714" s="295">
        <v>2448.9499999999998</v>
      </c>
      <c r="L714" s="295">
        <v>1224.47</v>
      </c>
      <c r="O714" s="266">
        <v>0</v>
      </c>
      <c r="P714" s="266">
        <v>691991010408</v>
      </c>
      <c r="R714" s="265">
        <v>3</v>
      </c>
      <c r="S714" s="265">
        <v>10</v>
      </c>
      <c r="T714" s="265">
        <v>10</v>
      </c>
      <c r="U714" s="265">
        <v>8</v>
      </c>
      <c r="V714" s="259" t="s">
        <v>4159</v>
      </c>
      <c r="W714" s="259" t="s">
        <v>3061</v>
      </c>
      <c r="Y714" s="259">
        <v>9</v>
      </c>
      <c r="Z714" s="259" t="s">
        <v>3030</v>
      </c>
      <c r="AA714" s="259" t="e">
        <v>#N/A</v>
      </c>
      <c r="AB714" s="259"/>
      <c r="AC714" s="259"/>
      <c r="AD714" s="259"/>
      <c r="AE714" s="259"/>
    </row>
    <row r="715" spans="1:31">
      <c r="A715" s="259" t="s">
        <v>1888</v>
      </c>
      <c r="B715" s="259" t="s">
        <v>5171</v>
      </c>
      <c r="C715" s="259" t="s">
        <v>5171</v>
      </c>
      <c r="D715" s="259" t="s">
        <v>1888</v>
      </c>
      <c r="E715" s="259" t="s">
        <v>5174</v>
      </c>
      <c r="F715" s="259" t="s">
        <v>5021</v>
      </c>
      <c r="H715" s="259" t="s">
        <v>5187</v>
      </c>
      <c r="I715" s="259" t="s">
        <v>5188</v>
      </c>
      <c r="J715" s="295">
        <v>1775.49</v>
      </c>
      <c r="K715" s="295">
        <v>1775.49</v>
      </c>
      <c r="L715" s="295">
        <v>887.74</v>
      </c>
      <c r="O715" s="266">
        <v>0</v>
      </c>
      <c r="P715" s="266">
        <v>691991028526</v>
      </c>
      <c r="R715" s="265">
        <v>3</v>
      </c>
      <c r="S715" s="265">
        <v>18</v>
      </c>
      <c r="T715" s="265">
        <v>18</v>
      </c>
      <c r="U715" s="265">
        <v>8.5</v>
      </c>
      <c r="V715" s="259" t="s">
        <v>4159</v>
      </c>
      <c r="W715" s="259" t="s">
        <v>3061</v>
      </c>
      <c r="Y715" s="259">
        <v>10</v>
      </c>
      <c r="Z715" s="259" t="s">
        <v>3227</v>
      </c>
      <c r="AA715" s="259" t="e">
        <v>#N/A</v>
      </c>
      <c r="AB715" s="259"/>
      <c r="AC715" s="259"/>
      <c r="AD715" s="259"/>
      <c r="AE715" s="259"/>
    </row>
    <row r="716" spans="1:31">
      <c r="A716" s="259" t="s">
        <v>1889</v>
      </c>
      <c r="B716" s="259" t="s">
        <v>5171</v>
      </c>
      <c r="C716" s="259" t="s">
        <v>5171</v>
      </c>
      <c r="D716" s="259" t="s">
        <v>1889</v>
      </c>
      <c r="E716" s="259" t="s">
        <v>5174</v>
      </c>
      <c r="H716" s="259" t="s">
        <v>5189</v>
      </c>
      <c r="I716" s="259" t="s">
        <v>5190</v>
      </c>
      <c r="J716" s="295">
        <v>910.56</v>
      </c>
      <c r="K716" s="295">
        <v>910.56</v>
      </c>
      <c r="L716" s="295">
        <v>455.28</v>
      </c>
      <c r="O716" s="266">
        <v>0</v>
      </c>
      <c r="P716" s="266">
        <v>691991028533</v>
      </c>
      <c r="R716" s="265">
        <v>3</v>
      </c>
      <c r="S716" s="265">
        <v>7</v>
      </c>
      <c r="T716" s="265">
        <v>7</v>
      </c>
      <c r="U716" s="265">
        <v>6</v>
      </c>
      <c r="V716" s="259" t="s">
        <v>4159</v>
      </c>
      <c r="W716" s="259" t="s">
        <v>3061</v>
      </c>
      <c r="Y716" s="259">
        <v>11</v>
      </c>
      <c r="Z716" s="259" t="s">
        <v>3030</v>
      </c>
      <c r="AA716" s="259" t="e">
        <v>#N/A</v>
      </c>
      <c r="AB716" s="259"/>
      <c r="AC716" s="259"/>
      <c r="AD716" s="259"/>
      <c r="AE716" s="259"/>
    </row>
    <row r="717" spans="1:31">
      <c r="A717" s="259" t="s">
        <v>1890</v>
      </c>
      <c r="B717" s="259" t="s">
        <v>5171</v>
      </c>
      <c r="C717" s="259" t="s">
        <v>5171</v>
      </c>
      <c r="D717" s="259" t="s">
        <v>1890</v>
      </c>
      <c r="H717" s="259" t="s">
        <v>5191</v>
      </c>
      <c r="I717" s="259" t="s">
        <v>5192</v>
      </c>
      <c r="J717" s="295">
        <v>2483.23</v>
      </c>
      <c r="K717" s="295">
        <v>2483</v>
      </c>
      <c r="L717" s="295">
        <v>1241.6199999999999</v>
      </c>
      <c r="O717" s="266">
        <v>0</v>
      </c>
      <c r="P717" s="266">
        <v>691991028625</v>
      </c>
      <c r="R717" s="265">
        <v>3</v>
      </c>
      <c r="S717" s="265">
        <v>7</v>
      </c>
      <c r="T717" s="265">
        <v>7</v>
      </c>
      <c r="U717" s="265">
        <v>7</v>
      </c>
      <c r="V717" s="259" t="s">
        <v>4159</v>
      </c>
      <c r="W717" s="259" t="s">
        <v>3061</v>
      </c>
      <c r="Y717" s="259">
        <v>12</v>
      </c>
      <c r="Z717" s="259" t="s">
        <v>3037</v>
      </c>
      <c r="AA717" s="259" t="e">
        <v>#N/A</v>
      </c>
      <c r="AB717" s="259"/>
      <c r="AC717" s="259"/>
      <c r="AD717" s="259"/>
      <c r="AE717" s="259"/>
    </row>
    <row r="718" spans="1:31">
      <c r="A718" s="259" t="s">
        <v>1891</v>
      </c>
      <c r="B718" s="259" t="s">
        <v>5171</v>
      </c>
      <c r="C718" s="259" t="s">
        <v>5171</v>
      </c>
      <c r="D718" s="259" t="s">
        <v>1891</v>
      </c>
      <c r="E718" s="259" t="s">
        <v>5174</v>
      </c>
      <c r="H718" s="259" t="s">
        <v>5193</v>
      </c>
      <c r="I718" s="259" t="s">
        <v>5194</v>
      </c>
      <c r="J718" s="295">
        <v>911.01</v>
      </c>
      <c r="K718" s="295">
        <v>911</v>
      </c>
      <c r="L718" s="295">
        <v>455.5</v>
      </c>
      <c r="O718" s="266">
        <v>0</v>
      </c>
      <c r="P718" s="266">
        <v>691991028649</v>
      </c>
      <c r="R718" s="265">
        <v>3</v>
      </c>
      <c r="S718" s="265">
        <v>11</v>
      </c>
      <c r="T718" s="265">
        <v>11</v>
      </c>
      <c r="U718" s="265">
        <v>7</v>
      </c>
      <c r="V718" s="259" t="s">
        <v>4159</v>
      </c>
      <c r="W718" s="259" t="s">
        <v>3061</v>
      </c>
      <c r="Y718" s="259">
        <v>13</v>
      </c>
      <c r="Z718" s="259" t="s">
        <v>3030</v>
      </c>
      <c r="AA718" s="259" t="e">
        <v>#N/A</v>
      </c>
      <c r="AB718" s="259"/>
      <c r="AC718" s="259"/>
      <c r="AD718" s="259"/>
      <c r="AE718" s="259"/>
    </row>
    <row r="719" spans="1:31">
      <c r="A719" s="259" t="s">
        <v>1892</v>
      </c>
      <c r="B719" s="259" t="s">
        <v>5171</v>
      </c>
      <c r="C719" s="259" t="s">
        <v>5171</v>
      </c>
      <c r="D719" s="259" t="s">
        <v>1892</v>
      </c>
      <c r="E719" s="259" t="s">
        <v>5174</v>
      </c>
      <c r="F719" s="259" t="s">
        <v>5021</v>
      </c>
      <c r="H719" s="259" t="s">
        <v>5195</v>
      </c>
      <c r="I719" s="259" t="s">
        <v>5196</v>
      </c>
      <c r="J719" s="295">
        <v>3183.63</v>
      </c>
      <c r="K719" s="295">
        <v>3183.63</v>
      </c>
      <c r="L719" s="295">
        <v>1591.82</v>
      </c>
      <c r="O719" s="266">
        <v>0</v>
      </c>
      <c r="P719" s="266">
        <v>691991028656</v>
      </c>
      <c r="R719" s="265">
        <v>3</v>
      </c>
      <c r="S719" s="265">
        <v>15</v>
      </c>
      <c r="T719" s="265">
        <v>15</v>
      </c>
      <c r="U719" s="265">
        <v>9</v>
      </c>
      <c r="V719" s="259" t="s">
        <v>4159</v>
      </c>
      <c r="W719" s="259" t="s">
        <v>3061</v>
      </c>
      <c r="Y719" s="259">
        <v>14</v>
      </c>
      <c r="Z719" s="259" t="s">
        <v>3030</v>
      </c>
      <c r="AA719" s="259" t="e">
        <v>#N/A</v>
      </c>
      <c r="AB719" s="259"/>
      <c r="AC719" s="259"/>
      <c r="AD719" s="259"/>
      <c r="AE719" s="259"/>
    </row>
    <row r="720" spans="1:31">
      <c r="A720" s="259" t="s">
        <v>1893</v>
      </c>
      <c r="B720" s="259" t="s">
        <v>5171</v>
      </c>
      <c r="C720" s="259" t="s">
        <v>5171</v>
      </c>
      <c r="D720" s="259" t="s">
        <v>1893</v>
      </c>
      <c r="E720" s="259" t="s">
        <v>5174</v>
      </c>
      <c r="F720" s="259" t="s">
        <v>5021</v>
      </c>
      <c r="H720" s="259" t="s">
        <v>5197</v>
      </c>
      <c r="I720" s="259" t="s">
        <v>5198</v>
      </c>
      <c r="J720" s="295">
        <v>3183.63</v>
      </c>
      <c r="K720" s="295">
        <v>3183.63</v>
      </c>
      <c r="L720" s="295">
        <v>1591.82</v>
      </c>
      <c r="O720" s="266">
        <v>0</v>
      </c>
      <c r="P720" s="266">
        <v>691991028670</v>
      </c>
      <c r="R720" s="265">
        <v>3</v>
      </c>
      <c r="S720" s="265">
        <v>15</v>
      </c>
      <c r="T720" s="265">
        <v>15</v>
      </c>
      <c r="U720" s="265">
        <v>9</v>
      </c>
      <c r="V720" s="259" t="s">
        <v>4159</v>
      </c>
      <c r="W720" s="259" t="s">
        <v>3061</v>
      </c>
      <c r="Y720" s="259">
        <v>15</v>
      </c>
      <c r="Z720" s="259" t="s">
        <v>3030</v>
      </c>
      <c r="AA720" s="259" t="e">
        <v>#N/A</v>
      </c>
      <c r="AB720" s="259"/>
      <c r="AC720" s="259"/>
      <c r="AD720" s="259"/>
      <c r="AE720" s="259"/>
    </row>
    <row r="721" spans="1:31">
      <c r="A721" s="259" t="s">
        <v>1894</v>
      </c>
      <c r="B721" s="259" t="s">
        <v>5171</v>
      </c>
      <c r="C721" s="259" t="s">
        <v>5171</v>
      </c>
      <c r="D721" s="259" t="s">
        <v>1894</v>
      </c>
      <c r="E721" s="259" t="s">
        <v>5174</v>
      </c>
      <c r="F721" s="259" t="s">
        <v>5021</v>
      </c>
      <c r="H721" s="259" t="s">
        <v>5199</v>
      </c>
      <c r="I721" s="259" t="s">
        <v>5200</v>
      </c>
      <c r="J721" s="295">
        <v>3183.63</v>
      </c>
      <c r="K721" s="295">
        <v>3183.63</v>
      </c>
      <c r="L721" s="295">
        <v>1591.82</v>
      </c>
      <c r="O721" s="266">
        <v>0</v>
      </c>
      <c r="P721" s="266">
        <v>691991028694</v>
      </c>
      <c r="R721" s="265">
        <v>3</v>
      </c>
      <c r="S721" s="265">
        <v>18</v>
      </c>
      <c r="T721" s="265">
        <v>28</v>
      </c>
      <c r="U721" s="265">
        <v>10</v>
      </c>
      <c r="V721" s="259" t="s">
        <v>4159</v>
      </c>
      <c r="W721" s="259" t="s">
        <v>3061</v>
      </c>
      <c r="Y721" s="259">
        <v>16</v>
      </c>
      <c r="Z721" s="259" t="s">
        <v>3030</v>
      </c>
      <c r="AA721" s="259" t="e">
        <v>#N/A</v>
      </c>
      <c r="AB721" s="259"/>
      <c r="AC721" s="259"/>
      <c r="AD721" s="259"/>
      <c r="AE721" s="259"/>
    </row>
    <row r="722" spans="1:31">
      <c r="A722" s="259" t="s">
        <v>1895</v>
      </c>
      <c r="B722" s="259" t="s">
        <v>5171</v>
      </c>
      <c r="C722" s="259" t="s">
        <v>5171</v>
      </c>
      <c r="D722" s="259" t="s">
        <v>1895</v>
      </c>
      <c r="E722" s="259" t="s">
        <v>5174</v>
      </c>
      <c r="F722" s="259" t="s">
        <v>5021</v>
      </c>
      <c r="H722" s="259" t="s">
        <v>5201</v>
      </c>
      <c r="I722" s="259" t="s">
        <v>5202</v>
      </c>
      <c r="J722" s="295">
        <v>4163.21</v>
      </c>
      <c r="K722" s="295">
        <v>4163</v>
      </c>
      <c r="L722" s="295">
        <v>2081.61</v>
      </c>
      <c r="O722" s="266">
        <v>0</v>
      </c>
      <c r="P722" s="266">
        <v>691991028762</v>
      </c>
      <c r="R722" s="265">
        <v>3</v>
      </c>
      <c r="S722" s="265">
        <v>11</v>
      </c>
      <c r="T722" s="265">
        <v>11</v>
      </c>
      <c r="U722" s="265">
        <v>8</v>
      </c>
      <c r="V722" s="259" t="s">
        <v>4159</v>
      </c>
      <c r="W722" s="259" t="s">
        <v>3061</v>
      </c>
      <c r="Y722" s="259">
        <v>17</v>
      </c>
      <c r="Z722" s="259" t="s">
        <v>3030</v>
      </c>
      <c r="AA722" s="259" t="e">
        <v>#N/A</v>
      </c>
      <c r="AB722" s="259"/>
      <c r="AC722" s="259"/>
      <c r="AD722" s="259"/>
      <c r="AE722" s="259"/>
    </row>
    <row r="723" spans="1:31">
      <c r="A723" s="259" t="s">
        <v>1896</v>
      </c>
      <c r="B723" s="259" t="s">
        <v>5171</v>
      </c>
      <c r="C723" s="259" t="s">
        <v>5171</v>
      </c>
      <c r="D723" s="259" t="s">
        <v>1896</v>
      </c>
      <c r="E723" s="259" t="s">
        <v>5174</v>
      </c>
      <c r="H723" s="259" t="s">
        <v>5203</v>
      </c>
      <c r="I723" s="259" t="s">
        <v>5203</v>
      </c>
      <c r="J723" s="295">
        <v>915.29</v>
      </c>
      <c r="K723" s="295">
        <v>915.29</v>
      </c>
      <c r="L723" s="295">
        <v>457.65</v>
      </c>
      <c r="O723" s="266">
        <v>1</v>
      </c>
      <c r="P723" s="266">
        <v>691991007668</v>
      </c>
      <c r="R723" s="265">
        <v>3</v>
      </c>
      <c r="S723" s="265">
        <v>11</v>
      </c>
      <c r="T723" s="265">
        <v>11</v>
      </c>
      <c r="U723" s="265">
        <v>8</v>
      </c>
      <c r="V723" s="259" t="s">
        <v>4159</v>
      </c>
      <c r="W723" s="259" t="s">
        <v>3061</v>
      </c>
      <c r="Y723" s="259">
        <v>18</v>
      </c>
      <c r="Z723" s="259" t="s">
        <v>3030</v>
      </c>
      <c r="AA723" s="259" t="e">
        <v>#N/A</v>
      </c>
      <c r="AB723" s="259"/>
      <c r="AC723" s="259"/>
      <c r="AD723" s="259"/>
      <c r="AE723" s="259"/>
    </row>
    <row r="724" spans="1:31">
      <c r="A724" s="259" t="s">
        <v>1897</v>
      </c>
      <c r="B724" s="259" t="s">
        <v>5171</v>
      </c>
      <c r="C724" s="259" t="s">
        <v>5171</v>
      </c>
      <c r="D724" s="259" t="s">
        <v>1897</v>
      </c>
      <c r="E724" s="259" t="s">
        <v>5174</v>
      </c>
      <c r="F724" s="259" t="s">
        <v>5021</v>
      </c>
      <c r="H724" s="259" t="s">
        <v>5204</v>
      </c>
      <c r="I724" s="259" t="s">
        <v>5204</v>
      </c>
      <c r="J724" s="295">
        <v>1593.56</v>
      </c>
      <c r="K724" s="295">
        <v>1593.56</v>
      </c>
      <c r="L724" s="295">
        <v>796.78</v>
      </c>
      <c r="O724" s="266">
        <v>1</v>
      </c>
      <c r="P724" s="266">
        <v>691991007675</v>
      </c>
      <c r="R724" s="265">
        <v>3</v>
      </c>
      <c r="S724" s="265">
        <v>11</v>
      </c>
      <c r="T724" s="265">
        <v>11</v>
      </c>
      <c r="U724" s="265">
        <v>8</v>
      </c>
      <c r="V724" s="259" t="s">
        <v>4159</v>
      </c>
      <c r="W724" s="259" t="s">
        <v>3061</v>
      </c>
      <c r="Y724" s="259">
        <v>19</v>
      </c>
      <c r="Z724" s="259" t="s">
        <v>3030</v>
      </c>
      <c r="AA724" s="259" t="e">
        <v>#N/A</v>
      </c>
      <c r="AB724" s="259"/>
      <c r="AC724" s="259"/>
      <c r="AD724" s="259"/>
      <c r="AE724" s="259"/>
    </row>
    <row r="725" spans="1:31">
      <c r="A725" s="259" t="s">
        <v>1898</v>
      </c>
      <c r="B725" s="259" t="s">
        <v>5171</v>
      </c>
      <c r="C725" s="259" t="s">
        <v>5171</v>
      </c>
      <c r="D725" s="259" t="s">
        <v>1898</v>
      </c>
      <c r="E725" s="259" t="s">
        <v>5174</v>
      </c>
      <c r="F725" s="259" t="s">
        <v>5021</v>
      </c>
      <c r="H725" s="259" t="s">
        <v>1898</v>
      </c>
      <c r="I725" s="259" t="s">
        <v>1898</v>
      </c>
      <c r="J725" s="295">
        <v>671.01</v>
      </c>
      <c r="K725" s="295">
        <v>671</v>
      </c>
      <c r="L725" s="295">
        <v>335.51</v>
      </c>
      <c r="O725" s="266"/>
      <c r="P725" s="266">
        <v>691991010002</v>
      </c>
      <c r="R725" s="265">
        <v>3</v>
      </c>
      <c r="S725" s="265">
        <v>18</v>
      </c>
      <c r="T725" s="265">
        <v>18</v>
      </c>
      <c r="U725" s="265">
        <v>9</v>
      </c>
      <c r="V725" s="259" t="s">
        <v>4159</v>
      </c>
      <c r="W725" s="259" t="s">
        <v>3061</v>
      </c>
      <c r="Y725" s="259">
        <v>20</v>
      </c>
      <c r="Z725" s="259" t="s">
        <v>3030</v>
      </c>
      <c r="AA725" s="259" t="e">
        <v>#N/A</v>
      </c>
      <c r="AB725" s="259"/>
      <c r="AC725" s="259"/>
      <c r="AD725" s="259"/>
      <c r="AE725" s="259"/>
    </row>
    <row r="726" spans="1:31">
      <c r="A726" s="259" t="s">
        <v>1899</v>
      </c>
      <c r="B726" s="259" t="s">
        <v>5171</v>
      </c>
      <c r="C726" s="259" t="s">
        <v>5171</v>
      </c>
      <c r="D726" s="259" t="s">
        <v>1899</v>
      </c>
      <c r="E726" s="259" t="s">
        <v>5174</v>
      </c>
      <c r="F726" s="259" t="s">
        <v>5021</v>
      </c>
      <c r="J726" s="295">
        <v>1222.03</v>
      </c>
      <c r="K726" s="295">
        <v>1222</v>
      </c>
      <c r="L726" s="295">
        <v>551.01</v>
      </c>
      <c r="O726" s="266"/>
      <c r="P726" s="266">
        <v>691991010002</v>
      </c>
      <c r="R726" s="265">
        <v>3</v>
      </c>
      <c r="S726" s="265">
        <v>9</v>
      </c>
      <c r="T726" s="265">
        <v>9</v>
      </c>
      <c r="U726" s="265">
        <v>4</v>
      </c>
      <c r="V726" s="259" t="s">
        <v>4159</v>
      </c>
      <c r="W726" s="259" t="s">
        <v>3061</v>
      </c>
      <c r="Y726" s="259">
        <v>21</v>
      </c>
      <c r="Z726" s="259" t="s">
        <v>3030</v>
      </c>
      <c r="AA726" s="259" t="e">
        <v>#N/A</v>
      </c>
      <c r="AB726" s="259"/>
      <c r="AC726" s="259"/>
      <c r="AD726" s="259"/>
      <c r="AE726" s="259"/>
    </row>
    <row r="727" spans="1:31">
      <c r="A727" s="259" t="s">
        <v>1900</v>
      </c>
      <c r="B727" s="259" t="s">
        <v>5171</v>
      </c>
      <c r="C727" s="259" t="s">
        <v>5171</v>
      </c>
      <c r="D727" s="259" t="s">
        <v>1900</v>
      </c>
      <c r="E727" s="259" t="s">
        <v>5174</v>
      </c>
      <c r="F727" s="259" t="s">
        <v>5021</v>
      </c>
      <c r="H727" s="259" t="s">
        <v>1901</v>
      </c>
      <c r="I727" s="259" t="s">
        <v>1901</v>
      </c>
      <c r="J727" s="295">
        <v>1956.71</v>
      </c>
      <c r="K727" s="295">
        <v>1956.71</v>
      </c>
      <c r="L727" s="295">
        <v>978.35</v>
      </c>
      <c r="O727" s="266"/>
      <c r="P727" s="266">
        <v>691991033810</v>
      </c>
      <c r="R727" s="265">
        <v>3</v>
      </c>
      <c r="S727" s="265">
        <v>6</v>
      </c>
      <c r="T727" s="265">
        <v>6</v>
      </c>
      <c r="U727" s="265">
        <v>3</v>
      </c>
      <c r="V727" s="259" t="s">
        <v>4159</v>
      </c>
      <c r="W727" s="259" t="s">
        <v>3061</v>
      </c>
      <c r="Y727" s="259">
        <v>22</v>
      </c>
      <c r="Z727" s="259" t="s">
        <v>3030</v>
      </c>
      <c r="AA727" s="259" t="e">
        <v>#N/A</v>
      </c>
      <c r="AB727" s="259"/>
      <c r="AC727" s="259"/>
      <c r="AD727" s="259"/>
      <c r="AE727" s="259"/>
    </row>
    <row r="728" spans="1:31">
      <c r="A728" s="259" t="s">
        <v>1901</v>
      </c>
      <c r="B728" s="259" t="s">
        <v>5171</v>
      </c>
      <c r="C728" s="259" t="s">
        <v>5171</v>
      </c>
      <c r="D728" s="259" t="s">
        <v>1901</v>
      </c>
      <c r="E728" s="259" t="s">
        <v>5174</v>
      </c>
      <c r="F728" s="259" t="s">
        <v>5021</v>
      </c>
      <c r="H728" s="259" t="s">
        <v>1901</v>
      </c>
      <c r="I728" s="259" t="s">
        <v>1901</v>
      </c>
      <c r="J728" s="295">
        <v>1236.72</v>
      </c>
      <c r="K728" s="295">
        <v>1236.72</v>
      </c>
      <c r="L728" s="295">
        <v>618.36</v>
      </c>
      <c r="O728" s="266"/>
      <c r="P728" s="266">
        <v>691991010019</v>
      </c>
      <c r="R728" s="265">
        <v>3</v>
      </c>
      <c r="S728" s="265">
        <v>18</v>
      </c>
      <c r="T728" s="265">
        <v>18</v>
      </c>
      <c r="U728" s="265">
        <v>9</v>
      </c>
      <c r="V728" s="259" t="s">
        <v>4159</v>
      </c>
      <c r="W728" s="259" t="s">
        <v>3061</v>
      </c>
      <c r="Y728" s="259">
        <v>23</v>
      </c>
      <c r="Z728" s="259" t="s">
        <v>3030</v>
      </c>
      <c r="AA728" s="259" t="e">
        <v>#N/A</v>
      </c>
      <c r="AB728" s="259"/>
      <c r="AC728" s="259"/>
      <c r="AD728" s="259"/>
      <c r="AE728" s="259"/>
    </row>
    <row r="729" spans="1:31">
      <c r="A729" s="259" t="s">
        <v>1902</v>
      </c>
      <c r="B729" s="259" t="s">
        <v>5171</v>
      </c>
      <c r="C729" s="259" t="s">
        <v>5171</v>
      </c>
      <c r="D729" s="259" t="s">
        <v>1902</v>
      </c>
      <c r="E729" s="259" t="s">
        <v>5174</v>
      </c>
      <c r="F729" s="259" t="s">
        <v>5021</v>
      </c>
      <c r="H729" s="259" t="s">
        <v>1902</v>
      </c>
      <c r="I729" s="259" t="s">
        <v>1902</v>
      </c>
      <c r="J729" s="295">
        <v>4895.45</v>
      </c>
      <c r="K729" s="295">
        <v>4895</v>
      </c>
      <c r="L729" s="295">
        <v>2447.7199999999998</v>
      </c>
      <c r="O729" s="266"/>
      <c r="P729" s="266">
        <v>691991010019</v>
      </c>
      <c r="R729" s="265">
        <v>3</v>
      </c>
      <c r="S729" s="265">
        <v>35</v>
      </c>
      <c r="T729" s="265">
        <v>15</v>
      </c>
      <c r="U729" s="265">
        <v>52</v>
      </c>
      <c r="V729" s="259" t="s">
        <v>4159</v>
      </c>
      <c r="W729" s="259" t="s">
        <v>3061</v>
      </c>
      <c r="Y729" s="259">
        <v>24</v>
      </c>
      <c r="Z729" s="259" t="s">
        <v>3030</v>
      </c>
      <c r="AA729" s="259" t="e">
        <v>#N/A</v>
      </c>
      <c r="AB729" s="259"/>
      <c r="AC729" s="259"/>
      <c r="AD729" s="259"/>
      <c r="AE729" s="259"/>
    </row>
    <row r="730" spans="1:31">
      <c r="A730" s="259" t="s">
        <v>1903</v>
      </c>
      <c r="B730" s="259" t="s">
        <v>5171</v>
      </c>
      <c r="C730" s="259" t="s">
        <v>5171</v>
      </c>
      <c r="D730" s="259" t="s">
        <v>1903</v>
      </c>
      <c r="E730" s="259" t="s">
        <v>5174</v>
      </c>
      <c r="F730" s="259" t="s">
        <v>5021</v>
      </c>
      <c r="H730" s="259" t="s">
        <v>5205</v>
      </c>
      <c r="I730" s="259" t="s">
        <v>5206</v>
      </c>
      <c r="J730" s="295">
        <v>55.1</v>
      </c>
      <c r="K730" s="295">
        <v>55.1</v>
      </c>
      <c r="L730" s="295">
        <v>27.53</v>
      </c>
      <c r="O730" s="266">
        <v>0</v>
      </c>
      <c r="P730" s="266">
        <v>691991004902</v>
      </c>
      <c r="R730" s="265">
        <v>3</v>
      </c>
      <c r="S730" s="265">
        <v>11</v>
      </c>
      <c r="T730" s="265">
        <v>11</v>
      </c>
      <c r="U730" s="265">
        <v>9</v>
      </c>
      <c r="V730" s="259" t="s">
        <v>3028</v>
      </c>
      <c r="W730" s="259" t="s">
        <v>5207</v>
      </c>
      <c r="Y730" s="259">
        <v>25</v>
      </c>
      <c r="Z730" s="259" t="s">
        <v>3030</v>
      </c>
      <c r="AA730" s="259" t="e">
        <v>#N/A</v>
      </c>
      <c r="AB730" s="259"/>
      <c r="AC730" s="259"/>
      <c r="AD730" s="259"/>
      <c r="AE730" s="259"/>
    </row>
    <row r="731" spans="1:31">
      <c r="A731" s="259" t="s">
        <v>1904</v>
      </c>
      <c r="B731" s="259" t="s">
        <v>5171</v>
      </c>
      <c r="C731" s="259" t="s">
        <v>5171</v>
      </c>
      <c r="D731" s="259">
        <v>3635</v>
      </c>
      <c r="E731" s="259" t="s">
        <v>5174</v>
      </c>
      <c r="H731" s="259" t="s">
        <v>5208</v>
      </c>
      <c r="I731" s="259" t="s">
        <v>5209</v>
      </c>
      <c r="J731" s="295">
        <v>1303.08</v>
      </c>
      <c r="K731" s="295">
        <v>1303</v>
      </c>
      <c r="L731" s="295">
        <v>651.54</v>
      </c>
      <c r="O731" s="266">
        <v>0</v>
      </c>
      <c r="P731" s="266">
        <v>691991015441</v>
      </c>
      <c r="R731" s="265">
        <v>3</v>
      </c>
      <c r="S731" s="265">
        <v>13</v>
      </c>
      <c r="T731" s="265">
        <v>13</v>
      </c>
      <c r="U731" s="265">
        <v>7</v>
      </c>
      <c r="V731" s="259" t="s">
        <v>4159</v>
      </c>
      <c r="W731" s="259" t="s">
        <v>3061</v>
      </c>
      <c r="Y731" s="259">
        <v>26</v>
      </c>
      <c r="Z731" s="259" t="s">
        <v>3227</v>
      </c>
      <c r="AA731" s="259" t="e">
        <v>#N/A</v>
      </c>
      <c r="AB731" s="259"/>
      <c r="AC731" s="259"/>
      <c r="AD731" s="259"/>
      <c r="AE731" s="259"/>
    </row>
    <row r="732" spans="1:31">
      <c r="A732" s="259" t="s">
        <v>1905</v>
      </c>
      <c r="B732" s="259" t="s">
        <v>5171</v>
      </c>
      <c r="C732" s="259" t="s">
        <v>5171</v>
      </c>
      <c r="D732" s="259" t="s">
        <v>1905</v>
      </c>
      <c r="F732" s="259" t="s">
        <v>5021</v>
      </c>
      <c r="H732" s="259" t="s">
        <v>5210</v>
      </c>
      <c r="I732" s="259" t="s">
        <v>5211</v>
      </c>
      <c r="J732" s="295">
        <v>1198.6500000000001</v>
      </c>
      <c r="K732" s="295">
        <v>1198.6500000000001</v>
      </c>
      <c r="L732" s="295">
        <v>599.33000000000004</v>
      </c>
      <c r="O732" s="266">
        <v>0</v>
      </c>
      <c r="P732" s="266">
        <v>691991015441</v>
      </c>
      <c r="R732" s="265">
        <v>3</v>
      </c>
      <c r="S732" s="265">
        <v>7</v>
      </c>
      <c r="T732" s="265">
        <v>3</v>
      </c>
      <c r="U732" s="265">
        <v>6</v>
      </c>
      <c r="V732" s="259">
        <v>0</v>
      </c>
      <c r="Y732" s="259">
        <v>27</v>
      </c>
      <c r="AA732" s="259" t="e">
        <v>#N/A</v>
      </c>
      <c r="AB732" s="259"/>
      <c r="AC732" s="259"/>
      <c r="AD732" s="259"/>
      <c r="AE732" s="259"/>
    </row>
    <row r="733" spans="1:31">
      <c r="A733" s="259" t="s">
        <v>1906</v>
      </c>
      <c r="B733" s="259" t="s">
        <v>5171</v>
      </c>
      <c r="C733" s="259" t="s">
        <v>5171</v>
      </c>
      <c r="D733" s="259" t="s">
        <v>1906</v>
      </c>
      <c r="E733" s="259" t="s">
        <v>5174</v>
      </c>
      <c r="G733" s="259" t="s">
        <v>3378</v>
      </c>
      <c r="H733" s="259" t="s">
        <v>5212</v>
      </c>
      <c r="I733" s="259" t="s">
        <v>5213</v>
      </c>
      <c r="J733" s="295">
        <v>1158.47</v>
      </c>
      <c r="K733" s="295">
        <v>1158.47</v>
      </c>
      <c r="L733" s="295">
        <v>579.24</v>
      </c>
      <c r="O733" s="266">
        <v>0</v>
      </c>
      <c r="P733" s="266">
        <v>691991015489</v>
      </c>
      <c r="R733" s="265">
        <v>3</v>
      </c>
      <c r="S733" s="265">
        <v>5</v>
      </c>
      <c r="T733" s="265">
        <v>5</v>
      </c>
      <c r="U733" s="265">
        <v>5</v>
      </c>
      <c r="V733" s="259" t="s">
        <v>4159</v>
      </c>
      <c r="W733" s="259" t="s">
        <v>3061</v>
      </c>
      <c r="Y733" s="259">
        <v>28</v>
      </c>
      <c r="Z733" s="259" t="s">
        <v>3030</v>
      </c>
      <c r="AA733" s="259" t="e">
        <v>#N/A</v>
      </c>
      <c r="AB733" s="259"/>
      <c r="AC733" s="259"/>
      <c r="AD733" s="259"/>
      <c r="AE733" s="259"/>
    </row>
    <row r="734" spans="1:31">
      <c r="A734" s="259" t="s">
        <v>1907</v>
      </c>
      <c r="B734" s="259" t="s">
        <v>5171</v>
      </c>
      <c r="C734" s="259" t="s">
        <v>5171</v>
      </c>
      <c r="D734" s="259" t="s">
        <v>1907</v>
      </c>
      <c r="E734" s="259" t="s">
        <v>5174</v>
      </c>
      <c r="F734" s="259" t="s">
        <v>5021</v>
      </c>
      <c r="G734" s="259" t="s">
        <v>3378</v>
      </c>
      <c r="H734" s="259" t="s">
        <v>5214</v>
      </c>
      <c r="I734" s="259" t="s">
        <v>5215</v>
      </c>
      <c r="J734" s="295">
        <v>1224.47</v>
      </c>
      <c r="K734" s="295">
        <v>1224.47</v>
      </c>
      <c r="L734" s="295">
        <v>612.24</v>
      </c>
      <c r="O734" s="266">
        <v>0</v>
      </c>
      <c r="P734" s="266">
        <v>691991015328</v>
      </c>
      <c r="R734" s="265">
        <v>3</v>
      </c>
      <c r="S734" s="265">
        <v>10</v>
      </c>
      <c r="T734" s="265">
        <v>10</v>
      </c>
      <c r="U734" s="265">
        <v>8</v>
      </c>
      <c r="V734" s="259" t="s">
        <v>4159</v>
      </c>
      <c r="W734" s="259" t="s">
        <v>3061</v>
      </c>
      <c r="Y734" s="259">
        <v>29</v>
      </c>
      <c r="Z734" s="259" t="s">
        <v>3030</v>
      </c>
      <c r="AA734" s="259" t="e">
        <v>#N/A</v>
      </c>
      <c r="AB734" s="259"/>
      <c r="AC734" s="259"/>
      <c r="AD734" s="259"/>
      <c r="AE734" s="259"/>
    </row>
    <row r="735" spans="1:31">
      <c r="A735" s="259" t="s">
        <v>1908</v>
      </c>
      <c r="B735" s="259" t="s">
        <v>5171</v>
      </c>
      <c r="C735" s="259" t="s">
        <v>5171</v>
      </c>
      <c r="D735" s="259" t="s">
        <v>1908</v>
      </c>
      <c r="E735" s="259" t="s">
        <v>5174</v>
      </c>
      <c r="H735" s="259" t="s">
        <v>5216</v>
      </c>
      <c r="I735" s="259" t="s">
        <v>5217</v>
      </c>
      <c r="J735" s="295">
        <v>1571.64</v>
      </c>
      <c r="K735" s="295">
        <v>1571.64</v>
      </c>
      <c r="L735" s="295">
        <v>785.82</v>
      </c>
      <c r="O735" s="266">
        <v>0</v>
      </c>
      <c r="P735" s="266">
        <v>691991015465</v>
      </c>
      <c r="R735" s="265">
        <v>3</v>
      </c>
      <c r="S735" s="265">
        <v>15</v>
      </c>
      <c r="T735" s="265">
        <v>15</v>
      </c>
      <c r="U735" s="265">
        <v>9</v>
      </c>
      <c r="V735" s="259" t="s">
        <v>4159</v>
      </c>
      <c r="W735" s="259" t="s">
        <v>3061</v>
      </c>
      <c r="Y735" s="259">
        <v>30</v>
      </c>
      <c r="Z735" s="259" t="s">
        <v>3030</v>
      </c>
      <c r="AA735" s="259" t="e">
        <v>#N/A</v>
      </c>
      <c r="AB735" s="259"/>
      <c r="AC735" s="259"/>
      <c r="AD735" s="259"/>
      <c r="AE735" s="259"/>
    </row>
    <row r="736" spans="1:31">
      <c r="A736" s="259" t="s">
        <v>1909</v>
      </c>
      <c r="B736" s="259" t="s">
        <v>5171</v>
      </c>
      <c r="C736" s="259" t="s">
        <v>5171</v>
      </c>
      <c r="D736" s="259" t="s">
        <v>1909</v>
      </c>
      <c r="E736" s="259" t="s">
        <v>5174</v>
      </c>
      <c r="F736" s="259" t="s">
        <v>5021</v>
      </c>
      <c r="H736" s="259" t="s">
        <v>5218</v>
      </c>
      <c r="I736" s="259" t="s">
        <v>5219</v>
      </c>
      <c r="J736" s="295">
        <v>4040.77</v>
      </c>
      <c r="K736" s="295">
        <v>4040.77</v>
      </c>
      <c r="L736" s="295">
        <v>2020.38</v>
      </c>
      <c r="O736" s="266">
        <v>0</v>
      </c>
      <c r="P736" s="266">
        <v>691991015335</v>
      </c>
      <c r="R736" s="265">
        <v>3</v>
      </c>
      <c r="S736" s="265">
        <v>17</v>
      </c>
      <c r="T736" s="265">
        <v>17</v>
      </c>
      <c r="U736" s="265">
        <v>8</v>
      </c>
      <c r="V736" s="259" t="s">
        <v>4159</v>
      </c>
      <c r="W736" s="259" t="s">
        <v>3061</v>
      </c>
      <c r="Y736" s="259">
        <v>31</v>
      </c>
      <c r="Z736" s="259" t="s">
        <v>3030</v>
      </c>
      <c r="AA736" s="259" t="e">
        <v>#N/A</v>
      </c>
      <c r="AB736" s="259"/>
      <c r="AC736" s="259"/>
      <c r="AD736" s="259"/>
      <c r="AE736" s="259"/>
    </row>
    <row r="737" spans="1:31">
      <c r="A737" s="259" t="s">
        <v>1910</v>
      </c>
      <c r="B737" s="259" t="s">
        <v>5171</v>
      </c>
      <c r="C737" s="259" t="s">
        <v>5171</v>
      </c>
      <c r="D737" s="259" t="s">
        <v>1910</v>
      </c>
      <c r="E737" s="259" t="s">
        <v>5174</v>
      </c>
      <c r="F737" s="259" t="s">
        <v>5021</v>
      </c>
      <c r="H737" s="259" t="s">
        <v>5220</v>
      </c>
      <c r="I737" s="259" t="s">
        <v>5221</v>
      </c>
      <c r="J737" s="295">
        <v>1210.76</v>
      </c>
      <c r="K737" s="295">
        <v>1210.76</v>
      </c>
      <c r="L737" s="295">
        <v>605.38</v>
      </c>
      <c r="O737" s="266">
        <v>0</v>
      </c>
      <c r="P737" s="266">
        <v>691991015342</v>
      </c>
      <c r="R737" s="265">
        <v>3</v>
      </c>
      <c r="S737" s="265">
        <v>15</v>
      </c>
      <c r="T737" s="265">
        <v>15</v>
      </c>
      <c r="U737" s="265">
        <v>9</v>
      </c>
      <c r="V737" s="259" t="s">
        <v>4159</v>
      </c>
      <c r="W737" s="259" t="s">
        <v>3061</v>
      </c>
      <c r="Y737" s="259">
        <v>32</v>
      </c>
      <c r="Z737" s="259" t="s">
        <v>3227</v>
      </c>
      <c r="AA737" s="259" t="e">
        <v>#N/A</v>
      </c>
      <c r="AB737" s="259"/>
      <c r="AC737" s="259"/>
      <c r="AD737" s="259"/>
      <c r="AE737" s="259"/>
    </row>
    <row r="738" spans="1:31">
      <c r="A738" s="259" t="s">
        <v>1911</v>
      </c>
      <c r="B738" s="259" t="s">
        <v>5171</v>
      </c>
      <c r="C738" s="259" t="s">
        <v>5171</v>
      </c>
      <c r="D738" s="259" t="s">
        <v>1911</v>
      </c>
      <c r="E738" s="259" t="s">
        <v>5174</v>
      </c>
      <c r="F738" s="259" t="s">
        <v>5021</v>
      </c>
      <c r="H738" s="259" t="s">
        <v>5222</v>
      </c>
      <c r="I738" s="259" t="s">
        <v>5223</v>
      </c>
      <c r="J738" s="295">
        <v>2010.24</v>
      </c>
      <c r="K738" s="295">
        <v>2010.24</v>
      </c>
      <c r="L738" s="295">
        <v>1005.12</v>
      </c>
      <c r="O738" s="266">
        <v>0</v>
      </c>
      <c r="P738" s="266">
        <v>691991015366</v>
      </c>
      <c r="R738" s="265">
        <v>3</v>
      </c>
      <c r="S738" s="265">
        <v>11</v>
      </c>
      <c r="T738" s="265">
        <v>11</v>
      </c>
      <c r="U738" s="265">
        <v>6</v>
      </c>
      <c r="V738" s="259" t="s">
        <v>4159</v>
      </c>
      <c r="W738" s="259" t="s">
        <v>3061</v>
      </c>
      <c r="Y738" s="259">
        <v>33</v>
      </c>
      <c r="Z738" s="259" t="s">
        <v>3030</v>
      </c>
      <c r="AA738" s="259" t="e">
        <v>#N/A</v>
      </c>
      <c r="AB738" s="259"/>
      <c r="AC738" s="259"/>
      <c r="AD738" s="259"/>
      <c r="AE738" s="259"/>
    </row>
    <row r="739" spans="1:31">
      <c r="A739" s="259" t="s">
        <v>1912</v>
      </c>
      <c r="B739" s="259" t="s">
        <v>5171</v>
      </c>
      <c r="C739" s="259" t="s">
        <v>5171</v>
      </c>
      <c r="D739" s="259" t="s">
        <v>1912</v>
      </c>
      <c r="E739" s="259" t="s">
        <v>5174</v>
      </c>
      <c r="F739" s="259" t="s">
        <v>5021</v>
      </c>
      <c r="H739" s="259" t="s">
        <v>5224</v>
      </c>
      <c r="I739" s="259" t="s">
        <v>5225</v>
      </c>
      <c r="J739" s="295">
        <v>2938.74</v>
      </c>
      <c r="K739" s="295">
        <v>2938.74</v>
      </c>
      <c r="L739" s="295">
        <v>1469.37</v>
      </c>
      <c r="O739" s="266">
        <v>0</v>
      </c>
      <c r="P739" s="266">
        <v>691991015359</v>
      </c>
      <c r="R739" s="265">
        <v>3</v>
      </c>
      <c r="S739" s="265">
        <v>11</v>
      </c>
      <c r="T739" s="265">
        <v>11</v>
      </c>
      <c r="U739" s="265">
        <v>7</v>
      </c>
      <c r="V739" s="259" t="s">
        <v>4159</v>
      </c>
      <c r="W739" s="259" t="s">
        <v>3061</v>
      </c>
      <c r="Y739" s="259">
        <v>34</v>
      </c>
      <c r="Z739" s="259" t="s">
        <v>3030</v>
      </c>
      <c r="AA739" s="259" t="e">
        <v>#N/A</v>
      </c>
      <c r="AB739" s="259"/>
      <c r="AC739" s="259"/>
      <c r="AD739" s="259"/>
      <c r="AE739" s="259"/>
    </row>
    <row r="740" spans="1:31">
      <c r="A740" s="259" t="s">
        <v>1913</v>
      </c>
      <c r="B740" s="259" t="s">
        <v>5171</v>
      </c>
      <c r="C740" s="259" t="s">
        <v>5171</v>
      </c>
      <c r="D740" s="259" t="s">
        <v>1913</v>
      </c>
      <c r="E740" s="259" t="s">
        <v>5174</v>
      </c>
      <c r="H740" s="259" t="s">
        <v>5226</v>
      </c>
      <c r="I740" s="259" t="s">
        <v>5227</v>
      </c>
      <c r="J740" s="295">
        <v>373.44</v>
      </c>
      <c r="K740" s="295">
        <v>373.44</v>
      </c>
      <c r="L740" s="295">
        <v>186.72</v>
      </c>
      <c r="O740" s="266">
        <v>2</v>
      </c>
      <c r="P740" s="266">
        <v>691991015427</v>
      </c>
      <c r="R740" s="265">
        <v>3</v>
      </c>
      <c r="S740" s="265">
        <v>18</v>
      </c>
      <c r="T740" s="265">
        <v>18</v>
      </c>
      <c r="U740" s="265">
        <v>9</v>
      </c>
      <c r="V740" s="259" t="s">
        <v>3247</v>
      </c>
      <c r="W740" s="259" t="s">
        <v>3061</v>
      </c>
      <c r="Y740" s="259">
        <v>35</v>
      </c>
      <c r="Z740" s="259" t="s">
        <v>3030</v>
      </c>
      <c r="AA740" s="259" t="e">
        <v>#N/A</v>
      </c>
      <c r="AB740" s="259"/>
      <c r="AC740" s="259"/>
      <c r="AD740" s="259"/>
      <c r="AE740" s="259"/>
    </row>
    <row r="741" spans="1:31">
      <c r="A741" s="259" t="s">
        <v>1914</v>
      </c>
      <c r="B741" s="259" t="s">
        <v>5171</v>
      </c>
      <c r="C741" s="259" t="s">
        <v>5171</v>
      </c>
      <c r="D741" s="259" t="s">
        <v>1914</v>
      </c>
      <c r="E741" s="259" t="s">
        <v>5174</v>
      </c>
      <c r="F741" s="259" t="s">
        <v>5021</v>
      </c>
      <c r="H741" s="259" t="s">
        <v>5228</v>
      </c>
      <c r="I741" s="259" t="s">
        <v>5228</v>
      </c>
      <c r="J741" s="295">
        <v>551.01</v>
      </c>
      <c r="K741" s="295">
        <v>551</v>
      </c>
      <c r="L741" s="295">
        <v>275.51</v>
      </c>
      <c r="O741" s="266">
        <v>2</v>
      </c>
      <c r="P741" s="266">
        <v>691991015410</v>
      </c>
      <c r="R741" s="265">
        <v>3</v>
      </c>
      <c r="S741" s="265">
        <v>17</v>
      </c>
      <c r="T741" s="265">
        <v>18</v>
      </c>
      <c r="U741" s="265">
        <v>9</v>
      </c>
      <c r="V741" s="259" t="s">
        <v>4159</v>
      </c>
      <c r="W741" s="259" t="s">
        <v>3061</v>
      </c>
      <c r="Y741" s="259">
        <v>36</v>
      </c>
      <c r="Z741" s="259" t="s">
        <v>3030</v>
      </c>
      <c r="AA741" s="259" t="e">
        <v>#N/A</v>
      </c>
      <c r="AB741" s="259"/>
      <c r="AC741" s="259"/>
      <c r="AD741" s="259"/>
      <c r="AE741" s="259"/>
    </row>
    <row r="742" spans="1:31">
      <c r="A742" s="259" t="s">
        <v>1915</v>
      </c>
      <c r="B742" s="259" t="s">
        <v>5171</v>
      </c>
      <c r="C742" s="259" t="s">
        <v>5171</v>
      </c>
      <c r="D742" s="259" t="s">
        <v>1915</v>
      </c>
      <c r="E742" s="259" t="s">
        <v>5174</v>
      </c>
      <c r="F742" s="259" t="s">
        <v>5021</v>
      </c>
      <c r="G742" s="259" t="s">
        <v>3378</v>
      </c>
      <c r="H742" s="259" t="s">
        <v>5229</v>
      </c>
      <c r="I742" s="259" t="s">
        <v>5229</v>
      </c>
      <c r="J742" s="295">
        <v>710.2</v>
      </c>
      <c r="K742" s="295">
        <v>710.2</v>
      </c>
      <c r="L742" s="295">
        <v>355.1</v>
      </c>
      <c r="O742" s="266">
        <v>2</v>
      </c>
      <c r="P742" s="266">
        <v>691991015403</v>
      </c>
      <c r="R742" s="265">
        <v>3</v>
      </c>
      <c r="S742" s="265">
        <v>18</v>
      </c>
      <c r="T742" s="265">
        <v>18</v>
      </c>
      <c r="U742" s="265">
        <v>9</v>
      </c>
      <c r="V742" s="259" t="s">
        <v>4159</v>
      </c>
      <c r="W742" s="259" t="s">
        <v>3061</v>
      </c>
      <c r="Y742" s="259">
        <v>37</v>
      </c>
      <c r="Z742" s="259" t="s">
        <v>3030</v>
      </c>
      <c r="AA742" s="259" t="e">
        <v>#N/A</v>
      </c>
      <c r="AB742" s="259"/>
      <c r="AC742" s="259"/>
      <c r="AD742" s="259"/>
      <c r="AE742" s="259"/>
    </row>
    <row r="743" spans="1:31">
      <c r="A743" s="259" t="s">
        <v>1916</v>
      </c>
      <c r="B743" s="259" t="s">
        <v>5171</v>
      </c>
      <c r="C743" s="259" t="s">
        <v>5171</v>
      </c>
      <c r="D743" s="259" t="s">
        <v>5230</v>
      </c>
      <c r="E743" s="259" t="s">
        <v>5174</v>
      </c>
      <c r="F743" s="259" t="s">
        <v>5021</v>
      </c>
      <c r="H743" s="259" t="s">
        <v>5231</v>
      </c>
      <c r="I743" s="259" t="s">
        <v>5232</v>
      </c>
      <c r="J743" s="295">
        <v>1040.8</v>
      </c>
      <c r="K743" s="295">
        <v>1040.8</v>
      </c>
      <c r="L743" s="295">
        <v>520.4</v>
      </c>
      <c r="O743" s="266">
        <v>0</v>
      </c>
      <c r="P743" s="266">
        <v>691991015397</v>
      </c>
      <c r="R743" s="265">
        <v>3</v>
      </c>
      <c r="S743" s="265">
        <v>11</v>
      </c>
      <c r="T743" s="265">
        <v>11</v>
      </c>
      <c r="U743" s="265">
        <v>8</v>
      </c>
      <c r="V743" s="259" t="s">
        <v>4159</v>
      </c>
      <c r="W743" s="259" t="s">
        <v>3061</v>
      </c>
      <c r="Y743" s="259">
        <v>38</v>
      </c>
      <c r="Z743" s="259" t="s">
        <v>3030</v>
      </c>
      <c r="AA743" s="259" t="e">
        <v>#N/A</v>
      </c>
      <c r="AB743" s="259"/>
      <c r="AC743" s="259"/>
      <c r="AD743" s="259"/>
      <c r="AE743" s="259"/>
    </row>
    <row r="744" spans="1:31">
      <c r="A744" s="259" t="s">
        <v>1917</v>
      </c>
      <c r="B744" s="259" t="s">
        <v>5171</v>
      </c>
      <c r="C744" s="259" t="s">
        <v>5171</v>
      </c>
      <c r="D744" s="259" t="s">
        <v>1917</v>
      </c>
      <c r="E744" s="259" t="s">
        <v>5174</v>
      </c>
      <c r="F744" s="259" t="s">
        <v>5021</v>
      </c>
      <c r="H744" s="259" t="s">
        <v>5233</v>
      </c>
      <c r="I744" s="259" t="s">
        <v>5234</v>
      </c>
      <c r="J744" s="295">
        <v>1714.26</v>
      </c>
      <c r="K744" s="295">
        <v>1714.26</v>
      </c>
      <c r="L744" s="295">
        <v>857.13</v>
      </c>
      <c r="O744" s="266">
        <v>0</v>
      </c>
      <c r="P744" s="266">
        <v>691991015373</v>
      </c>
      <c r="R744" s="265">
        <v>3</v>
      </c>
      <c r="S744" s="265">
        <v>11</v>
      </c>
      <c r="T744" s="265">
        <v>11</v>
      </c>
      <c r="U744" s="265">
        <v>7</v>
      </c>
      <c r="V744" s="259" t="s">
        <v>4159</v>
      </c>
      <c r="W744" s="259" t="s">
        <v>3061</v>
      </c>
      <c r="Y744" s="259">
        <v>39</v>
      </c>
      <c r="Z744" s="259" t="s">
        <v>3030</v>
      </c>
      <c r="AA744" s="259" t="e">
        <v>#N/A</v>
      </c>
      <c r="AB744" s="259"/>
      <c r="AC744" s="259"/>
      <c r="AD744" s="259"/>
      <c r="AE744" s="259"/>
    </row>
    <row r="745" spans="1:31">
      <c r="A745" s="259" t="s">
        <v>1918</v>
      </c>
      <c r="B745" s="259" t="s">
        <v>5171</v>
      </c>
      <c r="C745" s="259" t="s">
        <v>5171</v>
      </c>
      <c r="D745" s="259" t="s">
        <v>1918</v>
      </c>
      <c r="E745" s="259" t="s">
        <v>5174</v>
      </c>
      <c r="F745" s="259" t="s">
        <v>5021</v>
      </c>
      <c r="H745" s="259" t="s">
        <v>5235</v>
      </c>
      <c r="I745" s="259" t="s">
        <v>5235</v>
      </c>
      <c r="J745" s="295">
        <v>81.72</v>
      </c>
      <c r="K745" s="295">
        <v>81.72</v>
      </c>
      <c r="L745" s="295">
        <v>43.86</v>
      </c>
      <c r="O745" s="266">
        <v>2</v>
      </c>
      <c r="P745" s="266">
        <v>691991015373</v>
      </c>
      <c r="R745" s="265">
        <v>3</v>
      </c>
      <c r="S745" s="265">
        <v>12</v>
      </c>
      <c r="T745" s="265">
        <v>12</v>
      </c>
      <c r="U745" s="265">
        <v>8</v>
      </c>
      <c r="V745" s="259" t="s">
        <v>3028</v>
      </c>
      <c r="W745" s="259" t="s">
        <v>5207</v>
      </c>
      <c r="Y745" s="259">
        <v>40</v>
      </c>
      <c r="Z745" s="259" t="s">
        <v>3030</v>
      </c>
      <c r="AA745" s="259" t="e">
        <v>#N/A</v>
      </c>
      <c r="AB745" s="259"/>
      <c r="AC745" s="259"/>
      <c r="AD745" s="259"/>
      <c r="AE745" s="259"/>
    </row>
    <row r="746" spans="1:31">
      <c r="A746" s="259" t="s">
        <v>1919</v>
      </c>
      <c r="B746" s="259" t="s">
        <v>5171</v>
      </c>
      <c r="C746" s="259" t="s">
        <v>5171</v>
      </c>
      <c r="D746" s="259" t="s">
        <v>1919</v>
      </c>
      <c r="E746" s="259" t="s">
        <v>5174</v>
      </c>
      <c r="F746" s="259" t="s">
        <v>5021</v>
      </c>
      <c r="H746" s="259" t="s">
        <v>5236</v>
      </c>
      <c r="I746" s="259" t="s">
        <v>5237</v>
      </c>
      <c r="J746" s="295">
        <v>918.36</v>
      </c>
      <c r="K746" s="295">
        <v>918.36</v>
      </c>
      <c r="L746" s="295">
        <v>459.18</v>
      </c>
      <c r="O746" s="266">
        <v>0</v>
      </c>
      <c r="P746" s="266">
        <v>50036904384</v>
      </c>
      <c r="R746" s="265">
        <v>3</v>
      </c>
      <c r="S746" s="265">
        <v>11</v>
      </c>
      <c r="T746" s="265">
        <v>11</v>
      </c>
      <c r="U746" s="265">
        <v>8</v>
      </c>
      <c r="V746" s="259" t="s">
        <v>3028</v>
      </c>
      <c r="W746" s="259" t="s">
        <v>5207</v>
      </c>
      <c r="Y746" s="259">
        <v>41</v>
      </c>
      <c r="Z746" s="259" t="s">
        <v>3030</v>
      </c>
      <c r="AA746" s="259" t="e">
        <v>#N/A</v>
      </c>
      <c r="AB746" s="259"/>
      <c r="AC746" s="259"/>
      <c r="AD746" s="259"/>
      <c r="AE746" s="259"/>
    </row>
    <row r="747" spans="1:31">
      <c r="A747" s="259" t="s">
        <v>1920</v>
      </c>
      <c r="B747" s="259" t="s">
        <v>5171</v>
      </c>
      <c r="C747" s="259" t="s">
        <v>5171</v>
      </c>
      <c r="D747" s="259" t="s">
        <v>1920</v>
      </c>
      <c r="E747" s="259" t="s">
        <v>5174</v>
      </c>
      <c r="H747" s="259" t="s">
        <v>5238</v>
      </c>
      <c r="I747" s="259" t="s">
        <v>5239</v>
      </c>
      <c r="J747" s="295">
        <v>612.24</v>
      </c>
      <c r="K747" s="295">
        <v>612.24</v>
      </c>
      <c r="L747" s="295">
        <v>306.12</v>
      </c>
      <c r="O747" s="266">
        <v>0</v>
      </c>
      <c r="P747" s="266">
        <v>50036904377</v>
      </c>
      <c r="R747" s="265">
        <v>3</v>
      </c>
      <c r="S747" s="265">
        <v>10</v>
      </c>
      <c r="T747" s="265">
        <v>10</v>
      </c>
      <c r="U747" s="265">
        <v>8</v>
      </c>
      <c r="V747" s="259" t="s">
        <v>3028</v>
      </c>
      <c r="W747" s="259" t="s">
        <v>5207</v>
      </c>
      <c r="Y747" s="259">
        <v>42</v>
      </c>
      <c r="Z747" s="259" t="s">
        <v>3030</v>
      </c>
      <c r="AA747" s="259" t="e">
        <v>#N/A</v>
      </c>
      <c r="AB747" s="259"/>
      <c r="AC747" s="259"/>
      <c r="AD747" s="259"/>
      <c r="AE747" s="259"/>
    </row>
    <row r="748" spans="1:31">
      <c r="A748" s="259" t="s">
        <v>1921</v>
      </c>
      <c r="B748" s="259" t="s">
        <v>5171</v>
      </c>
      <c r="C748" s="259" t="s">
        <v>5240</v>
      </c>
      <c r="D748" s="259" t="s">
        <v>5241</v>
      </c>
      <c r="E748" s="259" t="s">
        <v>5242</v>
      </c>
      <c r="F748" s="259" t="s">
        <v>5021</v>
      </c>
      <c r="H748" s="259" t="s">
        <v>5243</v>
      </c>
      <c r="I748" s="259" t="s">
        <v>5243</v>
      </c>
      <c r="J748" s="295">
        <v>4500.54</v>
      </c>
      <c r="K748" s="295">
        <v>4500.54</v>
      </c>
      <c r="L748" s="295">
        <v>2250.27</v>
      </c>
      <c r="O748" s="266"/>
      <c r="P748" s="266">
        <v>691991017070</v>
      </c>
      <c r="R748" s="265"/>
      <c r="V748" s="259" t="s">
        <v>3028</v>
      </c>
      <c r="W748" s="259" t="s">
        <v>5207</v>
      </c>
      <c r="Y748" s="259">
        <v>43</v>
      </c>
      <c r="Z748" s="259" t="s">
        <v>3030</v>
      </c>
      <c r="AA748" s="259" t="e">
        <v>#N/A</v>
      </c>
      <c r="AB748" s="259"/>
      <c r="AC748" s="259"/>
      <c r="AD748" s="259"/>
      <c r="AE748" s="259"/>
    </row>
    <row r="749" spans="1:31">
      <c r="A749" s="259" t="s">
        <v>1922</v>
      </c>
      <c r="B749" s="259" t="s">
        <v>5171</v>
      </c>
      <c r="C749" s="259" t="s">
        <v>5240</v>
      </c>
      <c r="D749" s="259" t="s">
        <v>5244</v>
      </c>
      <c r="E749" s="259" t="s">
        <v>5242</v>
      </c>
      <c r="F749" s="259" t="s">
        <v>5021</v>
      </c>
      <c r="H749" s="259" t="s">
        <v>5245</v>
      </c>
      <c r="I749" s="259" t="s">
        <v>5245</v>
      </c>
      <c r="J749" s="295">
        <v>4080.38</v>
      </c>
      <c r="K749" s="295">
        <v>4080</v>
      </c>
      <c r="L749" s="295">
        <v>2040.19</v>
      </c>
      <c r="O749" s="266"/>
      <c r="P749" s="266">
        <v>691991016950</v>
      </c>
      <c r="R749" s="265"/>
      <c r="V749" s="259" t="s">
        <v>3028</v>
      </c>
      <c r="W749" s="259" t="s">
        <v>5207</v>
      </c>
      <c r="Y749" s="259">
        <v>44</v>
      </c>
      <c r="Z749" s="259" t="s">
        <v>3030</v>
      </c>
      <c r="AA749" s="259" t="e">
        <v>#N/A</v>
      </c>
      <c r="AB749" s="259"/>
      <c r="AC749" s="259"/>
      <c r="AD749" s="259"/>
      <c r="AE749" s="259"/>
    </row>
    <row r="750" spans="1:31">
      <c r="A750" s="259" t="s">
        <v>1923</v>
      </c>
      <c r="B750" s="259" t="s">
        <v>5171</v>
      </c>
      <c r="C750" s="259" t="s">
        <v>5240</v>
      </c>
      <c r="D750" s="259" t="s">
        <v>5246</v>
      </c>
      <c r="E750" s="259" t="s">
        <v>5242</v>
      </c>
      <c r="F750" s="259" t="s">
        <v>5021</v>
      </c>
      <c r="H750" s="259" t="s">
        <v>5247</v>
      </c>
      <c r="I750" s="259" t="s">
        <v>5247</v>
      </c>
      <c r="J750" s="295">
        <v>3600.19</v>
      </c>
      <c r="K750" s="295">
        <v>3600</v>
      </c>
      <c r="L750" s="295">
        <v>2015.62</v>
      </c>
      <c r="O750" s="266"/>
      <c r="P750" s="266">
        <v>691991017032</v>
      </c>
      <c r="R750" s="265"/>
      <c r="V750" s="259" t="s">
        <v>3028</v>
      </c>
      <c r="W750" s="259" t="s">
        <v>5207</v>
      </c>
      <c r="Y750" s="259">
        <v>45</v>
      </c>
      <c r="Z750" s="259" t="s">
        <v>3030</v>
      </c>
      <c r="AA750" s="259" t="e">
        <v>#N/A</v>
      </c>
      <c r="AB750" s="259"/>
      <c r="AC750" s="259"/>
      <c r="AD750" s="259"/>
      <c r="AE750" s="259"/>
    </row>
    <row r="751" spans="1:31">
      <c r="A751" s="259" t="s">
        <v>1924</v>
      </c>
      <c r="B751" s="259" t="s">
        <v>5171</v>
      </c>
      <c r="C751" s="259" t="s">
        <v>5240</v>
      </c>
      <c r="D751" s="259" t="s">
        <v>5248</v>
      </c>
      <c r="E751" s="259" t="s">
        <v>5242</v>
      </c>
      <c r="F751" s="259" t="s">
        <v>5021</v>
      </c>
      <c r="H751" s="259" t="s">
        <v>5249</v>
      </c>
      <c r="I751" s="259" t="s">
        <v>5249</v>
      </c>
      <c r="J751" s="295">
        <v>3600.19</v>
      </c>
      <c r="K751" s="295">
        <v>3600</v>
      </c>
      <c r="L751" s="295">
        <v>1800.1</v>
      </c>
      <c r="O751" s="266"/>
      <c r="P751" s="266">
        <v>691991016912</v>
      </c>
      <c r="R751" s="265"/>
      <c r="V751" s="259" t="s">
        <v>3028</v>
      </c>
      <c r="W751" s="259" t="s">
        <v>5207</v>
      </c>
      <c r="Y751" s="259">
        <v>46</v>
      </c>
      <c r="Z751" s="259" t="s">
        <v>3030</v>
      </c>
      <c r="AA751" s="259" t="e">
        <v>#N/A</v>
      </c>
      <c r="AB751" s="259"/>
      <c r="AC751" s="259"/>
      <c r="AD751" s="259"/>
      <c r="AE751" s="259"/>
    </row>
    <row r="752" spans="1:31">
      <c r="A752" s="259" t="s">
        <v>1925</v>
      </c>
      <c r="B752" s="259" t="s">
        <v>5171</v>
      </c>
      <c r="C752" s="259" t="s">
        <v>5240</v>
      </c>
      <c r="D752" s="259" t="s">
        <v>5250</v>
      </c>
      <c r="E752" s="259" t="s">
        <v>5242</v>
      </c>
      <c r="F752" s="259" t="s">
        <v>5021</v>
      </c>
      <c r="H752" s="259" t="s">
        <v>5251</v>
      </c>
      <c r="I752" s="259" t="s">
        <v>5251</v>
      </c>
      <c r="J752" s="295">
        <v>2819.89</v>
      </c>
      <c r="K752" s="295">
        <v>2819.89</v>
      </c>
      <c r="L752" s="295">
        <v>1409.95</v>
      </c>
      <c r="O752" s="266"/>
      <c r="P752" s="266">
        <v>691991016998</v>
      </c>
      <c r="R752" s="265"/>
      <c r="V752" s="259" t="s">
        <v>3028</v>
      </c>
      <c r="W752" s="259" t="s">
        <v>5207</v>
      </c>
      <c r="Y752" s="259">
        <v>47</v>
      </c>
      <c r="Z752" s="259" t="s">
        <v>3030</v>
      </c>
      <c r="AA752" s="259" t="e">
        <v>#N/A</v>
      </c>
      <c r="AB752" s="259"/>
      <c r="AC752" s="259"/>
      <c r="AD752" s="259"/>
      <c r="AE752" s="259"/>
    </row>
    <row r="753" spans="1:31">
      <c r="A753" s="259" t="s">
        <v>1926</v>
      </c>
      <c r="B753" s="259" t="s">
        <v>5171</v>
      </c>
      <c r="C753" s="259" t="s">
        <v>5240</v>
      </c>
      <c r="D753" s="259" t="s">
        <v>5252</v>
      </c>
      <c r="E753" s="259" t="s">
        <v>5242</v>
      </c>
      <c r="F753" s="259" t="s">
        <v>5021</v>
      </c>
      <c r="H753" s="259" t="s">
        <v>5253</v>
      </c>
      <c r="I753" s="259" t="s">
        <v>5253</v>
      </c>
      <c r="J753" s="295">
        <v>2399.73</v>
      </c>
      <c r="K753" s="295">
        <v>2399.73</v>
      </c>
      <c r="L753" s="295">
        <v>1199.8599999999999</v>
      </c>
      <c r="O753" s="266"/>
      <c r="P753" s="266">
        <v>691991016875</v>
      </c>
      <c r="R753" s="265"/>
      <c r="V753" s="259" t="s">
        <v>3028</v>
      </c>
      <c r="W753" s="259" t="s">
        <v>5207</v>
      </c>
      <c r="Y753" s="259">
        <v>48</v>
      </c>
      <c r="Z753" s="259" t="s">
        <v>3030</v>
      </c>
      <c r="AA753" s="259" t="e">
        <v>#N/A</v>
      </c>
      <c r="AB753" s="259"/>
      <c r="AC753" s="259"/>
      <c r="AD753" s="259"/>
      <c r="AE753" s="259"/>
    </row>
    <row r="754" spans="1:31">
      <c r="A754" s="259" t="s">
        <v>1927</v>
      </c>
      <c r="B754" s="259" t="s">
        <v>5171</v>
      </c>
      <c r="C754" s="259" t="s">
        <v>5240</v>
      </c>
      <c r="D754" s="259" t="s">
        <v>5241</v>
      </c>
      <c r="E754" s="259" t="s">
        <v>5242</v>
      </c>
      <c r="H754" s="259" t="s">
        <v>5254</v>
      </c>
      <c r="I754" s="259" t="s">
        <v>5254</v>
      </c>
      <c r="J754" s="295">
        <v>4500.54</v>
      </c>
      <c r="K754" s="295">
        <v>4500.54</v>
      </c>
      <c r="L754" s="295">
        <v>2250.27</v>
      </c>
      <c r="O754" s="266"/>
      <c r="P754" s="266">
        <v>691991017100</v>
      </c>
      <c r="R754" s="265"/>
      <c r="V754" s="259"/>
      <c r="Y754" s="259">
        <v>49</v>
      </c>
      <c r="Z754" s="259" t="s">
        <v>3030</v>
      </c>
      <c r="AA754" s="259" t="e">
        <v>#N/A</v>
      </c>
      <c r="AB754" s="259"/>
      <c r="AC754" s="259"/>
      <c r="AD754" s="259"/>
      <c r="AE754" s="259"/>
    </row>
    <row r="755" spans="1:31">
      <c r="A755" s="259" t="s">
        <v>1928</v>
      </c>
      <c r="B755" s="259" t="s">
        <v>5171</v>
      </c>
      <c r="C755" s="259" t="s">
        <v>5240</v>
      </c>
      <c r="D755" s="259" t="s">
        <v>5246</v>
      </c>
      <c r="E755" s="259" t="s">
        <v>5242</v>
      </c>
      <c r="H755" s="259" t="s">
        <v>5255</v>
      </c>
      <c r="I755" s="259" t="s">
        <v>5255</v>
      </c>
      <c r="J755" s="295">
        <v>3600.19</v>
      </c>
      <c r="K755" s="295">
        <v>3600</v>
      </c>
      <c r="L755" s="295">
        <v>2015.61</v>
      </c>
      <c r="O755" s="266"/>
      <c r="P755" s="266">
        <v>691991017063</v>
      </c>
      <c r="R755" s="265"/>
      <c r="V755" s="259"/>
      <c r="Y755" s="259">
        <v>50</v>
      </c>
      <c r="Z755" s="259" t="s">
        <v>3030</v>
      </c>
      <c r="AA755" s="259" t="e">
        <v>#N/A</v>
      </c>
      <c r="AB755" s="259"/>
      <c r="AC755" s="259"/>
      <c r="AD755" s="259"/>
      <c r="AE755" s="259"/>
    </row>
    <row r="756" spans="1:31">
      <c r="A756" s="259" t="s">
        <v>1929</v>
      </c>
      <c r="B756" s="259" t="s">
        <v>5171</v>
      </c>
      <c r="C756" s="259" t="s">
        <v>5240</v>
      </c>
      <c r="D756" s="259" t="s">
        <v>5248</v>
      </c>
      <c r="E756" s="259" t="s">
        <v>5242</v>
      </c>
      <c r="H756" s="259" t="s">
        <v>5256</v>
      </c>
      <c r="I756" s="259" t="s">
        <v>5256</v>
      </c>
      <c r="J756" s="295">
        <v>3600.19</v>
      </c>
      <c r="K756" s="295">
        <v>3600</v>
      </c>
      <c r="L756" s="295">
        <v>1800.1</v>
      </c>
      <c r="O756" s="266"/>
      <c r="P756" s="266">
        <v>691991016943</v>
      </c>
      <c r="R756" s="265"/>
      <c r="V756" s="259"/>
      <c r="Y756" s="259">
        <v>51</v>
      </c>
      <c r="Z756" s="259" t="s">
        <v>3030</v>
      </c>
      <c r="AA756" s="259" t="e">
        <v>#N/A</v>
      </c>
      <c r="AB756" s="259"/>
      <c r="AC756" s="259"/>
      <c r="AD756" s="259"/>
      <c r="AE756" s="259"/>
    </row>
    <row r="757" spans="1:31">
      <c r="A757" s="259" t="s">
        <v>1930</v>
      </c>
      <c r="B757" s="259" t="s">
        <v>5171</v>
      </c>
      <c r="C757" s="259" t="s">
        <v>5240</v>
      </c>
      <c r="E757" s="259" t="s">
        <v>5174</v>
      </c>
      <c r="H757" s="259" t="s">
        <v>1930</v>
      </c>
      <c r="I757" s="259" t="s">
        <v>1930</v>
      </c>
      <c r="J757" s="295">
        <v>2881.12</v>
      </c>
      <c r="K757" s="295">
        <v>2881</v>
      </c>
      <c r="L757" s="295">
        <v>1440.56</v>
      </c>
      <c r="O757" s="266"/>
      <c r="P757" s="266">
        <v>691991015694</v>
      </c>
      <c r="R757" s="265"/>
      <c r="V757" s="259"/>
      <c r="Y757" s="259">
        <v>52</v>
      </c>
      <c r="Z757" s="259" t="s">
        <v>3030</v>
      </c>
      <c r="AA757" s="259" t="e">
        <v>#N/A</v>
      </c>
      <c r="AB757" s="259"/>
      <c r="AC757" s="259"/>
      <c r="AD757" s="259"/>
      <c r="AE757" s="259"/>
    </row>
    <row r="758" spans="1:31">
      <c r="A758" s="259" t="s">
        <v>1931</v>
      </c>
      <c r="B758" s="259" t="s">
        <v>5171</v>
      </c>
      <c r="C758" s="259" t="s">
        <v>5257</v>
      </c>
      <c r="D758" s="259" t="s">
        <v>1931</v>
      </c>
      <c r="E758" s="259" t="s">
        <v>5242</v>
      </c>
      <c r="H758" s="259" t="s">
        <v>5258</v>
      </c>
      <c r="I758" s="259" t="s">
        <v>5259</v>
      </c>
      <c r="J758" s="295">
        <v>3101.88</v>
      </c>
      <c r="K758" s="295">
        <v>3101.88</v>
      </c>
      <c r="L758" s="295">
        <v>1550.94</v>
      </c>
      <c r="O758" s="266"/>
      <c r="P758" s="266">
        <v>691991001338</v>
      </c>
      <c r="R758" s="265"/>
      <c r="V758" s="259"/>
      <c r="Y758" s="259">
        <v>53</v>
      </c>
      <c r="Z758" s="259" t="s">
        <v>3227</v>
      </c>
      <c r="AA758" s="259" t="e">
        <v>#N/A</v>
      </c>
      <c r="AB758" s="259"/>
      <c r="AC758" s="259"/>
      <c r="AD758" s="259"/>
      <c r="AE758" s="259"/>
    </row>
    <row r="759" spans="1:31">
      <c r="A759" s="259" t="s">
        <v>1932</v>
      </c>
      <c r="B759" s="259" t="s">
        <v>5171</v>
      </c>
      <c r="E759" s="259" t="s">
        <v>5174</v>
      </c>
      <c r="H759" s="259" t="s">
        <v>5260</v>
      </c>
      <c r="I759" s="259" t="s">
        <v>5260</v>
      </c>
      <c r="J759" s="295">
        <v>630.24</v>
      </c>
      <c r="K759" s="295">
        <v>630.24</v>
      </c>
      <c r="L759" s="295">
        <v>315.12</v>
      </c>
      <c r="O759" s="266"/>
      <c r="P759" s="266">
        <v>691991033919</v>
      </c>
      <c r="R759" s="265"/>
      <c r="V759" s="259"/>
      <c r="Y759" s="259">
        <v>54</v>
      </c>
      <c r="Z759" s="259" t="s">
        <v>3030</v>
      </c>
      <c r="AA759" s="259" t="e">
        <v>#N/A</v>
      </c>
      <c r="AB759" s="259"/>
      <c r="AC759" s="259"/>
      <c r="AD759" s="259"/>
      <c r="AE759" s="259"/>
    </row>
    <row r="760" spans="1:31">
      <c r="A760" s="259" t="s">
        <v>1933</v>
      </c>
      <c r="B760" s="259" t="s">
        <v>5171</v>
      </c>
      <c r="E760" s="259" t="s">
        <v>5174</v>
      </c>
      <c r="H760" s="259" t="s">
        <v>5261</v>
      </c>
      <c r="I760" s="259" t="s">
        <v>5261</v>
      </c>
      <c r="J760" s="295">
        <v>1200.47</v>
      </c>
      <c r="K760" s="295">
        <v>1200.47</v>
      </c>
      <c r="L760" s="295">
        <v>600.23</v>
      </c>
      <c r="O760" s="266"/>
      <c r="P760" s="266">
        <v>691991033933</v>
      </c>
      <c r="R760" s="265"/>
      <c r="V760" s="259"/>
      <c r="Y760" s="259">
        <v>55</v>
      </c>
      <c r="Z760" s="259" t="s">
        <v>3030</v>
      </c>
      <c r="AA760" s="259" t="e">
        <v>#N/A</v>
      </c>
      <c r="AB760" s="259"/>
      <c r="AC760" s="259"/>
      <c r="AD760" s="259"/>
      <c r="AE760" s="259"/>
    </row>
    <row r="761" spans="1:31">
      <c r="A761" s="259" t="s">
        <v>1934</v>
      </c>
      <c r="B761" s="259" t="s">
        <v>5171</v>
      </c>
      <c r="C761" s="259" t="s">
        <v>5240</v>
      </c>
      <c r="D761" s="259" t="s">
        <v>5262</v>
      </c>
      <c r="E761" s="259" t="s">
        <v>5263</v>
      </c>
      <c r="H761" s="259" t="s">
        <v>5264</v>
      </c>
      <c r="I761" s="259" t="s">
        <v>5265</v>
      </c>
      <c r="J761" s="295">
        <v>1680.65</v>
      </c>
      <c r="K761" s="295">
        <v>1680.65</v>
      </c>
      <c r="L761" s="295">
        <v>802.47</v>
      </c>
      <c r="O761" s="266"/>
      <c r="P761" s="266">
        <v>691991033940</v>
      </c>
      <c r="R761" s="265"/>
      <c r="V761" s="259" t="s">
        <v>3028</v>
      </c>
      <c r="Y761" s="259">
        <v>56</v>
      </c>
      <c r="Z761" s="259" t="s">
        <v>3030</v>
      </c>
      <c r="AA761" s="259" t="e">
        <v>#N/A</v>
      </c>
      <c r="AB761" s="259"/>
      <c r="AC761" s="259"/>
      <c r="AD761" s="259"/>
      <c r="AE761" s="259"/>
    </row>
    <row r="762" spans="1:31">
      <c r="A762" s="259" t="s">
        <v>1935</v>
      </c>
      <c r="B762" s="259" t="s">
        <v>5171</v>
      </c>
      <c r="C762" s="259" t="s">
        <v>5263</v>
      </c>
      <c r="D762" s="259" t="s">
        <v>5266</v>
      </c>
      <c r="E762" s="259" t="s">
        <v>5263</v>
      </c>
      <c r="H762" s="259" t="s">
        <v>5267</v>
      </c>
      <c r="I762" s="259" t="s">
        <v>5267</v>
      </c>
      <c r="J762" s="295">
        <v>855.11</v>
      </c>
      <c r="K762" s="295">
        <v>855.11</v>
      </c>
      <c r="L762" s="295">
        <v>457.94</v>
      </c>
      <c r="O762" s="266">
        <v>1</v>
      </c>
      <c r="P762" s="266">
        <v>871015007762</v>
      </c>
      <c r="R762" s="265">
        <v>11.5</v>
      </c>
      <c r="S762" s="265">
        <v>22</v>
      </c>
      <c r="T762" s="265">
        <v>6.5</v>
      </c>
      <c r="U762" s="265">
        <v>13</v>
      </c>
      <c r="V762" s="259" t="s">
        <v>3028</v>
      </c>
      <c r="W762" s="259" t="s">
        <v>3029</v>
      </c>
      <c r="Y762" s="259">
        <v>57</v>
      </c>
      <c r="Z762" s="259" t="s">
        <v>3030</v>
      </c>
      <c r="AA762" s="259" t="e">
        <v>#N/A</v>
      </c>
      <c r="AB762" s="259"/>
      <c r="AC762" s="259"/>
      <c r="AD762" s="259"/>
      <c r="AE762" s="259"/>
    </row>
    <row r="763" spans="1:31">
      <c r="A763" s="259" t="s">
        <v>1936</v>
      </c>
      <c r="B763" s="259" t="s">
        <v>5171</v>
      </c>
      <c r="C763" s="259" t="s">
        <v>5263</v>
      </c>
      <c r="D763" s="259" t="s">
        <v>5268</v>
      </c>
      <c r="E763" s="259" t="s">
        <v>5263</v>
      </c>
      <c r="H763" s="259" t="s">
        <v>5269</v>
      </c>
      <c r="I763" s="259" t="s">
        <v>5269</v>
      </c>
      <c r="J763" s="295">
        <v>1344.44</v>
      </c>
      <c r="K763" s="295">
        <v>1174</v>
      </c>
      <c r="L763" s="295">
        <v>651.03</v>
      </c>
      <c r="O763" s="266">
        <v>1</v>
      </c>
      <c r="P763" s="266">
        <v>871015007809</v>
      </c>
      <c r="R763" s="265">
        <v>13.5</v>
      </c>
      <c r="S763" s="265">
        <v>22</v>
      </c>
      <c r="T763" s="265">
        <v>15</v>
      </c>
      <c r="U763" s="265">
        <v>6</v>
      </c>
      <c r="V763" s="259" t="s">
        <v>3028</v>
      </c>
      <c r="W763" s="259" t="s">
        <v>3029</v>
      </c>
      <c r="Y763" s="259">
        <v>58</v>
      </c>
      <c r="Z763" s="259" t="s">
        <v>3030</v>
      </c>
      <c r="AA763" s="259" t="e">
        <v>#N/A</v>
      </c>
      <c r="AB763" s="259"/>
      <c r="AC763" s="259"/>
      <c r="AD763" s="259"/>
      <c r="AE763" s="259"/>
    </row>
    <row r="764" spans="1:31">
      <c r="A764" s="259" t="s">
        <v>860</v>
      </c>
      <c r="B764" s="259" t="s">
        <v>57</v>
      </c>
      <c r="C764" s="264" t="s">
        <v>68</v>
      </c>
      <c r="D764" s="264" t="s">
        <v>860</v>
      </c>
      <c r="E764" s="259" t="s">
        <v>5270</v>
      </c>
      <c r="H764" s="264" t="s">
        <v>5271</v>
      </c>
      <c r="I764" s="264" t="s">
        <v>5271</v>
      </c>
      <c r="J764" s="295">
        <v>40.369999999999997</v>
      </c>
      <c r="K764" s="295">
        <v>40.369999999999997</v>
      </c>
      <c r="L764" s="295">
        <v>22.08</v>
      </c>
      <c r="O764" s="266">
        <v>1</v>
      </c>
      <c r="P764" s="266">
        <v>871015002750</v>
      </c>
      <c r="R764" s="265">
        <v>2.2000000000000002</v>
      </c>
      <c r="S764" s="265">
        <v>8.27</v>
      </c>
      <c r="T764" s="265">
        <v>3.94</v>
      </c>
      <c r="U764" s="265">
        <v>2.76</v>
      </c>
      <c r="V764" s="259" t="s">
        <v>3028</v>
      </c>
      <c r="W764" s="259" t="s">
        <v>3029</v>
      </c>
      <c r="Y764" s="259">
        <v>1</v>
      </c>
      <c r="Z764" s="259" t="s">
        <v>3030</v>
      </c>
      <c r="AA764" s="259" t="e">
        <v>#N/A</v>
      </c>
      <c r="AB764" s="259"/>
      <c r="AC764" s="259"/>
      <c r="AD764" s="259"/>
      <c r="AE764" s="259"/>
    </row>
    <row r="765" spans="1:31">
      <c r="A765" s="259" t="s">
        <v>861</v>
      </c>
      <c r="B765" s="259" t="s">
        <v>57</v>
      </c>
      <c r="C765" s="264" t="s">
        <v>68</v>
      </c>
      <c r="D765" s="264" t="s">
        <v>861</v>
      </c>
      <c r="E765" s="259" t="s">
        <v>5270</v>
      </c>
      <c r="H765" s="264" t="s">
        <v>5271</v>
      </c>
      <c r="I765" s="264" t="s">
        <v>5271</v>
      </c>
      <c r="J765" s="295">
        <v>32.11</v>
      </c>
      <c r="K765" s="295">
        <v>32.11</v>
      </c>
      <c r="L765" s="295">
        <v>15.01</v>
      </c>
      <c r="O765" s="266">
        <v>1</v>
      </c>
      <c r="P765" s="266">
        <v>871015002767</v>
      </c>
      <c r="R765" s="265">
        <v>1.1000000000000001</v>
      </c>
      <c r="S765" s="265">
        <v>4.33</v>
      </c>
      <c r="T765" s="265">
        <v>2.36</v>
      </c>
      <c r="U765" s="265">
        <v>2.36</v>
      </c>
      <c r="V765" s="259" t="s">
        <v>3028</v>
      </c>
      <c r="W765" s="259" t="s">
        <v>3029</v>
      </c>
      <c r="Y765" s="259">
        <v>2</v>
      </c>
      <c r="Z765" s="259" t="s">
        <v>3030</v>
      </c>
      <c r="AA765" s="259" t="e">
        <v>#N/A</v>
      </c>
      <c r="AB765" s="259"/>
      <c r="AC765" s="259"/>
      <c r="AD765" s="259"/>
      <c r="AE765" s="259"/>
    </row>
    <row r="766" spans="1:31">
      <c r="A766" s="259" t="s">
        <v>862</v>
      </c>
      <c r="B766" s="259" t="s">
        <v>57</v>
      </c>
      <c r="C766" s="264" t="s">
        <v>68</v>
      </c>
      <c r="D766" s="264" t="s">
        <v>5272</v>
      </c>
      <c r="E766" s="259" t="s">
        <v>5270</v>
      </c>
      <c r="H766" s="264" t="s">
        <v>5273</v>
      </c>
      <c r="I766" s="264" t="s">
        <v>5274</v>
      </c>
      <c r="J766" s="295">
        <v>522.83000000000004</v>
      </c>
      <c r="K766" s="295">
        <v>522.83000000000004</v>
      </c>
      <c r="L766" s="295">
        <v>257.27</v>
      </c>
      <c r="O766" s="266">
        <v>1</v>
      </c>
      <c r="P766" s="266">
        <v>871015004563</v>
      </c>
      <c r="R766" s="265">
        <v>20</v>
      </c>
      <c r="S766" s="265">
        <v>22</v>
      </c>
      <c r="T766" s="265">
        <v>19</v>
      </c>
      <c r="U766" s="265">
        <v>6</v>
      </c>
      <c r="V766" s="259" t="s">
        <v>3028</v>
      </c>
      <c r="W766" s="259" t="s">
        <v>3029</v>
      </c>
      <c r="Y766" s="259">
        <v>3</v>
      </c>
      <c r="Z766" s="259" t="s">
        <v>3030</v>
      </c>
      <c r="AA766" s="259" t="e">
        <v>#N/A</v>
      </c>
      <c r="AB766" s="259"/>
      <c r="AC766" s="259"/>
      <c r="AD766" s="259"/>
      <c r="AE766" s="259"/>
    </row>
    <row r="767" spans="1:31">
      <c r="A767" s="259" t="s">
        <v>863</v>
      </c>
      <c r="B767" s="259" t="s">
        <v>57</v>
      </c>
      <c r="C767" s="264" t="s">
        <v>68</v>
      </c>
      <c r="D767" s="264" t="s">
        <v>5275</v>
      </c>
      <c r="E767" s="259" t="s">
        <v>5270</v>
      </c>
      <c r="G767" s="259" t="s">
        <v>3378</v>
      </c>
      <c r="H767" s="264" t="s">
        <v>5273</v>
      </c>
      <c r="I767" s="264" t="s">
        <v>5276</v>
      </c>
      <c r="J767" s="295">
        <v>897.17</v>
      </c>
      <c r="K767" s="295">
        <v>897.17</v>
      </c>
      <c r="L767" s="295">
        <v>440.05</v>
      </c>
      <c r="O767" s="266">
        <v>1</v>
      </c>
      <c r="P767" s="266">
        <v>871015005102</v>
      </c>
      <c r="R767" s="265">
        <v>27</v>
      </c>
      <c r="S767" s="265">
        <v>22</v>
      </c>
      <c r="T767" s="265">
        <v>5.5</v>
      </c>
      <c r="U767" s="265">
        <v>19.5</v>
      </c>
      <c r="V767" s="259" t="s">
        <v>3028</v>
      </c>
      <c r="W767" s="259" t="s">
        <v>3029</v>
      </c>
      <c r="Y767" s="259">
        <v>4</v>
      </c>
      <c r="Z767" s="259" t="s">
        <v>3227</v>
      </c>
      <c r="AA767" s="259" t="e">
        <v>#N/A</v>
      </c>
      <c r="AB767" s="259"/>
      <c r="AC767" s="259"/>
      <c r="AD767" s="259"/>
      <c r="AE767" s="259"/>
    </row>
    <row r="768" spans="1:31">
      <c r="A768" s="259" t="s">
        <v>864</v>
      </c>
      <c r="B768" s="259" t="s">
        <v>57</v>
      </c>
      <c r="C768" s="264" t="s">
        <v>5277</v>
      </c>
      <c r="D768" s="264" t="s">
        <v>5278</v>
      </c>
      <c r="E768" s="259" t="s">
        <v>5279</v>
      </c>
      <c r="H768" s="264" t="s">
        <v>5280</v>
      </c>
      <c r="I768" s="264" t="s">
        <v>5281</v>
      </c>
      <c r="J768" s="295">
        <v>255.62</v>
      </c>
      <c r="K768" s="295">
        <v>243</v>
      </c>
      <c r="L768" s="295">
        <v>188.04</v>
      </c>
      <c r="O768" s="266">
        <v>1</v>
      </c>
      <c r="P768" s="266">
        <v>871015002705</v>
      </c>
      <c r="R768" s="265">
        <v>11.02</v>
      </c>
      <c r="S768" s="265">
        <v>15.75</v>
      </c>
      <c r="T768" s="265">
        <v>11.02</v>
      </c>
      <c r="U768" s="265">
        <v>7.09</v>
      </c>
      <c r="V768" s="259" t="s">
        <v>3028</v>
      </c>
      <c r="W768" s="259" t="s">
        <v>3029</v>
      </c>
      <c r="Y768" s="259">
        <v>5</v>
      </c>
      <c r="Z768" s="259" t="s">
        <v>3030</v>
      </c>
      <c r="AA768" s="259" t="e">
        <v>#N/A</v>
      </c>
      <c r="AB768" s="259"/>
      <c r="AC768" s="259"/>
      <c r="AD768" s="259"/>
      <c r="AE768" s="259"/>
    </row>
    <row r="769" spans="1:31">
      <c r="A769" s="259" t="s">
        <v>865</v>
      </c>
      <c r="B769" s="259" t="s">
        <v>57</v>
      </c>
      <c r="C769" s="264" t="s">
        <v>5277</v>
      </c>
      <c r="D769" s="264" t="s">
        <v>5282</v>
      </c>
      <c r="E769" s="259" t="s">
        <v>5279</v>
      </c>
      <c r="H769" s="264" t="s">
        <v>5283</v>
      </c>
      <c r="I769" s="264" t="s">
        <v>5284</v>
      </c>
      <c r="J769" s="295">
        <v>417.46</v>
      </c>
      <c r="K769" s="295">
        <v>391</v>
      </c>
      <c r="L769" s="295">
        <v>304.68</v>
      </c>
      <c r="O769" s="266">
        <v>1</v>
      </c>
      <c r="P769" s="266">
        <v>871015002729</v>
      </c>
      <c r="R769" s="265">
        <v>11.9</v>
      </c>
      <c r="S769" s="265">
        <v>15.75</v>
      </c>
      <c r="T769" s="265">
        <v>11.02</v>
      </c>
      <c r="U769" s="265">
        <v>7.09</v>
      </c>
      <c r="V769" s="259" t="s">
        <v>3028</v>
      </c>
      <c r="W769" s="259" t="s">
        <v>3029</v>
      </c>
      <c r="Y769" s="259">
        <v>6</v>
      </c>
      <c r="Z769" s="259" t="s">
        <v>3030</v>
      </c>
      <c r="AA769" s="259" t="e">
        <v>#N/A</v>
      </c>
      <c r="AB769" s="259"/>
      <c r="AC769" s="259"/>
      <c r="AD769" s="259"/>
      <c r="AE769" s="259"/>
    </row>
    <row r="770" spans="1:31">
      <c r="A770" s="259" t="s">
        <v>866</v>
      </c>
      <c r="B770" s="259" t="s">
        <v>57</v>
      </c>
      <c r="C770" s="264" t="s">
        <v>65</v>
      </c>
      <c r="D770" s="264" t="s">
        <v>5285</v>
      </c>
      <c r="E770" s="259" t="s">
        <v>5286</v>
      </c>
      <c r="H770" s="264" t="s">
        <v>5287</v>
      </c>
      <c r="I770" s="264" t="s">
        <v>5288</v>
      </c>
      <c r="J770" s="295">
        <v>2849.3</v>
      </c>
      <c r="K770" s="295">
        <v>2849.3</v>
      </c>
      <c r="L770" s="295">
        <v>1425.75</v>
      </c>
      <c r="O770" s="266">
        <v>1</v>
      </c>
      <c r="P770" s="266">
        <v>691991006968</v>
      </c>
      <c r="R770" s="265">
        <v>21</v>
      </c>
      <c r="S770" s="265">
        <v>21</v>
      </c>
      <c r="T770" s="265">
        <v>21</v>
      </c>
      <c r="U770" s="265">
        <v>8</v>
      </c>
      <c r="V770" s="259" t="s">
        <v>3028</v>
      </c>
      <c r="W770" s="259" t="s">
        <v>3029</v>
      </c>
      <c r="Y770" s="259">
        <v>7</v>
      </c>
      <c r="Z770" s="259" t="s">
        <v>3030</v>
      </c>
      <c r="AA770" s="259" t="e">
        <v>#N/A</v>
      </c>
      <c r="AB770" s="259"/>
      <c r="AC770" s="259"/>
      <c r="AD770" s="259"/>
      <c r="AE770" s="259"/>
    </row>
    <row r="771" spans="1:31">
      <c r="A771" s="259" t="s">
        <v>867</v>
      </c>
      <c r="B771" s="259" t="s">
        <v>57</v>
      </c>
      <c r="C771" s="264" t="s">
        <v>65</v>
      </c>
      <c r="D771" s="264" t="s">
        <v>5285</v>
      </c>
      <c r="E771" s="259" t="s">
        <v>5286</v>
      </c>
      <c r="H771" s="264" t="s">
        <v>5287</v>
      </c>
      <c r="I771" s="264" t="s">
        <v>5288</v>
      </c>
      <c r="J771" s="295">
        <v>2849.3</v>
      </c>
      <c r="K771" s="295">
        <v>2849.3</v>
      </c>
      <c r="L771" s="295">
        <v>1425.75</v>
      </c>
      <c r="O771" s="266">
        <v>1</v>
      </c>
      <c r="P771" s="266">
        <v>691991006968</v>
      </c>
      <c r="R771" s="265">
        <v>21</v>
      </c>
      <c r="S771" s="265">
        <v>21</v>
      </c>
      <c r="T771" s="265">
        <v>21</v>
      </c>
      <c r="U771" s="265">
        <v>8</v>
      </c>
      <c r="V771" s="259" t="s">
        <v>3028</v>
      </c>
      <c r="W771" s="259" t="s">
        <v>3029</v>
      </c>
      <c r="Y771" s="259">
        <v>8</v>
      </c>
      <c r="Z771" s="259" t="s">
        <v>3030</v>
      </c>
      <c r="AA771" s="259" t="e">
        <v>#N/A</v>
      </c>
      <c r="AB771" s="259"/>
      <c r="AC771" s="259"/>
      <c r="AD771" s="259"/>
      <c r="AE771" s="259"/>
    </row>
    <row r="772" spans="1:31">
      <c r="A772" s="259" t="s">
        <v>868</v>
      </c>
      <c r="B772" s="259" t="s">
        <v>57</v>
      </c>
      <c r="C772" s="264" t="s">
        <v>65</v>
      </c>
      <c r="D772" s="264" t="s">
        <v>5289</v>
      </c>
      <c r="E772" s="259" t="s">
        <v>5286</v>
      </c>
      <c r="H772" s="264" t="s">
        <v>5290</v>
      </c>
      <c r="I772" s="264" t="s">
        <v>5291</v>
      </c>
      <c r="J772" s="295">
        <v>1512.33</v>
      </c>
      <c r="K772" s="295">
        <v>1512.33</v>
      </c>
      <c r="L772" s="295">
        <v>755.65</v>
      </c>
      <c r="O772" s="266">
        <v>1</v>
      </c>
      <c r="P772" s="266">
        <v>691991006418</v>
      </c>
      <c r="R772" s="265">
        <v>19</v>
      </c>
      <c r="S772" s="265">
        <v>19</v>
      </c>
      <c r="T772" s="265">
        <v>22</v>
      </c>
      <c r="U772" s="265">
        <v>8</v>
      </c>
      <c r="V772" s="259"/>
      <c r="W772" s="259" t="s">
        <v>3061</v>
      </c>
      <c r="Y772" s="259">
        <v>9</v>
      </c>
      <c r="Z772" s="259" t="s">
        <v>3030</v>
      </c>
      <c r="AA772" s="259" t="e">
        <v>#N/A</v>
      </c>
      <c r="AB772" s="259"/>
      <c r="AC772" s="259"/>
      <c r="AD772" s="259"/>
      <c r="AE772" s="259"/>
    </row>
    <row r="773" spans="1:31">
      <c r="A773" s="259" t="s">
        <v>869</v>
      </c>
      <c r="B773" s="259" t="s">
        <v>57</v>
      </c>
      <c r="C773" s="264" t="s">
        <v>65</v>
      </c>
      <c r="D773" s="264" t="s">
        <v>5289</v>
      </c>
      <c r="E773" s="259" t="s">
        <v>5286</v>
      </c>
      <c r="H773" s="264" t="s">
        <v>5290</v>
      </c>
      <c r="I773" s="264" t="s">
        <v>5291</v>
      </c>
      <c r="J773" s="295">
        <v>1512.33</v>
      </c>
      <c r="K773" s="295">
        <v>1512.33</v>
      </c>
      <c r="L773" s="295">
        <v>755.65</v>
      </c>
      <c r="O773" s="266">
        <v>1</v>
      </c>
      <c r="P773" s="266">
        <v>691991006418</v>
      </c>
      <c r="R773" s="265">
        <v>19</v>
      </c>
      <c r="S773" s="265">
        <v>19</v>
      </c>
      <c r="T773" s="265">
        <v>22</v>
      </c>
      <c r="U773" s="265">
        <v>8</v>
      </c>
      <c r="V773" s="259"/>
      <c r="W773" s="259" t="s">
        <v>3061</v>
      </c>
      <c r="Y773" s="259">
        <v>10</v>
      </c>
      <c r="Z773" s="259" t="s">
        <v>3030</v>
      </c>
      <c r="AA773" s="259" t="e">
        <v>#N/A</v>
      </c>
      <c r="AB773" s="259"/>
      <c r="AC773" s="259"/>
      <c r="AD773" s="259"/>
      <c r="AE773" s="259"/>
    </row>
    <row r="774" spans="1:31">
      <c r="A774" s="259" t="s">
        <v>870</v>
      </c>
      <c r="B774" s="259" t="s">
        <v>57</v>
      </c>
      <c r="C774" s="264" t="s">
        <v>65</v>
      </c>
      <c r="D774" s="264" t="s">
        <v>2951</v>
      </c>
      <c r="E774" s="259" t="s">
        <v>5286</v>
      </c>
      <c r="H774" s="264" t="s">
        <v>5292</v>
      </c>
      <c r="I774" s="264" t="s">
        <v>5293</v>
      </c>
      <c r="J774" s="295">
        <v>4309.59</v>
      </c>
      <c r="K774" s="295">
        <v>4309.59</v>
      </c>
      <c r="L774" s="295">
        <v>2146.98</v>
      </c>
      <c r="O774" s="266">
        <v>1</v>
      </c>
      <c r="P774" s="266">
        <v>691991006944</v>
      </c>
      <c r="R774" s="265">
        <v>23</v>
      </c>
      <c r="S774" s="265">
        <v>21</v>
      </c>
      <c r="T774" s="265">
        <v>21</v>
      </c>
      <c r="U774" s="265">
        <v>8</v>
      </c>
      <c r="V774" s="259" t="s">
        <v>3028</v>
      </c>
      <c r="W774" s="259" t="s">
        <v>3029</v>
      </c>
      <c r="Y774" s="259">
        <v>11</v>
      </c>
      <c r="Z774" s="259" t="s">
        <v>3030</v>
      </c>
      <c r="AA774" s="259" t="e">
        <v>#N/A</v>
      </c>
      <c r="AB774" s="259"/>
      <c r="AC774" s="259"/>
      <c r="AD774" s="259"/>
      <c r="AE774" s="259"/>
    </row>
    <row r="775" spans="1:31">
      <c r="A775" s="259" t="s">
        <v>871</v>
      </c>
      <c r="B775" s="259" t="s">
        <v>57</v>
      </c>
      <c r="C775" s="264" t="s">
        <v>65</v>
      </c>
      <c r="D775" s="264" t="s">
        <v>2951</v>
      </c>
      <c r="E775" s="259" t="s">
        <v>5286</v>
      </c>
      <c r="H775" s="264" t="s">
        <v>5292</v>
      </c>
      <c r="I775" s="264" t="s">
        <v>5293</v>
      </c>
      <c r="J775" s="295">
        <v>4309.59</v>
      </c>
      <c r="K775" s="295">
        <v>4309.59</v>
      </c>
      <c r="L775" s="295">
        <v>2146.98</v>
      </c>
      <c r="O775" s="266">
        <v>1</v>
      </c>
      <c r="P775" s="266">
        <v>691991006944</v>
      </c>
      <c r="R775" s="265">
        <v>23</v>
      </c>
      <c r="S775" s="265">
        <v>21</v>
      </c>
      <c r="T775" s="265">
        <v>21</v>
      </c>
      <c r="U775" s="265">
        <v>8</v>
      </c>
      <c r="V775" s="259" t="s">
        <v>3028</v>
      </c>
      <c r="W775" s="259" t="s">
        <v>3029</v>
      </c>
      <c r="Y775" s="259">
        <v>12</v>
      </c>
      <c r="Z775" s="259" t="s">
        <v>3030</v>
      </c>
      <c r="AA775" s="259" t="e">
        <v>#N/A</v>
      </c>
      <c r="AB775" s="259"/>
      <c r="AC775" s="259"/>
      <c r="AD775" s="259"/>
      <c r="AE775" s="259"/>
    </row>
    <row r="776" spans="1:31">
      <c r="A776" s="259" t="s">
        <v>872</v>
      </c>
      <c r="B776" s="259" t="s">
        <v>57</v>
      </c>
      <c r="C776" s="264" t="s">
        <v>65</v>
      </c>
      <c r="D776" s="264" t="s">
        <v>5294</v>
      </c>
      <c r="E776" s="259" t="s">
        <v>5286</v>
      </c>
      <c r="H776" s="264" t="s">
        <v>5295</v>
      </c>
      <c r="I776" s="264" t="s">
        <v>5296</v>
      </c>
      <c r="J776" s="295">
        <v>2475.4699999999998</v>
      </c>
      <c r="K776" s="295">
        <v>2475.4699999999998</v>
      </c>
      <c r="L776" s="295">
        <v>1237.6199999999999</v>
      </c>
      <c r="O776" s="266">
        <v>1</v>
      </c>
      <c r="P776" s="266">
        <v>691991006371</v>
      </c>
      <c r="R776" s="265">
        <v>19</v>
      </c>
      <c r="S776" s="265">
        <v>19</v>
      </c>
      <c r="T776" s="265">
        <v>22</v>
      </c>
      <c r="U776" s="265">
        <v>8</v>
      </c>
      <c r="V776" s="259" t="s">
        <v>3028</v>
      </c>
      <c r="W776" s="259" t="s">
        <v>3029</v>
      </c>
      <c r="Y776" s="259">
        <v>13</v>
      </c>
      <c r="Z776" s="259" t="s">
        <v>3030</v>
      </c>
      <c r="AA776" s="259" t="e">
        <v>#N/A</v>
      </c>
      <c r="AB776" s="259"/>
      <c r="AC776" s="259"/>
      <c r="AD776" s="259"/>
      <c r="AE776" s="259"/>
    </row>
    <row r="777" spans="1:31">
      <c r="A777" s="259" t="s">
        <v>873</v>
      </c>
      <c r="B777" s="259" t="s">
        <v>57</v>
      </c>
      <c r="C777" s="264" t="s">
        <v>65</v>
      </c>
      <c r="D777" s="264" t="s">
        <v>5294</v>
      </c>
      <c r="E777" s="259" t="s">
        <v>5286</v>
      </c>
      <c r="H777" s="264" t="s">
        <v>5295</v>
      </c>
      <c r="I777" s="264" t="s">
        <v>5296</v>
      </c>
      <c r="J777" s="295">
        <v>2475.4699999999998</v>
      </c>
      <c r="K777" s="295">
        <v>2475.4699999999998</v>
      </c>
      <c r="L777" s="295">
        <v>1237.6199999999999</v>
      </c>
      <c r="O777" s="266">
        <v>1</v>
      </c>
      <c r="P777" s="266">
        <v>691991006371</v>
      </c>
      <c r="R777" s="265">
        <v>19</v>
      </c>
      <c r="S777" s="265">
        <v>19</v>
      </c>
      <c r="T777" s="265">
        <v>22</v>
      </c>
      <c r="U777" s="265">
        <v>8</v>
      </c>
      <c r="V777" s="259" t="s">
        <v>3028</v>
      </c>
      <c r="W777" s="259" t="s">
        <v>3029</v>
      </c>
      <c r="Y777" s="259">
        <v>14</v>
      </c>
      <c r="Z777" s="259" t="s">
        <v>3030</v>
      </c>
      <c r="AA777" s="259" t="e">
        <v>#N/A</v>
      </c>
      <c r="AB777" s="259"/>
      <c r="AC777" s="259"/>
      <c r="AD777" s="259"/>
      <c r="AE777" s="259"/>
    </row>
    <row r="778" spans="1:31">
      <c r="A778" s="259" t="s">
        <v>874</v>
      </c>
      <c r="B778" s="259" t="s">
        <v>57</v>
      </c>
      <c r="C778" s="264" t="s">
        <v>65</v>
      </c>
      <c r="D778" s="264" t="s">
        <v>5297</v>
      </c>
      <c r="E778" s="259" t="s">
        <v>5286</v>
      </c>
      <c r="H778" s="264" t="s">
        <v>5298</v>
      </c>
      <c r="I778" s="264" t="s">
        <v>5299</v>
      </c>
      <c r="J778" s="295">
        <v>3767.24</v>
      </c>
      <c r="K778" s="295">
        <v>3767</v>
      </c>
      <c r="L778" s="295">
        <v>1878.98</v>
      </c>
      <c r="O778" s="266">
        <v>1</v>
      </c>
      <c r="P778" s="266">
        <v>691991006975</v>
      </c>
      <c r="R778" s="265">
        <v>22</v>
      </c>
      <c r="S778" s="265">
        <v>22</v>
      </c>
      <c r="T778" s="265">
        <v>18</v>
      </c>
      <c r="U778" s="265">
        <v>8</v>
      </c>
      <c r="V778" s="259" t="s">
        <v>5046</v>
      </c>
      <c r="W778" s="259" t="s">
        <v>3061</v>
      </c>
      <c r="Y778" s="259">
        <v>15</v>
      </c>
      <c r="Z778" s="259" t="s">
        <v>3030</v>
      </c>
      <c r="AA778" s="259" t="e">
        <v>#N/A</v>
      </c>
      <c r="AB778" s="259"/>
      <c r="AC778" s="259"/>
      <c r="AD778" s="259"/>
      <c r="AE778" s="259"/>
    </row>
    <row r="779" spans="1:31">
      <c r="A779" s="259" t="s">
        <v>875</v>
      </c>
      <c r="B779" s="259" t="s">
        <v>57</v>
      </c>
      <c r="C779" s="264" t="s">
        <v>65</v>
      </c>
      <c r="D779" s="264" t="s">
        <v>5297</v>
      </c>
      <c r="E779" s="259" t="s">
        <v>5286</v>
      </c>
      <c r="H779" s="264" t="s">
        <v>5298</v>
      </c>
      <c r="I779" s="264" t="s">
        <v>5299</v>
      </c>
      <c r="J779" s="295">
        <v>3767.24</v>
      </c>
      <c r="K779" s="295">
        <v>3767</v>
      </c>
      <c r="L779" s="295">
        <v>1878.98</v>
      </c>
      <c r="O779" s="266">
        <v>1</v>
      </c>
      <c r="P779" s="266">
        <v>691991006975</v>
      </c>
      <c r="R779" s="265">
        <v>22</v>
      </c>
      <c r="S779" s="265">
        <v>22</v>
      </c>
      <c r="T779" s="265">
        <v>18</v>
      </c>
      <c r="U779" s="265">
        <v>8</v>
      </c>
      <c r="V779" s="259" t="s">
        <v>5046</v>
      </c>
      <c r="W779" s="259" t="s">
        <v>3061</v>
      </c>
      <c r="Y779" s="259">
        <v>16</v>
      </c>
      <c r="Z779" s="259" t="s">
        <v>3030</v>
      </c>
      <c r="AA779" s="259" t="e">
        <v>#N/A</v>
      </c>
      <c r="AB779" s="259"/>
      <c r="AC779" s="259"/>
      <c r="AD779" s="259"/>
      <c r="AE779" s="259"/>
    </row>
    <row r="780" spans="1:31">
      <c r="A780" s="259" t="s">
        <v>876</v>
      </c>
      <c r="B780" s="259" t="s">
        <v>57</v>
      </c>
      <c r="C780" s="264" t="s">
        <v>5300</v>
      </c>
      <c r="D780" s="264" t="s">
        <v>5301</v>
      </c>
      <c r="E780" s="259" t="s">
        <v>5286</v>
      </c>
      <c r="H780" s="264" t="s">
        <v>5302</v>
      </c>
      <c r="I780" s="264" t="s">
        <v>5303</v>
      </c>
      <c r="J780" s="295">
        <v>1456.73</v>
      </c>
      <c r="K780" s="295">
        <v>1456.73</v>
      </c>
      <c r="L780" s="295">
        <v>702.57</v>
      </c>
      <c r="O780" s="266">
        <v>1</v>
      </c>
      <c r="P780" s="266">
        <v>691991013720</v>
      </c>
      <c r="R780" s="265">
        <v>22.93</v>
      </c>
      <c r="S780" s="265">
        <v>22.44</v>
      </c>
      <c r="T780" s="265">
        <v>19.690000000000001</v>
      </c>
      <c r="U780" s="265">
        <v>7.09</v>
      </c>
      <c r="V780" s="259" t="s">
        <v>3028</v>
      </c>
      <c r="W780" s="259" t="s">
        <v>3029</v>
      </c>
      <c r="Y780" s="259">
        <v>17</v>
      </c>
      <c r="Z780" s="259" t="s">
        <v>3030</v>
      </c>
      <c r="AA780" s="259" t="e">
        <v>#N/A</v>
      </c>
      <c r="AB780" s="259"/>
      <c r="AC780" s="259"/>
      <c r="AD780" s="259"/>
      <c r="AE780" s="259"/>
    </row>
    <row r="781" spans="1:31">
      <c r="A781" s="259" t="s">
        <v>877</v>
      </c>
      <c r="B781" s="259" t="s">
        <v>57</v>
      </c>
      <c r="C781" s="264" t="s">
        <v>5300</v>
      </c>
      <c r="D781" s="264" t="s">
        <v>5301</v>
      </c>
      <c r="E781" s="259" t="s">
        <v>5286</v>
      </c>
      <c r="H781" s="264" t="s">
        <v>5302</v>
      </c>
      <c r="I781" s="264" t="s">
        <v>5303</v>
      </c>
      <c r="J781" s="295">
        <v>1456.73</v>
      </c>
      <c r="K781" s="295">
        <v>1456.73</v>
      </c>
      <c r="L781" s="295">
        <v>702.57</v>
      </c>
      <c r="O781" s="266">
        <v>1</v>
      </c>
      <c r="P781" s="266">
        <v>691991013720</v>
      </c>
      <c r="R781" s="265">
        <v>22.93</v>
      </c>
      <c r="S781" s="265">
        <v>22.44</v>
      </c>
      <c r="T781" s="265">
        <v>19.690000000000001</v>
      </c>
      <c r="U781" s="265">
        <v>7.09</v>
      </c>
      <c r="V781" s="259" t="s">
        <v>3028</v>
      </c>
      <c r="W781" s="259" t="s">
        <v>3029</v>
      </c>
      <c r="Y781" s="259">
        <v>18</v>
      </c>
      <c r="Z781" s="259" t="s">
        <v>3030</v>
      </c>
      <c r="AA781" s="259" t="e">
        <v>#N/A</v>
      </c>
      <c r="AB781" s="259"/>
      <c r="AC781" s="259"/>
      <c r="AD781" s="259"/>
      <c r="AE781" s="259"/>
    </row>
    <row r="782" spans="1:31">
      <c r="A782" s="259" t="s">
        <v>878</v>
      </c>
      <c r="B782" s="259" t="s">
        <v>57</v>
      </c>
      <c r="C782" s="277" t="s">
        <v>1047</v>
      </c>
      <c r="D782" s="264" t="s">
        <v>5304</v>
      </c>
      <c r="E782" s="259" t="s">
        <v>5286</v>
      </c>
      <c r="H782" s="264" t="s">
        <v>5305</v>
      </c>
      <c r="I782" s="264" t="s">
        <v>5306</v>
      </c>
      <c r="J782" s="295">
        <v>1926.24</v>
      </c>
      <c r="K782" s="295">
        <v>1926.24</v>
      </c>
      <c r="L782" s="295">
        <v>928.91</v>
      </c>
      <c r="O782" s="266">
        <v>1</v>
      </c>
      <c r="P782" s="266">
        <v>691991013737</v>
      </c>
      <c r="R782" s="265">
        <v>24.03</v>
      </c>
      <c r="S782" s="265">
        <v>22.44</v>
      </c>
      <c r="T782" s="265">
        <v>19.690000000000001</v>
      </c>
      <c r="U782" s="265">
        <v>7.09</v>
      </c>
      <c r="V782" s="259" t="s">
        <v>3028</v>
      </c>
      <c r="W782" s="259" t="s">
        <v>3029</v>
      </c>
      <c r="Y782" s="259">
        <v>19</v>
      </c>
      <c r="Z782" s="259" t="s">
        <v>3030</v>
      </c>
      <c r="AA782" s="259" t="e">
        <v>#N/A</v>
      </c>
      <c r="AB782" s="259"/>
      <c r="AC782" s="259"/>
      <c r="AD782" s="259"/>
      <c r="AE782" s="259"/>
    </row>
    <row r="783" spans="1:31">
      <c r="A783" s="259" t="s">
        <v>879</v>
      </c>
      <c r="B783" s="259" t="s">
        <v>57</v>
      </c>
      <c r="C783" s="264" t="s">
        <v>5300</v>
      </c>
      <c r="D783" s="264" t="s">
        <v>5304</v>
      </c>
      <c r="E783" s="259" t="s">
        <v>5286</v>
      </c>
      <c r="H783" s="264" t="s">
        <v>5305</v>
      </c>
      <c r="I783" s="264" t="s">
        <v>5306</v>
      </c>
      <c r="J783" s="295">
        <v>1926.24</v>
      </c>
      <c r="K783" s="295">
        <v>1926.24</v>
      </c>
      <c r="L783" s="295">
        <v>928.91</v>
      </c>
      <c r="O783" s="266">
        <v>1</v>
      </c>
      <c r="P783" s="266">
        <v>691991013737</v>
      </c>
      <c r="R783" s="265">
        <v>24.03</v>
      </c>
      <c r="S783" s="265">
        <v>22.44</v>
      </c>
      <c r="T783" s="265">
        <v>19.690000000000001</v>
      </c>
      <c r="U783" s="265">
        <v>7.09</v>
      </c>
      <c r="V783" s="259" t="s">
        <v>3028</v>
      </c>
      <c r="W783" s="259" t="s">
        <v>3029</v>
      </c>
      <c r="Y783" s="259">
        <v>20</v>
      </c>
      <c r="Z783" s="259" t="s">
        <v>3030</v>
      </c>
      <c r="AA783" s="259" t="e">
        <v>#N/A</v>
      </c>
      <c r="AB783" s="259"/>
      <c r="AC783" s="259"/>
      <c r="AD783" s="259"/>
      <c r="AE783" s="259"/>
    </row>
    <row r="784" spans="1:31">
      <c r="A784" s="259" t="s">
        <v>880</v>
      </c>
      <c r="B784" s="259" t="s">
        <v>57</v>
      </c>
      <c r="C784" s="264" t="s">
        <v>65</v>
      </c>
      <c r="D784" s="264" t="s">
        <v>5307</v>
      </c>
      <c r="E784" s="259" t="s">
        <v>5286</v>
      </c>
      <c r="H784" s="264" t="s">
        <v>5308</v>
      </c>
      <c r="I784" s="264" t="s">
        <v>5309</v>
      </c>
      <c r="J784" s="295">
        <v>3248.3</v>
      </c>
      <c r="K784" s="295">
        <v>3248</v>
      </c>
      <c r="L784" s="295">
        <v>1619.81</v>
      </c>
      <c r="O784" s="266">
        <v>1</v>
      </c>
      <c r="P784" s="266">
        <v>691991006951</v>
      </c>
      <c r="R784" s="265">
        <v>20</v>
      </c>
      <c r="S784" s="265">
        <v>22</v>
      </c>
      <c r="T784" s="265">
        <v>19</v>
      </c>
      <c r="U784" s="265">
        <v>8</v>
      </c>
      <c r="V784" s="259" t="s">
        <v>3028</v>
      </c>
      <c r="W784" s="259" t="s">
        <v>3029</v>
      </c>
      <c r="Y784" s="259">
        <v>21</v>
      </c>
      <c r="Z784" s="259" t="s">
        <v>3030</v>
      </c>
      <c r="AA784" s="259" t="e">
        <v>#N/A</v>
      </c>
      <c r="AB784" s="259"/>
      <c r="AC784" s="259"/>
      <c r="AD784" s="259"/>
      <c r="AE784" s="259"/>
    </row>
    <row r="785" spans="1:31">
      <c r="A785" s="259" t="s">
        <v>881</v>
      </c>
      <c r="B785" s="259" t="s">
        <v>57</v>
      </c>
      <c r="C785" s="264" t="s">
        <v>65</v>
      </c>
      <c r="D785" s="264" t="s">
        <v>5310</v>
      </c>
      <c r="E785" s="259" t="s">
        <v>5286</v>
      </c>
      <c r="H785" s="264" t="s">
        <v>5311</v>
      </c>
      <c r="I785" s="264" t="s">
        <v>5312</v>
      </c>
      <c r="J785" s="295">
        <v>1889.18</v>
      </c>
      <c r="K785" s="295">
        <v>1889</v>
      </c>
      <c r="L785" s="295">
        <v>945.56</v>
      </c>
      <c r="O785" s="266">
        <v>1</v>
      </c>
      <c r="P785" s="266">
        <v>691991006395</v>
      </c>
      <c r="R785" s="265">
        <v>19</v>
      </c>
      <c r="S785" s="265">
        <v>19</v>
      </c>
      <c r="T785" s="265">
        <v>22</v>
      </c>
      <c r="U785" s="265">
        <v>8</v>
      </c>
      <c r="V785" s="259" t="s">
        <v>3028</v>
      </c>
      <c r="W785" s="259" t="s">
        <v>3029</v>
      </c>
      <c r="Y785" s="259">
        <v>22</v>
      </c>
      <c r="Z785" s="259" t="s">
        <v>3030</v>
      </c>
      <c r="AA785" s="259" t="e">
        <v>#N/A</v>
      </c>
      <c r="AB785" s="259"/>
      <c r="AC785" s="259"/>
      <c r="AD785" s="259"/>
      <c r="AE785" s="259"/>
    </row>
    <row r="786" spans="1:31">
      <c r="A786" s="259" t="s">
        <v>882</v>
      </c>
      <c r="B786" s="259" t="s">
        <v>57</v>
      </c>
      <c r="C786" s="264" t="s">
        <v>65</v>
      </c>
      <c r="D786" s="264" t="s">
        <v>5310</v>
      </c>
      <c r="E786" s="259" t="s">
        <v>5286</v>
      </c>
      <c r="H786" s="264" t="s">
        <v>5311</v>
      </c>
      <c r="I786" s="264" t="s">
        <v>5312</v>
      </c>
      <c r="J786" s="295">
        <v>1889.18</v>
      </c>
      <c r="K786" s="295">
        <v>1889</v>
      </c>
      <c r="L786" s="295">
        <v>945.56</v>
      </c>
      <c r="O786" s="266">
        <v>1</v>
      </c>
      <c r="P786" s="266">
        <v>691991006395</v>
      </c>
      <c r="R786" s="265">
        <v>19</v>
      </c>
      <c r="S786" s="265">
        <v>19</v>
      </c>
      <c r="T786" s="265">
        <v>22</v>
      </c>
      <c r="U786" s="265">
        <v>8</v>
      </c>
      <c r="V786" s="259" t="s">
        <v>3028</v>
      </c>
      <c r="W786" s="259" t="s">
        <v>3029</v>
      </c>
      <c r="Y786" s="259">
        <v>23</v>
      </c>
      <c r="Z786" s="259" t="s">
        <v>3030</v>
      </c>
      <c r="AA786" s="259" t="e">
        <v>#N/A</v>
      </c>
      <c r="AB786" s="259"/>
      <c r="AC786" s="259"/>
      <c r="AD786" s="259"/>
      <c r="AE786" s="259"/>
    </row>
    <row r="787" spans="1:31">
      <c r="A787" s="259" t="s">
        <v>883</v>
      </c>
      <c r="B787" s="259" t="s">
        <v>57</v>
      </c>
      <c r="C787" s="264" t="s">
        <v>65</v>
      </c>
      <c r="D787" s="264" t="s">
        <v>5313</v>
      </c>
      <c r="E787" s="259" t="s">
        <v>5286</v>
      </c>
      <c r="H787" s="264" t="s">
        <v>5314</v>
      </c>
      <c r="I787" s="264" t="s">
        <v>5315</v>
      </c>
      <c r="J787" s="295">
        <v>2272.1999999999998</v>
      </c>
      <c r="K787" s="295">
        <v>2272</v>
      </c>
      <c r="L787" s="295">
        <v>1133.33</v>
      </c>
      <c r="O787" s="266">
        <v>1</v>
      </c>
      <c r="P787" s="266">
        <v>691991006388</v>
      </c>
      <c r="R787" s="265">
        <v>19</v>
      </c>
      <c r="S787" s="265">
        <v>19</v>
      </c>
      <c r="T787" s="265">
        <v>22</v>
      </c>
      <c r="U787" s="265">
        <v>8</v>
      </c>
      <c r="V787" s="259" t="s">
        <v>3028</v>
      </c>
      <c r="W787" s="259" t="s">
        <v>3029</v>
      </c>
      <c r="Y787" s="259">
        <v>24</v>
      </c>
      <c r="Z787" s="259" t="s">
        <v>3030</v>
      </c>
      <c r="AA787" s="259" t="e">
        <v>#N/A</v>
      </c>
      <c r="AB787" s="259"/>
      <c r="AC787" s="259"/>
      <c r="AD787" s="259"/>
      <c r="AE787" s="259"/>
    </row>
    <row r="788" spans="1:31">
      <c r="A788" s="259" t="s">
        <v>884</v>
      </c>
      <c r="B788" s="259" t="s">
        <v>57</v>
      </c>
      <c r="C788" s="264" t="s">
        <v>65</v>
      </c>
      <c r="D788" s="264" t="s">
        <v>5316</v>
      </c>
      <c r="E788" s="259" t="s">
        <v>5286</v>
      </c>
      <c r="H788" s="264" t="s">
        <v>5317</v>
      </c>
      <c r="I788" s="264" t="s">
        <v>5318</v>
      </c>
      <c r="J788" s="295">
        <v>1889.18</v>
      </c>
      <c r="K788" s="295">
        <v>1889</v>
      </c>
      <c r="L788" s="295">
        <v>940.56</v>
      </c>
      <c r="O788" s="266">
        <v>1</v>
      </c>
      <c r="P788" s="266">
        <v>691991006401</v>
      </c>
      <c r="R788" s="265">
        <v>19</v>
      </c>
      <c r="S788" s="265">
        <v>19</v>
      </c>
      <c r="T788" s="265">
        <v>22</v>
      </c>
      <c r="U788" s="265">
        <v>8</v>
      </c>
      <c r="V788" s="259" t="s">
        <v>3028</v>
      </c>
      <c r="W788" s="259" t="s">
        <v>3029</v>
      </c>
      <c r="Y788" s="259">
        <v>25</v>
      </c>
      <c r="Z788" s="259" t="s">
        <v>3030</v>
      </c>
      <c r="AA788" s="259" t="e">
        <v>#N/A</v>
      </c>
      <c r="AB788" s="259"/>
      <c r="AC788" s="259"/>
      <c r="AD788" s="259"/>
      <c r="AE788" s="259"/>
    </row>
    <row r="789" spans="1:31">
      <c r="A789" s="259" t="s">
        <v>885</v>
      </c>
      <c r="B789" s="259" t="s">
        <v>57</v>
      </c>
      <c r="C789" s="264" t="s">
        <v>65</v>
      </c>
      <c r="D789" s="264" t="s">
        <v>5316</v>
      </c>
      <c r="E789" s="259" t="s">
        <v>5286</v>
      </c>
      <c r="H789" s="264" t="s">
        <v>5317</v>
      </c>
      <c r="I789" s="264" t="s">
        <v>5318</v>
      </c>
      <c r="J789" s="295">
        <v>1889.18</v>
      </c>
      <c r="K789" s="295">
        <v>1889</v>
      </c>
      <c r="L789" s="295">
        <v>940.56</v>
      </c>
      <c r="O789" s="266">
        <v>1</v>
      </c>
      <c r="P789" s="266">
        <v>691991006401</v>
      </c>
      <c r="R789" s="265">
        <v>19</v>
      </c>
      <c r="S789" s="265">
        <v>19</v>
      </c>
      <c r="T789" s="265">
        <v>22</v>
      </c>
      <c r="U789" s="265">
        <v>8</v>
      </c>
      <c r="V789" s="259" t="s">
        <v>3028</v>
      </c>
      <c r="W789" s="259" t="s">
        <v>3029</v>
      </c>
      <c r="Y789" s="259">
        <v>26</v>
      </c>
      <c r="Z789" s="259" t="s">
        <v>3030</v>
      </c>
      <c r="AA789" s="259" t="e">
        <v>#N/A</v>
      </c>
      <c r="AB789" s="259"/>
      <c r="AC789" s="259"/>
      <c r="AD789" s="259"/>
      <c r="AE789" s="259"/>
    </row>
    <row r="790" spans="1:31">
      <c r="A790" s="259" t="s">
        <v>886</v>
      </c>
      <c r="B790" s="259" t="s">
        <v>57</v>
      </c>
      <c r="C790" s="264" t="s">
        <v>5300</v>
      </c>
      <c r="D790" s="264" t="s">
        <v>5319</v>
      </c>
      <c r="E790" s="259" t="s">
        <v>5286</v>
      </c>
      <c r="H790" s="264" t="s">
        <v>5320</v>
      </c>
      <c r="I790" s="264" t="s">
        <v>5321</v>
      </c>
      <c r="J790" s="295">
        <v>2631.38</v>
      </c>
      <c r="K790" s="295">
        <v>2631.38</v>
      </c>
      <c r="L790" s="295">
        <v>1211.07</v>
      </c>
      <c r="O790" s="266">
        <v>1</v>
      </c>
      <c r="P790" s="266">
        <v>691991013744</v>
      </c>
      <c r="R790" s="265">
        <v>24.03</v>
      </c>
      <c r="S790" s="265">
        <v>22.44</v>
      </c>
      <c r="T790" s="265">
        <v>19.690000000000001</v>
      </c>
      <c r="U790" s="265">
        <v>7.09</v>
      </c>
      <c r="V790" s="259" t="s">
        <v>3028</v>
      </c>
      <c r="W790" s="259" t="s">
        <v>3029</v>
      </c>
      <c r="Y790" s="259">
        <v>27</v>
      </c>
      <c r="Z790" s="259" t="s">
        <v>3030</v>
      </c>
      <c r="AA790" s="259" t="e">
        <v>#N/A</v>
      </c>
      <c r="AB790" s="259"/>
      <c r="AC790" s="259"/>
      <c r="AD790" s="259"/>
      <c r="AE790" s="259"/>
    </row>
    <row r="791" spans="1:31">
      <c r="A791" s="259" t="s">
        <v>887</v>
      </c>
      <c r="B791" s="259" t="s">
        <v>57</v>
      </c>
      <c r="C791" s="264" t="s">
        <v>5300</v>
      </c>
      <c r="D791" s="264" t="s">
        <v>5319</v>
      </c>
      <c r="E791" s="259" t="s">
        <v>5286</v>
      </c>
      <c r="H791" s="264" t="s">
        <v>5320</v>
      </c>
      <c r="I791" s="264" t="s">
        <v>5321</v>
      </c>
      <c r="J791" s="295">
        <v>2631.38</v>
      </c>
      <c r="K791" s="295">
        <v>2631.38</v>
      </c>
      <c r="L791" s="295">
        <v>1211.07</v>
      </c>
      <c r="O791" s="266">
        <v>1</v>
      </c>
      <c r="P791" s="266">
        <v>691991013744</v>
      </c>
      <c r="R791" s="265">
        <v>24.03</v>
      </c>
      <c r="S791" s="265">
        <v>22.44</v>
      </c>
      <c r="T791" s="265">
        <v>19.690000000000001</v>
      </c>
      <c r="U791" s="265">
        <v>7.09</v>
      </c>
      <c r="V791" s="259" t="s">
        <v>3028</v>
      </c>
      <c r="W791" s="259" t="s">
        <v>3029</v>
      </c>
      <c r="Y791" s="259">
        <v>28</v>
      </c>
      <c r="Z791" s="259" t="s">
        <v>3030</v>
      </c>
      <c r="AA791" s="259" t="e">
        <v>#N/A</v>
      </c>
      <c r="AB791" s="259"/>
      <c r="AC791" s="259"/>
      <c r="AD791" s="259"/>
      <c r="AE791" s="259"/>
    </row>
    <row r="792" spans="1:31">
      <c r="A792" s="259" t="s">
        <v>888</v>
      </c>
      <c r="B792" s="259" t="s">
        <v>57</v>
      </c>
      <c r="C792" s="264" t="s">
        <v>65</v>
      </c>
      <c r="D792" s="264" t="s">
        <v>5322</v>
      </c>
      <c r="E792" s="259" t="s">
        <v>5286</v>
      </c>
      <c r="H792" s="264" t="s">
        <v>5323</v>
      </c>
      <c r="I792" s="264" t="s">
        <v>5324</v>
      </c>
      <c r="J792" s="295">
        <v>4693.91</v>
      </c>
      <c r="K792" s="295">
        <v>4693.91</v>
      </c>
      <c r="L792" s="295">
        <v>2340.94</v>
      </c>
      <c r="O792" s="266">
        <v>1</v>
      </c>
      <c r="P792" s="266">
        <v>691991006937</v>
      </c>
      <c r="R792" s="265">
        <v>24</v>
      </c>
      <c r="S792" s="265">
        <v>21</v>
      </c>
      <c r="T792" s="265">
        <v>22</v>
      </c>
      <c r="U792" s="265">
        <v>8.5</v>
      </c>
      <c r="V792" s="259" t="s">
        <v>3028</v>
      </c>
      <c r="W792" s="259" t="s">
        <v>3029</v>
      </c>
      <c r="Y792" s="259">
        <v>29</v>
      </c>
      <c r="Z792" s="259" t="s">
        <v>3030</v>
      </c>
      <c r="AA792" s="259" t="e">
        <v>#N/A</v>
      </c>
      <c r="AB792" s="259"/>
      <c r="AC792" s="259"/>
      <c r="AD792" s="259"/>
      <c r="AE792" s="259"/>
    </row>
    <row r="793" spans="1:31">
      <c r="A793" s="259" t="s">
        <v>889</v>
      </c>
      <c r="B793" s="259" t="s">
        <v>57</v>
      </c>
      <c r="C793" s="264" t="s">
        <v>65</v>
      </c>
      <c r="D793" s="264" t="s">
        <v>5322</v>
      </c>
      <c r="E793" s="259" t="s">
        <v>5286</v>
      </c>
      <c r="H793" s="264" t="s">
        <v>5323</v>
      </c>
      <c r="I793" s="264" t="s">
        <v>5324</v>
      </c>
      <c r="J793" s="295">
        <v>4693.91</v>
      </c>
      <c r="K793" s="295">
        <v>4693.91</v>
      </c>
      <c r="L793" s="295">
        <v>2340.94</v>
      </c>
      <c r="O793" s="266">
        <v>1</v>
      </c>
      <c r="P793" s="266">
        <v>691991006937</v>
      </c>
      <c r="R793" s="265">
        <v>24</v>
      </c>
      <c r="S793" s="265">
        <v>21</v>
      </c>
      <c r="T793" s="265">
        <v>22</v>
      </c>
      <c r="U793" s="265">
        <v>8.5</v>
      </c>
      <c r="V793" s="259" t="s">
        <v>3028</v>
      </c>
      <c r="W793" s="259" t="s">
        <v>3029</v>
      </c>
      <c r="Y793" s="259">
        <v>30</v>
      </c>
      <c r="Z793" s="259" t="s">
        <v>3030</v>
      </c>
      <c r="AA793" s="259" t="e">
        <v>#N/A</v>
      </c>
      <c r="AB793" s="259"/>
      <c r="AC793" s="259"/>
      <c r="AD793" s="259"/>
      <c r="AE793" s="259"/>
    </row>
    <row r="794" spans="1:31">
      <c r="A794" s="259" t="s">
        <v>890</v>
      </c>
      <c r="B794" s="259" t="s">
        <v>57</v>
      </c>
      <c r="C794" s="264" t="s">
        <v>65</v>
      </c>
      <c r="D794" s="264" t="s">
        <v>5325</v>
      </c>
      <c r="E794" s="259" t="s">
        <v>5286</v>
      </c>
      <c r="H794" s="264" t="s">
        <v>5326</v>
      </c>
      <c r="I794" s="264" t="s">
        <v>5327</v>
      </c>
      <c r="J794" s="295">
        <v>2865.27</v>
      </c>
      <c r="K794" s="295">
        <v>2865</v>
      </c>
      <c r="L794" s="295">
        <v>1429.51</v>
      </c>
      <c r="O794" s="266">
        <v>1</v>
      </c>
      <c r="P794" s="266">
        <v>691991006364</v>
      </c>
      <c r="R794" s="265">
        <v>19</v>
      </c>
      <c r="S794" s="265">
        <v>19</v>
      </c>
      <c r="T794" s="265">
        <v>22</v>
      </c>
      <c r="U794" s="265">
        <v>8</v>
      </c>
      <c r="V794" s="259" t="s">
        <v>3028</v>
      </c>
      <c r="W794" s="259" t="s">
        <v>3029</v>
      </c>
      <c r="Y794" s="259">
        <v>31</v>
      </c>
      <c r="Z794" s="259" t="s">
        <v>3030</v>
      </c>
      <c r="AA794" s="259" t="e">
        <v>#N/A</v>
      </c>
      <c r="AB794" s="259"/>
      <c r="AC794" s="259"/>
      <c r="AD794" s="259"/>
      <c r="AE794" s="259"/>
    </row>
    <row r="795" spans="1:31">
      <c r="A795" s="259" t="s">
        <v>891</v>
      </c>
      <c r="B795" s="259" t="s">
        <v>57</v>
      </c>
      <c r="C795" s="264" t="s">
        <v>65</v>
      </c>
      <c r="D795" s="264" t="s">
        <v>5325</v>
      </c>
      <c r="E795" s="259" t="s">
        <v>5286</v>
      </c>
      <c r="H795" s="264" t="s">
        <v>5326</v>
      </c>
      <c r="I795" s="264" t="s">
        <v>5327</v>
      </c>
      <c r="J795" s="295">
        <v>2865.27</v>
      </c>
      <c r="K795" s="295">
        <v>2865</v>
      </c>
      <c r="L795" s="295">
        <v>1429.51</v>
      </c>
      <c r="O795" s="266">
        <v>1</v>
      </c>
      <c r="P795" s="266">
        <v>691991006364</v>
      </c>
      <c r="R795" s="265">
        <v>19</v>
      </c>
      <c r="S795" s="265">
        <v>19</v>
      </c>
      <c r="T795" s="265">
        <v>22</v>
      </c>
      <c r="U795" s="265">
        <v>8</v>
      </c>
      <c r="V795" s="259" t="s">
        <v>3028</v>
      </c>
      <c r="W795" s="259" t="s">
        <v>3029</v>
      </c>
      <c r="Y795" s="259">
        <v>32</v>
      </c>
      <c r="Z795" s="259" t="s">
        <v>3030</v>
      </c>
      <c r="AA795" s="259" t="e">
        <v>#N/A</v>
      </c>
      <c r="AB795" s="259"/>
      <c r="AC795" s="259"/>
      <c r="AD795" s="259"/>
      <c r="AE795" s="259"/>
    </row>
    <row r="796" spans="1:31">
      <c r="A796" s="259" t="s">
        <v>892</v>
      </c>
      <c r="B796" s="259" t="s">
        <v>57</v>
      </c>
      <c r="C796" s="264" t="s">
        <v>65</v>
      </c>
      <c r="D796" s="264" t="s">
        <v>5328</v>
      </c>
      <c r="E796" s="259" t="s">
        <v>5286</v>
      </c>
      <c r="H796" s="264" t="s">
        <v>5329</v>
      </c>
      <c r="I796" s="264" t="s">
        <v>5330</v>
      </c>
      <c r="J796" s="295">
        <v>3382.01</v>
      </c>
      <c r="K796" s="295">
        <v>3382</v>
      </c>
      <c r="L796" s="295">
        <v>1685.02</v>
      </c>
      <c r="O796" s="266">
        <v>1</v>
      </c>
      <c r="P796" s="266">
        <v>691991006982</v>
      </c>
      <c r="R796" s="265">
        <v>22</v>
      </c>
      <c r="S796" s="265">
        <v>22</v>
      </c>
      <c r="T796" s="265">
        <v>18</v>
      </c>
      <c r="U796" s="265">
        <v>8</v>
      </c>
      <c r="V796" s="259" t="s">
        <v>3028</v>
      </c>
      <c r="W796" s="259" t="s">
        <v>3029</v>
      </c>
      <c r="Y796" s="259">
        <v>33</v>
      </c>
      <c r="Z796" s="259" t="s">
        <v>3030</v>
      </c>
      <c r="AA796" s="259" t="e">
        <v>#N/A</v>
      </c>
      <c r="AB796" s="259"/>
      <c r="AC796" s="259"/>
      <c r="AD796" s="259"/>
      <c r="AE796" s="259"/>
    </row>
    <row r="797" spans="1:31">
      <c r="A797" s="259" t="s">
        <v>893</v>
      </c>
      <c r="B797" s="259" t="s">
        <v>57</v>
      </c>
      <c r="C797" s="264" t="s">
        <v>65</v>
      </c>
      <c r="D797" s="264" t="s">
        <v>5328</v>
      </c>
      <c r="E797" s="259" t="s">
        <v>5286</v>
      </c>
      <c r="H797" s="264" t="s">
        <v>5329</v>
      </c>
      <c r="I797" s="264" t="s">
        <v>5330</v>
      </c>
      <c r="J797" s="295">
        <v>3382.01</v>
      </c>
      <c r="K797" s="295">
        <v>3382</v>
      </c>
      <c r="L797" s="295">
        <v>1685.02</v>
      </c>
      <c r="O797" s="266">
        <v>1</v>
      </c>
      <c r="P797" s="266">
        <v>691991006982</v>
      </c>
      <c r="R797" s="265">
        <v>22</v>
      </c>
      <c r="S797" s="265">
        <v>22</v>
      </c>
      <c r="T797" s="265">
        <v>18</v>
      </c>
      <c r="U797" s="265">
        <v>8</v>
      </c>
      <c r="V797" s="259" t="s">
        <v>3028</v>
      </c>
      <c r="W797" s="259" t="s">
        <v>3029</v>
      </c>
      <c r="Y797" s="259">
        <v>34</v>
      </c>
      <c r="Z797" s="259" t="s">
        <v>3030</v>
      </c>
      <c r="AA797" s="259" t="e">
        <v>#N/A</v>
      </c>
      <c r="AB797" s="259"/>
      <c r="AC797" s="259"/>
      <c r="AD797" s="259"/>
      <c r="AE797" s="259"/>
    </row>
    <row r="798" spans="1:31">
      <c r="A798" s="259" t="s">
        <v>894</v>
      </c>
      <c r="B798" s="259" t="s">
        <v>57</v>
      </c>
      <c r="C798" s="264" t="s">
        <v>5300</v>
      </c>
      <c r="D798" s="264" t="s">
        <v>5331</v>
      </c>
      <c r="E798" s="259" t="s">
        <v>5286</v>
      </c>
      <c r="H798" s="264" t="s">
        <v>5332</v>
      </c>
      <c r="I798" s="264" t="s">
        <v>5333</v>
      </c>
      <c r="J798" s="295">
        <v>4570.3500000000004</v>
      </c>
      <c r="K798" s="295">
        <v>4570</v>
      </c>
      <c r="L798" s="295">
        <v>2165.0700000000002</v>
      </c>
      <c r="O798" s="266">
        <v>1</v>
      </c>
      <c r="P798" s="266">
        <v>691991013751</v>
      </c>
      <c r="R798" s="265">
        <v>28</v>
      </c>
      <c r="S798" s="265">
        <v>22</v>
      </c>
      <c r="T798" s="265">
        <v>22.5</v>
      </c>
      <c r="U798" s="265">
        <v>7</v>
      </c>
      <c r="V798" s="259" t="s">
        <v>3028</v>
      </c>
      <c r="W798" s="259" t="s">
        <v>3029</v>
      </c>
      <c r="Y798" s="259">
        <v>35</v>
      </c>
      <c r="Z798" s="259" t="s">
        <v>3030</v>
      </c>
      <c r="AA798" s="259" t="e">
        <v>#N/A</v>
      </c>
      <c r="AB798" s="259"/>
      <c r="AC798" s="259"/>
      <c r="AD798" s="259"/>
      <c r="AE798" s="259"/>
    </row>
    <row r="799" spans="1:31">
      <c r="A799" s="259" t="s">
        <v>895</v>
      </c>
      <c r="B799" s="259" t="s">
        <v>57</v>
      </c>
      <c r="C799" s="264" t="s">
        <v>5334</v>
      </c>
      <c r="D799" s="264" t="s">
        <v>5335</v>
      </c>
      <c r="E799" s="259" t="s">
        <v>5336</v>
      </c>
      <c r="H799" s="264" t="s">
        <v>5337</v>
      </c>
      <c r="I799" s="264" t="s">
        <v>5338</v>
      </c>
      <c r="J799" s="295">
        <v>1683.28</v>
      </c>
      <c r="K799" s="295">
        <v>1683.28</v>
      </c>
      <c r="L799" s="295">
        <v>823.1</v>
      </c>
      <c r="O799" s="266">
        <v>1</v>
      </c>
      <c r="P799" s="266">
        <v>871015004679</v>
      </c>
      <c r="R799" s="265">
        <v>11</v>
      </c>
      <c r="S799" s="265">
        <v>21.5</v>
      </c>
      <c r="T799" s="265">
        <v>21</v>
      </c>
      <c r="U799" s="265">
        <v>5</v>
      </c>
      <c r="V799" s="259" t="s">
        <v>3028</v>
      </c>
      <c r="W799" s="259" t="s">
        <v>3029</v>
      </c>
      <c r="X799" s="264" t="s">
        <v>5339</v>
      </c>
      <c r="Y799" s="259">
        <v>36</v>
      </c>
      <c r="Z799" s="259" t="s">
        <v>3030</v>
      </c>
      <c r="AA799" s="259" t="e">
        <v>#N/A</v>
      </c>
      <c r="AB799" s="259"/>
      <c r="AC799" s="259"/>
      <c r="AD799" s="259"/>
      <c r="AE799" s="259"/>
    </row>
    <row r="800" spans="1:31">
      <c r="A800" s="259" t="s">
        <v>896</v>
      </c>
      <c r="B800" s="259" t="s">
        <v>57</v>
      </c>
      <c r="C800" s="264" t="s">
        <v>5334</v>
      </c>
      <c r="D800" s="264" t="s">
        <v>5340</v>
      </c>
      <c r="E800" s="259" t="s">
        <v>5336</v>
      </c>
      <c r="H800" s="264" t="s">
        <v>5341</v>
      </c>
      <c r="I800" s="264" t="s">
        <v>5342</v>
      </c>
      <c r="J800" s="295">
        <v>1339.89</v>
      </c>
      <c r="K800" s="295">
        <v>1339.89</v>
      </c>
      <c r="L800" s="295">
        <v>729.29</v>
      </c>
      <c r="O800" s="266">
        <v>1</v>
      </c>
      <c r="P800" s="266">
        <v>871015004754</v>
      </c>
      <c r="R800" s="265">
        <v>11</v>
      </c>
      <c r="S800" s="265">
        <v>21.5</v>
      </c>
      <c r="T800" s="265">
        <v>21</v>
      </c>
      <c r="U800" s="265">
        <v>5</v>
      </c>
      <c r="V800" s="259" t="s">
        <v>3028</v>
      </c>
      <c r="W800" s="259" t="s">
        <v>3029</v>
      </c>
      <c r="X800" s="264" t="s">
        <v>5343</v>
      </c>
      <c r="Y800" s="259">
        <v>37</v>
      </c>
      <c r="Z800" s="259" t="s">
        <v>3030</v>
      </c>
      <c r="AA800" s="259" t="e">
        <v>#N/A</v>
      </c>
      <c r="AB800" s="259"/>
      <c r="AC800" s="259"/>
      <c r="AD800" s="259"/>
      <c r="AE800" s="259"/>
    </row>
    <row r="801" spans="1:31">
      <c r="A801" s="259" t="s">
        <v>897</v>
      </c>
      <c r="B801" s="259" t="s">
        <v>57</v>
      </c>
      <c r="C801" s="264" t="s">
        <v>5334</v>
      </c>
      <c r="D801" s="264" t="s">
        <v>5344</v>
      </c>
      <c r="E801" s="259" t="s">
        <v>5336</v>
      </c>
      <c r="H801" s="264" t="s">
        <v>5345</v>
      </c>
      <c r="I801" s="264" t="s">
        <v>5346</v>
      </c>
      <c r="J801" s="295">
        <v>3230.55</v>
      </c>
      <c r="K801" s="295">
        <v>3230.55</v>
      </c>
      <c r="L801" s="295">
        <v>1580.83</v>
      </c>
      <c r="O801" s="266">
        <v>1</v>
      </c>
      <c r="P801" s="266">
        <v>871015004839</v>
      </c>
      <c r="R801" s="265">
        <v>11</v>
      </c>
      <c r="S801" s="265">
        <v>21.5</v>
      </c>
      <c r="T801" s="265">
        <v>21</v>
      </c>
      <c r="U801" s="265">
        <v>5</v>
      </c>
      <c r="V801" s="259" t="s">
        <v>3028</v>
      </c>
      <c r="W801" s="259" t="s">
        <v>3029</v>
      </c>
      <c r="X801" s="264" t="s">
        <v>5347</v>
      </c>
      <c r="Y801" s="259">
        <v>38</v>
      </c>
      <c r="Z801" s="259" t="s">
        <v>3030</v>
      </c>
      <c r="AA801" s="259" t="e">
        <v>#N/A</v>
      </c>
      <c r="AB801" s="259"/>
      <c r="AC801" s="259"/>
      <c r="AD801" s="259"/>
      <c r="AE801" s="259"/>
    </row>
    <row r="802" spans="1:31">
      <c r="A802" s="259" t="s">
        <v>898</v>
      </c>
      <c r="B802" s="259" t="s">
        <v>57</v>
      </c>
      <c r="C802" s="264" t="s">
        <v>5334</v>
      </c>
      <c r="D802" s="264" t="s">
        <v>5348</v>
      </c>
      <c r="E802" s="259" t="s">
        <v>5336</v>
      </c>
      <c r="H802" s="264" t="s">
        <v>5349</v>
      </c>
      <c r="I802" s="264" t="s">
        <v>5350</v>
      </c>
      <c r="J802" s="295">
        <v>2319.66</v>
      </c>
      <c r="K802" s="295">
        <v>2319.66</v>
      </c>
      <c r="L802" s="295">
        <v>1132.8399999999999</v>
      </c>
      <c r="O802" s="266">
        <v>1</v>
      </c>
      <c r="P802" s="266">
        <v>871015004914</v>
      </c>
      <c r="R802" s="265">
        <v>11</v>
      </c>
      <c r="S802" s="265">
        <v>21.5</v>
      </c>
      <c r="T802" s="265">
        <v>21</v>
      </c>
      <c r="U802" s="265">
        <v>5</v>
      </c>
      <c r="V802" s="259" t="s">
        <v>3028</v>
      </c>
      <c r="W802" s="259" t="s">
        <v>3029</v>
      </c>
      <c r="X802" s="264" t="s">
        <v>5351</v>
      </c>
      <c r="Y802" s="259">
        <v>39</v>
      </c>
      <c r="Z802" s="259" t="s">
        <v>3030</v>
      </c>
      <c r="AA802" s="259" t="e">
        <v>#N/A</v>
      </c>
      <c r="AB802" s="259"/>
      <c r="AC802" s="259"/>
      <c r="AD802" s="259"/>
      <c r="AE802" s="259"/>
    </row>
    <row r="803" spans="1:31">
      <c r="A803" s="259" t="s">
        <v>899</v>
      </c>
      <c r="B803" s="259" t="s">
        <v>57</v>
      </c>
      <c r="C803" s="264" t="s">
        <v>5352</v>
      </c>
      <c r="D803" s="264" t="s">
        <v>5353</v>
      </c>
      <c r="E803" s="259" t="s">
        <v>5354</v>
      </c>
      <c r="H803" s="264" t="s">
        <v>5355</v>
      </c>
      <c r="I803" s="264" t="s">
        <v>5356</v>
      </c>
      <c r="J803" s="295">
        <v>4390</v>
      </c>
      <c r="K803" s="295">
        <v>4390</v>
      </c>
      <c r="L803" s="295">
        <v>2195</v>
      </c>
      <c r="O803" s="266">
        <v>1</v>
      </c>
      <c r="P803" s="266">
        <v>691991009501</v>
      </c>
      <c r="R803" s="265">
        <v>0</v>
      </c>
      <c r="S803" s="265">
        <v>0</v>
      </c>
      <c r="T803" s="265">
        <v>0</v>
      </c>
      <c r="U803" s="265">
        <v>0</v>
      </c>
      <c r="V803" s="259" t="s">
        <v>4159</v>
      </c>
      <c r="W803" s="259" t="s">
        <v>3061</v>
      </c>
      <c r="Y803" s="259">
        <v>40</v>
      </c>
      <c r="Z803" s="259" t="s">
        <v>3030</v>
      </c>
      <c r="AA803" s="259" t="e">
        <v>#N/A</v>
      </c>
      <c r="AB803" s="259"/>
      <c r="AC803" s="259"/>
      <c r="AD803" s="259"/>
      <c r="AE803" s="259"/>
    </row>
    <row r="804" spans="1:31">
      <c r="A804" s="259" t="s">
        <v>900</v>
      </c>
      <c r="B804" s="259" t="s">
        <v>57</v>
      </c>
      <c r="C804" s="264" t="s">
        <v>60</v>
      </c>
      <c r="D804" s="264" t="s">
        <v>5357</v>
      </c>
      <c r="E804" s="259" t="s">
        <v>5354</v>
      </c>
      <c r="H804" s="264" t="s">
        <v>5355</v>
      </c>
      <c r="I804" s="264" t="s">
        <v>5358</v>
      </c>
      <c r="J804" s="295">
        <v>3560</v>
      </c>
      <c r="K804" s="295">
        <v>3560</v>
      </c>
      <c r="L804" s="295">
        <v>1780</v>
      </c>
      <c r="O804" s="266">
        <v>1</v>
      </c>
      <c r="P804" s="266">
        <v>691991008153</v>
      </c>
      <c r="R804" s="265">
        <v>0</v>
      </c>
      <c r="S804" s="265">
        <v>0</v>
      </c>
      <c r="T804" s="265">
        <v>0</v>
      </c>
      <c r="U804" s="265">
        <v>0</v>
      </c>
      <c r="V804" s="259" t="s">
        <v>4159</v>
      </c>
      <c r="W804" s="259" t="s">
        <v>3061</v>
      </c>
      <c r="Y804" s="259">
        <v>41</v>
      </c>
      <c r="Z804" s="259" t="s">
        <v>3030</v>
      </c>
      <c r="AA804" s="259" t="e">
        <v>#N/A</v>
      </c>
      <c r="AB804" s="259"/>
      <c r="AC804" s="259"/>
      <c r="AD804" s="259"/>
      <c r="AE804" s="259"/>
    </row>
    <row r="805" spans="1:31">
      <c r="A805" s="259" t="s">
        <v>901</v>
      </c>
      <c r="B805" s="259" t="s">
        <v>57</v>
      </c>
      <c r="C805" s="264" t="s">
        <v>5352</v>
      </c>
      <c r="D805" s="264" t="s">
        <v>5359</v>
      </c>
      <c r="E805" s="259" t="s">
        <v>5354</v>
      </c>
      <c r="H805" s="264" t="s">
        <v>5360</v>
      </c>
      <c r="I805" s="264" t="s">
        <v>5361</v>
      </c>
      <c r="J805" s="295">
        <v>6642.76</v>
      </c>
      <c r="K805" s="295">
        <v>6642.76</v>
      </c>
      <c r="L805" s="295">
        <v>3321.38</v>
      </c>
      <c r="O805" s="266">
        <v>1</v>
      </c>
      <c r="P805" s="266">
        <v>691991009624</v>
      </c>
      <c r="R805" s="265">
        <v>0</v>
      </c>
      <c r="S805" s="265">
        <v>0</v>
      </c>
      <c r="T805" s="265">
        <v>0</v>
      </c>
      <c r="U805" s="265">
        <v>0</v>
      </c>
      <c r="V805" s="259" t="s">
        <v>4159</v>
      </c>
      <c r="W805" s="259" t="s">
        <v>3061</v>
      </c>
      <c r="Y805" s="259">
        <v>42</v>
      </c>
      <c r="Z805" s="259" t="s">
        <v>3030</v>
      </c>
      <c r="AA805" s="259" t="e">
        <v>#N/A</v>
      </c>
      <c r="AB805" s="259"/>
      <c r="AC805" s="259"/>
      <c r="AD805" s="259"/>
      <c r="AE805" s="259"/>
    </row>
    <row r="806" spans="1:31">
      <c r="A806" s="259" t="s">
        <v>902</v>
      </c>
      <c r="B806" s="259" t="s">
        <v>57</v>
      </c>
      <c r="C806" s="264" t="s">
        <v>5352</v>
      </c>
      <c r="D806" s="264" t="s">
        <v>5362</v>
      </c>
      <c r="E806" s="259" t="s">
        <v>5354</v>
      </c>
      <c r="H806" s="264" t="s">
        <v>5290</v>
      </c>
      <c r="I806" s="264" t="s">
        <v>5363</v>
      </c>
      <c r="J806" s="295">
        <v>2140</v>
      </c>
      <c r="K806" s="295">
        <v>2140</v>
      </c>
      <c r="L806" s="295">
        <v>1070</v>
      </c>
      <c r="O806" s="266">
        <v>1</v>
      </c>
      <c r="P806" s="266">
        <v>691991009327</v>
      </c>
      <c r="R806" s="265">
        <v>0</v>
      </c>
      <c r="S806" s="265">
        <v>0</v>
      </c>
      <c r="T806" s="265">
        <v>0</v>
      </c>
      <c r="U806" s="265">
        <v>0</v>
      </c>
      <c r="V806" s="259" t="s">
        <v>4159</v>
      </c>
      <c r="W806" s="259" t="s">
        <v>3061</v>
      </c>
      <c r="Y806" s="259">
        <v>43</v>
      </c>
      <c r="Z806" s="259" t="s">
        <v>3030</v>
      </c>
      <c r="AA806" s="259" t="e">
        <v>#N/A</v>
      </c>
      <c r="AB806" s="259"/>
      <c r="AC806" s="259"/>
      <c r="AD806" s="259"/>
      <c r="AE806" s="259"/>
    </row>
    <row r="807" spans="1:31">
      <c r="A807" s="259" t="s">
        <v>903</v>
      </c>
      <c r="B807" s="259" t="s">
        <v>57</v>
      </c>
      <c r="C807" s="264" t="s">
        <v>60</v>
      </c>
      <c r="D807" s="264" t="s">
        <v>5364</v>
      </c>
      <c r="E807" s="259" t="s">
        <v>5354</v>
      </c>
      <c r="H807" s="264" t="s">
        <v>5290</v>
      </c>
      <c r="I807" s="264" t="s">
        <v>5291</v>
      </c>
      <c r="J807" s="295">
        <v>1600</v>
      </c>
      <c r="K807" s="295">
        <v>1600</v>
      </c>
      <c r="L807" s="295">
        <v>800</v>
      </c>
      <c r="O807" s="266">
        <v>1</v>
      </c>
      <c r="P807" s="266">
        <v>691991008771</v>
      </c>
      <c r="R807" s="265">
        <v>0</v>
      </c>
      <c r="S807" s="265">
        <v>0</v>
      </c>
      <c r="T807" s="265">
        <v>0</v>
      </c>
      <c r="U807" s="265">
        <v>0</v>
      </c>
      <c r="V807" s="259" t="s">
        <v>4159</v>
      </c>
      <c r="W807" s="259" t="s">
        <v>3061</v>
      </c>
      <c r="Y807" s="259">
        <v>44</v>
      </c>
      <c r="Z807" s="259" t="s">
        <v>3030</v>
      </c>
      <c r="AA807" s="259" t="e">
        <v>#N/A</v>
      </c>
      <c r="AB807" s="259"/>
      <c r="AC807" s="259"/>
      <c r="AD807" s="259"/>
      <c r="AE807" s="259"/>
    </row>
    <row r="808" spans="1:31">
      <c r="A808" s="259" t="s">
        <v>904</v>
      </c>
      <c r="B808" s="259" t="s">
        <v>57</v>
      </c>
      <c r="C808" s="264" t="s">
        <v>5352</v>
      </c>
      <c r="D808" s="264" t="s">
        <v>5365</v>
      </c>
      <c r="E808" s="259" t="s">
        <v>5354</v>
      </c>
      <c r="H808" s="264" t="s">
        <v>5317</v>
      </c>
      <c r="I808" s="264" t="s">
        <v>5366</v>
      </c>
      <c r="J808" s="295">
        <v>3080</v>
      </c>
      <c r="K808" s="295">
        <v>3080</v>
      </c>
      <c r="L808" s="295">
        <v>1540</v>
      </c>
      <c r="O808" s="266">
        <v>1</v>
      </c>
      <c r="P808" s="266">
        <v>691991009440</v>
      </c>
      <c r="R808" s="265">
        <v>0</v>
      </c>
      <c r="S808" s="265">
        <v>0</v>
      </c>
      <c r="T808" s="265">
        <v>0</v>
      </c>
      <c r="U808" s="265">
        <v>0</v>
      </c>
      <c r="V808" s="259" t="s">
        <v>4159</v>
      </c>
      <c r="W808" s="259" t="s">
        <v>3061</v>
      </c>
      <c r="Y808" s="259">
        <v>45</v>
      </c>
      <c r="Z808" s="259" t="s">
        <v>3030</v>
      </c>
      <c r="AA808" s="259" t="e">
        <v>#N/A</v>
      </c>
      <c r="AB808" s="259"/>
      <c r="AC808" s="259"/>
      <c r="AD808" s="259"/>
      <c r="AE808" s="259"/>
    </row>
    <row r="809" spans="1:31">
      <c r="A809" s="259" t="s">
        <v>905</v>
      </c>
      <c r="B809" s="259" t="s">
        <v>57</v>
      </c>
      <c r="C809" s="264" t="s">
        <v>60</v>
      </c>
      <c r="D809" s="264" t="s">
        <v>5367</v>
      </c>
      <c r="E809" s="259" t="s">
        <v>5354</v>
      </c>
      <c r="H809" s="264" t="s">
        <v>5317</v>
      </c>
      <c r="I809" s="264" t="s">
        <v>5368</v>
      </c>
      <c r="J809" s="295">
        <v>2370</v>
      </c>
      <c r="K809" s="295">
        <v>2370</v>
      </c>
      <c r="L809" s="295">
        <v>1185</v>
      </c>
      <c r="O809" s="266">
        <v>1</v>
      </c>
      <c r="P809" s="266">
        <v>691991008979</v>
      </c>
      <c r="R809" s="265">
        <v>0</v>
      </c>
      <c r="S809" s="265">
        <v>0</v>
      </c>
      <c r="T809" s="265">
        <v>0</v>
      </c>
      <c r="U809" s="265">
        <v>0</v>
      </c>
      <c r="V809" s="259" t="s">
        <v>4159</v>
      </c>
      <c r="W809" s="259" t="s">
        <v>3061</v>
      </c>
      <c r="Y809" s="259">
        <v>46</v>
      </c>
      <c r="Z809" s="259" t="s">
        <v>3030</v>
      </c>
      <c r="AA809" s="259" t="e">
        <v>#N/A</v>
      </c>
      <c r="AB809" s="259"/>
      <c r="AC809" s="259"/>
      <c r="AD809" s="259"/>
      <c r="AE809" s="259"/>
    </row>
    <row r="810" spans="1:31">
      <c r="A810" s="259" t="s">
        <v>906</v>
      </c>
      <c r="B810" s="259" t="s">
        <v>57</v>
      </c>
      <c r="C810" s="264" t="s">
        <v>5369</v>
      </c>
      <c r="D810" s="264" t="s">
        <v>5370</v>
      </c>
      <c r="E810" s="259" t="s">
        <v>5354</v>
      </c>
      <c r="F810" s="259" t="s">
        <v>5021</v>
      </c>
      <c r="H810" s="264" t="s">
        <v>5371</v>
      </c>
      <c r="I810" s="264" t="s">
        <v>5372</v>
      </c>
      <c r="J810" s="295">
        <v>6642</v>
      </c>
      <c r="K810" s="295">
        <v>6642</v>
      </c>
      <c r="L810" s="295">
        <v>3321</v>
      </c>
      <c r="O810" s="266">
        <v>1</v>
      </c>
      <c r="P810" s="266">
        <v>691991009945</v>
      </c>
      <c r="R810" s="265">
        <v>0</v>
      </c>
      <c r="S810" s="265">
        <v>0</v>
      </c>
      <c r="T810" s="265">
        <v>0</v>
      </c>
      <c r="U810" s="265">
        <v>0</v>
      </c>
      <c r="V810" s="259" t="s">
        <v>4159</v>
      </c>
      <c r="W810" s="259" t="s">
        <v>3061</v>
      </c>
      <c r="Y810" s="259">
        <v>47</v>
      </c>
      <c r="Z810" s="259" t="s">
        <v>3030</v>
      </c>
      <c r="AA810" s="259" t="e">
        <v>#N/A</v>
      </c>
      <c r="AB810" s="259"/>
      <c r="AC810" s="259"/>
      <c r="AD810" s="259"/>
      <c r="AE810" s="259"/>
    </row>
    <row r="811" spans="1:31">
      <c r="A811" s="259" t="s">
        <v>907</v>
      </c>
      <c r="B811" s="259" t="s">
        <v>57</v>
      </c>
      <c r="C811" s="264" t="s">
        <v>5373</v>
      </c>
      <c r="D811" s="264" t="s">
        <v>5374</v>
      </c>
      <c r="E811" s="259" t="s">
        <v>5354</v>
      </c>
      <c r="F811" s="259" t="s">
        <v>5021</v>
      </c>
      <c r="H811" s="264" t="s">
        <v>5371</v>
      </c>
      <c r="I811" s="264" t="s">
        <v>5375</v>
      </c>
      <c r="J811" s="295">
        <v>7310</v>
      </c>
      <c r="K811" s="295">
        <v>7310</v>
      </c>
      <c r="L811" s="295">
        <v>3655</v>
      </c>
      <c r="O811" s="266">
        <v>1</v>
      </c>
      <c r="P811" s="266">
        <v>691991008214</v>
      </c>
      <c r="R811" s="265">
        <v>0</v>
      </c>
      <c r="S811" s="265">
        <v>0</v>
      </c>
      <c r="T811" s="265">
        <v>0</v>
      </c>
      <c r="U811" s="265">
        <v>0</v>
      </c>
      <c r="V811" s="259" t="s">
        <v>4159</v>
      </c>
      <c r="W811" s="259" t="s">
        <v>3061</v>
      </c>
      <c r="Y811" s="259">
        <v>48</v>
      </c>
      <c r="Z811" s="259" t="s">
        <v>3227</v>
      </c>
      <c r="AA811" s="259" t="e">
        <v>#N/A</v>
      </c>
      <c r="AB811" s="259"/>
      <c r="AC811" s="259"/>
      <c r="AD811" s="259"/>
      <c r="AE811" s="259"/>
    </row>
    <row r="812" spans="1:31">
      <c r="A812" s="259" t="s">
        <v>908</v>
      </c>
      <c r="B812" s="259" t="s">
        <v>57</v>
      </c>
      <c r="C812" s="264" t="s">
        <v>5352</v>
      </c>
      <c r="D812" s="264" t="s">
        <v>5376</v>
      </c>
      <c r="E812" s="259" t="s">
        <v>5354</v>
      </c>
      <c r="H812" s="264" t="s">
        <v>5371</v>
      </c>
      <c r="I812" s="264" t="s">
        <v>5377</v>
      </c>
      <c r="J812" s="295">
        <v>6640</v>
      </c>
      <c r="K812" s="295">
        <v>6640</v>
      </c>
      <c r="L812" s="295">
        <v>3320</v>
      </c>
      <c r="O812" s="266">
        <v>1</v>
      </c>
      <c r="P812" s="266">
        <v>691991008917</v>
      </c>
      <c r="R812" s="265">
        <v>0</v>
      </c>
      <c r="S812" s="265">
        <v>0</v>
      </c>
      <c r="T812" s="265">
        <v>0</v>
      </c>
      <c r="U812" s="265">
        <v>0</v>
      </c>
      <c r="V812" s="259" t="s">
        <v>4159</v>
      </c>
      <c r="W812" s="259" t="s">
        <v>3061</v>
      </c>
      <c r="Y812" s="259">
        <v>49</v>
      </c>
      <c r="Z812" s="259" t="s">
        <v>3030</v>
      </c>
      <c r="AA812" s="259" t="e">
        <v>#N/A</v>
      </c>
      <c r="AB812" s="259"/>
      <c r="AC812" s="259"/>
      <c r="AD812" s="259"/>
      <c r="AE812" s="259"/>
    </row>
    <row r="813" spans="1:31">
      <c r="A813" s="259" t="s">
        <v>909</v>
      </c>
      <c r="B813" s="259" t="s">
        <v>57</v>
      </c>
      <c r="C813" s="264" t="s">
        <v>60</v>
      </c>
      <c r="D813" s="264" t="s">
        <v>5378</v>
      </c>
      <c r="E813" s="259" t="s">
        <v>5354</v>
      </c>
      <c r="H813" s="264" t="s">
        <v>5371</v>
      </c>
      <c r="I813" s="264" t="s">
        <v>5379</v>
      </c>
      <c r="J813" s="295">
        <v>5520</v>
      </c>
      <c r="K813" s="295">
        <v>5520</v>
      </c>
      <c r="L813" s="295">
        <v>2760</v>
      </c>
      <c r="O813" s="266">
        <v>1</v>
      </c>
      <c r="P813" s="266">
        <v>691991009389</v>
      </c>
      <c r="R813" s="265">
        <v>0</v>
      </c>
      <c r="S813" s="265">
        <v>0</v>
      </c>
      <c r="T813" s="265">
        <v>0</v>
      </c>
      <c r="U813" s="265">
        <v>0</v>
      </c>
      <c r="V813" s="259" t="s">
        <v>4159</v>
      </c>
      <c r="W813" s="259" t="s">
        <v>3061</v>
      </c>
      <c r="Y813" s="259">
        <v>50</v>
      </c>
      <c r="Z813" s="259" t="s">
        <v>3030</v>
      </c>
      <c r="AA813" s="259" t="e">
        <v>#N/A</v>
      </c>
      <c r="AB813" s="259"/>
      <c r="AC813" s="259"/>
      <c r="AD813" s="259"/>
      <c r="AE813" s="259"/>
    </row>
    <row r="814" spans="1:31">
      <c r="A814" s="259" t="s">
        <v>910</v>
      </c>
      <c r="B814" s="259" t="s">
        <v>57</v>
      </c>
      <c r="C814" s="264" t="s">
        <v>5352</v>
      </c>
      <c r="D814" s="264" t="s">
        <v>5380</v>
      </c>
      <c r="E814" s="259" t="s">
        <v>5354</v>
      </c>
      <c r="H814" s="264" t="s">
        <v>5381</v>
      </c>
      <c r="I814" s="264" t="s">
        <v>5382</v>
      </c>
      <c r="J814" s="295">
        <v>10680</v>
      </c>
      <c r="K814" s="295">
        <v>10680</v>
      </c>
      <c r="L814" s="295">
        <v>5340</v>
      </c>
      <c r="O814" s="266">
        <v>1</v>
      </c>
      <c r="P814" s="266">
        <v>691991009990</v>
      </c>
      <c r="R814" s="265">
        <v>0</v>
      </c>
      <c r="S814" s="265">
        <v>0</v>
      </c>
      <c r="T814" s="265">
        <v>0</v>
      </c>
      <c r="U814" s="265">
        <v>0</v>
      </c>
      <c r="V814" s="259" t="s">
        <v>4159</v>
      </c>
      <c r="W814" s="259" t="s">
        <v>3061</v>
      </c>
      <c r="Y814" s="259">
        <v>51</v>
      </c>
      <c r="Z814" s="259" t="s">
        <v>3030</v>
      </c>
      <c r="AA814" s="259" t="e">
        <v>#N/A</v>
      </c>
      <c r="AB814" s="259"/>
      <c r="AC814" s="259"/>
      <c r="AD814" s="259"/>
      <c r="AE814" s="259"/>
    </row>
    <row r="815" spans="1:31">
      <c r="A815" s="259" t="s">
        <v>911</v>
      </c>
      <c r="B815" s="259" t="s">
        <v>57</v>
      </c>
      <c r="C815" s="264" t="s">
        <v>5369</v>
      </c>
      <c r="D815" s="264" t="s">
        <v>5383</v>
      </c>
      <c r="E815" s="259" t="s">
        <v>5354</v>
      </c>
      <c r="F815" s="259" t="s">
        <v>5021</v>
      </c>
      <c r="H815" s="264" t="s">
        <v>5384</v>
      </c>
      <c r="I815" s="264" t="s">
        <v>5385</v>
      </c>
      <c r="J815" s="295">
        <v>3620</v>
      </c>
      <c r="K815" s="295">
        <v>3620</v>
      </c>
      <c r="L815" s="295">
        <v>1810</v>
      </c>
      <c r="O815" s="266"/>
      <c r="P815" s="266">
        <v>691991010071</v>
      </c>
      <c r="R815" s="265">
        <v>0</v>
      </c>
      <c r="S815" s="265">
        <v>0</v>
      </c>
      <c r="T815" s="265">
        <v>0</v>
      </c>
      <c r="U815" s="265">
        <v>0</v>
      </c>
      <c r="V815" s="259" t="s">
        <v>4159</v>
      </c>
      <c r="W815" s="259" t="s">
        <v>3061</v>
      </c>
      <c r="Y815" s="259">
        <v>52</v>
      </c>
      <c r="Z815" s="259" t="s">
        <v>3030</v>
      </c>
      <c r="AA815" s="259" t="e">
        <v>#N/A</v>
      </c>
      <c r="AB815" s="259"/>
      <c r="AC815" s="259"/>
      <c r="AD815" s="259"/>
      <c r="AE815" s="259"/>
    </row>
    <row r="816" spans="1:31">
      <c r="A816" s="259" t="s">
        <v>912</v>
      </c>
      <c r="B816" s="259" t="s">
        <v>57</v>
      </c>
      <c r="C816" s="264" t="s">
        <v>5352</v>
      </c>
      <c r="D816" s="264" t="s">
        <v>5386</v>
      </c>
      <c r="E816" s="259" t="s">
        <v>5354</v>
      </c>
      <c r="H816" s="264" t="s">
        <v>5295</v>
      </c>
      <c r="I816" s="264" t="s">
        <v>5387</v>
      </c>
      <c r="J816" s="295">
        <v>3620</v>
      </c>
      <c r="K816" s="295">
        <v>3620</v>
      </c>
      <c r="L816" s="295">
        <v>1810</v>
      </c>
      <c r="O816" s="266">
        <v>1</v>
      </c>
      <c r="P816" s="266">
        <v>691991009037</v>
      </c>
      <c r="R816" s="265">
        <v>0</v>
      </c>
      <c r="S816" s="265">
        <v>0</v>
      </c>
      <c r="T816" s="265">
        <v>0</v>
      </c>
      <c r="U816" s="265">
        <v>0</v>
      </c>
      <c r="V816" s="259" t="s">
        <v>4159</v>
      </c>
      <c r="W816" s="259" t="s">
        <v>3061</v>
      </c>
      <c r="Y816" s="259">
        <v>53</v>
      </c>
      <c r="Z816" s="259" t="s">
        <v>3030</v>
      </c>
      <c r="AA816" s="259" t="e">
        <v>#N/A</v>
      </c>
      <c r="AB816" s="259"/>
      <c r="AC816" s="259"/>
      <c r="AD816" s="259"/>
      <c r="AE816" s="259"/>
    </row>
    <row r="817" spans="1:31">
      <c r="A817" s="259" t="s">
        <v>913</v>
      </c>
      <c r="B817" s="259" t="s">
        <v>57</v>
      </c>
      <c r="C817" s="264" t="s">
        <v>60</v>
      </c>
      <c r="D817" s="264" t="s">
        <v>5388</v>
      </c>
      <c r="E817" s="259" t="s">
        <v>5354</v>
      </c>
      <c r="H817" s="264" t="s">
        <v>5295</v>
      </c>
      <c r="I817" s="264" t="s">
        <v>5389</v>
      </c>
      <c r="J817" s="295">
        <v>2610</v>
      </c>
      <c r="K817" s="295">
        <v>2610</v>
      </c>
      <c r="L817" s="295">
        <v>1305</v>
      </c>
      <c r="O817" s="266">
        <v>1</v>
      </c>
      <c r="P817" s="266">
        <v>691991008719</v>
      </c>
      <c r="R817" s="265">
        <v>0</v>
      </c>
      <c r="S817" s="265">
        <v>0</v>
      </c>
      <c r="T817" s="265">
        <v>0</v>
      </c>
      <c r="U817" s="265">
        <v>0</v>
      </c>
      <c r="V817" s="259" t="s">
        <v>4159</v>
      </c>
      <c r="W817" s="259" t="s">
        <v>3061</v>
      </c>
      <c r="Y817" s="259">
        <v>54</v>
      </c>
      <c r="Z817" s="259" t="s">
        <v>3030</v>
      </c>
      <c r="AA817" s="259" t="e">
        <v>#N/A</v>
      </c>
      <c r="AB817" s="259"/>
      <c r="AC817" s="259"/>
      <c r="AD817" s="259"/>
      <c r="AE817" s="259"/>
    </row>
    <row r="818" spans="1:31">
      <c r="A818" s="259" t="s">
        <v>914</v>
      </c>
      <c r="B818" s="259" t="s">
        <v>57</v>
      </c>
      <c r="C818" s="264" t="s">
        <v>5369</v>
      </c>
      <c r="D818" s="264" t="s">
        <v>5390</v>
      </c>
      <c r="E818" s="259" t="s">
        <v>5354</v>
      </c>
      <c r="F818" s="259" t="s">
        <v>5021</v>
      </c>
      <c r="H818" s="264" t="s">
        <v>5391</v>
      </c>
      <c r="I818" s="264" t="s">
        <v>5392</v>
      </c>
      <c r="J818" s="295">
        <v>5040</v>
      </c>
      <c r="K818" s="295">
        <v>5040</v>
      </c>
      <c r="L818" s="295">
        <v>2520</v>
      </c>
      <c r="O818" s="266"/>
      <c r="P818" s="266">
        <v>691991010132</v>
      </c>
      <c r="R818" s="265">
        <v>0</v>
      </c>
      <c r="S818" s="265">
        <v>0</v>
      </c>
      <c r="T818" s="265">
        <v>0</v>
      </c>
      <c r="U818" s="265">
        <v>0</v>
      </c>
      <c r="V818" s="259" t="s">
        <v>4159</v>
      </c>
      <c r="W818" s="259" t="s">
        <v>3061</v>
      </c>
      <c r="Y818" s="259">
        <v>55</v>
      </c>
      <c r="Z818" s="259" t="s">
        <v>3030</v>
      </c>
      <c r="AA818" s="259" t="e">
        <v>#N/A</v>
      </c>
      <c r="AB818" s="259"/>
      <c r="AC818" s="259"/>
      <c r="AD818" s="259"/>
      <c r="AE818" s="259"/>
    </row>
    <row r="819" spans="1:31">
      <c r="A819" s="259" t="s">
        <v>915</v>
      </c>
      <c r="B819" s="259" t="s">
        <v>57</v>
      </c>
      <c r="C819" s="264" t="s">
        <v>5352</v>
      </c>
      <c r="D819" s="264" t="s">
        <v>5393</v>
      </c>
      <c r="E819" s="259" t="s">
        <v>5354</v>
      </c>
      <c r="H819" s="264" t="s">
        <v>5394</v>
      </c>
      <c r="I819" s="264" t="s">
        <v>5395</v>
      </c>
      <c r="J819" s="295">
        <v>5040</v>
      </c>
      <c r="K819" s="295">
        <v>5040</v>
      </c>
      <c r="L819" s="295">
        <v>2520</v>
      </c>
      <c r="O819" s="266">
        <v>1</v>
      </c>
      <c r="P819" s="266">
        <v>691991009204</v>
      </c>
      <c r="R819" s="265">
        <v>0</v>
      </c>
      <c r="S819" s="265">
        <v>0</v>
      </c>
      <c r="T819" s="265">
        <v>0</v>
      </c>
      <c r="U819" s="265">
        <v>0</v>
      </c>
      <c r="V819" s="259" t="s">
        <v>4159</v>
      </c>
      <c r="W819" s="259" t="s">
        <v>3061</v>
      </c>
      <c r="Y819" s="259">
        <v>56</v>
      </c>
      <c r="Z819" s="259" t="s">
        <v>3030</v>
      </c>
      <c r="AA819" s="259" t="e">
        <v>#N/A</v>
      </c>
      <c r="AB819" s="259"/>
      <c r="AC819" s="259"/>
      <c r="AD819" s="259"/>
      <c r="AE819" s="259"/>
    </row>
    <row r="820" spans="1:31">
      <c r="A820" s="259" t="s">
        <v>916</v>
      </c>
      <c r="B820" s="259" t="s">
        <v>57</v>
      </c>
      <c r="C820" s="264" t="s">
        <v>60</v>
      </c>
      <c r="D820" s="264" t="s">
        <v>5396</v>
      </c>
      <c r="E820" s="259" t="s">
        <v>5354</v>
      </c>
      <c r="H820" s="264" t="s">
        <v>5394</v>
      </c>
      <c r="I820" s="264" t="s">
        <v>5397</v>
      </c>
      <c r="J820" s="295">
        <v>3910</v>
      </c>
      <c r="K820" s="295">
        <v>3910</v>
      </c>
      <c r="L820" s="295">
        <v>1955</v>
      </c>
      <c r="O820" s="266">
        <v>1</v>
      </c>
      <c r="P820" s="266">
        <v>691991008351</v>
      </c>
      <c r="R820" s="265">
        <v>0</v>
      </c>
      <c r="S820" s="265">
        <v>0</v>
      </c>
      <c r="T820" s="265">
        <v>0</v>
      </c>
      <c r="U820" s="265">
        <v>0</v>
      </c>
      <c r="V820" s="259" t="s">
        <v>4159</v>
      </c>
      <c r="W820" s="259" t="s">
        <v>3061</v>
      </c>
      <c r="Y820" s="259">
        <v>57</v>
      </c>
      <c r="Z820" s="259" t="s">
        <v>3030</v>
      </c>
      <c r="AA820" s="259" t="e">
        <v>#N/A</v>
      </c>
      <c r="AB820" s="259"/>
      <c r="AC820" s="259"/>
      <c r="AD820" s="259"/>
      <c r="AE820" s="259"/>
    </row>
    <row r="821" spans="1:31">
      <c r="A821" s="259" t="s">
        <v>917</v>
      </c>
      <c r="B821" s="259" t="s">
        <v>57</v>
      </c>
      <c r="C821" s="264" t="s">
        <v>5369</v>
      </c>
      <c r="D821" s="264" t="s">
        <v>5398</v>
      </c>
      <c r="E821" s="259" t="s">
        <v>5354</v>
      </c>
      <c r="F821" s="259" t="s">
        <v>5021</v>
      </c>
      <c r="H821" s="264" t="s">
        <v>5399</v>
      </c>
      <c r="I821" s="264" t="s">
        <v>5400</v>
      </c>
      <c r="J821" s="295">
        <v>6750</v>
      </c>
      <c r="K821" s="295">
        <v>6750</v>
      </c>
      <c r="L821" s="295">
        <v>3375</v>
      </c>
      <c r="O821" s="266"/>
      <c r="P821" s="266">
        <v>691991010194</v>
      </c>
      <c r="R821" s="265">
        <v>0</v>
      </c>
      <c r="S821" s="265">
        <v>0</v>
      </c>
      <c r="T821" s="265">
        <v>0</v>
      </c>
      <c r="U821" s="265">
        <v>0</v>
      </c>
      <c r="V821" s="259" t="s">
        <v>4159</v>
      </c>
      <c r="W821" s="259" t="s">
        <v>3061</v>
      </c>
      <c r="Y821" s="259">
        <v>58</v>
      </c>
      <c r="Z821" s="259" t="s">
        <v>3030</v>
      </c>
      <c r="AA821" s="259" t="e">
        <v>#N/A</v>
      </c>
      <c r="AB821" s="259"/>
      <c r="AC821" s="259"/>
      <c r="AD821" s="259"/>
      <c r="AE821" s="259"/>
    </row>
    <row r="822" spans="1:31">
      <c r="A822" s="259" t="s">
        <v>918</v>
      </c>
      <c r="B822" s="259" t="s">
        <v>57</v>
      </c>
      <c r="C822" s="264" t="s">
        <v>5352</v>
      </c>
      <c r="D822" s="264" t="s">
        <v>5401</v>
      </c>
      <c r="E822" s="259" t="s">
        <v>5354</v>
      </c>
      <c r="H822" s="264" t="s">
        <v>5402</v>
      </c>
      <c r="I822" s="264" t="s">
        <v>5403</v>
      </c>
      <c r="J822" s="295">
        <v>6750</v>
      </c>
      <c r="K822" s="295">
        <v>6750</v>
      </c>
      <c r="L822" s="295">
        <v>3375</v>
      </c>
      <c r="O822" s="266">
        <v>1</v>
      </c>
      <c r="P822" s="266">
        <v>691991008412</v>
      </c>
      <c r="R822" s="265">
        <v>0</v>
      </c>
      <c r="S822" s="265">
        <v>0</v>
      </c>
      <c r="T822" s="265">
        <v>0</v>
      </c>
      <c r="U822" s="265">
        <v>0</v>
      </c>
      <c r="V822" s="259" t="s">
        <v>4159</v>
      </c>
      <c r="W822" s="259" t="s">
        <v>3061</v>
      </c>
      <c r="Y822" s="259">
        <v>59</v>
      </c>
      <c r="Z822" s="259" t="s">
        <v>3030</v>
      </c>
      <c r="AA822" s="259" t="e">
        <v>#N/A</v>
      </c>
      <c r="AB822" s="259"/>
      <c r="AC822" s="259"/>
      <c r="AD822" s="259"/>
      <c r="AE822" s="259"/>
    </row>
    <row r="823" spans="1:31">
      <c r="A823" s="259" t="s">
        <v>919</v>
      </c>
      <c r="B823" s="259" t="s">
        <v>57</v>
      </c>
      <c r="C823" s="264" t="s">
        <v>60</v>
      </c>
      <c r="D823" s="264" t="s">
        <v>5404</v>
      </c>
      <c r="E823" s="259" t="s">
        <v>5354</v>
      </c>
      <c r="H823" s="264" t="s">
        <v>5402</v>
      </c>
      <c r="I823" s="264" t="s">
        <v>5405</v>
      </c>
      <c r="J823" s="295">
        <v>5220</v>
      </c>
      <c r="K823" s="295">
        <v>5220</v>
      </c>
      <c r="L823" s="295">
        <v>2610</v>
      </c>
      <c r="O823" s="266">
        <v>1</v>
      </c>
      <c r="P823" s="266">
        <v>691991008856</v>
      </c>
      <c r="R823" s="265">
        <v>0</v>
      </c>
      <c r="S823" s="265">
        <v>0</v>
      </c>
      <c r="T823" s="265">
        <v>0</v>
      </c>
      <c r="U823" s="265">
        <v>0</v>
      </c>
      <c r="V823" s="259" t="s">
        <v>4159</v>
      </c>
      <c r="W823" s="259" t="s">
        <v>3061</v>
      </c>
      <c r="Y823" s="259">
        <v>60</v>
      </c>
      <c r="Z823" s="259" t="s">
        <v>3030</v>
      </c>
      <c r="AA823" s="259" t="e">
        <v>#N/A</v>
      </c>
      <c r="AB823" s="259"/>
      <c r="AC823" s="259"/>
      <c r="AD823" s="259"/>
      <c r="AE823" s="259"/>
    </row>
    <row r="824" spans="1:31">
      <c r="A824" s="259" t="s">
        <v>920</v>
      </c>
      <c r="B824" s="259" t="s">
        <v>57</v>
      </c>
      <c r="C824" s="264" t="s">
        <v>5369</v>
      </c>
      <c r="D824" s="264" t="s">
        <v>5406</v>
      </c>
      <c r="E824" s="259" t="s">
        <v>5354</v>
      </c>
      <c r="F824" s="259" t="s">
        <v>5021</v>
      </c>
      <c r="H824" s="264" t="s">
        <v>5407</v>
      </c>
      <c r="I824" s="264" t="s">
        <v>5408</v>
      </c>
      <c r="J824" s="295">
        <v>9730</v>
      </c>
      <c r="K824" s="295">
        <v>9730</v>
      </c>
      <c r="L824" s="295">
        <v>4865</v>
      </c>
      <c r="O824" s="266">
        <v>1</v>
      </c>
      <c r="P824" s="266">
        <v>691991010255</v>
      </c>
      <c r="R824" s="265">
        <v>0</v>
      </c>
      <c r="S824" s="265">
        <v>0</v>
      </c>
      <c r="T824" s="265">
        <v>0</v>
      </c>
      <c r="U824" s="265">
        <v>0</v>
      </c>
      <c r="V824" s="259" t="s">
        <v>4159</v>
      </c>
      <c r="W824" s="259" t="s">
        <v>3061</v>
      </c>
      <c r="Y824" s="259">
        <v>61</v>
      </c>
      <c r="Z824" s="259" t="s">
        <v>3030</v>
      </c>
      <c r="AA824" s="259" t="e">
        <v>#N/A</v>
      </c>
      <c r="AB824" s="259"/>
      <c r="AC824" s="259"/>
      <c r="AD824" s="259"/>
      <c r="AE824" s="259"/>
    </row>
    <row r="825" spans="1:31">
      <c r="A825" s="259" t="s">
        <v>921</v>
      </c>
      <c r="B825" s="259" t="s">
        <v>57</v>
      </c>
      <c r="C825" s="264" t="s">
        <v>5373</v>
      </c>
      <c r="D825" s="264" t="s">
        <v>5409</v>
      </c>
      <c r="E825" s="259" t="s">
        <v>5354</v>
      </c>
      <c r="F825" s="259" t="s">
        <v>5021</v>
      </c>
      <c r="H825" s="264" t="s">
        <v>5407</v>
      </c>
      <c r="I825" s="264" t="s">
        <v>5410</v>
      </c>
      <c r="J825" s="295">
        <v>10700</v>
      </c>
      <c r="K825" s="295">
        <v>10700</v>
      </c>
      <c r="L825" s="295">
        <v>5350</v>
      </c>
      <c r="O825" s="266">
        <v>1</v>
      </c>
      <c r="P825" s="266">
        <v>691991008474</v>
      </c>
      <c r="R825" s="265">
        <v>0</v>
      </c>
      <c r="S825" s="265">
        <v>0</v>
      </c>
      <c r="T825" s="265">
        <v>0</v>
      </c>
      <c r="U825" s="265">
        <v>0</v>
      </c>
      <c r="V825" s="259" t="s">
        <v>4159</v>
      </c>
      <c r="W825" s="259" t="s">
        <v>3061</v>
      </c>
      <c r="Y825" s="259">
        <v>62</v>
      </c>
      <c r="Z825" s="259" t="s">
        <v>3227</v>
      </c>
      <c r="AA825" s="259" t="e">
        <v>#N/A</v>
      </c>
      <c r="AB825" s="259"/>
      <c r="AC825" s="259"/>
      <c r="AD825" s="259"/>
      <c r="AE825" s="259"/>
    </row>
    <row r="826" spans="1:31">
      <c r="A826" s="259" t="s">
        <v>922</v>
      </c>
      <c r="B826" s="259" t="s">
        <v>57</v>
      </c>
      <c r="C826" s="264" t="s">
        <v>5352</v>
      </c>
      <c r="D826" s="264" t="s">
        <v>5411</v>
      </c>
      <c r="E826" s="259" t="s">
        <v>5354</v>
      </c>
      <c r="H826" s="264" t="s">
        <v>5407</v>
      </c>
      <c r="I826" s="264" t="s">
        <v>5412</v>
      </c>
      <c r="J826" s="295">
        <v>9730</v>
      </c>
      <c r="K826" s="295">
        <v>9730</v>
      </c>
      <c r="L826" s="295">
        <v>4865</v>
      </c>
      <c r="O826" s="266">
        <v>1</v>
      </c>
      <c r="P826" s="266">
        <v>691991009099</v>
      </c>
      <c r="R826" s="265">
        <v>0</v>
      </c>
      <c r="S826" s="265">
        <v>0</v>
      </c>
      <c r="T826" s="265">
        <v>0</v>
      </c>
      <c r="U826" s="265">
        <v>0</v>
      </c>
      <c r="V826" s="259" t="s">
        <v>4159</v>
      </c>
      <c r="W826" s="259" t="s">
        <v>3061</v>
      </c>
      <c r="Y826" s="259">
        <v>63</v>
      </c>
      <c r="Z826" s="259" t="s">
        <v>3030</v>
      </c>
      <c r="AA826" s="259" t="e">
        <v>#N/A</v>
      </c>
      <c r="AB826" s="259"/>
      <c r="AC826" s="259"/>
      <c r="AD826" s="259"/>
      <c r="AE826" s="259"/>
    </row>
    <row r="827" spans="1:31">
      <c r="A827" s="259" t="s">
        <v>923</v>
      </c>
      <c r="B827" s="259" t="s">
        <v>57</v>
      </c>
      <c r="C827" s="264" t="s">
        <v>60</v>
      </c>
      <c r="D827" s="264" t="s">
        <v>5413</v>
      </c>
      <c r="E827" s="259" t="s">
        <v>5354</v>
      </c>
      <c r="H827" s="264" t="s">
        <v>5407</v>
      </c>
      <c r="I827" s="264" t="s">
        <v>5414</v>
      </c>
      <c r="J827" s="295">
        <v>7830</v>
      </c>
      <c r="K827" s="295">
        <v>7830</v>
      </c>
      <c r="L827" s="295">
        <v>3915</v>
      </c>
      <c r="O827" s="266">
        <v>1</v>
      </c>
      <c r="P827" s="266">
        <v>691991009563</v>
      </c>
      <c r="R827" s="265">
        <v>0</v>
      </c>
      <c r="S827" s="265">
        <v>0</v>
      </c>
      <c r="T827" s="265">
        <v>0</v>
      </c>
      <c r="U827" s="265">
        <v>0</v>
      </c>
      <c r="V827" s="259" t="s">
        <v>4159</v>
      </c>
      <c r="W827" s="259" t="s">
        <v>3061</v>
      </c>
      <c r="Y827" s="259">
        <v>64</v>
      </c>
      <c r="Z827" s="259" t="s">
        <v>3030</v>
      </c>
      <c r="AA827" s="259" t="e">
        <v>#N/A</v>
      </c>
      <c r="AB827" s="259"/>
      <c r="AC827" s="259"/>
      <c r="AD827" s="259"/>
      <c r="AE827" s="259"/>
    </row>
    <row r="828" spans="1:31">
      <c r="A828" s="259" t="s">
        <v>924</v>
      </c>
      <c r="B828" s="259" t="s">
        <v>57</v>
      </c>
      <c r="C828" s="264" t="s">
        <v>59</v>
      </c>
      <c r="D828" s="264" t="s">
        <v>5415</v>
      </c>
      <c r="E828" s="259" t="s">
        <v>5416</v>
      </c>
      <c r="F828" s="259" t="s">
        <v>5021</v>
      </c>
      <c r="H828" s="264" t="s">
        <v>5417</v>
      </c>
      <c r="I828" s="264" t="s">
        <v>5418</v>
      </c>
      <c r="J828" s="295">
        <v>14900</v>
      </c>
      <c r="K828" s="295">
        <v>14900</v>
      </c>
      <c r="L828" s="295">
        <v>7450</v>
      </c>
      <c r="O828" s="266">
        <v>1</v>
      </c>
      <c r="P828" s="266">
        <v>691991008023</v>
      </c>
      <c r="R828" s="265">
        <v>0</v>
      </c>
      <c r="S828" s="265">
        <v>0</v>
      </c>
      <c r="T828" s="265">
        <v>0</v>
      </c>
      <c r="U828" s="265">
        <v>0</v>
      </c>
      <c r="V828" s="259" t="s">
        <v>4159</v>
      </c>
      <c r="W828" s="259" t="s">
        <v>3061</v>
      </c>
      <c r="Y828" s="259">
        <v>65</v>
      </c>
      <c r="Z828" s="259" t="s">
        <v>3030</v>
      </c>
      <c r="AA828" s="259" t="e">
        <v>#N/A</v>
      </c>
      <c r="AB828" s="259"/>
      <c r="AC828" s="259"/>
      <c r="AD828" s="259"/>
      <c r="AE828" s="259"/>
    </row>
    <row r="829" spans="1:31">
      <c r="A829" s="259" t="s">
        <v>925</v>
      </c>
      <c r="B829" s="259" t="s">
        <v>57</v>
      </c>
      <c r="C829" s="264" t="s">
        <v>59</v>
      </c>
      <c r="D829" s="264" t="s">
        <v>5419</v>
      </c>
      <c r="E829" s="259" t="s">
        <v>5416</v>
      </c>
      <c r="F829" s="259" t="s">
        <v>5021</v>
      </c>
      <c r="H829" s="264" t="s">
        <v>5420</v>
      </c>
      <c r="I829" s="264" t="s">
        <v>5421</v>
      </c>
      <c r="J829" s="295">
        <v>14900</v>
      </c>
      <c r="K829" s="295">
        <v>14931</v>
      </c>
      <c r="L829" s="295">
        <v>7450</v>
      </c>
      <c r="O829" s="266">
        <v>1</v>
      </c>
      <c r="P829" s="266">
        <v>691991008092</v>
      </c>
      <c r="R829" s="265">
        <v>0</v>
      </c>
      <c r="S829" s="265">
        <v>0</v>
      </c>
      <c r="T829" s="265">
        <v>0</v>
      </c>
      <c r="U829" s="265">
        <v>0</v>
      </c>
      <c r="V829" s="259" t="s">
        <v>4159</v>
      </c>
      <c r="W829" s="259" t="s">
        <v>3061</v>
      </c>
      <c r="Y829" s="259">
        <v>66</v>
      </c>
      <c r="Z829" s="259" t="s">
        <v>3030</v>
      </c>
      <c r="AA829" s="259" t="e">
        <v>#N/A</v>
      </c>
      <c r="AB829" s="259"/>
      <c r="AC829" s="259"/>
      <c r="AD829" s="259"/>
      <c r="AE829" s="259"/>
    </row>
    <row r="830" spans="1:31">
      <c r="A830" s="259" t="s">
        <v>926</v>
      </c>
      <c r="B830" s="259" t="s">
        <v>57</v>
      </c>
      <c r="C830" s="264" t="s">
        <v>59</v>
      </c>
      <c r="D830" s="264" t="s">
        <v>5422</v>
      </c>
      <c r="E830" s="259" t="s">
        <v>5416</v>
      </c>
      <c r="F830" s="259" t="s">
        <v>5021</v>
      </c>
      <c r="H830" s="264" t="s">
        <v>5422</v>
      </c>
      <c r="I830" s="264" t="s">
        <v>5423</v>
      </c>
      <c r="J830" s="295">
        <v>10880</v>
      </c>
      <c r="K830" s="295">
        <v>10880</v>
      </c>
      <c r="L830" s="295">
        <v>5440</v>
      </c>
      <c r="O830" s="266">
        <v>1</v>
      </c>
      <c r="P830" s="266">
        <v>691991008535</v>
      </c>
      <c r="R830" s="265">
        <v>0</v>
      </c>
      <c r="S830" s="265">
        <v>0</v>
      </c>
      <c r="T830" s="265">
        <v>0</v>
      </c>
      <c r="U830" s="265">
        <v>0</v>
      </c>
      <c r="V830" s="259" t="s">
        <v>4159</v>
      </c>
      <c r="W830" s="259" t="s">
        <v>3061</v>
      </c>
      <c r="Y830" s="259">
        <v>67</v>
      </c>
      <c r="Z830" s="259" t="s">
        <v>3030</v>
      </c>
      <c r="AA830" s="259" t="e">
        <v>#N/A</v>
      </c>
      <c r="AB830" s="259"/>
      <c r="AC830" s="259"/>
      <c r="AD830" s="259"/>
      <c r="AE830" s="259"/>
    </row>
    <row r="831" spans="1:31">
      <c r="A831" s="259" t="s">
        <v>927</v>
      </c>
      <c r="B831" s="259" t="s">
        <v>57</v>
      </c>
      <c r="C831" s="264" t="s">
        <v>59</v>
      </c>
      <c r="D831" s="264" t="s">
        <v>5424</v>
      </c>
      <c r="E831" s="259" t="s">
        <v>5416</v>
      </c>
      <c r="F831" s="259" t="s">
        <v>5021</v>
      </c>
      <c r="H831" s="264" t="s">
        <v>5424</v>
      </c>
      <c r="I831" s="264" t="s">
        <v>5425</v>
      </c>
      <c r="J831" s="295">
        <v>7260</v>
      </c>
      <c r="K831" s="295">
        <v>7255</v>
      </c>
      <c r="L831" s="295">
        <v>3630</v>
      </c>
      <c r="O831" s="266">
        <v>1</v>
      </c>
      <c r="P831" s="266">
        <v>691991008597</v>
      </c>
      <c r="R831" s="265">
        <v>0</v>
      </c>
      <c r="S831" s="265">
        <v>0</v>
      </c>
      <c r="T831" s="265">
        <v>0</v>
      </c>
      <c r="U831" s="265">
        <v>0</v>
      </c>
      <c r="V831" s="259" t="s">
        <v>4159</v>
      </c>
      <c r="W831" s="259" t="s">
        <v>3061</v>
      </c>
      <c r="Y831" s="259">
        <v>68</v>
      </c>
      <c r="Z831" s="259" t="s">
        <v>3030</v>
      </c>
      <c r="AA831" s="259" t="e">
        <v>#N/A</v>
      </c>
      <c r="AB831" s="259"/>
      <c r="AC831" s="259"/>
      <c r="AD831" s="259"/>
      <c r="AE831" s="259"/>
    </row>
    <row r="832" spans="1:31">
      <c r="A832" s="259" t="s">
        <v>928</v>
      </c>
      <c r="B832" s="259" t="s">
        <v>57</v>
      </c>
      <c r="C832" s="264" t="s">
        <v>59</v>
      </c>
      <c r="D832" s="264" t="s">
        <v>5426</v>
      </c>
      <c r="E832" s="259" t="s">
        <v>5416</v>
      </c>
      <c r="F832" s="259" t="s">
        <v>5021</v>
      </c>
      <c r="H832" s="264" t="s">
        <v>5426</v>
      </c>
      <c r="I832" s="264" t="s">
        <v>5427</v>
      </c>
      <c r="J832" s="295">
        <v>8770</v>
      </c>
      <c r="K832" s="295">
        <v>8763</v>
      </c>
      <c r="L832" s="295">
        <v>4385</v>
      </c>
      <c r="O832" s="266">
        <v>1</v>
      </c>
      <c r="P832" s="266">
        <v>691991008658</v>
      </c>
      <c r="R832" s="265">
        <v>0</v>
      </c>
      <c r="S832" s="265">
        <v>0</v>
      </c>
      <c r="T832" s="265">
        <v>0</v>
      </c>
      <c r="U832" s="265">
        <v>0</v>
      </c>
      <c r="V832" s="259" t="s">
        <v>4159</v>
      </c>
      <c r="W832" s="259" t="s">
        <v>3061</v>
      </c>
      <c r="Y832" s="259">
        <v>69</v>
      </c>
      <c r="Z832" s="259" t="s">
        <v>3030</v>
      </c>
      <c r="AA832" s="259" t="e">
        <v>#N/A</v>
      </c>
      <c r="AB832" s="259"/>
      <c r="AC832" s="259"/>
      <c r="AD832" s="259"/>
      <c r="AE832" s="259"/>
    </row>
    <row r="833" spans="1:31">
      <c r="A833" s="259" t="s">
        <v>929</v>
      </c>
      <c r="B833" s="259" t="s">
        <v>57</v>
      </c>
      <c r="C833" s="264" t="s">
        <v>62</v>
      </c>
      <c r="D833" s="264" t="s">
        <v>929</v>
      </c>
      <c r="E833" s="259" t="s">
        <v>62</v>
      </c>
      <c r="F833" s="259" t="s">
        <v>5021</v>
      </c>
      <c r="H833" s="264" t="s">
        <v>5428</v>
      </c>
      <c r="I833" s="264" t="s">
        <v>5428</v>
      </c>
      <c r="J833" s="295">
        <v>45200</v>
      </c>
      <c r="K833" s="295">
        <v>45200</v>
      </c>
      <c r="L833" s="295">
        <v>22600</v>
      </c>
      <c r="O833" s="266"/>
      <c r="P833" s="266">
        <v>691991013461</v>
      </c>
      <c r="R833" s="265">
        <v>0</v>
      </c>
      <c r="S833" s="265">
        <v>0</v>
      </c>
      <c r="T833" s="265">
        <v>0</v>
      </c>
      <c r="U833" s="265">
        <v>0</v>
      </c>
      <c r="V833" s="259" t="s">
        <v>4159</v>
      </c>
      <c r="W833" s="259" t="s">
        <v>3061</v>
      </c>
      <c r="Y833" s="259">
        <v>70</v>
      </c>
      <c r="Z833" s="259" t="s">
        <v>3030</v>
      </c>
      <c r="AA833" s="259" t="e">
        <v>#N/A</v>
      </c>
      <c r="AB833" s="259"/>
      <c r="AC833" s="259"/>
      <c r="AD833" s="259"/>
      <c r="AE833" s="259"/>
    </row>
    <row r="834" spans="1:31">
      <c r="A834" s="259" t="s">
        <v>930</v>
      </c>
      <c r="B834" s="259" t="s">
        <v>57</v>
      </c>
      <c r="C834" s="264" t="s">
        <v>62</v>
      </c>
      <c r="D834" s="264" t="s">
        <v>930</v>
      </c>
      <c r="E834" s="259" t="s">
        <v>62</v>
      </c>
      <c r="F834" s="259" t="s">
        <v>5021</v>
      </c>
      <c r="H834" s="264" t="s">
        <v>5429</v>
      </c>
      <c r="I834" s="264" t="s">
        <v>5429</v>
      </c>
      <c r="J834" s="295">
        <v>12600</v>
      </c>
      <c r="K834" s="295">
        <v>12600</v>
      </c>
      <c r="L834" s="295">
        <v>6300</v>
      </c>
      <c r="O834" s="266">
        <v>1</v>
      </c>
      <c r="P834" s="266">
        <v>691991013478</v>
      </c>
      <c r="R834" s="265">
        <v>0</v>
      </c>
      <c r="S834" s="265">
        <v>0</v>
      </c>
      <c r="T834" s="265">
        <v>0</v>
      </c>
      <c r="U834" s="265">
        <v>0</v>
      </c>
      <c r="V834" s="259" t="s">
        <v>4159</v>
      </c>
      <c r="W834" s="259" t="s">
        <v>3061</v>
      </c>
      <c r="Y834" s="259">
        <v>71</v>
      </c>
      <c r="Z834" s="259" t="s">
        <v>3030</v>
      </c>
      <c r="AA834" s="259" t="e">
        <v>#N/A</v>
      </c>
      <c r="AB834" s="259"/>
      <c r="AC834" s="259"/>
      <c r="AD834" s="259"/>
      <c r="AE834" s="259"/>
    </row>
    <row r="835" spans="1:31">
      <c r="A835" s="259" t="s">
        <v>931</v>
      </c>
      <c r="B835" s="259" t="s">
        <v>57</v>
      </c>
      <c r="C835" s="264" t="s">
        <v>62</v>
      </c>
      <c r="D835" s="264" t="s">
        <v>931</v>
      </c>
      <c r="E835" s="259" t="s">
        <v>62</v>
      </c>
      <c r="F835" s="259" t="s">
        <v>5021</v>
      </c>
      <c r="H835" s="264" t="s">
        <v>5430</v>
      </c>
      <c r="I835" s="264" t="s">
        <v>5431</v>
      </c>
      <c r="J835" s="295">
        <v>56000</v>
      </c>
      <c r="K835" s="295">
        <v>56000</v>
      </c>
      <c r="L835" s="295">
        <v>28000</v>
      </c>
      <c r="O835" s="266">
        <v>1</v>
      </c>
      <c r="P835" s="266">
        <v>691991013515</v>
      </c>
      <c r="R835" s="265">
        <v>0</v>
      </c>
      <c r="S835" s="265">
        <v>0</v>
      </c>
      <c r="T835" s="265">
        <v>0</v>
      </c>
      <c r="U835" s="265">
        <v>0</v>
      </c>
      <c r="V835" s="259" t="s">
        <v>4159</v>
      </c>
      <c r="W835" s="259" t="s">
        <v>3061</v>
      </c>
      <c r="Y835" s="259">
        <v>72</v>
      </c>
      <c r="Z835" s="259" t="s">
        <v>3030</v>
      </c>
      <c r="AA835" s="259" t="e">
        <v>#N/A</v>
      </c>
      <c r="AB835" s="259"/>
      <c r="AC835" s="259"/>
      <c r="AD835" s="259"/>
      <c r="AE835" s="259"/>
    </row>
    <row r="836" spans="1:31">
      <c r="A836" s="259" t="s">
        <v>932</v>
      </c>
      <c r="B836" s="259" t="s">
        <v>57</v>
      </c>
      <c r="C836" s="264" t="s">
        <v>62</v>
      </c>
      <c r="D836" s="264" t="s">
        <v>932</v>
      </c>
      <c r="E836" s="259" t="s">
        <v>62</v>
      </c>
      <c r="F836" s="259" t="s">
        <v>5021</v>
      </c>
      <c r="H836" s="264" t="s">
        <v>5432</v>
      </c>
      <c r="I836" s="264" t="s">
        <v>5432</v>
      </c>
      <c r="J836" s="295">
        <v>12500</v>
      </c>
      <c r="K836" s="295">
        <v>12500</v>
      </c>
      <c r="L836" s="295">
        <v>6250</v>
      </c>
      <c r="O836" s="266">
        <v>1</v>
      </c>
      <c r="P836" s="266">
        <v>691991013492</v>
      </c>
      <c r="R836" s="265">
        <v>0</v>
      </c>
      <c r="S836" s="265">
        <v>0</v>
      </c>
      <c r="T836" s="265">
        <v>0</v>
      </c>
      <c r="U836" s="265">
        <v>0</v>
      </c>
      <c r="V836" s="259" t="s">
        <v>4159</v>
      </c>
      <c r="W836" s="259" t="s">
        <v>3061</v>
      </c>
      <c r="Y836" s="259">
        <v>73</v>
      </c>
      <c r="Z836" s="259" t="s">
        <v>3030</v>
      </c>
      <c r="AA836" s="259" t="e">
        <v>#N/A</v>
      </c>
      <c r="AB836" s="259"/>
      <c r="AC836" s="259"/>
      <c r="AD836" s="259"/>
      <c r="AE836" s="259"/>
    </row>
    <row r="837" spans="1:31">
      <c r="A837" s="259" t="s">
        <v>933</v>
      </c>
      <c r="B837" s="259" t="s">
        <v>57</v>
      </c>
      <c r="C837" s="264" t="s">
        <v>58</v>
      </c>
      <c r="D837" s="264" t="s">
        <v>5433</v>
      </c>
      <c r="E837" s="259" t="s">
        <v>5434</v>
      </c>
      <c r="H837" s="264" t="s">
        <v>5435</v>
      </c>
      <c r="I837" s="264" t="s">
        <v>5436</v>
      </c>
      <c r="J837" s="295">
        <v>918.16</v>
      </c>
      <c r="K837" s="295">
        <v>425</v>
      </c>
      <c r="L837" s="295">
        <v>323.92</v>
      </c>
      <c r="O837" s="266">
        <v>1</v>
      </c>
      <c r="P837" s="266">
        <v>871015006901</v>
      </c>
      <c r="R837" s="265">
        <v>31.5</v>
      </c>
      <c r="S837" s="265">
        <v>22</v>
      </c>
      <c r="T837" s="265">
        <v>5.5</v>
      </c>
      <c r="U837" s="265">
        <v>20</v>
      </c>
      <c r="V837" s="259" t="s">
        <v>3028</v>
      </c>
      <c r="W837" s="259" t="s">
        <v>3029</v>
      </c>
      <c r="X837" s="264" t="s">
        <v>5437</v>
      </c>
      <c r="Y837" s="259">
        <v>74</v>
      </c>
      <c r="Z837" s="259" t="s">
        <v>3030</v>
      </c>
      <c r="AA837" s="259" t="e">
        <v>#N/A</v>
      </c>
      <c r="AB837" s="259"/>
      <c r="AC837" s="259"/>
      <c r="AD837" s="259"/>
      <c r="AE837" s="259"/>
    </row>
    <row r="838" spans="1:31">
      <c r="A838" s="259" t="s">
        <v>934</v>
      </c>
      <c r="B838" s="259" t="s">
        <v>57</v>
      </c>
      <c r="C838" s="264" t="s">
        <v>58</v>
      </c>
      <c r="D838" s="264" t="s">
        <v>5438</v>
      </c>
      <c r="E838" s="259" t="s">
        <v>5434</v>
      </c>
      <c r="H838" s="264" t="s">
        <v>5439</v>
      </c>
      <c r="I838" s="264" t="s">
        <v>5440</v>
      </c>
      <c r="J838" s="295">
        <v>1192.1400000000001</v>
      </c>
      <c r="K838" s="295">
        <v>565</v>
      </c>
      <c r="L838" s="295">
        <v>464.17</v>
      </c>
      <c r="O838" s="266">
        <v>1</v>
      </c>
      <c r="P838" s="266">
        <v>871015006918</v>
      </c>
      <c r="R838" s="265">
        <v>32</v>
      </c>
      <c r="S838" s="265">
        <v>22</v>
      </c>
      <c r="T838" s="265">
        <v>21</v>
      </c>
      <c r="U838" s="265">
        <v>5.5</v>
      </c>
      <c r="V838" s="259" t="s">
        <v>3028</v>
      </c>
      <c r="W838" s="259" t="s">
        <v>3029</v>
      </c>
      <c r="X838" s="264" t="s">
        <v>5441</v>
      </c>
      <c r="Y838" s="259">
        <v>75</v>
      </c>
      <c r="Z838" s="259" t="s">
        <v>3030</v>
      </c>
      <c r="AA838" s="259" t="e">
        <v>#N/A</v>
      </c>
      <c r="AB838" s="259"/>
      <c r="AC838" s="259"/>
      <c r="AD838" s="259"/>
      <c r="AE838" s="259"/>
    </row>
    <row r="839" spans="1:31">
      <c r="A839" s="259" t="s">
        <v>935</v>
      </c>
      <c r="B839" s="259" t="s">
        <v>57</v>
      </c>
      <c r="C839" s="264" t="s">
        <v>58</v>
      </c>
      <c r="D839" s="264" t="s">
        <v>5442</v>
      </c>
      <c r="E839" s="259" t="s">
        <v>5434</v>
      </c>
      <c r="H839" s="264" t="s">
        <v>5443</v>
      </c>
      <c r="I839" s="264" t="s">
        <v>5444</v>
      </c>
      <c r="J839" s="295">
        <v>1960.85</v>
      </c>
      <c r="K839" s="295">
        <v>905</v>
      </c>
      <c r="L839" s="295">
        <v>638.24</v>
      </c>
      <c r="O839" s="266">
        <v>1</v>
      </c>
      <c r="P839" s="266">
        <v>871015006925</v>
      </c>
      <c r="R839" s="265">
        <v>40</v>
      </c>
      <c r="S839" s="265">
        <v>23</v>
      </c>
      <c r="T839" s="265">
        <v>21</v>
      </c>
      <c r="U839" s="265">
        <v>6</v>
      </c>
      <c r="V839" s="259" t="s">
        <v>3028</v>
      </c>
      <c r="W839" s="259" t="s">
        <v>3029</v>
      </c>
      <c r="X839" s="264" t="s">
        <v>5445</v>
      </c>
      <c r="Y839" s="259">
        <v>76</v>
      </c>
      <c r="Z839" s="259" t="s">
        <v>3030</v>
      </c>
      <c r="AA839" s="259" t="e">
        <v>#N/A</v>
      </c>
      <c r="AB839" s="259"/>
      <c r="AC839" s="259"/>
      <c r="AD839" s="259"/>
      <c r="AE839" s="259"/>
    </row>
    <row r="840" spans="1:31">
      <c r="A840" s="259" t="s">
        <v>936</v>
      </c>
      <c r="B840" s="259" t="s">
        <v>57</v>
      </c>
      <c r="C840" s="264" t="s">
        <v>58</v>
      </c>
      <c r="D840" s="264" t="s">
        <v>5446</v>
      </c>
      <c r="E840" s="259" t="s">
        <v>5434</v>
      </c>
      <c r="H840" s="264" t="s">
        <v>5290</v>
      </c>
      <c r="I840" s="264" t="s">
        <v>5447</v>
      </c>
      <c r="J840" s="295">
        <v>658.13</v>
      </c>
      <c r="K840" s="295">
        <v>339</v>
      </c>
      <c r="L840" s="295">
        <v>261.55</v>
      </c>
      <c r="O840" s="266">
        <v>1</v>
      </c>
      <c r="P840" s="266">
        <v>871015006895</v>
      </c>
      <c r="R840" s="265">
        <v>28</v>
      </c>
      <c r="S840" s="265">
        <v>20.5</v>
      </c>
      <c r="T840" s="265">
        <v>22</v>
      </c>
      <c r="U840" s="265">
        <v>5</v>
      </c>
      <c r="V840" s="259" t="s">
        <v>3028</v>
      </c>
      <c r="W840" s="259" t="s">
        <v>3029</v>
      </c>
      <c r="X840" s="264" t="s">
        <v>5448</v>
      </c>
      <c r="Y840" s="259">
        <v>77</v>
      </c>
      <c r="Z840" s="259" t="s">
        <v>3030</v>
      </c>
      <c r="AA840" s="259" t="e">
        <v>#N/A</v>
      </c>
      <c r="AB840" s="259"/>
      <c r="AC840" s="259"/>
      <c r="AD840" s="259"/>
      <c r="AE840" s="259"/>
    </row>
    <row r="841" spans="1:31">
      <c r="A841" s="259" t="s">
        <v>937</v>
      </c>
      <c r="B841" s="259" t="s">
        <v>57</v>
      </c>
      <c r="C841" s="264" t="s">
        <v>61</v>
      </c>
      <c r="D841" s="264" t="s">
        <v>5449</v>
      </c>
      <c r="E841" s="259" t="s">
        <v>5450</v>
      </c>
      <c r="H841" s="264" t="s">
        <v>5451</v>
      </c>
      <c r="I841" s="264" t="s">
        <v>5452</v>
      </c>
      <c r="J841" s="295">
        <v>705.95</v>
      </c>
      <c r="K841" s="295">
        <v>425</v>
      </c>
      <c r="L841" s="295">
        <v>340.12</v>
      </c>
      <c r="O841" s="266">
        <v>1</v>
      </c>
      <c r="P841" s="266">
        <v>691991000935</v>
      </c>
      <c r="R841" s="265">
        <v>11</v>
      </c>
      <c r="S841" s="265">
        <v>22</v>
      </c>
      <c r="T841" s="265">
        <v>6</v>
      </c>
      <c r="U841" s="265">
        <v>12.5</v>
      </c>
      <c r="V841" s="259" t="s">
        <v>3028</v>
      </c>
      <c r="W841" s="259" t="s">
        <v>3029</v>
      </c>
      <c r="X841" s="264" t="s">
        <v>5453</v>
      </c>
      <c r="Y841" s="259">
        <v>78</v>
      </c>
      <c r="Z841" s="259" t="s">
        <v>3030</v>
      </c>
      <c r="AA841" s="259" t="e">
        <v>#N/A</v>
      </c>
      <c r="AB841" s="259"/>
      <c r="AC841" s="259"/>
      <c r="AD841" s="259"/>
      <c r="AE841" s="259"/>
    </row>
    <row r="842" spans="1:31">
      <c r="A842" s="259" t="s">
        <v>938</v>
      </c>
      <c r="B842" s="259" t="s">
        <v>57</v>
      </c>
      <c r="C842" s="264" t="s">
        <v>61</v>
      </c>
      <c r="D842" s="264" t="s">
        <v>5454</v>
      </c>
      <c r="E842" s="259" t="s">
        <v>5450</v>
      </c>
      <c r="H842" s="264" t="s">
        <v>5455</v>
      </c>
      <c r="I842" s="264" t="s">
        <v>5456</v>
      </c>
      <c r="J842" s="295">
        <v>851.45</v>
      </c>
      <c r="K842" s="295">
        <v>555</v>
      </c>
      <c r="L842" s="295">
        <v>425.72</v>
      </c>
      <c r="O842" s="266">
        <v>1</v>
      </c>
      <c r="P842" s="266">
        <v>691991001000</v>
      </c>
      <c r="R842" s="265">
        <v>11</v>
      </c>
      <c r="S842" s="265">
        <v>22</v>
      </c>
      <c r="T842" s="265">
        <v>6</v>
      </c>
      <c r="U842" s="265">
        <v>12.5</v>
      </c>
      <c r="V842" s="259" t="s">
        <v>3028</v>
      </c>
      <c r="W842" s="259" t="s">
        <v>3029</v>
      </c>
      <c r="X842" s="264" t="s">
        <v>5457</v>
      </c>
      <c r="Y842" s="259">
        <v>79</v>
      </c>
      <c r="Z842" s="259" t="s">
        <v>3030</v>
      </c>
      <c r="AA842" s="259" t="e">
        <v>#N/A</v>
      </c>
      <c r="AB842" s="259"/>
      <c r="AC842" s="259"/>
      <c r="AD842" s="259"/>
      <c r="AE842" s="259"/>
    </row>
    <row r="843" spans="1:31">
      <c r="A843" s="259" t="s">
        <v>939</v>
      </c>
      <c r="B843" s="259" t="s">
        <v>57</v>
      </c>
      <c r="C843" s="264" t="s">
        <v>61</v>
      </c>
      <c r="D843" s="264" t="s">
        <v>5458</v>
      </c>
      <c r="E843" s="259" t="s">
        <v>5450</v>
      </c>
      <c r="H843" s="264" t="s">
        <v>5459</v>
      </c>
      <c r="I843" s="264" t="s">
        <v>5460</v>
      </c>
      <c r="J843" s="295">
        <v>855.27</v>
      </c>
      <c r="K843" s="295">
        <v>679</v>
      </c>
      <c r="L843" s="295">
        <v>532.20000000000005</v>
      </c>
      <c r="O843" s="266">
        <v>1</v>
      </c>
      <c r="P843" s="266">
        <v>691991001086</v>
      </c>
      <c r="R843" s="265">
        <v>13.5</v>
      </c>
      <c r="S843" s="265">
        <v>21.5</v>
      </c>
      <c r="T843" s="265">
        <v>6</v>
      </c>
      <c r="U843" s="265">
        <v>14</v>
      </c>
      <c r="V843" s="259" t="s">
        <v>3028</v>
      </c>
      <c r="W843" s="259" t="s">
        <v>3029</v>
      </c>
      <c r="X843" s="264" t="s">
        <v>5461</v>
      </c>
      <c r="Y843" s="259">
        <v>80</v>
      </c>
      <c r="Z843" s="259" t="s">
        <v>3030</v>
      </c>
      <c r="AA843" s="259" t="e">
        <v>#N/A</v>
      </c>
      <c r="AB843" s="259"/>
      <c r="AC843" s="259"/>
      <c r="AD843" s="259"/>
      <c r="AE843" s="259"/>
    </row>
    <row r="844" spans="1:31">
      <c r="A844" s="259" t="s">
        <v>940</v>
      </c>
      <c r="B844" s="259" t="s">
        <v>57</v>
      </c>
      <c r="C844" s="264" t="s">
        <v>61</v>
      </c>
      <c r="D844" s="264" t="s">
        <v>5462</v>
      </c>
      <c r="E844" s="259" t="s">
        <v>5450</v>
      </c>
      <c r="H844" s="264" t="s">
        <v>5463</v>
      </c>
      <c r="I844" s="264" t="s">
        <v>5464</v>
      </c>
      <c r="J844" s="295">
        <v>1485.8</v>
      </c>
      <c r="K844" s="295">
        <v>805</v>
      </c>
      <c r="L844" s="295">
        <v>629.94000000000005</v>
      </c>
      <c r="O844" s="266">
        <v>1</v>
      </c>
      <c r="P844" s="266">
        <v>691991001161</v>
      </c>
      <c r="R844" s="265">
        <v>10</v>
      </c>
      <c r="S844" s="265">
        <v>21</v>
      </c>
      <c r="T844" s="265">
        <v>14.5</v>
      </c>
      <c r="U844" s="265">
        <v>6</v>
      </c>
      <c r="V844" s="259" t="s">
        <v>3028</v>
      </c>
      <c r="W844" s="259" t="s">
        <v>3029</v>
      </c>
      <c r="X844" s="264" t="s">
        <v>5465</v>
      </c>
      <c r="Y844" s="259">
        <v>81</v>
      </c>
      <c r="Z844" s="259" t="s">
        <v>3030</v>
      </c>
      <c r="AA844" s="259" t="e">
        <v>#N/A</v>
      </c>
      <c r="AB844" s="259"/>
      <c r="AC844" s="259"/>
      <c r="AD844" s="259"/>
      <c r="AE844" s="259"/>
    </row>
    <row r="845" spans="1:31">
      <c r="A845" s="259" t="s">
        <v>941</v>
      </c>
      <c r="B845" s="259" t="s">
        <v>57</v>
      </c>
      <c r="C845" s="264" t="s">
        <v>64</v>
      </c>
      <c r="D845" s="264" t="s">
        <v>5466</v>
      </c>
      <c r="E845" s="259" t="s">
        <v>5467</v>
      </c>
      <c r="H845" s="264" t="s">
        <v>5468</v>
      </c>
      <c r="I845" s="264" t="s">
        <v>5469</v>
      </c>
      <c r="J845" s="295">
        <v>1395.04</v>
      </c>
      <c r="K845" s="295">
        <v>699</v>
      </c>
      <c r="L845" s="295">
        <v>555.30999999999995</v>
      </c>
      <c r="O845" s="266">
        <v>1</v>
      </c>
      <c r="P845" s="266">
        <v>871015005232</v>
      </c>
      <c r="R845" s="265">
        <v>0.5</v>
      </c>
      <c r="S845" s="265">
        <v>19</v>
      </c>
      <c r="T845" s="265">
        <v>22.5</v>
      </c>
      <c r="U845" s="265">
        <v>7</v>
      </c>
      <c r="V845" s="259" t="s">
        <v>3028</v>
      </c>
      <c r="W845" s="259" t="s">
        <v>3029</v>
      </c>
      <c r="X845" s="264" t="s">
        <v>5470</v>
      </c>
      <c r="Y845" s="259">
        <v>82</v>
      </c>
      <c r="Z845" s="259" t="s">
        <v>3030</v>
      </c>
      <c r="AA845" s="259" t="e">
        <v>#N/A</v>
      </c>
      <c r="AB845" s="259"/>
      <c r="AC845" s="259"/>
      <c r="AD845" s="259"/>
      <c r="AE845" s="259"/>
    </row>
    <row r="846" spans="1:31">
      <c r="A846" s="259" t="s">
        <v>942</v>
      </c>
      <c r="B846" s="259" t="s">
        <v>57</v>
      </c>
      <c r="C846" s="264" t="s">
        <v>64</v>
      </c>
      <c r="D846" s="264" t="s">
        <v>5466</v>
      </c>
      <c r="E846" s="259" t="s">
        <v>5467</v>
      </c>
      <c r="H846" s="264" t="s">
        <v>5468</v>
      </c>
      <c r="I846" s="264" t="s">
        <v>5469</v>
      </c>
      <c r="J846" s="295">
        <v>1395.04</v>
      </c>
      <c r="K846" s="295">
        <v>699</v>
      </c>
      <c r="L846" s="295">
        <v>555.30999999999995</v>
      </c>
      <c r="O846" s="266">
        <v>1</v>
      </c>
      <c r="P846" s="266">
        <v>871015005232</v>
      </c>
      <c r="R846" s="265">
        <v>0.5</v>
      </c>
      <c r="S846" s="265">
        <v>19</v>
      </c>
      <c r="T846" s="265">
        <v>22.5</v>
      </c>
      <c r="U846" s="265">
        <v>7</v>
      </c>
      <c r="V846" s="259" t="s">
        <v>3028</v>
      </c>
      <c r="W846" s="259" t="s">
        <v>3029</v>
      </c>
      <c r="X846" s="264" t="s">
        <v>5470</v>
      </c>
      <c r="Y846" s="259">
        <v>83</v>
      </c>
      <c r="Z846" s="259" t="s">
        <v>3030</v>
      </c>
      <c r="AA846" s="259" t="e">
        <v>#N/A</v>
      </c>
      <c r="AB846" s="259"/>
      <c r="AC846" s="259"/>
      <c r="AD846" s="259"/>
      <c r="AE846" s="259"/>
    </row>
    <row r="847" spans="1:31">
      <c r="A847" s="259" t="s">
        <v>943</v>
      </c>
      <c r="B847" s="259" t="s">
        <v>57</v>
      </c>
      <c r="C847" s="264" t="s">
        <v>64</v>
      </c>
      <c r="D847" s="264" t="s">
        <v>5471</v>
      </c>
      <c r="E847" s="259" t="s">
        <v>5467</v>
      </c>
      <c r="H847" s="264" t="s">
        <v>5472</v>
      </c>
      <c r="I847" s="264" t="s">
        <v>5473</v>
      </c>
      <c r="J847" s="295">
        <v>1710.22</v>
      </c>
      <c r="K847" s="295">
        <v>995</v>
      </c>
      <c r="L847" s="295">
        <v>764.58</v>
      </c>
      <c r="O847" s="266">
        <v>1</v>
      </c>
      <c r="P847" s="266">
        <v>871015005317</v>
      </c>
      <c r="R847" s="265">
        <v>23</v>
      </c>
      <c r="S847" s="265">
        <v>22.5</v>
      </c>
      <c r="T847" s="265">
        <v>7.5</v>
      </c>
      <c r="U847" s="265">
        <v>19.5</v>
      </c>
      <c r="V847" s="259" t="s">
        <v>3028</v>
      </c>
      <c r="W847" s="259" t="s">
        <v>3029</v>
      </c>
      <c r="X847" s="264" t="s">
        <v>5474</v>
      </c>
      <c r="Y847" s="259">
        <v>84</v>
      </c>
      <c r="Z847" s="259" t="s">
        <v>3030</v>
      </c>
      <c r="AA847" s="259" t="e">
        <v>#N/A</v>
      </c>
      <c r="AB847" s="259"/>
      <c r="AC847" s="259"/>
      <c r="AD847" s="259"/>
      <c r="AE847" s="259"/>
    </row>
    <row r="848" spans="1:31">
      <c r="A848" s="259" t="s">
        <v>944</v>
      </c>
      <c r="B848" s="259" t="s">
        <v>57</v>
      </c>
      <c r="C848" s="264" t="s">
        <v>64</v>
      </c>
      <c r="D848" s="264" t="s">
        <v>5471</v>
      </c>
      <c r="E848" s="259" t="s">
        <v>5467</v>
      </c>
      <c r="H848" s="264" t="s">
        <v>5472</v>
      </c>
      <c r="I848" s="264" t="s">
        <v>5473</v>
      </c>
      <c r="J848" s="295">
        <v>1710.22</v>
      </c>
      <c r="K848" s="295">
        <v>995</v>
      </c>
      <c r="L848" s="295">
        <v>764.58</v>
      </c>
      <c r="O848" s="266">
        <v>1</v>
      </c>
      <c r="P848" s="266">
        <v>871015005317</v>
      </c>
      <c r="R848" s="265">
        <v>23</v>
      </c>
      <c r="S848" s="265">
        <v>22.5</v>
      </c>
      <c r="T848" s="265">
        <v>7.5</v>
      </c>
      <c r="U848" s="265">
        <v>19.5</v>
      </c>
      <c r="V848" s="259" t="s">
        <v>3028</v>
      </c>
      <c r="W848" s="259" t="s">
        <v>3029</v>
      </c>
      <c r="X848" s="264" t="s">
        <v>5474</v>
      </c>
      <c r="Y848" s="259">
        <v>85</v>
      </c>
      <c r="Z848" s="259" t="s">
        <v>3030</v>
      </c>
      <c r="AA848" s="259" t="e">
        <v>#N/A</v>
      </c>
      <c r="AB848" s="259"/>
      <c r="AC848" s="259"/>
      <c r="AD848" s="259"/>
      <c r="AE848" s="259"/>
    </row>
    <row r="849" spans="1:31">
      <c r="A849" s="259" t="s">
        <v>945</v>
      </c>
      <c r="B849" s="259" t="s">
        <v>57</v>
      </c>
      <c r="C849" s="264" t="s">
        <v>64</v>
      </c>
      <c r="D849" s="264" t="s">
        <v>5475</v>
      </c>
      <c r="E849" s="259" t="s">
        <v>5467</v>
      </c>
      <c r="H849" s="264" t="s">
        <v>5476</v>
      </c>
      <c r="I849" s="264" t="s">
        <v>5477</v>
      </c>
      <c r="J849" s="295">
        <v>2609.0500000000002</v>
      </c>
      <c r="K849" s="295">
        <v>1345</v>
      </c>
      <c r="L849" s="295">
        <v>1039.47</v>
      </c>
      <c r="O849" s="266">
        <v>1</v>
      </c>
      <c r="P849" s="266">
        <v>871015005393</v>
      </c>
      <c r="R849" s="265">
        <v>21</v>
      </c>
      <c r="S849" s="265">
        <v>22.5</v>
      </c>
      <c r="T849" s="265">
        <v>7</v>
      </c>
      <c r="U849" s="265">
        <v>19</v>
      </c>
      <c r="V849" s="259" t="s">
        <v>3028</v>
      </c>
      <c r="W849" s="259" t="s">
        <v>3029</v>
      </c>
      <c r="X849" s="264" t="s">
        <v>5478</v>
      </c>
      <c r="Y849" s="259">
        <v>86</v>
      </c>
      <c r="Z849" s="259" t="s">
        <v>3030</v>
      </c>
      <c r="AA849" s="259" t="e">
        <v>#N/A</v>
      </c>
      <c r="AB849" s="259"/>
      <c r="AC849" s="259"/>
      <c r="AD849" s="259"/>
      <c r="AE849" s="259"/>
    </row>
    <row r="850" spans="1:31">
      <c r="A850" s="259" t="s">
        <v>946</v>
      </c>
      <c r="B850" s="259" t="s">
        <v>57</v>
      </c>
      <c r="C850" s="264" t="s">
        <v>64</v>
      </c>
      <c r="D850" s="264" t="s">
        <v>5475</v>
      </c>
      <c r="E850" s="259" t="s">
        <v>5467</v>
      </c>
      <c r="H850" s="264" t="s">
        <v>5476</v>
      </c>
      <c r="I850" s="264" t="s">
        <v>5477</v>
      </c>
      <c r="J850" s="295">
        <v>2609.0500000000002</v>
      </c>
      <c r="K850" s="295">
        <v>1345</v>
      </c>
      <c r="L850" s="295">
        <v>1039.47</v>
      </c>
      <c r="O850" s="266">
        <v>1</v>
      </c>
      <c r="P850" s="266">
        <v>871015005393</v>
      </c>
      <c r="R850" s="265">
        <v>21</v>
      </c>
      <c r="S850" s="265">
        <v>22.5</v>
      </c>
      <c r="T850" s="265">
        <v>7</v>
      </c>
      <c r="U850" s="265">
        <v>19</v>
      </c>
      <c r="V850" s="259" t="s">
        <v>3028</v>
      </c>
      <c r="W850" s="259" t="s">
        <v>3029</v>
      </c>
      <c r="X850" s="264" t="s">
        <v>5478</v>
      </c>
      <c r="Y850" s="259">
        <v>87</v>
      </c>
      <c r="Z850" s="259" t="s">
        <v>3030</v>
      </c>
      <c r="AA850" s="259" t="e">
        <v>#N/A</v>
      </c>
      <c r="AB850" s="259"/>
      <c r="AC850" s="259"/>
      <c r="AD850" s="259"/>
      <c r="AE850" s="259"/>
    </row>
    <row r="851" spans="1:31">
      <c r="A851" s="259" t="s">
        <v>947</v>
      </c>
      <c r="B851" s="259" t="s">
        <v>57</v>
      </c>
      <c r="C851" s="264" t="s">
        <v>64</v>
      </c>
      <c r="D851" s="264" t="s">
        <v>5479</v>
      </c>
      <c r="E851" s="259" t="s">
        <v>5467</v>
      </c>
      <c r="H851" s="264" t="s">
        <v>5480</v>
      </c>
      <c r="I851" s="264" t="s">
        <v>5481</v>
      </c>
      <c r="J851" s="295">
        <v>5043.2</v>
      </c>
      <c r="K851" s="295">
        <v>2689</v>
      </c>
      <c r="L851" s="295">
        <v>2009.24</v>
      </c>
      <c r="O851" s="266">
        <v>1</v>
      </c>
      <c r="P851" s="266">
        <v>871015005478</v>
      </c>
      <c r="R851" s="265">
        <v>29</v>
      </c>
      <c r="S851" s="265">
        <v>22</v>
      </c>
      <c r="T851" s="265">
        <v>7</v>
      </c>
      <c r="U851" s="265">
        <v>22.5</v>
      </c>
      <c r="V851" s="259" t="s">
        <v>3028</v>
      </c>
      <c r="W851" s="259" t="s">
        <v>3029</v>
      </c>
      <c r="X851" s="264" t="s">
        <v>5482</v>
      </c>
      <c r="Y851" s="259">
        <v>88</v>
      </c>
      <c r="Z851" s="259" t="s">
        <v>3030</v>
      </c>
      <c r="AA851" s="259" t="e">
        <v>#N/A</v>
      </c>
      <c r="AB851" s="259"/>
      <c r="AC851" s="259"/>
      <c r="AD851" s="259"/>
      <c r="AE851" s="259"/>
    </row>
    <row r="852" spans="1:31">
      <c r="A852" s="259" t="s">
        <v>948</v>
      </c>
      <c r="B852" s="259" t="s">
        <v>57</v>
      </c>
      <c r="C852" s="264"/>
      <c r="D852" s="264" t="s">
        <v>5483</v>
      </c>
      <c r="E852" s="259" t="s">
        <v>5270</v>
      </c>
      <c r="H852" s="264" t="s">
        <v>5484</v>
      </c>
      <c r="I852" s="264"/>
      <c r="J852" s="295">
        <v>451.86</v>
      </c>
      <c r="K852" s="295">
        <v>451.86</v>
      </c>
      <c r="L852" s="295">
        <v>225.93</v>
      </c>
      <c r="O852" s="266"/>
      <c r="R852" s="265"/>
      <c r="V852" s="259" t="s">
        <v>3834</v>
      </c>
      <c r="W852" s="259" t="s">
        <v>3061</v>
      </c>
      <c r="Y852" s="259">
        <v>89</v>
      </c>
      <c r="Z852" s="259" t="s">
        <v>3030</v>
      </c>
      <c r="AA852" s="259" t="e">
        <v>#N/A</v>
      </c>
      <c r="AB852" s="259"/>
      <c r="AC852" s="259"/>
      <c r="AD852" s="259"/>
      <c r="AE852" s="259"/>
    </row>
    <row r="853" spans="1:31">
      <c r="A853" s="259" t="s">
        <v>949</v>
      </c>
      <c r="B853" s="259" t="s">
        <v>5485</v>
      </c>
      <c r="C853" s="264" t="s">
        <v>5486</v>
      </c>
      <c r="D853" s="264">
        <v>1215</v>
      </c>
      <c r="E853" s="259" t="s">
        <v>5487</v>
      </c>
      <c r="H853" s="264" t="s">
        <v>5486</v>
      </c>
      <c r="I853" s="264" t="s">
        <v>5488</v>
      </c>
      <c r="J853" s="295">
        <v>457.22</v>
      </c>
      <c r="K853" s="295">
        <v>360</v>
      </c>
      <c r="L853" s="295">
        <v>274.33</v>
      </c>
      <c r="O853" s="266">
        <v>2</v>
      </c>
      <c r="P853" s="266">
        <v>691991400032</v>
      </c>
      <c r="R853" s="265">
        <v>7</v>
      </c>
      <c r="S853" s="265">
        <v>22.5</v>
      </c>
      <c r="T853" s="265">
        <v>7.5</v>
      </c>
      <c r="U853" s="265">
        <v>11</v>
      </c>
      <c r="V853" s="259" t="s">
        <v>3028</v>
      </c>
      <c r="W853" s="259" t="s">
        <v>3029</v>
      </c>
      <c r="X853" s="264" t="s">
        <v>5489</v>
      </c>
      <c r="Y853" s="259">
        <v>1</v>
      </c>
      <c r="Z853" s="259" t="s">
        <v>3030</v>
      </c>
      <c r="AA853" s="259" t="e">
        <v>#N/A</v>
      </c>
      <c r="AB853" s="259"/>
      <c r="AC853" s="259"/>
      <c r="AD853" s="259"/>
      <c r="AE853" s="259"/>
    </row>
    <row r="854" spans="1:31">
      <c r="A854" s="259" t="s">
        <v>950</v>
      </c>
      <c r="B854" s="259" t="s">
        <v>5485</v>
      </c>
      <c r="C854" s="264" t="s">
        <v>5486</v>
      </c>
      <c r="D854" s="264">
        <v>1231</v>
      </c>
      <c r="E854" s="259" t="s">
        <v>5487</v>
      </c>
      <c r="H854" s="264" t="s">
        <v>5486</v>
      </c>
      <c r="I854" s="264" t="s">
        <v>5490</v>
      </c>
      <c r="J854" s="295">
        <v>640.72</v>
      </c>
      <c r="K854" s="295">
        <v>515</v>
      </c>
      <c r="L854" s="295">
        <v>384.43</v>
      </c>
      <c r="O854" s="266">
        <v>2</v>
      </c>
      <c r="P854" s="266">
        <v>691991400049</v>
      </c>
      <c r="R854" s="265">
        <v>13.5</v>
      </c>
      <c r="S854" s="265">
        <v>22</v>
      </c>
      <c r="T854" s="265">
        <v>11.5</v>
      </c>
      <c r="U854" s="265">
        <v>7.5</v>
      </c>
      <c r="V854" s="259" t="s">
        <v>3028</v>
      </c>
      <c r="W854" s="259" t="s">
        <v>3029</v>
      </c>
      <c r="X854" s="264" t="s">
        <v>5491</v>
      </c>
      <c r="Y854" s="259">
        <v>2</v>
      </c>
      <c r="Z854" s="259" t="s">
        <v>3030</v>
      </c>
      <c r="AA854" s="259" t="e">
        <v>#N/A</v>
      </c>
      <c r="AB854" s="259"/>
      <c r="AC854" s="259"/>
      <c r="AD854" s="259"/>
      <c r="AE854" s="259"/>
    </row>
    <row r="855" spans="1:31">
      <c r="A855" s="259" t="s">
        <v>951</v>
      </c>
      <c r="B855" s="259" t="s">
        <v>5485</v>
      </c>
      <c r="C855" s="264" t="s">
        <v>5492</v>
      </c>
      <c r="D855" s="264" t="s">
        <v>5493</v>
      </c>
      <c r="E855" s="259" t="s">
        <v>5494</v>
      </c>
      <c r="G855" s="259" t="s">
        <v>3378</v>
      </c>
      <c r="H855" s="264" t="s">
        <v>5492</v>
      </c>
      <c r="I855" s="264" t="s">
        <v>5495</v>
      </c>
      <c r="J855" s="295">
        <v>1302.57</v>
      </c>
      <c r="K855" s="295">
        <v>1139</v>
      </c>
      <c r="L855" s="295">
        <v>762.16</v>
      </c>
      <c r="O855" s="266">
        <v>2</v>
      </c>
      <c r="P855" s="266">
        <v>691991401183</v>
      </c>
      <c r="R855" s="265">
        <v>9</v>
      </c>
      <c r="S855" s="265">
        <v>33.25</v>
      </c>
      <c r="T855" s="265">
        <v>3.75</v>
      </c>
      <c r="U855" s="265">
        <v>11.5</v>
      </c>
      <c r="V855" s="259" t="s">
        <v>3028</v>
      </c>
      <c r="W855" s="259" t="s">
        <v>3029</v>
      </c>
      <c r="X855" s="264" t="s">
        <v>5496</v>
      </c>
      <c r="Y855" s="259">
        <v>3</v>
      </c>
      <c r="Z855" s="259" t="s">
        <v>3030</v>
      </c>
      <c r="AA855" s="259" t="e">
        <v>#N/A</v>
      </c>
      <c r="AB855" s="259"/>
      <c r="AC855" s="259"/>
      <c r="AD855" s="259"/>
      <c r="AE855" s="259"/>
    </row>
    <row r="856" spans="1:31">
      <c r="A856" s="259" t="s">
        <v>952</v>
      </c>
      <c r="B856" s="259" t="s">
        <v>5485</v>
      </c>
      <c r="C856" s="264" t="s">
        <v>5492</v>
      </c>
      <c r="D856" s="264" t="s">
        <v>5497</v>
      </c>
      <c r="E856" s="259" t="s">
        <v>5494</v>
      </c>
      <c r="H856" s="264" t="s">
        <v>5492</v>
      </c>
      <c r="I856" s="264" t="s">
        <v>5495</v>
      </c>
      <c r="J856" s="295">
        <v>1222.1099999999999</v>
      </c>
      <c r="K856" s="295">
        <v>1069</v>
      </c>
      <c r="L856" s="295">
        <v>708.47</v>
      </c>
      <c r="O856" s="266">
        <v>2</v>
      </c>
      <c r="P856" s="266">
        <v>691991400841</v>
      </c>
      <c r="R856" s="265">
        <v>8.8000000000000007</v>
      </c>
      <c r="S856" s="265">
        <v>5.75</v>
      </c>
      <c r="T856" s="265">
        <v>19</v>
      </c>
      <c r="U856" s="265">
        <v>1.75</v>
      </c>
      <c r="V856" s="259" t="s">
        <v>3028</v>
      </c>
      <c r="W856" s="259" t="s">
        <v>3029</v>
      </c>
      <c r="X856" s="264" t="s">
        <v>5498</v>
      </c>
      <c r="Y856" s="259">
        <v>4</v>
      </c>
      <c r="Z856" s="259" t="s">
        <v>3030</v>
      </c>
      <c r="AA856" s="259" t="e">
        <v>#N/A</v>
      </c>
      <c r="AB856" s="259"/>
      <c r="AC856" s="259"/>
      <c r="AD856" s="259"/>
      <c r="AE856" s="259"/>
    </row>
    <row r="857" spans="1:31">
      <c r="A857" s="259" t="s">
        <v>953</v>
      </c>
      <c r="B857" s="259" t="s">
        <v>5485</v>
      </c>
      <c r="C857" s="264" t="s">
        <v>5492</v>
      </c>
      <c r="D857" s="264" t="s">
        <v>5499</v>
      </c>
      <c r="E857" s="259" t="s">
        <v>5494</v>
      </c>
      <c r="H857" s="264" t="s">
        <v>5492</v>
      </c>
      <c r="I857" s="264" t="s">
        <v>5495</v>
      </c>
      <c r="J857" s="295">
        <v>1148.3699999999999</v>
      </c>
      <c r="K857" s="295">
        <v>1050</v>
      </c>
      <c r="L857" s="295">
        <v>688.65</v>
      </c>
      <c r="O857" s="266">
        <v>2</v>
      </c>
      <c r="P857" s="266">
        <v>691991401190</v>
      </c>
      <c r="R857" s="265">
        <v>9</v>
      </c>
      <c r="S857" s="265">
        <v>22.5</v>
      </c>
      <c r="T857" s="265">
        <v>11.5</v>
      </c>
      <c r="U857" s="265">
        <v>3.5</v>
      </c>
      <c r="V857" s="259" t="s">
        <v>3028</v>
      </c>
      <c r="W857" s="259" t="s">
        <v>3029</v>
      </c>
      <c r="X857" s="264" t="s">
        <v>5500</v>
      </c>
      <c r="Y857" s="259">
        <v>5</v>
      </c>
      <c r="Z857" s="259" t="s">
        <v>3030</v>
      </c>
      <c r="AA857" s="259" t="e">
        <v>#N/A</v>
      </c>
      <c r="AB857" s="259"/>
      <c r="AC857" s="259"/>
      <c r="AD857" s="259"/>
      <c r="AE857" s="259"/>
    </row>
    <row r="858" spans="1:31">
      <c r="A858" s="259" t="s">
        <v>954</v>
      </c>
      <c r="B858" s="259" t="s">
        <v>5485</v>
      </c>
      <c r="C858" s="264" t="s">
        <v>5492</v>
      </c>
      <c r="D858" s="264" t="s">
        <v>5501</v>
      </c>
      <c r="E858" s="259" t="s">
        <v>5494</v>
      </c>
      <c r="H858" s="264" t="s">
        <v>5492</v>
      </c>
      <c r="I858" s="264" t="s">
        <v>5495</v>
      </c>
      <c r="J858" s="295">
        <v>1069.19</v>
      </c>
      <c r="K858" s="295">
        <v>929</v>
      </c>
      <c r="L858" s="295">
        <v>636.32000000000005</v>
      </c>
      <c r="O858" s="266">
        <v>2</v>
      </c>
      <c r="P858" s="266">
        <v>691991400858</v>
      </c>
      <c r="R858" s="265">
        <v>8.8000000000000007</v>
      </c>
      <c r="S858" s="265">
        <v>5.75</v>
      </c>
      <c r="T858" s="265">
        <v>19</v>
      </c>
      <c r="U858" s="265">
        <v>1.75</v>
      </c>
      <c r="V858" s="259" t="s">
        <v>3028</v>
      </c>
      <c r="W858" s="259" t="s">
        <v>3029</v>
      </c>
      <c r="X858" s="264" t="s">
        <v>5502</v>
      </c>
      <c r="Y858" s="259">
        <v>6</v>
      </c>
      <c r="Z858" s="259" t="s">
        <v>3030</v>
      </c>
      <c r="AA858" s="259" t="e">
        <v>#N/A</v>
      </c>
      <c r="AB858" s="259"/>
      <c r="AC858" s="259"/>
      <c r="AD858" s="259"/>
      <c r="AE858" s="259"/>
    </row>
    <row r="859" spans="1:31">
      <c r="A859" s="259" t="s">
        <v>955</v>
      </c>
      <c r="B859" s="259" t="s">
        <v>5485</v>
      </c>
      <c r="C859" s="264" t="s">
        <v>5486</v>
      </c>
      <c r="D859" s="264" t="s">
        <v>5503</v>
      </c>
      <c r="E859" s="259" t="s">
        <v>5487</v>
      </c>
      <c r="H859" s="264" t="s">
        <v>5486</v>
      </c>
      <c r="I859" s="264" t="s">
        <v>5504</v>
      </c>
      <c r="J859" s="295">
        <v>289.01</v>
      </c>
      <c r="K859" s="295">
        <v>235</v>
      </c>
      <c r="L859" s="295">
        <v>173.41</v>
      </c>
      <c r="O859" s="266">
        <v>6</v>
      </c>
      <c r="P859" s="266">
        <v>691991401213</v>
      </c>
      <c r="R859" s="265">
        <v>6</v>
      </c>
      <c r="S859" s="265">
        <v>22</v>
      </c>
      <c r="T859" s="265">
        <v>11.5</v>
      </c>
      <c r="U859" s="265">
        <v>2.5</v>
      </c>
      <c r="V859" s="259" t="s">
        <v>3028</v>
      </c>
      <c r="W859" s="259" t="s">
        <v>3029</v>
      </c>
      <c r="X859" s="264" t="s">
        <v>5505</v>
      </c>
      <c r="Y859" s="259">
        <v>7</v>
      </c>
      <c r="Z859" s="259" t="s">
        <v>3030</v>
      </c>
      <c r="AA859" s="259" t="e">
        <v>#N/A</v>
      </c>
      <c r="AB859" s="259"/>
      <c r="AC859" s="259"/>
      <c r="AD859" s="259"/>
      <c r="AE859" s="259"/>
    </row>
    <row r="860" spans="1:31">
      <c r="A860" s="259" t="s">
        <v>956</v>
      </c>
      <c r="B860" s="259" t="s">
        <v>5485</v>
      </c>
      <c r="C860" s="264" t="s">
        <v>5486</v>
      </c>
      <c r="D860" s="264" t="s">
        <v>5506</v>
      </c>
      <c r="E860" s="259" t="s">
        <v>5487</v>
      </c>
      <c r="H860" s="264" t="s">
        <v>5486</v>
      </c>
      <c r="I860" s="264" t="s">
        <v>5507</v>
      </c>
      <c r="J860" s="295">
        <v>289.01</v>
      </c>
      <c r="K860" s="295">
        <v>235</v>
      </c>
      <c r="L860" s="295">
        <v>173.41</v>
      </c>
      <c r="O860" s="266">
        <v>6</v>
      </c>
      <c r="P860" s="266">
        <v>691991401220</v>
      </c>
      <c r="R860" s="265">
        <v>6</v>
      </c>
      <c r="S860" s="265">
        <v>22</v>
      </c>
      <c r="T860" s="265">
        <v>2.5</v>
      </c>
      <c r="U860" s="265">
        <v>11</v>
      </c>
      <c r="V860" s="259" t="s">
        <v>3028</v>
      </c>
      <c r="W860" s="259" t="s">
        <v>3029</v>
      </c>
      <c r="X860" s="264" t="s">
        <v>5508</v>
      </c>
      <c r="Y860" s="259">
        <v>8</v>
      </c>
      <c r="Z860" s="259" t="s">
        <v>3030</v>
      </c>
      <c r="AA860" s="259" t="e">
        <v>#N/A</v>
      </c>
      <c r="AB860" s="259"/>
      <c r="AC860" s="259"/>
      <c r="AD860" s="259"/>
      <c r="AE860" s="259"/>
    </row>
    <row r="861" spans="1:31">
      <c r="A861" s="259" t="s">
        <v>957</v>
      </c>
      <c r="B861" s="259" t="s">
        <v>5485</v>
      </c>
      <c r="C861" s="264" t="s">
        <v>5486</v>
      </c>
      <c r="D861" s="264" t="s">
        <v>5506</v>
      </c>
      <c r="E861" s="259" t="s">
        <v>5487</v>
      </c>
      <c r="H861" s="264" t="s">
        <v>5486</v>
      </c>
      <c r="I861" s="264" t="s">
        <v>5507</v>
      </c>
      <c r="J861" s="295">
        <v>289.01</v>
      </c>
      <c r="K861" s="295">
        <v>235</v>
      </c>
      <c r="L861" s="295">
        <v>173.41</v>
      </c>
      <c r="O861" s="266">
        <v>6</v>
      </c>
      <c r="P861" s="266">
        <v>691991401220</v>
      </c>
      <c r="R861" s="265">
        <v>6</v>
      </c>
      <c r="S861" s="265">
        <v>22</v>
      </c>
      <c r="T861" s="265">
        <v>2.5</v>
      </c>
      <c r="U861" s="265">
        <v>11</v>
      </c>
      <c r="V861" s="259" t="s">
        <v>3028</v>
      </c>
      <c r="W861" s="259" t="s">
        <v>3029</v>
      </c>
      <c r="X861" s="264" t="s">
        <v>5508</v>
      </c>
      <c r="Y861" s="259">
        <v>9</v>
      </c>
      <c r="Z861" s="259" t="s">
        <v>3030</v>
      </c>
      <c r="AA861" s="259" t="e">
        <v>#N/A</v>
      </c>
      <c r="AB861" s="259"/>
      <c r="AC861" s="259"/>
      <c r="AD861" s="259"/>
      <c r="AE861" s="259"/>
    </row>
    <row r="862" spans="1:31">
      <c r="A862" s="259" t="s">
        <v>958</v>
      </c>
      <c r="B862" s="259" t="s">
        <v>5485</v>
      </c>
      <c r="C862" s="264" t="s">
        <v>5509</v>
      </c>
      <c r="D862" s="264" t="s">
        <v>5510</v>
      </c>
      <c r="E862" s="259" t="s">
        <v>5511</v>
      </c>
      <c r="H862" s="264" t="s">
        <v>5509</v>
      </c>
      <c r="I862" s="264" t="s">
        <v>5512</v>
      </c>
      <c r="J862" s="295">
        <v>319.60000000000002</v>
      </c>
      <c r="K862" s="295">
        <v>255</v>
      </c>
      <c r="L862" s="295">
        <v>191.76</v>
      </c>
      <c r="O862" s="266">
        <v>6</v>
      </c>
      <c r="P862" s="266">
        <v>691991401275</v>
      </c>
      <c r="R862" s="265">
        <v>6.5</v>
      </c>
      <c r="S862" s="265">
        <v>22</v>
      </c>
      <c r="T862" s="265">
        <v>2.5</v>
      </c>
      <c r="U862" s="265">
        <v>11.5</v>
      </c>
      <c r="V862" s="259" t="s">
        <v>3028</v>
      </c>
      <c r="W862" s="259" t="s">
        <v>3029</v>
      </c>
      <c r="X862" s="264" t="s">
        <v>5513</v>
      </c>
      <c r="Y862" s="259">
        <v>10</v>
      </c>
      <c r="Z862" s="259" t="s">
        <v>3030</v>
      </c>
      <c r="AA862" s="259" t="e">
        <v>#N/A</v>
      </c>
      <c r="AB862" s="259"/>
      <c r="AC862" s="259"/>
      <c r="AD862" s="259"/>
      <c r="AE862" s="259"/>
    </row>
    <row r="863" spans="1:31">
      <c r="A863" s="259" t="s">
        <v>959</v>
      </c>
      <c r="B863" s="259" t="s">
        <v>5485</v>
      </c>
      <c r="C863" s="264" t="s">
        <v>5486</v>
      </c>
      <c r="D863" s="264" t="s">
        <v>5514</v>
      </c>
      <c r="E863" s="259" t="s">
        <v>5487</v>
      </c>
      <c r="H863" s="264" t="s">
        <v>5486</v>
      </c>
      <c r="I863" s="264" t="s">
        <v>5515</v>
      </c>
      <c r="J863" s="295">
        <v>350.18</v>
      </c>
      <c r="K863" s="295">
        <v>285</v>
      </c>
      <c r="L863" s="295">
        <v>210.11</v>
      </c>
      <c r="O863" s="266">
        <v>3</v>
      </c>
      <c r="P863" s="266">
        <v>691991401206</v>
      </c>
      <c r="R863" s="265">
        <v>8</v>
      </c>
      <c r="S863" s="265">
        <v>22</v>
      </c>
      <c r="T863" s="265">
        <v>2.5</v>
      </c>
      <c r="U863" s="265">
        <v>11.5</v>
      </c>
      <c r="V863" s="259" t="s">
        <v>3028</v>
      </c>
      <c r="W863" s="259" t="s">
        <v>3029</v>
      </c>
      <c r="X863" s="264" t="s">
        <v>5516</v>
      </c>
      <c r="Y863" s="259">
        <v>11</v>
      </c>
      <c r="Z863" s="259" t="s">
        <v>3030</v>
      </c>
      <c r="AA863" s="259" t="e">
        <v>#N/A</v>
      </c>
      <c r="AB863" s="259"/>
      <c r="AC863" s="259"/>
      <c r="AD863" s="259"/>
      <c r="AE863" s="259"/>
    </row>
    <row r="864" spans="1:31">
      <c r="A864" s="259" t="s">
        <v>960</v>
      </c>
      <c r="B864" s="259" t="s">
        <v>5485</v>
      </c>
      <c r="C864" s="264" t="s">
        <v>5486</v>
      </c>
      <c r="D864" s="264" t="s">
        <v>5514</v>
      </c>
      <c r="E864" s="259" t="s">
        <v>5487</v>
      </c>
      <c r="H864" s="264" t="s">
        <v>5486</v>
      </c>
      <c r="I864" s="264" t="s">
        <v>5515</v>
      </c>
      <c r="J864" s="295">
        <v>350.18</v>
      </c>
      <c r="K864" s="295">
        <v>285</v>
      </c>
      <c r="L864" s="295">
        <v>210.11</v>
      </c>
      <c r="O864" s="266">
        <v>3</v>
      </c>
      <c r="P864" s="266">
        <v>691991401206</v>
      </c>
      <c r="R864" s="265">
        <v>8</v>
      </c>
      <c r="S864" s="265">
        <v>22</v>
      </c>
      <c r="T864" s="265">
        <v>2.5</v>
      </c>
      <c r="U864" s="265">
        <v>11.5</v>
      </c>
      <c r="V864" s="259" t="s">
        <v>3028</v>
      </c>
      <c r="W864" s="259" t="s">
        <v>3029</v>
      </c>
      <c r="X864" s="264" t="s">
        <v>5516</v>
      </c>
      <c r="Y864" s="259">
        <v>12</v>
      </c>
      <c r="Z864" s="259" t="s">
        <v>3030</v>
      </c>
      <c r="AA864" s="259" t="e">
        <v>#N/A</v>
      </c>
      <c r="AB864" s="259"/>
      <c r="AC864" s="259"/>
      <c r="AD864" s="259"/>
      <c r="AE864" s="259"/>
    </row>
    <row r="865" spans="1:31">
      <c r="A865" s="259" t="s">
        <v>961</v>
      </c>
      <c r="B865" s="259" t="s">
        <v>5485</v>
      </c>
      <c r="C865" s="264" t="s">
        <v>5509</v>
      </c>
      <c r="D865" s="264" t="s">
        <v>5517</v>
      </c>
      <c r="E865" s="259" t="s">
        <v>5511</v>
      </c>
      <c r="H865" s="264" t="s">
        <v>5509</v>
      </c>
      <c r="I865" s="264" t="s">
        <v>5518</v>
      </c>
      <c r="J865" s="295">
        <v>350.18</v>
      </c>
      <c r="K865" s="295">
        <v>285</v>
      </c>
      <c r="L865" s="295">
        <v>210.11</v>
      </c>
      <c r="O865" s="266">
        <v>6</v>
      </c>
      <c r="P865" s="266">
        <v>691991401282</v>
      </c>
      <c r="R865" s="265">
        <v>6.5</v>
      </c>
      <c r="S865" s="265">
        <v>22</v>
      </c>
      <c r="T865" s="265">
        <v>2.5</v>
      </c>
      <c r="U865" s="265">
        <v>11.25</v>
      </c>
      <c r="V865" s="259" t="s">
        <v>3028</v>
      </c>
      <c r="W865" s="259" t="s">
        <v>3029</v>
      </c>
      <c r="X865" s="264" t="s">
        <v>5519</v>
      </c>
      <c r="Y865" s="259">
        <v>13</v>
      </c>
      <c r="Z865" s="259" t="s">
        <v>3030</v>
      </c>
      <c r="AA865" s="259" t="e">
        <v>#N/A</v>
      </c>
      <c r="AB865" s="259"/>
      <c r="AC865" s="259"/>
      <c r="AD865" s="259"/>
      <c r="AE865" s="259"/>
    </row>
    <row r="866" spans="1:31">
      <c r="A866" s="259" t="s">
        <v>962</v>
      </c>
      <c r="B866" s="259" t="s">
        <v>5485</v>
      </c>
      <c r="C866" s="264" t="s">
        <v>5509</v>
      </c>
      <c r="D866" s="264" t="s">
        <v>5520</v>
      </c>
      <c r="E866" s="259" t="s">
        <v>5511</v>
      </c>
      <c r="H866" s="264" t="s">
        <v>5509</v>
      </c>
      <c r="I866" s="264" t="s">
        <v>5521</v>
      </c>
      <c r="J866" s="295">
        <v>411.35</v>
      </c>
      <c r="K866" s="295">
        <v>329</v>
      </c>
      <c r="L866" s="295">
        <v>246.81</v>
      </c>
      <c r="O866" s="266">
        <v>6</v>
      </c>
      <c r="P866" s="266">
        <v>691991401299</v>
      </c>
      <c r="R866" s="265">
        <v>7</v>
      </c>
      <c r="S866" s="265">
        <v>22</v>
      </c>
      <c r="T866" s="265">
        <v>3</v>
      </c>
      <c r="U866" s="265">
        <v>11.5</v>
      </c>
      <c r="V866" s="259" t="s">
        <v>3028</v>
      </c>
      <c r="W866" s="259" t="s">
        <v>3029</v>
      </c>
      <c r="X866" s="264" t="s">
        <v>5522</v>
      </c>
      <c r="Y866" s="259">
        <v>14</v>
      </c>
      <c r="Z866" s="259" t="s">
        <v>3030</v>
      </c>
      <c r="AA866" s="259" t="e">
        <v>#N/A</v>
      </c>
      <c r="AB866" s="259"/>
      <c r="AC866" s="259"/>
      <c r="AD866" s="259"/>
      <c r="AE866" s="259"/>
    </row>
    <row r="867" spans="1:31">
      <c r="A867" s="259" t="s">
        <v>963</v>
      </c>
      <c r="B867" s="259" t="s">
        <v>5485</v>
      </c>
      <c r="C867" s="264" t="s">
        <v>5523</v>
      </c>
      <c r="D867" s="264" t="s">
        <v>5524</v>
      </c>
      <c r="E867" s="259" t="s">
        <v>5525</v>
      </c>
      <c r="H867" s="264" t="s">
        <v>5523</v>
      </c>
      <c r="I867" s="264" t="s">
        <v>5526</v>
      </c>
      <c r="J867" s="295">
        <v>1023.01</v>
      </c>
      <c r="K867" s="295">
        <v>819</v>
      </c>
      <c r="L867" s="295">
        <v>613.80999999999995</v>
      </c>
      <c r="O867" s="266">
        <v>1</v>
      </c>
      <c r="P867" s="266">
        <v>691991400483</v>
      </c>
      <c r="R867" s="265">
        <v>8.5</v>
      </c>
      <c r="S867" s="265">
        <v>22.5</v>
      </c>
      <c r="T867" s="265">
        <v>4</v>
      </c>
      <c r="U867" s="265">
        <v>11.5</v>
      </c>
      <c r="V867" s="259" t="s">
        <v>3028</v>
      </c>
      <c r="W867" s="259" t="s">
        <v>3029</v>
      </c>
      <c r="X867" s="264" t="s">
        <v>5527</v>
      </c>
      <c r="Y867" s="259">
        <v>15</v>
      </c>
      <c r="Z867" s="259" t="s">
        <v>3030</v>
      </c>
      <c r="AA867" s="259" t="e">
        <v>#N/A</v>
      </c>
      <c r="AB867" s="259"/>
      <c r="AC867" s="259"/>
      <c r="AD867" s="259"/>
      <c r="AE867" s="259"/>
    </row>
    <row r="868" spans="1:31">
      <c r="A868" s="259" t="s">
        <v>964</v>
      </c>
      <c r="B868" s="259" t="s">
        <v>5485</v>
      </c>
      <c r="C868" s="264" t="s">
        <v>5509</v>
      </c>
      <c r="D868" s="264" t="s">
        <v>5528</v>
      </c>
      <c r="E868" s="259" t="s">
        <v>5511</v>
      </c>
      <c r="H868" s="264" t="s">
        <v>5509</v>
      </c>
      <c r="I868" s="264" t="s">
        <v>5529</v>
      </c>
      <c r="J868" s="295">
        <v>273.72000000000003</v>
      </c>
      <c r="K868" s="295">
        <v>225</v>
      </c>
      <c r="L868" s="295">
        <v>141.15</v>
      </c>
      <c r="O868" s="266">
        <v>6</v>
      </c>
      <c r="P868" s="266">
        <v>691991401244</v>
      </c>
      <c r="R868" s="265">
        <v>6</v>
      </c>
      <c r="S868" s="265">
        <v>22</v>
      </c>
      <c r="T868" s="265">
        <v>2.5</v>
      </c>
      <c r="U868" s="265">
        <v>11</v>
      </c>
      <c r="V868" s="259" t="s">
        <v>3028</v>
      </c>
      <c r="W868" s="259" t="s">
        <v>3029</v>
      </c>
      <c r="X868" s="264" t="s">
        <v>5530</v>
      </c>
      <c r="Y868" s="259">
        <v>16</v>
      </c>
      <c r="Z868" s="259" t="s">
        <v>3030</v>
      </c>
      <c r="AA868" s="259" t="e">
        <v>#N/A</v>
      </c>
      <c r="AB868" s="259"/>
      <c r="AC868" s="259"/>
      <c r="AD868" s="259"/>
      <c r="AE868" s="259"/>
    </row>
    <row r="869" spans="1:31">
      <c r="A869" s="259" t="s">
        <v>965</v>
      </c>
      <c r="B869" s="259" t="s">
        <v>5485</v>
      </c>
      <c r="C869" s="264" t="s">
        <v>5509</v>
      </c>
      <c r="D869" s="264" t="s">
        <v>5531</v>
      </c>
      <c r="E869" s="259" t="s">
        <v>5532</v>
      </c>
      <c r="G869" s="259" t="s">
        <v>3378</v>
      </c>
      <c r="H869" s="264" t="s">
        <v>5509</v>
      </c>
      <c r="I869" s="264" t="s">
        <v>5533</v>
      </c>
      <c r="J869" s="295">
        <v>350.18</v>
      </c>
      <c r="K869" s="295">
        <v>289</v>
      </c>
      <c r="L869" s="295">
        <v>210.11</v>
      </c>
      <c r="O869" s="266">
        <v>6</v>
      </c>
      <c r="P869" s="266">
        <v>691991401237</v>
      </c>
      <c r="R869" s="265">
        <v>6</v>
      </c>
      <c r="S869" s="265">
        <v>22</v>
      </c>
      <c r="T869" s="265">
        <v>2.5</v>
      </c>
      <c r="U869" s="265">
        <v>11.25</v>
      </c>
      <c r="V869" s="259"/>
      <c r="W869" s="259" t="s">
        <v>3029</v>
      </c>
      <c r="X869" s="264" t="s">
        <v>5534</v>
      </c>
      <c r="Y869" s="259">
        <v>17</v>
      </c>
      <c r="Z869" s="259" t="s">
        <v>3030</v>
      </c>
      <c r="AA869" s="259" t="e">
        <v>#N/A</v>
      </c>
      <c r="AB869" s="259"/>
      <c r="AC869" s="259"/>
      <c r="AD869" s="259"/>
      <c r="AE869" s="259"/>
    </row>
    <row r="870" spans="1:31">
      <c r="A870" s="259" t="s">
        <v>965</v>
      </c>
      <c r="B870" s="259" t="s">
        <v>5485</v>
      </c>
      <c r="C870" s="264" t="s">
        <v>5509</v>
      </c>
      <c r="D870" s="264" t="s">
        <v>5531</v>
      </c>
      <c r="E870" s="259" t="s">
        <v>5532</v>
      </c>
      <c r="H870" s="264" t="s">
        <v>5509</v>
      </c>
      <c r="I870" s="264" t="s">
        <v>5533</v>
      </c>
      <c r="J870" s="295">
        <v>350.18</v>
      </c>
      <c r="K870" s="295">
        <v>289</v>
      </c>
      <c r="L870" s="295">
        <v>210.11</v>
      </c>
      <c r="O870" s="266">
        <v>6</v>
      </c>
      <c r="P870" s="266">
        <v>691991401237</v>
      </c>
      <c r="R870" s="265">
        <v>6</v>
      </c>
      <c r="S870" s="265">
        <v>22</v>
      </c>
      <c r="T870" s="265">
        <v>2.5</v>
      </c>
      <c r="U870" s="265">
        <v>11.25</v>
      </c>
      <c r="V870" s="259"/>
      <c r="W870" s="259" t="s">
        <v>3029</v>
      </c>
      <c r="X870" s="264" t="s">
        <v>5534</v>
      </c>
      <c r="Y870" s="259">
        <v>17</v>
      </c>
      <c r="Z870" s="259" t="s">
        <v>3030</v>
      </c>
      <c r="AA870" s="259" t="e">
        <v>#N/A</v>
      </c>
      <c r="AB870" s="259"/>
      <c r="AC870" s="259"/>
      <c r="AD870" s="259"/>
      <c r="AE870" s="259"/>
    </row>
    <row r="871" spans="1:31">
      <c r="A871" s="259" t="s">
        <v>966</v>
      </c>
      <c r="B871" s="259" t="s">
        <v>5485</v>
      </c>
      <c r="C871" s="264" t="s">
        <v>5509</v>
      </c>
      <c r="D871" s="264" t="s">
        <v>5531</v>
      </c>
      <c r="E871" s="259" t="s">
        <v>5532</v>
      </c>
      <c r="G871" s="259" t="s">
        <v>3378</v>
      </c>
      <c r="H871" s="264" t="s">
        <v>5509</v>
      </c>
      <c r="I871" s="264" t="s">
        <v>5533</v>
      </c>
      <c r="J871" s="295">
        <v>350.18</v>
      </c>
      <c r="K871" s="295">
        <v>289</v>
      </c>
      <c r="L871" s="295">
        <v>210.11</v>
      </c>
      <c r="O871" s="266">
        <v>6</v>
      </c>
      <c r="P871" s="266">
        <v>691991401237</v>
      </c>
      <c r="R871" s="265">
        <v>6</v>
      </c>
      <c r="S871" s="265">
        <v>22</v>
      </c>
      <c r="T871" s="265">
        <v>2.5</v>
      </c>
      <c r="U871" s="265">
        <v>11.25</v>
      </c>
      <c r="V871" s="259"/>
      <c r="W871" s="259" t="s">
        <v>3029</v>
      </c>
      <c r="X871" s="264" t="s">
        <v>5534</v>
      </c>
      <c r="Y871" s="259">
        <v>18</v>
      </c>
      <c r="Z871" s="259" t="s">
        <v>3030</v>
      </c>
      <c r="AA871" s="259" t="e">
        <v>#N/A</v>
      </c>
      <c r="AB871" s="259"/>
      <c r="AC871" s="259"/>
      <c r="AD871" s="259"/>
      <c r="AE871" s="259"/>
    </row>
    <row r="872" spans="1:31">
      <c r="A872" s="259" t="s">
        <v>967</v>
      </c>
      <c r="B872" s="259" t="s">
        <v>5485</v>
      </c>
      <c r="C872" s="264" t="s">
        <v>5535</v>
      </c>
      <c r="D872" s="264">
        <v>510</v>
      </c>
      <c r="E872" s="259" t="s">
        <v>5532</v>
      </c>
      <c r="H872" s="264" t="s">
        <v>5535</v>
      </c>
      <c r="I872" s="264" t="s">
        <v>5536</v>
      </c>
      <c r="J872" s="295">
        <v>258.43</v>
      </c>
      <c r="K872" s="295">
        <v>209</v>
      </c>
      <c r="L872" s="295">
        <v>155.06</v>
      </c>
      <c r="O872" s="266">
        <v>6</v>
      </c>
      <c r="P872" s="266">
        <v>691991000669</v>
      </c>
      <c r="R872" s="265">
        <v>1.5</v>
      </c>
      <c r="S872" s="265">
        <v>10</v>
      </c>
      <c r="T872" s="265">
        <v>6</v>
      </c>
      <c r="U872" s="265">
        <v>3.5</v>
      </c>
      <c r="V872" s="259" t="s">
        <v>3028</v>
      </c>
      <c r="W872" s="259" t="s">
        <v>3029</v>
      </c>
      <c r="X872" s="264" t="s">
        <v>5537</v>
      </c>
      <c r="Y872" s="259">
        <v>20</v>
      </c>
      <c r="Z872" s="259" t="s">
        <v>3030</v>
      </c>
      <c r="AA872" s="259" t="e">
        <v>#N/A</v>
      </c>
      <c r="AB872" s="259"/>
      <c r="AC872" s="259"/>
      <c r="AD872" s="259"/>
      <c r="AE872" s="259"/>
    </row>
    <row r="873" spans="1:31">
      <c r="A873" s="259" t="s">
        <v>968</v>
      </c>
      <c r="B873" s="259" t="s">
        <v>5485</v>
      </c>
      <c r="C873" s="264" t="s">
        <v>5535</v>
      </c>
      <c r="D873" s="264">
        <v>520</v>
      </c>
      <c r="E873" s="259" t="s">
        <v>5532</v>
      </c>
      <c r="H873" s="264" t="s">
        <v>5535</v>
      </c>
      <c r="I873" s="264" t="s">
        <v>5538</v>
      </c>
      <c r="J873" s="295">
        <v>273.72000000000003</v>
      </c>
      <c r="K873" s="295">
        <v>225</v>
      </c>
      <c r="L873" s="295">
        <v>164.23</v>
      </c>
      <c r="O873" s="266">
        <v>6</v>
      </c>
      <c r="P873" s="266">
        <v>691991000652</v>
      </c>
      <c r="R873" s="265">
        <v>2</v>
      </c>
      <c r="S873" s="265">
        <v>10</v>
      </c>
      <c r="T873" s="265">
        <v>6.5</v>
      </c>
      <c r="U873" s="265">
        <v>4</v>
      </c>
      <c r="V873" s="259" t="s">
        <v>3028</v>
      </c>
      <c r="W873" s="259" t="s">
        <v>3029</v>
      </c>
      <c r="X873" s="264" t="s">
        <v>5539</v>
      </c>
      <c r="Y873" s="259">
        <v>21</v>
      </c>
      <c r="Z873" s="259" t="s">
        <v>3030</v>
      </c>
      <c r="AA873" s="259" t="e">
        <v>#N/A</v>
      </c>
      <c r="AB873" s="259"/>
      <c r="AC873" s="259"/>
      <c r="AD873" s="259"/>
      <c r="AE873" s="259"/>
    </row>
    <row r="874" spans="1:31">
      <c r="A874" s="259" t="s">
        <v>969</v>
      </c>
      <c r="B874" s="259" t="s">
        <v>5485</v>
      </c>
      <c r="C874" s="264" t="s">
        <v>5535</v>
      </c>
      <c r="D874" s="264">
        <v>530</v>
      </c>
      <c r="E874" s="259" t="s">
        <v>5532</v>
      </c>
      <c r="H874" s="264" t="s">
        <v>5535</v>
      </c>
      <c r="I874" s="264" t="s">
        <v>5540</v>
      </c>
      <c r="J874" s="295">
        <v>350.18</v>
      </c>
      <c r="K874" s="295">
        <v>285</v>
      </c>
      <c r="L874" s="295">
        <v>210.11</v>
      </c>
      <c r="O874" s="266">
        <v>6</v>
      </c>
      <c r="P874" s="266">
        <v>691991000645</v>
      </c>
      <c r="R874" s="265">
        <v>8</v>
      </c>
      <c r="S874" s="265">
        <v>13.5</v>
      </c>
      <c r="T874" s="265">
        <v>11</v>
      </c>
      <c r="U874" s="265">
        <v>12</v>
      </c>
      <c r="V874" s="259" t="s">
        <v>3028</v>
      </c>
      <c r="W874" s="259" t="s">
        <v>3029</v>
      </c>
      <c r="X874" s="264" t="s">
        <v>5541</v>
      </c>
      <c r="Y874" s="259">
        <v>22</v>
      </c>
      <c r="Z874" s="259" t="s">
        <v>3030</v>
      </c>
      <c r="AA874" s="259" t="e">
        <v>#N/A</v>
      </c>
      <c r="AB874" s="259"/>
      <c r="AC874" s="259"/>
      <c r="AD874" s="259"/>
      <c r="AE874" s="259"/>
    </row>
    <row r="875" spans="1:31">
      <c r="A875" s="259" t="s">
        <v>970</v>
      </c>
      <c r="B875" s="259" t="s">
        <v>5485</v>
      </c>
      <c r="C875" s="264" t="s">
        <v>5535</v>
      </c>
      <c r="D875" s="264" t="s">
        <v>5542</v>
      </c>
      <c r="E875" s="259" t="s">
        <v>5532</v>
      </c>
      <c r="H875" s="264" t="s">
        <v>5535</v>
      </c>
      <c r="I875" s="264" t="s">
        <v>5543</v>
      </c>
      <c r="J875" s="295">
        <v>350.18</v>
      </c>
      <c r="K875" s="295">
        <v>285</v>
      </c>
      <c r="L875" s="295">
        <v>210.11</v>
      </c>
      <c r="O875" s="266">
        <v>6</v>
      </c>
      <c r="P875" s="266">
        <v>691991000638</v>
      </c>
      <c r="R875" s="265">
        <v>1</v>
      </c>
      <c r="S875" s="265">
        <v>10</v>
      </c>
      <c r="T875" s="265">
        <v>6.5</v>
      </c>
      <c r="U875" s="265">
        <v>4</v>
      </c>
      <c r="V875" s="259" t="s">
        <v>3028</v>
      </c>
      <c r="W875" s="259" t="s">
        <v>3029</v>
      </c>
      <c r="X875" s="264" t="s">
        <v>5544</v>
      </c>
      <c r="Y875" s="259">
        <v>23</v>
      </c>
      <c r="Z875" s="259" t="s">
        <v>3030</v>
      </c>
      <c r="AA875" s="259" t="e">
        <v>#N/A</v>
      </c>
      <c r="AB875" s="259"/>
      <c r="AC875" s="259"/>
      <c r="AD875" s="259"/>
      <c r="AE875" s="259"/>
    </row>
    <row r="876" spans="1:31">
      <c r="A876" s="259" t="s">
        <v>971</v>
      </c>
      <c r="B876" s="259" t="s">
        <v>5485</v>
      </c>
      <c r="C876" s="264" t="s">
        <v>5535</v>
      </c>
      <c r="D876" s="264">
        <v>580</v>
      </c>
      <c r="E876" s="259" t="s">
        <v>5532</v>
      </c>
      <c r="H876" s="264" t="s">
        <v>5535</v>
      </c>
      <c r="I876" s="264" t="s">
        <v>5545</v>
      </c>
      <c r="J876" s="295">
        <v>426.64</v>
      </c>
      <c r="K876" s="295">
        <v>339</v>
      </c>
      <c r="L876" s="295">
        <v>255.98</v>
      </c>
      <c r="O876" s="266">
        <v>6</v>
      </c>
      <c r="P876" s="266">
        <v>691991000621</v>
      </c>
      <c r="R876" s="265">
        <v>1.5</v>
      </c>
      <c r="S876" s="265">
        <v>10</v>
      </c>
      <c r="T876" s="265">
        <v>6</v>
      </c>
      <c r="U876" s="265">
        <v>3.5</v>
      </c>
      <c r="V876" s="259" t="s">
        <v>3028</v>
      </c>
      <c r="W876" s="259" t="s">
        <v>3029</v>
      </c>
      <c r="X876" s="264" t="s">
        <v>5546</v>
      </c>
      <c r="Y876" s="259">
        <v>24</v>
      </c>
      <c r="Z876" s="259" t="s">
        <v>3030</v>
      </c>
      <c r="AA876" s="259" t="e">
        <v>#N/A</v>
      </c>
      <c r="AB876" s="259"/>
      <c r="AC876" s="259"/>
      <c r="AD876" s="259"/>
      <c r="AE876" s="259"/>
    </row>
    <row r="877" spans="1:31">
      <c r="A877" s="259" t="s">
        <v>972</v>
      </c>
      <c r="B877" s="259" t="s">
        <v>5485</v>
      </c>
      <c r="C877" s="264" t="s">
        <v>5492</v>
      </c>
      <c r="D877" s="264" t="s">
        <v>5547</v>
      </c>
      <c r="E877" s="259" t="s">
        <v>5494</v>
      </c>
      <c r="H877" s="264" t="s">
        <v>5492</v>
      </c>
      <c r="I877" s="264" t="s">
        <v>5548</v>
      </c>
      <c r="J877" s="295">
        <v>916.27</v>
      </c>
      <c r="K877" s="295">
        <v>825</v>
      </c>
      <c r="L877" s="295">
        <v>528.47</v>
      </c>
      <c r="O877" s="266">
        <v>2</v>
      </c>
      <c r="P877" s="266">
        <v>691991401169</v>
      </c>
      <c r="R877" s="265">
        <v>8.1999999999999993</v>
      </c>
      <c r="S877" s="265">
        <v>7.75</v>
      </c>
      <c r="T877" s="265">
        <v>19</v>
      </c>
      <c r="U877" s="265">
        <v>1.75</v>
      </c>
      <c r="V877" s="259" t="s">
        <v>3028</v>
      </c>
      <c r="W877" s="259" t="s">
        <v>3029</v>
      </c>
      <c r="X877" s="264" t="s">
        <v>5549</v>
      </c>
      <c r="Y877" s="259">
        <v>25</v>
      </c>
      <c r="Z877" s="259" t="s">
        <v>3030</v>
      </c>
      <c r="AA877" s="259" t="e">
        <v>#N/A</v>
      </c>
      <c r="AB877" s="259"/>
      <c r="AC877" s="259"/>
      <c r="AD877" s="259"/>
      <c r="AE877" s="259"/>
    </row>
    <row r="878" spans="1:31">
      <c r="A878" s="259" t="s">
        <v>973</v>
      </c>
      <c r="B878" s="259" t="s">
        <v>5485</v>
      </c>
      <c r="C878" s="264" t="s">
        <v>5492</v>
      </c>
      <c r="D878" s="264" t="s">
        <v>5547</v>
      </c>
      <c r="E878" s="259" t="s">
        <v>5494</v>
      </c>
      <c r="H878" s="264" t="s">
        <v>5492</v>
      </c>
      <c r="I878" s="264" t="s">
        <v>5548</v>
      </c>
      <c r="J878" s="295">
        <v>916.27</v>
      </c>
      <c r="K878" s="295">
        <v>825</v>
      </c>
      <c r="L878" s="295">
        <v>528.47</v>
      </c>
      <c r="O878" s="266">
        <v>2</v>
      </c>
      <c r="P878" s="266">
        <v>691991401169</v>
      </c>
      <c r="R878" s="265">
        <v>8.1999999999999993</v>
      </c>
      <c r="S878" s="265">
        <v>7.75</v>
      </c>
      <c r="T878" s="265">
        <v>19</v>
      </c>
      <c r="U878" s="265">
        <v>1.75</v>
      </c>
      <c r="V878" s="259" t="s">
        <v>3028</v>
      </c>
      <c r="W878" s="259" t="s">
        <v>3029</v>
      </c>
      <c r="X878" s="264" t="s">
        <v>5549</v>
      </c>
      <c r="Y878" s="259">
        <v>26</v>
      </c>
      <c r="Z878" s="259" t="s">
        <v>3030</v>
      </c>
      <c r="AA878" s="259" t="e">
        <v>#N/A</v>
      </c>
      <c r="AB878" s="259"/>
      <c r="AC878" s="259"/>
      <c r="AD878" s="259"/>
      <c r="AE878" s="259"/>
    </row>
    <row r="879" spans="1:31">
      <c r="A879" s="259" t="s">
        <v>974</v>
      </c>
      <c r="B879" s="259" t="s">
        <v>5485</v>
      </c>
      <c r="C879" s="264" t="s">
        <v>5492</v>
      </c>
      <c r="D879" s="264">
        <v>640</v>
      </c>
      <c r="E879" s="259" t="s">
        <v>5494</v>
      </c>
      <c r="H879" s="264" t="s">
        <v>5492</v>
      </c>
      <c r="I879" s="264" t="s">
        <v>5548</v>
      </c>
      <c r="J879" s="295">
        <v>842.29</v>
      </c>
      <c r="K879" s="295">
        <v>775</v>
      </c>
      <c r="L879" s="295">
        <v>473.7</v>
      </c>
      <c r="O879" s="266">
        <v>2</v>
      </c>
      <c r="P879" s="266">
        <v>691991400728</v>
      </c>
      <c r="R879" s="265">
        <v>9</v>
      </c>
      <c r="S879" s="265">
        <v>22</v>
      </c>
      <c r="T879" s="265">
        <v>11.5</v>
      </c>
      <c r="U879" s="265">
        <v>3.5</v>
      </c>
      <c r="V879" s="259" t="s">
        <v>3028</v>
      </c>
      <c r="W879" s="259" t="s">
        <v>3029</v>
      </c>
      <c r="X879" s="264" t="s">
        <v>5550</v>
      </c>
      <c r="Y879" s="259">
        <v>27</v>
      </c>
      <c r="Z879" s="259" t="s">
        <v>3030</v>
      </c>
      <c r="AA879" s="259" t="e">
        <v>#N/A</v>
      </c>
      <c r="AB879" s="259"/>
      <c r="AC879" s="259"/>
      <c r="AD879" s="259"/>
      <c r="AE879" s="259"/>
    </row>
    <row r="880" spans="1:31">
      <c r="A880" s="259" t="s">
        <v>975</v>
      </c>
      <c r="B880" s="259" t="s">
        <v>5485</v>
      </c>
      <c r="C880" s="264" t="s">
        <v>5492</v>
      </c>
      <c r="D880" s="264">
        <v>640</v>
      </c>
      <c r="E880" s="259" t="s">
        <v>5494</v>
      </c>
      <c r="H880" s="264" t="s">
        <v>5492</v>
      </c>
      <c r="I880" s="264" t="s">
        <v>5548</v>
      </c>
      <c r="J880" s="295">
        <v>842.29</v>
      </c>
      <c r="K880" s="295">
        <v>775</v>
      </c>
      <c r="L880" s="295">
        <v>473.7</v>
      </c>
      <c r="O880" s="266">
        <v>2</v>
      </c>
      <c r="P880" s="266">
        <v>691991400728</v>
      </c>
      <c r="R880" s="265">
        <v>9</v>
      </c>
      <c r="S880" s="265">
        <v>22</v>
      </c>
      <c r="T880" s="265">
        <v>11.5</v>
      </c>
      <c r="U880" s="265">
        <v>3.5</v>
      </c>
      <c r="V880" s="259" t="s">
        <v>3028</v>
      </c>
      <c r="W880" s="259" t="s">
        <v>3029</v>
      </c>
      <c r="X880" s="264" t="s">
        <v>5550</v>
      </c>
      <c r="Y880" s="259">
        <v>28</v>
      </c>
      <c r="Z880" s="259" t="s">
        <v>3030</v>
      </c>
      <c r="AA880" s="259" t="e">
        <v>#N/A</v>
      </c>
      <c r="AB880" s="259"/>
      <c r="AC880" s="259"/>
      <c r="AD880" s="259"/>
      <c r="AE880" s="259"/>
    </row>
    <row r="881" spans="1:31">
      <c r="A881" s="259" t="s">
        <v>976</v>
      </c>
      <c r="B881" s="259" t="s">
        <v>5485</v>
      </c>
      <c r="C881" s="264" t="s">
        <v>5492</v>
      </c>
      <c r="D881" s="264" t="s">
        <v>5551</v>
      </c>
      <c r="E881" s="259" t="s">
        <v>5494</v>
      </c>
      <c r="H881" s="264"/>
      <c r="I881" s="264" t="s">
        <v>5492</v>
      </c>
      <c r="J881" s="295">
        <v>763.36</v>
      </c>
      <c r="K881" s="295">
        <v>615</v>
      </c>
      <c r="L881" s="295">
        <v>413.49</v>
      </c>
      <c r="O881" s="266">
        <v>2</v>
      </c>
      <c r="P881" s="266">
        <v>691991401176</v>
      </c>
      <c r="R881" s="265">
        <v>8.8000000000000007</v>
      </c>
      <c r="S881" s="265">
        <v>5.75</v>
      </c>
      <c r="T881" s="265">
        <v>19</v>
      </c>
      <c r="U881" s="265">
        <v>1.75</v>
      </c>
      <c r="V881" s="259" t="s">
        <v>3028</v>
      </c>
      <c r="W881" s="259" t="s">
        <v>3029</v>
      </c>
      <c r="X881" s="264" t="s">
        <v>5552</v>
      </c>
      <c r="Y881" s="259">
        <v>29</v>
      </c>
      <c r="Z881" s="259" t="s">
        <v>3030</v>
      </c>
      <c r="AA881" s="259" t="e">
        <v>#N/A</v>
      </c>
      <c r="AB881" s="259"/>
      <c r="AC881" s="259"/>
      <c r="AD881" s="259"/>
      <c r="AE881" s="259"/>
    </row>
    <row r="882" spans="1:31">
      <c r="A882" s="259" t="s">
        <v>977</v>
      </c>
      <c r="B882" s="259" t="s">
        <v>5485</v>
      </c>
      <c r="C882" s="264" t="s">
        <v>5492</v>
      </c>
      <c r="D882" s="264" t="s">
        <v>5551</v>
      </c>
      <c r="E882" s="259" t="s">
        <v>5494</v>
      </c>
      <c r="H882" s="264"/>
      <c r="I882" s="264" t="s">
        <v>5492</v>
      </c>
      <c r="J882" s="295">
        <v>763.36</v>
      </c>
      <c r="K882" s="295">
        <v>615</v>
      </c>
      <c r="L882" s="295">
        <v>413.49</v>
      </c>
      <c r="O882" s="266">
        <v>2</v>
      </c>
      <c r="P882" s="266">
        <v>691991401176</v>
      </c>
      <c r="R882" s="265">
        <v>8.8000000000000007</v>
      </c>
      <c r="S882" s="265">
        <v>5.75</v>
      </c>
      <c r="T882" s="265">
        <v>19</v>
      </c>
      <c r="U882" s="265">
        <v>1.75</v>
      </c>
      <c r="V882" s="259" t="s">
        <v>3028</v>
      </c>
      <c r="W882" s="259" t="s">
        <v>3029</v>
      </c>
      <c r="X882" s="264" t="s">
        <v>5552</v>
      </c>
      <c r="Y882" s="259">
        <v>30</v>
      </c>
      <c r="Z882" s="259" t="s">
        <v>3030</v>
      </c>
      <c r="AA882" s="259" t="e">
        <v>#N/A</v>
      </c>
      <c r="AB882" s="259"/>
      <c r="AC882" s="259"/>
      <c r="AD882" s="259"/>
      <c r="AE882" s="259"/>
    </row>
    <row r="883" spans="1:31">
      <c r="A883" s="259" t="s">
        <v>978</v>
      </c>
      <c r="B883" s="259" t="s">
        <v>5485</v>
      </c>
      <c r="C883" s="264" t="s">
        <v>5492</v>
      </c>
      <c r="D883" s="264">
        <v>641</v>
      </c>
      <c r="E883" s="259" t="s">
        <v>5494</v>
      </c>
      <c r="H883" s="264" t="s">
        <v>5492</v>
      </c>
      <c r="I883" s="264" t="s">
        <v>5548</v>
      </c>
      <c r="J883" s="295">
        <v>687.51</v>
      </c>
      <c r="K883" s="295">
        <v>615</v>
      </c>
      <c r="L883" s="295">
        <v>405.39</v>
      </c>
      <c r="O883" s="266">
        <v>2</v>
      </c>
      <c r="P883" s="266">
        <v>691991400735</v>
      </c>
      <c r="R883" s="265">
        <v>8.5</v>
      </c>
      <c r="S883" s="265">
        <v>11.5</v>
      </c>
      <c r="T883" s="265">
        <v>22</v>
      </c>
      <c r="U883" s="265">
        <v>3.5</v>
      </c>
      <c r="V883" s="259" t="s">
        <v>3028</v>
      </c>
      <c r="W883" s="259" t="s">
        <v>3029</v>
      </c>
      <c r="X883" s="264" t="s">
        <v>5553</v>
      </c>
      <c r="Y883" s="259">
        <v>31</v>
      </c>
      <c r="Z883" s="259" t="s">
        <v>3030</v>
      </c>
      <c r="AA883" s="259" t="e">
        <v>#N/A</v>
      </c>
      <c r="AB883" s="259"/>
      <c r="AC883" s="259"/>
      <c r="AD883" s="259"/>
      <c r="AE883" s="259"/>
    </row>
    <row r="884" spans="1:31">
      <c r="A884" s="259" t="s">
        <v>979</v>
      </c>
      <c r="B884" s="259" t="s">
        <v>5485</v>
      </c>
      <c r="C884" s="264" t="s">
        <v>5492</v>
      </c>
      <c r="D884" s="264">
        <v>641</v>
      </c>
      <c r="E884" s="259" t="s">
        <v>5494</v>
      </c>
      <c r="H884" s="264" t="s">
        <v>5492</v>
      </c>
      <c r="I884" s="264" t="s">
        <v>5548</v>
      </c>
      <c r="J884" s="295">
        <v>687.51</v>
      </c>
      <c r="K884" s="295">
        <v>615</v>
      </c>
      <c r="L884" s="295">
        <v>405.39</v>
      </c>
      <c r="O884" s="266">
        <v>2</v>
      </c>
      <c r="P884" s="266">
        <v>691991400735</v>
      </c>
      <c r="R884" s="265">
        <v>8.5</v>
      </c>
      <c r="S884" s="265">
        <v>11.5</v>
      </c>
      <c r="T884" s="265">
        <v>22</v>
      </c>
      <c r="U884" s="265">
        <v>3.5</v>
      </c>
      <c r="V884" s="259" t="s">
        <v>3028</v>
      </c>
      <c r="W884" s="259" t="s">
        <v>3029</v>
      </c>
      <c r="X884" s="264" t="s">
        <v>5553</v>
      </c>
      <c r="Y884" s="259">
        <v>32</v>
      </c>
      <c r="Z884" s="259" t="s">
        <v>3030</v>
      </c>
      <c r="AA884" s="259" t="e">
        <v>#N/A</v>
      </c>
      <c r="AB884" s="259"/>
      <c r="AC884" s="259"/>
      <c r="AD884" s="259"/>
      <c r="AE884" s="259"/>
    </row>
    <row r="885" spans="1:31">
      <c r="A885" s="259" t="s">
        <v>980</v>
      </c>
      <c r="B885" s="259" t="s">
        <v>5485</v>
      </c>
      <c r="C885" s="264" t="s">
        <v>5509</v>
      </c>
      <c r="D885" s="264">
        <v>676</v>
      </c>
      <c r="E885" s="259" t="s">
        <v>5532</v>
      </c>
      <c r="H885" s="264" t="s">
        <v>5509</v>
      </c>
      <c r="I885" s="264" t="s">
        <v>5554</v>
      </c>
      <c r="J885" s="295">
        <v>1604.09</v>
      </c>
      <c r="K885" s="295">
        <v>1285</v>
      </c>
      <c r="L885" s="295">
        <v>962.46</v>
      </c>
      <c r="O885" s="266">
        <v>1</v>
      </c>
      <c r="P885" s="266">
        <v>691991000416</v>
      </c>
      <c r="R885" s="265">
        <v>0</v>
      </c>
      <c r="S885" s="265">
        <v>0</v>
      </c>
      <c r="T885" s="265">
        <v>0</v>
      </c>
      <c r="U885" s="265">
        <v>0</v>
      </c>
      <c r="V885" s="259" t="s">
        <v>3028</v>
      </c>
      <c r="W885" s="259" t="s">
        <v>3029</v>
      </c>
      <c r="X885" s="264" t="s">
        <v>5555</v>
      </c>
      <c r="Y885" s="259">
        <v>33</v>
      </c>
      <c r="Z885" s="259" t="s">
        <v>3030</v>
      </c>
      <c r="AA885" s="259" t="e">
        <v>#N/A</v>
      </c>
      <c r="AB885" s="259"/>
      <c r="AC885" s="259"/>
      <c r="AD885" s="259"/>
      <c r="AE885" s="259"/>
    </row>
    <row r="886" spans="1:31">
      <c r="A886" s="259" t="s">
        <v>981</v>
      </c>
      <c r="B886" s="259" t="s">
        <v>5485</v>
      </c>
      <c r="C886" s="264" t="s">
        <v>5509</v>
      </c>
      <c r="D886" s="264" t="s">
        <v>5556</v>
      </c>
      <c r="E886" s="259" t="s">
        <v>5557</v>
      </c>
      <c r="H886" s="264" t="s">
        <v>5509</v>
      </c>
      <c r="I886" s="264" t="s">
        <v>5558</v>
      </c>
      <c r="J886" s="295">
        <v>518.39</v>
      </c>
      <c r="K886" s="295">
        <v>415</v>
      </c>
      <c r="L886" s="295">
        <v>311.02999999999997</v>
      </c>
      <c r="O886" s="266">
        <v>4</v>
      </c>
      <c r="P886" s="266">
        <v>691991401510</v>
      </c>
      <c r="R886" s="265">
        <v>6</v>
      </c>
      <c r="S886" s="265">
        <v>22.5</v>
      </c>
      <c r="T886" s="265">
        <v>3.5</v>
      </c>
      <c r="U886" s="265">
        <v>11.5</v>
      </c>
      <c r="V886" s="259" t="s">
        <v>3028</v>
      </c>
      <c r="W886" s="259" t="s">
        <v>3029</v>
      </c>
      <c r="X886" s="264" t="s">
        <v>5559</v>
      </c>
      <c r="Y886" s="259">
        <v>34</v>
      </c>
      <c r="Z886" s="259" t="s">
        <v>3030</v>
      </c>
      <c r="AA886" s="259" t="e">
        <v>#N/A</v>
      </c>
      <c r="AB886" s="259"/>
      <c r="AC886" s="259"/>
      <c r="AD886" s="259"/>
      <c r="AE886" s="259"/>
    </row>
    <row r="887" spans="1:31">
      <c r="A887" s="259" t="s">
        <v>982</v>
      </c>
      <c r="B887" s="259" t="s">
        <v>5485</v>
      </c>
      <c r="C887" s="264" t="s">
        <v>5509</v>
      </c>
      <c r="D887" s="264" t="s">
        <v>5556</v>
      </c>
      <c r="E887" s="259" t="s">
        <v>5557</v>
      </c>
      <c r="H887" s="264" t="s">
        <v>5509</v>
      </c>
      <c r="I887" s="264" t="s">
        <v>5558</v>
      </c>
      <c r="J887" s="295">
        <v>518.39</v>
      </c>
      <c r="K887" s="295">
        <v>415</v>
      </c>
      <c r="L887" s="295">
        <v>311.02999999999997</v>
      </c>
      <c r="O887" s="266">
        <v>4</v>
      </c>
      <c r="P887" s="266">
        <v>691991401510</v>
      </c>
      <c r="R887" s="265">
        <v>6</v>
      </c>
      <c r="S887" s="265">
        <v>22.5</v>
      </c>
      <c r="T887" s="265">
        <v>3.5</v>
      </c>
      <c r="U887" s="265">
        <v>11.5</v>
      </c>
      <c r="V887" s="259" t="s">
        <v>3028</v>
      </c>
      <c r="W887" s="259" t="s">
        <v>3029</v>
      </c>
      <c r="X887" s="264" t="s">
        <v>5559</v>
      </c>
      <c r="Y887" s="259">
        <v>35</v>
      </c>
      <c r="Z887" s="259" t="s">
        <v>3030</v>
      </c>
      <c r="AA887" s="259" t="e">
        <v>#N/A</v>
      </c>
      <c r="AB887" s="259"/>
      <c r="AC887" s="259"/>
      <c r="AD887" s="259"/>
      <c r="AE887" s="259"/>
    </row>
    <row r="888" spans="1:31">
      <c r="A888" s="259" t="s">
        <v>983</v>
      </c>
      <c r="B888" s="259" t="s">
        <v>5485</v>
      </c>
      <c r="C888" s="264" t="s">
        <v>5560</v>
      </c>
      <c r="D888" s="264" t="s">
        <v>5561</v>
      </c>
      <c r="E888" s="259" t="s">
        <v>5494</v>
      </c>
      <c r="H888" s="264" t="s">
        <v>5560</v>
      </c>
      <c r="I888" s="264" t="s">
        <v>5562</v>
      </c>
      <c r="J888" s="295">
        <v>121.11</v>
      </c>
      <c r="K888" s="295">
        <v>109</v>
      </c>
      <c r="L888" s="295">
        <v>72.930000000000007</v>
      </c>
      <c r="O888" s="266">
        <v>4</v>
      </c>
      <c r="P888" s="266">
        <v>691991400704</v>
      </c>
      <c r="R888" s="265">
        <v>0</v>
      </c>
      <c r="S888" s="265">
        <v>0</v>
      </c>
      <c r="T888" s="265">
        <v>0</v>
      </c>
      <c r="U888" s="265">
        <v>0</v>
      </c>
      <c r="V888" s="259" t="s">
        <v>3028</v>
      </c>
      <c r="W888" s="259" t="s">
        <v>3029</v>
      </c>
      <c r="X888" s="264" t="s">
        <v>5563</v>
      </c>
      <c r="Y888" s="259">
        <v>36</v>
      </c>
      <c r="Z888" s="259" t="s">
        <v>3030</v>
      </c>
      <c r="AA888" s="259" t="e">
        <v>#N/A</v>
      </c>
      <c r="AB888" s="259"/>
      <c r="AC888" s="259"/>
      <c r="AD888" s="259"/>
      <c r="AE888" s="259"/>
    </row>
    <row r="889" spans="1:31">
      <c r="A889" s="259" t="s">
        <v>984</v>
      </c>
      <c r="B889" s="259" t="s">
        <v>5485</v>
      </c>
      <c r="C889" s="264" t="s">
        <v>1949</v>
      </c>
      <c r="D889" s="264" t="s">
        <v>5564</v>
      </c>
      <c r="E889" s="259" t="s">
        <v>5565</v>
      </c>
      <c r="H889" s="264" t="s">
        <v>1949</v>
      </c>
      <c r="I889" s="264" t="s">
        <v>5566</v>
      </c>
      <c r="J889" s="295">
        <v>74.930000000000007</v>
      </c>
      <c r="K889" s="295">
        <v>65</v>
      </c>
      <c r="L889" s="295">
        <v>44.96</v>
      </c>
      <c r="O889" s="266" t="s">
        <v>5567</v>
      </c>
      <c r="P889" s="266">
        <v>691991001864</v>
      </c>
      <c r="R889" s="265">
        <v>2</v>
      </c>
      <c r="S889" s="265">
        <v>6</v>
      </c>
      <c r="T889" s="265">
        <v>5</v>
      </c>
      <c r="U889" s="265">
        <v>3</v>
      </c>
      <c r="V889" s="259" t="s">
        <v>3028</v>
      </c>
      <c r="W889" s="259" t="s">
        <v>3029</v>
      </c>
      <c r="X889" s="264" t="s">
        <v>5568</v>
      </c>
      <c r="Y889" s="259">
        <v>37</v>
      </c>
      <c r="Z889" s="259" t="s">
        <v>3030</v>
      </c>
      <c r="AA889" s="259" t="e">
        <v>#N/A</v>
      </c>
      <c r="AB889" s="259"/>
      <c r="AC889" s="259"/>
      <c r="AD889" s="259"/>
      <c r="AE889" s="259"/>
    </row>
    <row r="890" spans="1:31">
      <c r="A890" s="259" t="s">
        <v>985</v>
      </c>
      <c r="B890" s="259" t="s">
        <v>5485</v>
      </c>
      <c r="C890" s="264" t="s">
        <v>1949</v>
      </c>
      <c r="D890" s="264" t="s">
        <v>5569</v>
      </c>
      <c r="E890" s="259" t="s">
        <v>5565</v>
      </c>
      <c r="H890" s="264" t="s">
        <v>1949</v>
      </c>
      <c r="I890" s="264" t="s">
        <v>5570</v>
      </c>
      <c r="J890" s="295">
        <v>227.85</v>
      </c>
      <c r="K890" s="295">
        <v>185</v>
      </c>
      <c r="L890" s="295">
        <v>136.71</v>
      </c>
      <c r="O890" s="266" t="s">
        <v>5571</v>
      </c>
      <c r="P890" s="266">
        <v>691991001871</v>
      </c>
      <c r="R890" s="265">
        <v>3.5</v>
      </c>
      <c r="S890" s="265">
        <v>9</v>
      </c>
      <c r="T890" s="265">
        <v>7.5</v>
      </c>
      <c r="U890" s="265">
        <v>3.5</v>
      </c>
      <c r="V890" s="259" t="s">
        <v>3028</v>
      </c>
      <c r="W890" s="259" t="s">
        <v>3029</v>
      </c>
      <c r="X890" s="264" t="s">
        <v>5572</v>
      </c>
      <c r="Y890" s="259">
        <v>38</v>
      </c>
      <c r="Z890" s="259" t="s">
        <v>3030</v>
      </c>
      <c r="AA890" s="259" t="e">
        <v>#N/A</v>
      </c>
      <c r="AB890" s="259"/>
      <c r="AC890" s="259"/>
      <c r="AD890" s="259"/>
      <c r="AE890" s="259"/>
    </row>
    <row r="891" spans="1:31">
      <c r="A891" s="259" t="s">
        <v>986</v>
      </c>
      <c r="B891" s="259" t="s">
        <v>5485</v>
      </c>
      <c r="C891" s="264" t="s">
        <v>1949</v>
      </c>
      <c r="D891" s="264" t="s">
        <v>5573</v>
      </c>
      <c r="E891" s="259" t="s">
        <v>5565</v>
      </c>
      <c r="H891" s="264" t="s">
        <v>1949</v>
      </c>
      <c r="I891" s="264" t="s">
        <v>5574</v>
      </c>
      <c r="J891" s="295">
        <v>136.1</v>
      </c>
      <c r="K891" s="295">
        <v>109</v>
      </c>
      <c r="L891" s="295">
        <v>81.66</v>
      </c>
      <c r="O891" s="266">
        <v>6</v>
      </c>
      <c r="P891" s="266">
        <v>691991401015</v>
      </c>
      <c r="R891" s="265">
        <v>1.5</v>
      </c>
      <c r="S891" s="265">
        <v>8.5</v>
      </c>
      <c r="T891" s="265">
        <v>2.5</v>
      </c>
      <c r="U891" s="265">
        <v>7.5</v>
      </c>
      <c r="V891" s="259" t="s">
        <v>5575</v>
      </c>
      <c r="W891" s="259" t="s">
        <v>3061</v>
      </c>
      <c r="X891" s="264" t="s">
        <v>5576</v>
      </c>
      <c r="Y891" s="259">
        <v>39</v>
      </c>
      <c r="Z891" s="259" t="s">
        <v>3030</v>
      </c>
      <c r="AA891" s="259" t="e">
        <v>#N/A</v>
      </c>
      <c r="AB891" s="259"/>
      <c r="AC891" s="259"/>
      <c r="AD891" s="259"/>
      <c r="AE891" s="259"/>
    </row>
    <row r="892" spans="1:31">
      <c r="A892" s="259" t="s">
        <v>987</v>
      </c>
      <c r="B892" s="259" t="s">
        <v>5485</v>
      </c>
      <c r="C892" s="264" t="s">
        <v>1949</v>
      </c>
      <c r="D892" s="264" t="s">
        <v>5577</v>
      </c>
      <c r="E892" s="259" t="s">
        <v>5565</v>
      </c>
      <c r="H892" s="264" t="s">
        <v>1949</v>
      </c>
      <c r="I892" s="264" t="s">
        <v>5578</v>
      </c>
      <c r="J892" s="295">
        <v>183.05</v>
      </c>
      <c r="K892" s="295">
        <v>149</v>
      </c>
      <c r="L892" s="295">
        <v>109.82</v>
      </c>
      <c r="O892" s="266">
        <v>6</v>
      </c>
      <c r="P892" s="266">
        <v>691991401022</v>
      </c>
      <c r="R892" s="265">
        <v>2</v>
      </c>
      <c r="S892" s="265">
        <v>8.5</v>
      </c>
      <c r="T892" s="265">
        <v>3.5</v>
      </c>
      <c r="U892" s="265">
        <v>7.5</v>
      </c>
      <c r="V892" s="259" t="s">
        <v>3028</v>
      </c>
      <c r="W892" s="259" t="s">
        <v>3029</v>
      </c>
      <c r="X892" s="264" t="s">
        <v>5579</v>
      </c>
      <c r="Y892" s="259">
        <v>40</v>
      </c>
      <c r="Z892" s="259" t="s">
        <v>3030</v>
      </c>
      <c r="AA892" s="259" t="e">
        <v>#N/A</v>
      </c>
      <c r="AB892" s="259"/>
      <c r="AC892" s="259"/>
      <c r="AD892" s="259"/>
      <c r="AE892" s="259"/>
    </row>
    <row r="893" spans="1:31">
      <c r="A893" s="259" t="s">
        <v>988</v>
      </c>
      <c r="B893" s="259" t="s">
        <v>5485</v>
      </c>
      <c r="C893" s="264" t="s">
        <v>1949</v>
      </c>
      <c r="D893" s="264" t="s">
        <v>5580</v>
      </c>
      <c r="E893" s="259" t="s">
        <v>5565</v>
      </c>
      <c r="H893" s="264" t="s">
        <v>1949</v>
      </c>
      <c r="I893" s="264" t="s">
        <v>5581</v>
      </c>
      <c r="J893" s="295">
        <v>181.97</v>
      </c>
      <c r="K893" s="295">
        <v>145</v>
      </c>
      <c r="L893" s="295">
        <v>54.09</v>
      </c>
      <c r="O893" s="266" t="s">
        <v>5567</v>
      </c>
      <c r="P893" s="266">
        <v>691991001833</v>
      </c>
      <c r="R893" s="265">
        <v>1</v>
      </c>
      <c r="S893" s="265">
        <v>6</v>
      </c>
      <c r="T893" s="265">
        <v>5</v>
      </c>
      <c r="U893" s="265">
        <v>2.5</v>
      </c>
      <c r="V893" s="259" t="s">
        <v>3028</v>
      </c>
      <c r="W893" s="259" t="s">
        <v>3029</v>
      </c>
      <c r="X893" s="264" t="s">
        <v>5582</v>
      </c>
      <c r="Y893" s="259">
        <v>41</v>
      </c>
      <c r="Z893" s="259" t="s">
        <v>3030</v>
      </c>
      <c r="AA893" s="259" t="e">
        <v>#N/A</v>
      </c>
      <c r="AB893" s="259"/>
      <c r="AC893" s="259"/>
      <c r="AD893" s="259"/>
      <c r="AE893" s="259"/>
    </row>
    <row r="894" spans="1:31">
      <c r="A894" s="259" t="s">
        <v>989</v>
      </c>
      <c r="B894" s="259" t="s">
        <v>5485</v>
      </c>
      <c r="C894" s="264" t="s">
        <v>1949</v>
      </c>
      <c r="D894" s="264" t="s">
        <v>5583</v>
      </c>
      <c r="E894" s="259" t="s">
        <v>5565</v>
      </c>
      <c r="H894" s="264" t="s">
        <v>1949</v>
      </c>
      <c r="I894" s="264" t="s">
        <v>5584</v>
      </c>
      <c r="J894" s="295">
        <v>181.97</v>
      </c>
      <c r="K894" s="295">
        <v>149</v>
      </c>
      <c r="L894" s="295">
        <v>109.18</v>
      </c>
      <c r="O894" s="266">
        <v>10</v>
      </c>
      <c r="P894" s="266">
        <v>691991001840</v>
      </c>
      <c r="R894" s="265">
        <v>2</v>
      </c>
      <c r="S894" s="265">
        <v>9</v>
      </c>
      <c r="T894" s="265">
        <v>8.5</v>
      </c>
      <c r="U894" s="265">
        <v>3.5</v>
      </c>
      <c r="V894" s="259" t="s">
        <v>3028</v>
      </c>
      <c r="W894" s="259" t="s">
        <v>3029</v>
      </c>
      <c r="X894" s="264" t="s">
        <v>5585</v>
      </c>
      <c r="Y894" s="259">
        <v>42</v>
      </c>
      <c r="Z894" s="259" t="s">
        <v>3030</v>
      </c>
      <c r="AA894" s="259" t="e">
        <v>#N/A</v>
      </c>
      <c r="AB894" s="259"/>
      <c r="AC894" s="259"/>
      <c r="AD894" s="259"/>
      <c r="AE894" s="259"/>
    </row>
    <row r="895" spans="1:31">
      <c r="A895" s="259" t="s">
        <v>990</v>
      </c>
      <c r="B895" s="259" t="s">
        <v>5485</v>
      </c>
      <c r="C895" s="264" t="s">
        <v>1949</v>
      </c>
      <c r="D895" s="264" t="s">
        <v>5586</v>
      </c>
      <c r="E895" s="259" t="s">
        <v>5565</v>
      </c>
      <c r="H895" s="264" t="s">
        <v>1949</v>
      </c>
      <c r="I895" s="264" t="s">
        <v>5587</v>
      </c>
      <c r="J895" s="295">
        <v>74.930000000000007</v>
      </c>
      <c r="K895" s="295">
        <v>69</v>
      </c>
      <c r="L895" s="295">
        <v>44.96</v>
      </c>
      <c r="O895" s="266" t="s">
        <v>5567</v>
      </c>
      <c r="P895" s="266">
        <v>691991002083</v>
      </c>
      <c r="R895" s="265">
        <v>2</v>
      </c>
      <c r="S895" s="265">
        <v>2</v>
      </c>
      <c r="T895" s="265">
        <v>3.25</v>
      </c>
      <c r="U895" s="265">
        <v>5.5</v>
      </c>
      <c r="V895" s="259" t="s">
        <v>3028</v>
      </c>
      <c r="W895" s="259" t="s">
        <v>3029</v>
      </c>
      <c r="X895" s="264" t="s">
        <v>5588</v>
      </c>
      <c r="Y895" s="259">
        <v>43</v>
      </c>
      <c r="Z895" s="259" t="s">
        <v>3030</v>
      </c>
      <c r="AA895" s="259" t="e">
        <v>#N/A</v>
      </c>
      <c r="AB895" s="259"/>
      <c r="AC895" s="259"/>
      <c r="AD895" s="259"/>
      <c r="AE895" s="259"/>
    </row>
    <row r="896" spans="1:31">
      <c r="A896" s="259" t="s">
        <v>991</v>
      </c>
      <c r="B896" s="259" t="s">
        <v>5485</v>
      </c>
      <c r="C896" s="264" t="s">
        <v>5492</v>
      </c>
      <c r="D896" s="264" t="s">
        <v>5589</v>
      </c>
      <c r="E896" s="259" t="s">
        <v>5487</v>
      </c>
      <c r="H896" s="264" t="s">
        <v>5590</v>
      </c>
      <c r="I896" s="264" t="s">
        <v>5590</v>
      </c>
      <c r="J896" s="295">
        <v>1267.68</v>
      </c>
      <c r="K896" s="295">
        <v>1267</v>
      </c>
      <c r="L896" s="295">
        <v>760.61</v>
      </c>
      <c r="O896" s="266"/>
      <c r="P896" s="266">
        <v>691991400612</v>
      </c>
      <c r="R896" s="265"/>
      <c r="V896" s="259">
        <v>0</v>
      </c>
      <c r="Y896" s="259">
        <v>44</v>
      </c>
      <c r="Z896" s="259" t="s">
        <v>3030</v>
      </c>
      <c r="AA896" s="259" t="e">
        <v>#N/A</v>
      </c>
      <c r="AB896" s="259"/>
      <c r="AC896" s="259"/>
      <c r="AD896" s="259"/>
      <c r="AE896" s="259"/>
    </row>
    <row r="897" spans="1:31">
      <c r="A897" s="259" t="s">
        <v>992</v>
      </c>
      <c r="B897" s="259" t="s">
        <v>5485</v>
      </c>
      <c r="C897" s="264" t="s">
        <v>5523</v>
      </c>
      <c r="D897" s="264" t="s">
        <v>5591</v>
      </c>
      <c r="E897" s="259" t="s">
        <v>5557</v>
      </c>
      <c r="H897" s="264" t="s">
        <v>5523</v>
      </c>
      <c r="I897" s="264" t="s">
        <v>5592</v>
      </c>
      <c r="J897" s="295">
        <v>610.44000000000005</v>
      </c>
      <c r="K897" s="295">
        <v>565</v>
      </c>
      <c r="L897" s="295">
        <v>421.13</v>
      </c>
      <c r="O897" s="266">
        <v>6</v>
      </c>
      <c r="P897" s="266">
        <v>691991401480</v>
      </c>
      <c r="R897" s="265">
        <v>6.5</v>
      </c>
      <c r="S897" s="265">
        <v>22</v>
      </c>
      <c r="T897" s="265">
        <v>4</v>
      </c>
      <c r="U897" s="265">
        <v>11.5</v>
      </c>
      <c r="V897" s="259" t="s">
        <v>3028</v>
      </c>
      <c r="W897" s="259" t="s">
        <v>3029</v>
      </c>
      <c r="X897" s="264" t="s">
        <v>5593</v>
      </c>
      <c r="Y897" s="259">
        <v>45</v>
      </c>
      <c r="Z897" s="259" t="s">
        <v>3030</v>
      </c>
      <c r="AA897" s="259" t="e">
        <v>#N/A</v>
      </c>
      <c r="AB897" s="259"/>
      <c r="AC897" s="259"/>
      <c r="AD897" s="259"/>
      <c r="AE897" s="259"/>
    </row>
    <row r="898" spans="1:31">
      <c r="A898" s="259" t="s">
        <v>993</v>
      </c>
      <c r="B898" s="259" t="s">
        <v>5485</v>
      </c>
      <c r="C898" s="264" t="s">
        <v>5523</v>
      </c>
      <c r="D898" s="264" t="s">
        <v>5591</v>
      </c>
      <c r="E898" s="259" t="s">
        <v>5557</v>
      </c>
      <c r="H898" s="264" t="s">
        <v>5523</v>
      </c>
      <c r="I898" s="264" t="s">
        <v>5592</v>
      </c>
      <c r="J898" s="295">
        <v>610.44000000000005</v>
      </c>
      <c r="K898" s="295">
        <v>565</v>
      </c>
      <c r="L898" s="295">
        <v>421.13</v>
      </c>
      <c r="O898" s="266">
        <v>6</v>
      </c>
      <c r="P898" s="266">
        <v>691991033773</v>
      </c>
      <c r="R898" s="265">
        <v>6.5</v>
      </c>
      <c r="S898" s="265">
        <v>22</v>
      </c>
      <c r="T898" s="265">
        <v>4</v>
      </c>
      <c r="U898" s="265">
        <v>11.5</v>
      </c>
      <c r="V898" s="259" t="s">
        <v>3028</v>
      </c>
      <c r="W898" s="259" t="s">
        <v>3029</v>
      </c>
      <c r="X898" s="264" t="s">
        <v>5593</v>
      </c>
      <c r="Y898" s="259">
        <v>46</v>
      </c>
      <c r="Z898" s="259" t="s">
        <v>3030</v>
      </c>
      <c r="AA898" s="259" t="e">
        <v>#N/A</v>
      </c>
      <c r="AB898" s="259"/>
      <c r="AC898" s="259"/>
      <c r="AD898" s="259"/>
      <c r="AE898" s="259"/>
    </row>
    <row r="899" spans="1:31">
      <c r="A899" s="259" t="s">
        <v>994</v>
      </c>
      <c r="B899" s="259" t="s">
        <v>5485</v>
      </c>
      <c r="C899" s="264" t="s">
        <v>5509</v>
      </c>
      <c r="D899" s="264" t="s">
        <v>5594</v>
      </c>
      <c r="E899" s="259" t="s">
        <v>5565</v>
      </c>
      <c r="H899" s="264" t="s">
        <v>5509</v>
      </c>
      <c r="I899" s="264" t="s">
        <v>5595</v>
      </c>
      <c r="J899" s="295">
        <v>181.97</v>
      </c>
      <c r="K899" s="295">
        <v>149</v>
      </c>
      <c r="L899" s="295">
        <v>109.18</v>
      </c>
      <c r="O899" s="266">
        <v>15</v>
      </c>
      <c r="P899" s="266">
        <v>691991400445</v>
      </c>
      <c r="R899" s="265">
        <v>2.5</v>
      </c>
      <c r="S899" s="265">
        <v>20.5</v>
      </c>
      <c r="T899" s="265">
        <v>2</v>
      </c>
      <c r="U899" s="265">
        <v>3.5</v>
      </c>
      <c r="V899" s="259" t="s">
        <v>3028</v>
      </c>
      <c r="W899" s="259" t="s">
        <v>3029</v>
      </c>
      <c r="X899" s="264" t="s">
        <v>5596</v>
      </c>
      <c r="Y899" s="259">
        <v>47</v>
      </c>
      <c r="Z899" s="259" t="s">
        <v>3030</v>
      </c>
      <c r="AA899" s="259" t="e">
        <v>#N/A</v>
      </c>
      <c r="AB899" s="259"/>
      <c r="AC899" s="259"/>
      <c r="AD899" s="259"/>
      <c r="AE899" s="259"/>
    </row>
    <row r="900" spans="1:31">
      <c r="A900" s="259" t="s">
        <v>995</v>
      </c>
      <c r="B900" s="259" t="s">
        <v>5485</v>
      </c>
      <c r="C900" s="264" t="s">
        <v>5597</v>
      </c>
      <c r="D900" s="264" t="s">
        <v>5598</v>
      </c>
      <c r="E900" s="259" t="s">
        <v>5599</v>
      </c>
      <c r="H900" s="264" t="s">
        <v>5597</v>
      </c>
      <c r="I900" s="264" t="s">
        <v>5600</v>
      </c>
      <c r="J900" s="295">
        <v>808.93</v>
      </c>
      <c r="K900" s="295">
        <v>649</v>
      </c>
      <c r="L900" s="295">
        <v>485.36</v>
      </c>
      <c r="O900" s="266">
        <v>4</v>
      </c>
      <c r="P900" s="266">
        <v>691991401459</v>
      </c>
      <c r="R900" s="265">
        <v>3.5</v>
      </c>
      <c r="S900" s="265">
        <v>16</v>
      </c>
      <c r="T900" s="265">
        <v>2.5</v>
      </c>
      <c r="U900" s="265">
        <v>7.5</v>
      </c>
      <c r="V900" s="259" t="s">
        <v>5575</v>
      </c>
      <c r="W900" s="259" t="s">
        <v>3061</v>
      </c>
      <c r="X900" s="264" t="s">
        <v>5601</v>
      </c>
      <c r="Y900" s="259">
        <v>48</v>
      </c>
      <c r="Z900" s="259" t="s">
        <v>3030</v>
      </c>
      <c r="AA900" s="259" t="e">
        <v>#N/A</v>
      </c>
      <c r="AB900" s="259"/>
      <c r="AC900" s="259"/>
      <c r="AD900" s="259"/>
      <c r="AE900" s="259"/>
    </row>
    <row r="901" spans="1:31">
      <c r="A901" s="259" t="s">
        <v>996</v>
      </c>
      <c r="B901" s="259" t="s">
        <v>5485</v>
      </c>
      <c r="C901" s="264"/>
      <c r="D901" s="264" t="s">
        <v>996</v>
      </c>
      <c r="E901" s="259" t="s">
        <v>5599</v>
      </c>
      <c r="H901" s="264"/>
      <c r="I901" s="264" t="s">
        <v>5602</v>
      </c>
      <c r="J901" s="295">
        <v>610.14</v>
      </c>
      <c r="K901" s="295">
        <v>499</v>
      </c>
      <c r="L901" s="295">
        <v>366.08</v>
      </c>
      <c r="O901" s="266"/>
      <c r="P901" s="266">
        <v>691991401473</v>
      </c>
      <c r="R901" s="265">
        <v>4</v>
      </c>
      <c r="S901" s="265">
        <v>11.25</v>
      </c>
      <c r="T901" s="265">
        <v>2.5</v>
      </c>
      <c r="U901" s="265">
        <v>8.25</v>
      </c>
      <c r="V901" s="259" t="s">
        <v>3028</v>
      </c>
      <c r="W901" s="259" t="s">
        <v>3029</v>
      </c>
      <c r="X901" s="264" t="s">
        <v>5603</v>
      </c>
      <c r="Y901" s="259">
        <v>49</v>
      </c>
      <c r="Z901" s="259" t="s">
        <v>3329</v>
      </c>
      <c r="AA901" s="259" t="e">
        <v>#N/A</v>
      </c>
      <c r="AB901" s="259"/>
      <c r="AC901" s="259"/>
      <c r="AD901" s="259"/>
      <c r="AE901" s="259"/>
    </row>
    <row r="902" spans="1:31">
      <c r="A902" s="259" t="s">
        <v>997</v>
      </c>
      <c r="B902" s="259" t="s">
        <v>5485</v>
      </c>
      <c r="C902" s="264" t="s">
        <v>1949</v>
      </c>
      <c r="D902" s="264" t="s">
        <v>5604</v>
      </c>
      <c r="E902" s="259" t="s">
        <v>5565</v>
      </c>
      <c r="H902" s="264" t="s">
        <v>1949</v>
      </c>
      <c r="I902" s="264" t="s">
        <v>5605</v>
      </c>
      <c r="J902" s="295">
        <v>166.68</v>
      </c>
      <c r="K902" s="295">
        <v>129</v>
      </c>
      <c r="L902" s="295">
        <v>100.01</v>
      </c>
      <c r="O902" s="266">
        <v>20</v>
      </c>
      <c r="P902" s="266">
        <v>691991400421</v>
      </c>
      <c r="R902" s="265">
        <v>1.5</v>
      </c>
      <c r="S902" s="265">
        <v>12</v>
      </c>
      <c r="T902" s="265">
        <v>3.5</v>
      </c>
      <c r="U902" s="265">
        <v>7</v>
      </c>
      <c r="V902" s="259" t="s">
        <v>3028</v>
      </c>
      <c r="W902" s="259" t="s">
        <v>3029</v>
      </c>
      <c r="X902" s="264" t="s">
        <v>5606</v>
      </c>
      <c r="Y902" s="259">
        <v>50</v>
      </c>
      <c r="Z902" s="259" t="s">
        <v>3030</v>
      </c>
      <c r="AA902" s="259" t="e">
        <v>#N/A</v>
      </c>
      <c r="AB902" s="259"/>
      <c r="AC902" s="259"/>
      <c r="AD902" s="259"/>
      <c r="AE902" s="259"/>
    </row>
    <row r="903" spans="1:31">
      <c r="A903" s="259" t="s">
        <v>998</v>
      </c>
      <c r="B903" s="259" t="s">
        <v>5485</v>
      </c>
      <c r="C903" s="264" t="s">
        <v>5523</v>
      </c>
      <c r="D903" s="264" t="s">
        <v>5607</v>
      </c>
      <c r="E903" s="259" t="s">
        <v>5525</v>
      </c>
      <c r="G903" s="259" t="s">
        <v>4048</v>
      </c>
      <c r="H903" s="264" t="s">
        <v>5523</v>
      </c>
      <c r="I903" s="264" t="s">
        <v>5608</v>
      </c>
      <c r="J903" s="295">
        <v>1222.1099999999999</v>
      </c>
      <c r="K903" s="295">
        <v>1119</v>
      </c>
      <c r="L903" s="295">
        <v>834.01</v>
      </c>
      <c r="O903" s="266">
        <v>1</v>
      </c>
      <c r="P903" s="266">
        <v>691991401497</v>
      </c>
      <c r="R903" s="265">
        <v>7.5</v>
      </c>
      <c r="S903" s="265">
        <v>22</v>
      </c>
      <c r="T903" s="265">
        <v>3.65</v>
      </c>
      <c r="U903" s="265">
        <v>11.25</v>
      </c>
      <c r="V903" s="259" t="s">
        <v>3028</v>
      </c>
      <c r="W903" s="259" t="s">
        <v>3061</v>
      </c>
      <c r="X903" s="264" t="s">
        <v>5609</v>
      </c>
      <c r="Y903" s="259">
        <v>51</v>
      </c>
      <c r="Z903" s="259" t="s">
        <v>3030</v>
      </c>
      <c r="AA903" s="259" t="e">
        <v>#N/A</v>
      </c>
      <c r="AB903" s="259"/>
      <c r="AC903" s="259"/>
      <c r="AD903" s="259"/>
      <c r="AE903" s="259"/>
    </row>
    <row r="904" spans="1:31">
      <c r="A904" s="259" t="s">
        <v>999</v>
      </c>
      <c r="B904" s="259" t="s">
        <v>5485</v>
      </c>
      <c r="C904" s="264" t="s">
        <v>5523</v>
      </c>
      <c r="D904" s="264" t="s">
        <v>5607</v>
      </c>
      <c r="E904" s="259" t="s">
        <v>5525</v>
      </c>
      <c r="G904" s="259" t="s">
        <v>4048</v>
      </c>
      <c r="H904" s="264" t="s">
        <v>5523</v>
      </c>
      <c r="I904" s="264" t="s">
        <v>5608</v>
      </c>
      <c r="J904" s="295">
        <v>1222.1099999999999</v>
      </c>
      <c r="K904" s="295">
        <v>1119</v>
      </c>
      <c r="L904" s="295">
        <v>834.01</v>
      </c>
      <c r="O904" s="266">
        <v>1</v>
      </c>
      <c r="P904" s="266">
        <v>691991401497</v>
      </c>
      <c r="R904" s="265">
        <v>7.5</v>
      </c>
      <c r="S904" s="265">
        <v>22</v>
      </c>
      <c r="T904" s="265">
        <v>3.65</v>
      </c>
      <c r="U904" s="265">
        <v>11.25</v>
      </c>
      <c r="V904" s="259" t="s">
        <v>3028</v>
      </c>
      <c r="W904" s="259" t="s">
        <v>3061</v>
      </c>
      <c r="X904" s="264" t="s">
        <v>5609</v>
      </c>
      <c r="Y904" s="259">
        <v>52</v>
      </c>
      <c r="Z904" s="259" t="s">
        <v>3030</v>
      </c>
      <c r="AA904" s="259" t="e">
        <v>#N/A</v>
      </c>
      <c r="AB904" s="259"/>
      <c r="AC904" s="259"/>
      <c r="AD904" s="259"/>
      <c r="AE904" s="259"/>
    </row>
    <row r="905" spans="1:31">
      <c r="A905" s="259" t="s">
        <v>1000</v>
      </c>
      <c r="B905" s="259" t="s">
        <v>5485</v>
      </c>
      <c r="C905" s="264" t="s">
        <v>5560</v>
      </c>
      <c r="D905" s="264" t="s">
        <v>5610</v>
      </c>
      <c r="E905" s="259" t="s">
        <v>5494</v>
      </c>
      <c r="H905" s="264" t="s">
        <v>5560</v>
      </c>
      <c r="I905" s="264" t="s">
        <v>5611</v>
      </c>
      <c r="J905" s="295">
        <v>83.19</v>
      </c>
      <c r="K905" s="295">
        <v>75</v>
      </c>
      <c r="L905" s="295">
        <v>46.65</v>
      </c>
      <c r="O905" s="266">
        <v>4</v>
      </c>
      <c r="P905" s="266">
        <v>691991400667</v>
      </c>
      <c r="R905" s="265">
        <v>0.5</v>
      </c>
      <c r="S905" s="265">
        <v>6.75</v>
      </c>
      <c r="T905" s="265">
        <v>5.5</v>
      </c>
      <c r="U905" s="265">
        <v>3.25</v>
      </c>
      <c r="V905" s="259" t="s">
        <v>3028</v>
      </c>
      <c r="W905" s="259" t="s">
        <v>3029</v>
      </c>
      <c r="X905" s="264" t="s">
        <v>5612</v>
      </c>
      <c r="Y905" s="259">
        <v>53</v>
      </c>
      <c r="Z905" s="259" t="s">
        <v>3030</v>
      </c>
      <c r="AA905" s="259" t="e">
        <v>#N/A</v>
      </c>
      <c r="AB905" s="259"/>
      <c r="AC905" s="259"/>
      <c r="AD905" s="259"/>
      <c r="AE905" s="259"/>
    </row>
    <row r="906" spans="1:31">
      <c r="A906" s="259" t="s">
        <v>1001</v>
      </c>
      <c r="B906" s="259" t="s">
        <v>5485</v>
      </c>
      <c r="C906" s="264" t="s">
        <v>5560</v>
      </c>
      <c r="D906" s="264" t="s">
        <v>5613</v>
      </c>
      <c r="E906" s="259" t="s">
        <v>5494</v>
      </c>
      <c r="H906" s="264" t="s">
        <v>5560</v>
      </c>
      <c r="I906" s="264" t="s">
        <v>5614</v>
      </c>
      <c r="J906" s="295">
        <v>83.19</v>
      </c>
      <c r="K906" s="295">
        <v>75</v>
      </c>
      <c r="L906" s="295">
        <v>46.96</v>
      </c>
      <c r="O906" s="266">
        <v>4</v>
      </c>
      <c r="P906" s="266">
        <v>691991400674</v>
      </c>
      <c r="R906" s="265">
        <v>0.5</v>
      </c>
      <c r="S906" s="265">
        <v>7</v>
      </c>
      <c r="T906" s="265">
        <v>3.5</v>
      </c>
      <c r="U906" s="265">
        <v>5.5</v>
      </c>
      <c r="V906" s="259" t="s">
        <v>3028</v>
      </c>
      <c r="W906" s="259" t="s">
        <v>3029</v>
      </c>
      <c r="X906" s="264" t="s">
        <v>5615</v>
      </c>
      <c r="Y906" s="259">
        <v>54</v>
      </c>
      <c r="Z906" s="259" t="s">
        <v>3030</v>
      </c>
      <c r="AA906" s="259" t="e">
        <v>#N/A</v>
      </c>
      <c r="AB906" s="259"/>
      <c r="AC906" s="259"/>
      <c r="AD906" s="259"/>
      <c r="AE906" s="259"/>
    </row>
    <row r="907" spans="1:31">
      <c r="A907" s="259" t="s">
        <v>1002</v>
      </c>
      <c r="B907" s="259" t="s">
        <v>5485</v>
      </c>
      <c r="C907" s="264" t="s">
        <v>5560</v>
      </c>
      <c r="D907" s="264" t="s">
        <v>5616</v>
      </c>
      <c r="E907" s="259" t="s">
        <v>5494</v>
      </c>
      <c r="H907" s="264" t="s">
        <v>5560</v>
      </c>
      <c r="I907" s="264" t="s">
        <v>5617</v>
      </c>
      <c r="J907" s="295">
        <v>90.53</v>
      </c>
      <c r="K907" s="295">
        <v>85</v>
      </c>
      <c r="L907" s="295">
        <v>51.92</v>
      </c>
      <c r="O907" s="266">
        <v>4</v>
      </c>
      <c r="P907" s="266">
        <v>691991400681</v>
      </c>
      <c r="R907" s="265">
        <v>0.5</v>
      </c>
      <c r="S907" s="265">
        <v>7</v>
      </c>
      <c r="T907" s="265">
        <v>3.5</v>
      </c>
      <c r="U907" s="265">
        <v>5.5</v>
      </c>
      <c r="V907" s="259" t="s">
        <v>3028</v>
      </c>
      <c r="W907" s="259" t="s">
        <v>3029</v>
      </c>
      <c r="X907" s="264" t="s">
        <v>5618</v>
      </c>
      <c r="Y907" s="259">
        <v>55</v>
      </c>
      <c r="Z907" s="259" t="s">
        <v>3030</v>
      </c>
      <c r="AA907" s="259" t="e">
        <v>#N/A</v>
      </c>
      <c r="AB907" s="259"/>
      <c r="AC907" s="259"/>
      <c r="AD907" s="259"/>
      <c r="AE907" s="259"/>
    </row>
    <row r="908" spans="1:31">
      <c r="A908" s="259" t="s">
        <v>1003</v>
      </c>
      <c r="B908" s="259" t="s">
        <v>5485</v>
      </c>
      <c r="C908" s="264" t="s">
        <v>5560</v>
      </c>
      <c r="D908" s="264" t="s">
        <v>5619</v>
      </c>
      <c r="E908" s="259" t="s">
        <v>5494</v>
      </c>
      <c r="H908" s="264" t="s">
        <v>5560</v>
      </c>
      <c r="I908" s="264" t="s">
        <v>5620</v>
      </c>
      <c r="J908" s="295">
        <v>120.8</v>
      </c>
      <c r="K908" s="295">
        <v>99</v>
      </c>
      <c r="L908" s="295">
        <v>64.67</v>
      </c>
      <c r="O908" s="266">
        <v>4</v>
      </c>
      <c r="P908" s="266">
        <v>691991400698</v>
      </c>
      <c r="R908" s="265">
        <v>0.5</v>
      </c>
      <c r="S908" s="265">
        <v>6.5</v>
      </c>
      <c r="T908" s="265">
        <v>5.5</v>
      </c>
      <c r="U908" s="265">
        <v>3.5</v>
      </c>
      <c r="V908" s="259" t="s">
        <v>3028</v>
      </c>
      <c r="W908" s="259" t="s">
        <v>3029</v>
      </c>
      <c r="X908" s="264" t="s">
        <v>5621</v>
      </c>
      <c r="Y908" s="259">
        <v>56</v>
      </c>
      <c r="Z908" s="259" t="s">
        <v>3030</v>
      </c>
      <c r="AA908" s="259" t="e">
        <v>#N/A</v>
      </c>
      <c r="AB908" s="259"/>
      <c r="AC908" s="259"/>
      <c r="AD908" s="259"/>
      <c r="AE908" s="259"/>
    </row>
    <row r="909" spans="1:31">
      <c r="A909" s="259" t="s">
        <v>1004</v>
      </c>
      <c r="B909" s="259" t="s">
        <v>5485</v>
      </c>
      <c r="C909" s="264" t="s">
        <v>5560</v>
      </c>
      <c r="D909" s="264" t="s">
        <v>5622</v>
      </c>
      <c r="E909" s="259" t="s">
        <v>5494</v>
      </c>
      <c r="H909" s="264" t="s">
        <v>5560</v>
      </c>
      <c r="I909" s="264" t="s">
        <v>5623</v>
      </c>
      <c r="J909" s="295">
        <v>83.19</v>
      </c>
      <c r="K909" s="295">
        <v>75</v>
      </c>
      <c r="L909" s="295">
        <v>46.95</v>
      </c>
      <c r="O909" s="266">
        <v>4</v>
      </c>
      <c r="P909" s="266">
        <v>691991400759</v>
      </c>
      <c r="R909" s="265">
        <v>1</v>
      </c>
      <c r="S909" s="265">
        <v>7</v>
      </c>
      <c r="T909" s="265">
        <v>3.5</v>
      </c>
      <c r="U909" s="265">
        <v>6</v>
      </c>
      <c r="V909" s="259" t="s">
        <v>3028</v>
      </c>
      <c r="W909" s="259" t="s">
        <v>3029</v>
      </c>
      <c r="X909" s="264" t="s">
        <v>5624</v>
      </c>
      <c r="Y909" s="259">
        <v>57</v>
      </c>
      <c r="Z909" s="259" t="s">
        <v>3030</v>
      </c>
      <c r="AA909" s="259" t="e">
        <v>#N/A</v>
      </c>
      <c r="AB909" s="259"/>
      <c r="AC909" s="259"/>
      <c r="AD909" s="259"/>
      <c r="AE909" s="259"/>
    </row>
    <row r="910" spans="1:31">
      <c r="A910" s="259" t="s">
        <v>1005</v>
      </c>
      <c r="B910" s="259" t="s">
        <v>5485</v>
      </c>
      <c r="C910" s="264" t="s">
        <v>5560</v>
      </c>
      <c r="D910" s="264" t="s">
        <v>5625</v>
      </c>
      <c r="E910" s="259" t="s">
        <v>5494</v>
      </c>
      <c r="H910" s="264" t="s">
        <v>5560</v>
      </c>
      <c r="I910" s="264" t="s">
        <v>5626</v>
      </c>
      <c r="J910" s="295">
        <v>90.53</v>
      </c>
      <c r="K910" s="295">
        <v>85</v>
      </c>
      <c r="L910" s="295">
        <v>51.91</v>
      </c>
      <c r="O910" s="266">
        <v>4</v>
      </c>
      <c r="P910" s="266">
        <v>691991400773</v>
      </c>
      <c r="R910" s="265">
        <v>0.5</v>
      </c>
      <c r="S910" s="265">
        <v>7</v>
      </c>
      <c r="T910" s="265">
        <v>5.5</v>
      </c>
      <c r="U910" s="265">
        <v>3.5</v>
      </c>
      <c r="V910" s="259" t="s">
        <v>3028</v>
      </c>
      <c r="W910" s="259" t="s">
        <v>3029</v>
      </c>
      <c r="X910" s="264" t="s">
        <v>5627</v>
      </c>
      <c r="Y910" s="259">
        <v>58</v>
      </c>
      <c r="Z910" s="259" t="s">
        <v>3030</v>
      </c>
      <c r="AA910" s="259" t="e">
        <v>#N/A</v>
      </c>
      <c r="AB910" s="259"/>
      <c r="AC910" s="259"/>
      <c r="AD910" s="259"/>
      <c r="AE910" s="259"/>
    </row>
    <row r="911" spans="1:31">
      <c r="A911" s="259" t="s">
        <v>1006</v>
      </c>
      <c r="B911" s="259" t="s">
        <v>5485</v>
      </c>
      <c r="C911" s="264" t="s">
        <v>5560</v>
      </c>
      <c r="D911" s="264" t="s">
        <v>5628</v>
      </c>
      <c r="E911" s="259" t="s">
        <v>5494</v>
      </c>
      <c r="H911" s="264" t="s">
        <v>5560</v>
      </c>
      <c r="I911" s="264" t="s">
        <v>5629</v>
      </c>
      <c r="J911" s="295">
        <v>90.53</v>
      </c>
      <c r="K911" s="295">
        <v>85</v>
      </c>
      <c r="L911" s="295">
        <v>51.95</v>
      </c>
      <c r="O911" s="266">
        <v>4</v>
      </c>
      <c r="P911" s="266">
        <v>691991400797</v>
      </c>
      <c r="R911" s="265">
        <v>0.5</v>
      </c>
      <c r="S911" s="265">
        <v>7</v>
      </c>
      <c r="T911" s="265">
        <v>3.5</v>
      </c>
      <c r="U911" s="265">
        <v>5.5</v>
      </c>
      <c r="V911" s="259" t="s">
        <v>3028</v>
      </c>
      <c r="W911" s="259" t="s">
        <v>3029</v>
      </c>
      <c r="X911" s="264" t="s">
        <v>5630</v>
      </c>
      <c r="Y911" s="259">
        <v>59</v>
      </c>
      <c r="Z911" s="259" t="s">
        <v>3030</v>
      </c>
      <c r="AA911" s="259" t="e">
        <v>#N/A</v>
      </c>
      <c r="AB911" s="259"/>
      <c r="AC911" s="259"/>
      <c r="AD911" s="259"/>
      <c r="AE911" s="259"/>
    </row>
    <row r="912" spans="1:31">
      <c r="A912" s="259" t="s">
        <v>1007</v>
      </c>
      <c r="B912" s="259" t="s">
        <v>5485</v>
      </c>
      <c r="C912" s="264" t="s">
        <v>5560</v>
      </c>
      <c r="D912" s="264" t="s">
        <v>5631</v>
      </c>
      <c r="E912" s="259" t="s">
        <v>5494</v>
      </c>
      <c r="H912" s="264" t="s">
        <v>5560</v>
      </c>
      <c r="I912" s="264" t="s">
        <v>5632</v>
      </c>
      <c r="J912" s="295">
        <v>90.53</v>
      </c>
      <c r="K912" s="295">
        <v>85</v>
      </c>
      <c r="L912" s="295">
        <v>51.56</v>
      </c>
      <c r="O912" s="266">
        <v>4</v>
      </c>
      <c r="P912" s="266">
        <v>691991400865</v>
      </c>
      <c r="R912" s="265">
        <v>0.5</v>
      </c>
      <c r="S912" s="265">
        <v>5.5</v>
      </c>
      <c r="T912" s="265">
        <v>7</v>
      </c>
      <c r="U912" s="265">
        <v>3</v>
      </c>
      <c r="V912" s="259" t="s">
        <v>3028</v>
      </c>
      <c r="W912" s="259" t="s">
        <v>3029</v>
      </c>
      <c r="X912" s="264" t="s">
        <v>5633</v>
      </c>
      <c r="Y912" s="259">
        <v>60</v>
      </c>
      <c r="Z912" s="259" t="s">
        <v>3030</v>
      </c>
      <c r="AA912" s="259" t="e">
        <v>#N/A</v>
      </c>
      <c r="AB912" s="259"/>
      <c r="AC912" s="259"/>
      <c r="AD912" s="259"/>
      <c r="AE912" s="259"/>
    </row>
    <row r="913" spans="1:31">
      <c r="A913" s="259" t="s">
        <v>1008</v>
      </c>
      <c r="B913" s="259" t="s">
        <v>5485</v>
      </c>
      <c r="C913" s="264" t="s">
        <v>5560</v>
      </c>
      <c r="D913" s="264" t="s">
        <v>5634</v>
      </c>
      <c r="E913" s="259" t="s">
        <v>5494</v>
      </c>
      <c r="H913" s="264" t="s">
        <v>5560</v>
      </c>
      <c r="I913" s="264" t="s">
        <v>5635</v>
      </c>
      <c r="J913" s="295">
        <v>99.09</v>
      </c>
      <c r="K913" s="295">
        <v>85</v>
      </c>
      <c r="L913" s="295">
        <v>56.87</v>
      </c>
      <c r="O913" s="266">
        <v>4</v>
      </c>
      <c r="P913" s="266">
        <v>691991400742</v>
      </c>
      <c r="R913" s="265">
        <v>1</v>
      </c>
      <c r="S913" s="265">
        <v>7</v>
      </c>
      <c r="T913" s="265">
        <v>7</v>
      </c>
      <c r="U913" s="265">
        <v>4</v>
      </c>
      <c r="V913" s="259" t="s">
        <v>3028</v>
      </c>
      <c r="W913" s="259" t="s">
        <v>3029</v>
      </c>
      <c r="X913" s="264" t="s">
        <v>5636</v>
      </c>
      <c r="Y913" s="259">
        <v>61</v>
      </c>
      <c r="Z913" s="259" t="s">
        <v>3030</v>
      </c>
      <c r="AA913" s="259" t="e">
        <v>#N/A</v>
      </c>
      <c r="AB913" s="259"/>
      <c r="AC913" s="259"/>
      <c r="AD913" s="259"/>
      <c r="AE913" s="259"/>
    </row>
    <row r="914" spans="1:31">
      <c r="A914" s="259" t="s">
        <v>82</v>
      </c>
      <c r="B914" s="259" t="s">
        <v>80</v>
      </c>
      <c r="C914" s="264"/>
      <c r="D914" s="264"/>
      <c r="H914" s="264"/>
      <c r="I914" s="264"/>
      <c r="J914" s="295">
        <v>0</v>
      </c>
      <c r="K914" s="295">
        <v>0</v>
      </c>
      <c r="L914" s="295">
        <v>0</v>
      </c>
      <c r="O914" s="266"/>
      <c r="R914" s="265"/>
      <c r="V914" s="259"/>
      <c r="Y914" s="259">
        <v>1</v>
      </c>
      <c r="AA914" s="259" t="e">
        <v>#N/A</v>
      </c>
      <c r="AB914" s="259"/>
      <c r="AC914" s="259"/>
      <c r="AD914" s="259"/>
      <c r="AE914" s="259"/>
    </row>
    <row r="915" spans="1:31">
      <c r="A915" s="259" t="s">
        <v>1012</v>
      </c>
      <c r="B915" s="259" t="s">
        <v>80</v>
      </c>
      <c r="C915" s="264"/>
      <c r="D915" s="264"/>
      <c r="H915" s="264"/>
      <c r="I915" s="264"/>
      <c r="J915" s="295">
        <v>0</v>
      </c>
      <c r="K915" s="295">
        <v>0</v>
      </c>
      <c r="L915" s="295">
        <v>0</v>
      </c>
      <c r="O915" s="266"/>
      <c r="R915" s="265"/>
      <c r="V915" s="259"/>
      <c r="Y915" s="259">
        <v>2</v>
      </c>
      <c r="AA915" s="259" t="e">
        <v>#N/A</v>
      </c>
      <c r="AB915" s="259"/>
      <c r="AC915" s="259"/>
      <c r="AD915" s="259"/>
      <c r="AE915" s="259"/>
    </row>
    <row r="916" spans="1:31">
      <c r="A916" s="259" t="s">
        <v>1013</v>
      </c>
      <c r="B916" s="259" t="s">
        <v>80</v>
      </c>
      <c r="C916" s="264" t="s">
        <v>1013</v>
      </c>
      <c r="D916" s="264" t="s">
        <v>1013</v>
      </c>
      <c r="E916" s="259" t="s">
        <v>5637</v>
      </c>
      <c r="H916" s="264" t="s">
        <v>5638</v>
      </c>
      <c r="I916" s="264" t="s">
        <v>5639</v>
      </c>
      <c r="J916" s="295">
        <v>304.89999999999998</v>
      </c>
      <c r="K916" s="295">
        <v>243</v>
      </c>
      <c r="L916" s="295">
        <v>182.94</v>
      </c>
      <c r="O916" s="266"/>
      <c r="P916" s="266" t="s">
        <v>5640</v>
      </c>
      <c r="R916" s="265">
        <v>5.9</v>
      </c>
      <c r="S916" s="265">
        <v>37.204724409448801</v>
      </c>
      <c r="T916" s="265">
        <v>5.0999999999999996</v>
      </c>
      <c r="U916" s="265">
        <v>5.5</v>
      </c>
      <c r="V916" s="259" t="s">
        <v>3028</v>
      </c>
      <c r="W916" s="259" t="s">
        <v>3029</v>
      </c>
      <c r="Y916" s="259">
        <v>3</v>
      </c>
      <c r="Z916" s="259" t="s">
        <v>3030</v>
      </c>
      <c r="AA916" s="259" t="e">
        <v>#N/A</v>
      </c>
      <c r="AB916" s="259"/>
      <c r="AC916" s="259"/>
      <c r="AD916" s="259"/>
      <c r="AE916" s="259"/>
    </row>
    <row r="917" spans="1:31">
      <c r="A917" s="259" t="s">
        <v>1014</v>
      </c>
      <c r="B917" s="259" t="s">
        <v>80</v>
      </c>
      <c r="C917" s="264" t="s">
        <v>1014</v>
      </c>
      <c r="D917" s="264" t="s">
        <v>1014</v>
      </c>
      <c r="E917" s="259" t="s">
        <v>5637</v>
      </c>
      <c r="H917" s="264" t="s">
        <v>5638</v>
      </c>
      <c r="I917" s="264" t="s">
        <v>5641</v>
      </c>
      <c r="J917" s="295">
        <v>304.89999999999998</v>
      </c>
      <c r="K917" s="295">
        <v>243</v>
      </c>
      <c r="L917" s="295">
        <v>182.94</v>
      </c>
      <c r="O917" s="266"/>
      <c r="P917" s="266" t="s">
        <v>5642</v>
      </c>
      <c r="R917" s="265">
        <v>5.9</v>
      </c>
      <c r="S917" s="265">
        <v>37.204724409448801</v>
      </c>
      <c r="T917" s="265">
        <v>5.0999999999999996</v>
      </c>
      <c r="U917" s="265">
        <v>5.5</v>
      </c>
      <c r="V917" s="259" t="s">
        <v>3028</v>
      </c>
      <c r="W917" s="259" t="s">
        <v>3029</v>
      </c>
      <c r="Y917" s="259">
        <v>4</v>
      </c>
      <c r="Z917" s="259" t="s">
        <v>3030</v>
      </c>
      <c r="AA917" s="259" t="e">
        <v>#N/A</v>
      </c>
      <c r="AB917" s="259"/>
      <c r="AC917" s="259"/>
      <c r="AD917" s="259"/>
      <c r="AE917" s="259"/>
    </row>
    <row r="918" spans="1:31">
      <c r="A918" s="259" t="s">
        <v>1015</v>
      </c>
      <c r="B918" s="259" t="s">
        <v>80</v>
      </c>
      <c r="C918" s="264"/>
      <c r="D918" s="264"/>
      <c r="H918" s="264"/>
      <c r="I918" s="264"/>
      <c r="J918" s="295">
        <v>0</v>
      </c>
      <c r="K918" s="295">
        <v>0</v>
      </c>
      <c r="L918" s="295">
        <v>0</v>
      </c>
      <c r="O918" s="266"/>
      <c r="R918" s="265"/>
      <c r="V918" s="259"/>
      <c r="Y918" s="259">
        <v>5</v>
      </c>
      <c r="AA918" s="259" t="e">
        <v>#N/A</v>
      </c>
      <c r="AB918" s="259"/>
      <c r="AC918" s="259"/>
      <c r="AD918" s="259"/>
      <c r="AE918" s="259"/>
    </row>
    <row r="919" spans="1:31">
      <c r="A919" s="259" t="s">
        <v>1016</v>
      </c>
      <c r="B919" s="259" t="s">
        <v>80</v>
      </c>
      <c r="C919" s="264" t="s">
        <v>5643</v>
      </c>
      <c r="D919" s="264" t="s">
        <v>1016</v>
      </c>
      <c r="E919" s="259" t="s">
        <v>5644</v>
      </c>
      <c r="H919" s="264" t="s">
        <v>5645</v>
      </c>
      <c r="I919" s="264" t="s">
        <v>5646</v>
      </c>
      <c r="J919" s="295">
        <v>598.4</v>
      </c>
      <c r="K919" s="295">
        <v>397</v>
      </c>
      <c r="L919" s="295">
        <v>302.19</v>
      </c>
      <c r="O919" s="266"/>
      <c r="P919" s="266">
        <v>871015008608</v>
      </c>
      <c r="R919" s="265">
        <v>7</v>
      </c>
      <c r="S919" s="265">
        <v>12</v>
      </c>
      <c r="T919" s="265">
        <v>16.5</v>
      </c>
      <c r="U919" s="265">
        <v>5</v>
      </c>
      <c r="V919" s="259" t="s">
        <v>4159</v>
      </c>
      <c r="W919" s="259" t="s">
        <v>3061</v>
      </c>
      <c r="X919" s="264" t="s">
        <v>5647</v>
      </c>
      <c r="Y919" s="259">
        <v>6</v>
      </c>
      <c r="Z919" s="259" t="s">
        <v>3030</v>
      </c>
      <c r="AA919" s="259" t="e">
        <v>#N/A</v>
      </c>
      <c r="AB919" s="259"/>
      <c r="AC919" s="259"/>
      <c r="AD919" s="259"/>
      <c r="AE919" s="259"/>
    </row>
    <row r="920" spans="1:31">
      <c r="A920" s="259" t="s">
        <v>1017</v>
      </c>
      <c r="B920" s="259" t="s">
        <v>80</v>
      </c>
      <c r="C920" s="264" t="s">
        <v>5643</v>
      </c>
      <c r="D920" s="264" t="s">
        <v>1017</v>
      </c>
      <c r="E920" s="259" t="s">
        <v>5644</v>
      </c>
      <c r="H920" s="264" t="s">
        <v>5648</v>
      </c>
      <c r="I920" s="264" t="s">
        <v>5649</v>
      </c>
      <c r="J920" s="295">
        <v>852.33</v>
      </c>
      <c r="K920" s="295">
        <v>556</v>
      </c>
      <c r="L920" s="295">
        <v>430.43</v>
      </c>
      <c r="O920" s="266"/>
      <c r="P920" s="266">
        <v>871015008585</v>
      </c>
      <c r="R920" s="265">
        <v>10.5</v>
      </c>
      <c r="S920" s="265">
        <v>16</v>
      </c>
      <c r="T920" s="265">
        <v>20.5</v>
      </c>
      <c r="U920" s="265">
        <v>5</v>
      </c>
      <c r="V920" s="259" t="s">
        <v>4159</v>
      </c>
      <c r="W920" s="259" t="s">
        <v>3061</v>
      </c>
      <c r="X920" s="264" t="s">
        <v>5650</v>
      </c>
      <c r="Y920" s="259">
        <v>7</v>
      </c>
      <c r="Z920" s="259" t="s">
        <v>3030</v>
      </c>
      <c r="AA920" s="259" t="e">
        <v>#N/A</v>
      </c>
      <c r="AB920" s="259"/>
      <c r="AC920" s="259"/>
      <c r="AD920" s="259"/>
      <c r="AE920" s="259"/>
    </row>
    <row r="921" spans="1:31">
      <c r="A921" s="259" t="s">
        <v>1018</v>
      </c>
      <c r="B921" s="259" t="s">
        <v>80</v>
      </c>
      <c r="C921" s="264"/>
      <c r="D921" s="264"/>
      <c r="H921" s="264"/>
      <c r="I921" s="264"/>
      <c r="J921" s="295">
        <v>0</v>
      </c>
      <c r="K921" s="295">
        <v>0</v>
      </c>
      <c r="L921" s="295">
        <v>0</v>
      </c>
      <c r="O921" s="266"/>
      <c r="R921" s="265">
        <v>0</v>
      </c>
      <c r="S921" s="265">
        <v>0</v>
      </c>
      <c r="T921" s="265">
        <v>0</v>
      </c>
      <c r="U921" s="265">
        <v>0</v>
      </c>
      <c r="V921" s="259"/>
      <c r="Y921" s="259">
        <v>8</v>
      </c>
      <c r="AA921" s="259" t="e">
        <v>#N/A</v>
      </c>
      <c r="AB921" s="259"/>
      <c r="AC921" s="259"/>
      <c r="AD921" s="259"/>
      <c r="AE921" s="259"/>
    </row>
    <row r="922" spans="1:31">
      <c r="A922" s="259" t="s">
        <v>1019</v>
      </c>
      <c r="B922" s="259" t="s">
        <v>80</v>
      </c>
      <c r="C922" s="264" t="s">
        <v>5651</v>
      </c>
      <c r="D922" s="264" t="s">
        <v>1019</v>
      </c>
      <c r="E922" s="259" t="s">
        <v>5652</v>
      </c>
      <c r="H922" s="264" t="s">
        <v>5653</v>
      </c>
      <c r="I922" s="264" t="s">
        <v>5654</v>
      </c>
      <c r="J922" s="295">
        <v>671.71</v>
      </c>
      <c r="K922" s="295">
        <v>0</v>
      </c>
      <c r="L922" s="295">
        <v>363.31</v>
      </c>
      <c r="O922" s="266"/>
      <c r="P922" s="266">
        <v>691991004414</v>
      </c>
      <c r="R922" s="265">
        <v>33</v>
      </c>
      <c r="S922" s="265">
        <v>19</v>
      </c>
      <c r="T922" s="265">
        <v>13</v>
      </c>
      <c r="U922" s="265">
        <v>9.5</v>
      </c>
      <c r="V922" s="259" t="s">
        <v>3028</v>
      </c>
      <c r="W922" s="259" t="s">
        <v>3029</v>
      </c>
      <c r="Y922" s="259">
        <v>9</v>
      </c>
      <c r="Z922" s="259" t="s">
        <v>3030</v>
      </c>
      <c r="AA922" s="259" t="e">
        <v>#N/A</v>
      </c>
      <c r="AB922" s="259"/>
      <c r="AC922" s="259"/>
      <c r="AD922" s="259"/>
      <c r="AE922" s="259"/>
    </row>
    <row r="923" spans="1:31">
      <c r="A923" s="259" t="s">
        <v>1020</v>
      </c>
      <c r="B923" s="259" t="s">
        <v>80</v>
      </c>
      <c r="C923" s="264" t="s">
        <v>5651</v>
      </c>
      <c r="D923" s="264" t="s">
        <v>1020</v>
      </c>
      <c r="E923" s="259" t="s">
        <v>5652</v>
      </c>
      <c r="H923" s="264" t="s">
        <v>5655</v>
      </c>
      <c r="I923" s="264" t="s">
        <v>5656</v>
      </c>
      <c r="J923" s="295">
        <v>817.2</v>
      </c>
      <c r="K923" s="295">
        <v>0</v>
      </c>
      <c r="L923" s="295">
        <v>440.27</v>
      </c>
      <c r="O923" s="266"/>
      <c r="P923" s="266">
        <v>691991004483</v>
      </c>
      <c r="R923" s="265">
        <v>30</v>
      </c>
      <c r="S923" s="265">
        <v>21</v>
      </c>
      <c r="T923" s="265">
        <v>7</v>
      </c>
      <c r="U923" s="265">
        <v>21</v>
      </c>
      <c r="V923" s="259" t="s">
        <v>3028</v>
      </c>
      <c r="W923" s="259" t="s">
        <v>3029</v>
      </c>
      <c r="Y923" s="259">
        <v>10</v>
      </c>
      <c r="Z923" s="259" t="s">
        <v>3030</v>
      </c>
      <c r="AA923" s="259" t="e">
        <v>#N/A</v>
      </c>
      <c r="AB923" s="259"/>
      <c r="AC923" s="259"/>
      <c r="AD923" s="259"/>
      <c r="AE923" s="259"/>
    </row>
    <row r="924" spans="1:31">
      <c r="A924" s="259" t="s">
        <v>1021</v>
      </c>
      <c r="B924" s="259" t="s">
        <v>80</v>
      </c>
      <c r="C924" s="264" t="s">
        <v>5651</v>
      </c>
      <c r="D924" s="264" t="s">
        <v>1021</v>
      </c>
      <c r="E924" s="259" t="s">
        <v>5652</v>
      </c>
      <c r="H924" s="264" t="s">
        <v>5657</v>
      </c>
      <c r="I924" s="264" t="s">
        <v>5658</v>
      </c>
      <c r="J924" s="295">
        <v>526.21</v>
      </c>
      <c r="K924" s="295">
        <v>0</v>
      </c>
      <c r="L924" s="295">
        <v>288.31</v>
      </c>
      <c r="O924" s="266"/>
      <c r="P924" s="266">
        <v>691991004346</v>
      </c>
      <c r="R924" s="265">
        <v>27</v>
      </c>
      <c r="S924" s="265">
        <v>20.5</v>
      </c>
      <c r="T924" s="265">
        <v>6.5</v>
      </c>
      <c r="U924" s="265">
        <v>21</v>
      </c>
      <c r="V924" s="259" t="s">
        <v>3028</v>
      </c>
      <c r="W924" s="259" t="s">
        <v>3029</v>
      </c>
      <c r="Y924" s="259">
        <v>11</v>
      </c>
      <c r="Z924" s="259" t="s">
        <v>3030</v>
      </c>
      <c r="AA924" s="259" t="e">
        <v>#N/A</v>
      </c>
      <c r="AB924" s="259"/>
      <c r="AC924" s="259"/>
      <c r="AD924" s="259"/>
      <c r="AE924" s="259"/>
    </row>
    <row r="925" spans="1:31">
      <c r="A925" s="259" t="s">
        <v>1022</v>
      </c>
      <c r="B925" s="259" t="s">
        <v>80</v>
      </c>
      <c r="C925" s="264" t="s">
        <v>5651</v>
      </c>
      <c r="D925" s="264" t="s">
        <v>1022</v>
      </c>
      <c r="E925" s="259" t="s">
        <v>5652</v>
      </c>
      <c r="H925" s="264" t="s">
        <v>5659</v>
      </c>
      <c r="I925" s="264" t="s">
        <v>5660</v>
      </c>
      <c r="J925" s="295">
        <v>822.57</v>
      </c>
      <c r="K925" s="295">
        <v>0</v>
      </c>
      <c r="L925" s="295">
        <v>411.28</v>
      </c>
      <c r="O925" s="266"/>
      <c r="P925" s="266">
        <v>691991004551</v>
      </c>
      <c r="R925" s="265">
        <v>30</v>
      </c>
      <c r="S925" s="265">
        <v>20.5</v>
      </c>
      <c r="T925" s="265">
        <v>20.5</v>
      </c>
      <c r="U925" s="265">
        <v>7</v>
      </c>
      <c r="V925" s="259" t="s">
        <v>3028</v>
      </c>
      <c r="W925" s="259" t="s">
        <v>3029</v>
      </c>
      <c r="Y925" s="259">
        <v>12</v>
      </c>
      <c r="Z925" s="259" t="s">
        <v>3030</v>
      </c>
      <c r="AA925" s="259" t="e">
        <v>#N/A</v>
      </c>
      <c r="AB925" s="259"/>
      <c r="AC925" s="259"/>
      <c r="AD925" s="259"/>
      <c r="AE925" s="259"/>
    </row>
    <row r="926" spans="1:31">
      <c r="A926" s="259" t="s">
        <v>1023</v>
      </c>
      <c r="B926" s="259" t="s">
        <v>80</v>
      </c>
      <c r="C926" s="264" t="s">
        <v>5651</v>
      </c>
      <c r="D926" s="264" t="s">
        <v>1023</v>
      </c>
      <c r="E926" s="259" t="s">
        <v>5652</v>
      </c>
      <c r="H926" s="264" t="s">
        <v>5661</v>
      </c>
      <c r="I926" s="264" t="s">
        <v>5662</v>
      </c>
      <c r="J926" s="295">
        <v>889.96</v>
      </c>
      <c r="K926" s="295">
        <v>0</v>
      </c>
      <c r="L926" s="295">
        <v>491.47</v>
      </c>
      <c r="O926" s="266"/>
      <c r="P926" s="266">
        <v>691991004629</v>
      </c>
      <c r="R926" s="265">
        <v>35</v>
      </c>
      <c r="S926" s="265">
        <v>21</v>
      </c>
      <c r="T926" s="265">
        <v>21</v>
      </c>
      <c r="U926" s="265">
        <v>7</v>
      </c>
      <c r="V926" s="259" t="s">
        <v>3028</v>
      </c>
      <c r="W926" s="259" t="s">
        <v>3029</v>
      </c>
      <c r="Y926" s="259">
        <v>13</v>
      </c>
      <c r="Z926" s="259" t="s">
        <v>3030</v>
      </c>
      <c r="AA926" s="259" t="e">
        <v>#N/A</v>
      </c>
      <c r="AB926" s="259"/>
      <c r="AC926" s="259"/>
      <c r="AD926" s="259"/>
      <c r="AE926" s="259"/>
    </row>
    <row r="927" spans="1:31">
      <c r="A927" s="259" t="s">
        <v>1024</v>
      </c>
      <c r="B927" s="259" t="s">
        <v>80</v>
      </c>
      <c r="C927" s="264" t="s">
        <v>5663</v>
      </c>
      <c r="D927" s="264" t="s">
        <v>1024</v>
      </c>
      <c r="E927" s="259" t="s">
        <v>5644</v>
      </c>
      <c r="H927" s="264" t="s">
        <v>5664</v>
      </c>
      <c r="I927" s="264" t="s">
        <v>5665</v>
      </c>
      <c r="J927" s="295">
        <v>1128.8599999999999</v>
      </c>
      <c r="K927" s="295">
        <v>720</v>
      </c>
      <c r="L927" s="295">
        <v>564.41999999999996</v>
      </c>
      <c r="O927" s="266"/>
      <c r="P927" s="266">
        <v>871015007359</v>
      </c>
      <c r="R927" s="265">
        <v>10</v>
      </c>
      <c r="S927" s="265">
        <v>16.5</v>
      </c>
      <c r="T927" s="265">
        <v>5</v>
      </c>
      <c r="U927" s="265">
        <v>12</v>
      </c>
      <c r="V927" s="259" t="s">
        <v>4159</v>
      </c>
      <c r="W927" s="259" t="s">
        <v>3061</v>
      </c>
      <c r="X927" s="264" t="s">
        <v>5666</v>
      </c>
      <c r="Y927" s="259">
        <v>14</v>
      </c>
      <c r="Z927" s="259" t="s">
        <v>3030</v>
      </c>
      <c r="AA927" s="259" t="e">
        <v>#N/A</v>
      </c>
      <c r="AB927" s="259"/>
      <c r="AC927" s="259"/>
      <c r="AD927" s="259"/>
      <c r="AE927" s="259"/>
    </row>
    <row r="928" spans="1:31">
      <c r="A928" s="259" t="s">
        <v>1025</v>
      </c>
      <c r="B928" s="259" t="s">
        <v>80</v>
      </c>
      <c r="C928" s="264" t="s">
        <v>5663</v>
      </c>
      <c r="D928" s="264" t="s">
        <v>1025</v>
      </c>
      <c r="E928" s="259" t="s">
        <v>5644</v>
      </c>
      <c r="H928" s="264" t="s">
        <v>5667</v>
      </c>
      <c r="I928" s="264" t="s">
        <v>5668</v>
      </c>
      <c r="J928" s="295">
        <v>835.48</v>
      </c>
      <c r="K928" s="295">
        <v>545</v>
      </c>
      <c r="L928" s="295">
        <v>421.91</v>
      </c>
      <c r="O928" s="266"/>
      <c r="P928" s="266">
        <v>871015007380</v>
      </c>
      <c r="R928" s="265">
        <v>10</v>
      </c>
      <c r="S928" s="265">
        <v>16.5</v>
      </c>
      <c r="T928" s="265">
        <v>5</v>
      </c>
      <c r="U928" s="265">
        <v>12</v>
      </c>
      <c r="V928" s="259" t="s">
        <v>4159</v>
      </c>
      <c r="W928" s="259" t="s">
        <v>3061</v>
      </c>
      <c r="X928" s="264" t="s">
        <v>5666</v>
      </c>
      <c r="Y928" s="259">
        <v>15</v>
      </c>
      <c r="Z928" s="259" t="s">
        <v>3030</v>
      </c>
      <c r="AA928" s="259" t="e">
        <v>#N/A</v>
      </c>
      <c r="AB928" s="259"/>
      <c r="AC928" s="259"/>
      <c r="AD928" s="259"/>
      <c r="AE928" s="259"/>
    </row>
    <row r="929" spans="1:31">
      <c r="A929" s="259" t="s">
        <v>1026</v>
      </c>
      <c r="B929" s="259" t="s">
        <v>80</v>
      </c>
      <c r="C929" s="264" t="s">
        <v>5663</v>
      </c>
      <c r="D929" s="264" t="s">
        <v>1026</v>
      </c>
      <c r="E929" s="259" t="s">
        <v>5644</v>
      </c>
      <c r="H929" s="264" t="s">
        <v>5669</v>
      </c>
      <c r="I929" s="264" t="s">
        <v>5670</v>
      </c>
      <c r="J929" s="295">
        <v>1354.41</v>
      </c>
      <c r="K929" s="295">
        <v>896</v>
      </c>
      <c r="L929" s="295">
        <v>677.2</v>
      </c>
      <c r="O929" s="266"/>
      <c r="P929" s="266">
        <v>871015007366</v>
      </c>
      <c r="R929" s="265">
        <v>16.5</v>
      </c>
      <c r="S929" s="265">
        <v>20.5</v>
      </c>
      <c r="T929" s="265">
        <v>5</v>
      </c>
      <c r="U929" s="265">
        <v>16.5</v>
      </c>
      <c r="V929" s="259" t="s">
        <v>4159</v>
      </c>
      <c r="W929" s="259" t="s">
        <v>3061</v>
      </c>
      <c r="X929" s="264" t="s">
        <v>5671</v>
      </c>
      <c r="Y929" s="259">
        <v>16</v>
      </c>
      <c r="Z929" s="259" t="s">
        <v>3030</v>
      </c>
      <c r="AA929" s="259" t="e">
        <v>#N/A</v>
      </c>
      <c r="AB929" s="259"/>
      <c r="AC929" s="259"/>
      <c r="AD929" s="259"/>
      <c r="AE929" s="259"/>
    </row>
    <row r="930" spans="1:31">
      <c r="A930" s="259" t="s">
        <v>1027</v>
      </c>
      <c r="B930" s="259" t="s">
        <v>80</v>
      </c>
      <c r="C930" s="264" t="s">
        <v>5663</v>
      </c>
      <c r="D930" s="264" t="s">
        <v>1027</v>
      </c>
      <c r="E930" s="259" t="s">
        <v>5644</v>
      </c>
      <c r="H930" s="264" t="s">
        <v>5672</v>
      </c>
      <c r="I930" s="264" t="s">
        <v>5673</v>
      </c>
      <c r="J930" s="295">
        <v>974.95</v>
      </c>
      <c r="K930" s="295">
        <v>628</v>
      </c>
      <c r="L930" s="295">
        <v>492.35</v>
      </c>
      <c r="O930" s="266"/>
      <c r="P930" s="266">
        <v>871015007342</v>
      </c>
      <c r="R930" s="265">
        <v>15</v>
      </c>
      <c r="S930" s="265">
        <v>20.5</v>
      </c>
      <c r="T930" s="265">
        <v>16</v>
      </c>
      <c r="U930" s="265">
        <v>4.5999999999999996</v>
      </c>
      <c r="V930" s="259" t="s">
        <v>4159</v>
      </c>
      <c r="W930" s="259" t="s">
        <v>3061</v>
      </c>
      <c r="X930" s="264" t="s">
        <v>5671</v>
      </c>
      <c r="Y930" s="259">
        <v>17</v>
      </c>
      <c r="Z930" s="259" t="s">
        <v>3030</v>
      </c>
      <c r="AA930" s="259" t="e">
        <v>#N/A</v>
      </c>
      <c r="AB930" s="259"/>
      <c r="AC930" s="259"/>
      <c r="AD930" s="259"/>
      <c r="AE930" s="259"/>
    </row>
    <row r="931" spans="1:31">
      <c r="A931" s="259" t="s">
        <v>1028</v>
      </c>
      <c r="B931" s="259" t="s">
        <v>80</v>
      </c>
      <c r="C931" s="264" t="s">
        <v>5663</v>
      </c>
      <c r="D931" s="264" t="s">
        <v>1028</v>
      </c>
      <c r="E931" s="259" t="s">
        <v>5644</v>
      </c>
      <c r="H931" s="264" t="s">
        <v>5674</v>
      </c>
      <c r="I931" s="264" t="s">
        <v>5675</v>
      </c>
      <c r="J931" s="295">
        <v>1218.67</v>
      </c>
      <c r="K931" s="295">
        <v>788</v>
      </c>
      <c r="L931" s="295">
        <v>615.42999999999995</v>
      </c>
      <c r="O931" s="266"/>
      <c r="P931" s="266">
        <v>871015007373</v>
      </c>
      <c r="R931" s="265">
        <v>16</v>
      </c>
      <c r="S931" s="265">
        <v>20.5</v>
      </c>
      <c r="T931" s="265">
        <v>16.5</v>
      </c>
      <c r="U931" s="265">
        <v>4.5</v>
      </c>
      <c r="V931" s="259" t="s">
        <v>4159</v>
      </c>
      <c r="W931" s="259" t="s">
        <v>3061</v>
      </c>
      <c r="X931" s="264" t="s">
        <v>5671</v>
      </c>
      <c r="Y931" s="259">
        <v>18</v>
      </c>
      <c r="Z931" s="259" t="s">
        <v>3030</v>
      </c>
      <c r="AA931" s="259" t="e">
        <v>#N/A</v>
      </c>
      <c r="AB931" s="259"/>
      <c r="AC931" s="259"/>
      <c r="AD931" s="259"/>
      <c r="AE931" s="259"/>
    </row>
    <row r="932" spans="1:31">
      <c r="A932" s="259" t="s">
        <v>1029</v>
      </c>
      <c r="B932" s="259" t="s">
        <v>80</v>
      </c>
      <c r="C932" s="264"/>
      <c r="D932" s="264"/>
      <c r="H932" s="264"/>
      <c r="I932" s="264"/>
      <c r="J932" s="295">
        <v>0</v>
      </c>
      <c r="K932" s="295">
        <v>0</v>
      </c>
      <c r="L932" s="295">
        <v>0</v>
      </c>
      <c r="O932" s="266"/>
      <c r="R932" s="265">
        <v>0</v>
      </c>
      <c r="S932" s="265">
        <v>0</v>
      </c>
      <c r="T932" s="265">
        <v>0</v>
      </c>
      <c r="U932" s="265">
        <v>0</v>
      </c>
      <c r="V932" s="259"/>
      <c r="Y932" s="259">
        <v>19</v>
      </c>
      <c r="AA932" s="259" t="e">
        <v>#N/A</v>
      </c>
      <c r="AB932" s="259"/>
      <c r="AC932" s="259"/>
      <c r="AD932" s="259"/>
      <c r="AE932" s="259"/>
    </row>
    <row r="933" spans="1:31">
      <c r="A933" s="259" t="s">
        <v>1030</v>
      </c>
      <c r="B933" s="259" t="s">
        <v>80</v>
      </c>
      <c r="C933" s="264" t="s">
        <v>5676</v>
      </c>
      <c r="D933" s="264" t="s">
        <v>1030</v>
      </c>
      <c r="E933" s="259" t="s">
        <v>5644</v>
      </c>
      <c r="H933" s="264" t="s">
        <v>5677</v>
      </c>
      <c r="I933" s="264" t="s">
        <v>5678</v>
      </c>
      <c r="J933" s="295">
        <v>756.15</v>
      </c>
      <c r="K933" s="295">
        <v>504</v>
      </c>
      <c r="L933" s="295">
        <v>381.86</v>
      </c>
      <c r="O933" s="266"/>
      <c r="P933" s="266">
        <v>871015008325</v>
      </c>
      <c r="R933" s="265">
        <v>10</v>
      </c>
      <c r="S933" s="265">
        <v>16.5</v>
      </c>
      <c r="T933" s="265">
        <v>5</v>
      </c>
      <c r="U933" s="265">
        <v>12</v>
      </c>
      <c r="V933" s="259" t="s">
        <v>4159</v>
      </c>
      <c r="W933" s="259" t="s">
        <v>3061</v>
      </c>
      <c r="X933" s="264" t="s">
        <v>5679</v>
      </c>
      <c r="Y933" s="259">
        <v>20</v>
      </c>
      <c r="Z933" s="259" t="s">
        <v>3030</v>
      </c>
      <c r="AA933" s="259" t="e">
        <v>#N/A</v>
      </c>
      <c r="AB933" s="259"/>
      <c r="AC933" s="259"/>
      <c r="AD933" s="259"/>
      <c r="AE933" s="259"/>
    </row>
    <row r="934" spans="1:31">
      <c r="A934" s="259" t="s">
        <v>1031</v>
      </c>
      <c r="B934" s="259" t="s">
        <v>80</v>
      </c>
      <c r="C934" s="264" t="s">
        <v>5680</v>
      </c>
      <c r="D934" s="264" t="s">
        <v>1031</v>
      </c>
      <c r="E934" s="259" t="s">
        <v>5644</v>
      </c>
      <c r="H934" s="264" t="s">
        <v>5681</v>
      </c>
      <c r="I934" s="264"/>
      <c r="J934" s="295">
        <v>837.92</v>
      </c>
      <c r="K934" s="295">
        <v>720</v>
      </c>
      <c r="L934" s="295">
        <v>458.65</v>
      </c>
      <c r="O934" s="266"/>
      <c r="P934" s="266">
        <v>691991004087</v>
      </c>
      <c r="R934" s="265">
        <v>15.5</v>
      </c>
      <c r="S934" s="265">
        <v>21.5</v>
      </c>
      <c r="T934" s="265">
        <v>15</v>
      </c>
      <c r="U934" s="265">
        <v>6</v>
      </c>
      <c r="V934" s="259" t="s">
        <v>3028</v>
      </c>
      <c r="W934" s="259" t="s">
        <v>3029</v>
      </c>
      <c r="Y934" s="259">
        <v>21</v>
      </c>
      <c r="Z934" s="259" t="s">
        <v>3030</v>
      </c>
      <c r="AA934" s="259" t="e">
        <v>#N/A</v>
      </c>
      <c r="AB934" s="259"/>
      <c r="AC934" s="259"/>
      <c r="AD934" s="259"/>
      <c r="AE934" s="259"/>
    </row>
    <row r="935" spans="1:31">
      <c r="A935" s="259" t="s">
        <v>1032</v>
      </c>
      <c r="B935" s="259" t="s">
        <v>80</v>
      </c>
      <c r="C935" s="264" t="s">
        <v>5676</v>
      </c>
      <c r="D935" s="264" t="s">
        <v>1032</v>
      </c>
      <c r="E935" s="259" t="s">
        <v>5644</v>
      </c>
      <c r="H935" s="264" t="s">
        <v>5682</v>
      </c>
      <c r="I935" s="264" t="s">
        <v>5683</v>
      </c>
      <c r="J935" s="295">
        <v>371.08</v>
      </c>
      <c r="K935" s="295">
        <v>253</v>
      </c>
      <c r="L935" s="295">
        <v>187.4</v>
      </c>
      <c r="O935" s="266"/>
      <c r="P935" s="266">
        <v>871015008462</v>
      </c>
      <c r="R935" s="265">
        <v>9.5</v>
      </c>
      <c r="S935" s="265">
        <v>16.5</v>
      </c>
      <c r="T935" s="265">
        <v>5</v>
      </c>
      <c r="U935" s="265">
        <v>12</v>
      </c>
      <c r="V935" s="259" t="s">
        <v>4159</v>
      </c>
      <c r="W935" s="259" t="s">
        <v>3061</v>
      </c>
      <c r="X935" s="264" t="s">
        <v>5679</v>
      </c>
      <c r="Y935" s="259">
        <v>22</v>
      </c>
      <c r="Z935" s="259" t="s">
        <v>3030</v>
      </c>
      <c r="AA935" s="259" t="e">
        <v>#N/A</v>
      </c>
      <c r="AB935" s="259"/>
      <c r="AC935" s="259"/>
      <c r="AD935" s="259"/>
      <c r="AE935" s="259"/>
    </row>
    <row r="936" spans="1:31">
      <c r="A936" s="259" t="s">
        <v>1033</v>
      </c>
      <c r="B936" s="259" t="s">
        <v>80</v>
      </c>
      <c r="C936" s="264" t="s">
        <v>5676</v>
      </c>
      <c r="D936" s="264" t="s">
        <v>1033</v>
      </c>
      <c r="E936" s="259" t="s">
        <v>5644</v>
      </c>
      <c r="H936" s="264" t="s">
        <v>5684</v>
      </c>
      <c r="I936" s="264" t="s">
        <v>5685</v>
      </c>
      <c r="J936" s="295">
        <v>599.03</v>
      </c>
      <c r="K936" s="295">
        <v>432</v>
      </c>
      <c r="L936" s="295">
        <v>326.76</v>
      </c>
      <c r="O936" s="266"/>
      <c r="P936" s="266">
        <v>871015008394</v>
      </c>
      <c r="R936" s="265">
        <v>10</v>
      </c>
      <c r="S936" s="265">
        <v>16.5</v>
      </c>
      <c r="T936" s="265">
        <v>12</v>
      </c>
      <c r="U936" s="265">
        <v>5</v>
      </c>
      <c r="V936" s="259" t="s">
        <v>4159</v>
      </c>
      <c r="W936" s="259" t="s">
        <v>3061</v>
      </c>
      <c r="X936" s="264" t="s">
        <v>5679</v>
      </c>
      <c r="Y936" s="259">
        <v>23</v>
      </c>
      <c r="Z936" s="259" t="s">
        <v>3030</v>
      </c>
      <c r="AA936" s="259" t="e">
        <v>#N/A</v>
      </c>
      <c r="AB936" s="259"/>
      <c r="AC936" s="259"/>
      <c r="AD936" s="259"/>
      <c r="AE936" s="259"/>
    </row>
    <row r="937" spans="1:31">
      <c r="A937" s="259" t="s">
        <v>1034</v>
      </c>
      <c r="B937" s="259" t="s">
        <v>80</v>
      </c>
      <c r="C937" s="264" t="s">
        <v>5676</v>
      </c>
      <c r="D937" s="264" t="s">
        <v>1034</v>
      </c>
      <c r="E937" s="259" t="s">
        <v>5279</v>
      </c>
      <c r="H937" s="264" t="s">
        <v>5686</v>
      </c>
      <c r="I937" s="264" t="s">
        <v>5687</v>
      </c>
      <c r="J937" s="295">
        <v>712.57</v>
      </c>
      <c r="K937" s="295">
        <v>556</v>
      </c>
      <c r="L937" s="295">
        <v>382.28</v>
      </c>
      <c r="O937" s="266"/>
      <c r="P937" s="266">
        <v>871015008097</v>
      </c>
      <c r="R937" s="265">
        <v>4</v>
      </c>
      <c r="S937" s="265">
        <v>12</v>
      </c>
      <c r="T937" s="265">
        <v>5</v>
      </c>
      <c r="U937" s="265">
        <v>11</v>
      </c>
      <c r="V937" s="259" t="s">
        <v>4159</v>
      </c>
      <c r="W937" s="259" t="s">
        <v>3061</v>
      </c>
      <c r="X937" s="264" t="s">
        <v>5688</v>
      </c>
      <c r="Y937" s="259">
        <v>24</v>
      </c>
      <c r="Z937" s="259" t="s">
        <v>3030</v>
      </c>
      <c r="AA937" s="259" t="e">
        <v>#N/A</v>
      </c>
      <c r="AB937" s="259"/>
      <c r="AC937" s="259"/>
      <c r="AD937" s="259"/>
      <c r="AE937" s="259"/>
    </row>
    <row r="938" spans="1:31">
      <c r="A938" s="259" t="s">
        <v>1035</v>
      </c>
      <c r="B938" s="259" t="s">
        <v>80</v>
      </c>
      <c r="C938" s="264" t="s">
        <v>5676</v>
      </c>
      <c r="D938" s="264" t="s">
        <v>1035</v>
      </c>
      <c r="E938" s="259" t="s">
        <v>5270</v>
      </c>
      <c r="H938" s="264" t="s">
        <v>5689</v>
      </c>
      <c r="I938" s="264" t="s">
        <v>5690</v>
      </c>
      <c r="J938" s="295">
        <v>186.37</v>
      </c>
      <c r="K938" s="295">
        <v>170</v>
      </c>
      <c r="L938" s="295">
        <v>92.34</v>
      </c>
      <c r="O938" s="266"/>
      <c r="P938" s="266">
        <v>871015006147</v>
      </c>
      <c r="R938" s="265">
        <v>6</v>
      </c>
      <c r="S938" s="265">
        <v>12</v>
      </c>
      <c r="T938" s="265">
        <v>11</v>
      </c>
      <c r="U938" s="265">
        <v>5</v>
      </c>
      <c r="V938" s="259" t="s">
        <v>4159</v>
      </c>
      <c r="W938" s="259" t="s">
        <v>3061</v>
      </c>
      <c r="X938" s="264" t="s">
        <v>5691</v>
      </c>
      <c r="Y938" s="259">
        <v>25</v>
      </c>
      <c r="Z938" s="259" t="s">
        <v>3227</v>
      </c>
      <c r="AA938" s="259" t="e">
        <v>#N/A</v>
      </c>
      <c r="AB938" s="259"/>
      <c r="AC938" s="259"/>
      <c r="AD938" s="259"/>
      <c r="AE938" s="259"/>
    </row>
    <row r="939" spans="1:31">
      <c r="A939" s="259" t="s">
        <v>1036</v>
      </c>
      <c r="B939" s="259" t="s">
        <v>80</v>
      </c>
      <c r="C939" s="264" t="s">
        <v>5676</v>
      </c>
      <c r="D939" s="264" t="s">
        <v>1036</v>
      </c>
      <c r="E939" s="259" t="s">
        <v>5644</v>
      </c>
      <c r="H939" s="264" t="s">
        <v>5692</v>
      </c>
      <c r="I939" s="264" t="s">
        <v>5693</v>
      </c>
      <c r="J939" s="295">
        <v>1008.06</v>
      </c>
      <c r="K939" s="295">
        <v>675</v>
      </c>
      <c r="L939" s="295">
        <v>509.07</v>
      </c>
      <c r="O939" s="266"/>
      <c r="P939" s="266">
        <v>871015008097</v>
      </c>
      <c r="R939" s="265">
        <v>12</v>
      </c>
      <c r="S939" s="265">
        <v>16.5</v>
      </c>
      <c r="T939" s="265">
        <v>5</v>
      </c>
      <c r="U939" s="265">
        <v>12</v>
      </c>
      <c r="V939" s="259" t="s">
        <v>4159</v>
      </c>
      <c r="W939" s="259" t="s">
        <v>3061</v>
      </c>
      <c r="X939" s="264" t="s">
        <v>5694</v>
      </c>
      <c r="Y939" s="259">
        <v>26</v>
      </c>
      <c r="Z939" s="259" t="s">
        <v>3030</v>
      </c>
      <c r="AA939" s="259" t="e">
        <v>#N/A</v>
      </c>
      <c r="AB939" s="259"/>
      <c r="AC939" s="259"/>
      <c r="AD939" s="259"/>
      <c r="AE939" s="259"/>
    </row>
    <row r="940" spans="1:31">
      <c r="A940" s="259" t="s">
        <v>1037</v>
      </c>
      <c r="B940" s="259" t="s">
        <v>80</v>
      </c>
      <c r="C940" s="264" t="s">
        <v>5680</v>
      </c>
      <c r="D940" s="264" t="s">
        <v>1037</v>
      </c>
      <c r="E940" s="259" t="s">
        <v>5644</v>
      </c>
      <c r="H940" s="264" t="s">
        <v>5695</v>
      </c>
      <c r="I940" s="264" t="s">
        <v>5696</v>
      </c>
      <c r="J940" s="295">
        <v>1078.02</v>
      </c>
      <c r="K940" s="295">
        <v>947</v>
      </c>
      <c r="L940" s="295">
        <v>589.41999999999996</v>
      </c>
      <c r="O940" s="266"/>
      <c r="P940" s="266">
        <v>691991004148</v>
      </c>
      <c r="R940" s="265">
        <v>20</v>
      </c>
      <c r="S940" s="265">
        <v>21.5</v>
      </c>
      <c r="T940" s="265">
        <v>14.5</v>
      </c>
      <c r="U940" s="265">
        <v>6</v>
      </c>
      <c r="V940" s="259" t="s">
        <v>3028</v>
      </c>
      <c r="W940" s="259" t="s">
        <v>3029</v>
      </c>
      <c r="Y940" s="259">
        <v>27</v>
      </c>
      <c r="Z940" s="259" t="s">
        <v>3030</v>
      </c>
      <c r="AA940" s="259" t="e">
        <v>#N/A</v>
      </c>
      <c r="AB940" s="259"/>
      <c r="AC940" s="259"/>
      <c r="AD940" s="259"/>
      <c r="AE940" s="259"/>
    </row>
    <row r="941" spans="1:31">
      <c r="A941" s="259" t="s">
        <v>1038</v>
      </c>
      <c r="B941" s="259" t="s">
        <v>80</v>
      </c>
      <c r="C941" s="264" t="s">
        <v>5676</v>
      </c>
      <c r="D941" s="264" t="s">
        <v>1038</v>
      </c>
      <c r="E941" s="259" t="s">
        <v>5644</v>
      </c>
      <c r="H941" s="264" t="s">
        <v>5697</v>
      </c>
      <c r="I941" s="264" t="s">
        <v>5698</v>
      </c>
      <c r="J941" s="295">
        <v>648.98</v>
      </c>
      <c r="K941" s="295">
        <v>438</v>
      </c>
      <c r="L941" s="295">
        <v>327.73</v>
      </c>
      <c r="O941" s="266"/>
      <c r="P941" s="266">
        <v>871015008257</v>
      </c>
      <c r="R941" s="265">
        <v>10.5</v>
      </c>
      <c r="S941" s="265">
        <v>16.5</v>
      </c>
      <c r="T941" s="265">
        <v>12</v>
      </c>
      <c r="U941" s="265">
        <v>5</v>
      </c>
      <c r="V941" s="259" t="s">
        <v>4159</v>
      </c>
      <c r="W941" s="259" t="s">
        <v>3061</v>
      </c>
      <c r="X941" s="264" t="s">
        <v>5694</v>
      </c>
      <c r="Y941" s="259">
        <v>28</v>
      </c>
      <c r="Z941" s="259" t="s">
        <v>3030</v>
      </c>
      <c r="AA941" s="259" t="e">
        <v>#N/A</v>
      </c>
      <c r="AB941" s="259"/>
      <c r="AC941" s="259"/>
      <c r="AD941" s="259"/>
      <c r="AE941" s="259"/>
    </row>
    <row r="942" spans="1:31">
      <c r="A942" s="259" t="s">
        <v>1039</v>
      </c>
      <c r="B942" s="259" t="s">
        <v>80</v>
      </c>
      <c r="C942" s="264" t="s">
        <v>5676</v>
      </c>
      <c r="D942" s="264" t="s">
        <v>1039</v>
      </c>
      <c r="E942" s="259" t="s">
        <v>5644</v>
      </c>
      <c r="H942" s="264" t="s">
        <v>5699</v>
      </c>
      <c r="I942" s="264" t="s">
        <v>5700</v>
      </c>
      <c r="J942" s="295">
        <v>824.07</v>
      </c>
      <c r="K942" s="295">
        <v>556</v>
      </c>
      <c r="L942" s="295">
        <v>416.16</v>
      </c>
      <c r="O942" s="266"/>
      <c r="P942" s="266">
        <v>871015008189</v>
      </c>
      <c r="R942" s="265">
        <v>11.5</v>
      </c>
      <c r="S942" s="265">
        <v>12</v>
      </c>
      <c r="T942" s="265">
        <v>16.5</v>
      </c>
      <c r="U942" s="265">
        <v>5</v>
      </c>
      <c r="V942" s="259" t="s">
        <v>4159</v>
      </c>
      <c r="W942" s="259" t="s">
        <v>3061</v>
      </c>
      <c r="X942" s="264" t="s">
        <v>5694</v>
      </c>
      <c r="Y942" s="259">
        <v>29</v>
      </c>
      <c r="Z942" s="259" t="s">
        <v>3030</v>
      </c>
      <c r="AA942" s="259" t="e">
        <v>#N/A</v>
      </c>
      <c r="AB942" s="259"/>
      <c r="AC942" s="259"/>
      <c r="AD942" s="259"/>
      <c r="AE942" s="259"/>
    </row>
    <row r="943" spans="1:31">
      <c r="A943" s="259" t="s">
        <v>1040</v>
      </c>
      <c r="B943" s="259" t="s">
        <v>80</v>
      </c>
      <c r="C943" s="264"/>
      <c r="D943" s="264"/>
      <c r="H943" s="264"/>
      <c r="I943" s="264"/>
      <c r="J943" s="295">
        <v>0</v>
      </c>
      <c r="K943" s="295">
        <v>0</v>
      </c>
      <c r="L943" s="295">
        <v>0</v>
      </c>
      <c r="O943" s="266"/>
      <c r="R943" s="265"/>
      <c r="V943" s="259"/>
      <c r="Y943" s="259">
        <v>30</v>
      </c>
      <c r="AA943" s="259" t="e">
        <v>#N/A</v>
      </c>
      <c r="AB943" s="259"/>
      <c r="AC943" s="259"/>
      <c r="AD943" s="259"/>
      <c r="AE943" s="259"/>
    </row>
    <row r="944" spans="1:31">
      <c r="A944" s="259" t="s">
        <v>1041</v>
      </c>
      <c r="B944" s="259" t="s">
        <v>80</v>
      </c>
      <c r="C944" s="264"/>
      <c r="D944" s="264"/>
      <c r="H944" s="264"/>
      <c r="I944" s="264"/>
      <c r="J944" s="295">
        <v>0</v>
      </c>
      <c r="K944" s="295">
        <v>0</v>
      </c>
      <c r="L944" s="295">
        <v>0</v>
      </c>
      <c r="O944" s="266"/>
      <c r="R944" s="265"/>
      <c r="V944" s="259"/>
      <c r="Y944" s="259">
        <v>31</v>
      </c>
      <c r="AA944" s="259" t="e">
        <v>#N/A</v>
      </c>
      <c r="AB944" s="259"/>
      <c r="AC944" s="259"/>
      <c r="AD944" s="259"/>
      <c r="AE944" s="259"/>
    </row>
    <row r="945" spans="1:31">
      <c r="A945" s="259" t="s">
        <v>1042</v>
      </c>
      <c r="B945" s="259" t="s">
        <v>80</v>
      </c>
      <c r="C945" s="264" t="s">
        <v>5701</v>
      </c>
      <c r="D945" s="264" t="s">
        <v>1042</v>
      </c>
      <c r="E945" s="259" t="s">
        <v>5702</v>
      </c>
      <c r="G945" s="259" t="s">
        <v>3378</v>
      </c>
      <c r="H945" s="264" t="s">
        <v>5703</v>
      </c>
      <c r="I945" s="264" t="s">
        <v>5704</v>
      </c>
      <c r="J945" s="295">
        <v>100.61</v>
      </c>
      <c r="K945" s="295">
        <v>78</v>
      </c>
      <c r="L945" s="295">
        <v>52.98</v>
      </c>
      <c r="O945" s="266"/>
      <c r="P945" s="266">
        <v>691991401404</v>
      </c>
      <c r="R945" s="265">
        <v>0.5</v>
      </c>
      <c r="S945" s="265">
        <v>7</v>
      </c>
      <c r="T945" s="265">
        <v>5.5</v>
      </c>
      <c r="U945" s="265">
        <v>3.5</v>
      </c>
      <c r="V945" s="259" t="s">
        <v>3028</v>
      </c>
      <c r="W945" s="259" t="s">
        <v>3029</v>
      </c>
      <c r="Y945" s="259">
        <v>32</v>
      </c>
      <c r="Z945" s="259" t="s">
        <v>3227</v>
      </c>
      <c r="AA945" s="259" t="e">
        <v>#N/A</v>
      </c>
      <c r="AB945" s="259"/>
      <c r="AC945" s="259"/>
      <c r="AD945" s="259"/>
      <c r="AE945" s="259"/>
    </row>
    <row r="946" spans="1:31">
      <c r="A946" s="259" t="s">
        <v>1043</v>
      </c>
      <c r="B946" s="259" t="s">
        <v>80</v>
      </c>
      <c r="C946" s="264" t="s">
        <v>5701</v>
      </c>
      <c r="D946" s="264" t="s">
        <v>1043</v>
      </c>
      <c r="E946" s="259" t="s">
        <v>5702</v>
      </c>
      <c r="G946" s="259" t="s">
        <v>3378</v>
      </c>
      <c r="H946" s="264" t="s">
        <v>5705</v>
      </c>
      <c r="I946" s="264" t="s">
        <v>5706</v>
      </c>
      <c r="J946" s="295">
        <v>101.62</v>
      </c>
      <c r="K946" s="295">
        <v>78</v>
      </c>
      <c r="L946" s="295">
        <v>53.17</v>
      </c>
      <c r="O946" s="266"/>
      <c r="P946" s="266">
        <v>691991401374</v>
      </c>
      <c r="R946" s="265">
        <v>0.1</v>
      </c>
      <c r="S946" s="265">
        <v>7</v>
      </c>
      <c r="T946" s="265">
        <v>3.5</v>
      </c>
      <c r="U946" s="265">
        <v>5.5</v>
      </c>
      <c r="V946" s="259" t="s">
        <v>3028</v>
      </c>
      <c r="W946" s="259" t="s">
        <v>3029</v>
      </c>
      <c r="Y946" s="259">
        <v>33</v>
      </c>
      <c r="Z946" s="259" t="s">
        <v>3227</v>
      </c>
      <c r="AA946" s="259" t="e">
        <v>#N/A</v>
      </c>
      <c r="AB946" s="259"/>
      <c r="AC946" s="259"/>
      <c r="AD946" s="259"/>
      <c r="AE946" s="259"/>
    </row>
    <row r="947" spans="1:31">
      <c r="A947" s="259" t="s">
        <v>1044</v>
      </c>
      <c r="B947" s="259" t="s">
        <v>80</v>
      </c>
      <c r="C947" s="264" t="s">
        <v>5701</v>
      </c>
      <c r="D947" s="264" t="s">
        <v>1044</v>
      </c>
      <c r="E947" s="259" t="s">
        <v>5702</v>
      </c>
      <c r="G947" s="259" t="s">
        <v>3378</v>
      </c>
      <c r="H947" s="264" t="s">
        <v>5707</v>
      </c>
      <c r="I947" s="264" t="s">
        <v>5708</v>
      </c>
      <c r="J947" s="295">
        <v>100.61</v>
      </c>
      <c r="K947" s="295">
        <v>78</v>
      </c>
      <c r="L947" s="295">
        <v>53.06</v>
      </c>
      <c r="O947" s="266"/>
      <c r="P947" s="266">
        <v>691991401411</v>
      </c>
      <c r="R947" s="265">
        <v>0.5</v>
      </c>
      <c r="S947" s="265">
        <v>7</v>
      </c>
      <c r="T947" s="265">
        <v>5.5</v>
      </c>
      <c r="U947" s="265">
        <v>3.5</v>
      </c>
      <c r="V947" s="259" t="s">
        <v>3028</v>
      </c>
      <c r="W947" s="259" t="s">
        <v>3029</v>
      </c>
      <c r="Y947" s="259">
        <v>34</v>
      </c>
      <c r="Z947" s="259" t="s">
        <v>3227</v>
      </c>
      <c r="AA947" s="259" t="e">
        <v>#N/A</v>
      </c>
      <c r="AB947" s="259"/>
      <c r="AC947" s="259"/>
      <c r="AD947" s="259"/>
      <c r="AE947" s="259"/>
    </row>
    <row r="948" spans="1:31">
      <c r="A948" s="259" t="s">
        <v>1045</v>
      </c>
      <c r="B948" s="259" t="s">
        <v>80</v>
      </c>
      <c r="C948" s="264" t="s">
        <v>5701</v>
      </c>
      <c r="D948" s="264" t="s">
        <v>1045</v>
      </c>
      <c r="E948" s="259" t="s">
        <v>5702</v>
      </c>
      <c r="H948" s="264" t="s">
        <v>5709</v>
      </c>
      <c r="I948" s="264" t="s">
        <v>5710</v>
      </c>
      <c r="J948" s="295">
        <v>100.61</v>
      </c>
      <c r="K948" s="295">
        <v>78</v>
      </c>
      <c r="L948" s="295">
        <v>53.12</v>
      </c>
      <c r="O948" s="266"/>
      <c r="P948" s="266">
        <v>691991401381</v>
      </c>
      <c r="R948" s="265">
        <v>0.2</v>
      </c>
      <c r="S948" s="265">
        <v>7</v>
      </c>
      <c r="T948" s="265">
        <v>3</v>
      </c>
      <c r="U948" s="265">
        <v>5</v>
      </c>
      <c r="V948" s="259" t="s">
        <v>3028</v>
      </c>
      <c r="W948" s="259" t="s">
        <v>3029</v>
      </c>
      <c r="Y948" s="259">
        <v>35</v>
      </c>
      <c r="Z948" s="259" t="s">
        <v>3227</v>
      </c>
      <c r="AA948" s="259" t="e">
        <v>#N/A</v>
      </c>
      <c r="AB948" s="259"/>
      <c r="AC948" s="259"/>
      <c r="AD948" s="259"/>
      <c r="AE948" s="259"/>
    </row>
    <row r="949" spans="1:31">
      <c r="A949" s="259" t="s">
        <v>1046</v>
      </c>
      <c r="B949" s="259" t="s">
        <v>80</v>
      </c>
      <c r="C949" s="264" t="s">
        <v>5701</v>
      </c>
      <c r="D949" s="264" t="s">
        <v>1046</v>
      </c>
      <c r="E949" s="259" t="s">
        <v>5702</v>
      </c>
      <c r="H949" s="264" t="s">
        <v>5711</v>
      </c>
      <c r="I949" s="264" t="s">
        <v>5712</v>
      </c>
      <c r="J949" s="295">
        <v>100.61</v>
      </c>
      <c r="K949" s="295">
        <v>72</v>
      </c>
      <c r="L949" s="295">
        <v>52.32</v>
      </c>
      <c r="O949" s="266"/>
      <c r="P949" s="266">
        <v>691991401398</v>
      </c>
      <c r="R949" s="265">
        <v>0.5</v>
      </c>
      <c r="S949" s="265">
        <v>7</v>
      </c>
      <c r="T949" s="265">
        <v>5.5</v>
      </c>
      <c r="U949" s="265">
        <v>3.5</v>
      </c>
      <c r="V949" s="259" t="s">
        <v>3028</v>
      </c>
      <c r="W949" s="259" t="s">
        <v>3029</v>
      </c>
      <c r="Y949" s="259">
        <v>36</v>
      </c>
      <c r="Z949" s="259" t="s">
        <v>3030</v>
      </c>
      <c r="AA949" s="259" t="e">
        <v>#N/A</v>
      </c>
      <c r="AB949" s="259"/>
      <c r="AC949" s="259"/>
      <c r="AD949" s="259"/>
      <c r="AE949" s="259"/>
    </row>
    <row r="950" spans="1:31">
      <c r="A950" s="259" t="s">
        <v>1047</v>
      </c>
      <c r="B950" s="259" t="s">
        <v>80</v>
      </c>
      <c r="C950" s="264" t="s">
        <v>5701</v>
      </c>
      <c r="D950" s="264" t="s">
        <v>1047</v>
      </c>
      <c r="E950" s="259" t="s">
        <v>5702</v>
      </c>
      <c r="H950" s="264" t="s">
        <v>5713</v>
      </c>
      <c r="I950" s="264" t="s">
        <v>5714</v>
      </c>
      <c r="J950" s="295">
        <v>101.62</v>
      </c>
      <c r="K950" s="295">
        <v>72</v>
      </c>
      <c r="L950" s="295">
        <v>52.37</v>
      </c>
      <c r="O950" s="266"/>
      <c r="P950" s="266">
        <v>691991401367</v>
      </c>
      <c r="R950" s="265">
        <v>0.5</v>
      </c>
      <c r="S950" s="265">
        <v>7</v>
      </c>
      <c r="T950" s="265">
        <v>5.5</v>
      </c>
      <c r="U950" s="265">
        <v>3.5</v>
      </c>
      <c r="V950" s="259" t="s">
        <v>3028</v>
      </c>
      <c r="W950" s="259" t="s">
        <v>3029</v>
      </c>
      <c r="Y950" s="259">
        <v>37</v>
      </c>
      <c r="Z950" s="259" t="s">
        <v>3030</v>
      </c>
      <c r="AA950" s="259" t="e">
        <v>#N/A</v>
      </c>
      <c r="AB950" s="259"/>
      <c r="AC950" s="259"/>
      <c r="AD950" s="259"/>
      <c r="AE950" s="259"/>
    </row>
    <row r="951" spans="1:31">
      <c r="A951" s="259" t="s">
        <v>1048</v>
      </c>
      <c r="B951" s="259" t="s">
        <v>80</v>
      </c>
      <c r="C951" s="264"/>
      <c r="D951" s="264"/>
      <c r="H951" s="264"/>
      <c r="I951" s="264"/>
      <c r="J951" s="295">
        <v>0</v>
      </c>
      <c r="K951" s="295">
        <v>0</v>
      </c>
      <c r="L951" s="295">
        <v>0</v>
      </c>
      <c r="O951" s="266"/>
      <c r="R951" s="265"/>
      <c r="V951" s="259"/>
      <c r="Y951" s="259">
        <v>38</v>
      </c>
      <c r="AA951" s="259" t="e">
        <v>#N/A</v>
      </c>
      <c r="AB951" s="259"/>
      <c r="AC951" s="259"/>
      <c r="AD951" s="259"/>
      <c r="AE951" s="259"/>
    </row>
    <row r="952" spans="1:31">
      <c r="A952" s="259" t="s">
        <v>1049</v>
      </c>
      <c r="B952" s="259" t="s">
        <v>80</v>
      </c>
      <c r="C952" s="264" t="s">
        <v>5715</v>
      </c>
      <c r="D952" s="264" t="s">
        <v>1049</v>
      </c>
      <c r="E952" s="259" t="s">
        <v>5702</v>
      </c>
      <c r="H952" s="264" t="s">
        <v>5716</v>
      </c>
      <c r="I952" s="264" t="s">
        <v>5717</v>
      </c>
      <c r="J952" s="295">
        <v>29.5</v>
      </c>
      <c r="K952" s="295">
        <v>20</v>
      </c>
      <c r="L952" s="295">
        <v>14.63</v>
      </c>
      <c r="O952" s="266">
        <v>0</v>
      </c>
      <c r="P952" s="266">
        <v>50036903912</v>
      </c>
      <c r="R952" s="265">
        <v>2.5</v>
      </c>
      <c r="S952" s="265">
        <v>5</v>
      </c>
      <c r="T952" s="265">
        <v>9</v>
      </c>
      <c r="U952" s="265">
        <v>10</v>
      </c>
      <c r="V952" s="259" t="s">
        <v>3028</v>
      </c>
      <c r="W952" s="259" t="s">
        <v>3029</v>
      </c>
      <c r="X952" s="264" t="s">
        <v>5718</v>
      </c>
      <c r="Y952" s="259">
        <v>39</v>
      </c>
      <c r="Z952" s="259" t="s">
        <v>3030</v>
      </c>
      <c r="AA952" s="259" t="e">
        <v>#N/A</v>
      </c>
      <c r="AB952" s="259"/>
      <c r="AC952" s="259"/>
      <c r="AD952" s="259"/>
      <c r="AE952" s="259"/>
    </row>
    <row r="953" spans="1:31">
      <c r="A953" s="259" t="s">
        <v>1050</v>
      </c>
      <c r="B953" s="259" t="s">
        <v>80</v>
      </c>
      <c r="C953" s="264" t="s">
        <v>5715</v>
      </c>
      <c r="D953" s="264" t="s">
        <v>1050</v>
      </c>
      <c r="E953" s="259" t="s">
        <v>5702</v>
      </c>
      <c r="H953" s="264" t="s">
        <v>5719</v>
      </c>
      <c r="I953" s="264" t="s">
        <v>5720</v>
      </c>
      <c r="J953" s="295">
        <v>39.770000000000003</v>
      </c>
      <c r="K953" s="295">
        <v>30</v>
      </c>
      <c r="L953" s="295">
        <v>19.2</v>
      </c>
      <c r="O953" s="266">
        <v>0</v>
      </c>
      <c r="P953" s="266">
        <v>50036903929</v>
      </c>
      <c r="R953" s="265">
        <v>4.25</v>
      </c>
      <c r="S953" s="265">
        <v>15</v>
      </c>
      <c r="T953" s="265">
        <v>15</v>
      </c>
      <c r="U953" s="265">
        <v>4</v>
      </c>
      <c r="V953" s="259" t="s">
        <v>3028</v>
      </c>
      <c r="W953" s="259" t="s">
        <v>3029</v>
      </c>
      <c r="X953" s="264" t="s">
        <v>5721</v>
      </c>
      <c r="Y953" s="259">
        <v>40</v>
      </c>
      <c r="Z953" s="259" t="s">
        <v>3030</v>
      </c>
      <c r="AA953" s="259" t="e">
        <v>#N/A</v>
      </c>
      <c r="AB953" s="259"/>
      <c r="AC953" s="259"/>
      <c r="AD953" s="259"/>
      <c r="AE953" s="259"/>
    </row>
    <row r="954" spans="1:31">
      <c r="A954" s="259" t="s">
        <v>1051</v>
      </c>
      <c r="B954" s="259" t="s">
        <v>80</v>
      </c>
      <c r="C954" s="264" t="s">
        <v>5715</v>
      </c>
      <c r="D954" s="264" t="s">
        <v>1051</v>
      </c>
      <c r="E954" s="259" t="s">
        <v>5702</v>
      </c>
      <c r="H954" s="264" t="s">
        <v>5722</v>
      </c>
      <c r="I954" s="264" t="s">
        <v>5723</v>
      </c>
      <c r="J954" s="295">
        <v>53.87</v>
      </c>
      <c r="K954" s="295">
        <v>47</v>
      </c>
      <c r="L954" s="295">
        <v>26.17</v>
      </c>
      <c r="O954" s="266">
        <v>0</v>
      </c>
      <c r="P954" s="266">
        <v>50036903936</v>
      </c>
      <c r="R954" s="265">
        <v>8</v>
      </c>
      <c r="S954" s="265">
        <v>16</v>
      </c>
      <c r="T954" s="265">
        <v>14</v>
      </c>
      <c r="U954" s="265">
        <v>5</v>
      </c>
      <c r="V954" s="259" t="s">
        <v>3028</v>
      </c>
      <c r="W954" s="259" t="s">
        <v>3029</v>
      </c>
      <c r="X954" s="264" t="s">
        <v>5724</v>
      </c>
      <c r="Y954" s="259">
        <v>41</v>
      </c>
      <c r="Z954" s="259" t="s">
        <v>3030</v>
      </c>
      <c r="AA954" s="259" t="e">
        <v>#N/A</v>
      </c>
      <c r="AB954" s="259"/>
      <c r="AC954" s="259"/>
      <c r="AD954" s="259"/>
      <c r="AE954" s="259"/>
    </row>
    <row r="955" spans="1:31">
      <c r="A955" s="259" t="s">
        <v>1052</v>
      </c>
      <c r="B955" s="259" t="s">
        <v>80</v>
      </c>
      <c r="C955" s="264" t="s">
        <v>5725</v>
      </c>
      <c r="D955" s="264" t="s">
        <v>1052</v>
      </c>
      <c r="E955" s="259" t="s">
        <v>5702</v>
      </c>
      <c r="H955" s="264" t="s">
        <v>5726</v>
      </c>
      <c r="I955" s="264" t="s">
        <v>5727</v>
      </c>
      <c r="J955" s="295">
        <v>75.680000000000007</v>
      </c>
      <c r="K955" s="295">
        <v>75.680000000000007</v>
      </c>
      <c r="L955" s="295">
        <v>45.33</v>
      </c>
      <c r="O955" s="266">
        <v>0</v>
      </c>
      <c r="P955" s="266">
        <v>691991300059</v>
      </c>
      <c r="R955" s="265">
        <v>6</v>
      </c>
      <c r="S955" s="265">
        <v>8</v>
      </c>
      <c r="T955" s="265">
        <v>8</v>
      </c>
      <c r="U955" s="265">
        <v>5</v>
      </c>
      <c r="V955" s="259" t="s">
        <v>3028</v>
      </c>
      <c r="W955" s="259" t="s">
        <v>3029</v>
      </c>
      <c r="X955" s="264" t="s">
        <v>5728</v>
      </c>
      <c r="Y955" s="259">
        <v>42</v>
      </c>
      <c r="Z955" s="259" t="s">
        <v>3030</v>
      </c>
      <c r="AA955" s="259" t="e">
        <v>#N/A</v>
      </c>
      <c r="AB955" s="259"/>
      <c r="AC955" s="259"/>
      <c r="AD955" s="259"/>
      <c r="AE955" s="259"/>
    </row>
    <row r="956" spans="1:31">
      <c r="A956" s="259" t="s">
        <v>1053</v>
      </c>
      <c r="B956" s="259" t="s">
        <v>80</v>
      </c>
      <c r="C956" s="264" t="s">
        <v>5725</v>
      </c>
      <c r="D956" s="264" t="s">
        <v>1053</v>
      </c>
      <c r="E956" s="259" t="s">
        <v>5702</v>
      </c>
      <c r="H956" s="264" t="s">
        <v>5729</v>
      </c>
      <c r="I956" s="264" t="s">
        <v>5730</v>
      </c>
      <c r="J956" s="295">
        <v>139.82</v>
      </c>
      <c r="K956" s="295">
        <v>139.82</v>
      </c>
      <c r="L956" s="295">
        <v>82.24</v>
      </c>
      <c r="O956" s="266">
        <v>0</v>
      </c>
      <c r="P956" s="266">
        <v>50036905350</v>
      </c>
      <c r="R956" s="265">
        <v>13</v>
      </c>
      <c r="S956" s="265">
        <v>14</v>
      </c>
      <c r="T956" s="265">
        <v>15</v>
      </c>
      <c r="U956" s="265">
        <v>9</v>
      </c>
      <c r="V956" s="259" t="s">
        <v>3028</v>
      </c>
      <c r="W956" s="259" t="s">
        <v>3029</v>
      </c>
      <c r="X956" s="264" t="s">
        <v>5731</v>
      </c>
      <c r="Y956" s="259">
        <v>43</v>
      </c>
      <c r="Z956" s="259" t="s">
        <v>3030</v>
      </c>
      <c r="AA956" s="259" t="e">
        <v>#N/A</v>
      </c>
      <c r="AB956" s="259"/>
      <c r="AC956" s="259"/>
      <c r="AD956" s="259"/>
      <c r="AE956" s="259"/>
    </row>
    <row r="957" spans="1:31">
      <c r="A957" s="259" t="s">
        <v>1054</v>
      </c>
      <c r="B957" s="259" t="s">
        <v>80</v>
      </c>
      <c r="C957" s="264" t="s">
        <v>5732</v>
      </c>
      <c r="D957" s="264" t="s">
        <v>1054</v>
      </c>
      <c r="E957" s="259" t="s">
        <v>5702</v>
      </c>
      <c r="H957" s="264" t="s">
        <v>1054</v>
      </c>
      <c r="I957" s="264" t="s">
        <v>5733</v>
      </c>
      <c r="J957" s="295">
        <v>51.31</v>
      </c>
      <c r="K957" s="295">
        <v>47</v>
      </c>
      <c r="L957" s="295">
        <v>24.78</v>
      </c>
      <c r="O957" s="266">
        <v>0</v>
      </c>
      <c r="P957" s="266">
        <v>50036904933</v>
      </c>
      <c r="R957" s="265">
        <v>6.25</v>
      </c>
      <c r="S957" s="265">
        <v>26</v>
      </c>
      <c r="T957" s="265">
        <v>3</v>
      </c>
      <c r="U957" s="265">
        <v>11</v>
      </c>
      <c r="V957" s="259" t="s">
        <v>3028</v>
      </c>
      <c r="Y957" s="259">
        <v>44</v>
      </c>
      <c r="Z957" s="259" t="s">
        <v>3030</v>
      </c>
      <c r="AA957" s="259" t="e">
        <v>#N/A</v>
      </c>
      <c r="AB957" s="259"/>
      <c r="AC957" s="259"/>
      <c r="AD957" s="259"/>
      <c r="AE957" s="259"/>
    </row>
    <row r="958" spans="1:31">
      <c r="A958" s="259" t="s">
        <v>1055</v>
      </c>
      <c r="B958" s="259" t="s">
        <v>80</v>
      </c>
      <c r="C958" s="264"/>
      <c r="D958" s="264"/>
      <c r="H958" s="264"/>
      <c r="I958" s="264"/>
      <c r="J958" s="295">
        <v>0</v>
      </c>
      <c r="K958" s="295">
        <v>0</v>
      </c>
      <c r="L958" s="295">
        <v>0</v>
      </c>
      <c r="O958" s="266"/>
      <c r="R958" s="265"/>
      <c r="V958" s="259"/>
      <c r="Y958" s="259">
        <v>45</v>
      </c>
      <c r="AA958" s="259" t="e">
        <v>#N/A</v>
      </c>
      <c r="AB958" s="259"/>
      <c r="AC958" s="259"/>
      <c r="AD958" s="259"/>
      <c r="AE958" s="259"/>
    </row>
    <row r="959" spans="1:31">
      <c r="A959" s="259" t="s">
        <v>1056</v>
      </c>
      <c r="B959" s="259" t="s">
        <v>80</v>
      </c>
      <c r="C959" s="264" t="s">
        <v>5715</v>
      </c>
      <c r="D959" s="264" t="s">
        <v>1056</v>
      </c>
      <c r="E959" s="259" t="s">
        <v>5702</v>
      </c>
      <c r="H959" s="264" t="s">
        <v>5734</v>
      </c>
      <c r="I959" s="264" t="s">
        <v>5735</v>
      </c>
      <c r="J959" s="295">
        <v>166.77</v>
      </c>
      <c r="K959" s="295">
        <v>133</v>
      </c>
      <c r="L959" s="295">
        <v>100.06</v>
      </c>
      <c r="O959" s="266">
        <v>2</v>
      </c>
      <c r="P959" s="266">
        <v>691991007446</v>
      </c>
      <c r="R959" s="265">
        <v>35</v>
      </c>
      <c r="S959" s="265">
        <v>27.5</v>
      </c>
      <c r="T959" s="265">
        <v>12</v>
      </c>
      <c r="U959" s="265">
        <v>27</v>
      </c>
      <c r="V959" s="259" t="s">
        <v>3028</v>
      </c>
      <c r="W959" s="259" t="s">
        <v>3029</v>
      </c>
      <c r="Y959" s="259">
        <v>46</v>
      </c>
      <c r="Z959" s="259" t="s">
        <v>3030</v>
      </c>
      <c r="AA959" s="259" t="e">
        <v>#N/A</v>
      </c>
      <c r="AB959" s="259"/>
      <c r="AC959" s="259"/>
      <c r="AD959" s="259"/>
      <c r="AE959" s="259"/>
    </row>
    <row r="960" spans="1:31">
      <c r="A960" s="259" t="s">
        <v>1057</v>
      </c>
      <c r="B960" s="259" t="s">
        <v>80</v>
      </c>
      <c r="C960" s="264" t="s">
        <v>5715</v>
      </c>
      <c r="D960" s="264" t="s">
        <v>5736</v>
      </c>
      <c r="E960" s="259" t="s">
        <v>5737</v>
      </c>
      <c r="G960" s="259" t="s">
        <v>4048</v>
      </c>
      <c r="H960" s="264" t="s">
        <v>5738</v>
      </c>
      <c r="I960" s="264" t="s">
        <v>5739</v>
      </c>
      <c r="J960" s="295">
        <v>168.14</v>
      </c>
      <c r="K960" s="295">
        <v>133</v>
      </c>
      <c r="L960" s="295">
        <v>96.04</v>
      </c>
      <c r="O960" s="266">
        <v>2</v>
      </c>
      <c r="P960" s="266">
        <v>691991037351</v>
      </c>
      <c r="R960" s="265">
        <v>15.2119</v>
      </c>
      <c r="S960" s="265">
        <v>23.4252</v>
      </c>
      <c r="T960" s="265">
        <v>23.4252</v>
      </c>
      <c r="U960" s="265">
        <v>4.05</v>
      </c>
      <c r="V960" s="259" t="s">
        <v>3028</v>
      </c>
      <c r="W960" s="259" t="s">
        <v>3029</v>
      </c>
      <c r="X960" s="258" t="s">
        <v>8395</v>
      </c>
      <c r="Y960" s="259">
        <v>47</v>
      </c>
      <c r="Z960" s="259" t="s">
        <v>3030</v>
      </c>
      <c r="AA960" s="259" t="e">
        <v>#N/A</v>
      </c>
      <c r="AB960" s="259"/>
      <c r="AC960" s="259"/>
      <c r="AD960" s="259"/>
      <c r="AE960" s="259"/>
    </row>
    <row r="961" spans="1:31">
      <c r="A961" s="259" t="s">
        <v>1058</v>
      </c>
      <c r="B961" s="259" t="s">
        <v>80</v>
      </c>
      <c r="C961" s="264"/>
      <c r="D961" s="264"/>
      <c r="H961" s="264"/>
      <c r="I961" s="264"/>
      <c r="J961" s="295">
        <v>0</v>
      </c>
      <c r="K961" s="295">
        <v>0</v>
      </c>
      <c r="L961" s="295">
        <v>0</v>
      </c>
      <c r="O961" s="266"/>
      <c r="R961" s="265">
        <v>0</v>
      </c>
      <c r="S961" s="265">
        <v>0</v>
      </c>
      <c r="T961" s="265">
        <v>0</v>
      </c>
      <c r="U961" s="265">
        <v>0</v>
      </c>
      <c r="V961" s="259"/>
      <c r="Y961" s="259">
        <v>48</v>
      </c>
      <c r="AA961" s="259" t="e">
        <v>#N/A</v>
      </c>
      <c r="AB961" s="259"/>
      <c r="AC961" s="259"/>
      <c r="AD961" s="259"/>
      <c r="AE961" s="259"/>
    </row>
    <row r="962" spans="1:31">
      <c r="A962" s="259">
        <v>8124</v>
      </c>
      <c r="B962" s="259" t="s">
        <v>80</v>
      </c>
      <c r="C962" s="264" t="s">
        <v>5715</v>
      </c>
      <c r="D962" s="264">
        <v>8124</v>
      </c>
      <c r="H962" s="264" t="s">
        <v>5740</v>
      </c>
      <c r="I962" s="264" t="s">
        <v>5741</v>
      </c>
      <c r="J962" s="295">
        <v>44.92</v>
      </c>
      <c r="K962" s="295">
        <v>44.92</v>
      </c>
      <c r="L962" s="295">
        <v>26.73</v>
      </c>
      <c r="M962" s="295">
        <v>24.650124999999999</v>
      </c>
      <c r="N962" s="295">
        <v>23.35275</v>
      </c>
      <c r="O962" s="266">
        <v>4</v>
      </c>
      <c r="P962" s="266">
        <v>50036903974</v>
      </c>
      <c r="R962" s="265">
        <v>0</v>
      </c>
      <c r="S962" s="265">
        <v>0</v>
      </c>
      <c r="T962" s="265">
        <v>0</v>
      </c>
      <c r="U962" s="265">
        <v>0</v>
      </c>
      <c r="V962" s="259" t="s">
        <v>3028</v>
      </c>
      <c r="W962" s="259" t="s">
        <v>3029</v>
      </c>
      <c r="X962" s="264" t="s">
        <v>5742</v>
      </c>
      <c r="Y962" s="259">
        <v>49</v>
      </c>
      <c r="AA962" s="259" t="e">
        <v>#N/A</v>
      </c>
      <c r="AB962" s="259"/>
      <c r="AC962" s="259"/>
      <c r="AD962" s="259"/>
      <c r="AE962" s="259"/>
    </row>
    <row r="963" spans="1:31">
      <c r="A963" s="259">
        <v>8128</v>
      </c>
      <c r="B963" s="259" t="s">
        <v>80</v>
      </c>
      <c r="C963" s="264" t="s">
        <v>5715</v>
      </c>
      <c r="D963" s="264">
        <v>8128</v>
      </c>
      <c r="H963" s="264" t="s">
        <v>5743</v>
      </c>
      <c r="I963" s="264" t="s">
        <v>5744</v>
      </c>
      <c r="J963" s="295">
        <v>58.41</v>
      </c>
      <c r="K963" s="295">
        <v>58.41</v>
      </c>
      <c r="L963" s="295">
        <v>35.479999999999997</v>
      </c>
      <c r="M963" s="295">
        <v>32.721134999999997</v>
      </c>
      <c r="N963" s="295">
        <v>30.99897</v>
      </c>
      <c r="O963" s="266">
        <v>4</v>
      </c>
      <c r="P963" s="266">
        <v>50036904667</v>
      </c>
      <c r="R963" s="265">
        <v>0</v>
      </c>
      <c r="S963" s="265">
        <v>0</v>
      </c>
      <c r="T963" s="265">
        <v>0</v>
      </c>
      <c r="U963" s="265">
        <v>0</v>
      </c>
      <c r="V963" s="259" t="s">
        <v>3028</v>
      </c>
      <c r="W963" s="259" t="s">
        <v>3029</v>
      </c>
      <c r="X963" s="264" t="s">
        <v>5745</v>
      </c>
      <c r="Y963" s="259">
        <v>50</v>
      </c>
      <c r="AA963" s="259" t="e">
        <v>#N/A</v>
      </c>
      <c r="AB963" s="259"/>
      <c r="AC963" s="259"/>
      <c r="AD963" s="259"/>
      <c r="AE963" s="259"/>
    </row>
    <row r="964" spans="1:31">
      <c r="A964" s="259" t="s">
        <v>1059</v>
      </c>
      <c r="B964" s="259" t="s">
        <v>80</v>
      </c>
      <c r="C964" s="264" t="s">
        <v>5715</v>
      </c>
      <c r="D964" s="264" t="s">
        <v>1059</v>
      </c>
      <c r="E964" s="259" t="s">
        <v>5737</v>
      </c>
      <c r="H964" s="264" t="s">
        <v>5746</v>
      </c>
      <c r="I964" s="264" t="s">
        <v>5747</v>
      </c>
      <c r="J964" s="295">
        <v>62.39</v>
      </c>
      <c r="K964" s="295">
        <v>62.39</v>
      </c>
      <c r="L964" s="295">
        <v>37.35</v>
      </c>
      <c r="M964" s="295">
        <v>34.449185</v>
      </c>
      <c r="N964" s="295">
        <v>32.636070000000004</v>
      </c>
      <c r="O964" s="266">
        <v>4</v>
      </c>
      <c r="P964" s="266">
        <v>50036904674</v>
      </c>
      <c r="R964" s="265">
        <v>0</v>
      </c>
      <c r="S964" s="265">
        <v>0</v>
      </c>
      <c r="T964" s="265">
        <v>0</v>
      </c>
      <c r="U964" s="265">
        <v>0</v>
      </c>
      <c r="V964" s="259" t="s">
        <v>3028</v>
      </c>
      <c r="W964" s="259" t="s">
        <v>3029</v>
      </c>
      <c r="X964" s="264" t="s">
        <v>5748</v>
      </c>
      <c r="Y964" s="259">
        <v>51</v>
      </c>
      <c r="Z964" s="259" t="s">
        <v>3030</v>
      </c>
      <c r="AA964" s="259" t="e">
        <v>#N/A</v>
      </c>
      <c r="AB964" s="259"/>
      <c r="AC964" s="259"/>
      <c r="AD964" s="259"/>
      <c r="AE964" s="259"/>
    </row>
    <row r="965" spans="1:31">
      <c r="A965" s="259" t="s">
        <v>1060</v>
      </c>
      <c r="B965" s="259" t="s">
        <v>80</v>
      </c>
      <c r="C965" s="264" t="s">
        <v>5725</v>
      </c>
      <c r="D965" s="264" t="s">
        <v>1060</v>
      </c>
      <c r="E965" s="259" t="s">
        <v>5737</v>
      </c>
      <c r="H965" s="264" t="s">
        <v>5749</v>
      </c>
      <c r="I965" s="264" t="s">
        <v>5750</v>
      </c>
      <c r="J965" s="295">
        <v>12.48</v>
      </c>
      <c r="K965" s="295">
        <v>12.48</v>
      </c>
      <c r="L965" s="295">
        <v>11.23</v>
      </c>
      <c r="M965" s="295">
        <v>10.358134999999999</v>
      </c>
      <c r="N965" s="295">
        <v>9.81297</v>
      </c>
      <c r="O965" s="266">
        <v>4</v>
      </c>
      <c r="P965" s="266">
        <v>691991300769</v>
      </c>
      <c r="R965" s="265">
        <v>2</v>
      </c>
      <c r="S965" s="265">
        <v>4</v>
      </c>
      <c r="T965" s="265">
        <v>5</v>
      </c>
      <c r="U965" s="265">
        <v>4</v>
      </c>
      <c r="V965" s="259" t="s">
        <v>3028</v>
      </c>
      <c r="W965" s="259" t="s">
        <v>3029</v>
      </c>
      <c r="Y965" s="259">
        <v>52</v>
      </c>
      <c r="Z965" s="259" t="s">
        <v>3030</v>
      </c>
      <c r="AA965" s="259" t="e">
        <v>#N/A</v>
      </c>
      <c r="AB965" s="259"/>
      <c r="AC965" s="259"/>
      <c r="AD965" s="259"/>
      <c r="AE965" s="259"/>
    </row>
    <row r="966" spans="1:31">
      <c r="A966" s="259" t="s">
        <v>1061</v>
      </c>
      <c r="B966" s="259" t="s">
        <v>80</v>
      </c>
      <c r="C966" s="264" t="s">
        <v>5725</v>
      </c>
      <c r="D966" s="264" t="s">
        <v>1061</v>
      </c>
      <c r="E966" s="259" t="s">
        <v>5737</v>
      </c>
      <c r="H966" s="264" t="s">
        <v>5751</v>
      </c>
      <c r="I966" s="264" t="s">
        <v>5752</v>
      </c>
      <c r="J966" s="295">
        <v>21.22</v>
      </c>
      <c r="K966" s="295">
        <v>21.22</v>
      </c>
      <c r="L966" s="295">
        <v>13.1</v>
      </c>
      <c r="M966" s="295">
        <v>12.086185</v>
      </c>
      <c r="N966" s="295">
        <v>11.45007</v>
      </c>
      <c r="O966" s="266">
        <v>4</v>
      </c>
      <c r="P966" s="266">
        <v>691991300776</v>
      </c>
      <c r="R966" s="265">
        <v>2.35</v>
      </c>
      <c r="S966" s="265">
        <v>13.5</v>
      </c>
      <c r="T966" s="265">
        <v>2</v>
      </c>
      <c r="U966" s="265">
        <v>13.75</v>
      </c>
      <c r="V966" s="259" t="s">
        <v>3028</v>
      </c>
      <c r="W966" s="259" t="s">
        <v>3029</v>
      </c>
      <c r="Y966" s="259">
        <v>53</v>
      </c>
      <c r="Z966" s="259" t="s">
        <v>3030</v>
      </c>
      <c r="AA966" s="259" t="e">
        <v>#N/A</v>
      </c>
      <c r="AB966" s="259"/>
      <c r="AC966" s="259"/>
      <c r="AD966" s="259"/>
      <c r="AE966" s="259"/>
    </row>
    <row r="967" spans="1:31">
      <c r="A967" s="259" t="s">
        <v>1062</v>
      </c>
      <c r="B967" s="259" t="s">
        <v>80</v>
      </c>
      <c r="C967" s="264" t="s">
        <v>5725</v>
      </c>
      <c r="D967" s="264" t="s">
        <v>1062</v>
      </c>
      <c r="E967" s="259" t="s">
        <v>5737</v>
      </c>
      <c r="H967" s="264" t="s">
        <v>5753</v>
      </c>
      <c r="I967" s="264" t="s">
        <v>5754</v>
      </c>
      <c r="J967" s="295">
        <v>47.41</v>
      </c>
      <c r="K967" s="295">
        <v>47.41</v>
      </c>
      <c r="L967" s="295">
        <v>28.51</v>
      </c>
      <c r="M967" s="295">
        <v>26.296855000000001</v>
      </c>
      <c r="N967" s="295">
        <v>24.91281</v>
      </c>
      <c r="O967" s="266">
        <v>4</v>
      </c>
      <c r="P967" s="266">
        <v>50036904353</v>
      </c>
      <c r="R967" s="265">
        <v>3.8</v>
      </c>
      <c r="S967" s="265">
        <v>14</v>
      </c>
      <c r="T967" s="265">
        <v>3.5</v>
      </c>
      <c r="U967" s="265">
        <v>15</v>
      </c>
      <c r="V967" s="259" t="s">
        <v>3028</v>
      </c>
      <c r="W967" s="259" t="s">
        <v>3029</v>
      </c>
      <c r="X967" s="264" t="s">
        <v>5755</v>
      </c>
      <c r="Y967" s="259">
        <v>54</v>
      </c>
      <c r="Z967" s="259" t="s">
        <v>3030</v>
      </c>
      <c r="AA967" s="259" t="e">
        <v>#N/A</v>
      </c>
      <c r="AB967" s="259"/>
      <c r="AC967" s="259"/>
      <c r="AD967" s="259"/>
      <c r="AE967" s="259"/>
    </row>
    <row r="968" spans="1:31">
      <c r="A968" s="259" t="s">
        <v>1063</v>
      </c>
      <c r="B968" s="259" t="s">
        <v>80</v>
      </c>
      <c r="C968" s="264" t="s">
        <v>5725</v>
      </c>
      <c r="D968" s="264" t="s">
        <v>1063</v>
      </c>
      <c r="E968" s="259" t="s">
        <v>5737</v>
      </c>
      <c r="H968" s="264" t="s">
        <v>5756</v>
      </c>
      <c r="I968" s="264" t="s">
        <v>5757</v>
      </c>
      <c r="J968" s="295">
        <v>24.95</v>
      </c>
      <c r="K968" s="295">
        <v>24.95</v>
      </c>
      <c r="L968" s="295">
        <v>15.1</v>
      </c>
      <c r="M968" s="295">
        <v>13.92605</v>
      </c>
      <c r="N968" s="295">
        <v>13.193100000000001</v>
      </c>
      <c r="O968" s="266">
        <v>4</v>
      </c>
      <c r="P968" s="266">
        <v>50036904360</v>
      </c>
      <c r="R968" s="265">
        <v>2.94</v>
      </c>
      <c r="S968" s="265">
        <v>15</v>
      </c>
      <c r="T968" s="265">
        <v>25</v>
      </c>
      <c r="U968" s="265">
        <v>2</v>
      </c>
      <c r="V968" s="259" t="s">
        <v>3028</v>
      </c>
      <c r="W968" s="259" t="s">
        <v>3029</v>
      </c>
      <c r="X968" s="264" t="s">
        <v>5758</v>
      </c>
      <c r="Y968" s="259">
        <v>55</v>
      </c>
      <c r="Z968" s="259" t="s">
        <v>3030</v>
      </c>
      <c r="AA968" s="259" t="e">
        <v>#N/A</v>
      </c>
      <c r="AB968" s="259"/>
      <c r="AC968" s="259"/>
      <c r="AD968" s="259"/>
      <c r="AE968" s="259"/>
    </row>
    <row r="969" spans="1:31">
      <c r="A969" s="259" t="s">
        <v>1064</v>
      </c>
      <c r="B969" s="259" t="s">
        <v>80</v>
      </c>
      <c r="C969" s="264" t="s">
        <v>5725</v>
      </c>
      <c r="D969" s="264" t="s">
        <v>1064</v>
      </c>
      <c r="E969" s="259" t="s">
        <v>5737</v>
      </c>
      <c r="H969" s="264" t="s">
        <v>5759</v>
      </c>
      <c r="I969" s="264" t="s">
        <v>5760</v>
      </c>
      <c r="J969" s="295">
        <v>9.99</v>
      </c>
      <c r="K969" s="295">
        <v>9.99</v>
      </c>
      <c r="L969" s="295">
        <v>5.98</v>
      </c>
      <c r="M969" s="295">
        <v>5.5195949999999998</v>
      </c>
      <c r="N969" s="295">
        <v>5.2290900000000002</v>
      </c>
      <c r="O969" s="266"/>
      <c r="P969" s="266">
        <v>691991016752</v>
      </c>
      <c r="R969" s="265">
        <v>0.25</v>
      </c>
      <c r="S969" s="265">
        <v>5</v>
      </c>
      <c r="T969" s="265">
        <v>5</v>
      </c>
      <c r="U969" s="265">
        <v>2</v>
      </c>
      <c r="V969" s="259" t="s">
        <v>3028</v>
      </c>
      <c r="W969" s="259" t="s">
        <v>3029</v>
      </c>
      <c r="X969" s="264" t="s">
        <v>5761</v>
      </c>
      <c r="Y969" s="259">
        <v>56</v>
      </c>
      <c r="Z969" s="259" t="s">
        <v>3329</v>
      </c>
      <c r="AA969" s="259" t="e">
        <v>#N/A</v>
      </c>
      <c r="AB969" s="259"/>
      <c r="AC969" s="259"/>
      <c r="AD969" s="259"/>
      <c r="AE969" s="259"/>
    </row>
    <row r="970" spans="1:31">
      <c r="A970" s="259" t="s">
        <v>1065</v>
      </c>
      <c r="B970" s="259" t="s">
        <v>80</v>
      </c>
      <c r="C970" s="264" t="s">
        <v>5725</v>
      </c>
      <c r="D970" s="264" t="s">
        <v>1065</v>
      </c>
      <c r="E970" s="259" t="s">
        <v>5737</v>
      </c>
      <c r="H970" s="264" t="s">
        <v>5762</v>
      </c>
      <c r="I970" s="264" t="s">
        <v>5763</v>
      </c>
      <c r="J970" s="295">
        <v>13.72</v>
      </c>
      <c r="K970" s="295">
        <v>13.72</v>
      </c>
      <c r="L970" s="295">
        <v>8.19</v>
      </c>
      <c r="O970" s="266">
        <v>4</v>
      </c>
      <c r="P970" s="266">
        <v>50036903950</v>
      </c>
      <c r="R970" s="265">
        <v>2.25</v>
      </c>
      <c r="S970" s="265">
        <v>27</v>
      </c>
      <c r="T970" s="265">
        <v>2</v>
      </c>
      <c r="U970" s="265">
        <v>2</v>
      </c>
      <c r="V970" s="259" t="s">
        <v>3028</v>
      </c>
      <c r="W970" s="259" t="s">
        <v>3029</v>
      </c>
      <c r="Y970" s="259">
        <v>57</v>
      </c>
      <c r="Z970" s="259" t="s">
        <v>3030</v>
      </c>
      <c r="AA970" s="259" t="e">
        <v>#N/A</v>
      </c>
      <c r="AB970" s="259"/>
      <c r="AC970" s="259"/>
      <c r="AD970" s="259"/>
      <c r="AE970" s="259"/>
    </row>
    <row r="971" spans="1:31">
      <c r="A971" s="259" t="s">
        <v>1066</v>
      </c>
      <c r="B971" s="259" t="s">
        <v>80</v>
      </c>
      <c r="C971" s="264"/>
      <c r="D971" s="264"/>
      <c r="H971" s="264"/>
      <c r="I971" s="264"/>
      <c r="J971" s="295">
        <v>0</v>
      </c>
      <c r="K971" s="295">
        <v>0</v>
      </c>
      <c r="L971" s="295">
        <v>0</v>
      </c>
      <c r="O971" s="266"/>
      <c r="R971" s="265">
        <v>0</v>
      </c>
      <c r="S971" s="265">
        <v>0</v>
      </c>
      <c r="T971" s="265">
        <v>0</v>
      </c>
      <c r="U971" s="265">
        <v>0</v>
      </c>
      <c r="V971" s="259"/>
      <c r="Y971" s="259">
        <v>58</v>
      </c>
      <c r="AA971" s="259" t="e">
        <v>#N/A</v>
      </c>
      <c r="AB971" s="259"/>
      <c r="AC971" s="259"/>
      <c r="AD971" s="259"/>
      <c r="AE971" s="259"/>
    </row>
    <row r="972" spans="1:31">
      <c r="A972" s="259" t="s">
        <v>1067</v>
      </c>
      <c r="B972" s="259" t="s">
        <v>80</v>
      </c>
      <c r="C972" s="264" t="s">
        <v>5715</v>
      </c>
      <c r="D972" s="264" t="s">
        <v>1067</v>
      </c>
      <c r="E972" s="259" t="s">
        <v>5737</v>
      </c>
      <c r="H972" s="264" t="s">
        <v>5764</v>
      </c>
      <c r="I972" s="264" t="s">
        <v>5765</v>
      </c>
      <c r="J972" s="295">
        <v>102.55</v>
      </c>
      <c r="K972" s="295">
        <v>82</v>
      </c>
      <c r="L972" s="295">
        <v>61.53</v>
      </c>
      <c r="M972" s="295">
        <v>56.751195000000003</v>
      </c>
      <c r="N972" s="295">
        <v>53.764290000000003</v>
      </c>
      <c r="O972" s="266">
        <v>2</v>
      </c>
      <c r="P972" s="266">
        <v>50036904537</v>
      </c>
      <c r="R972" s="265">
        <v>7.5</v>
      </c>
      <c r="S972" s="265">
        <v>13.5</v>
      </c>
      <c r="T972" s="265">
        <v>5</v>
      </c>
      <c r="U972" s="265">
        <v>5</v>
      </c>
      <c r="V972" s="259" t="s">
        <v>3028</v>
      </c>
      <c r="W972" s="259" t="s">
        <v>3029</v>
      </c>
      <c r="X972" s="264" t="s">
        <v>5766</v>
      </c>
      <c r="Y972" s="259">
        <v>59</v>
      </c>
      <c r="Z972" s="259" t="s">
        <v>3030</v>
      </c>
      <c r="AA972" s="259" t="e">
        <v>#N/A</v>
      </c>
      <c r="AB972" s="259"/>
      <c r="AC972" s="259"/>
      <c r="AD972" s="259"/>
      <c r="AE972" s="259"/>
    </row>
    <row r="973" spans="1:31">
      <c r="A973" s="259" t="s">
        <v>1068</v>
      </c>
      <c r="B973" s="259" t="s">
        <v>80</v>
      </c>
      <c r="C973" s="264" t="s">
        <v>5715</v>
      </c>
      <c r="D973" s="264" t="s">
        <v>1068</v>
      </c>
      <c r="E973" s="259" t="s">
        <v>5737</v>
      </c>
      <c r="H973" s="264" t="s">
        <v>5767</v>
      </c>
      <c r="I973" s="264" t="s">
        <v>5768</v>
      </c>
      <c r="J973" s="295">
        <v>102.55</v>
      </c>
      <c r="K973" s="295">
        <v>82</v>
      </c>
      <c r="L973" s="295">
        <v>61.53</v>
      </c>
      <c r="M973" s="295">
        <v>56.751195000000003</v>
      </c>
      <c r="N973" s="295">
        <v>53.764290000000003</v>
      </c>
      <c r="O973" s="266">
        <v>2</v>
      </c>
      <c r="P973" s="266">
        <v>50036904544</v>
      </c>
      <c r="R973" s="265">
        <v>7.25</v>
      </c>
      <c r="S973" s="265">
        <v>13.5</v>
      </c>
      <c r="T973" s="265">
        <v>5</v>
      </c>
      <c r="U973" s="265">
        <v>5</v>
      </c>
      <c r="V973" s="259" t="s">
        <v>3028</v>
      </c>
      <c r="W973" s="259" t="s">
        <v>3029</v>
      </c>
      <c r="X973" s="264" t="s">
        <v>5766</v>
      </c>
      <c r="Y973" s="259">
        <v>60</v>
      </c>
      <c r="Z973" s="259" t="s">
        <v>3030</v>
      </c>
      <c r="AA973" s="259" t="e">
        <v>#N/A</v>
      </c>
      <c r="AB973" s="259"/>
      <c r="AC973" s="259"/>
      <c r="AD973" s="259"/>
      <c r="AE973" s="259"/>
    </row>
    <row r="974" spans="1:31">
      <c r="A974" s="259" t="s">
        <v>1069</v>
      </c>
      <c r="B974" s="259" t="s">
        <v>80</v>
      </c>
      <c r="C974" s="264" t="s">
        <v>5715</v>
      </c>
      <c r="D974" s="264" t="s">
        <v>1069</v>
      </c>
      <c r="E974" s="259" t="s">
        <v>5737</v>
      </c>
      <c r="H974" s="264" t="s">
        <v>5769</v>
      </c>
      <c r="I974" s="264" t="s">
        <v>5770</v>
      </c>
      <c r="J974" s="295">
        <v>143.94999999999999</v>
      </c>
      <c r="K974" s="295">
        <v>113</v>
      </c>
      <c r="L974" s="295">
        <v>86.36</v>
      </c>
      <c r="M974" s="295">
        <v>79.652940000000001</v>
      </c>
      <c r="N974" s="295">
        <v>75.460680000000011</v>
      </c>
      <c r="O974" s="266">
        <v>2</v>
      </c>
      <c r="P974" s="266">
        <v>50036904551</v>
      </c>
      <c r="R974" s="265">
        <v>9</v>
      </c>
      <c r="S974" s="265">
        <v>13.5</v>
      </c>
      <c r="T974" s="265">
        <v>10</v>
      </c>
      <c r="U974" s="265">
        <v>11</v>
      </c>
      <c r="V974" s="259" t="s">
        <v>3028</v>
      </c>
      <c r="W974" s="259" t="s">
        <v>3029</v>
      </c>
      <c r="X974" s="264" t="s">
        <v>5771</v>
      </c>
      <c r="Y974" s="259">
        <v>61</v>
      </c>
      <c r="Z974" s="259" t="s">
        <v>3030</v>
      </c>
      <c r="AA974" s="259" t="e">
        <v>#N/A</v>
      </c>
      <c r="AB974" s="259"/>
      <c r="AC974" s="259"/>
      <c r="AD974" s="259"/>
      <c r="AE974" s="259"/>
    </row>
    <row r="975" spans="1:31">
      <c r="A975" s="259" t="s">
        <v>1070</v>
      </c>
      <c r="B975" s="259" t="s">
        <v>80</v>
      </c>
      <c r="C975" s="264" t="s">
        <v>5715</v>
      </c>
      <c r="D975" s="264" t="s">
        <v>1070</v>
      </c>
      <c r="E975" s="259" t="s">
        <v>5737</v>
      </c>
      <c r="H975" s="264" t="s">
        <v>5772</v>
      </c>
      <c r="I975" s="264" t="s">
        <v>5773</v>
      </c>
      <c r="J975" s="295">
        <v>143.94999999999999</v>
      </c>
      <c r="K975" s="295">
        <v>113</v>
      </c>
      <c r="L975" s="295">
        <v>86.36</v>
      </c>
      <c r="M975" s="295">
        <v>79.652940000000001</v>
      </c>
      <c r="N975" s="295">
        <v>75.460680000000011</v>
      </c>
      <c r="O975" s="266">
        <v>2</v>
      </c>
      <c r="P975" s="266">
        <v>50036904568</v>
      </c>
      <c r="R975" s="265">
        <v>9</v>
      </c>
      <c r="S975" s="265">
        <v>13</v>
      </c>
      <c r="T975" s="265">
        <v>5</v>
      </c>
      <c r="U975" s="265">
        <v>6</v>
      </c>
      <c r="V975" s="259" t="s">
        <v>3028</v>
      </c>
      <c r="W975" s="259" t="s">
        <v>3029</v>
      </c>
      <c r="X975" s="264" t="s">
        <v>5771</v>
      </c>
      <c r="Y975" s="259">
        <v>62</v>
      </c>
      <c r="Z975" s="259" t="s">
        <v>3030</v>
      </c>
      <c r="AA975" s="259" t="e">
        <v>#N/A</v>
      </c>
      <c r="AB975" s="259"/>
      <c r="AC975" s="259"/>
      <c r="AD975" s="259"/>
      <c r="AE975" s="259"/>
    </row>
    <row r="976" spans="1:31">
      <c r="A976" s="259" t="s">
        <v>1071</v>
      </c>
      <c r="B976" s="259" t="s">
        <v>80</v>
      </c>
      <c r="C976" s="264" t="s">
        <v>5715</v>
      </c>
      <c r="D976" s="264" t="s">
        <v>1071</v>
      </c>
      <c r="E976" s="259" t="s">
        <v>5737</v>
      </c>
      <c r="H976" s="264" t="s">
        <v>5774</v>
      </c>
      <c r="I976" s="264" t="s">
        <v>5775</v>
      </c>
      <c r="J976" s="295">
        <v>184.72</v>
      </c>
      <c r="K976" s="295">
        <v>150</v>
      </c>
      <c r="L976" s="295">
        <v>110.83</v>
      </c>
      <c r="M976" s="295">
        <v>102.21924</v>
      </c>
      <c r="N976" s="295">
        <v>96.839280000000016</v>
      </c>
      <c r="O976" s="266">
        <v>2</v>
      </c>
      <c r="P976" s="266">
        <v>50036904575</v>
      </c>
      <c r="R976" s="265">
        <v>12.4</v>
      </c>
      <c r="S976" s="265">
        <v>6</v>
      </c>
      <c r="T976" s="265">
        <v>14</v>
      </c>
      <c r="U976" s="265">
        <v>7</v>
      </c>
      <c r="V976" s="259" t="s">
        <v>3028</v>
      </c>
      <c r="W976" s="259" t="s">
        <v>3029</v>
      </c>
      <c r="X976" s="264" t="s">
        <v>5776</v>
      </c>
      <c r="Y976" s="259">
        <v>63</v>
      </c>
      <c r="Z976" s="259" t="s">
        <v>3030</v>
      </c>
      <c r="AA976" s="259" t="e">
        <v>#N/A</v>
      </c>
      <c r="AB976" s="259"/>
      <c r="AC976" s="259"/>
      <c r="AD976" s="259"/>
      <c r="AE976" s="259"/>
    </row>
    <row r="977" spans="1:31">
      <c r="A977" s="259" t="s">
        <v>1072</v>
      </c>
      <c r="B977" s="259" t="s">
        <v>80</v>
      </c>
      <c r="C977" s="264" t="s">
        <v>5715</v>
      </c>
      <c r="D977" s="264" t="s">
        <v>1072</v>
      </c>
      <c r="E977" s="259" t="s">
        <v>5737</v>
      </c>
      <c r="H977" s="264" t="s">
        <v>5777</v>
      </c>
      <c r="I977" s="264" t="s">
        <v>5778</v>
      </c>
      <c r="J977" s="295">
        <v>184.72</v>
      </c>
      <c r="K977" s="295">
        <v>150</v>
      </c>
      <c r="L977" s="295">
        <v>110.83</v>
      </c>
      <c r="M977" s="295">
        <v>102.21924</v>
      </c>
      <c r="N977" s="295">
        <v>96.839280000000016</v>
      </c>
      <c r="O977" s="266">
        <v>2</v>
      </c>
      <c r="P977" s="266">
        <v>50036904582</v>
      </c>
      <c r="R977" s="265">
        <v>12</v>
      </c>
      <c r="S977" s="265">
        <v>6</v>
      </c>
      <c r="T977" s="265">
        <v>14</v>
      </c>
      <c r="U977" s="265">
        <v>7</v>
      </c>
      <c r="V977" s="259" t="s">
        <v>3028</v>
      </c>
      <c r="W977" s="259" t="s">
        <v>3029</v>
      </c>
      <c r="X977" s="264" t="s">
        <v>5776</v>
      </c>
      <c r="Y977" s="259">
        <v>64</v>
      </c>
      <c r="Z977" s="259" t="s">
        <v>3030</v>
      </c>
      <c r="AA977" s="259" t="e">
        <v>#N/A</v>
      </c>
      <c r="AB977" s="259"/>
      <c r="AC977" s="259"/>
      <c r="AD977" s="259"/>
      <c r="AE977" s="259"/>
    </row>
    <row r="978" spans="1:31">
      <c r="A978" s="259" t="s">
        <v>1073</v>
      </c>
      <c r="B978" s="259" t="s">
        <v>80</v>
      </c>
      <c r="C978" s="264" t="s">
        <v>5715</v>
      </c>
      <c r="D978" s="264" t="s">
        <v>1073</v>
      </c>
      <c r="E978" s="259" t="s">
        <v>5737</v>
      </c>
      <c r="H978" s="264" t="s">
        <v>5779</v>
      </c>
      <c r="I978" s="264" t="s">
        <v>5780</v>
      </c>
      <c r="J978" s="295">
        <v>253.3</v>
      </c>
      <c r="K978" s="295">
        <v>205</v>
      </c>
      <c r="L978" s="295">
        <v>151.97999999999999</v>
      </c>
      <c r="O978" s="266">
        <v>2</v>
      </c>
      <c r="P978" s="266">
        <v>691991004728</v>
      </c>
      <c r="R978" s="265">
        <v>19.399999999999999</v>
      </c>
      <c r="S978" s="265">
        <v>30</v>
      </c>
      <c r="T978" s="265">
        <v>15.5</v>
      </c>
      <c r="U978" s="265">
        <v>16</v>
      </c>
      <c r="V978" s="259" t="s">
        <v>3028</v>
      </c>
      <c r="W978" s="259" t="s">
        <v>3029</v>
      </c>
      <c r="X978" s="264" t="s">
        <v>5781</v>
      </c>
      <c r="Y978" s="259">
        <v>65</v>
      </c>
      <c r="Z978" s="259" t="s">
        <v>3030</v>
      </c>
      <c r="AA978" s="259" t="e">
        <v>#N/A</v>
      </c>
      <c r="AB978" s="259"/>
      <c r="AC978" s="259"/>
      <c r="AD978" s="259"/>
      <c r="AE978" s="259"/>
    </row>
    <row r="979" spans="1:31">
      <c r="A979" s="259" t="s">
        <v>1074</v>
      </c>
      <c r="B979" s="259" t="s">
        <v>80</v>
      </c>
      <c r="C979" s="264" t="s">
        <v>5715</v>
      </c>
      <c r="D979" s="264" t="s">
        <v>1074</v>
      </c>
      <c r="E979" s="259" t="s">
        <v>5737</v>
      </c>
      <c r="H979" s="264" t="s">
        <v>5782</v>
      </c>
      <c r="I979" s="264" t="s">
        <v>5783</v>
      </c>
      <c r="J979" s="295">
        <v>253.3</v>
      </c>
      <c r="K979" s="295">
        <v>205</v>
      </c>
      <c r="L979" s="295">
        <v>151.97999999999999</v>
      </c>
      <c r="O979" s="266">
        <v>2</v>
      </c>
      <c r="P979" s="266">
        <v>691991004735</v>
      </c>
      <c r="R979" s="265">
        <v>39</v>
      </c>
      <c r="S979" s="265">
        <v>30</v>
      </c>
      <c r="T979" s="265">
        <v>15.5</v>
      </c>
      <c r="U979" s="265">
        <v>16</v>
      </c>
      <c r="V979" s="259" t="s">
        <v>3028</v>
      </c>
      <c r="W979" s="259" t="s">
        <v>3029</v>
      </c>
      <c r="X979" s="264" t="s">
        <v>5781</v>
      </c>
      <c r="Y979" s="259">
        <v>66</v>
      </c>
      <c r="Z979" s="259" t="s">
        <v>3030</v>
      </c>
      <c r="AA979" s="259" t="e">
        <v>#N/A</v>
      </c>
      <c r="AB979" s="259"/>
      <c r="AC979" s="259"/>
      <c r="AD979" s="259"/>
      <c r="AE979" s="259"/>
    </row>
    <row r="980" spans="1:31">
      <c r="A980" s="259" t="s">
        <v>1075</v>
      </c>
      <c r="B980" s="259" t="s">
        <v>80</v>
      </c>
      <c r="C980" s="264" t="s">
        <v>5725</v>
      </c>
      <c r="D980" s="264" t="s">
        <v>1075</v>
      </c>
      <c r="E980" s="259" t="s">
        <v>5737</v>
      </c>
      <c r="H980" s="264" t="s">
        <v>5784</v>
      </c>
      <c r="I980" s="264" t="s">
        <v>5785</v>
      </c>
      <c r="J980" s="295">
        <v>23.71</v>
      </c>
      <c r="K980" s="295">
        <v>23.71</v>
      </c>
      <c r="L980" s="295">
        <v>14.32</v>
      </c>
      <c r="O980" s="266">
        <v>2</v>
      </c>
      <c r="P980" s="266">
        <v>691991300264</v>
      </c>
      <c r="R980" s="265">
        <v>1.5</v>
      </c>
      <c r="S980" s="265">
        <v>6.75</v>
      </c>
      <c r="T980" s="265">
        <v>1.5</v>
      </c>
      <c r="U980" s="265">
        <v>7</v>
      </c>
      <c r="V980" s="259" t="s">
        <v>3028</v>
      </c>
      <c r="W980" s="259" t="s">
        <v>3029</v>
      </c>
      <c r="X980" s="264" t="s">
        <v>5786</v>
      </c>
      <c r="Y980" s="259">
        <v>67</v>
      </c>
      <c r="Z980" s="259" t="s">
        <v>3030</v>
      </c>
      <c r="AA980" s="259" t="e">
        <v>#N/A</v>
      </c>
      <c r="AB980" s="259"/>
      <c r="AC980" s="259"/>
      <c r="AD980" s="259"/>
      <c r="AE980" s="259"/>
    </row>
    <row r="981" spans="1:31">
      <c r="A981" s="259" t="s">
        <v>1076</v>
      </c>
      <c r="B981" s="259" t="s">
        <v>80</v>
      </c>
      <c r="C981" s="264" t="s">
        <v>5725</v>
      </c>
      <c r="D981" s="264" t="s">
        <v>1076</v>
      </c>
      <c r="E981" s="259" t="s">
        <v>5737</v>
      </c>
      <c r="H981" s="264" t="s">
        <v>5787</v>
      </c>
      <c r="I981" s="264" t="s">
        <v>5788</v>
      </c>
      <c r="J981" s="295">
        <v>22.46</v>
      </c>
      <c r="K981" s="295">
        <v>22.46</v>
      </c>
      <c r="L981" s="295">
        <v>13.48</v>
      </c>
      <c r="O981" s="266">
        <v>2</v>
      </c>
      <c r="P981" s="266">
        <v>691991300271</v>
      </c>
      <c r="R981" s="265">
        <v>3</v>
      </c>
      <c r="S981" s="265">
        <v>18</v>
      </c>
      <c r="T981" s="265">
        <v>15</v>
      </c>
      <c r="U981" s="265">
        <v>8</v>
      </c>
      <c r="V981" s="259" t="s">
        <v>3028</v>
      </c>
      <c r="W981" s="259" t="s">
        <v>3029</v>
      </c>
      <c r="X981" s="264" t="s">
        <v>5786</v>
      </c>
      <c r="Y981" s="259">
        <v>68</v>
      </c>
      <c r="Z981" s="259" t="s">
        <v>3030</v>
      </c>
      <c r="AA981" s="259" t="e">
        <v>#N/A</v>
      </c>
      <c r="AB981" s="259"/>
      <c r="AC981" s="259"/>
      <c r="AD981" s="259"/>
      <c r="AE981" s="259"/>
    </row>
    <row r="982" spans="1:31">
      <c r="A982" s="259" t="s">
        <v>1077</v>
      </c>
      <c r="B982" s="259" t="s">
        <v>80</v>
      </c>
      <c r="C982" s="264" t="s">
        <v>5725</v>
      </c>
      <c r="D982" s="264" t="s">
        <v>1077</v>
      </c>
      <c r="E982" s="259" t="s">
        <v>5737</v>
      </c>
      <c r="H982" s="264" t="s">
        <v>5789</v>
      </c>
      <c r="I982" s="264" t="s">
        <v>5790</v>
      </c>
      <c r="J982" s="295">
        <v>27.45</v>
      </c>
      <c r="K982" s="295">
        <v>27.45</v>
      </c>
      <c r="L982" s="295">
        <v>16.48</v>
      </c>
      <c r="O982" s="266">
        <v>2</v>
      </c>
      <c r="P982" s="266">
        <v>691991300288</v>
      </c>
      <c r="R982" s="265">
        <v>0.3</v>
      </c>
      <c r="S982" s="265">
        <v>19.5</v>
      </c>
      <c r="T982" s="265">
        <v>18</v>
      </c>
      <c r="U982" s="265">
        <v>10</v>
      </c>
      <c r="V982" s="259" t="s">
        <v>3028</v>
      </c>
      <c r="W982" s="259" t="s">
        <v>3029</v>
      </c>
      <c r="X982" s="264" t="s">
        <v>5786</v>
      </c>
      <c r="Y982" s="259">
        <v>69</v>
      </c>
      <c r="Z982" s="259" t="s">
        <v>3030</v>
      </c>
      <c r="AA982" s="259" t="e">
        <v>#N/A</v>
      </c>
      <c r="AB982" s="259"/>
      <c r="AC982" s="259"/>
      <c r="AD982" s="259"/>
      <c r="AE982" s="259"/>
    </row>
    <row r="983" spans="1:31">
      <c r="A983" s="259" t="s">
        <v>1078</v>
      </c>
      <c r="B983" s="259" t="s">
        <v>80</v>
      </c>
      <c r="C983" s="264" t="s">
        <v>5725</v>
      </c>
      <c r="D983" s="264" t="s">
        <v>1078</v>
      </c>
      <c r="E983" s="259" t="s">
        <v>5737</v>
      </c>
      <c r="H983" s="264" t="s">
        <v>5791</v>
      </c>
      <c r="I983" s="264" t="s">
        <v>5792</v>
      </c>
      <c r="J983" s="295">
        <v>27.45</v>
      </c>
      <c r="K983" s="295">
        <v>27.45</v>
      </c>
      <c r="L983" s="295">
        <v>16.48</v>
      </c>
      <c r="O983" s="266">
        <v>2</v>
      </c>
      <c r="P983" s="266">
        <v>691991300295</v>
      </c>
      <c r="R983" s="265">
        <v>10</v>
      </c>
      <c r="S983" s="265">
        <v>19.5</v>
      </c>
      <c r="T983" s="265">
        <v>18</v>
      </c>
      <c r="U983" s="265">
        <v>10</v>
      </c>
      <c r="V983" s="259" t="s">
        <v>3028</v>
      </c>
      <c r="W983" s="259" t="s">
        <v>3029</v>
      </c>
      <c r="Y983" s="259">
        <v>70</v>
      </c>
      <c r="Z983" s="259" t="s">
        <v>3030</v>
      </c>
      <c r="AA983" s="259" t="e">
        <v>#N/A</v>
      </c>
      <c r="AB983" s="259"/>
      <c r="AC983" s="259"/>
      <c r="AD983" s="259"/>
      <c r="AE983" s="259"/>
    </row>
    <row r="984" spans="1:31">
      <c r="A984" s="259" t="s">
        <v>1079</v>
      </c>
      <c r="B984" s="259" t="s">
        <v>80</v>
      </c>
      <c r="C984" s="264" t="s">
        <v>5725</v>
      </c>
      <c r="D984" s="264" t="s">
        <v>1079</v>
      </c>
      <c r="E984" s="259" t="s">
        <v>5737</v>
      </c>
      <c r="G984" s="259" t="s">
        <v>4048</v>
      </c>
      <c r="H984" s="264" t="s">
        <v>5793</v>
      </c>
      <c r="I984" s="264" t="s">
        <v>5794</v>
      </c>
      <c r="J984" s="295">
        <v>37.92</v>
      </c>
      <c r="K984" s="295">
        <v>30</v>
      </c>
      <c r="L984" s="295">
        <v>21.73</v>
      </c>
      <c r="O984" s="266">
        <v>40</v>
      </c>
      <c r="P984" s="266">
        <v>691991037337</v>
      </c>
      <c r="R984" s="265">
        <v>1</v>
      </c>
      <c r="S984" s="265">
        <v>9.5</v>
      </c>
      <c r="T984" s="265">
        <v>0.59</v>
      </c>
      <c r="U984" s="265">
        <v>0.59</v>
      </c>
      <c r="V984" s="259" t="s">
        <v>3028</v>
      </c>
      <c r="W984" s="259" t="s">
        <v>3029</v>
      </c>
      <c r="Y984" s="259">
        <v>71</v>
      </c>
      <c r="Z984" s="259" t="s">
        <v>3030</v>
      </c>
      <c r="AA984" s="259" t="e">
        <v>#N/A</v>
      </c>
      <c r="AB984" s="259"/>
      <c r="AC984" s="259"/>
      <c r="AD984" s="259"/>
      <c r="AE984" s="259"/>
    </row>
    <row r="985" spans="1:31">
      <c r="A985" s="259" t="s">
        <v>1080</v>
      </c>
      <c r="B985" s="259" t="s">
        <v>80</v>
      </c>
      <c r="C985" s="264"/>
      <c r="D985" s="264"/>
      <c r="H985" s="264"/>
      <c r="I985" s="264"/>
      <c r="J985" s="295">
        <v>0</v>
      </c>
      <c r="K985" s="295">
        <v>0</v>
      </c>
      <c r="L985" s="295">
        <v>0</v>
      </c>
      <c r="O985" s="266"/>
      <c r="R985" s="265">
        <v>0</v>
      </c>
      <c r="S985" s="265">
        <v>0</v>
      </c>
      <c r="T985" s="265">
        <v>0</v>
      </c>
      <c r="U985" s="265">
        <v>0</v>
      </c>
      <c r="V985" s="259" t="s">
        <v>3028</v>
      </c>
      <c r="W985" s="259" t="s">
        <v>3029</v>
      </c>
      <c r="Y985" s="259">
        <v>72</v>
      </c>
      <c r="AA985" s="259" t="e">
        <v>#N/A</v>
      </c>
      <c r="AB985" s="259"/>
      <c r="AC985" s="259"/>
      <c r="AD985" s="259"/>
      <c r="AE985" s="259"/>
    </row>
    <row r="986" spans="1:31">
      <c r="A986" s="259" t="s">
        <v>1081</v>
      </c>
      <c r="B986" s="259" t="s">
        <v>80</v>
      </c>
      <c r="C986" s="264" t="s">
        <v>5715</v>
      </c>
      <c r="D986" s="264" t="s">
        <v>1081</v>
      </c>
      <c r="E986" s="259" t="s">
        <v>5737</v>
      </c>
      <c r="H986" s="264" t="s">
        <v>5795</v>
      </c>
      <c r="I986" s="264" t="s">
        <v>5796</v>
      </c>
      <c r="J986" s="295">
        <v>163.46</v>
      </c>
      <c r="K986" s="295">
        <v>129</v>
      </c>
      <c r="L986" s="295">
        <v>98.08</v>
      </c>
      <c r="M986" s="295">
        <v>90.458335000000005</v>
      </c>
      <c r="N986" s="295">
        <v>85.697370000000006</v>
      </c>
      <c r="O986" s="266">
        <v>2</v>
      </c>
      <c r="P986" s="266">
        <v>691991011863</v>
      </c>
      <c r="R986" s="265">
        <v>8</v>
      </c>
      <c r="S986" s="265">
        <v>13</v>
      </c>
      <c r="T986" s="265">
        <v>10.75</v>
      </c>
      <c r="U986" s="265">
        <v>7.75</v>
      </c>
      <c r="V986" s="259" t="s">
        <v>3028</v>
      </c>
      <c r="W986" s="259" t="s">
        <v>3029</v>
      </c>
      <c r="X986" s="264" t="s">
        <v>5797</v>
      </c>
      <c r="Y986" s="259">
        <v>73</v>
      </c>
      <c r="Z986" s="259" t="s">
        <v>3030</v>
      </c>
      <c r="AA986" s="259" t="e">
        <v>#N/A</v>
      </c>
      <c r="AB986" s="259"/>
      <c r="AC986" s="259"/>
      <c r="AD986" s="259"/>
      <c r="AE986" s="259"/>
    </row>
    <row r="987" spans="1:31">
      <c r="A987" s="259" t="s">
        <v>1082</v>
      </c>
      <c r="B987" s="259" t="s">
        <v>80</v>
      </c>
      <c r="C987" s="264" t="s">
        <v>5715</v>
      </c>
      <c r="D987" s="264" t="s">
        <v>1082</v>
      </c>
      <c r="E987" s="259" t="s">
        <v>5737</v>
      </c>
      <c r="H987" s="264" t="s">
        <v>5798</v>
      </c>
      <c r="I987" s="264" t="s">
        <v>5799</v>
      </c>
      <c r="J987" s="295">
        <v>180.34</v>
      </c>
      <c r="K987" s="295">
        <v>144</v>
      </c>
      <c r="L987" s="295">
        <v>108.19</v>
      </c>
      <c r="M987" s="295">
        <v>99.789805000000001</v>
      </c>
      <c r="N987" s="295">
        <v>94.537710000000018</v>
      </c>
      <c r="O987" s="266">
        <v>2</v>
      </c>
      <c r="P987" s="266">
        <v>50036904896</v>
      </c>
      <c r="R987" s="265">
        <v>13</v>
      </c>
      <c r="S987" s="265">
        <v>4.75</v>
      </c>
      <c r="T987" s="265">
        <v>26</v>
      </c>
      <c r="U987" s="265">
        <v>6</v>
      </c>
      <c r="V987" s="259" t="s">
        <v>3028</v>
      </c>
      <c r="W987" s="259" t="s">
        <v>3029</v>
      </c>
      <c r="X987" s="264" t="s">
        <v>5800</v>
      </c>
      <c r="Y987" s="259">
        <v>74</v>
      </c>
      <c r="Z987" s="259" t="s">
        <v>3030</v>
      </c>
      <c r="AA987" s="259" t="e">
        <v>#N/A</v>
      </c>
      <c r="AB987" s="259"/>
      <c r="AC987" s="259"/>
      <c r="AD987" s="259"/>
      <c r="AE987" s="259"/>
    </row>
    <row r="988" spans="1:31">
      <c r="A988" s="259" t="s">
        <v>1083</v>
      </c>
      <c r="B988" s="259" t="s">
        <v>80</v>
      </c>
      <c r="C988" s="264" t="s">
        <v>5715</v>
      </c>
      <c r="D988" s="264" t="s">
        <v>1083</v>
      </c>
      <c r="E988" s="259" t="s">
        <v>5737</v>
      </c>
      <c r="H988" s="264" t="s">
        <v>5801</v>
      </c>
      <c r="I988" s="264" t="s">
        <v>5802</v>
      </c>
      <c r="J988" s="295">
        <v>166.05</v>
      </c>
      <c r="K988" s="295">
        <v>129</v>
      </c>
      <c r="L988" s="295">
        <v>99.64</v>
      </c>
      <c r="M988" s="295">
        <v>91.901764999999997</v>
      </c>
      <c r="N988" s="295">
        <v>87.064830000000015</v>
      </c>
      <c r="O988" s="266">
        <v>2</v>
      </c>
      <c r="P988" s="266">
        <v>50036905046</v>
      </c>
      <c r="R988" s="265">
        <v>8.25</v>
      </c>
      <c r="S988" s="265">
        <v>13.25</v>
      </c>
      <c r="T988" s="265">
        <v>4.5</v>
      </c>
      <c r="U988" s="265">
        <v>13</v>
      </c>
      <c r="V988" s="259" t="s">
        <v>3028</v>
      </c>
      <c r="W988" s="259" t="s">
        <v>3029</v>
      </c>
      <c r="X988" s="264" t="s">
        <v>5803</v>
      </c>
      <c r="Y988" s="259">
        <v>75</v>
      </c>
      <c r="Z988" s="259" t="s">
        <v>3030</v>
      </c>
      <c r="AA988" s="259" t="e">
        <v>#N/A</v>
      </c>
      <c r="AB988" s="259"/>
      <c r="AC988" s="259"/>
      <c r="AD988" s="259"/>
      <c r="AE988" s="259"/>
    </row>
    <row r="989" spans="1:31">
      <c r="A989" s="259" t="s">
        <v>1084</v>
      </c>
      <c r="B989" s="259" t="s">
        <v>80</v>
      </c>
      <c r="C989" s="264" t="s">
        <v>5715</v>
      </c>
      <c r="D989" s="264" t="s">
        <v>1084</v>
      </c>
      <c r="E989" s="259" t="s">
        <v>5737</v>
      </c>
      <c r="H989" s="264" t="s">
        <v>5804</v>
      </c>
      <c r="I989" s="264" t="s">
        <v>5805</v>
      </c>
      <c r="J989" s="295">
        <v>107.68</v>
      </c>
      <c r="K989" s="295">
        <v>88</v>
      </c>
      <c r="L989" s="295">
        <v>64.61</v>
      </c>
      <c r="M989" s="295">
        <v>59.587229999999998</v>
      </c>
      <c r="N989" s="295">
        <v>56.451059999999998</v>
      </c>
      <c r="O989" s="266">
        <v>2</v>
      </c>
      <c r="P989" s="266">
        <v>50036904643</v>
      </c>
      <c r="R989" s="265">
        <v>7.3</v>
      </c>
      <c r="S989" s="265">
        <v>3.31</v>
      </c>
      <c r="T989" s="265">
        <v>1.89</v>
      </c>
      <c r="U989" s="265">
        <v>2.75</v>
      </c>
      <c r="V989" s="259" t="s">
        <v>3028</v>
      </c>
      <c r="W989" s="259" t="s">
        <v>3029</v>
      </c>
      <c r="X989" s="264" t="s">
        <v>5806</v>
      </c>
      <c r="Y989" s="259">
        <v>76</v>
      </c>
      <c r="Z989" s="259" t="s">
        <v>3030</v>
      </c>
      <c r="AA989" s="259" t="e">
        <v>#N/A</v>
      </c>
      <c r="AB989" s="259"/>
      <c r="AC989" s="259"/>
      <c r="AD989" s="259"/>
      <c r="AE989" s="259"/>
    </row>
    <row r="990" spans="1:31">
      <c r="A990" s="259" t="s">
        <v>1085</v>
      </c>
      <c r="B990" s="259" t="s">
        <v>80</v>
      </c>
      <c r="C990" s="264" t="s">
        <v>5715</v>
      </c>
      <c r="D990" s="264" t="s">
        <v>1085</v>
      </c>
      <c r="E990" s="259" t="s">
        <v>5737</v>
      </c>
      <c r="H990" s="264" t="s">
        <v>5807</v>
      </c>
      <c r="I990" s="264" t="s">
        <v>5808</v>
      </c>
      <c r="J990" s="295">
        <v>178.61</v>
      </c>
      <c r="K990" s="295">
        <v>144</v>
      </c>
      <c r="L990" s="295">
        <v>108.19</v>
      </c>
      <c r="M990" s="295">
        <v>99.789805000000001</v>
      </c>
      <c r="N990" s="295">
        <v>94.537710000000018</v>
      </c>
      <c r="O990" s="266">
        <v>2</v>
      </c>
      <c r="P990" s="266">
        <v>50036903981</v>
      </c>
      <c r="R990" s="265">
        <v>8.3000000000000007</v>
      </c>
      <c r="S990" s="265">
        <v>13</v>
      </c>
      <c r="T990" s="265">
        <v>9.25</v>
      </c>
      <c r="U990" s="265">
        <v>12</v>
      </c>
      <c r="V990" s="259" t="s">
        <v>3028</v>
      </c>
      <c r="W990" s="259" t="s">
        <v>3029</v>
      </c>
      <c r="X990" s="264" t="s">
        <v>5809</v>
      </c>
      <c r="Y990" s="259">
        <v>77</v>
      </c>
      <c r="Z990" s="259" t="s">
        <v>3030</v>
      </c>
      <c r="AA990" s="259" t="e">
        <v>#N/A</v>
      </c>
      <c r="AB990" s="259"/>
      <c r="AC990" s="259"/>
      <c r="AD990" s="259"/>
      <c r="AE990" s="259"/>
    </row>
    <row r="991" spans="1:31">
      <c r="A991" s="259" t="s">
        <v>1086</v>
      </c>
      <c r="B991" s="259" t="s">
        <v>80</v>
      </c>
      <c r="C991" s="264" t="s">
        <v>5715</v>
      </c>
      <c r="D991" s="264" t="s">
        <v>1086</v>
      </c>
      <c r="E991" s="259" t="s">
        <v>5737</v>
      </c>
      <c r="H991" s="264" t="s">
        <v>5810</v>
      </c>
      <c r="I991" s="264" t="s">
        <v>5811</v>
      </c>
      <c r="J991" s="295">
        <v>114.17</v>
      </c>
      <c r="K991" s="295">
        <v>92</v>
      </c>
      <c r="L991" s="295">
        <v>68.5</v>
      </c>
      <c r="M991" s="295">
        <v>63.175474999999999</v>
      </c>
      <c r="N991" s="295">
        <v>59.850450000000002</v>
      </c>
      <c r="O991" s="266">
        <v>2</v>
      </c>
      <c r="P991" s="266">
        <v>50036904650</v>
      </c>
      <c r="R991" s="265">
        <v>7.95</v>
      </c>
      <c r="S991" s="265">
        <v>13</v>
      </c>
      <c r="T991" s="265">
        <v>10.75</v>
      </c>
      <c r="U991" s="265">
        <v>7.5</v>
      </c>
      <c r="V991" s="259" t="s">
        <v>3028</v>
      </c>
      <c r="W991" s="259" t="s">
        <v>3029</v>
      </c>
      <c r="X991" s="264" t="s">
        <v>5812</v>
      </c>
      <c r="Y991" s="259">
        <v>78</v>
      </c>
      <c r="Z991" s="259" t="s">
        <v>3030</v>
      </c>
      <c r="AA991" s="259" t="e">
        <v>#N/A</v>
      </c>
      <c r="AB991" s="259"/>
      <c r="AC991" s="259"/>
      <c r="AD991" s="259"/>
      <c r="AE991" s="259"/>
    </row>
    <row r="992" spans="1:31">
      <c r="A992" s="259" t="s">
        <v>1087</v>
      </c>
      <c r="B992" s="259" t="s">
        <v>80</v>
      </c>
      <c r="C992" s="264" t="s">
        <v>5715</v>
      </c>
      <c r="D992" s="264" t="s">
        <v>1087</v>
      </c>
      <c r="E992" s="259" t="s">
        <v>5737</v>
      </c>
      <c r="H992" s="264" t="s">
        <v>5813</v>
      </c>
      <c r="I992" s="264" t="s">
        <v>5814</v>
      </c>
      <c r="J992" s="295">
        <v>215.35</v>
      </c>
      <c r="K992" s="295">
        <v>170</v>
      </c>
      <c r="L992" s="295">
        <v>129.21</v>
      </c>
      <c r="M992" s="295">
        <v>119.17446</v>
      </c>
      <c r="N992" s="295">
        <v>112.90212</v>
      </c>
      <c r="O992" s="266">
        <v>2</v>
      </c>
      <c r="P992" s="266">
        <v>50036903967</v>
      </c>
      <c r="R992" s="265">
        <v>9.15</v>
      </c>
      <c r="S992" s="265">
        <v>13</v>
      </c>
      <c r="T992" s="265">
        <v>11</v>
      </c>
      <c r="U992" s="265">
        <v>11</v>
      </c>
      <c r="V992" s="259" t="s">
        <v>3028</v>
      </c>
      <c r="W992" s="259" t="s">
        <v>3029</v>
      </c>
      <c r="X992" s="264" t="s">
        <v>5815</v>
      </c>
      <c r="Y992" s="259">
        <v>79</v>
      </c>
      <c r="Z992" s="259" t="s">
        <v>3030</v>
      </c>
      <c r="AA992" s="259" t="e">
        <v>#N/A</v>
      </c>
      <c r="AB992" s="259"/>
      <c r="AC992" s="259"/>
      <c r="AD992" s="259"/>
      <c r="AE992" s="259"/>
    </row>
    <row r="993" spans="1:31">
      <c r="A993" s="259" t="s">
        <v>1088</v>
      </c>
      <c r="B993" s="259" t="s">
        <v>80</v>
      </c>
      <c r="C993" s="264" t="s">
        <v>5715</v>
      </c>
      <c r="D993" s="264" t="s">
        <v>1088</v>
      </c>
      <c r="E993" s="259" t="s">
        <v>5737</v>
      </c>
      <c r="H993" s="264" t="s">
        <v>5816</v>
      </c>
      <c r="I993" s="264" t="s">
        <v>5817</v>
      </c>
      <c r="J993" s="295">
        <v>242.59</v>
      </c>
      <c r="K993" s="295">
        <v>191</v>
      </c>
      <c r="L993" s="295">
        <v>145.57</v>
      </c>
      <c r="M993" s="295">
        <v>134.25932</v>
      </c>
      <c r="N993" s="295">
        <v>127.19304000000001</v>
      </c>
      <c r="O993" s="266">
        <v>2</v>
      </c>
      <c r="P993" s="266">
        <v>50036904087</v>
      </c>
      <c r="R993" s="265">
        <v>10.3</v>
      </c>
      <c r="S993" s="265">
        <v>13</v>
      </c>
      <c r="T993" s="265">
        <v>11.5</v>
      </c>
      <c r="U993" s="265">
        <v>12</v>
      </c>
      <c r="V993" s="259" t="s">
        <v>3028</v>
      </c>
      <c r="W993" s="259" t="s">
        <v>3029</v>
      </c>
      <c r="X993" s="264" t="s">
        <v>5818</v>
      </c>
      <c r="Y993" s="259">
        <v>80</v>
      </c>
      <c r="Z993" s="259" t="s">
        <v>3030</v>
      </c>
      <c r="AA993" s="259" t="e">
        <v>#N/A</v>
      </c>
      <c r="AB993" s="259"/>
      <c r="AC993" s="259"/>
      <c r="AD993" s="259"/>
      <c r="AE993" s="259"/>
    </row>
    <row r="994" spans="1:31">
      <c r="A994" s="259" t="s">
        <v>1089</v>
      </c>
      <c r="B994" s="259" t="s">
        <v>80</v>
      </c>
      <c r="C994" s="264" t="s">
        <v>5715</v>
      </c>
      <c r="D994" s="264" t="s">
        <v>1089</v>
      </c>
      <c r="E994" s="259" t="s">
        <v>5737</v>
      </c>
      <c r="H994" s="264" t="s">
        <v>5819</v>
      </c>
      <c r="I994" s="264" t="s">
        <v>5820</v>
      </c>
      <c r="J994" s="295">
        <v>155.68</v>
      </c>
      <c r="K994" s="295">
        <v>129</v>
      </c>
      <c r="L994" s="295">
        <v>93.41</v>
      </c>
      <c r="M994" s="295">
        <v>86.158540000000002</v>
      </c>
      <c r="N994" s="295">
        <v>81.62388</v>
      </c>
      <c r="O994" s="266">
        <v>2</v>
      </c>
      <c r="P994" s="266">
        <v>50036905084</v>
      </c>
      <c r="R994" s="265">
        <v>6</v>
      </c>
      <c r="S994" s="265">
        <v>11</v>
      </c>
      <c r="T994" s="265">
        <v>5</v>
      </c>
      <c r="U994" s="265">
        <v>3.5</v>
      </c>
      <c r="V994" s="259" t="s">
        <v>3028</v>
      </c>
      <c r="W994" s="259" t="s">
        <v>3029</v>
      </c>
      <c r="X994" s="264" t="s">
        <v>5821</v>
      </c>
      <c r="Y994" s="259">
        <v>81</v>
      </c>
      <c r="Z994" s="259" t="s">
        <v>3030</v>
      </c>
      <c r="AA994" s="259" t="e">
        <v>#N/A</v>
      </c>
      <c r="AB994" s="259"/>
      <c r="AC994" s="259"/>
      <c r="AD994" s="259"/>
      <c r="AE994" s="259"/>
    </row>
    <row r="995" spans="1:31">
      <c r="A995" s="259" t="s">
        <v>1090</v>
      </c>
      <c r="B995" s="259" t="s">
        <v>80</v>
      </c>
      <c r="C995" s="264" t="s">
        <v>5715</v>
      </c>
      <c r="D995" s="264" t="s">
        <v>1090</v>
      </c>
      <c r="E995" s="259" t="s">
        <v>5737</v>
      </c>
      <c r="H995" s="264" t="s">
        <v>5816</v>
      </c>
      <c r="I995" s="264" t="s">
        <v>5822</v>
      </c>
      <c r="J995" s="295">
        <v>262.06</v>
      </c>
      <c r="K995" s="295">
        <v>205</v>
      </c>
      <c r="L995" s="295">
        <v>157.24</v>
      </c>
      <c r="M995" s="295">
        <v>145.024055</v>
      </c>
      <c r="N995" s="295">
        <v>137.39121</v>
      </c>
      <c r="O995" s="266">
        <v>2</v>
      </c>
      <c r="P995" s="266">
        <v>50036905268</v>
      </c>
      <c r="R995" s="265">
        <v>10.5</v>
      </c>
      <c r="S995" s="265">
        <v>11</v>
      </c>
      <c r="T995" s="265">
        <v>26</v>
      </c>
      <c r="U995" s="265">
        <v>12</v>
      </c>
      <c r="V995" s="259" t="s">
        <v>3028</v>
      </c>
      <c r="W995" s="259" t="s">
        <v>3029</v>
      </c>
      <c r="X995" s="264" t="s">
        <v>5823</v>
      </c>
      <c r="Y995" s="259">
        <v>82</v>
      </c>
      <c r="Z995" s="259" t="s">
        <v>3030</v>
      </c>
      <c r="AA995" s="259" t="e">
        <v>#N/A</v>
      </c>
      <c r="AB995" s="259"/>
      <c r="AC995" s="259"/>
      <c r="AD995" s="259"/>
      <c r="AE995" s="259"/>
    </row>
    <row r="996" spans="1:31">
      <c r="A996" s="259" t="s">
        <v>1091</v>
      </c>
      <c r="B996" s="259" t="s">
        <v>80</v>
      </c>
      <c r="C996" s="264" t="s">
        <v>5715</v>
      </c>
      <c r="D996" s="264" t="s">
        <v>1091</v>
      </c>
      <c r="E996" s="259" t="s">
        <v>5737</v>
      </c>
      <c r="H996" s="264" t="s">
        <v>5824</v>
      </c>
      <c r="I996" s="264" t="s">
        <v>5825</v>
      </c>
      <c r="J996" s="295">
        <v>325.64</v>
      </c>
      <c r="K996" s="295">
        <v>257</v>
      </c>
      <c r="L996" s="295">
        <v>195.38</v>
      </c>
      <c r="M996" s="295">
        <v>180.20511999999999</v>
      </c>
      <c r="N996" s="295">
        <v>170.72064</v>
      </c>
      <c r="O996" s="266">
        <v>2</v>
      </c>
      <c r="P996" s="266">
        <v>50036903943</v>
      </c>
      <c r="R996" s="265">
        <v>30</v>
      </c>
      <c r="S996" s="265">
        <v>33</v>
      </c>
      <c r="T996" s="265">
        <v>17</v>
      </c>
      <c r="U996" s="265">
        <v>17</v>
      </c>
      <c r="V996" s="259" t="s">
        <v>3028</v>
      </c>
      <c r="W996" s="259" t="s">
        <v>3029</v>
      </c>
      <c r="X996" s="264" t="s">
        <v>5826</v>
      </c>
      <c r="Y996" s="259">
        <v>83</v>
      </c>
      <c r="Z996" s="259" t="s">
        <v>3030</v>
      </c>
      <c r="AA996" s="259" t="e">
        <v>#N/A</v>
      </c>
      <c r="AB996" s="259"/>
      <c r="AC996" s="259"/>
      <c r="AD996" s="259"/>
      <c r="AE996" s="259"/>
    </row>
    <row r="997" spans="1:31">
      <c r="A997" s="259" t="s">
        <v>1092</v>
      </c>
      <c r="B997" s="259" t="s">
        <v>80</v>
      </c>
      <c r="C997" s="264" t="s">
        <v>5715</v>
      </c>
      <c r="D997" s="264" t="s">
        <v>1092</v>
      </c>
      <c r="E997" s="259" t="s">
        <v>5737</v>
      </c>
      <c r="H997" s="264" t="s">
        <v>5827</v>
      </c>
      <c r="I997" s="264" t="s">
        <v>5828</v>
      </c>
      <c r="J997" s="295">
        <v>352.88</v>
      </c>
      <c r="K997" s="295">
        <v>284</v>
      </c>
      <c r="L997" s="295">
        <v>211.72</v>
      </c>
      <c r="M997" s="295">
        <v>195.27981500000004</v>
      </c>
      <c r="N997" s="295">
        <v>185.00193000000004</v>
      </c>
      <c r="O997" s="266">
        <v>2</v>
      </c>
      <c r="P997" s="266">
        <v>50036904919</v>
      </c>
      <c r="R997" s="265">
        <v>26</v>
      </c>
      <c r="S997" s="265">
        <v>16.125</v>
      </c>
      <c r="T997" s="265">
        <v>16.75</v>
      </c>
      <c r="U997" s="265">
        <v>16</v>
      </c>
      <c r="V997" s="259" t="s">
        <v>3028</v>
      </c>
      <c r="W997" s="259" t="s">
        <v>3029</v>
      </c>
      <c r="X997" s="264" t="s">
        <v>5829</v>
      </c>
      <c r="Y997" s="259">
        <v>84</v>
      </c>
      <c r="Z997" s="259" t="s">
        <v>3030</v>
      </c>
      <c r="AA997" s="259" t="e">
        <v>#N/A</v>
      </c>
      <c r="AB997" s="259"/>
      <c r="AC997" s="259"/>
      <c r="AD997" s="259"/>
      <c r="AE997" s="259"/>
    </row>
    <row r="998" spans="1:31">
      <c r="A998" s="259" t="s">
        <v>1093</v>
      </c>
      <c r="B998" s="259" t="s">
        <v>80</v>
      </c>
      <c r="C998" s="264" t="s">
        <v>5725</v>
      </c>
      <c r="D998" s="264" t="s">
        <v>1093</v>
      </c>
      <c r="E998" s="259" t="s">
        <v>5737</v>
      </c>
      <c r="H998" s="264" t="s">
        <v>5830</v>
      </c>
      <c r="I998" s="264" t="s">
        <v>5831</v>
      </c>
      <c r="J998" s="295">
        <v>300.72000000000003</v>
      </c>
      <c r="K998" s="295">
        <v>300.72000000000003</v>
      </c>
      <c r="L998" s="295">
        <v>180.36</v>
      </c>
      <c r="O998" s="266">
        <v>0</v>
      </c>
      <c r="P998" s="266">
        <v>691991300301</v>
      </c>
      <c r="R998" s="265">
        <v>7.6</v>
      </c>
      <c r="S998" s="265">
        <v>24</v>
      </c>
      <c r="T998" s="265">
        <v>14.25</v>
      </c>
      <c r="U998" s="265">
        <v>3.75</v>
      </c>
      <c r="V998" s="259" t="s">
        <v>3028</v>
      </c>
      <c r="W998" s="259" t="s">
        <v>3029</v>
      </c>
      <c r="X998" s="264" t="s">
        <v>5832</v>
      </c>
      <c r="Y998" s="259">
        <v>85</v>
      </c>
      <c r="Z998" s="259" t="s">
        <v>3030</v>
      </c>
      <c r="AA998" s="259" t="e">
        <v>#N/A</v>
      </c>
      <c r="AB998" s="259"/>
      <c r="AC998" s="259"/>
      <c r="AD998" s="259"/>
      <c r="AE998" s="259"/>
    </row>
    <row r="999" spans="1:31">
      <c r="A999" s="259" t="s">
        <v>1094</v>
      </c>
      <c r="B999" s="259" t="s">
        <v>80</v>
      </c>
      <c r="C999" s="264" t="s">
        <v>5725</v>
      </c>
      <c r="D999" s="264" t="s">
        <v>1094</v>
      </c>
      <c r="E999" s="259" t="s">
        <v>5737</v>
      </c>
      <c r="H999" s="264" t="s">
        <v>5833</v>
      </c>
      <c r="I999" s="264" t="s">
        <v>5834</v>
      </c>
      <c r="J999" s="295">
        <v>218.37</v>
      </c>
      <c r="K999" s="295">
        <v>218.37</v>
      </c>
      <c r="L999" s="295">
        <v>130.94</v>
      </c>
      <c r="O999" s="266">
        <v>0</v>
      </c>
      <c r="P999" s="266">
        <v>691991300318</v>
      </c>
      <c r="R999" s="265">
        <v>5.57</v>
      </c>
      <c r="S999" s="265">
        <v>25</v>
      </c>
      <c r="T999" s="265">
        <v>15.5</v>
      </c>
      <c r="U999" s="265">
        <v>0.75</v>
      </c>
      <c r="V999" s="259" t="s">
        <v>3028</v>
      </c>
      <c r="W999" s="259" t="s">
        <v>3029</v>
      </c>
      <c r="X999" s="264" t="s">
        <v>5835</v>
      </c>
      <c r="Y999" s="259">
        <v>86</v>
      </c>
      <c r="Z999" s="259" t="s">
        <v>3030</v>
      </c>
      <c r="AA999" s="259" t="e">
        <v>#N/A</v>
      </c>
      <c r="AB999" s="259"/>
      <c r="AC999" s="259"/>
      <c r="AD999" s="259"/>
      <c r="AE999" s="259"/>
    </row>
    <row r="1000" spans="1:31">
      <c r="A1000" s="259" t="s">
        <v>1095</v>
      </c>
      <c r="B1000" s="259" t="s">
        <v>80</v>
      </c>
      <c r="C1000" s="264" t="s">
        <v>5725</v>
      </c>
      <c r="D1000" s="264" t="s">
        <v>1095</v>
      </c>
      <c r="E1000" s="259" t="s">
        <v>5737</v>
      </c>
      <c r="H1000" s="264" t="s">
        <v>5836</v>
      </c>
      <c r="I1000" s="264" t="s">
        <v>5837</v>
      </c>
      <c r="J1000" s="295">
        <v>182.18</v>
      </c>
      <c r="K1000" s="295">
        <v>182.18</v>
      </c>
      <c r="L1000" s="295">
        <v>108.98</v>
      </c>
      <c r="O1000" s="266">
        <v>0</v>
      </c>
      <c r="P1000" s="266">
        <v>691991300417</v>
      </c>
      <c r="R1000" s="265">
        <v>6.3</v>
      </c>
      <c r="S1000" s="265">
        <v>15</v>
      </c>
      <c r="T1000" s="265">
        <v>24</v>
      </c>
      <c r="U1000" s="265">
        <v>4.0999999999999996</v>
      </c>
      <c r="V1000" s="259" t="s">
        <v>3028</v>
      </c>
      <c r="W1000" s="259" t="s">
        <v>3029</v>
      </c>
      <c r="X1000" s="264" t="s">
        <v>5832</v>
      </c>
      <c r="Y1000" s="259">
        <v>87</v>
      </c>
      <c r="Z1000" s="259" t="s">
        <v>3030</v>
      </c>
      <c r="AA1000" s="259" t="e">
        <v>#N/A</v>
      </c>
      <c r="AB1000" s="259"/>
      <c r="AC1000" s="259"/>
      <c r="AD1000" s="259"/>
      <c r="AE1000" s="259"/>
    </row>
    <row r="1001" spans="1:31">
      <c r="A1001" s="259" t="s">
        <v>1096</v>
      </c>
      <c r="B1001" s="259" t="s">
        <v>80</v>
      </c>
      <c r="C1001" s="264" t="s">
        <v>5725</v>
      </c>
      <c r="D1001" s="264" t="s">
        <v>1096</v>
      </c>
      <c r="E1001" s="259" t="s">
        <v>5737</v>
      </c>
      <c r="H1001" s="264" t="s">
        <v>5838</v>
      </c>
      <c r="I1001" s="264" t="s">
        <v>5839</v>
      </c>
      <c r="J1001" s="295">
        <v>141</v>
      </c>
      <c r="K1001" s="295">
        <v>141</v>
      </c>
      <c r="L1001" s="295">
        <v>84.6</v>
      </c>
      <c r="O1001" s="266">
        <v>0</v>
      </c>
      <c r="P1001" s="266">
        <v>691991300424</v>
      </c>
      <c r="R1001" s="265">
        <v>5.25</v>
      </c>
      <c r="S1001" s="265">
        <v>2.5</v>
      </c>
      <c r="T1001" s="265">
        <v>3</v>
      </c>
      <c r="U1001" s="265">
        <v>1.5</v>
      </c>
      <c r="V1001" s="259" t="s">
        <v>3834</v>
      </c>
      <c r="W1001" s="259" t="s">
        <v>3061</v>
      </c>
      <c r="X1001" s="264" t="s">
        <v>5835</v>
      </c>
      <c r="Y1001" s="259">
        <v>88</v>
      </c>
      <c r="Z1001" s="259" t="s">
        <v>3030</v>
      </c>
      <c r="AA1001" s="259" t="e">
        <v>#N/A</v>
      </c>
      <c r="AB1001" s="259"/>
      <c r="AC1001" s="259"/>
      <c r="AD1001" s="259"/>
      <c r="AE1001" s="259"/>
    </row>
    <row r="1002" spans="1:31">
      <c r="A1002" s="259" t="s">
        <v>1097</v>
      </c>
      <c r="B1002" s="259" t="s">
        <v>80</v>
      </c>
      <c r="C1002" s="264" t="s">
        <v>5725</v>
      </c>
      <c r="D1002" s="264" t="s">
        <v>1097</v>
      </c>
      <c r="E1002" s="259" t="s">
        <v>5737</v>
      </c>
      <c r="H1002" s="264" t="s">
        <v>5840</v>
      </c>
      <c r="I1002" s="264" t="s">
        <v>5841</v>
      </c>
      <c r="J1002" s="295">
        <v>189.98</v>
      </c>
      <c r="K1002" s="295">
        <v>189.98</v>
      </c>
      <c r="L1002" s="295">
        <v>113.99</v>
      </c>
      <c r="O1002" s="266">
        <v>0</v>
      </c>
      <c r="P1002" s="266">
        <v>691991300431</v>
      </c>
      <c r="R1002" s="265">
        <v>10</v>
      </c>
      <c r="S1002" s="265">
        <v>17</v>
      </c>
      <c r="T1002" s="265">
        <v>18</v>
      </c>
      <c r="U1002" s="265">
        <v>2</v>
      </c>
      <c r="V1002" s="259" t="s">
        <v>3028</v>
      </c>
      <c r="W1002" s="259" t="s">
        <v>3029</v>
      </c>
      <c r="X1002" s="264" t="s">
        <v>5842</v>
      </c>
      <c r="Y1002" s="259">
        <v>89</v>
      </c>
      <c r="Z1002" s="259" t="s">
        <v>3030</v>
      </c>
      <c r="AA1002" s="259" t="e">
        <v>#N/A</v>
      </c>
      <c r="AB1002" s="259"/>
      <c r="AC1002" s="259"/>
      <c r="AD1002" s="259"/>
      <c r="AE1002" s="259"/>
    </row>
    <row r="1003" spans="1:31">
      <c r="A1003" s="259" t="s">
        <v>1098</v>
      </c>
      <c r="B1003" s="259" t="s">
        <v>80</v>
      </c>
      <c r="C1003" s="264" t="s">
        <v>5725</v>
      </c>
      <c r="D1003" s="264" t="s">
        <v>1098</v>
      </c>
      <c r="E1003" s="259" t="s">
        <v>5737</v>
      </c>
      <c r="H1003" s="264" t="s">
        <v>5843</v>
      </c>
      <c r="I1003" s="264" t="s">
        <v>5844</v>
      </c>
      <c r="J1003" s="295">
        <v>217.11</v>
      </c>
      <c r="K1003" s="295">
        <v>217.11</v>
      </c>
      <c r="L1003" s="295">
        <v>130.6</v>
      </c>
      <c r="O1003" s="266">
        <v>0</v>
      </c>
      <c r="P1003" s="266">
        <v>691991300516</v>
      </c>
      <c r="R1003" s="265">
        <v>6.8</v>
      </c>
      <c r="S1003" s="265">
        <v>24</v>
      </c>
      <c r="T1003" s="265">
        <v>15</v>
      </c>
      <c r="U1003" s="265">
        <v>4.0999999999999996</v>
      </c>
      <c r="V1003" s="259" t="s">
        <v>3028</v>
      </c>
      <c r="W1003" s="259" t="s">
        <v>3029</v>
      </c>
      <c r="X1003" s="264" t="s">
        <v>5832</v>
      </c>
      <c r="Y1003" s="259">
        <v>90</v>
      </c>
      <c r="Z1003" s="259" t="s">
        <v>3030</v>
      </c>
      <c r="AA1003" s="259" t="e">
        <v>#N/A</v>
      </c>
      <c r="AB1003" s="259"/>
      <c r="AC1003" s="259"/>
      <c r="AD1003" s="259"/>
      <c r="AE1003" s="259"/>
    </row>
    <row r="1004" spans="1:31">
      <c r="A1004" s="259" t="s">
        <v>1099</v>
      </c>
      <c r="B1004" s="259" t="s">
        <v>80</v>
      </c>
      <c r="C1004" s="264" t="s">
        <v>5725</v>
      </c>
      <c r="D1004" s="264" t="s">
        <v>1099</v>
      </c>
      <c r="E1004" s="259" t="s">
        <v>5737</v>
      </c>
      <c r="H1004" s="264" t="s">
        <v>5845</v>
      </c>
      <c r="I1004" s="264" t="s">
        <v>5846</v>
      </c>
      <c r="J1004" s="295">
        <v>160.96</v>
      </c>
      <c r="K1004" s="295">
        <v>160.96</v>
      </c>
      <c r="L1004" s="295">
        <v>96.94</v>
      </c>
      <c r="O1004" s="266">
        <v>0</v>
      </c>
      <c r="P1004" s="266">
        <v>691991300523</v>
      </c>
      <c r="R1004" s="265">
        <v>5.25</v>
      </c>
      <c r="S1004" s="265">
        <v>15</v>
      </c>
      <c r="T1004" s="265">
        <v>24</v>
      </c>
      <c r="U1004" s="265">
        <v>1</v>
      </c>
      <c r="V1004" s="259" t="s">
        <v>3834</v>
      </c>
      <c r="W1004" s="259" t="s">
        <v>3061</v>
      </c>
      <c r="X1004" s="264" t="s">
        <v>5835</v>
      </c>
      <c r="Y1004" s="259">
        <v>91</v>
      </c>
      <c r="Z1004" s="259" t="s">
        <v>3030</v>
      </c>
      <c r="AA1004" s="259" t="e">
        <v>#N/A</v>
      </c>
      <c r="AB1004" s="259"/>
      <c r="AC1004" s="259"/>
      <c r="AD1004" s="259"/>
      <c r="AE1004" s="259"/>
    </row>
    <row r="1005" spans="1:31">
      <c r="A1005" s="259" t="s">
        <v>1100</v>
      </c>
      <c r="B1005" s="259" t="s">
        <v>80</v>
      </c>
      <c r="C1005" s="264" t="s">
        <v>5725</v>
      </c>
      <c r="D1005" s="264" t="s">
        <v>1100</v>
      </c>
      <c r="E1005" s="259" t="s">
        <v>5737</v>
      </c>
      <c r="H1005" s="264" t="s">
        <v>5847</v>
      </c>
      <c r="I1005" s="264" t="s">
        <v>5848</v>
      </c>
      <c r="J1005" s="295">
        <v>189.98</v>
      </c>
      <c r="K1005" s="295">
        <v>189.98</v>
      </c>
      <c r="L1005" s="295">
        <v>113.99</v>
      </c>
      <c r="O1005" s="266">
        <v>0</v>
      </c>
      <c r="P1005" s="266">
        <v>691991300530</v>
      </c>
      <c r="R1005" s="265">
        <v>7.85</v>
      </c>
      <c r="S1005" s="265">
        <v>17</v>
      </c>
      <c r="T1005" s="265">
        <v>17</v>
      </c>
      <c r="U1005" s="265">
        <v>2</v>
      </c>
      <c r="V1005" s="259" t="s">
        <v>3028</v>
      </c>
      <c r="W1005" s="259" t="s">
        <v>3029</v>
      </c>
      <c r="X1005" s="264" t="s">
        <v>5842</v>
      </c>
      <c r="Y1005" s="259">
        <v>92</v>
      </c>
      <c r="Z1005" s="259" t="s">
        <v>3030</v>
      </c>
      <c r="AA1005" s="259" t="e">
        <v>#N/A</v>
      </c>
      <c r="AB1005" s="259"/>
      <c r="AC1005" s="259"/>
      <c r="AD1005" s="259"/>
      <c r="AE1005" s="259"/>
    </row>
    <row r="1006" spans="1:31">
      <c r="A1006" s="259" t="s">
        <v>1101</v>
      </c>
      <c r="B1006" s="259" t="s">
        <v>80</v>
      </c>
      <c r="C1006" s="264" t="s">
        <v>5725</v>
      </c>
      <c r="D1006" s="264" t="s">
        <v>1101</v>
      </c>
      <c r="E1006" s="259" t="s">
        <v>5737</v>
      </c>
      <c r="H1006" s="264" t="s">
        <v>5849</v>
      </c>
      <c r="I1006" s="264" t="s">
        <v>5850</v>
      </c>
      <c r="J1006" s="295">
        <v>335.66</v>
      </c>
      <c r="K1006" s="295">
        <v>335.66</v>
      </c>
      <c r="L1006" s="295">
        <v>201.51</v>
      </c>
      <c r="O1006" s="266">
        <v>0</v>
      </c>
      <c r="P1006" s="266">
        <v>691991300066</v>
      </c>
      <c r="R1006" s="265">
        <v>20.350000000000001</v>
      </c>
      <c r="S1006" s="265">
        <v>9</v>
      </c>
      <c r="T1006" s="265">
        <v>48</v>
      </c>
      <c r="U1006" s="265">
        <v>3.5</v>
      </c>
      <c r="V1006" s="259" t="s">
        <v>3028</v>
      </c>
      <c r="W1006" s="259" t="s">
        <v>3029</v>
      </c>
      <c r="X1006" s="264" t="s">
        <v>5851</v>
      </c>
      <c r="Y1006" s="259">
        <v>93</v>
      </c>
      <c r="Z1006" s="259" t="s">
        <v>3030</v>
      </c>
      <c r="AA1006" s="259" t="e">
        <v>#N/A</v>
      </c>
      <c r="AB1006" s="259"/>
      <c r="AC1006" s="259"/>
      <c r="AD1006" s="259"/>
      <c r="AE1006" s="259"/>
    </row>
    <row r="1007" spans="1:31">
      <c r="A1007" s="259" t="s">
        <v>1102</v>
      </c>
      <c r="B1007" s="259" t="s">
        <v>80</v>
      </c>
      <c r="C1007" s="264" t="s">
        <v>5725</v>
      </c>
      <c r="D1007" s="264" t="s">
        <v>1102</v>
      </c>
      <c r="E1007" s="259" t="s">
        <v>5737</v>
      </c>
      <c r="H1007" s="264" t="s">
        <v>5852</v>
      </c>
      <c r="I1007" s="264" t="s">
        <v>5853</v>
      </c>
      <c r="J1007" s="295">
        <v>33.69</v>
      </c>
      <c r="K1007" s="295">
        <v>33.69</v>
      </c>
      <c r="L1007" s="295">
        <v>20.010000000000002</v>
      </c>
      <c r="O1007" s="266">
        <v>0</v>
      </c>
      <c r="P1007" s="266">
        <v>50036904773</v>
      </c>
      <c r="R1007" s="265">
        <v>0.25</v>
      </c>
      <c r="S1007" s="265">
        <v>3</v>
      </c>
      <c r="T1007" s="265">
        <v>4</v>
      </c>
      <c r="U1007" s="265">
        <v>3</v>
      </c>
      <c r="V1007" s="259" t="s">
        <v>3028</v>
      </c>
      <c r="W1007" s="259" t="s">
        <v>3029</v>
      </c>
      <c r="X1007" s="264" t="s">
        <v>5854</v>
      </c>
      <c r="Y1007" s="259">
        <v>94</v>
      </c>
      <c r="Z1007" s="259" t="s">
        <v>3030</v>
      </c>
      <c r="AA1007" s="259" t="e">
        <v>#N/A</v>
      </c>
      <c r="AB1007" s="259"/>
      <c r="AC1007" s="259"/>
      <c r="AD1007" s="259"/>
      <c r="AE1007" s="259"/>
    </row>
    <row r="1008" spans="1:31">
      <c r="A1008" s="259" t="s">
        <v>1103</v>
      </c>
      <c r="B1008" s="259" t="s">
        <v>80</v>
      </c>
      <c r="C1008" s="264" t="s">
        <v>5725</v>
      </c>
      <c r="D1008" s="264" t="s">
        <v>1103</v>
      </c>
      <c r="E1008" s="259" t="s">
        <v>5737</v>
      </c>
      <c r="H1008" s="264" t="s">
        <v>5852</v>
      </c>
      <c r="I1008" s="264" t="s">
        <v>5855</v>
      </c>
      <c r="J1008" s="295">
        <v>39.93</v>
      </c>
      <c r="K1008" s="295">
        <v>39.93</v>
      </c>
      <c r="L1008" s="295">
        <v>19.89</v>
      </c>
      <c r="O1008" s="266">
        <v>0</v>
      </c>
      <c r="P1008" s="266">
        <v>691991005275</v>
      </c>
      <c r="R1008" s="265">
        <v>0.5</v>
      </c>
      <c r="S1008" s="265">
        <v>3</v>
      </c>
      <c r="T1008" s="265">
        <v>4</v>
      </c>
      <c r="U1008" s="265">
        <v>2.5</v>
      </c>
      <c r="V1008" s="259" t="s">
        <v>3028</v>
      </c>
      <c r="W1008" s="259" t="s">
        <v>3029</v>
      </c>
      <c r="Y1008" s="259">
        <v>95</v>
      </c>
      <c r="Z1008" s="259" t="s">
        <v>3030</v>
      </c>
      <c r="AA1008" s="259" t="e">
        <v>#N/A</v>
      </c>
      <c r="AB1008" s="259"/>
      <c r="AC1008" s="259"/>
      <c r="AD1008" s="259"/>
      <c r="AE1008" s="259"/>
    </row>
    <row r="1009" spans="1:31">
      <c r="A1009" s="259" t="s">
        <v>1104</v>
      </c>
      <c r="B1009" s="259" t="s">
        <v>80</v>
      </c>
      <c r="C1009" s="264" t="s">
        <v>5725</v>
      </c>
      <c r="D1009" s="264" t="s">
        <v>1104</v>
      </c>
      <c r="E1009" s="259" t="s">
        <v>5737</v>
      </c>
      <c r="H1009" s="264" t="s">
        <v>5856</v>
      </c>
      <c r="I1009" s="264" t="s">
        <v>5857</v>
      </c>
      <c r="J1009" s="295">
        <v>9.7899999999999991</v>
      </c>
      <c r="K1009" s="295">
        <v>9.7899999999999991</v>
      </c>
      <c r="L1009" s="295">
        <v>6.29</v>
      </c>
      <c r="O1009" s="266">
        <v>0</v>
      </c>
      <c r="P1009" s="266">
        <v>691991300554</v>
      </c>
      <c r="R1009" s="265">
        <v>1</v>
      </c>
      <c r="S1009" s="265">
        <v>4</v>
      </c>
      <c r="T1009" s="265">
        <v>2</v>
      </c>
      <c r="U1009" s="265">
        <v>1</v>
      </c>
      <c r="V1009" s="259" t="s">
        <v>3028</v>
      </c>
      <c r="W1009" s="259" t="s">
        <v>3029</v>
      </c>
      <c r="X1009" s="264" t="s">
        <v>5858</v>
      </c>
      <c r="Y1009" s="259">
        <v>96</v>
      </c>
      <c r="Z1009" s="259" t="s">
        <v>3030</v>
      </c>
      <c r="AA1009" s="259" t="e">
        <v>#N/A</v>
      </c>
      <c r="AB1009" s="259"/>
      <c r="AC1009" s="259"/>
      <c r="AD1009" s="259"/>
      <c r="AE1009" s="259"/>
    </row>
    <row r="1010" spans="1:31">
      <c r="A1010" s="259" t="s">
        <v>1105</v>
      </c>
      <c r="B1010" s="259" t="s">
        <v>80</v>
      </c>
      <c r="C1010" s="264"/>
      <c r="D1010" s="264"/>
      <c r="H1010" s="264"/>
      <c r="I1010" s="264"/>
      <c r="J1010" s="295">
        <v>0</v>
      </c>
      <c r="K1010" s="295">
        <v>0</v>
      </c>
      <c r="L1010" s="295">
        <v>0</v>
      </c>
      <c r="O1010" s="266"/>
      <c r="R1010" s="265">
        <v>0</v>
      </c>
      <c r="S1010" s="265">
        <v>0</v>
      </c>
      <c r="T1010" s="265">
        <v>0</v>
      </c>
      <c r="U1010" s="265">
        <v>0</v>
      </c>
      <c r="V1010" s="259" t="s">
        <v>3028</v>
      </c>
      <c r="W1010" s="259" t="s">
        <v>3029</v>
      </c>
      <c r="Y1010" s="259">
        <v>97</v>
      </c>
      <c r="AA1010" s="259" t="e">
        <v>#N/A</v>
      </c>
      <c r="AB1010" s="259"/>
      <c r="AC1010" s="259"/>
      <c r="AD1010" s="259"/>
      <c r="AE1010" s="259"/>
    </row>
    <row r="1011" spans="1:31">
      <c r="A1011" s="259" t="s">
        <v>1106</v>
      </c>
      <c r="B1011" s="259" t="s">
        <v>80</v>
      </c>
      <c r="C1011" s="264" t="s">
        <v>5715</v>
      </c>
      <c r="D1011" s="264" t="s">
        <v>1106</v>
      </c>
      <c r="E1011" s="259" t="s">
        <v>5737</v>
      </c>
      <c r="H1011" s="264" t="s">
        <v>5859</v>
      </c>
      <c r="I1011" s="264" t="s">
        <v>5860</v>
      </c>
      <c r="J1011" s="295">
        <v>480.02</v>
      </c>
      <c r="K1011" s="295">
        <v>387</v>
      </c>
      <c r="L1011" s="295">
        <v>288.01</v>
      </c>
      <c r="M1011" s="295">
        <v>265.64194500000002</v>
      </c>
      <c r="N1011" s="295">
        <v>251.66079000000002</v>
      </c>
      <c r="O1011" s="266">
        <v>2</v>
      </c>
      <c r="P1011" s="266">
        <v>50036904971</v>
      </c>
      <c r="R1011" s="265">
        <v>26.5</v>
      </c>
      <c r="S1011" s="265">
        <v>16</v>
      </c>
      <c r="T1011" s="265">
        <v>16.75</v>
      </c>
      <c r="U1011" s="265">
        <v>18</v>
      </c>
      <c r="V1011" s="259" t="s">
        <v>3028</v>
      </c>
      <c r="W1011" s="259" t="s">
        <v>3029</v>
      </c>
      <c r="X1011" s="264" t="s">
        <v>5861</v>
      </c>
      <c r="Y1011" s="259">
        <v>98</v>
      </c>
      <c r="Z1011" s="259" t="s">
        <v>3030</v>
      </c>
      <c r="AA1011" s="259" t="e">
        <v>#N/A</v>
      </c>
      <c r="AB1011" s="259"/>
      <c r="AC1011" s="259"/>
      <c r="AD1011" s="259"/>
      <c r="AE1011" s="259"/>
    </row>
    <row r="1012" spans="1:31">
      <c r="A1012" s="259" t="s">
        <v>1107</v>
      </c>
      <c r="B1012" s="259" t="s">
        <v>80</v>
      </c>
      <c r="C1012" s="264" t="s">
        <v>5715</v>
      </c>
      <c r="D1012" s="264" t="s">
        <v>1107</v>
      </c>
      <c r="E1012" s="259" t="s">
        <v>5737</v>
      </c>
      <c r="H1012" s="264" t="s">
        <v>5862</v>
      </c>
      <c r="I1012" s="264" t="s">
        <v>5863</v>
      </c>
      <c r="J1012" s="295">
        <v>103.78</v>
      </c>
      <c r="K1012" s="295">
        <v>82</v>
      </c>
      <c r="L1012" s="295">
        <v>62.27</v>
      </c>
      <c r="M1012" s="295">
        <v>57.432250000000003</v>
      </c>
      <c r="N1012" s="295">
        <v>54.409500000000008</v>
      </c>
      <c r="O1012" s="266">
        <v>2</v>
      </c>
      <c r="P1012" s="266">
        <v>50036904964</v>
      </c>
      <c r="R1012" s="265">
        <v>3.5</v>
      </c>
      <c r="S1012" s="265">
        <v>7</v>
      </c>
      <c r="T1012" s="265">
        <v>8</v>
      </c>
      <c r="U1012" s="265">
        <v>7</v>
      </c>
      <c r="V1012" s="259" t="s">
        <v>3028</v>
      </c>
      <c r="W1012" s="259" t="s">
        <v>3029</v>
      </c>
      <c r="X1012" s="264" t="s">
        <v>5864</v>
      </c>
      <c r="Y1012" s="259">
        <v>99</v>
      </c>
      <c r="Z1012" s="259" t="s">
        <v>3030</v>
      </c>
      <c r="AA1012" s="259" t="e">
        <v>#N/A</v>
      </c>
      <c r="AB1012" s="259"/>
      <c r="AC1012" s="259"/>
      <c r="AD1012" s="259"/>
      <c r="AE1012" s="259"/>
    </row>
    <row r="1013" spans="1:31">
      <c r="A1013" s="259" t="s">
        <v>1108</v>
      </c>
      <c r="B1013" s="259" t="s">
        <v>80</v>
      </c>
      <c r="C1013" s="264" t="s">
        <v>5715</v>
      </c>
      <c r="D1013" s="264" t="s">
        <v>1108</v>
      </c>
      <c r="E1013" s="259" t="s">
        <v>5737</v>
      </c>
      <c r="H1013" s="264" t="s">
        <v>5865</v>
      </c>
      <c r="I1013" s="264" t="s">
        <v>5866</v>
      </c>
      <c r="J1013" s="295">
        <v>296.52999999999997</v>
      </c>
      <c r="K1013" s="295">
        <v>236</v>
      </c>
      <c r="L1013" s="295">
        <v>177.92</v>
      </c>
      <c r="M1013" s="295">
        <v>164.10375999999999</v>
      </c>
      <c r="N1013" s="295">
        <v>155.46672000000001</v>
      </c>
      <c r="O1013" s="266">
        <v>2</v>
      </c>
      <c r="P1013" s="266">
        <v>50036905305</v>
      </c>
      <c r="R1013" s="265">
        <v>15.5</v>
      </c>
      <c r="S1013" s="265">
        <v>7</v>
      </c>
      <c r="T1013" s="265">
        <v>13.5</v>
      </c>
      <c r="U1013" s="265">
        <v>7</v>
      </c>
      <c r="V1013" s="259" t="s">
        <v>3028</v>
      </c>
      <c r="W1013" s="259" t="s">
        <v>3029</v>
      </c>
      <c r="X1013" s="264" t="s">
        <v>5867</v>
      </c>
      <c r="Y1013" s="259">
        <v>100</v>
      </c>
      <c r="Z1013" s="259" t="s">
        <v>3030</v>
      </c>
      <c r="AA1013" s="259" t="e">
        <v>#N/A</v>
      </c>
      <c r="AB1013" s="259"/>
      <c r="AC1013" s="259"/>
      <c r="AD1013" s="259"/>
      <c r="AE1013" s="259"/>
    </row>
    <row r="1014" spans="1:31">
      <c r="A1014" s="259" t="s">
        <v>1109</v>
      </c>
      <c r="B1014" s="259" t="s">
        <v>80</v>
      </c>
      <c r="C1014" s="264" t="s">
        <v>5715</v>
      </c>
      <c r="D1014" s="264" t="s">
        <v>1109</v>
      </c>
      <c r="E1014" s="259" t="s">
        <v>5737</v>
      </c>
      <c r="H1014" s="264" t="s">
        <v>5868</v>
      </c>
      <c r="I1014" s="264" t="s">
        <v>5869</v>
      </c>
      <c r="J1014" s="295">
        <v>343.79</v>
      </c>
      <c r="K1014" s="295">
        <v>273</v>
      </c>
      <c r="L1014" s="295">
        <v>206.28</v>
      </c>
      <c r="M1014" s="295">
        <v>190.25830499999998</v>
      </c>
      <c r="N1014" s="295">
        <v>180.24471</v>
      </c>
      <c r="O1014" s="266">
        <v>2</v>
      </c>
      <c r="P1014" s="266">
        <v>50036904957</v>
      </c>
      <c r="R1014" s="265">
        <v>18.75</v>
      </c>
      <c r="S1014" s="265">
        <v>15</v>
      </c>
      <c r="T1014" s="265">
        <v>30</v>
      </c>
      <c r="U1014" s="265">
        <v>15</v>
      </c>
      <c r="V1014" s="259" t="s">
        <v>3028</v>
      </c>
      <c r="W1014" s="259" t="s">
        <v>3029</v>
      </c>
      <c r="X1014" s="264" t="s">
        <v>5870</v>
      </c>
      <c r="Y1014" s="259">
        <v>101</v>
      </c>
      <c r="Z1014" s="259" t="s">
        <v>3030</v>
      </c>
      <c r="AA1014" s="259" t="e">
        <v>#N/A</v>
      </c>
      <c r="AB1014" s="259"/>
      <c r="AC1014" s="259"/>
      <c r="AD1014" s="259"/>
      <c r="AE1014" s="259"/>
    </row>
    <row r="1015" spans="1:31">
      <c r="A1015" s="259" t="s">
        <v>1110</v>
      </c>
      <c r="B1015" s="259" t="s">
        <v>80</v>
      </c>
      <c r="C1015" s="264" t="s">
        <v>5715</v>
      </c>
      <c r="D1015" s="264" t="s">
        <v>1110</v>
      </c>
      <c r="E1015" s="259" t="s">
        <v>5737</v>
      </c>
      <c r="H1015" s="264" t="s">
        <v>5871</v>
      </c>
      <c r="I1015" s="264" t="s">
        <v>5871</v>
      </c>
      <c r="J1015" s="295">
        <v>415.15</v>
      </c>
      <c r="K1015" s="295">
        <v>329</v>
      </c>
      <c r="L1015" s="295">
        <v>249.09</v>
      </c>
      <c r="M1015" s="295">
        <v>229.73916499999999</v>
      </c>
      <c r="N1015" s="295">
        <v>217.64763000000002</v>
      </c>
      <c r="O1015" s="266">
        <v>2</v>
      </c>
      <c r="P1015" s="266">
        <v>50036904681</v>
      </c>
      <c r="R1015" s="265">
        <v>22.5</v>
      </c>
      <c r="S1015" s="265">
        <v>16.125</v>
      </c>
      <c r="T1015" s="265">
        <v>17</v>
      </c>
      <c r="U1015" s="265">
        <v>18.5</v>
      </c>
      <c r="V1015" s="259" t="s">
        <v>3028</v>
      </c>
      <c r="W1015" s="259" t="s">
        <v>3029</v>
      </c>
      <c r="X1015" s="264" t="s">
        <v>5872</v>
      </c>
      <c r="Y1015" s="259">
        <v>102</v>
      </c>
      <c r="Z1015" s="259" t="s">
        <v>3030</v>
      </c>
      <c r="AA1015" s="259" t="e">
        <v>#N/A</v>
      </c>
      <c r="AB1015" s="259"/>
      <c r="AC1015" s="259"/>
      <c r="AD1015" s="259"/>
      <c r="AE1015" s="259"/>
    </row>
    <row r="1016" spans="1:31">
      <c r="A1016" s="259" t="s">
        <v>1111</v>
      </c>
      <c r="B1016" s="259" t="s">
        <v>80</v>
      </c>
      <c r="C1016" s="264" t="s">
        <v>5715</v>
      </c>
      <c r="D1016" s="264" t="s">
        <v>1111</v>
      </c>
      <c r="E1016" s="259" t="s">
        <v>5737</v>
      </c>
      <c r="H1016" s="264" t="s">
        <v>5873</v>
      </c>
      <c r="I1016" s="264" t="s">
        <v>5874</v>
      </c>
      <c r="J1016" s="295">
        <v>295.79000000000002</v>
      </c>
      <c r="K1016" s="295">
        <v>236</v>
      </c>
      <c r="L1016" s="295">
        <v>177.47</v>
      </c>
      <c r="M1016" s="295">
        <v>163.68699500000002</v>
      </c>
      <c r="N1016" s="295">
        <v>155.07189000000002</v>
      </c>
      <c r="O1016" s="266">
        <v>2</v>
      </c>
      <c r="P1016" s="266">
        <v>50036904940</v>
      </c>
      <c r="R1016" s="265">
        <v>16</v>
      </c>
      <c r="S1016" s="265">
        <v>15</v>
      </c>
      <c r="T1016" s="265">
        <v>19</v>
      </c>
      <c r="U1016" s="265">
        <v>9</v>
      </c>
      <c r="V1016" s="259" t="s">
        <v>3028</v>
      </c>
      <c r="W1016" s="259" t="s">
        <v>3029</v>
      </c>
      <c r="X1016" s="264" t="s">
        <v>5875</v>
      </c>
      <c r="Y1016" s="259">
        <v>103</v>
      </c>
      <c r="Z1016" s="259" t="s">
        <v>3030</v>
      </c>
      <c r="AA1016" s="259" t="e">
        <v>#N/A</v>
      </c>
      <c r="AB1016" s="259"/>
      <c r="AC1016" s="259"/>
      <c r="AD1016" s="259"/>
      <c r="AE1016" s="259"/>
    </row>
    <row r="1017" spans="1:31">
      <c r="A1017" s="259" t="s">
        <v>1112</v>
      </c>
      <c r="B1017" s="259" t="s">
        <v>80</v>
      </c>
      <c r="C1017" s="264" t="s">
        <v>5725</v>
      </c>
      <c r="D1017" s="264" t="s">
        <v>1112</v>
      </c>
      <c r="E1017" s="259" t="s">
        <v>5737</v>
      </c>
      <c r="H1017" s="264" t="s">
        <v>5876</v>
      </c>
      <c r="I1017" s="264" t="s">
        <v>5877</v>
      </c>
      <c r="J1017" s="295">
        <v>172.29</v>
      </c>
      <c r="K1017" s="295">
        <v>172.29</v>
      </c>
      <c r="L1017" s="295">
        <v>103.38</v>
      </c>
      <c r="O1017" s="266">
        <v>0</v>
      </c>
      <c r="P1017" s="266">
        <v>691991300721</v>
      </c>
      <c r="R1017" s="265">
        <v>2.25</v>
      </c>
      <c r="S1017" s="265">
        <v>15</v>
      </c>
      <c r="T1017" s="265">
        <v>24</v>
      </c>
      <c r="U1017" s="265">
        <v>6</v>
      </c>
      <c r="V1017" s="259" t="s">
        <v>3028</v>
      </c>
      <c r="W1017" s="259" t="s">
        <v>3029</v>
      </c>
      <c r="X1017" s="264" t="s">
        <v>5832</v>
      </c>
      <c r="Y1017" s="259">
        <v>104</v>
      </c>
      <c r="Z1017" s="259" t="s">
        <v>3264</v>
      </c>
      <c r="AA1017" s="259" t="e">
        <v>#N/A</v>
      </c>
      <c r="AB1017" s="259"/>
      <c r="AC1017" s="259"/>
      <c r="AD1017" s="259"/>
      <c r="AE1017" s="259"/>
    </row>
    <row r="1018" spans="1:31">
      <c r="A1018" s="259" t="s">
        <v>1113</v>
      </c>
      <c r="B1018" s="259" t="s">
        <v>80</v>
      </c>
      <c r="C1018" s="264" t="s">
        <v>5725</v>
      </c>
      <c r="D1018" s="264" t="s">
        <v>1113</v>
      </c>
      <c r="E1018" s="259" t="s">
        <v>5737</v>
      </c>
      <c r="H1018" s="264" t="s">
        <v>5878</v>
      </c>
      <c r="I1018" s="264" t="s">
        <v>5879</v>
      </c>
      <c r="J1018" s="295">
        <v>142.25</v>
      </c>
      <c r="K1018" s="295">
        <v>142.25</v>
      </c>
      <c r="L1018" s="295">
        <v>85.29</v>
      </c>
      <c r="O1018" s="266">
        <v>0</v>
      </c>
      <c r="P1018" s="266">
        <v>691991300738</v>
      </c>
      <c r="R1018" s="265">
        <v>41.8</v>
      </c>
      <c r="S1018" s="265">
        <v>15</v>
      </c>
      <c r="T1018" s="265">
        <v>24</v>
      </c>
      <c r="U1018" s="265">
        <v>1</v>
      </c>
      <c r="V1018" s="259" t="s">
        <v>3028</v>
      </c>
      <c r="W1018" s="259" t="s">
        <v>3029</v>
      </c>
      <c r="X1018" s="264" t="s">
        <v>5835</v>
      </c>
      <c r="Y1018" s="259">
        <v>105</v>
      </c>
      <c r="Z1018" s="259" t="s">
        <v>3030</v>
      </c>
      <c r="AA1018" s="259" t="e">
        <v>#N/A</v>
      </c>
      <c r="AB1018" s="259"/>
      <c r="AC1018" s="259"/>
      <c r="AD1018" s="259"/>
      <c r="AE1018" s="259"/>
    </row>
    <row r="1019" spans="1:31">
      <c r="A1019" s="259" t="s">
        <v>1114</v>
      </c>
      <c r="B1019" s="259" t="s">
        <v>80</v>
      </c>
      <c r="C1019" s="264" t="s">
        <v>5725</v>
      </c>
      <c r="D1019" s="264" t="s">
        <v>1114</v>
      </c>
      <c r="E1019" s="259" t="s">
        <v>5737</v>
      </c>
      <c r="H1019" s="264" t="s">
        <v>5880</v>
      </c>
      <c r="I1019" s="264" t="s">
        <v>5881</v>
      </c>
      <c r="J1019" s="295">
        <v>313.19</v>
      </c>
      <c r="K1019" s="295">
        <v>313.19</v>
      </c>
      <c r="L1019" s="295">
        <v>187.99</v>
      </c>
      <c r="O1019" s="266">
        <v>0</v>
      </c>
      <c r="P1019" s="266">
        <v>691991300745</v>
      </c>
      <c r="R1019" s="265">
        <v>7.3</v>
      </c>
      <c r="S1019" s="265">
        <v>24</v>
      </c>
      <c r="T1019" s="265">
        <v>14.25</v>
      </c>
      <c r="U1019" s="265">
        <v>3.75</v>
      </c>
      <c r="V1019" s="259" t="s">
        <v>3028</v>
      </c>
      <c r="W1019" s="259" t="s">
        <v>3029</v>
      </c>
      <c r="X1019" s="264" t="s">
        <v>5832</v>
      </c>
      <c r="Y1019" s="259">
        <v>106</v>
      </c>
      <c r="Z1019" s="259" t="s">
        <v>3030</v>
      </c>
      <c r="AA1019" s="259" t="e">
        <v>#N/A</v>
      </c>
      <c r="AB1019" s="259"/>
      <c r="AC1019" s="259"/>
      <c r="AD1019" s="259"/>
      <c r="AE1019" s="259"/>
    </row>
    <row r="1020" spans="1:31">
      <c r="A1020" s="259" t="s">
        <v>1115</v>
      </c>
      <c r="B1020" s="259" t="s">
        <v>80</v>
      </c>
      <c r="C1020" s="264" t="s">
        <v>5725</v>
      </c>
      <c r="D1020" s="264" t="s">
        <v>1115</v>
      </c>
      <c r="E1020" s="259" t="s">
        <v>5737</v>
      </c>
      <c r="H1020" s="264" t="s">
        <v>5882</v>
      </c>
      <c r="I1020" s="264" t="s">
        <v>5883</v>
      </c>
      <c r="J1020" s="295">
        <v>225.85</v>
      </c>
      <c r="K1020" s="295">
        <v>225.85</v>
      </c>
      <c r="L1020" s="295">
        <v>135.36000000000001</v>
      </c>
      <c r="O1020" s="266">
        <v>0</v>
      </c>
      <c r="P1020" s="266">
        <v>691991300752</v>
      </c>
      <c r="R1020" s="265">
        <v>5.2</v>
      </c>
      <c r="S1020" s="265">
        <v>24</v>
      </c>
      <c r="T1020" s="265">
        <v>15</v>
      </c>
      <c r="U1020" s="265">
        <v>1</v>
      </c>
      <c r="V1020" s="259" t="s">
        <v>3028</v>
      </c>
      <c r="W1020" s="259" t="s">
        <v>3029</v>
      </c>
      <c r="X1020" s="264" t="s">
        <v>5835</v>
      </c>
      <c r="Y1020" s="259">
        <v>107</v>
      </c>
      <c r="Z1020" s="259" t="s">
        <v>3030</v>
      </c>
      <c r="AA1020" s="259" t="e">
        <v>#N/A</v>
      </c>
      <c r="AB1020" s="259"/>
      <c r="AC1020" s="259"/>
      <c r="AD1020" s="259"/>
      <c r="AE1020" s="259"/>
    </row>
    <row r="1021" spans="1:31">
      <c r="A1021" s="259" t="s">
        <v>1116</v>
      </c>
      <c r="B1021" s="259" t="s">
        <v>80</v>
      </c>
      <c r="C1021" s="264"/>
      <c r="D1021" s="264"/>
      <c r="H1021" s="264"/>
      <c r="I1021" s="264"/>
      <c r="J1021" s="295">
        <v>0</v>
      </c>
      <c r="K1021" s="295">
        <v>0</v>
      </c>
      <c r="L1021" s="295">
        <v>0</v>
      </c>
      <c r="O1021" s="266"/>
      <c r="R1021" s="265">
        <v>0</v>
      </c>
      <c r="S1021" s="265">
        <v>0</v>
      </c>
      <c r="T1021" s="265">
        <v>0</v>
      </c>
      <c r="U1021" s="265">
        <v>0</v>
      </c>
      <c r="V1021" s="259" t="s">
        <v>3028</v>
      </c>
      <c r="W1021" s="259" t="s">
        <v>3029</v>
      </c>
      <c r="Y1021" s="259">
        <v>108</v>
      </c>
      <c r="AA1021" s="259" t="e">
        <v>#N/A</v>
      </c>
      <c r="AB1021" s="259"/>
      <c r="AC1021" s="259"/>
      <c r="AD1021" s="259"/>
      <c r="AE1021" s="259"/>
    </row>
    <row r="1022" spans="1:31">
      <c r="A1022" s="259" t="s">
        <v>1117</v>
      </c>
      <c r="B1022" s="259" t="s">
        <v>80</v>
      </c>
      <c r="C1022" s="264" t="s">
        <v>5715</v>
      </c>
      <c r="D1022" s="264" t="s">
        <v>1117</v>
      </c>
      <c r="E1022" s="259" t="s">
        <v>5737</v>
      </c>
      <c r="H1022" s="264" t="s">
        <v>5884</v>
      </c>
      <c r="I1022" s="264" t="s">
        <v>5885</v>
      </c>
      <c r="J1022" s="295">
        <v>454.08</v>
      </c>
      <c r="K1022" s="295">
        <v>360</v>
      </c>
      <c r="L1022" s="295">
        <v>272.44</v>
      </c>
      <c r="M1022" s="295">
        <v>251.27880000000002</v>
      </c>
      <c r="N1022" s="295">
        <v>238.05360000000002</v>
      </c>
      <c r="O1022" s="266">
        <v>2</v>
      </c>
      <c r="P1022" s="266">
        <v>50036905107</v>
      </c>
      <c r="R1022" s="265">
        <v>25</v>
      </c>
      <c r="S1022" s="265">
        <v>15.5</v>
      </c>
      <c r="T1022" s="265">
        <v>7</v>
      </c>
      <c r="U1022" s="265">
        <v>8.5</v>
      </c>
      <c r="V1022" s="259" t="s">
        <v>3028</v>
      </c>
      <c r="W1022" s="259" t="s">
        <v>3029</v>
      </c>
      <c r="X1022" s="264" t="s">
        <v>5886</v>
      </c>
      <c r="Y1022" s="259">
        <v>109</v>
      </c>
      <c r="Z1022" s="259" t="s">
        <v>3030</v>
      </c>
      <c r="AA1022" s="259" t="e">
        <v>#N/A</v>
      </c>
      <c r="AB1022" s="259"/>
      <c r="AC1022" s="259"/>
      <c r="AD1022" s="259"/>
      <c r="AE1022" s="259"/>
    </row>
    <row r="1023" spans="1:31">
      <c r="A1023" s="259" t="s">
        <v>1118</v>
      </c>
      <c r="B1023" s="259" t="s">
        <v>80</v>
      </c>
      <c r="C1023" s="264" t="s">
        <v>5715</v>
      </c>
      <c r="D1023" s="264" t="s">
        <v>1118</v>
      </c>
      <c r="E1023" s="259" t="s">
        <v>5737</v>
      </c>
      <c r="H1023" s="264" t="s">
        <v>5887</v>
      </c>
      <c r="I1023" s="264" t="s">
        <v>5888</v>
      </c>
      <c r="J1023" s="295">
        <v>361.96</v>
      </c>
      <c r="K1023" s="295">
        <v>294</v>
      </c>
      <c r="L1023" s="295">
        <v>217.18</v>
      </c>
      <c r="M1023" s="295">
        <v>200.31149000000002</v>
      </c>
      <c r="N1023" s="295">
        <v>189.76878000000002</v>
      </c>
      <c r="O1023" s="266">
        <v>0</v>
      </c>
      <c r="P1023" s="266">
        <v>50036905114</v>
      </c>
      <c r="R1023" s="265">
        <v>12.2</v>
      </c>
      <c r="S1023" s="265">
        <v>15.5</v>
      </c>
      <c r="T1023" s="265">
        <v>15.5</v>
      </c>
      <c r="U1023" s="265">
        <v>10</v>
      </c>
      <c r="V1023" s="259" t="s">
        <v>3028</v>
      </c>
      <c r="W1023" s="259" t="s">
        <v>3029</v>
      </c>
      <c r="X1023" s="264" t="s">
        <v>5889</v>
      </c>
      <c r="Y1023" s="259">
        <v>110</v>
      </c>
      <c r="Z1023" s="259" t="s">
        <v>3030</v>
      </c>
      <c r="AA1023" s="259" t="e">
        <v>#N/A</v>
      </c>
      <c r="AB1023" s="259"/>
      <c r="AC1023" s="259"/>
      <c r="AD1023" s="259"/>
      <c r="AE1023" s="259"/>
    </row>
    <row r="1024" spans="1:31">
      <c r="A1024" s="259" t="s">
        <v>1119</v>
      </c>
      <c r="B1024" s="259" t="s">
        <v>80</v>
      </c>
      <c r="C1024" s="264" t="s">
        <v>5715</v>
      </c>
      <c r="D1024" s="264" t="s">
        <v>1119</v>
      </c>
      <c r="E1024" s="259" t="s">
        <v>5737</v>
      </c>
      <c r="H1024" s="264" t="s">
        <v>5887</v>
      </c>
      <c r="I1024" s="264" t="s">
        <v>5890</v>
      </c>
      <c r="J1024" s="295">
        <v>412.56</v>
      </c>
      <c r="K1024" s="295">
        <v>329</v>
      </c>
      <c r="L1024" s="295">
        <v>247.53</v>
      </c>
      <c r="M1024" s="295">
        <v>228.30589999999998</v>
      </c>
      <c r="N1024" s="295">
        <v>216.28980000000001</v>
      </c>
      <c r="O1024" s="266">
        <v>0</v>
      </c>
      <c r="P1024" s="266">
        <v>50036905121</v>
      </c>
      <c r="R1024" s="265">
        <v>14.65</v>
      </c>
      <c r="S1024" s="265">
        <v>16</v>
      </c>
      <c r="T1024" s="265">
        <v>16</v>
      </c>
      <c r="U1024" s="265">
        <v>10</v>
      </c>
      <c r="V1024" s="259" t="s">
        <v>3028</v>
      </c>
      <c r="W1024" s="259" t="s">
        <v>3029</v>
      </c>
      <c r="X1024" s="264" t="s">
        <v>5891</v>
      </c>
      <c r="Y1024" s="259">
        <v>111</v>
      </c>
      <c r="Z1024" s="259" t="s">
        <v>3030</v>
      </c>
      <c r="AA1024" s="259" t="e">
        <v>#N/A</v>
      </c>
      <c r="AB1024" s="259"/>
      <c r="AC1024" s="259"/>
      <c r="AD1024" s="259"/>
      <c r="AE1024" s="259"/>
    </row>
    <row r="1025" spans="1:31">
      <c r="A1025" s="259" t="s">
        <v>1120</v>
      </c>
      <c r="B1025" s="259" t="s">
        <v>80</v>
      </c>
      <c r="C1025" s="264" t="s">
        <v>5725</v>
      </c>
      <c r="D1025" s="264" t="s">
        <v>1120</v>
      </c>
      <c r="E1025" s="259" t="s">
        <v>5737</v>
      </c>
      <c r="H1025" s="264" t="s">
        <v>5892</v>
      </c>
      <c r="I1025" s="264" t="s">
        <v>5893</v>
      </c>
      <c r="J1025" s="295">
        <v>94.84</v>
      </c>
      <c r="K1025" s="295">
        <v>94.84</v>
      </c>
      <c r="L1025" s="295">
        <v>56.86</v>
      </c>
      <c r="M1025" s="295">
        <v>52.441234999999999</v>
      </c>
      <c r="N1025" s="295">
        <v>49.681170000000002</v>
      </c>
      <c r="O1025" s="266">
        <v>0</v>
      </c>
      <c r="P1025" s="266">
        <v>691991300103</v>
      </c>
      <c r="R1025" s="265">
        <v>9.3000000000000007</v>
      </c>
      <c r="S1025" s="265">
        <v>14</v>
      </c>
      <c r="T1025" s="265">
        <v>14</v>
      </c>
      <c r="U1025" s="265">
        <v>10</v>
      </c>
      <c r="V1025" s="259" t="s">
        <v>3028</v>
      </c>
      <c r="W1025" s="259" t="s">
        <v>3029</v>
      </c>
      <c r="X1025" s="264" t="s">
        <v>5894</v>
      </c>
      <c r="Y1025" s="259">
        <v>112</v>
      </c>
      <c r="Z1025" s="259" t="s">
        <v>3030</v>
      </c>
      <c r="AA1025" s="259" t="e">
        <v>#N/A</v>
      </c>
      <c r="AB1025" s="259"/>
      <c r="AC1025" s="259"/>
      <c r="AD1025" s="259"/>
      <c r="AE1025" s="259"/>
    </row>
    <row r="1026" spans="1:31">
      <c r="A1026" s="259" t="s">
        <v>1121</v>
      </c>
      <c r="B1026" s="259" t="s">
        <v>80</v>
      </c>
      <c r="C1026" s="264" t="s">
        <v>5725</v>
      </c>
      <c r="D1026" s="264" t="s">
        <v>1121</v>
      </c>
      <c r="E1026" s="259" t="s">
        <v>5737</v>
      </c>
      <c r="H1026" s="264" t="s">
        <v>5895</v>
      </c>
      <c r="I1026" s="264" t="s">
        <v>5896</v>
      </c>
      <c r="J1026" s="295">
        <v>39.93</v>
      </c>
      <c r="K1026" s="295">
        <v>39.93</v>
      </c>
      <c r="L1026" s="295">
        <v>23.99</v>
      </c>
      <c r="M1026" s="295">
        <v>22.129204999999999</v>
      </c>
      <c r="N1026" s="295">
        <v>20.964510000000001</v>
      </c>
      <c r="O1026" s="266">
        <v>1</v>
      </c>
      <c r="P1026" s="266">
        <v>50036904780</v>
      </c>
      <c r="R1026" s="265">
        <v>1.75</v>
      </c>
      <c r="S1026" s="265">
        <v>2</v>
      </c>
      <c r="T1026" s="265">
        <v>15</v>
      </c>
      <c r="U1026" s="265">
        <v>15</v>
      </c>
      <c r="V1026" s="259" t="s">
        <v>3028</v>
      </c>
      <c r="W1026" s="259" t="s">
        <v>3029</v>
      </c>
      <c r="X1026" s="264" t="s">
        <v>5897</v>
      </c>
      <c r="Y1026" s="259">
        <v>113</v>
      </c>
      <c r="Z1026" s="259" t="s">
        <v>3030</v>
      </c>
      <c r="AA1026" s="259" t="e">
        <v>#N/A</v>
      </c>
      <c r="AB1026" s="259"/>
      <c r="AC1026" s="259"/>
      <c r="AD1026" s="259"/>
      <c r="AE1026" s="259"/>
    </row>
    <row r="1027" spans="1:31">
      <c r="A1027" s="259" t="s">
        <v>1122</v>
      </c>
      <c r="B1027" s="259" t="s">
        <v>80</v>
      </c>
      <c r="C1027" s="264" t="s">
        <v>5725</v>
      </c>
      <c r="D1027" s="264" t="s">
        <v>1122</v>
      </c>
      <c r="E1027" s="259" t="s">
        <v>5737</v>
      </c>
      <c r="H1027" s="264" t="s">
        <v>5898</v>
      </c>
      <c r="I1027" s="264" t="s">
        <v>5899</v>
      </c>
      <c r="J1027" s="295">
        <v>66.14</v>
      </c>
      <c r="K1027" s="295">
        <v>66.14</v>
      </c>
      <c r="L1027" s="295">
        <v>40.270000000000003</v>
      </c>
      <c r="O1027" s="266">
        <v>1</v>
      </c>
      <c r="P1027" s="266">
        <v>691991300097</v>
      </c>
      <c r="R1027" s="265">
        <v>2.25</v>
      </c>
      <c r="S1027" s="265">
        <v>1</v>
      </c>
      <c r="T1027" s="265">
        <v>15</v>
      </c>
      <c r="U1027" s="265">
        <v>15</v>
      </c>
      <c r="V1027" s="259" t="s">
        <v>3028</v>
      </c>
      <c r="W1027" s="259" t="s">
        <v>3029</v>
      </c>
      <c r="X1027" s="264" t="s">
        <v>5900</v>
      </c>
      <c r="Y1027" s="259">
        <v>114</v>
      </c>
      <c r="Z1027" s="259" t="s">
        <v>3030</v>
      </c>
      <c r="AA1027" s="259" t="e">
        <v>#N/A</v>
      </c>
      <c r="AB1027" s="259"/>
      <c r="AC1027" s="259"/>
      <c r="AD1027" s="259"/>
      <c r="AE1027" s="259"/>
    </row>
    <row r="1028" spans="1:31">
      <c r="A1028" s="259" t="s">
        <v>1123</v>
      </c>
      <c r="B1028" s="259" t="s">
        <v>80</v>
      </c>
      <c r="C1028" s="264" t="s">
        <v>5725</v>
      </c>
      <c r="D1028" s="264" t="s">
        <v>1123</v>
      </c>
      <c r="E1028" s="259" t="s">
        <v>5737</v>
      </c>
      <c r="H1028" s="264" t="s">
        <v>5901</v>
      </c>
      <c r="I1028" s="264" t="s">
        <v>5902</v>
      </c>
      <c r="J1028" s="295">
        <v>33.69</v>
      </c>
      <c r="K1028" s="295">
        <v>33.69</v>
      </c>
      <c r="L1028" s="295">
        <v>20.190000000000001</v>
      </c>
      <c r="O1028" s="266">
        <v>6</v>
      </c>
      <c r="P1028" s="266">
        <v>691991300080</v>
      </c>
      <c r="R1028" s="265">
        <v>6</v>
      </c>
      <c r="S1028" s="265">
        <v>18.75</v>
      </c>
      <c r="T1028" s="265">
        <v>29</v>
      </c>
      <c r="U1028" s="265">
        <v>2.75</v>
      </c>
      <c r="V1028" s="259" t="s">
        <v>3028</v>
      </c>
      <c r="W1028" s="259" t="s">
        <v>3029</v>
      </c>
      <c r="X1028" s="264" t="s">
        <v>5903</v>
      </c>
      <c r="Y1028" s="259">
        <v>115</v>
      </c>
      <c r="Z1028" s="259" t="s">
        <v>3030</v>
      </c>
      <c r="AA1028" s="259" t="e">
        <v>#N/A</v>
      </c>
      <c r="AB1028" s="259"/>
      <c r="AC1028" s="259"/>
      <c r="AD1028" s="259"/>
      <c r="AE1028" s="259"/>
    </row>
    <row r="1029" spans="1:31">
      <c r="A1029" s="259" t="s">
        <v>1124</v>
      </c>
      <c r="B1029" s="259" t="s">
        <v>80</v>
      </c>
      <c r="C1029" s="264"/>
      <c r="D1029" s="264"/>
      <c r="H1029" s="264"/>
      <c r="I1029" s="264"/>
      <c r="J1029" s="295">
        <v>0</v>
      </c>
      <c r="K1029" s="295">
        <v>0</v>
      </c>
      <c r="L1029" s="295">
        <v>0</v>
      </c>
      <c r="O1029" s="266"/>
      <c r="R1029" s="265">
        <v>0</v>
      </c>
      <c r="S1029" s="265">
        <v>0</v>
      </c>
      <c r="T1029" s="265">
        <v>0</v>
      </c>
      <c r="U1029" s="265">
        <v>0</v>
      </c>
      <c r="V1029" s="259" t="s">
        <v>3028</v>
      </c>
      <c r="W1029" s="259" t="s">
        <v>3029</v>
      </c>
      <c r="Y1029" s="259">
        <v>116</v>
      </c>
      <c r="AA1029" s="259" t="e">
        <v>#N/A</v>
      </c>
      <c r="AB1029" s="259"/>
      <c r="AC1029" s="259"/>
      <c r="AD1029" s="259"/>
      <c r="AE1029" s="259"/>
    </row>
    <row r="1030" spans="1:31">
      <c r="A1030" s="259" t="s">
        <v>1125</v>
      </c>
      <c r="B1030" s="259" t="s">
        <v>80</v>
      </c>
      <c r="C1030" s="264" t="s">
        <v>5715</v>
      </c>
      <c r="D1030" s="264" t="s">
        <v>1125</v>
      </c>
      <c r="E1030" s="259" t="s">
        <v>5737</v>
      </c>
      <c r="H1030" s="264" t="s">
        <v>5904</v>
      </c>
      <c r="I1030" s="264" t="s">
        <v>5905</v>
      </c>
      <c r="J1030" s="295">
        <v>690.19</v>
      </c>
      <c r="K1030" s="295">
        <v>552</v>
      </c>
      <c r="L1030" s="295">
        <v>414.11</v>
      </c>
      <c r="M1030" s="295">
        <v>381.94987499999996</v>
      </c>
      <c r="N1030" s="295">
        <v>361.84725000000003</v>
      </c>
      <c r="O1030" s="266">
        <v>0</v>
      </c>
      <c r="P1030" s="266">
        <v>50036905138</v>
      </c>
      <c r="R1030" s="265">
        <v>23</v>
      </c>
      <c r="S1030" s="265">
        <v>18</v>
      </c>
      <c r="T1030" s="265">
        <v>18</v>
      </c>
      <c r="U1030" s="265">
        <v>13</v>
      </c>
      <c r="V1030" s="259" t="s">
        <v>3028</v>
      </c>
      <c r="W1030" s="259" t="s">
        <v>3029</v>
      </c>
      <c r="X1030" s="264" t="s">
        <v>5906</v>
      </c>
      <c r="Y1030" s="259">
        <v>117</v>
      </c>
      <c r="Z1030" s="259" t="s">
        <v>3030</v>
      </c>
      <c r="AA1030" s="259" t="e">
        <v>#N/A</v>
      </c>
      <c r="AB1030" s="259"/>
      <c r="AC1030" s="259"/>
      <c r="AD1030" s="259"/>
      <c r="AE1030" s="259"/>
    </row>
    <row r="1031" spans="1:31">
      <c r="A1031" s="259" t="s">
        <v>1126</v>
      </c>
      <c r="B1031" s="259" t="s">
        <v>80</v>
      </c>
      <c r="C1031" s="264" t="s">
        <v>5715</v>
      </c>
      <c r="D1031" s="264" t="s">
        <v>1126</v>
      </c>
      <c r="E1031" s="259" t="s">
        <v>5737</v>
      </c>
      <c r="H1031" s="264" t="s">
        <v>5907</v>
      </c>
      <c r="I1031" s="264" t="s">
        <v>5908</v>
      </c>
      <c r="J1031" s="295">
        <v>556.54999999999995</v>
      </c>
      <c r="K1031" s="295">
        <v>449</v>
      </c>
      <c r="L1031" s="295">
        <v>333.94</v>
      </c>
      <c r="M1031" s="295">
        <v>307.99950000000001</v>
      </c>
      <c r="N1031" s="295">
        <v>291.78900000000004</v>
      </c>
      <c r="O1031" s="266">
        <v>0</v>
      </c>
      <c r="P1031" s="266">
        <v>50036905138</v>
      </c>
      <c r="R1031" s="265">
        <v>19.600000000000001</v>
      </c>
      <c r="S1031" s="265">
        <v>17.5</v>
      </c>
      <c r="T1031" s="265">
        <v>18</v>
      </c>
      <c r="U1031" s="265">
        <v>12</v>
      </c>
      <c r="V1031" s="259" t="s">
        <v>3028</v>
      </c>
      <c r="W1031" s="259" t="s">
        <v>3029</v>
      </c>
      <c r="X1031" s="264" t="s">
        <v>5909</v>
      </c>
      <c r="Y1031" s="259">
        <v>118</v>
      </c>
      <c r="Z1031" s="259" t="s">
        <v>3030</v>
      </c>
      <c r="AA1031" s="259" t="e">
        <v>#N/A</v>
      </c>
      <c r="AB1031" s="259"/>
      <c r="AC1031" s="259"/>
      <c r="AD1031" s="259"/>
      <c r="AE1031" s="259"/>
    </row>
    <row r="1032" spans="1:31">
      <c r="A1032" s="259" t="s">
        <v>1127</v>
      </c>
      <c r="B1032" s="259" t="s">
        <v>80</v>
      </c>
      <c r="C1032" s="264" t="s">
        <v>5715</v>
      </c>
      <c r="D1032" s="264" t="s">
        <v>1127</v>
      </c>
      <c r="E1032" s="259" t="s">
        <v>5737</v>
      </c>
      <c r="H1032" s="264" t="s">
        <v>5910</v>
      </c>
      <c r="I1032" s="264" t="s">
        <v>5911</v>
      </c>
      <c r="J1032" s="295">
        <v>612.35</v>
      </c>
      <c r="K1032" s="295">
        <v>490</v>
      </c>
      <c r="L1032" s="295">
        <v>367.41</v>
      </c>
      <c r="M1032" s="295">
        <v>338.87060500000001</v>
      </c>
      <c r="N1032" s="295">
        <v>321.03531000000004</v>
      </c>
      <c r="O1032" s="266">
        <v>0</v>
      </c>
      <c r="P1032" s="266">
        <v>50036904070</v>
      </c>
      <c r="R1032" s="265">
        <v>21.75</v>
      </c>
      <c r="S1032" s="265">
        <v>17.5</v>
      </c>
      <c r="T1032" s="265">
        <v>17.5</v>
      </c>
      <c r="U1032" s="265">
        <v>12</v>
      </c>
      <c r="V1032" s="259" t="s">
        <v>3028</v>
      </c>
      <c r="W1032" s="259" t="s">
        <v>3029</v>
      </c>
      <c r="X1032" s="264" t="s">
        <v>5912</v>
      </c>
      <c r="Y1032" s="259">
        <v>119</v>
      </c>
      <c r="Z1032" s="259" t="s">
        <v>3030</v>
      </c>
      <c r="AA1032" s="259" t="e">
        <v>#N/A</v>
      </c>
      <c r="AB1032" s="259"/>
      <c r="AC1032" s="259"/>
      <c r="AD1032" s="259"/>
      <c r="AE1032" s="259"/>
    </row>
    <row r="1033" spans="1:31">
      <c r="A1033" s="259" t="s">
        <v>1128</v>
      </c>
      <c r="B1033" s="259" t="s">
        <v>80</v>
      </c>
      <c r="C1033" s="264" t="s">
        <v>5715</v>
      </c>
      <c r="D1033" s="264" t="s">
        <v>1128</v>
      </c>
      <c r="E1033" s="259" t="s">
        <v>5737</v>
      </c>
      <c r="H1033" s="264" t="s">
        <v>5913</v>
      </c>
      <c r="I1033" s="264" t="s">
        <v>5914</v>
      </c>
      <c r="J1033" s="295">
        <v>809.54</v>
      </c>
      <c r="K1033" s="295">
        <v>648</v>
      </c>
      <c r="L1033" s="295">
        <v>485.73</v>
      </c>
      <c r="M1033" s="295">
        <v>448.00204500000001</v>
      </c>
      <c r="N1033" s="295">
        <v>424.42299000000003</v>
      </c>
      <c r="O1033" s="266">
        <v>0</v>
      </c>
      <c r="P1033" s="266">
        <v>50036905152</v>
      </c>
      <c r="R1033" s="265">
        <v>24</v>
      </c>
      <c r="S1033" s="265">
        <v>17</v>
      </c>
      <c r="T1033" s="265">
        <v>17</v>
      </c>
      <c r="U1033" s="265">
        <v>12</v>
      </c>
      <c r="V1033" s="259" t="s">
        <v>3028</v>
      </c>
      <c r="W1033" s="259" t="s">
        <v>3029</v>
      </c>
      <c r="X1033" s="264" t="s">
        <v>5915</v>
      </c>
      <c r="Y1033" s="259">
        <v>120</v>
      </c>
      <c r="Z1033" s="259" t="s">
        <v>3030</v>
      </c>
      <c r="AA1033" s="259" t="e">
        <v>#N/A</v>
      </c>
      <c r="AB1033" s="259"/>
      <c r="AC1033" s="259"/>
      <c r="AD1033" s="259"/>
      <c r="AE1033" s="259"/>
    </row>
    <row r="1034" spans="1:31">
      <c r="A1034" s="259" t="s">
        <v>1129</v>
      </c>
      <c r="B1034" s="259" t="s">
        <v>80</v>
      </c>
      <c r="C1034" s="264" t="s">
        <v>5715</v>
      </c>
      <c r="D1034" s="264" t="s">
        <v>1129</v>
      </c>
      <c r="E1034" s="259" t="s">
        <v>5737</v>
      </c>
      <c r="H1034" s="264" t="s">
        <v>5916</v>
      </c>
      <c r="I1034" s="264" t="s">
        <v>5917</v>
      </c>
      <c r="J1034" s="295">
        <v>879.6</v>
      </c>
      <c r="K1034" s="295">
        <v>706</v>
      </c>
      <c r="L1034" s="295">
        <v>527.76</v>
      </c>
      <c r="M1034" s="295">
        <v>486.77135499999997</v>
      </c>
      <c r="N1034" s="295">
        <v>461.15181000000001</v>
      </c>
      <c r="O1034" s="266">
        <v>0</v>
      </c>
      <c r="P1034" s="266">
        <v>50036905169</v>
      </c>
      <c r="R1034" s="265">
        <v>26.15</v>
      </c>
      <c r="S1034" s="265">
        <v>18</v>
      </c>
      <c r="T1034" s="265">
        <v>18</v>
      </c>
      <c r="U1034" s="265">
        <v>13</v>
      </c>
      <c r="V1034" s="259" t="s">
        <v>3028</v>
      </c>
      <c r="W1034" s="259" t="s">
        <v>3029</v>
      </c>
      <c r="X1034" s="264" t="s">
        <v>5918</v>
      </c>
      <c r="Y1034" s="259">
        <v>121</v>
      </c>
      <c r="Z1034" s="259" t="s">
        <v>3030</v>
      </c>
      <c r="AA1034" s="259" t="e">
        <v>#N/A</v>
      </c>
      <c r="AB1034" s="259"/>
      <c r="AC1034" s="259"/>
      <c r="AD1034" s="259"/>
      <c r="AE1034" s="259"/>
    </row>
    <row r="1035" spans="1:31">
      <c r="A1035" s="259" t="s">
        <v>1130</v>
      </c>
      <c r="B1035" s="259" t="s">
        <v>80</v>
      </c>
      <c r="C1035" s="264" t="s">
        <v>5715</v>
      </c>
      <c r="D1035" s="264" t="s">
        <v>1130</v>
      </c>
      <c r="E1035" s="259" t="s">
        <v>5737</v>
      </c>
      <c r="H1035" s="264" t="s">
        <v>5919</v>
      </c>
      <c r="I1035" s="264" t="s">
        <v>5920</v>
      </c>
      <c r="J1035" s="295">
        <v>451.48</v>
      </c>
      <c r="K1035" s="295">
        <v>360</v>
      </c>
      <c r="L1035" s="295">
        <v>270.89</v>
      </c>
      <c r="M1035" s="295">
        <v>249.84553499999998</v>
      </c>
      <c r="N1035" s="295">
        <v>236.69576999999998</v>
      </c>
      <c r="O1035" s="266">
        <v>0</v>
      </c>
      <c r="P1035" s="266">
        <v>50036905176</v>
      </c>
      <c r="R1035" s="265">
        <v>14.75</v>
      </c>
      <c r="S1035" s="265">
        <v>15</v>
      </c>
      <c r="T1035" s="265">
        <v>15</v>
      </c>
      <c r="U1035" s="265">
        <v>12</v>
      </c>
      <c r="V1035" s="259" t="s">
        <v>3028</v>
      </c>
      <c r="W1035" s="259" t="s">
        <v>3029</v>
      </c>
      <c r="X1035" s="264" t="s">
        <v>5921</v>
      </c>
      <c r="Y1035" s="259">
        <v>122</v>
      </c>
      <c r="Z1035" s="259" t="s">
        <v>3030</v>
      </c>
      <c r="AA1035" s="259" t="e">
        <v>#N/A</v>
      </c>
      <c r="AB1035" s="259"/>
      <c r="AC1035" s="259"/>
      <c r="AD1035" s="259"/>
      <c r="AE1035" s="259"/>
    </row>
    <row r="1036" spans="1:31">
      <c r="A1036" s="259" t="s">
        <v>1131</v>
      </c>
      <c r="B1036" s="259" t="s">
        <v>80</v>
      </c>
      <c r="C1036" s="264" t="s">
        <v>5715</v>
      </c>
      <c r="D1036" s="264" t="s">
        <v>1131</v>
      </c>
      <c r="E1036" s="259" t="s">
        <v>5737</v>
      </c>
      <c r="H1036" s="264" t="s">
        <v>5922</v>
      </c>
      <c r="I1036" s="264" t="s">
        <v>5923</v>
      </c>
      <c r="J1036" s="295">
        <v>507.26</v>
      </c>
      <c r="K1036" s="295">
        <v>407</v>
      </c>
      <c r="L1036" s="295">
        <v>304.36</v>
      </c>
      <c r="M1036" s="295">
        <v>280.71664000000004</v>
      </c>
      <c r="N1036" s="295">
        <v>265.94208000000003</v>
      </c>
      <c r="O1036" s="266">
        <v>0</v>
      </c>
      <c r="P1036" s="266">
        <v>50036905183</v>
      </c>
      <c r="R1036" s="265">
        <v>17.2</v>
      </c>
      <c r="S1036" s="265">
        <v>15</v>
      </c>
      <c r="T1036" s="265">
        <v>15</v>
      </c>
      <c r="U1036" s="265">
        <v>12</v>
      </c>
      <c r="V1036" s="259" t="s">
        <v>3028</v>
      </c>
      <c r="W1036" s="259" t="s">
        <v>3029</v>
      </c>
      <c r="X1036" s="264" t="s">
        <v>5924</v>
      </c>
      <c r="Y1036" s="259">
        <v>123</v>
      </c>
      <c r="Z1036" s="259" t="s">
        <v>3030</v>
      </c>
      <c r="AA1036" s="259" t="e">
        <v>#N/A</v>
      </c>
      <c r="AB1036" s="259"/>
      <c r="AC1036" s="259"/>
      <c r="AD1036" s="259"/>
      <c r="AE1036" s="259"/>
    </row>
    <row r="1037" spans="1:31">
      <c r="A1037" s="259" t="s">
        <v>1132</v>
      </c>
      <c r="B1037" s="259" t="s">
        <v>80</v>
      </c>
      <c r="C1037" s="264" t="s">
        <v>5725</v>
      </c>
      <c r="D1037" s="264" t="s">
        <v>1132</v>
      </c>
      <c r="E1037" s="259" t="s">
        <v>5737</v>
      </c>
      <c r="H1037" s="264" t="s">
        <v>5925</v>
      </c>
      <c r="I1037" s="264" t="s">
        <v>5926</v>
      </c>
      <c r="J1037" s="295">
        <v>335.66</v>
      </c>
      <c r="K1037" s="295">
        <v>335.66</v>
      </c>
      <c r="L1037" s="295">
        <v>201.07</v>
      </c>
      <c r="M1037" s="295">
        <v>185.45025999999999</v>
      </c>
      <c r="N1037" s="295">
        <v>175.68972000000002</v>
      </c>
      <c r="O1037" s="266">
        <v>0</v>
      </c>
      <c r="P1037" s="266">
        <v>691991300127</v>
      </c>
      <c r="R1037" s="265">
        <v>47</v>
      </c>
      <c r="S1037" s="265">
        <v>27</v>
      </c>
      <c r="T1037" s="265">
        <v>23</v>
      </c>
      <c r="U1037" s="265">
        <v>17</v>
      </c>
      <c r="V1037" s="259" t="s">
        <v>3028</v>
      </c>
      <c r="W1037" s="259" t="s">
        <v>3029</v>
      </c>
      <c r="X1037" s="264" t="s">
        <v>5927</v>
      </c>
      <c r="Y1037" s="259">
        <v>124</v>
      </c>
      <c r="Z1037" s="259" t="s">
        <v>3030</v>
      </c>
      <c r="AA1037" s="259" t="e">
        <v>#N/A</v>
      </c>
      <c r="AB1037" s="259"/>
      <c r="AC1037" s="259"/>
      <c r="AD1037" s="259"/>
      <c r="AE1037" s="259"/>
    </row>
    <row r="1038" spans="1:31">
      <c r="A1038" s="259" t="s">
        <v>1133</v>
      </c>
      <c r="B1038" s="259" t="s">
        <v>80</v>
      </c>
      <c r="C1038" s="264" t="s">
        <v>5725</v>
      </c>
      <c r="D1038" s="264" t="s">
        <v>1133</v>
      </c>
      <c r="E1038" s="259" t="s">
        <v>5737</v>
      </c>
      <c r="H1038" s="264" t="s">
        <v>5928</v>
      </c>
      <c r="I1038" s="264" t="s">
        <v>5929</v>
      </c>
      <c r="J1038" s="295">
        <v>117.3</v>
      </c>
      <c r="K1038" s="295">
        <v>117.3</v>
      </c>
      <c r="L1038" s="295">
        <v>70.7</v>
      </c>
      <c r="M1038" s="295">
        <v>65.208475000000007</v>
      </c>
      <c r="N1038" s="295">
        <v>61.776450000000018</v>
      </c>
      <c r="O1038" s="266">
        <v>0</v>
      </c>
      <c r="P1038" s="266">
        <v>691991300110</v>
      </c>
      <c r="R1038" s="265">
        <v>14.05</v>
      </c>
      <c r="S1038" s="265">
        <v>18.5</v>
      </c>
      <c r="T1038" s="265">
        <v>18</v>
      </c>
      <c r="U1038" s="265">
        <v>14</v>
      </c>
      <c r="V1038" s="259" t="s">
        <v>3028</v>
      </c>
      <c r="W1038" s="259" t="s">
        <v>3029</v>
      </c>
      <c r="X1038" s="264" t="s">
        <v>5930</v>
      </c>
      <c r="Y1038" s="259">
        <v>125</v>
      </c>
      <c r="Z1038" s="259" t="s">
        <v>3030</v>
      </c>
      <c r="AA1038" s="259" t="e">
        <v>#N/A</v>
      </c>
      <c r="AB1038" s="259"/>
      <c r="AC1038" s="259"/>
      <c r="AD1038" s="259"/>
      <c r="AE1038" s="259"/>
    </row>
    <row r="1039" spans="1:31">
      <c r="A1039" s="259" t="s">
        <v>1134</v>
      </c>
      <c r="B1039" s="259" t="s">
        <v>80</v>
      </c>
      <c r="C1039" s="264" t="s">
        <v>5725</v>
      </c>
      <c r="D1039" s="264" t="s">
        <v>1134</v>
      </c>
      <c r="E1039" s="259" t="s">
        <v>5737</v>
      </c>
      <c r="H1039" s="264" t="s">
        <v>5931</v>
      </c>
      <c r="I1039" s="264" t="s">
        <v>5932</v>
      </c>
      <c r="J1039" s="295">
        <v>53.65</v>
      </c>
      <c r="K1039" s="295">
        <v>53.65</v>
      </c>
      <c r="L1039" s="295">
        <v>31.94</v>
      </c>
      <c r="M1039" s="295">
        <v>29.458169999999999</v>
      </c>
      <c r="N1039" s="295">
        <v>27.90774</v>
      </c>
      <c r="O1039" s="266">
        <v>0</v>
      </c>
      <c r="P1039" s="266">
        <v>691991300134</v>
      </c>
      <c r="R1039" s="265">
        <v>2.96</v>
      </c>
      <c r="S1039" s="265">
        <v>1</v>
      </c>
      <c r="T1039" s="265">
        <v>17</v>
      </c>
      <c r="U1039" s="265">
        <v>17</v>
      </c>
      <c r="V1039" s="259" t="s">
        <v>3028</v>
      </c>
      <c r="W1039" s="259" t="s">
        <v>3029</v>
      </c>
      <c r="X1039" s="264" t="s">
        <v>5933</v>
      </c>
      <c r="Y1039" s="259">
        <v>126</v>
      </c>
      <c r="Z1039" s="259" t="s">
        <v>3030</v>
      </c>
      <c r="AA1039" s="259" t="e">
        <v>#N/A</v>
      </c>
      <c r="AB1039" s="259"/>
      <c r="AC1039" s="259"/>
      <c r="AD1039" s="259"/>
      <c r="AE1039" s="259"/>
    </row>
    <row r="1040" spans="1:31">
      <c r="A1040" s="259" t="s">
        <v>1135</v>
      </c>
      <c r="B1040" s="259" t="s">
        <v>80</v>
      </c>
      <c r="C1040" s="264" t="s">
        <v>5725</v>
      </c>
      <c r="D1040" s="264" t="s">
        <v>1135</v>
      </c>
      <c r="E1040" s="259" t="s">
        <v>5737</v>
      </c>
      <c r="H1040" s="264" t="s">
        <v>5934</v>
      </c>
      <c r="I1040" s="264" t="s">
        <v>5935</v>
      </c>
      <c r="J1040" s="295">
        <v>109.8</v>
      </c>
      <c r="K1040" s="295">
        <v>109.8</v>
      </c>
      <c r="L1040" s="295">
        <v>70.7</v>
      </c>
      <c r="M1040" s="295">
        <v>65.208475000000007</v>
      </c>
      <c r="N1040" s="295">
        <v>61.776450000000018</v>
      </c>
      <c r="O1040" s="266">
        <v>0</v>
      </c>
      <c r="P1040" s="266">
        <v>691991300141</v>
      </c>
      <c r="R1040" s="265">
        <v>1.75</v>
      </c>
      <c r="S1040" s="265">
        <v>5</v>
      </c>
      <c r="T1040" s="265">
        <v>4</v>
      </c>
      <c r="U1040" s="265">
        <v>4</v>
      </c>
      <c r="V1040" s="259" t="s">
        <v>3028</v>
      </c>
      <c r="W1040" s="259" t="s">
        <v>3029</v>
      </c>
      <c r="X1040" s="264" t="s">
        <v>5936</v>
      </c>
      <c r="Y1040" s="259">
        <v>127</v>
      </c>
      <c r="Z1040" s="259" t="s">
        <v>3030</v>
      </c>
      <c r="AA1040" s="259" t="e">
        <v>#N/A</v>
      </c>
      <c r="AB1040" s="259"/>
      <c r="AC1040" s="259"/>
      <c r="AD1040" s="259"/>
      <c r="AE1040" s="259"/>
    </row>
    <row r="1041" spans="1:31">
      <c r="A1041" s="259" t="s">
        <v>1136</v>
      </c>
      <c r="B1041" s="259" t="s">
        <v>80</v>
      </c>
      <c r="C1041" s="264"/>
      <c r="D1041" s="264"/>
      <c r="H1041" s="264"/>
      <c r="I1041" s="264"/>
      <c r="J1041" s="295">
        <v>0</v>
      </c>
      <c r="K1041" s="295">
        <v>0</v>
      </c>
      <c r="L1041" s="295">
        <v>0</v>
      </c>
      <c r="O1041" s="266"/>
      <c r="R1041" s="265">
        <v>0</v>
      </c>
      <c r="S1041" s="265">
        <v>0</v>
      </c>
      <c r="T1041" s="265">
        <v>0</v>
      </c>
      <c r="U1041" s="265">
        <v>0</v>
      </c>
      <c r="V1041" s="259" t="s">
        <v>3028</v>
      </c>
      <c r="W1041" s="259" t="s">
        <v>3029</v>
      </c>
      <c r="Y1041" s="259">
        <v>128</v>
      </c>
      <c r="AA1041" s="259" t="e">
        <v>#N/A</v>
      </c>
      <c r="AB1041" s="259"/>
      <c r="AC1041" s="259"/>
      <c r="AD1041" s="259"/>
      <c r="AE1041" s="259"/>
    </row>
    <row r="1042" spans="1:31">
      <c r="A1042" s="259" t="s">
        <v>1137</v>
      </c>
      <c r="B1042" s="259" t="s">
        <v>80</v>
      </c>
      <c r="C1042" s="264" t="s">
        <v>5937</v>
      </c>
      <c r="D1042" s="264" t="s">
        <v>1137</v>
      </c>
      <c r="E1042" s="259" t="s">
        <v>5702</v>
      </c>
      <c r="H1042" s="264" t="s">
        <v>5938</v>
      </c>
      <c r="I1042" s="264" t="s">
        <v>5939</v>
      </c>
      <c r="J1042" s="295">
        <v>165.12</v>
      </c>
      <c r="K1042" s="295">
        <v>129</v>
      </c>
      <c r="L1042" s="295">
        <v>99.08</v>
      </c>
      <c r="O1042" s="266">
        <v>2</v>
      </c>
      <c r="P1042" s="266">
        <v>50036904698</v>
      </c>
      <c r="R1042" s="265">
        <v>6.1</v>
      </c>
      <c r="S1042" s="265">
        <v>28</v>
      </c>
      <c r="T1042" s="265">
        <v>15</v>
      </c>
      <c r="U1042" s="265">
        <v>15</v>
      </c>
      <c r="V1042" s="259" t="s">
        <v>3028</v>
      </c>
      <c r="W1042" s="259" t="s">
        <v>3029</v>
      </c>
      <c r="X1042" s="264" t="s">
        <v>5940</v>
      </c>
      <c r="Y1042" s="259">
        <v>129</v>
      </c>
      <c r="Z1042" s="259" t="s">
        <v>3030</v>
      </c>
      <c r="AA1042" s="259" t="e">
        <v>#N/A</v>
      </c>
      <c r="AB1042" s="259"/>
      <c r="AC1042" s="259"/>
      <c r="AD1042" s="259"/>
      <c r="AE1042" s="259"/>
    </row>
    <row r="1043" spans="1:31">
      <c r="A1043" s="259" t="s">
        <v>1138</v>
      </c>
      <c r="B1043" s="259" t="s">
        <v>80</v>
      </c>
      <c r="C1043" s="264"/>
      <c r="D1043" s="264"/>
      <c r="H1043" s="264"/>
      <c r="I1043" s="264"/>
      <c r="J1043" s="295">
        <v>0</v>
      </c>
      <c r="K1043" s="295">
        <v>0</v>
      </c>
      <c r="L1043" s="295">
        <v>0</v>
      </c>
      <c r="O1043" s="266"/>
      <c r="R1043" s="265">
        <v>0</v>
      </c>
      <c r="S1043" s="265">
        <v>0</v>
      </c>
      <c r="T1043" s="265">
        <v>0</v>
      </c>
      <c r="U1043" s="265">
        <v>0</v>
      </c>
      <c r="V1043" s="259" t="s">
        <v>3028</v>
      </c>
      <c r="W1043" s="259" t="s">
        <v>3029</v>
      </c>
      <c r="Y1043" s="259">
        <v>130</v>
      </c>
      <c r="AA1043" s="259" t="e">
        <v>#N/A</v>
      </c>
      <c r="AB1043" s="259"/>
      <c r="AC1043" s="259"/>
      <c r="AD1043" s="259"/>
      <c r="AE1043" s="259"/>
    </row>
    <row r="1044" spans="1:31">
      <c r="A1044" s="259" t="s">
        <v>1139</v>
      </c>
      <c r="B1044" s="259" t="s">
        <v>80</v>
      </c>
      <c r="C1044" s="264" t="s">
        <v>5941</v>
      </c>
      <c r="D1044" s="264" t="s">
        <v>1139</v>
      </c>
      <c r="E1044" s="259" t="s">
        <v>5702</v>
      </c>
      <c r="H1044" s="264" t="s">
        <v>5942</v>
      </c>
      <c r="I1044" s="264" t="s">
        <v>5943</v>
      </c>
      <c r="J1044" s="295">
        <v>121.87</v>
      </c>
      <c r="K1044" s="295">
        <v>98</v>
      </c>
      <c r="L1044" s="295">
        <v>73.12</v>
      </c>
      <c r="O1044" s="266">
        <v>0</v>
      </c>
      <c r="P1044" s="266">
        <v>50036904704</v>
      </c>
      <c r="R1044" s="265">
        <v>3.5</v>
      </c>
      <c r="S1044" s="265">
        <v>10</v>
      </c>
      <c r="T1044" s="265">
        <v>7.5</v>
      </c>
      <c r="U1044" s="265">
        <v>9.25</v>
      </c>
      <c r="V1044" s="259" t="s">
        <v>3028</v>
      </c>
      <c r="W1044" s="259" t="s">
        <v>3029</v>
      </c>
      <c r="X1044" s="264" t="s">
        <v>5944</v>
      </c>
      <c r="Y1044" s="259">
        <v>131</v>
      </c>
      <c r="Z1044" s="259" t="s">
        <v>3030</v>
      </c>
      <c r="AA1044" s="259" t="e">
        <v>#N/A</v>
      </c>
      <c r="AB1044" s="259"/>
      <c r="AC1044" s="259"/>
      <c r="AD1044" s="259"/>
      <c r="AE1044" s="259"/>
    </row>
    <row r="1045" spans="1:31">
      <c r="A1045" s="259" t="s">
        <v>1140</v>
      </c>
      <c r="B1045" s="259" t="s">
        <v>80</v>
      </c>
      <c r="C1045" s="264" t="s">
        <v>5941</v>
      </c>
      <c r="D1045" s="264" t="s">
        <v>1140</v>
      </c>
      <c r="E1045" s="259" t="s">
        <v>5702</v>
      </c>
      <c r="H1045" s="264" t="s">
        <v>5945</v>
      </c>
      <c r="I1045" s="264" t="s">
        <v>5946</v>
      </c>
      <c r="J1045" s="295">
        <v>166.77</v>
      </c>
      <c r="K1045" s="295">
        <v>133</v>
      </c>
      <c r="L1045" s="295">
        <v>100.06</v>
      </c>
      <c r="O1045" s="266">
        <v>0</v>
      </c>
      <c r="P1045" s="266">
        <v>50036904711</v>
      </c>
      <c r="R1045" s="265">
        <v>6</v>
      </c>
      <c r="S1045" s="265">
        <v>13</v>
      </c>
      <c r="T1045" s="265">
        <v>10.5</v>
      </c>
      <c r="U1045" s="265">
        <v>12</v>
      </c>
      <c r="V1045" s="259" t="s">
        <v>3028</v>
      </c>
      <c r="W1045" s="259" t="s">
        <v>3029</v>
      </c>
      <c r="X1045" s="264" t="s">
        <v>5947</v>
      </c>
      <c r="Y1045" s="259">
        <v>132</v>
      </c>
      <c r="Z1045" s="259" t="s">
        <v>3030</v>
      </c>
      <c r="AA1045" s="259" t="e">
        <v>#N/A</v>
      </c>
      <c r="AB1045" s="259"/>
      <c r="AC1045" s="259"/>
      <c r="AD1045" s="259"/>
      <c r="AE1045" s="259"/>
    </row>
    <row r="1046" spans="1:31">
      <c r="A1046" s="259" t="s">
        <v>1141</v>
      </c>
      <c r="B1046" s="259" t="s">
        <v>80</v>
      </c>
      <c r="C1046" s="264"/>
      <c r="D1046" s="264"/>
      <c r="H1046" s="264"/>
      <c r="I1046" s="264"/>
      <c r="J1046" s="295">
        <v>0</v>
      </c>
      <c r="K1046" s="295">
        <v>0</v>
      </c>
      <c r="L1046" s="295">
        <v>0</v>
      </c>
      <c r="O1046" s="266"/>
      <c r="R1046" s="265">
        <v>0</v>
      </c>
      <c r="S1046" s="265">
        <v>0</v>
      </c>
      <c r="T1046" s="265">
        <v>0</v>
      </c>
      <c r="U1046" s="265">
        <v>0</v>
      </c>
      <c r="V1046" s="259" t="s">
        <v>3028</v>
      </c>
      <c r="W1046" s="259" t="s">
        <v>3029</v>
      </c>
      <c r="Y1046" s="259">
        <v>133</v>
      </c>
      <c r="AA1046" s="259" t="e">
        <v>#N/A</v>
      </c>
      <c r="AB1046" s="259"/>
      <c r="AC1046" s="259"/>
      <c r="AD1046" s="259"/>
      <c r="AE1046" s="259"/>
    </row>
    <row r="1047" spans="1:31">
      <c r="A1047" s="259" t="s">
        <v>1142</v>
      </c>
      <c r="B1047" s="259" t="s">
        <v>80</v>
      </c>
      <c r="C1047" s="264" t="s">
        <v>5937</v>
      </c>
      <c r="D1047" s="264" t="s">
        <v>1142</v>
      </c>
      <c r="E1047" s="259" t="s">
        <v>5737</v>
      </c>
      <c r="H1047" s="264" t="s">
        <v>5948</v>
      </c>
      <c r="I1047" s="264" t="s">
        <v>5949</v>
      </c>
      <c r="J1047" s="295">
        <v>179.04</v>
      </c>
      <c r="K1047" s="295">
        <v>144</v>
      </c>
      <c r="L1047" s="295">
        <v>107.42</v>
      </c>
      <c r="M1047" s="295">
        <v>99.078254999999999</v>
      </c>
      <c r="N1047" s="295">
        <v>93.863610000000008</v>
      </c>
      <c r="O1047" s="266">
        <v>2</v>
      </c>
      <c r="P1047" s="266">
        <v>691991002007</v>
      </c>
      <c r="R1047" s="265">
        <v>4.59</v>
      </c>
      <c r="S1047" s="265">
        <v>6.25</v>
      </c>
      <c r="T1047" s="265">
        <v>7</v>
      </c>
      <c r="U1047" s="265">
        <v>9.25</v>
      </c>
      <c r="V1047" s="259" t="s">
        <v>3028</v>
      </c>
      <c r="W1047" s="259" t="s">
        <v>3029</v>
      </c>
      <c r="X1047" s="264" t="s">
        <v>5950</v>
      </c>
      <c r="Y1047" s="259">
        <v>134</v>
      </c>
      <c r="Z1047" s="259" t="s">
        <v>3030</v>
      </c>
      <c r="AA1047" s="259" t="e">
        <v>#N/A</v>
      </c>
      <c r="AB1047" s="259"/>
      <c r="AC1047" s="259"/>
      <c r="AD1047" s="259"/>
      <c r="AE1047" s="259"/>
    </row>
    <row r="1048" spans="1:31">
      <c r="A1048" s="259" t="s">
        <v>1143</v>
      </c>
      <c r="B1048" s="259" t="s">
        <v>80</v>
      </c>
      <c r="C1048" s="264" t="s">
        <v>5937</v>
      </c>
      <c r="D1048" s="264" t="s">
        <v>1143</v>
      </c>
      <c r="E1048" s="259" t="s">
        <v>5737</v>
      </c>
      <c r="H1048" s="264" t="s">
        <v>5951</v>
      </c>
      <c r="I1048" s="264" t="s">
        <v>5952</v>
      </c>
      <c r="J1048" s="295">
        <v>166.8</v>
      </c>
      <c r="K1048" s="295">
        <v>129</v>
      </c>
      <c r="L1048" s="295">
        <v>100.08</v>
      </c>
      <c r="M1048" s="295">
        <v>92.308364999999995</v>
      </c>
      <c r="N1048" s="295">
        <v>87.450030000000012</v>
      </c>
      <c r="O1048" s="266">
        <v>2</v>
      </c>
      <c r="P1048" s="266">
        <v>691991005091</v>
      </c>
      <c r="R1048" s="265">
        <v>3.5</v>
      </c>
      <c r="S1048" s="265">
        <v>6.25</v>
      </c>
      <c r="T1048" s="265">
        <v>7.25</v>
      </c>
      <c r="U1048" s="265">
        <v>9.5</v>
      </c>
      <c r="V1048" s="259" t="s">
        <v>3028</v>
      </c>
      <c r="W1048" s="259" t="s">
        <v>3029</v>
      </c>
      <c r="X1048" s="264" t="s">
        <v>5953</v>
      </c>
      <c r="Y1048" s="259">
        <v>135</v>
      </c>
      <c r="Z1048" s="259" t="s">
        <v>3030</v>
      </c>
      <c r="AA1048" s="259" t="e">
        <v>#N/A</v>
      </c>
      <c r="AB1048" s="259"/>
      <c r="AC1048" s="259"/>
      <c r="AD1048" s="259"/>
      <c r="AE1048" s="259"/>
    </row>
    <row r="1049" spans="1:31">
      <c r="A1049" s="259" t="s">
        <v>1144</v>
      </c>
      <c r="B1049" s="259" t="s">
        <v>80</v>
      </c>
      <c r="C1049" s="264" t="s">
        <v>5937</v>
      </c>
      <c r="D1049" s="264" t="s">
        <v>1144</v>
      </c>
      <c r="E1049" s="259" t="s">
        <v>5737</v>
      </c>
      <c r="H1049" s="264" t="s">
        <v>5954</v>
      </c>
      <c r="I1049" s="264" t="s">
        <v>5955</v>
      </c>
      <c r="J1049" s="295">
        <v>166.8</v>
      </c>
      <c r="K1049" s="295">
        <v>129</v>
      </c>
      <c r="L1049" s="295">
        <v>100.08</v>
      </c>
      <c r="M1049" s="295">
        <v>92.308364999999995</v>
      </c>
      <c r="N1049" s="295">
        <v>87.450030000000012</v>
      </c>
      <c r="O1049" s="266">
        <v>2</v>
      </c>
      <c r="P1049" s="266">
        <v>691991005107</v>
      </c>
      <c r="R1049" s="265">
        <v>3.75</v>
      </c>
      <c r="S1049" s="265">
        <v>7.75</v>
      </c>
      <c r="T1049" s="265">
        <v>6</v>
      </c>
      <c r="U1049" s="265">
        <v>3.5</v>
      </c>
      <c r="V1049" s="259" t="s">
        <v>3028</v>
      </c>
      <c r="W1049" s="259" t="s">
        <v>3029</v>
      </c>
      <c r="X1049" s="264" t="s">
        <v>5953</v>
      </c>
      <c r="Y1049" s="259">
        <v>136</v>
      </c>
      <c r="Z1049" s="259" t="s">
        <v>3030</v>
      </c>
      <c r="AA1049" s="259" t="e">
        <v>#N/A</v>
      </c>
      <c r="AB1049" s="259"/>
      <c r="AC1049" s="259"/>
      <c r="AD1049" s="259"/>
      <c r="AE1049" s="259"/>
    </row>
    <row r="1050" spans="1:31">
      <c r="A1050" s="259" t="s">
        <v>1145</v>
      </c>
      <c r="B1050" s="259" t="s">
        <v>80</v>
      </c>
      <c r="C1050" s="264" t="s">
        <v>5937</v>
      </c>
      <c r="D1050" s="264" t="s">
        <v>1145</v>
      </c>
      <c r="E1050" s="259" t="s">
        <v>5737</v>
      </c>
      <c r="H1050" s="264" t="s">
        <v>5956</v>
      </c>
      <c r="I1050" s="264" t="s">
        <v>5957</v>
      </c>
      <c r="J1050" s="295">
        <v>179.04</v>
      </c>
      <c r="K1050" s="295">
        <v>144</v>
      </c>
      <c r="L1050" s="295">
        <v>107.42</v>
      </c>
      <c r="M1050" s="295">
        <v>99.078254999999999</v>
      </c>
      <c r="N1050" s="295">
        <v>93.863610000000008</v>
      </c>
      <c r="O1050" s="266">
        <v>2</v>
      </c>
      <c r="P1050" s="266">
        <v>691991002014</v>
      </c>
      <c r="R1050" s="265">
        <v>4.59</v>
      </c>
      <c r="S1050" s="265">
        <v>6.25</v>
      </c>
      <c r="T1050" s="265">
        <v>7</v>
      </c>
      <c r="U1050" s="265">
        <v>9.25</v>
      </c>
      <c r="V1050" s="259" t="s">
        <v>3028</v>
      </c>
      <c r="W1050" s="259" t="s">
        <v>3029</v>
      </c>
      <c r="X1050" s="264" t="s">
        <v>5950</v>
      </c>
      <c r="Y1050" s="259">
        <v>137</v>
      </c>
      <c r="Z1050" s="259" t="s">
        <v>3030</v>
      </c>
      <c r="AA1050" s="259" t="e">
        <v>#N/A</v>
      </c>
      <c r="AB1050" s="259"/>
      <c r="AC1050" s="259"/>
      <c r="AD1050" s="259"/>
      <c r="AE1050" s="259"/>
    </row>
    <row r="1051" spans="1:31">
      <c r="A1051" s="259" t="s">
        <v>1146</v>
      </c>
      <c r="B1051" s="259" t="s">
        <v>80</v>
      </c>
      <c r="C1051" s="264" t="s">
        <v>5937</v>
      </c>
      <c r="D1051" s="264" t="s">
        <v>1146</v>
      </c>
      <c r="E1051" s="259" t="s">
        <v>5737</v>
      </c>
      <c r="H1051" s="264" t="s">
        <v>5958</v>
      </c>
      <c r="I1051" s="264" t="s">
        <v>5959</v>
      </c>
      <c r="J1051" s="295">
        <v>240.93</v>
      </c>
      <c r="K1051" s="295">
        <v>191</v>
      </c>
      <c r="L1051" s="295">
        <v>144.56</v>
      </c>
      <c r="M1051" s="295">
        <v>133.334305</v>
      </c>
      <c r="N1051" s="295" t="e">
        <v>#REF!</v>
      </c>
      <c r="O1051" s="266">
        <v>2</v>
      </c>
      <c r="P1051" s="266">
        <v>691991002021</v>
      </c>
      <c r="R1051" s="265">
        <v>9</v>
      </c>
      <c r="S1051" s="265">
        <v>8</v>
      </c>
      <c r="T1051" s="265">
        <v>11.5</v>
      </c>
      <c r="U1051" s="265">
        <v>12.25</v>
      </c>
      <c r="V1051" s="259" t="s">
        <v>3028</v>
      </c>
      <c r="W1051" s="259" t="s">
        <v>3029</v>
      </c>
      <c r="X1051" s="264" t="s">
        <v>5960</v>
      </c>
      <c r="Y1051" s="259">
        <v>138</v>
      </c>
      <c r="Z1051" s="259" t="s">
        <v>3030</v>
      </c>
      <c r="AA1051" s="259" t="e">
        <v>#N/A</v>
      </c>
      <c r="AB1051" s="259"/>
      <c r="AC1051" s="259"/>
      <c r="AD1051" s="259"/>
      <c r="AE1051" s="259"/>
    </row>
    <row r="1052" spans="1:31">
      <c r="A1052" s="259" t="s">
        <v>1147</v>
      </c>
      <c r="B1052" s="259" t="s">
        <v>80</v>
      </c>
      <c r="C1052" s="264" t="s">
        <v>5937</v>
      </c>
      <c r="D1052" s="264" t="s">
        <v>1147</v>
      </c>
      <c r="E1052" s="259" t="s">
        <v>5737</v>
      </c>
      <c r="H1052" s="264" t="s">
        <v>5961</v>
      </c>
      <c r="I1052" s="264" t="s">
        <v>5962</v>
      </c>
      <c r="J1052" s="295">
        <v>214.16</v>
      </c>
      <c r="K1052" s="295">
        <v>170</v>
      </c>
      <c r="L1052" s="295">
        <v>128.49</v>
      </c>
      <c r="M1052" s="295">
        <v>118.51373500000001</v>
      </c>
      <c r="N1052" s="295">
        <v>112.27617000000002</v>
      </c>
      <c r="O1052" s="266">
        <v>2</v>
      </c>
      <c r="P1052" s="266">
        <v>691991005114</v>
      </c>
      <c r="R1052" s="265">
        <v>7.3</v>
      </c>
      <c r="S1052" s="265">
        <v>8</v>
      </c>
      <c r="T1052" s="265">
        <v>11.5</v>
      </c>
      <c r="U1052" s="265">
        <v>12.25</v>
      </c>
      <c r="V1052" s="259" t="s">
        <v>3028</v>
      </c>
      <c r="W1052" s="259" t="s">
        <v>3029</v>
      </c>
      <c r="X1052" s="264" t="s">
        <v>5963</v>
      </c>
      <c r="Y1052" s="259">
        <v>139</v>
      </c>
      <c r="Z1052" s="259" t="s">
        <v>3030</v>
      </c>
      <c r="AA1052" s="259" t="e">
        <v>#N/A</v>
      </c>
      <c r="AB1052" s="259"/>
      <c r="AC1052" s="259"/>
      <c r="AD1052" s="259"/>
      <c r="AE1052" s="259"/>
    </row>
    <row r="1053" spans="1:31">
      <c r="A1053" s="259" t="s">
        <v>1148</v>
      </c>
      <c r="B1053" s="259" t="s">
        <v>80</v>
      </c>
      <c r="C1053" s="264" t="s">
        <v>5937</v>
      </c>
      <c r="D1053" s="264" t="s">
        <v>1148</v>
      </c>
      <c r="E1053" s="259" t="s">
        <v>5737</v>
      </c>
      <c r="H1053" s="264" t="s">
        <v>5964</v>
      </c>
      <c r="I1053" s="264" t="s">
        <v>5965</v>
      </c>
      <c r="J1053" s="295">
        <v>214.16</v>
      </c>
      <c r="K1053" s="295">
        <v>170</v>
      </c>
      <c r="L1053" s="295">
        <v>128.49</v>
      </c>
      <c r="M1053" s="295">
        <v>118.51373500000001</v>
      </c>
      <c r="N1053" s="295">
        <v>112.27617000000002</v>
      </c>
      <c r="O1053" s="266">
        <v>2</v>
      </c>
      <c r="P1053" s="266">
        <v>691991005121</v>
      </c>
      <c r="R1053" s="265">
        <v>7.3</v>
      </c>
      <c r="S1053" s="265">
        <v>8</v>
      </c>
      <c r="T1053" s="265">
        <v>11.5</v>
      </c>
      <c r="U1053" s="265">
        <v>12.25</v>
      </c>
      <c r="V1053" s="259" t="s">
        <v>3028</v>
      </c>
      <c r="W1053" s="259" t="s">
        <v>3029</v>
      </c>
      <c r="X1053" s="264" t="s">
        <v>5963</v>
      </c>
      <c r="Y1053" s="259">
        <v>140</v>
      </c>
      <c r="Z1053" s="259" t="s">
        <v>3030</v>
      </c>
      <c r="AA1053" s="259" t="e">
        <v>#N/A</v>
      </c>
      <c r="AB1053" s="259"/>
      <c r="AC1053" s="259"/>
      <c r="AD1053" s="259"/>
      <c r="AE1053" s="259"/>
    </row>
    <row r="1054" spans="1:31">
      <c r="A1054" s="259" t="s">
        <v>1149</v>
      </c>
      <c r="B1054" s="259" t="s">
        <v>80</v>
      </c>
      <c r="C1054" s="264" t="s">
        <v>5937</v>
      </c>
      <c r="D1054" s="264" t="s">
        <v>1149</v>
      </c>
      <c r="E1054" s="259" t="s">
        <v>5737</v>
      </c>
      <c r="H1054" s="264" t="s">
        <v>5966</v>
      </c>
      <c r="I1054" s="264" t="s">
        <v>5967</v>
      </c>
      <c r="J1054" s="295">
        <v>240.93</v>
      </c>
      <c r="K1054" s="295">
        <v>191</v>
      </c>
      <c r="L1054" s="295">
        <v>144.56</v>
      </c>
      <c r="M1054" s="295">
        <v>133.334305</v>
      </c>
      <c r="N1054" s="295">
        <v>126.31671</v>
      </c>
      <c r="O1054" s="266">
        <v>2</v>
      </c>
      <c r="P1054" s="266">
        <v>691991002038</v>
      </c>
      <c r="R1054" s="265">
        <v>9</v>
      </c>
      <c r="S1054" s="265">
        <v>8</v>
      </c>
      <c r="T1054" s="265">
        <v>11.5</v>
      </c>
      <c r="U1054" s="265">
        <v>12.25</v>
      </c>
      <c r="V1054" s="259" t="s">
        <v>3028</v>
      </c>
      <c r="W1054" s="259" t="s">
        <v>3029</v>
      </c>
      <c r="X1054" s="264" t="s">
        <v>5960</v>
      </c>
      <c r="Y1054" s="259">
        <v>141</v>
      </c>
      <c r="Z1054" s="259" t="s">
        <v>3030</v>
      </c>
      <c r="AA1054" s="259" t="e">
        <v>#N/A</v>
      </c>
      <c r="AB1054" s="259"/>
      <c r="AC1054" s="259"/>
      <c r="AD1054" s="259"/>
      <c r="AE1054" s="259"/>
    </row>
    <row r="1055" spans="1:31">
      <c r="A1055" s="259" t="s">
        <v>1150</v>
      </c>
      <c r="B1055" s="259" t="s">
        <v>80</v>
      </c>
      <c r="C1055" s="264" t="s">
        <v>5937</v>
      </c>
      <c r="D1055" s="264" t="s">
        <v>1150</v>
      </c>
      <c r="E1055" s="259" t="s">
        <v>5737</v>
      </c>
      <c r="H1055" s="264" t="s">
        <v>5968</v>
      </c>
      <c r="I1055" s="264" t="s">
        <v>5969</v>
      </c>
      <c r="J1055" s="295">
        <v>278.93</v>
      </c>
      <c r="K1055" s="295">
        <v>226</v>
      </c>
      <c r="L1055" s="295">
        <v>167.35</v>
      </c>
      <c r="M1055" s="295">
        <v>154.355525</v>
      </c>
      <c r="N1055" s="295">
        <v>146.23155</v>
      </c>
      <c r="O1055" s="266">
        <v>2</v>
      </c>
      <c r="P1055" s="266">
        <v>50036903301</v>
      </c>
      <c r="R1055" s="265">
        <v>10.199999999999999</v>
      </c>
      <c r="S1055" s="265">
        <v>7.75</v>
      </c>
      <c r="T1055" s="265">
        <v>10.75</v>
      </c>
      <c r="U1055" s="265">
        <v>10.5</v>
      </c>
      <c r="V1055" s="259" t="s">
        <v>3028</v>
      </c>
      <c r="W1055" s="259" t="s">
        <v>3029</v>
      </c>
      <c r="X1055" s="264" t="s">
        <v>5970</v>
      </c>
      <c r="Y1055" s="259">
        <v>142</v>
      </c>
      <c r="Z1055" s="259" t="s">
        <v>3030</v>
      </c>
      <c r="AA1055" s="259" t="e">
        <v>#N/A</v>
      </c>
      <c r="AB1055" s="259"/>
      <c r="AC1055" s="259"/>
      <c r="AD1055" s="259"/>
      <c r="AE1055" s="259"/>
    </row>
    <row r="1056" spans="1:31">
      <c r="A1056" s="259" t="s">
        <v>1151</v>
      </c>
      <c r="B1056" s="259" t="s">
        <v>80</v>
      </c>
      <c r="C1056" s="264" t="s">
        <v>5937</v>
      </c>
      <c r="D1056" s="264" t="s">
        <v>1151</v>
      </c>
      <c r="E1056" s="259" t="s">
        <v>5737</v>
      </c>
      <c r="H1056" s="264" t="s">
        <v>5968</v>
      </c>
      <c r="I1056" s="264" t="s">
        <v>5971</v>
      </c>
      <c r="J1056" s="295">
        <v>278.93</v>
      </c>
      <c r="K1056" s="295">
        <v>226</v>
      </c>
      <c r="L1056" s="295">
        <v>167.35</v>
      </c>
      <c r="M1056" s="295">
        <v>154.355525</v>
      </c>
      <c r="N1056" s="295">
        <v>146.23155</v>
      </c>
      <c r="O1056" s="266">
        <v>2</v>
      </c>
      <c r="P1056" s="266">
        <v>50036903318</v>
      </c>
      <c r="R1056" s="265">
        <v>10.5</v>
      </c>
      <c r="S1056" s="265">
        <v>5</v>
      </c>
      <c r="T1056" s="265">
        <v>7</v>
      </c>
      <c r="U1056" s="265">
        <v>5</v>
      </c>
      <c r="V1056" s="259" t="s">
        <v>3028</v>
      </c>
      <c r="W1056" s="259" t="s">
        <v>3029</v>
      </c>
      <c r="X1056" s="264" t="s">
        <v>5970</v>
      </c>
      <c r="Y1056" s="259">
        <v>143</v>
      </c>
      <c r="Z1056" s="259" t="s">
        <v>3030</v>
      </c>
      <c r="AA1056" s="259" t="e">
        <v>#N/A</v>
      </c>
      <c r="AB1056" s="259"/>
      <c r="AC1056" s="259"/>
      <c r="AD1056" s="259"/>
      <c r="AE1056" s="259"/>
    </row>
    <row r="1057" spans="1:31">
      <c r="A1057" s="259" t="s">
        <v>1152</v>
      </c>
      <c r="B1057" s="259" t="s">
        <v>80</v>
      </c>
      <c r="C1057" s="264" t="s">
        <v>5937</v>
      </c>
      <c r="D1057" s="264" t="s">
        <v>1152</v>
      </c>
      <c r="E1057" s="259" t="s">
        <v>5737</v>
      </c>
      <c r="H1057" s="264" t="s">
        <v>5972</v>
      </c>
      <c r="I1057" s="264" t="s">
        <v>5973</v>
      </c>
      <c r="J1057" s="295">
        <v>300.98</v>
      </c>
      <c r="K1057" s="295">
        <v>243</v>
      </c>
      <c r="L1057" s="295">
        <v>180.59</v>
      </c>
      <c r="M1057" s="295">
        <v>166.56369000000001</v>
      </c>
      <c r="N1057" s="295">
        <v>157.79718000000003</v>
      </c>
      <c r="O1057" s="266">
        <v>2</v>
      </c>
      <c r="P1057" s="266">
        <v>50036905275</v>
      </c>
      <c r="R1057" s="265">
        <v>10.15</v>
      </c>
      <c r="S1057" s="265">
        <v>12</v>
      </c>
      <c r="T1057" s="265">
        <v>16</v>
      </c>
      <c r="U1057" s="265">
        <v>13</v>
      </c>
      <c r="V1057" s="259" t="s">
        <v>3028</v>
      </c>
      <c r="W1057" s="259" t="s">
        <v>3029</v>
      </c>
      <c r="X1057" s="264" t="s">
        <v>5974</v>
      </c>
      <c r="Y1057" s="259">
        <v>144</v>
      </c>
      <c r="Z1057" s="259" t="s">
        <v>3030</v>
      </c>
      <c r="AA1057" s="259" t="e">
        <v>#N/A</v>
      </c>
      <c r="AB1057" s="259"/>
      <c r="AC1057" s="259"/>
      <c r="AD1057" s="259"/>
      <c r="AE1057" s="259"/>
    </row>
    <row r="1058" spans="1:31">
      <c r="A1058" s="259" t="s">
        <v>1153</v>
      </c>
      <c r="B1058" s="259" t="s">
        <v>80</v>
      </c>
      <c r="C1058" s="264" t="s">
        <v>5937</v>
      </c>
      <c r="D1058" s="264" t="s">
        <v>1153</v>
      </c>
      <c r="E1058" s="259" t="s">
        <v>5737</v>
      </c>
      <c r="H1058" s="264" t="s">
        <v>5975</v>
      </c>
      <c r="I1058" s="264" t="s">
        <v>5976</v>
      </c>
      <c r="J1058" s="295">
        <v>300.98</v>
      </c>
      <c r="K1058" s="295">
        <v>243</v>
      </c>
      <c r="L1058" s="295">
        <v>180.59</v>
      </c>
      <c r="M1058" s="295">
        <v>166.56369000000001</v>
      </c>
      <c r="N1058" s="295">
        <v>157.79718000000003</v>
      </c>
      <c r="O1058" s="266">
        <v>2</v>
      </c>
      <c r="P1058" s="266">
        <v>50036905282</v>
      </c>
      <c r="R1058" s="265">
        <v>19.75</v>
      </c>
      <c r="S1058" s="265">
        <v>8</v>
      </c>
      <c r="T1058" s="265">
        <v>5</v>
      </c>
      <c r="U1058" s="265">
        <v>5</v>
      </c>
      <c r="V1058" s="259" t="s">
        <v>3028</v>
      </c>
      <c r="W1058" s="259" t="s">
        <v>3029</v>
      </c>
      <c r="X1058" s="264" t="s">
        <v>5974</v>
      </c>
      <c r="Y1058" s="259">
        <v>145</v>
      </c>
      <c r="Z1058" s="259" t="s">
        <v>3030</v>
      </c>
      <c r="AA1058" s="259" t="e">
        <v>#N/A</v>
      </c>
      <c r="AB1058" s="259"/>
      <c r="AC1058" s="259"/>
      <c r="AD1058" s="259"/>
      <c r="AE1058" s="259"/>
    </row>
    <row r="1059" spans="1:31">
      <c r="A1059" s="259" t="s">
        <v>1154</v>
      </c>
      <c r="B1059" s="259" t="s">
        <v>80</v>
      </c>
      <c r="C1059" s="264" t="s">
        <v>5937</v>
      </c>
      <c r="D1059" s="264" t="s">
        <v>1154</v>
      </c>
      <c r="E1059" s="259" t="s">
        <v>5737</v>
      </c>
      <c r="H1059" s="264" t="s">
        <v>5977</v>
      </c>
      <c r="I1059" s="264" t="s">
        <v>5978</v>
      </c>
      <c r="J1059" s="295">
        <v>389.21</v>
      </c>
      <c r="K1059" s="295">
        <v>315</v>
      </c>
      <c r="L1059" s="295">
        <v>233.52</v>
      </c>
      <c r="M1059" s="295">
        <v>215.38618499999998</v>
      </c>
      <c r="N1059" s="295">
        <v>204.05007000000001</v>
      </c>
      <c r="O1059" s="266">
        <v>2</v>
      </c>
      <c r="P1059" s="266">
        <v>691991002045</v>
      </c>
      <c r="R1059" s="265">
        <v>17</v>
      </c>
      <c r="S1059" s="265">
        <v>11.25</v>
      </c>
      <c r="T1059" s="265">
        <v>13.5</v>
      </c>
      <c r="U1059" s="265">
        <v>17.5</v>
      </c>
      <c r="V1059" s="259" t="s">
        <v>3028</v>
      </c>
      <c r="W1059" s="259" t="s">
        <v>3029</v>
      </c>
      <c r="X1059" s="264" t="s">
        <v>5979</v>
      </c>
      <c r="Y1059" s="259">
        <v>146</v>
      </c>
      <c r="Z1059" s="259" t="s">
        <v>3030</v>
      </c>
      <c r="AA1059" s="259" t="e">
        <v>#N/A</v>
      </c>
      <c r="AB1059" s="259"/>
      <c r="AC1059" s="259"/>
      <c r="AD1059" s="259"/>
      <c r="AE1059" s="259"/>
    </row>
    <row r="1060" spans="1:31">
      <c r="A1060" s="259" t="s">
        <v>1155</v>
      </c>
      <c r="B1060" s="259" t="s">
        <v>80</v>
      </c>
      <c r="C1060" s="264" t="s">
        <v>5937</v>
      </c>
      <c r="D1060" s="264" t="s">
        <v>1155</v>
      </c>
      <c r="E1060" s="259" t="s">
        <v>5737</v>
      </c>
      <c r="H1060" s="264" t="s">
        <v>5980</v>
      </c>
      <c r="I1060" s="264" t="s">
        <v>5981</v>
      </c>
      <c r="J1060" s="295">
        <v>364.49</v>
      </c>
      <c r="K1060" s="295">
        <v>294</v>
      </c>
      <c r="L1060" s="295">
        <v>218.69</v>
      </c>
      <c r="M1060" s="295">
        <v>201.70409500000002</v>
      </c>
      <c r="N1060" s="295">
        <v>191.08809000000002</v>
      </c>
      <c r="O1060" s="266">
        <v>2</v>
      </c>
      <c r="P1060" s="266">
        <v>691991005138</v>
      </c>
      <c r="R1060" s="265">
        <v>15</v>
      </c>
      <c r="S1060" s="265">
        <v>11.25</v>
      </c>
      <c r="T1060" s="265">
        <v>13.75</v>
      </c>
      <c r="U1060" s="265">
        <v>18</v>
      </c>
      <c r="V1060" s="259" t="s">
        <v>3028</v>
      </c>
      <c r="W1060" s="259" t="s">
        <v>3029</v>
      </c>
      <c r="X1060" s="264" t="s">
        <v>5982</v>
      </c>
      <c r="Y1060" s="259">
        <v>147</v>
      </c>
      <c r="Z1060" s="259" t="s">
        <v>3030</v>
      </c>
      <c r="AA1060" s="259" t="e">
        <v>#N/A</v>
      </c>
      <c r="AB1060" s="259"/>
      <c r="AC1060" s="259"/>
      <c r="AD1060" s="259"/>
      <c r="AE1060" s="259"/>
    </row>
    <row r="1061" spans="1:31">
      <c r="A1061" s="259" t="s">
        <v>1156</v>
      </c>
      <c r="B1061" s="259" t="s">
        <v>80</v>
      </c>
      <c r="C1061" s="264" t="s">
        <v>5937</v>
      </c>
      <c r="D1061" s="264" t="s">
        <v>1156</v>
      </c>
      <c r="E1061" s="259" t="s">
        <v>5737</v>
      </c>
      <c r="H1061" s="264" t="s">
        <v>5983</v>
      </c>
      <c r="I1061" s="264" t="s">
        <v>5984</v>
      </c>
      <c r="J1061" s="295">
        <v>364.49</v>
      </c>
      <c r="K1061" s="295">
        <v>294</v>
      </c>
      <c r="L1061" s="295">
        <v>218.69</v>
      </c>
      <c r="M1061" s="295">
        <v>201.70409500000002</v>
      </c>
      <c r="N1061" s="295">
        <v>191.08809000000002</v>
      </c>
      <c r="O1061" s="266">
        <v>2</v>
      </c>
      <c r="P1061" s="266">
        <v>691991005145</v>
      </c>
      <c r="R1061" s="265">
        <v>15</v>
      </c>
      <c r="S1061" s="265">
        <v>11.25</v>
      </c>
      <c r="T1061" s="265">
        <v>13.75</v>
      </c>
      <c r="U1061" s="265">
        <v>18</v>
      </c>
      <c r="V1061" s="259" t="s">
        <v>3028</v>
      </c>
      <c r="W1061" s="259" t="s">
        <v>3029</v>
      </c>
      <c r="X1061" s="264" t="s">
        <v>5982</v>
      </c>
      <c r="Y1061" s="259">
        <v>148</v>
      </c>
      <c r="Z1061" s="259" t="s">
        <v>3030</v>
      </c>
      <c r="AA1061" s="259" t="e">
        <v>#N/A</v>
      </c>
      <c r="AB1061" s="259"/>
      <c r="AC1061" s="259"/>
      <c r="AD1061" s="259"/>
      <c r="AE1061" s="259"/>
    </row>
    <row r="1062" spans="1:31">
      <c r="A1062" s="259" t="s">
        <v>1157</v>
      </c>
      <c r="B1062" s="259" t="s">
        <v>80</v>
      </c>
      <c r="C1062" s="264" t="s">
        <v>5937</v>
      </c>
      <c r="D1062" s="264" t="s">
        <v>1157</v>
      </c>
      <c r="E1062" s="259" t="s">
        <v>5737</v>
      </c>
      <c r="H1062" s="264" t="s">
        <v>5985</v>
      </c>
      <c r="I1062" s="264" t="s">
        <v>5986</v>
      </c>
      <c r="J1062" s="295">
        <v>389.21</v>
      </c>
      <c r="K1062" s="295">
        <v>315</v>
      </c>
      <c r="L1062" s="295">
        <v>233.52</v>
      </c>
      <c r="O1062" s="266">
        <v>2</v>
      </c>
      <c r="P1062" s="266">
        <v>691991002052</v>
      </c>
      <c r="R1062" s="265">
        <v>17</v>
      </c>
      <c r="S1062" s="265">
        <v>11.25</v>
      </c>
      <c r="T1062" s="265">
        <v>13.5</v>
      </c>
      <c r="U1062" s="265">
        <v>17.5</v>
      </c>
      <c r="V1062" s="259" t="s">
        <v>3028</v>
      </c>
      <c r="W1062" s="259" t="s">
        <v>3029</v>
      </c>
      <c r="X1062" s="264" t="s">
        <v>5979</v>
      </c>
      <c r="Y1062" s="259">
        <v>149</v>
      </c>
      <c r="Z1062" s="259" t="s">
        <v>3030</v>
      </c>
      <c r="AA1062" s="259" t="e">
        <v>#N/A</v>
      </c>
      <c r="AB1062" s="259"/>
      <c r="AC1062" s="259"/>
      <c r="AD1062" s="259"/>
      <c r="AE1062" s="259"/>
    </row>
    <row r="1063" spans="1:31">
      <c r="A1063" s="259" t="s">
        <v>1158</v>
      </c>
      <c r="B1063" s="259" t="s">
        <v>80</v>
      </c>
      <c r="C1063" s="264" t="s">
        <v>5937</v>
      </c>
      <c r="D1063" s="264" t="s">
        <v>1158</v>
      </c>
      <c r="E1063" s="259" t="s">
        <v>5737</v>
      </c>
      <c r="H1063" s="264" t="s">
        <v>5987</v>
      </c>
      <c r="I1063" s="264" t="s">
        <v>5988</v>
      </c>
      <c r="J1063" s="295">
        <v>605.86</v>
      </c>
      <c r="K1063" s="295">
        <v>479</v>
      </c>
      <c r="L1063" s="295">
        <v>363.52</v>
      </c>
      <c r="M1063" s="295">
        <v>335.28235999999993</v>
      </c>
      <c r="N1063" s="295">
        <v>317.63592</v>
      </c>
      <c r="O1063" s="266">
        <v>0</v>
      </c>
      <c r="P1063" s="266">
        <v>50036903387</v>
      </c>
      <c r="R1063" s="265">
        <v>27</v>
      </c>
      <c r="S1063" s="265">
        <v>14</v>
      </c>
      <c r="T1063" s="265">
        <v>15</v>
      </c>
      <c r="U1063" s="265">
        <v>24</v>
      </c>
      <c r="V1063" s="259" t="s">
        <v>3028</v>
      </c>
      <c r="W1063" s="259" t="s">
        <v>3029</v>
      </c>
      <c r="X1063" s="264" t="s">
        <v>5989</v>
      </c>
      <c r="Y1063" s="259">
        <v>150</v>
      </c>
      <c r="Z1063" s="259" t="s">
        <v>3030</v>
      </c>
      <c r="AA1063" s="259" t="e">
        <v>#N/A</v>
      </c>
      <c r="AB1063" s="259"/>
      <c r="AC1063" s="259"/>
      <c r="AD1063" s="259"/>
      <c r="AE1063" s="259"/>
    </row>
    <row r="1064" spans="1:31">
      <c r="A1064" s="259" t="s">
        <v>1159</v>
      </c>
      <c r="B1064" s="259" t="s">
        <v>80</v>
      </c>
      <c r="C1064" s="264" t="s">
        <v>5937</v>
      </c>
      <c r="D1064" s="264" t="s">
        <v>1159</v>
      </c>
      <c r="E1064" s="259" t="s">
        <v>5737</v>
      </c>
      <c r="H1064" s="264" t="s">
        <v>5990</v>
      </c>
      <c r="I1064" s="264" t="s">
        <v>5991</v>
      </c>
      <c r="J1064" s="295">
        <v>605.86</v>
      </c>
      <c r="K1064" s="295">
        <v>479</v>
      </c>
      <c r="L1064" s="295">
        <v>363.52</v>
      </c>
      <c r="M1064" s="295">
        <v>335.28235999999993</v>
      </c>
      <c r="N1064" s="295">
        <v>317.63592</v>
      </c>
      <c r="O1064" s="266">
        <v>0</v>
      </c>
      <c r="P1064" s="266">
        <v>50036903394</v>
      </c>
      <c r="R1064" s="265">
        <v>33.15</v>
      </c>
      <c r="S1064" s="265">
        <v>13</v>
      </c>
      <c r="T1064" s="265">
        <v>15</v>
      </c>
      <c r="U1064" s="265">
        <v>24</v>
      </c>
      <c r="V1064" s="259" t="s">
        <v>3028</v>
      </c>
      <c r="W1064" s="259" t="s">
        <v>3029</v>
      </c>
      <c r="X1064" s="264" t="s">
        <v>5989</v>
      </c>
      <c r="Y1064" s="259">
        <v>151</v>
      </c>
      <c r="Z1064" s="259" t="s">
        <v>3030</v>
      </c>
      <c r="AA1064" s="259" t="e">
        <v>#N/A</v>
      </c>
      <c r="AB1064" s="259"/>
      <c r="AC1064" s="259"/>
      <c r="AD1064" s="259"/>
      <c r="AE1064" s="259"/>
    </row>
    <row r="1065" spans="1:31">
      <c r="A1065" s="259" t="s">
        <v>1160</v>
      </c>
      <c r="B1065" s="259" t="s">
        <v>80</v>
      </c>
      <c r="C1065" s="264" t="s">
        <v>5937</v>
      </c>
      <c r="D1065" s="264" t="s">
        <v>1160</v>
      </c>
      <c r="E1065" s="259" t="s">
        <v>5737</v>
      </c>
      <c r="H1065" s="264" t="s">
        <v>5992</v>
      </c>
      <c r="I1065" s="264" t="s">
        <v>5993</v>
      </c>
      <c r="J1065" s="295">
        <v>1059.93</v>
      </c>
      <c r="K1065" s="295">
        <v>844</v>
      </c>
      <c r="L1065" s="295">
        <v>635.96</v>
      </c>
      <c r="M1065" s="295">
        <v>586.56115999999997</v>
      </c>
      <c r="N1065" s="295">
        <v>555.68952000000002</v>
      </c>
      <c r="O1065" s="266">
        <v>0</v>
      </c>
      <c r="P1065" s="266">
        <v>50036903400</v>
      </c>
      <c r="R1065" s="265">
        <v>52.95</v>
      </c>
      <c r="S1065" s="265">
        <v>18.5</v>
      </c>
      <c r="T1065" s="265">
        <v>19</v>
      </c>
      <c r="U1065" s="265">
        <v>27.5</v>
      </c>
      <c r="V1065" s="259" t="s">
        <v>3028</v>
      </c>
      <c r="W1065" s="259" t="s">
        <v>3029</v>
      </c>
      <c r="X1065" s="264" t="s">
        <v>5994</v>
      </c>
      <c r="Y1065" s="259">
        <v>152</v>
      </c>
      <c r="Z1065" s="259" t="s">
        <v>3030</v>
      </c>
      <c r="AA1065" s="259" t="e">
        <v>#N/A</v>
      </c>
      <c r="AB1065" s="259"/>
      <c r="AC1065" s="259"/>
      <c r="AD1065" s="259"/>
      <c r="AE1065" s="259"/>
    </row>
    <row r="1066" spans="1:31">
      <c r="A1066" s="259" t="s">
        <v>1161</v>
      </c>
      <c r="B1066" s="259" t="s">
        <v>80</v>
      </c>
      <c r="C1066" s="264" t="s">
        <v>5937</v>
      </c>
      <c r="D1066" s="264" t="s">
        <v>1161</v>
      </c>
      <c r="E1066" s="259" t="s">
        <v>5737</v>
      </c>
      <c r="H1066" s="264" t="s">
        <v>5992</v>
      </c>
      <c r="I1066" s="264" t="s">
        <v>5995</v>
      </c>
      <c r="J1066" s="295">
        <v>1059.93</v>
      </c>
      <c r="K1066" s="295">
        <v>844</v>
      </c>
      <c r="L1066" s="295">
        <v>635.96</v>
      </c>
      <c r="M1066" s="295">
        <v>586.56115999999997</v>
      </c>
      <c r="N1066" s="295">
        <v>555.68952000000002</v>
      </c>
      <c r="O1066" s="266">
        <v>0</v>
      </c>
      <c r="P1066" s="266">
        <v>50036903417</v>
      </c>
      <c r="R1066" s="265">
        <v>55</v>
      </c>
      <c r="S1066" s="265">
        <v>18</v>
      </c>
      <c r="T1066" s="265">
        <v>18</v>
      </c>
      <c r="U1066" s="265">
        <v>27</v>
      </c>
      <c r="V1066" s="259" t="s">
        <v>3028</v>
      </c>
      <c r="W1066" s="259" t="s">
        <v>3029</v>
      </c>
      <c r="X1066" s="264" t="s">
        <v>5994</v>
      </c>
      <c r="Y1066" s="259">
        <v>153</v>
      </c>
      <c r="Z1066" s="259" t="s">
        <v>3030</v>
      </c>
      <c r="AA1066" s="259" t="e">
        <v>#N/A</v>
      </c>
      <c r="AB1066" s="259"/>
      <c r="AC1066" s="259"/>
      <c r="AD1066" s="259"/>
      <c r="AE1066" s="259"/>
    </row>
    <row r="1067" spans="1:31">
      <c r="A1067" s="259" t="s">
        <v>1162</v>
      </c>
      <c r="B1067" s="259" t="s">
        <v>80</v>
      </c>
      <c r="C1067" s="264" t="s">
        <v>5937</v>
      </c>
      <c r="D1067" s="264" t="s">
        <v>1162</v>
      </c>
      <c r="E1067" s="259" t="s">
        <v>5737</v>
      </c>
      <c r="H1067" s="264" t="s">
        <v>5996</v>
      </c>
      <c r="I1067" s="264" t="s">
        <v>5997</v>
      </c>
      <c r="J1067" s="295">
        <v>926.68</v>
      </c>
      <c r="K1067" s="295">
        <v>741</v>
      </c>
      <c r="L1067" s="295">
        <v>556.01</v>
      </c>
      <c r="M1067" s="295">
        <v>512.82425000000001</v>
      </c>
      <c r="N1067" s="295">
        <v>485.83350000000007</v>
      </c>
      <c r="O1067" s="266">
        <v>0</v>
      </c>
      <c r="P1067" s="266">
        <v>691991000805</v>
      </c>
      <c r="R1067" s="265">
        <v>22</v>
      </c>
      <c r="S1067" s="265">
        <v>19</v>
      </c>
      <c r="T1067" s="265">
        <v>18</v>
      </c>
      <c r="U1067" s="265">
        <v>28</v>
      </c>
      <c r="V1067" s="259" t="s">
        <v>3028</v>
      </c>
      <c r="W1067" s="259" t="s">
        <v>3029</v>
      </c>
      <c r="X1067" s="264" t="s">
        <v>5998</v>
      </c>
      <c r="Y1067" s="259">
        <v>154</v>
      </c>
      <c r="Z1067" s="259" t="s">
        <v>3030</v>
      </c>
      <c r="AA1067" s="259" t="e">
        <v>#N/A</v>
      </c>
      <c r="AB1067" s="259"/>
      <c r="AC1067" s="259"/>
      <c r="AD1067" s="259"/>
      <c r="AE1067" s="259"/>
    </row>
    <row r="1068" spans="1:31">
      <c r="A1068" s="259" t="s">
        <v>1163</v>
      </c>
      <c r="B1068" s="259" t="s">
        <v>80</v>
      </c>
      <c r="C1068" s="264" t="s">
        <v>5937</v>
      </c>
      <c r="D1068" s="264" t="s">
        <v>1163</v>
      </c>
      <c r="E1068" s="259" t="s">
        <v>5737</v>
      </c>
      <c r="H1068" s="264" t="s">
        <v>5999</v>
      </c>
      <c r="I1068" s="264" t="s">
        <v>5997</v>
      </c>
      <c r="J1068" s="295">
        <v>926.68</v>
      </c>
      <c r="K1068" s="295">
        <v>741</v>
      </c>
      <c r="L1068" s="295">
        <v>556.01</v>
      </c>
      <c r="M1068" s="295">
        <v>512.82425000000001</v>
      </c>
      <c r="N1068" s="295">
        <v>485.83350000000007</v>
      </c>
      <c r="O1068" s="266">
        <v>0</v>
      </c>
      <c r="P1068" s="266">
        <v>691991000812</v>
      </c>
      <c r="R1068" s="265">
        <v>22</v>
      </c>
      <c r="S1068" s="265">
        <v>19</v>
      </c>
      <c r="T1068" s="265">
        <v>18</v>
      </c>
      <c r="U1068" s="265">
        <v>29</v>
      </c>
      <c r="V1068" s="259" t="s">
        <v>3028</v>
      </c>
      <c r="W1068" s="259" t="s">
        <v>3029</v>
      </c>
      <c r="X1068" s="264" t="s">
        <v>5998</v>
      </c>
      <c r="Y1068" s="259">
        <v>155</v>
      </c>
      <c r="Z1068" s="259" t="s">
        <v>3030</v>
      </c>
      <c r="AA1068" s="259" t="e">
        <v>#N/A</v>
      </c>
      <c r="AB1068" s="259"/>
      <c r="AC1068" s="259"/>
      <c r="AD1068" s="259"/>
      <c r="AE1068" s="259"/>
    </row>
    <row r="1069" spans="1:31">
      <c r="A1069" s="259" t="s">
        <v>1164</v>
      </c>
      <c r="B1069" s="259" t="s">
        <v>80</v>
      </c>
      <c r="C1069" s="264" t="s">
        <v>5937</v>
      </c>
      <c r="D1069" s="264" t="s">
        <v>1164</v>
      </c>
      <c r="E1069" s="259" t="s">
        <v>5737</v>
      </c>
      <c r="H1069" s="264" t="s">
        <v>6000</v>
      </c>
      <c r="I1069" s="264" t="s">
        <v>6001</v>
      </c>
      <c r="J1069" s="295">
        <v>410.21</v>
      </c>
      <c r="K1069" s="295">
        <v>329</v>
      </c>
      <c r="L1069" s="295">
        <v>246.12</v>
      </c>
      <c r="M1069" s="295">
        <v>227.00478000000001</v>
      </c>
      <c r="N1069" s="295">
        <v>215.05716000000001</v>
      </c>
      <c r="O1069" s="266">
        <v>0</v>
      </c>
      <c r="P1069" s="266">
        <v>691991000775</v>
      </c>
      <c r="R1069" s="265">
        <v>10</v>
      </c>
      <c r="S1069" s="265">
        <v>17</v>
      </c>
      <c r="T1069" s="265">
        <v>10</v>
      </c>
      <c r="U1069" s="265">
        <v>13</v>
      </c>
      <c r="V1069" s="259" t="s">
        <v>3028</v>
      </c>
      <c r="W1069" s="259" t="s">
        <v>3029</v>
      </c>
      <c r="X1069" s="264" t="s">
        <v>6002</v>
      </c>
      <c r="Y1069" s="259">
        <v>156</v>
      </c>
      <c r="Z1069" s="259" t="s">
        <v>3030</v>
      </c>
      <c r="AA1069" s="259" t="e">
        <v>#N/A</v>
      </c>
      <c r="AB1069" s="259"/>
      <c r="AC1069" s="259"/>
      <c r="AD1069" s="259"/>
      <c r="AE1069" s="259"/>
    </row>
    <row r="1070" spans="1:31">
      <c r="A1070" s="259" t="s">
        <v>1165</v>
      </c>
      <c r="B1070" s="259" t="s">
        <v>80</v>
      </c>
      <c r="C1070" s="264" t="s">
        <v>5937</v>
      </c>
      <c r="D1070" s="264" t="s">
        <v>1165</v>
      </c>
      <c r="E1070" s="259" t="s">
        <v>5737</v>
      </c>
      <c r="H1070" s="264" t="s">
        <v>6000</v>
      </c>
      <c r="I1070" s="264" t="s">
        <v>6003</v>
      </c>
      <c r="J1070" s="295">
        <v>410.21</v>
      </c>
      <c r="K1070" s="295">
        <v>329</v>
      </c>
      <c r="L1070" s="295">
        <v>246.12</v>
      </c>
      <c r="M1070" s="295">
        <v>227.00478000000001</v>
      </c>
      <c r="N1070" s="295">
        <v>215.05716000000001</v>
      </c>
      <c r="O1070" s="266">
        <v>0</v>
      </c>
      <c r="P1070" s="266">
        <v>691991000782</v>
      </c>
      <c r="R1070" s="265">
        <v>10</v>
      </c>
      <c r="S1070" s="265">
        <v>17</v>
      </c>
      <c r="T1070" s="265">
        <v>10</v>
      </c>
      <c r="U1070" s="265">
        <v>13</v>
      </c>
      <c r="V1070" s="259" t="s">
        <v>3028</v>
      </c>
      <c r="W1070" s="259" t="s">
        <v>3029</v>
      </c>
      <c r="X1070" s="264" t="s">
        <v>6002</v>
      </c>
      <c r="Y1070" s="259">
        <v>157</v>
      </c>
      <c r="Z1070" s="259" t="s">
        <v>3030</v>
      </c>
      <c r="AA1070" s="259" t="e">
        <v>#N/A</v>
      </c>
      <c r="AB1070" s="259"/>
      <c r="AC1070" s="259"/>
      <c r="AD1070" s="259"/>
      <c r="AE1070" s="259"/>
    </row>
    <row r="1071" spans="1:31">
      <c r="A1071" s="259" t="s">
        <v>1166</v>
      </c>
      <c r="B1071" s="259" t="s">
        <v>80</v>
      </c>
      <c r="C1071" s="264" t="s">
        <v>5937</v>
      </c>
      <c r="D1071" s="264" t="s">
        <v>1166</v>
      </c>
      <c r="E1071" s="259" t="s">
        <v>5737</v>
      </c>
      <c r="H1071" s="264" t="s">
        <v>6004</v>
      </c>
      <c r="I1071" s="264" t="s">
        <v>6005</v>
      </c>
      <c r="J1071" s="295">
        <v>323.04000000000002</v>
      </c>
      <c r="K1071" s="295">
        <v>257</v>
      </c>
      <c r="L1071" s="295">
        <v>193.83</v>
      </c>
      <c r="M1071" s="295">
        <v>178.77185499999999</v>
      </c>
      <c r="N1071" s="295">
        <v>169.36281000000002</v>
      </c>
      <c r="O1071" s="266">
        <v>4</v>
      </c>
      <c r="P1071" s="266">
        <v>50036904001</v>
      </c>
      <c r="R1071" s="265">
        <v>9.5</v>
      </c>
      <c r="S1071" s="265">
        <v>16</v>
      </c>
      <c r="T1071" s="265">
        <v>14</v>
      </c>
      <c r="U1071" s="265">
        <v>28</v>
      </c>
      <c r="V1071" s="259" t="s">
        <v>3028</v>
      </c>
      <c r="W1071" s="259" t="s">
        <v>3029</v>
      </c>
      <c r="X1071" s="264" t="s">
        <v>6006</v>
      </c>
      <c r="Y1071" s="259">
        <v>158</v>
      </c>
      <c r="Z1071" s="259" t="s">
        <v>3030</v>
      </c>
      <c r="AA1071" s="259" t="e">
        <v>#N/A</v>
      </c>
      <c r="AB1071" s="259"/>
      <c r="AC1071" s="259"/>
      <c r="AD1071" s="259"/>
      <c r="AE1071" s="259"/>
    </row>
    <row r="1072" spans="1:31">
      <c r="A1072" s="259" t="s">
        <v>1167</v>
      </c>
      <c r="B1072" s="259" t="s">
        <v>80</v>
      </c>
      <c r="C1072" s="264" t="s">
        <v>5937</v>
      </c>
      <c r="D1072" s="264" t="s">
        <v>1167</v>
      </c>
      <c r="E1072" s="259" t="s">
        <v>5737</v>
      </c>
      <c r="H1072" s="264" t="s">
        <v>6007</v>
      </c>
      <c r="I1072" s="264" t="s">
        <v>6008</v>
      </c>
      <c r="J1072" s="295">
        <v>323.04000000000002</v>
      </c>
      <c r="K1072" s="295">
        <v>257</v>
      </c>
      <c r="L1072" s="295">
        <v>193.83</v>
      </c>
      <c r="M1072" s="295">
        <v>178.77185499999999</v>
      </c>
      <c r="N1072" s="295">
        <v>169.36281000000002</v>
      </c>
      <c r="O1072" s="266">
        <v>4</v>
      </c>
      <c r="P1072" s="266">
        <v>50036904018</v>
      </c>
      <c r="R1072" s="265">
        <v>9.75</v>
      </c>
      <c r="S1072" s="265">
        <v>28</v>
      </c>
      <c r="T1072" s="265">
        <v>16</v>
      </c>
      <c r="U1072" s="265">
        <v>15</v>
      </c>
      <c r="V1072" s="259" t="s">
        <v>4159</v>
      </c>
      <c r="W1072" s="259" t="s">
        <v>3061</v>
      </c>
      <c r="X1072" s="264" t="s">
        <v>6006</v>
      </c>
      <c r="Y1072" s="259">
        <v>159</v>
      </c>
      <c r="Z1072" s="259" t="s">
        <v>3030</v>
      </c>
      <c r="AA1072" s="259" t="e">
        <v>#N/A</v>
      </c>
      <c r="AB1072" s="259"/>
      <c r="AC1072" s="259"/>
      <c r="AD1072" s="259"/>
      <c r="AE1072" s="259"/>
    </row>
    <row r="1073" spans="1:31">
      <c r="A1073" s="259" t="s">
        <v>1168</v>
      </c>
      <c r="B1073" s="259" t="s">
        <v>80</v>
      </c>
      <c r="C1073" s="264" t="s">
        <v>5937</v>
      </c>
      <c r="D1073" s="264" t="s">
        <v>1168</v>
      </c>
      <c r="E1073" s="259" t="s">
        <v>5737</v>
      </c>
      <c r="H1073" s="264" t="s">
        <v>6009</v>
      </c>
      <c r="I1073" s="264" t="s">
        <v>6010</v>
      </c>
      <c r="J1073" s="295">
        <v>957.56</v>
      </c>
      <c r="K1073" s="295">
        <v>768</v>
      </c>
      <c r="L1073" s="295">
        <v>574.54</v>
      </c>
      <c r="M1073" s="295">
        <v>529.91161499999998</v>
      </c>
      <c r="N1073" s="295">
        <v>502.02152999999998</v>
      </c>
      <c r="O1073" s="266">
        <v>0</v>
      </c>
      <c r="P1073" s="266">
        <v>691991004322</v>
      </c>
      <c r="R1073" s="265">
        <v>59</v>
      </c>
      <c r="S1073" s="265">
        <v>29</v>
      </c>
      <c r="T1073" s="265">
        <v>28</v>
      </c>
      <c r="U1073" s="265">
        <v>20</v>
      </c>
      <c r="V1073" s="259" t="s">
        <v>3028</v>
      </c>
      <c r="W1073" s="259" t="s">
        <v>3029</v>
      </c>
      <c r="X1073" s="264" t="s">
        <v>6011</v>
      </c>
      <c r="Y1073" s="259">
        <v>160</v>
      </c>
      <c r="Z1073" s="259" t="s">
        <v>3030</v>
      </c>
      <c r="AA1073" s="259" t="e">
        <v>#N/A</v>
      </c>
      <c r="AB1073" s="259"/>
      <c r="AC1073" s="259"/>
      <c r="AD1073" s="259"/>
      <c r="AE1073" s="259"/>
    </row>
    <row r="1074" spans="1:31">
      <c r="A1074" s="259" t="s">
        <v>1169</v>
      </c>
      <c r="B1074" s="259" t="s">
        <v>80</v>
      </c>
      <c r="C1074" s="264" t="s">
        <v>5937</v>
      </c>
      <c r="D1074" s="264" t="s">
        <v>1169</v>
      </c>
      <c r="E1074" s="259" t="s">
        <v>5737</v>
      </c>
      <c r="H1074" s="264" t="s">
        <v>6012</v>
      </c>
      <c r="I1074" s="264" t="s">
        <v>6013</v>
      </c>
      <c r="J1074" s="295">
        <v>957.56</v>
      </c>
      <c r="K1074" s="295">
        <v>768</v>
      </c>
      <c r="L1074" s="295">
        <v>574.54</v>
      </c>
      <c r="M1074" s="295">
        <v>529.91161499999998</v>
      </c>
      <c r="N1074" s="295">
        <v>502.02152999999998</v>
      </c>
      <c r="O1074" s="266">
        <v>0</v>
      </c>
      <c r="P1074" s="266">
        <v>691991004339</v>
      </c>
      <c r="R1074" s="265">
        <v>59.5</v>
      </c>
      <c r="S1074" s="265">
        <v>29</v>
      </c>
      <c r="T1074" s="265">
        <v>28</v>
      </c>
      <c r="U1074" s="265">
        <v>20</v>
      </c>
      <c r="V1074" s="259" t="s">
        <v>3028</v>
      </c>
      <c r="X1074" s="264" t="s">
        <v>6011</v>
      </c>
      <c r="Y1074" s="259">
        <v>161</v>
      </c>
      <c r="Z1074" s="259" t="s">
        <v>3030</v>
      </c>
      <c r="AA1074" s="259" t="e">
        <v>#N/A</v>
      </c>
      <c r="AB1074" s="259"/>
      <c r="AC1074" s="259"/>
      <c r="AD1074" s="259"/>
      <c r="AE1074" s="259"/>
    </row>
    <row r="1075" spans="1:31">
      <c r="A1075" s="259" t="s">
        <v>1170</v>
      </c>
      <c r="B1075" s="259" t="s">
        <v>80</v>
      </c>
      <c r="C1075" s="264" t="s">
        <v>5725</v>
      </c>
      <c r="D1075" s="264" t="s">
        <v>1170</v>
      </c>
      <c r="E1075" s="259" t="s">
        <v>5737</v>
      </c>
      <c r="H1075" s="264" t="s">
        <v>6014</v>
      </c>
      <c r="I1075" s="264" t="s">
        <v>6015</v>
      </c>
      <c r="J1075" s="295">
        <v>117.91</v>
      </c>
      <c r="K1075" s="295">
        <v>117.91</v>
      </c>
      <c r="L1075" s="295">
        <v>70.75</v>
      </c>
      <c r="M1075" s="295">
        <v>65.259299999999996</v>
      </c>
      <c r="N1075" s="295">
        <v>61.824600000000004</v>
      </c>
      <c r="O1075" s="266">
        <v>0</v>
      </c>
      <c r="P1075" s="266">
        <v>50036904728</v>
      </c>
      <c r="R1075" s="265">
        <v>9</v>
      </c>
      <c r="S1075" s="265">
        <v>28</v>
      </c>
      <c r="T1075" s="265">
        <v>17</v>
      </c>
      <c r="U1075" s="265">
        <v>5</v>
      </c>
      <c r="V1075" s="259" t="s">
        <v>3834</v>
      </c>
      <c r="W1075" s="259" t="s">
        <v>3061</v>
      </c>
      <c r="Y1075" s="259">
        <v>162</v>
      </c>
      <c r="Z1075" s="259" t="s">
        <v>3030</v>
      </c>
      <c r="AA1075" s="259" t="e">
        <v>#N/A</v>
      </c>
      <c r="AB1075" s="259"/>
      <c r="AC1075" s="259"/>
      <c r="AD1075" s="259"/>
      <c r="AE1075" s="259"/>
    </row>
    <row r="1076" spans="1:31">
      <c r="A1076" s="259" t="s">
        <v>1171</v>
      </c>
      <c r="B1076" s="259" t="s">
        <v>80</v>
      </c>
      <c r="C1076" s="264" t="s">
        <v>5725</v>
      </c>
      <c r="D1076" s="264" t="s">
        <v>1171</v>
      </c>
      <c r="E1076" s="259" t="s">
        <v>5737</v>
      </c>
      <c r="H1076" s="264" t="s">
        <v>6014</v>
      </c>
      <c r="I1076" s="264" t="s">
        <v>6016</v>
      </c>
      <c r="J1076" s="295">
        <v>117.91</v>
      </c>
      <c r="K1076" s="295">
        <v>117.91</v>
      </c>
      <c r="L1076" s="295">
        <v>70.75</v>
      </c>
      <c r="O1076" s="266">
        <v>0</v>
      </c>
      <c r="P1076" s="266">
        <v>691991300325</v>
      </c>
      <c r="R1076" s="265">
        <v>20</v>
      </c>
      <c r="S1076" s="265">
        <v>5</v>
      </c>
      <c r="T1076" s="265">
        <v>17</v>
      </c>
      <c r="U1076" s="265">
        <v>28</v>
      </c>
      <c r="V1076" s="259" t="s">
        <v>3028</v>
      </c>
      <c r="W1076" s="259" t="s">
        <v>3029</v>
      </c>
      <c r="Y1076" s="259">
        <v>163</v>
      </c>
      <c r="Z1076" s="259" t="s">
        <v>3030</v>
      </c>
      <c r="AA1076" s="259" t="e">
        <v>#N/A</v>
      </c>
      <c r="AB1076" s="259"/>
      <c r="AC1076" s="259"/>
      <c r="AD1076" s="259"/>
      <c r="AE1076" s="259"/>
    </row>
    <row r="1077" spans="1:31">
      <c r="A1077" s="259" t="s">
        <v>1172</v>
      </c>
      <c r="B1077" s="259" t="s">
        <v>80</v>
      </c>
      <c r="C1077" s="264" t="s">
        <v>5725</v>
      </c>
      <c r="D1077" s="264" t="s">
        <v>1172</v>
      </c>
      <c r="E1077" s="259" t="s">
        <v>5737</v>
      </c>
      <c r="H1077" s="264" t="s">
        <v>6017</v>
      </c>
      <c r="I1077" s="264" t="s">
        <v>6018</v>
      </c>
      <c r="J1077" s="295">
        <v>19.97</v>
      </c>
      <c r="K1077" s="295">
        <v>19.97</v>
      </c>
      <c r="L1077" s="295">
        <v>11.98</v>
      </c>
      <c r="O1077" s="266">
        <v>0</v>
      </c>
      <c r="P1077" s="266">
        <v>691991300332</v>
      </c>
      <c r="R1077" s="265">
        <v>1</v>
      </c>
      <c r="S1077" s="265">
        <v>6</v>
      </c>
      <c r="T1077" s="265">
        <v>2</v>
      </c>
      <c r="U1077" s="265">
        <v>2</v>
      </c>
      <c r="V1077" s="259" t="s">
        <v>3028</v>
      </c>
      <c r="W1077" s="259" t="s">
        <v>3029</v>
      </c>
      <c r="Y1077" s="259">
        <v>164</v>
      </c>
      <c r="Z1077" s="259" t="s">
        <v>3030</v>
      </c>
      <c r="AA1077" s="259" t="e">
        <v>#N/A</v>
      </c>
      <c r="AB1077" s="259"/>
      <c r="AC1077" s="259"/>
      <c r="AD1077" s="259"/>
      <c r="AE1077" s="259"/>
    </row>
    <row r="1078" spans="1:31">
      <c r="A1078" s="259" t="s">
        <v>1173</v>
      </c>
      <c r="B1078" s="259" t="s">
        <v>80</v>
      </c>
      <c r="C1078" s="264" t="s">
        <v>5725</v>
      </c>
      <c r="D1078" s="264" t="s">
        <v>1173</v>
      </c>
      <c r="E1078" s="259" t="s">
        <v>5737</v>
      </c>
      <c r="H1078" s="264" t="s">
        <v>6019</v>
      </c>
      <c r="I1078" s="264" t="s">
        <v>6020</v>
      </c>
      <c r="J1078" s="295">
        <v>21.22</v>
      </c>
      <c r="K1078" s="295">
        <v>21.22</v>
      </c>
      <c r="L1078" s="295">
        <v>12.12</v>
      </c>
      <c r="O1078" s="266">
        <v>0</v>
      </c>
      <c r="P1078" s="266">
        <v>691991300349</v>
      </c>
      <c r="R1078" s="265">
        <v>1</v>
      </c>
      <c r="S1078" s="265">
        <v>6</v>
      </c>
      <c r="T1078" s="265">
        <v>2</v>
      </c>
      <c r="U1078" s="265">
        <v>2</v>
      </c>
      <c r="V1078" s="259" t="s">
        <v>3028</v>
      </c>
      <c r="W1078" s="259" t="s">
        <v>3029</v>
      </c>
      <c r="Y1078" s="259">
        <v>165</v>
      </c>
      <c r="Z1078" s="259" t="s">
        <v>3030</v>
      </c>
      <c r="AA1078" s="259" t="e">
        <v>#N/A</v>
      </c>
      <c r="AB1078" s="259"/>
      <c r="AC1078" s="259"/>
      <c r="AD1078" s="259"/>
      <c r="AE1078" s="259"/>
    </row>
    <row r="1079" spans="1:31">
      <c r="A1079" s="259" t="s">
        <v>1174</v>
      </c>
      <c r="B1079" s="259" t="s">
        <v>80</v>
      </c>
      <c r="C1079" s="264" t="s">
        <v>5725</v>
      </c>
      <c r="D1079" s="264" t="s">
        <v>1174</v>
      </c>
      <c r="E1079" s="259" t="s">
        <v>5737</v>
      </c>
      <c r="H1079" s="264" t="s">
        <v>6021</v>
      </c>
      <c r="I1079" s="264" t="s">
        <v>6022</v>
      </c>
      <c r="J1079" s="295">
        <v>38.68</v>
      </c>
      <c r="K1079" s="295">
        <v>38.68</v>
      </c>
      <c r="L1079" s="295">
        <v>19.489999999999998</v>
      </c>
      <c r="O1079" s="266">
        <v>0</v>
      </c>
      <c r="P1079" s="266">
        <v>691991005213</v>
      </c>
      <c r="R1079" s="265">
        <v>1</v>
      </c>
      <c r="S1079" s="265">
        <v>4.5</v>
      </c>
      <c r="T1079" s="265">
        <v>9</v>
      </c>
      <c r="U1079" s="265">
        <v>5.5</v>
      </c>
      <c r="V1079" s="259" t="s">
        <v>3028</v>
      </c>
      <c r="W1079" s="259" t="s">
        <v>3029</v>
      </c>
      <c r="Y1079" s="259">
        <v>166</v>
      </c>
      <c r="Z1079" s="259" t="s">
        <v>3030</v>
      </c>
      <c r="AA1079" s="259" t="e">
        <v>#N/A</v>
      </c>
      <c r="AB1079" s="259"/>
      <c r="AC1079" s="259"/>
      <c r="AD1079" s="259"/>
      <c r="AE1079" s="259"/>
    </row>
    <row r="1080" spans="1:31">
      <c r="A1080" s="259" t="s">
        <v>1175</v>
      </c>
      <c r="B1080" s="259" t="s">
        <v>80</v>
      </c>
      <c r="C1080" s="264" t="s">
        <v>5725</v>
      </c>
      <c r="D1080" s="264" t="s">
        <v>1175</v>
      </c>
      <c r="E1080" s="259" t="s">
        <v>5737</v>
      </c>
      <c r="H1080" s="264" t="s">
        <v>6023</v>
      </c>
      <c r="I1080" s="264" t="s">
        <v>6024</v>
      </c>
      <c r="J1080" s="295">
        <v>38.68</v>
      </c>
      <c r="K1080" s="295">
        <v>38.68</v>
      </c>
      <c r="L1080" s="295">
        <v>19.489999999999998</v>
      </c>
      <c r="O1080" s="266">
        <v>0</v>
      </c>
      <c r="P1080" s="266">
        <v>691991005220</v>
      </c>
      <c r="R1080" s="265">
        <v>1</v>
      </c>
      <c r="S1080" s="265">
        <v>4.5</v>
      </c>
      <c r="T1080" s="265">
        <v>9</v>
      </c>
      <c r="U1080" s="265">
        <v>5.5</v>
      </c>
      <c r="V1080" s="259" t="s">
        <v>3834</v>
      </c>
      <c r="W1080" s="259" t="s">
        <v>3061</v>
      </c>
      <c r="X1080" s="264" t="s">
        <v>6025</v>
      </c>
      <c r="Y1080" s="259">
        <v>167</v>
      </c>
      <c r="Z1080" s="259" t="s">
        <v>3030</v>
      </c>
      <c r="AA1080" s="259" t="e">
        <v>#N/A</v>
      </c>
      <c r="AB1080" s="259"/>
      <c r="AC1080" s="259"/>
      <c r="AD1080" s="259"/>
      <c r="AE1080" s="259"/>
    </row>
    <row r="1081" spans="1:31">
      <c r="A1081" s="259" t="s">
        <v>1176</v>
      </c>
      <c r="B1081" s="259" t="s">
        <v>80</v>
      </c>
      <c r="C1081" s="264" t="s">
        <v>5725</v>
      </c>
      <c r="D1081" s="264" t="s">
        <v>1176</v>
      </c>
      <c r="E1081" s="259" t="s">
        <v>5737</v>
      </c>
      <c r="H1081" s="264" t="s">
        <v>6026</v>
      </c>
      <c r="I1081" s="264" t="s">
        <v>6027</v>
      </c>
      <c r="J1081" s="295">
        <v>46.17</v>
      </c>
      <c r="K1081" s="295">
        <v>46.17</v>
      </c>
      <c r="L1081" s="295">
        <v>23.02</v>
      </c>
      <c r="O1081" s="266">
        <v>0</v>
      </c>
      <c r="P1081" s="266">
        <v>691991005152</v>
      </c>
      <c r="R1081" s="265">
        <v>0.5</v>
      </c>
      <c r="S1081" s="265">
        <v>1.5</v>
      </c>
      <c r="T1081" s="265">
        <v>6</v>
      </c>
      <c r="U1081" s="265">
        <v>8.5</v>
      </c>
      <c r="V1081" s="259" t="s">
        <v>3028</v>
      </c>
      <c r="W1081" s="259" t="s">
        <v>3029</v>
      </c>
      <c r="Y1081" s="259">
        <v>168</v>
      </c>
      <c r="Z1081" s="259" t="s">
        <v>3030</v>
      </c>
      <c r="AA1081" s="259" t="e">
        <v>#N/A</v>
      </c>
      <c r="AB1081" s="259"/>
      <c r="AC1081" s="259"/>
      <c r="AD1081" s="259"/>
      <c r="AE1081" s="259"/>
    </row>
    <row r="1082" spans="1:31">
      <c r="A1082" s="259" t="s">
        <v>1177</v>
      </c>
      <c r="B1082" s="259" t="s">
        <v>80</v>
      </c>
      <c r="C1082" s="264" t="s">
        <v>5725</v>
      </c>
      <c r="D1082" s="264" t="s">
        <v>1177</v>
      </c>
      <c r="E1082" s="259" t="s">
        <v>5737</v>
      </c>
      <c r="H1082" s="264" t="s">
        <v>6028</v>
      </c>
      <c r="I1082" s="264" t="s">
        <v>6029</v>
      </c>
      <c r="J1082" s="295">
        <v>46.17</v>
      </c>
      <c r="K1082" s="295">
        <v>46.17</v>
      </c>
      <c r="L1082" s="295">
        <v>23.03</v>
      </c>
      <c r="O1082" s="266">
        <v>0</v>
      </c>
      <c r="P1082" s="266">
        <v>691991005169</v>
      </c>
      <c r="R1082" s="265">
        <v>0.5</v>
      </c>
      <c r="S1082" s="265">
        <v>1.5</v>
      </c>
      <c r="T1082" s="265">
        <v>6</v>
      </c>
      <c r="U1082" s="265">
        <v>8.5</v>
      </c>
      <c r="V1082" s="259" t="s">
        <v>3028</v>
      </c>
      <c r="W1082" s="259" t="s">
        <v>3029</v>
      </c>
      <c r="Y1082" s="259">
        <v>169</v>
      </c>
      <c r="Z1082" s="259" t="s">
        <v>3030</v>
      </c>
      <c r="AA1082" s="259" t="e">
        <v>#N/A</v>
      </c>
      <c r="AB1082" s="259"/>
      <c r="AC1082" s="259"/>
      <c r="AD1082" s="259"/>
      <c r="AE1082" s="259"/>
    </row>
    <row r="1083" spans="1:31">
      <c r="A1083" s="259" t="s">
        <v>1178</v>
      </c>
      <c r="B1083" s="259" t="s">
        <v>80</v>
      </c>
      <c r="C1083" s="264" t="s">
        <v>5725</v>
      </c>
      <c r="D1083" s="264" t="s">
        <v>1178</v>
      </c>
      <c r="E1083" s="259" t="s">
        <v>5737</v>
      </c>
      <c r="H1083" s="264" t="s">
        <v>6030</v>
      </c>
      <c r="I1083" s="264" t="s">
        <v>6031</v>
      </c>
      <c r="J1083" s="295">
        <v>51.16</v>
      </c>
      <c r="K1083" s="295">
        <v>51.16</v>
      </c>
      <c r="L1083" s="295">
        <v>25.86</v>
      </c>
      <c r="O1083" s="266">
        <v>0</v>
      </c>
      <c r="P1083" s="266">
        <v>691991005237</v>
      </c>
      <c r="R1083" s="265">
        <v>1</v>
      </c>
      <c r="S1083" s="265">
        <v>5.5</v>
      </c>
      <c r="T1083" s="265">
        <v>11</v>
      </c>
      <c r="U1083" s="265">
        <v>6.5</v>
      </c>
      <c r="V1083" s="259" t="s">
        <v>3028</v>
      </c>
      <c r="W1083" s="259" t="s">
        <v>3029</v>
      </c>
      <c r="Y1083" s="259">
        <v>170</v>
      </c>
      <c r="Z1083" s="259" t="s">
        <v>3030</v>
      </c>
      <c r="AA1083" s="259" t="e">
        <v>#N/A</v>
      </c>
      <c r="AB1083" s="259"/>
      <c r="AC1083" s="259"/>
      <c r="AD1083" s="259"/>
      <c r="AE1083" s="259"/>
    </row>
    <row r="1084" spans="1:31">
      <c r="A1084" s="259" t="s">
        <v>1179</v>
      </c>
      <c r="B1084" s="259" t="s">
        <v>80</v>
      </c>
      <c r="C1084" s="264" t="s">
        <v>5725</v>
      </c>
      <c r="D1084" s="264" t="s">
        <v>1179</v>
      </c>
      <c r="E1084" s="259" t="s">
        <v>5737</v>
      </c>
      <c r="H1084" s="264" t="s">
        <v>6032</v>
      </c>
      <c r="I1084" s="264" t="s">
        <v>6033</v>
      </c>
      <c r="J1084" s="295">
        <v>51.16</v>
      </c>
      <c r="K1084" s="295">
        <v>51.16</v>
      </c>
      <c r="L1084" s="295">
        <v>25.86</v>
      </c>
      <c r="O1084" s="266">
        <v>0</v>
      </c>
      <c r="P1084" s="266">
        <v>691991005848</v>
      </c>
      <c r="R1084" s="265">
        <v>1</v>
      </c>
      <c r="S1084" s="265">
        <v>5.5</v>
      </c>
      <c r="T1084" s="265">
        <v>11</v>
      </c>
      <c r="U1084" s="265">
        <v>6.5</v>
      </c>
      <c r="V1084" s="259" t="s">
        <v>3834</v>
      </c>
      <c r="W1084" s="259" t="s">
        <v>3061</v>
      </c>
      <c r="X1084" s="264" t="s">
        <v>6025</v>
      </c>
      <c r="Y1084" s="259">
        <v>171</v>
      </c>
      <c r="Z1084" s="259" t="s">
        <v>3030</v>
      </c>
      <c r="AA1084" s="259" t="e">
        <v>#N/A</v>
      </c>
      <c r="AB1084" s="259"/>
      <c r="AC1084" s="259"/>
      <c r="AD1084" s="259"/>
      <c r="AE1084" s="259"/>
    </row>
    <row r="1085" spans="1:31">
      <c r="A1085" s="259" t="s">
        <v>1180</v>
      </c>
      <c r="B1085" s="259" t="s">
        <v>80</v>
      </c>
      <c r="C1085" s="264" t="s">
        <v>5725</v>
      </c>
      <c r="D1085" s="264" t="s">
        <v>1180</v>
      </c>
      <c r="E1085" s="259" t="s">
        <v>5737</v>
      </c>
      <c r="H1085" s="264" t="s">
        <v>6034</v>
      </c>
      <c r="I1085" s="264" t="s">
        <v>6035</v>
      </c>
      <c r="J1085" s="295">
        <v>64.88</v>
      </c>
      <c r="K1085" s="295">
        <v>64.88</v>
      </c>
      <c r="L1085" s="295">
        <v>32.21</v>
      </c>
      <c r="O1085" s="266">
        <v>0</v>
      </c>
      <c r="P1085" s="266">
        <v>691991005176</v>
      </c>
      <c r="R1085" s="265">
        <v>1</v>
      </c>
      <c r="S1085" s="265">
        <v>1.5</v>
      </c>
      <c r="T1085" s="265">
        <v>7.5</v>
      </c>
      <c r="U1085" s="265">
        <v>10</v>
      </c>
      <c r="V1085" s="259" t="s">
        <v>3028</v>
      </c>
      <c r="W1085" s="259" t="s">
        <v>3029</v>
      </c>
      <c r="Y1085" s="259">
        <v>172</v>
      </c>
      <c r="Z1085" s="259" t="s">
        <v>3030</v>
      </c>
      <c r="AA1085" s="259" t="e">
        <v>#N/A</v>
      </c>
      <c r="AB1085" s="259"/>
      <c r="AC1085" s="259"/>
      <c r="AD1085" s="259"/>
      <c r="AE1085" s="259"/>
    </row>
    <row r="1086" spans="1:31">
      <c r="A1086" s="259" t="s">
        <v>1181</v>
      </c>
      <c r="B1086" s="259" t="s">
        <v>80</v>
      </c>
      <c r="C1086" s="264" t="s">
        <v>5725</v>
      </c>
      <c r="D1086" s="264" t="s">
        <v>1181</v>
      </c>
      <c r="E1086" s="259" t="s">
        <v>5737</v>
      </c>
      <c r="H1086" s="264" t="s">
        <v>6036</v>
      </c>
      <c r="I1086" s="264" t="s">
        <v>6037</v>
      </c>
      <c r="J1086" s="295">
        <v>64.88</v>
      </c>
      <c r="K1086" s="295">
        <v>64.88</v>
      </c>
      <c r="L1086" s="295">
        <v>32.21</v>
      </c>
      <c r="O1086" s="266">
        <v>0</v>
      </c>
      <c r="P1086" s="266">
        <v>691991005183</v>
      </c>
      <c r="R1086" s="265">
        <v>1</v>
      </c>
      <c r="S1086" s="265">
        <v>1.5</v>
      </c>
      <c r="T1086" s="265">
        <v>7.5</v>
      </c>
      <c r="U1086" s="265">
        <v>10</v>
      </c>
      <c r="V1086" s="259" t="s">
        <v>3028</v>
      </c>
      <c r="W1086" s="259" t="s">
        <v>3029</v>
      </c>
      <c r="Y1086" s="259">
        <v>173</v>
      </c>
      <c r="Z1086" s="259" t="s">
        <v>3030</v>
      </c>
      <c r="AA1086" s="259" t="e">
        <v>#N/A</v>
      </c>
      <c r="AB1086" s="259"/>
      <c r="AC1086" s="259"/>
      <c r="AD1086" s="259"/>
      <c r="AE1086" s="259"/>
    </row>
    <row r="1087" spans="1:31">
      <c r="A1087" s="259" t="s">
        <v>1182</v>
      </c>
      <c r="B1087" s="259" t="s">
        <v>80</v>
      </c>
      <c r="C1087" s="264" t="s">
        <v>5725</v>
      </c>
      <c r="D1087" s="264" t="s">
        <v>1182</v>
      </c>
      <c r="E1087" s="259" t="s">
        <v>5737</v>
      </c>
      <c r="H1087" s="264" t="s">
        <v>6038</v>
      </c>
      <c r="I1087" s="264" t="s">
        <v>6039</v>
      </c>
      <c r="J1087" s="295">
        <v>37.44</v>
      </c>
      <c r="K1087" s="295">
        <v>37.44</v>
      </c>
      <c r="L1087" s="295">
        <v>23.09</v>
      </c>
      <c r="O1087" s="266">
        <v>0</v>
      </c>
      <c r="P1087" s="266">
        <v>50036904735</v>
      </c>
      <c r="R1087" s="265">
        <v>1.1000000000000001</v>
      </c>
      <c r="S1087" s="265">
        <v>4</v>
      </c>
      <c r="T1087" s="265">
        <v>12</v>
      </c>
      <c r="U1087" s="265">
        <v>2</v>
      </c>
      <c r="V1087" s="259" t="s">
        <v>3028</v>
      </c>
      <c r="W1087" s="259" t="s">
        <v>3029</v>
      </c>
      <c r="Y1087" s="259">
        <v>174</v>
      </c>
      <c r="Z1087" s="259" t="s">
        <v>3030</v>
      </c>
      <c r="AA1087" s="259" t="e">
        <v>#N/A</v>
      </c>
      <c r="AB1087" s="259"/>
      <c r="AC1087" s="259"/>
      <c r="AD1087" s="259"/>
      <c r="AE1087" s="259"/>
    </row>
    <row r="1088" spans="1:31">
      <c r="A1088" s="259" t="s">
        <v>1183</v>
      </c>
      <c r="B1088" s="259" t="s">
        <v>80</v>
      </c>
      <c r="C1088" s="264" t="s">
        <v>5725</v>
      </c>
      <c r="D1088" s="264" t="s">
        <v>1183</v>
      </c>
      <c r="E1088" s="259" t="s">
        <v>5737</v>
      </c>
      <c r="H1088" s="264" t="s">
        <v>6040</v>
      </c>
      <c r="I1088" s="264" t="s">
        <v>6041</v>
      </c>
      <c r="J1088" s="295">
        <v>37.44</v>
      </c>
      <c r="K1088" s="295">
        <v>37.44</v>
      </c>
      <c r="L1088" s="295">
        <v>23.09</v>
      </c>
      <c r="O1088" s="266">
        <v>0</v>
      </c>
      <c r="P1088" s="266">
        <v>50036904742</v>
      </c>
      <c r="R1088" s="265">
        <v>1.5</v>
      </c>
      <c r="S1088" s="265">
        <v>12</v>
      </c>
      <c r="T1088" s="265">
        <v>3</v>
      </c>
      <c r="U1088" s="265">
        <v>2</v>
      </c>
      <c r="V1088" s="259" t="s">
        <v>3834</v>
      </c>
      <c r="W1088" s="259" t="s">
        <v>3061</v>
      </c>
      <c r="X1088" s="264" t="s">
        <v>6025</v>
      </c>
      <c r="Y1088" s="259">
        <v>175</v>
      </c>
      <c r="Z1088" s="259" t="s">
        <v>3030</v>
      </c>
      <c r="AA1088" s="259" t="e">
        <v>#N/A</v>
      </c>
      <c r="AB1088" s="259"/>
      <c r="AC1088" s="259"/>
      <c r="AD1088" s="259"/>
      <c r="AE1088" s="259"/>
    </row>
    <row r="1089" spans="1:31">
      <c r="A1089" s="259" t="s">
        <v>1184</v>
      </c>
      <c r="B1089" s="259" t="s">
        <v>80</v>
      </c>
      <c r="C1089" s="264" t="s">
        <v>5725</v>
      </c>
      <c r="D1089" s="264" t="s">
        <v>1184</v>
      </c>
      <c r="E1089" s="259" t="s">
        <v>5737</v>
      </c>
      <c r="H1089" s="264" t="s">
        <v>6042</v>
      </c>
      <c r="I1089" s="264" t="s">
        <v>6043</v>
      </c>
      <c r="J1089" s="295">
        <v>66.14</v>
      </c>
      <c r="K1089" s="295">
        <v>66.14</v>
      </c>
      <c r="L1089" s="295">
        <v>32.89</v>
      </c>
      <c r="O1089" s="266">
        <v>0</v>
      </c>
      <c r="P1089" s="266">
        <v>691991005251</v>
      </c>
      <c r="R1089" s="265">
        <v>4</v>
      </c>
      <c r="S1089" s="265">
        <v>5</v>
      </c>
      <c r="T1089" s="265">
        <v>16.5</v>
      </c>
      <c r="U1089" s="265">
        <v>8</v>
      </c>
      <c r="V1089" s="259" t="s">
        <v>3028</v>
      </c>
      <c r="W1089" s="259" t="s">
        <v>3029</v>
      </c>
      <c r="Y1089" s="259">
        <v>176</v>
      </c>
      <c r="Z1089" s="259" t="s">
        <v>3030</v>
      </c>
      <c r="AA1089" s="259" t="e">
        <v>#N/A</v>
      </c>
      <c r="AB1089" s="259"/>
      <c r="AC1089" s="259"/>
      <c r="AD1089" s="259"/>
      <c r="AE1089" s="259"/>
    </row>
    <row r="1090" spans="1:31">
      <c r="A1090" s="259" t="s">
        <v>1185</v>
      </c>
      <c r="B1090" s="259" t="s">
        <v>80</v>
      </c>
      <c r="C1090" s="264" t="s">
        <v>5725</v>
      </c>
      <c r="D1090" s="264" t="s">
        <v>1185</v>
      </c>
      <c r="E1090" s="259" t="s">
        <v>5737</v>
      </c>
      <c r="H1090" s="264" t="s">
        <v>6044</v>
      </c>
      <c r="I1090" s="264" t="s">
        <v>6045</v>
      </c>
      <c r="J1090" s="295">
        <v>66.14</v>
      </c>
      <c r="K1090" s="295">
        <v>66.14</v>
      </c>
      <c r="L1090" s="295">
        <v>32.89</v>
      </c>
      <c r="O1090" s="266">
        <v>0</v>
      </c>
      <c r="P1090" s="266">
        <v>691991005855</v>
      </c>
      <c r="R1090" s="265">
        <v>4</v>
      </c>
      <c r="S1090" s="265">
        <v>5</v>
      </c>
      <c r="T1090" s="265">
        <v>16.5</v>
      </c>
      <c r="U1090" s="265">
        <v>8</v>
      </c>
      <c r="V1090" s="259" t="s">
        <v>3834</v>
      </c>
      <c r="W1090" s="259" t="s">
        <v>3061</v>
      </c>
      <c r="X1090" s="264" t="s">
        <v>6025</v>
      </c>
      <c r="Y1090" s="259">
        <v>177</v>
      </c>
      <c r="Z1090" s="259" t="s">
        <v>3030</v>
      </c>
      <c r="AA1090" s="259" t="e">
        <v>#N/A</v>
      </c>
      <c r="AB1090" s="259"/>
      <c r="AC1090" s="259"/>
      <c r="AD1090" s="259"/>
      <c r="AE1090" s="259"/>
    </row>
    <row r="1091" spans="1:31">
      <c r="A1091" s="259" t="s">
        <v>1186</v>
      </c>
      <c r="B1091" s="259" t="s">
        <v>80</v>
      </c>
      <c r="C1091" s="264" t="s">
        <v>5725</v>
      </c>
      <c r="D1091" s="264" t="s">
        <v>1186</v>
      </c>
      <c r="E1091" s="259" t="s">
        <v>5737</v>
      </c>
      <c r="H1091" s="264" t="s">
        <v>6046</v>
      </c>
      <c r="I1091" s="264" t="s">
        <v>6047</v>
      </c>
      <c r="J1091" s="295">
        <v>91.09</v>
      </c>
      <c r="K1091" s="295">
        <v>91.09</v>
      </c>
      <c r="L1091" s="295">
        <v>45.81</v>
      </c>
      <c r="O1091" s="266">
        <v>0</v>
      </c>
      <c r="P1091" s="266">
        <v>691991005190</v>
      </c>
      <c r="R1091" s="265">
        <v>2</v>
      </c>
      <c r="S1091" s="265">
        <v>2</v>
      </c>
      <c r="T1091" s="265">
        <v>11</v>
      </c>
      <c r="U1091" s="265">
        <v>15</v>
      </c>
      <c r="V1091" s="259" t="s">
        <v>3028</v>
      </c>
      <c r="W1091" s="259" t="s">
        <v>3029</v>
      </c>
      <c r="Y1091" s="259">
        <v>178</v>
      </c>
      <c r="Z1091" s="259" t="s">
        <v>3030</v>
      </c>
      <c r="AA1091" s="259" t="e">
        <v>#N/A</v>
      </c>
      <c r="AB1091" s="259"/>
      <c r="AC1091" s="259"/>
      <c r="AD1091" s="259"/>
      <c r="AE1091" s="259"/>
    </row>
    <row r="1092" spans="1:31">
      <c r="A1092" s="259" t="s">
        <v>1187</v>
      </c>
      <c r="B1092" s="259" t="s">
        <v>80</v>
      </c>
      <c r="C1092" s="264" t="s">
        <v>5725</v>
      </c>
      <c r="D1092" s="264" t="s">
        <v>1187</v>
      </c>
      <c r="E1092" s="259" t="s">
        <v>5737</v>
      </c>
      <c r="H1092" s="264" t="s">
        <v>6048</v>
      </c>
      <c r="I1092" s="264" t="s">
        <v>6049</v>
      </c>
      <c r="J1092" s="295">
        <v>91.09</v>
      </c>
      <c r="K1092" s="295">
        <v>91.09</v>
      </c>
      <c r="L1092" s="295">
        <v>45.81</v>
      </c>
      <c r="O1092" s="266">
        <v>0</v>
      </c>
      <c r="P1092" s="266">
        <v>691991005206</v>
      </c>
      <c r="R1092" s="265">
        <v>2</v>
      </c>
      <c r="S1092" s="265">
        <v>2</v>
      </c>
      <c r="T1092" s="265">
        <v>11</v>
      </c>
      <c r="U1092" s="265">
        <v>15</v>
      </c>
      <c r="V1092" s="259" t="s">
        <v>3028</v>
      </c>
      <c r="W1092" s="259" t="s">
        <v>3029</v>
      </c>
      <c r="Y1092" s="259">
        <v>179</v>
      </c>
      <c r="Z1092" s="259" t="s">
        <v>3030</v>
      </c>
      <c r="AA1092" s="259" t="e">
        <v>#N/A</v>
      </c>
      <c r="AB1092" s="259"/>
      <c r="AC1092" s="259"/>
      <c r="AD1092" s="259"/>
      <c r="AE1092" s="259"/>
    </row>
    <row r="1093" spans="1:31">
      <c r="A1093" s="259" t="s">
        <v>1188</v>
      </c>
      <c r="B1093" s="259" t="s">
        <v>80</v>
      </c>
      <c r="C1093" s="264" t="s">
        <v>5725</v>
      </c>
      <c r="D1093" s="264" t="s">
        <v>1188</v>
      </c>
      <c r="E1093" s="259" t="s">
        <v>5737</v>
      </c>
      <c r="H1093" s="264" t="s">
        <v>6050</v>
      </c>
      <c r="I1093" s="264" t="s">
        <v>6051</v>
      </c>
      <c r="J1093" s="295">
        <v>179.37</v>
      </c>
      <c r="K1093" s="295">
        <v>144</v>
      </c>
      <c r="L1093" s="295">
        <v>107.62</v>
      </c>
      <c r="O1093" s="266"/>
      <c r="P1093" s="266">
        <v>691991006524</v>
      </c>
      <c r="R1093" s="265">
        <v>1</v>
      </c>
      <c r="S1093" s="265">
        <v>21.5</v>
      </c>
      <c r="T1093" s="265">
        <v>11.5</v>
      </c>
      <c r="U1093" s="265">
        <v>2</v>
      </c>
      <c r="V1093" s="259" t="s">
        <v>3028</v>
      </c>
      <c r="W1093" s="259" t="s">
        <v>3029</v>
      </c>
      <c r="Y1093" s="259">
        <v>180</v>
      </c>
      <c r="Z1093" s="259" t="s">
        <v>3030</v>
      </c>
      <c r="AA1093" s="259" t="e">
        <v>#N/A</v>
      </c>
      <c r="AB1093" s="259"/>
      <c r="AC1093" s="259"/>
      <c r="AD1093" s="259"/>
      <c r="AE1093" s="259"/>
    </row>
    <row r="1094" spans="1:31">
      <c r="A1094" s="259" t="s">
        <v>1189</v>
      </c>
      <c r="B1094" s="259" t="s">
        <v>80</v>
      </c>
      <c r="C1094" s="264" t="s">
        <v>5725</v>
      </c>
      <c r="D1094" s="264" t="s">
        <v>1189</v>
      </c>
      <c r="E1094" s="259" t="s">
        <v>5737</v>
      </c>
      <c r="H1094" s="264" t="s">
        <v>6052</v>
      </c>
      <c r="I1094" s="264" t="s">
        <v>6053</v>
      </c>
      <c r="J1094" s="295">
        <v>179.37</v>
      </c>
      <c r="K1094" s="295">
        <v>144</v>
      </c>
      <c r="L1094" s="295">
        <v>108.98</v>
      </c>
      <c r="O1094" s="266">
        <v>0</v>
      </c>
      <c r="P1094" s="266">
        <v>691991039171</v>
      </c>
      <c r="R1094" s="265">
        <v>1</v>
      </c>
      <c r="S1094" s="265">
        <v>21.5</v>
      </c>
      <c r="T1094" s="265">
        <v>11.5</v>
      </c>
      <c r="U1094" s="265">
        <v>2</v>
      </c>
      <c r="V1094" s="259" t="s">
        <v>3028</v>
      </c>
      <c r="W1094" s="259" t="s">
        <v>3029</v>
      </c>
      <c r="Y1094" s="259">
        <v>181</v>
      </c>
      <c r="Z1094" s="259" t="s">
        <v>3030</v>
      </c>
      <c r="AA1094" s="259" t="e">
        <v>#N/A</v>
      </c>
      <c r="AB1094" s="259"/>
      <c r="AC1094" s="259"/>
      <c r="AD1094" s="259"/>
      <c r="AE1094" s="259"/>
    </row>
    <row r="1095" spans="1:31">
      <c r="A1095" s="259" t="s">
        <v>1190</v>
      </c>
      <c r="B1095" s="259" t="s">
        <v>80</v>
      </c>
      <c r="C1095" s="264" t="s">
        <v>5725</v>
      </c>
      <c r="D1095" s="264" t="s">
        <v>1190</v>
      </c>
      <c r="E1095" s="259" t="s">
        <v>5737</v>
      </c>
      <c r="H1095" s="264" t="s">
        <v>6054</v>
      </c>
      <c r="I1095" s="264" t="s">
        <v>6055</v>
      </c>
      <c r="J1095" s="295">
        <v>37.44</v>
      </c>
      <c r="K1095" s="295">
        <v>37.44</v>
      </c>
      <c r="L1095" s="295">
        <v>22.86</v>
      </c>
      <c r="O1095" s="266">
        <v>0</v>
      </c>
      <c r="P1095" s="266">
        <v>691991300639</v>
      </c>
      <c r="R1095" s="265">
        <v>2.25</v>
      </c>
      <c r="S1095" s="265">
        <v>4</v>
      </c>
      <c r="T1095" s="265">
        <v>15</v>
      </c>
      <c r="U1095" s="265">
        <v>4</v>
      </c>
      <c r="V1095" s="259" t="s">
        <v>3028</v>
      </c>
      <c r="W1095" s="259" t="s">
        <v>3029</v>
      </c>
      <c r="Y1095" s="259">
        <v>182</v>
      </c>
      <c r="Z1095" s="259" t="s">
        <v>3030</v>
      </c>
      <c r="AA1095" s="259" t="e">
        <v>#N/A</v>
      </c>
      <c r="AB1095" s="259"/>
      <c r="AC1095" s="259"/>
      <c r="AD1095" s="259"/>
      <c r="AE1095" s="259"/>
    </row>
    <row r="1096" spans="1:31">
      <c r="A1096" s="259" t="s">
        <v>1191</v>
      </c>
      <c r="B1096" s="259" t="s">
        <v>80</v>
      </c>
      <c r="C1096" s="264" t="s">
        <v>5725</v>
      </c>
      <c r="D1096" s="264" t="s">
        <v>1191</v>
      </c>
      <c r="E1096" s="259" t="s">
        <v>5737</v>
      </c>
      <c r="H1096" s="264" t="s">
        <v>6056</v>
      </c>
      <c r="I1096" s="264" t="s">
        <v>6057</v>
      </c>
      <c r="J1096" s="295">
        <v>37.44</v>
      </c>
      <c r="K1096" s="295">
        <v>37.44</v>
      </c>
      <c r="L1096" s="295">
        <v>22.71</v>
      </c>
      <c r="O1096" s="266">
        <v>0</v>
      </c>
      <c r="P1096" s="266">
        <v>691991300646</v>
      </c>
      <c r="R1096" s="265">
        <v>1.5</v>
      </c>
      <c r="S1096" s="265">
        <v>5</v>
      </c>
      <c r="T1096" s="265">
        <v>15</v>
      </c>
      <c r="U1096" s="265">
        <v>5</v>
      </c>
      <c r="V1096" s="259" t="s">
        <v>3834</v>
      </c>
      <c r="W1096" s="259" t="s">
        <v>3061</v>
      </c>
      <c r="X1096" s="264" t="s">
        <v>6058</v>
      </c>
      <c r="Y1096" s="259">
        <v>183</v>
      </c>
      <c r="Z1096" s="259" t="s">
        <v>3030</v>
      </c>
      <c r="AA1096" s="259" t="e">
        <v>#N/A</v>
      </c>
      <c r="AB1096" s="259"/>
      <c r="AC1096" s="259"/>
      <c r="AD1096" s="259"/>
      <c r="AE1096" s="259"/>
    </row>
    <row r="1097" spans="1:31">
      <c r="A1097" s="259" t="s">
        <v>1192</v>
      </c>
      <c r="B1097" s="259" t="s">
        <v>80</v>
      </c>
      <c r="C1097" s="264" t="s">
        <v>5725</v>
      </c>
      <c r="D1097" s="264" t="s">
        <v>1192</v>
      </c>
      <c r="E1097" s="259" t="s">
        <v>5737</v>
      </c>
      <c r="H1097" s="264" t="s">
        <v>6059</v>
      </c>
      <c r="I1097" s="264" t="s">
        <v>6060</v>
      </c>
      <c r="J1097" s="295">
        <v>100.89</v>
      </c>
      <c r="K1097" s="295">
        <v>100.89</v>
      </c>
      <c r="L1097" s="295">
        <v>60.53</v>
      </c>
      <c r="O1097" s="266">
        <v>0</v>
      </c>
      <c r="P1097" s="266">
        <v>50036904759</v>
      </c>
      <c r="R1097" s="265">
        <v>5.5</v>
      </c>
      <c r="S1097" s="265">
        <v>10</v>
      </c>
      <c r="T1097" s="265">
        <v>22.5</v>
      </c>
      <c r="U1097" s="265">
        <v>5</v>
      </c>
      <c r="V1097" s="259" t="s">
        <v>3834</v>
      </c>
      <c r="W1097" s="259" t="s">
        <v>3061</v>
      </c>
      <c r="X1097" s="264" t="s">
        <v>6058</v>
      </c>
      <c r="Y1097" s="259">
        <v>184</v>
      </c>
      <c r="Z1097" s="259" t="s">
        <v>3030</v>
      </c>
      <c r="AA1097" s="259" t="e">
        <v>#N/A</v>
      </c>
      <c r="AB1097" s="259"/>
      <c r="AC1097" s="259"/>
      <c r="AD1097" s="259"/>
      <c r="AE1097" s="259"/>
    </row>
    <row r="1098" spans="1:31">
      <c r="A1098" s="259" t="s">
        <v>1193</v>
      </c>
      <c r="B1098" s="259" t="s">
        <v>80</v>
      </c>
      <c r="C1098" s="264" t="s">
        <v>5725</v>
      </c>
      <c r="D1098" s="264" t="s">
        <v>1193</v>
      </c>
      <c r="E1098" s="259" t="s">
        <v>5737</v>
      </c>
      <c r="H1098" s="264" t="s">
        <v>6059</v>
      </c>
      <c r="I1098" s="264" t="s">
        <v>6061</v>
      </c>
      <c r="J1098" s="295">
        <v>100.89</v>
      </c>
      <c r="K1098" s="295">
        <v>100.89</v>
      </c>
      <c r="L1098" s="295">
        <v>60.53</v>
      </c>
      <c r="O1098" s="266">
        <v>0</v>
      </c>
      <c r="P1098" s="266">
        <v>50036904766</v>
      </c>
      <c r="R1098" s="265">
        <v>5</v>
      </c>
      <c r="S1098" s="265">
        <v>10</v>
      </c>
      <c r="T1098" s="265">
        <v>22.5</v>
      </c>
      <c r="U1098" s="265">
        <v>5</v>
      </c>
      <c r="V1098" s="259" t="s">
        <v>3028</v>
      </c>
      <c r="W1098" s="259" t="s">
        <v>3029</v>
      </c>
      <c r="Y1098" s="259">
        <v>185</v>
      </c>
      <c r="Z1098" s="259" t="s">
        <v>3030</v>
      </c>
      <c r="AA1098" s="259" t="e">
        <v>#N/A</v>
      </c>
      <c r="AB1098" s="259"/>
      <c r="AC1098" s="259"/>
      <c r="AD1098" s="259"/>
      <c r="AE1098" s="259"/>
    </row>
    <row r="1099" spans="1:31">
      <c r="A1099" s="259" t="s">
        <v>1194</v>
      </c>
      <c r="B1099" s="259" t="s">
        <v>80</v>
      </c>
      <c r="C1099" s="264" t="s">
        <v>5725</v>
      </c>
      <c r="D1099" s="264" t="s">
        <v>1194</v>
      </c>
      <c r="E1099" s="259" t="s">
        <v>5737</v>
      </c>
      <c r="H1099" s="264" t="s">
        <v>6062</v>
      </c>
      <c r="I1099" s="264" t="s">
        <v>6063</v>
      </c>
      <c r="J1099" s="295">
        <v>43.24</v>
      </c>
      <c r="K1099" s="295">
        <v>43.24</v>
      </c>
      <c r="L1099" s="295">
        <v>25.94</v>
      </c>
      <c r="O1099" s="266">
        <v>0</v>
      </c>
      <c r="P1099" s="266">
        <v>691991300677</v>
      </c>
      <c r="R1099" s="265">
        <v>3.3</v>
      </c>
      <c r="S1099" s="265">
        <v>10</v>
      </c>
      <c r="T1099" s="265">
        <v>15</v>
      </c>
      <c r="U1099" s="265">
        <v>6</v>
      </c>
      <c r="V1099" s="259" t="s">
        <v>3028</v>
      </c>
      <c r="W1099" s="259" t="s">
        <v>3029</v>
      </c>
      <c r="Y1099" s="259">
        <v>186</v>
      </c>
      <c r="Z1099" s="259" t="s">
        <v>3030</v>
      </c>
      <c r="AA1099" s="259" t="e">
        <v>#N/A</v>
      </c>
      <c r="AB1099" s="259"/>
      <c r="AC1099" s="259"/>
      <c r="AD1099" s="259"/>
      <c r="AE1099" s="259"/>
    </row>
    <row r="1100" spans="1:31">
      <c r="A1100" s="259" t="s">
        <v>1195</v>
      </c>
      <c r="B1100" s="259" t="s">
        <v>80</v>
      </c>
      <c r="C1100" s="264" t="s">
        <v>5725</v>
      </c>
      <c r="D1100" s="264" t="s">
        <v>1195</v>
      </c>
      <c r="E1100" s="259" t="s">
        <v>5737</v>
      </c>
      <c r="H1100" s="264" t="s">
        <v>6064</v>
      </c>
      <c r="I1100" s="264" t="s">
        <v>6065</v>
      </c>
      <c r="J1100" s="295">
        <v>43.24</v>
      </c>
      <c r="K1100" s="295">
        <v>43.24</v>
      </c>
      <c r="L1100" s="295">
        <v>25.94</v>
      </c>
      <c r="O1100" s="266">
        <v>0</v>
      </c>
      <c r="P1100" s="266">
        <v>691991300684</v>
      </c>
      <c r="R1100" s="265">
        <v>2.5</v>
      </c>
      <c r="S1100" s="265">
        <v>5</v>
      </c>
      <c r="T1100" s="265">
        <v>14</v>
      </c>
      <c r="U1100" s="265">
        <v>5</v>
      </c>
      <c r="V1100" s="259" t="s">
        <v>3028</v>
      </c>
      <c r="W1100" s="259" t="s">
        <v>3029</v>
      </c>
      <c r="X1100" s="264" t="s">
        <v>6066</v>
      </c>
      <c r="Y1100" s="259">
        <v>187</v>
      </c>
      <c r="Z1100" s="259" t="s">
        <v>3030</v>
      </c>
      <c r="AA1100" s="259" t="e">
        <v>#N/A</v>
      </c>
      <c r="AB1100" s="259"/>
      <c r="AC1100" s="259"/>
      <c r="AD1100" s="259"/>
      <c r="AE1100" s="259"/>
    </row>
    <row r="1101" spans="1:31">
      <c r="A1101" s="259" t="s">
        <v>1196</v>
      </c>
      <c r="B1101" s="259" t="s">
        <v>80</v>
      </c>
      <c r="C1101" s="264" t="s">
        <v>5725</v>
      </c>
      <c r="D1101" s="264" t="s">
        <v>1196</v>
      </c>
      <c r="E1101" s="259" t="s">
        <v>5737</v>
      </c>
      <c r="H1101" s="264" t="s">
        <v>6050</v>
      </c>
      <c r="I1101" s="264" t="s">
        <v>6067</v>
      </c>
      <c r="J1101" s="295">
        <v>179.5</v>
      </c>
      <c r="K1101" s="295">
        <v>179.5</v>
      </c>
      <c r="L1101" s="295">
        <v>107.7</v>
      </c>
      <c r="O1101" s="266">
        <v>0</v>
      </c>
      <c r="P1101" s="266">
        <v>691991001604</v>
      </c>
      <c r="R1101" s="265">
        <v>2</v>
      </c>
      <c r="S1101" s="265">
        <v>2</v>
      </c>
      <c r="T1101" s="265">
        <v>14</v>
      </c>
      <c r="U1101" s="265">
        <v>24</v>
      </c>
      <c r="V1101" s="259" t="s">
        <v>3028</v>
      </c>
      <c r="W1101" s="259" t="s">
        <v>3029</v>
      </c>
      <c r="X1101" s="264" t="s">
        <v>6066</v>
      </c>
      <c r="Y1101" s="259">
        <v>188</v>
      </c>
      <c r="Z1101" s="259" t="s">
        <v>3030</v>
      </c>
      <c r="AA1101" s="259" t="e">
        <v>#N/A</v>
      </c>
      <c r="AB1101" s="259"/>
      <c r="AC1101" s="259"/>
      <c r="AD1101" s="259"/>
      <c r="AE1101" s="259"/>
    </row>
    <row r="1102" spans="1:31">
      <c r="A1102" s="259" t="s">
        <v>1197</v>
      </c>
      <c r="B1102" s="259" t="s">
        <v>80</v>
      </c>
      <c r="C1102" s="264" t="s">
        <v>5725</v>
      </c>
      <c r="D1102" s="264" t="s">
        <v>1197</v>
      </c>
      <c r="E1102" s="259" t="s">
        <v>5737</v>
      </c>
      <c r="H1102" s="264" t="s">
        <v>6068</v>
      </c>
      <c r="I1102" s="264" t="s">
        <v>6069</v>
      </c>
      <c r="J1102" s="295">
        <v>202.15</v>
      </c>
      <c r="K1102" s="295">
        <v>202.15</v>
      </c>
      <c r="L1102" s="295">
        <v>121.18</v>
      </c>
      <c r="O1102" s="266">
        <v>0</v>
      </c>
      <c r="P1102" s="266">
        <v>691991300691</v>
      </c>
      <c r="R1102" s="265">
        <v>1.25</v>
      </c>
      <c r="S1102" s="265">
        <v>13</v>
      </c>
      <c r="T1102" s="265">
        <v>14</v>
      </c>
      <c r="U1102" s="265">
        <v>4</v>
      </c>
      <c r="V1102" s="259" t="s">
        <v>3834</v>
      </c>
      <c r="W1102" s="259" t="s">
        <v>3061</v>
      </c>
      <c r="Y1102" s="259">
        <v>189</v>
      </c>
      <c r="Z1102" s="259" t="s">
        <v>3264</v>
      </c>
      <c r="AA1102" s="259" t="e">
        <v>#N/A</v>
      </c>
      <c r="AB1102" s="259"/>
      <c r="AC1102" s="259"/>
      <c r="AD1102" s="259"/>
      <c r="AE1102" s="259"/>
    </row>
    <row r="1103" spans="1:31">
      <c r="A1103" s="259" t="s">
        <v>1198</v>
      </c>
      <c r="B1103" s="259" t="s">
        <v>80</v>
      </c>
      <c r="C1103" s="264" t="s">
        <v>5725</v>
      </c>
      <c r="D1103" s="264" t="s">
        <v>1198</v>
      </c>
      <c r="E1103" s="259" t="s">
        <v>5737</v>
      </c>
      <c r="H1103" s="264" t="s">
        <v>6070</v>
      </c>
      <c r="I1103" s="264" t="s">
        <v>6071</v>
      </c>
      <c r="J1103" s="295">
        <v>110.06</v>
      </c>
      <c r="K1103" s="295">
        <v>110.06</v>
      </c>
      <c r="L1103" s="295">
        <v>66.040000000000006</v>
      </c>
      <c r="O1103" s="266">
        <v>0</v>
      </c>
      <c r="P1103" s="266">
        <v>691991300707</v>
      </c>
      <c r="R1103" s="265">
        <v>6.75</v>
      </c>
      <c r="S1103" s="265">
        <v>14</v>
      </c>
      <c r="T1103" s="265">
        <v>24</v>
      </c>
      <c r="U1103" s="265">
        <v>5</v>
      </c>
      <c r="V1103" s="259" t="s">
        <v>3834</v>
      </c>
      <c r="W1103" s="259" t="s">
        <v>3061</v>
      </c>
      <c r="Y1103" s="259">
        <v>190</v>
      </c>
      <c r="Z1103" s="259" t="s">
        <v>3030</v>
      </c>
      <c r="AA1103" s="259" t="e">
        <v>#N/A</v>
      </c>
      <c r="AB1103" s="259"/>
      <c r="AC1103" s="259"/>
      <c r="AD1103" s="259"/>
      <c r="AE1103" s="259"/>
    </row>
    <row r="1104" spans="1:31">
      <c r="A1104" s="259" t="s">
        <v>1199</v>
      </c>
      <c r="B1104" s="259" t="s">
        <v>80</v>
      </c>
      <c r="C1104" s="264" t="s">
        <v>5725</v>
      </c>
      <c r="D1104" s="264" t="s">
        <v>1199</v>
      </c>
      <c r="E1104" s="259" t="s">
        <v>5737</v>
      </c>
      <c r="H1104" s="264" t="s">
        <v>6072</v>
      </c>
      <c r="I1104" s="264" t="s">
        <v>6073</v>
      </c>
      <c r="J1104" s="295">
        <v>110.06</v>
      </c>
      <c r="K1104" s="295">
        <v>110.06</v>
      </c>
      <c r="L1104" s="295">
        <v>66.040000000000006</v>
      </c>
      <c r="O1104" s="266">
        <v>0</v>
      </c>
      <c r="P1104" s="266">
        <v>691991300714</v>
      </c>
      <c r="R1104" s="265">
        <v>6.65</v>
      </c>
      <c r="S1104" s="265">
        <v>14</v>
      </c>
      <c r="T1104" s="265">
        <v>24</v>
      </c>
      <c r="U1104" s="265">
        <v>5</v>
      </c>
      <c r="V1104" s="259" t="s">
        <v>3028</v>
      </c>
      <c r="W1104" s="259" t="s">
        <v>3029</v>
      </c>
      <c r="X1104" s="264" t="s">
        <v>6074</v>
      </c>
      <c r="Y1104" s="259">
        <v>191</v>
      </c>
      <c r="Z1104" s="259" t="s">
        <v>3030</v>
      </c>
      <c r="AA1104" s="259" t="e">
        <v>#N/A</v>
      </c>
      <c r="AB1104" s="259"/>
      <c r="AC1104" s="259"/>
      <c r="AD1104" s="259"/>
      <c r="AE1104" s="259"/>
    </row>
    <row r="1105" spans="1:31">
      <c r="A1105" s="259" t="s">
        <v>1200</v>
      </c>
      <c r="B1105" s="259" t="s">
        <v>80</v>
      </c>
      <c r="C1105" s="264" t="s">
        <v>5725</v>
      </c>
      <c r="D1105" s="264" t="s">
        <v>1200</v>
      </c>
      <c r="E1105" s="259" t="s">
        <v>5737</v>
      </c>
      <c r="H1105" s="264" t="s">
        <v>6075</v>
      </c>
      <c r="I1105" s="264" t="s">
        <v>6076</v>
      </c>
      <c r="J1105" s="295">
        <v>124.78</v>
      </c>
      <c r="K1105" s="295">
        <v>109</v>
      </c>
      <c r="L1105" s="295">
        <v>81.430000000000007</v>
      </c>
      <c r="O1105" s="266">
        <v>0</v>
      </c>
      <c r="P1105" s="266">
        <v>691991004971</v>
      </c>
      <c r="R1105" s="265">
        <v>4</v>
      </c>
      <c r="S1105" s="265">
        <v>6.5</v>
      </c>
      <c r="T1105" s="265">
        <v>4</v>
      </c>
      <c r="U1105" s="265">
        <v>5</v>
      </c>
      <c r="V1105" s="259" t="s">
        <v>3028</v>
      </c>
      <c r="W1105" s="259" t="s">
        <v>3029</v>
      </c>
      <c r="X1105" s="264" t="s">
        <v>6077</v>
      </c>
      <c r="Y1105" s="259">
        <v>192</v>
      </c>
      <c r="Z1105" s="259" t="s">
        <v>3030</v>
      </c>
      <c r="AA1105" s="259" t="e">
        <v>#N/A</v>
      </c>
      <c r="AB1105" s="259"/>
      <c r="AC1105" s="259"/>
      <c r="AD1105" s="259"/>
      <c r="AE1105" s="259"/>
    </row>
    <row r="1106" spans="1:31">
      <c r="A1106" s="259" t="s">
        <v>1201</v>
      </c>
      <c r="B1106" s="259" t="s">
        <v>80</v>
      </c>
      <c r="C1106" s="264"/>
      <c r="D1106" s="264"/>
      <c r="H1106" s="264"/>
      <c r="I1106" s="264"/>
      <c r="J1106" s="295">
        <v>0</v>
      </c>
      <c r="K1106" s="295">
        <v>0</v>
      </c>
      <c r="L1106" s="295">
        <v>0</v>
      </c>
      <c r="O1106" s="266"/>
      <c r="R1106" s="265"/>
      <c r="V1106" s="259"/>
      <c r="Y1106" s="259">
        <v>193</v>
      </c>
      <c r="AA1106" s="259" t="e">
        <v>#N/A</v>
      </c>
      <c r="AB1106" s="259"/>
      <c r="AC1106" s="259"/>
      <c r="AD1106" s="259"/>
      <c r="AE1106" s="259"/>
    </row>
    <row r="1107" spans="1:31">
      <c r="A1107" s="259" t="s">
        <v>1202</v>
      </c>
      <c r="B1107" s="259" t="s">
        <v>80</v>
      </c>
      <c r="C1107" s="264" t="s">
        <v>5937</v>
      </c>
      <c r="D1107" s="264" t="s">
        <v>1202</v>
      </c>
      <c r="E1107" s="259" t="s">
        <v>5737</v>
      </c>
      <c r="G1107" s="259" t="s">
        <v>6078</v>
      </c>
      <c r="H1107" s="264" t="s">
        <v>6079</v>
      </c>
      <c r="I1107" s="264" t="s">
        <v>6080</v>
      </c>
      <c r="J1107" s="295">
        <v>127</v>
      </c>
      <c r="K1107" s="295">
        <v>101.6</v>
      </c>
      <c r="L1107" s="295">
        <v>76.2</v>
      </c>
      <c r="M1107" s="295">
        <v>72.39</v>
      </c>
      <c r="N1107" s="295">
        <v>68.58</v>
      </c>
      <c r="O1107" s="266">
        <v>2</v>
      </c>
      <c r="P1107" s="266">
        <v>691991037849</v>
      </c>
      <c r="R1107" s="265">
        <v>10.3635</v>
      </c>
      <c r="S1107" s="265">
        <v>12.007874015748</v>
      </c>
      <c r="T1107" s="265">
        <v>9.0551181102362204</v>
      </c>
      <c r="U1107" s="265">
        <v>13.582677165354299</v>
      </c>
      <c r="V1107" s="259" t="s">
        <v>3028</v>
      </c>
      <c r="W1107" s="259" t="s">
        <v>3029</v>
      </c>
      <c r="X1107" s="264" t="s">
        <v>6081</v>
      </c>
      <c r="Y1107" s="259">
        <v>194</v>
      </c>
      <c r="Z1107" s="259" t="s">
        <v>4042</v>
      </c>
      <c r="AA1107" s="259" t="e">
        <v>#N/A</v>
      </c>
      <c r="AB1107" s="259"/>
      <c r="AC1107" s="259"/>
      <c r="AD1107" s="259"/>
      <c r="AE1107" s="259"/>
    </row>
    <row r="1108" spans="1:31">
      <c r="A1108" s="259" t="s">
        <v>1203</v>
      </c>
      <c r="B1108" s="259" t="s">
        <v>80</v>
      </c>
      <c r="C1108" s="264" t="s">
        <v>5937</v>
      </c>
      <c r="D1108" s="264" t="s">
        <v>1203</v>
      </c>
      <c r="E1108" s="259" t="s">
        <v>5737</v>
      </c>
      <c r="G1108" s="259" t="s">
        <v>6078</v>
      </c>
      <c r="H1108" s="264" t="s">
        <v>6082</v>
      </c>
      <c r="I1108" s="264" t="s">
        <v>6083</v>
      </c>
      <c r="J1108" s="295">
        <v>127</v>
      </c>
      <c r="K1108" s="295">
        <v>101.6</v>
      </c>
      <c r="L1108" s="295">
        <v>76.2</v>
      </c>
      <c r="M1108" s="295">
        <v>72.39</v>
      </c>
      <c r="N1108" s="295">
        <v>68.58</v>
      </c>
      <c r="O1108" s="266">
        <v>2</v>
      </c>
      <c r="P1108" s="266">
        <v>691991037856</v>
      </c>
      <c r="R1108" s="265">
        <v>10.3635</v>
      </c>
      <c r="S1108" s="265">
        <v>12.007874015748</v>
      </c>
      <c r="T1108" s="265">
        <v>9.0551181102362204</v>
      </c>
      <c r="U1108" s="265">
        <v>13.582677165354299</v>
      </c>
      <c r="V1108" s="259" t="s">
        <v>3028</v>
      </c>
      <c r="W1108" s="259" t="s">
        <v>3029</v>
      </c>
      <c r="X1108" s="264" t="s">
        <v>6081</v>
      </c>
      <c r="Y1108" s="259">
        <v>195</v>
      </c>
      <c r="Z1108" s="259" t="s">
        <v>4042</v>
      </c>
      <c r="AA1108" s="259" t="e">
        <v>#N/A</v>
      </c>
      <c r="AB1108" s="259"/>
      <c r="AC1108" s="259"/>
      <c r="AD1108" s="259"/>
      <c r="AE1108" s="259"/>
    </row>
    <row r="1109" spans="1:31">
      <c r="A1109" s="259" t="s">
        <v>1204</v>
      </c>
      <c r="B1109" s="259" t="s">
        <v>80</v>
      </c>
      <c r="C1109" s="264" t="s">
        <v>5937</v>
      </c>
      <c r="D1109" s="264" t="s">
        <v>1204</v>
      </c>
      <c r="E1109" s="259" t="s">
        <v>5737</v>
      </c>
      <c r="G1109" s="259" t="s">
        <v>6078</v>
      </c>
      <c r="H1109" s="264" t="s">
        <v>6084</v>
      </c>
      <c r="I1109" s="264" t="s">
        <v>6085</v>
      </c>
      <c r="J1109" s="295">
        <v>178</v>
      </c>
      <c r="K1109" s="295">
        <v>142.4</v>
      </c>
      <c r="L1109" s="295">
        <v>106.8</v>
      </c>
      <c r="M1109" s="295">
        <v>101.46</v>
      </c>
      <c r="N1109" s="295">
        <v>96.12</v>
      </c>
      <c r="O1109" s="266">
        <v>2</v>
      </c>
      <c r="P1109" s="266">
        <v>691991037863</v>
      </c>
      <c r="R1109" s="265">
        <v>13.670999999999999</v>
      </c>
      <c r="S1109" s="265">
        <v>12.795275590551199</v>
      </c>
      <c r="T1109" s="265">
        <v>8.5039370078740202</v>
      </c>
      <c r="U1109" s="265">
        <v>14.5669291338583</v>
      </c>
      <c r="V1109" s="259" t="s">
        <v>3028</v>
      </c>
      <c r="W1109" s="259" t="s">
        <v>3029</v>
      </c>
      <c r="X1109" s="264" t="s">
        <v>6086</v>
      </c>
      <c r="Y1109" s="259">
        <v>196</v>
      </c>
      <c r="Z1109" s="259" t="s">
        <v>4042</v>
      </c>
      <c r="AA1109" s="259" t="e">
        <v>#N/A</v>
      </c>
      <c r="AB1109" s="259"/>
      <c r="AC1109" s="259"/>
      <c r="AD1109" s="259"/>
      <c r="AE1109" s="259"/>
    </row>
    <row r="1110" spans="1:31">
      <c r="A1110" s="259" t="s">
        <v>1205</v>
      </c>
      <c r="B1110" s="259" t="s">
        <v>80</v>
      </c>
      <c r="C1110" s="264" t="s">
        <v>5937</v>
      </c>
      <c r="D1110" s="264" t="s">
        <v>1205</v>
      </c>
      <c r="E1110" s="259" t="s">
        <v>5737</v>
      </c>
      <c r="G1110" s="259" t="s">
        <v>6078</v>
      </c>
      <c r="H1110" s="264" t="s">
        <v>6087</v>
      </c>
      <c r="I1110" s="264" t="s">
        <v>6088</v>
      </c>
      <c r="J1110" s="295">
        <v>178</v>
      </c>
      <c r="K1110" s="295">
        <v>142.4</v>
      </c>
      <c r="L1110" s="295">
        <v>106.8</v>
      </c>
      <c r="M1110" s="295">
        <v>101.46</v>
      </c>
      <c r="N1110" s="295">
        <v>96.12</v>
      </c>
      <c r="O1110" s="266">
        <v>2</v>
      </c>
      <c r="P1110" s="266">
        <v>691991037870</v>
      </c>
      <c r="R1110" s="265">
        <v>13.670999999999999</v>
      </c>
      <c r="S1110" s="265">
        <v>12.795275590551199</v>
      </c>
      <c r="T1110" s="265">
        <v>8.5039370078740202</v>
      </c>
      <c r="U1110" s="265">
        <v>14.5669291338583</v>
      </c>
      <c r="V1110" s="259" t="s">
        <v>3028</v>
      </c>
      <c r="W1110" s="259" t="s">
        <v>3029</v>
      </c>
      <c r="X1110" s="264" t="s">
        <v>6086</v>
      </c>
      <c r="Y1110" s="259">
        <v>197</v>
      </c>
      <c r="Z1110" s="259" t="s">
        <v>4042</v>
      </c>
      <c r="AA1110" s="259" t="e">
        <v>#N/A</v>
      </c>
      <c r="AB1110" s="259"/>
      <c r="AC1110" s="259"/>
      <c r="AD1110" s="259"/>
      <c r="AE1110" s="259"/>
    </row>
    <row r="1111" spans="1:31">
      <c r="A1111" s="259" t="s">
        <v>1206</v>
      </c>
      <c r="B1111" s="259" t="s">
        <v>80</v>
      </c>
      <c r="C1111" s="264"/>
      <c r="D1111" s="264"/>
      <c r="H1111" s="264"/>
      <c r="I1111" s="264"/>
      <c r="J1111" s="295">
        <v>0</v>
      </c>
      <c r="K1111" s="295">
        <v>0</v>
      </c>
      <c r="L1111" s="295">
        <v>0</v>
      </c>
      <c r="O1111" s="266"/>
      <c r="R1111" s="265">
        <v>0</v>
      </c>
      <c r="S1111" s="265">
        <v>0</v>
      </c>
      <c r="T1111" s="265">
        <v>0</v>
      </c>
      <c r="U1111" s="265">
        <v>0</v>
      </c>
      <c r="V1111" s="259" t="s">
        <v>3028</v>
      </c>
      <c r="W1111" s="259" t="s">
        <v>3029</v>
      </c>
      <c r="Y1111" s="259">
        <v>198</v>
      </c>
      <c r="AA1111" s="259" t="e">
        <v>#N/A</v>
      </c>
      <c r="AB1111" s="259"/>
      <c r="AC1111" s="259"/>
      <c r="AD1111" s="259"/>
      <c r="AE1111" s="259"/>
    </row>
    <row r="1112" spans="1:31">
      <c r="A1112" s="259" t="s">
        <v>1207</v>
      </c>
      <c r="B1112" s="259" t="s">
        <v>80</v>
      </c>
      <c r="C1112" s="264" t="s">
        <v>5937</v>
      </c>
      <c r="D1112" s="264" t="s">
        <v>1207</v>
      </c>
      <c r="E1112" s="259" t="s">
        <v>5737</v>
      </c>
      <c r="H1112" s="264" t="s">
        <v>6089</v>
      </c>
      <c r="I1112" s="264" t="s">
        <v>6090</v>
      </c>
      <c r="J1112" s="295">
        <v>486.51</v>
      </c>
      <c r="K1112" s="295">
        <v>391</v>
      </c>
      <c r="L1112" s="295">
        <v>291.89999999999998</v>
      </c>
      <c r="M1112" s="295">
        <v>269.23019000000005</v>
      </c>
      <c r="N1112" s="295">
        <v>255.06018000000003</v>
      </c>
      <c r="O1112" s="266">
        <v>1</v>
      </c>
      <c r="P1112" s="266">
        <v>50036905206</v>
      </c>
      <c r="R1112" s="265">
        <v>25</v>
      </c>
      <c r="S1112" s="265">
        <v>18</v>
      </c>
      <c r="T1112" s="265">
        <v>11</v>
      </c>
      <c r="U1112" s="265">
        <v>18</v>
      </c>
      <c r="V1112" s="259" t="s">
        <v>3028</v>
      </c>
      <c r="W1112" s="259" t="s">
        <v>3029</v>
      </c>
      <c r="X1112" s="264" t="s">
        <v>6091</v>
      </c>
      <c r="Y1112" s="259">
        <v>199</v>
      </c>
      <c r="Z1112" s="259" t="s">
        <v>3030</v>
      </c>
      <c r="AA1112" s="259" t="e">
        <v>#N/A</v>
      </c>
      <c r="AB1112" s="259"/>
      <c r="AC1112" s="259"/>
      <c r="AD1112" s="259"/>
      <c r="AE1112" s="259"/>
    </row>
    <row r="1113" spans="1:31">
      <c r="A1113" s="259" t="s">
        <v>1208</v>
      </c>
      <c r="B1113" s="259" t="s">
        <v>80</v>
      </c>
      <c r="C1113" s="264" t="s">
        <v>5937</v>
      </c>
      <c r="D1113" s="264" t="s">
        <v>1208</v>
      </c>
      <c r="E1113" s="259" t="s">
        <v>5737</v>
      </c>
      <c r="H1113" s="264" t="s">
        <v>6092</v>
      </c>
      <c r="I1113" s="264" t="s">
        <v>6090</v>
      </c>
      <c r="J1113" s="295">
        <v>486.51</v>
      </c>
      <c r="K1113" s="295">
        <v>391</v>
      </c>
      <c r="L1113" s="295">
        <v>291.89999999999998</v>
      </c>
      <c r="M1113" s="295">
        <v>269.23019000000005</v>
      </c>
      <c r="N1113" s="295">
        <v>255.06018000000003</v>
      </c>
      <c r="O1113" s="266">
        <v>1</v>
      </c>
      <c r="P1113" s="266">
        <v>50036905244</v>
      </c>
      <c r="R1113" s="265">
        <v>25</v>
      </c>
      <c r="S1113" s="265">
        <v>11</v>
      </c>
      <c r="T1113" s="265">
        <v>18</v>
      </c>
      <c r="U1113" s="265">
        <v>17</v>
      </c>
      <c r="V1113" s="259" t="s">
        <v>3028</v>
      </c>
      <c r="W1113" s="259" t="s">
        <v>3029</v>
      </c>
      <c r="X1113" s="264" t="s">
        <v>6091</v>
      </c>
      <c r="Y1113" s="259">
        <v>200</v>
      </c>
      <c r="Z1113" s="259" t="s">
        <v>3030</v>
      </c>
      <c r="AA1113" s="259" t="e">
        <v>#N/A</v>
      </c>
      <c r="AB1113" s="259"/>
      <c r="AC1113" s="259"/>
      <c r="AD1113" s="259"/>
      <c r="AE1113" s="259"/>
    </row>
    <row r="1114" spans="1:31">
      <c r="A1114" s="259" t="s">
        <v>1209</v>
      </c>
      <c r="B1114" s="259" t="s">
        <v>80</v>
      </c>
      <c r="C1114" s="264" t="s">
        <v>5937</v>
      </c>
      <c r="D1114" s="264" t="s">
        <v>1209</v>
      </c>
      <c r="E1114" s="259" t="s">
        <v>5737</v>
      </c>
      <c r="H1114" s="264" t="s">
        <v>6093</v>
      </c>
      <c r="I1114" s="264" t="s">
        <v>6094</v>
      </c>
      <c r="J1114" s="295">
        <v>86.92</v>
      </c>
      <c r="K1114" s="295">
        <v>72</v>
      </c>
      <c r="L1114" s="295">
        <v>52.15</v>
      </c>
      <c r="M1114" s="295">
        <v>48.10078</v>
      </c>
      <c r="N1114" s="295">
        <v>45.569160000000004</v>
      </c>
      <c r="O1114" s="266">
        <v>2</v>
      </c>
      <c r="P1114" s="266">
        <v>50036905190</v>
      </c>
      <c r="R1114" s="265">
        <v>3.7</v>
      </c>
      <c r="S1114" s="265">
        <v>2</v>
      </c>
      <c r="T1114" s="265">
        <v>5</v>
      </c>
      <c r="U1114" s="265">
        <v>3</v>
      </c>
      <c r="V1114" s="259" t="s">
        <v>3028</v>
      </c>
      <c r="W1114" s="259" t="s">
        <v>3029</v>
      </c>
      <c r="X1114" s="264" t="s">
        <v>6095</v>
      </c>
      <c r="Y1114" s="259">
        <v>201</v>
      </c>
      <c r="Z1114" s="259" t="s">
        <v>3030</v>
      </c>
      <c r="AA1114" s="259" t="e">
        <v>#N/A</v>
      </c>
      <c r="AB1114" s="259"/>
      <c r="AC1114" s="259"/>
      <c r="AD1114" s="259"/>
      <c r="AE1114" s="259"/>
    </row>
    <row r="1115" spans="1:31">
      <c r="A1115" s="259" t="s">
        <v>1210</v>
      </c>
      <c r="B1115" s="259" t="s">
        <v>80</v>
      </c>
      <c r="C1115" s="264" t="s">
        <v>5937</v>
      </c>
      <c r="D1115" s="264" t="s">
        <v>1210</v>
      </c>
      <c r="E1115" s="259" t="s">
        <v>5737</v>
      </c>
      <c r="H1115" s="264" t="s">
        <v>6093</v>
      </c>
      <c r="I1115" s="264" t="s">
        <v>6096</v>
      </c>
      <c r="J1115" s="295">
        <v>86.92</v>
      </c>
      <c r="K1115" s="295">
        <v>67</v>
      </c>
      <c r="L1115" s="295">
        <v>52.15</v>
      </c>
      <c r="M1115" s="295">
        <v>48.10078</v>
      </c>
      <c r="N1115" s="295">
        <v>45.569160000000004</v>
      </c>
      <c r="O1115" s="266">
        <v>2</v>
      </c>
      <c r="P1115" s="266">
        <v>50036905091</v>
      </c>
      <c r="R1115" s="265">
        <v>3.7</v>
      </c>
      <c r="S1115" s="265">
        <v>2</v>
      </c>
      <c r="T1115" s="265">
        <v>5</v>
      </c>
      <c r="U1115" s="265">
        <v>3</v>
      </c>
      <c r="V1115" s="259" t="s">
        <v>3028</v>
      </c>
      <c r="W1115" s="259" t="s">
        <v>3029</v>
      </c>
      <c r="X1115" s="264" t="s">
        <v>6095</v>
      </c>
      <c r="Y1115" s="259">
        <v>202</v>
      </c>
      <c r="Z1115" s="259" t="s">
        <v>3030</v>
      </c>
      <c r="AA1115" s="259" t="e">
        <v>#N/A</v>
      </c>
      <c r="AB1115" s="259"/>
      <c r="AC1115" s="259"/>
      <c r="AD1115" s="259"/>
      <c r="AE1115" s="259"/>
    </row>
    <row r="1116" spans="1:31">
      <c r="A1116" s="259" t="s">
        <v>1211</v>
      </c>
      <c r="B1116" s="259" t="s">
        <v>80</v>
      </c>
      <c r="C1116" s="264" t="s">
        <v>5937</v>
      </c>
      <c r="D1116" s="264" t="s">
        <v>1211</v>
      </c>
      <c r="E1116" s="259" t="s">
        <v>5737</v>
      </c>
      <c r="H1116" s="264" t="s">
        <v>6097</v>
      </c>
      <c r="I1116" s="264" t="s">
        <v>6098</v>
      </c>
      <c r="J1116" s="295">
        <v>791.38</v>
      </c>
      <c r="K1116" s="295">
        <v>634</v>
      </c>
      <c r="L1116" s="295">
        <v>474.83</v>
      </c>
      <c r="M1116" s="295">
        <v>437.94885999999997</v>
      </c>
      <c r="N1116" s="295">
        <v>414.89892000000003</v>
      </c>
      <c r="O1116" s="266">
        <v>0</v>
      </c>
      <c r="P1116" s="266">
        <v>50036905213</v>
      </c>
      <c r="R1116" s="265">
        <v>32.450000000000003</v>
      </c>
      <c r="S1116" s="265">
        <v>19</v>
      </c>
      <c r="T1116" s="265">
        <v>21</v>
      </c>
      <c r="U1116" s="265">
        <v>11</v>
      </c>
      <c r="V1116" s="259" t="s">
        <v>3028</v>
      </c>
      <c r="W1116" s="259" t="s">
        <v>3029</v>
      </c>
      <c r="X1116" s="264" t="s">
        <v>6099</v>
      </c>
      <c r="Y1116" s="259">
        <v>203</v>
      </c>
      <c r="Z1116" s="259" t="s">
        <v>3030</v>
      </c>
      <c r="AA1116" s="259" t="e">
        <v>#N/A</v>
      </c>
      <c r="AB1116" s="259"/>
      <c r="AC1116" s="259"/>
      <c r="AD1116" s="259"/>
      <c r="AE1116" s="259"/>
    </row>
    <row r="1117" spans="1:31">
      <c r="A1117" s="259" t="s">
        <v>1212</v>
      </c>
      <c r="B1117" s="259" t="s">
        <v>80</v>
      </c>
      <c r="C1117" s="264" t="s">
        <v>5937</v>
      </c>
      <c r="D1117" s="264" t="s">
        <v>1212</v>
      </c>
      <c r="E1117" s="259" t="s">
        <v>5737</v>
      </c>
      <c r="H1117" s="264" t="s">
        <v>6097</v>
      </c>
      <c r="I1117" s="264" t="s">
        <v>6100</v>
      </c>
      <c r="J1117" s="295">
        <v>791.38</v>
      </c>
      <c r="K1117" s="295">
        <v>634</v>
      </c>
      <c r="L1117" s="295">
        <v>474.83</v>
      </c>
      <c r="M1117" s="295">
        <v>437.94885999999997</v>
      </c>
      <c r="N1117" s="295">
        <v>414.89892000000003</v>
      </c>
      <c r="O1117" s="266">
        <v>1</v>
      </c>
      <c r="P1117" s="266">
        <v>50036905251</v>
      </c>
      <c r="R1117" s="265">
        <v>32.700000000000003</v>
      </c>
      <c r="S1117" s="265">
        <v>18</v>
      </c>
      <c r="T1117" s="265">
        <v>21</v>
      </c>
      <c r="U1117" s="265">
        <v>11</v>
      </c>
      <c r="V1117" s="259" t="s">
        <v>3028</v>
      </c>
      <c r="W1117" s="259" t="s">
        <v>3029</v>
      </c>
      <c r="X1117" s="264" t="s">
        <v>6099</v>
      </c>
      <c r="Y1117" s="259">
        <v>204</v>
      </c>
      <c r="Z1117" s="259" t="s">
        <v>3030</v>
      </c>
      <c r="AA1117" s="259" t="e">
        <v>#N/A</v>
      </c>
      <c r="AB1117" s="259"/>
      <c r="AC1117" s="259"/>
      <c r="AD1117" s="259"/>
      <c r="AE1117" s="259"/>
    </row>
    <row r="1118" spans="1:31">
      <c r="A1118" s="259" t="s">
        <v>1213</v>
      </c>
      <c r="B1118" s="259" t="s">
        <v>80</v>
      </c>
      <c r="C1118" s="264"/>
      <c r="D1118" s="264"/>
      <c r="H1118" s="264"/>
      <c r="I1118" s="264"/>
      <c r="J1118" s="295">
        <v>0</v>
      </c>
      <c r="K1118" s="295">
        <v>0</v>
      </c>
      <c r="L1118" s="295">
        <v>0</v>
      </c>
      <c r="O1118" s="266"/>
      <c r="R1118" s="265">
        <v>0</v>
      </c>
      <c r="S1118" s="265">
        <v>0</v>
      </c>
      <c r="T1118" s="265">
        <v>0</v>
      </c>
      <c r="U1118" s="265">
        <v>0</v>
      </c>
      <c r="V1118" s="259" t="s">
        <v>3028</v>
      </c>
      <c r="W1118" s="259" t="s">
        <v>3029</v>
      </c>
      <c r="Y1118" s="259">
        <v>205</v>
      </c>
      <c r="AA1118" s="259" t="e">
        <v>#N/A</v>
      </c>
      <c r="AB1118" s="259"/>
      <c r="AC1118" s="259"/>
      <c r="AD1118" s="259"/>
      <c r="AE1118" s="259"/>
    </row>
    <row r="1119" spans="1:31">
      <c r="A1119" s="259" t="s">
        <v>1214</v>
      </c>
      <c r="B1119" s="259" t="s">
        <v>80</v>
      </c>
      <c r="C1119" s="264" t="s">
        <v>6101</v>
      </c>
      <c r="D1119" s="264" t="s">
        <v>1214</v>
      </c>
      <c r="E1119" s="259" t="s">
        <v>5737</v>
      </c>
      <c r="H1119" s="264" t="s">
        <v>6102</v>
      </c>
      <c r="I1119" s="264" t="s">
        <v>6103</v>
      </c>
      <c r="J1119" s="295">
        <v>512.76</v>
      </c>
      <c r="K1119" s="295">
        <v>407</v>
      </c>
      <c r="L1119" s="295">
        <v>307.64999999999998</v>
      </c>
      <c r="M1119" s="295">
        <v>283.75597499999998</v>
      </c>
      <c r="N1119" s="295">
        <v>268.82144999999997</v>
      </c>
      <c r="O1119" s="266">
        <v>2</v>
      </c>
      <c r="P1119" s="266">
        <v>50036904889</v>
      </c>
      <c r="R1119" s="265">
        <v>9.5</v>
      </c>
      <c r="S1119" s="265">
        <v>14</v>
      </c>
      <c r="T1119" s="265">
        <v>8</v>
      </c>
      <c r="U1119" s="265">
        <v>7</v>
      </c>
      <c r="V1119" s="259" t="s">
        <v>3028</v>
      </c>
      <c r="W1119" s="259" t="s">
        <v>3029</v>
      </c>
      <c r="X1119" s="264" t="s">
        <v>6104</v>
      </c>
      <c r="Y1119" s="259">
        <v>206</v>
      </c>
      <c r="Z1119" s="259" t="s">
        <v>3030</v>
      </c>
      <c r="AA1119" s="259" t="e">
        <v>#N/A</v>
      </c>
      <c r="AB1119" s="259"/>
      <c r="AC1119" s="259"/>
      <c r="AD1119" s="259"/>
      <c r="AE1119" s="259"/>
    </row>
    <row r="1120" spans="1:31">
      <c r="A1120" s="259" t="s">
        <v>1215</v>
      </c>
      <c r="B1120" s="259" t="s">
        <v>80</v>
      </c>
      <c r="C1120" s="264" t="s">
        <v>6101</v>
      </c>
      <c r="D1120" s="264" t="s">
        <v>1215</v>
      </c>
      <c r="E1120" s="259" t="s">
        <v>5737</v>
      </c>
      <c r="H1120" s="264" t="s">
        <v>6105</v>
      </c>
      <c r="I1120" s="264" t="s">
        <v>6103</v>
      </c>
      <c r="J1120" s="295">
        <v>512.76</v>
      </c>
      <c r="K1120" s="295">
        <v>407</v>
      </c>
      <c r="L1120" s="295">
        <v>307.64999999999998</v>
      </c>
      <c r="O1120" s="266">
        <v>2</v>
      </c>
      <c r="P1120" s="266">
        <v>691991000263</v>
      </c>
      <c r="R1120" s="265">
        <v>19</v>
      </c>
      <c r="S1120" s="265">
        <v>28.5</v>
      </c>
      <c r="T1120" s="265">
        <v>14.5</v>
      </c>
      <c r="U1120" s="265">
        <v>16.5</v>
      </c>
      <c r="V1120" s="259" t="s">
        <v>3028</v>
      </c>
      <c r="W1120" s="259" t="s">
        <v>3029</v>
      </c>
      <c r="X1120" s="264" t="s">
        <v>6104</v>
      </c>
      <c r="Y1120" s="259">
        <v>207</v>
      </c>
      <c r="Z1120" s="259" t="s">
        <v>3030</v>
      </c>
      <c r="AA1120" s="259" t="e">
        <v>#N/A</v>
      </c>
      <c r="AB1120" s="259"/>
      <c r="AC1120" s="259"/>
      <c r="AD1120" s="259"/>
      <c r="AE1120" s="259"/>
    </row>
    <row r="1121" spans="1:31">
      <c r="A1121" s="259" t="s">
        <v>1216</v>
      </c>
      <c r="B1121" s="259" t="s">
        <v>80</v>
      </c>
      <c r="C1121" s="264" t="s">
        <v>6101</v>
      </c>
      <c r="D1121" s="264" t="s">
        <v>1216</v>
      </c>
      <c r="E1121" s="259" t="s">
        <v>5737</v>
      </c>
      <c r="H1121" s="264" t="s">
        <v>6106</v>
      </c>
      <c r="I1121" s="264" t="s">
        <v>6107</v>
      </c>
      <c r="J1121" s="295">
        <v>129.74</v>
      </c>
      <c r="K1121" s="295">
        <v>102</v>
      </c>
      <c r="L1121" s="295">
        <v>77.84</v>
      </c>
      <c r="M1121" s="295">
        <v>71.795394999999999</v>
      </c>
      <c r="N1121" s="295">
        <v>68.016689999999997</v>
      </c>
      <c r="O1121" s="266">
        <v>2</v>
      </c>
      <c r="P1121" s="266">
        <v>50036903837</v>
      </c>
      <c r="R1121" s="265">
        <v>5.05</v>
      </c>
      <c r="S1121" s="265">
        <v>6</v>
      </c>
      <c r="T1121" s="265">
        <v>12</v>
      </c>
      <c r="U1121" s="265">
        <v>7</v>
      </c>
      <c r="V1121" s="259" t="s">
        <v>3028</v>
      </c>
      <c r="W1121" s="259" t="s">
        <v>3029</v>
      </c>
      <c r="X1121" s="264" t="s">
        <v>6108</v>
      </c>
      <c r="Y1121" s="259">
        <v>208</v>
      </c>
      <c r="Z1121" s="259" t="s">
        <v>3030</v>
      </c>
      <c r="AA1121" s="259" t="e">
        <v>#N/A</v>
      </c>
      <c r="AB1121" s="259"/>
      <c r="AC1121" s="259"/>
      <c r="AD1121" s="259"/>
      <c r="AE1121" s="259"/>
    </row>
    <row r="1122" spans="1:31">
      <c r="A1122" s="259" t="s">
        <v>1217</v>
      </c>
      <c r="B1122" s="259" t="s">
        <v>80</v>
      </c>
      <c r="C1122" s="264" t="s">
        <v>6101</v>
      </c>
      <c r="D1122" s="264" t="s">
        <v>1217</v>
      </c>
      <c r="E1122" s="259" t="s">
        <v>5737</v>
      </c>
      <c r="H1122" s="264" t="s">
        <v>6106</v>
      </c>
      <c r="I1122" s="264" t="s">
        <v>6109</v>
      </c>
      <c r="J1122" s="295">
        <v>129.74</v>
      </c>
      <c r="K1122" s="295">
        <v>102</v>
      </c>
      <c r="L1122" s="295">
        <v>77.84</v>
      </c>
      <c r="M1122" s="295">
        <v>71.795394999999999</v>
      </c>
      <c r="N1122" s="295">
        <v>68.016689999999997</v>
      </c>
      <c r="O1122" s="266">
        <v>2</v>
      </c>
      <c r="P1122" s="266">
        <v>50036903844</v>
      </c>
      <c r="R1122" s="265">
        <v>5.5</v>
      </c>
      <c r="S1122" s="265">
        <v>3</v>
      </c>
      <c r="T1122" s="265">
        <v>6</v>
      </c>
      <c r="U1122" s="265">
        <v>3.5</v>
      </c>
      <c r="V1122" s="259" t="s">
        <v>3028</v>
      </c>
      <c r="W1122" s="259" t="s">
        <v>3029</v>
      </c>
      <c r="X1122" s="264" t="s">
        <v>6108</v>
      </c>
      <c r="Y1122" s="259">
        <v>209</v>
      </c>
      <c r="Z1122" s="259" t="s">
        <v>3030</v>
      </c>
      <c r="AA1122" s="259" t="e">
        <v>#N/A</v>
      </c>
      <c r="AB1122" s="259"/>
      <c r="AC1122" s="259"/>
      <c r="AD1122" s="259"/>
      <c r="AE1122" s="259"/>
    </row>
    <row r="1123" spans="1:31">
      <c r="A1123" s="259" t="s">
        <v>1218</v>
      </c>
      <c r="B1123" s="259" t="s">
        <v>80</v>
      </c>
      <c r="C1123" s="264" t="s">
        <v>6101</v>
      </c>
      <c r="D1123" s="264" t="s">
        <v>1218</v>
      </c>
      <c r="E1123" s="259" t="s">
        <v>5737</v>
      </c>
      <c r="H1123" s="264" t="s">
        <v>6110</v>
      </c>
      <c r="I1123" s="264" t="s">
        <v>6111</v>
      </c>
      <c r="J1123" s="295">
        <v>222.4</v>
      </c>
      <c r="K1123" s="295">
        <v>175</v>
      </c>
      <c r="L1123" s="295">
        <v>133.44</v>
      </c>
      <c r="O1123" s="266">
        <v>2</v>
      </c>
      <c r="P1123" s="266">
        <v>691991004230</v>
      </c>
      <c r="R1123" s="265">
        <v>6.75</v>
      </c>
      <c r="S1123" s="265">
        <v>10.5</v>
      </c>
      <c r="T1123" s="265">
        <v>10.75</v>
      </c>
      <c r="U1123" s="265">
        <v>13.25</v>
      </c>
      <c r="V1123" s="259" t="s">
        <v>3028</v>
      </c>
      <c r="W1123" s="259" t="s">
        <v>3029</v>
      </c>
      <c r="X1123" s="264" t="s">
        <v>6112</v>
      </c>
      <c r="Y1123" s="259">
        <v>210</v>
      </c>
      <c r="Z1123" s="259" t="s">
        <v>3030</v>
      </c>
      <c r="AA1123" s="259" t="e">
        <v>#N/A</v>
      </c>
      <c r="AB1123" s="259"/>
      <c r="AC1123" s="259"/>
      <c r="AD1123" s="259"/>
      <c r="AE1123" s="259"/>
    </row>
    <row r="1124" spans="1:31">
      <c r="A1124" s="259" t="s">
        <v>1219</v>
      </c>
      <c r="B1124" s="259" t="s">
        <v>80</v>
      </c>
      <c r="C1124" s="264" t="s">
        <v>6101</v>
      </c>
      <c r="D1124" s="264" t="s">
        <v>1219</v>
      </c>
      <c r="E1124" s="259" t="s">
        <v>5737</v>
      </c>
      <c r="H1124" s="264" t="s">
        <v>6113</v>
      </c>
      <c r="I1124" s="264" t="s">
        <v>6114</v>
      </c>
      <c r="J1124" s="295">
        <v>222.4</v>
      </c>
      <c r="K1124" s="295">
        <v>175</v>
      </c>
      <c r="L1124" s="295">
        <v>133.44</v>
      </c>
      <c r="O1124" s="266">
        <v>2</v>
      </c>
      <c r="P1124" s="266">
        <v>691991004247</v>
      </c>
      <c r="R1124" s="265">
        <v>13</v>
      </c>
      <c r="S1124" s="265">
        <v>10.5</v>
      </c>
      <c r="T1124" s="265">
        <v>10</v>
      </c>
      <c r="U1124" s="265">
        <v>13</v>
      </c>
      <c r="V1124" s="259" t="s">
        <v>3028</v>
      </c>
      <c r="W1124" s="259" t="s">
        <v>3029</v>
      </c>
      <c r="X1124" s="264" t="s">
        <v>6112</v>
      </c>
      <c r="Y1124" s="259">
        <v>211</v>
      </c>
      <c r="Z1124" s="259" t="s">
        <v>3030</v>
      </c>
      <c r="AA1124" s="259" t="e">
        <v>#N/A</v>
      </c>
      <c r="AB1124" s="259"/>
      <c r="AC1124" s="259"/>
      <c r="AD1124" s="259"/>
      <c r="AE1124" s="259"/>
    </row>
    <row r="1125" spans="1:31">
      <c r="A1125" s="259" t="s">
        <v>1220</v>
      </c>
      <c r="B1125" s="259" t="s">
        <v>80</v>
      </c>
      <c r="C1125" s="264" t="s">
        <v>6101</v>
      </c>
      <c r="D1125" s="264" t="s">
        <v>1220</v>
      </c>
      <c r="E1125" s="259" t="s">
        <v>5737</v>
      </c>
      <c r="H1125" s="264" t="s">
        <v>6115</v>
      </c>
      <c r="I1125" s="264" t="s">
        <v>6116</v>
      </c>
      <c r="J1125" s="295">
        <v>290.36</v>
      </c>
      <c r="K1125" s="295">
        <v>232</v>
      </c>
      <c r="L1125" s="295">
        <v>174.22</v>
      </c>
      <c r="M1125" s="295">
        <v>160.68832000000003</v>
      </c>
      <c r="N1125" s="295">
        <v>152.23104000000004</v>
      </c>
      <c r="O1125" s="266">
        <v>2</v>
      </c>
      <c r="P1125" s="266">
        <v>50036903851</v>
      </c>
      <c r="R1125" s="265">
        <v>10.199999999999999</v>
      </c>
      <c r="S1125" s="265">
        <v>5.5</v>
      </c>
      <c r="T1125" s="265">
        <v>11</v>
      </c>
      <c r="U1125" s="265">
        <v>7</v>
      </c>
      <c r="V1125" s="259" t="s">
        <v>3028</v>
      </c>
      <c r="W1125" s="259" t="s">
        <v>3029</v>
      </c>
      <c r="X1125" s="264" t="s">
        <v>6117</v>
      </c>
      <c r="Y1125" s="259">
        <v>212</v>
      </c>
      <c r="Z1125" s="259" t="s">
        <v>3030</v>
      </c>
      <c r="AA1125" s="259" t="e">
        <v>#N/A</v>
      </c>
      <c r="AB1125" s="259"/>
      <c r="AC1125" s="259"/>
      <c r="AD1125" s="259"/>
      <c r="AE1125" s="259"/>
    </row>
    <row r="1126" spans="1:31">
      <c r="A1126" s="259" t="s">
        <v>1221</v>
      </c>
      <c r="B1126" s="259" t="s">
        <v>80</v>
      </c>
      <c r="C1126" s="264" t="s">
        <v>6101</v>
      </c>
      <c r="D1126" s="264" t="s">
        <v>1221</v>
      </c>
      <c r="E1126" s="259" t="s">
        <v>5737</v>
      </c>
      <c r="H1126" s="264" t="s">
        <v>6115</v>
      </c>
      <c r="I1126" s="264" t="s">
        <v>6118</v>
      </c>
      <c r="J1126" s="295">
        <v>290.36</v>
      </c>
      <c r="K1126" s="295">
        <v>232</v>
      </c>
      <c r="L1126" s="295">
        <v>174.22</v>
      </c>
      <c r="M1126" s="295">
        <v>160.68832000000003</v>
      </c>
      <c r="N1126" s="295">
        <v>152.23104000000004</v>
      </c>
      <c r="O1126" s="266">
        <v>2</v>
      </c>
      <c r="P1126" s="266">
        <v>50036903868</v>
      </c>
      <c r="R1126" s="265">
        <v>10.5</v>
      </c>
      <c r="S1126" s="265">
        <v>10.5</v>
      </c>
      <c r="T1126" s="265">
        <v>5.5</v>
      </c>
      <c r="U1126" s="265">
        <v>6.5</v>
      </c>
      <c r="V1126" s="259" t="s">
        <v>3028</v>
      </c>
      <c r="W1126" s="259" t="s">
        <v>3029</v>
      </c>
      <c r="X1126" s="264" t="s">
        <v>6117</v>
      </c>
      <c r="Y1126" s="259">
        <v>213</v>
      </c>
      <c r="Z1126" s="259" t="s">
        <v>3030</v>
      </c>
      <c r="AA1126" s="259" t="e">
        <v>#N/A</v>
      </c>
      <c r="AB1126" s="259"/>
      <c r="AC1126" s="259"/>
      <c r="AD1126" s="259"/>
      <c r="AE1126" s="259"/>
    </row>
    <row r="1127" spans="1:31">
      <c r="A1127" s="259" t="s">
        <v>1222</v>
      </c>
      <c r="B1127" s="259" t="s">
        <v>80</v>
      </c>
      <c r="C1127" s="264" t="s">
        <v>6101</v>
      </c>
      <c r="D1127" s="264" t="s">
        <v>1222</v>
      </c>
      <c r="E1127" s="259" t="s">
        <v>5737</v>
      </c>
      <c r="H1127" s="264" t="s">
        <v>6119</v>
      </c>
      <c r="I1127" s="264" t="s">
        <v>6120</v>
      </c>
      <c r="J1127" s="295">
        <v>494.23</v>
      </c>
      <c r="K1127" s="295">
        <v>397</v>
      </c>
      <c r="L1127" s="295">
        <v>296.52999999999997</v>
      </c>
      <c r="M1127" s="295">
        <v>273.49948999999998</v>
      </c>
      <c r="N1127" s="295">
        <v>259.10478000000001</v>
      </c>
      <c r="O1127" s="266">
        <v>2</v>
      </c>
      <c r="P1127" s="266">
        <v>50036903875</v>
      </c>
      <c r="R1127" s="265">
        <v>16</v>
      </c>
      <c r="S1127" s="265">
        <v>14</v>
      </c>
      <c r="T1127" s="265">
        <v>7</v>
      </c>
      <c r="U1127" s="265">
        <v>8</v>
      </c>
      <c r="V1127" s="259" t="s">
        <v>3028</v>
      </c>
      <c r="W1127" s="259" t="s">
        <v>3029</v>
      </c>
      <c r="X1127" s="264" t="s">
        <v>6121</v>
      </c>
      <c r="Y1127" s="259">
        <v>214</v>
      </c>
      <c r="Z1127" s="259" t="s">
        <v>3030</v>
      </c>
      <c r="AA1127" s="259" t="e">
        <v>#N/A</v>
      </c>
      <c r="AB1127" s="259"/>
      <c r="AC1127" s="259"/>
      <c r="AD1127" s="259"/>
      <c r="AE1127" s="259"/>
    </row>
    <row r="1128" spans="1:31">
      <c r="A1128" s="259" t="s">
        <v>1223</v>
      </c>
      <c r="B1128" s="259" t="s">
        <v>80</v>
      </c>
      <c r="C1128" s="264" t="s">
        <v>6101</v>
      </c>
      <c r="D1128" s="264" t="s">
        <v>1223</v>
      </c>
      <c r="E1128" s="259" t="s">
        <v>5737</v>
      </c>
      <c r="H1128" s="264" t="s">
        <v>6119</v>
      </c>
      <c r="I1128" s="264" t="s">
        <v>6122</v>
      </c>
      <c r="J1128" s="295">
        <v>494.23</v>
      </c>
      <c r="K1128" s="295">
        <v>397</v>
      </c>
      <c r="L1128" s="295">
        <v>296.52999999999997</v>
      </c>
      <c r="M1128" s="295">
        <v>273.49948999999998</v>
      </c>
      <c r="N1128" s="295">
        <v>259.10478000000001</v>
      </c>
      <c r="O1128" s="266">
        <v>2</v>
      </c>
      <c r="P1128" s="266">
        <v>50036903882</v>
      </c>
      <c r="R1128" s="265">
        <v>16.25</v>
      </c>
      <c r="S1128" s="265">
        <v>14.25</v>
      </c>
      <c r="T1128" s="265">
        <v>7</v>
      </c>
      <c r="U1128" s="265">
        <v>8.25</v>
      </c>
      <c r="V1128" s="259" t="s">
        <v>3028</v>
      </c>
      <c r="W1128" s="259" t="s">
        <v>3029</v>
      </c>
      <c r="X1128" s="264" t="s">
        <v>6121</v>
      </c>
      <c r="Y1128" s="259">
        <v>215</v>
      </c>
      <c r="Z1128" s="259" t="s">
        <v>3030</v>
      </c>
      <c r="AA1128" s="259" t="e">
        <v>#N/A</v>
      </c>
      <c r="AB1128" s="259"/>
      <c r="AC1128" s="259"/>
      <c r="AD1128" s="259"/>
      <c r="AE1128" s="259"/>
    </row>
    <row r="1129" spans="1:31">
      <c r="A1129" s="259" t="s">
        <v>1224</v>
      </c>
      <c r="B1129" s="259" t="s">
        <v>80</v>
      </c>
      <c r="C1129" s="264" t="s">
        <v>6101</v>
      </c>
      <c r="D1129" s="264" t="s">
        <v>1224</v>
      </c>
      <c r="E1129" s="259" t="s">
        <v>5737</v>
      </c>
      <c r="H1129" s="264" t="s">
        <v>6123</v>
      </c>
      <c r="I1129" s="264" t="s">
        <v>6124</v>
      </c>
      <c r="J1129" s="295">
        <v>420.09</v>
      </c>
      <c r="K1129" s="295">
        <v>335</v>
      </c>
      <c r="L1129" s="295">
        <v>252.05</v>
      </c>
      <c r="M1129" s="295">
        <v>232.47354999999999</v>
      </c>
      <c r="N1129" s="295">
        <v>220.2381</v>
      </c>
      <c r="O1129" s="266">
        <v>2</v>
      </c>
      <c r="P1129" s="266">
        <v>50036903899</v>
      </c>
      <c r="R1129" s="265">
        <v>15</v>
      </c>
      <c r="S1129" s="265">
        <v>10.5</v>
      </c>
      <c r="T1129" s="265">
        <v>10.75</v>
      </c>
      <c r="U1129" s="265">
        <v>13.25</v>
      </c>
      <c r="V1129" s="259" t="s">
        <v>3028</v>
      </c>
      <c r="W1129" s="259" t="s">
        <v>3029</v>
      </c>
      <c r="X1129" s="264" t="s">
        <v>6125</v>
      </c>
      <c r="Y1129" s="259">
        <v>216</v>
      </c>
      <c r="Z1129" s="259" t="s">
        <v>3030</v>
      </c>
      <c r="AA1129" s="259" t="e">
        <v>#N/A</v>
      </c>
      <c r="AB1129" s="259"/>
      <c r="AC1129" s="259"/>
      <c r="AD1129" s="259"/>
      <c r="AE1129" s="259"/>
    </row>
    <row r="1130" spans="1:31">
      <c r="A1130" s="259" t="s">
        <v>1225</v>
      </c>
      <c r="B1130" s="259" t="s">
        <v>80</v>
      </c>
      <c r="C1130" s="264" t="s">
        <v>6101</v>
      </c>
      <c r="D1130" s="264" t="s">
        <v>1225</v>
      </c>
      <c r="E1130" s="259" t="s">
        <v>5737</v>
      </c>
      <c r="H1130" s="264" t="s">
        <v>6123</v>
      </c>
      <c r="I1130" s="264" t="s">
        <v>6126</v>
      </c>
      <c r="J1130" s="295">
        <v>420.09</v>
      </c>
      <c r="K1130" s="295">
        <v>335</v>
      </c>
      <c r="L1130" s="295">
        <v>252.05</v>
      </c>
      <c r="M1130" s="295">
        <v>232.47354999999999</v>
      </c>
      <c r="N1130" s="295">
        <v>220.2381</v>
      </c>
      <c r="O1130" s="266">
        <v>2</v>
      </c>
      <c r="P1130" s="266">
        <v>50036903905</v>
      </c>
      <c r="R1130" s="265">
        <v>15</v>
      </c>
      <c r="S1130" s="265">
        <v>10.5</v>
      </c>
      <c r="T1130" s="265">
        <v>10.75</v>
      </c>
      <c r="U1130" s="265">
        <v>13.25</v>
      </c>
      <c r="V1130" s="259" t="s">
        <v>3028</v>
      </c>
      <c r="W1130" s="259" t="s">
        <v>3029</v>
      </c>
      <c r="X1130" s="264" t="s">
        <v>6125</v>
      </c>
      <c r="Y1130" s="259">
        <v>217</v>
      </c>
      <c r="Z1130" s="259" t="s">
        <v>3030</v>
      </c>
      <c r="AA1130" s="259" t="e">
        <v>#N/A</v>
      </c>
      <c r="AB1130" s="259"/>
      <c r="AC1130" s="259"/>
      <c r="AD1130" s="259"/>
      <c r="AE1130" s="259"/>
    </row>
    <row r="1131" spans="1:31">
      <c r="A1131" s="259" t="s">
        <v>1226</v>
      </c>
      <c r="B1131" s="259" t="s">
        <v>80</v>
      </c>
      <c r="C1131" s="264" t="s">
        <v>6101</v>
      </c>
      <c r="D1131" s="264" t="s">
        <v>1226</v>
      </c>
      <c r="G1131" s="259" t="s">
        <v>6078</v>
      </c>
      <c r="H1131" s="264" t="s">
        <v>6127</v>
      </c>
      <c r="I1131" s="264" t="s">
        <v>6128</v>
      </c>
      <c r="J1131" s="295">
        <v>559</v>
      </c>
      <c r="K1131" s="295">
        <v>447.2</v>
      </c>
      <c r="L1131" s="295">
        <v>335.4</v>
      </c>
      <c r="M1131" s="295">
        <v>318.62999999999994</v>
      </c>
      <c r="N1131" s="295">
        <v>301.86</v>
      </c>
      <c r="O1131" s="266">
        <v>2</v>
      </c>
      <c r="P1131" s="266">
        <v>691991039331</v>
      </c>
      <c r="R1131" s="265">
        <v>37.926000000000002</v>
      </c>
      <c r="S1131" s="265">
        <v>27.9527559055118</v>
      </c>
      <c r="T1131" s="265">
        <v>14.1732283464567</v>
      </c>
      <c r="U1131" s="265">
        <v>15.748031496063</v>
      </c>
      <c r="V1131" s="259" t="s">
        <v>3028</v>
      </c>
      <c r="W1131" s="259" t="s">
        <v>3029</v>
      </c>
      <c r="X1131" s="264" t="s">
        <v>6129</v>
      </c>
      <c r="Y1131" s="259">
        <v>218</v>
      </c>
      <c r="Z1131" s="259" t="s">
        <v>4042</v>
      </c>
      <c r="AA1131" s="259" t="e">
        <v>#N/A</v>
      </c>
      <c r="AB1131" s="259"/>
      <c r="AC1131" s="259"/>
      <c r="AD1131" s="259"/>
      <c r="AE1131" s="259"/>
    </row>
    <row r="1132" spans="1:31">
      <c r="A1132" s="259" t="s">
        <v>1227</v>
      </c>
      <c r="B1132" s="259" t="s">
        <v>80</v>
      </c>
      <c r="C1132" s="264" t="s">
        <v>6101</v>
      </c>
      <c r="D1132" s="264" t="s">
        <v>1226</v>
      </c>
      <c r="G1132" s="259" t="s">
        <v>6078</v>
      </c>
      <c r="H1132" s="264" t="s">
        <v>6130</v>
      </c>
      <c r="I1132" s="264" t="s">
        <v>6131</v>
      </c>
      <c r="J1132" s="295">
        <v>559</v>
      </c>
      <c r="K1132" s="295">
        <v>447.2</v>
      </c>
      <c r="L1132" s="295">
        <v>335.4</v>
      </c>
      <c r="M1132" s="295">
        <v>318.62999999999994</v>
      </c>
      <c r="N1132" s="295">
        <v>301.86</v>
      </c>
      <c r="O1132" s="266">
        <v>2</v>
      </c>
      <c r="P1132" s="266">
        <v>691991039324</v>
      </c>
      <c r="R1132" s="265">
        <v>37.926000000000002</v>
      </c>
      <c r="S1132" s="265">
        <v>27.9527559055118</v>
      </c>
      <c r="T1132" s="265">
        <v>14.1732283464567</v>
      </c>
      <c r="U1132" s="265">
        <v>15.748031496063</v>
      </c>
      <c r="V1132" s="259" t="s">
        <v>3028</v>
      </c>
      <c r="W1132" s="259" t="s">
        <v>3029</v>
      </c>
      <c r="X1132" s="264" t="s">
        <v>6129</v>
      </c>
      <c r="Y1132" s="259">
        <v>219</v>
      </c>
      <c r="Z1132" s="259" t="s">
        <v>4042</v>
      </c>
      <c r="AA1132" s="259" t="e">
        <v>#N/A</v>
      </c>
      <c r="AB1132" s="259"/>
      <c r="AC1132" s="259"/>
      <c r="AD1132" s="259"/>
      <c r="AE1132" s="259"/>
    </row>
    <row r="1133" spans="1:31">
      <c r="A1133" s="259" t="s">
        <v>1228</v>
      </c>
      <c r="B1133" s="259" t="s">
        <v>80</v>
      </c>
      <c r="C1133" s="264" t="s">
        <v>5725</v>
      </c>
      <c r="D1133" s="264" t="s">
        <v>1228</v>
      </c>
      <c r="E1133" s="259" t="s">
        <v>5737</v>
      </c>
      <c r="H1133" s="264" t="s">
        <v>6132</v>
      </c>
      <c r="I1133" s="264" t="s">
        <v>6133</v>
      </c>
      <c r="J1133" s="295">
        <v>17.47</v>
      </c>
      <c r="K1133" s="295">
        <v>17.47</v>
      </c>
      <c r="L1133" s="295">
        <v>10.54</v>
      </c>
      <c r="O1133" s="266">
        <v>0</v>
      </c>
      <c r="P1133" s="266">
        <v>691991300219</v>
      </c>
      <c r="R1133" s="265">
        <v>0.5</v>
      </c>
      <c r="S1133" s="265">
        <v>2</v>
      </c>
      <c r="T1133" s="265">
        <v>8</v>
      </c>
      <c r="U1133" s="265">
        <v>7</v>
      </c>
      <c r="V1133" s="259" t="s">
        <v>3028</v>
      </c>
      <c r="W1133" s="259" t="s">
        <v>3029</v>
      </c>
      <c r="X1133" s="264" t="s">
        <v>6134</v>
      </c>
      <c r="Y1133" s="259">
        <v>220</v>
      </c>
      <c r="Z1133" s="259" t="s">
        <v>3030</v>
      </c>
      <c r="AA1133" s="259" t="e">
        <v>#N/A</v>
      </c>
      <c r="AB1133" s="259"/>
      <c r="AC1133" s="259"/>
      <c r="AD1133" s="259"/>
      <c r="AE1133" s="259"/>
    </row>
    <row r="1134" spans="1:31">
      <c r="A1134" s="259" t="s">
        <v>1229</v>
      </c>
      <c r="B1134" s="259" t="s">
        <v>80</v>
      </c>
      <c r="C1134" s="264" t="s">
        <v>5725</v>
      </c>
      <c r="D1134" s="264" t="s">
        <v>1229</v>
      </c>
      <c r="E1134" s="259" t="s">
        <v>5737</v>
      </c>
      <c r="H1134" s="264" t="s">
        <v>6135</v>
      </c>
      <c r="I1134" s="264" t="s">
        <v>6136</v>
      </c>
      <c r="J1134" s="295">
        <v>11.45</v>
      </c>
      <c r="K1134" s="295">
        <v>11.45</v>
      </c>
      <c r="L1134" s="295">
        <v>6.88</v>
      </c>
      <c r="O1134" s="266">
        <v>2</v>
      </c>
      <c r="P1134" s="266">
        <v>691991300202</v>
      </c>
      <c r="R1134" s="265">
        <v>0.2</v>
      </c>
      <c r="S1134" s="265">
        <v>6</v>
      </c>
      <c r="T1134" s="265">
        <v>5</v>
      </c>
      <c r="U1134" s="265">
        <v>2</v>
      </c>
      <c r="V1134" s="259" t="s">
        <v>3028</v>
      </c>
      <c r="W1134" s="259" t="s">
        <v>3029</v>
      </c>
      <c r="Y1134" s="259">
        <v>221</v>
      </c>
      <c r="Z1134" s="259" t="s">
        <v>3264</v>
      </c>
      <c r="AA1134" s="259" t="e">
        <v>#N/A</v>
      </c>
      <c r="AB1134" s="259"/>
      <c r="AC1134" s="259"/>
      <c r="AD1134" s="259"/>
      <c r="AE1134" s="259"/>
    </row>
    <row r="1135" spans="1:31">
      <c r="A1135" s="259" t="s">
        <v>1230</v>
      </c>
      <c r="B1135" s="259" t="s">
        <v>80</v>
      </c>
      <c r="C1135" s="264"/>
      <c r="D1135" s="264"/>
      <c r="H1135" s="264"/>
      <c r="I1135" s="264"/>
      <c r="J1135" s="295">
        <v>0</v>
      </c>
      <c r="K1135" s="295">
        <v>0</v>
      </c>
      <c r="L1135" s="295">
        <v>0</v>
      </c>
      <c r="O1135" s="266"/>
      <c r="R1135" s="265">
        <v>0</v>
      </c>
      <c r="S1135" s="265">
        <v>0</v>
      </c>
      <c r="T1135" s="265">
        <v>0</v>
      </c>
      <c r="U1135" s="265">
        <v>0</v>
      </c>
      <c r="V1135" s="259" t="s">
        <v>3028</v>
      </c>
      <c r="W1135" s="259" t="s">
        <v>3029</v>
      </c>
      <c r="X1135" s="264" t="s">
        <v>6137</v>
      </c>
      <c r="Y1135" s="259">
        <v>222</v>
      </c>
      <c r="AA1135" s="259" t="e">
        <v>#N/A</v>
      </c>
      <c r="AB1135" s="259"/>
      <c r="AC1135" s="259"/>
      <c r="AD1135" s="259"/>
      <c r="AE1135" s="259"/>
    </row>
    <row r="1136" spans="1:31">
      <c r="A1136" s="259" t="s">
        <v>1231</v>
      </c>
      <c r="B1136" s="259" t="s">
        <v>80</v>
      </c>
      <c r="C1136" s="264" t="s">
        <v>6138</v>
      </c>
      <c r="D1136" s="264" t="s">
        <v>1231</v>
      </c>
      <c r="E1136" s="259" t="s">
        <v>5737</v>
      </c>
      <c r="H1136" s="264" t="s">
        <v>6139</v>
      </c>
      <c r="I1136" s="264" t="s">
        <v>6140</v>
      </c>
      <c r="J1136" s="295">
        <v>246.51</v>
      </c>
      <c r="K1136" s="295">
        <v>195</v>
      </c>
      <c r="L1136" s="295">
        <v>147.9</v>
      </c>
      <c r="M1136" s="295">
        <v>136.4143</v>
      </c>
      <c r="N1136" s="295">
        <v>129.2346</v>
      </c>
      <c r="O1136" s="266">
        <v>2</v>
      </c>
      <c r="P1136" s="266">
        <v>50036904988</v>
      </c>
      <c r="R1136" s="265">
        <v>5</v>
      </c>
      <c r="S1136" s="265">
        <v>4</v>
      </c>
      <c r="T1136" s="265">
        <v>6</v>
      </c>
      <c r="U1136" s="265">
        <v>4</v>
      </c>
      <c r="V1136" s="259" t="s">
        <v>3028</v>
      </c>
      <c r="W1136" s="259" t="s">
        <v>3029</v>
      </c>
      <c r="X1136" s="264" t="s">
        <v>6141</v>
      </c>
      <c r="Y1136" s="259">
        <v>223</v>
      </c>
      <c r="Z1136" s="259" t="s">
        <v>3030</v>
      </c>
      <c r="AA1136" s="259" t="e">
        <v>#N/A</v>
      </c>
      <c r="AB1136" s="259"/>
      <c r="AC1136" s="259"/>
      <c r="AD1136" s="259"/>
      <c r="AE1136" s="259"/>
    </row>
    <row r="1137" spans="1:31">
      <c r="A1137" s="259" t="s">
        <v>1232</v>
      </c>
      <c r="B1137" s="259" t="s">
        <v>80</v>
      </c>
      <c r="C1137" s="264" t="s">
        <v>6138</v>
      </c>
      <c r="D1137" s="264" t="s">
        <v>1232</v>
      </c>
      <c r="E1137" s="259" t="s">
        <v>5737</v>
      </c>
      <c r="H1137" s="264" t="s">
        <v>6139</v>
      </c>
      <c r="I1137" s="264" t="s">
        <v>6142</v>
      </c>
      <c r="J1137" s="295">
        <v>272.45</v>
      </c>
      <c r="K1137" s="295">
        <v>222</v>
      </c>
      <c r="L1137" s="295">
        <v>163.46</v>
      </c>
      <c r="M1137" s="295">
        <v>150.76728</v>
      </c>
      <c r="N1137" s="295">
        <v>142.83216000000002</v>
      </c>
      <c r="O1137" s="266">
        <v>2</v>
      </c>
      <c r="P1137" s="266">
        <v>50036904995</v>
      </c>
      <c r="R1137" s="265">
        <v>6.5</v>
      </c>
      <c r="S1137" s="265">
        <v>12</v>
      </c>
      <c r="T1137" s="265">
        <v>10</v>
      </c>
      <c r="U1137" s="265">
        <v>9</v>
      </c>
      <c r="V1137" s="259" t="s">
        <v>3028</v>
      </c>
      <c r="W1137" s="259" t="s">
        <v>3029</v>
      </c>
      <c r="X1137" s="264" t="s">
        <v>6143</v>
      </c>
      <c r="Y1137" s="259">
        <v>224</v>
      </c>
      <c r="Z1137" s="259" t="s">
        <v>3030</v>
      </c>
      <c r="AA1137" s="259" t="e">
        <v>#N/A</v>
      </c>
      <c r="AB1137" s="259"/>
      <c r="AC1137" s="259"/>
      <c r="AD1137" s="259"/>
      <c r="AE1137" s="259"/>
    </row>
    <row r="1138" spans="1:31">
      <c r="A1138" s="259" t="s">
        <v>1233</v>
      </c>
      <c r="B1138" s="259" t="s">
        <v>80</v>
      </c>
      <c r="C1138" s="264" t="s">
        <v>6138</v>
      </c>
      <c r="D1138" s="264" t="s">
        <v>1233</v>
      </c>
      <c r="E1138" s="259" t="s">
        <v>5737</v>
      </c>
      <c r="H1138" s="264" t="s">
        <v>6144</v>
      </c>
      <c r="I1138" s="264" t="s">
        <v>6145</v>
      </c>
      <c r="J1138" s="295">
        <v>303.58</v>
      </c>
      <c r="K1138" s="295">
        <v>243</v>
      </c>
      <c r="L1138" s="295">
        <v>182.14</v>
      </c>
      <c r="M1138" s="295">
        <v>167.99695500000001</v>
      </c>
      <c r="N1138" s="295">
        <v>159.15501000000003</v>
      </c>
      <c r="O1138" s="266">
        <v>2</v>
      </c>
      <c r="P1138" s="266">
        <v>50036905008</v>
      </c>
      <c r="R1138" s="265">
        <v>8.5</v>
      </c>
      <c r="S1138" s="265">
        <v>16</v>
      </c>
      <c r="T1138" s="265">
        <v>12</v>
      </c>
      <c r="U1138" s="265">
        <v>8</v>
      </c>
      <c r="V1138" s="259" t="s">
        <v>3028</v>
      </c>
      <c r="W1138" s="259" t="s">
        <v>3029</v>
      </c>
      <c r="X1138" s="264" t="s">
        <v>6146</v>
      </c>
      <c r="Y1138" s="259">
        <v>225</v>
      </c>
      <c r="Z1138" s="259" t="s">
        <v>3030</v>
      </c>
      <c r="AA1138" s="259" t="e">
        <v>#N/A</v>
      </c>
      <c r="AB1138" s="259"/>
      <c r="AC1138" s="259"/>
      <c r="AD1138" s="259"/>
      <c r="AE1138" s="259"/>
    </row>
    <row r="1139" spans="1:31">
      <c r="A1139" s="259" t="s">
        <v>1234</v>
      </c>
      <c r="B1139" s="259" t="s">
        <v>80</v>
      </c>
      <c r="C1139" s="264" t="s">
        <v>6138</v>
      </c>
      <c r="D1139" s="264" t="s">
        <v>1234</v>
      </c>
      <c r="E1139" s="259" t="s">
        <v>5737</v>
      </c>
      <c r="H1139" s="264" t="s">
        <v>6144</v>
      </c>
      <c r="I1139" s="264" t="s">
        <v>6147</v>
      </c>
      <c r="J1139" s="295">
        <v>334.72</v>
      </c>
      <c r="K1139" s="295">
        <v>267</v>
      </c>
      <c r="L1139" s="295">
        <v>200.82</v>
      </c>
      <c r="M1139" s="295">
        <v>185.22663</v>
      </c>
      <c r="N1139" s="295">
        <v>175.47786000000002</v>
      </c>
      <c r="O1139" s="266">
        <v>2</v>
      </c>
      <c r="P1139" s="266">
        <v>50036905015</v>
      </c>
      <c r="R1139" s="265">
        <v>8</v>
      </c>
      <c r="S1139" s="265">
        <v>5.25</v>
      </c>
      <c r="T1139" s="265">
        <v>6.25</v>
      </c>
      <c r="U1139" s="265">
        <v>7.75</v>
      </c>
      <c r="V1139" s="259" t="s">
        <v>3028</v>
      </c>
      <c r="W1139" s="259" t="s">
        <v>3029</v>
      </c>
      <c r="Y1139" s="259">
        <v>226</v>
      </c>
      <c r="Z1139" s="259" t="s">
        <v>3030</v>
      </c>
      <c r="AA1139" s="259" t="e">
        <v>#N/A</v>
      </c>
      <c r="AB1139" s="259"/>
      <c r="AC1139" s="259"/>
      <c r="AD1139" s="259"/>
      <c r="AE1139" s="259"/>
    </row>
    <row r="1140" spans="1:31">
      <c r="A1140" s="259" t="s">
        <v>1235</v>
      </c>
      <c r="B1140" s="259" t="s">
        <v>80</v>
      </c>
      <c r="C1140" s="264" t="s">
        <v>5725</v>
      </c>
      <c r="D1140" s="264" t="s">
        <v>1235</v>
      </c>
      <c r="E1140" s="259" t="s">
        <v>5737</v>
      </c>
      <c r="H1140" s="264" t="s">
        <v>6148</v>
      </c>
      <c r="I1140" s="264" t="s">
        <v>6149</v>
      </c>
      <c r="J1140" s="295">
        <v>34.07</v>
      </c>
      <c r="K1140" s="295">
        <v>34.07</v>
      </c>
      <c r="L1140" s="295">
        <v>20.440000000000001</v>
      </c>
      <c r="M1140" s="295">
        <v>18.856075000000001</v>
      </c>
      <c r="N1140" s="295">
        <v>17.863650000000003</v>
      </c>
      <c r="O1140" s="266">
        <v>0</v>
      </c>
      <c r="P1140" s="266">
        <v>848592001278</v>
      </c>
      <c r="R1140" s="265">
        <v>0.75</v>
      </c>
      <c r="S1140" s="265">
        <v>1</v>
      </c>
      <c r="T1140" s="265">
        <v>9.5</v>
      </c>
      <c r="U1140" s="265">
        <v>16.5</v>
      </c>
      <c r="V1140" s="259" t="s">
        <v>3028</v>
      </c>
      <c r="W1140" s="259" t="s">
        <v>3029</v>
      </c>
      <c r="Y1140" s="259">
        <v>227</v>
      </c>
      <c r="Z1140" s="259" t="s">
        <v>3030</v>
      </c>
      <c r="AA1140" s="259" t="e">
        <v>#N/A</v>
      </c>
      <c r="AB1140" s="259"/>
      <c r="AC1140" s="259"/>
      <c r="AD1140" s="259"/>
      <c r="AE1140" s="259"/>
    </row>
    <row r="1141" spans="1:31">
      <c r="A1141" s="259" t="s">
        <v>1236</v>
      </c>
      <c r="B1141" s="259" t="s">
        <v>80</v>
      </c>
      <c r="C1141" s="264" t="s">
        <v>5725</v>
      </c>
      <c r="D1141" s="264" t="s">
        <v>1236</v>
      </c>
      <c r="E1141" s="259" t="s">
        <v>5737</v>
      </c>
      <c r="H1141" s="264" t="s">
        <v>6150</v>
      </c>
      <c r="I1141" s="264" t="s">
        <v>6151</v>
      </c>
      <c r="J1141" s="295">
        <v>34.07</v>
      </c>
      <c r="K1141" s="295">
        <v>34.07</v>
      </c>
      <c r="L1141" s="295">
        <v>20.440000000000001</v>
      </c>
      <c r="M1141" s="295">
        <v>18.856075000000001</v>
      </c>
      <c r="N1141" s="295">
        <v>17.863650000000003</v>
      </c>
      <c r="O1141" s="266">
        <v>0</v>
      </c>
      <c r="P1141" s="266">
        <v>691991300257</v>
      </c>
      <c r="R1141" s="265">
        <v>0</v>
      </c>
      <c r="S1141" s="265">
        <v>0</v>
      </c>
      <c r="T1141" s="265">
        <v>0</v>
      </c>
      <c r="U1141" s="265">
        <v>0</v>
      </c>
      <c r="V1141" s="259" t="s">
        <v>3028</v>
      </c>
      <c r="W1141" s="259" t="s">
        <v>3029</v>
      </c>
      <c r="X1141" s="264" t="s">
        <v>6152</v>
      </c>
      <c r="Y1141" s="259">
        <v>228</v>
      </c>
      <c r="Z1141" s="259" t="s">
        <v>3030</v>
      </c>
      <c r="AA1141" s="259" t="e">
        <v>#N/A</v>
      </c>
      <c r="AB1141" s="259"/>
      <c r="AC1141" s="259"/>
      <c r="AD1141" s="259"/>
      <c r="AE1141" s="259"/>
    </row>
    <row r="1142" spans="1:31">
      <c r="A1142" s="259" t="s">
        <v>1237</v>
      </c>
      <c r="B1142" s="259" t="s">
        <v>80</v>
      </c>
      <c r="C1142" s="264"/>
      <c r="D1142" s="264"/>
      <c r="H1142" s="264"/>
      <c r="I1142" s="264"/>
      <c r="J1142" s="295">
        <v>0</v>
      </c>
      <c r="K1142" s="295">
        <v>0</v>
      </c>
      <c r="L1142" s="295">
        <v>0</v>
      </c>
      <c r="O1142" s="266"/>
      <c r="R1142" s="265">
        <v>0</v>
      </c>
      <c r="S1142" s="265">
        <v>0</v>
      </c>
      <c r="T1142" s="265">
        <v>0</v>
      </c>
      <c r="U1142" s="265">
        <v>0</v>
      </c>
      <c r="V1142" s="259"/>
      <c r="Y1142" s="259">
        <v>229</v>
      </c>
      <c r="AA1142" s="259" t="e">
        <v>#N/A</v>
      </c>
      <c r="AB1142" s="259"/>
      <c r="AC1142" s="259"/>
      <c r="AD1142" s="259"/>
      <c r="AE1142" s="259"/>
    </row>
    <row r="1143" spans="1:31">
      <c r="A1143" s="259" t="s">
        <v>1238</v>
      </c>
      <c r="B1143" s="259" t="s">
        <v>80</v>
      </c>
      <c r="C1143" s="264" t="s">
        <v>6153</v>
      </c>
      <c r="D1143" s="264" t="s">
        <v>1238</v>
      </c>
      <c r="E1143" s="259" t="s">
        <v>5737</v>
      </c>
      <c r="H1143" s="264" t="s">
        <v>6154</v>
      </c>
      <c r="I1143" s="264" t="s">
        <v>6155</v>
      </c>
      <c r="J1143" s="295">
        <v>308.89999999999998</v>
      </c>
      <c r="K1143" s="295">
        <v>247</v>
      </c>
      <c r="L1143" s="295">
        <v>185.34</v>
      </c>
      <c r="M1143" s="295">
        <v>170.944805</v>
      </c>
      <c r="N1143" s="295">
        <v>161.94771</v>
      </c>
      <c r="O1143" s="266">
        <v>0</v>
      </c>
      <c r="P1143" s="266">
        <v>691991005077</v>
      </c>
      <c r="R1143" s="265">
        <v>25</v>
      </c>
      <c r="S1143" s="265">
        <v>16</v>
      </c>
      <c r="T1143" s="265">
        <v>19.5</v>
      </c>
      <c r="U1143" s="265">
        <v>16</v>
      </c>
      <c r="V1143" s="259" t="s">
        <v>3028</v>
      </c>
      <c r="W1143" s="259" t="s">
        <v>3029</v>
      </c>
      <c r="X1143" s="264" t="s">
        <v>6156</v>
      </c>
      <c r="Y1143" s="259">
        <v>230</v>
      </c>
      <c r="Z1143" s="259" t="s">
        <v>3030</v>
      </c>
      <c r="AA1143" s="259" t="e">
        <v>#N/A</v>
      </c>
      <c r="AB1143" s="259"/>
      <c r="AC1143" s="259"/>
      <c r="AD1143" s="259"/>
      <c r="AE1143" s="259"/>
    </row>
    <row r="1144" spans="1:31">
      <c r="A1144" s="259" t="s">
        <v>1239</v>
      </c>
      <c r="B1144" s="259" t="s">
        <v>80</v>
      </c>
      <c r="C1144" s="264" t="s">
        <v>6153</v>
      </c>
      <c r="D1144" s="264" t="s">
        <v>1239</v>
      </c>
      <c r="E1144" s="259" t="s">
        <v>5737</v>
      </c>
      <c r="H1144" s="264" t="s">
        <v>6157</v>
      </c>
      <c r="I1144" s="264" t="s">
        <v>6158</v>
      </c>
      <c r="J1144" s="295">
        <v>463.33</v>
      </c>
      <c r="K1144" s="295">
        <v>370</v>
      </c>
      <c r="L1144" s="295">
        <v>278</v>
      </c>
      <c r="M1144" s="295">
        <v>256.412125</v>
      </c>
      <c r="N1144" s="295">
        <v>242.91675000000004</v>
      </c>
      <c r="O1144" s="266">
        <v>0</v>
      </c>
      <c r="P1144" s="266">
        <v>691991005084</v>
      </c>
      <c r="R1144" s="265">
        <v>24.15</v>
      </c>
      <c r="S1144" s="265">
        <v>19.25</v>
      </c>
      <c r="T1144" s="265">
        <v>19.25</v>
      </c>
      <c r="U1144" s="265">
        <v>23.25</v>
      </c>
      <c r="V1144" s="259" t="s">
        <v>3028</v>
      </c>
      <c r="W1144" s="259" t="s">
        <v>3029</v>
      </c>
      <c r="Y1144" s="259">
        <v>231</v>
      </c>
      <c r="Z1144" s="259" t="s">
        <v>3030</v>
      </c>
      <c r="AA1144" s="259" t="e">
        <v>#N/A</v>
      </c>
      <c r="AB1144" s="259"/>
      <c r="AC1144" s="259"/>
      <c r="AD1144" s="259"/>
      <c r="AE1144" s="259"/>
    </row>
    <row r="1145" spans="1:31">
      <c r="A1145" s="259" t="s">
        <v>1240</v>
      </c>
      <c r="B1145" s="259" t="s">
        <v>80</v>
      </c>
      <c r="C1145" s="264"/>
      <c r="D1145" s="264"/>
      <c r="E1145" s="259" t="s">
        <v>5737</v>
      </c>
      <c r="G1145" s="259" t="s">
        <v>4048</v>
      </c>
      <c r="H1145" s="264" t="s">
        <v>6159</v>
      </c>
      <c r="I1145" s="264" t="s">
        <v>6160</v>
      </c>
      <c r="J1145" s="295">
        <v>454.75</v>
      </c>
      <c r="K1145" s="295">
        <v>365</v>
      </c>
      <c r="L1145" s="295">
        <v>272.85000000000002</v>
      </c>
      <c r="M1145" s="295">
        <v>259.20749999999998</v>
      </c>
      <c r="N1145" s="295">
        <v>245.56500000000003</v>
      </c>
      <c r="O1145" s="266"/>
      <c r="P1145" s="266">
        <v>691991037344</v>
      </c>
      <c r="R1145" s="265">
        <v>30</v>
      </c>
      <c r="S1145" s="265">
        <v>1.581</v>
      </c>
      <c r="T1145" s="265">
        <v>1.581</v>
      </c>
      <c r="U1145" s="265">
        <v>1.91</v>
      </c>
      <c r="V1145" s="259" t="s">
        <v>3028</v>
      </c>
      <c r="W1145" s="259" t="s">
        <v>3029</v>
      </c>
      <c r="X1145" s="258" t="s">
        <v>8396</v>
      </c>
      <c r="Y1145" s="259">
        <v>232</v>
      </c>
      <c r="Z1145" s="259" t="s">
        <v>4042</v>
      </c>
      <c r="AA1145" s="259" t="e">
        <v>#N/A</v>
      </c>
      <c r="AB1145" s="259"/>
      <c r="AC1145" s="259"/>
      <c r="AD1145" s="259"/>
      <c r="AE1145" s="259"/>
    </row>
    <row r="1146" spans="1:31">
      <c r="A1146" s="259" t="s">
        <v>1241</v>
      </c>
      <c r="B1146" s="259" t="s">
        <v>80</v>
      </c>
      <c r="C1146" s="264"/>
      <c r="D1146" s="264"/>
      <c r="H1146" s="264"/>
      <c r="I1146" s="264"/>
      <c r="J1146" s="295">
        <v>0</v>
      </c>
      <c r="K1146" s="295">
        <v>0</v>
      </c>
      <c r="L1146" s="295">
        <v>0</v>
      </c>
      <c r="O1146" s="266"/>
      <c r="R1146" s="265">
        <v>0</v>
      </c>
      <c r="S1146" s="265">
        <v>0</v>
      </c>
      <c r="T1146" s="265">
        <v>0</v>
      </c>
      <c r="U1146" s="265">
        <v>0</v>
      </c>
      <c r="V1146" s="259"/>
      <c r="Y1146" s="259">
        <v>233</v>
      </c>
      <c r="AA1146" s="259" t="e">
        <v>#N/A</v>
      </c>
      <c r="AB1146" s="259"/>
      <c r="AC1146" s="259"/>
      <c r="AD1146" s="259"/>
      <c r="AE1146" s="259"/>
    </row>
    <row r="1147" spans="1:31">
      <c r="A1147" s="259" t="s">
        <v>1242</v>
      </c>
      <c r="B1147" s="259" t="s">
        <v>80</v>
      </c>
      <c r="C1147" s="264" t="s">
        <v>6153</v>
      </c>
      <c r="D1147" s="264" t="s">
        <v>1242</v>
      </c>
      <c r="G1147" s="259" t="s">
        <v>6078</v>
      </c>
      <c r="H1147" s="264" t="s">
        <v>6161</v>
      </c>
      <c r="I1147" s="264" t="s">
        <v>6162</v>
      </c>
      <c r="J1147" s="295">
        <v>231</v>
      </c>
      <c r="K1147" s="295">
        <v>184.8</v>
      </c>
      <c r="L1147" s="295">
        <v>138.6</v>
      </c>
      <c r="M1147" s="295">
        <v>131.66999999999999</v>
      </c>
      <c r="N1147" s="295">
        <v>124.74</v>
      </c>
      <c r="O1147" s="266">
        <v>2</v>
      </c>
      <c r="P1147" s="266">
        <v>691991039300</v>
      </c>
      <c r="R1147" s="265">
        <v>13.670999999999999</v>
      </c>
      <c r="S1147" s="265">
        <v>13.8582677165354</v>
      </c>
      <c r="T1147" s="265">
        <v>9.9212598425196905</v>
      </c>
      <c r="U1147" s="265">
        <v>9.2519685039370092</v>
      </c>
      <c r="V1147" s="259" t="s">
        <v>3028</v>
      </c>
      <c r="W1147" s="259" t="s">
        <v>3029</v>
      </c>
      <c r="X1147" s="264" t="s">
        <v>6163</v>
      </c>
      <c r="Y1147" s="259">
        <v>234</v>
      </c>
      <c r="Z1147" s="259" t="s">
        <v>4042</v>
      </c>
      <c r="AA1147" s="259" t="e">
        <v>#N/A</v>
      </c>
      <c r="AB1147" s="259"/>
      <c r="AC1147" s="259"/>
      <c r="AD1147" s="259"/>
      <c r="AE1147" s="259"/>
    </row>
    <row r="1148" spans="1:31">
      <c r="A1148" s="259" t="s">
        <v>1243</v>
      </c>
      <c r="B1148" s="259" t="s">
        <v>80</v>
      </c>
      <c r="C1148" s="264" t="s">
        <v>6153</v>
      </c>
      <c r="D1148" s="264" t="s">
        <v>1243</v>
      </c>
      <c r="G1148" s="259" t="s">
        <v>6078</v>
      </c>
      <c r="H1148" s="264" t="s">
        <v>6164</v>
      </c>
      <c r="I1148" s="264" t="s">
        <v>6165</v>
      </c>
      <c r="J1148" s="295">
        <v>231</v>
      </c>
      <c r="K1148" s="295">
        <v>184.8</v>
      </c>
      <c r="L1148" s="295">
        <v>138.6</v>
      </c>
      <c r="M1148" s="295">
        <v>131.66999999999999</v>
      </c>
      <c r="N1148" s="295">
        <v>124.74</v>
      </c>
      <c r="O1148" s="266">
        <v>2</v>
      </c>
      <c r="P1148" s="266">
        <v>691991039317</v>
      </c>
      <c r="R1148" s="265">
        <v>13.670999999999999</v>
      </c>
      <c r="S1148" s="265">
        <v>13.8582677165354</v>
      </c>
      <c r="T1148" s="265">
        <v>9.9212598425196905</v>
      </c>
      <c r="U1148" s="265">
        <v>9.2519685039370092</v>
      </c>
      <c r="V1148" s="259" t="s">
        <v>3028</v>
      </c>
      <c r="W1148" s="259" t="s">
        <v>3029</v>
      </c>
      <c r="X1148" s="264" t="s">
        <v>6166</v>
      </c>
      <c r="Y1148" s="259">
        <v>235</v>
      </c>
      <c r="Z1148" s="259" t="s">
        <v>4042</v>
      </c>
      <c r="AA1148" s="259" t="e">
        <v>#N/A</v>
      </c>
      <c r="AB1148" s="259"/>
      <c r="AC1148" s="259"/>
      <c r="AD1148" s="259"/>
      <c r="AE1148" s="259"/>
    </row>
    <row r="1149" spans="1:31">
      <c r="A1149" s="259" t="s">
        <v>1244</v>
      </c>
      <c r="B1149" s="259" t="s">
        <v>80</v>
      </c>
      <c r="C1149" s="264" t="s">
        <v>6153</v>
      </c>
      <c r="D1149" s="264" t="s">
        <v>1244</v>
      </c>
      <c r="G1149" s="259" t="s">
        <v>6078</v>
      </c>
      <c r="H1149" s="264" t="s">
        <v>6167</v>
      </c>
      <c r="I1149" s="264" t="s">
        <v>6168</v>
      </c>
      <c r="J1149" s="295">
        <v>313</v>
      </c>
      <c r="K1149" s="295">
        <v>250.4</v>
      </c>
      <c r="L1149" s="295">
        <v>187.8</v>
      </c>
      <c r="M1149" s="295">
        <v>178.41</v>
      </c>
      <c r="N1149" s="295">
        <v>169.02</v>
      </c>
      <c r="O1149" s="266">
        <v>2</v>
      </c>
      <c r="P1149" s="266">
        <v>691991039355</v>
      </c>
      <c r="R1149" s="265">
        <v>18.081</v>
      </c>
      <c r="S1149" s="265">
        <v>20.866141732283499</v>
      </c>
      <c r="T1149" s="265">
        <v>14.1732283464567</v>
      </c>
      <c r="U1149" s="265">
        <v>13.3858267716535</v>
      </c>
      <c r="V1149" s="259" t="s">
        <v>3028</v>
      </c>
      <c r="W1149" s="259" t="s">
        <v>3029</v>
      </c>
      <c r="X1149" s="264" t="s">
        <v>6169</v>
      </c>
      <c r="Y1149" s="259">
        <v>236</v>
      </c>
      <c r="Z1149" s="259" t="s">
        <v>4042</v>
      </c>
      <c r="AA1149" s="259" t="e">
        <v>#N/A</v>
      </c>
      <c r="AB1149" s="259"/>
      <c r="AC1149" s="259"/>
      <c r="AD1149" s="259"/>
      <c r="AE1149" s="259"/>
    </row>
    <row r="1150" spans="1:31">
      <c r="A1150" s="259" t="s">
        <v>1245</v>
      </c>
      <c r="B1150" s="259" t="s">
        <v>80</v>
      </c>
      <c r="C1150" s="264" t="s">
        <v>6153</v>
      </c>
      <c r="D1150" s="264" t="s">
        <v>1245</v>
      </c>
      <c r="G1150" s="259" t="s">
        <v>6078</v>
      </c>
      <c r="H1150" s="264" t="s">
        <v>6170</v>
      </c>
      <c r="I1150" s="264" t="s">
        <v>6171</v>
      </c>
      <c r="J1150" s="295">
        <v>313</v>
      </c>
      <c r="K1150" s="295">
        <v>250.4</v>
      </c>
      <c r="L1150" s="295">
        <v>187.8</v>
      </c>
      <c r="M1150" s="295">
        <v>178.41</v>
      </c>
      <c r="N1150" s="295">
        <v>169.02</v>
      </c>
      <c r="O1150" s="266">
        <v>2</v>
      </c>
      <c r="P1150" s="266">
        <v>691991039348</v>
      </c>
      <c r="R1150" s="265">
        <v>18.081</v>
      </c>
      <c r="S1150" s="265">
        <v>20.866141732283499</v>
      </c>
      <c r="T1150" s="265">
        <v>14.1732283464567</v>
      </c>
      <c r="U1150" s="265">
        <v>13.3858267716535</v>
      </c>
      <c r="V1150" s="259" t="s">
        <v>3028</v>
      </c>
      <c r="W1150" s="259" t="s">
        <v>3029</v>
      </c>
      <c r="X1150" s="264" t="s">
        <v>6172</v>
      </c>
      <c r="Y1150" s="259">
        <v>237</v>
      </c>
      <c r="Z1150" s="259" t="s">
        <v>4042</v>
      </c>
      <c r="AA1150" s="259" t="e">
        <v>#N/A</v>
      </c>
      <c r="AB1150" s="259"/>
      <c r="AC1150" s="259"/>
      <c r="AD1150" s="259"/>
      <c r="AE1150" s="259"/>
    </row>
    <row r="1151" spans="1:31">
      <c r="A1151" s="259" t="s">
        <v>1246</v>
      </c>
      <c r="B1151" s="259" t="s">
        <v>80</v>
      </c>
      <c r="C1151" s="264" t="s">
        <v>6173</v>
      </c>
      <c r="D1151" s="264" t="s">
        <v>1246</v>
      </c>
      <c r="E1151" s="259" t="s">
        <v>5737</v>
      </c>
      <c r="G1151" s="259" t="s">
        <v>6078</v>
      </c>
      <c r="H1151" s="264" t="s">
        <v>6174</v>
      </c>
      <c r="I1151" s="264" t="s">
        <v>6175</v>
      </c>
      <c r="J1151" s="295">
        <v>554</v>
      </c>
      <c r="K1151" s="295">
        <v>443.2</v>
      </c>
      <c r="L1151" s="295">
        <v>332.4</v>
      </c>
      <c r="M1151" s="295">
        <v>315.77999999999997</v>
      </c>
      <c r="N1151" s="295">
        <v>299.15999999999997</v>
      </c>
      <c r="O1151" s="266">
        <v>1</v>
      </c>
      <c r="P1151" s="266">
        <v>691991037795</v>
      </c>
      <c r="R1151" s="265">
        <v>26.018999999999998</v>
      </c>
      <c r="S1151" s="265">
        <v>30.708661417322801</v>
      </c>
      <c r="T1151" s="265">
        <v>18.031496062992101</v>
      </c>
      <c r="U1151" s="265">
        <v>15.2755905511811</v>
      </c>
      <c r="V1151" s="259" t="s">
        <v>3028</v>
      </c>
      <c r="W1151" s="259" t="s">
        <v>3029</v>
      </c>
      <c r="X1151" s="264" t="s">
        <v>6176</v>
      </c>
      <c r="Y1151" s="259">
        <v>238</v>
      </c>
      <c r="Z1151" s="259" t="s">
        <v>4042</v>
      </c>
      <c r="AA1151" s="259" t="e">
        <v>#N/A</v>
      </c>
      <c r="AB1151" s="259"/>
      <c r="AC1151" s="259"/>
      <c r="AD1151" s="259"/>
      <c r="AE1151" s="259"/>
    </row>
    <row r="1152" spans="1:31">
      <c r="A1152" s="259" t="s">
        <v>1247</v>
      </c>
      <c r="B1152" s="259" t="s">
        <v>80</v>
      </c>
      <c r="C1152" s="264" t="s">
        <v>6173</v>
      </c>
      <c r="D1152" s="264" t="s">
        <v>1247</v>
      </c>
      <c r="E1152" s="259" t="s">
        <v>5737</v>
      </c>
      <c r="G1152" s="259" t="s">
        <v>6078</v>
      </c>
      <c r="H1152" s="264" t="s">
        <v>6177</v>
      </c>
      <c r="I1152" s="264" t="s">
        <v>6178</v>
      </c>
      <c r="J1152" s="295">
        <v>554</v>
      </c>
      <c r="K1152" s="295">
        <v>443.2</v>
      </c>
      <c r="L1152" s="295">
        <v>332.4</v>
      </c>
      <c r="M1152" s="295">
        <v>315.77999999999997</v>
      </c>
      <c r="N1152" s="295">
        <v>299.15999999999997</v>
      </c>
      <c r="O1152" s="266">
        <v>1</v>
      </c>
      <c r="P1152" s="266">
        <v>691991037801</v>
      </c>
      <c r="R1152" s="265">
        <v>26.018999999999998</v>
      </c>
      <c r="S1152" s="265">
        <v>30.708661417322801</v>
      </c>
      <c r="T1152" s="265">
        <v>18.031496062992101</v>
      </c>
      <c r="U1152" s="265">
        <v>15.2755905511811</v>
      </c>
      <c r="V1152" s="259" t="s">
        <v>3028</v>
      </c>
      <c r="W1152" s="259" t="s">
        <v>3029</v>
      </c>
      <c r="X1152" s="264" t="s">
        <v>6176</v>
      </c>
      <c r="Y1152" s="259">
        <v>239</v>
      </c>
      <c r="Z1152" s="259" t="s">
        <v>4042</v>
      </c>
      <c r="AA1152" s="259" t="e">
        <v>#N/A</v>
      </c>
      <c r="AB1152" s="259"/>
      <c r="AC1152" s="259"/>
      <c r="AD1152" s="259"/>
      <c r="AE1152" s="259"/>
    </row>
    <row r="1153" spans="1:31">
      <c r="A1153" s="259" t="s">
        <v>1248</v>
      </c>
      <c r="B1153" s="259" t="s">
        <v>80</v>
      </c>
      <c r="C1153" s="264" t="s">
        <v>6173</v>
      </c>
      <c r="D1153" s="264" t="s">
        <v>1248</v>
      </c>
      <c r="E1153" s="259" t="s">
        <v>5737</v>
      </c>
      <c r="G1153" s="259" t="s">
        <v>6078</v>
      </c>
      <c r="H1153" s="264" t="s">
        <v>6179</v>
      </c>
      <c r="I1153" s="264" t="s">
        <v>6180</v>
      </c>
      <c r="J1153" s="295">
        <v>866</v>
      </c>
      <c r="K1153" s="295">
        <v>692.8</v>
      </c>
      <c r="L1153" s="295">
        <v>519.6</v>
      </c>
      <c r="M1153" s="295">
        <v>493.62</v>
      </c>
      <c r="N1153" s="295">
        <v>467.64000000000004</v>
      </c>
      <c r="O1153" s="266">
        <v>1</v>
      </c>
      <c r="P1153" s="266">
        <v>691991037818</v>
      </c>
      <c r="R1153" s="265">
        <v>42.997500000000002</v>
      </c>
      <c r="S1153" s="265">
        <v>33.543307086614199</v>
      </c>
      <c r="T1153" s="265">
        <v>21.5748031496063</v>
      </c>
      <c r="U1153" s="265">
        <v>18.818897637795299</v>
      </c>
      <c r="V1153" s="259" t="s">
        <v>3028</v>
      </c>
      <c r="W1153" s="259" t="s">
        <v>3029</v>
      </c>
      <c r="X1153" s="264" t="s">
        <v>6181</v>
      </c>
      <c r="Y1153" s="259">
        <v>240</v>
      </c>
      <c r="Z1153" s="259" t="s">
        <v>4042</v>
      </c>
      <c r="AA1153" s="259" t="e">
        <v>#N/A</v>
      </c>
      <c r="AB1153" s="259"/>
      <c r="AC1153" s="259"/>
      <c r="AD1153" s="259"/>
      <c r="AE1153" s="259"/>
    </row>
    <row r="1154" spans="1:31">
      <c r="A1154" s="259" t="s">
        <v>1249</v>
      </c>
      <c r="B1154" s="259" t="s">
        <v>80</v>
      </c>
      <c r="C1154" s="264" t="s">
        <v>6173</v>
      </c>
      <c r="D1154" s="264" t="s">
        <v>1249</v>
      </c>
      <c r="E1154" s="259" t="s">
        <v>5737</v>
      </c>
      <c r="G1154" s="259" t="s">
        <v>6078</v>
      </c>
      <c r="H1154" s="264" t="s">
        <v>6182</v>
      </c>
      <c r="I1154" s="264" t="s">
        <v>6183</v>
      </c>
      <c r="J1154" s="295">
        <v>866</v>
      </c>
      <c r="K1154" s="295">
        <v>692.8</v>
      </c>
      <c r="L1154" s="295">
        <v>519.6</v>
      </c>
      <c r="M1154" s="295">
        <v>493.10699999999991</v>
      </c>
      <c r="N1154" s="295">
        <v>467.15399999999994</v>
      </c>
      <c r="O1154" s="266">
        <v>1</v>
      </c>
      <c r="P1154" s="266">
        <v>691991037825</v>
      </c>
      <c r="R1154" s="265">
        <v>42.997500000000002</v>
      </c>
      <c r="S1154" s="265">
        <v>33.543307086614199</v>
      </c>
      <c r="T1154" s="265">
        <v>21.5748031496063</v>
      </c>
      <c r="U1154" s="265">
        <v>18.818897637795299</v>
      </c>
      <c r="V1154" s="259" t="s">
        <v>3028</v>
      </c>
      <c r="W1154" s="259" t="s">
        <v>3029</v>
      </c>
      <c r="X1154" s="264" t="s">
        <v>6181</v>
      </c>
      <c r="Y1154" s="259">
        <v>241</v>
      </c>
      <c r="Z1154" s="259" t="s">
        <v>4042</v>
      </c>
      <c r="AA1154" s="259" t="e">
        <v>#N/A</v>
      </c>
      <c r="AB1154" s="259"/>
      <c r="AC1154" s="259"/>
      <c r="AD1154" s="259"/>
      <c r="AE1154" s="259"/>
    </row>
    <row r="1155" spans="1:31">
      <c r="A1155" s="259" t="s">
        <v>1250</v>
      </c>
      <c r="B1155" s="259" t="s">
        <v>80</v>
      </c>
      <c r="C1155" s="264"/>
      <c r="D1155" s="264"/>
      <c r="H1155" s="264"/>
      <c r="I1155" s="264"/>
      <c r="J1155" s="295">
        <v>0</v>
      </c>
      <c r="K1155" s="295">
        <v>0</v>
      </c>
      <c r="L1155" s="295">
        <v>0</v>
      </c>
      <c r="O1155" s="266"/>
      <c r="R1155" s="265"/>
      <c r="S1155" s="265">
        <v>0</v>
      </c>
      <c r="T1155" s="265">
        <v>0</v>
      </c>
      <c r="U1155" s="265">
        <v>0</v>
      </c>
      <c r="V1155" s="259" t="s">
        <v>3028</v>
      </c>
      <c r="W1155" s="259" t="s">
        <v>3029</v>
      </c>
      <c r="Y1155" s="259">
        <v>242</v>
      </c>
      <c r="AA1155" s="259" t="e">
        <v>#N/A</v>
      </c>
      <c r="AB1155" s="259"/>
      <c r="AC1155" s="259"/>
      <c r="AD1155" s="259"/>
      <c r="AE1155" s="259"/>
    </row>
    <row r="1156" spans="1:31">
      <c r="A1156" s="60" t="s">
        <v>1251</v>
      </c>
      <c r="B1156" s="60" t="s">
        <v>80</v>
      </c>
      <c r="C1156" s="45" t="s">
        <v>6184</v>
      </c>
      <c r="D1156" s="45" t="s">
        <v>6185</v>
      </c>
      <c r="E1156" s="60" t="s">
        <v>5737</v>
      </c>
      <c r="F1156" s="60"/>
      <c r="G1156" s="60"/>
      <c r="H1156" s="45" t="s">
        <v>6186</v>
      </c>
      <c r="I1156" s="45" t="s">
        <v>6187</v>
      </c>
      <c r="J1156" s="295">
        <v>375</v>
      </c>
      <c r="K1156" s="295">
        <v>300</v>
      </c>
      <c r="L1156" s="295">
        <v>225</v>
      </c>
      <c r="M1156" s="296"/>
      <c r="N1156" s="296"/>
      <c r="O1156" s="47">
        <v>1</v>
      </c>
      <c r="P1156" s="47">
        <v>691991039270</v>
      </c>
      <c r="Q1156" s="47"/>
      <c r="R1156" s="63">
        <v>9.8343000000000007</v>
      </c>
      <c r="S1156" s="63">
        <v>29.094488188976399</v>
      </c>
      <c r="T1156" s="63">
        <v>6.4173228346456703</v>
      </c>
      <c r="U1156" s="63">
        <v>6.8503937007874001</v>
      </c>
      <c r="V1156" s="259" t="s">
        <v>3028</v>
      </c>
      <c r="W1156" s="60"/>
      <c r="X1156" s="258" t="s">
        <v>6188</v>
      </c>
      <c r="Y1156" s="259">
        <v>243</v>
      </c>
      <c r="Z1156" s="60"/>
      <c r="AA1156" s="259" t="e">
        <v>#N/A</v>
      </c>
      <c r="AB1156" s="259"/>
      <c r="AC1156" s="259"/>
      <c r="AD1156" s="259"/>
      <c r="AE1156" s="259"/>
    </row>
    <row r="1157" spans="1:31">
      <c r="A1157" s="60" t="s">
        <v>1252</v>
      </c>
      <c r="B1157" s="60" t="s">
        <v>80</v>
      </c>
      <c r="C1157" s="45" t="s">
        <v>6184</v>
      </c>
      <c r="D1157" s="45" t="s">
        <v>6189</v>
      </c>
      <c r="E1157" s="60" t="s">
        <v>5737</v>
      </c>
      <c r="F1157" s="60"/>
      <c r="G1157" s="60"/>
      <c r="H1157" s="45" t="s">
        <v>6190</v>
      </c>
      <c r="I1157" s="45" t="s">
        <v>6191</v>
      </c>
      <c r="J1157" s="295">
        <v>375</v>
      </c>
      <c r="K1157" s="295">
        <v>300</v>
      </c>
      <c r="L1157" s="295">
        <v>225</v>
      </c>
      <c r="M1157" s="296"/>
      <c r="N1157" s="296"/>
      <c r="O1157" s="47">
        <v>1</v>
      </c>
      <c r="P1157" s="47">
        <v>691991039287</v>
      </c>
      <c r="Q1157" s="47"/>
      <c r="R1157" s="63">
        <v>9.8343000000000007</v>
      </c>
      <c r="S1157" s="63">
        <v>29.094488188976399</v>
      </c>
      <c r="T1157" s="63">
        <v>6.4173228346456703</v>
      </c>
      <c r="U1157" s="63">
        <v>6.8503937007874001</v>
      </c>
      <c r="V1157" s="259" t="s">
        <v>3028</v>
      </c>
      <c r="W1157" s="60"/>
      <c r="X1157" s="258" t="s">
        <v>6188</v>
      </c>
      <c r="Y1157" s="259">
        <v>244</v>
      </c>
      <c r="Z1157" s="60"/>
      <c r="AA1157" s="259" t="e">
        <v>#N/A</v>
      </c>
      <c r="AB1157" s="259"/>
      <c r="AC1157" s="259"/>
      <c r="AD1157" s="259"/>
      <c r="AE1157" s="259"/>
    </row>
    <row r="1158" spans="1:31">
      <c r="A1158" s="60" t="s">
        <v>1253</v>
      </c>
      <c r="B1158" s="60" t="s">
        <v>80</v>
      </c>
      <c r="C1158" s="45" t="s">
        <v>6184</v>
      </c>
      <c r="D1158" s="45" t="s">
        <v>6192</v>
      </c>
      <c r="E1158" s="60" t="s">
        <v>5737</v>
      </c>
      <c r="F1158" s="60"/>
      <c r="G1158" s="60"/>
      <c r="H1158" s="45" t="s">
        <v>6193</v>
      </c>
      <c r="I1158" s="45" t="s">
        <v>6194</v>
      </c>
      <c r="J1158" s="295">
        <v>625</v>
      </c>
      <c r="K1158" s="295">
        <v>500</v>
      </c>
      <c r="L1158" s="295">
        <v>375</v>
      </c>
      <c r="M1158" s="296"/>
      <c r="N1158" s="296"/>
      <c r="O1158" s="47">
        <v>1</v>
      </c>
      <c r="P1158" s="47">
        <v>691991039263</v>
      </c>
      <c r="Q1158" s="47"/>
      <c r="R1158" s="63">
        <v>13.935600000000001</v>
      </c>
      <c r="S1158" s="63">
        <v>37.086614173228298</v>
      </c>
      <c r="T1158" s="63">
        <v>6.4173228346456703</v>
      </c>
      <c r="U1158" s="63">
        <v>6.8503937007874001</v>
      </c>
      <c r="V1158" s="259" t="s">
        <v>3028</v>
      </c>
      <c r="W1158" s="60"/>
      <c r="X1158" s="258" t="s">
        <v>6195</v>
      </c>
      <c r="Y1158" s="259">
        <v>245</v>
      </c>
      <c r="Z1158" s="60"/>
      <c r="AA1158" s="259" t="e">
        <v>#N/A</v>
      </c>
      <c r="AB1158" s="259"/>
      <c r="AC1158" s="259"/>
      <c r="AD1158" s="259"/>
      <c r="AE1158" s="259"/>
    </row>
    <row r="1159" spans="1:31">
      <c r="A1159" s="60" t="s">
        <v>1254</v>
      </c>
      <c r="B1159" s="60" t="s">
        <v>80</v>
      </c>
      <c r="C1159" s="45" t="s">
        <v>6184</v>
      </c>
      <c r="D1159" s="45" t="s">
        <v>6189</v>
      </c>
      <c r="E1159" s="60" t="s">
        <v>5737</v>
      </c>
      <c r="F1159" s="60"/>
      <c r="G1159" s="60"/>
      <c r="H1159" s="45" t="s">
        <v>6196</v>
      </c>
      <c r="I1159" s="45" t="s">
        <v>6197</v>
      </c>
      <c r="J1159" s="295">
        <v>625</v>
      </c>
      <c r="K1159" s="295">
        <v>500</v>
      </c>
      <c r="L1159" s="295">
        <v>375</v>
      </c>
      <c r="M1159" s="296"/>
      <c r="N1159" s="296"/>
      <c r="O1159" s="47">
        <v>1</v>
      </c>
      <c r="P1159" s="47">
        <v>691991039294</v>
      </c>
      <c r="Q1159" s="47"/>
      <c r="R1159" s="63">
        <v>13.935600000000001</v>
      </c>
      <c r="S1159" s="63">
        <v>37.086614173228298</v>
      </c>
      <c r="T1159" s="63">
        <v>6.4173228346456703</v>
      </c>
      <c r="U1159" s="63">
        <v>6.8503937007874001</v>
      </c>
      <c r="V1159" s="259" t="s">
        <v>3028</v>
      </c>
      <c r="W1159" s="60"/>
      <c r="X1159" s="258" t="s">
        <v>6195</v>
      </c>
      <c r="Y1159" s="259">
        <v>246</v>
      </c>
      <c r="Z1159" s="60"/>
      <c r="AA1159" s="259" t="e">
        <v>#N/A</v>
      </c>
      <c r="AB1159" s="259"/>
      <c r="AC1159" s="259"/>
      <c r="AD1159" s="259"/>
      <c r="AE1159" s="259"/>
    </row>
    <row r="1160" spans="1:31">
      <c r="A1160" s="259" t="s">
        <v>1255</v>
      </c>
      <c r="B1160" s="259" t="s">
        <v>80</v>
      </c>
      <c r="C1160" s="264" t="s">
        <v>6184</v>
      </c>
      <c r="D1160" s="264" t="s">
        <v>1255</v>
      </c>
      <c r="E1160" s="259" t="s">
        <v>5737</v>
      </c>
      <c r="H1160" s="264" t="s">
        <v>6198</v>
      </c>
      <c r="I1160" s="264" t="s">
        <v>6199</v>
      </c>
      <c r="J1160" s="295">
        <v>623.96</v>
      </c>
      <c r="K1160" s="295">
        <v>500</v>
      </c>
      <c r="L1160" s="295">
        <v>374.37</v>
      </c>
      <c r="O1160" s="266">
        <v>0</v>
      </c>
      <c r="P1160" s="266">
        <v>50036904254</v>
      </c>
      <c r="R1160" s="265">
        <v>17</v>
      </c>
      <c r="S1160" s="265">
        <v>30</v>
      </c>
      <c r="T1160" s="265">
        <v>12.5</v>
      </c>
      <c r="U1160" s="265">
        <v>8</v>
      </c>
      <c r="V1160" s="259" t="s">
        <v>3028</v>
      </c>
      <c r="W1160" s="259" t="s">
        <v>3029</v>
      </c>
      <c r="X1160" s="264" t="s">
        <v>6200</v>
      </c>
      <c r="Y1160" s="259">
        <v>247</v>
      </c>
      <c r="Z1160" s="259" t="s">
        <v>3030</v>
      </c>
      <c r="AA1160" s="259" t="e">
        <v>#N/A</v>
      </c>
      <c r="AB1160" s="259"/>
      <c r="AC1160" s="259"/>
      <c r="AD1160" s="259"/>
      <c r="AE1160" s="259"/>
    </row>
    <row r="1161" spans="1:31">
      <c r="A1161" s="259" t="s">
        <v>1256</v>
      </c>
      <c r="B1161" s="259" t="s">
        <v>80</v>
      </c>
      <c r="C1161" s="264" t="s">
        <v>6184</v>
      </c>
      <c r="D1161" s="264" t="s">
        <v>1256</v>
      </c>
      <c r="E1161" s="259" t="s">
        <v>5737</v>
      </c>
      <c r="H1161" s="264" t="s">
        <v>6201</v>
      </c>
      <c r="I1161" s="264" t="s">
        <v>6202</v>
      </c>
      <c r="J1161" s="295">
        <v>1136.72</v>
      </c>
      <c r="K1161" s="295">
        <v>912</v>
      </c>
      <c r="L1161" s="295">
        <v>682.03</v>
      </c>
      <c r="O1161" s="266">
        <v>0</v>
      </c>
      <c r="P1161" s="266">
        <v>50036904278</v>
      </c>
      <c r="R1161" s="265">
        <v>25.6</v>
      </c>
      <c r="S1161" s="265">
        <v>49</v>
      </c>
      <c r="T1161" s="265">
        <v>13</v>
      </c>
      <c r="U1161" s="265">
        <v>8</v>
      </c>
      <c r="V1161" s="259" t="s">
        <v>3028</v>
      </c>
      <c r="W1161" s="259" t="s">
        <v>3029</v>
      </c>
      <c r="X1161" s="264" t="s">
        <v>6203</v>
      </c>
      <c r="Y1161" s="259">
        <v>248</v>
      </c>
      <c r="Z1161" s="259" t="s">
        <v>3030</v>
      </c>
      <c r="AA1161" s="259" t="e">
        <v>#N/A</v>
      </c>
      <c r="AB1161" s="259"/>
      <c r="AC1161" s="259"/>
      <c r="AD1161" s="259"/>
      <c r="AE1161" s="259"/>
    </row>
    <row r="1162" spans="1:31">
      <c r="A1162" s="259" t="s">
        <v>1257</v>
      </c>
      <c r="B1162" s="259" t="s">
        <v>80</v>
      </c>
      <c r="C1162" s="264" t="s">
        <v>6184</v>
      </c>
      <c r="D1162" s="264" t="s">
        <v>1257</v>
      </c>
      <c r="E1162" s="259" t="s">
        <v>5737</v>
      </c>
      <c r="H1162" s="264" t="s">
        <v>6198</v>
      </c>
      <c r="I1162" s="264" t="s">
        <v>6199</v>
      </c>
      <c r="J1162" s="295">
        <v>623.96</v>
      </c>
      <c r="K1162" s="295">
        <v>500</v>
      </c>
      <c r="L1162" s="295">
        <v>374.37</v>
      </c>
      <c r="O1162" s="266">
        <v>0</v>
      </c>
      <c r="P1162" s="266">
        <v>50036904261</v>
      </c>
      <c r="R1162" s="265">
        <v>17</v>
      </c>
      <c r="S1162" s="265">
        <v>30</v>
      </c>
      <c r="T1162" s="265">
        <v>13</v>
      </c>
      <c r="U1162" s="265">
        <v>8</v>
      </c>
      <c r="V1162" s="259" t="s">
        <v>3028</v>
      </c>
      <c r="W1162" s="259" t="s">
        <v>3029</v>
      </c>
      <c r="X1162" s="264" t="s">
        <v>6200</v>
      </c>
      <c r="Y1162" s="259">
        <v>249</v>
      </c>
      <c r="Z1162" s="259" t="s">
        <v>3030</v>
      </c>
      <c r="AA1162" s="259" t="e">
        <v>#N/A</v>
      </c>
      <c r="AB1162" s="259"/>
      <c r="AC1162" s="259"/>
      <c r="AD1162" s="259"/>
      <c r="AE1162" s="259"/>
    </row>
    <row r="1163" spans="1:31">
      <c r="A1163" s="259" t="s">
        <v>1258</v>
      </c>
      <c r="B1163" s="259" t="s">
        <v>80</v>
      </c>
      <c r="C1163" s="264" t="s">
        <v>6184</v>
      </c>
      <c r="D1163" s="264" t="s">
        <v>1258</v>
      </c>
      <c r="E1163" s="259" t="s">
        <v>5737</v>
      </c>
      <c r="H1163" s="264" t="s">
        <v>6201</v>
      </c>
      <c r="I1163" s="264" t="s">
        <v>6204</v>
      </c>
      <c r="J1163" s="295">
        <v>1136.72</v>
      </c>
      <c r="K1163" s="295">
        <v>912</v>
      </c>
      <c r="L1163" s="295">
        <v>682.03</v>
      </c>
      <c r="O1163" s="266">
        <v>0</v>
      </c>
      <c r="P1163" s="266">
        <v>50036904285</v>
      </c>
      <c r="R1163" s="265">
        <v>25</v>
      </c>
      <c r="S1163" s="265">
        <v>48</v>
      </c>
      <c r="T1163" s="265">
        <v>13</v>
      </c>
      <c r="U1163" s="265">
        <v>8</v>
      </c>
      <c r="V1163" s="259" t="s">
        <v>3028</v>
      </c>
      <c r="W1163" s="259" t="s">
        <v>3029</v>
      </c>
      <c r="X1163" s="264" t="s">
        <v>6203</v>
      </c>
      <c r="Y1163" s="259">
        <v>250</v>
      </c>
      <c r="Z1163" s="259" t="s">
        <v>3030</v>
      </c>
      <c r="AA1163" s="259" t="e">
        <v>#N/A</v>
      </c>
      <c r="AB1163" s="259"/>
      <c r="AC1163" s="259"/>
      <c r="AD1163" s="259"/>
      <c r="AE1163" s="259"/>
    </row>
    <row r="1164" spans="1:31">
      <c r="A1164" s="259" t="s">
        <v>1259</v>
      </c>
      <c r="B1164" s="259" t="s">
        <v>80</v>
      </c>
      <c r="C1164" s="264" t="s">
        <v>6184</v>
      </c>
      <c r="D1164" s="264" t="s">
        <v>1259</v>
      </c>
      <c r="E1164" s="259" t="s">
        <v>5737</v>
      </c>
      <c r="H1164" s="264" t="s">
        <v>6205</v>
      </c>
      <c r="I1164" s="264" t="s">
        <v>6205</v>
      </c>
      <c r="J1164" s="295">
        <v>673.38</v>
      </c>
      <c r="K1164" s="295">
        <v>535</v>
      </c>
      <c r="L1164" s="295">
        <v>404.03</v>
      </c>
      <c r="O1164" s="266">
        <v>0</v>
      </c>
      <c r="P1164" s="266">
        <v>691991011870</v>
      </c>
      <c r="R1164" s="265">
        <v>20</v>
      </c>
      <c r="S1164" s="265">
        <v>30</v>
      </c>
      <c r="T1164" s="265">
        <v>12</v>
      </c>
      <c r="U1164" s="265">
        <v>8</v>
      </c>
      <c r="V1164" s="259" t="s">
        <v>3028</v>
      </c>
      <c r="W1164" s="259" t="s">
        <v>3029</v>
      </c>
      <c r="X1164" s="264" t="s">
        <v>6206</v>
      </c>
      <c r="Y1164" s="259">
        <v>251</v>
      </c>
      <c r="Z1164" s="259" t="s">
        <v>3030</v>
      </c>
      <c r="AA1164" s="259" t="e">
        <v>#N/A</v>
      </c>
      <c r="AB1164" s="259"/>
      <c r="AC1164" s="259"/>
      <c r="AD1164" s="259"/>
      <c r="AE1164" s="259"/>
    </row>
    <row r="1165" spans="1:31">
      <c r="A1165" s="259" t="s">
        <v>1260</v>
      </c>
      <c r="B1165" s="259" t="s">
        <v>80</v>
      </c>
      <c r="C1165" s="264" t="s">
        <v>6184</v>
      </c>
      <c r="D1165" s="264" t="s">
        <v>1260</v>
      </c>
      <c r="E1165" s="259" t="s">
        <v>5737</v>
      </c>
      <c r="H1165" s="264" t="s">
        <v>6207</v>
      </c>
      <c r="I1165" s="264" t="s">
        <v>6208</v>
      </c>
      <c r="J1165" s="295">
        <v>1273.1199999999999</v>
      </c>
      <c r="K1165" s="295">
        <v>1019</v>
      </c>
      <c r="L1165" s="295">
        <v>763.88</v>
      </c>
      <c r="O1165" s="266">
        <v>0</v>
      </c>
      <c r="P1165" s="266">
        <v>691991000119</v>
      </c>
      <c r="R1165" s="265">
        <v>25.5</v>
      </c>
      <c r="S1165" s="265">
        <v>48</v>
      </c>
      <c r="T1165" s="265">
        <v>13</v>
      </c>
      <c r="U1165" s="265">
        <v>8</v>
      </c>
      <c r="V1165" s="259" t="s">
        <v>3028</v>
      </c>
      <c r="W1165" s="259" t="s">
        <v>3029</v>
      </c>
      <c r="X1165" s="264" t="s">
        <v>6209</v>
      </c>
      <c r="Y1165" s="259">
        <v>252</v>
      </c>
      <c r="Z1165" s="259" t="s">
        <v>3030</v>
      </c>
      <c r="AA1165" s="259" t="e">
        <v>#N/A</v>
      </c>
      <c r="AB1165" s="259"/>
      <c r="AC1165" s="259"/>
      <c r="AD1165" s="259"/>
      <c r="AE1165" s="259"/>
    </row>
    <row r="1166" spans="1:31">
      <c r="A1166" s="259" t="s">
        <v>1261</v>
      </c>
      <c r="B1166" s="259" t="s">
        <v>80</v>
      </c>
      <c r="C1166" s="264" t="s">
        <v>6184</v>
      </c>
      <c r="D1166" s="264" t="s">
        <v>1261</v>
      </c>
      <c r="E1166" s="259" t="s">
        <v>5737</v>
      </c>
      <c r="H1166" s="264" t="s">
        <v>6210</v>
      </c>
      <c r="I1166" s="264" t="s">
        <v>6210</v>
      </c>
      <c r="J1166" s="295">
        <v>673.38</v>
      </c>
      <c r="K1166" s="295">
        <v>535</v>
      </c>
      <c r="L1166" s="295">
        <v>404.03</v>
      </c>
      <c r="O1166" s="266">
        <v>0</v>
      </c>
      <c r="P1166" s="266">
        <v>691991011887</v>
      </c>
      <c r="R1166" s="265">
        <v>20</v>
      </c>
      <c r="S1166" s="265">
        <v>30</v>
      </c>
      <c r="T1166" s="265">
        <v>12.5</v>
      </c>
      <c r="U1166" s="265">
        <v>8</v>
      </c>
      <c r="V1166" s="259" t="s">
        <v>3028</v>
      </c>
      <c r="W1166" s="259" t="s">
        <v>3029</v>
      </c>
      <c r="X1166" s="264" t="s">
        <v>6206</v>
      </c>
      <c r="Y1166" s="259">
        <v>253</v>
      </c>
      <c r="Z1166" s="259" t="s">
        <v>3030</v>
      </c>
      <c r="AA1166" s="259" t="e">
        <v>#N/A</v>
      </c>
      <c r="AB1166" s="259"/>
      <c r="AC1166" s="259"/>
      <c r="AD1166" s="259"/>
      <c r="AE1166" s="259"/>
    </row>
    <row r="1167" spans="1:31">
      <c r="A1167" s="259" t="s">
        <v>1262</v>
      </c>
      <c r="B1167" s="259" t="s">
        <v>80</v>
      </c>
      <c r="C1167" s="264" t="s">
        <v>6184</v>
      </c>
      <c r="D1167" s="264" t="s">
        <v>1262</v>
      </c>
      <c r="E1167" s="259" t="s">
        <v>5737</v>
      </c>
      <c r="H1167" s="264" t="s">
        <v>6207</v>
      </c>
      <c r="I1167" s="264" t="s">
        <v>6211</v>
      </c>
      <c r="J1167" s="295">
        <v>1273.1199999999999</v>
      </c>
      <c r="K1167" s="295">
        <v>1019</v>
      </c>
      <c r="L1167" s="295">
        <v>763.88</v>
      </c>
      <c r="O1167" s="266">
        <v>0</v>
      </c>
      <c r="P1167" s="266">
        <v>691991000126</v>
      </c>
      <c r="R1167" s="265">
        <v>23</v>
      </c>
      <c r="S1167" s="265">
        <v>48</v>
      </c>
      <c r="T1167" s="265">
        <v>12.5</v>
      </c>
      <c r="U1167" s="265">
        <v>8</v>
      </c>
      <c r="V1167" s="259" t="s">
        <v>3028</v>
      </c>
      <c r="W1167" s="259" t="s">
        <v>3029</v>
      </c>
      <c r="X1167" s="264" t="s">
        <v>6209</v>
      </c>
      <c r="Y1167" s="259">
        <v>254</v>
      </c>
      <c r="Z1167" s="259" t="s">
        <v>3030</v>
      </c>
      <c r="AA1167" s="259" t="e">
        <v>#N/A</v>
      </c>
      <c r="AB1167" s="259"/>
      <c r="AC1167" s="259"/>
      <c r="AD1167" s="259"/>
      <c r="AE1167" s="259"/>
    </row>
    <row r="1168" spans="1:31">
      <c r="A1168" s="259" t="s">
        <v>1263</v>
      </c>
      <c r="B1168" s="259" t="s">
        <v>80</v>
      </c>
      <c r="C1168" s="264" t="s">
        <v>6184</v>
      </c>
      <c r="D1168" s="264" t="s">
        <v>1263</v>
      </c>
      <c r="E1168" s="259" t="s">
        <v>5737</v>
      </c>
      <c r="H1168" s="264" t="s">
        <v>6212</v>
      </c>
      <c r="I1168" s="264" t="s">
        <v>6213</v>
      </c>
      <c r="J1168" s="295">
        <v>2656.47</v>
      </c>
      <c r="K1168" s="295">
        <v>2127</v>
      </c>
      <c r="L1168" s="295">
        <v>1593.88</v>
      </c>
      <c r="O1168" s="266">
        <v>0</v>
      </c>
      <c r="P1168" s="266">
        <v>50036904292</v>
      </c>
      <c r="R1168" s="265">
        <v>45.65</v>
      </c>
      <c r="S1168" s="265">
        <v>50</v>
      </c>
      <c r="T1168" s="265">
        <v>20</v>
      </c>
      <c r="U1168" s="265">
        <v>8</v>
      </c>
      <c r="V1168" s="259" t="s">
        <v>3028</v>
      </c>
      <c r="W1168" s="259" t="s">
        <v>3029</v>
      </c>
      <c r="X1168" s="264" t="s">
        <v>6214</v>
      </c>
      <c r="Y1168" s="259">
        <v>255</v>
      </c>
      <c r="Z1168" s="259" t="s">
        <v>3030</v>
      </c>
      <c r="AA1168" s="259" t="e">
        <v>#N/A</v>
      </c>
      <c r="AB1168" s="259"/>
      <c r="AC1168" s="259"/>
      <c r="AD1168" s="259"/>
      <c r="AE1168" s="259"/>
    </row>
    <row r="1169" spans="1:31">
      <c r="A1169" s="259" t="s">
        <v>1264</v>
      </c>
      <c r="B1169" s="259" t="s">
        <v>80</v>
      </c>
      <c r="C1169" s="264" t="s">
        <v>6184</v>
      </c>
      <c r="D1169" s="264" t="s">
        <v>1264</v>
      </c>
      <c r="E1169" s="259" t="s">
        <v>5737</v>
      </c>
      <c r="H1169" s="264" t="s">
        <v>6212</v>
      </c>
      <c r="I1169" s="264" t="s">
        <v>6213</v>
      </c>
      <c r="J1169" s="295">
        <v>2656.47</v>
      </c>
      <c r="K1169" s="295">
        <v>2127</v>
      </c>
      <c r="L1169" s="295">
        <v>1593.88</v>
      </c>
      <c r="O1169" s="266">
        <v>0</v>
      </c>
      <c r="P1169" s="266">
        <v>50036904308</v>
      </c>
      <c r="R1169" s="265">
        <v>46.1</v>
      </c>
      <c r="S1169" s="265">
        <v>50</v>
      </c>
      <c r="T1169" s="265">
        <v>20</v>
      </c>
      <c r="U1169" s="265">
        <v>9</v>
      </c>
      <c r="V1169" s="259" t="s">
        <v>3028</v>
      </c>
      <c r="W1169" s="259" t="s">
        <v>3029</v>
      </c>
      <c r="X1169" s="264" t="s">
        <v>6214</v>
      </c>
      <c r="Y1169" s="259">
        <v>256</v>
      </c>
      <c r="Z1169" s="259" t="s">
        <v>3030</v>
      </c>
      <c r="AA1169" s="259" t="e">
        <v>#N/A</v>
      </c>
      <c r="AB1169" s="259"/>
      <c r="AC1169" s="259"/>
      <c r="AD1169" s="259"/>
      <c r="AE1169" s="259"/>
    </row>
    <row r="1170" spans="1:31">
      <c r="A1170" s="259" t="s">
        <v>1265</v>
      </c>
      <c r="B1170" s="259" t="s">
        <v>80</v>
      </c>
      <c r="C1170" s="264" t="s">
        <v>6184</v>
      </c>
      <c r="D1170" s="264" t="s">
        <v>1265</v>
      </c>
      <c r="E1170" s="259" t="s">
        <v>5737</v>
      </c>
      <c r="H1170" s="264" t="s">
        <v>6215</v>
      </c>
      <c r="I1170" s="264" t="s">
        <v>6216</v>
      </c>
      <c r="J1170" s="295">
        <v>1602.11</v>
      </c>
      <c r="K1170" s="295">
        <v>1283</v>
      </c>
      <c r="L1170" s="295">
        <v>961.27</v>
      </c>
      <c r="O1170" s="266">
        <v>0</v>
      </c>
      <c r="P1170" s="266">
        <v>50036904216</v>
      </c>
      <c r="R1170" s="265">
        <v>31.95</v>
      </c>
      <c r="S1170" s="265">
        <v>36.5</v>
      </c>
      <c r="T1170" s="265">
        <v>14</v>
      </c>
      <c r="U1170" s="265">
        <v>12</v>
      </c>
      <c r="V1170" s="259" t="s">
        <v>3028</v>
      </c>
      <c r="W1170" s="259" t="s">
        <v>3029</v>
      </c>
      <c r="X1170" s="264" t="s">
        <v>6217</v>
      </c>
      <c r="Y1170" s="259">
        <v>257</v>
      </c>
      <c r="Z1170" s="259" t="s">
        <v>3030</v>
      </c>
      <c r="AA1170" s="259" t="e">
        <v>#N/A</v>
      </c>
      <c r="AB1170" s="259"/>
      <c r="AC1170" s="259"/>
      <c r="AD1170" s="259"/>
      <c r="AE1170" s="259"/>
    </row>
    <row r="1171" spans="1:31">
      <c r="A1171" s="259" t="s">
        <v>1266</v>
      </c>
      <c r="B1171" s="259" t="s">
        <v>80</v>
      </c>
      <c r="C1171" s="264" t="s">
        <v>6184</v>
      </c>
      <c r="D1171" s="264" t="s">
        <v>1266</v>
      </c>
      <c r="E1171" s="259" t="s">
        <v>5737</v>
      </c>
      <c r="H1171" s="264" t="s">
        <v>6215</v>
      </c>
      <c r="I1171" s="264" t="s">
        <v>6216</v>
      </c>
      <c r="J1171" s="295">
        <v>1602.11</v>
      </c>
      <c r="K1171" s="295">
        <v>1283</v>
      </c>
      <c r="L1171" s="295">
        <v>961.27</v>
      </c>
      <c r="O1171" s="266">
        <v>1</v>
      </c>
      <c r="P1171" s="266">
        <v>50036904223</v>
      </c>
      <c r="R1171" s="265">
        <v>31.7</v>
      </c>
      <c r="S1171" s="265">
        <v>36.5</v>
      </c>
      <c r="T1171" s="265">
        <v>13.5</v>
      </c>
      <c r="U1171" s="265">
        <v>12.5</v>
      </c>
      <c r="V1171" s="259" t="s">
        <v>3028</v>
      </c>
      <c r="W1171" s="259" t="s">
        <v>3029</v>
      </c>
      <c r="X1171" s="264" t="s">
        <v>6217</v>
      </c>
      <c r="Y1171" s="259">
        <v>258</v>
      </c>
      <c r="Z1171" s="259" t="s">
        <v>3030</v>
      </c>
      <c r="AA1171" s="259" t="e">
        <v>#N/A</v>
      </c>
      <c r="AB1171" s="259"/>
      <c r="AC1171" s="259"/>
      <c r="AD1171" s="259"/>
      <c r="AE1171" s="259"/>
    </row>
    <row r="1172" spans="1:31">
      <c r="A1172" s="259" t="s">
        <v>1267</v>
      </c>
      <c r="B1172" s="259" t="s">
        <v>80</v>
      </c>
      <c r="C1172" s="264" t="s">
        <v>6184</v>
      </c>
      <c r="D1172" s="264" t="s">
        <v>1267</v>
      </c>
      <c r="E1172" s="259" t="s">
        <v>5737</v>
      </c>
      <c r="H1172" s="264" t="s">
        <v>6218</v>
      </c>
      <c r="I1172" s="264" t="s">
        <v>6219</v>
      </c>
      <c r="J1172" s="295">
        <v>908.14</v>
      </c>
      <c r="K1172" s="295">
        <v>727</v>
      </c>
      <c r="L1172" s="295">
        <v>544.89</v>
      </c>
      <c r="O1172" s="266">
        <v>0</v>
      </c>
      <c r="P1172" s="266">
        <v>50036904230</v>
      </c>
      <c r="R1172" s="265">
        <v>26.1</v>
      </c>
      <c r="S1172" s="265">
        <v>31</v>
      </c>
      <c r="T1172" s="265">
        <v>13</v>
      </c>
      <c r="U1172" s="265">
        <v>12</v>
      </c>
      <c r="V1172" s="259" t="s">
        <v>3028</v>
      </c>
      <c r="W1172" s="259" t="s">
        <v>3029</v>
      </c>
      <c r="X1172" s="264" t="s">
        <v>6220</v>
      </c>
      <c r="Y1172" s="259">
        <v>259</v>
      </c>
      <c r="Z1172" s="259" t="s">
        <v>3030</v>
      </c>
      <c r="AA1172" s="259" t="e">
        <v>#N/A</v>
      </c>
      <c r="AB1172" s="259"/>
      <c r="AC1172" s="259"/>
      <c r="AD1172" s="259"/>
      <c r="AE1172" s="259"/>
    </row>
    <row r="1173" spans="1:31">
      <c r="A1173" s="259" t="s">
        <v>1268</v>
      </c>
      <c r="B1173" s="259" t="s">
        <v>80</v>
      </c>
      <c r="C1173" s="264" t="s">
        <v>6184</v>
      </c>
      <c r="D1173" s="264" t="s">
        <v>1268</v>
      </c>
      <c r="E1173" s="259" t="s">
        <v>5737</v>
      </c>
      <c r="H1173" s="264" t="s">
        <v>6218</v>
      </c>
      <c r="I1173" s="264" t="s">
        <v>6221</v>
      </c>
      <c r="J1173" s="295">
        <v>908.14</v>
      </c>
      <c r="K1173" s="295">
        <v>727</v>
      </c>
      <c r="L1173" s="295">
        <v>544.89</v>
      </c>
      <c r="O1173" s="266">
        <v>0</v>
      </c>
      <c r="P1173" s="266">
        <v>50036904247</v>
      </c>
      <c r="R1173" s="265">
        <v>27.65</v>
      </c>
      <c r="S1173" s="265">
        <v>31</v>
      </c>
      <c r="T1173" s="265">
        <v>14</v>
      </c>
      <c r="U1173" s="265">
        <v>12</v>
      </c>
      <c r="V1173" s="259" t="s">
        <v>3028</v>
      </c>
      <c r="W1173" s="259" t="s">
        <v>3029</v>
      </c>
      <c r="X1173" s="264" t="s">
        <v>6220</v>
      </c>
      <c r="Y1173" s="259">
        <v>260</v>
      </c>
      <c r="Z1173" s="259" t="s">
        <v>3030</v>
      </c>
      <c r="AA1173" s="259" t="e">
        <v>#N/A</v>
      </c>
      <c r="AB1173" s="259"/>
      <c r="AC1173" s="259"/>
      <c r="AD1173" s="259"/>
      <c r="AE1173" s="259"/>
    </row>
    <row r="1174" spans="1:31">
      <c r="A1174" s="259" t="s">
        <v>1269</v>
      </c>
      <c r="B1174" s="259" t="s">
        <v>80</v>
      </c>
      <c r="C1174" s="264" t="s">
        <v>6184</v>
      </c>
      <c r="D1174" s="264" t="s">
        <v>1269</v>
      </c>
      <c r="E1174" s="259" t="s">
        <v>5737</v>
      </c>
      <c r="H1174" s="264" t="s">
        <v>6222</v>
      </c>
      <c r="I1174" s="264" t="s">
        <v>6223</v>
      </c>
      <c r="J1174" s="295">
        <v>3274.25</v>
      </c>
      <c r="K1174" s="295">
        <v>2615</v>
      </c>
      <c r="L1174" s="295">
        <v>1964.55</v>
      </c>
      <c r="O1174" s="266">
        <v>0</v>
      </c>
      <c r="P1174" s="266">
        <v>691991005688</v>
      </c>
      <c r="R1174" s="265">
        <v>84</v>
      </c>
      <c r="S1174" s="265">
        <v>46.5</v>
      </c>
      <c r="T1174" s="265">
        <v>18.5</v>
      </c>
      <c r="U1174" s="265">
        <v>15.5</v>
      </c>
      <c r="V1174" s="259" t="s">
        <v>3028</v>
      </c>
      <c r="W1174" s="259" t="s">
        <v>3029</v>
      </c>
      <c r="X1174" s="264" t="s">
        <v>6224</v>
      </c>
      <c r="Y1174" s="259">
        <v>261</v>
      </c>
      <c r="Z1174" s="259" t="s">
        <v>3030</v>
      </c>
      <c r="AA1174" s="259" t="e">
        <v>#N/A</v>
      </c>
      <c r="AB1174" s="259"/>
      <c r="AC1174" s="259"/>
      <c r="AD1174" s="259"/>
      <c r="AE1174" s="259"/>
    </row>
    <row r="1175" spans="1:31">
      <c r="A1175" s="259" t="s">
        <v>1270</v>
      </c>
      <c r="B1175" s="259" t="s">
        <v>80</v>
      </c>
      <c r="C1175" s="264" t="s">
        <v>6184</v>
      </c>
      <c r="D1175" s="264" t="s">
        <v>1270</v>
      </c>
      <c r="E1175" s="259" t="s">
        <v>5737</v>
      </c>
      <c r="H1175" s="264" t="s">
        <v>6225</v>
      </c>
      <c r="I1175" s="264" t="s">
        <v>6226</v>
      </c>
      <c r="J1175" s="295">
        <v>1791.57</v>
      </c>
      <c r="K1175" s="295">
        <v>1431</v>
      </c>
      <c r="L1175" s="295">
        <v>1074.94</v>
      </c>
      <c r="O1175" s="266">
        <v>0</v>
      </c>
      <c r="P1175" s="266">
        <v>691991005701</v>
      </c>
      <c r="R1175" s="265">
        <v>64.5</v>
      </c>
      <c r="S1175" s="265">
        <v>46.5</v>
      </c>
      <c r="T1175" s="265">
        <v>18.5</v>
      </c>
      <c r="U1175" s="265">
        <v>15.5</v>
      </c>
      <c r="V1175" s="259" t="s">
        <v>3028</v>
      </c>
      <c r="W1175" s="259" t="s">
        <v>3029</v>
      </c>
      <c r="X1175" s="264" t="s">
        <v>6227</v>
      </c>
      <c r="Y1175" s="259">
        <v>262</v>
      </c>
      <c r="Z1175" s="259" t="s">
        <v>3030</v>
      </c>
      <c r="AA1175" s="259" t="e">
        <v>#N/A</v>
      </c>
      <c r="AB1175" s="259"/>
      <c r="AC1175" s="259"/>
      <c r="AD1175" s="259"/>
      <c r="AE1175" s="259"/>
    </row>
    <row r="1176" spans="1:31">
      <c r="A1176" s="259" t="s">
        <v>1271</v>
      </c>
      <c r="B1176" s="259" t="s">
        <v>80</v>
      </c>
      <c r="C1176" s="264" t="s">
        <v>6184</v>
      </c>
      <c r="D1176" s="264" t="s">
        <v>1271</v>
      </c>
      <c r="E1176" s="259" t="s">
        <v>5737</v>
      </c>
      <c r="H1176" s="264" t="s">
        <v>6225</v>
      </c>
      <c r="I1176" s="264" t="s">
        <v>6228</v>
      </c>
      <c r="J1176" s="295">
        <v>1791.57</v>
      </c>
      <c r="K1176" s="295">
        <v>1431</v>
      </c>
      <c r="L1176" s="295">
        <v>1074.94</v>
      </c>
      <c r="O1176" s="266">
        <v>0</v>
      </c>
      <c r="P1176" s="266">
        <v>691991005718</v>
      </c>
      <c r="R1176" s="265">
        <v>64.5</v>
      </c>
      <c r="S1176" s="265">
        <v>46.5</v>
      </c>
      <c r="T1176" s="265">
        <v>18.5</v>
      </c>
      <c r="U1176" s="265">
        <v>15.5</v>
      </c>
      <c r="V1176" s="259" t="s">
        <v>3028</v>
      </c>
      <c r="W1176" s="259" t="s">
        <v>3029</v>
      </c>
      <c r="X1176" s="264" t="s">
        <v>6227</v>
      </c>
      <c r="Y1176" s="259">
        <v>263</v>
      </c>
      <c r="Z1176" s="259" t="s">
        <v>3030</v>
      </c>
      <c r="AA1176" s="259" t="e">
        <v>#N/A</v>
      </c>
      <c r="AB1176" s="259"/>
      <c r="AC1176" s="259"/>
      <c r="AD1176" s="259"/>
      <c r="AE1176" s="259"/>
    </row>
    <row r="1177" spans="1:31">
      <c r="A1177" s="259" t="s">
        <v>1272</v>
      </c>
      <c r="B1177" s="259" t="s">
        <v>80</v>
      </c>
      <c r="C1177" s="264" t="s">
        <v>6184</v>
      </c>
      <c r="D1177" s="264" t="s">
        <v>1272</v>
      </c>
      <c r="E1177" s="259" t="s">
        <v>5737</v>
      </c>
      <c r="H1177" s="264" t="s">
        <v>6222</v>
      </c>
      <c r="I1177" s="264" t="s">
        <v>6229</v>
      </c>
      <c r="J1177" s="295">
        <v>3274.25</v>
      </c>
      <c r="K1177" s="295">
        <v>2615</v>
      </c>
      <c r="L1177" s="295">
        <v>1964.55</v>
      </c>
      <c r="O1177" s="266">
        <v>0</v>
      </c>
      <c r="P1177" s="266">
        <v>691991005695</v>
      </c>
      <c r="R1177" s="265">
        <v>86</v>
      </c>
      <c r="S1177" s="265">
        <v>50</v>
      </c>
      <c r="T1177" s="265">
        <v>19.25</v>
      </c>
      <c r="U1177" s="265">
        <v>16</v>
      </c>
      <c r="V1177" s="259" t="s">
        <v>3028</v>
      </c>
      <c r="W1177" s="259" t="s">
        <v>3029</v>
      </c>
      <c r="X1177" s="264" t="s">
        <v>6224</v>
      </c>
      <c r="Y1177" s="259">
        <v>264</v>
      </c>
      <c r="Z1177" s="259" t="s">
        <v>3030</v>
      </c>
      <c r="AA1177" s="259" t="e">
        <v>#N/A</v>
      </c>
      <c r="AB1177" s="259"/>
      <c r="AC1177" s="259"/>
      <c r="AD1177" s="259"/>
      <c r="AE1177" s="259"/>
    </row>
    <row r="1178" spans="1:31">
      <c r="A1178" s="259" t="s">
        <v>1273</v>
      </c>
      <c r="B1178" s="259" t="s">
        <v>80</v>
      </c>
      <c r="C1178" s="264" t="s">
        <v>6230</v>
      </c>
      <c r="D1178" s="264" t="s">
        <v>1273</v>
      </c>
      <c r="E1178" s="259" t="s">
        <v>5737</v>
      </c>
      <c r="H1178" s="264" t="s">
        <v>6231</v>
      </c>
      <c r="I1178" s="264" t="s">
        <v>6232</v>
      </c>
      <c r="J1178" s="295">
        <v>123.56</v>
      </c>
      <c r="K1178" s="295">
        <v>123.56</v>
      </c>
      <c r="L1178" s="295">
        <v>92.98</v>
      </c>
      <c r="O1178" s="266">
        <v>0</v>
      </c>
      <c r="P1178" s="266">
        <v>691991005978</v>
      </c>
      <c r="R1178" s="265">
        <v>13</v>
      </c>
      <c r="S1178" s="265">
        <v>12</v>
      </c>
      <c r="T1178" s="265">
        <v>6</v>
      </c>
      <c r="U1178" s="265">
        <v>6</v>
      </c>
      <c r="V1178" s="259" t="s">
        <v>3028</v>
      </c>
      <c r="W1178" s="259" t="s">
        <v>3029</v>
      </c>
      <c r="Y1178" s="259">
        <v>265</v>
      </c>
      <c r="Z1178" s="259" t="s">
        <v>3030</v>
      </c>
      <c r="AA1178" s="259" t="e">
        <v>#N/A</v>
      </c>
      <c r="AB1178" s="259"/>
      <c r="AC1178" s="259"/>
      <c r="AD1178" s="259"/>
      <c r="AE1178" s="259"/>
    </row>
    <row r="1179" spans="1:31">
      <c r="A1179" s="259" t="s">
        <v>1274</v>
      </c>
      <c r="B1179" s="259" t="s">
        <v>80</v>
      </c>
      <c r="C1179" s="264" t="s">
        <v>6230</v>
      </c>
      <c r="D1179" s="264" t="s">
        <v>1274</v>
      </c>
      <c r="E1179" s="259" t="s">
        <v>5737</v>
      </c>
      <c r="H1179" s="264" t="s">
        <v>6231</v>
      </c>
      <c r="I1179" s="264" t="s">
        <v>6233</v>
      </c>
      <c r="J1179" s="295">
        <v>133.85</v>
      </c>
      <c r="K1179" s="295">
        <v>133.85</v>
      </c>
      <c r="L1179" s="295">
        <v>80.31</v>
      </c>
      <c r="O1179" s="266">
        <v>0</v>
      </c>
      <c r="P1179" s="266">
        <v>691991005985</v>
      </c>
      <c r="R1179" s="265">
        <v>13</v>
      </c>
      <c r="S1179" s="265">
        <v>12</v>
      </c>
      <c r="T1179" s="265">
        <v>6</v>
      </c>
      <c r="U1179" s="265">
        <v>6</v>
      </c>
      <c r="V1179" s="259" t="s">
        <v>3028</v>
      </c>
      <c r="W1179" s="259" t="s">
        <v>3029</v>
      </c>
      <c r="X1179" s="264" t="s">
        <v>6234</v>
      </c>
      <c r="Y1179" s="259">
        <v>266</v>
      </c>
      <c r="Z1179" s="259" t="s">
        <v>3030</v>
      </c>
      <c r="AA1179" s="259" t="e">
        <v>#N/A</v>
      </c>
      <c r="AB1179" s="259"/>
      <c r="AC1179" s="259"/>
      <c r="AD1179" s="259"/>
      <c r="AE1179" s="259"/>
    </row>
    <row r="1180" spans="1:31">
      <c r="A1180" s="259" t="s">
        <v>1275</v>
      </c>
      <c r="B1180" s="259" t="s">
        <v>80</v>
      </c>
      <c r="C1180" s="264" t="s">
        <v>5725</v>
      </c>
      <c r="D1180" s="264" t="s">
        <v>1275</v>
      </c>
      <c r="E1180" s="259" t="s">
        <v>5737</v>
      </c>
      <c r="H1180" s="264" t="s">
        <v>6235</v>
      </c>
      <c r="I1180" s="264" t="s">
        <v>6236</v>
      </c>
      <c r="J1180" s="295">
        <v>162.22</v>
      </c>
      <c r="K1180" s="295">
        <v>162.22</v>
      </c>
      <c r="L1180" s="295">
        <v>97.37</v>
      </c>
      <c r="O1180" s="266">
        <v>0</v>
      </c>
      <c r="P1180" s="266">
        <v>691991300226</v>
      </c>
      <c r="R1180" s="265">
        <v>3.35</v>
      </c>
      <c r="S1180" s="265">
        <v>5</v>
      </c>
      <c r="T1180" s="265">
        <v>7</v>
      </c>
      <c r="U1180" s="265">
        <v>4</v>
      </c>
      <c r="V1180" s="259" t="s">
        <v>3028</v>
      </c>
      <c r="W1180" s="259" t="s">
        <v>3029</v>
      </c>
      <c r="X1180" s="264" t="s">
        <v>6234</v>
      </c>
      <c r="Y1180" s="259">
        <v>267</v>
      </c>
      <c r="Z1180" s="259" t="s">
        <v>3030</v>
      </c>
      <c r="AA1180" s="259" t="e">
        <v>#N/A</v>
      </c>
      <c r="AB1180" s="259"/>
      <c r="AC1180" s="259"/>
      <c r="AD1180" s="259"/>
      <c r="AE1180" s="259"/>
    </row>
    <row r="1181" spans="1:31">
      <c r="A1181" s="259" t="s">
        <v>1276</v>
      </c>
      <c r="B1181" s="259" t="s">
        <v>80</v>
      </c>
      <c r="C1181" s="264" t="s">
        <v>5725</v>
      </c>
      <c r="D1181" s="264" t="s">
        <v>1276</v>
      </c>
      <c r="E1181" s="259" t="s">
        <v>5737</v>
      </c>
      <c r="H1181" s="264" t="s">
        <v>6237</v>
      </c>
      <c r="I1181" s="264" t="s">
        <v>6238</v>
      </c>
      <c r="J1181" s="295">
        <v>163.46</v>
      </c>
      <c r="K1181" s="295">
        <v>163.46</v>
      </c>
      <c r="L1181" s="295">
        <v>97.76</v>
      </c>
      <c r="O1181" s="266">
        <v>0</v>
      </c>
      <c r="P1181" s="266">
        <v>691991300790</v>
      </c>
      <c r="R1181" s="265">
        <v>21.5</v>
      </c>
      <c r="S1181" s="265">
        <v>15</v>
      </c>
      <c r="T1181" s="265">
        <v>16</v>
      </c>
      <c r="U1181" s="265">
        <v>6</v>
      </c>
      <c r="V1181" s="259" t="s">
        <v>3028</v>
      </c>
      <c r="W1181" s="259" t="s">
        <v>3029</v>
      </c>
      <c r="X1181" s="264" t="s">
        <v>6239</v>
      </c>
      <c r="Y1181" s="259">
        <v>268</v>
      </c>
      <c r="Z1181" s="259" t="s">
        <v>3030</v>
      </c>
      <c r="AA1181" s="259" t="e">
        <v>#N/A</v>
      </c>
      <c r="AB1181" s="259"/>
      <c r="AC1181" s="259"/>
      <c r="AD1181" s="259"/>
      <c r="AE1181" s="259"/>
    </row>
    <row r="1182" spans="1:31">
      <c r="A1182" s="259" t="s">
        <v>1277</v>
      </c>
      <c r="B1182" s="259" t="s">
        <v>80</v>
      </c>
      <c r="C1182" s="264" t="s">
        <v>5725</v>
      </c>
      <c r="D1182" s="264" t="s">
        <v>1277</v>
      </c>
      <c r="E1182" s="259" t="s">
        <v>5737</v>
      </c>
      <c r="H1182" s="264" t="s">
        <v>6240</v>
      </c>
      <c r="I1182" s="264" t="s">
        <v>6241</v>
      </c>
      <c r="J1182" s="295">
        <v>52.4</v>
      </c>
      <c r="K1182" s="295">
        <v>52.4</v>
      </c>
      <c r="L1182" s="295">
        <v>31.08</v>
      </c>
      <c r="O1182" s="266">
        <v>2</v>
      </c>
      <c r="P1182" s="266">
        <v>691991300189</v>
      </c>
      <c r="R1182" s="265">
        <v>0.8</v>
      </c>
      <c r="S1182" s="265">
        <v>1</v>
      </c>
      <c r="T1182" s="265">
        <v>4</v>
      </c>
      <c r="U1182" s="265">
        <v>12</v>
      </c>
      <c r="V1182" s="259" t="s">
        <v>3028</v>
      </c>
      <c r="W1182" s="259" t="s">
        <v>3029</v>
      </c>
      <c r="X1182" s="264" t="s">
        <v>6239</v>
      </c>
      <c r="Y1182" s="259">
        <v>269</v>
      </c>
      <c r="Z1182" s="259" t="s">
        <v>3030</v>
      </c>
      <c r="AA1182" s="259" t="e">
        <v>#N/A</v>
      </c>
      <c r="AB1182" s="259"/>
      <c r="AC1182" s="259"/>
      <c r="AD1182" s="259"/>
      <c r="AE1182" s="259"/>
    </row>
    <row r="1183" spans="1:31">
      <c r="A1183" s="259" t="s">
        <v>1278</v>
      </c>
      <c r="B1183" s="259" t="s">
        <v>80</v>
      </c>
      <c r="C1183" s="264" t="s">
        <v>5725</v>
      </c>
      <c r="D1183" s="264" t="s">
        <v>1278</v>
      </c>
      <c r="E1183" s="259" t="s">
        <v>5737</v>
      </c>
      <c r="H1183" s="264" t="s">
        <v>6240</v>
      </c>
      <c r="I1183" s="264" t="s">
        <v>6242</v>
      </c>
      <c r="J1183" s="295">
        <v>52.4</v>
      </c>
      <c r="K1183" s="295">
        <v>52.4</v>
      </c>
      <c r="L1183" s="295">
        <v>31.16</v>
      </c>
      <c r="O1183" s="266">
        <v>2</v>
      </c>
      <c r="P1183" s="266">
        <v>691991300196</v>
      </c>
      <c r="R1183" s="265">
        <v>0.75</v>
      </c>
      <c r="S1183" s="265">
        <v>0.5</v>
      </c>
      <c r="T1183" s="265">
        <v>6</v>
      </c>
      <c r="U1183" s="265">
        <v>2</v>
      </c>
      <c r="V1183" s="259" t="s">
        <v>3028</v>
      </c>
      <c r="W1183" s="259" t="s">
        <v>3029</v>
      </c>
      <c r="X1183" s="264" t="s">
        <v>6239</v>
      </c>
      <c r="Y1183" s="259">
        <v>270</v>
      </c>
      <c r="Z1183" s="259" t="s">
        <v>3030</v>
      </c>
      <c r="AA1183" s="259" t="e">
        <v>#N/A</v>
      </c>
      <c r="AB1183" s="259"/>
      <c r="AC1183" s="259"/>
      <c r="AD1183" s="259"/>
      <c r="AE1183" s="259"/>
    </row>
    <row r="1184" spans="1:31">
      <c r="A1184" s="259" t="s">
        <v>1279</v>
      </c>
      <c r="B1184" s="259" t="s">
        <v>80</v>
      </c>
      <c r="C1184" s="264" t="s">
        <v>5725</v>
      </c>
      <c r="D1184" s="264" t="s">
        <v>1279</v>
      </c>
      <c r="E1184" s="259" t="s">
        <v>5737</v>
      </c>
      <c r="H1184" s="264" t="s">
        <v>6240</v>
      </c>
      <c r="I1184" s="264" t="s">
        <v>6243</v>
      </c>
      <c r="J1184" s="295">
        <v>73.62</v>
      </c>
      <c r="K1184" s="295">
        <v>73.62</v>
      </c>
      <c r="L1184" s="295">
        <v>43.97</v>
      </c>
      <c r="O1184" s="266">
        <v>2</v>
      </c>
      <c r="P1184" s="266">
        <v>691991300165</v>
      </c>
      <c r="R1184" s="265">
        <v>7.24</v>
      </c>
      <c r="S1184" s="265">
        <v>12</v>
      </c>
      <c r="T1184" s="265">
        <v>6</v>
      </c>
      <c r="U1184" s="265">
        <v>2</v>
      </c>
      <c r="V1184" s="259" t="s">
        <v>3028</v>
      </c>
      <c r="W1184" s="259" t="s">
        <v>3029</v>
      </c>
      <c r="X1184" s="264" t="s">
        <v>6239</v>
      </c>
      <c r="Y1184" s="259">
        <v>271</v>
      </c>
      <c r="Z1184" s="259" t="s">
        <v>3030</v>
      </c>
      <c r="AA1184" s="259" t="e">
        <v>#N/A</v>
      </c>
      <c r="AB1184" s="259"/>
      <c r="AC1184" s="259"/>
      <c r="AD1184" s="259"/>
      <c r="AE1184" s="259"/>
    </row>
    <row r="1185" spans="1:31">
      <c r="A1185" s="259" t="s">
        <v>1280</v>
      </c>
      <c r="B1185" s="259" t="s">
        <v>80</v>
      </c>
      <c r="C1185" s="264" t="s">
        <v>5725</v>
      </c>
      <c r="D1185" s="264" t="s">
        <v>1280</v>
      </c>
      <c r="E1185" s="259" t="s">
        <v>5737</v>
      </c>
      <c r="H1185" s="264" t="s">
        <v>6240</v>
      </c>
      <c r="I1185" s="264" t="s">
        <v>6244</v>
      </c>
      <c r="J1185" s="295">
        <v>73.62</v>
      </c>
      <c r="K1185" s="295">
        <v>73.62</v>
      </c>
      <c r="L1185" s="295">
        <v>43.9</v>
      </c>
      <c r="O1185" s="266">
        <v>2</v>
      </c>
      <c r="P1185" s="266">
        <v>691991300172</v>
      </c>
      <c r="R1185" s="265">
        <v>8</v>
      </c>
      <c r="S1185" s="265">
        <v>6</v>
      </c>
      <c r="T1185" s="265">
        <v>12</v>
      </c>
      <c r="U1185" s="265">
        <v>2</v>
      </c>
      <c r="V1185" s="259" t="s">
        <v>3028</v>
      </c>
      <c r="W1185" s="259" t="s">
        <v>3029</v>
      </c>
      <c r="Y1185" s="259">
        <v>272</v>
      </c>
      <c r="Z1185" s="259" t="s">
        <v>3030</v>
      </c>
      <c r="AA1185" s="259" t="e">
        <v>#N/A</v>
      </c>
      <c r="AB1185" s="259"/>
      <c r="AC1185" s="259"/>
      <c r="AD1185" s="259"/>
      <c r="AE1185" s="259"/>
    </row>
    <row r="1186" spans="1:31">
      <c r="A1186" s="259" t="s">
        <v>1281</v>
      </c>
      <c r="B1186" s="259" t="s">
        <v>80</v>
      </c>
      <c r="C1186" s="264" t="s">
        <v>5725</v>
      </c>
      <c r="D1186" s="264" t="s">
        <v>1281</v>
      </c>
      <c r="E1186" s="259" t="s">
        <v>5737</v>
      </c>
      <c r="H1186" s="264" t="s">
        <v>6245</v>
      </c>
      <c r="I1186" s="264" t="s">
        <v>6246</v>
      </c>
      <c r="J1186" s="295">
        <v>78.61</v>
      </c>
      <c r="K1186" s="295">
        <v>78.61</v>
      </c>
      <c r="L1186" s="295">
        <v>47.03</v>
      </c>
      <c r="O1186" s="266">
        <v>1</v>
      </c>
      <c r="P1186" s="266">
        <v>691991300158</v>
      </c>
      <c r="R1186" s="265">
        <v>1.85</v>
      </c>
      <c r="S1186" s="265">
        <v>8</v>
      </c>
      <c r="T1186" s="265">
        <v>8</v>
      </c>
      <c r="U1186" s="265">
        <v>7</v>
      </c>
      <c r="V1186" s="259" t="s">
        <v>3028</v>
      </c>
      <c r="W1186" s="259" t="s">
        <v>3029</v>
      </c>
      <c r="Y1186" s="259">
        <v>273</v>
      </c>
      <c r="Z1186" s="259" t="s">
        <v>3030</v>
      </c>
      <c r="AA1186" s="259" t="e">
        <v>#N/A</v>
      </c>
      <c r="AB1186" s="259"/>
      <c r="AC1186" s="259"/>
      <c r="AD1186" s="259"/>
      <c r="AE1186" s="259"/>
    </row>
    <row r="1187" spans="1:31">
      <c r="A1187" s="259" t="s">
        <v>1282</v>
      </c>
      <c r="B1187" s="259" t="s">
        <v>80</v>
      </c>
      <c r="C1187" s="264" t="s">
        <v>6230</v>
      </c>
      <c r="D1187" s="264" t="s">
        <v>1282</v>
      </c>
      <c r="E1187" s="259" t="s">
        <v>5737</v>
      </c>
      <c r="H1187" s="264" t="s">
        <v>6247</v>
      </c>
      <c r="I1187" s="264" t="s">
        <v>6248</v>
      </c>
      <c r="J1187" s="295">
        <v>42.42</v>
      </c>
      <c r="K1187" s="295">
        <v>42.42</v>
      </c>
      <c r="L1187" s="295">
        <v>32</v>
      </c>
      <c r="O1187" s="266">
        <v>0</v>
      </c>
      <c r="P1187" s="266">
        <v>691991005954</v>
      </c>
      <c r="R1187" s="265">
        <v>2.8</v>
      </c>
      <c r="S1187" s="265">
        <v>12.25</v>
      </c>
      <c r="T1187" s="265">
        <v>5.5</v>
      </c>
      <c r="U1187" s="265">
        <v>2</v>
      </c>
      <c r="V1187" s="259" t="s">
        <v>3028</v>
      </c>
      <c r="W1187" s="259" t="s">
        <v>3029</v>
      </c>
      <c r="Y1187" s="259">
        <v>274</v>
      </c>
      <c r="Z1187" s="259" t="s">
        <v>3030</v>
      </c>
      <c r="AA1187" s="259" t="e">
        <v>#N/A</v>
      </c>
      <c r="AB1187" s="259"/>
      <c r="AC1187" s="259"/>
      <c r="AD1187" s="259"/>
      <c r="AE1187" s="259"/>
    </row>
    <row r="1188" spans="1:31">
      <c r="A1188" s="259" t="s">
        <v>1283</v>
      </c>
      <c r="B1188" s="259" t="s">
        <v>80</v>
      </c>
      <c r="C1188" s="264" t="s">
        <v>6230</v>
      </c>
      <c r="D1188" s="264" t="s">
        <v>1283</v>
      </c>
      <c r="E1188" s="259" t="s">
        <v>5737</v>
      </c>
      <c r="H1188" s="264" t="s">
        <v>6247</v>
      </c>
      <c r="I1188" s="264" t="s">
        <v>6249</v>
      </c>
      <c r="J1188" s="295">
        <v>42.42</v>
      </c>
      <c r="K1188" s="295">
        <v>42.42</v>
      </c>
      <c r="L1188" s="295">
        <v>32.090000000000003</v>
      </c>
      <c r="O1188" s="266">
        <v>0</v>
      </c>
      <c r="P1188" s="266">
        <v>691991005961</v>
      </c>
      <c r="R1188" s="265">
        <v>9</v>
      </c>
      <c r="S1188" s="265">
        <v>6</v>
      </c>
      <c r="T1188" s="265">
        <v>12</v>
      </c>
      <c r="U1188" s="265">
        <v>3</v>
      </c>
      <c r="V1188" s="259" t="s">
        <v>3028</v>
      </c>
      <c r="W1188" s="259" t="s">
        <v>3029</v>
      </c>
      <c r="Y1188" s="259">
        <v>275</v>
      </c>
      <c r="Z1188" s="259" t="s">
        <v>3030</v>
      </c>
      <c r="AA1188" s="259" t="e">
        <v>#N/A</v>
      </c>
      <c r="AB1188" s="259"/>
      <c r="AC1188" s="259"/>
      <c r="AD1188" s="259"/>
      <c r="AE1188" s="259"/>
    </row>
    <row r="1189" spans="1:31">
      <c r="A1189" s="259" t="s">
        <v>1284</v>
      </c>
      <c r="B1189" s="259" t="s">
        <v>80</v>
      </c>
      <c r="C1189" s="264"/>
      <c r="D1189" s="264"/>
      <c r="H1189" s="264"/>
      <c r="I1189" s="264"/>
      <c r="J1189" s="295">
        <v>0</v>
      </c>
      <c r="K1189" s="295">
        <v>0</v>
      </c>
      <c r="L1189" s="295">
        <v>0</v>
      </c>
      <c r="O1189" s="266"/>
      <c r="R1189" s="265">
        <v>0</v>
      </c>
      <c r="S1189" s="265">
        <v>0</v>
      </c>
      <c r="T1189" s="265">
        <v>0</v>
      </c>
      <c r="U1189" s="265">
        <v>0</v>
      </c>
      <c r="V1189" s="259"/>
      <c r="Y1189" s="259">
        <v>276</v>
      </c>
      <c r="AA1189" s="259" t="e">
        <v>#N/A</v>
      </c>
      <c r="AB1189" s="259"/>
      <c r="AC1189" s="259"/>
      <c r="AD1189" s="259"/>
      <c r="AE1189" s="259"/>
    </row>
    <row r="1190" spans="1:31">
      <c r="A1190" s="259" t="s">
        <v>1285</v>
      </c>
      <c r="B1190" s="259" t="s">
        <v>80</v>
      </c>
      <c r="C1190" s="264"/>
      <c r="D1190" s="264"/>
      <c r="H1190" s="264"/>
      <c r="I1190" s="264"/>
      <c r="J1190" s="295">
        <v>0</v>
      </c>
      <c r="K1190" s="295">
        <v>0</v>
      </c>
      <c r="L1190" s="295">
        <v>0</v>
      </c>
      <c r="O1190" s="266"/>
      <c r="R1190" s="265">
        <v>0</v>
      </c>
      <c r="S1190" s="265">
        <v>0</v>
      </c>
      <c r="T1190" s="265">
        <v>0</v>
      </c>
      <c r="U1190" s="265">
        <v>0</v>
      </c>
      <c r="V1190" s="259"/>
      <c r="Y1190" s="259">
        <v>277</v>
      </c>
      <c r="AA1190" s="259" t="e">
        <v>#N/A</v>
      </c>
      <c r="AB1190" s="259"/>
      <c r="AC1190" s="259"/>
      <c r="AD1190" s="259"/>
      <c r="AE1190" s="259"/>
    </row>
    <row r="1191" spans="1:31">
      <c r="A1191" s="259" t="s">
        <v>1286</v>
      </c>
      <c r="B1191" s="259" t="s">
        <v>80</v>
      </c>
      <c r="C1191" s="264" t="s">
        <v>6250</v>
      </c>
      <c r="D1191" s="264" t="s">
        <v>6251</v>
      </c>
      <c r="E1191" s="259" t="s">
        <v>6252</v>
      </c>
      <c r="H1191" s="264" t="s">
        <v>6253</v>
      </c>
      <c r="I1191" s="264" t="s">
        <v>6253</v>
      </c>
      <c r="J1191" s="295">
        <v>40.82</v>
      </c>
      <c r="K1191" s="295">
        <v>40.82</v>
      </c>
      <c r="L1191" s="295">
        <v>23.79</v>
      </c>
      <c r="O1191" s="266"/>
      <c r="P1191" s="266">
        <v>691991011962</v>
      </c>
      <c r="R1191" s="265"/>
      <c r="V1191" s="259" t="s">
        <v>3218</v>
      </c>
      <c r="Y1191" s="259">
        <v>278</v>
      </c>
      <c r="Z1191" s="259" t="s">
        <v>3037</v>
      </c>
      <c r="AA1191" s="259" t="e">
        <v>#N/A</v>
      </c>
      <c r="AB1191" s="259"/>
      <c r="AC1191" s="259"/>
      <c r="AD1191" s="259"/>
      <c r="AE1191" s="259"/>
    </row>
    <row r="1192" spans="1:31">
      <c r="A1192" s="259" t="s">
        <v>1287</v>
      </c>
      <c r="B1192" s="259" t="s">
        <v>80</v>
      </c>
      <c r="C1192" s="264" t="s">
        <v>6254</v>
      </c>
      <c r="D1192" s="264" t="s">
        <v>1287</v>
      </c>
      <c r="E1192" s="259" t="s">
        <v>6255</v>
      </c>
      <c r="F1192" s="259" t="s">
        <v>5021</v>
      </c>
      <c r="H1192" s="264" t="s">
        <v>6256</v>
      </c>
      <c r="I1192" s="264" t="s">
        <v>6257</v>
      </c>
      <c r="J1192" s="295">
        <v>1037.8699999999999</v>
      </c>
      <c r="K1192" s="295">
        <v>1037.8699999999999</v>
      </c>
      <c r="L1192" s="295">
        <v>621.99</v>
      </c>
      <c r="O1192" s="266">
        <v>0</v>
      </c>
      <c r="R1192" s="265">
        <v>0</v>
      </c>
      <c r="S1192" s="265">
        <v>0</v>
      </c>
      <c r="T1192" s="265">
        <v>0</v>
      </c>
      <c r="U1192" s="265">
        <v>0</v>
      </c>
      <c r="V1192" s="259"/>
      <c r="Y1192" s="259">
        <v>279</v>
      </c>
      <c r="Z1192" s="259" t="s">
        <v>3227</v>
      </c>
      <c r="AA1192" s="259" t="e">
        <v>#N/A</v>
      </c>
      <c r="AB1192" s="259"/>
      <c r="AC1192" s="259"/>
      <c r="AD1192" s="259"/>
      <c r="AE1192" s="259"/>
    </row>
    <row r="1193" spans="1:31">
      <c r="A1193" s="259" t="s">
        <v>1288</v>
      </c>
      <c r="B1193" s="259" t="s">
        <v>80</v>
      </c>
      <c r="C1193" s="264" t="s">
        <v>6258</v>
      </c>
      <c r="D1193" s="264" t="s">
        <v>1288</v>
      </c>
      <c r="E1193" s="259" t="s">
        <v>6255</v>
      </c>
      <c r="F1193" s="259" t="s">
        <v>5021</v>
      </c>
      <c r="H1193" s="264" t="s">
        <v>6259</v>
      </c>
      <c r="I1193" s="264" t="s">
        <v>6260</v>
      </c>
      <c r="J1193" s="295">
        <v>1037.8699999999999</v>
      </c>
      <c r="K1193" s="295">
        <v>1037.8699999999999</v>
      </c>
      <c r="L1193" s="295">
        <v>621.99</v>
      </c>
      <c r="O1193" s="266">
        <v>0</v>
      </c>
      <c r="R1193" s="265">
        <v>0</v>
      </c>
      <c r="S1193" s="265">
        <v>0</v>
      </c>
      <c r="T1193" s="265">
        <v>0</v>
      </c>
      <c r="U1193" s="265">
        <v>0</v>
      </c>
      <c r="V1193" s="259"/>
      <c r="Y1193" s="259">
        <v>280</v>
      </c>
      <c r="Z1193" s="259" t="s">
        <v>3227</v>
      </c>
      <c r="AA1193" s="259" t="e">
        <v>#N/A</v>
      </c>
      <c r="AB1193" s="259"/>
      <c r="AC1193" s="259"/>
      <c r="AD1193" s="259"/>
      <c r="AE1193" s="259"/>
    </row>
    <row r="1194" spans="1:31">
      <c r="A1194" s="259" t="s">
        <v>1289</v>
      </c>
      <c r="B1194" s="259" t="s">
        <v>80</v>
      </c>
      <c r="C1194" s="264"/>
      <c r="D1194" s="264"/>
      <c r="H1194" s="264"/>
      <c r="I1194" s="264" t="s">
        <v>6261</v>
      </c>
      <c r="J1194" s="295">
        <v>0</v>
      </c>
      <c r="K1194" s="295">
        <v>0</v>
      </c>
      <c r="L1194" s="295">
        <v>0</v>
      </c>
      <c r="O1194" s="266"/>
      <c r="R1194" s="265">
        <v>0</v>
      </c>
      <c r="S1194" s="265">
        <v>0</v>
      </c>
      <c r="T1194" s="265">
        <v>0</v>
      </c>
      <c r="U1194" s="265">
        <v>0</v>
      </c>
      <c r="V1194" s="259"/>
      <c r="Y1194" s="259">
        <v>281</v>
      </c>
      <c r="AA1194" s="259" t="e">
        <v>#N/A</v>
      </c>
      <c r="AB1194" s="259"/>
      <c r="AC1194" s="259"/>
      <c r="AD1194" s="259"/>
      <c r="AE1194" s="259"/>
    </row>
    <row r="1195" spans="1:31">
      <c r="A1195" s="259" t="s">
        <v>1290</v>
      </c>
      <c r="B1195" s="259" t="s">
        <v>80</v>
      </c>
      <c r="C1195" s="264" t="s">
        <v>6262</v>
      </c>
      <c r="D1195" s="264" t="s">
        <v>1290</v>
      </c>
      <c r="E1195" s="259" t="s">
        <v>6255</v>
      </c>
      <c r="F1195" s="259" t="s">
        <v>5021</v>
      </c>
      <c r="H1195" s="264" t="s">
        <v>6263</v>
      </c>
      <c r="I1195" s="264" t="s">
        <v>6264</v>
      </c>
      <c r="J1195" s="295">
        <v>0</v>
      </c>
      <c r="K1195" s="295">
        <v>0</v>
      </c>
      <c r="L1195" s="295">
        <v>0</v>
      </c>
      <c r="O1195" s="266">
        <v>0</v>
      </c>
      <c r="R1195" s="265">
        <v>0</v>
      </c>
      <c r="S1195" s="265">
        <v>0</v>
      </c>
      <c r="T1195" s="265">
        <v>0</v>
      </c>
      <c r="U1195" s="265">
        <v>0</v>
      </c>
      <c r="V1195" s="259"/>
      <c r="Y1195" s="259">
        <v>282</v>
      </c>
      <c r="Z1195" s="259" t="s">
        <v>3037</v>
      </c>
      <c r="AA1195" s="259" t="e">
        <v>#N/A</v>
      </c>
      <c r="AB1195" s="259"/>
      <c r="AC1195" s="259"/>
      <c r="AD1195" s="259"/>
      <c r="AE1195" s="259"/>
    </row>
    <row r="1196" spans="1:31">
      <c r="A1196" s="259" t="s">
        <v>1291</v>
      </c>
      <c r="B1196" s="259" t="s">
        <v>80</v>
      </c>
      <c r="C1196" s="264" t="s">
        <v>6265</v>
      </c>
      <c r="D1196" s="264" t="s">
        <v>1291</v>
      </c>
      <c r="E1196" s="259" t="s">
        <v>6255</v>
      </c>
      <c r="F1196" s="259" t="s">
        <v>5021</v>
      </c>
      <c r="H1196" s="264" t="s">
        <v>6266</v>
      </c>
      <c r="I1196" s="264" t="s">
        <v>6266</v>
      </c>
      <c r="J1196" s="295">
        <v>0</v>
      </c>
      <c r="K1196" s="295">
        <v>0</v>
      </c>
      <c r="L1196" s="295">
        <v>0</v>
      </c>
      <c r="O1196" s="266">
        <v>0</v>
      </c>
      <c r="R1196" s="265">
        <v>0</v>
      </c>
      <c r="S1196" s="265">
        <v>0</v>
      </c>
      <c r="T1196" s="265">
        <v>0</v>
      </c>
      <c r="U1196" s="265">
        <v>0</v>
      </c>
      <c r="V1196" s="259" t="s">
        <v>3996</v>
      </c>
      <c r="Y1196" s="259">
        <v>283</v>
      </c>
      <c r="Z1196" s="259" t="s">
        <v>3037</v>
      </c>
      <c r="AA1196" s="259" t="e">
        <v>#N/A</v>
      </c>
      <c r="AB1196" s="259"/>
      <c r="AC1196" s="259"/>
      <c r="AD1196" s="259"/>
      <c r="AE1196" s="259"/>
    </row>
    <row r="1197" spans="1:31">
      <c r="A1197" s="259" t="s">
        <v>1292</v>
      </c>
      <c r="B1197" s="259" t="s">
        <v>80</v>
      </c>
      <c r="C1197" s="264" t="s">
        <v>6267</v>
      </c>
      <c r="D1197" s="264" t="s">
        <v>1292</v>
      </c>
      <c r="E1197" s="259" t="s">
        <v>6255</v>
      </c>
      <c r="F1197" s="259" t="s">
        <v>5021</v>
      </c>
      <c r="H1197" s="264" t="s">
        <v>6268</v>
      </c>
      <c r="I1197" s="264" t="s">
        <v>6269</v>
      </c>
      <c r="J1197" s="295">
        <v>0</v>
      </c>
      <c r="K1197" s="295">
        <v>0</v>
      </c>
      <c r="L1197" s="295">
        <v>0</v>
      </c>
      <c r="O1197" s="266">
        <v>0</v>
      </c>
      <c r="R1197" s="265">
        <v>0</v>
      </c>
      <c r="S1197" s="265">
        <v>0</v>
      </c>
      <c r="T1197" s="265">
        <v>0</v>
      </c>
      <c r="U1197" s="265">
        <v>0</v>
      </c>
      <c r="V1197" s="259"/>
      <c r="Y1197" s="259">
        <v>284</v>
      </c>
      <c r="Z1197" s="259" t="s">
        <v>3037</v>
      </c>
      <c r="AA1197" s="259" t="e">
        <v>#N/A</v>
      </c>
      <c r="AB1197" s="259"/>
      <c r="AC1197" s="259"/>
      <c r="AD1197" s="259"/>
      <c r="AE1197" s="259"/>
    </row>
    <row r="1198" spans="1:31">
      <c r="A1198" s="259" t="s">
        <v>1293</v>
      </c>
      <c r="B1198" s="259" t="s">
        <v>80</v>
      </c>
      <c r="C1198" s="264" t="s">
        <v>6270</v>
      </c>
      <c r="D1198" s="264" t="s">
        <v>1293</v>
      </c>
      <c r="F1198" s="259" t="s">
        <v>5021</v>
      </c>
      <c r="H1198" s="264" t="s">
        <v>6271</v>
      </c>
      <c r="I1198" s="264" t="s">
        <v>6272</v>
      </c>
      <c r="J1198" s="295">
        <v>0</v>
      </c>
      <c r="K1198" s="295">
        <v>0</v>
      </c>
      <c r="L1198" s="295">
        <v>0</v>
      </c>
      <c r="O1198" s="266">
        <v>0</v>
      </c>
      <c r="R1198" s="265">
        <v>0</v>
      </c>
      <c r="S1198" s="265">
        <v>0</v>
      </c>
      <c r="T1198" s="265">
        <v>0</v>
      </c>
      <c r="U1198" s="265">
        <v>0</v>
      </c>
      <c r="V1198" s="259"/>
      <c r="Y1198" s="259">
        <v>285</v>
      </c>
      <c r="AA1198" s="259" t="e">
        <v>#N/A</v>
      </c>
      <c r="AB1198" s="259"/>
      <c r="AC1198" s="259"/>
      <c r="AD1198" s="259"/>
      <c r="AE1198" s="259"/>
    </row>
    <row r="1199" spans="1:31">
      <c r="A1199" s="259" t="s">
        <v>1294</v>
      </c>
      <c r="B1199" s="259" t="s">
        <v>80</v>
      </c>
      <c r="C1199" s="264" t="s">
        <v>6273</v>
      </c>
      <c r="D1199" s="264" t="s">
        <v>1294</v>
      </c>
      <c r="E1199" s="259" t="s">
        <v>6255</v>
      </c>
      <c r="F1199" s="259" t="s">
        <v>5021</v>
      </c>
      <c r="H1199" s="264" t="s">
        <v>6274</v>
      </c>
      <c r="I1199" s="264" t="s">
        <v>6275</v>
      </c>
      <c r="J1199" s="295">
        <v>0</v>
      </c>
      <c r="K1199" s="295">
        <v>0</v>
      </c>
      <c r="L1199" s="295">
        <v>0</v>
      </c>
      <c r="O1199" s="266">
        <v>0</v>
      </c>
      <c r="R1199" s="265">
        <v>0</v>
      </c>
      <c r="S1199" s="265">
        <v>0</v>
      </c>
      <c r="T1199" s="265">
        <v>0</v>
      </c>
      <c r="U1199" s="265">
        <v>0</v>
      </c>
      <c r="V1199" s="259"/>
      <c r="Y1199" s="259">
        <v>286</v>
      </c>
      <c r="Z1199" s="259" t="s">
        <v>3037</v>
      </c>
      <c r="AA1199" s="259" t="e">
        <v>#N/A</v>
      </c>
      <c r="AB1199" s="259"/>
      <c r="AC1199" s="259"/>
      <c r="AD1199" s="259"/>
      <c r="AE1199" s="259"/>
    </row>
    <row r="1200" spans="1:31">
      <c r="A1200" s="259" t="s">
        <v>1295</v>
      </c>
      <c r="B1200" s="259" t="s">
        <v>80</v>
      </c>
      <c r="C1200" s="264" t="s">
        <v>6276</v>
      </c>
      <c r="D1200" s="264" t="s">
        <v>1295</v>
      </c>
      <c r="E1200" s="259" t="s">
        <v>6255</v>
      </c>
      <c r="F1200" s="259" t="s">
        <v>5021</v>
      </c>
      <c r="H1200" s="264" t="s">
        <v>6277</v>
      </c>
      <c r="I1200" s="264" t="s">
        <v>6278</v>
      </c>
      <c r="J1200" s="295">
        <v>0</v>
      </c>
      <c r="K1200" s="295">
        <v>0</v>
      </c>
      <c r="L1200" s="295">
        <v>0</v>
      </c>
      <c r="O1200" s="266">
        <v>0</v>
      </c>
      <c r="P1200" s="266">
        <v>691991011986</v>
      </c>
      <c r="R1200" s="265">
        <v>0</v>
      </c>
      <c r="S1200" s="265">
        <v>0</v>
      </c>
      <c r="T1200" s="265">
        <v>0</v>
      </c>
      <c r="U1200" s="265">
        <v>0</v>
      </c>
      <c r="V1200" s="259"/>
      <c r="Y1200" s="259">
        <v>287</v>
      </c>
      <c r="Z1200" s="259" t="s">
        <v>3037</v>
      </c>
      <c r="AA1200" s="259" t="e">
        <v>#N/A</v>
      </c>
      <c r="AB1200" s="259"/>
      <c r="AC1200" s="259"/>
      <c r="AD1200" s="259"/>
      <c r="AE1200" s="259"/>
    </row>
    <row r="1201" spans="1:31">
      <c r="A1201" s="259" t="s">
        <v>1296</v>
      </c>
      <c r="B1201" s="259" t="s">
        <v>80</v>
      </c>
      <c r="C1201" s="264" t="s">
        <v>6279</v>
      </c>
      <c r="D1201" s="264" t="s">
        <v>1296</v>
      </c>
      <c r="E1201" s="259" t="s">
        <v>6255</v>
      </c>
      <c r="F1201" s="259" t="s">
        <v>5021</v>
      </c>
      <c r="H1201" s="264" t="s">
        <v>6280</v>
      </c>
      <c r="I1201" s="264" t="s">
        <v>6281</v>
      </c>
      <c r="J1201" s="295">
        <v>2404.33</v>
      </c>
      <c r="K1201" s="295">
        <v>2404.33</v>
      </c>
      <c r="L1201" s="295">
        <v>1442.84</v>
      </c>
      <c r="O1201" s="266">
        <v>0</v>
      </c>
      <c r="R1201" s="265">
        <v>0</v>
      </c>
      <c r="S1201" s="265">
        <v>0</v>
      </c>
      <c r="T1201" s="265">
        <v>0</v>
      </c>
      <c r="U1201" s="265">
        <v>0</v>
      </c>
      <c r="V1201" s="259"/>
      <c r="Y1201" s="259">
        <v>288</v>
      </c>
      <c r="Z1201" s="259" t="s">
        <v>3037</v>
      </c>
      <c r="AA1201" s="259" t="e">
        <v>#N/A</v>
      </c>
      <c r="AB1201" s="259"/>
      <c r="AC1201" s="259"/>
      <c r="AD1201" s="259"/>
      <c r="AE1201" s="259"/>
    </row>
    <row r="1202" spans="1:31">
      <c r="A1202" s="259" t="s">
        <v>1297</v>
      </c>
      <c r="B1202" s="259" t="s">
        <v>80</v>
      </c>
      <c r="C1202" s="264" t="s">
        <v>6279</v>
      </c>
      <c r="D1202" s="264" t="s">
        <v>1297</v>
      </c>
      <c r="E1202" s="259" t="s">
        <v>6255</v>
      </c>
      <c r="F1202" s="259" t="s">
        <v>5021</v>
      </c>
      <c r="H1202" s="264" t="s">
        <v>6282</v>
      </c>
      <c r="I1202" s="264" t="s">
        <v>6283</v>
      </c>
      <c r="J1202" s="295">
        <v>2291.5700000000002</v>
      </c>
      <c r="K1202" s="295">
        <v>2291.5700000000002</v>
      </c>
      <c r="L1202" s="295">
        <v>1374.94</v>
      </c>
      <c r="O1202" s="266">
        <v>0</v>
      </c>
      <c r="P1202" s="266">
        <v>691991012006</v>
      </c>
      <c r="R1202" s="265">
        <v>30</v>
      </c>
      <c r="S1202" s="265">
        <v>8</v>
      </c>
      <c r="T1202" s="265">
        <v>9</v>
      </c>
      <c r="U1202" s="265">
        <v>37</v>
      </c>
      <c r="V1202" s="259" t="s">
        <v>3218</v>
      </c>
      <c r="Y1202" s="259">
        <v>289</v>
      </c>
      <c r="Z1202" s="259" t="s">
        <v>3264</v>
      </c>
      <c r="AA1202" s="259" t="e">
        <v>#N/A</v>
      </c>
      <c r="AB1202" s="259"/>
      <c r="AC1202" s="259"/>
      <c r="AD1202" s="259"/>
      <c r="AE1202" s="259"/>
    </row>
    <row r="1203" spans="1:31">
      <c r="A1203" s="259" t="s">
        <v>1298</v>
      </c>
      <c r="B1203" s="259" t="s">
        <v>80</v>
      </c>
      <c r="C1203" s="264" t="s">
        <v>6279</v>
      </c>
      <c r="D1203" s="264" t="s">
        <v>1298</v>
      </c>
      <c r="E1203" s="259" t="s">
        <v>6255</v>
      </c>
      <c r="F1203" s="259" t="s">
        <v>5021</v>
      </c>
      <c r="H1203" s="264" t="s">
        <v>6284</v>
      </c>
      <c r="I1203" s="264" t="s">
        <v>6285</v>
      </c>
      <c r="J1203" s="295">
        <v>2404.33</v>
      </c>
      <c r="K1203" s="295">
        <v>2404.33</v>
      </c>
      <c r="L1203" s="295">
        <v>1442.84</v>
      </c>
      <c r="O1203" s="266">
        <v>0</v>
      </c>
      <c r="P1203" s="266">
        <v>691991012013</v>
      </c>
      <c r="R1203" s="265">
        <v>0</v>
      </c>
      <c r="S1203" s="265">
        <v>0</v>
      </c>
      <c r="T1203" s="265">
        <v>0</v>
      </c>
      <c r="U1203" s="265">
        <v>0</v>
      </c>
      <c r="V1203" s="259"/>
      <c r="Y1203" s="259">
        <v>290</v>
      </c>
      <c r="Z1203" s="259" t="s">
        <v>3037</v>
      </c>
      <c r="AA1203" s="259" t="e">
        <v>#N/A</v>
      </c>
      <c r="AB1203" s="259"/>
      <c r="AC1203" s="259"/>
      <c r="AD1203" s="259"/>
      <c r="AE1203" s="259"/>
    </row>
    <row r="1204" spans="1:31">
      <c r="A1204" s="259" t="s">
        <v>1299</v>
      </c>
      <c r="B1204" s="259" t="s">
        <v>80</v>
      </c>
      <c r="C1204" s="264" t="s">
        <v>6279</v>
      </c>
      <c r="D1204" s="264" t="s">
        <v>1299</v>
      </c>
      <c r="E1204" s="259" t="s">
        <v>6255</v>
      </c>
      <c r="F1204" s="259" t="s">
        <v>5021</v>
      </c>
      <c r="H1204" s="264" t="s">
        <v>6286</v>
      </c>
      <c r="I1204" s="264" t="s">
        <v>6287</v>
      </c>
      <c r="J1204" s="295">
        <v>2787.47</v>
      </c>
      <c r="K1204" s="295">
        <v>2787.47</v>
      </c>
      <c r="L1204" s="295">
        <v>1672</v>
      </c>
      <c r="O1204" s="266">
        <v>0</v>
      </c>
      <c r="R1204" s="265">
        <v>0</v>
      </c>
      <c r="S1204" s="265">
        <v>0</v>
      </c>
      <c r="T1204" s="265">
        <v>0</v>
      </c>
      <c r="U1204" s="265">
        <v>0</v>
      </c>
      <c r="V1204" s="259" t="s">
        <v>3996</v>
      </c>
      <c r="Y1204" s="259">
        <v>291</v>
      </c>
      <c r="Z1204" s="259" t="s">
        <v>3264</v>
      </c>
      <c r="AA1204" s="259" t="e">
        <v>#N/A</v>
      </c>
      <c r="AB1204" s="259"/>
      <c r="AC1204" s="259"/>
      <c r="AD1204" s="259"/>
      <c r="AE1204" s="259"/>
    </row>
    <row r="1205" spans="1:31">
      <c r="A1205" s="259" t="s">
        <v>1300</v>
      </c>
      <c r="B1205" s="259" t="s">
        <v>80</v>
      </c>
      <c r="C1205" s="264" t="s">
        <v>6279</v>
      </c>
      <c r="D1205" s="264" t="s">
        <v>1300</v>
      </c>
      <c r="E1205" s="259" t="s">
        <v>6255</v>
      </c>
      <c r="F1205" s="259" t="s">
        <v>5021</v>
      </c>
      <c r="H1205" s="264" t="s">
        <v>6288</v>
      </c>
      <c r="I1205" s="264" t="s">
        <v>6289</v>
      </c>
      <c r="J1205" s="295">
        <v>2787.47</v>
      </c>
      <c r="K1205" s="295">
        <v>2787.47</v>
      </c>
      <c r="L1205" s="295">
        <v>1754.44</v>
      </c>
      <c r="O1205" s="266">
        <v>0</v>
      </c>
      <c r="R1205" s="265">
        <v>0</v>
      </c>
      <c r="S1205" s="265">
        <v>0</v>
      </c>
      <c r="T1205" s="265">
        <v>0</v>
      </c>
      <c r="U1205" s="265">
        <v>0</v>
      </c>
      <c r="V1205" s="259"/>
      <c r="Y1205" s="259">
        <v>292</v>
      </c>
      <c r="Z1205" s="259" t="s">
        <v>3037</v>
      </c>
      <c r="AA1205" s="259" t="e">
        <v>#N/A</v>
      </c>
      <c r="AB1205" s="259"/>
      <c r="AC1205" s="259"/>
      <c r="AD1205" s="259"/>
      <c r="AE1205" s="259"/>
    </row>
    <row r="1206" spans="1:31">
      <c r="A1206" s="259" t="s">
        <v>1301</v>
      </c>
      <c r="B1206" s="259" t="s">
        <v>80</v>
      </c>
      <c r="C1206" s="264" t="s">
        <v>6262</v>
      </c>
      <c r="D1206" s="264" t="s">
        <v>1301</v>
      </c>
      <c r="E1206" s="259" t="s">
        <v>6255</v>
      </c>
      <c r="F1206" s="259" t="s">
        <v>5021</v>
      </c>
      <c r="H1206" s="264" t="s">
        <v>6290</v>
      </c>
      <c r="I1206" s="264" t="s">
        <v>6291</v>
      </c>
      <c r="J1206" s="295">
        <v>6455.19</v>
      </c>
      <c r="K1206" s="295">
        <v>6455</v>
      </c>
      <c r="L1206" s="295">
        <v>3872.62</v>
      </c>
      <c r="O1206" s="266">
        <v>0</v>
      </c>
      <c r="R1206" s="265">
        <v>30</v>
      </c>
      <c r="S1206" s="265">
        <v>9</v>
      </c>
      <c r="T1206" s="265">
        <v>8</v>
      </c>
      <c r="U1206" s="265">
        <v>48</v>
      </c>
      <c r="V1206" s="259" t="s">
        <v>3218</v>
      </c>
      <c r="Y1206" s="259">
        <v>293</v>
      </c>
      <c r="Z1206" s="259" t="s">
        <v>3264</v>
      </c>
      <c r="AA1206" s="259" t="e">
        <v>#N/A</v>
      </c>
      <c r="AB1206" s="259"/>
      <c r="AC1206" s="259"/>
      <c r="AD1206" s="259"/>
      <c r="AE1206" s="259"/>
    </row>
    <row r="1207" spans="1:31">
      <c r="A1207" s="259" t="s">
        <v>1302</v>
      </c>
      <c r="B1207" s="259" t="s">
        <v>80</v>
      </c>
      <c r="C1207" s="264" t="s">
        <v>6262</v>
      </c>
      <c r="D1207" s="264" t="s">
        <v>1302</v>
      </c>
      <c r="E1207" s="259" t="s">
        <v>6255</v>
      </c>
      <c r="F1207" s="259" t="s">
        <v>5021</v>
      </c>
      <c r="H1207" s="264" t="s">
        <v>6292</v>
      </c>
      <c r="I1207" s="264" t="s">
        <v>6293</v>
      </c>
      <c r="J1207" s="295">
        <v>6455.19</v>
      </c>
      <c r="K1207" s="295">
        <v>6455</v>
      </c>
      <c r="L1207" s="295">
        <v>3872.62</v>
      </c>
      <c r="O1207" s="266">
        <v>0</v>
      </c>
      <c r="R1207" s="265">
        <v>0</v>
      </c>
      <c r="S1207" s="265">
        <v>0</v>
      </c>
      <c r="T1207" s="265">
        <v>0</v>
      </c>
      <c r="U1207" s="265">
        <v>0</v>
      </c>
      <c r="V1207" s="259" t="s">
        <v>3996</v>
      </c>
      <c r="Y1207" s="259">
        <v>294</v>
      </c>
      <c r="Z1207" s="259" t="s">
        <v>3264</v>
      </c>
      <c r="AA1207" s="259" t="e">
        <v>#N/A</v>
      </c>
      <c r="AB1207" s="259"/>
      <c r="AC1207" s="259"/>
      <c r="AD1207" s="259"/>
      <c r="AE1207" s="259"/>
    </row>
    <row r="1208" spans="1:31">
      <c r="A1208" s="259" t="s">
        <v>1303</v>
      </c>
      <c r="B1208" s="259" t="s">
        <v>80</v>
      </c>
      <c r="C1208" s="264" t="s">
        <v>6265</v>
      </c>
      <c r="D1208" s="264" t="s">
        <v>1303</v>
      </c>
      <c r="E1208" s="259" t="s">
        <v>6255</v>
      </c>
      <c r="F1208" s="259" t="s">
        <v>5021</v>
      </c>
      <c r="H1208" s="264" t="s">
        <v>6294</v>
      </c>
      <c r="I1208" s="264" t="s">
        <v>6295</v>
      </c>
      <c r="J1208" s="295">
        <v>9463.33</v>
      </c>
      <c r="K1208" s="295">
        <v>9463</v>
      </c>
      <c r="L1208" s="295">
        <v>5677.99</v>
      </c>
      <c r="O1208" s="266">
        <v>0</v>
      </c>
      <c r="R1208" s="265">
        <v>0</v>
      </c>
      <c r="S1208" s="265">
        <v>0</v>
      </c>
      <c r="T1208" s="265">
        <v>0</v>
      </c>
      <c r="U1208" s="265">
        <v>0</v>
      </c>
      <c r="V1208" s="259" t="s">
        <v>3996</v>
      </c>
      <c r="Y1208" s="259">
        <v>295</v>
      </c>
      <c r="Z1208" s="259" t="s">
        <v>3037</v>
      </c>
      <c r="AA1208" s="259" t="e">
        <v>#N/A</v>
      </c>
      <c r="AB1208" s="259"/>
      <c r="AC1208" s="259"/>
      <c r="AD1208" s="259"/>
      <c r="AE1208" s="259"/>
    </row>
    <row r="1209" spans="1:31">
      <c r="A1209" s="259" t="s">
        <v>1304</v>
      </c>
      <c r="B1209" s="259" t="s">
        <v>80</v>
      </c>
      <c r="C1209" s="264" t="s">
        <v>6265</v>
      </c>
      <c r="D1209" s="264" t="s">
        <v>1304</v>
      </c>
      <c r="E1209" s="259" t="s">
        <v>6255</v>
      </c>
      <c r="F1209" s="259" t="s">
        <v>5021</v>
      </c>
      <c r="H1209" s="264" t="s">
        <v>6296</v>
      </c>
      <c r="I1209" s="264" t="s">
        <v>6297</v>
      </c>
      <c r="J1209" s="295">
        <v>9463.33</v>
      </c>
      <c r="K1209" s="295">
        <v>9463</v>
      </c>
      <c r="L1209" s="295">
        <v>5677.99</v>
      </c>
      <c r="O1209" s="266">
        <v>0</v>
      </c>
      <c r="R1209" s="265">
        <v>0</v>
      </c>
      <c r="S1209" s="265">
        <v>0</v>
      </c>
      <c r="T1209" s="265">
        <v>0</v>
      </c>
      <c r="U1209" s="265">
        <v>0</v>
      </c>
      <c r="V1209" s="259" t="s">
        <v>3996</v>
      </c>
      <c r="Y1209" s="259">
        <v>296</v>
      </c>
      <c r="Z1209" s="259" t="s">
        <v>3037</v>
      </c>
      <c r="AA1209" s="259" t="e">
        <v>#N/A</v>
      </c>
      <c r="AB1209" s="259"/>
      <c r="AC1209" s="259"/>
      <c r="AD1209" s="259"/>
      <c r="AE1209" s="259"/>
    </row>
    <row r="1210" spans="1:31">
      <c r="A1210" s="259" t="s">
        <v>1305</v>
      </c>
      <c r="B1210" s="259" t="s">
        <v>80</v>
      </c>
      <c r="C1210" s="264" t="s">
        <v>6265</v>
      </c>
      <c r="D1210" s="264" t="s">
        <v>1305</v>
      </c>
      <c r="E1210" s="259" t="s">
        <v>6255</v>
      </c>
      <c r="F1210" s="259" t="s">
        <v>5021</v>
      </c>
      <c r="H1210" s="264" t="s">
        <v>6298</v>
      </c>
      <c r="I1210" s="264" t="s">
        <v>6299</v>
      </c>
      <c r="J1210" s="295">
        <v>9463.33</v>
      </c>
      <c r="K1210" s="295">
        <v>9463</v>
      </c>
      <c r="L1210" s="295">
        <v>5677.99</v>
      </c>
      <c r="O1210" s="266">
        <v>0</v>
      </c>
      <c r="P1210" s="266">
        <v>691991012020</v>
      </c>
      <c r="R1210" s="265">
        <v>0</v>
      </c>
      <c r="S1210" s="265">
        <v>0</v>
      </c>
      <c r="T1210" s="265">
        <v>0</v>
      </c>
      <c r="U1210" s="265">
        <v>0</v>
      </c>
      <c r="V1210" s="259" t="s">
        <v>3996</v>
      </c>
      <c r="Y1210" s="259">
        <v>297</v>
      </c>
      <c r="Z1210" s="259" t="s">
        <v>3264</v>
      </c>
      <c r="AA1210" s="259" t="e">
        <v>#N/A</v>
      </c>
      <c r="AB1210" s="259"/>
      <c r="AC1210" s="259"/>
      <c r="AD1210" s="259"/>
      <c r="AE1210" s="259"/>
    </row>
    <row r="1211" spans="1:31">
      <c r="A1211" s="259" t="s">
        <v>1306</v>
      </c>
      <c r="B1211" s="259" t="s">
        <v>80</v>
      </c>
      <c r="C1211" s="264" t="s">
        <v>6300</v>
      </c>
      <c r="D1211" s="264" t="s">
        <v>1306</v>
      </c>
      <c r="E1211" s="259" t="s">
        <v>6255</v>
      </c>
      <c r="F1211" s="259" t="s">
        <v>5021</v>
      </c>
      <c r="H1211" s="264" t="s">
        <v>6301</v>
      </c>
      <c r="I1211" s="264" t="s">
        <v>6302</v>
      </c>
      <c r="J1211" s="295">
        <v>12830.57</v>
      </c>
      <c r="K1211" s="295">
        <v>12830</v>
      </c>
      <c r="L1211" s="295">
        <v>7698.58</v>
      </c>
      <c r="O1211" s="266">
        <v>0</v>
      </c>
      <c r="P1211" s="266">
        <v>691991035944</v>
      </c>
      <c r="R1211" s="265">
        <v>0</v>
      </c>
      <c r="S1211" s="265">
        <v>0</v>
      </c>
      <c r="T1211" s="265">
        <v>0</v>
      </c>
      <c r="U1211" s="265">
        <v>0</v>
      </c>
      <c r="V1211" s="259" t="s">
        <v>3996</v>
      </c>
      <c r="Y1211" s="259">
        <v>298</v>
      </c>
      <c r="Z1211" s="259" t="s">
        <v>3030</v>
      </c>
      <c r="AA1211" s="259" t="e">
        <v>#N/A</v>
      </c>
      <c r="AB1211" s="259"/>
      <c r="AC1211" s="259"/>
      <c r="AD1211" s="259"/>
      <c r="AE1211" s="259"/>
    </row>
    <row r="1212" spans="1:31">
      <c r="A1212" s="259" t="s">
        <v>1307</v>
      </c>
      <c r="B1212" s="259" t="s">
        <v>80</v>
      </c>
      <c r="C1212" s="264" t="s">
        <v>6300</v>
      </c>
      <c r="D1212" s="264" t="s">
        <v>1307</v>
      </c>
      <c r="F1212" s="259" t="s">
        <v>5021</v>
      </c>
      <c r="H1212" s="264" t="s">
        <v>6303</v>
      </c>
      <c r="I1212" s="264" t="s">
        <v>6304</v>
      </c>
      <c r="J1212" s="295">
        <v>12830.97</v>
      </c>
      <c r="K1212" s="295">
        <v>0</v>
      </c>
      <c r="L1212" s="295">
        <v>0</v>
      </c>
      <c r="O1212" s="266">
        <v>0</v>
      </c>
      <c r="P1212" s="266">
        <v>691991035968</v>
      </c>
      <c r="R1212" s="265">
        <v>0</v>
      </c>
      <c r="S1212" s="265">
        <v>0</v>
      </c>
      <c r="T1212" s="265">
        <v>0</v>
      </c>
      <c r="U1212" s="265">
        <v>0</v>
      </c>
      <c r="V1212" s="259" t="s">
        <v>3996</v>
      </c>
      <c r="Y1212" s="259">
        <v>299</v>
      </c>
      <c r="Z1212" s="259" t="s">
        <v>3030</v>
      </c>
      <c r="AA1212" s="259" t="e">
        <v>#N/A</v>
      </c>
      <c r="AB1212" s="259"/>
      <c r="AC1212" s="259"/>
      <c r="AD1212" s="259"/>
      <c r="AE1212" s="259"/>
    </row>
    <row r="1213" spans="1:31">
      <c r="A1213" s="259" t="s">
        <v>1308</v>
      </c>
      <c r="B1213" s="259" t="s">
        <v>80</v>
      </c>
      <c r="C1213" s="264" t="s">
        <v>6265</v>
      </c>
      <c r="D1213" s="264" t="s">
        <v>1308</v>
      </c>
      <c r="E1213" s="259" t="s">
        <v>6255</v>
      </c>
      <c r="F1213" s="259" t="s">
        <v>5021</v>
      </c>
      <c r="H1213" s="264" t="s">
        <v>6305</v>
      </c>
      <c r="I1213" s="264" t="s">
        <v>6306</v>
      </c>
      <c r="J1213" s="295">
        <v>9463.33</v>
      </c>
      <c r="K1213" s="295">
        <v>9463</v>
      </c>
      <c r="L1213" s="295">
        <v>5677.99</v>
      </c>
      <c r="O1213" s="266">
        <v>0</v>
      </c>
      <c r="P1213" s="266">
        <v>691991012037</v>
      </c>
      <c r="R1213" s="265">
        <v>0</v>
      </c>
      <c r="S1213" s="265">
        <v>0</v>
      </c>
      <c r="T1213" s="265">
        <v>0</v>
      </c>
      <c r="U1213" s="265">
        <v>0</v>
      </c>
      <c r="V1213" s="259" t="s">
        <v>3996</v>
      </c>
      <c r="Y1213" s="259">
        <v>300</v>
      </c>
      <c r="Z1213" s="259" t="s">
        <v>3264</v>
      </c>
      <c r="AA1213" s="259" t="e">
        <v>#N/A</v>
      </c>
      <c r="AB1213" s="259"/>
      <c r="AC1213" s="259"/>
      <c r="AD1213" s="259"/>
      <c r="AE1213" s="259"/>
    </row>
    <row r="1214" spans="1:31">
      <c r="A1214" s="259" t="s">
        <v>1309</v>
      </c>
      <c r="B1214" s="259" t="s">
        <v>80</v>
      </c>
      <c r="C1214" s="264" t="s">
        <v>6273</v>
      </c>
      <c r="D1214" s="264" t="s">
        <v>1309</v>
      </c>
      <c r="E1214" s="259" t="s">
        <v>6255</v>
      </c>
      <c r="F1214" s="259" t="s">
        <v>5021</v>
      </c>
      <c r="H1214" s="264" t="s">
        <v>6307</v>
      </c>
      <c r="I1214" s="264" t="s">
        <v>6308</v>
      </c>
      <c r="J1214" s="295">
        <v>22434.32</v>
      </c>
      <c r="K1214" s="295">
        <v>22434</v>
      </c>
      <c r="L1214" s="295">
        <v>13460.84</v>
      </c>
      <c r="O1214" s="266">
        <v>0</v>
      </c>
      <c r="R1214" s="265">
        <v>0</v>
      </c>
      <c r="S1214" s="265">
        <v>0</v>
      </c>
      <c r="T1214" s="265">
        <v>0</v>
      </c>
      <c r="U1214" s="265">
        <v>0</v>
      </c>
      <c r="V1214" s="259" t="s">
        <v>3996</v>
      </c>
      <c r="Y1214" s="259">
        <v>301</v>
      </c>
      <c r="Z1214" s="259" t="s">
        <v>3037</v>
      </c>
      <c r="AA1214" s="259" t="e">
        <v>#N/A</v>
      </c>
      <c r="AB1214" s="259"/>
      <c r="AC1214" s="259"/>
      <c r="AD1214" s="259"/>
      <c r="AE1214" s="259"/>
    </row>
    <row r="1215" spans="1:31">
      <c r="A1215" s="259" t="s">
        <v>1310</v>
      </c>
      <c r="B1215" s="259" t="s">
        <v>80</v>
      </c>
      <c r="C1215" s="264" t="s">
        <v>6273</v>
      </c>
      <c r="D1215" s="264" t="s">
        <v>1310</v>
      </c>
      <c r="F1215" s="259" t="s">
        <v>5021</v>
      </c>
      <c r="H1215" s="264" t="s">
        <v>6309</v>
      </c>
      <c r="I1215" s="264" t="s">
        <v>6310</v>
      </c>
      <c r="J1215" s="295">
        <v>22434.32</v>
      </c>
      <c r="K1215" s="295">
        <v>22434</v>
      </c>
      <c r="L1215" s="295">
        <v>13460.84</v>
      </c>
      <c r="O1215" s="266">
        <v>0</v>
      </c>
      <c r="R1215" s="265">
        <v>0</v>
      </c>
      <c r="S1215" s="265">
        <v>0</v>
      </c>
      <c r="T1215" s="265">
        <v>0</v>
      </c>
      <c r="U1215" s="265">
        <v>0</v>
      </c>
      <c r="V1215" s="259" t="s">
        <v>3996</v>
      </c>
      <c r="Y1215" s="259">
        <v>302</v>
      </c>
      <c r="Z1215" s="259" t="s">
        <v>3037</v>
      </c>
      <c r="AA1215" s="259" t="e">
        <v>#N/A</v>
      </c>
      <c r="AB1215" s="259"/>
      <c r="AC1215" s="259"/>
      <c r="AD1215" s="259"/>
      <c r="AE1215" s="259"/>
    </row>
    <row r="1216" spans="1:31">
      <c r="A1216" s="259" t="s">
        <v>1311</v>
      </c>
      <c r="B1216" s="259" t="s">
        <v>80</v>
      </c>
      <c r="C1216" s="264" t="s">
        <v>6273</v>
      </c>
      <c r="D1216" s="264" t="s">
        <v>1311</v>
      </c>
      <c r="E1216" s="259" t="s">
        <v>6255</v>
      </c>
      <c r="F1216" s="259" t="s">
        <v>5021</v>
      </c>
      <c r="H1216" s="264" t="s">
        <v>6311</v>
      </c>
      <c r="I1216" s="264" t="s">
        <v>6312</v>
      </c>
      <c r="J1216" s="295">
        <v>22434.32</v>
      </c>
      <c r="K1216" s="295">
        <v>22434</v>
      </c>
      <c r="L1216" s="295">
        <v>13460.84</v>
      </c>
      <c r="O1216" s="266">
        <v>0</v>
      </c>
      <c r="R1216" s="265">
        <v>0</v>
      </c>
      <c r="S1216" s="265">
        <v>0</v>
      </c>
      <c r="T1216" s="265">
        <v>0</v>
      </c>
      <c r="U1216" s="265">
        <v>0</v>
      </c>
      <c r="V1216" s="259" t="s">
        <v>3996</v>
      </c>
      <c r="Y1216" s="259">
        <v>303</v>
      </c>
      <c r="Z1216" s="259" t="s">
        <v>3037</v>
      </c>
      <c r="AA1216" s="259" t="e">
        <v>#N/A</v>
      </c>
      <c r="AB1216" s="259"/>
      <c r="AC1216" s="259"/>
      <c r="AD1216" s="259"/>
      <c r="AE1216" s="259"/>
    </row>
    <row r="1217" spans="1:31">
      <c r="A1217" s="259" t="s">
        <v>1312</v>
      </c>
      <c r="B1217" s="259" t="s">
        <v>80</v>
      </c>
      <c r="C1217" s="264" t="s">
        <v>6273</v>
      </c>
      <c r="D1217" s="264" t="s">
        <v>1312</v>
      </c>
      <c r="F1217" s="259" t="s">
        <v>5021</v>
      </c>
      <c r="H1217" s="264" t="s">
        <v>6313</v>
      </c>
      <c r="I1217" s="264" t="s">
        <v>6314</v>
      </c>
      <c r="J1217" s="295">
        <v>22434.32</v>
      </c>
      <c r="K1217" s="295">
        <v>22434</v>
      </c>
      <c r="L1217" s="295">
        <v>13460.84</v>
      </c>
      <c r="O1217" s="266">
        <v>0</v>
      </c>
      <c r="R1217" s="265">
        <v>0</v>
      </c>
      <c r="S1217" s="265">
        <v>0</v>
      </c>
      <c r="T1217" s="265">
        <v>0</v>
      </c>
      <c r="U1217" s="265">
        <v>0</v>
      </c>
      <c r="V1217" s="259" t="s">
        <v>3996</v>
      </c>
      <c r="Y1217" s="259">
        <v>304</v>
      </c>
      <c r="Z1217" s="259" t="s">
        <v>3037</v>
      </c>
      <c r="AA1217" s="259" t="e">
        <v>#N/A</v>
      </c>
      <c r="AB1217" s="259"/>
      <c r="AC1217" s="259"/>
      <c r="AD1217" s="259"/>
      <c r="AE1217" s="259"/>
    </row>
    <row r="1218" spans="1:31">
      <c r="A1218" s="259" t="s">
        <v>1313</v>
      </c>
      <c r="B1218" s="259" t="s">
        <v>80</v>
      </c>
      <c r="C1218" s="264" t="s">
        <v>6276</v>
      </c>
      <c r="D1218" s="264" t="s">
        <v>1313</v>
      </c>
      <c r="E1218" s="259" t="s">
        <v>6255</v>
      </c>
      <c r="F1218" s="259" t="s">
        <v>5021</v>
      </c>
      <c r="H1218" s="264" t="s">
        <v>6315</v>
      </c>
      <c r="I1218" s="264" t="s">
        <v>6316</v>
      </c>
      <c r="J1218" s="295">
        <v>25551.58</v>
      </c>
      <c r="K1218" s="295">
        <v>25551</v>
      </c>
      <c r="L1218" s="295">
        <v>15331.68</v>
      </c>
      <c r="O1218" s="266">
        <v>0</v>
      </c>
      <c r="R1218" s="265">
        <v>0</v>
      </c>
      <c r="S1218" s="265">
        <v>0</v>
      </c>
      <c r="T1218" s="265">
        <v>0</v>
      </c>
      <c r="U1218" s="265">
        <v>0</v>
      </c>
      <c r="V1218" s="259" t="s">
        <v>3996</v>
      </c>
      <c r="Y1218" s="259">
        <v>305</v>
      </c>
      <c r="Z1218" s="259" t="s">
        <v>3037</v>
      </c>
      <c r="AA1218" s="259" t="e">
        <v>#N/A</v>
      </c>
      <c r="AB1218" s="259"/>
      <c r="AC1218" s="259"/>
      <c r="AD1218" s="259"/>
      <c r="AE1218" s="259"/>
    </row>
    <row r="1219" spans="1:31">
      <c r="A1219" s="259" t="s">
        <v>1314</v>
      </c>
      <c r="B1219" s="259" t="s">
        <v>80</v>
      </c>
      <c r="C1219" s="264" t="s">
        <v>6276</v>
      </c>
      <c r="D1219" s="264" t="s">
        <v>1314</v>
      </c>
      <c r="F1219" s="259" t="s">
        <v>5021</v>
      </c>
      <c r="H1219" s="264" t="s">
        <v>6317</v>
      </c>
      <c r="I1219" s="264" t="s">
        <v>6318</v>
      </c>
      <c r="J1219" s="295">
        <v>25551.58</v>
      </c>
      <c r="K1219" s="295">
        <v>25551</v>
      </c>
      <c r="L1219" s="295">
        <v>15331.68</v>
      </c>
      <c r="O1219" s="266"/>
      <c r="R1219" s="265">
        <v>0</v>
      </c>
      <c r="S1219" s="265">
        <v>0</v>
      </c>
      <c r="T1219" s="265">
        <v>0</v>
      </c>
      <c r="U1219" s="265">
        <v>0</v>
      </c>
      <c r="V1219" s="259" t="s">
        <v>3996</v>
      </c>
      <c r="Y1219" s="259">
        <v>306</v>
      </c>
      <c r="Z1219" s="259" t="s">
        <v>3037</v>
      </c>
      <c r="AA1219" s="259" t="e">
        <v>#N/A</v>
      </c>
      <c r="AB1219" s="259"/>
      <c r="AC1219" s="259"/>
      <c r="AD1219" s="259"/>
      <c r="AE1219" s="259"/>
    </row>
    <row r="1220" spans="1:31">
      <c r="A1220" s="259" t="s">
        <v>1315</v>
      </c>
      <c r="B1220" s="259" t="s">
        <v>80</v>
      </c>
      <c r="C1220" s="264" t="s">
        <v>6276</v>
      </c>
      <c r="D1220" s="264" t="s">
        <v>1315</v>
      </c>
      <c r="E1220" s="259" t="s">
        <v>6255</v>
      </c>
      <c r="F1220" s="259" t="s">
        <v>5021</v>
      </c>
      <c r="H1220" s="264" t="s">
        <v>6319</v>
      </c>
      <c r="I1220" s="264" t="s">
        <v>6320</v>
      </c>
      <c r="J1220" s="295">
        <v>25551.58</v>
      </c>
      <c r="K1220" s="295">
        <v>25551</v>
      </c>
      <c r="L1220" s="295">
        <v>15331.68</v>
      </c>
      <c r="O1220" s="266">
        <v>0</v>
      </c>
      <c r="R1220" s="265">
        <v>0</v>
      </c>
      <c r="S1220" s="265">
        <v>0</v>
      </c>
      <c r="T1220" s="265">
        <v>0</v>
      </c>
      <c r="U1220" s="265">
        <v>0</v>
      </c>
      <c r="V1220" s="259" t="s">
        <v>3996</v>
      </c>
      <c r="Y1220" s="259">
        <v>307</v>
      </c>
      <c r="Z1220" s="259" t="s">
        <v>3037</v>
      </c>
      <c r="AA1220" s="259" t="e">
        <v>#N/A</v>
      </c>
      <c r="AB1220" s="259"/>
      <c r="AC1220" s="259"/>
      <c r="AD1220" s="259"/>
      <c r="AE1220" s="259"/>
    </row>
    <row r="1221" spans="1:31">
      <c r="A1221" s="259" t="s">
        <v>1316</v>
      </c>
      <c r="B1221" s="259" t="s">
        <v>80</v>
      </c>
      <c r="C1221" s="264" t="s">
        <v>6276</v>
      </c>
      <c r="D1221" s="264" t="s">
        <v>1316</v>
      </c>
      <c r="E1221" s="259" t="s">
        <v>6255</v>
      </c>
      <c r="F1221" s="259" t="s">
        <v>5021</v>
      </c>
      <c r="H1221" s="264" t="s">
        <v>6321</v>
      </c>
      <c r="I1221" s="264" t="s">
        <v>6322</v>
      </c>
      <c r="J1221" s="295">
        <v>25551.58</v>
      </c>
      <c r="K1221" s="295">
        <v>25551</v>
      </c>
      <c r="L1221" s="295">
        <v>15331.68</v>
      </c>
      <c r="O1221" s="266">
        <v>0</v>
      </c>
      <c r="R1221" s="265">
        <v>0</v>
      </c>
      <c r="S1221" s="265">
        <v>0</v>
      </c>
      <c r="T1221" s="265">
        <v>0</v>
      </c>
      <c r="U1221" s="265">
        <v>0</v>
      </c>
      <c r="V1221" s="259" t="s">
        <v>3218</v>
      </c>
      <c r="Y1221" s="259">
        <v>308</v>
      </c>
      <c r="Z1221" s="259" t="s">
        <v>3037</v>
      </c>
      <c r="AA1221" s="259" t="e">
        <v>#N/A</v>
      </c>
      <c r="AB1221" s="259"/>
      <c r="AC1221" s="259"/>
      <c r="AD1221" s="259"/>
      <c r="AE1221" s="259"/>
    </row>
    <row r="1222" spans="1:31">
      <c r="A1222" s="259" t="s">
        <v>1317</v>
      </c>
      <c r="B1222" s="259" t="s">
        <v>80</v>
      </c>
      <c r="C1222" s="264" t="s">
        <v>6323</v>
      </c>
      <c r="D1222" s="264" t="s">
        <v>1317</v>
      </c>
      <c r="E1222" s="259" t="s">
        <v>6255</v>
      </c>
      <c r="F1222" s="259" t="s">
        <v>5021</v>
      </c>
      <c r="H1222" s="264" t="s">
        <v>6324</v>
      </c>
      <c r="I1222" s="264" t="s">
        <v>6325</v>
      </c>
      <c r="J1222" s="295">
        <v>18338.61</v>
      </c>
      <c r="K1222" s="295">
        <v>18338</v>
      </c>
      <c r="L1222" s="295">
        <v>11003.16</v>
      </c>
      <c r="O1222" s="266">
        <v>0</v>
      </c>
      <c r="R1222" s="265">
        <v>0</v>
      </c>
      <c r="S1222" s="265">
        <v>0</v>
      </c>
      <c r="T1222" s="265">
        <v>0</v>
      </c>
      <c r="U1222" s="265">
        <v>0</v>
      </c>
      <c r="V1222" s="259" t="s">
        <v>3996</v>
      </c>
      <c r="Y1222" s="259">
        <v>309</v>
      </c>
      <c r="Z1222" s="259" t="s">
        <v>3037</v>
      </c>
      <c r="AA1222" s="259" t="e">
        <v>#N/A</v>
      </c>
      <c r="AB1222" s="259"/>
      <c r="AC1222" s="259"/>
      <c r="AD1222" s="259"/>
      <c r="AE1222" s="259"/>
    </row>
    <row r="1223" spans="1:31">
      <c r="A1223" s="259" t="s">
        <v>1318</v>
      </c>
      <c r="B1223" s="259" t="s">
        <v>80</v>
      </c>
      <c r="C1223" s="264" t="s">
        <v>6323</v>
      </c>
      <c r="D1223" s="264" t="s">
        <v>1318</v>
      </c>
      <c r="F1223" s="259" t="s">
        <v>5021</v>
      </c>
      <c r="H1223" s="264" t="s">
        <v>6326</v>
      </c>
      <c r="I1223" s="264" t="s">
        <v>6327</v>
      </c>
      <c r="J1223" s="295">
        <v>18338.61</v>
      </c>
      <c r="K1223" s="295">
        <v>18338</v>
      </c>
      <c r="L1223" s="295">
        <v>11003.16</v>
      </c>
      <c r="O1223" s="266">
        <v>0</v>
      </c>
      <c r="R1223" s="265">
        <v>0</v>
      </c>
      <c r="S1223" s="265">
        <v>0</v>
      </c>
      <c r="T1223" s="265">
        <v>0</v>
      </c>
      <c r="U1223" s="265">
        <v>0</v>
      </c>
      <c r="V1223" s="259" t="s">
        <v>3996</v>
      </c>
      <c r="Y1223" s="259">
        <v>310</v>
      </c>
      <c r="Z1223" s="259" t="s">
        <v>3037</v>
      </c>
      <c r="AA1223" s="259" t="e">
        <v>#N/A</v>
      </c>
      <c r="AB1223" s="259"/>
      <c r="AC1223" s="259"/>
      <c r="AD1223" s="259"/>
      <c r="AE1223" s="259"/>
    </row>
    <row r="1224" spans="1:31">
      <c r="A1224" s="259" t="s">
        <v>1319</v>
      </c>
      <c r="B1224" s="259" t="s">
        <v>80</v>
      </c>
      <c r="C1224" s="264" t="s">
        <v>6323</v>
      </c>
      <c r="D1224" s="264" t="s">
        <v>1319</v>
      </c>
      <c r="E1224" s="259" t="s">
        <v>6255</v>
      </c>
      <c r="F1224" s="259" t="s">
        <v>5021</v>
      </c>
      <c r="H1224" s="264" t="s">
        <v>6328</v>
      </c>
      <c r="I1224" s="264" t="s">
        <v>6329</v>
      </c>
      <c r="J1224" s="295">
        <v>18338.61</v>
      </c>
      <c r="K1224" s="295">
        <v>18338</v>
      </c>
      <c r="L1224" s="295">
        <v>11003.16</v>
      </c>
      <c r="O1224" s="266">
        <v>0</v>
      </c>
      <c r="P1224" s="266">
        <v>691991012068</v>
      </c>
      <c r="R1224" s="265">
        <v>425</v>
      </c>
      <c r="S1224" s="265">
        <v>185</v>
      </c>
      <c r="T1224" s="265">
        <v>6.5</v>
      </c>
      <c r="U1224" s="265">
        <v>10</v>
      </c>
      <c r="V1224" s="259" t="s">
        <v>3218</v>
      </c>
      <c r="Y1224" s="259">
        <v>311</v>
      </c>
      <c r="Z1224" s="259" t="s">
        <v>3037</v>
      </c>
      <c r="AA1224" s="259" t="e">
        <v>#N/A</v>
      </c>
      <c r="AB1224" s="259"/>
      <c r="AC1224" s="259"/>
      <c r="AD1224" s="259"/>
      <c r="AE1224" s="259"/>
    </row>
    <row r="1225" spans="1:31">
      <c r="A1225" s="259" t="s">
        <v>1320</v>
      </c>
      <c r="B1225" s="259" t="s">
        <v>80</v>
      </c>
      <c r="C1225" s="264" t="s">
        <v>6323</v>
      </c>
      <c r="D1225" s="264" t="s">
        <v>1320</v>
      </c>
      <c r="E1225" s="259" t="s">
        <v>6255</v>
      </c>
      <c r="F1225" s="259" t="s">
        <v>5021</v>
      </c>
      <c r="H1225" s="264" t="s">
        <v>6330</v>
      </c>
      <c r="I1225" s="264" t="s">
        <v>6331</v>
      </c>
      <c r="J1225" s="295">
        <v>18338.61</v>
      </c>
      <c r="K1225" s="295">
        <v>18338</v>
      </c>
      <c r="L1225" s="295">
        <v>11003.16</v>
      </c>
      <c r="O1225" s="266">
        <v>0</v>
      </c>
      <c r="P1225" s="266">
        <v>691991012075</v>
      </c>
      <c r="R1225" s="265">
        <v>0</v>
      </c>
      <c r="S1225" s="265">
        <v>0</v>
      </c>
      <c r="T1225" s="265">
        <v>0</v>
      </c>
      <c r="U1225" s="265">
        <v>0</v>
      </c>
      <c r="V1225" s="259" t="s">
        <v>3996</v>
      </c>
      <c r="Y1225" s="259">
        <v>312</v>
      </c>
      <c r="Z1225" s="259" t="s">
        <v>3037</v>
      </c>
      <c r="AA1225" s="259" t="e">
        <v>#N/A</v>
      </c>
      <c r="AB1225" s="259"/>
      <c r="AC1225" s="259"/>
      <c r="AD1225" s="259"/>
      <c r="AE1225" s="259"/>
    </row>
    <row r="1226" spans="1:31">
      <c r="A1226" s="259" t="s">
        <v>1321</v>
      </c>
      <c r="B1226" s="259" t="s">
        <v>80</v>
      </c>
      <c r="C1226" s="264"/>
      <c r="D1226" s="264"/>
      <c r="H1226" s="264"/>
      <c r="I1226" s="264" t="s">
        <v>6261</v>
      </c>
      <c r="J1226" s="295">
        <v>0</v>
      </c>
      <c r="K1226" s="295">
        <v>0</v>
      </c>
      <c r="L1226" s="295">
        <v>0</v>
      </c>
      <c r="O1226" s="266"/>
      <c r="R1226" s="265">
        <v>0</v>
      </c>
      <c r="S1226" s="265">
        <v>0</v>
      </c>
      <c r="T1226" s="265">
        <v>0</v>
      </c>
      <c r="U1226" s="265">
        <v>0</v>
      </c>
      <c r="V1226" s="259"/>
      <c r="Y1226" s="259">
        <v>313</v>
      </c>
      <c r="AA1226" s="259" t="e">
        <v>#N/A</v>
      </c>
      <c r="AB1226" s="259"/>
      <c r="AC1226" s="259"/>
      <c r="AD1226" s="259"/>
      <c r="AE1226" s="259"/>
    </row>
    <row r="1227" spans="1:31">
      <c r="A1227" s="259" t="s">
        <v>1322</v>
      </c>
      <c r="B1227" s="259" t="s">
        <v>80</v>
      </c>
      <c r="C1227" s="264" t="s">
        <v>6332</v>
      </c>
      <c r="D1227" s="264" t="s">
        <v>1322</v>
      </c>
      <c r="E1227" s="259" t="s">
        <v>6255</v>
      </c>
      <c r="F1227" s="259" t="s">
        <v>5021</v>
      </c>
      <c r="H1227" s="264" t="s">
        <v>6333</v>
      </c>
      <c r="I1227" s="264" t="s">
        <v>6334</v>
      </c>
      <c r="J1227" s="295">
        <v>12958.88</v>
      </c>
      <c r="K1227" s="295">
        <v>12958</v>
      </c>
      <c r="L1227" s="295">
        <v>7775.56</v>
      </c>
      <c r="O1227" s="266">
        <v>0</v>
      </c>
      <c r="R1227" s="265">
        <v>0</v>
      </c>
      <c r="S1227" s="265">
        <v>0</v>
      </c>
      <c r="T1227" s="265">
        <v>0</v>
      </c>
      <c r="U1227" s="265">
        <v>0</v>
      </c>
      <c r="V1227" s="259" t="s">
        <v>3218</v>
      </c>
      <c r="Y1227" s="259">
        <v>314</v>
      </c>
      <c r="Z1227" s="259" t="s">
        <v>3264</v>
      </c>
      <c r="AA1227" s="259" t="e">
        <v>#N/A</v>
      </c>
      <c r="AB1227" s="259"/>
      <c r="AC1227" s="259"/>
      <c r="AD1227" s="259"/>
      <c r="AE1227" s="259"/>
    </row>
    <row r="1228" spans="1:31">
      <c r="A1228" s="259" t="s">
        <v>1323</v>
      </c>
      <c r="B1228" s="259" t="s">
        <v>80</v>
      </c>
      <c r="C1228" s="264" t="s">
        <v>6332</v>
      </c>
      <c r="D1228" s="264" t="s">
        <v>1323</v>
      </c>
      <c r="E1228" s="259" t="s">
        <v>6255</v>
      </c>
      <c r="F1228" s="259" t="s">
        <v>5021</v>
      </c>
      <c r="H1228" s="264" t="s">
        <v>6335</v>
      </c>
      <c r="I1228" s="264" t="s">
        <v>6336</v>
      </c>
      <c r="J1228" s="295">
        <v>12958.88</v>
      </c>
      <c r="K1228" s="295">
        <v>12958</v>
      </c>
      <c r="L1228" s="295">
        <v>7775.56</v>
      </c>
      <c r="O1228" s="266">
        <v>0</v>
      </c>
      <c r="R1228" s="265">
        <v>0</v>
      </c>
      <c r="S1228" s="265">
        <v>0</v>
      </c>
      <c r="T1228" s="265">
        <v>0</v>
      </c>
      <c r="U1228" s="265">
        <v>0</v>
      </c>
      <c r="V1228" s="259" t="s">
        <v>3996</v>
      </c>
      <c r="Y1228" s="259">
        <v>315</v>
      </c>
      <c r="Z1228" s="259" t="s">
        <v>3264</v>
      </c>
      <c r="AA1228" s="259" t="e">
        <v>#N/A</v>
      </c>
      <c r="AB1228" s="259"/>
      <c r="AC1228" s="259"/>
      <c r="AD1228" s="259"/>
      <c r="AE1228" s="259"/>
    </row>
    <row r="1229" spans="1:31">
      <c r="A1229" s="259" t="s">
        <v>1324</v>
      </c>
      <c r="B1229" s="259" t="s">
        <v>80</v>
      </c>
      <c r="C1229" s="264" t="s">
        <v>6270</v>
      </c>
      <c r="D1229" s="264" t="s">
        <v>1324</v>
      </c>
      <c r="E1229" s="259" t="s">
        <v>6255</v>
      </c>
      <c r="F1229" s="259" t="s">
        <v>5021</v>
      </c>
      <c r="H1229" s="264" t="s">
        <v>6337</v>
      </c>
      <c r="I1229" s="264" t="s">
        <v>6338</v>
      </c>
      <c r="J1229" s="295">
        <v>14297.44</v>
      </c>
      <c r="K1229" s="295">
        <v>14297</v>
      </c>
      <c r="L1229" s="295">
        <v>8578.2199999999993</v>
      </c>
      <c r="O1229" s="266">
        <v>0</v>
      </c>
      <c r="R1229" s="265">
        <v>0</v>
      </c>
      <c r="S1229" s="265">
        <v>0</v>
      </c>
      <c r="T1229" s="265">
        <v>0</v>
      </c>
      <c r="U1229" s="265">
        <v>0</v>
      </c>
      <c r="V1229" s="259" t="s">
        <v>3218</v>
      </c>
      <c r="Y1229" s="259">
        <v>316</v>
      </c>
      <c r="Z1229" s="259" t="s">
        <v>3264</v>
      </c>
      <c r="AA1229" s="259" t="e">
        <v>#N/A</v>
      </c>
      <c r="AB1229" s="259"/>
      <c r="AC1229" s="259"/>
      <c r="AD1229" s="259"/>
      <c r="AE1229" s="259"/>
    </row>
    <row r="1230" spans="1:31">
      <c r="A1230" s="259" t="s">
        <v>1325</v>
      </c>
      <c r="B1230" s="259" t="s">
        <v>80</v>
      </c>
      <c r="C1230" s="264" t="s">
        <v>6270</v>
      </c>
      <c r="D1230" s="264" t="s">
        <v>1325</v>
      </c>
      <c r="E1230" s="259" t="s">
        <v>6255</v>
      </c>
      <c r="F1230" s="259" t="s">
        <v>5021</v>
      </c>
      <c r="H1230" s="264" t="s">
        <v>6339</v>
      </c>
      <c r="I1230" s="264" t="s">
        <v>6340</v>
      </c>
      <c r="J1230" s="295">
        <v>31119.24</v>
      </c>
      <c r="K1230" s="295">
        <v>31119</v>
      </c>
      <c r="L1230" s="295">
        <v>18672.03</v>
      </c>
      <c r="O1230" s="266">
        <v>0</v>
      </c>
      <c r="P1230" s="266">
        <v>691991012099</v>
      </c>
      <c r="R1230" s="265">
        <v>0</v>
      </c>
      <c r="S1230" s="265">
        <v>0</v>
      </c>
      <c r="T1230" s="265">
        <v>0</v>
      </c>
      <c r="U1230" s="265">
        <v>0</v>
      </c>
      <c r="V1230" s="259" t="s">
        <v>3218</v>
      </c>
      <c r="Y1230" s="259">
        <v>317</v>
      </c>
      <c r="Z1230" s="259" t="s">
        <v>3264</v>
      </c>
      <c r="AA1230" s="259" t="e">
        <v>#N/A</v>
      </c>
      <c r="AB1230" s="259"/>
      <c r="AC1230" s="259"/>
      <c r="AD1230" s="259"/>
      <c r="AE1230" s="259"/>
    </row>
    <row r="1231" spans="1:31">
      <c r="A1231" s="259" t="s">
        <v>1326</v>
      </c>
      <c r="B1231" s="259" t="s">
        <v>80</v>
      </c>
      <c r="C1231" s="264" t="s">
        <v>6250</v>
      </c>
      <c r="D1231" s="264" t="s">
        <v>1326</v>
      </c>
      <c r="E1231" s="259" t="s">
        <v>6255</v>
      </c>
      <c r="F1231" s="259" t="s">
        <v>5021</v>
      </c>
      <c r="H1231" s="264" t="s">
        <v>6341</v>
      </c>
      <c r="I1231" s="264" t="s">
        <v>6342</v>
      </c>
      <c r="J1231" s="295">
        <v>110.33</v>
      </c>
      <c r="K1231" s="295">
        <v>110.33</v>
      </c>
      <c r="L1231" s="295">
        <v>66.69</v>
      </c>
      <c r="O1231" s="266">
        <v>0</v>
      </c>
      <c r="P1231" s="266">
        <v>691991012105</v>
      </c>
      <c r="R1231" s="265">
        <v>2</v>
      </c>
      <c r="S1231" s="265">
        <v>9</v>
      </c>
      <c r="T1231" s="265">
        <v>7</v>
      </c>
      <c r="U1231" s="265">
        <v>2</v>
      </c>
      <c r="V1231" s="259" t="s">
        <v>3218</v>
      </c>
      <c r="Y1231" s="259">
        <v>318</v>
      </c>
      <c r="Z1231" s="259" t="s">
        <v>3030</v>
      </c>
      <c r="AA1231" s="259" t="e">
        <v>#N/A</v>
      </c>
      <c r="AB1231" s="259"/>
      <c r="AC1231" s="259"/>
      <c r="AD1231" s="259"/>
      <c r="AE1231" s="259"/>
    </row>
    <row r="1232" spans="1:31">
      <c r="A1232" s="259" t="s">
        <v>1327</v>
      </c>
      <c r="B1232" s="259" t="s">
        <v>80</v>
      </c>
      <c r="C1232" s="264" t="s">
        <v>6343</v>
      </c>
      <c r="D1232" s="264" t="s">
        <v>1327</v>
      </c>
      <c r="E1232" s="259" t="s">
        <v>6255</v>
      </c>
      <c r="F1232" s="259" t="s">
        <v>5021</v>
      </c>
      <c r="H1232" s="264" t="s">
        <v>6344</v>
      </c>
      <c r="I1232" s="264" t="s">
        <v>6345</v>
      </c>
      <c r="J1232" s="295">
        <v>300.69</v>
      </c>
      <c r="K1232" s="295">
        <v>300.69</v>
      </c>
      <c r="L1232" s="295">
        <v>180.65</v>
      </c>
      <c r="O1232" s="266">
        <v>0</v>
      </c>
      <c r="P1232" s="266">
        <v>691991012136</v>
      </c>
      <c r="R1232" s="265">
        <v>2</v>
      </c>
      <c r="S1232" s="265">
        <v>5</v>
      </c>
      <c r="T1232" s="265">
        <v>7</v>
      </c>
      <c r="U1232" s="265">
        <v>10</v>
      </c>
      <c r="V1232" s="259"/>
      <c r="Y1232" s="259">
        <v>319</v>
      </c>
      <c r="Z1232" s="259" t="s">
        <v>3227</v>
      </c>
      <c r="AA1232" s="259" t="e">
        <v>#N/A</v>
      </c>
      <c r="AB1232" s="259"/>
      <c r="AC1232" s="259"/>
      <c r="AD1232" s="259"/>
      <c r="AE1232" s="259"/>
    </row>
    <row r="1233" spans="1:31">
      <c r="A1233" s="259" t="s">
        <v>1328</v>
      </c>
      <c r="B1233" s="259" t="s">
        <v>80</v>
      </c>
      <c r="C1233" s="264" t="s">
        <v>6343</v>
      </c>
      <c r="D1233" s="264" t="s">
        <v>1328</v>
      </c>
      <c r="E1233" s="259" t="s">
        <v>6255</v>
      </c>
      <c r="F1233" s="259" t="s">
        <v>5021</v>
      </c>
      <c r="H1233" s="264" t="s">
        <v>6346</v>
      </c>
      <c r="I1233" s="264" t="s">
        <v>6347</v>
      </c>
      <c r="J1233" s="295">
        <v>61.84</v>
      </c>
      <c r="K1233" s="295">
        <v>61.84</v>
      </c>
      <c r="L1233" s="295">
        <v>36.369999999999997</v>
      </c>
      <c r="O1233" s="266">
        <v>0</v>
      </c>
      <c r="P1233" s="266">
        <v>691991012143</v>
      </c>
      <c r="R1233" s="265">
        <v>0</v>
      </c>
      <c r="S1233" s="265">
        <v>0</v>
      </c>
      <c r="T1233" s="265">
        <v>0</v>
      </c>
      <c r="U1233" s="265">
        <v>0</v>
      </c>
      <c r="V1233" s="259"/>
      <c r="Y1233" s="259">
        <v>320</v>
      </c>
      <c r="Z1233" s="259" t="s">
        <v>3030</v>
      </c>
      <c r="AA1233" s="259" t="e">
        <v>#N/A</v>
      </c>
      <c r="AB1233" s="259"/>
      <c r="AC1233" s="259"/>
      <c r="AD1233" s="259"/>
      <c r="AE1233" s="259"/>
    </row>
    <row r="1234" spans="1:31">
      <c r="A1234" s="259" t="s">
        <v>1329</v>
      </c>
      <c r="B1234" s="259" t="s">
        <v>80</v>
      </c>
      <c r="C1234" s="264" t="s">
        <v>6343</v>
      </c>
      <c r="D1234" s="264" t="s">
        <v>1329</v>
      </c>
      <c r="E1234" s="259" t="s">
        <v>6255</v>
      </c>
      <c r="F1234" s="259" t="s">
        <v>5021</v>
      </c>
      <c r="H1234" s="264" t="s">
        <v>6348</v>
      </c>
      <c r="I1234" s="264" t="s">
        <v>6349</v>
      </c>
      <c r="J1234" s="295">
        <v>1171.24</v>
      </c>
      <c r="K1234" s="295">
        <v>1171.24</v>
      </c>
      <c r="L1234" s="295">
        <v>702.02</v>
      </c>
      <c r="O1234" s="266">
        <v>0</v>
      </c>
      <c r="P1234" s="266">
        <v>691991012150</v>
      </c>
      <c r="R1234" s="265">
        <v>15</v>
      </c>
      <c r="S1234" s="265">
        <v>9.5</v>
      </c>
      <c r="T1234" s="265">
        <v>45.5</v>
      </c>
      <c r="U1234" s="265">
        <v>9.5</v>
      </c>
      <c r="V1234" s="259"/>
      <c r="Y1234" s="259">
        <v>321</v>
      </c>
      <c r="Z1234" s="259" t="s">
        <v>3227</v>
      </c>
      <c r="AA1234" s="259" t="e">
        <v>#N/A</v>
      </c>
      <c r="AB1234" s="259"/>
      <c r="AC1234" s="259"/>
      <c r="AD1234" s="259"/>
      <c r="AE1234" s="259"/>
    </row>
    <row r="1235" spans="1:31">
      <c r="A1235" s="259" t="s">
        <v>1330</v>
      </c>
      <c r="B1235" s="259" t="s">
        <v>80</v>
      </c>
      <c r="C1235" s="264" t="s">
        <v>6250</v>
      </c>
      <c r="D1235" s="264" t="s">
        <v>1330</v>
      </c>
      <c r="E1235" s="259" t="s">
        <v>6255</v>
      </c>
      <c r="F1235" s="259" t="s">
        <v>5021</v>
      </c>
      <c r="H1235" s="264" t="s">
        <v>6350</v>
      </c>
      <c r="I1235" s="264" t="s">
        <v>6351</v>
      </c>
      <c r="J1235" s="295">
        <v>105.49</v>
      </c>
      <c r="K1235" s="295">
        <v>105.49</v>
      </c>
      <c r="L1235" s="295">
        <v>63.05</v>
      </c>
      <c r="O1235" s="266">
        <v>0</v>
      </c>
      <c r="P1235" s="266">
        <v>691991012167</v>
      </c>
      <c r="R1235" s="265">
        <v>0</v>
      </c>
      <c r="S1235" s="265">
        <v>0</v>
      </c>
      <c r="T1235" s="265">
        <v>0</v>
      </c>
      <c r="U1235" s="265">
        <v>0</v>
      </c>
      <c r="V1235" s="259"/>
      <c r="Y1235" s="259">
        <v>322</v>
      </c>
      <c r="Z1235" s="259" t="s">
        <v>3030</v>
      </c>
      <c r="AA1235" s="259" t="e">
        <v>#N/A</v>
      </c>
      <c r="AB1235" s="259"/>
      <c r="AC1235" s="259"/>
      <c r="AD1235" s="259"/>
      <c r="AE1235" s="259"/>
    </row>
    <row r="1236" spans="1:31">
      <c r="A1236" s="259" t="s">
        <v>1331</v>
      </c>
      <c r="B1236" s="259" t="s">
        <v>80</v>
      </c>
      <c r="C1236" s="264" t="s">
        <v>6250</v>
      </c>
      <c r="D1236" s="264" t="s">
        <v>1331</v>
      </c>
      <c r="F1236" s="259" t="s">
        <v>5021</v>
      </c>
      <c r="H1236" s="264" t="s">
        <v>6352</v>
      </c>
      <c r="I1236" s="264" t="s">
        <v>6353</v>
      </c>
      <c r="J1236" s="295">
        <v>149.13999999999999</v>
      </c>
      <c r="K1236" s="295">
        <v>149.13999999999999</v>
      </c>
      <c r="L1236" s="295">
        <v>89.72</v>
      </c>
      <c r="O1236" s="266">
        <v>0</v>
      </c>
      <c r="P1236" s="266">
        <v>691991012174</v>
      </c>
      <c r="R1236" s="265">
        <v>2</v>
      </c>
      <c r="S1236" s="265">
        <v>5</v>
      </c>
      <c r="T1236" s="265">
        <v>7</v>
      </c>
      <c r="U1236" s="265">
        <v>10</v>
      </c>
      <c r="V1236" s="259"/>
      <c r="Y1236" s="259">
        <v>323</v>
      </c>
      <c r="Z1236" s="259" t="s">
        <v>3037</v>
      </c>
      <c r="AA1236" s="259" t="e">
        <v>#N/A</v>
      </c>
      <c r="AB1236" s="259"/>
      <c r="AC1236" s="259"/>
      <c r="AD1236" s="259"/>
      <c r="AE1236" s="259"/>
    </row>
    <row r="1237" spans="1:31">
      <c r="A1237" s="259" t="s">
        <v>1332</v>
      </c>
      <c r="B1237" s="259" t="s">
        <v>80</v>
      </c>
      <c r="C1237" s="264" t="s">
        <v>6250</v>
      </c>
      <c r="D1237" s="264" t="s">
        <v>1332</v>
      </c>
      <c r="F1237" s="259" t="s">
        <v>5021</v>
      </c>
      <c r="H1237" s="264" t="s">
        <v>6354</v>
      </c>
      <c r="I1237" s="264" t="s">
        <v>6355</v>
      </c>
      <c r="J1237" s="295">
        <v>110.44</v>
      </c>
      <c r="K1237" s="295">
        <v>110.44</v>
      </c>
      <c r="L1237" s="295">
        <v>63.22</v>
      </c>
      <c r="O1237" s="266">
        <v>0</v>
      </c>
      <c r="R1237" s="265">
        <v>0</v>
      </c>
      <c r="S1237" s="265">
        <v>0</v>
      </c>
      <c r="T1237" s="265">
        <v>0</v>
      </c>
      <c r="U1237" s="265">
        <v>0</v>
      </c>
      <c r="V1237" s="259"/>
      <c r="Y1237" s="259">
        <v>324</v>
      </c>
      <c r="AA1237" s="259" t="e">
        <v>#N/A</v>
      </c>
      <c r="AB1237" s="259"/>
      <c r="AC1237" s="259"/>
      <c r="AD1237" s="259"/>
      <c r="AE1237" s="259"/>
    </row>
    <row r="1238" spans="1:31">
      <c r="A1238" s="259" t="s">
        <v>1333</v>
      </c>
      <c r="B1238" s="259" t="s">
        <v>80</v>
      </c>
      <c r="C1238" s="264" t="s">
        <v>6250</v>
      </c>
      <c r="D1238" s="264" t="s">
        <v>1333</v>
      </c>
      <c r="E1238" s="259" t="s">
        <v>6255</v>
      </c>
      <c r="F1238" s="259" t="s">
        <v>5021</v>
      </c>
      <c r="H1238" s="264" t="s">
        <v>6356</v>
      </c>
      <c r="I1238" s="264" t="s">
        <v>6357</v>
      </c>
      <c r="J1238" s="295">
        <v>105.49</v>
      </c>
      <c r="K1238" s="295">
        <v>105.49</v>
      </c>
      <c r="L1238" s="295">
        <v>63.05</v>
      </c>
      <c r="O1238" s="266">
        <v>0</v>
      </c>
      <c r="R1238" s="265">
        <v>2</v>
      </c>
      <c r="S1238" s="265">
        <v>2</v>
      </c>
      <c r="T1238" s="265">
        <v>7</v>
      </c>
      <c r="U1238" s="265">
        <v>9</v>
      </c>
      <c r="V1238" s="259" t="s">
        <v>3218</v>
      </c>
      <c r="Y1238" s="259">
        <v>325</v>
      </c>
      <c r="Z1238" s="259" t="s">
        <v>3030</v>
      </c>
      <c r="AA1238" s="259" t="e">
        <v>#N/A</v>
      </c>
      <c r="AB1238" s="259"/>
      <c r="AC1238" s="259"/>
      <c r="AD1238" s="259"/>
      <c r="AE1238" s="259"/>
    </row>
    <row r="1239" spans="1:31">
      <c r="A1239" s="259" t="s">
        <v>1334</v>
      </c>
      <c r="B1239" s="259" t="s">
        <v>80</v>
      </c>
      <c r="C1239" s="264" t="s">
        <v>6250</v>
      </c>
      <c r="D1239" s="264" t="s">
        <v>1334</v>
      </c>
      <c r="E1239" s="259" t="s">
        <v>6255</v>
      </c>
      <c r="F1239" s="259" t="s">
        <v>5021</v>
      </c>
      <c r="H1239" s="264" t="s">
        <v>6358</v>
      </c>
      <c r="I1239" s="264" t="s">
        <v>6359</v>
      </c>
      <c r="J1239" s="295">
        <v>169.74</v>
      </c>
      <c r="K1239" s="295">
        <v>169.74</v>
      </c>
      <c r="L1239" s="295">
        <v>101.84</v>
      </c>
      <c r="O1239" s="266">
        <v>0</v>
      </c>
      <c r="P1239" s="266">
        <v>691991012181</v>
      </c>
      <c r="R1239" s="265">
        <v>3</v>
      </c>
      <c r="S1239" s="265">
        <v>5</v>
      </c>
      <c r="T1239" s="265">
        <v>7</v>
      </c>
      <c r="U1239" s="265">
        <v>10</v>
      </c>
      <c r="V1239" s="259"/>
      <c r="Y1239" s="259">
        <v>326</v>
      </c>
      <c r="Z1239" s="259" t="s">
        <v>3227</v>
      </c>
      <c r="AA1239" s="259" t="e">
        <v>#N/A</v>
      </c>
      <c r="AB1239" s="259"/>
      <c r="AC1239" s="259"/>
      <c r="AD1239" s="259"/>
      <c r="AE1239" s="259"/>
    </row>
    <row r="1240" spans="1:31">
      <c r="A1240" s="259" t="s">
        <v>1335</v>
      </c>
      <c r="B1240" s="259" t="s">
        <v>80</v>
      </c>
      <c r="C1240" s="264" t="s">
        <v>6250</v>
      </c>
      <c r="D1240" s="264" t="s">
        <v>1335</v>
      </c>
      <c r="E1240" s="259" t="s">
        <v>6255</v>
      </c>
      <c r="F1240" s="259" t="s">
        <v>5021</v>
      </c>
      <c r="H1240" s="264" t="s">
        <v>6360</v>
      </c>
      <c r="I1240" s="264" t="s">
        <v>6361</v>
      </c>
      <c r="J1240" s="295">
        <v>138.22999999999999</v>
      </c>
      <c r="K1240" s="295">
        <v>138.22999999999999</v>
      </c>
      <c r="L1240" s="295">
        <v>83.66</v>
      </c>
      <c r="O1240" s="266">
        <v>0</v>
      </c>
      <c r="P1240" s="266">
        <v>691991012198</v>
      </c>
      <c r="R1240" s="265">
        <v>0</v>
      </c>
      <c r="S1240" s="265">
        <v>0</v>
      </c>
      <c r="T1240" s="265">
        <v>0</v>
      </c>
      <c r="U1240" s="265">
        <v>0</v>
      </c>
      <c r="V1240" s="259"/>
      <c r="Y1240" s="259">
        <v>327</v>
      </c>
      <c r="Z1240" s="259" t="s">
        <v>3037</v>
      </c>
      <c r="AA1240" s="259" t="e">
        <v>#N/A</v>
      </c>
      <c r="AB1240" s="259"/>
      <c r="AC1240" s="259"/>
      <c r="AD1240" s="259"/>
      <c r="AE1240" s="259"/>
    </row>
    <row r="1241" spans="1:31">
      <c r="A1241" s="259" t="s">
        <v>1336</v>
      </c>
      <c r="B1241" s="259" t="s">
        <v>80</v>
      </c>
      <c r="C1241" s="264" t="s">
        <v>6250</v>
      </c>
      <c r="D1241" s="264" t="s">
        <v>1336</v>
      </c>
      <c r="E1241" s="259" t="s">
        <v>6255</v>
      </c>
      <c r="F1241" s="259" t="s">
        <v>5021</v>
      </c>
      <c r="H1241" s="264" t="s">
        <v>6362</v>
      </c>
      <c r="I1241" s="264" t="s">
        <v>6363</v>
      </c>
      <c r="J1241" s="295">
        <v>164.9</v>
      </c>
      <c r="K1241" s="295">
        <v>164.9</v>
      </c>
      <c r="L1241" s="295">
        <v>99.42</v>
      </c>
      <c r="O1241" s="266">
        <v>0</v>
      </c>
      <c r="P1241" s="266">
        <v>691991012204</v>
      </c>
      <c r="R1241" s="265">
        <v>3</v>
      </c>
      <c r="S1241" s="265">
        <v>10</v>
      </c>
      <c r="T1241" s="265">
        <v>7</v>
      </c>
      <c r="U1241" s="265">
        <v>5</v>
      </c>
      <c r="V1241" s="259" t="s">
        <v>3218</v>
      </c>
      <c r="Y1241" s="259">
        <v>328</v>
      </c>
      <c r="Z1241" s="259" t="s">
        <v>3030</v>
      </c>
      <c r="AA1241" s="259" t="e">
        <v>#N/A</v>
      </c>
      <c r="AB1241" s="259"/>
      <c r="AC1241" s="259"/>
      <c r="AD1241" s="259"/>
      <c r="AE1241" s="259"/>
    </row>
    <row r="1242" spans="1:31">
      <c r="A1242" s="259" t="s">
        <v>1337</v>
      </c>
      <c r="B1242" s="259" t="s">
        <v>80</v>
      </c>
      <c r="C1242" s="264" t="s">
        <v>6250</v>
      </c>
      <c r="D1242" s="264" t="s">
        <v>1337</v>
      </c>
      <c r="E1242" s="259" t="s">
        <v>6255</v>
      </c>
      <c r="F1242" s="259" t="s">
        <v>5021</v>
      </c>
      <c r="H1242" s="264" t="s">
        <v>6364</v>
      </c>
      <c r="I1242" s="264" t="s">
        <v>6365</v>
      </c>
      <c r="J1242" s="295">
        <v>161.26</v>
      </c>
      <c r="K1242" s="295">
        <v>161.26</v>
      </c>
      <c r="L1242" s="295">
        <v>97</v>
      </c>
      <c r="O1242" s="266">
        <v>0</v>
      </c>
      <c r="P1242" s="266">
        <v>691991012211</v>
      </c>
      <c r="R1242" s="265">
        <v>3</v>
      </c>
      <c r="S1242" s="265">
        <v>10</v>
      </c>
      <c r="T1242" s="265">
        <v>7</v>
      </c>
      <c r="U1242" s="265">
        <v>5</v>
      </c>
      <c r="V1242" s="259" t="s">
        <v>3218</v>
      </c>
      <c r="Y1242" s="259">
        <v>329</v>
      </c>
      <c r="Z1242" s="259" t="s">
        <v>3030</v>
      </c>
      <c r="AA1242" s="259" t="e">
        <v>#N/A</v>
      </c>
      <c r="AB1242" s="259"/>
      <c r="AC1242" s="259"/>
      <c r="AD1242" s="259"/>
      <c r="AE1242" s="259"/>
    </row>
    <row r="1243" spans="1:31">
      <c r="A1243" s="259" t="s">
        <v>1338</v>
      </c>
      <c r="B1243" s="259" t="s">
        <v>80</v>
      </c>
      <c r="C1243" s="264" t="s">
        <v>6250</v>
      </c>
      <c r="D1243" s="264" t="s">
        <v>1338</v>
      </c>
      <c r="E1243" s="259" t="s">
        <v>6255</v>
      </c>
      <c r="F1243" s="259" t="s">
        <v>5021</v>
      </c>
      <c r="H1243" s="264" t="s">
        <v>6366</v>
      </c>
      <c r="I1243" s="264" t="s">
        <v>6367</v>
      </c>
      <c r="J1243" s="295">
        <v>164.9</v>
      </c>
      <c r="K1243" s="295">
        <v>164.9</v>
      </c>
      <c r="L1243" s="295">
        <v>99.42</v>
      </c>
      <c r="O1243" s="266">
        <v>0</v>
      </c>
      <c r="R1243" s="265">
        <v>0</v>
      </c>
      <c r="S1243" s="265">
        <v>0</v>
      </c>
      <c r="T1243" s="265">
        <v>0</v>
      </c>
      <c r="U1243" s="265">
        <v>0</v>
      </c>
      <c r="V1243" s="259"/>
      <c r="Y1243" s="259">
        <v>330</v>
      </c>
      <c r="Z1243" s="259" t="s">
        <v>3030</v>
      </c>
      <c r="AA1243" s="259" t="e">
        <v>#N/A</v>
      </c>
      <c r="AB1243" s="259"/>
      <c r="AC1243" s="259"/>
      <c r="AD1243" s="259"/>
      <c r="AE1243" s="259"/>
    </row>
    <row r="1244" spans="1:31">
      <c r="A1244" s="259" t="s">
        <v>1339</v>
      </c>
      <c r="B1244" s="259" t="s">
        <v>80</v>
      </c>
      <c r="C1244" s="264" t="s">
        <v>6250</v>
      </c>
      <c r="D1244" s="264" t="s">
        <v>1339</v>
      </c>
      <c r="E1244" s="259" t="s">
        <v>5737</v>
      </c>
      <c r="H1244" s="264" t="s">
        <v>6368</v>
      </c>
      <c r="I1244" s="264" t="s">
        <v>6369</v>
      </c>
      <c r="J1244" s="295">
        <v>761.43</v>
      </c>
      <c r="K1244" s="295">
        <v>761.43</v>
      </c>
      <c r="L1244" s="295">
        <v>456.86</v>
      </c>
      <c r="O1244" s="266">
        <v>0</v>
      </c>
      <c r="R1244" s="265">
        <v>0</v>
      </c>
      <c r="S1244" s="265">
        <v>0</v>
      </c>
      <c r="T1244" s="265">
        <v>0</v>
      </c>
      <c r="U1244" s="265">
        <v>0</v>
      </c>
      <c r="V1244" s="259" t="s">
        <v>3218</v>
      </c>
      <c r="Y1244" s="259">
        <v>331</v>
      </c>
      <c r="Z1244" s="259" t="s">
        <v>3030</v>
      </c>
      <c r="AA1244" s="259" t="e">
        <v>#N/A</v>
      </c>
      <c r="AB1244" s="259"/>
      <c r="AC1244" s="259"/>
      <c r="AD1244" s="259"/>
      <c r="AE1244" s="259"/>
    </row>
    <row r="1245" spans="1:31">
      <c r="A1245" s="259" t="s">
        <v>1340</v>
      </c>
      <c r="B1245" s="259" t="s">
        <v>80</v>
      </c>
      <c r="C1245" s="264"/>
      <c r="D1245" s="264"/>
      <c r="H1245" s="264"/>
      <c r="I1245" s="264"/>
      <c r="J1245" s="295">
        <v>0</v>
      </c>
      <c r="K1245" s="295">
        <v>0</v>
      </c>
      <c r="L1245" s="295">
        <v>0</v>
      </c>
      <c r="O1245" s="266"/>
      <c r="R1245" s="265">
        <v>0</v>
      </c>
      <c r="S1245" s="265">
        <v>0</v>
      </c>
      <c r="T1245" s="265">
        <v>0</v>
      </c>
      <c r="U1245" s="265">
        <v>0</v>
      </c>
      <c r="V1245" s="259" t="s">
        <v>3028</v>
      </c>
      <c r="W1245" s="259" t="s">
        <v>3029</v>
      </c>
      <c r="Y1245" s="259">
        <v>332</v>
      </c>
      <c r="AA1245" s="259" t="e">
        <v>#N/A</v>
      </c>
      <c r="AB1245" s="259"/>
      <c r="AC1245" s="259"/>
      <c r="AD1245" s="259"/>
      <c r="AE1245" s="259"/>
    </row>
    <row r="1246" spans="1:31">
      <c r="A1246" s="259" t="s">
        <v>1341</v>
      </c>
      <c r="B1246" s="259" t="s">
        <v>80</v>
      </c>
      <c r="C1246" s="264" t="s">
        <v>5937</v>
      </c>
      <c r="D1246" s="264" t="s">
        <v>1341</v>
      </c>
      <c r="E1246" s="259" t="s">
        <v>5737</v>
      </c>
      <c r="H1246" s="264" t="s">
        <v>6370</v>
      </c>
      <c r="I1246" s="264" t="s">
        <v>6371</v>
      </c>
      <c r="J1246" s="295">
        <v>469.52</v>
      </c>
      <c r="K1246" s="295">
        <v>376</v>
      </c>
      <c r="L1246" s="295">
        <v>281.70999999999998</v>
      </c>
      <c r="O1246" s="266">
        <v>0</v>
      </c>
      <c r="P1246" s="266" t="s">
        <v>6372</v>
      </c>
      <c r="R1246" s="265">
        <v>20</v>
      </c>
      <c r="S1246" s="265">
        <v>14</v>
      </c>
      <c r="T1246" s="265">
        <v>14.5</v>
      </c>
      <c r="U1246" s="265">
        <v>14.5</v>
      </c>
      <c r="V1246" s="259" t="s">
        <v>3028</v>
      </c>
      <c r="W1246" s="259" t="s">
        <v>3029</v>
      </c>
      <c r="X1246" s="264" t="s">
        <v>6373</v>
      </c>
      <c r="Y1246" s="259">
        <v>333</v>
      </c>
      <c r="Z1246" s="259" t="s">
        <v>3030</v>
      </c>
      <c r="AA1246" s="259" t="e">
        <v>#N/A</v>
      </c>
      <c r="AB1246" s="259"/>
      <c r="AC1246" s="259"/>
      <c r="AD1246" s="259"/>
      <c r="AE1246" s="259"/>
    </row>
    <row r="1247" spans="1:31">
      <c r="A1247" s="259" t="s">
        <v>1342</v>
      </c>
      <c r="B1247" s="259" t="s">
        <v>80</v>
      </c>
      <c r="C1247" s="264" t="s">
        <v>5937</v>
      </c>
      <c r="D1247" s="264" t="s">
        <v>1342</v>
      </c>
      <c r="E1247" s="259" t="s">
        <v>5737</v>
      </c>
      <c r="H1247" s="264" t="s">
        <v>6374</v>
      </c>
      <c r="I1247" s="264" t="s">
        <v>6375</v>
      </c>
      <c r="J1247" s="295">
        <v>469.52</v>
      </c>
      <c r="K1247" s="295">
        <v>376</v>
      </c>
      <c r="L1247" s="295">
        <v>281.70999999999998</v>
      </c>
      <c r="O1247" s="266">
        <v>0</v>
      </c>
      <c r="P1247" s="266" t="s">
        <v>6376</v>
      </c>
      <c r="R1247" s="265">
        <v>5</v>
      </c>
      <c r="S1247" s="265">
        <v>12</v>
      </c>
      <c r="T1247" s="265">
        <v>12</v>
      </c>
      <c r="U1247" s="265">
        <v>14</v>
      </c>
      <c r="V1247" s="259" t="s">
        <v>3028</v>
      </c>
      <c r="W1247" s="259" t="s">
        <v>3029</v>
      </c>
      <c r="X1247" s="264" t="s">
        <v>6373</v>
      </c>
      <c r="Y1247" s="259">
        <v>334</v>
      </c>
      <c r="Z1247" s="259" t="s">
        <v>3030</v>
      </c>
      <c r="AA1247" s="259" t="e">
        <v>#N/A</v>
      </c>
      <c r="AB1247" s="259"/>
      <c r="AC1247" s="259"/>
      <c r="AD1247" s="259"/>
      <c r="AE1247" s="259"/>
    </row>
    <row r="1248" spans="1:31">
      <c r="A1248" s="259" t="s">
        <v>1343</v>
      </c>
      <c r="B1248" s="259" t="s">
        <v>80</v>
      </c>
      <c r="C1248" s="264" t="s">
        <v>5937</v>
      </c>
      <c r="D1248" s="264" t="s">
        <v>1343</v>
      </c>
      <c r="E1248" s="259" t="s">
        <v>5737</v>
      </c>
      <c r="H1248" s="264" t="s">
        <v>6377</v>
      </c>
      <c r="I1248" s="264" t="s">
        <v>6378</v>
      </c>
      <c r="J1248" s="295">
        <v>623.96</v>
      </c>
      <c r="K1248" s="295">
        <v>500</v>
      </c>
      <c r="L1248" s="295">
        <v>374.37</v>
      </c>
      <c r="O1248" s="266">
        <v>0</v>
      </c>
      <c r="P1248" s="266">
        <v>50036904179</v>
      </c>
      <c r="R1248" s="265">
        <v>29.9</v>
      </c>
      <c r="S1248" s="265">
        <v>16.5</v>
      </c>
      <c r="T1248" s="265">
        <v>15.5</v>
      </c>
      <c r="U1248" s="265">
        <v>16</v>
      </c>
      <c r="V1248" s="259" t="s">
        <v>3028</v>
      </c>
      <c r="W1248" s="259" t="s">
        <v>3029</v>
      </c>
      <c r="X1248" s="264" t="s">
        <v>6379</v>
      </c>
      <c r="Y1248" s="259">
        <v>335</v>
      </c>
      <c r="Z1248" s="259" t="s">
        <v>3030</v>
      </c>
      <c r="AA1248" s="259" t="e">
        <v>#N/A</v>
      </c>
      <c r="AB1248" s="259"/>
      <c r="AC1248" s="259"/>
      <c r="AD1248" s="259"/>
      <c r="AE1248" s="259"/>
    </row>
    <row r="1249" spans="1:31">
      <c r="A1249" s="259" t="s">
        <v>1344</v>
      </c>
      <c r="B1249" s="259" t="s">
        <v>80</v>
      </c>
      <c r="C1249" s="264" t="s">
        <v>5937</v>
      </c>
      <c r="D1249" s="264" t="s">
        <v>1344</v>
      </c>
      <c r="E1249" s="259" t="s">
        <v>5737</v>
      </c>
      <c r="H1249" s="264" t="s">
        <v>6380</v>
      </c>
      <c r="I1249" s="264" t="s">
        <v>6378</v>
      </c>
      <c r="J1249" s="295">
        <v>623.96</v>
      </c>
      <c r="K1249" s="295">
        <v>500</v>
      </c>
      <c r="L1249" s="295">
        <v>374.37</v>
      </c>
      <c r="O1249" s="266">
        <v>0</v>
      </c>
      <c r="P1249" s="266">
        <v>50036904186</v>
      </c>
      <c r="R1249" s="265">
        <v>29.85</v>
      </c>
      <c r="S1249" s="265">
        <v>15.5</v>
      </c>
      <c r="T1249" s="265">
        <v>16.5</v>
      </c>
      <c r="U1249" s="265">
        <v>16</v>
      </c>
      <c r="V1249" s="259" t="s">
        <v>3028</v>
      </c>
      <c r="W1249" s="259" t="s">
        <v>3029</v>
      </c>
      <c r="X1249" s="264" t="s">
        <v>6379</v>
      </c>
      <c r="Y1249" s="259">
        <v>336</v>
      </c>
      <c r="Z1249" s="259" t="s">
        <v>3030</v>
      </c>
      <c r="AA1249" s="259" t="e">
        <v>#N/A</v>
      </c>
      <c r="AB1249" s="259"/>
      <c r="AC1249" s="259"/>
      <c r="AD1249" s="259"/>
      <c r="AE1249" s="259"/>
    </row>
    <row r="1250" spans="1:31">
      <c r="A1250" s="259" t="s">
        <v>1345</v>
      </c>
      <c r="B1250" s="259" t="s">
        <v>80</v>
      </c>
      <c r="C1250" s="264" t="s">
        <v>5937</v>
      </c>
      <c r="D1250" s="264" t="s">
        <v>1345</v>
      </c>
      <c r="E1250" s="259" t="s">
        <v>5737</v>
      </c>
      <c r="H1250" s="264" t="s">
        <v>6381</v>
      </c>
      <c r="I1250" s="264" t="s">
        <v>6382</v>
      </c>
      <c r="J1250" s="295">
        <v>1167.6099999999999</v>
      </c>
      <c r="K1250" s="295">
        <v>937</v>
      </c>
      <c r="L1250" s="295">
        <v>700.56</v>
      </c>
      <c r="O1250" s="266">
        <v>0</v>
      </c>
      <c r="P1250" s="266">
        <v>50036904193</v>
      </c>
      <c r="R1250" s="265">
        <v>41</v>
      </c>
      <c r="S1250" s="265">
        <v>21</v>
      </c>
      <c r="T1250" s="265">
        <v>22</v>
      </c>
      <c r="U1250" s="265">
        <v>21</v>
      </c>
      <c r="V1250" s="259" t="s">
        <v>3028</v>
      </c>
      <c r="W1250" s="259" t="s">
        <v>3029</v>
      </c>
      <c r="X1250" s="264" t="s">
        <v>6383</v>
      </c>
      <c r="Y1250" s="259">
        <v>337</v>
      </c>
      <c r="Z1250" s="259" t="s">
        <v>3030</v>
      </c>
      <c r="AA1250" s="259" t="e">
        <v>#N/A</v>
      </c>
      <c r="AB1250" s="259"/>
      <c r="AC1250" s="259"/>
      <c r="AD1250" s="259"/>
      <c r="AE1250" s="259"/>
    </row>
    <row r="1251" spans="1:31">
      <c r="A1251" s="259" t="s">
        <v>1346</v>
      </c>
      <c r="B1251" s="259" t="s">
        <v>80</v>
      </c>
      <c r="C1251" s="264" t="s">
        <v>5937</v>
      </c>
      <c r="D1251" s="264" t="s">
        <v>1346</v>
      </c>
      <c r="E1251" s="259" t="s">
        <v>5737</v>
      </c>
      <c r="H1251" s="264" t="s">
        <v>6384</v>
      </c>
      <c r="I1251" s="264" t="s">
        <v>6382</v>
      </c>
      <c r="J1251" s="295">
        <v>1167.6099999999999</v>
      </c>
      <c r="K1251" s="295">
        <v>937</v>
      </c>
      <c r="L1251" s="295">
        <v>700.56</v>
      </c>
      <c r="O1251" s="266">
        <v>0</v>
      </c>
      <c r="P1251" s="266">
        <v>50036904209</v>
      </c>
      <c r="R1251" s="265">
        <v>46.75</v>
      </c>
      <c r="S1251" s="265">
        <v>23</v>
      </c>
      <c r="T1251" s="265">
        <v>21</v>
      </c>
      <c r="U1251" s="265">
        <v>21</v>
      </c>
      <c r="V1251" s="259" t="s">
        <v>3028</v>
      </c>
      <c r="W1251" s="259" t="s">
        <v>3029</v>
      </c>
      <c r="X1251" s="264" t="s">
        <v>6383</v>
      </c>
      <c r="Y1251" s="259">
        <v>338</v>
      </c>
      <c r="Z1251" s="259" t="s">
        <v>3030</v>
      </c>
      <c r="AA1251" s="259" t="e">
        <v>#N/A</v>
      </c>
      <c r="AB1251" s="259"/>
      <c r="AC1251" s="259"/>
      <c r="AD1251" s="259"/>
      <c r="AE1251" s="259"/>
    </row>
    <row r="1252" spans="1:31">
      <c r="A1252" s="259" t="s">
        <v>1347</v>
      </c>
      <c r="B1252" s="259" t="s">
        <v>80</v>
      </c>
      <c r="C1252" s="264" t="s">
        <v>5937</v>
      </c>
      <c r="D1252" s="264" t="s">
        <v>1347</v>
      </c>
      <c r="E1252" s="259" t="s">
        <v>5737</v>
      </c>
      <c r="H1252" s="264" t="s">
        <v>6385</v>
      </c>
      <c r="I1252" s="264" t="s">
        <v>6386</v>
      </c>
      <c r="J1252" s="295">
        <v>1791.57</v>
      </c>
      <c r="K1252" s="295">
        <v>1431</v>
      </c>
      <c r="L1252" s="295">
        <v>1074.94</v>
      </c>
      <c r="O1252" s="266">
        <v>0</v>
      </c>
      <c r="P1252" s="266">
        <v>50036905299</v>
      </c>
      <c r="R1252" s="265">
        <v>58.2</v>
      </c>
      <c r="S1252" s="265">
        <v>16</v>
      </c>
      <c r="T1252" s="265">
        <v>15</v>
      </c>
      <c r="U1252" s="265">
        <v>15</v>
      </c>
      <c r="V1252" s="259" t="s">
        <v>3028</v>
      </c>
      <c r="W1252" s="259" t="s">
        <v>3029</v>
      </c>
      <c r="X1252" s="264" t="s">
        <v>6387</v>
      </c>
      <c r="Y1252" s="259">
        <v>339</v>
      </c>
      <c r="Z1252" s="259" t="s">
        <v>3030</v>
      </c>
      <c r="AA1252" s="259" t="e">
        <v>#N/A</v>
      </c>
      <c r="AB1252" s="259"/>
      <c r="AC1252" s="259"/>
      <c r="AD1252" s="259"/>
      <c r="AE1252" s="259"/>
    </row>
    <row r="1253" spans="1:31">
      <c r="A1253" s="259" t="s">
        <v>1348</v>
      </c>
      <c r="B1253" s="259" t="s">
        <v>80</v>
      </c>
      <c r="C1253" s="264" t="s">
        <v>5937</v>
      </c>
      <c r="D1253" s="264" t="s">
        <v>1348</v>
      </c>
      <c r="E1253" s="259" t="s">
        <v>5737</v>
      </c>
      <c r="H1253" s="264" t="s">
        <v>6388</v>
      </c>
      <c r="I1253" s="264" t="s">
        <v>6389</v>
      </c>
      <c r="J1253" s="295">
        <v>1791.57</v>
      </c>
      <c r="K1253" s="295">
        <v>1431</v>
      </c>
      <c r="L1253" s="295">
        <v>1074.94</v>
      </c>
      <c r="O1253" s="266">
        <v>0</v>
      </c>
      <c r="P1253" s="266">
        <v>50036905312</v>
      </c>
      <c r="R1253" s="265">
        <v>58.2</v>
      </c>
      <c r="S1253" s="265">
        <v>16</v>
      </c>
      <c r="T1253" s="265">
        <v>15</v>
      </c>
      <c r="U1253" s="265">
        <v>15</v>
      </c>
      <c r="V1253" s="259" t="s">
        <v>3028</v>
      </c>
      <c r="W1253" s="259" t="s">
        <v>3029</v>
      </c>
      <c r="X1253" s="264" t="s">
        <v>6387</v>
      </c>
      <c r="Y1253" s="259">
        <v>340</v>
      </c>
      <c r="Z1253" s="259" t="s">
        <v>3030</v>
      </c>
      <c r="AA1253" s="259" t="e">
        <v>#N/A</v>
      </c>
      <c r="AB1253" s="259"/>
      <c r="AC1253" s="259"/>
      <c r="AD1253" s="259"/>
      <c r="AE1253" s="259"/>
    </row>
    <row r="1254" spans="1:31">
      <c r="A1254" s="259" t="s">
        <v>1349</v>
      </c>
      <c r="B1254" s="259" t="s">
        <v>80</v>
      </c>
      <c r="C1254" s="264" t="s">
        <v>5937</v>
      </c>
      <c r="D1254" s="264" t="s">
        <v>1349</v>
      </c>
      <c r="E1254" s="259" t="s">
        <v>5737</v>
      </c>
      <c r="H1254" s="264" t="s">
        <v>6390</v>
      </c>
      <c r="I1254" s="264" t="s">
        <v>6391</v>
      </c>
      <c r="J1254" s="295">
        <v>1345.66</v>
      </c>
      <c r="K1254" s="295">
        <v>1091</v>
      </c>
      <c r="L1254" s="295">
        <v>815.48</v>
      </c>
      <c r="O1254" s="266">
        <v>0</v>
      </c>
      <c r="P1254" s="266">
        <v>50036905329</v>
      </c>
      <c r="R1254" s="265">
        <v>50</v>
      </c>
      <c r="S1254" s="265">
        <v>24</v>
      </c>
      <c r="T1254" s="265">
        <v>24</v>
      </c>
      <c r="U1254" s="265">
        <v>24</v>
      </c>
      <c r="V1254" s="259" t="s">
        <v>3028</v>
      </c>
      <c r="X1254" s="264" t="s">
        <v>6392</v>
      </c>
      <c r="Y1254" s="259">
        <v>341</v>
      </c>
      <c r="Z1254" s="259" t="s">
        <v>3030</v>
      </c>
      <c r="AA1254" s="259" t="e">
        <v>#N/A</v>
      </c>
      <c r="AB1254" s="259"/>
      <c r="AC1254" s="259"/>
      <c r="AD1254" s="259"/>
      <c r="AE1254" s="259"/>
    </row>
    <row r="1255" spans="1:31">
      <c r="A1255" s="259" t="s">
        <v>1350</v>
      </c>
      <c r="B1255" s="259" t="s">
        <v>80</v>
      </c>
      <c r="C1255" s="264" t="s">
        <v>5937</v>
      </c>
      <c r="D1255" s="264" t="s">
        <v>1350</v>
      </c>
      <c r="E1255" s="259" t="s">
        <v>5737</v>
      </c>
      <c r="H1255" s="264" t="s">
        <v>6390</v>
      </c>
      <c r="I1255" s="264" t="s">
        <v>6391</v>
      </c>
      <c r="J1255" s="295">
        <v>1359.12</v>
      </c>
      <c r="K1255" s="295">
        <v>1091</v>
      </c>
      <c r="L1255" s="295">
        <v>815.48</v>
      </c>
      <c r="O1255" s="266">
        <v>0</v>
      </c>
      <c r="P1255" s="266">
        <v>50036905343</v>
      </c>
      <c r="R1255" s="265">
        <v>50</v>
      </c>
      <c r="S1255" s="265">
        <v>24</v>
      </c>
      <c r="T1255" s="265">
        <v>24</v>
      </c>
      <c r="U1255" s="265">
        <v>24</v>
      </c>
      <c r="V1255" s="259" t="s">
        <v>3028</v>
      </c>
      <c r="X1255" s="264" t="s">
        <v>6392</v>
      </c>
      <c r="Y1255" s="259">
        <v>342</v>
      </c>
      <c r="Z1255" s="259" t="s">
        <v>3030</v>
      </c>
      <c r="AA1255" s="259" t="e">
        <v>#N/A</v>
      </c>
      <c r="AB1255" s="259"/>
      <c r="AC1255" s="259"/>
      <c r="AD1255" s="259"/>
      <c r="AE1255" s="259"/>
    </row>
    <row r="1256" spans="1:31">
      <c r="A1256" s="259" t="s">
        <v>1351</v>
      </c>
      <c r="B1256" s="259" t="s">
        <v>80</v>
      </c>
      <c r="C1256" s="264"/>
      <c r="D1256" s="264"/>
      <c r="H1256" s="264"/>
      <c r="I1256" s="264"/>
      <c r="J1256" s="295">
        <v>0</v>
      </c>
      <c r="K1256" s="295">
        <v>0</v>
      </c>
      <c r="L1256" s="295">
        <v>0</v>
      </c>
      <c r="O1256" s="266"/>
      <c r="R1256" s="265">
        <v>0</v>
      </c>
      <c r="S1256" s="265">
        <v>0</v>
      </c>
      <c r="T1256" s="265">
        <v>0</v>
      </c>
      <c r="U1256" s="265">
        <v>0</v>
      </c>
      <c r="V1256" s="259" t="s">
        <v>4159</v>
      </c>
      <c r="W1256" s="259" t="s">
        <v>3061</v>
      </c>
      <c r="Y1256" s="259">
        <v>343</v>
      </c>
      <c r="AA1256" s="259" t="e">
        <v>#N/A</v>
      </c>
      <c r="AB1256" s="259"/>
      <c r="AC1256" s="259"/>
      <c r="AD1256" s="259"/>
      <c r="AE1256" s="259"/>
    </row>
    <row r="1257" spans="1:31">
      <c r="A1257" s="259" t="s">
        <v>1352</v>
      </c>
      <c r="B1257" s="259" t="s">
        <v>80</v>
      </c>
      <c r="C1257" s="264" t="s">
        <v>108</v>
      </c>
      <c r="D1257" s="264" t="s">
        <v>1352</v>
      </c>
      <c r="E1257" s="259" t="s">
        <v>6393</v>
      </c>
      <c r="H1257" s="264" t="s">
        <v>6394</v>
      </c>
      <c r="I1257" s="264" t="s">
        <v>6395</v>
      </c>
      <c r="J1257" s="295">
        <v>4828.05</v>
      </c>
      <c r="K1257" s="295">
        <v>4828</v>
      </c>
      <c r="L1257" s="295">
        <v>2414.0300000000002</v>
      </c>
      <c r="O1257" s="266">
        <v>0</v>
      </c>
      <c r="P1257" s="266">
        <v>691991014185</v>
      </c>
      <c r="R1257" s="265">
        <v>72</v>
      </c>
      <c r="S1257" s="265">
        <v>20</v>
      </c>
      <c r="T1257" s="265">
        <v>32</v>
      </c>
      <c r="U1257" s="265">
        <v>20</v>
      </c>
      <c r="V1257" s="259" t="s">
        <v>4159</v>
      </c>
      <c r="W1257" s="259" t="s">
        <v>3061</v>
      </c>
      <c r="Y1257" s="259">
        <v>344</v>
      </c>
      <c r="Z1257" s="259" t="s">
        <v>3030</v>
      </c>
      <c r="AA1257" s="259" t="e">
        <v>#N/A</v>
      </c>
      <c r="AB1257" s="259"/>
      <c r="AC1257" s="259"/>
      <c r="AD1257" s="259"/>
      <c r="AE1257" s="259"/>
    </row>
    <row r="1258" spans="1:31">
      <c r="A1258" s="259" t="s">
        <v>1353</v>
      </c>
      <c r="B1258" s="259" t="s">
        <v>80</v>
      </c>
      <c r="C1258" s="264" t="s">
        <v>108</v>
      </c>
      <c r="D1258" s="264" t="s">
        <v>1353</v>
      </c>
      <c r="E1258" s="259" t="s">
        <v>6393</v>
      </c>
      <c r="H1258" s="264" t="s">
        <v>6396</v>
      </c>
      <c r="I1258" s="264" t="s">
        <v>6397</v>
      </c>
      <c r="J1258" s="295">
        <v>4828.05</v>
      </c>
      <c r="K1258" s="295">
        <v>4828</v>
      </c>
      <c r="L1258" s="295">
        <v>2414.0300000000002</v>
      </c>
      <c r="O1258" s="266">
        <v>0</v>
      </c>
      <c r="P1258" s="266">
        <v>691991014192</v>
      </c>
      <c r="R1258" s="265">
        <v>79.7</v>
      </c>
      <c r="S1258" s="265">
        <v>35</v>
      </c>
      <c r="T1258" s="265">
        <v>23</v>
      </c>
      <c r="U1258" s="265">
        <v>20.5</v>
      </c>
      <c r="V1258" s="259" t="s">
        <v>4159</v>
      </c>
      <c r="W1258" s="259" t="s">
        <v>3061</v>
      </c>
      <c r="Y1258" s="259">
        <v>345</v>
      </c>
      <c r="Z1258" s="259" t="s">
        <v>3030</v>
      </c>
      <c r="AA1258" s="259" t="e">
        <v>#N/A</v>
      </c>
      <c r="AB1258" s="259"/>
      <c r="AC1258" s="259"/>
      <c r="AD1258" s="259"/>
      <c r="AE1258" s="259"/>
    </row>
    <row r="1259" spans="1:31">
      <c r="A1259" s="259" t="s">
        <v>1354</v>
      </c>
      <c r="B1259" s="259" t="s">
        <v>80</v>
      </c>
      <c r="C1259" s="264" t="s">
        <v>108</v>
      </c>
      <c r="D1259" s="264" t="s">
        <v>1354</v>
      </c>
      <c r="E1259" s="259" t="s">
        <v>6393</v>
      </c>
      <c r="H1259" s="264" t="s">
        <v>6398</v>
      </c>
      <c r="I1259" s="264" t="s">
        <v>6399</v>
      </c>
      <c r="J1259" s="295">
        <v>4828.05</v>
      </c>
      <c r="K1259" s="295">
        <v>4828</v>
      </c>
      <c r="L1259" s="295">
        <v>2414.0300000000002</v>
      </c>
      <c r="O1259" s="266">
        <v>0</v>
      </c>
      <c r="P1259" s="266">
        <v>691991014208</v>
      </c>
      <c r="R1259" s="265">
        <v>72</v>
      </c>
      <c r="S1259" s="265">
        <v>32</v>
      </c>
      <c r="T1259" s="265">
        <v>20</v>
      </c>
      <c r="U1259" s="265">
        <v>19.5</v>
      </c>
      <c r="V1259" s="259" t="s">
        <v>4159</v>
      </c>
      <c r="W1259" s="259" t="s">
        <v>3061</v>
      </c>
      <c r="Y1259" s="259">
        <v>346</v>
      </c>
      <c r="Z1259" s="259" t="s">
        <v>3037</v>
      </c>
      <c r="AA1259" s="259" t="e">
        <v>#N/A</v>
      </c>
      <c r="AB1259" s="259"/>
      <c r="AC1259" s="259"/>
      <c r="AD1259" s="259"/>
      <c r="AE1259" s="259"/>
    </row>
    <row r="1260" spans="1:31">
      <c r="A1260" s="259" t="s">
        <v>1355</v>
      </c>
      <c r="B1260" s="259" t="s">
        <v>80</v>
      </c>
      <c r="C1260" s="264" t="s">
        <v>108</v>
      </c>
      <c r="D1260" s="264" t="s">
        <v>1355</v>
      </c>
      <c r="H1260" s="264" t="s">
        <v>6400</v>
      </c>
      <c r="I1260" s="264" t="s">
        <v>6401</v>
      </c>
      <c r="J1260" s="295">
        <v>4828.05</v>
      </c>
      <c r="K1260" s="295">
        <v>4828</v>
      </c>
      <c r="L1260" s="295">
        <v>2414.0300000000002</v>
      </c>
      <c r="O1260" s="266">
        <v>0</v>
      </c>
      <c r="P1260" s="266">
        <v>691991014215</v>
      </c>
      <c r="R1260" s="265">
        <v>0</v>
      </c>
      <c r="S1260" s="265">
        <v>0</v>
      </c>
      <c r="T1260" s="265">
        <v>0</v>
      </c>
      <c r="U1260" s="265">
        <v>0</v>
      </c>
      <c r="V1260" s="259" t="s">
        <v>4159</v>
      </c>
      <c r="W1260" s="259" t="s">
        <v>3061</v>
      </c>
      <c r="Y1260" s="259">
        <v>347</v>
      </c>
      <c r="Z1260" s="259" t="s">
        <v>3037</v>
      </c>
      <c r="AA1260" s="259" t="e">
        <v>#N/A</v>
      </c>
      <c r="AB1260" s="259"/>
      <c r="AC1260" s="259"/>
      <c r="AD1260" s="259"/>
      <c r="AE1260" s="259"/>
    </row>
    <row r="1261" spans="1:31">
      <c r="A1261" s="259" t="s">
        <v>1356</v>
      </c>
      <c r="B1261" s="259" t="s">
        <v>80</v>
      </c>
      <c r="C1261" s="264" t="s">
        <v>108</v>
      </c>
      <c r="D1261" s="264" t="s">
        <v>1356</v>
      </c>
      <c r="E1261" s="259" t="s">
        <v>6393</v>
      </c>
      <c r="H1261" s="264" t="s">
        <v>6402</v>
      </c>
      <c r="I1261" s="264" t="s">
        <v>6403</v>
      </c>
      <c r="J1261" s="295">
        <v>4828.05</v>
      </c>
      <c r="K1261" s="295">
        <v>4828</v>
      </c>
      <c r="L1261" s="295">
        <v>2414.0300000000002</v>
      </c>
      <c r="O1261" s="266">
        <v>0</v>
      </c>
      <c r="P1261" s="266">
        <v>691991014222</v>
      </c>
      <c r="R1261" s="265">
        <v>72</v>
      </c>
      <c r="S1261" s="265">
        <v>32</v>
      </c>
      <c r="T1261" s="265">
        <v>20</v>
      </c>
      <c r="U1261" s="265">
        <v>20</v>
      </c>
      <c r="V1261" s="259" t="s">
        <v>4159</v>
      </c>
      <c r="W1261" s="259" t="s">
        <v>3061</v>
      </c>
      <c r="Y1261" s="259">
        <v>348</v>
      </c>
      <c r="Z1261" s="259" t="s">
        <v>3030</v>
      </c>
      <c r="AA1261" s="259" t="e">
        <v>#N/A</v>
      </c>
      <c r="AB1261" s="259"/>
      <c r="AC1261" s="259"/>
      <c r="AD1261" s="259"/>
      <c r="AE1261" s="259"/>
    </row>
    <row r="1262" spans="1:31">
      <c r="A1262" s="259" t="s">
        <v>1357</v>
      </c>
      <c r="B1262" s="259" t="s">
        <v>80</v>
      </c>
      <c r="C1262" s="264" t="s">
        <v>108</v>
      </c>
      <c r="D1262" s="264" t="s">
        <v>1357</v>
      </c>
      <c r="E1262" s="259" t="s">
        <v>6393</v>
      </c>
      <c r="H1262" s="264" t="s">
        <v>6404</v>
      </c>
      <c r="I1262" s="264" t="s">
        <v>6405</v>
      </c>
      <c r="J1262" s="295">
        <v>4828.05</v>
      </c>
      <c r="K1262" s="295">
        <v>4828</v>
      </c>
      <c r="L1262" s="295">
        <v>2414.0300000000002</v>
      </c>
      <c r="O1262" s="266">
        <v>0</v>
      </c>
      <c r="P1262" s="266">
        <v>691991014239</v>
      </c>
      <c r="R1262" s="265">
        <v>71</v>
      </c>
      <c r="S1262" s="265">
        <v>33</v>
      </c>
      <c r="T1262" s="265">
        <v>20</v>
      </c>
      <c r="U1262" s="265">
        <v>20</v>
      </c>
      <c r="V1262" s="259" t="s">
        <v>4159</v>
      </c>
      <c r="W1262" s="259" t="s">
        <v>3061</v>
      </c>
      <c r="Y1262" s="259">
        <v>349</v>
      </c>
      <c r="Z1262" s="259" t="s">
        <v>3030</v>
      </c>
      <c r="AA1262" s="259" t="e">
        <v>#N/A</v>
      </c>
      <c r="AB1262" s="259"/>
      <c r="AC1262" s="259"/>
      <c r="AD1262" s="259"/>
      <c r="AE1262" s="259"/>
    </row>
    <row r="1263" spans="1:31">
      <c r="A1263" s="259" t="s">
        <v>1358</v>
      </c>
      <c r="B1263" s="259" t="s">
        <v>80</v>
      </c>
      <c r="C1263" s="264" t="s">
        <v>108</v>
      </c>
      <c r="D1263" s="264" t="s">
        <v>1358</v>
      </c>
      <c r="E1263" s="259" t="s">
        <v>6393</v>
      </c>
      <c r="H1263" s="264" t="s">
        <v>6398</v>
      </c>
      <c r="I1263" s="264" t="s">
        <v>6406</v>
      </c>
      <c r="J1263" s="295">
        <v>4828.05</v>
      </c>
      <c r="K1263" s="295">
        <v>4828</v>
      </c>
      <c r="L1263" s="295">
        <v>2414.0300000000002</v>
      </c>
      <c r="O1263" s="266">
        <v>0</v>
      </c>
      <c r="P1263" s="266">
        <v>691991014246</v>
      </c>
      <c r="R1263" s="265">
        <v>55</v>
      </c>
      <c r="S1263" s="265">
        <v>20</v>
      </c>
      <c r="T1263" s="265">
        <v>32</v>
      </c>
      <c r="U1263" s="265">
        <v>19</v>
      </c>
      <c r="V1263" s="259" t="s">
        <v>4159</v>
      </c>
      <c r="W1263" s="259" t="s">
        <v>3061</v>
      </c>
      <c r="Y1263" s="259">
        <v>350</v>
      </c>
      <c r="Z1263" s="259" t="s">
        <v>3030</v>
      </c>
      <c r="AA1263" s="259" t="e">
        <v>#N/A</v>
      </c>
      <c r="AB1263" s="259"/>
      <c r="AC1263" s="259"/>
      <c r="AD1263" s="259"/>
      <c r="AE1263" s="259"/>
    </row>
    <row r="1264" spans="1:31">
      <c r="A1264" s="259" t="s">
        <v>1359</v>
      </c>
      <c r="B1264" s="259" t="s">
        <v>80</v>
      </c>
      <c r="C1264" s="264" t="s">
        <v>108</v>
      </c>
      <c r="D1264" s="264" t="s">
        <v>1359</v>
      </c>
      <c r="E1264" s="259" t="s">
        <v>6393</v>
      </c>
      <c r="H1264" s="264" t="s">
        <v>6407</v>
      </c>
      <c r="I1264" s="264" t="s">
        <v>6408</v>
      </c>
      <c r="J1264" s="295">
        <v>5225.74</v>
      </c>
      <c r="K1264" s="295">
        <v>5225.74</v>
      </c>
      <c r="L1264" s="295">
        <v>2612.87</v>
      </c>
      <c r="O1264" s="266">
        <v>0</v>
      </c>
      <c r="P1264" s="266">
        <v>691991014260</v>
      </c>
      <c r="R1264" s="265">
        <v>84</v>
      </c>
      <c r="S1264" s="265">
        <v>25</v>
      </c>
      <c r="T1264" s="265">
        <v>23</v>
      </c>
      <c r="U1264" s="265">
        <v>20</v>
      </c>
      <c r="V1264" s="259" t="s">
        <v>4159</v>
      </c>
      <c r="W1264" s="259" t="s">
        <v>3061</v>
      </c>
      <c r="Y1264" s="259">
        <v>351</v>
      </c>
      <c r="Z1264" s="259" t="s">
        <v>3030</v>
      </c>
      <c r="AA1264" s="259" t="e">
        <v>#N/A</v>
      </c>
      <c r="AB1264" s="259"/>
      <c r="AC1264" s="259"/>
      <c r="AD1264" s="259"/>
      <c r="AE1264" s="259"/>
    </row>
    <row r="1265" spans="1:31">
      <c r="A1265" s="259" t="s">
        <v>1360</v>
      </c>
      <c r="B1265" s="259" t="s">
        <v>80</v>
      </c>
      <c r="C1265" s="264" t="s">
        <v>108</v>
      </c>
      <c r="D1265" s="264" t="s">
        <v>1360</v>
      </c>
      <c r="E1265" s="259" t="s">
        <v>6393</v>
      </c>
      <c r="H1265" s="264" t="s">
        <v>6409</v>
      </c>
      <c r="I1265" s="264" t="s">
        <v>6410</v>
      </c>
      <c r="J1265" s="295">
        <v>5225.74</v>
      </c>
      <c r="K1265" s="295">
        <v>5225.74</v>
      </c>
      <c r="L1265" s="295">
        <v>2612.87</v>
      </c>
      <c r="O1265" s="266">
        <v>0</v>
      </c>
      <c r="P1265" s="266">
        <v>691991014277</v>
      </c>
      <c r="R1265" s="265">
        <v>64</v>
      </c>
      <c r="S1265" s="265">
        <v>23</v>
      </c>
      <c r="T1265" s="265">
        <v>35</v>
      </c>
      <c r="U1265" s="265">
        <v>21</v>
      </c>
      <c r="V1265" s="259" t="s">
        <v>4159</v>
      </c>
      <c r="W1265" s="259" t="s">
        <v>3061</v>
      </c>
      <c r="Y1265" s="259">
        <v>352</v>
      </c>
      <c r="Z1265" s="259" t="s">
        <v>3030</v>
      </c>
      <c r="AA1265" s="259" t="e">
        <v>#N/A</v>
      </c>
      <c r="AB1265" s="259"/>
      <c r="AC1265" s="259"/>
      <c r="AD1265" s="259"/>
      <c r="AE1265" s="259"/>
    </row>
    <row r="1266" spans="1:31">
      <c r="A1266" s="259" t="s">
        <v>1361</v>
      </c>
      <c r="B1266" s="259" t="s">
        <v>80</v>
      </c>
      <c r="C1266" s="264" t="s">
        <v>108</v>
      </c>
      <c r="D1266" s="264" t="s">
        <v>1361</v>
      </c>
      <c r="E1266" s="259" t="s">
        <v>6393</v>
      </c>
      <c r="H1266" s="264" t="s">
        <v>6411</v>
      </c>
      <c r="I1266" s="264" t="s">
        <v>6412</v>
      </c>
      <c r="J1266" s="295">
        <v>5225.74</v>
      </c>
      <c r="K1266" s="295">
        <v>5225.74</v>
      </c>
      <c r="L1266" s="295">
        <v>2612.87</v>
      </c>
      <c r="O1266" s="266">
        <v>0</v>
      </c>
      <c r="P1266" s="266">
        <v>691991014284</v>
      </c>
      <c r="R1266" s="265">
        <v>0</v>
      </c>
      <c r="S1266" s="265">
        <v>0</v>
      </c>
      <c r="T1266" s="265">
        <v>0</v>
      </c>
      <c r="U1266" s="265">
        <v>0</v>
      </c>
      <c r="V1266" s="259" t="s">
        <v>4159</v>
      </c>
      <c r="W1266" s="259" t="s">
        <v>3061</v>
      </c>
      <c r="Y1266" s="259">
        <v>353</v>
      </c>
      <c r="Z1266" s="259" t="s">
        <v>3030</v>
      </c>
      <c r="AA1266" s="259" t="e">
        <v>#N/A</v>
      </c>
      <c r="AB1266" s="259"/>
      <c r="AC1266" s="259"/>
      <c r="AD1266" s="259"/>
      <c r="AE1266" s="259"/>
    </row>
    <row r="1267" spans="1:31">
      <c r="A1267" s="259" t="s">
        <v>1362</v>
      </c>
      <c r="B1267" s="259" t="s">
        <v>80</v>
      </c>
      <c r="C1267" s="264" t="s">
        <v>108</v>
      </c>
      <c r="D1267" s="264" t="s">
        <v>1362</v>
      </c>
      <c r="E1267" s="259" t="s">
        <v>6393</v>
      </c>
      <c r="H1267" s="264" t="s">
        <v>6413</v>
      </c>
      <c r="I1267" s="264" t="s">
        <v>6414</v>
      </c>
      <c r="J1267" s="295">
        <v>5225.74</v>
      </c>
      <c r="K1267" s="295">
        <v>5225.74</v>
      </c>
      <c r="L1267" s="295">
        <v>2612.87</v>
      </c>
      <c r="O1267" s="266">
        <v>0</v>
      </c>
      <c r="P1267" s="266">
        <v>691991014291</v>
      </c>
      <c r="R1267" s="265">
        <v>0</v>
      </c>
      <c r="S1267" s="265">
        <v>0</v>
      </c>
      <c r="T1267" s="265">
        <v>0</v>
      </c>
      <c r="U1267" s="265">
        <v>0</v>
      </c>
      <c r="V1267" s="259" t="s">
        <v>4159</v>
      </c>
      <c r="W1267" s="259" t="s">
        <v>3061</v>
      </c>
      <c r="Y1267" s="259">
        <v>354</v>
      </c>
      <c r="Z1267" s="259" t="s">
        <v>3037</v>
      </c>
      <c r="AA1267" s="259" t="e">
        <v>#N/A</v>
      </c>
      <c r="AB1267" s="259"/>
      <c r="AC1267" s="259"/>
      <c r="AD1267" s="259"/>
      <c r="AE1267" s="259"/>
    </row>
    <row r="1268" spans="1:31">
      <c r="A1268" s="259" t="s">
        <v>1363</v>
      </c>
      <c r="B1268" s="259" t="s">
        <v>80</v>
      </c>
      <c r="C1268" s="264" t="s">
        <v>108</v>
      </c>
      <c r="D1268" s="264" t="s">
        <v>1363</v>
      </c>
      <c r="E1268" s="259" t="s">
        <v>6393</v>
      </c>
      <c r="H1268" s="264" t="s">
        <v>6407</v>
      </c>
      <c r="I1268" s="264" t="s">
        <v>6415</v>
      </c>
      <c r="J1268" s="295">
        <v>5225.74</v>
      </c>
      <c r="K1268" s="295">
        <v>5225.74</v>
      </c>
      <c r="L1268" s="295">
        <v>2612.87</v>
      </c>
      <c r="O1268" s="266">
        <v>0</v>
      </c>
      <c r="P1268" s="266">
        <v>691991014307</v>
      </c>
      <c r="R1268" s="265">
        <v>80</v>
      </c>
      <c r="S1268" s="265">
        <v>35</v>
      </c>
      <c r="T1268" s="265">
        <v>22</v>
      </c>
      <c r="U1268" s="265">
        <v>21</v>
      </c>
      <c r="V1268" s="259" t="s">
        <v>4159</v>
      </c>
      <c r="W1268" s="259" t="s">
        <v>3061</v>
      </c>
      <c r="Y1268" s="259">
        <v>355</v>
      </c>
      <c r="Z1268" s="259" t="s">
        <v>3030</v>
      </c>
      <c r="AA1268" s="259" t="e">
        <v>#N/A</v>
      </c>
      <c r="AB1268" s="259"/>
      <c r="AC1268" s="259"/>
      <c r="AD1268" s="259"/>
      <c r="AE1268" s="259"/>
    </row>
    <row r="1269" spans="1:31">
      <c r="A1269" s="259" t="s">
        <v>1364</v>
      </c>
      <c r="B1269" s="259" t="s">
        <v>80</v>
      </c>
      <c r="C1269" s="264" t="s">
        <v>108</v>
      </c>
      <c r="D1269" s="264" t="s">
        <v>1364</v>
      </c>
      <c r="E1269" s="259" t="s">
        <v>6393</v>
      </c>
      <c r="H1269" s="264" t="s">
        <v>6409</v>
      </c>
      <c r="I1269" s="264" t="s">
        <v>6416</v>
      </c>
      <c r="J1269" s="295">
        <v>5225.74</v>
      </c>
      <c r="K1269" s="295">
        <v>5225.74</v>
      </c>
      <c r="L1269" s="295">
        <v>2612.87</v>
      </c>
      <c r="O1269" s="266">
        <v>0</v>
      </c>
      <c r="P1269" s="266">
        <v>691991014314</v>
      </c>
      <c r="R1269" s="265">
        <v>81.45</v>
      </c>
      <c r="S1269" s="265">
        <v>33</v>
      </c>
      <c r="T1269" s="265">
        <v>25</v>
      </c>
      <c r="U1269" s="265">
        <v>20</v>
      </c>
      <c r="V1269" s="259" t="s">
        <v>4159</v>
      </c>
      <c r="W1269" s="259" t="s">
        <v>3061</v>
      </c>
      <c r="Y1269" s="259">
        <v>356</v>
      </c>
      <c r="Z1269" s="259" t="s">
        <v>3030</v>
      </c>
      <c r="AA1269" s="259" t="e">
        <v>#N/A</v>
      </c>
      <c r="AB1269" s="259"/>
      <c r="AC1269" s="259"/>
      <c r="AD1269" s="259"/>
      <c r="AE1269" s="259"/>
    </row>
    <row r="1270" spans="1:31">
      <c r="A1270" s="259" t="s">
        <v>1365</v>
      </c>
      <c r="B1270" s="259" t="s">
        <v>80</v>
      </c>
      <c r="C1270" s="264" t="s">
        <v>108</v>
      </c>
      <c r="D1270" s="264" t="s">
        <v>1365</v>
      </c>
      <c r="E1270" s="259" t="s">
        <v>6393</v>
      </c>
      <c r="H1270" s="264" t="s">
        <v>6411</v>
      </c>
      <c r="I1270" s="264" t="s">
        <v>6412</v>
      </c>
      <c r="J1270" s="295">
        <v>5225.74</v>
      </c>
      <c r="K1270" s="295">
        <v>5225.74</v>
      </c>
      <c r="L1270" s="295">
        <v>2612.87</v>
      </c>
      <c r="O1270" s="266">
        <v>0</v>
      </c>
      <c r="P1270" s="266">
        <v>691991014321</v>
      </c>
      <c r="R1270" s="265">
        <v>75</v>
      </c>
      <c r="S1270" s="265">
        <v>36</v>
      </c>
      <c r="T1270" s="265">
        <v>23</v>
      </c>
      <c r="U1270" s="265">
        <v>21</v>
      </c>
      <c r="V1270" s="259" t="s">
        <v>4159</v>
      </c>
      <c r="W1270" s="259" t="s">
        <v>3061</v>
      </c>
      <c r="Y1270" s="259">
        <v>357</v>
      </c>
      <c r="Z1270" s="259" t="s">
        <v>3037</v>
      </c>
      <c r="AA1270" s="259" t="e">
        <v>#N/A</v>
      </c>
      <c r="AB1270" s="259"/>
      <c r="AC1270" s="259"/>
      <c r="AD1270" s="259"/>
      <c r="AE1270" s="259"/>
    </row>
    <row r="1271" spans="1:31">
      <c r="A1271" s="259" t="s">
        <v>1366</v>
      </c>
      <c r="B1271" s="259" t="s">
        <v>80</v>
      </c>
      <c r="C1271" s="264" t="s">
        <v>108</v>
      </c>
      <c r="D1271" s="264" t="s">
        <v>1366</v>
      </c>
      <c r="H1271" s="264" t="s">
        <v>6413</v>
      </c>
      <c r="I1271" s="264" t="s">
        <v>6414</v>
      </c>
      <c r="J1271" s="295">
        <v>5225.74</v>
      </c>
      <c r="K1271" s="295">
        <v>5225.74</v>
      </c>
      <c r="L1271" s="295">
        <v>2612.87</v>
      </c>
      <c r="O1271" s="266">
        <v>0</v>
      </c>
      <c r="P1271" s="266">
        <v>691991014338</v>
      </c>
      <c r="R1271" s="265">
        <v>0</v>
      </c>
      <c r="S1271" s="265">
        <v>0</v>
      </c>
      <c r="T1271" s="265">
        <v>0</v>
      </c>
      <c r="U1271" s="265">
        <v>0</v>
      </c>
      <c r="V1271" s="259" t="s">
        <v>4159</v>
      </c>
      <c r="W1271" s="259" t="s">
        <v>3061</v>
      </c>
      <c r="Y1271" s="259">
        <v>358</v>
      </c>
      <c r="Z1271" s="259" t="s">
        <v>3037</v>
      </c>
      <c r="AA1271" s="259" t="e">
        <v>#N/A</v>
      </c>
      <c r="AB1271" s="259"/>
      <c r="AC1271" s="259"/>
      <c r="AD1271" s="259"/>
      <c r="AE1271" s="259"/>
    </row>
    <row r="1272" spans="1:31">
      <c r="A1272" s="259" t="s">
        <v>1367</v>
      </c>
      <c r="B1272" s="259" t="s">
        <v>80</v>
      </c>
      <c r="C1272" s="264" t="s">
        <v>108</v>
      </c>
      <c r="D1272" s="264" t="s">
        <v>1367</v>
      </c>
      <c r="E1272" s="259" t="s">
        <v>6393</v>
      </c>
      <c r="H1272" s="264" t="s">
        <v>6407</v>
      </c>
      <c r="I1272" s="264" t="s">
        <v>6417</v>
      </c>
      <c r="J1272" s="295">
        <v>5225.74</v>
      </c>
      <c r="K1272" s="295">
        <v>5225.74</v>
      </c>
      <c r="L1272" s="295">
        <v>2612.87</v>
      </c>
      <c r="O1272" s="266">
        <v>0</v>
      </c>
      <c r="P1272" s="266">
        <v>691991014345</v>
      </c>
      <c r="R1272" s="265">
        <v>82</v>
      </c>
      <c r="S1272" s="265">
        <v>23</v>
      </c>
      <c r="T1272" s="265">
        <v>26</v>
      </c>
      <c r="U1272" s="265">
        <v>21</v>
      </c>
      <c r="V1272" s="259" t="s">
        <v>4159</v>
      </c>
      <c r="W1272" s="259" t="s">
        <v>3061</v>
      </c>
      <c r="Y1272" s="259">
        <v>359</v>
      </c>
      <c r="Z1272" s="259" t="s">
        <v>3030</v>
      </c>
      <c r="AA1272" s="259" t="e">
        <v>#N/A</v>
      </c>
      <c r="AB1272" s="259"/>
      <c r="AC1272" s="259"/>
      <c r="AD1272" s="259"/>
      <c r="AE1272" s="259"/>
    </row>
    <row r="1273" spans="1:31">
      <c r="A1273" s="259" t="s">
        <v>1368</v>
      </c>
      <c r="B1273" s="259" t="s">
        <v>80</v>
      </c>
      <c r="C1273" s="264" t="s">
        <v>108</v>
      </c>
      <c r="D1273" s="264" t="s">
        <v>1368</v>
      </c>
      <c r="E1273" s="259" t="s">
        <v>6393</v>
      </c>
      <c r="H1273" s="264" t="s">
        <v>6409</v>
      </c>
      <c r="I1273" s="264" t="s">
        <v>6418</v>
      </c>
      <c r="J1273" s="295">
        <v>5225.74</v>
      </c>
      <c r="K1273" s="295">
        <v>5225.74</v>
      </c>
      <c r="L1273" s="295">
        <v>2612.87</v>
      </c>
      <c r="O1273" s="266">
        <v>0</v>
      </c>
      <c r="P1273" s="266">
        <v>691991014352</v>
      </c>
      <c r="R1273" s="265">
        <v>71.2</v>
      </c>
      <c r="S1273" s="265">
        <v>32</v>
      </c>
      <c r="T1273" s="265">
        <v>20</v>
      </c>
      <c r="U1273" s="265">
        <v>19</v>
      </c>
      <c r="V1273" s="259" t="s">
        <v>4159</v>
      </c>
      <c r="W1273" s="259" t="s">
        <v>3061</v>
      </c>
      <c r="Y1273" s="259">
        <v>360</v>
      </c>
      <c r="Z1273" s="259" t="s">
        <v>3030</v>
      </c>
      <c r="AA1273" s="259" t="e">
        <v>#N/A</v>
      </c>
      <c r="AB1273" s="259"/>
      <c r="AC1273" s="259"/>
      <c r="AD1273" s="259"/>
      <c r="AE1273" s="259"/>
    </row>
    <row r="1274" spans="1:31">
      <c r="A1274" s="259" t="s">
        <v>1369</v>
      </c>
      <c r="B1274" s="259" t="s">
        <v>80</v>
      </c>
      <c r="C1274" s="264" t="s">
        <v>108</v>
      </c>
      <c r="D1274" s="264" t="s">
        <v>1369</v>
      </c>
      <c r="E1274" s="259" t="s">
        <v>6393</v>
      </c>
      <c r="H1274" s="264" t="s">
        <v>6411</v>
      </c>
      <c r="I1274" s="264" t="s">
        <v>6412</v>
      </c>
      <c r="J1274" s="295">
        <v>5225.74</v>
      </c>
      <c r="K1274" s="295">
        <v>5225.74</v>
      </c>
      <c r="L1274" s="295">
        <v>2612.87</v>
      </c>
      <c r="O1274" s="266">
        <v>0</v>
      </c>
      <c r="P1274" s="266">
        <v>691991014369</v>
      </c>
      <c r="R1274" s="265">
        <v>81.25</v>
      </c>
      <c r="S1274" s="265">
        <v>35</v>
      </c>
      <c r="T1274" s="265">
        <v>23</v>
      </c>
      <c r="U1274" s="265">
        <v>20</v>
      </c>
      <c r="V1274" s="259" t="s">
        <v>4159</v>
      </c>
      <c r="W1274" s="259" t="s">
        <v>3061</v>
      </c>
      <c r="Y1274" s="259">
        <v>361</v>
      </c>
      <c r="Z1274" s="259" t="s">
        <v>3037</v>
      </c>
      <c r="AA1274" s="259" t="e">
        <v>#N/A</v>
      </c>
      <c r="AB1274" s="259"/>
      <c r="AC1274" s="259"/>
      <c r="AD1274" s="259"/>
      <c r="AE1274" s="259"/>
    </row>
    <row r="1275" spans="1:31">
      <c r="A1275" s="259" t="s">
        <v>1370</v>
      </c>
      <c r="B1275" s="259" t="s">
        <v>80</v>
      </c>
      <c r="C1275" s="264" t="s">
        <v>108</v>
      </c>
      <c r="D1275" s="264" t="s">
        <v>1370</v>
      </c>
      <c r="E1275" s="259" t="s">
        <v>6393</v>
      </c>
      <c r="H1275" s="264" t="s">
        <v>6413</v>
      </c>
      <c r="I1275" s="264" t="s">
        <v>6414</v>
      </c>
      <c r="J1275" s="295">
        <v>5225.74</v>
      </c>
      <c r="K1275" s="295">
        <v>5225.74</v>
      </c>
      <c r="L1275" s="295">
        <v>2612.87</v>
      </c>
      <c r="O1275" s="266">
        <v>0</v>
      </c>
      <c r="P1275" s="266">
        <v>691991014376</v>
      </c>
      <c r="R1275" s="265">
        <v>55</v>
      </c>
      <c r="S1275" s="265">
        <v>23</v>
      </c>
      <c r="T1275" s="265">
        <v>35</v>
      </c>
      <c r="U1275" s="265">
        <v>20</v>
      </c>
      <c r="V1275" s="259" t="s">
        <v>4159</v>
      </c>
      <c r="Y1275" s="259">
        <v>362</v>
      </c>
      <c r="Z1275" s="259" t="s">
        <v>3037</v>
      </c>
      <c r="AA1275" s="259" t="e">
        <v>#N/A</v>
      </c>
      <c r="AB1275" s="259"/>
      <c r="AC1275" s="259"/>
      <c r="AD1275" s="259"/>
      <c r="AE1275" s="259"/>
    </row>
    <row r="1276" spans="1:31">
      <c r="A1276" s="259" t="s">
        <v>1371</v>
      </c>
      <c r="B1276" s="259" t="s">
        <v>80</v>
      </c>
      <c r="C1276" s="264"/>
      <c r="D1276" s="264"/>
      <c r="H1276" s="264"/>
      <c r="I1276" s="264"/>
      <c r="J1276" s="295">
        <v>0</v>
      </c>
      <c r="K1276" s="295">
        <v>0</v>
      </c>
      <c r="L1276" s="295">
        <v>0</v>
      </c>
      <c r="O1276" s="266"/>
      <c r="R1276" s="265">
        <v>0</v>
      </c>
      <c r="S1276" s="265">
        <v>0</v>
      </c>
      <c r="T1276" s="265">
        <v>0</v>
      </c>
      <c r="U1276" s="265">
        <v>0</v>
      </c>
      <c r="V1276" s="259" t="s">
        <v>4159</v>
      </c>
      <c r="W1276" s="259" t="s">
        <v>3061</v>
      </c>
      <c r="Y1276" s="259">
        <v>363</v>
      </c>
      <c r="AA1276" s="259" t="e">
        <v>#N/A</v>
      </c>
      <c r="AB1276" s="259"/>
      <c r="AC1276" s="259"/>
      <c r="AD1276" s="259"/>
      <c r="AE1276" s="259"/>
    </row>
    <row r="1277" spans="1:31">
      <c r="A1277" s="259" t="s">
        <v>1372</v>
      </c>
      <c r="B1277" s="259" t="s">
        <v>80</v>
      </c>
      <c r="C1277" s="264" t="s">
        <v>108</v>
      </c>
      <c r="D1277" s="264" t="s">
        <v>1372</v>
      </c>
      <c r="E1277" s="259" t="s">
        <v>6393</v>
      </c>
      <c r="H1277" s="264" t="s">
        <v>6419</v>
      </c>
      <c r="I1277" s="264" t="s">
        <v>6420</v>
      </c>
      <c r="J1277" s="295">
        <v>560</v>
      </c>
      <c r="K1277" s="295">
        <v>560</v>
      </c>
      <c r="L1277" s="295">
        <v>280</v>
      </c>
      <c r="O1277" s="266">
        <v>2</v>
      </c>
      <c r="P1277" s="266">
        <v>691991010569</v>
      </c>
      <c r="R1277" s="265">
        <v>11.2</v>
      </c>
      <c r="S1277" s="265">
        <v>19</v>
      </c>
      <c r="T1277" s="265">
        <v>9</v>
      </c>
      <c r="U1277" s="265">
        <v>11</v>
      </c>
      <c r="V1277" s="259" t="s">
        <v>4159</v>
      </c>
      <c r="W1277" s="259" t="s">
        <v>3061</v>
      </c>
      <c r="Y1277" s="259">
        <v>364</v>
      </c>
      <c r="Z1277" s="259" t="s">
        <v>3030</v>
      </c>
      <c r="AA1277" s="259" t="e">
        <v>#N/A</v>
      </c>
      <c r="AB1277" s="259"/>
      <c r="AC1277" s="259"/>
      <c r="AD1277" s="259"/>
      <c r="AE1277" s="259"/>
    </row>
    <row r="1278" spans="1:31">
      <c r="A1278" s="259" t="s">
        <v>1373</v>
      </c>
      <c r="B1278" s="259" t="s">
        <v>80</v>
      </c>
      <c r="C1278" s="264" t="s">
        <v>108</v>
      </c>
      <c r="D1278" s="264" t="s">
        <v>1373</v>
      </c>
      <c r="E1278" s="259" t="s">
        <v>6393</v>
      </c>
      <c r="H1278" s="264" t="s">
        <v>6421</v>
      </c>
      <c r="I1278" s="264" t="s">
        <v>6422</v>
      </c>
      <c r="J1278" s="295">
        <v>560</v>
      </c>
      <c r="K1278" s="295">
        <v>560</v>
      </c>
      <c r="L1278" s="295">
        <v>280</v>
      </c>
      <c r="O1278" s="266">
        <v>2</v>
      </c>
      <c r="P1278" s="266">
        <v>691991010576</v>
      </c>
      <c r="R1278" s="265">
        <v>11.15</v>
      </c>
      <c r="S1278" s="265">
        <v>19</v>
      </c>
      <c r="T1278" s="265">
        <v>9.5</v>
      </c>
      <c r="U1278" s="265">
        <v>11</v>
      </c>
      <c r="V1278" s="259" t="s">
        <v>4159</v>
      </c>
      <c r="W1278" s="259" t="s">
        <v>3061</v>
      </c>
      <c r="Y1278" s="259">
        <v>365</v>
      </c>
      <c r="Z1278" s="259" t="s">
        <v>3030</v>
      </c>
      <c r="AA1278" s="259" t="e">
        <v>#N/A</v>
      </c>
      <c r="AB1278" s="259"/>
      <c r="AC1278" s="259"/>
      <c r="AD1278" s="259"/>
      <c r="AE1278" s="259"/>
    </row>
    <row r="1279" spans="1:31">
      <c r="A1279" s="259" t="s">
        <v>1374</v>
      </c>
      <c r="B1279" s="259" t="s">
        <v>80</v>
      </c>
      <c r="C1279" s="264" t="s">
        <v>108</v>
      </c>
      <c r="D1279" s="264" t="s">
        <v>1374</v>
      </c>
      <c r="E1279" s="259" t="s">
        <v>6393</v>
      </c>
      <c r="H1279" s="264" t="s">
        <v>6423</v>
      </c>
      <c r="I1279" s="264" t="s">
        <v>6424</v>
      </c>
      <c r="J1279" s="295">
        <v>1125</v>
      </c>
      <c r="K1279" s="295">
        <v>1125</v>
      </c>
      <c r="L1279" s="295">
        <v>562.5</v>
      </c>
      <c r="O1279" s="266">
        <v>0</v>
      </c>
      <c r="P1279" s="266">
        <v>691991010583</v>
      </c>
      <c r="R1279" s="265">
        <v>19.45</v>
      </c>
      <c r="S1279" s="265">
        <v>13</v>
      </c>
      <c r="T1279" s="265">
        <v>12</v>
      </c>
      <c r="U1279" s="265">
        <v>17</v>
      </c>
      <c r="V1279" s="259" t="s">
        <v>4159</v>
      </c>
      <c r="W1279" s="259" t="s">
        <v>3061</v>
      </c>
      <c r="Y1279" s="259">
        <v>366</v>
      </c>
      <c r="Z1279" s="259" t="s">
        <v>3030</v>
      </c>
      <c r="AA1279" s="259" t="e">
        <v>#N/A</v>
      </c>
      <c r="AB1279" s="259"/>
      <c r="AC1279" s="259"/>
      <c r="AD1279" s="259"/>
      <c r="AE1279" s="259"/>
    </row>
    <row r="1280" spans="1:31">
      <c r="A1280" s="259" t="s">
        <v>1375</v>
      </c>
      <c r="B1280" s="259" t="s">
        <v>80</v>
      </c>
      <c r="C1280" s="264" t="s">
        <v>108</v>
      </c>
      <c r="D1280" s="264" t="s">
        <v>1375</v>
      </c>
      <c r="E1280" s="259" t="s">
        <v>6393</v>
      </c>
      <c r="H1280" s="264" t="s">
        <v>6425</v>
      </c>
      <c r="I1280" s="264" t="s">
        <v>6426</v>
      </c>
      <c r="J1280" s="295">
        <v>1125</v>
      </c>
      <c r="K1280" s="295">
        <v>1125</v>
      </c>
      <c r="L1280" s="295">
        <v>562.5</v>
      </c>
      <c r="O1280" s="266">
        <v>0</v>
      </c>
      <c r="P1280" s="266">
        <v>691991010590</v>
      </c>
      <c r="R1280" s="265">
        <v>20</v>
      </c>
      <c r="S1280" s="265">
        <v>13</v>
      </c>
      <c r="T1280" s="265">
        <v>11</v>
      </c>
      <c r="U1280" s="265">
        <v>17</v>
      </c>
      <c r="V1280" s="259" t="s">
        <v>4159</v>
      </c>
      <c r="W1280" s="259" t="s">
        <v>3061</v>
      </c>
      <c r="Y1280" s="259">
        <v>367</v>
      </c>
      <c r="Z1280" s="259" t="s">
        <v>3030</v>
      </c>
      <c r="AA1280" s="259" t="e">
        <v>#N/A</v>
      </c>
      <c r="AB1280" s="259"/>
      <c r="AC1280" s="259"/>
      <c r="AD1280" s="259"/>
      <c r="AE1280" s="259"/>
    </row>
    <row r="1281" spans="1:31">
      <c r="A1281" s="259" t="s">
        <v>1376</v>
      </c>
      <c r="B1281" s="259" t="s">
        <v>80</v>
      </c>
      <c r="C1281" s="264" t="s">
        <v>6427</v>
      </c>
      <c r="D1281" s="264" t="s">
        <v>1376</v>
      </c>
      <c r="F1281" s="259" t="s">
        <v>5021</v>
      </c>
      <c r="H1281" s="264" t="s">
        <v>6425</v>
      </c>
      <c r="I1281" s="264" t="s">
        <v>6420</v>
      </c>
      <c r="J1281" s="295" t="s">
        <v>6428</v>
      </c>
      <c r="K1281" s="295">
        <v>0</v>
      </c>
      <c r="L1281" s="295">
        <v>0</v>
      </c>
      <c r="O1281" s="266"/>
      <c r="P1281" s="266">
        <v>691991028915</v>
      </c>
      <c r="R1281" s="265">
        <v>0</v>
      </c>
      <c r="S1281" s="265">
        <v>0</v>
      </c>
      <c r="T1281" s="265">
        <v>0</v>
      </c>
      <c r="U1281" s="265">
        <v>0</v>
      </c>
      <c r="V1281" s="259"/>
      <c r="Y1281" s="259">
        <v>368</v>
      </c>
      <c r="Z1281" s="259" t="s">
        <v>3037</v>
      </c>
      <c r="AA1281" s="259" t="e">
        <v>#N/A</v>
      </c>
      <c r="AB1281" s="259"/>
      <c r="AC1281" s="259"/>
      <c r="AD1281" s="259"/>
      <c r="AE1281" s="259"/>
    </row>
    <row r="1282" spans="1:31">
      <c r="A1282" s="259" t="s">
        <v>1377</v>
      </c>
      <c r="B1282" s="259" t="s">
        <v>80</v>
      </c>
      <c r="C1282" s="264" t="s">
        <v>6427</v>
      </c>
      <c r="D1282" s="264"/>
      <c r="E1282" s="259" t="s">
        <v>6429</v>
      </c>
      <c r="F1282" s="259" t="s">
        <v>5021</v>
      </c>
      <c r="H1282" s="264" t="s">
        <v>6425</v>
      </c>
      <c r="I1282" s="264" t="s">
        <v>6420</v>
      </c>
      <c r="J1282" s="295" t="s">
        <v>6428</v>
      </c>
      <c r="K1282" s="295">
        <v>0</v>
      </c>
      <c r="L1282" s="295">
        <v>0</v>
      </c>
      <c r="O1282" s="266"/>
      <c r="P1282" s="266">
        <v>691991010606</v>
      </c>
      <c r="R1282" s="265">
        <v>23</v>
      </c>
      <c r="S1282" s="265">
        <v>17</v>
      </c>
      <c r="T1282" s="265">
        <v>13</v>
      </c>
      <c r="U1282" s="265">
        <v>12</v>
      </c>
      <c r="V1282" s="259" t="s">
        <v>3996</v>
      </c>
      <c r="Y1282" s="259">
        <v>369</v>
      </c>
      <c r="Z1282" s="259" t="s">
        <v>4325</v>
      </c>
      <c r="AA1282" s="259" t="e">
        <v>#N/A</v>
      </c>
      <c r="AB1282" s="259"/>
      <c r="AC1282" s="259"/>
      <c r="AD1282" s="259"/>
      <c r="AE1282" s="259"/>
    </row>
    <row r="1283" spans="1:31">
      <c r="A1283" s="259" t="s">
        <v>1378</v>
      </c>
      <c r="B1283" s="259" t="s">
        <v>80</v>
      </c>
      <c r="C1283" s="264" t="s">
        <v>108</v>
      </c>
      <c r="D1283" s="264" t="s">
        <v>1378</v>
      </c>
      <c r="E1283" s="259" t="s">
        <v>6393</v>
      </c>
      <c r="H1283" s="264" t="s">
        <v>6430</v>
      </c>
      <c r="I1283" s="264" t="s">
        <v>6431</v>
      </c>
      <c r="J1283" s="295">
        <v>1375</v>
      </c>
      <c r="K1283" s="295">
        <v>1375</v>
      </c>
      <c r="L1283" s="295">
        <v>687.5</v>
      </c>
      <c r="O1283" s="266">
        <v>0</v>
      </c>
      <c r="P1283" s="266">
        <v>691991010613</v>
      </c>
      <c r="R1283" s="265">
        <v>19.600000000000001</v>
      </c>
      <c r="S1283" s="265">
        <v>13</v>
      </c>
      <c r="T1283" s="265">
        <v>11.5</v>
      </c>
      <c r="U1283" s="265">
        <v>16.5</v>
      </c>
      <c r="V1283" s="259" t="s">
        <v>4159</v>
      </c>
      <c r="W1283" s="259" t="s">
        <v>3061</v>
      </c>
      <c r="Y1283" s="259">
        <v>370</v>
      </c>
      <c r="Z1283" s="259" t="s">
        <v>3030</v>
      </c>
      <c r="AA1283" s="259" t="e">
        <v>#N/A</v>
      </c>
      <c r="AB1283" s="259"/>
      <c r="AC1283" s="259"/>
      <c r="AD1283" s="259"/>
      <c r="AE1283" s="259"/>
    </row>
    <row r="1284" spans="1:31">
      <c r="A1284" s="259" t="s">
        <v>1379</v>
      </c>
      <c r="B1284" s="259" t="s">
        <v>80</v>
      </c>
      <c r="C1284" s="264" t="s">
        <v>108</v>
      </c>
      <c r="D1284" s="264" t="s">
        <v>1379</v>
      </c>
      <c r="E1284" s="259" t="s">
        <v>6393</v>
      </c>
      <c r="H1284" s="264" t="s">
        <v>6432</v>
      </c>
      <c r="I1284" s="264" t="s">
        <v>6433</v>
      </c>
      <c r="J1284" s="295">
        <v>1375</v>
      </c>
      <c r="K1284" s="295">
        <v>1375</v>
      </c>
      <c r="L1284" s="295">
        <v>687.5</v>
      </c>
      <c r="O1284" s="266">
        <v>0</v>
      </c>
      <c r="P1284" s="266">
        <v>691991010620</v>
      </c>
      <c r="R1284" s="265">
        <v>29</v>
      </c>
      <c r="S1284" s="265">
        <v>13</v>
      </c>
      <c r="T1284" s="265">
        <v>14</v>
      </c>
      <c r="U1284" s="265">
        <v>20</v>
      </c>
      <c r="V1284" s="259" t="s">
        <v>4159</v>
      </c>
      <c r="W1284" s="259" t="s">
        <v>3061</v>
      </c>
      <c r="Y1284" s="259">
        <v>371</v>
      </c>
      <c r="Z1284" s="259" t="s">
        <v>3030</v>
      </c>
      <c r="AA1284" s="259" t="e">
        <v>#N/A</v>
      </c>
      <c r="AB1284" s="259"/>
      <c r="AC1284" s="259"/>
      <c r="AD1284" s="259"/>
      <c r="AE1284" s="259"/>
    </row>
    <row r="1285" spans="1:31">
      <c r="A1285" s="259" t="s">
        <v>1380</v>
      </c>
      <c r="B1285" s="259" t="s">
        <v>80</v>
      </c>
      <c r="C1285" s="264" t="s">
        <v>6427</v>
      </c>
      <c r="D1285" s="264" t="s">
        <v>1380</v>
      </c>
      <c r="E1285" s="259" t="s">
        <v>6429</v>
      </c>
      <c r="F1285" s="259" t="s">
        <v>5021</v>
      </c>
      <c r="H1285" s="264" t="s">
        <v>6432</v>
      </c>
      <c r="I1285" s="264" t="s">
        <v>6420</v>
      </c>
      <c r="J1285" s="295" t="s">
        <v>6428</v>
      </c>
      <c r="K1285" s="295">
        <v>0</v>
      </c>
      <c r="L1285" s="295">
        <v>0</v>
      </c>
      <c r="O1285" s="266"/>
      <c r="P1285" s="266">
        <v>691991010637</v>
      </c>
      <c r="R1285" s="265">
        <v>15</v>
      </c>
      <c r="S1285" s="265">
        <v>12</v>
      </c>
      <c r="T1285" s="265">
        <v>14</v>
      </c>
      <c r="U1285" s="265">
        <v>22</v>
      </c>
      <c r="V1285" s="259" t="s">
        <v>3996</v>
      </c>
      <c r="Y1285" s="259">
        <v>372</v>
      </c>
      <c r="Z1285" s="259" t="s">
        <v>3329</v>
      </c>
      <c r="AA1285" s="259" t="e">
        <v>#N/A</v>
      </c>
      <c r="AB1285" s="259"/>
      <c r="AC1285" s="259"/>
      <c r="AD1285" s="259"/>
      <c r="AE1285" s="259"/>
    </row>
    <row r="1286" spans="1:31">
      <c r="A1286" s="259" t="s">
        <v>1381</v>
      </c>
      <c r="B1286" s="259" t="s">
        <v>80</v>
      </c>
      <c r="C1286" s="264" t="s">
        <v>108</v>
      </c>
      <c r="D1286" s="264" t="s">
        <v>1381</v>
      </c>
      <c r="E1286" s="259" t="s">
        <v>6393</v>
      </c>
      <c r="H1286" s="264" t="s">
        <v>6434</v>
      </c>
      <c r="I1286" s="264" t="s">
        <v>6435</v>
      </c>
      <c r="J1286" s="295">
        <v>1375</v>
      </c>
      <c r="K1286" s="295">
        <v>1375</v>
      </c>
      <c r="L1286" s="295">
        <v>687.5</v>
      </c>
      <c r="O1286" s="266">
        <v>0</v>
      </c>
      <c r="P1286" s="266">
        <v>691991002113</v>
      </c>
      <c r="R1286" s="265">
        <v>28.35</v>
      </c>
      <c r="S1286" s="265">
        <v>13.5</v>
      </c>
      <c r="T1286" s="265">
        <v>14</v>
      </c>
      <c r="U1286" s="265">
        <v>20.5</v>
      </c>
      <c r="V1286" s="259" t="s">
        <v>4159</v>
      </c>
      <c r="W1286" s="259" t="s">
        <v>3061</v>
      </c>
      <c r="Y1286" s="259">
        <v>373</v>
      </c>
      <c r="Z1286" s="259" t="s">
        <v>3030</v>
      </c>
      <c r="AA1286" s="259" t="e">
        <v>#N/A</v>
      </c>
      <c r="AB1286" s="259"/>
      <c r="AC1286" s="259"/>
      <c r="AD1286" s="259"/>
      <c r="AE1286" s="259"/>
    </row>
    <row r="1287" spans="1:31">
      <c r="A1287" s="259" t="s">
        <v>1382</v>
      </c>
      <c r="B1287" s="259" t="s">
        <v>80</v>
      </c>
      <c r="C1287" s="264" t="s">
        <v>108</v>
      </c>
      <c r="D1287" s="264" t="s">
        <v>1382</v>
      </c>
      <c r="E1287" s="259" t="s">
        <v>6393</v>
      </c>
      <c r="H1287" s="264" t="s">
        <v>6436</v>
      </c>
      <c r="I1287" s="264" t="s">
        <v>6437</v>
      </c>
      <c r="J1287" s="295">
        <v>1375</v>
      </c>
      <c r="K1287" s="295">
        <v>1375</v>
      </c>
      <c r="L1287" s="295">
        <v>687.5</v>
      </c>
      <c r="O1287" s="266">
        <v>0</v>
      </c>
      <c r="P1287" s="266">
        <v>691991002106</v>
      </c>
      <c r="R1287" s="265">
        <v>29</v>
      </c>
      <c r="S1287" s="265">
        <v>14</v>
      </c>
      <c r="T1287" s="265">
        <v>13</v>
      </c>
      <c r="U1287" s="265">
        <v>20</v>
      </c>
      <c r="V1287" s="259" t="s">
        <v>4159</v>
      </c>
      <c r="W1287" s="259" t="s">
        <v>3061</v>
      </c>
      <c r="Y1287" s="259">
        <v>374</v>
      </c>
      <c r="Z1287" s="259" t="s">
        <v>3030</v>
      </c>
      <c r="AA1287" s="259" t="e">
        <v>#N/A</v>
      </c>
      <c r="AB1287" s="259"/>
      <c r="AC1287" s="259"/>
      <c r="AD1287" s="259"/>
      <c r="AE1287" s="259"/>
    </row>
    <row r="1288" spans="1:31">
      <c r="A1288" s="259" t="s">
        <v>1383</v>
      </c>
      <c r="B1288" s="259" t="s">
        <v>80</v>
      </c>
      <c r="C1288" s="264" t="s">
        <v>6438</v>
      </c>
      <c r="D1288" s="264" t="s">
        <v>1383</v>
      </c>
      <c r="E1288" s="259" t="s">
        <v>6429</v>
      </c>
      <c r="F1288" s="259" t="s">
        <v>5021</v>
      </c>
      <c r="H1288" s="264" t="s">
        <v>6439</v>
      </c>
      <c r="I1288" s="264" t="s">
        <v>6440</v>
      </c>
      <c r="J1288" s="295" t="s">
        <v>6428</v>
      </c>
      <c r="K1288" s="295">
        <v>0</v>
      </c>
      <c r="L1288" s="295">
        <v>0</v>
      </c>
      <c r="O1288" s="266">
        <v>0</v>
      </c>
      <c r="R1288" s="265">
        <v>35</v>
      </c>
      <c r="S1288" s="265">
        <v>16</v>
      </c>
      <c r="T1288" s="265">
        <v>15</v>
      </c>
      <c r="U1288" s="265">
        <v>21</v>
      </c>
      <c r="V1288" s="259" t="s">
        <v>4159</v>
      </c>
      <c r="W1288" s="259" t="s">
        <v>3061</v>
      </c>
      <c r="Y1288" s="259">
        <v>375</v>
      </c>
      <c r="Z1288" s="259" t="s">
        <v>3037</v>
      </c>
      <c r="AA1288" s="259" t="e">
        <v>#N/A</v>
      </c>
      <c r="AB1288" s="259"/>
      <c r="AC1288" s="259"/>
      <c r="AD1288" s="259"/>
      <c r="AE1288" s="259"/>
    </row>
    <row r="1289" spans="1:31">
      <c r="A1289" s="259" t="s">
        <v>1384</v>
      </c>
      <c r="B1289" s="259" t="s">
        <v>80</v>
      </c>
      <c r="C1289" s="264" t="s">
        <v>6438</v>
      </c>
      <c r="D1289" s="264" t="s">
        <v>1384</v>
      </c>
      <c r="F1289" s="259" t="s">
        <v>5021</v>
      </c>
      <c r="H1289" s="264" t="s">
        <v>6439</v>
      </c>
      <c r="I1289" s="264" t="s">
        <v>6420</v>
      </c>
      <c r="J1289" s="295" t="s">
        <v>6428</v>
      </c>
      <c r="K1289" s="295">
        <v>0</v>
      </c>
      <c r="L1289" s="295">
        <v>0</v>
      </c>
      <c r="O1289" s="266">
        <v>0</v>
      </c>
      <c r="P1289" s="266">
        <v>691991028984</v>
      </c>
      <c r="R1289" s="265">
        <v>0</v>
      </c>
      <c r="S1289" s="265">
        <v>0</v>
      </c>
      <c r="T1289" s="265">
        <v>0</v>
      </c>
      <c r="U1289" s="265">
        <v>0</v>
      </c>
      <c r="V1289" s="259" t="s">
        <v>4159</v>
      </c>
      <c r="W1289" s="259" t="s">
        <v>3061</v>
      </c>
      <c r="Y1289" s="259">
        <v>376</v>
      </c>
      <c r="Z1289" s="259" t="s">
        <v>3037</v>
      </c>
      <c r="AA1289" s="259" t="e">
        <v>#N/A</v>
      </c>
      <c r="AB1289" s="259"/>
      <c r="AC1289" s="259"/>
      <c r="AD1289" s="259"/>
      <c r="AE1289" s="259"/>
    </row>
    <row r="1290" spans="1:31">
      <c r="A1290" s="259" t="s">
        <v>1385</v>
      </c>
      <c r="B1290" s="259" t="s">
        <v>80</v>
      </c>
      <c r="C1290" s="264" t="s">
        <v>108</v>
      </c>
      <c r="D1290" s="264" t="s">
        <v>1385</v>
      </c>
      <c r="E1290" s="259" t="s">
        <v>6393</v>
      </c>
      <c r="H1290" s="264" t="s">
        <v>6441</v>
      </c>
      <c r="I1290" s="264" t="s">
        <v>6442</v>
      </c>
      <c r="J1290" s="295">
        <v>1040</v>
      </c>
      <c r="K1290" s="295">
        <v>1040</v>
      </c>
      <c r="L1290" s="295">
        <v>520</v>
      </c>
      <c r="O1290" s="266">
        <v>0</v>
      </c>
      <c r="P1290" s="266">
        <v>691991010842</v>
      </c>
      <c r="R1290" s="265">
        <v>18</v>
      </c>
      <c r="S1290" s="265">
        <v>10</v>
      </c>
      <c r="T1290" s="265">
        <v>10</v>
      </c>
      <c r="U1290" s="265">
        <v>16</v>
      </c>
      <c r="V1290" s="259" t="s">
        <v>4159</v>
      </c>
      <c r="W1290" s="259" t="s">
        <v>3061</v>
      </c>
      <c r="Y1290" s="259">
        <v>377</v>
      </c>
      <c r="Z1290" s="259" t="s">
        <v>3030</v>
      </c>
      <c r="AA1290" s="259" t="e">
        <v>#N/A</v>
      </c>
      <c r="AB1290" s="259"/>
      <c r="AC1290" s="259"/>
      <c r="AD1290" s="259"/>
      <c r="AE1290" s="259"/>
    </row>
    <row r="1291" spans="1:31">
      <c r="A1291" s="259" t="s">
        <v>1386</v>
      </c>
      <c r="B1291" s="259" t="s">
        <v>80</v>
      </c>
      <c r="C1291" s="264" t="s">
        <v>108</v>
      </c>
      <c r="D1291" s="264" t="s">
        <v>1386</v>
      </c>
      <c r="E1291" s="259" t="s">
        <v>6393</v>
      </c>
      <c r="H1291" s="264" t="s">
        <v>6443</v>
      </c>
      <c r="I1291" s="264" t="s">
        <v>6444</v>
      </c>
      <c r="J1291" s="295">
        <v>1040</v>
      </c>
      <c r="K1291" s="295">
        <v>1040</v>
      </c>
      <c r="L1291" s="295">
        <v>520</v>
      </c>
      <c r="O1291" s="266">
        <v>0</v>
      </c>
      <c r="P1291" s="266">
        <v>691991010859</v>
      </c>
      <c r="R1291" s="265">
        <v>17.55</v>
      </c>
      <c r="S1291" s="265">
        <v>11</v>
      </c>
      <c r="T1291" s="265">
        <v>10</v>
      </c>
      <c r="U1291" s="265">
        <v>17</v>
      </c>
      <c r="V1291" s="259" t="s">
        <v>4159</v>
      </c>
      <c r="W1291" s="259" t="s">
        <v>3061</v>
      </c>
      <c r="Y1291" s="259">
        <v>378</v>
      </c>
      <c r="Z1291" s="259" t="s">
        <v>3030</v>
      </c>
      <c r="AA1291" s="259" t="e">
        <v>#N/A</v>
      </c>
      <c r="AB1291" s="259"/>
      <c r="AC1291" s="259"/>
      <c r="AD1291" s="259"/>
      <c r="AE1291" s="259"/>
    </row>
    <row r="1292" spans="1:31">
      <c r="A1292" s="259" t="s">
        <v>1387</v>
      </c>
      <c r="B1292" s="259" t="s">
        <v>80</v>
      </c>
      <c r="C1292" s="264" t="s">
        <v>108</v>
      </c>
      <c r="D1292" s="264" t="s">
        <v>1387</v>
      </c>
      <c r="F1292" s="259" t="s">
        <v>5021</v>
      </c>
      <c r="H1292" s="264" t="s">
        <v>6443</v>
      </c>
      <c r="I1292" s="264" t="s">
        <v>6420</v>
      </c>
      <c r="J1292" s="295">
        <v>1240</v>
      </c>
      <c r="K1292" s="295">
        <v>1240</v>
      </c>
      <c r="L1292" s="295">
        <v>620</v>
      </c>
      <c r="O1292" s="266">
        <v>0</v>
      </c>
      <c r="R1292" s="265">
        <v>0</v>
      </c>
      <c r="S1292" s="265">
        <v>0</v>
      </c>
      <c r="T1292" s="265">
        <v>0</v>
      </c>
      <c r="U1292" s="265">
        <v>0</v>
      </c>
      <c r="V1292" s="259" t="s">
        <v>4159</v>
      </c>
      <c r="W1292" s="259" t="s">
        <v>3061</v>
      </c>
      <c r="Y1292" s="259">
        <v>379</v>
      </c>
      <c r="AA1292" s="259" t="e">
        <v>#N/A</v>
      </c>
      <c r="AB1292" s="259"/>
      <c r="AC1292" s="259"/>
      <c r="AD1292" s="259"/>
      <c r="AE1292" s="259"/>
    </row>
    <row r="1293" spans="1:31">
      <c r="A1293" s="259" t="s">
        <v>1388</v>
      </c>
      <c r="B1293" s="259" t="s">
        <v>80</v>
      </c>
      <c r="C1293" s="264" t="s">
        <v>108</v>
      </c>
      <c r="D1293" s="264" t="s">
        <v>1388</v>
      </c>
      <c r="E1293" s="259" t="s">
        <v>6393</v>
      </c>
      <c r="H1293" s="264" t="s">
        <v>6445</v>
      </c>
      <c r="I1293" s="264" t="s">
        <v>6446</v>
      </c>
      <c r="J1293" s="295">
        <v>1600</v>
      </c>
      <c r="K1293" s="295">
        <v>1600</v>
      </c>
      <c r="L1293" s="295">
        <v>800</v>
      </c>
      <c r="O1293" s="266">
        <v>0</v>
      </c>
      <c r="P1293" s="266">
        <v>50036904094</v>
      </c>
      <c r="R1293" s="265">
        <v>24</v>
      </c>
      <c r="S1293" s="265">
        <v>8</v>
      </c>
      <c r="T1293" s="265">
        <v>9</v>
      </c>
      <c r="U1293" s="265">
        <v>22</v>
      </c>
      <c r="V1293" s="259" t="s">
        <v>4159</v>
      </c>
      <c r="W1293" s="259" t="s">
        <v>3061</v>
      </c>
      <c r="Y1293" s="259">
        <v>380</v>
      </c>
      <c r="Z1293" s="259" t="s">
        <v>3030</v>
      </c>
      <c r="AA1293" s="259" t="e">
        <v>#N/A</v>
      </c>
      <c r="AB1293" s="259"/>
      <c r="AC1293" s="259"/>
      <c r="AD1293" s="259"/>
      <c r="AE1293" s="259"/>
    </row>
    <row r="1294" spans="1:31">
      <c r="A1294" s="259" t="s">
        <v>1389</v>
      </c>
      <c r="B1294" s="259" t="s">
        <v>80</v>
      </c>
      <c r="C1294" s="264" t="s">
        <v>108</v>
      </c>
      <c r="D1294" s="264" t="s">
        <v>1389</v>
      </c>
      <c r="E1294" s="259" t="s">
        <v>6393</v>
      </c>
      <c r="H1294" s="264" t="s">
        <v>6447</v>
      </c>
      <c r="I1294" s="264" t="s">
        <v>6448</v>
      </c>
      <c r="J1294" s="295">
        <v>1600</v>
      </c>
      <c r="K1294" s="295">
        <v>1600</v>
      </c>
      <c r="L1294" s="295">
        <v>800</v>
      </c>
      <c r="O1294" s="266">
        <v>0</v>
      </c>
      <c r="P1294" s="266">
        <v>691991000171</v>
      </c>
      <c r="R1294" s="265">
        <v>29</v>
      </c>
      <c r="S1294" s="265">
        <v>13</v>
      </c>
      <c r="T1294" s="265">
        <v>12</v>
      </c>
      <c r="U1294" s="265">
        <v>23</v>
      </c>
      <c r="V1294" s="259" t="s">
        <v>4159</v>
      </c>
      <c r="W1294" s="259" t="s">
        <v>3061</v>
      </c>
      <c r="Y1294" s="259">
        <v>381</v>
      </c>
      <c r="Z1294" s="259" t="s">
        <v>3030</v>
      </c>
      <c r="AA1294" s="259" t="e">
        <v>#N/A</v>
      </c>
      <c r="AB1294" s="259"/>
      <c r="AC1294" s="259"/>
      <c r="AD1294" s="259"/>
      <c r="AE1294" s="259"/>
    </row>
    <row r="1295" spans="1:31">
      <c r="A1295" s="259" t="s">
        <v>1390</v>
      </c>
      <c r="B1295" s="259" t="s">
        <v>80</v>
      </c>
      <c r="C1295" s="264" t="s">
        <v>6427</v>
      </c>
      <c r="D1295" s="264" t="s">
        <v>1390</v>
      </c>
      <c r="E1295" s="259" t="s">
        <v>6429</v>
      </c>
      <c r="F1295" s="259" t="s">
        <v>5021</v>
      </c>
      <c r="H1295" s="264" t="s">
        <v>6447</v>
      </c>
      <c r="I1295" s="264" t="s">
        <v>6420</v>
      </c>
      <c r="J1295" s="295" t="s">
        <v>6428</v>
      </c>
      <c r="K1295" s="295">
        <v>0</v>
      </c>
      <c r="L1295" s="295">
        <v>0</v>
      </c>
      <c r="O1295" s="266"/>
      <c r="P1295" s="266">
        <v>691991010866</v>
      </c>
      <c r="R1295" s="265">
        <v>32</v>
      </c>
      <c r="S1295" s="265">
        <v>14</v>
      </c>
      <c r="T1295" s="265">
        <v>12</v>
      </c>
      <c r="U1295" s="265">
        <v>24</v>
      </c>
      <c r="V1295" s="259"/>
      <c r="Y1295" s="259">
        <v>382</v>
      </c>
      <c r="Z1295" s="259" t="s">
        <v>3037</v>
      </c>
      <c r="AA1295" s="259" t="e">
        <v>#N/A</v>
      </c>
      <c r="AB1295" s="259"/>
      <c r="AC1295" s="259"/>
      <c r="AD1295" s="259"/>
      <c r="AE1295" s="259"/>
    </row>
    <row r="1296" spans="1:31">
      <c r="A1296" s="259" t="s">
        <v>1391</v>
      </c>
      <c r="B1296" s="259" t="s">
        <v>80</v>
      </c>
      <c r="C1296" s="264" t="s">
        <v>108</v>
      </c>
      <c r="D1296" s="264" t="s">
        <v>1391</v>
      </c>
      <c r="E1296" s="259" t="s">
        <v>6393</v>
      </c>
      <c r="H1296" s="264" t="s">
        <v>6449</v>
      </c>
      <c r="I1296" s="264" t="s">
        <v>6450</v>
      </c>
      <c r="J1296" s="295">
        <v>1855</v>
      </c>
      <c r="K1296" s="295">
        <v>1855</v>
      </c>
      <c r="L1296" s="295">
        <v>927.5</v>
      </c>
      <c r="O1296" s="266">
        <v>0</v>
      </c>
      <c r="P1296" s="266">
        <v>691991010873</v>
      </c>
      <c r="R1296" s="265">
        <v>46.35</v>
      </c>
      <c r="S1296" s="265">
        <v>13</v>
      </c>
      <c r="T1296" s="265">
        <v>14</v>
      </c>
      <c r="U1296" s="265">
        <v>29</v>
      </c>
      <c r="V1296" s="259" t="s">
        <v>4159</v>
      </c>
      <c r="W1296" s="259" t="s">
        <v>3061</v>
      </c>
      <c r="Y1296" s="259">
        <v>383</v>
      </c>
      <c r="Z1296" s="259" t="s">
        <v>3030</v>
      </c>
      <c r="AA1296" s="259" t="e">
        <v>#N/A</v>
      </c>
      <c r="AB1296" s="259"/>
      <c r="AC1296" s="259"/>
      <c r="AD1296" s="259"/>
      <c r="AE1296" s="259"/>
    </row>
    <row r="1297" spans="1:31">
      <c r="A1297" s="259" t="s">
        <v>1392</v>
      </c>
      <c r="B1297" s="259" t="s">
        <v>80</v>
      </c>
      <c r="C1297" s="264" t="s">
        <v>108</v>
      </c>
      <c r="D1297" s="264" t="s">
        <v>1392</v>
      </c>
      <c r="E1297" s="259" t="s">
        <v>6393</v>
      </c>
      <c r="H1297" s="264" t="s">
        <v>6451</v>
      </c>
      <c r="I1297" s="264" t="s">
        <v>6452</v>
      </c>
      <c r="J1297" s="295">
        <v>1855</v>
      </c>
      <c r="K1297" s="295">
        <v>1855</v>
      </c>
      <c r="L1297" s="295">
        <v>927.5</v>
      </c>
      <c r="O1297" s="266">
        <v>0</v>
      </c>
      <c r="P1297" s="266">
        <v>691991010880</v>
      </c>
      <c r="R1297" s="265">
        <v>46</v>
      </c>
      <c r="S1297" s="265">
        <v>14</v>
      </c>
      <c r="T1297" s="265">
        <v>13</v>
      </c>
      <c r="U1297" s="265">
        <v>29</v>
      </c>
      <c r="V1297" s="259" t="s">
        <v>4159</v>
      </c>
      <c r="W1297" s="259" t="s">
        <v>3061</v>
      </c>
      <c r="Y1297" s="259">
        <v>384</v>
      </c>
      <c r="Z1297" s="259" t="s">
        <v>3030</v>
      </c>
      <c r="AA1297" s="259" t="e">
        <v>#N/A</v>
      </c>
      <c r="AB1297" s="259"/>
      <c r="AC1297" s="259"/>
      <c r="AD1297" s="259"/>
      <c r="AE1297" s="259"/>
    </row>
    <row r="1298" spans="1:31">
      <c r="A1298" s="259" t="s">
        <v>1393</v>
      </c>
      <c r="B1298" s="259" t="s">
        <v>80</v>
      </c>
      <c r="C1298" s="264" t="s">
        <v>6427</v>
      </c>
      <c r="D1298" s="264" t="s">
        <v>1393</v>
      </c>
      <c r="F1298" s="259" t="s">
        <v>5021</v>
      </c>
      <c r="H1298" s="264" t="s">
        <v>6451</v>
      </c>
      <c r="I1298" s="264" t="s">
        <v>6420</v>
      </c>
      <c r="J1298" s="295" t="s">
        <v>6428</v>
      </c>
      <c r="K1298" s="295">
        <v>0</v>
      </c>
      <c r="L1298" s="295">
        <v>0</v>
      </c>
      <c r="O1298" s="266">
        <v>0</v>
      </c>
      <c r="R1298" s="265">
        <v>56</v>
      </c>
      <c r="S1298" s="265">
        <v>14</v>
      </c>
      <c r="T1298" s="265">
        <v>14</v>
      </c>
      <c r="U1298" s="265">
        <v>30</v>
      </c>
      <c r="V1298" s="259" t="s">
        <v>4159</v>
      </c>
      <c r="W1298" s="259" t="s">
        <v>3061</v>
      </c>
      <c r="Y1298" s="259">
        <v>385</v>
      </c>
      <c r="Z1298" s="259" t="s">
        <v>3037</v>
      </c>
      <c r="AA1298" s="259" t="e">
        <v>#N/A</v>
      </c>
      <c r="AB1298" s="259"/>
      <c r="AC1298" s="259"/>
      <c r="AD1298" s="259"/>
      <c r="AE1298" s="259"/>
    </row>
    <row r="1299" spans="1:31">
      <c r="A1299" s="259" t="s">
        <v>1394</v>
      </c>
      <c r="B1299" s="259" t="s">
        <v>80</v>
      </c>
      <c r="C1299" s="264" t="s">
        <v>6427</v>
      </c>
      <c r="D1299" s="264" t="s">
        <v>1394</v>
      </c>
      <c r="E1299" s="259" t="s">
        <v>6429</v>
      </c>
      <c r="F1299" s="259" t="s">
        <v>5021</v>
      </c>
      <c r="H1299" s="264" t="s">
        <v>6451</v>
      </c>
      <c r="I1299" s="264" t="s">
        <v>6420</v>
      </c>
      <c r="J1299" s="295" t="s">
        <v>6428</v>
      </c>
      <c r="K1299" s="295">
        <v>0</v>
      </c>
      <c r="L1299" s="295">
        <v>0</v>
      </c>
      <c r="O1299" s="266">
        <v>0</v>
      </c>
      <c r="R1299" s="265">
        <v>0</v>
      </c>
      <c r="S1299" s="265">
        <v>0</v>
      </c>
      <c r="T1299" s="265">
        <v>0</v>
      </c>
      <c r="U1299" s="265">
        <v>0</v>
      </c>
      <c r="V1299" s="259" t="s">
        <v>4159</v>
      </c>
      <c r="W1299" s="259" t="s">
        <v>3061</v>
      </c>
      <c r="Y1299" s="259">
        <v>386</v>
      </c>
      <c r="Z1299" s="259" t="s">
        <v>3037</v>
      </c>
      <c r="AA1299" s="259" t="e">
        <v>#N/A</v>
      </c>
      <c r="AB1299" s="259"/>
      <c r="AC1299" s="259"/>
      <c r="AD1299" s="259"/>
      <c r="AE1299" s="259"/>
    </row>
    <row r="1300" spans="1:31">
      <c r="A1300" s="259" t="s">
        <v>1395</v>
      </c>
      <c r="B1300" s="259" t="s">
        <v>80</v>
      </c>
      <c r="C1300" s="264" t="s">
        <v>108</v>
      </c>
      <c r="D1300" s="264" t="s">
        <v>1395</v>
      </c>
      <c r="E1300" s="259" t="s">
        <v>6393</v>
      </c>
      <c r="H1300" s="264" t="s">
        <v>6453</v>
      </c>
      <c r="I1300" s="264" t="s">
        <v>6454</v>
      </c>
      <c r="J1300" s="295">
        <v>1855</v>
      </c>
      <c r="K1300" s="295">
        <v>1855</v>
      </c>
      <c r="L1300" s="295">
        <v>927.5</v>
      </c>
      <c r="O1300" s="266">
        <v>0</v>
      </c>
      <c r="P1300" s="266">
        <v>691991010897</v>
      </c>
      <c r="R1300" s="265">
        <v>47</v>
      </c>
      <c r="S1300" s="265">
        <v>13</v>
      </c>
      <c r="T1300" s="265">
        <v>14</v>
      </c>
      <c r="U1300" s="265">
        <v>28</v>
      </c>
      <c r="V1300" s="259" t="s">
        <v>4159</v>
      </c>
      <c r="W1300" s="259" t="s">
        <v>3061</v>
      </c>
      <c r="Y1300" s="259">
        <v>387</v>
      </c>
      <c r="Z1300" s="259" t="s">
        <v>3030</v>
      </c>
      <c r="AA1300" s="259" t="e">
        <v>#N/A</v>
      </c>
      <c r="AB1300" s="259"/>
      <c r="AC1300" s="259"/>
      <c r="AD1300" s="259"/>
      <c r="AE1300" s="259"/>
    </row>
    <row r="1301" spans="1:31">
      <c r="A1301" s="259" t="s">
        <v>1396</v>
      </c>
      <c r="B1301" s="259" t="s">
        <v>80</v>
      </c>
      <c r="C1301" s="264" t="s">
        <v>108</v>
      </c>
      <c r="D1301" s="264" t="s">
        <v>1396</v>
      </c>
      <c r="E1301" s="259" t="s">
        <v>6393</v>
      </c>
      <c r="H1301" s="264" t="s">
        <v>6455</v>
      </c>
      <c r="I1301" s="264" t="s">
        <v>6456</v>
      </c>
      <c r="J1301" s="295">
        <v>1855</v>
      </c>
      <c r="K1301" s="295">
        <v>1855</v>
      </c>
      <c r="L1301" s="295">
        <v>927.5</v>
      </c>
      <c r="O1301" s="266">
        <v>0</v>
      </c>
      <c r="P1301" s="266">
        <v>691991010903</v>
      </c>
      <c r="R1301" s="265">
        <v>47</v>
      </c>
      <c r="S1301" s="265">
        <v>13</v>
      </c>
      <c r="T1301" s="265">
        <v>13.5</v>
      </c>
      <c r="U1301" s="265">
        <v>28.5</v>
      </c>
      <c r="V1301" s="259" t="s">
        <v>4159</v>
      </c>
      <c r="W1301" s="259" t="s">
        <v>3061</v>
      </c>
      <c r="Y1301" s="259">
        <v>388</v>
      </c>
      <c r="Z1301" s="259" t="s">
        <v>3030</v>
      </c>
      <c r="AA1301" s="259" t="e">
        <v>#N/A</v>
      </c>
      <c r="AB1301" s="259"/>
      <c r="AC1301" s="259"/>
      <c r="AD1301" s="259"/>
      <c r="AE1301" s="259"/>
    </row>
    <row r="1302" spans="1:31">
      <c r="A1302" s="259" t="s">
        <v>1397</v>
      </c>
      <c r="B1302" s="259" t="s">
        <v>80</v>
      </c>
      <c r="C1302" s="264" t="s">
        <v>6438</v>
      </c>
      <c r="D1302" s="264" t="s">
        <v>1397</v>
      </c>
      <c r="E1302" s="259" t="s">
        <v>6429</v>
      </c>
      <c r="F1302" s="259" t="s">
        <v>5021</v>
      </c>
      <c r="H1302" s="264" t="s">
        <v>6457</v>
      </c>
      <c r="I1302" s="264" t="s">
        <v>6420</v>
      </c>
      <c r="J1302" s="295" t="s">
        <v>6428</v>
      </c>
      <c r="K1302" s="295">
        <v>0</v>
      </c>
      <c r="L1302" s="295">
        <v>0</v>
      </c>
      <c r="O1302" s="266">
        <v>0</v>
      </c>
      <c r="P1302" s="266">
        <v>691991029035</v>
      </c>
      <c r="R1302" s="265">
        <v>51</v>
      </c>
      <c r="S1302" s="265">
        <v>15</v>
      </c>
      <c r="T1302" s="265">
        <v>15.5</v>
      </c>
      <c r="U1302" s="265">
        <v>28.5</v>
      </c>
      <c r="V1302" s="259" t="s">
        <v>3028</v>
      </c>
      <c r="W1302" s="259" t="s">
        <v>3029</v>
      </c>
      <c r="Y1302" s="259">
        <v>389</v>
      </c>
      <c r="Z1302" s="259" t="s">
        <v>3037</v>
      </c>
      <c r="AA1302" s="259" t="e">
        <v>#N/A</v>
      </c>
      <c r="AB1302" s="259"/>
      <c r="AC1302" s="259"/>
      <c r="AD1302" s="259"/>
      <c r="AE1302" s="259"/>
    </row>
    <row r="1303" spans="1:31">
      <c r="A1303" s="259" t="s">
        <v>1398</v>
      </c>
      <c r="B1303" s="259" t="s">
        <v>80</v>
      </c>
      <c r="C1303" s="264" t="s">
        <v>6438</v>
      </c>
      <c r="D1303" s="264" t="s">
        <v>1398</v>
      </c>
      <c r="E1303" s="259" t="s">
        <v>6429</v>
      </c>
      <c r="F1303" s="259" t="s">
        <v>5021</v>
      </c>
      <c r="H1303" s="264" t="s">
        <v>6457</v>
      </c>
      <c r="I1303" s="264" t="s">
        <v>6458</v>
      </c>
      <c r="J1303" s="295" t="s">
        <v>6428</v>
      </c>
      <c r="K1303" s="295">
        <v>0</v>
      </c>
      <c r="L1303" s="295">
        <v>0</v>
      </c>
      <c r="O1303" s="266">
        <v>0</v>
      </c>
      <c r="P1303" s="266">
        <v>691991010910</v>
      </c>
      <c r="R1303" s="265">
        <v>75</v>
      </c>
      <c r="S1303" s="265">
        <v>17</v>
      </c>
      <c r="T1303" s="265">
        <v>15</v>
      </c>
      <c r="U1303" s="265">
        <v>30</v>
      </c>
      <c r="V1303" s="259" t="s">
        <v>3028</v>
      </c>
      <c r="W1303" s="259" t="s">
        <v>3029</v>
      </c>
      <c r="Y1303" s="259">
        <v>390</v>
      </c>
      <c r="Z1303" s="259" t="s">
        <v>3037</v>
      </c>
      <c r="AA1303" s="259" t="e">
        <v>#N/A</v>
      </c>
      <c r="AB1303" s="259"/>
      <c r="AC1303" s="259"/>
      <c r="AD1303" s="259"/>
      <c r="AE1303" s="259"/>
    </row>
    <row r="1304" spans="1:31">
      <c r="A1304" s="259" t="s">
        <v>1399</v>
      </c>
      <c r="B1304" s="259" t="s">
        <v>80</v>
      </c>
      <c r="C1304" s="264" t="s">
        <v>108</v>
      </c>
      <c r="D1304" s="264" t="s">
        <v>1399</v>
      </c>
      <c r="E1304" s="259" t="s">
        <v>6393</v>
      </c>
      <c r="H1304" s="264" t="s">
        <v>6459</v>
      </c>
      <c r="I1304" s="264" t="s">
        <v>6460</v>
      </c>
      <c r="J1304" s="295">
        <v>1240</v>
      </c>
      <c r="K1304" s="295">
        <v>830</v>
      </c>
      <c r="L1304" s="295">
        <v>620</v>
      </c>
      <c r="O1304" s="266">
        <v>0</v>
      </c>
      <c r="P1304" s="266">
        <v>691991001314</v>
      </c>
      <c r="R1304" s="265">
        <v>61.1</v>
      </c>
      <c r="S1304" s="265">
        <v>25</v>
      </c>
      <c r="T1304" s="265">
        <v>18</v>
      </c>
      <c r="U1304" s="265">
        <v>21</v>
      </c>
      <c r="V1304" s="259" t="s">
        <v>3028</v>
      </c>
      <c r="W1304" s="259" t="s">
        <v>3029</v>
      </c>
      <c r="Y1304" s="259">
        <v>391</v>
      </c>
      <c r="Z1304" s="259" t="s">
        <v>3030</v>
      </c>
      <c r="AA1304" s="259" t="e">
        <v>#N/A</v>
      </c>
      <c r="AB1304" s="259"/>
      <c r="AC1304" s="259"/>
      <c r="AD1304" s="259"/>
      <c r="AE1304" s="259"/>
    </row>
    <row r="1305" spans="1:31">
      <c r="A1305" s="259" t="s">
        <v>1400</v>
      </c>
      <c r="B1305" s="259" t="s">
        <v>80</v>
      </c>
      <c r="C1305" s="264" t="s">
        <v>108</v>
      </c>
      <c r="D1305" s="264" t="s">
        <v>1400</v>
      </c>
      <c r="E1305" s="259" t="s">
        <v>6393</v>
      </c>
      <c r="H1305" s="264" t="s">
        <v>6461</v>
      </c>
      <c r="I1305" s="264" t="s">
        <v>6462</v>
      </c>
      <c r="J1305" s="295">
        <v>1240</v>
      </c>
      <c r="K1305" s="295">
        <v>830</v>
      </c>
      <c r="L1305" s="295">
        <v>620</v>
      </c>
      <c r="O1305" s="266">
        <v>0</v>
      </c>
      <c r="P1305" s="266">
        <v>691991005022</v>
      </c>
      <c r="R1305" s="265">
        <v>62</v>
      </c>
      <c r="S1305" s="265">
        <v>19</v>
      </c>
      <c r="T1305" s="265">
        <v>26</v>
      </c>
      <c r="U1305" s="265">
        <v>22</v>
      </c>
      <c r="V1305" s="259" t="s">
        <v>3028</v>
      </c>
      <c r="W1305" s="259" t="s">
        <v>3029</v>
      </c>
      <c r="Y1305" s="259">
        <v>392</v>
      </c>
      <c r="Z1305" s="259" t="s">
        <v>3030</v>
      </c>
      <c r="AA1305" s="259" t="e">
        <v>#N/A</v>
      </c>
      <c r="AB1305" s="259"/>
      <c r="AC1305" s="259"/>
      <c r="AD1305" s="259"/>
      <c r="AE1305" s="259"/>
    </row>
    <row r="1306" spans="1:31">
      <c r="A1306" s="259" t="s">
        <v>1401</v>
      </c>
      <c r="B1306" s="259" t="s">
        <v>80</v>
      </c>
      <c r="C1306" s="264" t="s">
        <v>108</v>
      </c>
      <c r="D1306" s="264" t="s">
        <v>1401</v>
      </c>
      <c r="E1306" s="259" t="s">
        <v>6393</v>
      </c>
      <c r="H1306" s="264" t="s">
        <v>6463</v>
      </c>
      <c r="I1306" s="264" t="s">
        <v>6464</v>
      </c>
      <c r="J1306" s="295">
        <v>1380</v>
      </c>
      <c r="K1306" s="295">
        <v>916</v>
      </c>
      <c r="L1306" s="295">
        <v>690</v>
      </c>
      <c r="O1306" s="266">
        <v>0</v>
      </c>
      <c r="P1306" s="266">
        <v>691991001321</v>
      </c>
      <c r="R1306" s="265">
        <v>80</v>
      </c>
      <c r="S1306" s="265">
        <v>30</v>
      </c>
      <c r="T1306" s="265">
        <v>30</v>
      </c>
      <c r="U1306" s="265">
        <v>24</v>
      </c>
      <c r="V1306" s="259" t="s">
        <v>3028</v>
      </c>
      <c r="W1306" s="259" t="s">
        <v>3029</v>
      </c>
      <c r="Y1306" s="259">
        <v>393</v>
      </c>
      <c r="Z1306" s="259" t="s">
        <v>3030</v>
      </c>
      <c r="AA1306" s="259" t="e">
        <v>#N/A</v>
      </c>
      <c r="AB1306" s="259"/>
      <c r="AC1306" s="259"/>
      <c r="AD1306" s="259"/>
      <c r="AE1306" s="259"/>
    </row>
    <row r="1307" spans="1:31">
      <c r="A1307" s="259" t="s">
        <v>1402</v>
      </c>
      <c r="B1307" s="259" t="s">
        <v>80</v>
      </c>
      <c r="C1307" s="264" t="s">
        <v>108</v>
      </c>
      <c r="D1307" s="264" t="s">
        <v>1402</v>
      </c>
      <c r="E1307" s="259" t="s">
        <v>6393</v>
      </c>
      <c r="H1307" s="264" t="s">
        <v>6465</v>
      </c>
      <c r="I1307" s="264" t="s">
        <v>6466</v>
      </c>
      <c r="J1307" s="295">
        <v>1380</v>
      </c>
      <c r="K1307" s="295">
        <v>916</v>
      </c>
      <c r="L1307" s="295">
        <v>690</v>
      </c>
      <c r="O1307" s="266">
        <v>0</v>
      </c>
      <c r="P1307" s="266">
        <v>691991005015</v>
      </c>
      <c r="R1307" s="265">
        <v>80</v>
      </c>
      <c r="S1307" s="265">
        <v>30</v>
      </c>
      <c r="T1307" s="265">
        <v>30</v>
      </c>
      <c r="U1307" s="265">
        <v>24</v>
      </c>
      <c r="V1307" s="259" t="s">
        <v>3028</v>
      </c>
      <c r="W1307" s="259" t="s">
        <v>3029</v>
      </c>
      <c r="Y1307" s="259">
        <v>394</v>
      </c>
      <c r="Z1307" s="259" t="s">
        <v>3030</v>
      </c>
      <c r="AA1307" s="259" t="e">
        <v>#N/A</v>
      </c>
      <c r="AB1307" s="259"/>
      <c r="AC1307" s="259"/>
      <c r="AD1307" s="259"/>
      <c r="AE1307" s="259"/>
    </row>
    <row r="1308" spans="1:31">
      <c r="A1308" s="259" t="s">
        <v>1403</v>
      </c>
      <c r="B1308" s="259" t="s">
        <v>80</v>
      </c>
      <c r="C1308" s="264" t="s">
        <v>108</v>
      </c>
      <c r="D1308" s="264" t="s">
        <v>1403</v>
      </c>
      <c r="E1308" s="259" t="s">
        <v>6393</v>
      </c>
      <c r="H1308" s="264" t="s">
        <v>6467</v>
      </c>
      <c r="I1308" s="264" t="s">
        <v>6468</v>
      </c>
      <c r="J1308" s="295">
        <v>1090</v>
      </c>
      <c r="K1308" s="295">
        <v>731</v>
      </c>
      <c r="L1308" s="295">
        <v>545</v>
      </c>
      <c r="O1308" s="266">
        <v>0</v>
      </c>
      <c r="P1308" s="266">
        <v>691991001260</v>
      </c>
      <c r="R1308" s="265">
        <v>33.5</v>
      </c>
      <c r="S1308" s="265">
        <v>15</v>
      </c>
      <c r="T1308" s="265">
        <v>14</v>
      </c>
      <c r="U1308" s="265">
        <v>23</v>
      </c>
      <c r="V1308" s="259" t="s">
        <v>3028</v>
      </c>
      <c r="W1308" s="259" t="s">
        <v>3029</v>
      </c>
      <c r="Y1308" s="259">
        <v>395</v>
      </c>
      <c r="Z1308" s="259" t="s">
        <v>3030</v>
      </c>
      <c r="AA1308" s="259" t="e">
        <v>#N/A</v>
      </c>
      <c r="AB1308" s="259"/>
      <c r="AC1308" s="259"/>
      <c r="AD1308" s="259"/>
      <c r="AE1308" s="259"/>
    </row>
    <row r="1309" spans="1:31">
      <c r="A1309" s="259" t="s">
        <v>1404</v>
      </c>
      <c r="B1309" s="259" t="s">
        <v>80</v>
      </c>
      <c r="C1309" s="264" t="s">
        <v>108</v>
      </c>
      <c r="D1309" s="264" t="s">
        <v>1404</v>
      </c>
      <c r="E1309" s="259" t="s">
        <v>6393</v>
      </c>
      <c r="H1309" s="264" t="s">
        <v>6469</v>
      </c>
      <c r="I1309" s="264" t="s">
        <v>6470</v>
      </c>
      <c r="J1309" s="295">
        <v>1090</v>
      </c>
      <c r="K1309" s="295">
        <v>731</v>
      </c>
      <c r="L1309" s="295">
        <v>545</v>
      </c>
      <c r="O1309" s="266">
        <v>0</v>
      </c>
      <c r="P1309" s="266">
        <v>691991029004</v>
      </c>
      <c r="R1309" s="265">
        <v>39</v>
      </c>
      <c r="S1309" s="265">
        <v>15</v>
      </c>
      <c r="T1309" s="265">
        <v>15</v>
      </c>
      <c r="U1309" s="265">
        <v>24</v>
      </c>
      <c r="V1309" s="259" t="s">
        <v>3028</v>
      </c>
      <c r="W1309" s="259" t="s">
        <v>3029</v>
      </c>
      <c r="Y1309" s="259">
        <v>396</v>
      </c>
      <c r="Z1309" s="259" t="s">
        <v>3030</v>
      </c>
      <c r="AA1309" s="259" t="e">
        <v>#N/A</v>
      </c>
      <c r="AB1309" s="259"/>
      <c r="AC1309" s="259"/>
      <c r="AD1309" s="259"/>
      <c r="AE1309" s="259"/>
    </row>
    <row r="1310" spans="1:31">
      <c r="A1310" s="259" t="s">
        <v>1405</v>
      </c>
      <c r="B1310" s="259" t="s">
        <v>80</v>
      </c>
      <c r="C1310" s="264" t="s">
        <v>108</v>
      </c>
      <c r="D1310" s="264" t="s">
        <v>6471</v>
      </c>
      <c r="E1310" s="259" t="s">
        <v>6393</v>
      </c>
      <c r="H1310" s="264" t="s">
        <v>6472</v>
      </c>
      <c r="I1310" s="264" t="s">
        <v>6473</v>
      </c>
      <c r="J1310" s="295">
        <v>1240</v>
      </c>
      <c r="K1310" s="295">
        <v>1019</v>
      </c>
      <c r="L1310" s="295">
        <v>620</v>
      </c>
      <c r="O1310" s="266"/>
      <c r="P1310" s="266">
        <v>691991001277</v>
      </c>
      <c r="R1310" s="265">
        <v>0</v>
      </c>
      <c r="S1310" s="265">
        <v>0</v>
      </c>
      <c r="T1310" s="265">
        <v>0</v>
      </c>
      <c r="U1310" s="265">
        <v>0</v>
      </c>
      <c r="V1310" s="259" t="s">
        <v>3028</v>
      </c>
      <c r="W1310" s="259" t="s">
        <v>3029</v>
      </c>
      <c r="Y1310" s="259">
        <v>397</v>
      </c>
      <c r="Z1310" s="259" t="s">
        <v>3030</v>
      </c>
      <c r="AA1310" s="259" t="e">
        <v>#N/A</v>
      </c>
      <c r="AB1310" s="259"/>
      <c r="AC1310" s="259"/>
      <c r="AD1310" s="259"/>
      <c r="AE1310" s="259"/>
    </row>
    <row r="1311" spans="1:31">
      <c r="A1311" s="259" t="s">
        <v>1406</v>
      </c>
      <c r="B1311" s="259" t="s">
        <v>80</v>
      </c>
      <c r="C1311" s="264" t="s">
        <v>108</v>
      </c>
      <c r="D1311" s="264" t="s">
        <v>6474</v>
      </c>
      <c r="E1311" s="259" t="s">
        <v>6393</v>
      </c>
      <c r="H1311" s="264" t="s">
        <v>6475</v>
      </c>
      <c r="I1311" s="264" t="s">
        <v>6476</v>
      </c>
      <c r="J1311" s="295">
        <v>1240</v>
      </c>
      <c r="K1311" s="295">
        <v>1019</v>
      </c>
      <c r="L1311" s="295">
        <v>620</v>
      </c>
      <c r="O1311" s="266"/>
      <c r="P1311" s="266">
        <v>691991004261</v>
      </c>
      <c r="R1311" s="265">
        <v>0</v>
      </c>
      <c r="S1311" s="265">
        <v>0</v>
      </c>
      <c r="T1311" s="265">
        <v>0</v>
      </c>
      <c r="U1311" s="265">
        <v>0</v>
      </c>
      <c r="V1311" s="259" t="s">
        <v>3028</v>
      </c>
      <c r="W1311" s="259" t="s">
        <v>3029</v>
      </c>
      <c r="Y1311" s="259">
        <v>398</v>
      </c>
      <c r="Z1311" s="259" t="s">
        <v>3030</v>
      </c>
      <c r="AA1311" s="259" t="e">
        <v>#N/A</v>
      </c>
      <c r="AB1311" s="259"/>
      <c r="AC1311" s="259"/>
      <c r="AD1311" s="259"/>
      <c r="AE1311" s="259"/>
    </row>
    <row r="1312" spans="1:31">
      <c r="A1312" s="259" t="s">
        <v>1407</v>
      </c>
      <c r="B1312" s="259" t="s">
        <v>80</v>
      </c>
      <c r="C1312" s="264" t="s">
        <v>108</v>
      </c>
      <c r="D1312" s="264" t="s">
        <v>1407</v>
      </c>
      <c r="E1312" s="259" t="s">
        <v>6393</v>
      </c>
      <c r="H1312" s="264" t="s">
        <v>6472</v>
      </c>
      <c r="I1312" s="264" t="s">
        <v>6477</v>
      </c>
      <c r="J1312" s="295">
        <v>1240</v>
      </c>
      <c r="K1312" s="295">
        <v>1240</v>
      </c>
      <c r="L1312" s="295">
        <v>620</v>
      </c>
      <c r="O1312" s="266">
        <v>0</v>
      </c>
      <c r="P1312" s="266">
        <v>691991001284</v>
      </c>
      <c r="R1312" s="265">
        <v>44.2</v>
      </c>
      <c r="S1312" s="265">
        <v>17</v>
      </c>
      <c r="T1312" s="265">
        <v>17</v>
      </c>
      <c r="U1312" s="265">
        <v>25</v>
      </c>
      <c r="V1312" s="259" t="s">
        <v>3028</v>
      </c>
      <c r="W1312" s="259" t="s">
        <v>3029</v>
      </c>
      <c r="Y1312" s="259">
        <v>399</v>
      </c>
      <c r="Z1312" s="259" t="s">
        <v>3030</v>
      </c>
      <c r="AA1312" s="259" t="e">
        <v>#N/A</v>
      </c>
      <c r="AB1312" s="259"/>
      <c r="AC1312" s="259"/>
      <c r="AD1312" s="259"/>
      <c r="AE1312" s="259"/>
    </row>
    <row r="1313" spans="1:31">
      <c r="A1313" s="259" t="s">
        <v>1408</v>
      </c>
      <c r="B1313" s="259" t="s">
        <v>80</v>
      </c>
      <c r="C1313" s="264" t="s">
        <v>108</v>
      </c>
      <c r="D1313" s="264" t="s">
        <v>1408</v>
      </c>
      <c r="E1313" s="259" t="s">
        <v>6393</v>
      </c>
      <c r="H1313" s="264" t="s">
        <v>6475</v>
      </c>
      <c r="I1313" s="264" t="s">
        <v>6478</v>
      </c>
      <c r="J1313" s="295">
        <v>1240</v>
      </c>
      <c r="K1313" s="295">
        <v>1240</v>
      </c>
      <c r="L1313" s="295">
        <v>620</v>
      </c>
      <c r="O1313" s="266">
        <v>0</v>
      </c>
      <c r="P1313" s="266">
        <v>691991004278</v>
      </c>
      <c r="R1313" s="265">
        <v>49</v>
      </c>
      <c r="S1313" s="265">
        <v>18</v>
      </c>
      <c r="T1313" s="265">
        <v>17</v>
      </c>
      <c r="U1313" s="265">
        <v>27</v>
      </c>
      <c r="V1313" s="259" t="s">
        <v>3028</v>
      </c>
      <c r="W1313" s="259" t="s">
        <v>3029</v>
      </c>
      <c r="Y1313" s="259">
        <v>400</v>
      </c>
      <c r="Z1313" s="259" t="s">
        <v>3030</v>
      </c>
      <c r="AA1313" s="259" t="e">
        <v>#N/A</v>
      </c>
      <c r="AB1313" s="259"/>
      <c r="AC1313" s="259"/>
      <c r="AD1313" s="259"/>
      <c r="AE1313" s="259"/>
    </row>
    <row r="1314" spans="1:31">
      <c r="A1314" s="259" t="s">
        <v>1409</v>
      </c>
      <c r="B1314" s="259" t="s">
        <v>80</v>
      </c>
      <c r="C1314" s="264" t="s">
        <v>108</v>
      </c>
      <c r="D1314" s="264" t="s">
        <v>1409</v>
      </c>
      <c r="E1314" s="259" t="s">
        <v>6393</v>
      </c>
      <c r="H1314" s="264" t="s">
        <v>6479</v>
      </c>
      <c r="I1314" s="264" t="s">
        <v>6480</v>
      </c>
      <c r="J1314" s="295">
        <v>1380</v>
      </c>
      <c r="K1314" s="295">
        <v>1380</v>
      </c>
      <c r="L1314" s="295">
        <v>690</v>
      </c>
      <c r="O1314" s="266">
        <v>0</v>
      </c>
      <c r="P1314" s="266">
        <v>691991001291</v>
      </c>
      <c r="R1314" s="265">
        <v>51</v>
      </c>
      <c r="S1314" s="265">
        <v>20</v>
      </c>
      <c r="T1314" s="265">
        <v>18</v>
      </c>
      <c r="U1314" s="265">
        <v>29</v>
      </c>
      <c r="V1314" s="259" t="s">
        <v>3028</v>
      </c>
      <c r="W1314" s="259" t="s">
        <v>3029</v>
      </c>
      <c r="Y1314" s="259">
        <v>401</v>
      </c>
      <c r="Z1314" s="259" t="s">
        <v>3030</v>
      </c>
      <c r="AA1314" s="259" t="e">
        <v>#N/A</v>
      </c>
      <c r="AB1314" s="259"/>
      <c r="AC1314" s="259"/>
      <c r="AD1314" s="259"/>
      <c r="AE1314" s="259"/>
    </row>
    <row r="1315" spans="1:31">
      <c r="A1315" s="259" t="s">
        <v>1410</v>
      </c>
      <c r="B1315" s="259" t="s">
        <v>80</v>
      </c>
      <c r="C1315" s="264" t="s">
        <v>108</v>
      </c>
      <c r="D1315" s="264" t="s">
        <v>1410</v>
      </c>
      <c r="E1315" s="259" t="s">
        <v>6393</v>
      </c>
      <c r="H1315" s="264" t="s">
        <v>6481</v>
      </c>
      <c r="I1315" s="264" t="s">
        <v>6482</v>
      </c>
      <c r="J1315" s="295">
        <v>1380</v>
      </c>
      <c r="K1315" s="295">
        <v>1380</v>
      </c>
      <c r="L1315" s="295">
        <v>690</v>
      </c>
      <c r="O1315" s="266">
        <v>0</v>
      </c>
      <c r="P1315" s="266">
        <v>691991004285</v>
      </c>
      <c r="R1315" s="265">
        <v>54</v>
      </c>
      <c r="S1315" s="265">
        <v>19</v>
      </c>
      <c r="T1315" s="265">
        <v>20</v>
      </c>
      <c r="U1315" s="265">
        <v>30</v>
      </c>
      <c r="V1315" s="259" t="s">
        <v>3028</v>
      </c>
      <c r="W1315" s="259" t="s">
        <v>3029</v>
      </c>
      <c r="Y1315" s="259">
        <v>402</v>
      </c>
      <c r="Z1315" s="259" t="s">
        <v>3030</v>
      </c>
      <c r="AA1315" s="259" t="e">
        <v>#N/A</v>
      </c>
      <c r="AB1315" s="259"/>
      <c r="AC1315" s="259"/>
      <c r="AD1315" s="259"/>
      <c r="AE1315" s="259"/>
    </row>
    <row r="1316" spans="1:31">
      <c r="A1316" s="259" t="s">
        <v>1411</v>
      </c>
      <c r="B1316" s="259" t="s">
        <v>80</v>
      </c>
      <c r="C1316" s="264" t="s">
        <v>108</v>
      </c>
      <c r="D1316" s="264" t="s">
        <v>6483</v>
      </c>
      <c r="E1316" s="259" t="s">
        <v>6393</v>
      </c>
      <c r="H1316" s="264" t="s">
        <v>6479</v>
      </c>
      <c r="I1316" s="264" t="s">
        <v>6484</v>
      </c>
      <c r="J1316" s="295">
        <v>1370</v>
      </c>
      <c r="K1316" s="295">
        <v>1139</v>
      </c>
      <c r="L1316" s="295">
        <v>685</v>
      </c>
      <c r="O1316" s="266"/>
      <c r="P1316" s="266">
        <v>691991001307</v>
      </c>
      <c r="R1316" s="265">
        <v>0</v>
      </c>
      <c r="S1316" s="265">
        <v>0</v>
      </c>
      <c r="T1316" s="265">
        <v>0</v>
      </c>
      <c r="U1316" s="265">
        <v>0</v>
      </c>
      <c r="V1316" s="259" t="s">
        <v>3028</v>
      </c>
      <c r="W1316" s="259" t="s">
        <v>3029</v>
      </c>
      <c r="Y1316" s="259">
        <v>403</v>
      </c>
      <c r="Z1316" s="259" t="s">
        <v>3030</v>
      </c>
      <c r="AA1316" s="259" t="e">
        <v>#N/A</v>
      </c>
      <c r="AB1316" s="259"/>
      <c r="AC1316" s="259"/>
      <c r="AD1316" s="259"/>
      <c r="AE1316" s="259"/>
    </row>
    <row r="1317" spans="1:31">
      <c r="A1317" s="259" t="s">
        <v>1412</v>
      </c>
      <c r="B1317" s="259" t="s">
        <v>80</v>
      </c>
      <c r="C1317" s="264" t="s">
        <v>108</v>
      </c>
      <c r="D1317" s="264" t="s">
        <v>6485</v>
      </c>
      <c r="E1317" s="259" t="s">
        <v>6393</v>
      </c>
      <c r="H1317" s="264" t="s">
        <v>6481</v>
      </c>
      <c r="I1317" s="264" t="s">
        <v>6478</v>
      </c>
      <c r="J1317" s="295">
        <v>1370</v>
      </c>
      <c r="K1317" s="295">
        <v>1139</v>
      </c>
      <c r="L1317" s="295">
        <v>685</v>
      </c>
      <c r="O1317" s="266"/>
      <c r="P1317" s="266">
        <v>691991004292</v>
      </c>
      <c r="R1317" s="265">
        <v>0</v>
      </c>
      <c r="S1317" s="265">
        <v>0</v>
      </c>
      <c r="T1317" s="265">
        <v>0</v>
      </c>
      <c r="U1317" s="265">
        <v>0</v>
      </c>
      <c r="V1317" s="259" t="s">
        <v>3028</v>
      </c>
      <c r="W1317" s="259" t="s">
        <v>3029</v>
      </c>
      <c r="Y1317" s="259">
        <v>404</v>
      </c>
      <c r="Z1317" s="259" t="s">
        <v>3030</v>
      </c>
      <c r="AA1317" s="259" t="e">
        <v>#N/A</v>
      </c>
      <c r="AB1317" s="259"/>
      <c r="AC1317" s="259"/>
      <c r="AD1317" s="259"/>
      <c r="AE1317" s="259"/>
    </row>
    <row r="1318" spans="1:31">
      <c r="A1318" s="259" t="s">
        <v>1413</v>
      </c>
      <c r="B1318" s="259" t="s">
        <v>80</v>
      </c>
      <c r="C1318" s="264" t="s">
        <v>108</v>
      </c>
      <c r="D1318" s="264" t="s">
        <v>1413</v>
      </c>
      <c r="E1318" s="259" t="s">
        <v>6393</v>
      </c>
      <c r="H1318" s="264" t="s">
        <v>6486</v>
      </c>
      <c r="I1318" s="264" t="s">
        <v>6487</v>
      </c>
      <c r="J1318" s="295">
        <v>880</v>
      </c>
      <c r="K1318" s="295">
        <v>880</v>
      </c>
      <c r="L1318" s="295">
        <v>440</v>
      </c>
      <c r="O1318" s="266">
        <v>0</v>
      </c>
      <c r="P1318" s="266">
        <v>691991001253</v>
      </c>
      <c r="R1318" s="265">
        <v>25.8</v>
      </c>
      <c r="S1318" s="265">
        <v>12</v>
      </c>
      <c r="T1318" s="265">
        <v>12</v>
      </c>
      <c r="U1318" s="265">
        <v>20</v>
      </c>
      <c r="V1318" s="259" t="s">
        <v>3028</v>
      </c>
      <c r="W1318" s="259" t="s">
        <v>3029</v>
      </c>
      <c r="Y1318" s="259">
        <v>405</v>
      </c>
      <c r="Z1318" s="259" t="s">
        <v>3030</v>
      </c>
      <c r="AA1318" s="259" t="e">
        <v>#N/A</v>
      </c>
      <c r="AB1318" s="259"/>
      <c r="AC1318" s="259"/>
      <c r="AD1318" s="259"/>
      <c r="AE1318" s="259"/>
    </row>
    <row r="1319" spans="1:31">
      <c r="A1319" s="259" t="s">
        <v>1414</v>
      </c>
      <c r="B1319" s="259" t="s">
        <v>80</v>
      </c>
      <c r="C1319" s="264" t="s">
        <v>108</v>
      </c>
      <c r="D1319" s="264" t="s">
        <v>1414</v>
      </c>
      <c r="E1319" s="259" t="s">
        <v>6393</v>
      </c>
      <c r="H1319" s="264" t="s">
        <v>6488</v>
      </c>
      <c r="I1319" s="264" t="s">
        <v>6489</v>
      </c>
      <c r="J1319" s="295">
        <v>880</v>
      </c>
      <c r="K1319" s="295">
        <v>880</v>
      </c>
      <c r="L1319" s="295">
        <v>440</v>
      </c>
      <c r="O1319" s="266">
        <v>0</v>
      </c>
      <c r="P1319" s="266">
        <v>691991004308</v>
      </c>
      <c r="R1319" s="265">
        <v>31</v>
      </c>
      <c r="S1319" s="265">
        <v>12</v>
      </c>
      <c r="T1319" s="265">
        <v>13</v>
      </c>
      <c r="U1319" s="265">
        <v>22</v>
      </c>
      <c r="V1319" s="259" t="s">
        <v>3028</v>
      </c>
      <c r="Y1319" s="259">
        <v>406</v>
      </c>
      <c r="Z1319" s="259" t="s">
        <v>3030</v>
      </c>
      <c r="AA1319" s="259" t="e">
        <v>#N/A</v>
      </c>
      <c r="AB1319" s="259"/>
      <c r="AC1319" s="259"/>
      <c r="AD1319" s="259"/>
      <c r="AE1319" s="259"/>
    </row>
    <row r="1320" spans="1:31">
      <c r="A1320" s="259" t="s">
        <v>1415</v>
      </c>
      <c r="B1320" s="259" t="s">
        <v>80</v>
      </c>
      <c r="C1320" s="264" t="s">
        <v>108</v>
      </c>
      <c r="D1320" s="264" t="s">
        <v>1415</v>
      </c>
      <c r="E1320" s="259" t="s">
        <v>6393</v>
      </c>
      <c r="H1320" s="264" t="s">
        <v>6490</v>
      </c>
      <c r="I1320" s="264" t="s">
        <v>6491</v>
      </c>
      <c r="J1320" s="295">
        <v>110</v>
      </c>
      <c r="K1320" s="295">
        <v>110</v>
      </c>
      <c r="L1320" s="295">
        <v>55</v>
      </c>
      <c r="O1320" s="266">
        <v>0</v>
      </c>
      <c r="P1320" s="266">
        <v>691991012235</v>
      </c>
      <c r="R1320" s="265">
        <v>3</v>
      </c>
      <c r="S1320" s="265">
        <v>12</v>
      </c>
      <c r="T1320" s="265">
        <v>11</v>
      </c>
      <c r="U1320" s="265">
        <v>4</v>
      </c>
      <c r="V1320" s="259" t="s">
        <v>3028</v>
      </c>
      <c r="W1320" s="259" t="s">
        <v>3029</v>
      </c>
      <c r="Y1320" s="259">
        <v>407</v>
      </c>
      <c r="Z1320" s="259" t="s">
        <v>3030</v>
      </c>
      <c r="AA1320" s="259" t="e">
        <v>#N/A</v>
      </c>
      <c r="AB1320" s="259"/>
      <c r="AC1320" s="259"/>
      <c r="AD1320" s="259"/>
      <c r="AE1320" s="259"/>
    </row>
    <row r="1321" spans="1:31">
      <c r="A1321" s="259" t="s">
        <v>1416</v>
      </c>
      <c r="B1321" s="259" t="s">
        <v>80</v>
      </c>
      <c r="C1321" s="264" t="s">
        <v>108</v>
      </c>
      <c r="D1321" s="264" t="s">
        <v>1416</v>
      </c>
      <c r="E1321" s="259" t="s">
        <v>6393</v>
      </c>
      <c r="H1321" s="264" t="s">
        <v>6490</v>
      </c>
      <c r="I1321" s="264" t="s">
        <v>6492</v>
      </c>
      <c r="J1321" s="295">
        <v>110</v>
      </c>
      <c r="K1321" s="295">
        <v>110</v>
      </c>
      <c r="L1321" s="295">
        <v>55</v>
      </c>
      <c r="O1321" s="266">
        <v>0</v>
      </c>
      <c r="P1321" s="266">
        <v>691991012242</v>
      </c>
      <c r="R1321" s="265">
        <v>3</v>
      </c>
      <c r="S1321" s="265">
        <v>12</v>
      </c>
      <c r="T1321" s="265">
        <v>11</v>
      </c>
      <c r="U1321" s="265">
        <v>4</v>
      </c>
      <c r="V1321" s="259" t="s">
        <v>3028</v>
      </c>
      <c r="W1321" s="259" t="s">
        <v>3029</v>
      </c>
      <c r="Y1321" s="259">
        <v>408</v>
      </c>
      <c r="Z1321" s="259" t="s">
        <v>3030</v>
      </c>
      <c r="AA1321" s="259" t="e">
        <v>#N/A</v>
      </c>
      <c r="AB1321" s="259"/>
      <c r="AC1321" s="259"/>
      <c r="AD1321" s="259"/>
      <c r="AE1321" s="259"/>
    </row>
    <row r="1322" spans="1:31">
      <c r="A1322" s="259" t="s">
        <v>1417</v>
      </c>
      <c r="B1322" s="259" t="s">
        <v>80</v>
      </c>
      <c r="C1322" s="264" t="s">
        <v>108</v>
      </c>
      <c r="D1322" s="264" t="s">
        <v>1417</v>
      </c>
      <c r="E1322" s="259" t="s">
        <v>6393</v>
      </c>
      <c r="H1322" s="264" t="s">
        <v>6493</v>
      </c>
      <c r="I1322" s="264" t="s">
        <v>6494</v>
      </c>
      <c r="J1322" s="295">
        <v>140</v>
      </c>
      <c r="K1322" s="295">
        <v>140</v>
      </c>
      <c r="L1322" s="295">
        <v>70</v>
      </c>
      <c r="O1322" s="266">
        <v>0</v>
      </c>
      <c r="P1322" s="266">
        <v>691991012259</v>
      </c>
      <c r="R1322" s="265">
        <v>3.55</v>
      </c>
      <c r="S1322" s="265">
        <v>11</v>
      </c>
      <c r="T1322" s="265">
        <v>16</v>
      </c>
      <c r="U1322" s="265">
        <v>4</v>
      </c>
      <c r="V1322" s="259" t="s">
        <v>3028</v>
      </c>
      <c r="W1322" s="259" t="s">
        <v>3029</v>
      </c>
      <c r="Y1322" s="259">
        <v>409</v>
      </c>
      <c r="Z1322" s="259" t="s">
        <v>3030</v>
      </c>
      <c r="AA1322" s="259" t="e">
        <v>#N/A</v>
      </c>
      <c r="AB1322" s="259"/>
      <c r="AC1322" s="259"/>
      <c r="AD1322" s="259"/>
      <c r="AE1322" s="259"/>
    </row>
    <row r="1323" spans="1:31">
      <c r="A1323" s="259" t="s">
        <v>1418</v>
      </c>
      <c r="B1323" s="259" t="s">
        <v>80</v>
      </c>
      <c r="C1323" s="264" t="s">
        <v>108</v>
      </c>
      <c r="D1323" s="264" t="s">
        <v>1418</v>
      </c>
      <c r="E1323" s="259" t="s">
        <v>6393</v>
      </c>
      <c r="H1323" s="264" t="s">
        <v>6493</v>
      </c>
      <c r="I1323" s="264" t="s">
        <v>6495</v>
      </c>
      <c r="J1323" s="295">
        <v>140</v>
      </c>
      <c r="K1323" s="295">
        <v>140</v>
      </c>
      <c r="L1323" s="295">
        <v>70</v>
      </c>
      <c r="O1323" s="266">
        <v>0</v>
      </c>
      <c r="P1323" s="266">
        <v>691991012266</v>
      </c>
      <c r="R1323" s="265">
        <v>5</v>
      </c>
      <c r="S1323" s="265">
        <v>16</v>
      </c>
      <c r="T1323" s="265">
        <v>10</v>
      </c>
      <c r="U1323" s="265">
        <v>4</v>
      </c>
      <c r="V1323" s="259" t="s">
        <v>3028</v>
      </c>
      <c r="W1323" s="259" t="s">
        <v>3029</v>
      </c>
      <c r="Y1323" s="259">
        <v>410</v>
      </c>
      <c r="Z1323" s="259" t="s">
        <v>3030</v>
      </c>
      <c r="AA1323" s="259" t="e">
        <v>#N/A</v>
      </c>
      <c r="AB1323" s="259"/>
      <c r="AC1323" s="259"/>
      <c r="AD1323" s="259"/>
      <c r="AE1323" s="259"/>
    </row>
    <row r="1324" spans="1:31">
      <c r="A1324" s="259" t="s">
        <v>1419</v>
      </c>
      <c r="B1324" s="259" t="s">
        <v>80</v>
      </c>
      <c r="C1324" s="264" t="s">
        <v>108</v>
      </c>
      <c r="D1324" s="264" t="s">
        <v>1419</v>
      </c>
      <c r="E1324" s="259" t="s">
        <v>6393</v>
      </c>
      <c r="H1324" s="264" t="s">
        <v>6496</v>
      </c>
      <c r="I1324" s="264" t="s">
        <v>6497</v>
      </c>
      <c r="J1324" s="295">
        <v>160</v>
      </c>
      <c r="K1324" s="295">
        <v>160</v>
      </c>
      <c r="L1324" s="295">
        <v>80</v>
      </c>
      <c r="O1324" s="266">
        <v>0</v>
      </c>
      <c r="P1324" s="266">
        <v>691991012273</v>
      </c>
      <c r="R1324" s="265">
        <v>4.0999999999999996</v>
      </c>
      <c r="S1324" s="265">
        <v>10</v>
      </c>
      <c r="T1324" s="265">
        <v>20</v>
      </c>
      <c r="U1324" s="265">
        <v>4</v>
      </c>
      <c r="V1324" s="259" t="s">
        <v>3028</v>
      </c>
      <c r="W1324" s="259" t="s">
        <v>3029</v>
      </c>
      <c r="Y1324" s="259">
        <v>411</v>
      </c>
      <c r="Z1324" s="259" t="s">
        <v>3030</v>
      </c>
      <c r="AA1324" s="259" t="e">
        <v>#N/A</v>
      </c>
      <c r="AB1324" s="259"/>
      <c r="AC1324" s="259"/>
      <c r="AD1324" s="259"/>
      <c r="AE1324" s="259"/>
    </row>
    <row r="1325" spans="1:31">
      <c r="A1325" s="259" t="s">
        <v>1420</v>
      </c>
      <c r="B1325" s="259" t="s">
        <v>80</v>
      </c>
      <c r="C1325" s="264" t="s">
        <v>108</v>
      </c>
      <c r="D1325" s="264" t="s">
        <v>1420</v>
      </c>
      <c r="E1325" s="259" t="s">
        <v>5737</v>
      </c>
      <c r="H1325" s="264" t="s">
        <v>6496</v>
      </c>
      <c r="I1325" s="264" t="s">
        <v>6498</v>
      </c>
      <c r="J1325" s="295">
        <v>160</v>
      </c>
      <c r="K1325" s="295">
        <v>160</v>
      </c>
      <c r="L1325" s="295">
        <v>80</v>
      </c>
      <c r="O1325" s="266">
        <v>0</v>
      </c>
      <c r="P1325" s="266">
        <v>691991012280</v>
      </c>
      <c r="R1325" s="265">
        <v>4.0999999999999996</v>
      </c>
      <c r="S1325" s="265">
        <v>10</v>
      </c>
      <c r="T1325" s="265">
        <v>20</v>
      </c>
      <c r="U1325" s="265">
        <v>4</v>
      </c>
      <c r="V1325" s="259" t="s">
        <v>3028</v>
      </c>
      <c r="W1325" s="259" t="s">
        <v>3029</v>
      </c>
      <c r="Y1325" s="259">
        <v>412</v>
      </c>
      <c r="Z1325" s="259" t="s">
        <v>3030</v>
      </c>
      <c r="AA1325" s="259" t="e">
        <v>#N/A</v>
      </c>
      <c r="AB1325" s="259"/>
      <c r="AC1325" s="259"/>
      <c r="AD1325" s="259"/>
      <c r="AE1325" s="259"/>
    </row>
    <row r="1326" spans="1:31">
      <c r="A1326" s="259" t="s">
        <v>1421</v>
      </c>
      <c r="B1326" s="259" t="s">
        <v>80</v>
      </c>
      <c r="C1326" s="264" t="s">
        <v>108</v>
      </c>
      <c r="D1326" s="264" t="s">
        <v>1421</v>
      </c>
      <c r="E1326" s="259" t="s">
        <v>6393</v>
      </c>
      <c r="H1326" s="264" t="s">
        <v>6499</v>
      </c>
      <c r="I1326" s="264" t="s">
        <v>6500</v>
      </c>
      <c r="J1326" s="295">
        <v>130</v>
      </c>
      <c r="K1326" s="295">
        <v>130</v>
      </c>
      <c r="L1326" s="295">
        <v>65</v>
      </c>
      <c r="O1326" s="266">
        <v>0</v>
      </c>
      <c r="P1326" s="266">
        <v>691991012310</v>
      </c>
      <c r="R1326" s="265">
        <v>5</v>
      </c>
      <c r="S1326" s="265">
        <v>16</v>
      </c>
      <c r="T1326" s="265">
        <v>10</v>
      </c>
      <c r="U1326" s="265">
        <v>4</v>
      </c>
      <c r="V1326" s="259" t="s">
        <v>3028</v>
      </c>
      <c r="W1326" s="259" t="s">
        <v>3029</v>
      </c>
      <c r="Y1326" s="259">
        <v>413</v>
      </c>
      <c r="Z1326" s="259" t="s">
        <v>3030</v>
      </c>
      <c r="AA1326" s="259" t="e">
        <v>#N/A</v>
      </c>
      <c r="AB1326" s="259"/>
      <c r="AC1326" s="259"/>
      <c r="AD1326" s="259"/>
      <c r="AE1326" s="259"/>
    </row>
    <row r="1327" spans="1:31">
      <c r="A1327" s="259" t="s">
        <v>1422</v>
      </c>
      <c r="B1327" s="259" t="s">
        <v>80</v>
      </c>
      <c r="C1327" s="264" t="s">
        <v>108</v>
      </c>
      <c r="D1327" s="264" t="s">
        <v>1422</v>
      </c>
      <c r="E1327" s="259" t="s">
        <v>6393</v>
      </c>
      <c r="H1327" s="264" t="s">
        <v>6499</v>
      </c>
      <c r="I1327" s="264" t="s">
        <v>6501</v>
      </c>
      <c r="J1327" s="295">
        <v>130</v>
      </c>
      <c r="K1327" s="295">
        <v>130</v>
      </c>
      <c r="L1327" s="295">
        <v>65</v>
      </c>
      <c r="O1327" s="266">
        <v>0</v>
      </c>
      <c r="P1327" s="266">
        <v>691991012327</v>
      </c>
      <c r="R1327" s="265">
        <v>3</v>
      </c>
      <c r="S1327" s="265">
        <v>10</v>
      </c>
      <c r="T1327" s="265">
        <v>16</v>
      </c>
      <c r="U1327" s="265">
        <v>4</v>
      </c>
      <c r="V1327" s="259" t="s">
        <v>3028</v>
      </c>
      <c r="W1327" s="259" t="s">
        <v>3029</v>
      </c>
      <c r="Y1327" s="259">
        <v>414</v>
      </c>
      <c r="Z1327" s="259" t="s">
        <v>3030</v>
      </c>
      <c r="AA1327" s="259" t="e">
        <v>#N/A</v>
      </c>
      <c r="AB1327" s="259"/>
      <c r="AC1327" s="259"/>
      <c r="AD1327" s="259"/>
      <c r="AE1327" s="259"/>
    </row>
    <row r="1328" spans="1:31">
      <c r="A1328" s="259" t="s">
        <v>1423</v>
      </c>
      <c r="B1328" s="259" t="s">
        <v>80</v>
      </c>
      <c r="C1328" s="264" t="s">
        <v>108</v>
      </c>
      <c r="D1328" s="264" t="s">
        <v>1423</v>
      </c>
      <c r="E1328" s="259" t="s">
        <v>6393</v>
      </c>
      <c r="H1328" s="264" t="s">
        <v>6502</v>
      </c>
      <c r="I1328" s="264" t="s">
        <v>6503</v>
      </c>
      <c r="J1328" s="295">
        <v>154</v>
      </c>
      <c r="K1328" s="295">
        <v>154</v>
      </c>
      <c r="L1328" s="295">
        <v>77</v>
      </c>
      <c r="O1328" s="266">
        <v>0</v>
      </c>
      <c r="P1328" s="266">
        <v>691991012334</v>
      </c>
      <c r="R1328" s="265">
        <v>4.5</v>
      </c>
      <c r="S1328" s="265">
        <v>10</v>
      </c>
      <c r="T1328" s="265">
        <v>24</v>
      </c>
      <c r="U1328" s="265">
        <v>24</v>
      </c>
      <c r="V1328" s="259" t="s">
        <v>3028</v>
      </c>
      <c r="W1328" s="259" t="s">
        <v>3029</v>
      </c>
      <c r="Y1328" s="259">
        <v>415</v>
      </c>
      <c r="Z1328" s="259" t="s">
        <v>3030</v>
      </c>
      <c r="AA1328" s="259" t="e">
        <v>#N/A</v>
      </c>
      <c r="AB1328" s="259"/>
      <c r="AC1328" s="259"/>
      <c r="AD1328" s="259"/>
      <c r="AE1328" s="259"/>
    </row>
    <row r="1329" spans="1:31">
      <c r="A1329" s="259" t="s">
        <v>1424</v>
      </c>
      <c r="B1329" s="259" t="s">
        <v>80</v>
      </c>
      <c r="C1329" s="264" t="s">
        <v>108</v>
      </c>
      <c r="D1329" s="264" t="s">
        <v>1424</v>
      </c>
      <c r="E1329" s="259" t="s">
        <v>6393</v>
      </c>
      <c r="H1329" s="264" t="s">
        <v>6502</v>
      </c>
      <c r="I1329" s="264" t="s">
        <v>6504</v>
      </c>
      <c r="J1329" s="295">
        <v>154</v>
      </c>
      <c r="K1329" s="295">
        <v>154</v>
      </c>
      <c r="L1329" s="295">
        <v>77</v>
      </c>
      <c r="O1329" s="266">
        <v>0</v>
      </c>
      <c r="P1329" s="266">
        <v>691991012341</v>
      </c>
      <c r="R1329" s="265">
        <v>4.55</v>
      </c>
      <c r="S1329" s="265">
        <v>24</v>
      </c>
      <c r="T1329" s="265">
        <v>11</v>
      </c>
      <c r="U1329" s="265">
        <v>5</v>
      </c>
      <c r="V1329" s="259" t="s">
        <v>3028</v>
      </c>
      <c r="W1329" s="259" t="s">
        <v>3029</v>
      </c>
      <c r="Y1329" s="259">
        <v>416</v>
      </c>
      <c r="Z1329" s="259" t="s">
        <v>3030</v>
      </c>
      <c r="AA1329" s="259" t="e">
        <v>#N/A</v>
      </c>
      <c r="AB1329" s="259"/>
      <c r="AC1329" s="259"/>
      <c r="AD1329" s="259"/>
      <c r="AE1329" s="259"/>
    </row>
    <row r="1330" spans="1:31">
      <c r="A1330" s="259" t="s">
        <v>1425</v>
      </c>
      <c r="B1330" s="259" t="s">
        <v>80</v>
      </c>
      <c r="C1330" s="264" t="s">
        <v>108</v>
      </c>
      <c r="D1330" s="264" t="s">
        <v>1425</v>
      </c>
      <c r="E1330" s="259" t="s">
        <v>6393</v>
      </c>
      <c r="H1330" s="264" t="s">
        <v>6505</v>
      </c>
      <c r="I1330" s="264" t="s">
        <v>6506</v>
      </c>
      <c r="J1330" s="295">
        <v>200</v>
      </c>
      <c r="K1330" s="295">
        <v>200</v>
      </c>
      <c r="L1330" s="295">
        <v>100</v>
      </c>
      <c r="O1330" s="266">
        <v>0</v>
      </c>
      <c r="P1330" s="266">
        <v>691991012358</v>
      </c>
      <c r="R1330" s="265">
        <v>5.35</v>
      </c>
      <c r="S1330" s="265">
        <v>10</v>
      </c>
      <c r="T1330" s="265">
        <v>30</v>
      </c>
      <c r="U1330" s="265">
        <v>4</v>
      </c>
      <c r="V1330" s="259" t="s">
        <v>3028</v>
      </c>
      <c r="W1330" s="259" t="s">
        <v>3029</v>
      </c>
      <c r="Y1330" s="259">
        <v>417</v>
      </c>
      <c r="Z1330" s="259" t="s">
        <v>3030</v>
      </c>
      <c r="AA1330" s="259" t="e">
        <v>#N/A</v>
      </c>
      <c r="AB1330" s="259"/>
      <c r="AC1330" s="259"/>
      <c r="AD1330" s="259"/>
      <c r="AE1330" s="259"/>
    </row>
    <row r="1331" spans="1:31">
      <c r="A1331" s="259" t="s">
        <v>1426</v>
      </c>
      <c r="B1331" s="259" t="s">
        <v>80</v>
      </c>
      <c r="C1331" s="264" t="s">
        <v>108</v>
      </c>
      <c r="D1331" s="264" t="s">
        <v>1426</v>
      </c>
      <c r="E1331" s="259" t="s">
        <v>6393</v>
      </c>
      <c r="H1331" s="264" t="s">
        <v>6505</v>
      </c>
      <c r="I1331" s="264" t="s">
        <v>6507</v>
      </c>
      <c r="J1331" s="295">
        <v>200</v>
      </c>
      <c r="K1331" s="295">
        <v>200</v>
      </c>
      <c r="L1331" s="295">
        <v>100</v>
      </c>
      <c r="O1331" s="266">
        <v>0</v>
      </c>
      <c r="P1331" s="266">
        <v>691991012365</v>
      </c>
      <c r="R1331" s="265">
        <v>7</v>
      </c>
      <c r="S1331" s="265">
        <v>10</v>
      </c>
      <c r="T1331" s="265">
        <v>30</v>
      </c>
      <c r="U1331" s="265">
        <v>4</v>
      </c>
      <c r="V1331" s="259" t="s">
        <v>3028</v>
      </c>
      <c r="W1331" s="259" t="s">
        <v>3029</v>
      </c>
      <c r="Y1331" s="259">
        <v>418</v>
      </c>
      <c r="Z1331" s="259" t="s">
        <v>3030</v>
      </c>
      <c r="AA1331" s="259" t="e">
        <v>#N/A</v>
      </c>
      <c r="AB1331" s="259"/>
      <c r="AC1331" s="259"/>
      <c r="AD1331" s="259"/>
      <c r="AE1331" s="259"/>
    </row>
    <row r="1332" spans="1:31">
      <c r="A1332" s="259" t="s">
        <v>1427</v>
      </c>
      <c r="B1332" s="259" t="s">
        <v>80</v>
      </c>
      <c r="C1332" s="264" t="s">
        <v>108</v>
      </c>
      <c r="D1332" s="264" t="s">
        <v>1427</v>
      </c>
      <c r="E1332" s="259" t="s">
        <v>6393</v>
      </c>
      <c r="H1332" s="264" t="s">
        <v>6508</v>
      </c>
      <c r="I1332" s="264" t="s">
        <v>6509</v>
      </c>
      <c r="J1332" s="295">
        <v>150</v>
      </c>
      <c r="K1332" s="295">
        <v>150</v>
      </c>
      <c r="L1332" s="295">
        <v>75</v>
      </c>
      <c r="O1332" s="266">
        <v>0</v>
      </c>
      <c r="P1332" s="266">
        <v>691991002274</v>
      </c>
      <c r="R1332" s="265">
        <v>15</v>
      </c>
      <c r="S1332" s="265">
        <v>23</v>
      </c>
      <c r="T1332" s="265">
        <v>13</v>
      </c>
      <c r="U1332" s="265">
        <v>4</v>
      </c>
      <c r="V1332" s="259" t="s">
        <v>3028</v>
      </c>
      <c r="W1332" s="259" t="s">
        <v>3029</v>
      </c>
      <c r="Y1332" s="259">
        <v>419</v>
      </c>
      <c r="Z1332" s="259" t="s">
        <v>3030</v>
      </c>
      <c r="AA1332" s="259" t="e">
        <v>#N/A</v>
      </c>
      <c r="AB1332" s="259"/>
      <c r="AC1332" s="259"/>
      <c r="AD1332" s="259"/>
      <c r="AE1332" s="259"/>
    </row>
    <row r="1333" spans="1:31">
      <c r="A1333" s="259" t="s">
        <v>1428</v>
      </c>
      <c r="B1333" s="259" t="s">
        <v>80</v>
      </c>
      <c r="C1333" s="264" t="s">
        <v>108</v>
      </c>
      <c r="D1333" s="264" t="s">
        <v>1428</v>
      </c>
      <c r="E1333" s="259" t="s">
        <v>6393</v>
      </c>
      <c r="H1333" s="264" t="s">
        <v>6508</v>
      </c>
      <c r="I1333" s="264" t="s">
        <v>6510</v>
      </c>
      <c r="J1333" s="295">
        <v>150</v>
      </c>
      <c r="K1333" s="295">
        <v>150</v>
      </c>
      <c r="L1333" s="295">
        <v>75</v>
      </c>
      <c r="O1333" s="266">
        <v>0</v>
      </c>
      <c r="P1333" s="266">
        <v>691991002311</v>
      </c>
      <c r="R1333" s="265">
        <v>15</v>
      </c>
      <c r="S1333" s="265">
        <v>23</v>
      </c>
      <c r="T1333" s="265">
        <v>13</v>
      </c>
      <c r="U1333" s="265">
        <v>4</v>
      </c>
      <c r="V1333" s="259" t="s">
        <v>3028</v>
      </c>
      <c r="W1333" s="259" t="s">
        <v>3029</v>
      </c>
      <c r="Y1333" s="259">
        <v>420</v>
      </c>
      <c r="Z1333" s="259" t="s">
        <v>3030</v>
      </c>
      <c r="AA1333" s="259" t="e">
        <v>#N/A</v>
      </c>
      <c r="AB1333" s="259"/>
      <c r="AC1333" s="259"/>
      <c r="AD1333" s="259"/>
      <c r="AE1333" s="259"/>
    </row>
    <row r="1334" spans="1:31">
      <c r="A1334" s="259" t="s">
        <v>1429</v>
      </c>
      <c r="B1334" s="259" t="s">
        <v>80</v>
      </c>
      <c r="C1334" s="264" t="s">
        <v>108</v>
      </c>
      <c r="D1334" s="264" t="s">
        <v>1429</v>
      </c>
      <c r="E1334" s="259" t="s">
        <v>6393</v>
      </c>
      <c r="H1334" s="264" t="s">
        <v>6511</v>
      </c>
      <c r="I1334" s="264" t="s">
        <v>6512</v>
      </c>
      <c r="J1334" s="295">
        <v>170</v>
      </c>
      <c r="K1334" s="295">
        <v>170</v>
      </c>
      <c r="L1334" s="295">
        <v>85</v>
      </c>
      <c r="O1334" s="266">
        <v>0</v>
      </c>
      <c r="P1334" s="266">
        <v>691991031755</v>
      </c>
      <c r="R1334" s="265">
        <v>9</v>
      </c>
      <c r="S1334" s="265">
        <v>25.25</v>
      </c>
      <c r="T1334" s="265">
        <v>15.5</v>
      </c>
      <c r="U1334" s="265">
        <v>4.5</v>
      </c>
      <c r="V1334" s="259" t="s">
        <v>3028</v>
      </c>
      <c r="W1334" s="259" t="s">
        <v>3029</v>
      </c>
      <c r="Y1334" s="259">
        <v>421</v>
      </c>
      <c r="Z1334" s="259" t="s">
        <v>3030</v>
      </c>
      <c r="AA1334" s="259" t="e">
        <v>#N/A</v>
      </c>
      <c r="AB1334" s="259"/>
      <c r="AC1334" s="259"/>
      <c r="AD1334" s="259"/>
      <c r="AE1334" s="259"/>
    </row>
    <row r="1335" spans="1:31">
      <c r="A1335" s="259" t="s">
        <v>1430</v>
      </c>
      <c r="B1335" s="259" t="s">
        <v>80</v>
      </c>
      <c r="C1335" s="264" t="s">
        <v>108</v>
      </c>
      <c r="D1335" s="264" t="s">
        <v>1430</v>
      </c>
      <c r="E1335" s="259" t="s">
        <v>6393</v>
      </c>
      <c r="H1335" s="264" t="s">
        <v>6511</v>
      </c>
      <c r="I1335" s="264" t="s">
        <v>6513</v>
      </c>
      <c r="J1335" s="295">
        <v>170</v>
      </c>
      <c r="K1335" s="295">
        <v>170</v>
      </c>
      <c r="L1335" s="295">
        <v>85</v>
      </c>
      <c r="O1335" s="266">
        <v>0</v>
      </c>
      <c r="P1335" s="266">
        <v>691991031762</v>
      </c>
      <c r="R1335" s="265">
        <v>10</v>
      </c>
      <c r="S1335" s="265">
        <v>25</v>
      </c>
      <c r="T1335" s="265">
        <v>15</v>
      </c>
      <c r="U1335" s="265">
        <v>4</v>
      </c>
      <c r="V1335" s="259" t="s">
        <v>3028</v>
      </c>
      <c r="W1335" s="259" t="s">
        <v>3029</v>
      </c>
      <c r="Y1335" s="259">
        <v>422</v>
      </c>
      <c r="Z1335" s="259" t="s">
        <v>3030</v>
      </c>
      <c r="AA1335" s="259" t="e">
        <v>#N/A</v>
      </c>
      <c r="AB1335" s="259"/>
      <c r="AC1335" s="259"/>
      <c r="AD1335" s="259"/>
      <c r="AE1335" s="259"/>
    </row>
    <row r="1336" spans="1:31">
      <c r="A1336" s="259" t="s">
        <v>1431</v>
      </c>
      <c r="B1336" s="259" t="s">
        <v>80</v>
      </c>
      <c r="C1336" s="264" t="s">
        <v>108</v>
      </c>
      <c r="D1336" s="264" t="s">
        <v>1431</v>
      </c>
      <c r="E1336" s="259" t="s">
        <v>6393</v>
      </c>
      <c r="H1336" s="264" t="s">
        <v>6514</v>
      </c>
      <c r="I1336" s="264" t="s">
        <v>6515</v>
      </c>
      <c r="J1336" s="295">
        <v>190</v>
      </c>
      <c r="K1336" s="295">
        <v>190</v>
      </c>
      <c r="L1336" s="295">
        <v>95</v>
      </c>
      <c r="O1336" s="266">
        <v>0</v>
      </c>
      <c r="P1336" s="266">
        <v>691991031779</v>
      </c>
      <c r="R1336" s="265">
        <v>15</v>
      </c>
      <c r="S1336" s="265">
        <v>28</v>
      </c>
      <c r="T1336" s="265">
        <v>15</v>
      </c>
      <c r="U1336" s="265">
        <v>5</v>
      </c>
      <c r="V1336" s="259" t="s">
        <v>3028</v>
      </c>
      <c r="W1336" s="259" t="s">
        <v>3029</v>
      </c>
      <c r="Y1336" s="259">
        <v>423</v>
      </c>
      <c r="Z1336" s="259" t="s">
        <v>3030</v>
      </c>
      <c r="AA1336" s="259" t="e">
        <v>#N/A</v>
      </c>
      <c r="AB1336" s="259"/>
      <c r="AC1336" s="259"/>
      <c r="AD1336" s="259"/>
      <c r="AE1336" s="259"/>
    </row>
    <row r="1337" spans="1:31">
      <c r="A1337" s="259" t="s">
        <v>1432</v>
      </c>
      <c r="B1337" s="259" t="s">
        <v>80</v>
      </c>
      <c r="C1337" s="264" t="s">
        <v>108</v>
      </c>
      <c r="D1337" s="264" t="s">
        <v>1432</v>
      </c>
      <c r="E1337" s="259" t="s">
        <v>6393</v>
      </c>
      <c r="H1337" s="264" t="s">
        <v>6514</v>
      </c>
      <c r="I1337" s="264" t="s">
        <v>6516</v>
      </c>
      <c r="J1337" s="295">
        <v>190</v>
      </c>
      <c r="K1337" s="295">
        <v>190</v>
      </c>
      <c r="L1337" s="295">
        <v>95</v>
      </c>
      <c r="O1337" s="266">
        <v>0</v>
      </c>
      <c r="P1337" s="266">
        <v>691991031786</v>
      </c>
      <c r="R1337" s="265">
        <v>15</v>
      </c>
      <c r="S1337" s="265">
        <v>28</v>
      </c>
      <c r="T1337" s="265">
        <v>15</v>
      </c>
      <c r="U1337" s="265">
        <v>5</v>
      </c>
      <c r="V1337" s="259" t="s">
        <v>3028</v>
      </c>
      <c r="W1337" s="259" t="s">
        <v>3029</v>
      </c>
      <c r="Y1337" s="259">
        <v>424</v>
      </c>
      <c r="Z1337" s="259" t="s">
        <v>3030</v>
      </c>
      <c r="AA1337" s="259" t="e">
        <v>#N/A</v>
      </c>
      <c r="AB1337" s="259"/>
      <c r="AC1337" s="259"/>
      <c r="AD1337" s="259"/>
      <c r="AE1337" s="259"/>
    </row>
    <row r="1338" spans="1:31">
      <c r="A1338" s="259" t="s">
        <v>1433</v>
      </c>
      <c r="B1338" s="259" t="s">
        <v>80</v>
      </c>
      <c r="C1338" s="264" t="s">
        <v>108</v>
      </c>
      <c r="D1338" s="264" t="s">
        <v>1433</v>
      </c>
      <c r="E1338" s="259" t="s">
        <v>6393</v>
      </c>
      <c r="H1338" s="264" t="s">
        <v>6517</v>
      </c>
      <c r="I1338" s="264" t="s">
        <v>6518</v>
      </c>
      <c r="J1338" s="295">
        <v>130</v>
      </c>
      <c r="K1338" s="295">
        <v>130</v>
      </c>
      <c r="L1338" s="295">
        <v>65</v>
      </c>
      <c r="O1338" s="266">
        <v>0</v>
      </c>
      <c r="P1338" s="266">
        <v>691991002267</v>
      </c>
      <c r="R1338" s="265">
        <v>15</v>
      </c>
      <c r="S1338" s="265">
        <v>20</v>
      </c>
      <c r="T1338" s="265">
        <v>11</v>
      </c>
      <c r="U1338" s="265">
        <v>4</v>
      </c>
      <c r="V1338" s="259" t="s">
        <v>3028</v>
      </c>
      <c r="W1338" s="259" t="s">
        <v>3029</v>
      </c>
      <c r="Y1338" s="259">
        <v>425</v>
      </c>
      <c r="Z1338" s="259" t="s">
        <v>3030</v>
      </c>
      <c r="AA1338" s="259" t="e">
        <v>#N/A</v>
      </c>
      <c r="AB1338" s="259"/>
      <c r="AC1338" s="259"/>
      <c r="AD1338" s="259"/>
      <c r="AE1338" s="259"/>
    </row>
    <row r="1339" spans="1:31">
      <c r="A1339" s="259" t="s">
        <v>1434</v>
      </c>
      <c r="B1339" s="259" t="s">
        <v>80</v>
      </c>
      <c r="C1339" s="264" t="s">
        <v>108</v>
      </c>
      <c r="D1339" s="264" t="s">
        <v>1434</v>
      </c>
      <c r="E1339" s="259" t="s">
        <v>6393</v>
      </c>
      <c r="H1339" s="264" t="s">
        <v>6517</v>
      </c>
      <c r="I1339" s="264" t="s">
        <v>6519</v>
      </c>
      <c r="J1339" s="295">
        <v>130</v>
      </c>
      <c r="K1339" s="295">
        <v>130</v>
      </c>
      <c r="L1339" s="295">
        <v>65</v>
      </c>
      <c r="O1339" s="266">
        <v>0</v>
      </c>
      <c r="P1339" s="266">
        <v>691991002304</v>
      </c>
      <c r="R1339" s="265">
        <v>15</v>
      </c>
      <c r="S1339" s="265">
        <v>20</v>
      </c>
      <c r="T1339" s="265">
        <v>11</v>
      </c>
      <c r="U1339" s="265">
        <v>4</v>
      </c>
      <c r="V1339" s="259" t="s">
        <v>3028</v>
      </c>
      <c r="W1339" s="259" t="s">
        <v>3029</v>
      </c>
      <c r="Y1339" s="259">
        <v>426</v>
      </c>
      <c r="Z1339" s="259" t="s">
        <v>3030</v>
      </c>
      <c r="AA1339" s="259" t="e">
        <v>#N/A</v>
      </c>
      <c r="AB1339" s="259"/>
      <c r="AC1339" s="259"/>
      <c r="AD1339" s="259"/>
      <c r="AE1339" s="259"/>
    </row>
    <row r="1340" spans="1:31">
      <c r="A1340" s="259" t="s">
        <v>1435</v>
      </c>
      <c r="B1340" s="259" t="s">
        <v>80</v>
      </c>
      <c r="C1340" s="264" t="s">
        <v>108</v>
      </c>
      <c r="D1340" s="264" t="s">
        <v>1435</v>
      </c>
      <c r="E1340" s="259" t="s">
        <v>6393</v>
      </c>
      <c r="H1340" s="264" t="s">
        <v>6520</v>
      </c>
      <c r="I1340" s="264" t="s">
        <v>6521</v>
      </c>
      <c r="J1340" s="295">
        <v>50.93</v>
      </c>
      <c r="K1340" s="295">
        <v>37</v>
      </c>
      <c r="L1340" s="295">
        <v>27.2</v>
      </c>
      <c r="O1340" s="266">
        <v>0</v>
      </c>
      <c r="P1340" s="266">
        <v>691991002342</v>
      </c>
      <c r="R1340" s="265">
        <v>12</v>
      </c>
      <c r="S1340" s="265">
        <v>25</v>
      </c>
      <c r="T1340" s="265">
        <v>13</v>
      </c>
      <c r="U1340" s="265">
        <v>4</v>
      </c>
      <c r="V1340" s="259" t="s">
        <v>3028</v>
      </c>
      <c r="W1340" s="259" t="s">
        <v>3029</v>
      </c>
      <c r="Y1340" s="259">
        <v>427</v>
      </c>
      <c r="Z1340" s="259" t="s">
        <v>3030</v>
      </c>
      <c r="AA1340" s="259" t="e">
        <v>#N/A</v>
      </c>
      <c r="AB1340" s="259"/>
      <c r="AC1340" s="259"/>
      <c r="AD1340" s="259"/>
      <c r="AE1340" s="259"/>
    </row>
    <row r="1341" spans="1:31">
      <c r="A1341" s="259" t="s">
        <v>1436</v>
      </c>
      <c r="B1341" s="259" t="s">
        <v>80</v>
      </c>
      <c r="C1341" s="264" t="s">
        <v>108</v>
      </c>
      <c r="D1341" s="264" t="s">
        <v>1436</v>
      </c>
      <c r="E1341" s="259" t="s">
        <v>6393</v>
      </c>
      <c r="H1341" s="264" t="s">
        <v>6520</v>
      </c>
      <c r="I1341" s="264" t="s">
        <v>6522</v>
      </c>
      <c r="J1341" s="295">
        <v>50.93</v>
      </c>
      <c r="K1341" s="295">
        <v>37</v>
      </c>
      <c r="L1341" s="295">
        <v>27.57</v>
      </c>
      <c r="O1341" s="266">
        <v>0</v>
      </c>
      <c r="P1341" s="266">
        <v>691991002359</v>
      </c>
      <c r="R1341" s="265">
        <v>2.2999999999999998</v>
      </c>
      <c r="S1341" s="265">
        <v>12</v>
      </c>
      <c r="T1341" s="265">
        <v>5.25</v>
      </c>
      <c r="U1341" s="265">
        <v>3.25</v>
      </c>
      <c r="V1341" s="259" t="s">
        <v>3028</v>
      </c>
      <c r="W1341" s="259" t="s">
        <v>3029</v>
      </c>
      <c r="Y1341" s="259">
        <v>428</v>
      </c>
      <c r="Z1341" s="259" t="s">
        <v>3030</v>
      </c>
      <c r="AA1341" s="259" t="e">
        <v>#N/A</v>
      </c>
      <c r="AB1341" s="259"/>
      <c r="AC1341" s="259"/>
      <c r="AD1341" s="259"/>
      <c r="AE1341" s="259"/>
    </row>
    <row r="1342" spans="1:31">
      <c r="A1342" s="259" t="s">
        <v>1437</v>
      </c>
      <c r="B1342" s="259" t="s">
        <v>80</v>
      </c>
      <c r="C1342" s="264" t="s">
        <v>108</v>
      </c>
      <c r="D1342" s="264" t="s">
        <v>1437</v>
      </c>
      <c r="E1342" s="259" t="s">
        <v>6393</v>
      </c>
      <c r="H1342" s="264" t="s">
        <v>6523</v>
      </c>
      <c r="I1342" s="264" t="s">
        <v>6524</v>
      </c>
      <c r="J1342" s="295">
        <v>189.14</v>
      </c>
      <c r="K1342" s="295">
        <v>133</v>
      </c>
      <c r="L1342" s="295">
        <v>100.05</v>
      </c>
      <c r="O1342" s="266">
        <v>0</v>
      </c>
      <c r="P1342" s="266">
        <v>691991002243</v>
      </c>
      <c r="R1342" s="265">
        <v>8.5</v>
      </c>
      <c r="S1342" s="265">
        <v>10</v>
      </c>
      <c r="T1342" s="265">
        <v>8.5</v>
      </c>
      <c r="U1342" s="265">
        <v>7.75</v>
      </c>
      <c r="V1342" s="259" t="s">
        <v>3028</v>
      </c>
      <c r="Y1342" s="259">
        <v>429</v>
      </c>
      <c r="Z1342" s="259" t="s">
        <v>3030</v>
      </c>
      <c r="AA1342" s="259" t="e">
        <v>#N/A</v>
      </c>
      <c r="AB1342" s="259"/>
      <c r="AC1342" s="259"/>
      <c r="AD1342" s="259"/>
      <c r="AE1342" s="259"/>
    </row>
    <row r="1343" spans="1:31">
      <c r="A1343" s="259" t="s">
        <v>1438</v>
      </c>
      <c r="B1343" s="259" t="s">
        <v>80</v>
      </c>
      <c r="C1343" s="264" t="s">
        <v>108</v>
      </c>
      <c r="D1343" s="264" t="s">
        <v>1438</v>
      </c>
      <c r="E1343" s="259" t="s">
        <v>6393</v>
      </c>
      <c r="H1343" s="264" t="s">
        <v>6523</v>
      </c>
      <c r="I1343" s="264" t="s">
        <v>6525</v>
      </c>
      <c r="J1343" s="295">
        <v>189.14</v>
      </c>
      <c r="K1343" s="295">
        <v>133</v>
      </c>
      <c r="L1343" s="295">
        <v>101.41</v>
      </c>
      <c r="O1343" s="266">
        <v>0</v>
      </c>
      <c r="P1343" s="266">
        <v>691991002250</v>
      </c>
      <c r="R1343" s="265">
        <v>8.5</v>
      </c>
      <c r="S1343" s="265">
        <v>8.5</v>
      </c>
      <c r="T1343" s="265">
        <v>10</v>
      </c>
      <c r="U1343" s="265">
        <v>7.75</v>
      </c>
      <c r="V1343" s="259" t="s">
        <v>3028</v>
      </c>
      <c r="Y1343" s="259">
        <v>430</v>
      </c>
      <c r="Z1343" s="259" t="s">
        <v>3030</v>
      </c>
      <c r="AA1343" s="259" t="e">
        <v>#N/A</v>
      </c>
      <c r="AB1343" s="259"/>
      <c r="AC1343" s="259"/>
      <c r="AD1343" s="259"/>
      <c r="AE1343" s="259"/>
    </row>
    <row r="1344" spans="1:31">
      <c r="A1344" s="259" t="s">
        <v>1439</v>
      </c>
      <c r="B1344" s="259" t="s">
        <v>80</v>
      </c>
      <c r="C1344" s="264"/>
      <c r="D1344" s="264"/>
      <c r="H1344" s="264"/>
      <c r="I1344" s="264"/>
      <c r="J1344" s="295">
        <v>0</v>
      </c>
      <c r="K1344" s="295">
        <v>0</v>
      </c>
      <c r="L1344" s="295">
        <v>0</v>
      </c>
      <c r="O1344" s="266"/>
      <c r="R1344" s="265">
        <v>0</v>
      </c>
      <c r="S1344" s="265">
        <v>0</v>
      </c>
      <c r="T1344" s="265">
        <v>0</v>
      </c>
      <c r="U1344" s="265">
        <v>0</v>
      </c>
      <c r="V1344" s="259" t="s">
        <v>4159</v>
      </c>
      <c r="W1344" s="259" t="s">
        <v>3061</v>
      </c>
      <c r="Y1344" s="259">
        <v>431</v>
      </c>
      <c r="AA1344" s="259" t="e">
        <v>#N/A</v>
      </c>
      <c r="AB1344" s="259"/>
      <c r="AC1344" s="259"/>
      <c r="AD1344" s="259"/>
      <c r="AE1344" s="259"/>
    </row>
    <row r="1345" spans="1:31">
      <c r="A1345" s="259" t="s">
        <v>1440</v>
      </c>
      <c r="B1345" s="259" t="s">
        <v>80</v>
      </c>
      <c r="C1345" s="264" t="s">
        <v>108</v>
      </c>
      <c r="D1345" s="264" t="s">
        <v>1440</v>
      </c>
      <c r="E1345" s="259" t="s">
        <v>6393</v>
      </c>
      <c r="G1345" s="259" t="s">
        <v>3378</v>
      </c>
      <c r="H1345" s="264" t="s">
        <v>6526</v>
      </c>
      <c r="I1345" s="264" t="s">
        <v>6527</v>
      </c>
      <c r="J1345" s="295">
        <v>1490</v>
      </c>
      <c r="K1345" s="295">
        <v>1490</v>
      </c>
      <c r="L1345" s="295">
        <v>745</v>
      </c>
      <c r="O1345" s="266">
        <v>0</v>
      </c>
      <c r="P1345" s="266">
        <v>691991010644</v>
      </c>
      <c r="R1345" s="265">
        <v>49.35</v>
      </c>
      <c r="S1345" s="265">
        <v>15</v>
      </c>
      <c r="T1345" s="265">
        <v>15</v>
      </c>
      <c r="U1345" s="265">
        <v>23</v>
      </c>
      <c r="V1345" s="259" t="s">
        <v>4159</v>
      </c>
      <c r="W1345" s="259" t="s">
        <v>3061</v>
      </c>
      <c r="Y1345" s="259">
        <v>432</v>
      </c>
      <c r="Z1345" s="259" t="s">
        <v>3227</v>
      </c>
      <c r="AA1345" s="259" t="e">
        <v>#N/A</v>
      </c>
      <c r="AB1345" s="259"/>
      <c r="AC1345" s="259"/>
      <c r="AD1345" s="259"/>
      <c r="AE1345" s="259"/>
    </row>
    <row r="1346" spans="1:31">
      <c r="A1346" s="259" t="s">
        <v>1441</v>
      </c>
      <c r="B1346" s="259" t="s">
        <v>80</v>
      </c>
      <c r="C1346" s="264" t="s">
        <v>108</v>
      </c>
      <c r="D1346" s="264" t="s">
        <v>1441</v>
      </c>
      <c r="E1346" s="259" t="s">
        <v>6393</v>
      </c>
      <c r="G1346" s="259" t="s">
        <v>3378</v>
      </c>
      <c r="H1346" s="264" t="s">
        <v>6528</v>
      </c>
      <c r="I1346" s="264" t="s">
        <v>6529</v>
      </c>
      <c r="J1346" s="295">
        <v>1630</v>
      </c>
      <c r="K1346" s="295">
        <v>1630</v>
      </c>
      <c r="L1346" s="295">
        <v>815</v>
      </c>
      <c r="O1346" s="266">
        <v>0</v>
      </c>
      <c r="P1346" s="266">
        <v>691991010651</v>
      </c>
      <c r="R1346" s="265">
        <v>50</v>
      </c>
      <c r="S1346" s="265">
        <v>15</v>
      </c>
      <c r="T1346" s="265">
        <v>15</v>
      </c>
      <c r="U1346" s="265">
        <v>23</v>
      </c>
      <c r="V1346" s="259" t="s">
        <v>4159</v>
      </c>
      <c r="W1346" s="259" t="s">
        <v>3061</v>
      </c>
      <c r="Y1346" s="259">
        <v>433</v>
      </c>
      <c r="Z1346" s="259" t="s">
        <v>3227</v>
      </c>
      <c r="AA1346" s="259" t="e">
        <v>#N/A</v>
      </c>
      <c r="AB1346" s="259"/>
      <c r="AC1346" s="259"/>
      <c r="AD1346" s="259"/>
      <c r="AE1346" s="259"/>
    </row>
    <row r="1347" spans="1:31">
      <c r="A1347" s="259" t="s">
        <v>1442</v>
      </c>
      <c r="B1347" s="259" t="s">
        <v>80</v>
      </c>
      <c r="C1347" s="264" t="s">
        <v>108</v>
      </c>
      <c r="D1347" s="264" t="s">
        <v>1442</v>
      </c>
      <c r="E1347" s="259" t="s">
        <v>6393</v>
      </c>
      <c r="G1347" s="259" t="s">
        <v>3378</v>
      </c>
      <c r="H1347" s="264" t="s">
        <v>6530</v>
      </c>
      <c r="I1347" s="264" t="s">
        <v>6531</v>
      </c>
      <c r="J1347" s="295">
        <v>1420</v>
      </c>
      <c r="K1347" s="295">
        <v>1420</v>
      </c>
      <c r="L1347" s="295">
        <v>710</v>
      </c>
      <c r="O1347" s="266">
        <v>0</v>
      </c>
      <c r="P1347" s="266">
        <v>691991010729</v>
      </c>
      <c r="R1347" s="265">
        <v>44</v>
      </c>
      <c r="S1347" s="265">
        <v>16</v>
      </c>
      <c r="T1347" s="265">
        <v>16</v>
      </c>
      <c r="U1347" s="265">
        <v>24</v>
      </c>
      <c r="V1347" s="259" t="s">
        <v>4159</v>
      </c>
      <c r="W1347" s="259" t="s">
        <v>3061</v>
      </c>
      <c r="Y1347" s="259">
        <v>434</v>
      </c>
      <c r="Z1347" s="259" t="s">
        <v>3227</v>
      </c>
      <c r="AA1347" s="259" t="e">
        <v>#N/A</v>
      </c>
      <c r="AB1347" s="259"/>
      <c r="AC1347" s="259"/>
      <c r="AD1347" s="259"/>
      <c r="AE1347" s="259"/>
    </row>
    <row r="1348" spans="1:31">
      <c r="A1348" s="259" t="s">
        <v>1443</v>
      </c>
      <c r="B1348" s="259" t="s">
        <v>80</v>
      </c>
      <c r="C1348" s="264" t="s">
        <v>108</v>
      </c>
      <c r="D1348" s="264" t="s">
        <v>1443</v>
      </c>
      <c r="E1348" s="259" t="s">
        <v>6393</v>
      </c>
      <c r="G1348" s="259" t="s">
        <v>3378</v>
      </c>
      <c r="H1348" s="264" t="s">
        <v>6532</v>
      </c>
      <c r="I1348" s="264" t="s">
        <v>6533</v>
      </c>
      <c r="J1348" s="295">
        <v>1420</v>
      </c>
      <c r="K1348" s="295">
        <v>1420</v>
      </c>
      <c r="L1348" s="295">
        <v>710</v>
      </c>
      <c r="O1348" s="266">
        <v>0</v>
      </c>
      <c r="P1348" s="266">
        <v>691991010736</v>
      </c>
      <c r="R1348" s="265">
        <v>44.5</v>
      </c>
      <c r="S1348" s="265">
        <v>16</v>
      </c>
      <c r="T1348" s="265">
        <v>15</v>
      </c>
      <c r="U1348" s="265">
        <v>23</v>
      </c>
      <c r="V1348" s="259" t="s">
        <v>4159</v>
      </c>
      <c r="W1348" s="259" t="s">
        <v>3061</v>
      </c>
      <c r="Y1348" s="259">
        <v>435</v>
      </c>
      <c r="Z1348" s="259" t="s">
        <v>3227</v>
      </c>
      <c r="AA1348" s="259" t="e">
        <v>#N/A</v>
      </c>
      <c r="AB1348" s="259"/>
      <c r="AC1348" s="259"/>
      <c r="AD1348" s="259"/>
      <c r="AE1348" s="259"/>
    </row>
    <row r="1349" spans="1:31">
      <c r="A1349" s="259" t="s">
        <v>1444</v>
      </c>
      <c r="B1349" s="259" t="s">
        <v>80</v>
      </c>
      <c r="C1349" s="264" t="s">
        <v>108</v>
      </c>
      <c r="D1349" s="264" t="s">
        <v>1444</v>
      </c>
      <c r="E1349" s="259" t="s">
        <v>6393</v>
      </c>
      <c r="G1349" s="259" t="s">
        <v>3378</v>
      </c>
      <c r="H1349" s="264" t="s">
        <v>6534</v>
      </c>
      <c r="I1349" s="264" t="s">
        <v>6535</v>
      </c>
      <c r="J1349" s="295">
        <v>1830</v>
      </c>
      <c r="K1349" s="295">
        <v>1830</v>
      </c>
      <c r="L1349" s="295">
        <v>915</v>
      </c>
      <c r="O1349" s="266">
        <v>0</v>
      </c>
      <c r="P1349" s="266">
        <v>691991004025</v>
      </c>
      <c r="R1349" s="265">
        <v>64</v>
      </c>
      <c r="S1349" s="265">
        <v>22</v>
      </c>
      <c r="T1349" s="265">
        <v>18</v>
      </c>
      <c r="U1349" s="265">
        <v>27</v>
      </c>
      <c r="V1349" s="259" t="s">
        <v>4159</v>
      </c>
      <c r="W1349" s="259" t="s">
        <v>3061</v>
      </c>
      <c r="Y1349" s="259">
        <v>436</v>
      </c>
      <c r="Z1349" s="259" t="s">
        <v>3227</v>
      </c>
      <c r="AA1349" s="259" t="e">
        <v>#N/A</v>
      </c>
      <c r="AB1349" s="259"/>
      <c r="AC1349" s="259"/>
      <c r="AD1349" s="259"/>
      <c r="AE1349" s="259"/>
    </row>
    <row r="1350" spans="1:31">
      <c r="A1350" s="259" t="s">
        <v>1445</v>
      </c>
      <c r="B1350" s="259" t="s">
        <v>80</v>
      </c>
      <c r="C1350" s="264" t="s">
        <v>108</v>
      </c>
      <c r="D1350" s="264" t="s">
        <v>1445</v>
      </c>
      <c r="E1350" s="259" t="s">
        <v>6393</v>
      </c>
      <c r="G1350" s="259" t="s">
        <v>3378</v>
      </c>
      <c r="H1350" s="264" t="s">
        <v>6536</v>
      </c>
      <c r="I1350" s="264" t="s">
        <v>6537</v>
      </c>
      <c r="J1350" s="295">
        <v>1550</v>
      </c>
      <c r="K1350" s="295">
        <v>1550</v>
      </c>
      <c r="L1350" s="295">
        <v>775</v>
      </c>
      <c r="O1350" s="266">
        <v>0</v>
      </c>
      <c r="P1350" s="266">
        <v>691991010798</v>
      </c>
      <c r="R1350" s="265">
        <v>57.4</v>
      </c>
      <c r="S1350" s="265">
        <v>21</v>
      </c>
      <c r="T1350" s="265">
        <v>18</v>
      </c>
      <c r="U1350" s="265">
        <v>27</v>
      </c>
      <c r="V1350" s="259" t="s">
        <v>4159</v>
      </c>
      <c r="W1350" s="259" t="s">
        <v>3061</v>
      </c>
      <c r="Y1350" s="259">
        <v>437</v>
      </c>
      <c r="Z1350" s="259" t="s">
        <v>3227</v>
      </c>
      <c r="AA1350" s="259" t="e">
        <v>#N/A</v>
      </c>
      <c r="AB1350" s="259"/>
      <c r="AC1350" s="259"/>
      <c r="AD1350" s="259"/>
      <c r="AE1350" s="259"/>
    </row>
    <row r="1351" spans="1:31">
      <c r="A1351" s="259" t="s">
        <v>1446</v>
      </c>
      <c r="B1351" s="259" t="s">
        <v>80</v>
      </c>
      <c r="C1351" s="264" t="s">
        <v>108</v>
      </c>
      <c r="D1351" s="264" t="s">
        <v>1446</v>
      </c>
      <c r="E1351" s="259" t="s">
        <v>6393</v>
      </c>
      <c r="G1351" s="259" t="s">
        <v>3378</v>
      </c>
      <c r="H1351" s="264" t="s">
        <v>6538</v>
      </c>
      <c r="I1351" s="264" t="s">
        <v>6539</v>
      </c>
      <c r="J1351" s="295">
        <v>1550</v>
      </c>
      <c r="K1351" s="295">
        <v>1550</v>
      </c>
      <c r="L1351" s="295">
        <v>775</v>
      </c>
      <c r="O1351" s="266">
        <v>0</v>
      </c>
      <c r="P1351" s="266">
        <v>691991010804</v>
      </c>
      <c r="R1351" s="265">
        <v>61.45</v>
      </c>
      <c r="S1351" s="265">
        <v>20</v>
      </c>
      <c r="T1351" s="265">
        <v>18</v>
      </c>
      <c r="U1351" s="265">
        <v>27</v>
      </c>
      <c r="V1351" s="259" t="s">
        <v>4159</v>
      </c>
      <c r="W1351" s="259" t="s">
        <v>3061</v>
      </c>
      <c r="Y1351" s="259">
        <v>438</v>
      </c>
      <c r="Z1351" s="259" t="s">
        <v>3227</v>
      </c>
      <c r="AA1351" s="259" t="e">
        <v>#N/A</v>
      </c>
      <c r="AB1351" s="259"/>
      <c r="AC1351" s="259"/>
      <c r="AD1351" s="259"/>
      <c r="AE1351" s="259"/>
    </row>
    <row r="1352" spans="1:31">
      <c r="A1352" s="259" t="s">
        <v>1447</v>
      </c>
      <c r="B1352" s="259" t="s">
        <v>80</v>
      </c>
      <c r="C1352" s="264" t="s">
        <v>108</v>
      </c>
      <c r="D1352" s="264" t="s">
        <v>1447</v>
      </c>
      <c r="E1352" s="259" t="s">
        <v>6393</v>
      </c>
      <c r="G1352" s="259" t="s">
        <v>3378</v>
      </c>
      <c r="H1352" s="264" t="s">
        <v>6540</v>
      </c>
      <c r="I1352" s="264" t="s">
        <v>6541</v>
      </c>
      <c r="J1352" s="295">
        <v>1550</v>
      </c>
      <c r="K1352" s="295">
        <v>1550</v>
      </c>
      <c r="L1352" s="295">
        <v>775</v>
      </c>
      <c r="O1352" s="266">
        <v>0</v>
      </c>
      <c r="P1352" s="266">
        <v>691991010835</v>
      </c>
      <c r="R1352" s="265">
        <v>57.4</v>
      </c>
      <c r="S1352" s="265">
        <v>21</v>
      </c>
      <c r="T1352" s="265">
        <v>18</v>
      </c>
      <c r="U1352" s="265">
        <v>27</v>
      </c>
      <c r="V1352" s="259" t="s">
        <v>4159</v>
      </c>
      <c r="W1352" s="259" t="s">
        <v>3061</v>
      </c>
      <c r="Y1352" s="259">
        <v>439</v>
      </c>
      <c r="Z1352" s="259" t="s">
        <v>3227</v>
      </c>
      <c r="AA1352" s="259" t="e">
        <v>#N/A</v>
      </c>
      <c r="AB1352" s="259"/>
      <c r="AC1352" s="259"/>
      <c r="AD1352" s="259"/>
      <c r="AE1352" s="259"/>
    </row>
    <row r="1353" spans="1:31">
      <c r="A1353" s="259" t="s">
        <v>1448</v>
      </c>
      <c r="B1353" s="259" t="s">
        <v>80</v>
      </c>
      <c r="C1353" s="264" t="s">
        <v>6427</v>
      </c>
      <c r="D1353" s="264" t="s">
        <v>1448</v>
      </c>
      <c r="E1353" s="259" t="s">
        <v>6429</v>
      </c>
      <c r="F1353" s="259" t="s">
        <v>5021</v>
      </c>
      <c r="H1353" s="264" t="s">
        <v>6540</v>
      </c>
      <c r="I1353" s="264" t="s">
        <v>6541</v>
      </c>
      <c r="J1353" s="295" t="s">
        <v>6428</v>
      </c>
      <c r="K1353" s="295">
        <v>0</v>
      </c>
      <c r="L1353" s="295">
        <v>0</v>
      </c>
      <c r="O1353" s="266">
        <v>0</v>
      </c>
      <c r="P1353" s="266">
        <v>691991029011</v>
      </c>
      <c r="R1353" s="265">
        <v>15</v>
      </c>
      <c r="S1353" s="265">
        <v>15</v>
      </c>
      <c r="T1353" s="265">
        <v>15</v>
      </c>
      <c r="U1353" s="265">
        <v>23</v>
      </c>
      <c r="V1353" s="259" t="s">
        <v>4159</v>
      </c>
      <c r="W1353" s="259" t="s">
        <v>3061</v>
      </c>
      <c r="Y1353" s="259">
        <v>440</v>
      </c>
      <c r="Z1353" s="259" t="s">
        <v>3227</v>
      </c>
      <c r="AA1353" s="259" t="e">
        <v>#N/A</v>
      </c>
      <c r="AB1353" s="259"/>
      <c r="AC1353" s="259"/>
      <c r="AD1353" s="259"/>
      <c r="AE1353" s="259"/>
    </row>
    <row r="1354" spans="1:31">
      <c r="A1354" s="259" t="s">
        <v>1449</v>
      </c>
      <c r="B1354" s="259" t="s">
        <v>80</v>
      </c>
      <c r="C1354" s="264" t="s">
        <v>108</v>
      </c>
      <c r="D1354" s="264" t="s">
        <v>1449</v>
      </c>
      <c r="E1354" s="259" t="s">
        <v>6393</v>
      </c>
      <c r="H1354" s="264" t="s">
        <v>6542</v>
      </c>
      <c r="I1354" s="264" t="s">
        <v>6543</v>
      </c>
      <c r="J1354" s="295">
        <v>3480</v>
      </c>
      <c r="K1354" s="295">
        <v>3480</v>
      </c>
      <c r="L1354" s="295">
        <v>1740</v>
      </c>
      <c r="O1354" s="266">
        <v>0</v>
      </c>
      <c r="P1354" s="266">
        <v>691991011627</v>
      </c>
      <c r="R1354" s="265">
        <v>170</v>
      </c>
      <c r="S1354" s="265">
        <v>36</v>
      </c>
      <c r="T1354" s="265">
        <v>26</v>
      </c>
      <c r="U1354" s="265">
        <v>45</v>
      </c>
      <c r="V1354" s="259" t="s">
        <v>4159</v>
      </c>
      <c r="W1354" s="259" t="s">
        <v>3061</v>
      </c>
      <c r="Y1354" s="259">
        <v>441</v>
      </c>
      <c r="Z1354" s="259" t="s">
        <v>3030</v>
      </c>
      <c r="AA1354" s="259" t="e">
        <v>#N/A</v>
      </c>
      <c r="AB1354" s="259"/>
      <c r="AC1354" s="259"/>
      <c r="AD1354" s="259"/>
      <c r="AE1354" s="259"/>
    </row>
    <row r="1355" spans="1:31">
      <c r="A1355" s="259" t="s">
        <v>1450</v>
      </c>
      <c r="B1355" s="259" t="s">
        <v>80</v>
      </c>
      <c r="C1355" s="264" t="s">
        <v>108</v>
      </c>
      <c r="D1355" s="264" t="s">
        <v>1450</v>
      </c>
      <c r="E1355" s="259" t="s">
        <v>6393</v>
      </c>
      <c r="H1355" s="264" t="s">
        <v>6544</v>
      </c>
      <c r="I1355" s="264" t="s">
        <v>6545</v>
      </c>
      <c r="J1355" s="295">
        <v>3480</v>
      </c>
      <c r="K1355" s="295">
        <v>3480</v>
      </c>
      <c r="L1355" s="295">
        <v>1740</v>
      </c>
      <c r="O1355" s="266">
        <v>0</v>
      </c>
      <c r="P1355" s="266">
        <v>691991011634</v>
      </c>
      <c r="R1355" s="265">
        <v>120</v>
      </c>
      <c r="S1355" s="265">
        <v>35</v>
      </c>
      <c r="T1355" s="265">
        <v>45</v>
      </c>
      <c r="U1355" s="265">
        <v>25</v>
      </c>
      <c r="V1355" s="259" t="s">
        <v>4159</v>
      </c>
      <c r="W1355" s="259" t="s">
        <v>3061</v>
      </c>
      <c r="Y1355" s="259">
        <v>442</v>
      </c>
      <c r="Z1355" s="259" t="s">
        <v>3037</v>
      </c>
      <c r="AA1355" s="259" t="e">
        <v>#N/A</v>
      </c>
      <c r="AB1355" s="259"/>
      <c r="AC1355" s="259"/>
      <c r="AD1355" s="259"/>
      <c r="AE1355" s="259"/>
    </row>
    <row r="1356" spans="1:31">
      <c r="A1356" s="259" t="s">
        <v>1451</v>
      </c>
      <c r="B1356" s="259" t="s">
        <v>80</v>
      </c>
      <c r="C1356" s="264" t="s">
        <v>6438</v>
      </c>
      <c r="D1356" s="264" t="s">
        <v>1451</v>
      </c>
      <c r="F1356" s="259" t="s">
        <v>5021</v>
      </c>
      <c r="H1356" s="264" t="s">
        <v>6546</v>
      </c>
      <c r="I1356" s="264" t="s">
        <v>6547</v>
      </c>
      <c r="J1356" s="295" t="s">
        <v>6428</v>
      </c>
      <c r="K1356" s="295">
        <v>0</v>
      </c>
      <c r="L1356" s="295">
        <v>0</v>
      </c>
      <c r="O1356" s="266">
        <v>0</v>
      </c>
      <c r="P1356" s="266">
        <v>691991011658</v>
      </c>
      <c r="R1356" s="265">
        <v>0</v>
      </c>
      <c r="S1356" s="265">
        <v>0</v>
      </c>
      <c r="T1356" s="265">
        <v>0</v>
      </c>
      <c r="U1356" s="265">
        <v>0</v>
      </c>
      <c r="V1356" s="259" t="s">
        <v>4159</v>
      </c>
      <c r="W1356" s="259" t="s">
        <v>3061</v>
      </c>
      <c r="Y1356" s="259">
        <v>443</v>
      </c>
      <c r="Z1356" s="259" t="s">
        <v>3037</v>
      </c>
      <c r="AA1356" s="259" t="e">
        <v>#N/A</v>
      </c>
      <c r="AB1356" s="259"/>
      <c r="AC1356" s="259"/>
      <c r="AD1356" s="259"/>
      <c r="AE1356" s="259"/>
    </row>
    <row r="1357" spans="1:31">
      <c r="A1357" s="259" t="s">
        <v>1452</v>
      </c>
      <c r="B1357" s="259" t="s">
        <v>80</v>
      </c>
      <c r="C1357" s="264" t="s">
        <v>108</v>
      </c>
      <c r="D1357" s="264" t="s">
        <v>1452</v>
      </c>
      <c r="E1357" s="259" t="s">
        <v>6393</v>
      </c>
      <c r="H1357" s="264" t="s">
        <v>6548</v>
      </c>
      <c r="I1357" s="264" t="s">
        <v>6549</v>
      </c>
      <c r="J1357" s="295">
        <v>2330</v>
      </c>
      <c r="K1357" s="295">
        <v>2330</v>
      </c>
      <c r="L1357" s="295">
        <v>1165</v>
      </c>
      <c r="O1357" s="266">
        <v>0</v>
      </c>
      <c r="P1357" s="266">
        <v>691991010958</v>
      </c>
      <c r="R1357" s="265">
        <v>63</v>
      </c>
      <c r="S1357" s="265">
        <v>19</v>
      </c>
      <c r="T1357" s="265">
        <v>21</v>
      </c>
      <c r="U1357" s="265">
        <v>34</v>
      </c>
      <c r="V1357" s="259" t="s">
        <v>4159</v>
      </c>
      <c r="W1357" s="259" t="s">
        <v>3061</v>
      </c>
      <c r="Y1357" s="259">
        <v>444</v>
      </c>
      <c r="Z1357" s="259" t="s">
        <v>3030</v>
      </c>
      <c r="AA1357" s="259" t="e">
        <v>#N/A</v>
      </c>
      <c r="AB1357" s="259"/>
      <c r="AC1357" s="259"/>
      <c r="AD1357" s="259"/>
      <c r="AE1357" s="259"/>
    </row>
    <row r="1358" spans="1:31">
      <c r="A1358" s="259" t="s">
        <v>1453</v>
      </c>
      <c r="B1358" s="259" t="s">
        <v>80</v>
      </c>
      <c r="C1358" s="264" t="s">
        <v>108</v>
      </c>
      <c r="D1358" s="264" t="s">
        <v>1453</v>
      </c>
      <c r="E1358" s="259" t="s">
        <v>6393</v>
      </c>
      <c r="H1358" s="264" t="s">
        <v>6550</v>
      </c>
      <c r="I1358" s="264" t="s">
        <v>6551</v>
      </c>
      <c r="J1358" s="295">
        <v>2330</v>
      </c>
      <c r="K1358" s="295">
        <v>2330</v>
      </c>
      <c r="L1358" s="295">
        <v>1165</v>
      </c>
      <c r="O1358" s="266">
        <v>0</v>
      </c>
      <c r="P1358" s="266">
        <v>691991005046</v>
      </c>
      <c r="R1358" s="265">
        <v>50</v>
      </c>
      <c r="S1358" s="265">
        <v>19</v>
      </c>
      <c r="T1358" s="265">
        <v>15.75</v>
      </c>
      <c r="U1358" s="265">
        <v>30</v>
      </c>
      <c r="V1358" s="259" t="s">
        <v>4159</v>
      </c>
      <c r="W1358" s="259" t="s">
        <v>3061</v>
      </c>
      <c r="Y1358" s="259">
        <v>445</v>
      </c>
      <c r="Z1358" s="259" t="s">
        <v>3030</v>
      </c>
      <c r="AA1358" s="259" t="e">
        <v>#N/A</v>
      </c>
      <c r="AB1358" s="259"/>
      <c r="AC1358" s="259"/>
      <c r="AD1358" s="259"/>
      <c r="AE1358" s="259"/>
    </row>
    <row r="1359" spans="1:31">
      <c r="A1359" s="259" t="s">
        <v>1454</v>
      </c>
      <c r="B1359" s="259" t="s">
        <v>80</v>
      </c>
      <c r="C1359" s="264" t="s">
        <v>6438</v>
      </c>
      <c r="D1359" s="264" t="s">
        <v>1454</v>
      </c>
      <c r="E1359" s="259" t="s">
        <v>6429</v>
      </c>
      <c r="F1359" s="259" t="s">
        <v>5021</v>
      </c>
      <c r="H1359" s="264" t="s">
        <v>6552</v>
      </c>
      <c r="I1359" s="264" t="s">
        <v>6553</v>
      </c>
      <c r="J1359" s="295" t="s">
        <v>6428</v>
      </c>
      <c r="K1359" s="295">
        <v>0</v>
      </c>
      <c r="L1359" s="295">
        <v>0</v>
      </c>
      <c r="O1359" s="266"/>
      <c r="P1359" s="266">
        <v>691991029264</v>
      </c>
      <c r="R1359" s="265">
        <v>0</v>
      </c>
      <c r="S1359" s="265">
        <v>0</v>
      </c>
      <c r="T1359" s="265">
        <v>0</v>
      </c>
      <c r="U1359" s="265">
        <v>0</v>
      </c>
      <c r="V1359" s="259" t="s">
        <v>3996</v>
      </c>
      <c r="Y1359" s="259">
        <v>446</v>
      </c>
      <c r="Z1359" s="259" t="s">
        <v>3037</v>
      </c>
      <c r="AA1359" s="259" t="e">
        <v>#N/A</v>
      </c>
      <c r="AB1359" s="259"/>
      <c r="AC1359" s="259"/>
      <c r="AD1359" s="259"/>
      <c r="AE1359" s="259"/>
    </row>
    <row r="1360" spans="1:31">
      <c r="A1360" s="259" t="s">
        <v>1455</v>
      </c>
      <c r="B1360" s="259" t="s">
        <v>80</v>
      </c>
      <c r="C1360" s="264" t="s">
        <v>6438</v>
      </c>
      <c r="D1360" s="264" t="s">
        <v>1455</v>
      </c>
      <c r="E1360" s="259" t="s">
        <v>6429</v>
      </c>
      <c r="F1360" s="259" t="s">
        <v>5021</v>
      </c>
      <c r="H1360" s="264" t="s">
        <v>6552</v>
      </c>
      <c r="I1360" s="264" t="s">
        <v>6553</v>
      </c>
      <c r="J1360" s="295" t="s">
        <v>6428</v>
      </c>
      <c r="K1360" s="295">
        <v>0</v>
      </c>
      <c r="L1360" s="295">
        <v>0</v>
      </c>
      <c r="O1360" s="266">
        <v>0</v>
      </c>
      <c r="P1360" s="266">
        <v>691991010965</v>
      </c>
      <c r="R1360" s="265">
        <v>60</v>
      </c>
      <c r="S1360" s="265">
        <v>21.5</v>
      </c>
      <c r="T1360" s="265">
        <v>19.5</v>
      </c>
      <c r="U1360" s="265">
        <v>34.5</v>
      </c>
      <c r="V1360" s="259" t="s">
        <v>4159</v>
      </c>
      <c r="W1360" s="259" t="s">
        <v>3061</v>
      </c>
      <c r="Y1360" s="259">
        <v>447</v>
      </c>
      <c r="Z1360" s="259" t="s">
        <v>3037</v>
      </c>
      <c r="AA1360" s="259" t="e">
        <v>#N/A</v>
      </c>
      <c r="AB1360" s="259"/>
      <c r="AC1360" s="259"/>
      <c r="AD1360" s="259"/>
      <c r="AE1360" s="259"/>
    </row>
    <row r="1361" spans="1:31">
      <c r="A1361" s="259" t="s">
        <v>1456</v>
      </c>
      <c r="B1361" s="259" t="s">
        <v>80</v>
      </c>
      <c r="C1361" s="264" t="s">
        <v>108</v>
      </c>
      <c r="D1361" s="264" t="s">
        <v>1456</v>
      </c>
      <c r="E1361" s="259" t="s">
        <v>6393</v>
      </c>
      <c r="H1361" s="264" t="s">
        <v>6548</v>
      </c>
      <c r="I1361" s="264" t="s">
        <v>6554</v>
      </c>
      <c r="J1361" s="295">
        <v>2330</v>
      </c>
      <c r="K1361" s="295">
        <v>2330</v>
      </c>
      <c r="L1361" s="295">
        <v>1165</v>
      </c>
      <c r="O1361" s="266">
        <v>0</v>
      </c>
      <c r="P1361" s="266">
        <v>691991010972</v>
      </c>
      <c r="R1361" s="265">
        <v>52.75</v>
      </c>
      <c r="S1361" s="265">
        <v>19</v>
      </c>
      <c r="T1361" s="265">
        <v>16</v>
      </c>
      <c r="U1361" s="265">
        <v>30</v>
      </c>
      <c r="V1361" s="259" t="s">
        <v>4159</v>
      </c>
      <c r="W1361" s="259" t="s">
        <v>3061</v>
      </c>
      <c r="Y1361" s="259">
        <v>448</v>
      </c>
      <c r="Z1361" s="259" t="s">
        <v>3030</v>
      </c>
      <c r="AA1361" s="259" t="e">
        <v>#N/A</v>
      </c>
      <c r="AB1361" s="259"/>
      <c r="AC1361" s="259"/>
      <c r="AD1361" s="259"/>
      <c r="AE1361" s="259"/>
    </row>
    <row r="1362" spans="1:31">
      <c r="A1362" s="259" t="s">
        <v>1457</v>
      </c>
      <c r="B1362" s="259" t="s">
        <v>80</v>
      </c>
      <c r="C1362" s="264" t="s">
        <v>108</v>
      </c>
      <c r="D1362" s="264" t="s">
        <v>1457</v>
      </c>
      <c r="E1362" s="259" t="s">
        <v>6393</v>
      </c>
      <c r="H1362" s="264" t="s">
        <v>6550</v>
      </c>
      <c r="I1362" s="264" t="s">
        <v>6555</v>
      </c>
      <c r="J1362" s="295">
        <v>2330</v>
      </c>
      <c r="K1362" s="295">
        <v>2330</v>
      </c>
      <c r="L1362" s="295">
        <v>1165</v>
      </c>
      <c r="O1362" s="266">
        <v>0</v>
      </c>
      <c r="P1362" s="266">
        <v>691991010989</v>
      </c>
      <c r="R1362" s="265">
        <v>55</v>
      </c>
      <c r="S1362" s="265">
        <v>16</v>
      </c>
      <c r="T1362" s="265">
        <v>19</v>
      </c>
      <c r="U1362" s="265">
        <v>30</v>
      </c>
      <c r="V1362" s="259" t="s">
        <v>4159</v>
      </c>
      <c r="W1362" s="259" t="s">
        <v>3061</v>
      </c>
      <c r="Y1362" s="259">
        <v>449</v>
      </c>
      <c r="Z1362" s="259" t="s">
        <v>3030</v>
      </c>
      <c r="AA1362" s="259" t="e">
        <v>#N/A</v>
      </c>
      <c r="AB1362" s="259"/>
      <c r="AC1362" s="259"/>
      <c r="AD1362" s="259"/>
      <c r="AE1362" s="259"/>
    </row>
    <row r="1363" spans="1:31">
      <c r="A1363" s="259" t="s">
        <v>1458</v>
      </c>
      <c r="B1363" s="259" t="s">
        <v>80</v>
      </c>
      <c r="C1363" s="264" t="s">
        <v>6438</v>
      </c>
      <c r="D1363" s="264" t="s">
        <v>1458</v>
      </c>
      <c r="E1363" s="259" t="s">
        <v>6429</v>
      </c>
      <c r="F1363" s="259" t="s">
        <v>5021</v>
      </c>
      <c r="H1363" s="264" t="s">
        <v>6552</v>
      </c>
      <c r="I1363" s="264" t="s">
        <v>6556</v>
      </c>
      <c r="J1363" s="295" t="s">
        <v>6428</v>
      </c>
      <c r="K1363" s="295">
        <v>0</v>
      </c>
      <c r="L1363" s="295">
        <v>0</v>
      </c>
      <c r="O1363" s="266">
        <v>0</v>
      </c>
      <c r="P1363" s="266">
        <v>691991010996</v>
      </c>
      <c r="R1363" s="265">
        <v>40</v>
      </c>
      <c r="S1363" s="265">
        <v>28</v>
      </c>
      <c r="T1363" s="265">
        <v>24</v>
      </c>
      <c r="U1363" s="265">
        <v>36</v>
      </c>
      <c r="V1363" s="259" t="s">
        <v>4159</v>
      </c>
      <c r="W1363" s="259" t="s">
        <v>3061</v>
      </c>
      <c r="Y1363" s="259">
        <v>450</v>
      </c>
      <c r="Z1363" s="259" t="s">
        <v>3037</v>
      </c>
      <c r="AA1363" s="259" t="e">
        <v>#N/A</v>
      </c>
      <c r="AB1363" s="259"/>
      <c r="AC1363" s="259"/>
      <c r="AD1363" s="259"/>
      <c r="AE1363" s="259"/>
    </row>
    <row r="1364" spans="1:31">
      <c r="A1364" s="259" t="s">
        <v>1459</v>
      </c>
      <c r="B1364" s="259" t="s">
        <v>80</v>
      </c>
      <c r="C1364" s="264" t="s">
        <v>6438</v>
      </c>
      <c r="D1364" s="264" t="s">
        <v>1459</v>
      </c>
      <c r="E1364" s="259" t="s">
        <v>6429</v>
      </c>
      <c r="F1364" s="259" t="s">
        <v>5021</v>
      </c>
      <c r="H1364" s="264" t="s">
        <v>6557</v>
      </c>
      <c r="I1364" s="264" t="s">
        <v>6558</v>
      </c>
      <c r="J1364" s="295" t="s">
        <v>6428</v>
      </c>
      <c r="K1364" s="295">
        <v>0</v>
      </c>
      <c r="L1364" s="295">
        <v>0</v>
      </c>
      <c r="O1364" s="266">
        <v>0</v>
      </c>
      <c r="P1364" s="266">
        <v>691991011009</v>
      </c>
      <c r="R1364" s="265">
        <v>0</v>
      </c>
      <c r="S1364" s="265">
        <v>0</v>
      </c>
      <c r="T1364" s="265">
        <v>0</v>
      </c>
      <c r="U1364" s="265">
        <v>0</v>
      </c>
      <c r="V1364" s="259" t="s">
        <v>4159</v>
      </c>
      <c r="W1364" s="259" t="s">
        <v>3061</v>
      </c>
      <c r="Y1364" s="259">
        <v>451</v>
      </c>
      <c r="Z1364" s="259" t="s">
        <v>3037</v>
      </c>
      <c r="AA1364" s="259" t="e">
        <v>#N/A</v>
      </c>
      <c r="AB1364" s="259"/>
      <c r="AC1364" s="259"/>
      <c r="AD1364" s="259"/>
      <c r="AE1364" s="259"/>
    </row>
    <row r="1365" spans="1:31">
      <c r="A1365" s="259" t="s">
        <v>1460</v>
      </c>
      <c r="B1365" s="259" t="s">
        <v>80</v>
      </c>
      <c r="C1365" s="264" t="s">
        <v>108</v>
      </c>
      <c r="D1365" s="264" t="s">
        <v>1460</v>
      </c>
      <c r="E1365" s="259" t="s">
        <v>6393</v>
      </c>
      <c r="H1365" s="264" t="s">
        <v>6548</v>
      </c>
      <c r="I1365" s="264" t="s">
        <v>6559</v>
      </c>
      <c r="J1365" s="295">
        <v>2330</v>
      </c>
      <c r="K1365" s="295">
        <v>2330</v>
      </c>
      <c r="L1365" s="295">
        <v>1165</v>
      </c>
      <c r="O1365" s="266">
        <v>0</v>
      </c>
      <c r="P1365" s="266">
        <v>691991011016</v>
      </c>
      <c r="R1365" s="265">
        <v>45</v>
      </c>
      <c r="S1365" s="265">
        <v>29</v>
      </c>
      <c r="T1365" s="265">
        <v>15</v>
      </c>
      <c r="U1365" s="265">
        <v>19</v>
      </c>
      <c r="V1365" s="259" t="s">
        <v>4159</v>
      </c>
      <c r="W1365" s="259" t="s">
        <v>3061</v>
      </c>
      <c r="Y1365" s="259">
        <v>452</v>
      </c>
      <c r="Z1365" s="259" t="s">
        <v>3030</v>
      </c>
      <c r="AA1365" s="259" t="e">
        <v>#N/A</v>
      </c>
      <c r="AB1365" s="259"/>
      <c r="AC1365" s="259"/>
      <c r="AD1365" s="259"/>
      <c r="AE1365" s="259"/>
    </row>
    <row r="1366" spans="1:31">
      <c r="A1366" s="259" t="s">
        <v>1461</v>
      </c>
      <c r="B1366" s="259" t="s">
        <v>80</v>
      </c>
      <c r="C1366" s="264" t="s">
        <v>108</v>
      </c>
      <c r="D1366" s="264" t="s">
        <v>1461</v>
      </c>
      <c r="E1366" s="259" t="s">
        <v>6393</v>
      </c>
      <c r="H1366" s="264" t="s">
        <v>6550</v>
      </c>
      <c r="I1366" s="264" t="s">
        <v>6560</v>
      </c>
      <c r="J1366" s="295">
        <v>2330</v>
      </c>
      <c r="K1366" s="295">
        <v>2330</v>
      </c>
      <c r="L1366" s="295">
        <v>1165</v>
      </c>
      <c r="O1366" s="266">
        <v>0</v>
      </c>
      <c r="P1366" s="266">
        <v>691991011023</v>
      </c>
      <c r="R1366" s="265">
        <v>54</v>
      </c>
      <c r="S1366" s="265">
        <v>19</v>
      </c>
      <c r="T1366" s="265">
        <v>16</v>
      </c>
      <c r="U1366" s="265">
        <v>30</v>
      </c>
      <c r="V1366" s="259" t="s">
        <v>4159</v>
      </c>
      <c r="W1366" s="259" t="s">
        <v>3061</v>
      </c>
      <c r="Y1366" s="259">
        <v>453</v>
      </c>
      <c r="Z1366" s="259" t="s">
        <v>3030</v>
      </c>
      <c r="AA1366" s="259" t="e">
        <v>#N/A</v>
      </c>
      <c r="AB1366" s="259"/>
      <c r="AC1366" s="259"/>
      <c r="AD1366" s="259"/>
      <c r="AE1366" s="259"/>
    </row>
    <row r="1367" spans="1:31">
      <c r="A1367" s="259" t="s">
        <v>1462</v>
      </c>
      <c r="B1367" s="259" t="s">
        <v>80</v>
      </c>
      <c r="C1367" s="264" t="s">
        <v>6438</v>
      </c>
      <c r="D1367" s="264" t="s">
        <v>1462</v>
      </c>
      <c r="E1367" s="259" t="s">
        <v>6429</v>
      </c>
      <c r="F1367" s="259" t="s">
        <v>5021</v>
      </c>
      <c r="H1367" s="264" t="s">
        <v>6552</v>
      </c>
      <c r="I1367" s="264" t="s">
        <v>6561</v>
      </c>
      <c r="J1367" s="295" t="s">
        <v>6428</v>
      </c>
      <c r="K1367" s="295">
        <v>0</v>
      </c>
      <c r="L1367" s="295">
        <v>0</v>
      </c>
      <c r="O1367" s="266">
        <v>0</v>
      </c>
      <c r="P1367" s="266">
        <v>691991029295</v>
      </c>
      <c r="R1367" s="265">
        <v>60</v>
      </c>
      <c r="S1367" s="265">
        <v>21</v>
      </c>
      <c r="T1367" s="265">
        <v>19</v>
      </c>
      <c r="U1367" s="265">
        <v>36</v>
      </c>
      <c r="V1367" s="259" t="s">
        <v>4159</v>
      </c>
      <c r="W1367" s="259" t="s">
        <v>3061</v>
      </c>
      <c r="Y1367" s="259">
        <v>454</v>
      </c>
      <c r="Z1367" s="259" t="s">
        <v>3037</v>
      </c>
      <c r="AA1367" s="259" t="e">
        <v>#N/A</v>
      </c>
      <c r="AB1367" s="259"/>
      <c r="AC1367" s="259"/>
      <c r="AD1367" s="259"/>
      <c r="AE1367" s="259"/>
    </row>
    <row r="1368" spans="1:31">
      <c r="A1368" s="259" t="s">
        <v>1463</v>
      </c>
      <c r="B1368" s="259" t="s">
        <v>80</v>
      </c>
      <c r="C1368" s="264" t="s">
        <v>6438</v>
      </c>
      <c r="D1368" s="264" t="s">
        <v>1463</v>
      </c>
      <c r="F1368" s="259" t="s">
        <v>5021</v>
      </c>
      <c r="H1368" s="264" t="s">
        <v>6552</v>
      </c>
      <c r="I1368" s="264" t="s">
        <v>6561</v>
      </c>
      <c r="J1368" s="295" t="s">
        <v>6428</v>
      </c>
      <c r="K1368" s="295">
        <v>0</v>
      </c>
      <c r="L1368" s="295">
        <v>0</v>
      </c>
      <c r="O1368" s="266">
        <v>0</v>
      </c>
      <c r="P1368" s="266">
        <v>691991011030</v>
      </c>
      <c r="R1368" s="265">
        <v>0</v>
      </c>
      <c r="S1368" s="265">
        <v>0</v>
      </c>
      <c r="T1368" s="265">
        <v>0</v>
      </c>
      <c r="U1368" s="265">
        <v>0</v>
      </c>
      <c r="V1368" s="259" t="s">
        <v>4159</v>
      </c>
      <c r="W1368" s="259" t="s">
        <v>3061</v>
      </c>
      <c r="Y1368" s="259">
        <v>455</v>
      </c>
      <c r="Z1368" s="259" t="s">
        <v>3037</v>
      </c>
      <c r="AA1368" s="259" t="e">
        <v>#N/A</v>
      </c>
      <c r="AB1368" s="259"/>
      <c r="AC1368" s="259"/>
      <c r="AD1368" s="259"/>
      <c r="AE1368" s="259"/>
    </row>
    <row r="1369" spans="1:31">
      <c r="A1369" s="259" t="s">
        <v>1464</v>
      </c>
      <c r="B1369" s="259" t="s">
        <v>80</v>
      </c>
      <c r="C1369" s="264" t="s">
        <v>108</v>
      </c>
      <c r="D1369" s="264" t="s">
        <v>1464</v>
      </c>
      <c r="E1369" s="259" t="s">
        <v>6393</v>
      </c>
      <c r="H1369" s="264" t="s">
        <v>6548</v>
      </c>
      <c r="I1369" s="264" t="s">
        <v>6562</v>
      </c>
      <c r="J1369" s="295">
        <v>2330</v>
      </c>
      <c r="K1369" s="295">
        <v>2330</v>
      </c>
      <c r="L1369" s="295">
        <v>1165</v>
      </c>
      <c r="O1369" s="266">
        <v>0</v>
      </c>
      <c r="P1369" s="266">
        <v>691991005329</v>
      </c>
      <c r="R1369" s="265">
        <v>50</v>
      </c>
      <c r="S1369" s="265">
        <v>19</v>
      </c>
      <c r="T1369" s="265">
        <v>16</v>
      </c>
      <c r="U1369" s="265">
        <v>30</v>
      </c>
      <c r="V1369" s="259" t="s">
        <v>4159</v>
      </c>
      <c r="W1369" s="259" t="s">
        <v>3061</v>
      </c>
      <c r="Y1369" s="259">
        <v>456</v>
      </c>
      <c r="Z1369" s="259" t="s">
        <v>3030</v>
      </c>
      <c r="AA1369" s="259" t="e">
        <v>#N/A</v>
      </c>
      <c r="AB1369" s="259"/>
      <c r="AC1369" s="259"/>
      <c r="AD1369" s="259"/>
      <c r="AE1369" s="259"/>
    </row>
    <row r="1370" spans="1:31">
      <c r="A1370" s="259" t="s">
        <v>1465</v>
      </c>
      <c r="B1370" s="259" t="s">
        <v>80</v>
      </c>
      <c r="C1370" s="264" t="s">
        <v>108</v>
      </c>
      <c r="D1370" s="264" t="s">
        <v>1465</v>
      </c>
      <c r="E1370" s="259" t="s">
        <v>6393</v>
      </c>
      <c r="H1370" s="264" t="s">
        <v>6550</v>
      </c>
      <c r="I1370" s="264" t="s">
        <v>6563</v>
      </c>
      <c r="J1370" s="295">
        <v>2330</v>
      </c>
      <c r="K1370" s="295">
        <v>2330</v>
      </c>
      <c r="L1370" s="295">
        <v>1165</v>
      </c>
      <c r="O1370" s="266">
        <v>0</v>
      </c>
      <c r="P1370" s="266">
        <v>691991005312</v>
      </c>
      <c r="R1370" s="265">
        <v>52</v>
      </c>
      <c r="S1370" s="265">
        <v>16</v>
      </c>
      <c r="T1370" s="265">
        <v>19</v>
      </c>
      <c r="U1370" s="265">
        <v>29.5</v>
      </c>
      <c r="V1370" s="259" t="s">
        <v>4159</v>
      </c>
      <c r="W1370" s="259" t="s">
        <v>3061</v>
      </c>
      <c r="Y1370" s="259">
        <v>457</v>
      </c>
      <c r="Z1370" s="259" t="s">
        <v>3030</v>
      </c>
      <c r="AA1370" s="259" t="e">
        <v>#N/A</v>
      </c>
      <c r="AB1370" s="259"/>
      <c r="AC1370" s="259"/>
      <c r="AD1370" s="259"/>
      <c r="AE1370" s="259"/>
    </row>
    <row r="1371" spans="1:31">
      <c r="A1371" s="259" t="s">
        <v>1466</v>
      </c>
      <c r="B1371" s="259" t="s">
        <v>80</v>
      </c>
      <c r="C1371" s="264" t="s">
        <v>6438</v>
      </c>
      <c r="D1371" s="264" t="s">
        <v>1466</v>
      </c>
      <c r="F1371" s="259" t="s">
        <v>5021</v>
      </c>
      <c r="H1371" s="264" t="s">
        <v>6552</v>
      </c>
      <c r="I1371" s="264" t="s">
        <v>6564</v>
      </c>
      <c r="J1371" s="295" t="s">
        <v>6428</v>
      </c>
      <c r="K1371" s="295">
        <v>0</v>
      </c>
      <c r="L1371" s="295">
        <v>0</v>
      </c>
      <c r="O1371" s="266">
        <v>0</v>
      </c>
      <c r="P1371" s="266">
        <v>691991011047</v>
      </c>
      <c r="R1371" s="265">
        <v>0</v>
      </c>
      <c r="S1371" s="265">
        <v>0</v>
      </c>
      <c r="T1371" s="265">
        <v>0</v>
      </c>
      <c r="U1371" s="265">
        <v>0</v>
      </c>
      <c r="V1371" s="259" t="s">
        <v>4159</v>
      </c>
      <c r="W1371" s="259" t="s">
        <v>3061</v>
      </c>
      <c r="Y1371" s="259">
        <v>458</v>
      </c>
      <c r="Z1371" s="259" t="s">
        <v>3037</v>
      </c>
      <c r="AA1371" s="259" t="e">
        <v>#N/A</v>
      </c>
      <c r="AB1371" s="259"/>
      <c r="AC1371" s="259"/>
      <c r="AD1371" s="259"/>
      <c r="AE1371" s="259"/>
    </row>
    <row r="1372" spans="1:31">
      <c r="A1372" s="259" t="s">
        <v>1467</v>
      </c>
      <c r="B1372" s="259" t="s">
        <v>80</v>
      </c>
      <c r="C1372" s="264" t="s">
        <v>6438</v>
      </c>
      <c r="D1372" s="264" t="s">
        <v>1467</v>
      </c>
      <c r="E1372" s="259" t="s">
        <v>6429</v>
      </c>
      <c r="F1372" s="259" t="s">
        <v>5021</v>
      </c>
      <c r="H1372" s="264" t="s">
        <v>6557</v>
      </c>
      <c r="I1372" s="264" t="s">
        <v>6565</v>
      </c>
      <c r="J1372" s="295" t="s">
        <v>6428</v>
      </c>
      <c r="K1372" s="295">
        <v>0</v>
      </c>
      <c r="L1372" s="295">
        <v>0</v>
      </c>
      <c r="O1372" s="266">
        <v>0</v>
      </c>
      <c r="P1372" s="266">
        <v>691991011054</v>
      </c>
      <c r="R1372" s="265">
        <v>0</v>
      </c>
      <c r="S1372" s="265">
        <v>0</v>
      </c>
      <c r="T1372" s="265">
        <v>0</v>
      </c>
      <c r="U1372" s="265">
        <v>0</v>
      </c>
      <c r="V1372" s="259" t="s">
        <v>4159</v>
      </c>
      <c r="W1372" s="259" t="s">
        <v>3061</v>
      </c>
      <c r="Y1372" s="259">
        <v>459</v>
      </c>
      <c r="Z1372" s="259" t="s">
        <v>3037</v>
      </c>
      <c r="AA1372" s="259" t="e">
        <v>#N/A</v>
      </c>
      <c r="AB1372" s="259"/>
      <c r="AC1372" s="259"/>
      <c r="AD1372" s="259"/>
      <c r="AE1372" s="259"/>
    </row>
    <row r="1373" spans="1:31">
      <c r="A1373" s="259" t="s">
        <v>1468</v>
      </c>
      <c r="B1373" s="259" t="s">
        <v>80</v>
      </c>
      <c r="C1373" s="264" t="s">
        <v>108</v>
      </c>
      <c r="D1373" s="264" t="s">
        <v>1468</v>
      </c>
      <c r="E1373" s="259" t="s">
        <v>6393</v>
      </c>
      <c r="H1373" s="264" t="s">
        <v>6548</v>
      </c>
      <c r="I1373" s="264" t="s">
        <v>6566</v>
      </c>
      <c r="J1373" s="295">
        <v>2330</v>
      </c>
      <c r="K1373" s="295">
        <v>2330</v>
      </c>
      <c r="L1373" s="295">
        <v>1165</v>
      </c>
      <c r="O1373" s="266">
        <v>0</v>
      </c>
      <c r="P1373" s="266">
        <v>691991011061</v>
      </c>
      <c r="R1373" s="265">
        <v>55</v>
      </c>
      <c r="S1373" s="265">
        <v>19</v>
      </c>
      <c r="T1373" s="265">
        <v>13</v>
      </c>
      <c r="U1373" s="265">
        <v>30</v>
      </c>
      <c r="V1373" s="259" t="s">
        <v>4159</v>
      </c>
      <c r="W1373" s="259" t="s">
        <v>3061</v>
      </c>
      <c r="Y1373" s="259">
        <v>460</v>
      </c>
      <c r="Z1373" s="259" t="s">
        <v>3030</v>
      </c>
      <c r="AA1373" s="259" t="e">
        <v>#N/A</v>
      </c>
      <c r="AB1373" s="259"/>
      <c r="AC1373" s="259"/>
      <c r="AD1373" s="259"/>
      <c r="AE1373" s="259"/>
    </row>
    <row r="1374" spans="1:31">
      <c r="A1374" s="259" t="s">
        <v>1469</v>
      </c>
      <c r="B1374" s="259" t="s">
        <v>80</v>
      </c>
      <c r="C1374" s="264" t="s">
        <v>108</v>
      </c>
      <c r="D1374" s="264" t="s">
        <v>1469</v>
      </c>
      <c r="E1374" s="259" t="s">
        <v>6393</v>
      </c>
      <c r="H1374" s="264" t="s">
        <v>6550</v>
      </c>
      <c r="I1374" s="264" t="s">
        <v>6567</v>
      </c>
      <c r="J1374" s="295">
        <v>2330</v>
      </c>
      <c r="K1374" s="295">
        <v>2330</v>
      </c>
      <c r="L1374" s="295">
        <v>1165</v>
      </c>
      <c r="O1374" s="266">
        <v>0</v>
      </c>
      <c r="P1374" s="266">
        <v>691991011078</v>
      </c>
      <c r="R1374" s="265">
        <v>55</v>
      </c>
      <c r="S1374" s="265">
        <v>19</v>
      </c>
      <c r="T1374" s="265">
        <v>15</v>
      </c>
      <c r="U1374" s="265">
        <v>30</v>
      </c>
      <c r="V1374" s="259" t="s">
        <v>4159</v>
      </c>
      <c r="W1374" s="259" t="s">
        <v>3061</v>
      </c>
      <c r="Y1374" s="259">
        <v>461</v>
      </c>
      <c r="Z1374" s="259" t="s">
        <v>3030</v>
      </c>
      <c r="AA1374" s="259" t="e">
        <v>#N/A</v>
      </c>
      <c r="AB1374" s="259"/>
      <c r="AC1374" s="259"/>
      <c r="AD1374" s="259"/>
      <c r="AE1374" s="259"/>
    </row>
    <row r="1375" spans="1:31">
      <c r="A1375" s="259" t="s">
        <v>1470</v>
      </c>
      <c r="B1375" s="259" t="s">
        <v>80</v>
      </c>
      <c r="C1375" s="264" t="s">
        <v>6427</v>
      </c>
      <c r="D1375" s="264" t="s">
        <v>1470</v>
      </c>
      <c r="E1375" s="259" t="s">
        <v>6429</v>
      </c>
      <c r="F1375" s="259" t="s">
        <v>5021</v>
      </c>
      <c r="H1375" s="264" t="s">
        <v>6550</v>
      </c>
      <c r="I1375" s="264" t="s">
        <v>6567</v>
      </c>
      <c r="J1375" s="295" t="s">
        <v>6428</v>
      </c>
      <c r="K1375" s="295">
        <v>0</v>
      </c>
      <c r="L1375" s="295">
        <v>0</v>
      </c>
      <c r="O1375" s="266">
        <v>0</v>
      </c>
      <c r="P1375" s="266">
        <v>691991029349</v>
      </c>
      <c r="R1375" s="265">
        <v>35</v>
      </c>
      <c r="S1375" s="265">
        <v>16</v>
      </c>
      <c r="T1375" s="265">
        <v>19</v>
      </c>
      <c r="U1375" s="265">
        <v>30</v>
      </c>
      <c r="V1375" s="259" t="s">
        <v>4159</v>
      </c>
      <c r="W1375" s="259" t="s">
        <v>3061</v>
      </c>
      <c r="Y1375" s="259">
        <v>462</v>
      </c>
      <c r="Z1375" s="259" t="s">
        <v>3037</v>
      </c>
      <c r="AA1375" s="259" t="e">
        <v>#N/A</v>
      </c>
      <c r="AB1375" s="259"/>
      <c r="AC1375" s="259"/>
      <c r="AD1375" s="259"/>
      <c r="AE1375" s="259"/>
    </row>
    <row r="1376" spans="1:31">
      <c r="A1376" s="259" t="s">
        <v>1471</v>
      </c>
      <c r="B1376" s="259" t="s">
        <v>80</v>
      </c>
      <c r="C1376" s="264" t="s">
        <v>108</v>
      </c>
      <c r="D1376" s="264" t="s">
        <v>1471</v>
      </c>
      <c r="E1376" s="259" t="s">
        <v>6393</v>
      </c>
      <c r="H1376" s="264" t="s">
        <v>6548</v>
      </c>
      <c r="I1376" s="264" t="s">
        <v>6568</v>
      </c>
      <c r="J1376" s="295">
        <v>2460</v>
      </c>
      <c r="K1376" s="295">
        <v>2460</v>
      </c>
      <c r="L1376" s="295">
        <v>1230</v>
      </c>
      <c r="O1376" s="266">
        <v>0</v>
      </c>
      <c r="P1376" s="266">
        <v>691991011092</v>
      </c>
      <c r="R1376" s="265">
        <v>71</v>
      </c>
      <c r="S1376" s="265">
        <v>21</v>
      </c>
      <c r="T1376" s="265">
        <v>18</v>
      </c>
      <c r="U1376" s="265">
        <v>32</v>
      </c>
      <c r="V1376" s="259" t="s">
        <v>4159</v>
      </c>
      <c r="W1376" s="259" t="s">
        <v>3061</v>
      </c>
      <c r="Y1376" s="259">
        <v>463</v>
      </c>
      <c r="Z1376" s="259" t="s">
        <v>3030</v>
      </c>
      <c r="AA1376" s="259" t="e">
        <v>#N/A</v>
      </c>
      <c r="AB1376" s="259"/>
      <c r="AC1376" s="259"/>
      <c r="AD1376" s="259"/>
      <c r="AE1376" s="259"/>
    </row>
    <row r="1377" spans="1:31">
      <c r="A1377" s="259" t="s">
        <v>1472</v>
      </c>
      <c r="B1377" s="259" t="s">
        <v>80</v>
      </c>
      <c r="C1377" s="264" t="s">
        <v>108</v>
      </c>
      <c r="D1377" s="264" t="s">
        <v>1472</v>
      </c>
      <c r="E1377" s="259" t="s">
        <v>6393</v>
      </c>
      <c r="H1377" s="264" t="s">
        <v>6550</v>
      </c>
      <c r="I1377" s="264" t="s">
        <v>6569</v>
      </c>
      <c r="J1377" s="295">
        <v>2460</v>
      </c>
      <c r="K1377" s="295">
        <v>2460</v>
      </c>
      <c r="L1377" s="295">
        <v>1230</v>
      </c>
      <c r="O1377" s="266">
        <v>0</v>
      </c>
      <c r="P1377" s="266">
        <v>691991011108</v>
      </c>
      <c r="R1377" s="265">
        <v>62.75</v>
      </c>
      <c r="S1377" s="265">
        <v>21</v>
      </c>
      <c r="T1377" s="265">
        <v>18</v>
      </c>
      <c r="U1377" s="265">
        <v>33</v>
      </c>
      <c r="V1377" s="259" t="s">
        <v>4159</v>
      </c>
      <c r="W1377" s="259" t="s">
        <v>3061</v>
      </c>
      <c r="Y1377" s="259">
        <v>464</v>
      </c>
      <c r="Z1377" s="259" t="s">
        <v>3030</v>
      </c>
      <c r="AA1377" s="259" t="e">
        <v>#N/A</v>
      </c>
      <c r="AB1377" s="259"/>
      <c r="AC1377" s="259"/>
      <c r="AD1377" s="259"/>
      <c r="AE1377" s="259"/>
    </row>
    <row r="1378" spans="1:31">
      <c r="A1378" s="259" t="s">
        <v>1473</v>
      </c>
      <c r="B1378" s="259" t="s">
        <v>80</v>
      </c>
      <c r="C1378" s="264" t="s">
        <v>6427</v>
      </c>
      <c r="D1378" s="264" t="s">
        <v>1473</v>
      </c>
      <c r="E1378" s="259" t="s">
        <v>6429</v>
      </c>
      <c r="F1378" s="259" t="s">
        <v>5021</v>
      </c>
      <c r="H1378" s="264" t="s">
        <v>6550</v>
      </c>
      <c r="I1378" s="264" t="s">
        <v>6569</v>
      </c>
      <c r="J1378" s="295" t="s">
        <v>6428</v>
      </c>
      <c r="K1378" s="295">
        <v>0</v>
      </c>
      <c r="L1378" s="295">
        <v>0</v>
      </c>
      <c r="O1378" s="266">
        <v>0</v>
      </c>
      <c r="P1378" s="266">
        <v>691991029417</v>
      </c>
      <c r="R1378" s="265">
        <v>61.5</v>
      </c>
      <c r="S1378" s="265">
        <v>17.5</v>
      </c>
      <c r="T1378" s="265">
        <v>21</v>
      </c>
      <c r="U1378" s="265">
        <v>33</v>
      </c>
      <c r="V1378" s="259" t="s">
        <v>4159</v>
      </c>
      <c r="W1378" s="259" t="s">
        <v>3061</v>
      </c>
      <c r="Y1378" s="259">
        <v>465</v>
      </c>
      <c r="Z1378" s="259" t="s">
        <v>3037</v>
      </c>
      <c r="AA1378" s="259" t="e">
        <v>#N/A</v>
      </c>
      <c r="AB1378" s="259"/>
      <c r="AC1378" s="259"/>
      <c r="AD1378" s="259"/>
      <c r="AE1378" s="259"/>
    </row>
    <row r="1379" spans="1:31">
      <c r="A1379" s="259" t="s">
        <v>1474</v>
      </c>
      <c r="B1379" s="259" t="s">
        <v>80</v>
      </c>
      <c r="C1379" s="264" t="s">
        <v>108</v>
      </c>
      <c r="D1379" s="264" t="s">
        <v>1474</v>
      </c>
      <c r="E1379" s="259" t="s">
        <v>6393</v>
      </c>
      <c r="H1379" s="264" t="s">
        <v>6548</v>
      </c>
      <c r="I1379" s="264" t="s">
        <v>6570</v>
      </c>
      <c r="J1379" s="295">
        <v>2460</v>
      </c>
      <c r="K1379" s="295">
        <v>2460</v>
      </c>
      <c r="L1379" s="295">
        <v>1230</v>
      </c>
      <c r="O1379" s="266">
        <v>0</v>
      </c>
      <c r="P1379" s="266">
        <v>691991011122</v>
      </c>
      <c r="R1379" s="265">
        <v>63</v>
      </c>
      <c r="S1379" s="265">
        <v>21</v>
      </c>
      <c r="T1379" s="265">
        <v>18</v>
      </c>
      <c r="U1379" s="265">
        <v>32</v>
      </c>
      <c r="V1379" s="259" t="s">
        <v>4159</v>
      </c>
      <c r="W1379" s="259" t="s">
        <v>3061</v>
      </c>
      <c r="Y1379" s="259">
        <v>466</v>
      </c>
      <c r="Z1379" s="259" t="s">
        <v>3030</v>
      </c>
      <c r="AA1379" s="259" t="e">
        <v>#N/A</v>
      </c>
      <c r="AB1379" s="259"/>
      <c r="AC1379" s="259"/>
      <c r="AD1379" s="259"/>
      <c r="AE1379" s="259"/>
    </row>
    <row r="1380" spans="1:31">
      <c r="A1380" s="259" t="s">
        <v>1475</v>
      </c>
      <c r="B1380" s="259" t="s">
        <v>80</v>
      </c>
      <c r="C1380" s="264" t="s">
        <v>108</v>
      </c>
      <c r="D1380" s="264" t="s">
        <v>1475</v>
      </c>
      <c r="E1380" s="259" t="s">
        <v>6393</v>
      </c>
      <c r="H1380" s="264" t="s">
        <v>6550</v>
      </c>
      <c r="I1380" s="264" t="s">
        <v>6571</v>
      </c>
      <c r="J1380" s="295">
        <v>2460</v>
      </c>
      <c r="K1380" s="295">
        <v>2460</v>
      </c>
      <c r="L1380" s="295">
        <v>1230</v>
      </c>
      <c r="O1380" s="266">
        <v>0</v>
      </c>
      <c r="P1380" s="266">
        <v>691991011139</v>
      </c>
      <c r="R1380" s="265">
        <v>62.75</v>
      </c>
      <c r="S1380" s="265">
        <v>17.5</v>
      </c>
      <c r="T1380" s="265">
        <v>21</v>
      </c>
      <c r="U1380" s="265">
        <v>32</v>
      </c>
      <c r="V1380" s="259" t="s">
        <v>4159</v>
      </c>
      <c r="W1380" s="259" t="s">
        <v>3061</v>
      </c>
      <c r="Y1380" s="259">
        <v>467</v>
      </c>
      <c r="Z1380" s="259" t="s">
        <v>3030</v>
      </c>
      <c r="AA1380" s="259" t="e">
        <v>#N/A</v>
      </c>
      <c r="AB1380" s="259"/>
      <c r="AC1380" s="259"/>
      <c r="AD1380" s="259"/>
      <c r="AE1380" s="259"/>
    </row>
    <row r="1381" spans="1:31">
      <c r="A1381" s="259" t="s">
        <v>1476</v>
      </c>
      <c r="B1381" s="259" t="s">
        <v>80</v>
      </c>
      <c r="C1381" s="264" t="s">
        <v>6438</v>
      </c>
      <c r="D1381" s="264" t="s">
        <v>1476</v>
      </c>
      <c r="E1381" s="259" t="s">
        <v>6429</v>
      </c>
      <c r="F1381" s="259" t="s">
        <v>5021</v>
      </c>
      <c r="H1381" s="264" t="s">
        <v>6557</v>
      </c>
      <c r="I1381" s="264" t="s">
        <v>6572</v>
      </c>
      <c r="J1381" s="295" t="s">
        <v>6428</v>
      </c>
      <c r="K1381" s="295">
        <v>0</v>
      </c>
      <c r="L1381" s="295">
        <v>0</v>
      </c>
      <c r="O1381" s="266">
        <v>0</v>
      </c>
      <c r="P1381" s="266">
        <v>691991011153</v>
      </c>
      <c r="R1381" s="265">
        <v>81</v>
      </c>
      <c r="S1381" s="265">
        <v>24.5</v>
      </c>
      <c r="T1381" s="265">
        <v>23.25</v>
      </c>
      <c r="U1381" s="265">
        <v>34.5</v>
      </c>
      <c r="V1381" s="259" t="s">
        <v>4159</v>
      </c>
      <c r="W1381" s="259" t="s">
        <v>3061</v>
      </c>
      <c r="Y1381" s="259">
        <v>468</v>
      </c>
      <c r="Z1381" s="259" t="s">
        <v>3037</v>
      </c>
      <c r="AA1381" s="259" t="e">
        <v>#N/A</v>
      </c>
      <c r="AB1381" s="259"/>
      <c r="AC1381" s="259"/>
      <c r="AD1381" s="259"/>
      <c r="AE1381" s="259"/>
    </row>
    <row r="1382" spans="1:31">
      <c r="A1382" s="259" t="s">
        <v>1477</v>
      </c>
      <c r="B1382" s="259" t="s">
        <v>80</v>
      </c>
      <c r="C1382" s="264" t="s">
        <v>108</v>
      </c>
      <c r="D1382" s="264" t="s">
        <v>1477</v>
      </c>
      <c r="E1382" s="259" t="s">
        <v>6393</v>
      </c>
      <c r="H1382" s="264" t="s">
        <v>6548</v>
      </c>
      <c r="I1382" s="264" t="s">
        <v>6573</v>
      </c>
      <c r="J1382" s="295">
        <v>2460</v>
      </c>
      <c r="K1382" s="295">
        <v>2460</v>
      </c>
      <c r="L1382" s="295">
        <v>1230</v>
      </c>
      <c r="O1382" s="266">
        <v>0</v>
      </c>
      <c r="P1382" s="266">
        <v>691991011160</v>
      </c>
      <c r="R1382" s="265">
        <v>61.4</v>
      </c>
      <c r="S1382" s="265">
        <v>18</v>
      </c>
      <c r="T1382" s="265">
        <v>22</v>
      </c>
      <c r="U1382" s="265">
        <v>32.5</v>
      </c>
      <c r="V1382" s="259" t="s">
        <v>4159</v>
      </c>
      <c r="W1382" s="259" t="s">
        <v>3061</v>
      </c>
      <c r="Y1382" s="259">
        <v>469</v>
      </c>
      <c r="Z1382" s="259" t="s">
        <v>3030</v>
      </c>
      <c r="AA1382" s="259" t="e">
        <v>#N/A</v>
      </c>
      <c r="AB1382" s="259"/>
      <c r="AC1382" s="259"/>
      <c r="AD1382" s="259"/>
      <c r="AE1382" s="259"/>
    </row>
    <row r="1383" spans="1:31">
      <c r="A1383" s="259" t="s">
        <v>1478</v>
      </c>
      <c r="B1383" s="259" t="s">
        <v>80</v>
      </c>
      <c r="C1383" s="264" t="s">
        <v>108</v>
      </c>
      <c r="D1383" s="264" t="s">
        <v>1478</v>
      </c>
      <c r="E1383" s="259" t="s">
        <v>6393</v>
      </c>
      <c r="H1383" s="264" t="s">
        <v>6550</v>
      </c>
      <c r="I1383" s="264" t="s">
        <v>6574</v>
      </c>
      <c r="J1383" s="295">
        <v>2460</v>
      </c>
      <c r="K1383" s="295">
        <v>2460</v>
      </c>
      <c r="L1383" s="295">
        <v>1230</v>
      </c>
      <c r="O1383" s="266">
        <v>0</v>
      </c>
      <c r="P1383" s="266">
        <v>691991011177</v>
      </c>
      <c r="R1383" s="265">
        <v>62</v>
      </c>
      <c r="S1383" s="265">
        <v>21</v>
      </c>
      <c r="T1383" s="265">
        <v>18</v>
      </c>
      <c r="U1383" s="265">
        <v>33</v>
      </c>
      <c r="V1383" s="259" t="s">
        <v>4159</v>
      </c>
      <c r="W1383" s="259" t="s">
        <v>3061</v>
      </c>
      <c r="Y1383" s="259">
        <v>470</v>
      </c>
      <c r="Z1383" s="259" t="s">
        <v>3030</v>
      </c>
      <c r="AA1383" s="259" t="e">
        <v>#N/A</v>
      </c>
      <c r="AB1383" s="259"/>
      <c r="AC1383" s="259"/>
      <c r="AD1383" s="259"/>
      <c r="AE1383" s="259"/>
    </row>
    <row r="1384" spans="1:31">
      <c r="A1384" s="259" t="s">
        <v>1479</v>
      </c>
      <c r="B1384" s="259" t="s">
        <v>80</v>
      </c>
      <c r="C1384" s="264" t="s">
        <v>6438</v>
      </c>
      <c r="D1384" s="264" t="s">
        <v>1479</v>
      </c>
      <c r="F1384" s="259" t="s">
        <v>5021</v>
      </c>
      <c r="H1384" s="264" t="s">
        <v>6552</v>
      </c>
      <c r="I1384" s="264" t="s">
        <v>6575</v>
      </c>
      <c r="J1384" s="295" t="s">
        <v>6428</v>
      </c>
      <c r="K1384" s="295">
        <v>0</v>
      </c>
      <c r="L1384" s="295">
        <v>0</v>
      </c>
      <c r="O1384" s="266">
        <v>0</v>
      </c>
      <c r="P1384" s="266">
        <v>691991011184</v>
      </c>
      <c r="R1384" s="265">
        <v>0</v>
      </c>
      <c r="S1384" s="265">
        <v>0</v>
      </c>
      <c r="T1384" s="265">
        <v>0</v>
      </c>
      <c r="U1384" s="265">
        <v>0</v>
      </c>
      <c r="V1384" s="259" t="s">
        <v>4159</v>
      </c>
      <c r="W1384" s="259" t="s">
        <v>3061</v>
      </c>
      <c r="Y1384" s="259">
        <v>471</v>
      </c>
      <c r="Z1384" s="259" t="s">
        <v>3037</v>
      </c>
      <c r="AA1384" s="259" t="e">
        <v>#N/A</v>
      </c>
      <c r="AB1384" s="259"/>
      <c r="AC1384" s="259"/>
      <c r="AD1384" s="259"/>
      <c r="AE1384" s="259"/>
    </row>
    <row r="1385" spans="1:31">
      <c r="A1385" s="259" t="s">
        <v>1480</v>
      </c>
      <c r="B1385" s="259" t="s">
        <v>80</v>
      </c>
      <c r="C1385" s="264" t="s">
        <v>6438</v>
      </c>
      <c r="D1385" s="264" t="s">
        <v>1480</v>
      </c>
      <c r="F1385" s="259" t="s">
        <v>5021</v>
      </c>
      <c r="H1385" s="264" t="s">
        <v>6557</v>
      </c>
      <c r="I1385" s="264" t="s">
        <v>6576</v>
      </c>
      <c r="J1385" s="295" t="s">
        <v>6428</v>
      </c>
      <c r="K1385" s="295">
        <v>0</v>
      </c>
      <c r="L1385" s="295">
        <v>0</v>
      </c>
      <c r="O1385" s="266">
        <v>0</v>
      </c>
      <c r="P1385" s="266">
        <v>691991011191</v>
      </c>
      <c r="R1385" s="265">
        <v>0</v>
      </c>
      <c r="S1385" s="265">
        <v>0</v>
      </c>
      <c r="T1385" s="265">
        <v>0</v>
      </c>
      <c r="U1385" s="265">
        <v>0</v>
      </c>
      <c r="V1385" s="259" t="s">
        <v>4159</v>
      </c>
      <c r="W1385" s="259" t="s">
        <v>3061</v>
      </c>
      <c r="Y1385" s="259">
        <v>472</v>
      </c>
      <c r="Z1385" s="259" t="s">
        <v>3037</v>
      </c>
      <c r="AA1385" s="259" t="e">
        <v>#N/A</v>
      </c>
      <c r="AB1385" s="259"/>
      <c r="AC1385" s="259"/>
      <c r="AD1385" s="259"/>
      <c r="AE1385" s="259"/>
    </row>
    <row r="1386" spans="1:31">
      <c r="A1386" s="259" t="s">
        <v>1481</v>
      </c>
      <c r="B1386" s="259" t="s">
        <v>80</v>
      </c>
      <c r="C1386" s="264" t="s">
        <v>108</v>
      </c>
      <c r="D1386" s="264" t="s">
        <v>1481</v>
      </c>
      <c r="E1386" s="259" t="s">
        <v>6393</v>
      </c>
      <c r="H1386" s="264" t="s">
        <v>6548</v>
      </c>
      <c r="I1386" s="264" t="s">
        <v>6577</v>
      </c>
      <c r="J1386" s="295">
        <v>2460</v>
      </c>
      <c r="K1386" s="295">
        <v>2460</v>
      </c>
      <c r="L1386" s="295">
        <v>1230</v>
      </c>
      <c r="O1386" s="266">
        <v>0</v>
      </c>
      <c r="P1386" s="266">
        <v>691991011207</v>
      </c>
      <c r="R1386" s="265">
        <v>63</v>
      </c>
      <c r="S1386" s="265">
        <v>21</v>
      </c>
      <c r="T1386" s="265">
        <v>18</v>
      </c>
      <c r="U1386" s="265">
        <v>32</v>
      </c>
      <c r="V1386" s="259" t="s">
        <v>4159</v>
      </c>
      <c r="W1386" s="259" t="s">
        <v>3061</v>
      </c>
      <c r="Y1386" s="259">
        <v>473</v>
      </c>
      <c r="Z1386" s="259" t="s">
        <v>3030</v>
      </c>
      <c r="AA1386" s="259" t="e">
        <v>#N/A</v>
      </c>
      <c r="AB1386" s="259"/>
      <c r="AC1386" s="259"/>
      <c r="AD1386" s="259"/>
      <c r="AE1386" s="259"/>
    </row>
    <row r="1387" spans="1:31">
      <c r="A1387" s="259" t="s">
        <v>1482</v>
      </c>
      <c r="B1387" s="259" t="s">
        <v>80</v>
      </c>
      <c r="C1387" s="264" t="s">
        <v>108</v>
      </c>
      <c r="D1387" s="264" t="s">
        <v>1482</v>
      </c>
      <c r="E1387" s="259" t="s">
        <v>6393</v>
      </c>
      <c r="H1387" s="264" t="s">
        <v>6550</v>
      </c>
      <c r="I1387" s="264" t="s">
        <v>6578</v>
      </c>
      <c r="J1387" s="295">
        <v>2460</v>
      </c>
      <c r="K1387" s="295">
        <v>2460</v>
      </c>
      <c r="L1387" s="295">
        <v>1230</v>
      </c>
      <c r="O1387" s="266">
        <v>0</v>
      </c>
      <c r="P1387" s="266">
        <v>691991000287</v>
      </c>
      <c r="R1387" s="265">
        <v>84.5</v>
      </c>
      <c r="S1387" s="265">
        <v>23</v>
      </c>
      <c r="T1387" s="265">
        <v>24</v>
      </c>
      <c r="U1387" s="265">
        <v>36</v>
      </c>
      <c r="V1387" s="259" t="s">
        <v>4159</v>
      </c>
      <c r="W1387" s="259" t="s">
        <v>3061</v>
      </c>
      <c r="Y1387" s="259">
        <v>474</v>
      </c>
      <c r="Z1387" s="259" t="s">
        <v>3030</v>
      </c>
      <c r="AA1387" s="259" t="e">
        <v>#N/A</v>
      </c>
      <c r="AB1387" s="259"/>
      <c r="AC1387" s="259"/>
      <c r="AD1387" s="259"/>
      <c r="AE1387" s="259"/>
    </row>
    <row r="1388" spans="1:31">
      <c r="A1388" s="259" t="s">
        <v>1483</v>
      </c>
      <c r="B1388" s="259" t="s">
        <v>80</v>
      </c>
      <c r="C1388" s="264" t="s">
        <v>6438</v>
      </c>
      <c r="D1388" s="264" t="s">
        <v>1483</v>
      </c>
      <c r="F1388" s="259" t="s">
        <v>5021</v>
      </c>
      <c r="H1388" s="264" t="s">
        <v>6552</v>
      </c>
      <c r="I1388" s="264" t="s">
        <v>6579</v>
      </c>
      <c r="J1388" s="295" t="s">
        <v>6428</v>
      </c>
      <c r="K1388" s="295">
        <v>0</v>
      </c>
      <c r="L1388" s="295">
        <v>0</v>
      </c>
      <c r="O1388" s="266">
        <v>0</v>
      </c>
      <c r="P1388" s="266">
        <v>691991011214</v>
      </c>
      <c r="R1388" s="265">
        <v>0</v>
      </c>
      <c r="S1388" s="265">
        <v>0</v>
      </c>
      <c r="T1388" s="265">
        <v>0</v>
      </c>
      <c r="U1388" s="265">
        <v>0</v>
      </c>
      <c r="V1388" s="259" t="s">
        <v>4159</v>
      </c>
      <c r="W1388" s="259" t="s">
        <v>3061</v>
      </c>
      <c r="Y1388" s="259">
        <v>475</v>
      </c>
      <c r="Z1388" s="259" t="s">
        <v>3037</v>
      </c>
      <c r="AA1388" s="259" t="e">
        <v>#N/A</v>
      </c>
      <c r="AB1388" s="259"/>
      <c r="AC1388" s="259"/>
      <c r="AD1388" s="259"/>
      <c r="AE1388" s="259"/>
    </row>
    <row r="1389" spans="1:31">
      <c r="A1389" s="259" t="s">
        <v>1484</v>
      </c>
      <c r="B1389" s="259" t="s">
        <v>80</v>
      </c>
      <c r="C1389" s="264" t="s">
        <v>6438</v>
      </c>
      <c r="D1389" s="264"/>
      <c r="E1389" s="259" t="s">
        <v>6429</v>
      </c>
      <c r="F1389" s="259" t="s">
        <v>5021</v>
      </c>
      <c r="H1389" s="264"/>
      <c r="I1389" s="264"/>
      <c r="J1389" s="295" t="s">
        <v>6428</v>
      </c>
      <c r="K1389" s="295">
        <v>0</v>
      </c>
      <c r="L1389" s="295">
        <v>0</v>
      </c>
      <c r="O1389" s="266"/>
      <c r="P1389" s="266">
        <v>691991034114</v>
      </c>
      <c r="R1389" s="265">
        <v>0</v>
      </c>
      <c r="S1389" s="265">
        <v>0</v>
      </c>
      <c r="T1389" s="265">
        <v>0</v>
      </c>
      <c r="U1389" s="265">
        <v>0</v>
      </c>
      <c r="V1389" s="259" t="s">
        <v>4159</v>
      </c>
      <c r="Y1389" s="259">
        <v>476</v>
      </c>
      <c r="Z1389" s="259" t="s">
        <v>3037</v>
      </c>
      <c r="AA1389" s="259" t="e">
        <v>#N/A</v>
      </c>
      <c r="AB1389" s="259"/>
      <c r="AC1389" s="259"/>
      <c r="AD1389" s="259"/>
      <c r="AE1389" s="259"/>
    </row>
    <row r="1390" spans="1:31">
      <c r="A1390" s="259" t="s">
        <v>1485</v>
      </c>
      <c r="B1390" s="259" t="s">
        <v>80</v>
      </c>
      <c r="C1390" s="264" t="s">
        <v>108</v>
      </c>
      <c r="D1390" s="264" t="s">
        <v>1485</v>
      </c>
      <c r="E1390" s="259" t="s">
        <v>6393</v>
      </c>
      <c r="H1390" s="264" t="s">
        <v>6580</v>
      </c>
      <c r="I1390" s="264" t="s">
        <v>6581</v>
      </c>
      <c r="J1390" s="295">
        <v>1990</v>
      </c>
      <c r="K1390" s="295">
        <v>1990</v>
      </c>
      <c r="L1390" s="295">
        <v>995</v>
      </c>
      <c r="O1390" s="266">
        <v>0</v>
      </c>
      <c r="P1390" s="266">
        <v>691991011665</v>
      </c>
      <c r="R1390" s="265">
        <v>44</v>
      </c>
      <c r="S1390" s="265">
        <v>23.75</v>
      </c>
      <c r="T1390" s="265">
        <v>19.25</v>
      </c>
      <c r="U1390" s="265">
        <v>18.5</v>
      </c>
      <c r="V1390" s="259" t="s">
        <v>4159</v>
      </c>
      <c r="W1390" s="259" t="s">
        <v>3061</v>
      </c>
      <c r="Y1390" s="259">
        <v>477</v>
      </c>
      <c r="Z1390" s="259" t="s">
        <v>3030</v>
      </c>
      <c r="AA1390" s="259" t="e">
        <v>#N/A</v>
      </c>
      <c r="AB1390" s="259"/>
      <c r="AC1390" s="259"/>
      <c r="AD1390" s="259"/>
      <c r="AE1390" s="259"/>
    </row>
    <row r="1391" spans="1:31">
      <c r="A1391" s="259" t="s">
        <v>1486</v>
      </c>
      <c r="B1391" s="259" t="s">
        <v>80</v>
      </c>
      <c r="C1391" s="264" t="s">
        <v>6438</v>
      </c>
      <c r="D1391" s="264" t="s">
        <v>1486</v>
      </c>
      <c r="E1391" s="259" t="s">
        <v>6429</v>
      </c>
      <c r="F1391" s="259" t="s">
        <v>5021</v>
      </c>
      <c r="H1391" s="264" t="s">
        <v>6582</v>
      </c>
      <c r="I1391" s="264" t="s">
        <v>6583</v>
      </c>
      <c r="J1391" s="295" t="s">
        <v>6428</v>
      </c>
      <c r="K1391" s="295">
        <v>0</v>
      </c>
      <c r="L1391" s="295">
        <v>0</v>
      </c>
      <c r="O1391" s="266">
        <v>0</v>
      </c>
      <c r="P1391" s="266">
        <v>691991029806</v>
      </c>
      <c r="R1391" s="265">
        <v>0</v>
      </c>
      <c r="S1391" s="265">
        <v>0</v>
      </c>
      <c r="T1391" s="265">
        <v>0</v>
      </c>
      <c r="U1391" s="265">
        <v>0</v>
      </c>
      <c r="V1391" s="259" t="s">
        <v>4159</v>
      </c>
      <c r="W1391" s="259" t="s">
        <v>3061</v>
      </c>
      <c r="Y1391" s="259">
        <v>478</v>
      </c>
      <c r="Z1391" s="259" t="s">
        <v>3037</v>
      </c>
      <c r="AA1391" s="259" t="e">
        <v>#N/A</v>
      </c>
      <c r="AB1391" s="259"/>
      <c r="AC1391" s="259"/>
      <c r="AD1391" s="259"/>
      <c r="AE1391" s="259"/>
    </row>
    <row r="1392" spans="1:31">
      <c r="A1392" s="259" t="s">
        <v>1487</v>
      </c>
      <c r="B1392" s="259" t="s">
        <v>80</v>
      </c>
      <c r="C1392" s="264" t="s">
        <v>6438</v>
      </c>
      <c r="D1392" s="264" t="s">
        <v>1487</v>
      </c>
      <c r="E1392" s="259" t="s">
        <v>6429</v>
      </c>
      <c r="F1392" s="259" t="s">
        <v>5021</v>
      </c>
      <c r="H1392" s="264" t="s">
        <v>6584</v>
      </c>
      <c r="I1392" s="264" t="s">
        <v>6585</v>
      </c>
      <c r="J1392" s="295" t="s">
        <v>6428</v>
      </c>
      <c r="K1392" s="295">
        <v>0</v>
      </c>
      <c r="L1392" s="295">
        <v>0</v>
      </c>
      <c r="O1392" s="266">
        <v>0</v>
      </c>
      <c r="R1392" s="265">
        <v>47</v>
      </c>
      <c r="S1392" s="265">
        <v>24</v>
      </c>
      <c r="T1392" s="265">
        <v>19</v>
      </c>
      <c r="U1392" s="265">
        <v>17</v>
      </c>
      <c r="V1392" s="259" t="s">
        <v>4159</v>
      </c>
      <c r="W1392" s="259" t="s">
        <v>3061</v>
      </c>
      <c r="Y1392" s="259">
        <v>479</v>
      </c>
      <c r="Z1392" s="259" t="s">
        <v>3037</v>
      </c>
      <c r="AA1392" s="259" t="e">
        <v>#N/A</v>
      </c>
      <c r="AB1392" s="259"/>
      <c r="AC1392" s="259"/>
      <c r="AD1392" s="259"/>
      <c r="AE1392" s="259"/>
    </row>
    <row r="1393" spans="1:31">
      <c r="A1393" s="259" t="s">
        <v>1488</v>
      </c>
      <c r="B1393" s="259" t="s">
        <v>80</v>
      </c>
      <c r="C1393" s="264" t="s">
        <v>108</v>
      </c>
      <c r="D1393" s="264" t="s">
        <v>1488</v>
      </c>
      <c r="E1393" s="259" t="s">
        <v>6393</v>
      </c>
      <c r="H1393" s="264" t="s">
        <v>6586</v>
      </c>
      <c r="I1393" s="264" t="s">
        <v>6587</v>
      </c>
      <c r="J1393" s="295">
        <v>1990</v>
      </c>
      <c r="K1393" s="295">
        <v>1990</v>
      </c>
      <c r="L1393" s="295">
        <v>995</v>
      </c>
      <c r="O1393" s="266">
        <v>0</v>
      </c>
      <c r="P1393" s="266">
        <v>691991011672</v>
      </c>
      <c r="R1393" s="265">
        <v>46.35</v>
      </c>
      <c r="S1393" s="265">
        <v>24</v>
      </c>
      <c r="T1393" s="265">
        <v>19</v>
      </c>
      <c r="U1393" s="265">
        <v>18</v>
      </c>
      <c r="V1393" s="259" t="s">
        <v>4159</v>
      </c>
      <c r="W1393" s="259" t="s">
        <v>3061</v>
      </c>
      <c r="Y1393" s="259">
        <v>480</v>
      </c>
      <c r="Z1393" s="259" t="s">
        <v>3030</v>
      </c>
      <c r="AA1393" s="259" t="e">
        <v>#N/A</v>
      </c>
      <c r="AB1393" s="259"/>
      <c r="AC1393" s="259"/>
      <c r="AD1393" s="259"/>
      <c r="AE1393" s="259"/>
    </row>
    <row r="1394" spans="1:31">
      <c r="A1394" s="259" t="s">
        <v>1489</v>
      </c>
      <c r="B1394" s="259" t="s">
        <v>80</v>
      </c>
      <c r="C1394" s="264" t="s">
        <v>108</v>
      </c>
      <c r="D1394" s="264" t="s">
        <v>1489</v>
      </c>
      <c r="E1394" s="259" t="s">
        <v>6393</v>
      </c>
      <c r="H1394" s="264" t="s">
        <v>6588</v>
      </c>
      <c r="I1394" s="264" t="s">
        <v>6589</v>
      </c>
      <c r="J1394" s="295">
        <v>2250</v>
      </c>
      <c r="K1394" s="295">
        <v>2250</v>
      </c>
      <c r="L1394" s="295">
        <v>1125</v>
      </c>
      <c r="O1394" s="266">
        <v>0</v>
      </c>
      <c r="P1394" s="266">
        <v>691991011689</v>
      </c>
      <c r="R1394" s="265">
        <v>56</v>
      </c>
      <c r="S1394" s="265">
        <v>28.25</v>
      </c>
      <c r="T1394" s="265">
        <v>21</v>
      </c>
      <c r="U1394" s="265">
        <v>21</v>
      </c>
      <c r="V1394" s="259" t="s">
        <v>4159</v>
      </c>
      <c r="W1394" s="259" t="s">
        <v>3061</v>
      </c>
      <c r="Y1394" s="259">
        <v>481</v>
      </c>
      <c r="Z1394" s="259" t="s">
        <v>3030</v>
      </c>
      <c r="AA1394" s="259" t="e">
        <v>#N/A</v>
      </c>
      <c r="AB1394" s="259"/>
      <c r="AC1394" s="259"/>
      <c r="AD1394" s="259"/>
      <c r="AE1394" s="259"/>
    </row>
    <row r="1395" spans="1:31">
      <c r="A1395" s="259" t="s">
        <v>1490</v>
      </c>
      <c r="B1395" s="259" t="s">
        <v>80</v>
      </c>
      <c r="C1395" s="264" t="s">
        <v>108</v>
      </c>
      <c r="D1395" s="264" t="s">
        <v>1490</v>
      </c>
      <c r="E1395" s="259" t="s">
        <v>6393</v>
      </c>
      <c r="H1395" s="264" t="s">
        <v>6590</v>
      </c>
      <c r="I1395" s="264" t="s">
        <v>6591</v>
      </c>
      <c r="J1395" s="295">
        <v>2250</v>
      </c>
      <c r="K1395" s="295">
        <v>2250</v>
      </c>
      <c r="L1395" s="295">
        <v>1125</v>
      </c>
      <c r="O1395" s="266">
        <v>0</v>
      </c>
      <c r="P1395" s="266">
        <v>691991004032</v>
      </c>
      <c r="R1395" s="265">
        <v>69</v>
      </c>
      <c r="S1395" s="265">
        <v>28.5</v>
      </c>
      <c r="T1395" s="265">
        <v>21.5</v>
      </c>
      <c r="U1395" s="265">
        <v>21</v>
      </c>
      <c r="V1395" s="259" t="s">
        <v>4159</v>
      </c>
      <c r="W1395" s="259" t="s">
        <v>3061</v>
      </c>
      <c r="Y1395" s="259">
        <v>482</v>
      </c>
      <c r="Z1395" s="259" t="s">
        <v>3030</v>
      </c>
      <c r="AA1395" s="259" t="e">
        <v>#N/A</v>
      </c>
      <c r="AB1395" s="259"/>
      <c r="AC1395" s="259"/>
      <c r="AD1395" s="259"/>
      <c r="AE1395" s="259"/>
    </row>
    <row r="1396" spans="1:31">
      <c r="A1396" s="259" t="s">
        <v>1491</v>
      </c>
      <c r="B1396" s="259" t="s">
        <v>80</v>
      </c>
      <c r="C1396" s="264" t="s">
        <v>6438</v>
      </c>
      <c r="D1396" s="264" t="s">
        <v>1491</v>
      </c>
      <c r="E1396" s="259" t="s">
        <v>6429</v>
      </c>
      <c r="F1396" s="259" t="s">
        <v>5021</v>
      </c>
      <c r="H1396" s="264" t="s">
        <v>6592</v>
      </c>
      <c r="I1396" s="264" t="s">
        <v>6593</v>
      </c>
      <c r="J1396" s="295" t="s">
        <v>6428</v>
      </c>
      <c r="K1396" s="295">
        <v>0</v>
      </c>
      <c r="L1396" s="295">
        <v>0</v>
      </c>
      <c r="O1396" s="266">
        <v>0</v>
      </c>
      <c r="P1396" s="266">
        <v>691991011696</v>
      </c>
      <c r="R1396" s="265">
        <v>30</v>
      </c>
      <c r="S1396" s="265">
        <v>24</v>
      </c>
      <c r="T1396" s="265">
        <v>16</v>
      </c>
      <c r="U1396" s="265">
        <v>24</v>
      </c>
      <c r="V1396" s="259" t="s">
        <v>4159</v>
      </c>
      <c r="W1396" s="259" t="s">
        <v>3061</v>
      </c>
      <c r="Y1396" s="259">
        <v>483</v>
      </c>
      <c r="Z1396" s="259" t="s">
        <v>3037</v>
      </c>
      <c r="AA1396" s="259" t="e">
        <v>#N/A</v>
      </c>
      <c r="AB1396" s="259"/>
      <c r="AC1396" s="259"/>
      <c r="AD1396" s="259"/>
      <c r="AE1396" s="259"/>
    </row>
    <row r="1397" spans="1:31">
      <c r="A1397" s="259" t="s">
        <v>1492</v>
      </c>
      <c r="B1397" s="259" t="s">
        <v>80</v>
      </c>
      <c r="C1397" s="264" t="s">
        <v>6438</v>
      </c>
      <c r="D1397" s="264" t="s">
        <v>1492</v>
      </c>
      <c r="E1397" s="259" t="s">
        <v>6429</v>
      </c>
      <c r="F1397" s="259" t="s">
        <v>5021</v>
      </c>
      <c r="H1397" s="264" t="s">
        <v>6594</v>
      </c>
      <c r="I1397" s="264" t="s">
        <v>6595</v>
      </c>
      <c r="J1397" s="295" t="s">
        <v>6428</v>
      </c>
      <c r="K1397" s="295">
        <v>0</v>
      </c>
      <c r="L1397" s="295">
        <v>0</v>
      </c>
      <c r="O1397" s="266">
        <v>0</v>
      </c>
      <c r="R1397" s="265">
        <v>50</v>
      </c>
      <c r="S1397" s="265">
        <v>28</v>
      </c>
      <c r="T1397" s="265">
        <v>21</v>
      </c>
      <c r="U1397" s="265">
        <v>21</v>
      </c>
      <c r="V1397" s="259" t="s">
        <v>4159</v>
      </c>
      <c r="W1397" s="259" t="s">
        <v>3061</v>
      </c>
      <c r="Y1397" s="259">
        <v>484</v>
      </c>
      <c r="Z1397" s="259" t="s">
        <v>3037</v>
      </c>
      <c r="AA1397" s="259" t="e">
        <v>#N/A</v>
      </c>
      <c r="AB1397" s="259"/>
      <c r="AC1397" s="259"/>
      <c r="AD1397" s="259"/>
      <c r="AE1397" s="259"/>
    </row>
    <row r="1398" spans="1:31">
      <c r="A1398" s="259" t="s">
        <v>1493</v>
      </c>
      <c r="B1398" s="259" t="s">
        <v>80</v>
      </c>
      <c r="C1398" s="264" t="s">
        <v>108</v>
      </c>
      <c r="D1398" s="264" t="s">
        <v>1493</v>
      </c>
      <c r="E1398" s="259" t="s">
        <v>6393</v>
      </c>
      <c r="H1398" s="264" t="s">
        <v>6596</v>
      </c>
      <c r="I1398" s="264" t="s">
        <v>6597</v>
      </c>
      <c r="J1398" s="295">
        <v>2890</v>
      </c>
      <c r="K1398" s="295">
        <v>2890</v>
      </c>
      <c r="L1398" s="295">
        <v>1445</v>
      </c>
      <c r="O1398" s="266">
        <v>0</v>
      </c>
      <c r="P1398" s="266">
        <v>691991011702</v>
      </c>
      <c r="R1398" s="265">
        <v>108.4</v>
      </c>
      <c r="S1398" s="265">
        <v>36</v>
      </c>
      <c r="T1398" s="265">
        <v>26</v>
      </c>
      <c r="U1398" s="265">
        <v>24</v>
      </c>
      <c r="V1398" s="259" t="s">
        <v>4159</v>
      </c>
      <c r="W1398" s="259" t="s">
        <v>3061</v>
      </c>
      <c r="Y1398" s="259">
        <v>485</v>
      </c>
      <c r="Z1398" s="259" t="s">
        <v>3030</v>
      </c>
      <c r="AA1398" s="259" t="e">
        <v>#N/A</v>
      </c>
      <c r="AB1398" s="259"/>
      <c r="AC1398" s="259"/>
      <c r="AD1398" s="259"/>
      <c r="AE1398" s="259"/>
    </row>
    <row r="1399" spans="1:31">
      <c r="A1399" s="259" t="s">
        <v>1494</v>
      </c>
      <c r="B1399" s="259" t="s">
        <v>80</v>
      </c>
      <c r="C1399" s="264" t="s">
        <v>108</v>
      </c>
      <c r="D1399" s="264" t="s">
        <v>1494</v>
      </c>
      <c r="E1399" s="259" t="s">
        <v>6393</v>
      </c>
      <c r="H1399" s="264" t="s">
        <v>6598</v>
      </c>
      <c r="I1399" s="264" t="s">
        <v>6599</v>
      </c>
      <c r="J1399" s="295">
        <v>2890</v>
      </c>
      <c r="K1399" s="295">
        <v>2890</v>
      </c>
      <c r="L1399" s="295">
        <v>1445</v>
      </c>
      <c r="O1399" s="266">
        <v>0</v>
      </c>
      <c r="P1399" s="266">
        <v>691991011719</v>
      </c>
      <c r="R1399" s="265">
        <v>110</v>
      </c>
      <c r="S1399" s="265">
        <v>36</v>
      </c>
      <c r="T1399" s="265">
        <v>25.5</v>
      </c>
      <c r="U1399" s="265">
        <v>23</v>
      </c>
      <c r="V1399" s="259" t="s">
        <v>4159</v>
      </c>
      <c r="W1399" s="259" t="s">
        <v>3061</v>
      </c>
      <c r="Y1399" s="259">
        <v>486</v>
      </c>
      <c r="Z1399" s="259" t="s">
        <v>3030</v>
      </c>
      <c r="AA1399" s="259" t="e">
        <v>#N/A</v>
      </c>
      <c r="AB1399" s="259"/>
      <c r="AC1399" s="259"/>
      <c r="AD1399" s="259"/>
      <c r="AE1399" s="259"/>
    </row>
    <row r="1400" spans="1:31">
      <c r="A1400" s="259" t="s">
        <v>1495</v>
      </c>
      <c r="B1400" s="259" t="s">
        <v>80</v>
      </c>
      <c r="C1400" s="264" t="s">
        <v>6438</v>
      </c>
      <c r="D1400" s="264" t="s">
        <v>1495</v>
      </c>
      <c r="E1400" s="259" t="s">
        <v>6429</v>
      </c>
      <c r="F1400" s="259" t="s">
        <v>5021</v>
      </c>
      <c r="H1400" s="264" t="s">
        <v>6600</v>
      </c>
      <c r="I1400" s="264" t="s">
        <v>6601</v>
      </c>
      <c r="J1400" s="295" t="s">
        <v>6428</v>
      </c>
      <c r="K1400" s="295">
        <v>0</v>
      </c>
      <c r="L1400" s="295">
        <v>0</v>
      </c>
      <c r="O1400" s="266">
        <v>0</v>
      </c>
      <c r="P1400" s="266">
        <v>691991029820</v>
      </c>
      <c r="R1400" s="265">
        <v>89</v>
      </c>
      <c r="S1400" s="265">
        <v>34</v>
      </c>
      <c r="T1400" s="265">
        <v>29</v>
      </c>
      <c r="U1400" s="265">
        <v>27</v>
      </c>
      <c r="V1400" s="259" t="s">
        <v>4159</v>
      </c>
      <c r="W1400" s="259" t="s">
        <v>3061</v>
      </c>
      <c r="Y1400" s="259">
        <v>487</v>
      </c>
      <c r="Z1400" s="259" t="s">
        <v>3037</v>
      </c>
      <c r="AA1400" s="259" t="e">
        <v>#N/A</v>
      </c>
      <c r="AB1400" s="259"/>
      <c r="AC1400" s="259"/>
      <c r="AD1400" s="259"/>
      <c r="AE1400" s="259"/>
    </row>
    <row r="1401" spans="1:31">
      <c r="A1401" s="259" t="s">
        <v>1496</v>
      </c>
      <c r="B1401" s="259" t="s">
        <v>80</v>
      </c>
      <c r="C1401" s="264" t="s">
        <v>108</v>
      </c>
      <c r="D1401" s="264" t="s">
        <v>1496</v>
      </c>
      <c r="E1401" s="259" t="s">
        <v>6393</v>
      </c>
      <c r="H1401" s="264" t="s">
        <v>6602</v>
      </c>
      <c r="I1401" s="264" t="s">
        <v>6603</v>
      </c>
      <c r="J1401" s="295">
        <v>3530</v>
      </c>
      <c r="K1401" s="295">
        <v>3530</v>
      </c>
      <c r="L1401" s="295">
        <v>1765</v>
      </c>
      <c r="O1401" s="266">
        <v>0</v>
      </c>
      <c r="P1401" s="266">
        <v>691991011733</v>
      </c>
      <c r="R1401" s="265">
        <v>97</v>
      </c>
      <c r="S1401" s="265">
        <v>28</v>
      </c>
      <c r="T1401" s="265">
        <v>21</v>
      </c>
      <c r="U1401" s="265">
        <v>40</v>
      </c>
      <c r="V1401" s="259" t="s">
        <v>4159</v>
      </c>
      <c r="W1401" s="259" t="s">
        <v>3061</v>
      </c>
      <c r="Y1401" s="259">
        <v>488</v>
      </c>
      <c r="Z1401" s="259" t="s">
        <v>3030</v>
      </c>
      <c r="AA1401" s="259" t="e">
        <v>#N/A</v>
      </c>
      <c r="AB1401" s="259"/>
      <c r="AC1401" s="259"/>
      <c r="AD1401" s="259"/>
      <c r="AE1401" s="259"/>
    </row>
    <row r="1402" spans="1:31">
      <c r="A1402" s="259" t="s">
        <v>1497</v>
      </c>
      <c r="B1402" s="259" t="s">
        <v>80</v>
      </c>
      <c r="C1402" s="264" t="s">
        <v>108</v>
      </c>
      <c r="D1402" s="264" t="s">
        <v>1497</v>
      </c>
      <c r="E1402" s="259" t="s">
        <v>6393</v>
      </c>
      <c r="H1402" s="264" t="s">
        <v>6604</v>
      </c>
      <c r="I1402" s="264" t="s">
        <v>6605</v>
      </c>
      <c r="J1402" s="295">
        <v>3530</v>
      </c>
      <c r="K1402" s="295">
        <v>3530</v>
      </c>
      <c r="L1402" s="295">
        <v>1765</v>
      </c>
      <c r="O1402" s="266">
        <v>0</v>
      </c>
      <c r="P1402" s="266">
        <v>691991011740</v>
      </c>
      <c r="R1402" s="265">
        <v>96</v>
      </c>
      <c r="S1402" s="265">
        <v>28</v>
      </c>
      <c r="T1402" s="265">
        <v>21</v>
      </c>
      <c r="U1402" s="265">
        <v>40</v>
      </c>
      <c r="V1402" s="259" t="s">
        <v>4159</v>
      </c>
      <c r="W1402" s="259" t="s">
        <v>3061</v>
      </c>
      <c r="Y1402" s="259">
        <v>489</v>
      </c>
      <c r="Z1402" s="259" t="s">
        <v>3030</v>
      </c>
      <c r="AA1402" s="259" t="e">
        <v>#N/A</v>
      </c>
      <c r="AB1402" s="259"/>
      <c r="AC1402" s="259"/>
      <c r="AD1402" s="259"/>
      <c r="AE1402" s="259"/>
    </row>
    <row r="1403" spans="1:31">
      <c r="A1403" s="259" t="s">
        <v>1498</v>
      </c>
      <c r="B1403" s="259" t="s">
        <v>80</v>
      </c>
      <c r="C1403" s="264" t="s">
        <v>6438</v>
      </c>
      <c r="D1403" s="264" t="s">
        <v>1498</v>
      </c>
      <c r="E1403" s="259" t="s">
        <v>6429</v>
      </c>
      <c r="F1403" s="259" t="s">
        <v>5021</v>
      </c>
      <c r="H1403" s="264" t="s">
        <v>6606</v>
      </c>
      <c r="I1403" s="264" t="s">
        <v>6607</v>
      </c>
      <c r="J1403" s="295" t="s">
        <v>6428</v>
      </c>
      <c r="K1403" s="295">
        <v>0</v>
      </c>
      <c r="L1403" s="295">
        <v>0</v>
      </c>
      <c r="O1403" s="266">
        <v>0</v>
      </c>
      <c r="P1403" s="266">
        <v>691991029851</v>
      </c>
      <c r="R1403" s="265">
        <v>130</v>
      </c>
      <c r="S1403" s="265">
        <v>28</v>
      </c>
      <c r="T1403" s="265">
        <v>21</v>
      </c>
      <c r="U1403" s="265">
        <v>41</v>
      </c>
      <c r="V1403" s="259" t="s">
        <v>4159</v>
      </c>
      <c r="W1403" s="259" t="s">
        <v>3061</v>
      </c>
      <c r="Y1403" s="259">
        <v>490</v>
      </c>
      <c r="Z1403" s="259" t="s">
        <v>3037</v>
      </c>
      <c r="AA1403" s="259" t="e">
        <v>#N/A</v>
      </c>
      <c r="AB1403" s="259"/>
      <c r="AC1403" s="259"/>
      <c r="AD1403" s="259"/>
      <c r="AE1403" s="259"/>
    </row>
    <row r="1404" spans="1:31">
      <c r="A1404" s="259" t="s">
        <v>1499</v>
      </c>
      <c r="B1404" s="259" t="s">
        <v>80</v>
      </c>
      <c r="C1404" s="264" t="s">
        <v>6438</v>
      </c>
      <c r="D1404" s="264" t="s">
        <v>1499</v>
      </c>
      <c r="E1404" s="259" t="s">
        <v>6429</v>
      </c>
      <c r="F1404" s="259" t="s">
        <v>5021</v>
      </c>
      <c r="H1404" s="264" t="s">
        <v>6606</v>
      </c>
      <c r="I1404" s="264" t="s">
        <v>6607</v>
      </c>
      <c r="J1404" s="295" t="s">
        <v>6428</v>
      </c>
      <c r="K1404" s="295">
        <v>0</v>
      </c>
      <c r="L1404" s="295">
        <v>0</v>
      </c>
      <c r="O1404" s="266">
        <v>0</v>
      </c>
      <c r="P1404" s="266">
        <v>691991011757</v>
      </c>
      <c r="R1404" s="265">
        <v>108</v>
      </c>
      <c r="S1404" s="265">
        <v>29</v>
      </c>
      <c r="T1404" s="265">
        <v>22</v>
      </c>
      <c r="U1404" s="265">
        <v>41</v>
      </c>
      <c r="V1404" s="259" t="s">
        <v>4159</v>
      </c>
      <c r="W1404" s="259" t="s">
        <v>3061</v>
      </c>
      <c r="Y1404" s="259">
        <v>491</v>
      </c>
      <c r="Z1404" s="259" t="s">
        <v>3037</v>
      </c>
      <c r="AA1404" s="259" t="e">
        <v>#N/A</v>
      </c>
      <c r="AB1404" s="259"/>
      <c r="AC1404" s="259"/>
      <c r="AD1404" s="259"/>
      <c r="AE1404" s="259"/>
    </row>
    <row r="1405" spans="1:31">
      <c r="A1405" s="259" t="s">
        <v>1500</v>
      </c>
      <c r="B1405" s="259" t="s">
        <v>80</v>
      </c>
      <c r="C1405" s="264" t="s">
        <v>108</v>
      </c>
      <c r="D1405" s="264" t="s">
        <v>1500</v>
      </c>
      <c r="E1405" s="259" t="s">
        <v>6393</v>
      </c>
      <c r="H1405" s="264" t="s">
        <v>6542</v>
      </c>
      <c r="I1405" s="264" t="s">
        <v>6608</v>
      </c>
      <c r="J1405" s="295">
        <v>4560</v>
      </c>
      <c r="K1405" s="295">
        <v>4560</v>
      </c>
      <c r="L1405" s="295">
        <v>2280</v>
      </c>
      <c r="O1405" s="266">
        <v>0</v>
      </c>
      <c r="P1405" s="266">
        <v>691991011764</v>
      </c>
      <c r="R1405" s="265">
        <v>161</v>
      </c>
      <c r="S1405" s="265">
        <v>26</v>
      </c>
      <c r="T1405" s="265">
        <v>36</v>
      </c>
      <c r="U1405" s="265">
        <v>46</v>
      </c>
      <c r="V1405" s="259" t="s">
        <v>4159</v>
      </c>
      <c r="W1405" s="259" t="s">
        <v>3061</v>
      </c>
      <c r="Y1405" s="259">
        <v>492</v>
      </c>
      <c r="Z1405" s="259" t="s">
        <v>3030</v>
      </c>
      <c r="AA1405" s="259" t="e">
        <v>#N/A</v>
      </c>
      <c r="AB1405" s="259"/>
      <c r="AC1405" s="259"/>
      <c r="AD1405" s="259"/>
      <c r="AE1405" s="259"/>
    </row>
    <row r="1406" spans="1:31">
      <c r="A1406" s="259" t="s">
        <v>1501</v>
      </c>
      <c r="B1406" s="259" t="s">
        <v>80</v>
      </c>
      <c r="C1406" s="264" t="s">
        <v>108</v>
      </c>
      <c r="D1406" s="264" t="s">
        <v>1501</v>
      </c>
      <c r="E1406" s="259" t="s">
        <v>6393</v>
      </c>
      <c r="H1406" s="264" t="s">
        <v>6544</v>
      </c>
      <c r="I1406" s="264" t="s">
        <v>6609</v>
      </c>
      <c r="J1406" s="295">
        <v>4560</v>
      </c>
      <c r="K1406" s="295">
        <v>4560</v>
      </c>
      <c r="L1406" s="295">
        <v>2280</v>
      </c>
      <c r="O1406" s="266">
        <v>0</v>
      </c>
      <c r="P1406" s="266">
        <v>691991005053</v>
      </c>
      <c r="R1406" s="265">
        <v>182.25</v>
      </c>
      <c r="S1406" s="265">
        <v>26</v>
      </c>
      <c r="T1406" s="265">
        <v>25.5</v>
      </c>
      <c r="U1406" s="265">
        <v>45</v>
      </c>
      <c r="V1406" s="259" t="s">
        <v>4159</v>
      </c>
      <c r="W1406" s="259" t="s">
        <v>3061</v>
      </c>
      <c r="Y1406" s="259">
        <v>493</v>
      </c>
      <c r="Z1406" s="259" t="s">
        <v>3030</v>
      </c>
      <c r="AA1406" s="259" t="e">
        <v>#N/A</v>
      </c>
      <c r="AB1406" s="259"/>
      <c r="AC1406" s="259"/>
      <c r="AD1406" s="259"/>
      <c r="AE1406" s="259"/>
    </row>
    <row r="1407" spans="1:31">
      <c r="A1407" s="259" t="s">
        <v>1502</v>
      </c>
      <c r="B1407" s="259" t="s">
        <v>80</v>
      </c>
      <c r="C1407" s="264" t="s">
        <v>6438</v>
      </c>
      <c r="D1407" s="264" t="s">
        <v>1502</v>
      </c>
      <c r="E1407" s="259" t="s">
        <v>6429</v>
      </c>
      <c r="F1407" s="259" t="s">
        <v>5021</v>
      </c>
      <c r="H1407" s="264" t="s">
        <v>6546</v>
      </c>
      <c r="I1407" s="264" t="s">
        <v>6610</v>
      </c>
      <c r="J1407" s="295" t="s">
        <v>6428</v>
      </c>
      <c r="K1407" s="295">
        <v>0</v>
      </c>
      <c r="L1407" s="295">
        <v>0</v>
      </c>
      <c r="O1407" s="266">
        <v>0</v>
      </c>
      <c r="P1407" s="266">
        <v>691991011788</v>
      </c>
      <c r="R1407" s="265">
        <v>212</v>
      </c>
      <c r="S1407" s="265">
        <v>34.5</v>
      </c>
      <c r="T1407" s="265">
        <v>28.5</v>
      </c>
      <c r="U1407" s="265">
        <v>48</v>
      </c>
      <c r="V1407" s="259" t="s">
        <v>4159</v>
      </c>
      <c r="W1407" s="259" t="s">
        <v>3061</v>
      </c>
      <c r="Y1407" s="259">
        <v>494</v>
      </c>
      <c r="Z1407" s="259" t="s">
        <v>3037</v>
      </c>
      <c r="AA1407" s="259" t="e">
        <v>#N/A</v>
      </c>
      <c r="AB1407" s="259"/>
      <c r="AC1407" s="259"/>
      <c r="AD1407" s="259"/>
      <c r="AE1407" s="259"/>
    </row>
    <row r="1408" spans="1:31">
      <c r="A1408" s="259" t="s">
        <v>1503</v>
      </c>
      <c r="B1408" s="259" t="s">
        <v>80</v>
      </c>
      <c r="C1408" s="264" t="s">
        <v>108</v>
      </c>
      <c r="D1408" s="264" t="s">
        <v>1503</v>
      </c>
      <c r="E1408" s="259" t="s">
        <v>6429</v>
      </c>
      <c r="F1408" s="259" t="s">
        <v>5021</v>
      </c>
      <c r="G1408" s="259" t="s">
        <v>3378</v>
      </c>
      <c r="H1408" s="264" t="s">
        <v>6611</v>
      </c>
      <c r="I1408" s="264" t="s">
        <v>6612</v>
      </c>
      <c r="J1408" s="295">
        <v>4767.4399999999996</v>
      </c>
      <c r="K1408" s="295">
        <v>4767</v>
      </c>
      <c r="L1408" s="295">
        <v>2383.71</v>
      </c>
      <c r="O1408" s="266">
        <v>0</v>
      </c>
      <c r="P1408" s="266">
        <v>691991011856</v>
      </c>
      <c r="R1408" s="265">
        <v>230</v>
      </c>
      <c r="S1408" s="265">
        <v>59</v>
      </c>
      <c r="T1408" s="265">
        <v>28</v>
      </c>
      <c r="U1408" s="265">
        <v>60</v>
      </c>
      <c r="V1408" s="259" t="s">
        <v>4159</v>
      </c>
      <c r="W1408" s="259" t="s">
        <v>3061</v>
      </c>
      <c r="Y1408" s="259">
        <v>495</v>
      </c>
      <c r="Z1408" s="259" t="s">
        <v>3227</v>
      </c>
      <c r="AA1408" s="259" t="e">
        <v>#N/A</v>
      </c>
      <c r="AB1408" s="259"/>
      <c r="AC1408" s="259"/>
      <c r="AD1408" s="259"/>
      <c r="AE1408" s="259"/>
    </row>
    <row r="1409" spans="1:31">
      <c r="A1409" s="259" t="s">
        <v>1504</v>
      </c>
      <c r="B1409" s="259" t="s">
        <v>80</v>
      </c>
      <c r="C1409" s="264" t="s">
        <v>108</v>
      </c>
      <c r="D1409" s="264" t="s">
        <v>1504</v>
      </c>
      <c r="E1409" s="259" t="s">
        <v>6393</v>
      </c>
      <c r="F1409" s="259" t="s">
        <v>5021</v>
      </c>
      <c r="G1409" s="259" t="s">
        <v>3378</v>
      </c>
      <c r="H1409" s="264" t="s">
        <v>6613</v>
      </c>
      <c r="I1409" s="264" t="s">
        <v>6614</v>
      </c>
      <c r="J1409" s="295">
        <v>3850</v>
      </c>
      <c r="K1409" s="295">
        <v>3850</v>
      </c>
      <c r="L1409" s="295">
        <v>1925</v>
      </c>
      <c r="O1409" s="266">
        <v>0</v>
      </c>
      <c r="P1409" s="266">
        <v>691991011221</v>
      </c>
      <c r="R1409" s="265">
        <v>74</v>
      </c>
      <c r="S1409" s="265">
        <v>26</v>
      </c>
      <c r="T1409" s="265">
        <v>30</v>
      </c>
      <c r="U1409" s="265">
        <v>24</v>
      </c>
      <c r="V1409" s="259" t="s">
        <v>4159</v>
      </c>
      <c r="W1409" s="259" t="s">
        <v>3061</v>
      </c>
      <c r="Y1409" s="259">
        <v>496</v>
      </c>
      <c r="Z1409" s="259" t="s">
        <v>3227</v>
      </c>
      <c r="AA1409" s="259" t="e">
        <v>#N/A</v>
      </c>
      <c r="AB1409" s="259"/>
      <c r="AC1409" s="259"/>
      <c r="AD1409" s="259"/>
      <c r="AE1409" s="259"/>
    </row>
    <row r="1410" spans="1:31">
      <c r="A1410" s="259" t="s">
        <v>1505</v>
      </c>
      <c r="B1410" s="259" t="s">
        <v>80</v>
      </c>
      <c r="C1410" s="264" t="s">
        <v>108</v>
      </c>
      <c r="D1410" s="264" t="s">
        <v>1505</v>
      </c>
      <c r="E1410" s="259" t="s">
        <v>6393</v>
      </c>
      <c r="F1410" s="259" t="s">
        <v>5021</v>
      </c>
      <c r="G1410" s="259" t="s">
        <v>3378</v>
      </c>
      <c r="H1410" s="264" t="s">
        <v>6613</v>
      </c>
      <c r="I1410" s="264" t="s">
        <v>6615</v>
      </c>
      <c r="J1410" s="295">
        <v>3850</v>
      </c>
      <c r="K1410" s="295">
        <v>3850</v>
      </c>
      <c r="L1410" s="295">
        <v>1925</v>
      </c>
      <c r="O1410" s="266">
        <v>0</v>
      </c>
      <c r="P1410" s="266">
        <v>691991011252</v>
      </c>
      <c r="R1410" s="265">
        <v>73.25</v>
      </c>
      <c r="S1410" s="265">
        <v>30</v>
      </c>
      <c r="T1410" s="265">
        <v>26</v>
      </c>
      <c r="U1410" s="265">
        <v>24</v>
      </c>
      <c r="V1410" s="259" t="s">
        <v>4159</v>
      </c>
      <c r="W1410" s="259" t="s">
        <v>3061</v>
      </c>
      <c r="Y1410" s="259">
        <v>497</v>
      </c>
      <c r="Z1410" s="259" t="s">
        <v>3227</v>
      </c>
      <c r="AA1410" s="259" t="e">
        <v>#N/A</v>
      </c>
      <c r="AB1410" s="259"/>
      <c r="AC1410" s="259"/>
      <c r="AD1410" s="259"/>
      <c r="AE1410" s="259"/>
    </row>
    <row r="1411" spans="1:31">
      <c r="A1411" s="259" t="s">
        <v>1506</v>
      </c>
      <c r="B1411" s="259" t="s">
        <v>80</v>
      </c>
      <c r="C1411" s="264" t="s">
        <v>108</v>
      </c>
      <c r="D1411" s="264" t="s">
        <v>1506</v>
      </c>
      <c r="E1411" s="259" t="s">
        <v>6393</v>
      </c>
      <c r="H1411" s="264" t="s">
        <v>6616</v>
      </c>
      <c r="I1411" s="264" t="s">
        <v>6617</v>
      </c>
      <c r="J1411" s="295">
        <v>3500</v>
      </c>
      <c r="K1411" s="295">
        <v>3500</v>
      </c>
      <c r="L1411" s="295">
        <v>1750</v>
      </c>
      <c r="O1411" s="266">
        <v>0</v>
      </c>
      <c r="P1411" s="266">
        <v>691991011283</v>
      </c>
      <c r="R1411" s="265">
        <v>55.95</v>
      </c>
      <c r="S1411" s="265">
        <v>19</v>
      </c>
      <c r="T1411" s="265">
        <v>16</v>
      </c>
      <c r="U1411" s="265">
        <v>30</v>
      </c>
      <c r="V1411" s="259" t="s">
        <v>4159</v>
      </c>
      <c r="W1411" s="259" t="s">
        <v>3061</v>
      </c>
      <c r="Y1411" s="259">
        <v>498</v>
      </c>
      <c r="Z1411" s="259" t="s">
        <v>3030</v>
      </c>
      <c r="AA1411" s="259" t="e">
        <v>#N/A</v>
      </c>
      <c r="AB1411" s="259"/>
      <c r="AC1411" s="259"/>
      <c r="AD1411" s="259"/>
      <c r="AE1411" s="259"/>
    </row>
    <row r="1412" spans="1:31">
      <c r="A1412" s="259" t="s">
        <v>1507</v>
      </c>
      <c r="B1412" s="259" t="s">
        <v>80</v>
      </c>
      <c r="C1412" s="264" t="s">
        <v>108</v>
      </c>
      <c r="D1412" s="264" t="s">
        <v>1507</v>
      </c>
      <c r="E1412" s="259" t="s">
        <v>6393</v>
      </c>
      <c r="H1412" s="264" t="s">
        <v>6618</v>
      </c>
      <c r="I1412" s="264" t="s">
        <v>6617</v>
      </c>
      <c r="J1412" s="295">
        <v>3500</v>
      </c>
      <c r="K1412" s="295">
        <v>3500</v>
      </c>
      <c r="L1412" s="295">
        <v>1750</v>
      </c>
      <c r="O1412" s="266">
        <v>0</v>
      </c>
      <c r="P1412" s="266">
        <v>691991011290</v>
      </c>
      <c r="R1412" s="265">
        <v>55</v>
      </c>
      <c r="S1412" s="265">
        <v>19</v>
      </c>
      <c r="T1412" s="265">
        <v>16</v>
      </c>
      <c r="U1412" s="265">
        <v>30</v>
      </c>
      <c r="V1412" s="259" t="s">
        <v>4159</v>
      </c>
      <c r="W1412" s="259" t="s">
        <v>3061</v>
      </c>
      <c r="Y1412" s="259">
        <v>499</v>
      </c>
      <c r="Z1412" s="259" t="s">
        <v>3030</v>
      </c>
      <c r="AA1412" s="259" t="e">
        <v>#N/A</v>
      </c>
      <c r="AB1412" s="259"/>
      <c r="AC1412" s="259"/>
      <c r="AD1412" s="259"/>
      <c r="AE1412" s="259"/>
    </row>
    <row r="1413" spans="1:31">
      <c r="A1413" s="259" t="s">
        <v>1508</v>
      </c>
      <c r="B1413" s="259" t="s">
        <v>80</v>
      </c>
      <c r="C1413" s="264" t="s">
        <v>6427</v>
      </c>
      <c r="D1413" s="264" t="s">
        <v>1508</v>
      </c>
      <c r="F1413" s="259" t="s">
        <v>5021</v>
      </c>
      <c r="H1413" s="264" t="s">
        <v>6618</v>
      </c>
      <c r="I1413" s="264" t="s">
        <v>6617</v>
      </c>
      <c r="J1413" s="295" t="s">
        <v>6428</v>
      </c>
      <c r="K1413" s="295">
        <v>0</v>
      </c>
      <c r="L1413" s="295">
        <v>0</v>
      </c>
      <c r="O1413" s="266">
        <v>0</v>
      </c>
      <c r="P1413" s="266">
        <v>691991029615</v>
      </c>
      <c r="R1413" s="265">
        <v>60</v>
      </c>
      <c r="S1413" s="265">
        <v>30</v>
      </c>
      <c r="T1413" s="265">
        <v>4</v>
      </c>
      <c r="U1413" s="265">
        <v>21</v>
      </c>
      <c r="V1413" s="259" t="s">
        <v>4159</v>
      </c>
      <c r="W1413" s="259" t="s">
        <v>3061</v>
      </c>
      <c r="Y1413" s="259">
        <v>500</v>
      </c>
      <c r="Z1413" s="259" t="s">
        <v>3037</v>
      </c>
      <c r="AA1413" s="259" t="e">
        <v>#N/A</v>
      </c>
      <c r="AB1413" s="259"/>
      <c r="AC1413" s="259"/>
      <c r="AD1413" s="259"/>
      <c r="AE1413" s="259"/>
    </row>
    <row r="1414" spans="1:31">
      <c r="A1414" s="259" t="s">
        <v>1509</v>
      </c>
      <c r="B1414" s="259" t="s">
        <v>80</v>
      </c>
      <c r="C1414" s="264" t="s">
        <v>6427</v>
      </c>
      <c r="D1414" s="264" t="s">
        <v>1509</v>
      </c>
      <c r="E1414" s="259" t="s">
        <v>6429</v>
      </c>
      <c r="F1414" s="259" t="s">
        <v>5021</v>
      </c>
      <c r="H1414" s="264" t="s">
        <v>6618</v>
      </c>
      <c r="I1414" s="264" t="s">
        <v>6617</v>
      </c>
      <c r="J1414" s="295" t="s">
        <v>6428</v>
      </c>
      <c r="K1414" s="295">
        <v>0</v>
      </c>
      <c r="L1414" s="295">
        <v>0</v>
      </c>
      <c r="O1414" s="266">
        <v>0</v>
      </c>
      <c r="P1414" s="266">
        <v>691991029622</v>
      </c>
      <c r="R1414" s="265">
        <v>74.5</v>
      </c>
      <c r="S1414" s="265">
        <v>15</v>
      </c>
      <c r="T1414" s="265">
        <v>17</v>
      </c>
      <c r="U1414" s="265">
        <v>24</v>
      </c>
      <c r="V1414" s="259" t="s">
        <v>4159</v>
      </c>
      <c r="W1414" s="259" t="s">
        <v>3061</v>
      </c>
      <c r="Y1414" s="259">
        <v>501</v>
      </c>
      <c r="Z1414" s="259" t="s">
        <v>3037</v>
      </c>
      <c r="AA1414" s="259" t="e">
        <v>#N/A</v>
      </c>
      <c r="AB1414" s="259"/>
      <c r="AC1414" s="259"/>
      <c r="AD1414" s="259"/>
      <c r="AE1414" s="259"/>
    </row>
    <row r="1415" spans="1:31">
      <c r="A1415" s="259" t="s">
        <v>1510</v>
      </c>
      <c r="B1415" s="259" t="s">
        <v>80</v>
      </c>
      <c r="C1415" s="264" t="s">
        <v>108</v>
      </c>
      <c r="D1415" s="264" t="s">
        <v>1510</v>
      </c>
      <c r="E1415" s="259" t="s">
        <v>6393</v>
      </c>
      <c r="H1415" s="264" t="s">
        <v>6548</v>
      </c>
      <c r="I1415" s="264" t="s">
        <v>6619</v>
      </c>
      <c r="J1415" s="295">
        <v>3500</v>
      </c>
      <c r="K1415" s="295">
        <v>3500</v>
      </c>
      <c r="L1415" s="295">
        <v>1750</v>
      </c>
      <c r="O1415" s="266">
        <v>0</v>
      </c>
      <c r="P1415" s="266">
        <v>691991011306</v>
      </c>
      <c r="R1415" s="265">
        <v>57.35</v>
      </c>
      <c r="S1415" s="265">
        <v>19</v>
      </c>
      <c r="T1415" s="265">
        <v>16</v>
      </c>
      <c r="U1415" s="265">
        <v>30</v>
      </c>
      <c r="V1415" s="259" t="s">
        <v>4159</v>
      </c>
      <c r="W1415" s="259" t="s">
        <v>3061</v>
      </c>
      <c r="Y1415" s="259">
        <v>502</v>
      </c>
      <c r="Z1415" s="259" t="s">
        <v>3030</v>
      </c>
      <c r="AA1415" s="259" t="e">
        <v>#N/A</v>
      </c>
      <c r="AB1415" s="259"/>
      <c r="AC1415" s="259"/>
      <c r="AD1415" s="259"/>
      <c r="AE1415" s="259"/>
    </row>
    <row r="1416" spans="1:31">
      <c r="A1416" s="259" t="s">
        <v>1511</v>
      </c>
      <c r="B1416" s="259" t="s">
        <v>80</v>
      </c>
      <c r="C1416" s="264" t="s">
        <v>108</v>
      </c>
      <c r="D1416" s="264" t="s">
        <v>1511</v>
      </c>
      <c r="E1416" s="259" t="s">
        <v>6393</v>
      </c>
      <c r="H1416" s="264" t="s">
        <v>6550</v>
      </c>
      <c r="I1416" s="264" t="s">
        <v>6620</v>
      </c>
      <c r="J1416" s="295">
        <v>3500</v>
      </c>
      <c r="K1416" s="295">
        <v>3500</v>
      </c>
      <c r="L1416" s="295">
        <v>1750</v>
      </c>
      <c r="O1416" s="266">
        <v>0</v>
      </c>
      <c r="P1416" s="266">
        <v>691991011313</v>
      </c>
      <c r="R1416" s="265">
        <v>27.5</v>
      </c>
      <c r="S1416" s="265">
        <v>19</v>
      </c>
      <c r="T1416" s="265">
        <v>16</v>
      </c>
      <c r="U1416" s="265">
        <v>30</v>
      </c>
      <c r="V1416" s="259" t="s">
        <v>4159</v>
      </c>
      <c r="W1416" s="259" t="s">
        <v>3061</v>
      </c>
      <c r="Y1416" s="259">
        <v>503</v>
      </c>
      <c r="Z1416" s="259" t="s">
        <v>3037</v>
      </c>
      <c r="AA1416" s="259" t="e">
        <v>#N/A</v>
      </c>
      <c r="AB1416" s="259"/>
      <c r="AC1416" s="259"/>
      <c r="AD1416" s="259"/>
      <c r="AE1416" s="259"/>
    </row>
    <row r="1417" spans="1:31">
      <c r="A1417" s="259" t="s">
        <v>1512</v>
      </c>
      <c r="B1417" s="259" t="s">
        <v>80</v>
      </c>
      <c r="C1417" s="264" t="s">
        <v>6438</v>
      </c>
      <c r="D1417" s="264" t="s">
        <v>1512</v>
      </c>
      <c r="E1417" s="259" t="s">
        <v>6429</v>
      </c>
      <c r="F1417" s="259" t="s">
        <v>5021</v>
      </c>
      <c r="H1417" s="264" t="s">
        <v>6552</v>
      </c>
      <c r="I1417" s="264" t="s">
        <v>6621</v>
      </c>
      <c r="J1417" s="295" t="s">
        <v>6428</v>
      </c>
      <c r="K1417" s="295">
        <v>0</v>
      </c>
      <c r="L1417" s="295">
        <v>0</v>
      </c>
      <c r="O1417" s="266">
        <v>0</v>
      </c>
      <c r="P1417" s="266">
        <v>691991011320</v>
      </c>
      <c r="R1417" s="265">
        <v>0</v>
      </c>
      <c r="S1417" s="265">
        <v>0</v>
      </c>
      <c r="T1417" s="265">
        <v>0</v>
      </c>
      <c r="U1417" s="265">
        <v>0</v>
      </c>
      <c r="V1417" s="259" t="s">
        <v>4159</v>
      </c>
      <c r="W1417" s="259" t="s">
        <v>3061</v>
      </c>
      <c r="Y1417" s="259">
        <v>504</v>
      </c>
      <c r="Z1417" s="259" t="s">
        <v>3037</v>
      </c>
      <c r="AA1417" s="259" t="e">
        <v>#N/A</v>
      </c>
      <c r="AB1417" s="259"/>
      <c r="AC1417" s="259"/>
      <c r="AD1417" s="259"/>
      <c r="AE1417" s="259"/>
    </row>
    <row r="1418" spans="1:31">
      <c r="A1418" s="259" t="s">
        <v>1513</v>
      </c>
      <c r="B1418" s="259" t="s">
        <v>80</v>
      </c>
      <c r="C1418" s="264" t="s">
        <v>6438</v>
      </c>
      <c r="D1418" s="264" t="s">
        <v>1513</v>
      </c>
      <c r="E1418" s="259" t="s">
        <v>6429</v>
      </c>
      <c r="F1418" s="259" t="s">
        <v>5021</v>
      </c>
      <c r="H1418" s="264" t="s">
        <v>6557</v>
      </c>
      <c r="I1418" s="264" t="s">
        <v>6622</v>
      </c>
      <c r="J1418" s="295" t="s">
        <v>6428</v>
      </c>
      <c r="K1418" s="295">
        <v>0</v>
      </c>
      <c r="L1418" s="295">
        <v>0</v>
      </c>
      <c r="O1418" s="266">
        <v>0</v>
      </c>
      <c r="P1418" s="266">
        <v>691991011337</v>
      </c>
      <c r="R1418" s="265">
        <v>20</v>
      </c>
      <c r="S1418" s="265">
        <v>21</v>
      </c>
      <c r="T1418" s="265">
        <v>19</v>
      </c>
      <c r="U1418" s="265">
        <v>35</v>
      </c>
      <c r="V1418" s="259" t="s">
        <v>4159</v>
      </c>
      <c r="W1418" s="259" t="s">
        <v>3061</v>
      </c>
      <c r="Y1418" s="259">
        <v>505</v>
      </c>
      <c r="Z1418" s="259" t="s">
        <v>3037</v>
      </c>
      <c r="AA1418" s="259" t="e">
        <v>#N/A</v>
      </c>
      <c r="AB1418" s="259"/>
      <c r="AC1418" s="259"/>
      <c r="AD1418" s="259"/>
      <c r="AE1418" s="259"/>
    </row>
    <row r="1419" spans="1:31">
      <c r="A1419" s="259" t="s">
        <v>1514</v>
      </c>
      <c r="B1419" s="259" t="s">
        <v>80</v>
      </c>
      <c r="C1419" s="264" t="s">
        <v>108</v>
      </c>
      <c r="D1419" s="264" t="s">
        <v>1514</v>
      </c>
      <c r="E1419" s="259" t="s">
        <v>6393</v>
      </c>
      <c r="H1419" s="264" t="s">
        <v>6548</v>
      </c>
      <c r="I1419" s="264" t="s">
        <v>6623</v>
      </c>
      <c r="J1419" s="295">
        <v>3500</v>
      </c>
      <c r="K1419" s="295">
        <v>3500</v>
      </c>
      <c r="L1419" s="295">
        <v>1750</v>
      </c>
      <c r="O1419" s="266">
        <v>0</v>
      </c>
      <c r="P1419" s="266">
        <v>691991011344</v>
      </c>
      <c r="R1419" s="265">
        <v>59</v>
      </c>
      <c r="S1419" s="265">
        <v>20</v>
      </c>
      <c r="T1419" s="265">
        <v>16</v>
      </c>
      <c r="U1419" s="265">
        <v>30</v>
      </c>
      <c r="V1419" s="259" t="s">
        <v>4159</v>
      </c>
      <c r="W1419" s="259" t="s">
        <v>3061</v>
      </c>
      <c r="Y1419" s="259">
        <v>506</v>
      </c>
      <c r="Z1419" s="259" t="s">
        <v>3030</v>
      </c>
      <c r="AA1419" s="259" t="e">
        <v>#N/A</v>
      </c>
      <c r="AB1419" s="259"/>
      <c r="AC1419" s="259"/>
      <c r="AD1419" s="259"/>
      <c r="AE1419" s="259"/>
    </row>
    <row r="1420" spans="1:31">
      <c r="A1420" s="259" t="s">
        <v>1515</v>
      </c>
      <c r="B1420" s="259" t="s">
        <v>80</v>
      </c>
      <c r="C1420" s="264" t="s">
        <v>108</v>
      </c>
      <c r="D1420" s="264" t="s">
        <v>1515</v>
      </c>
      <c r="E1420" s="259" t="s">
        <v>6393</v>
      </c>
      <c r="H1420" s="264" t="s">
        <v>6550</v>
      </c>
      <c r="I1420" s="264" t="s">
        <v>6624</v>
      </c>
      <c r="J1420" s="295">
        <v>3500</v>
      </c>
      <c r="K1420" s="295">
        <v>3500</v>
      </c>
      <c r="L1420" s="295">
        <v>1750</v>
      </c>
      <c r="O1420" s="266">
        <v>0</v>
      </c>
      <c r="P1420" s="266">
        <v>691991011351</v>
      </c>
      <c r="R1420" s="265">
        <v>60.65</v>
      </c>
      <c r="S1420" s="265">
        <v>19</v>
      </c>
      <c r="T1420" s="265">
        <v>16</v>
      </c>
      <c r="U1420" s="265">
        <v>30</v>
      </c>
      <c r="V1420" s="259" t="s">
        <v>4159</v>
      </c>
      <c r="W1420" s="259" t="s">
        <v>3061</v>
      </c>
      <c r="Y1420" s="259">
        <v>507</v>
      </c>
      <c r="Z1420" s="259" t="s">
        <v>3030</v>
      </c>
      <c r="AA1420" s="259" t="e">
        <v>#N/A</v>
      </c>
      <c r="AB1420" s="259"/>
      <c r="AC1420" s="259"/>
      <c r="AD1420" s="259"/>
      <c r="AE1420" s="259"/>
    </row>
    <row r="1421" spans="1:31">
      <c r="A1421" s="259" t="s">
        <v>1516</v>
      </c>
      <c r="B1421" s="259" t="s">
        <v>80</v>
      </c>
      <c r="C1421" s="264" t="s">
        <v>6438</v>
      </c>
      <c r="D1421" s="264" t="s">
        <v>1516</v>
      </c>
      <c r="E1421" s="259" t="s">
        <v>6429</v>
      </c>
      <c r="F1421" s="259" t="s">
        <v>5021</v>
      </c>
      <c r="H1421" s="264" t="s">
        <v>6552</v>
      </c>
      <c r="I1421" s="264" t="s">
        <v>6625</v>
      </c>
      <c r="J1421" s="295" t="s">
        <v>6428</v>
      </c>
      <c r="K1421" s="295">
        <v>0</v>
      </c>
      <c r="L1421" s="295">
        <v>0</v>
      </c>
      <c r="O1421" s="266">
        <v>0</v>
      </c>
      <c r="P1421" s="266">
        <v>691991011368</v>
      </c>
      <c r="R1421" s="265">
        <v>72</v>
      </c>
      <c r="S1421" s="265">
        <v>21</v>
      </c>
      <c r="T1421" s="265">
        <v>19</v>
      </c>
      <c r="U1421" s="265">
        <v>34.5</v>
      </c>
      <c r="V1421" s="259" t="s">
        <v>4159</v>
      </c>
      <c r="W1421" s="259" t="s">
        <v>3061</v>
      </c>
      <c r="Y1421" s="259">
        <v>508</v>
      </c>
      <c r="Z1421" s="259" t="s">
        <v>3037</v>
      </c>
      <c r="AA1421" s="259" t="e">
        <v>#N/A</v>
      </c>
      <c r="AB1421" s="259"/>
      <c r="AC1421" s="259"/>
      <c r="AD1421" s="259"/>
      <c r="AE1421" s="259"/>
    </row>
    <row r="1422" spans="1:31">
      <c r="A1422" s="259" t="s">
        <v>1517</v>
      </c>
      <c r="B1422" s="259" t="s">
        <v>80</v>
      </c>
      <c r="C1422" s="264" t="s">
        <v>108</v>
      </c>
      <c r="D1422" s="264" t="s">
        <v>1517</v>
      </c>
      <c r="E1422" s="259" t="s">
        <v>6393</v>
      </c>
      <c r="H1422" s="264" t="s">
        <v>6548</v>
      </c>
      <c r="I1422" s="264" t="s">
        <v>6626</v>
      </c>
      <c r="J1422" s="295">
        <v>3500</v>
      </c>
      <c r="K1422" s="295">
        <v>3500</v>
      </c>
      <c r="L1422" s="295">
        <v>1750</v>
      </c>
      <c r="O1422" s="266">
        <v>0</v>
      </c>
      <c r="P1422" s="266">
        <v>691991011382</v>
      </c>
      <c r="R1422" s="265">
        <v>51</v>
      </c>
      <c r="S1422" s="265">
        <v>16</v>
      </c>
      <c r="T1422" s="265">
        <v>19</v>
      </c>
      <c r="U1422" s="265">
        <v>30</v>
      </c>
      <c r="V1422" s="259" t="s">
        <v>4159</v>
      </c>
      <c r="W1422" s="259" t="s">
        <v>3061</v>
      </c>
      <c r="Y1422" s="259">
        <v>509</v>
      </c>
      <c r="Z1422" s="259" t="s">
        <v>3030</v>
      </c>
      <c r="AA1422" s="259" t="e">
        <v>#N/A</v>
      </c>
      <c r="AB1422" s="259"/>
      <c r="AC1422" s="259"/>
      <c r="AD1422" s="259"/>
      <c r="AE1422" s="259"/>
    </row>
    <row r="1423" spans="1:31">
      <c r="A1423" s="259" t="s">
        <v>1518</v>
      </c>
      <c r="B1423" s="259" t="s">
        <v>80</v>
      </c>
      <c r="C1423" s="264" t="s">
        <v>108</v>
      </c>
      <c r="D1423" s="264" t="s">
        <v>1518</v>
      </c>
      <c r="E1423" s="259" t="s">
        <v>6393</v>
      </c>
      <c r="H1423" s="264" t="s">
        <v>6550</v>
      </c>
      <c r="I1423" s="264" t="s">
        <v>6627</v>
      </c>
      <c r="J1423" s="295">
        <v>3500</v>
      </c>
      <c r="K1423" s="295">
        <v>3500</v>
      </c>
      <c r="L1423" s="295">
        <v>1750</v>
      </c>
      <c r="O1423" s="266">
        <v>0</v>
      </c>
      <c r="P1423" s="266">
        <v>691991011399</v>
      </c>
      <c r="R1423" s="265">
        <v>60.65</v>
      </c>
      <c r="S1423" s="265">
        <v>16</v>
      </c>
      <c r="T1423" s="265">
        <v>19</v>
      </c>
      <c r="U1423" s="265">
        <v>30</v>
      </c>
      <c r="V1423" s="259" t="s">
        <v>4159</v>
      </c>
      <c r="W1423" s="259" t="s">
        <v>3061</v>
      </c>
      <c r="Y1423" s="259">
        <v>510</v>
      </c>
      <c r="Z1423" s="259" t="s">
        <v>3030</v>
      </c>
      <c r="AA1423" s="259" t="e">
        <v>#N/A</v>
      </c>
      <c r="AB1423" s="259"/>
      <c r="AC1423" s="259"/>
      <c r="AD1423" s="259"/>
      <c r="AE1423" s="259"/>
    </row>
    <row r="1424" spans="1:31">
      <c r="A1424" s="259" t="s">
        <v>1519</v>
      </c>
      <c r="B1424" s="259" t="s">
        <v>80</v>
      </c>
      <c r="C1424" s="264" t="s">
        <v>6438</v>
      </c>
      <c r="D1424" s="264" t="s">
        <v>1519</v>
      </c>
      <c r="F1424" s="259" t="s">
        <v>5021</v>
      </c>
      <c r="H1424" s="264" t="s">
        <v>6552</v>
      </c>
      <c r="I1424" s="264" t="s">
        <v>6628</v>
      </c>
      <c r="J1424" s="295" t="s">
        <v>6428</v>
      </c>
      <c r="K1424" s="295">
        <v>0</v>
      </c>
      <c r="L1424" s="295">
        <v>0</v>
      </c>
      <c r="O1424" s="266">
        <v>0</v>
      </c>
      <c r="P1424" s="266">
        <v>691991011405</v>
      </c>
      <c r="R1424" s="265">
        <v>0</v>
      </c>
      <c r="S1424" s="265">
        <v>0</v>
      </c>
      <c r="T1424" s="265">
        <v>0</v>
      </c>
      <c r="U1424" s="265">
        <v>0</v>
      </c>
      <c r="V1424" s="259" t="s">
        <v>4159</v>
      </c>
      <c r="W1424" s="259" t="s">
        <v>3061</v>
      </c>
      <c r="Y1424" s="259">
        <v>511</v>
      </c>
      <c r="Z1424" s="259" t="s">
        <v>3037</v>
      </c>
      <c r="AA1424" s="259" t="e">
        <v>#N/A</v>
      </c>
      <c r="AB1424" s="259"/>
      <c r="AC1424" s="259"/>
      <c r="AD1424" s="259"/>
      <c r="AE1424" s="259"/>
    </row>
    <row r="1425" spans="1:31">
      <c r="A1425" s="259" t="s">
        <v>1520</v>
      </c>
      <c r="B1425" s="259" t="s">
        <v>80</v>
      </c>
      <c r="C1425" s="264" t="s">
        <v>6438</v>
      </c>
      <c r="D1425" s="264" t="s">
        <v>1520</v>
      </c>
      <c r="E1425" s="259" t="s">
        <v>6429</v>
      </c>
      <c r="F1425" s="259" t="s">
        <v>5021</v>
      </c>
      <c r="H1425" s="264" t="s">
        <v>6557</v>
      </c>
      <c r="I1425" s="264" t="s">
        <v>6629</v>
      </c>
      <c r="J1425" s="295" t="s">
        <v>6428</v>
      </c>
      <c r="K1425" s="295">
        <v>0</v>
      </c>
      <c r="L1425" s="295">
        <v>0</v>
      </c>
      <c r="O1425" s="266">
        <v>0</v>
      </c>
      <c r="P1425" s="266">
        <v>691991011412</v>
      </c>
      <c r="R1425" s="265">
        <v>0</v>
      </c>
      <c r="S1425" s="265">
        <v>0</v>
      </c>
      <c r="T1425" s="265">
        <v>0</v>
      </c>
      <c r="U1425" s="265">
        <v>0</v>
      </c>
      <c r="V1425" s="259" t="s">
        <v>4159</v>
      </c>
      <c r="W1425" s="259" t="s">
        <v>3061</v>
      </c>
      <c r="Y1425" s="259">
        <v>512</v>
      </c>
      <c r="Z1425" s="259" t="s">
        <v>3037</v>
      </c>
      <c r="AA1425" s="259" t="e">
        <v>#N/A</v>
      </c>
      <c r="AB1425" s="259"/>
      <c r="AC1425" s="259"/>
      <c r="AD1425" s="259"/>
      <c r="AE1425" s="259"/>
    </row>
    <row r="1426" spans="1:31">
      <c r="A1426" s="259" t="s">
        <v>1521</v>
      </c>
      <c r="B1426" s="259" t="s">
        <v>80</v>
      </c>
      <c r="C1426" s="264" t="s">
        <v>108</v>
      </c>
      <c r="D1426" s="264" t="s">
        <v>1521</v>
      </c>
      <c r="E1426" s="259" t="s">
        <v>6393</v>
      </c>
      <c r="H1426" s="264" t="s">
        <v>6548</v>
      </c>
      <c r="I1426" s="264" t="s">
        <v>6630</v>
      </c>
      <c r="J1426" s="295">
        <v>3500</v>
      </c>
      <c r="K1426" s="295">
        <v>3500</v>
      </c>
      <c r="L1426" s="295">
        <v>1750</v>
      </c>
      <c r="O1426" s="266">
        <v>0</v>
      </c>
      <c r="P1426" s="266">
        <v>691991011429</v>
      </c>
      <c r="R1426" s="265">
        <v>57.6</v>
      </c>
      <c r="S1426" s="265">
        <v>19</v>
      </c>
      <c r="T1426" s="265">
        <v>16</v>
      </c>
      <c r="U1426" s="265">
        <v>30</v>
      </c>
      <c r="V1426" s="259" t="s">
        <v>4159</v>
      </c>
      <c r="W1426" s="259" t="s">
        <v>3061</v>
      </c>
      <c r="Y1426" s="259">
        <v>513</v>
      </c>
      <c r="Z1426" s="259" t="s">
        <v>3030</v>
      </c>
      <c r="AA1426" s="259" t="e">
        <v>#N/A</v>
      </c>
      <c r="AB1426" s="259"/>
      <c r="AC1426" s="259"/>
      <c r="AD1426" s="259"/>
      <c r="AE1426" s="259"/>
    </row>
    <row r="1427" spans="1:31">
      <c r="A1427" s="259" t="s">
        <v>1522</v>
      </c>
      <c r="B1427" s="259" t="s">
        <v>80</v>
      </c>
      <c r="C1427" s="264" t="s">
        <v>108</v>
      </c>
      <c r="D1427" s="264" t="s">
        <v>1522</v>
      </c>
      <c r="E1427" s="259" t="s">
        <v>6393</v>
      </c>
      <c r="H1427" s="264" t="s">
        <v>6550</v>
      </c>
      <c r="I1427" s="264" t="s">
        <v>6631</v>
      </c>
      <c r="J1427" s="295">
        <v>3500</v>
      </c>
      <c r="K1427" s="295">
        <v>3500</v>
      </c>
      <c r="L1427" s="295">
        <v>1750</v>
      </c>
      <c r="O1427" s="266">
        <v>0</v>
      </c>
      <c r="P1427" s="266">
        <v>691991007538</v>
      </c>
      <c r="R1427" s="265">
        <v>58</v>
      </c>
      <c r="S1427" s="265">
        <v>19</v>
      </c>
      <c r="T1427" s="265">
        <v>15</v>
      </c>
      <c r="U1427" s="265">
        <v>30</v>
      </c>
      <c r="V1427" s="259" t="s">
        <v>4159</v>
      </c>
      <c r="W1427" s="259" t="s">
        <v>3061</v>
      </c>
      <c r="Y1427" s="259">
        <v>514</v>
      </c>
      <c r="Z1427" s="259" t="s">
        <v>3030</v>
      </c>
      <c r="AA1427" s="259" t="e">
        <v>#N/A</v>
      </c>
      <c r="AB1427" s="259"/>
      <c r="AC1427" s="259"/>
      <c r="AD1427" s="259"/>
      <c r="AE1427" s="259"/>
    </row>
    <row r="1428" spans="1:31">
      <c r="A1428" s="259" t="s">
        <v>1523</v>
      </c>
      <c r="B1428" s="259" t="s">
        <v>80</v>
      </c>
      <c r="C1428" s="264" t="s">
        <v>108</v>
      </c>
      <c r="D1428" s="264" t="s">
        <v>1523</v>
      </c>
      <c r="E1428" s="259" t="s">
        <v>6393</v>
      </c>
      <c r="H1428" s="264" t="s">
        <v>6548</v>
      </c>
      <c r="I1428" s="264" t="s">
        <v>6632</v>
      </c>
      <c r="J1428" s="295">
        <v>3670</v>
      </c>
      <c r="K1428" s="295">
        <v>3670</v>
      </c>
      <c r="L1428" s="295">
        <v>1835</v>
      </c>
      <c r="O1428" s="266">
        <v>0</v>
      </c>
      <c r="P1428" s="266">
        <v>691991011443</v>
      </c>
      <c r="R1428" s="265">
        <v>66.900000000000006</v>
      </c>
      <c r="S1428" s="265">
        <v>22</v>
      </c>
      <c r="T1428" s="265">
        <v>18</v>
      </c>
      <c r="U1428" s="265">
        <v>33</v>
      </c>
      <c r="V1428" s="259" t="s">
        <v>4159</v>
      </c>
      <c r="W1428" s="259" t="s">
        <v>3061</v>
      </c>
      <c r="Y1428" s="259">
        <v>515</v>
      </c>
      <c r="Z1428" s="259" t="s">
        <v>3030</v>
      </c>
      <c r="AA1428" s="259" t="e">
        <v>#N/A</v>
      </c>
      <c r="AB1428" s="259"/>
      <c r="AC1428" s="259"/>
      <c r="AD1428" s="259"/>
      <c r="AE1428" s="259"/>
    </row>
    <row r="1429" spans="1:31">
      <c r="A1429" s="259" t="s">
        <v>1524</v>
      </c>
      <c r="B1429" s="259" t="s">
        <v>80</v>
      </c>
      <c r="C1429" s="264" t="s">
        <v>108</v>
      </c>
      <c r="D1429" s="264" t="s">
        <v>1524</v>
      </c>
      <c r="E1429" s="259" t="s">
        <v>6393</v>
      </c>
      <c r="H1429" s="264" t="s">
        <v>6550</v>
      </c>
      <c r="I1429" s="264" t="s">
        <v>6633</v>
      </c>
      <c r="J1429" s="295">
        <v>3670</v>
      </c>
      <c r="K1429" s="295">
        <v>3670</v>
      </c>
      <c r="L1429" s="295">
        <v>1835</v>
      </c>
      <c r="O1429" s="266">
        <v>0</v>
      </c>
      <c r="P1429" s="266">
        <v>691991011450</v>
      </c>
      <c r="R1429" s="265">
        <v>67.55</v>
      </c>
      <c r="S1429" s="265">
        <v>21</v>
      </c>
      <c r="T1429" s="265">
        <v>18</v>
      </c>
      <c r="U1429" s="265">
        <v>32</v>
      </c>
      <c r="V1429" s="259" t="s">
        <v>4159</v>
      </c>
      <c r="W1429" s="259" t="s">
        <v>3061</v>
      </c>
      <c r="Y1429" s="259">
        <v>516</v>
      </c>
      <c r="Z1429" s="259" t="s">
        <v>3030</v>
      </c>
      <c r="AA1429" s="259" t="e">
        <v>#N/A</v>
      </c>
      <c r="AB1429" s="259"/>
      <c r="AC1429" s="259"/>
      <c r="AD1429" s="259"/>
      <c r="AE1429" s="259"/>
    </row>
    <row r="1430" spans="1:31">
      <c r="A1430" s="259" t="s">
        <v>1525</v>
      </c>
      <c r="B1430" s="259" t="s">
        <v>80</v>
      </c>
      <c r="C1430" s="264" t="s">
        <v>6427</v>
      </c>
      <c r="D1430" s="264" t="s">
        <v>1525</v>
      </c>
      <c r="E1430" s="259" t="s">
        <v>6429</v>
      </c>
      <c r="F1430" s="259" t="s">
        <v>5021</v>
      </c>
      <c r="H1430" s="264" t="s">
        <v>6634</v>
      </c>
      <c r="I1430" s="264" t="s">
        <v>6633</v>
      </c>
      <c r="J1430" s="295" t="s">
        <v>6428</v>
      </c>
      <c r="K1430" s="295">
        <v>0</v>
      </c>
      <c r="L1430" s="295">
        <v>0</v>
      </c>
      <c r="O1430" s="266">
        <v>0</v>
      </c>
      <c r="R1430" s="265">
        <v>60</v>
      </c>
      <c r="S1430" s="265">
        <v>25</v>
      </c>
      <c r="T1430" s="265">
        <v>23</v>
      </c>
      <c r="U1430" s="265">
        <v>34</v>
      </c>
      <c r="V1430" s="259" t="s">
        <v>4159</v>
      </c>
      <c r="W1430" s="259" t="s">
        <v>3061</v>
      </c>
      <c r="Y1430" s="259">
        <v>517</v>
      </c>
      <c r="Z1430" s="259" t="s">
        <v>3037</v>
      </c>
      <c r="AA1430" s="259" t="e">
        <v>#N/A</v>
      </c>
      <c r="AB1430" s="259"/>
      <c r="AC1430" s="259"/>
      <c r="AD1430" s="259"/>
      <c r="AE1430" s="259"/>
    </row>
    <row r="1431" spans="1:31">
      <c r="A1431" s="259" t="s">
        <v>1526</v>
      </c>
      <c r="B1431" s="259" t="s">
        <v>80</v>
      </c>
      <c r="C1431" s="264" t="s">
        <v>6427</v>
      </c>
      <c r="D1431" s="264" t="s">
        <v>1526</v>
      </c>
      <c r="E1431" s="259" t="s">
        <v>6429</v>
      </c>
      <c r="F1431" s="259" t="s">
        <v>5021</v>
      </c>
      <c r="H1431" s="264" t="s">
        <v>6634</v>
      </c>
      <c r="I1431" s="264" t="s">
        <v>6633</v>
      </c>
      <c r="J1431" s="295" t="s">
        <v>6428</v>
      </c>
      <c r="K1431" s="295">
        <v>0</v>
      </c>
      <c r="L1431" s="295">
        <v>0</v>
      </c>
      <c r="O1431" s="266">
        <v>0</v>
      </c>
      <c r="R1431" s="265">
        <v>85</v>
      </c>
      <c r="S1431" s="265">
        <v>22.5</v>
      </c>
      <c r="T1431" s="265">
        <v>24.5</v>
      </c>
      <c r="U1431" s="265">
        <v>34</v>
      </c>
      <c r="V1431" s="259" t="s">
        <v>4159</v>
      </c>
      <c r="W1431" s="259" t="s">
        <v>3061</v>
      </c>
      <c r="Y1431" s="259">
        <v>518</v>
      </c>
      <c r="Z1431" s="259" t="s">
        <v>3037</v>
      </c>
      <c r="AA1431" s="259" t="e">
        <v>#N/A</v>
      </c>
      <c r="AB1431" s="259"/>
      <c r="AC1431" s="259"/>
      <c r="AD1431" s="259"/>
      <c r="AE1431" s="259"/>
    </row>
    <row r="1432" spans="1:31">
      <c r="A1432" s="259" t="s">
        <v>1527</v>
      </c>
      <c r="B1432" s="259" t="s">
        <v>80</v>
      </c>
      <c r="C1432" s="264" t="s">
        <v>108</v>
      </c>
      <c r="D1432" s="264" t="s">
        <v>1527</v>
      </c>
      <c r="E1432" s="259" t="s">
        <v>6393</v>
      </c>
      <c r="H1432" s="264" t="s">
        <v>6548</v>
      </c>
      <c r="I1432" s="264" t="s">
        <v>6635</v>
      </c>
      <c r="J1432" s="295">
        <v>3670</v>
      </c>
      <c r="K1432" s="295">
        <v>3670</v>
      </c>
      <c r="L1432" s="295">
        <v>1835</v>
      </c>
      <c r="O1432" s="266">
        <v>0</v>
      </c>
      <c r="P1432" s="266">
        <v>691991011467</v>
      </c>
      <c r="R1432" s="265">
        <v>68.25</v>
      </c>
      <c r="S1432" s="265">
        <v>21</v>
      </c>
      <c r="T1432" s="265">
        <v>18</v>
      </c>
      <c r="U1432" s="265">
        <v>32</v>
      </c>
      <c r="V1432" s="259" t="s">
        <v>4159</v>
      </c>
      <c r="W1432" s="259" t="s">
        <v>3061</v>
      </c>
      <c r="Y1432" s="259">
        <v>519</v>
      </c>
      <c r="Z1432" s="259" t="s">
        <v>3030</v>
      </c>
      <c r="AA1432" s="259" t="e">
        <v>#N/A</v>
      </c>
      <c r="AB1432" s="259"/>
      <c r="AC1432" s="259"/>
      <c r="AD1432" s="259"/>
      <c r="AE1432" s="259"/>
    </row>
    <row r="1433" spans="1:31">
      <c r="A1433" s="259" t="s">
        <v>1528</v>
      </c>
      <c r="B1433" s="259" t="s">
        <v>80</v>
      </c>
      <c r="C1433" s="264" t="s">
        <v>6438</v>
      </c>
      <c r="D1433" s="264" t="s">
        <v>1528</v>
      </c>
      <c r="E1433" s="259" t="s">
        <v>6393</v>
      </c>
      <c r="H1433" s="264" t="s">
        <v>6550</v>
      </c>
      <c r="I1433" s="264" t="s">
        <v>6636</v>
      </c>
      <c r="J1433" s="295">
        <v>3702.81</v>
      </c>
      <c r="K1433" s="295">
        <v>3702.81</v>
      </c>
      <c r="L1433" s="295">
        <v>1851.41</v>
      </c>
      <c r="O1433" s="266">
        <v>0</v>
      </c>
      <c r="P1433" s="266">
        <v>691991011474</v>
      </c>
      <c r="R1433" s="265">
        <v>66</v>
      </c>
      <c r="S1433" s="265">
        <v>21</v>
      </c>
      <c r="T1433" s="265">
        <v>18</v>
      </c>
      <c r="U1433" s="265">
        <v>32</v>
      </c>
      <c r="V1433" s="259" t="s">
        <v>4159</v>
      </c>
      <c r="W1433" s="259" t="s">
        <v>3061</v>
      </c>
      <c r="Y1433" s="259">
        <v>520</v>
      </c>
      <c r="Z1433" s="259" t="s">
        <v>3030</v>
      </c>
      <c r="AA1433" s="259" t="e">
        <v>#N/A</v>
      </c>
      <c r="AB1433" s="259"/>
      <c r="AC1433" s="259"/>
      <c r="AD1433" s="259"/>
      <c r="AE1433" s="259"/>
    </row>
    <row r="1434" spans="1:31">
      <c r="A1434" s="259" t="s">
        <v>1529</v>
      </c>
      <c r="B1434" s="259" t="s">
        <v>80</v>
      </c>
      <c r="C1434" s="264" t="s">
        <v>6438</v>
      </c>
      <c r="D1434" s="264" t="s">
        <v>1529</v>
      </c>
      <c r="E1434" s="259" t="s">
        <v>6429</v>
      </c>
      <c r="F1434" s="259" t="s">
        <v>5021</v>
      </c>
      <c r="H1434" s="264" t="s">
        <v>6550</v>
      </c>
      <c r="I1434" s="264" t="s">
        <v>6636</v>
      </c>
      <c r="J1434" s="295" t="s">
        <v>6428</v>
      </c>
      <c r="K1434" s="295">
        <v>0</v>
      </c>
      <c r="L1434" s="295">
        <v>0</v>
      </c>
      <c r="O1434" s="266">
        <v>0</v>
      </c>
      <c r="R1434" s="265">
        <v>0</v>
      </c>
      <c r="S1434" s="265">
        <v>0</v>
      </c>
      <c r="T1434" s="265">
        <v>0</v>
      </c>
      <c r="U1434" s="265">
        <v>0</v>
      </c>
      <c r="V1434" s="259" t="s">
        <v>4159</v>
      </c>
      <c r="W1434" s="259" t="s">
        <v>3061</v>
      </c>
      <c r="Y1434" s="259">
        <v>521</v>
      </c>
      <c r="Z1434" s="259" t="s">
        <v>3037</v>
      </c>
      <c r="AA1434" s="259" t="e">
        <v>#N/A</v>
      </c>
      <c r="AB1434" s="259"/>
      <c r="AC1434" s="259"/>
      <c r="AD1434" s="259"/>
      <c r="AE1434" s="259"/>
    </row>
    <row r="1435" spans="1:31">
      <c r="A1435" s="259" t="s">
        <v>1530</v>
      </c>
      <c r="B1435" s="259" t="s">
        <v>80</v>
      </c>
      <c r="C1435" s="264" t="s">
        <v>6427</v>
      </c>
      <c r="D1435" s="264" t="s">
        <v>1530</v>
      </c>
      <c r="E1435" s="259" t="s">
        <v>6429</v>
      </c>
      <c r="F1435" s="259" t="s">
        <v>5021</v>
      </c>
      <c r="H1435" s="264" t="s">
        <v>6550</v>
      </c>
      <c r="I1435" s="264" t="s">
        <v>6636</v>
      </c>
      <c r="J1435" s="295" t="s">
        <v>6428</v>
      </c>
      <c r="K1435" s="295">
        <v>0</v>
      </c>
      <c r="L1435" s="295">
        <v>0</v>
      </c>
      <c r="O1435" s="266">
        <v>0</v>
      </c>
      <c r="P1435" s="266">
        <v>691991011481</v>
      </c>
      <c r="R1435" s="265">
        <v>81.5</v>
      </c>
      <c r="S1435" s="265">
        <v>23</v>
      </c>
      <c r="T1435" s="265">
        <v>25</v>
      </c>
      <c r="U1435" s="265">
        <v>36</v>
      </c>
      <c r="V1435" s="259" t="s">
        <v>4159</v>
      </c>
      <c r="W1435" s="259" t="s">
        <v>3061</v>
      </c>
      <c r="Y1435" s="259">
        <v>522</v>
      </c>
      <c r="Z1435" s="259" t="s">
        <v>3037</v>
      </c>
      <c r="AA1435" s="259" t="e">
        <v>#N/A</v>
      </c>
      <c r="AB1435" s="259"/>
      <c r="AC1435" s="259"/>
      <c r="AD1435" s="259"/>
      <c r="AE1435" s="259"/>
    </row>
    <row r="1436" spans="1:31">
      <c r="A1436" s="259" t="s">
        <v>1531</v>
      </c>
      <c r="B1436" s="259" t="s">
        <v>80</v>
      </c>
      <c r="C1436" s="264" t="s">
        <v>108</v>
      </c>
      <c r="D1436" s="264" t="s">
        <v>1531</v>
      </c>
      <c r="E1436" s="259" t="s">
        <v>6393</v>
      </c>
      <c r="H1436" s="264" t="s">
        <v>6548</v>
      </c>
      <c r="I1436" s="264" t="s">
        <v>6637</v>
      </c>
      <c r="J1436" s="295">
        <v>3670</v>
      </c>
      <c r="K1436" s="295">
        <v>3670</v>
      </c>
      <c r="L1436" s="295">
        <v>1835</v>
      </c>
      <c r="O1436" s="266">
        <v>0</v>
      </c>
      <c r="P1436" s="266">
        <v>691991011498</v>
      </c>
      <c r="R1436" s="265">
        <v>67</v>
      </c>
      <c r="S1436" s="265">
        <v>22</v>
      </c>
      <c r="T1436" s="265">
        <v>18</v>
      </c>
      <c r="U1436" s="265">
        <v>32</v>
      </c>
      <c r="V1436" s="259" t="s">
        <v>4159</v>
      </c>
      <c r="W1436" s="259" t="s">
        <v>3061</v>
      </c>
      <c r="Y1436" s="259">
        <v>523</v>
      </c>
      <c r="Z1436" s="259" t="s">
        <v>3030</v>
      </c>
      <c r="AA1436" s="259" t="e">
        <v>#N/A</v>
      </c>
      <c r="AB1436" s="259"/>
      <c r="AC1436" s="259"/>
      <c r="AD1436" s="259"/>
      <c r="AE1436" s="259"/>
    </row>
    <row r="1437" spans="1:31">
      <c r="A1437" s="259" t="s">
        <v>1532</v>
      </c>
      <c r="B1437" s="259" t="s">
        <v>80</v>
      </c>
      <c r="C1437" s="264" t="s">
        <v>108</v>
      </c>
      <c r="D1437" s="264" t="s">
        <v>1532</v>
      </c>
      <c r="E1437" s="259" t="s">
        <v>6393</v>
      </c>
      <c r="H1437" s="264" t="s">
        <v>6550</v>
      </c>
      <c r="I1437" s="264" t="s">
        <v>6638</v>
      </c>
      <c r="J1437" s="295">
        <v>3670</v>
      </c>
      <c r="K1437" s="295">
        <v>3670</v>
      </c>
      <c r="L1437" s="295">
        <v>1835</v>
      </c>
      <c r="O1437" s="266">
        <v>0</v>
      </c>
      <c r="P1437" s="266">
        <v>691991011504</v>
      </c>
      <c r="R1437" s="265">
        <v>100</v>
      </c>
      <c r="S1437" s="265">
        <v>24</v>
      </c>
      <c r="T1437" s="265">
        <v>23</v>
      </c>
      <c r="U1437" s="265">
        <v>34</v>
      </c>
      <c r="V1437" s="259" t="s">
        <v>4159</v>
      </c>
      <c r="W1437" s="259" t="s">
        <v>3061</v>
      </c>
      <c r="Y1437" s="259">
        <v>524</v>
      </c>
      <c r="Z1437" s="259" t="s">
        <v>3030</v>
      </c>
      <c r="AA1437" s="259" t="e">
        <v>#N/A</v>
      </c>
      <c r="AB1437" s="259"/>
      <c r="AC1437" s="259"/>
      <c r="AD1437" s="259"/>
      <c r="AE1437" s="259"/>
    </row>
    <row r="1438" spans="1:31">
      <c r="A1438" s="259" t="s">
        <v>1533</v>
      </c>
      <c r="B1438" s="259" t="s">
        <v>80</v>
      </c>
      <c r="C1438" s="264" t="s">
        <v>6438</v>
      </c>
      <c r="D1438" s="264" t="s">
        <v>1533</v>
      </c>
      <c r="F1438" s="259" t="s">
        <v>5021</v>
      </c>
      <c r="H1438" s="264" t="s">
        <v>6552</v>
      </c>
      <c r="I1438" s="264" t="s">
        <v>6639</v>
      </c>
      <c r="J1438" s="295" t="s">
        <v>6428</v>
      </c>
      <c r="K1438" s="295">
        <v>0</v>
      </c>
      <c r="L1438" s="295">
        <v>0</v>
      </c>
      <c r="O1438" s="266">
        <v>0</v>
      </c>
      <c r="P1438" s="266">
        <v>691991011511</v>
      </c>
      <c r="R1438" s="265">
        <v>0</v>
      </c>
      <c r="S1438" s="265">
        <v>0</v>
      </c>
      <c r="T1438" s="265">
        <v>0</v>
      </c>
      <c r="U1438" s="265">
        <v>0</v>
      </c>
      <c r="V1438" s="259" t="s">
        <v>4159</v>
      </c>
      <c r="W1438" s="259" t="s">
        <v>3061</v>
      </c>
      <c r="Y1438" s="259">
        <v>525</v>
      </c>
      <c r="Z1438" s="259" t="s">
        <v>3037</v>
      </c>
      <c r="AA1438" s="259" t="e">
        <v>#N/A</v>
      </c>
      <c r="AB1438" s="259"/>
      <c r="AC1438" s="259"/>
      <c r="AD1438" s="259"/>
      <c r="AE1438" s="259"/>
    </row>
    <row r="1439" spans="1:31">
      <c r="A1439" s="259" t="s">
        <v>1534</v>
      </c>
      <c r="B1439" s="259" t="s">
        <v>80</v>
      </c>
      <c r="C1439" s="264" t="s">
        <v>6438</v>
      </c>
      <c r="D1439" s="264" t="s">
        <v>1534</v>
      </c>
      <c r="E1439" s="259" t="s">
        <v>6429</v>
      </c>
      <c r="F1439" s="259" t="s">
        <v>5021</v>
      </c>
      <c r="H1439" s="264" t="s">
        <v>6557</v>
      </c>
      <c r="I1439" s="264" t="s">
        <v>6640</v>
      </c>
      <c r="J1439" s="295" t="s">
        <v>6428</v>
      </c>
      <c r="K1439" s="295">
        <v>0</v>
      </c>
      <c r="L1439" s="295">
        <v>0</v>
      </c>
      <c r="O1439" s="266">
        <v>0</v>
      </c>
      <c r="P1439" s="266">
        <v>691991011528</v>
      </c>
      <c r="R1439" s="265">
        <v>0</v>
      </c>
      <c r="S1439" s="265">
        <v>0</v>
      </c>
      <c r="T1439" s="265">
        <v>0</v>
      </c>
      <c r="U1439" s="265">
        <v>0</v>
      </c>
      <c r="V1439" s="259" t="s">
        <v>4159</v>
      </c>
      <c r="W1439" s="259" t="s">
        <v>3061</v>
      </c>
      <c r="Y1439" s="259">
        <v>526</v>
      </c>
      <c r="Z1439" s="259" t="s">
        <v>3037</v>
      </c>
      <c r="AA1439" s="259" t="e">
        <v>#N/A</v>
      </c>
      <c r="AB1439" s="259"/>
      <c r="AC1439" s="259"/>
      <c r="AD1439" s="259"/>
      <c r="AE1439" s="259"/>
    </row>
    <row r="1440" spans="1:31">
      <c r="A1440" s="259" t="s">
        <v>1535</v>
      </c>
      <c r="B1440" s="259" t="s">
        <v>80</v>
      </c>
      <c r="C1440" s="264" t="s">
        <v>108</v>
      </c>
      <c r="D1440" s="264" t="s">
        <v>1535</v>
      </c>
      <c r="E1440" s="259" t="s">
        <v>6393</v>
      </c>
      <c r="H1440" s="264" t="s">
        <v>6548</v>
      </c>
      <c r="I1440" s="264" t="s">
        <v>6641</v>
      </c>
      <c r="J1440" s="295">
        <v>3670</v>
      </c>
      <c r="K1440" s="295">
        <v>3670</v>
      </c>
      <c r="L1440" s="295">
        <v>1835</v>
      </c>
      <c r="O1440" s="266">
        <v>0</v>
      </c>
      <c r="P1440" s="266">
        <v>691991011535</v>
      </c>
      <c r="R1440" s="265">
        <v>66</v>
      </c>
      <c r="S1440" s="265">
        <v>21</v>
      </c>
      <c r="T1440" s="265">
        <v>18</v>
      </c>
      <c r="U1440" s="265">
        <v>32</v>
      </c>
      <c r="V1440" s="259" t="s">
        <v>4159</v>
      </c>
      <c r="W1440" s="259" t="s">
        <v>3061</v>
      </c>
      <c r="Y1440" s="259">
        <v>527</v>
      </c>
      <c r="Z1440" s="259" t="s">
        <v>3030</v>
      </c>
      <c r="AA1440" s="259" t="e">
        <v>#N/A</v>
      </c>
      <c r="AB1440" s="259"/>
      <c r="AC1440" s="259"/>
      <c r="AD1440" s="259"/>
      <c r="AE1440" s="259"/>
    </row>
    <row r="1441" spans="1:31">
      <c r="A1441" s="259" t="s">
        <v>1536</v>
      </c>
      <c r="B1441" s="259" t="s">
        <v>80</v>
      </c>
      <c r="C1441" s="264" t="s">
        <v>108</v>
      </c>
      <c r="D1441" s="264" t="s">
        <v>1536</v>
      </c>
      <c r="E1441" s="259" t="s">
        <v>6393</v>
      </c>
      <c r="H1441" s="264" t="s">
        <v>6550</v>
      </c>
      <c r="I1441" s="264" t="s">
        <v>6642</v>
      </c>
      <c r="J1441" s="295">
        <v>3670</v>
      </c>
      <c r="K1441" s="295">
        <v>3670</v>
      </c>
      <c r="L1441" s="295">
        <v>1835</v>
      </c>
      <c r="O1441" s="266">
        <v>0</v>
      </c>
      <c r="P1441" s="266">
        <v>691991011542</v>
      </c>
      <c r="R1441" s="265">
        <v>67</v>
      </c>
      <c r="S1441" s="265">
        <v>22</v>
      </c>
      <c r="T1441" s="265">
        <v>18</v>
      </c>
      <c r="U1441" s="265">
        <v>33</v>
      </c>
      <c r="V1441" s="259" t="s">
        <v>4159</v>
      </c>
      <c r="W1441" s="259" t="s">
        <v>3061</v>
      </c>
      <c r="Y1441" s="259">
        <v>528</v>
      </c>
      <c r="Z1441" s="259" t="s">
        <v>3030</v>
      </c>
      <c r="AA1441" s="259" t="e">
        <v>#N/A</v>
      </c>
      <c r="AB1441" s="259"/>
      <c r="AC1441" s="259"/>
      <c r="AD1441" s="259"/>
      <c r="AE1441" s="259"/>
    </row>
    <row r="1442" spans="1:31">
      <c r="A1442" s="259" t="s">
        <v>1537</v>
      </c>
      <c r="B1442" s="259" t="s">
        <v>80</v>
      </c>
      <c r="C1442" s="264" t="s">
        <v>6427</v>
      </c>
      <c r="D1442" s="264" t="s">
        <v>1537</v>
      </c>
      <c r="E1442" s="259" t="s">
        <v>6429</v>
      </c>
      <c r="F1442" s="259" t="s">
        <v>5021</v>
      </c>
      <c r="H1442" s="264" t="s">
        <v>6550</v>
      </c>
      <c r="I1442" s="264" t="s">
        <v>6642</v>
      </c>
      <c r="J1442" s="295" t="s">
        <v>6428</v>
      </c>
      <c r="K1442" s="295">
        <v>0</v>
      </c>
      <c r="L1442" s="295">
        <v>0</v>
      </c>
      <c r="O1442" s="266">
        <v>0</v>
      </c>
      <c r="R1442" s="265">
        <v>102</v>
      </c>
      <c r="S1442" s="265">
        <v>33</v>
      </c>
      <c r="T1442" s="265">
        <v>32</v>
      </c>
      <c r="U1442" s="265">
        <v>35</v>
      </c>
      <c r="V1442" s="259" t="s">
        <v>4159</v>
      </c>
      <c r="W1442" s="259" t="s">
        <v>3061</v>
      </c>
      <c r="Y1442" s="259">
        <v>529</v>
      </c>
      <c r="Z1442" s="259" t="s">
        <v>3329</v>
      </c>
      <c r="AA1442" s="259" t="e">
        <v>#N/A</v>
      </c>
      <c r="AB1442" s="259"/>
      <c r="AC1442" s="259"/>
      <c r="AD1442" s="259"/>
      <c r="AE1442" s="259"/>
    </row>
    <row r="1443" spans="1:31">
      <c r="A1443" s="259" t="s">
        <v>1538</v>
      </c>
      <c r="B1443" s="259" t="s">
        <v>80</v>
      </c>
      <c r="C1443" s="264" t="s">
        <v>108</v>
      </c>
      <c r="D1443" s="264" t="s">
        <v>1538</v>
      </c>
      <c r="E1443" s="259" t="s">
        <v>6393</v>
      </c>
      <c r="F1443" s="259" t="s">
        <v>5021</v>
      </c>
      <c r="H1443" s="264" t="s">
        <v>6643</v>
      </c>
      <c r="I1443" s="264" t="s">
        <v>6644</v>
      </c>
      <c r="J1443" s="295">
        <v>5210</v>
      </c>
      <c r="K1443" s="295">
        <v>5210</v>
      </c>
      <c r="L1443" s="295">
        <v>2605</v>
      </c>
      <c r="O1443" s="266">
        <v>0</v>
      </c>
      <c r="P1443" s="266">
        <v>691991011559</v>
      </c>
      <c r="R1443" s="265">
        <v>101</v>
      </c>
      <c r="S1443" s="265">
        <v>38</v>
      </c>
      <c r="T1443" s="265">
        <v>23</v>
      </c>
      <c r="U1443" s="265">
        <v>26</v>
      </c>
      <c r="V1443" s="259" t="s">
        <v>4159</v>
      </c>
      <c r="W1443" s="259" t="s">
        <v>3061</v>
      </c>
      <c r="Y1443" s="259">
        <v>530</v>
      </c>
      <c r="Z1443" s="259" t="s">
        <v>3030</v>
      </c>
      <c r="AA1443" s="259" t="e">
        <v>#N/A</v>
      </c>
      <c r="AB1443" s="259"/>
      <c r="AC1443" s="259"/>
      <c r="AD1443" s="259"/>
      <c r="AE1443" s="259"/>
    </row>
    <row r="1444" spans="1:31">
      <c r="A1444" s="259" t="s">
        <v>1539</v>
      </c>
      <c r="B1444" s="259" t="s">
        <v>80</v>
      </c>
      <c r="C1444" s="264" t="s">
        <v>108</v>
      </c>
      <c r="D1444" s="264" t="s">
        <v>1538</v>
      </c>
      <c r="E1444" s="259" t="s">
        <v>6393</v>
      </c>
      <c r="F1444" s="259" t="s">
        <v>5021</v>
      </c>
      <c r="H1444" s="264" t="s">
        <v>6643</v>
      </c>
      <c r="I1444" s="264" t="s">
        <v>6644</v>
      </c>
      <c r="J1444" s="295">
        <v>5210</v>
      </c>
      <c r="K1444" s="295">
        <v>5210</v>
      </c>
      <c r="L1444" s="295">
        <v>2605</v>
      </c>
      <c r="O1444" s="266">
        <v>0</v>
      </c>
      <c r="P1444" s="266">
        <v>691991011566</v>
      </c>
      <c r="R1444" s="265">
        <v>101</v>
      </c>
      <c r="S1444" s="265">
        <v>38</v>
      </c>
      <c r="T1444" s="265">
        <v>23</v>
      </c>
      <c r="U1444" s="265">
        <v>26</v>
      </c>
      <c r="V1444" s="259" t="s">
        <v>4159</v>
      </c>
      <c r="W1444" s="259" t="s">
        <v>3061</v>
      </c>
      <c r="Y1444" s="259">
        <v>531</v>
      </c>
      <c r="Z1444" s="259" t="s">
        <v>3030</v>
      </c>
      <c r="AA1444" s="259" t="e">
        <v>#N/A</v>
      </c>
      <c r="AB1444" s="259"/>
      <c r="AC1444" s="259"/>
      <c r="AD1444" s="259"/>
      <c r="AE1444" s="259"/>
    </row>
    <row r="1445" spans="1:31">
      <c r="A1445" s="259" t="s">
        <v>1540</v>
      </c>
      <c r="B1445" s="259" t="s">
        <v>80</v>
      </c>
      <c r="C1445" s="264" t="s">
        <v>6438</v>
      </c>
      <c r="D1445" s="264" t="s">
        <v>1540</v>
      </c>
      <c r="F1445" s="259" t="s">
        <v>5021</v>
      </c>
      <c r="H1445" s="264" t="s">
        <v>6643</v>
      </c>
      <c r="I1445" s="264" t="s">
        <v>6645</v>
      </c>
      <c r="J1445" s="295" t="s">
        <v>6428</v>
      </c>
      <c r="K1445" s="295">
        <v>0</v>
      </c>
      <c r="L1445" s="295">
        <v>0</v>
      </c>
      <c r="O1445" s="266">
        <v>0</v>
      </c>
      <c r="P1445" s="266">
        <v>691991011573</v>
      </c>
      <c r="R1445" s="265">
        <v>0</v>
      </c>
      <c r="S1445" s="265">
        <v>0</v>
      </c>
      <c r="T1445" s="265">
        <v>0</v>
      </c>
      <c r="U1445" s="265">
        <v>0</v>
      </c>
      <c r="V1445" s="259" t="s">
        <v>4159</v>
      </c>
      <c r="W1445" s="259" t="s">
        <v>3061</v>
      </c>
      <c r="Y1445" s="259">
        <v>532</v>
      </c>
      <c r="Z1445" s="259" t="s">
        <v>3037</v>
      </c>
      <c r="AA1445" s="259" t="e">
        <v>#N/A</v>
      </c>
      <c r="AB1445" s="259"/>
      <c r="AC1445" s="259"/>
      <c r="AD1445" s="259"/>
      <c r="AE1445" s="259"/>
    </row>
    <row r="1446" spans="1:31">
      <c r="A1446" s="259" t="s">
        <v>1541</v>
      </c>
      <c r="B1446" s="259" t="s">
        <v>80</v>
      </c>
      <c r="C1446" s="264" t="s">
        <v>108</v>
      </c>
      <c r="D1446" s="264" t="s">
        <v>1541</v>
      </c>
      <c r="E1446" s="259" t="s">
        <v>6393</v>
      </c>
      <c r="F1446" s="259" t="s">
        <v>5021</v>
      </c>
      <c r="H1446" s="264" t="s">
        <v>6646</v>
      </c>
      <c r="I1446" s="264" t="s">
        <v>6647</v>
      </c>
      <c r="J1446" s="295">
        <v>5210</v>
      </c>
      <c r="K1446" s="295">
        <v>5210</v>
      </c>
      <c r="L1446" s="295">
        <v>2605</v>
      </c>
      <c r="O1446" s="266">
        <v>0</v>
      </c>
      <c r="P1446" s="266">
        <v>691991011597</v>
      </c>
      <c r="R1446" s="265">
        <v>110</v>
      </c>
      <c r="S1446" s="265">
        <v>30</v>
      </c>
      <c r="T1446" s="265">
        <v>26</v>
      </c>
      <c r="U1446" s="265">
        <v>40</v>
      </c>
      <c r="V1446" s="259" t="s">
        <v>4159</v>
      </c>
      <c r="W1446" s="259" t="s">
        <v>3061</v>
      </c>
      <c r="Y1446" s="259">
        <v>533</v>
      </c>
      <c r="Z1446" s="259" t="s">
        <v>3030</v>
      </c>
      <c r="AA1446" s="259" t="e">
        <v>#N/A</v>
      </c>
      <c r="AB1446" s="259"/>
      <c r="AC1446" s="259"/>
      <c r="AD1446" s="259"/>
      <c r="AE1446" s="259"/>
    </row>
    <row r="1447" spans="1:31">
      <c r="A1447" s="259" t="s">
        <v>1542</v>
      </c>
      <c r="B1447" s="259" t="s">
        <v>80</v>
      </c>
      <c r="C1447" s="264" t="s">
        <v>108</v>
      </c>
      <c r="D1447" s="264" t="s">
        <v>1542</v>
      </c>
      <c r="E1447" s="259" t="s">
        <v>6393</v>
      </c>
      <c r="F1447" s="259" t="s">
        <v>5021</v>
      </c>
      <c r="H1447" s="264" t="s">
        <v>6643</v>
      </c>
      <c r="I1447" s="264" t="s">
        <v>6647</v>
      </c>
      <c r="J1447" s="295">
        <v>5210</v>
      </c>
      <c r="K1447" s="295">
        <v>5210</v>
      </c>
      <c r="L1447" s="295">
        <v>2605</v>
      </c>
      <c r="O1447" s="266">
        <v>0</v>
      </c>
      <c r="P1447" s="266">
        <v>691991011603</v>
      </c>
      <c r="R1447" s="265">
        <v>113</v>
      </c>
      <c r="S1447" s="265">
        <v>30</v>
      </c>
      <c r="T1447" s="265">
        <v>26</v>
      </c>
      <c r="U1447" s="265">
        <v>40</v>
      </c>
      <c r="V1447" s="259" t="s">
        <v>4159</v>
      </c>
      <c r="W1447" s="259" t="s">
        <v>3061</v>
      </c>
      <c r="Y1447" s="259">
        <v>534</v>
      </c>
      <c r="Z1447" s="259" t="s">
        <v>3030</v>
      </c>
      <c r="AA1447" s="259" t="e">
        <v>#N/A</v>
      </c>
      <c r="AB1447" s="259"/>
      <c r="AC1447" s="259"/>
      <c r="AD1447" s="259"/>
      <c r="AE1447" s="259"/>
    </row>
    <row r="1448" spans="1:31">
      <c r="A1448" s="259" t="s">
        <v>1543</v>
      </c>
      <c r="B1448" s="259" t="s">
        <v>80</v>
      </c>
      <c r="C1448" s="264" t="s">
        <v>6427</v>
      </c>
      <c r="D1448" s="264" t="s">
        <v>1543</v>
      </c>
      <c r="E1448" s="259" t="s">
        <v>6429</v>
      </c>
      <c r="F1448" s="259" t="s">
        <v>5021</v>
      </c>
      <c r="H1448" s="264" t="s">
        <v>6643</v>
      </c>
      <c r="I1448" s="264" t="s">
        <v>6647</v>
      </c>
      <c r="J1448" s="295" t="s">
        <v>6428</v>
      </c>
      <c r="K1448" s="295">
        <v>0</v>
      </c>
      <c r="L1448" s="295">
        <v>0</v>
      </c>
      <c r="O1448" s="266">
        <v>0</v>
      </c>
      <c r="P1448" s="266">
        <v>691991011610</v>
      </c>
      <c r="R1448" s="265">
        <v>127</v>
      </c>
      <c r="S1448" s="265">
        <v>29</v>
      </c>
      <c r="T1448" s="265">
        <v>29</v>
      </c>
      <c r="U1448" s="265">
        <v>41</v>
      </c>
      <c r="V1448" s="259" t="s">
        <v>4159</v>
      </c>
      <c r="W1448" s="259" t="s">
        <v>3061</v>
      </c>
      <c r="Y1448" s="259">
        <v>535</v>
      </c>
      <c r="Z1448" s="259" t="s">
        <v>3329</v>
      </c>
      <c r="AA1448" s="259" t="e">
        <v>#N/A</v>
      </c>
      <c r="AB1448" s="259"/>
      <c r="AC1448" s="259"/>
      <c r="AD1448" s="259"/>
      <c r="AE1448" s="259"/>
    </row>
    <row r="1449" spans="1:31">
      <c r="A1449" s="259" t="s">
        <v>1544</v>
      </c>
      <c r="B1449" s="259" t="s">
        <v>80</v>
      </c>
      <c r="C1449" s="264" t="s">
        <v>6427</v>
      </c>
      <c r="D1449" s="264" t="s">
        <v>1544</v>
      </c>
      <c r="E1449" s="259" t="s">
        <v>6429</v>
      </c>
      <c r="F1449" s="259" t="s">
        <v>5021</v>
      </c>
      <c r="H1449" s="264" t="s">
        <v>6643</v>
      </c>
      <c r="I1449" s="264" t="s">
        <v>6647</v>
      </c>
      <c r="J1449" s="295" t="s">
        <v>6428</v>
      </c>
      <c r="K1449" s="295">
        <v>0</v>
      </c>
      <c r="L1449" s="295">
        <v>0</v>
      </c>
      <c r="O1449" s="266">
        <v>0</v>
      </c>
      <c r="P1449" s="266">
        <v>691991029790</v>
      </c>
      <c r="R1449" s="265">
        <v>0</v>
      </c>
      <c r="S1449" s="265">
        <v>0</v>
      </c>
      <c r="T1449" s="265">
        <v>0</v>
      </c>
      <c r="U1449" s="265">
        <v>0</v>
      </c>
      <c r="V1449" s="259" t="s">
        <v>4159</v>
      </c>
      <c r="W1449" s="259" t="s">
        <v>3061</v>
      </c>
      <c r="Y1449" s="259">
        <v>536</v>
      </c>
      <c r="Z1449" s="259" t="s">
        <v>3037</v>
      </c>
      <c r="AA1449" s="259" t="e">
        <v>#N/A</v>
      </c>
      <c r="AB1449" s="259"/>
      <c r="AC1449" s="259"/>
      <c r="AD1449" s="259"/>
      <c r="AE1449" s="259"/>
    </row>
    <row r="1450" spans="1:31">
      <c r="A1450" s="259" t="s">
        <v>1545</v>
      </c>
      <c r="B1450" s="259" t="s">
        <v>80</v>
      </c>
      <c r="C1450" s="264" t="s">
        <v>108</v>
      </c>
      <c r="D1450" s="264" t="s">
        <v>1545</v>
      </c>
      <c r="E1450" s="259" t="s">
        <v>6393</v>
      </c>
      <c r="H1450" s="264" t="s">
        <v>6648</v>
      </c>
      <c r="I1450" s="264" t="s">
        <v>6649</v>
      </c>
      <c r="J1450" s="295">
        <v>2245.5</v>
      </c>
      <c r="K1450" s="295">
        <v>2245.5</v>
      </c>
      <c r="L1450" s="295">
        <v>1122.75</v>
      </c>
      <c r="O1450" s="266">
        <v>0</v>
      </c>
      <c r="P1450" s="266">
        <v>691991000164</v>
      </c>
      <c r="R1450" s="265">
        <v>70</v>
      </c>
      <c r="S1450" s="265">
        <v>26</v>
      </c>
      <c r="T1450" s="265">
        <v>30</v>
      </c>
      <c r="U1450" s="265">
        <v>24</v>
      </c>
      <c r="V1450" s="259" t="s">
        <v>4159</v>
      </c>
      <c r="W1450" s="259" t="s">
        <v>3061</v>
      </c>
      <c r="Y1450" s="259">
        <v>537</v>
      </c>
      <c r="Z1450" s="259" t="s">
        <v>3030</v>
      </c>
      <c r="AA1450" s="259" t="e">
        <v>#N/A</v>
      </c>
      <c r="AB1450" s="259"/>
      <c r="AC1450" s="259"/>
      <c r="AD1450" s="259"/>
      <c r="AE1450" s="259"/>
    </row>
    <row r="1451" spans="1:31">
      <c r="A1451" s="259" t="s">
        <v>1546</v>
      </c>
      <c r="B1451" s="259" t="s">
        <v>80</v>
      </c>
      <c r="C1451" s="264" t="s">
        <v>108</v>
      </c>
      <c r="D1451" s="264" t="s">
        <v>1546</v>
      </c>
      <c r="E1451" s="259" t="s">
        <v>6393</v>
      </c>
      <c r="H1451" s="264" t="s">
        <v>6648</v>
      </c>
      <c r="I1451" s="264" t="s">
        <v>6649</v>
      </c>
      <c r="J1451" s="295">
        <v>2245.5</v>
      </c>
      <c r="K1451" s="295">
        <v>2245.5</v>
      </c>
      <c r="L1451" s="295">
        <v>1122.75</v>
      </c>
      <c r="O1451" s="266">
        <v>0</v>
      </c>
      <c r="P1451" s="266">
        <v>691991010927</v>
      </c>
      <c r="R1451" s="265">
        <v>70</v>
      </c>
      <c r="S1451" s="265">
        <v>26</v>
      </c>
      <c r="T1451" s="265">
        <v>26</v>
      </c>
      <c r="U1451" s="265">
        <v>24</v>
      </c>
      <c r="V1451" s="259" t="s">
        <v>4159</v>
      </c>
      <c r="W1451" s="259" t="s">
        <v>3061</v>
      </c>
      <c r="Y1451" s="259">
        <v>538</v>
      </c>
      <c r="Z1451" s="259" t="s">
        <v>3030</v>
      </c>
      <c r="AA1451" s="259" t="e">
        <v>#N/A</v>
      </c>
      <c r="AB1451" s="259"/>
      <c r="AC1451" s="259"/>
      <c r="AD1451" s="259"/>
      <c r="AE1451" s="259"/>
    </row>
    <row r="1452" spans="1:31">
      <c r="A1452" s="259" t="s">
        <v>1547</v>
      </c>
      <c r="B1452" s="259" t="s">
        <v>80</v>
      </c>
      <c r="C1452" s="264" t="s">
        <v>6438</v>
      </c>
      <c r="D1452" s="264" t="s">
        <v>1547</v>
      </c>
      <c r="E1452" s="259" t="s">
        <v>6429</v>
      </c>
      <c r="F1452" s="259" t="s">
        <v>5021</v>
      </c>
      <c r="H1452" s="264" t="s">
        <v>6648</v>
      </c>
      <c r="I1452" s="264" t="s">
        <v>6650</v>
      </c>
      <c r="J1452" s="295" t="s">
        <v>6428</v>
      </c>
      <c r="K1452" s="295">
        <v>0</v>
      </c>
      <c r="L1452" s="295">
        <v>0</v>
      </c>
      <c r="O1452" s="266">
        <v>0</v>
      </c>
      <c r="P1452" s="266">
        <v>691991010934</v>
      </c>
      <c r="R1452" s="265">
        <v>57</v>
      </c>
      <c r="S1452" s="265">
        <v>29.5</v>
      </c>
      <c r="T1452" s="265">
        <v>26.5</v>
      </c>
      <c r="U1452" s="265">
        <v>24</v>
      </c>
      <c r="V1452" s="259" t="s">
        <v>4159</v>
      </c>
      <c r="W1452" s="259" t="s">
        <v>3061</v>
      </c>
      <c r="Y1452" s="259">
        <v>539</v>
      </c>
      <c r="Z1452" s="259" t="s">
        <v>3037</v>
      </c>
      <c r="AA1452" s="259" t="e">
        <v>#N/A</v>
      </c>
      <c r="AB1452" s="259"/>
      <c r="AC1452" s="259"/>
      <c r="AD1452" s="259"/>
      <c r="AE1452" s="259"/>
    </row>
    <row r="1453" spans="1:31">
      <c r="A1453" s="259" t="s">
        <v>1548</v>
      </c>
      <c r="B1453" s="259" t="s">
        <v>80</v>
      </c>
      <c r="C1453" s="264" t="s">
        <v>6438</v>
      </c>
      <c r="D1453" s="264" t="s">
        <v>1548</v>
      </c>
      <c r="E1453" s="259" t="s">
        <v>6429</v>
      </c>
      <c r="F1453" s="259" t="s">
        <v>5021</v>
      </c>
      <c r="H1453" s="264" t="s">
        <v>6648</v>
      </c>
      <c r="I1453" s="264" t="s">
        <v>6651</v>
      </c>
      <c r="J1453" s="295" t="s">
        <v>6428</v>
      </c>
      <c r="K1453" s="295">
        <v>0</v>
      </c>
      <c r="L1453" s="295">
        <v>0</v>
      </c>
      <c r="O1453" s="266">
        <v>0</v>
      </c>
      <c r="P1453" s="266">
        <v>691991010941</v>
      </c>
      <c r="R1453" s="265">
        <v>0</v>
      </c>
      <c r="S1453" s="265">
        <v>0</v>
      </c>
      <c r="T1453" s="265">
        <v>0</v>
      </c>
      <c r="U1453" s="265">
        <v>0</v>
      </c>
      <c r="V1453" s="259" t="s">
        <v>4159</v>
      </c>
      <c r="W1453" s="259" t="s">
        <v>3061</v>
      </c>
      <c r="Y1453" s="259">
        <v>540</v>
      </c>
      <c r="Z1453" s="259" t="s">
        <v>3037</v>
      </c>
      <c r="AA1453" s="259" t="e">
        <v>#N/A</v>
      </c>
      <c r="AB1453" s="259"/>
      <c r="AC1453" s="259"/>
      <c r="AD1453" s="259"/>
      <c r="AE1453" s="259"/>
    </row>
    <row r="1454" spans="1:31">
      <c r="A1454" s="259" t="s">
        <v>1549</v>
      </c>
      <c r="B1454" s="259" t="s">
        <v>80</v>
      </c>
      <c r="C1454" s="264" t="s">
        <v>108</v>
      </c>
      <c r="D1454" s="264" t="s">
        <v>1549</v>
      </c>
      <c r="E1454" s="259" t="s">
        <v>6393</v>
      </c>
      <c r="H1454" s="264" t="s">
        <v>6596</v>
      </c>
      <c r="I1454" s="264" t="s">
        <v>6652</v>
      </c>
      <c r="J1454" s="295">
        <v>4330</v>
      </c>
      <c r="K1454" s="295">
        <v>4330</v>
      </c>
      <c r="L1454" s="295">
        <v>2165</v>
      </c>
      <c r="O1454" s="266">
        <v>0</v>
      </c>
      <c r="P1454" s="266">
        <v>691991011801</v>
      </c>
      <c r="R1454" s="265">
        <v>108.4</v>
      </c>
      <c r="S1454" s="265">
        <v>36</v>
      </c>
      <c r="T1454" s="265">
        <v>26</v>
      </c>
      <c r="U1454" s="265">
        <v>24</v>
      </c>
      <c r="V1454" s="259" t="s">
        <v>4159</v>
      </c>
      <c r="W1454" s="259" t="s">
        <v>3061</v>
      </c>
      <c r="Y1454" s="259">
        <v>541</v>
      </c>
      <c r="Z1454" s="259" t="s">
        <v>3030</v>
      </c>
      <c r="AA1454" s="259" t="e">
        <v>#N/A</v>
      </c>
      <c r="AB1454" s="259"/>
      <c r="AC1454" s="259"/>
      <c r="AD1454" s="259"/>
      <c r="AE1454" s="259"/>
    </row>
    <row r="1455" spans="1:31">
      <c r="A1455" s="259" t="s">
        <v>1550</v>
      </c>
      <c r="B1455" s="259" t="s">
        <v>80</v>
      </c>
      <c r="C1455" s="264" t="s">
        <v>108</v>
      </c>
      <c r="D1455" s="264" t="s">
        <v>1550</v>
      </c>
      <c r="E1455" s="259" t="s">
        <v>6393</v>
      </c>
      <c r="H1455" s="264" t="s">
        <v>6598</v>
      </c>
      <c r="I1455" s="264" t="s">
        <v>6653</v>
      </c>
      <c r="J1455" s="295">
        <v>4330</v>
      </c>
      <c r="K1455" s="295">
        <v>4330</v>
      </c>
      <c r="L1455" s="295">
        <v>2165</v>
      </c>
      <c r="O1455" s="266">
        <v>0</v>
      </c>
      <c r="P1455" s="266">
        <v>691991011818</v>
      </c>
      <c r="R1455" s="265">
        <v>125</v>
      </c>
      <c r="S1455" s="265">
        <v>35</v>
      </c>
      <c r="T1455" s="265">
        <v>26</v>
      </c>
      <c r="U1455" s="265">
        <v>24</v>
      </c>
      <c r="V1455" s="259" t="s">
        <v>4159</v>
      </c>
      <c r="W1455" s="259" t="s">
        <v>3061</v>
      </c>
      <c r="Y1455" s="259">
        <v>542</v>
      </c>
      <c r="Z1455" s="259" t="s">
        <v>3030</v>
      </c>
      <c r="AA1455" s="259" t="e">
        <v>#N/A</v>
      </c>
      <c r="AB1455" s="259"/>
      <c r="AC1455" s="259"/>
      <c r="AD1455" s="259"/>
      <c r="AE1455" s="259"/>
    </row>
    <row r="1456" spans="1:31">
      <c r="A1456" s="259" t="s">
        <v>1551</v>
      </c>
      <c r="B1456" s="259" t="s">
        <v>80</v>
      </c>
      <c r="C1456" s="264" t="s">
        <v>6438</v>
      </c>
      <c r="D1456" s="264" t="s">
        <v>1551</v>
      </c>
      <c r="E1456" s="259" t="s">
        <v>6429</v>
      </c>
      <c r="F1456" s="259" t="s">
        <v>5021</v>
      </c>
      <c r="H1456" s="264" t="s">
        <v>6600</v>
      </c>
      <c r="I1456" s="264" t="s">
        <v>6654</v>
      </c>
      <c r="J1456" s="295" t="s">
        <v>6428</v>
      </c>
      <c r="K1456" s="295">
        <v>0</v>
      </c>
      <c r="L1456" s="295">
        <v>0</v>
      </c>
      <c r="O1456" s="266">
        <v>0</v>
      </c>
      <c r="R1456" s="265">
        <v>130</v>
      </c>
      <c r="S1456" s="265">
        <v>29</v>
      </c>
      <c r="T1456" s="265">
        <v>35</v>
      </c>
      <c r="U1456" s="265">
        <v>26.5</v>
      </c>
      <c r="V1456" s="259" t="s">
        <v>4159</v>
      </c>
      <c r="W1456" s="259" t="s">
        <v>3061</v>
      </c>
      <c r="Y1456" s="259">
        <v>543</v>
      </c>
      <c r="Z1456" s="259" t="s">
        <v>3037</v>
      </c>
      <c r="AA1456" s="259" t="e">
        <v>#N/A</v>
      </c>
      <c r="AB1456" s="259"/>
      <c r="AC1456" s="259"/>
      <c r="AD1456" s="259"/>
      <c r="AE1456" s="259"/>
    </row>
    <row r="1457" spans="1:31">
      <c r="A1457" s="259" t="s">
        <v>1552</v>
      </c>
      <c r="B1457" s="259" t="s">
        <v>80</v>
      </c>
      <c r="C1457" s="264" t="s">
        <v>6438</v>
      </c>
      <c r="D1457" s="264" t="s">
        <v>1552</v>
      </c>
      <c r="E1457" s="259" t="s">
        <v>6429</v>
      </c>
      <c r="F1457" s="259" t="s">
        <v>5021</v>
      </c>
      <c r="H1457" s="264" t="s">
        <v>6600</v>
      </c>
      <c r="I1457" s="264" t="s">
        <v>6654</v>
      </c>
      <c r="J1457" s="295" t="s">
        <v>6428</v>
      </c>
      <c r="K1457" s="295">
        <v>0</v>
      </c>
      <c r="L1457" s="295">
        <v>0</v>
      </c>
      <c r="O1457" s="266">
        <v>0</v>
      </c>
      <c r="P1457" s="266">
        <v>691991029912</v>
      </c>
      <c r="R1457" s="265">
        <v>65</v>
      </c>
      <c r="S1457" s="265">
        <v>25</v>
      </c>
      <c r="T1457" s="265">
        <v>29</v>
      </c>
      <c r="U1457" s="265">
        <v>34</v>
      </c>
      <c r="V1457" s="259" t="s">
        <v>4159</v>
      </c>
      <c r="W1457" s="259" t="s">
        <v>3061</v>
      </c>
      <c r="Y1457" s="259">
        <v>544</v>
      </c>
      <c r="Z1457" s="259" t="s">
        <v>3037</v>
      </c>
      <c r="AA1457" s="259" t="e">
        <v>#N/A</v>
      </c>
      <c r="AB1457" s="259"/>
      <c r="AC1457" s="259"/>
      <c r="AD1457" s="259"/>
      <c r="AE1457" s="259"/>
    </row>
    <row r="1458" spans="1:31">
      <c r="A1458" s="259" t="s">
        <v>1553</v>
      </c>
      <c r="B1458" s="259" t="s">
        <v>80</v>
      </c>
      <c r="C1458" s="264" t="s">
        <v>108</v>
      </c>
      <c r="D1458" s="264" t="s">
        <v>1553</v>
      </c>
      <c r="E1458" s="259" t="s">
        <v>6393</v>
      </c>
      <c r="H1458" s="264" t="s">
        <v>6542</v>
      </c>
      <c r="I1458" s="264" t="s">
        <v>6655</v>
      </c>
      <c r="J1458" s="295">
        <v>7600</v>
      </c>
      <c r="K1458" s="295">
        <v>7600</v>
      </c>
      <c r="L1458" s="295">
        <v>3800</v>
      </c>
      <c r="O1458" s="266">
        <v>0</v>
      </c>
      <c r="P1458" s="266">
        <v>691991011832</v>
      </c>
      <c r="R1458" s="265">
        <v>158.5</v>
      </c>
      <c r="S1458" s="265">
        <v>36</v>
      </c>
      <c r="T1458" s="265">
        <v>26</v>
      </c>
      <c r="U1458" s="265">
        <v>46</v>
      </c>
      <c r="V1458" s="259" t="s">
        <v>4159</v>
      </c>
      <c r="W1458" s="259" t="s">
        <v>3061</v>
      </c>
      <c r="Y1458" s="259">
        <v>545</v>
      </c>
      <c r="Z1458" s="259" t="s">
        <v>3030</v>
      </c>
      <c r="AA1458" s="259" t="e">
        <v>#N/A</v>
      </c>
      <c r="AB1458" s="259"/>
      <c r="AC1458" s="259"/>
      <c r="AD1458" s="259"/>
      <c r="AE1458" s="259"/>
    </row>
    <row r="1459" spans="1:31">
      <c r="A1459" s="259" t="s">
        <v>1554</v>
      </c>
      <c r="B1459" s="259" t="s">
        <v>80</v>
      </c>
      <c r="C1459" s="264" t="s">
        <v>108</v>
      </c>
      <c r="D1459" s="264" t="s">
        <v>1554</v>
      </c>
      <c r="E1459" s="259" t="s">
        <v>6393</v>
      </c>
      <c r="H1459" s="264" t="s">
        <v>6544</v>
      </c>
      <c r="I1459" s="264" t="s">
        <v>6656</v>
      </c>
      <c r="J1459" s="295">
        <v>7600</v>
      </c>
      <c r="K1459" s="295">
        <v>7600</v>
      </c>
      <c r="L1459" s="295">
        <v>3800</v>
      </c>
      <c r="O1459" s="266">
        <v>0</v>
      </c>
      <c r="P1459" s="266">
        <v>691991011849</v>
      </c>
      <c r="R1459" s="265">
        <v>158</v>
      </c>
      <c r="S1459" s="265">
        <v>36</v>
      </c>
      <c r="T1459" s="265">
        <v>26</v>
      </c>
      <c r="U1459" s="265">
        <v>46</v>
      </c>
      <c r="V1459" s="259" t="s">
        <v>4159</v>
      </c>
      <c r="W1459" s="259" t="s">
        <v>3061</v>
      </c>
      <c r="Y1459" s="259">
        <v>546</v>
      </c>
      <c r="Z1459" s="259" t="s">
        <v>3037</v>
      </c>
      <c r="AA1459" s="259" t="e">
        <v>#N/A</v>
      </c>
      <c r="AB1459" s="259"/>
      <c r="AC1459" s="259"/>
      <c r="AD1459" s="259"/>
      <c r="AE1459" s="259"/>
    </row>
    <row r="1460" spans="1:31">
      <c r="A1460" s="259" t="s">
        <v>1555</v>
      </c>
      <c r="B1460" s="259" t="s">
        <v>80</v>
      </c>
      <c r="C1460" s="264" t="s">
        <v>6438</v>
      </c>
      <c r="D1460" s="264" t="s">
        <v>1555</v>
      </c>
      <c r="E1460" s="259" t="s">
        <v>6429</v>
      </c>
      <c r="F1460" s="259" t="s">
        <v>5021</v>
      </c>
      <c r="H1460" s="264" t="s">
        <v>6657</v>
      </c>
      <c r="I1460" s="264" t="s">
        <v>6656</v>
      </c>
      <c r="J1460" s="295" t="s">
        <v>6428</v>
      </c>
      <c r="K1460" s="295">
        <v>0</v>
      </c>
      <c r="L1460" s="295">
        <v>0</v>
      </c>
      <c r="O1460" s="266">
        <v>0</v>
      </c>
      <c r="R1460" s="265">
        <v>209</v>
      </c>
      <c r="S1460" s="265">
        <v>29</v>
      </c>
      <c r="T1460" s="265">
        <v>48</v>
      </c>
      <c r="U1460" s="265">
        <v>34</v>
      </c>
      <c r="V1460" s="259" t="s">
        <v>4159</v>
      </c>
      <c r="W1460" s="259" t="s">
        <v>3061</v>
      </c>
      <c r="Y1460" s="259">
        <v>547</v>
      </c>
      <c r="Z1460" s="259" t="s">
        <v>3037</v>
      </c>
      <c r="AA1460" s="259" t="e">
        <v>#N/A</v>
      </c>
      <c r="AB1460" s="259"/>
      <c r="AC1460" s="259"/>
      <c r="AD1460" s="259"/>
      <c r="AE1460" s="259"/>
    </row>
    <row r="1461" spans="1:31">
      <c r="A1461" s="259" t="s">
        <v>1556</v>
      </c>
      <c r="B1461" s="259" t="s">
        <v>80</v>
      </c>
      <c r="C1461" s="264" t="s">
        <v>6438</v>
      </c>
      <c r="D1461" s="264" t="s">
        <v>1556</v>
      </c>
      <c r="E1461" s="259" t="s">
        <v>6429</v>
      </c>
      <c r="F1461" s="259" t="s">
        <v>5021</v>
      </c>
      <c r="H1461" s="264" t="s">
        <v>6657</v>
      </c>
      <c r="I1461" s="264" t="s">
        <v>6656</v>
      </c>
      <c r="J1461" s="295" t="s">
        <v>6428</v>
      </c>
      <c r="K1461" s="295">
        <v>0</v>
      </c>
      <c r="L1461" s="295">
        <v>0</v>
      </c>
      <c r="O1461" s="266">
        <v>0</v>
      </c>
      <c r="P1461" s="266">
        <v>691991039164</v>
      </c>
      <c r="R1461" s="265">
        <v>209</v>
      </c>
      <c r="S1461" s="265">
        <v>34.5</v>
      </c>
      <c r="T1461" s="265">
        <v>29</v>
      </c>
      <c r="U1461" s="265">
        <v>48.5</v>
      </c>
      <c r="V1461" s="259" t="s">
        <v>4159</v>
      </c>
      <c r="W1461" s="259" t="s">
        <v>3061</v>
      </c>
      <c r="Y1461" s="259">
        <v>548</v>
      </c>
      <c r="Z1461" s="259" t="s">
        <v>3037</v>
      </c>
      <c r="AA1461" s="259" t="e">
        <v>#N/A</v>
      </c>
      <c r="AB1461" s="259"/>
      <c r="AC1461" s="259"/>
      <c r="AD1461" s="259"/>
      <c r="AE1461" s="259"/>
    </row>
    <row r="1462" spans="1:31">
      <c r="A1462" s="259" t="s">
        <v>1557</v>
      </c>
      <c r="B1462" s="259" t="s">
        <v>80</v>
      </c>
      <c r="C1462" s="264" t="s">
        <v>108</v>
      </c>
      <c r="D1462" s="264" t="s">
        <v>1557</v>
      </c>
      <c r="E1462" s="259" t="s">
        <v>6393</v>
      </c>
      <c r="H1462" s="264" t="s">
        <v>6658</v>
      </c>
      <c r="I1462" s="264" t="s">
        <v>6659</v>
      </c>
      <c r="J1462" s="295">
        <v>3346.42</v>
      </c>
      <c r="K1462" s="295">
        <v>3346.42</v>
      </c>
      <c r="L1462" s="295">
        <v>1673.21</v>
      </c>
      <c r="O1462" s="266">
        <v>0</v>
      </c>
      <c r="P1462" s="266">
        <v>691991007569</v>
      </c>
      <c r="R1462" s="265">
        <v>66.849999999999994</v>
      </c>
      <c r="S1462" s="265">
        <v>18</v>
      </c>
      <c r="T1462" s="265">
        <v>16</v>
      </c>
      <c r="U1462" s="265">
        <v>34</v>
      </c>
      <c r="V1462" s="259" t="s">
        <v>4159</v>
      </c>
      <c r="W1462" s="259" t="s">
        <v>3061</v>
      </c>
      <c r="Y1462" s="259">
        <v>549</v>
      </c>
      <c r="Z1462" s="259" t="s">
        <v>3030</v>
      </c>
      <c r="AA1462" s="259" t="e">
        <v>#N/A</v>
      </c>
      <c r="AB1462" s="259"/>
      <c r="AC1462" s="259"/>
      <c r="AD1462" s="259"/>
      <c r="AE1462" s="259"/>
    </row>
    <row r="1463" spans="1:31">
      <c r="A1463" s="259" t="s">
        <v>1558</v>
      </c>
      <c r="B1463" s="259" t="s">
        <v>80</v>
      </c>
      <c r="C1463" s="264" t="s">
        <v>108</v>
      </c>
      <c r="D1463" s="264" t="s">
        <v>1558</v>
      </c>
      <c r="E1463" s="259" t="s">
        <v>6393</v>
      </c>
      <c r="H1463" s="264" t="s">
        <v>6660</v>
      </c>
      <c r="I1463" s="264" t="s">
        <v>6659</v>
      </c>
      <c r="J1463" s="295">
        <v>3346.42</v>
      </c>
      <c r="K1463" s="295">
        <v>3346.42</v>
      </c>
      <c r="L1463" s="295">
        <v>1673.21</v>
      </c>
      <c r="O1463" s="266">
        <v>0</v>
      </c>
      <c r="P1463" s="266">
        <v>691991007576</v>
      </c>
      <c r="R1463" s="265">
        <v>66.849999999999994</v>
      </c>
      <c r="S1463" s="265">
        <v>16</v>
      </c>
      <c r="T1463" s="265">
        <v>18</v>
      </c>
      <c r="U1463" s="265">
        <v>34</v>
      </c>
      <c r="V1463" s="259" t="s">
        <v>4159</v>
      </c>
      <c r="W1463" s="259" t="s">
        <v>3061</v>
      </c>
      <c r="Y1463" s="259">
        <v>550</v>
      </c>
      <c r="Z1463" s="259" t="s">
        <v>3030</v>
      </c>
      <c r="AA1463" s="259" t="e">
        <v>#N/A</v>
      </c>
      <c r="AB1463" s="259"/>
      <c r="AC1463" s="259"/>
      <c r="AD1463" s="259"/>
      <c r="AE1463" s="259"/>
    </row>
    <row r="1464" spans="1:31">
      <c r="A1464" s="259" t="s">
        <v>1559</v>
      </c>
      <c r="B1464" s="259" t="s">
        <v>80</v>
      </c>
      <c r="C1464" s="264" t="s">
        <v>6438</v>
      </c>
      <c r="D1464" s="264" t="s">
        <v>1559</v>
      </c>
      <c r="F1464" s="259" t="s">
        <v>5021</v>
      </c>
      <c r="H1464" s="264" t="s">
        <v>6661</v>
      </c>
      <c r="I1464" s="264" t="s">
        <v>6662</v>
      </c>
      <c r="J1464" s="295" t="s">
        <v>6428</v>
      </c>
      <c r="K1464" s="295">
        <v>0</v>
      </c>
      <c r="L1464" s="295">
        <v>0</v>
      </c>
      <c r="O1464" s="266">
        <v>0</v>
      </c>
      <c r="P1464" s="266">
        <v>691991013867</v>
      </c>
      <c r="R1464" s="265">
        <v>0</v>
      </c>
      <c r="S1464" s="265">
        <v>0</v>
      </c>
      <c r="T1464" s="265">
        <v>0</v>
      </c>
      <c r="U1464" s="265">
        <v>0</v>
      </c>
      <c r="V1464" s="259" t="s">
        <v>4159</v>
      </c>
      <c r="Y1464" s="259">
        <v>551</v>
      </c>
      <c r="Z1464" s="259" t="s">
        <v>3037</v>
      </c>
      <c r="AA1464" s="259" t="e">
        <v>#N/A</v>
      </c>
      <c r="AB1464" s="259"/>
      <c r="AC1464" s="259"/>
      <c r="AD1464" s="259"/>
      <c r="AE1464" s="259"/>
    </row>
    <row r="1465" spans="1:31">
      <c r="A1465" s="259" t="s">
        <v>1560</v>
      </c>
      <c r="B1465" s="259" t="s">
        <v>80</v>
      </c>
      <c r="C1465" s="264" t="s">
        <v>6438</v>
      </c>
      <c r="D1465" s="264" t="s">
        <v>1560</v>
      </c>
      <c r="E1465" s="259" t="s">
        <v>6429</v>
      </c>
      <c r="F1465" s="259" t="s">
        <v>5021</v>
      </c>
      <c r="H1465" s="264" t="s">
        <v>6661</v>
      </c>
      <c r="I1465" s="264" t="s">
        <v>6662</v>
      </c>
      <c r="J1465" s="295" t="s">
        <v>6428</v>
      </c>
      <c r="K1465" s="295">
        <v>0</v>
      </c>
      <c r="L1465" s="295">
        <v>0</v>
      </c>
      <c r="O1465" s="266">
        <v>0</v>
      </c>
      <c r="R1465" s="265">
        <v>75</v>
      </c>
      <c r="S1465" s="265">
        <v>17.5</v>
      </c>
      <c r="T1465" s="265">
        <v>16</v>
      </c>
      <c r="U1465" s="265">
        <v>34</v>
      </c>
      <c r="V1465" s="259" t="s">
        <v>4159</v>
      </c>
      <c r="Y1465" s="259">
        <v>552</v>
      </c>
      <c r="Z1465" s="259" t="s">
        <v>3037</v>
      </c>
      <c r="AA1465" s="259" t="e">
        <v>#N/A</v>
      </c>
      <c r="AB1465" s="259"/>
      <c r="AC1465" s="259"/>
      <c r="AD1465" s="259"/>
      <c r="AE1465" s="259"/>
    </row>
    <row r="1466" spans="1:31">
      <c r="A1466" s="259" t="s">
        <v>1561</v>
      </c>
      <c r="B1466" s="259" t="s">
        <v>80</v>
      </c>
      <c r="C1466" s="264"/>
      <c r="D1466" s="264"/>
      <c r="H1466" s="264"/>
      <c r="I1466" s="264"/>
      <c r="J1466" s="295">
        <v>0</v>
      </c>
      <c r="K1466" s="295">
        <v>0</v>
      </c>
      <c r="L1466" s="295">
        <v>0</v>
      </c>
      <c r="O1466" s="266"/>
      <c r="R1466" s="265">
        <v>0</v>
      </c>
      <c r="S1466" s="265">
        <v>0</v>
      </c>
      <c r="T1466" s="265">
        <v>0</v>
      </c>
      <c r="U1466" s="265">
        <v>0</v>
      </c>
      <c r="V1466" s="259" t="s">
        <v>3834</v>
      </c>
      <c r="W1466" s="259" t="s">
        <v>3061</v>
      </c>
      <c r="Y1466" s="259">
        <v>553</v>
      </c>
      <c r="AA1466" s="259" t="e">
        <v>#N/A</v>
      </c>
      <c r="AB1466" s="259"/>
      <c r="AC1466" s="259"/>
      <c r="AD1466" s="259"/>
      <c r="AE1466" s="259"/>
    </row>
    <row r="1467" spans="1:31">
      <c r="A1467" s="259" t="s">
        <v>1562</v>
      </c>
      <c r="B1467" s="259" t="s">
        <v>80</v>
      </c>
      <c r="C1467" s="264" t="s">
        <v>108</v>
      </c>
      <c r="D1467" s="264" t="s">
        <v>1562</v>
      </c>
      <c r="E1467" s="259" t="s">
        <v>6393</v>
      </c>
      <c r="H1467" s="264" t="s">
        <v>6663</v>
      </c>
      <c r="I1467" s="264" t="s">
        <v>6664</v>
      </c>
      <c r="J1467" s="295">
        <v>290</v>
      </c>
      <c r="K1467" s="295">
        <v>290</v>
      </c>
      <c r="L1467" s="295">
        <v>145</v>
      </c>
      <c r="O1467" s="266">
        <v>0</v>
      </c>
      <c r="P1467" s="266">
        <v>691991012228</v>
      </c>
      <c r="R1467" s="265">
        <v>10.5</v>
      </c>
      <c r="S1467" s="265">
        <v>15</v>
      </c>
      <c r="T1467" s="265">
        <v>33.5</v>
      </c>
      <c r="U1467" s="265">
        <v>4.5</v>
      </c>
      <c r="V1467" s="259" t="s">
        <v>3834</v>
      </c>
      <c r="W1467" s="259" t="s">
        <v>3061</v>
      </c>
      <c r="Y1467" s="259">
        <v>554</v>
      </c>
      <c r="Z1467" s="259" t="s">
        <v>3030</v>
      </c>
      <c r="AA1467" s="259" t="e">
        <v>#N/A</v>
      </c>
      <c r="AB1467" s="259"/>
      <c r="AC1467" s="259"/>
      <c r="AD1467" s="259"/>
      <c r="AE1467" s="259"/>
    </row>
    <row r="1468" spans="1:31">
      <c r="A1468" s="259" t="s">
        <v>1563</v>
      </c>
      <c r="B1468" s="259" t="s">
        <v>80</v>
      </c>
      <c r="C1468" s="264" t="s">
        <v>108</v>
      </c>
      <c r="D1468" s="264" t="s">
        <v>1563</v>
      </c>
      <c r="E1468" s="259" t="s">
        <v>6393</v>
      </c>
      <c r="H1468" s="264" t="s">
        <v>6665</v>
      </c>
      <c r="I1468" s="264" t="s">
        <v>6666</v>
      </c>
      <c r="J1468" s="295">
        <v>290</v>
      </c>
      <c r="K1468" s="295">
        <v>290</v>
      </c>
      <c r="L1468" s="295">
        <v>145</v>
      </c>
      <c r="O1468" s="266">
        <v>0</v>
      </c>
      <c r="P1468" s="266">
        <v>691991012297</v>
      </c>
      <c r="R1468" s="265">
        <v>9.85</v>
      </c>
      <c r="S1468" s="265">
        <v>33</v>
      </c>
      <c r="T1468" s="265">
        <v>15</v>
      </c>
      <c r="U1468" s="265">
        <v>5</v>
      </c>
      <c r="V1468" s="259" t="s">
        <v>3834</v>
      </c>
      <c r="W1468" s="259" t="s">
        <v>3061</v>
      </c>
      <c r="Y1468" s="259">
        <v>555</v>
      </c>
      <c r="Z1468" s="259" t="s">
        <v>3030</v>
      </c>
      <c r="AA1468" s="259" t="e">
        <v>#N/A</v>
      </c>
      <c r="AB1468" s="259"/>
      <c r="AC1468" s="259"/>
      <c r="AD1468" s="259"/>
      <c r="AE1468" s="259"/>
    </row>
    <row r="1469" spans="1:31">
      <c r="A1469" s="259" t="s">
        <v>1564</v>
      </c>
      <c r="B1469" s="259" t="s">
        <v>80</v>
      </c>
      <c r="C1469" s="264" t="s">
        <v>108</v>
      </c>
      <c r="D1469" s="264" t="s">
        <v>1564</v>
      </c>
      <c r="E1469" s="259" t="s">
        <v>6393</v>
      </c>
      <c r="H1469" s="264" t="s">
        <v>6667</v>
      </c>
      <c r="I1469" s="264" t="s">
        <v>6668</v>
      </c>
      <c r="J1469" s="295">
        <v>274</v>
      </c>
      <c r="K1469" s="295">
        <v>274</v>
      </c>
      <c r="L1469" s="295">
        <v>137</v>
      </c>
      <c r="O1469" s="266">
        <v>0</v>
      </c>
      <c r="P1469" s="266">
        <v>691991012303</v>
      </c>
      <c r="R1469" s="265">
        <v>7.5</v>
      </c>
      <c r="S1469" s="265">
        <v>29.5</v>
      </c>
      <c r="T1469" s="265">
        <v>15.5</v>
      </c>
      <c r="U1469" s="265">
        <v>4.75</v>
      </c>
      <c r="V1469" s="259" t="s">
        <v>3834</v>
      </c>
      <c r="W1469" s="259" t="s">
        <v>3061</v>
      </c>
      <c r="Y1469" s="259">
        <v>556</v>
      </c>
      <c r="Z1469" s="259" t="s">
        <v>3030</v>
      </c>
      <c r="AA1469" s="259" t="e">
        <v>#N/A</v>
      </c>
      <c r="AB1469" s="259"/>
      <c r="AC1469" s="259"/>
      <c r="AD1469" s="259"/>
      <c r="AE1469" s="259"/>
    </row>
    <row r="1470" spans="1:31">
      <c r="A1470" s="259" t="s">
        <v>1565</v>
      </c>
      <c r="B1470" s="259" t="s">
        <v>80</v>
      </c>
      <c r="C1470" s="264" t="s">
        <v>108</v>
      </c>
      <c r="D1470" s="264" t="s">
        <v>1565</v>
      </c>
      <c r="E1470" s="259" t="s">
        <v>6393</v>
      </c>
      <c r="H1470" s="264" t="s">
        <v>6665</v>
      </c>
      <c r="I1470" s="264" t="s">
        <v>6669</v>
      </c>
      <c r="J1470" s="295">
        <v>274</v>
      </c>
      <c r="K1470" s="295">
        <v>274</v>
      </c>
      <c r="L1470" s="295">
        <v>137</v>
      </c>
      <c r="O1470" s="266">
        <v>0</v>
      </c>
      <c r="P1470" s="266">
        <v>691991012372</v>
      </c>
      <c r="R1470" s="265">
        <v>8</v>
      </c>
      <c r="S1470" s="265">
        <v>30</v>
      </c>
      <c r="T1470" s="265">
        <v>16</v>
      </c>
      <c r="U1470" s="265">
        <v>5</v>
      </c>
      <c r="V1470" s="259" t="s">
        <v>3834</v>
      </c>
      <c r="W1470" s="259" t="s">
        <v>3061</v>
      </c>
      <c r="Y1470" s="259">
        <v>557</v>
      </c>
      <c r="Z1470" s="259" t="s">
        <v>3030</v>
      </c>
      <c r="AA1470" s="259" t="e">
        <v>#N/A</v>
      </c>
      <c r="AB1470" s="259"/>
      <c r="AC1470" s="259"/>
      <c r="AD1470" s="259"/>
      <c r="AE1470" s="259"/>
    </row>
    <row r="1471" spans="1:31">
      <c r="A1471" s="259" t="s">
        <v>1566</v>
      </c>
      <c r="B1471" s="259" t="s">
        <v>80</v>
      </c>
      <c r="C1471" s="264" t="s">
        <v>108</v>
      </c>
      <c r="D1471" s="264" t="s">
        <v>1566</v>
      </c>
      <c r="E1471" s="259" t="s">
        <v>6393</v>
      </c>
      <c r="H1471" s="264" t="s">
        <v>6670</v>
      </c>
      <c r="I1471" s="264" t="s">
        <v>6671</v>
      </c>
      <c r="J1471" s="295">
        <v>300</v>
      </c>
      <c r="K1471" s="295">
        <v>300</v>
      </c>
      <c r="L1471" s="295">
        <v>150</v>
      </c>
      <c r="O1471" s="266">
        <v>0</v>
      </c>
      <c r="P1471" s="266">
        <v>691991012389</v>
      </c>
      <c r="R1471" s="265">
        <v>9.5</v>
      </c>
      <c r="S1471" s="265">
        <v>30</v>
      </c>
      <c r="T1471" s="265">
        <v>18</v>
      </c>
      <c r="U1471" s="265">
        <v>5</v>
      </c>
      <c r="V1471" s="259" t="s">
        <v>3834</v>
      </c>
      <c r="W1471" s="259" t="s">
        <v>3061</v>
      </c>
      <c r="Y1471" s="259">
        <v>558</v>
      </c>
      <c r="Z1471" s="259" t="s">
        <v>3030</v>
      </c>
      <c r="AA1471" s="259" t="e">
        <v>#N/A</v>
      </c>
      <c r="AB1471" s="259"/>
      <c r="AC1471" s="259"/>
      <c r="AD1471" s="259"/>
      <c r="AE1471" s="259"/>
    </row>
    <row r="1472" spans="1:31">
      <c r="A1472" s="259" t="s">
        <v>1567</v>
      </c>
      <c r="B1472" s="259" t="s">
        <v>80</v>
      </c>
      <c r="C1472" s="264" t="s">
        <v>108</v>
      </c>
      <c r="D1472" s="264" t="s">
        <v>1567</v>
      </c>
      <c r="E1472" s="259" t="s">
        <v>6393</v>
      </c>
      <c r="H1472" s="264" t="s">
        <v>6672</v>
      </c>
      <c r="I1472" s="264" t="s">
        <v>6673</v>
      </c>
      <c r="J1472" s="295">
        <v>300</v>
      </c>
      <c r="K1472" s="295">
        <v>300</v>
      </c>
      <c r="L1472" s="295">
        <v>150</v>
      </c>
      <c r="O1472" s="266">
        <v>0</v>
      </c>
      <c r="P1472" s="266">
        <v>691991007545</v>
      </c>
      <c r="R1472" s="265">
        <v>9.5</v>
      </c>
      <c r="S1472" s="265">
        <v>30</v>
      </c>
      <c r="T1472" s="265">
        <v>15</v>
      </c>
      <c r="U1472" s="265">
        <v>5</v>
      </c>
      <c r="V1472" s="259" t="s">
        <v>3834</v>
      </c>
      <c r="W1472" s="259" t="s">
        <v>3061</v>
      </c>
      <c r="Y1472" s="259">
        <v>559</v>
      </c>
      <c r="Z1472" s="259" t="s">
        <v>3030</v>
      </c>
      <c r="AA1472" s="259" t="e">
        <v>#N/A</v>
      </c>
      <c r="AB1472" s="259"/>
      <c r="AC1472" s="259"/>
      <c r="AD1472" s="259"/>
      <c r="AE1472" s="259"/>
    </row>
    <row r="1473" spans="1:31">
      <c r="A1473" s="259" t="s">
        <v>1568</v>
      </c>
      <c r="B1473" s="259" t="s">
        <v>80</v>
      </c>
      <c r="C1473" s="264" t="s">
        <v>108</v>
      </c>
      <c r="D1473" s="264" t="s">
        <v>1568</v>
      </c>
      <c r="E1473" s="259" t="s">
        <v>6393</v>
      </c>
      <c r="H1473" s="264" t="s">
        <v>6674</v>
      </c>
      <c r="I1473" s="264" t="s">
        <v>6675</v>
      </c>
      <c r="J1473" s="295">
        <v>284</v>
      </c>
      <c r="K1473" s="295">
        <v>284</v>
      </c>
      <c r="L1473" s="295">
        <v>142</v>
      </c>
      <c r="O1473" s="266">
        <v>0</v>
      </c>
      <c r="P1473" s="266">
        <v>691991012396</v>
      </c>
      <c r="R1473" s="265">
        <v>6</v>
      </c>
      <c r="S1473" s="265">
        <v>24</v>
      </c>
      <c r="T1473" s="265">
        <v>14</v>
      </c>
      <c r="U1473" s="265">
        <v>4</v>
      </c>
      <c r="V1473" s="259" t="s">
        <v>3834</v>
      </c>
      <c r="W1473" s="259" t="s">
        <v>3061</v>
      </c>
      <c r="Y1473" s="259">
        <v>560</v>
      </c>
      <c r="Z1473" s="259" t="s">
        <v>3030</v>
      </c>
      <c r="AA1473" s="259" t="e">
        <v>#N/A</v>
      </c>
      <c r="AB1473" s="259"/>
      <c r="AC1473" s="259"/>
      <c r="AD1473" s="259"/>
      <c r="AE1473" s="259"/>
    </row>
    <row r="1474" spans="1:31">
      <c r="A1474" s="259" t="s">
        <v>1569</v>
      </c>
      <c r="B1474" s="259" t="s">
        <v>80</v>
      </c>
      <c r="C1474" s="264" t="s">
        <v>108</v>
      </c>
      <c r="D1474" s="264" t="s">
        <v>1569</v>
      </c>
      <c r="E1474" s="259" t="s">
        <v>6393</v>
      </c>
      <c r="H1474" s="264" t="s">
        <v>6676</v>
      </c>
      <c r="I1474" s="264" t="s">
        <v>6677</v>
      </c>
      <c r="J1474" s="295">
        <v>284</v>
      </c>
      <c r="K1474" s="295">
        <v>284</v>
      </c>
      <c r="L1474" s="295">
        <v>142</v>
      </c>
      <c r="O1474" s="266">
        <v>0</v>
      </c>
      <c r="P1474" s="266">
        <v>691991012402</v>
      </c>
      <c r="R1474" s="265">
        <v>7</v>
      </c>
      <c r="S1474" s="265">
        <v>27</v>
      </c>
      <c r="T1474" s="265">
        <v>12</v>
      </c>
      <c r="U1474" s="265">
        <v>5</v>
      </c>
      <c r="V1474" s="259" t="s">
        <v>3834</v>
      </c>
      <c r="W1474" s="259" t="s">
        <v>3061</v>
      </c>
      <c r="Y1474" s="259">
        <v>561</v>
      </c>
      <c r="Z1474" s="259" t="s">
        <v>3030</v>
      </c>
      <c r="AA1474" s="259" t="e">
        <v>#N/A</v>
      </c>
      <c r="AB1474" s="259"/>
      <c r="AC1474" s="259"/>
      <c r="AD1474" s="259"/>
      <c r="AE1474" s="259"/>
    </row>
    <row r="1475" spans="1:31">
      <c r="A1475" s="259" t="s">
        <v>1570</v>
      </c>
      <c r="B1475" s="259" t="s">
        <v>80</v>
      </c>
      <c r="C1475" s="264" t="s">
        <v>108</v>
      </c>
      <c r="D1475" s="264" t="s">
        <v>1570</v>
      </c>
      <c r="E1475" s="259" t="s">
        <v>6393</v>
      </c>
      <c r="H1475" s="264" t="s">
        <v>6678</v>
      </c>
      <c r="I1475" s="264" t="s">
        <v>6679</v>
      </c>
      <c r="J1475" s="295">
        <v>58.2</v>
      </c>
      <c r="K1475" s="295">
        <v>58.2</v>
      </c>
      <c r="L1475" s="295">
        <v>29.1</v>
      </c>
      <c r="O1475" s="266">
        <v>0</v>
      </c>
      <c r="R1475" s="265">
        <v>1</v>
      </c>
      <c r="S1475" s="265">
        <v>2</v>
      </c>
      <c r="T1475" s="265">
        <v>6</v>
      </c>
      <c r="U1475" s="265">
        <v>3</v>
      </c>
      <c r="V1475" s="259" t="s">
        <v>3028</v>
      </c>
      <c r="Y1475" s="259">
        <v>562</v>
      </c>
      <c r="Z1475" s="259" t="s">
        <v>3030</v>
      </c>
      <c r="AA1475" s="259" t="e">
        <v>#N/A</v>
      </c>
      <c r="AB1475" s="259"/>
      <c r="AC1475" s="259"/>
      <c r="AD1475" s="259"/>
      <c r="AE1475" s="259"/>
    </row>
    <row r="1476" spans="1:31">
      <c r="A1476" s="259" t="s">
        <v>1571</v>
      </c>
      <c r="B1476" s="259" t="s">
        <v>80</v>
      </c>
      <c r="C1476" s="264"/>
      <c r="D1476" s="264"/>
      <c r="H1476" s="264"/>
      <c r="I1476" s="264"/>
      <c r="J1476" s="295">
        <v>0</v>
      </c>
      <c r="K1476" s="295">
        <v>0</v>
      </c>
      <c r="L1476" s="295">
        <v>0</v>
      </c>
      <c r="O1476" s="266"/>
      <c r="R1476" s="265">
        <v>0</v>
      </c>
      <c r="S1476" s="265">
        <v>0</v>
      </c>
      <c r="T1476" s="265">
        <v>0</v>
      </c>
      <c r="U1476" s="265">
        <v>0</v>
      </c>
      <c r="V1476" s="259" t="s">
        <v>4159</v>
      </c>
      <c r="W1476" s="259" t="s">
        <v>3061</v>
      </c>
      <c r="Y1476" s="259">
        <v>563</v>
      </c>
      <c r="AA1476" s="259" t="e">
        <v>#N/A</v>
      </c>
      <c r="AB1476" s="259"/>
      <c r="AC1476" s="259"/>
      <c r="AD1476" s="259"/>
      <c r="AE1476" s="259"/>
    </row>
    <row r="1477" spans="1:31">
      <c r="A1477" s="259" t="s">
        <v>1572</v>
      </c>
      <c r="B1477" s="259" t="s">
        <v>80</v>
      </c>
      <c r="C1477" s="264" t="s">
        <v>6680</v>
      </c>
      <c r="D1477" s="264" t="s">
        <v>1572</v>
      </c>
      <c r="E1477" s="259" t="s">
        <v>6681</v>
      </c>
      <c r="H1477" s="264" t="s">
        <v>6682</v>
      </c>
      <c r="I1477" s="264" t="s">
        <v>6683</v>
      </c>
      <c r="J1477" s="295">
        <v>3120</v>
      </c>
      <c r="K1477" s="295">
        <v>3120</v>
      </c>
      <c r="L1477" s="295">
        <v>1560</v>
      </c>
      <c r="O1477" s="266">
        <v>0</v>
      </c>
      <c r="P1477" s="266">
        <v>691991014789</v>
      </c>
      <c r="R1477" s="265">
        <v>132</v>
      </c>
      <c r="S1477" s="265">
        <v>34</v>
      </c>
      <c r="T1477" s="265">
        <v>34</v>
      </c>
      <c r="U1477" s="265">
        <v>28</v>
      </c>
      <c r="V1477" s="259" t="s">
        <v>4159</v>
      </c>
      <c r="W1477" s="259" t="s">
        <v>3061</v>
      </c>
      <c r="Y1477" s="259">
        <v>564</v>
      </c>
      <c r="Z1477" s="259" t="s">
        <v>3037</v>
      </c>
      <c r="AA1477" s="259" t="e">
        <v>#N/A</v>
      </c>
      <c r="AB1477" s="259"/>
      <c r="AC1477" s="259"/>
      <c r="AD1477" s="259"/>
      <c r="AE1477" s="259"/>
    </row>
    <row r="1478" spans="1:31">
      <c r="A1478" s="259" t="s">
        <v>1573</v>
      </c>
      <c r="B1478" s="259" t="s">
        <v>80</v>
      </c>
      <c r="C1478" s="264" t="s">
        <v>6680</v>
      </c>
      <c r="D1478" s="264" t="s">
        <v>1573</v>
      </c>
      <c r="H1478" s="264" t="s">
        <v>6682</v>
      </c>
      <c r="I1478" s="264" t="s">
        <v>6683</v>
      </c>
      <c r="J1478" s="295">
        <v>3120</v>
      </c>
      <c r="K1478" s="295">
        <v>3120</v>
      </c>
      <c r="L1478" s="295">
        <v>1560</v>
      </c>
      <c r="O1478" s="266"/>
      <c r="R1478" s="265">
        <v>0</v>
      </c>
      <c r="S1478" s="265">
        <v>0</v>
      </c>
      <c r="T1478" s="265">
        <v>0</v>
      </c>
      <c r="U1478" s="265">
        <v>0</v>
      </c>
      <c r="V1478" s="259" t="s">
        <v>4159</v>
      </c>
      <c r="W1478" s="259" t="s">
        <v>3061</v>
      </c>
      <c r="Y1478" s="259">
        <v>565</v>
      </c>
      <c r="AA1478" s="259" t="e">
        <v>#N/A</v>
      </c>
      <c r="AB1478" s="259"/>
      <c r="AC1478" s="259"/>
      <c r="AD1478" s="259"/>
      <c r="AE1478" s="259"/>
    </row>
    <row r="1479" spans="1:31">
      <c r="A1479" s="259" t="s">
        <v>1574</v>
      </c>
      <c r="B1479" s="259" t="s">
        <v>80</v>
      </c>
      <c r="C1479" s="264" t="s">
        <v>6438</v>
      </c>
      <c r="D1479" s="264" t="s">
        <v>1574</v>
      </c>
      <c r="E1479" s="259" t="s">
        <v>6429</v>
      </c>
      <c r="F1479" s="259" t="s">
        <v>5021</v>
      </c>
      <c r="H1479" s="264" t="s">
        <v>6684</v>
      </c>
      <c r="I1479" s="264" t="s">
        <v>6685</v>
      </c>
      <c r="J1479" s="295" t="s">
        <v>6428</v>
      </c>
      <c r="K1479" s="295">
        <v>0</v>
      </c>
      <c r="L1479" s="295">
        <v>0</v>
      </c>
      <c r="O1479" s="266">
        <v>0</v>
      </c>
      <c r="P1479" s="266">
        <v>691991031984</v>
      </c>
      <c r="R1479" s="265">
        <v>171</v>
      </c>
      <c r="S1479" s="265">
        <v>33</v>
      </c>
      <c r="T1479" s="265">
        <v>34</v>
      </c>
      <c r="U1479" s="265">
        <v>27</v>
      </c>
      <c r="V1479" s="259" t="s">
        <v>4159</v>
      </c>
      <c r="W1479" s="259" t="s">
        <v>3061</v>
      </c>
      <c r="Y1479" s="259">
        <v>566</v>
      </c>
      <c r="Z1479" s="259" t="s">
        <v>3264</v>
      </c>
      <c r="AA1479" s="259" t="e">
        <v>#N/A</v>
      </c>
      <c r="AB1479" s="259"/>
      <c r="AC1479" s="259"/>
      <c r="AD1479" s="259"/>
      <c r="AE1479" s="259"/>
    </row>
    <row r="1480" spans="1:31">
      <c r="A1480" s="259" t="s">
        <v>1575</v>
      </c>
      <c r="B1480" s="259" t="s">
        <v>80</v>
      </c>
      <c r="C1480" s="264" t="s">
        <v>6438</v>
      </c>
      <c r="D1480" s="264" t="s">
        <v>1575</v>
      </c>
      <c r="E1480" s="259" t="s">
        <v>6429</v>
      </c>
      <c r="F1480" s="259" t="s">
        <v>5021</v>
      </c>
      <c r="H1480" s="264" t="s">
        <v>6684</v>
      </c>
      <c r="I1480" s="264" t="s">
        <v>6686</v>
      </c>
      <c r="J1480" s="295" t="s">
        <v>6428</v>
      </c>
      <c r="K1480" s="295">
        <v>0</v>
      </c>
      <c r="L1480" s="295">
        <v>0</v>
      </c>
      <c r="O1480" s="266">
        <v>0</v>
      </c>
      <c r="P1480" s="266">
        <v>691991039188</v>
      </c>
      <c r="R1480" s="265">
        <v>167</v>
      </c>
      <c r="S1480" s="265">
        <v>33.5</v>
      </c>
      <c r="T1480" s="265">
        <v>34</v>
      </c>
      <c r="U1480" s="265">
        <v>27</v>
      </c>
      <c r="V1480" s="259" t="s">
        <v>4159</v>
      </c>
      <c r="W1480" s="259" t="s">
        <v>3061</v>
      </c>
      <c r="Y1480" s="259">
        <v>567</v>
      </c>
      <c r="Z1480" s="259" t="s">
        <v>3037</v>
      </c>
      <c r="AA1480" s="259" t="e">
        <v>#N/A</v>
      </c>
      <c r="AB1480" s="259"/>
      <c r="AC1480" s="259"/>
      <c r="AD1480" s="259"/>
      <c r="AE1480" s="259"/>
    </row>
    <row r="1481" spans="1:31">
      <c r="A1481" s="259" t="s">
        <v>1576</v>
      </c>
      <c r="B1481" s="259" t="s">
        <v>80</v>
      </c>
      <c r="C1481" s="264" t="s">
        <v>6680</v>
      </c>
      <c r="D1481" s="264" t="s">
        <v>1576</v>
      </c>
      <c r="E1481" s="259" t="s">
        <v>6681</v>
      </c>
      <c r="H1481" s="264" t="s">
        <v>6687</v>
      </c>
      <c r="I1481" s="264" t="s">
        <v>6688</v>
      </c>
      <c r="J1481" s="295">
        <v>4376</v>
      </c>
      <c r="K1481" s="295">
        <v>4376</v>
      </c>
      <c r="L1481" s="295">
        <v>2188</v>
      </c>
      <c r="O1481" s="266">
        <v>0</v>
      </c>
      <c r="P1481" s="266">
        <v>691991014796</v>
      </c>
      <c r="R1481" s="265">
        <v>162</v>
      </c>
      <c r="S1481" s="265">
        <v>33.5</v>
      </c>
      <c r="T1481" s="265">
        <v>34</v>
      </c>
      <c r="U1481" s="265">
        <v>27.25</v>
      </c>
      <c r="V1481" s="259" t="s">
        <v>4159</v>
      </c>
      <c r="W1481" s="259" t="s">
        <v>3061</v>
      </c>
      <c r="Y1481" s="259">
        <v>568</v>
      </c>
      <c r="Z1481" s="259" t="s">
        <v>3037</v>
      </c>
      <c r="AA1481" s="259" t="e">
        <v>#N/A</v>
      </c>
      <c r="AB1481" s="259"/>
      <c r="AC1481" s="259"/>
      <c r="AD1481" s="259"/>
      <c r="AE1481" s="259"/>
    </row>
    <row r="1482" spans="1:31">
      <c r="A1482" s="259" t="s">
        <v>1577</v>
      </c>
      <c r="B1482" s="259" t="s">
        <v>80</v>
      </c>
      <c r="C1482" s="264" t="s">
        <v>6680</v>
      </c>
      <c r="D1482" s="264" t="s">
        <v>1577</v>
      </c>
      <c r="H1482" s="264" t="s">
        <v>6687</v>
      </c>
      <c r="I1482" s="264" t="s">
        <v>6689</v>
      </c>
      <c r="J1482" s="295">
        <v>4376</v>
      </c>
      <c r="K1482" s="295">
        <v>4376</v>
      </c>
      <c r="L1482" s="295">
        <v>2188</v>
      </c>
      <c r="O1482" s="266"/>
      <c r="R1482" s="265">
        <v>0</v>
      </c>
      <c r="S1482" s="265">
        <v>0</v>
      </c>
      <c r="T1482" s="265">
        <v>0</v>
      </c>
      <c r="U1482" s="265">
        <v>0</v>
      </c>
      <c r="V1482" s="259" t="s">
        <v>4159</v>
      </c>
      <c r="W1482" s="259" t="s">
        <v>3061</v>
      </c>
      <c r="Y1482" s="259">
        <v>569</v>
      </c>
      <c r="AA1482" s="259" t="e">
        <v>#N/A</v>
      </c>
      <c r="AB1482" s="259"/>
      <c r="AC1482" s="259"/>
      <c r="AD1482" s="259"/>
      <c r="AE1482" s="259"/>
    </row>
    <row r="1483" spans="1:31">
      <c r="A1483" s="259" t="s">
        <v>1578</v>
      </c>
      <c r="B1483" s="259" t="s">
        <v>80</v>
      </c>
      <c r="C1483" s="264" t="s">
        <v>6438</v>
      </c>
      <c r="D1483" s="264" t="s">
        <v>1578</v>
      </c>
      <c r="E1483" s="259" t="s">
        <v>6429</v>
      </c>
      <c r="F1483" s="259" t="s">
        <v>5021</v>
      </c>
      <c r="H1483" s="264" t="s">
        <v>6690</v>
      </c>
      <c r="I1483" s="264" t="s">
        <v>6691</v>
      </c>
      <c r="J1483" s="295" t="s">
        <v>6428</v>
      </c>
      <c r="K1483" s="295">
        <v>0</v>
      </c>
      <c r="L1483" s="295">
        <v>0</v>
      </c>
      <c r="O1483" s="266">
        <v>0</v>
      </c>
      <c r="P1483" s="266">
        <v>691991014802</v>
      </c>
      <c r="R1483" s="265">
        <v>0</v>
      </c>
      <c r="S1483" s="265">
        <v>0</v>
      </c>
      <c r="T1483" s="265">
        <v>0</v>
      </c>
      <c r="U1483" s="265">
        <v>0</v>
      </c>
      <c r="V1483" s="259" t="s">
        <v>4159</v>
      </c>
      <c r="W1483" s="259" t="s">
        <v>3061</v>
      </c>
      <c r="Y1483" s="259">
        <v>570</v>
      </c>
      <c r="Z1483" s="259" t="s">
        <v>3037</v>
      </c>
      <c r="AA1483" s="259" t="e">
        <v>#N/A</v>
      </c>
      <c r="AB1483" s="259"/>
      <c r="AC1483" s="259"/>
      <c r="AD1483" s="259"/>
      <c r="AE1483" s="259"/>
    </row>
    <row r="1484" spans="1:31">
      <c r="A1484" s="259" t="s">
        <v>1579</v>
      </c>
      <c r="B1484" s="259" t="s">
        <v>80</v>
      </c>
      <c r="C1484" s="264" t="s">
        <v>6438</v>
      </c>
      <c r="D1484" s="264" t="s">
        <v>1579</v>
      </c>
      <c r="E1484" s="259" t="s">
        <v>6429</v>
      </c>
      <c r="F1484" s="259" t="s">
        <v>5021</v>
      </c>
      <c r="H1484" s="264" t="s">
        <v>6690</v>
      </c>
      <c r="I1484" s="264" t="s">
        <v>6692</v>
      </c>
      <c r="J1484" s="295" t="s">
        <v>6428</v>
      </c>
      <c r="K1484" s="295">
        <v>0</v>
      </c>
      <c r="L1484" s="295">
        <v>0</v>
      </c>
      <c r="O1484" s="266">
        <v>0</v>
      </c>
      <c r="P1484" s="266">
        <v>691991014819</v>
      </c>
      <c r="R1484" s="265">
        <v>181</v>
      </c>
      <c r="S1484" s="265">
        <v>33</v>
      </c>
      <c r="T1484" s="265">
        <v>34</v>
      </c>
      <c r="U1484" s="265">
        <v>27</v>
      </c>
      <c r="V1484" s="259" t="s">
        <v>4159</v>
      </c>
      <c r="W1484" s="259" t="s">
        <v>3061</v>
      </c>
      <c r="Y1484" s="259">
        <v>571</v>
      </c>
      <c r="Z1484" s="259" t="s">
        <v>3037</v>
      </c>
      <c r="AA1484" s="259" t="e">
        <v>#N/A</v>
      </c>
      <c r="AB1484" s="259"/>
      <c r="AC1484" s="259"/>
      <c r="AD1484" s="259"/>
      <c r="AE1484" s="259"/>
    </row>
    <row r="1485" spans="1:31">
      <c r="A1485" s="259" t="s">
        <v>1580</v>
      </c>
      <c r="B1485" s="259" t="s">
        <v>80</v>
      </c>
      <c r="C1485" s="264" t="s">
        <v>6680</v>
      </c>
      <c r="D1485" s="264" t="s">
        <v>1580</v>
      </c>
      <c r="E1485" s="259" t="s">
        <v>6681</v>
      </c>
      <c r="H1485" s="264" t="s">
        <v>6693</v>
      </c>
      <c r="I1485" s="264" t="s">
        <v>6694</v>
      </c>
      <c r="J1485" s="295">
        <v>4370</v>
      </c>
      <c r="K1485" s="295">
        <v>4370</v>
      </c>
      <c r="L1485" s="295">
        <v>2185</v>
      </c>
      <c r="O1485" s="266">
        <v>0</v>
      </c>
      <c r="P1485" s="266">
        <v>691991014826</v>
      </c>
      <c r="R1485" s="265">
        <v>154</v>
      </c>
      <c r="S1485" s="265">
        <v>33</v>
      </c>
      <c r="T1485" s="265">
        <v>33</v>
      </c>
      <c r="U1485" s="265">
        <v>26</v>
      </c>
      <c r="V1485" s="259" t="s">
        <v>4159</v>
      </c>
      <c r="W1485" s="259" t="s">
        <v>3061</v>
      </c>
      <c r="Y1485" s="259">
        <v>572</v>
      </c>
      <c r="Z1485" s="259" t="s">
        <v>3037</v>
      </c>
      <c r="AA1485" s="259" t="e">
        <v>#N/A</v>
      </c>
      <c r="AB1485" s="259"/>
      <c r="AC1485" s="259"/>
      <c r="AD1485" s="259"/>
      <c r="AE1485" s="259"/>
    </row>
    <row r="1486" spans="1:31">
      <c r="A1486" s="259" t="s">
        <v>1581</v>
      </c>
      <c r="B1486" s="259" t="s">
        <v>80</v>
      </c>
      <c r="C1486" s="264" t="s">
        <v>6680</v>
      </c>
      <c r="D1486" s="264" t="s">
        <v>1581</v>
      </c>
      <c r="H1486" s="264" t="s">
        <v>6693</v>
      </c>
      <c r="I1486" s="264" t="s">
        <v>6695</v>
      </c>
      <c r="J1486" s="295">
        <v>4370</v>
      </c>
      <c r="K1486" s="295">
        <v>4370</v>
      </c>
      <c r="L1486" s="295">
        <v>2185</v>
      </c>
      <c r="O1486" s="266"/>
      <c r="R1486" s="265">
        <v>0</v>
      </c>
      <c r="S1486" s="265">
        <v>0</v>
      </c>
      <c r="T1486" s="265">
        <v>0</v>
      </c>
      <c r="U1486" s="265">
        <v>0</v>
      </c>
      <c r="V1486" s="259" t="s">
        <v>4159</v>
      </c>
      <c r="W1486" s="259" t="s">
        <v>3061</v>
      </c>
      <c r="Y1486" s="259">
        <v>573</v>
      </c>
      <c r="AA1486" s="259" t="e">
        <v>#N/A</v>
      </c>
      <c r="AB1486" s="259"/>
      <c r="AC1486" s="259"/>
      <c r="AD1486" s="259"/>
      <c r="AE1486" s="259"/>
    </row>
    <row r="1487" spans="1:31">
      <c r="A1487" s="259" t="s">
        <v>1582</v>
      </c>
      <c r="B1487" s="259" t="s">
        <v>80</v>
      </c>
      <c r="C1487" s="264" t="s">
        <v>6438</v>
      </c>
      <c r="D1487" s="264" t="s">
        <v>1582</v>
      </c>
      <c r="E1487" s="259" t="s">
        <v>6429</v>
      </c>
      <c r="F1487" s="259" t="s">
        <v>5021</v>
      </c>
      <c r="H1487" s="264" t="s">
        <v>6690</v>
      </c>
      <c r="I1487" s="264" t="s">
        <v>6696</v>
      </c>
      <c r="J1487" s="295" t="s">
        <v>6428</v>
      </c>
      <c r="K1487" s="295">
        <v>0</v>
      </c>
      <c r="L1487" s="295">
        <v>0</v>
      </c>
      <c r="O1487" s="266">
        <v>0</v>
      </c>
      <c r="P1487" s="266">
        <v>691991014833</v>
      </c>
      <c r="R1487" s="265">
        <v>176</v>
      </c>
      <c r="S1487" s="265">
        <v>34</v>
      </c>
      <c r="T1487" s="265">
        <v>34</v>
      </c>
      <c r="U1487" s="265">
        <v>27</v>
      </c>
      <c r="V1487" s="259" t="s">
        <v>4159</v>
      </c>
      <c r="W1487" s="259" t="s">
        <v>3061</v>
      </c>
      <c r="Y1487" s="259">
        <v>574</v>
      </c>
      <c r="Z1487" s="259" t="s">
        <v>3037</v>
      </c>
      <c r="AA1487" s="259" t="e">
        <v>#N/A</v>
      </c>
      <c r="AB1487" s="259"/>
      <c r="AC1487" s="259"/>
      <c r="AD1487" s="259"/>
      <c r="AE1487" s="259"/>
    </row>
    <row r="1488" spans="1:31">
      <c r="A1488" s="259" t="s">
        <v>1583</v>
      </c>
      <c r="B1488" s="259" t="s">
        <v>80</v>
      </c>
      <c r="C1488" s="264" t="s">
        <v>6438</v>
      </c>
      <c r="D1488" s="264" t="s">
        <v>1583</v>
      </c>
      <c r="E1488" s="259" t="s">
        <v>6429</v>
      </c>
      <c r="F1488" s="259" t="s">
        <v>5021</v>
      </c>
      <c r="H1488" s="264" t="s">
        <v>6690</v>
      </c>
      <c r="I1488" s="264" t="s">
        <v>6697</v>
      </c>
      <c r="J1488" s="295" t="s">
        <v>6428</v>
      </c>
      <c r="K1488" s="295">
        <v>0</v>
      </c>
      <c r="L1488" s="295">
        <v>0</v>
      </c>
      <c r="O1488" s="266">
        <v>0</v>
      </c>
      <c r="P1488" s="266">
        <v>691991014840</v>
      </c>
      <c r="R1488" s="265">
        <v>173</v>
      </c>
      <c r="S1488" s="265">
        <v>34</v>
      </c>
      <c r="T1488" s="265">
        <v>34</v>
      </c>
      <c r="U1488" s="265">
        <v>27.5</v>
      </c>
      <c r="V1488" s="259" t="s">
        <v>4159</v>
      </c>
      <c r="W1488" s="259" t="s">
        <v>3061</v>
      </c>
      <c r="Y1488" s="259">
        <v>575</v>
      </c>
      <c r="Z1488" s="259" t="s">
        <v>3037</v>
      </c>
      <c r="AA1488" s="259" t="e">
        <v>#N/A</v>
      </c>
      <c r="AB1488" s="259"/>
      <c r="AC1488" s="259"/>
      <c r="AD1488" s="259"/>
      <c r="AE1488" s="259"/>
    </row>
    <row r="1489" spans="1:31">
      <c r="A1489" s="259" t="s">
        <v>1584</v>
      </c>
      <c r="B1489" s="259" t="s">
        <v>80</v>
      </c>
      <c r="C1489" s="264" t="s">
        <v>6680</v>
      </c>
      <c r="D1489" s="264" t="s">
        <v>1584</v>
      </c>
      <c r="H1489" s="264" t="s">
        <v>6698</v>
      </c>
      <c r="I1489" s="264" t="s">
        <v>6699</v>
      </c>
      <c r="J1489" s="295">
        <v>4376</v>
      </c>
      <c r="K1489" s="295">
        <v>4376</v>
      </c>
      <c r="L1489" s="295">
        <v>2188</v>
      </c>
      <c r="O1489" s="266"/>
      <c r="R1489" s="265">
        <v>0</v>
      </c>
      <c r="S1489" s="265">
        <v>0</v>
      </c>
      <c r="T1489" s="265">
        <v>0</v>
      </c>
      <c r="U1489" s="265">
        <v>0</v>
      </c>
      <c r="V1489" s="259" t="s">
        <v>4159</v>
      </c>
      <c r="W1489" s="259" t="s">
        <v>3061</v>
      </c>
      <c r="Y1489" s="259">
        <v>576</v>
      </c>
      <c r="AA1489" s="259" t="e">
        <v>#N/A</v>
      </c>
      <c r="AB1489" s="259"/>
      <c r="AC1489" s="259"/>
      <c r="AD1489" s="259"/>
      <c r="AE1489" s="259"/>
    </row>
    <row r="1490" spans="1:31">
      <c r="A1490" s="259" t="s">
        <v>1585</v>
      </c>
      <c r="B1490" s="259" t="s">
        <v>80</v>
      </c>
      <c r="C1490" s="264" t="s">
        <v>6438</v>
      </c>
      <c r="D1490" s="264" t="s">
        <v>1585</v>
      </c>
      <c r="E1490" s="259" t="s">
        <v>6429</v>
      </c>
      <c r="F1490" s="259" t="s">
        <v>5021</v>
      </c>
      <c r="H1490" s="264" t="s">
        <v>6690</v>
      </c>
      <c r="I1490" s="264" t="s">
        <v>6700</v>
      </c>
      <c r="J1490" s="295" t="s">
        <v>6428</v>
      </c>
      <c r="K1490" s="295">
        <v>0</v>
      </c>
      <c r="L1490" s="295">
        <v>0</v>
      </c>
      <c r="O1490" s="266">
        <v>0</v>
      </c>
      <c r="R1490" s="265">
        <v>172</v>
      </c>
      <c r="S1490" s="265">
        <v>33.5</v>
      </c>
      <c r="T1490" s="265">
        <v>34</v>
      </c>
      <c r="U1490" s="265">
        <v>27</v>
      </c>
      <c r="V1490" s="259" t="s">
        <v>4159</v>
      </c>
      <c r="W1490" s="259" t="s">
        <v>3061</v>
      </c>
      <c r="Y1490" s="259">
        <v>577</v>
      </c>
      <c r="Z1490" s="259" t="s">
        <v>3037</v>
      </c>
      <c r="AA1490" s="259" t="e">
        <v>#N/A</v>
      </c>
      <c r="AB1490" s="259"/>
      <c r="AC1490" s="259"/>
      <c r="AD1490" s="259"/>
      <c r="AE1490" s="259"/>
    </row>
    <row r="1491" spans="1:31">
      <c r="A1491" s="259" t="s">
        <v>1586</v>
      </c>
      <c r="B1491" s="259" t="s">
        <v>80</v>
      </c>
      <c r="C1491" s="264" t="s">
        <v>6438</v>
      </c>
      <c r="D1491" s="264" t="s">
        <v>1586</v>
      </c>
      <c r="E1491" s="259" t="s">
        <v>6429</v>
      </c>
      <c r="F1491" s="259" t="s">
        <v>5021</v>
      </c>
      <c r="H1491" s="264" t="s">
        <v>6690</v>
      </c>
      <c r="I1491" s="264" t="s">
        <v>6700</v>
      </c>
      <c r="J1491" s="295" t="s">
        <v>6428</v>
      </c>
      <c r="K1491" s="295">
        <v>0</v>
      </c>
      <c r="L1491" s="295">
        <v>0</v>
      </c>
      <c r="O1491" s="266">
        <v>0</v>
      </c>
      <c r="P1491" s="266">
        <v>691991014864</v>
      </c>
      <c r="R1491" s="265">
        <v>60</v>
      </c>
      <c r="S1491" s="265">
        <v>34</v>
      </c>
      <c r="T1491" s="265">
        <v>34</v>
      </c>
      <c r="U1491" s="265">
        <v>34</v>
      </c>
      <c r="V1491" s="259" t="s">
        <v>4159</v>
      </c>
      <c r="W1491" s="259" t="s">
        <v>3061</v>
      </c>
      <c r="Y1491" s="259">
        <v>578</v>
      </c>
      <c r="Z1491" s="259" t="s">
        <v>3037</v>
      </c>
      <c r="AA1491" s="259" t="e">
        <v>#N/A</v>
      </c>
      <c r="AB1491" s="259"/>
      <c r="AC1491" s="259"/>
      <c r="AD1491" s="259"/>
      <c r="AE1491" s="259"/>
    </row>
    <row r="1492" spans="1:31">
      <c r="A1492" s="259" t="s">
        <v>1587</v>
      </c>
      <c r="B1492" s="259" t="s">
        <v>80</v>
      </c>
      <c r="C1492" s="264" t="s">
        <v>6680</v>
      </c>
      <c r="D1492" s="264" t="s">
        <v>1587</v>
      </c>
      <c r="E1492" s="259" t="s">
        <v>6681</v>
      </c>
      <c r="H1492" s="264" t="s">
        <v>6701</v>
      </c>
      <c r="I1492" s="264" t="s">
        <v>6702</v>
      </c>
      <c r="J1492" s="295">
        <v>4370</v>
      </c>
      <c r="K1492" s="295">
        <v>4370</v>
      </c>
      <c r="L1492" s="295">
        <v>2185</v>
      </c>
      <c r="O1492" s="266">
        <v>0</v>
      </c>
      <c r="P1492" s="266">
        <v>691991014871</v>
      </c>
      <c r="R1492" s="265">
        <v>157</v>
      </c>
      <c r="S1492" s="265">
        <v>34</v>
      </c>
      <c r="T1492" s="265">
        <v>34</v>
      </c>
      <c r="U1492" s="265">
        <v>27</v>
      </c>
      <c r="V1492" s="259" t="s">
        <v>4159</v>
      </c>
      <c r="W1492" s="259" t="s">
        <v>3061</v>
      </c>
      <c r="Y1492" s="259">
        <v>579</v>
      </c>
      <c r="Z1492" s="259" t="s">
        <v>3037</v>
      </c>
      <c r="AA1492" s="259" t="e">
        <v>#N/A</v>
      </c>
      <c r="AB1492" s="259"/>
      <c r="AC1492" s="259"/>
      <c r="AD1492" s="259"/>
      <c r="AE1492" s="259"/>
    </row>
    <row r="1493" spans="1:31">
      <c r="A1493" s="259" t="s">
        <v>1588</v>
      </c>
      <c r="B1493" s="259" t="s">
        <v>80</v>
      </c>
      <c r="C1493" s="264" t="s">
        <v>6680</v>
      </c>
      <c r="D1493" s="264" t="s">
        <v>1588</v>
      </c>
      <c r="H1493" s="264" t="s">
        <v>6701</v>
      </c>
      <c r="I1493" s="264" t="s">
        <v>6702</v>
      </c>
      <c r="J1493" s="295">
        <v>4370</v>
      </c>
      <c r="K1493" s="295">
        <v>4370</v>
      </c>
      <c r="L1493" s="295">
        <v>2185</v>
      </c>
      <c r="O1493" s="266"/>
      <c r="R1493" s="265">
        <v>0</v>
      </c>
      <c r="S1493" s="265">
        <v>0</v>
      </c>
      <c r="T1493" s="265">
        <v>0</v>
      </c>
      <c r="U1493" s="265">
        <v>0</v>
      </c>
      <c r="V1493" s="259" t="s">
        <v>4159</v>
      </c>
      <c r="W1493" s="259" t="s">
        <v>3061</v>
      </c>
      <c r="Y1493" s="259">
        <v>580</v>
      </c>
      <c r="AA1493" s="259" t="e">
        <v>#N/A</v>
      </c>
      <c r="AB1493" s="259"/>
      <c r="AC1493" s="259"/>
      <c r="AD1493" s="259"/>
      <c r="AE1493" s="259"/>
    </row>
    <row r="1494" spans="1:31">
      <c r="A1494" s="259" t="s">
        <v>1589</v>
      </c>
      <c r="B1494" s="259" t="s">
        <v>80</v>
      </c>
      <c r="C1494" s="264" t="s">
        <v>6438</v>
      </c>
      <c r="D1494" s="264" t="s">
        <v>1589</v>
      </c>
      <c r="E1494" s="259" t="s">
        <v>6429</v>
      </c>
      <c r="F1494" s="259" t="s">
        <v>5021</v>
      </c>
      <c r="H1494" s="264" t="s">
        <v>6690</v>
      </c>
      <c r="I1494" s="264" t="s">
        <v>6703</v>
      </c>
      <c r="J1494" s="295" t="s">
        <v>6428</v>
      </c>
      <c r="K1494" s="295">
        <v>0</v>
      </c>
      <c r="L1494" s="295">
        <v>0</v>
      </c>
      <c r="O1494" s="266">
        <v>0</v>
      </c>
      <c r="P1494" s="266">
        <v>691991014888</v>
      </c>
      <c r="R1494" s="265">
        <v>176</v>
      </c>
      <c r="S1494" s="265">
        <v>34</v>
      </c>
      <c r="T1494" s="265">
        <v>34</v>
      </c>
      <c r="U1494" s="265">
        <v>27</v>
      </c>
      <c r="V1494" s="259" t="s">
        <v>4159</v>
      </c>
      <c r="W1494" s="259" t="s">
        <v>3061</v>
      </c>
      <c r="Y1494" s="259">
        <v>581</v>
      </c>
      <c r="Z1494" s="259" t="s">
        <v>3037</v>
      </c>
      <c r="AA1494" s="259" t="e">
        <v>#N/A</v>
      </c>
      <c r="AB1494" s="259"/>
      <c r="AC1494" s="259"/>
      <c r="AD1494" s="259"/>
      <c r="AE1494" s="259"/>
    </row>
    <row r="1495" spans="1:31">
      <c r="A1495" s="259" t="s">
        <v>1590</v>
      </c>
      <c r="B1495" s="259" t="s">
        <v>80</v>
      </c>
      <c r="C1495" s="264" t="s">
        <v>6438</v>
      </c>
      <c r="D1495" s="264" t="s">
        <v>1590</v>
      </c>
      <c r="E1495" s="259" t="s">
        <v>6429</v>
      </c>
      <c r="F1495" s="259" t="s">
        <v>5021</v>
      </c>
      <c r="H1495" s="264" t="s">
        <v>6690</v>
      </c>
      <c r="I1495" s="264" t="s">
        <v>6704</v>
      </c>
      <c r="J1495" s="295" t="s">
        <v>6428</v>
      </c>
      <c r="K1495" s="295">
        <v>0</v>
      </c>
      <c r="L1495" s="295">
        <v>0</v>
      </c>
      <c r="O1495" s="266">
        <v>0</v>
      </c>
      <c r="P1495" s="266">
        <v>691991014895</v>
      </c>
      <c r="R1495" s="265">
        <v>197</v>
      </c>
      <c r="S1495" s="265">
        <v>33.5</v>
      </c>
      <c r="T1495" s="265">
        <v>33.5</v>
      </c>
      <c r="U1495" s="265">
        <v>27</v>
      </c>
      <c r="V1495" s="259" t="s">
        <v>4159</v>
      </c>
      <c r="W1495" s="259" t="s">
        <v>3061</v>
      </c>
      <c r="Y1495" s="259">
        <v>582</v>
      </c>
      <c r="Z1495" s="259" t="s">
        <v>3037</v>
      </c>
      <c r="AA1495" s="259" t="e">
        <v>#N/A</v>
      </c>
      <c r="AB1495" s="259"/>
      <c r="AC1495" s="259"/>
      <c r="AD1495" s="259"/>
      <c r="AE1495" s="259"/>
    </row>
    <row r="1496" spans="1:31">
      <c r="A1496" s="259" t="s">
        <v>1591</v>
      </c>
      <c r="B1496" s="259" t="s">
        <v>80</v>
      </c>
      <c r="C1496" s="264" t="s">
        <v>6438</v>
      </c>
      <c r="D1496" s="264" t="s">
        <v>1591</v>
      </c>
      <c r="F1496" s="259" t="s">
        <v>5021</v>
      </c>
      <c r="H1496" s="264" t="s">
        <v>6705</v>
      </c>
      <c r="I1496" s="264" t="s">
        <v>6706</v>
      </c>
      <c r="J1496" s="295">
        <v>16003.4</v>
      </c>
      <c r="K1496" s="295">
        <v>16003</v>
      </c>
      <c r="L1496" s="295">
        <v>7641.73</v>
      </c>
      <c r="O1496" s="266">
        <v>0</v>
      </c>
      <c r="R1496" s="265">
        <v>0</v>
      </c>
      <c r="S1496" s="265">
        <v>0</v>
      </c>
      <c r="T1496" s="265">
        <v>0</v>
      </c>
      <c r="U1496" s="265">
        <v>0</v>
      </c>
      <c r="V1496" s="259" t="s">
        <v>4159</v>
      </c>
      <c r="W1496" s="259" t="s">
        <v>3061</v>
      </c>
      <c r="Y1496" s="259">
        <v>583</v>
      </c>
      <c r="AA1496" s="259" t="e">
        <v>#N/A</v>
      </c>
      <c r="AB1496" s="259"/>
      <c r="AC1496" s="259"/>
      <c r="AD1496" s="259"/>
      <c r="AE1496" s="259"/>
    </row>
    <row r="1497" spans="1:31">
      <c r="A1497" s="259" t="s">
        <v>1592</v>
      </c>
      <c r="B1497" s="259" t="s">
        <v>80</v>
      </c>
      <c r="C1497" s="264" t="s">
        <v>6438</v>
      </c>
      <c r="D1497" s="264" t="s">
        <v>1592</v>
      </c>
      <c r="F1497" s="259" t="s">
        <v>5021</v>
      </c>
      <c r="H1497" s="264"/>
      <c r="I1497" s="264"/>
      <c r="J1497" s="295" t="s">
        <v>6428</v>
      </c>
      <c r="K1497" s="295">
        <v>0</v>
      </c>
      <c r="L1497" s="295">
        <v>0</v>
      </c>
      <c r="O1497" s="266"/>
      <c r="R1497" s="265"/>
      <c r="V1497" s="259"/>
      <c r="Y1497" s="259">
        <v>584</v>
      </c>
      <c r="Z1497" s="259" t="s">
        <v>3037</v>
      </c>
      <c r="AA1497" s="259" t="e">
        <v>#N/A</v>
      </c>
      <c r="AB1497" s="259"/>
      <c r="AC1497" s="259"/>
      <c r="AD1497" s="259"/>
      <c r="AE1497" s="259"/>
    </row>
    <row r="1498" spans="1:31">
      <c r="A1498" s="259" t="s">
        <v>1593</v>
      </c>
      <c r="B1498" s="259" t="s">
        <v>80</v>
      </c>
      <c r="C1498" s="264" t="s">
        <v>6438</v>
      </c>
      <c r="D1498" s="264" t="s">
        <v>1593</v>
      </c>
      <c r="E1498" s="259" t="s">
        <v>6429</v>
      </c>
      <c r="F1498" s="259" t="s">
        <v>5021</v>
      </c>
      <c r="H1498" s="264"/>
      <c r="I1498" s="264"/>
      <c r="J1498" s="295" t="s">
        <v>6428</v>
      </c>
      <c r="K1498" s="295">
        <v>0</v>
      </c>
      <c r="L1498" s="295">
        <v>0</v>
      </c>
      <c r="O1498" s="266"/>
      <c r="R1498" s="265"/>
      <c r="V1498" s="259" t="s">
        <v>4159</v>
      </c>
      <c r="Y1498" s="259">
        <v>585</v>
      </c>
      <c r="Z1498" s="259" t="s">
        <v>3037</v>
      </c>
      <c r="AA1498" s="259" t="e">
        <v>#N/A</v>
      </c>
      <c r="AB1498" s="259"/>
      <c r="AC1498" s="259"/>
      <c r="AD1498" s="259"/>
      <c r="AE1498" s="259"/>
    </row>
    <row r="1499" spans="1:31">
      <c r="A1499" s="259" t="s">
        <v>1594</v>
      </c>
      <c r="B1499" s="259" t="s">
        <v>80</v>
      </c>
      <c r="C1499" s="264" t="s">
        <v>6438</v>
      </c>
      <c r="D1499" s="264" t="s">
        <v>1594</v>
      </c>
      <c r="E1499" s="259" t="s">
        <v>6429</v>
      </c>
      <c r="F1499" s="259" t="s">
        <v>5021</v>
      </c>
      <c r="H1499" s="264" t="s">
        <v>6707</v>
      </c>
      <c r="I1499" s="264" t="s">
        <v>6708</v>
      </c>
      <c r="J1499" s="295" t="s">
        <v>6428</v>
      </c>
      <c r="K1499" s="295">
        <v>0</v>
      </c>
      <c r="L1499" s="295">
        <v>0</v>
      </c>
      <c r="O1499" s="266">
        <v>0</v>
      </c>
      <c r="R1499" s="265">
        <v>0</v>
      </c>
      <c r="S1499" s="265">
        <v>0</v>
      </c>
      <c r="T1499" s="265">
        <v>0</v>
      </c>
      <c r="U1499" s="265">
        <v>0</v>
      </c>
      <c r="V1499" s="259" t="s">
        <v>4159</v>
      </c>
      <c r="W1499" s="259" t="s">
        <v>3061</v>
      </c>
      <c r="Y1499" s="259">
        <v>586</v>
      </c>
      <c r="Z1499" s="259" t="s">
        <v>3037</v>
      </c>
      <c r="AA1499" s="259" t="e">
        <v>#N/A</v>
      </c>
      <c r="AB1499" s="259"/>
      <c r="AC1499" s="259"/>
      <c r="AD1499" s="259"/>
      <c r="AE1499" s="259"/>
    </row>
    <row r="1500" spans="1:31">
      <c r="A1500" s="259" t="s">
        <v>1595</v>
      </c>
      <c r="B1500" s="259" t="s">
        <v>80</v>
      </c>
      <c r="C1500" s="264" t="s">
        <v>6438</v>
      </c>
      <c r="D1500" s="264" t="s">
        <v>1595</v>
      </c>
      <c r="E1500" s="259" t="s">
        <v>6429</v>
      </c>
      <c r="F1500" s="259" t="s">
        <v>5021</v>
      </c>
      <c r="H1500" s="264"/>
      <c r="I1500" s="264"/>
      <c r="J1500" s="295" t="s">
        <v>6428</v>
      </c>
      <c r="K1500" s="295">
        <v>0</v>
      </c>
      <c r="L1500" s="295">
        <v>0</v>
      </c>
      <c r="N1500" s="295">
        <v>0</v>
      </c>
      <c r="O1500" s="266"/>
      <c r="Q1500" s="266">
        <v>0</v>
      </c>
      <c r="R1500" s="265">
        <v>0</v>
      </c>
      <c r="S1500" s="265">
        <v>0</v>
      </c>
      <c r="T1500" s="265">
        <v>0</v>
      </c>
      <c r="U1500" s="265" t="s">
        <v>4159</v>
      </c>
      <c r="V1500" s="259" t="s">
        <v>4159</v>
      </c>
      <c r="Y1500" s="259">
        <v>587</v>
      </c>
      <c r="Z1500" s="259" t="s">
        <v>3037</v>
      </c>
      <c r="AA1500" s="259" t="e">
        <v>#N/A</v>
      </c>
      <c r="AB1500" s="259"/>
      <c r="AC1500" s="259"/>
      <c r="AD1500" s="259"/>
      <c r="AE1500" s="259"/>
    </row>
    <row r="1501" spans="1:31">
      <c r="A1501" s="259" t="s">
        <v>1596</v>
      </c>
      <c r="B1501" s="259" t="s">
        <v>80</v>
      </c>
      <c r="C1501" s="264" t="s">
        <v>6438</v>
      </c>
      <c r="D1501" s="264" t="s">
        <v>1596</v>
      </c>
      <c r="F1501" s="259" t="s">
        <v>5021</v>
      </c>
      <c r="H1501" s="264" t="s">
        <v>6709</v>
      </c>
      <c r="I1501" s="264" t="s">
        <v>6706</v>
      </c>
      <c r="J1501" s="295">
        <v>14579.65</v>
      </c>
      <c r="K1501" s="295">
        <v>14579</v>
      </c>
      <c r="L1501" s="295">
        <v>6961.53</v>
      </c>
      <c r="O1501" s="266">
        <v>0</v>
      </c>
      <c r="R1501" s="265">
        <v>0</v>
      </c>
      <c r="S1501" s="265">
        <v>0</v>
      </c>
      <c r="T1501" s="265">
        <v>0</v>
      </c>
      <c r="U1501" s="265">
        <v>0</v>
      </c>
      <c r="V1501" s="259" t="s">
        <v>4159</v>
      </c>
      <c r="W1501" s="259" t="s">
        <v>3061</v>
      </c>
      <c r="Y1501" s="259">
        <v>588</v>
      </c>
      <c r="AA1501" s="259" t="e">
        <v>#N/A</v>
      </c>
      <c r="AB1501" s="259"/>
      <c r="AC1501" s="259"/>
      <c r="AD1501" s="259"/>
      <c r="AE1501" s="259"/>
    </row>
    <row r="1502" spans="1:31">
      <c r="A1502" s="259" t="s">
        <v>1597</v>
      </c>
      <c r="B1502" s="259" t="s">
        <v>80</v>
      </c>
      <c r="C1502" s="264" t="s">
        <v>6438</v>
      </c>
      <c r="D1502" s="264" t="s">
        <v>1597</v>
      </c>
      <c r="E1502" s="259" t="s">
        <v>6429</v>
      </c>
      <c r="F1502" s="259" t="s">
        <v>5021</v>
      </c>
      <c r="H1502" s="264"/>
      <c r="I1502" s="264"/>
      <c r="J1502" s="295" t="s">
        <v>6428</v>
      </c>
      <c r="K1502" s="295">
        <v>0</v>
      </c>
      <c r="L1502" s="295">
        <v>0</v>
      </c>
      <c r="O1502" s="266"/>
      <c r="R1502" s="265"/>
      <c r="V1502" s="259"/>
      <c r="Y1502" s="259">
        <v>589</v>
      </c>
      <c r="Z1502" s="259" t="s">
        <v>3037</v>
      </c>
      <c r="AA1502" s="259" t="e">
        <v>#N/A</v>
      </c>
      <c r="AB1502" s="259"/>
      <c r="AC1502" s="259"/>
      <c r="AD1502" s="259"/>
      <c r="AE1502" s="259"/>
    </row>
    <row r="1503" spans="1:31">
      <c r="A1503" s="259" t="s">
        <v>1598</v>
      </c>
      <c r="B1503" s="259" t="s">
        <v>80</v>
      </c>
      <c r="C1503" s="264" t="s">
        <v>6438</v>
      </c>
      <c r="D1503" s="264" t="s">
        <v>1598</v>
      </c>
      <c r="E1503" s="259" t="s">
        <v>6429</v>
      </c>
      <c r="F1503" s="259" t="s">
        <v>5021</v>
      </c>
      <c r="H1503" s="264"/>
      <c r="I1503" s="264"/>
      <c r="J1503" s="295" t="s">
        <v>6428</v>
      </c>
      <c r="K1503" s="295">
        <v>0</v>
      </c>
      <c r="L1503" s="295">
        <v>0</v>
      </c>
      <c r="O1503" s="266"/>
      <c r="R1503" s="265"/>
      <c r="V1503" s="259" t="s">
        <v>4159</v>
      </c>
      <c r="Y1503" s="259">
        <v>590</v>
      </c>
      <c r="Z1503" s="259" t="s">
        <v>3037</v>
      </c>
      <c r="AA1503" s="259" t="e">
        <v>#N/A</v>
      </c>
      <c r="AB1503" s="259"/>
      <c r="AC1503" s="259"/>
      <c r="AD1503" s="259"/>
      <c r="AE1503" s="259"/>
    </row>
    <row r="1504" spans="1:31">
      <c r="A1504" s="259" t="s">
        <v>1599</v>
      </c>
      <c r="B1504" s="259" t="s">
        <v>80</v>
      </c>
      <c r="C1504" s="264" t="s">
        <v>6438</v>
      </c>
      <c r="D1504" s="264" t="s">
        <v>1599</v>
      </c>
      <c r="E1504" s="259" t="s">
        <v>6429</v>
      </c>
      <c r="F1504" s="259" t="s">
        <v>5021</v>
      </c>
      <c r="H1504" s="264"/>
      <c r="I1504" s="264"/>
      <c r="J1504" s="295" t="s">
        <v>6428</v>
      </c>
      <c r="K1504" s="295">
        <v>0</v>
      </c>
      <c r="L1504" s="295">
        <v>0</v>
      </c>
      <c r="O1504" s="266"/>
      <c r="R1504" s="265"/>
      <c r="V1504" s="259"/>
      <c r="Y1504" s="259">
        <v>591</v>
      </c>
      <c r="AA1504" s="259" t="e">
        <v>#N/A</v>
      </c>
      <c r="AB1504" s="259"/>
      <c r="AC1504" s="259"/>
      <c r="AD1504" s="259"/>
      <c r="AE1504" s="259"/>
    </row>
    <row r="1505" spans="1:31">
      <c r="A1505" s="259" t="s">
        <v>1600</v>
      </c>
      <c r="B1505" s="259" t="s">
        <v>80</v>
      </c>
      <c r="C1505" s="264" t="s">
        <v>6438</v>
      </c>
      <c r="D1505" s="264" t="s">
        <v>1600</v>
      </c>
      <c r="E1505" s="259" t="s">
        <v>6429</v>
      </c>
      <c r="F1505" s="259" t="s">
        <v>5021</v>
      </c>
      <c r="H1505" s="264"/>
      <c r="I1505" s="264"/>
      <c r="J1505" s="295" t="s">
        <v>6428</v>
      </c>
      <c r="K1505" s="295">
        <v>0</v>
      </c>
      <c r="L1505" s="295">
        <v>0</v>
      </c>
      <c r="O1505" s="266"/>
      <c r="R1505" s="265"/>
      <c r="V1505" s="259" t="s">
        <v>4159</v>
      </c>
      <c r="Y1505" s="259">
        <v>592</v>
      </c>
      <c r="Z1505" s="259" t="s">
        <v>3037</v>
      </c>
      <c r="AA1505" s="259" t="e">
        <v>#N/A</v>
      </c>
      <c r="AB1505" s="259"/>
      <c r="AC1505" s="259"/>
      <c r="AD1505" s="259"/>
      <c r="AE1505" s="259"/>
    </row>
    <row r="1506" spans="1:31">
      <c r="A1506" s="259" t="s">
        <v>1601</v>
      </c>
      <c r="B1506" s="259" t="s">
        <v>80</v>
      </c>
      <c r="C1506" s="264" t="s">
        <v>6680</v>
      </c>
      <c r="D1506" s="264" t="s">
        <v>1601</v>
      </c>
      <c r="E1506" s="259" t="s">
        <v>6681</v>
      </c>
      <c r="F1506" s="259" t="s">
        <v>5021</v>
      </c>
      <c r="H1506" s="264" t="s">
        <v>6710</v>
      </c>
      <c r="I1506" s="264" t="s">
        <v>6711</v>
      </c>
      <c r="J1506" s="295">
        <v>3420</v>
      </c>
      <c r="K1506" s="295">
        <v>3420</v>
      </c>
      <c r="L1506" s="295">
        <v>1710</v>
      </c>
      <c r="O1506" s="266">
        <v>0</v>
      </c>
      <c r="P1506" s="266">
        <v>691991031854</v>
      </c>
      <c r="R1506" s="265">
        <v>50</v>
      </c>
      <c r="S1506" s="265">
        <v>17</v>
      </c>
      <c r="T1506" s="265">
        <v>31</v>
      </c>
      <c r="U1506" s="265">
        <v>32</v>
      </c>
      <c r="V1506" s="259" t="s">
        <v>4159</v>
      </c>
      <c r="W1506" s="259" t="s">
        <v>3061</v>
      </c>
      <c r="Y1506" s="259">
        <v>593</v>
      </c>
      <c r="Z1506" s="259" t="s">
        <v>3037</v>
      </c>
      <c r="AA1506" s="259" t="e">
        <v>#N/A</v>
      </c>
      <c r="AB1506" s="259"/>
      <c r="AC1506" s="259"/>
      <c r="AD1506" s="259"/>
      <c r="AE1506" s="259"/>
    </row>
    <row r="1507" spans="1:31">
      <c r="A1507" s="259" t="s">
        <v>1602</v>
      </c>
      <c r="B1507" s="259" t="s">
        <v>80</v>
      </c>
      <c r="C1507" s="264" t="s">
        <v>6680</v>
      </c>
      <c r="D1507" s="264" t="s">
        <v>1602</v>
      </c>
      <c r="F1507" s="259" t="s">
        <v>5021</v>
      </c>
      <c r="H1507" s="264" t="s">
        <v>6712</v>
      </c>
      <c r="I1507" s="264" t="s">
        <v>6713</v>
      </c>
      <c r="J1507" s="295">
        <v>3420</v>
      </c>
      <c r="K1507" s="295">
        <v>3420</v>
      </c>
      <c r="L1507" s="295">
        <v>1710</v>
      </c>
      <c r="O1507" s="266">
        <v>0</v>
      </c>
      <c r="R1507" s="265">
        <v>0</v>
      </c>
      <c r="S1507" s="265">
        <v>0</v>
      </c>
      <c r="T1507" s="265">
        <v>0</v>
      </c>
      <c r="U1507" s="265">
        <v>0</v>
      </c>
      <c r="V1507" s="259" t="s">
        <v>4159</v>
      </c>
      <c r="W1507" s="259" t="s">
        <v>3061</v>
      </c>
      <c r="Y1507" s="259">
        <v>594</v>
      </c>
      <c r="AA1507" s="259" t="e">
        <v>#N/A</v>
      </c>
      <c r="AB1507" s="259"/>
      <c r="AC1507" s="259"/>
      <c r="AD1507" s="259"/>
      <c r="AE1507" s="259"/>
    </row>
    <row r="1508" spans="1:31">
      <c r="A1508" s="259" t="s">
        <v>1603</v>
      </c>
      <c r="B1508" s="259" t="s">
        <v>80</v>
      </c>
      <c r="C1508" s="264" t="s">
        <v>6438</v>
      </c>
      <c r="D1508" s="264" t="s">
        <v>1603</v>
      </c>
      <c r="E1508" s="259" t="s">
        <v>6429</v>
      </c>
      <c r="F1508" s="259" t="s">
        <v>5021</v>
      </c>
      <c r="H1508" s="264" t="s">
        <v>6714</v>
      </c>
      <c r="I1508" s="264" t="s">
        <v>6715</v>
      </c>
      <c r="J1508" s="295" t="s">
        <v>6428</v>
      </c>
      <c r="K1508" s="295">
        <v>0</v>
      </c>
      <c r="L1508" s="295">
        <v>0</v>
      </c>
      <c r="O1508" s="266">
        <v>0</v>
      </c>
      <c r="P1508" s="266">
        <v>691991031861</v>
      </c>
      <c r="R1508" s="265">
        <v>0</v>
      </c>
      <c r="S1508" s="265">
        <v>0</v>
      </c>
      <c r="T1508" s="265">
        <v>0</v>
      </c>
      <c r="U1508" s="265">
        <v>0</v>
      </c>
      <c r="V1508" s="259" t="s">
        <v>4159</v>
      </c>
      <c r="W1508" s="259" t="s">
        <v>3061</v>
      </c>
      <c r="Y1508" s="259">
        <v>595</v>
      </c>
      <c r="Z1508" s="259" t="s">
        <v>3037</v>
      </c>
      <c r="AA1508" s="259" t="e">
        <v>#N/A</v>
      </c>
      <c r="AB1508" s="259"/>
      <c r="AC1508" s="259"/>
      <c r="AD1508" s="259"/>
      <c r="AE1508" s="259"/>
    </row>
    <row r="1509" spans="1:31">
      <c r="A1509" s="259" t="s">
        <v>1604</v>
      </c>
      <c r="B1509" s="259" t="s">
        <v>80</v>
      </c>
      <c r="C1509" s="264" t="s">
        <v>6438</v>
      </c>
      <c r="D1509" s="264" t="s">
        <v>1604</v>
      </c>
      <c r="F1509" s="259" t="s">
        <v>5021</v>
      </c>
      <c r="H1509" s="264" t="s">
        <v>6716</v>
      </c>
      <c r="I1509" s="264" t="s">
        <v>6717</v>
      </c>
      <c r="J1509" s="295" t="s">
        <v>6428</v>
      </c>
      <c r="K1509" s="295">
        <v>0</v>
      </c>
      <c r="L1509" s="295">
        <v>0</v>
      </c>
      <c r="O1509" s="266">
        <v>0</v>
      </c>
      <c r="R1509" s="265">
        <v>0</v>
      </c>
      <c r="S1509" s="265">
        <v>0</v>
      </c>
      <c r="T1509" s="265">
        <v>0</v>
      </c>
      <c r="U1509" s="265">
        <v>0</v>
      </c>
      <c r="V1509" s="259" t="s">
        <v>4159</v>
      </c>
      <c r="W1509" s="259" t="s">
        <v>3061</v>
      </c>
      <c r="Y1509" s="259">
        <v>596</v>
      </c>
      <c r="Z1509" s="259" t="s">
        <v>3037</v>
      </c>
      <c r="AA1509" s="259" t="e">
        <v>#N/A</v>
      </c>
      <c r="AB1509" s="259"/>
      <c r="AC1509" s="259"/>
      <c r="AD1509" s="259"/>
      <c r="AE1509" s="259"/>
    </row>
    <row r="1510" spans="1:31">
      <c r="A1510" s="259" t="s">
        <v>1605</v>
      </c>
      <c r="B1510" s="259" t="s">
        <v>80</v>
      </c>
      <c r="C1510" s="264" t="s">
        <v>6680</v>
      </c>
      <c r="D1510" s="264" t="s">
        <v>1605</v>
      </c>
      <c r="E1510" s="259" t="s">
        <v>6681</v>
      </c>
      <c r="F1510" s="259" t="s">
        <v>5021</v>
      </c>
      <c r="H1510" s="264" t="s">
        <v>6718</v>
      </c>
      <c r="I1510" s="264" t="s">
        <v>6719</v>
      </c>
      <c r="J1510" s="295">
        <v>6260</v>
      </c>
      <c r="K1510" s="295">
        <v>6260</v>
      </c>
      <c r="L1510" s="295">
        <v>3130</v>
      </c>
      <c r="O1510" s="266">
        <v>0</v>
      </c>
      <c r="P1510" s="266">
        <v>691991014482</v>
      </c>
      <c r="R1510" s="265">
        <v>0</v>
      </c>
      <c r="S1510" s="265">
        <v>0</v>
      </c>
      <c r="T1510" s="265">
        <v>0</v>
      </c>
      <c r="U1510" s="265">
        <v>0</v>
      </c>
      <c r="V1510" s="259" t="s">
        <v>4159</v>
      </c>
      <c r="W1510" s="259" t="s">
        <v>3061</v>
      </c>
      <c r="Y1510" s="259">
        <v>597</v>
      </c>
      <c r="Z1510" s="259" t="s">
        <v>3037</v>
      </c>
      <c r="AA1510" s="259" t="e">
        <v>#N/A</v>
      </c>
      <c r="AB1510" s="259"/>
      <c r="AC1510" s="259"/>
      <c r="AD1510" s="259"/>
      <c r="AE1510" s="259"/>
    </row>
    <row r="1511" spans="1:31">
      <c r="A1511" s="259" t="s">
        <v>1606</v>
      </c>
      <c r="B1511" s="259" t="s">
        <v>80</v>
      </c>
      <c r="C1511" s="264" t="s">
        <v>6438</v>
      </c>
      <c r="D1511" s="264" t="s">
        <v>1606</v>
      </c>
      <c r="E1511" s="259" t="s">
        <v>6429</v>
      </c>
      <c r="F1511" s="259" t="s">
        <v>5021</v>
      </c>
      <c r="H1511" s="264" t="s">
        <v>6720</v>
      </c>
      <c r="I1511" s="264" t="s">
        <v>6721</v>
      </c>
      <c r="J1511" s="295" t="s">
        <v>6428</v>
      </c>
      <c r="K1511" s="295">
        <v>0</v>
      </c>
      <c r="L1511" s="295">
        <v>0</v>
      </c>
      <c r="O1511" s="266">
        <v>0</v>
      </c>
      <c r="P1511" s="266">
        <v>691991014499</v>
      </c>
      <c r="R1511" s="265">
        <v>200</v>
      </c>
      <c r="S1511" s="265">
        <v>40</v>
      </c>
      <c r="T1511" s="265">
        <v>31</v>
      </c>
      <c r="U1511" s="265">
        <v>41</v>
      </c>
      <c r="V1511" s="259" t="s">
        <v>4159</v>
      </c>
      <c r="W1511" s="259" t="s">
        <v>3061</v>
      </c>
      <c r="Y1511" s="259">
        <v>598</v>
      </c>
      <c r="Z1511" s="259" t="s">
        <v>3264</v>
      </c>
      <c r="AA1511" s="259" t="e">
        <v>#N/A</v>
      </c>
      <c r="AB1511" s="259"/>
      <c r="AC1511" s="259"/>
      <c r="AD1511" s="259"/>
      <c r="AE1511" s="259"/>
    </row>
    <row r="1512" spans="1:31">
      <c r="A1512" s="259" t="s">
        <v>1607</v>
      </c>
      <c r="B1512" s="259" t="s">
        <v>80</v>
      </c>
      <c r="C1512" s="264" t="s">
        <v>6438</v>
      </c>
      <c r="D1512" s="264" t="s">
        <v>1607</v>
      </c>
      <c r="F1512" s="259" t="s">
        <v>5021</v>
      </c>
      <c r="H1512" s="264" t="s">
        <v>6720</v>
      </c>
      <c r="I1512" s="264" t="s">
        <v>6721</v>
      </c>
      <c r="J1512" s="295" t="s">
        <v>6428</v>
      </c>
      <c r="K1512" s="295">
        <v>0</v>
      </c>
      <c r="L1512" s="295">
        <v>0</v>
      </c>
      <c r="O1512" s="266">
        <v>0</v>
      </c>
      <c r="P1512" s="266">
        <v>691991014505</v>
      </c>
      <c r="R1512" s="265">
        <v>0</v>
      </c>
      <c r="S1512" s="265">
        <v>0</v>
      </c>
      <c r="T1512" s="265">
        <v>0</v>
      </c>
      <c r="U1512" s="265">
        <v>0</v>
      </c>
      <c r="V1512" s="259" t="s">
        <v>4159</v>
      </c>
      <c r="W1512" s="259" t="s">
        <v>3061</v>
      </c>
      <c r="Y1512" s="259">
        <v>599</v>
      </c>
      <c r="AA1512" s="259" t="e">
        <v>#N/A</v>
      </c>
      <c r="AB1512" s="259"/>
      <c r="AC1512" s="259"/>
      <c r="AD1512" s="259"/>
      <c r="AE1512" s="259"/>
    </row>
    <row r="1513" spans="1:31">
      <c r="A1513" s="259" t="s">
        <v>1608</v>
      </c>
      <c r="B1513" s="259" t="s">
        <v>80</v>
      </c>
      <c r="C1513" s="264" t="s">
        <v>6680</v>
      </c>
      <c r="D1513" s="264" t="s">
        <v>1608</v>
      </c>
      <c r="E1513" s="259" t="s">
        <v>6681</v>
      </c>
      <c r="F1513" s="259" t="s">
        <v>5021</v>
      </c>
      <c r="G1513" s="259" t="s">
        <v>3378</v>
      </c>
      <c r="H1513" s="264" t="s">
        <v>6722</v>
      </c>
      <c r="I1513" s="264" t="s">
        <v>6723</v>
      </c>
      <c r="J1513" s="295">
        <v>4364</v>
      </c>
      <c r="K1513" s="295">
        <v>4364</v>
      </c>
      <c r="L1513" s="295">
        <v>2182</v>
      </c>
      <c r="O1513" s="266">
        <v>0</v>
      </c>
      <c r="P1513" s="266">
        <v>691991014512</v>
      </c>
      <c r="R1513" s="265">
        <v>200</v>
      </c>
      <c r="S1513" s="265">
        <v>31</v>
      </c>
      <c r="T1513" s="265">
        <v>33</v>
      </c>
      <c r="U1513" s="265">
        <v>42</v>
      </c>
      <c r="V1513" s="259" t="s">
        <v>4159</v>
      </c>
      <c r="W1513" s="259" t="s">
        <v>3061</v>
      </c>
      <c r="Y1513" s="259">
        <v>600</v>
      </c>
      <c r="Z1513" s="259" t="s">
        <v>3037</v>
      </c>
      <c r="AA1513" s="259" t="e">
        <v>#N/A</v>
      </c>
      <c r="AB1513" s="259"/>
      <c r="AC1513" s="259"/>
      <c r="AD1513" s="259"/>
      <c r="AE1513" s="259"/>
    </row>
    <row r="1514" spans="1:31">
      <c r="A1514" s="259" t="s">
        <v>1609</v>
      </c>
      <c r="B1514" s="259" t="s">
        <v>80</v>
      </c>
      <c r="C1514" s="264" t="s">
        <v>6680</v>
      </c>
      <c r="D1514" s="264" t="s">
        <v>1609</v>
      </c>
      <c r="E1514" s="259" t="s">
        <v>6681</v>
      </c>
      <c r="F1514" s="259" t="s">
        <v>5021</v>
      </c>
      <c r="H1514" s="264" t="s">
        <v>6718</v>
      </c>
      <c r="I1514" s="264" t="s">
        <v>6724</v>
      </c>
      <c r="J1514" s="295">
        <v>4364</v>
      </c>
      <c r="K1514" s="295">
        <v>4364</v>
      </c>
      <c r="L1514" s="295">
        <v>2182</v>
      </c>
      <c r="O1514" s="266">
        <v>0</v>
      </c>
      <c r="P1514" s="266">
        <v>691991014529</v>
      </c>
      <c r="R1514" s="265">
        <v>140</v>
      </c>
      <c r="S1514" s="265">
        <v>33</v>
      </c>
      <c r="T1514" s="265">
        <v>31</v>
      </c>
      <c r="U1514" s="265">
        <v>41.5</v>
      </c>
      <c r="V1514" s="259" t="s">
        <v>4159</v>
      </c>
      <c r="W1514" s="259" t="s">
        <v>3061</v>
      </c>
      <c r="Y1514" s="259">
        <v>601</v>
      </c>
      <c r="Z1514" s="259" t="s">
        <v>3037</v>
      </c>
      <c r="AA1514" s="259" t="e">
        <v>#N/A</v>
      </c>
      <c r="AB1514" s="259"/>
      <c r="AC1514" s="259"/>
      <c r="AD1514" s="259"/>
      <c r="AE1514" s="259"/>
    </row>
    <row r="1515" spans="1:31">
      <c r="A1515" s="259" t="s">
        <v>1610</v>
      </c>
      <c r="B1515" s="259" t="s">
        <v>80</v>
      </c>
      <c r="C1515" s="264" t="s">
        <v>6438</v>
      </c>
      <c r="D1515" s="264" t="s">
        <v>1610</v>
      </c>
      <c r="F1515" s="259" t="s">
        <v>5021</v>
      </c>
      <c r="H1515" s="264" t="s">
        <v>6725</v>
      </c>
      <c r="I1515" s="264" t="s">
        <v>6726</v>
      </c>
      <c r="J1515" s="295" t="s">
        <v>6428</v>
      </c>
      <c r="K1515" s="295">
        <v>0</v>
      </c>
      <c r="L1515" s="295">
        <v>0</v>
      </c>
      <c r="O1515" s="266">
        <v>0</v>
      </c>
      <c r="P1515" s="266">
        <v>691991014536</v>
      </c>
      <c r="R1515" s="265">
        <v>0</v>
      </c>
      <c r="S1515" s="265">
        <v>0</v>
      </c>
      <c r="T1515" s="265">
        <v>0</v>
      </c>
      <c r="U1515" s="265">
        <v>0</v>
      </c>
      <c r="V1515" s="259" t="s">
        <v>4159</v>
      </c>
      <c r="W1515" s="259" t="s">
        <v>3061</v>
      </c>
      <c r="Y1515" s="259">
        <v>602</v>
      </c>
      <c r="AA1515" s="259" t="e">
        <v>#N/A</v>
      </c>
      <c r="AB1515" s="259"/>
      <c r="AC1515" s="259"/>
      <c r="AD1515" s="259"/>
      <c r="AE1515" s="259"/>
    </row>
    <row r="1516" spans="1:31">
      <c r="A1516" s="259" t="s">
        <v>1611</v>
      </c>
      <c r="B1516" s="259" t="s">
        <v>80</v>
      </c>
      <c r="C1516" s="264" t="s">
        <v>6438</v>
      </c>
      <c r="D1516" s="264" t="s">
        <v>1611</v>
      </c>
      <c r="E1516" s="259" t="s">
        <v>6429</v>
      </c>
      <c r="F1516" s="259" t="s">
        <v>5021</v>
      </c>
      <c r="H1516" s="264" t="s">
        <v>6725</v>
      </c>
      <c r="I1516" s="264" t="s">
        <v>6726</v>
      </c>
      <c r="J1516" s="295" t="s">
        <v>6428</v>
      </c>
      <c r="K1516" s="295">
        <v>0</v>
      </c>
      <c r="L1516" s="295">
        <v>0</v>
      </c>
      <c r="O1516" s="266">
        <v>0</v>
      </c>
      <c r="R1516" s="265">
        <v>156</v>
      </c>
      <c r="S1516" s="265">
        <v>31</v>
      </c>
      <c r="T1516" s="265">
        <v>33</v>
      </c>
      <c r="U1516" s="265">
        <v>41.5</v>
      </c>
      <c r="V1516" s="259" t="s">
        <v>4159</v>
      </c>
      <c r="W1516" s="259" t="s">
        <v>3061</v>
      </c>
      <c r="Y1516" s="259">
        <v>603</v>
      </c>
      <c r="Z1516" s="259" t="s">
        <v>3037</v>
      </c>
      <c r="AA1516" s="259" t="e">
        <v>#N/A</v>
      </c>
      <c r="AB1516" s="259"/>
      <c r="AC1516" s="259"/>
      <c r="AD1516" s="259"/>
      <c r="AE1516" s="259"/>
    </row>
    <row r="1517" spans="1:31">
      <c r="A1517" s="259" t="s">
        <v>1612</v>
      </c>
      <c r="B1517" s="259" t="s">
        <v>80</v>
      </c>
      <c r="C1517" s="264" t="s">
        <v>6680</v>
      </c>
      <c r="D1517" s="264" t="s">
        <v>1612</v>
      </c>
      <c r="F1517" s="259" t="s">
        <v>5021</v>
      </c>
      <c r="H1517" s="264" t="s">
        <v>6722</v>
      </c>
      <c r="I1517" s="264" t="s">
        <v>6727</v>
      </c>
      <c r="J1517" s="295">
        <v>4364</v>
      </c>
      <c r="K1517" s="295">
        <v>4364</v>
      </c>
      <c r="L1517" s="295">
        <v>2182</v>
      </c>
      <c r="O1517" s="266">
        <v>0</v>
      </c>
      <c r="P1517" s="266">
        <v>691991014543</v>
      </c>
      <c r="R1517" s="265">
        <v>140</v>
      </c>
      <c r="S1517" s="265">
        <v>32.5</v>
      </c>
      <c r="T1517" s="265">
        <v>31</v>
      </c>
      <c r="U1517" s="265">
        <v>41</v>
      </c>
      <c r="V1517" s="259" t="s">
        <v>4159</v>
      </c>
      <c r="W1517" s="259" t="s">
        <v>3061</v>
      </c>
      <c r="Y1517" s="259">
        <v>604</v>
      </c>
      <c r="Z1517" s="259" t="s">
        <v>3037</v>
      </c>
      <c r="AA1517" s="259" t="e">
        <v>#N/A</v>
      </c>
      <c r="AB1517" s="259"/>
      <c r="AC1517" s="259"/>
      <c r="AD1517" s="259"/>
      <c r="AE1517" s="259"/>
    </row>
    <row r="1518" spans="1:31">
      <c r="A1518" s="259" t="s">
        <v>1613</v>
      </c>
      <c r="B1518" s="259" t="s">
        <v>80</v>
      </c>
      <c r="C1518" s="264" t="s">
        <v>6680</v>
      </c>
      <c r="D1518" s="264" t="s">
        <v>1613</v>
      </c>
      <c r="E1518" s="259" t="s">
        <v>6681</v>
      </c>
      <c r="F1518" s="259" t="s">
        <v>5021</v>
      </c>
      <c r="H1518" s="264" t="s">
        <v>6718</v>
      </c>
      <c r="I1518" s="264" t="s">
        <v>6728</v>
      </c>
      <c r="J1518" s="295">
        <v>4364</v>
      </c>
      <c r="K1518" s="295">
        <v>4364</v>
      </c>
      <c r="L1518" s="295">
        <v>2182</v>
      </c>
      <c r="O1518" s="266">
        <v>0</v>
      </c>
      <c r="P1518" s="266">
        <v>691991014550</v>
      </c>
      <c r="R1518" s="265">
        <v>140</v>
      </c>
      <c r="S1518" s="265">
        <v>33</v>
      </c>
      <c r="T1518" s="265">
        <v>31</v>
      </c>
      <c r="U1518" s="265">
        <v>41.5</v>
      </c>
      <c r="V1518" s="259" t="s">
        <v>4159</v>
      </c>
      <c r="W1518" s="259" t="s">
        <v>3061</v>
      </c>
      <c r="Y1518" s="259">
        <v>605</v>
      </c>
      <c r="Z1518" s="259" t="s">
        <v>3037</v>
      </c>
      <c r="AA1518" s="259" t="e">
        <v>#N/A</v>
      </c>
      <c r="AB1518" s="259"/>
      <c r="AC1518" s="259"/>
      <c r="AD1518" s="259"/>
      <c r="AE1518" s="259"/>
    </row>
    <row r="1519" spans="1:31">
      <c r="A1519" s="259" t="s">
        <v>1614</v>
      </c>
      <c r="B1519" s="259" t="s">
        <v>80</v>
      </c>
      <c r="C1519" s="264" t="s">
        <v>6438</v>
      </c>
      <c r="D1519" s="264" t="s">
        <v>1614</v>
      </c>
      <c r="E1519" s="259" t="s">
        <v>6429</v>
      </c>
      <c r="F1519" s="259" t="s">
        <v>5021</v>
      </c>
      <c r="H1519" s="264" t="s">
        <v>6720</v>
      </c>
      <c r="I1519" s="264" t="s">
        <v>6729</v>
      </c>
      <c r="J1519" s="295" t="s">
        <v>6428</v>
      </c>
      <c r="K1519" s="295">
        <v>0</v>
      </c>
      <c r="L1519" s="295">
        <v>0</v>
      </c>
      <c r="O1519" s="266">
        <v>0</v>
      </c>
      <c r="R1519" s="265">
        <v>143</v>
      </c>
      <c r="S1519" s="265">
        <v>31</v>
      </c>
      <c r="T1519" s="265">
        <v>32</v>
      </c>
      <c r="U1519" s="265">
        <v>41</v>
      </c>
      <c r="V1519" s="259" t="s">
        <v>4159</v>
      </c>
      <c r="W1519" s="259" t="s">
        <v>3061</v>
      </c>
      <c r="Y1519" s="259">
        <v>606</v>
      </c>
      <c r="Z1519" s="259" t="s">
        <v>3037</v>
      </c>
      <c r="AA1519" s="259" t="e">
        <v>#N/A</v>
      </c>
      <c r="AB1519" s="259"/>
      <c r="AC1519" s="259"/>
      <c r="AD1519" s="259"/>
      <c r="AE1519" s="259"/>
    </row>
    <row r="1520" spans="1:31">
      <c r="A1520" s="259" t="s">
        <v>1615</v>
      </c>
      <c r="B1520" s="259" t="s">
        <v>80</v>
      </c>
      <c r="C1520" s="264" t="s">
        <v>6438</v>
      </c>
      <c r="D1520" s="264" t="s">
        <v>1615</v>
      </c>
      <c r="F1520" s="259" t="s">
        <v>5021</v>
      </c>
      <c r="H1520" s="264" t="s">
        <v>6720</v>
      </c>
      <c r="I1520" s="264" t="s">
        <v>6729</v>
      </c>
      <c r="J1520" s="295" t="s">
        <v>6428</v>
      </c>
      <c r="K1520" s="295">
        <v>0</v>
      </c>
      <c r="L1520" s="295">
        <v>0</v>
      </c>
      <c r="O1520" s="266">
        <v>0</v>
      </c>
      <c r="P1520" s="266">
        <v>691991014567</v>
      </c>
      <c r="R1520" s="265">
        <v>0</v>
      </c>
      <c r="S1520" s="265">
        <v>0</v>
      </c>
      <c r="T1520" s="265">
        <v>0</v>
      </c>
      <c r="U1520" s="265">
        <v>0</v>
      </c>
      <c r="V1520" s="259" t="s">
        <v>4159</v>
      </c>
      <c r="W1520" s="259" t="s">
        <v>3061</v>
      </c>
      <c r="Y1520" s="259">
        <v>607</v>
      </c>
      <c r="AA1520" s="259" t="e">
        <v>#N/A</v>
      </c>
      <c r="AB1520" s="259"/>
      <c r="AC1520" s="259"/>
      <c r="AD1520" s="259"/>
      <c r="AE1520" s="259"/>
    </row>
    <row r="1521" spans="1:31">
      <c r="A1521" s="259" t="s">
        <v>1616</v>
      </c>
      <c r="B1521" s="259" t="s">
        <v>80</v>
      </c>
      <c r="C1521" s="264" t="s">
        <v>6680</v>
      </c>
      <c r="D1521" s="264" t="s">
        <v>1616</v>
      </c>
      <c r="E1521" s="259" t="s">
        <v>6681</v>
      </c>
      <c r="F1521" s="259" t="s">
        <v>5021</v>
      </c>
      <c r="H1521" s="264" t="s">
        <v>6722</v>
      </c>
      <c r="I1521" s="264" t="s">
        <v>6730</v>
      </c>
      <c r="J1521" s="295">
        <v>4364</v>
      </c>
      <c r="K1521" s="295">
        <v>4364</v>
      </c>
      <c r="L1521" s="295">
        <v>2182</v>
      </c>
      <c r="O1521" s="266">
        <v>0</v>
      </c>
      <c r="P1521" s="266">
        <v>691991014574</v>
      </c>
      <c r="R1521" s="265">
        <v>100</v>
      </c>
      <c r="S1521" s="265">
        <v>41</v>
      </c>
      <c r="T1521" s="265">
        <v>31</v>
      </c>
      <c r="U1521" s="265">
        <v>33</v>
      </c>
      <c r="V1521" s="259" t="s">
        <v>4159</v>
      </c>
      <c r="W1521" s="259" t="s">
        <v>3061</v>
      </c>
      <c r="Y1521" s="259">
        <v>608</v>
      </c>
      <c r="Z1521" s="259" t="s">
        <v>3037</v>
      </c>
      <c r="AA1521" s="259" t="e">
        <v>#N/A</v>
      </c>
      <c r="AB1521" s="259"/>
      <c r="AC1521" s="259"/>
      <c r="AD1521" s="259"/>
      <c r="AE1521" s="259"/>
    </row>
    <row r="1522" spans="1:31">
      <c r="A1522" s="259" t="s">
        <v>1617</v>
      </c>
      <c r="B1522" s="259" t="s">
        <v>80</v>
      </c>
      <c r="C1522" s="264" t="s">
        <v>6680</v>
      </c>
      <c r="D1522" s="264" t="s">
        <v>1617</v>
      </c>
      <c r="E1522" s="259" t="s">
        <v>6681</v>
      </c>
      <c r="F1522" s="259" t="s">
        <v>5021</v>
      </c>
      <c r="H1522" s="264" t="s">
        <v>6718</v>
      </c>
      <c r="I1522" s="264" t="s">
        <v>6731</v>
      </c>
      <c r="J1522" s="295">
        <v>4364</v>
      </c>
      <c r="K1522" s="295">
        <v>4364</v>
      </c>
      <c r="L1522" s="295">
        <v>2182</v>
      </c>
      <c r="O1522" s="266">
        <v>0</v>
      </c>
      <c r="P1522" s="266">
        <v>691991014581</v>
      </c>
      <c r="R1522" s="265">
        <v>150</v>
      </c>
      <c r="S1522" s="265">
        <v>33</v>
      </c>
      <c r="T1522" s="265">
        <v>31</v>
      </c>
      <c r="U1522" s="265">
        <v>41.5</v>
      </c>
      <c r="V1522" s="259" t="s">
        <v>4159</v>
      </c>
      <c r="W1522" s="259" t="s">
        <v>3061</v>
      </c>
      <c r="Y1522" s="259">
        <v>609</v>
      </c>
      <c r="Z1522" s="259" t="s">
        <v>3037</v>
      </c>
      <c r="AA1522" s="259" t="e">
        <v>#N/A</v>
      </c>
      <c r="AB1522" s="259"/>
      <c r="AC1522" s="259"/>
      <c r="AD1522" s="259"/>
      <c r="AE1522" s="259"/>
    </row>
    <row r="1523" spans="1:31">
      <c r="A1523" s="259" t="s">
        <v>1618</v>
      </c>
      <c r="B1523" s="259" t="s">
        <v>80</v>
      </c>
      <c r="C1523" s="264" t="s">
        <v>6438</v>
      </c>
      <c r="D1523" s="264" t="s">
        <v>1618</v>
      </c>
      <c r="E1523" s="259" t="s">
        <v>6429</v>
      </c>
      <c r="F1523" s="259" t="s">
        <v>5021</v>
      </c>
      <c r="H1523" s="264" t="s">
        <v>6732</v>
      </c>
      <c r="I1523" s="264" t="s">
        <v>6733</v>
      </c>
      <c r="J1523" s="295" t="s">
        <v>6428</v>
      </c>
      <c r="K1523" s="295">
        <v>0</v>
      </c>
      <c r="L1523" s="295">
        <v>0</v>
      </c>
      <c r="O1523" s="266">
        <v>0</v>
      </c>
      <c r="P1523" s="266">
        <v>691991037191</v>
      </c>
      <c r="R1523" s="265">
        <v>125.5</v>
      </c>
      <c r="S1523" s="265">
        <v>32.75</v>
      </c>
      <c r="T1523" s="265">
        <v>31.25</v>
      </c>
      <c r="U1523" s="265">
        <v>31.5</v>
      </c>
      <c r="V1523" s="259" t="s">
        <v>4159</v>
      </c>
      <c r="W1523" s="259" t="s">
        <v>3061</v>
      </c>
      <c r="Y1523" s="259">
        <v>610</v>
      </c>
      <c r="Z1523" s="259" t="s">
        <v>3264</v>
      </c>
      <c r="AA1523" s="259" t="e">
        <v>#N/A</v>
      </c>
      <c r="AB1523" s="259"/>
      <c r="AC1523" s="259"/>
      <c r="AD1523" s="259"/>
      <c r="AE1523" s="259"/>
    </row>
    <row r="1524" spans="1:31">
      <c r="A1524" s="259" t="s">
        <v>1619</v>
      </c>
      <c r="B1524" s="259" t="s">
        <v>80</v>
      </c>
      <c r="C1524" s="264" t="s">
        <v>6438</v>
      </c>
      <c r="D1524" s="264" t="s">
        <v>1619</v>
      </c>
      <c r="F1524" s="259" t="s">
        <v>5021</v>
      </c>
      <c r="H1524" s="264" t="s">
        <v>6732</v>
      </c>
      <c r="I1524" s="264" t="s">
        <v>6733</v>
      </c>
      <c r="J1524" s="295" t="s">
        <v>6428</v>
      </c>
      <c r="K1524" s="295">
        <v>0</v>
      </c>
      <c r="L1524" s="295">
        <v>0</v>
      </c>
      <c r="O1524" s="266">
        <v>0</v>
      </c>
      <c r="P1524" s="266">
        <v>691991014598</v>
      </c>
      <c r="R1524" s="265">
        <v>0</v>
      </c>
      <c r="S1524" s="265">
        <v>0</v>
      </c>
      <c r="T1524" s="265">
        <v>0</v>
      </c>
      <c r="U1524" s="265">
        <v>0</v>
      </c>
      <c r="V1524" s="259" t="s">
        <v>4159</v>
      </c>
      <c r="W1524" s="259" t="s">
        <v>3061</v>
      </c>
      <c r="Y1524" s="259">
        <v>611</v>
      </c>
      <c r="Z1524" s="259" t="s">
        <v>3037</v>
      </c>
      <c r="AA1524" s="259" t="e">
        <v>#N/A</v>
      </c>
      <c r="AB1524" s="259"/>
      <c r="AC1524" s="259"/>
      <c r="AD1524" s="259"/>
      <c r="AE1524" s="259"/>
    </row>
    <row r="1525" spans="1:31">
      <c r="A1525" s="259" t="s">
        <v>1620</v>
      </c>
      <c r="B1525" s="259" t="s">
        <v>80</v>
      </c>
      <c r="C1525" s="264" t="s">
        <v>6680</v>
      </c>
      <c r="D1525" s="264" t="s">
        <v>1620</v>
      </c>
      <c r="E1525" s="259" t="s">
        <v>6681</v>
      </c>
      <c r="F1525" s="259" t="s">
        <v>5021</v>
      </c>
      <c r="H1525" s="264" t="s">
        <v>6734</v>
      </c>
      <c r="I1525" s="264" t="s">
        <v>6735</v>
      </c>
      <c r="J1525" s="295">
        <v>6840</v>
      </c>
      <c r="K1525" s="295">
        <v>6840</v>
      </c>
      <c r="L1525" s="295">
        <v>3420</v>
      </c>
      <c r="O1525" s="266">
        <v>0</v>
      </c>
      <c r="P1525" s="266">
        <v>691991014604</v>
      </c>
      <c r="R1525" s="265">
        <v>150</v>
      </c>
      <c r="S1525" s="265">
        <v>31</v>
      </c>
      <c r="T1525" s="265">
        <v>40</v>
      </c>
      <c r="U1525" s="265">
        <v>42</v>
      </c>
      <c r="V1525" s="259" t="s">
        <v>4159</v>
      </c>
      <c r="W1525" s="259" t="s">
        <v>3061</v>
      </c>
      <c r="Y1525" s="259">
        <v>612</v>
      </c>
      <c r="Z1525" s="259" t="s">
        <v>3037</v>
      </c>
      <c r="AA1525" s="259" t="e">
        <v>#N/A</v>
      </c>
      <c r="AB1525" s="259"/>
      <c r="AC1525" s="259"/>
      <c r="AD1525" s="259"/>
      <c r="AE1525" s="259"/>
    </row>
    <row r="1526" spans="1:31">
      <c r="A1526" s="259" t="s">
        <v>1621</v>
      </c>
      <c r="B1526" s="259" t="s">
        <v>80</v>
      </c>
      <c r="C1526" s="264" t="s">
        <v>6680</v>
      </c>
      <c r="D1526" s="264" t="s">
        <v>1621</v>
      </c>
      <c r="E1526" s="259" t="s">
        <v>6681</v>
      </c>
      <c r="F1526" s="259" t="s">
        <v>5021</v>
      </c>
      <c r="H1526" s="264" t="s">
        <v>6736</v>
      </c>
      <c r="I1526" s="264" t="s">
        <v>6737</v>
      </c>
      <c r="J1526" s="295">
        <v>6840</v>
      </c>
      <c r="K1526" s="295">
        <v>6840</v>
      </c>
      <c r="L1526" s="295">
        <v>3420</v>
      </c>
      <c r="O1526" s="266">
        <v>0</v>
      </c>
      <c r="P1526" s="266">
        <v>691991014611</v>
      </c>
      <c r="R1526" s="265">
        <v>0</v>
      </c>
      <c r="S1526" s="265">
        <v>0</v>
      </c>
      <c r="T1526" s="265">
        <v>0</v>
      </c>
      <c r="U1526" s="265">
        <v>0</v>
      </c>
      <c r="V1526" s="259" t="s">
        <v>4159</v>
      </c>
      <c r="W1526" s="259" t="s">
        <v>3061</v>
      </c>
      <c r="Y1526" s="259">
        <v>613</v>
      </c>
      <c r="Z1526" s="259" t="s">
        <v>3037</v>
      </c>
      <c r="AA1526" s="259" t="e">
        <v>#N/A</v>
      </c>
      <c r="AB1526" s="259"/>
      <c r="AC1526" s="259"/>
      <c r="AD1526" s="259"/>
      <c r="AE1526" s="259"/>
    </row>
    <row r="1527" spans="1:31">
      <c r="A1527" s="259" t="s">
        <v>1622</v>
      </c>
      <c r="B1527" s="259" t="s">
        <v>80</v>
      </c>
      <c r="C1527" s="264" t="s">
        <v>6438</v>
      </c>
      <c r="D1527" s="264" t="s">
        <v>1622</v>
      </c>
      <c r="E1527" s="259" t="s">
        <v>6429</v>
      </c>
      <c r="F1527" s="259" t="s">
        <v>5021</v>
      </c>
      <c r="H1527" s="264" t="s">
        <v>6738</v>
      </c>
      <c r="I1527" s="264" t="s">
        <v>6739</v>
      </c>
      <c r="J1527" s="295" t="s">
        <v>6428</v>
      </c>
      <c r="K1527" s="295">
        <v>0</v>
      </c>
      <c r="L1527" s="295">
        <v>0</v>
      </c>
      <c r="O1527" s="266">
        <v>0</v>
      </c>
      <c r="P1527" s="266">
        <v>691991014628</v>
      </c>
      <c r="R1527" s="265">
        <v>0</v>
      </c>
      <c r="S1527" s="265">
        <v>0</v>
      </c>
      <c r="T1527" s="265">
        <v>0</v>
      </c>
      <c r="U1527" s="265">
        <v>0</v>
      </c>
      <c r="V1527" s="259" t="s">
        <v>4159</v>
      </c>
      <c r="W1527" s="259" t="s">
        <v>3061</v>
      </c>
      <c r="Y1527" s="259">
        <v>614</v>
      </c>
      <c r="Z1527" s="259" t="s">
        <v>3037</v>
      </c>
      <c r="AA1527" s="259" t="e">
        <v>#N/A</v>
      </c>
      <c r="AB1527" s="259"/>
      <c r="AC1527" s="259"/>
      <c r="AD1527" s="259"/>
      <c r="AE1527" s="259"/>
    </row>
    <row r="1528" spans="1:31">
      <c r="A1528" s="259" t="s">
        <v>1623</v>
      </c>
      <c r="B1528" s="259" t="s">
        <v>80</v>
      </c>
      <c r="C1528" s="264" t="s">
        <v>6438</v>
      </c>
      <c r="D1528" s="264" t="s">
        <v>1623</v>
      </c>
      <c r="F1528" s="259" t="s">
        <v>5021</v>
      </c>
      <c r="H1528" s="264" t="s">
        <v>6740</v>
      </c>
      <c r="I1528" s="264" t="s">
        <v>6741</v>
      </c>
      <c r="J1528" s="295" t="s">
        <v>6428</v>
      </c>
      <c r="K1528" s="295">
        <v>0</v>
      </c>
      <c r="L1528" s="295">
        <v>0</v>
      </c>
      <c r="O1528" s="266">
        <v>0</v>
      </c>
      <c r="R1528" s="265">
        <v>120</v>
      </c>
      <c r="S1528" s="265">
        <v>40</v>
      </c>
      <c r="T1528" s="265">
        <v>31</v>
      </c>
      <c r="U1528" s="265">
        <v>82</v>
      </c>
      <c r="V1528" s="259"/>
      <c r="Y1528" s="259">
        <v>615</v>
      </c>
      <c r="Z1528" s="259" t="s">
        <v>3037</v>
      </c>
      <c r="AA1528" s="259" t="e">
        <v>#N/A</v>
      </c>
      <c r="AB1528" s="259"/>
      <c r="AC1528" s="259"/>
      <c r="AD1528" s="259"/>
      <c r="AE1528" s="259"/>
    </row>
    <row r="1529" spans="1:31">
      <c r="A1529" s="259" t="s">
        <v>1624</v>
      </c>
      <c r="B1529" s="259" t="s">
        <v>80</v>
      </c>
      <c r="C1529" s="264" t="s">
        <v>6680</v>
      </c>
      <c r="D1529" s="264" t="s">
        <v>1624</v>
      </c>
      <c r="E1529" s="259" t="s">
        <v>6681</v>
      </c>
      <c r="F1529" s="259" t="s">
        <v>5021</v>
      </c>
      <c r="H1529" s="264" t="s">
        <v>6734</v>
      </c>
      <c r="I1529" s="264" t="s">
        <v>6742</v>
      </c>
      <c r="J1529" s="295">
        <v>4950</v>
      </c>
      <c r="K1529" s="295">
        <v>4950</v>
      </c>
      <c r="L1529" s="295">
        <v>2475</v>
      </c>
      <c r="O1529" s="266">
        <v>0</v>
      </c>
      <c r="R1529" s="265">
        <v>150</v>
      </c>
      <c r="S1529" s="265">
        <v>33</v>
      </c>
      <c r="T1529" s="265">
        <v>31</v>
      </c>
      <c r="U1529" s="265">
        <v>41</v>
      </c>
      <c r="V1529" s="259" t="s">
        <v>4159</v>
      </c>
      <c r="W1529" s="259" t="s">
        <v>3061</v>
      </c>
      <c r="Y1529" s="259">
        <v>616</v>
      </c>
      <c r="Z1529" s="259" t="s">
        <v>3037</v>
      </c>
      <c r="AA1529" s="259" t="e">
        <v>#N/A</v>
      </c>
      <c r="AB1529" s="259"/>
      <c r="AC1529" s="259"/>
      <c r="AD1529" s="259"/>
      <c r="AE1529" s="259"/>
    </row>
    <row r="1530" spans="1:31">
      <c r="A1530" s="259" t="s">
        <v>1625</v>
      </c>
      <c r="B1530" s="259" t="s">
        <v>80</v>
      </c>
      <c r="C1530" s="264" t="s">
        <v>6438</v>
      </c>
      <c r="D1530" s="264" t="s">
        <v>1625</v>
      </c>
      <c r="E1530" s="259" t="s">
        <v>6429</v>
      </c>
      <c r="F1530" s="259" t="s">
        <v>5021</v>
      </c>
      <c r="H1530" s="264" t="s">
        <v>6738</v>
      </c>
      <c r="I1530" s="264" t="s">
        <v>6743</v>
      </c>
      <c r="J1530" s="295" t="s">
        <v>6428</v>
      </c>
      <c r="K1530" s="295">
        <v>0</v>
      </c>
      <c r="L1530" s="295">
        <v>0</v>
      </c>
      <c r="O1530" s="266">
        <v>0</v>
      </c>
      <c r="P1530" s="266">
        <v>691991014642</v>
      </c>
      <c r="R1530" s="265">
        <v>0</v>
      </c>
      <c r="S1530" s="265">
        <v>0</v>
      </c>
      <c r="T1530" s="265">
        <v>0</v>
      </c>
      <c r="U1530" s="265">
        <v>0</v>
      </c>
      <c r="V1530" s="259" t="s">
        <v>4159</v>
      </c>
      <c r="W1530" s="259" t="s">
        <v>3061</v>
      </c>
      <c r="Y1530" s="259">
        <v>617</v>
      </c>
      <c r="Z1530" s="259" t="s">
        <v>3037</v>
      </c>
      <c r="AA1530" s="259" t="e">
        <v>#N/A</v>
      </c>
      <c r="AB1530" s="259"/>
      <c r="AC1530" s="259"/>
      <c r="AD1530" s="259"/>
      <c r="AE1530" s="259"/>
    </row>
    <row r="1531" spans="1:31">
      <c r="A1531" s="259" t="s">
        <v>1626</v>
      </c>
      <c r="B1531" s="259" t="s">
        <v>80</v>
      </c>
      <c r="C1531" s="264" t="s">
        <v>6680</v>
      </c>
      <c r="D1531" s="264" t="s">
        <v>1626</v>
      </c>
      <c r="E1531" s="259" t="s">
        <v>6681</v>
      </c>
      <c r="F1531" s="259" t="s">
        <v>5021</v>
      </c>
      <c r="H1531" s="264" t="s">
        <v>6734</v>
      </c>
      <c r="I1531" s="264" t="s">
        <v>6744</v>
      </c>
      <c r="J1531" s="295">
        <v>4950</v>
      </c>
      <c r="K1531" s="295">
        <v>4950</v>
      </c>
      <c r="L1531" s="295">
        <v>2475</v>
      </c>
      <c r="O1531" s="266">
        <v>0</v>
      </c>
      <c r="P1531" s="266">
        <v>691991014659</v>
      </c>
      <c r="R1531" s="265">
        <v>150</v>
      </c>
      <c r="S1531" s="265">
        <v>33</v>
      </c>
      <c r="T1531" s="265">
        <v>31</v>
      </c>
      <c r="U1531" s="265">
        <v>42</v>
      </c>
      <c r="V1531" s="259" t="s">
        <v>4159</v>
      </c>
      <c r="W1531" s="259" t="s">
        <v>3061</v>
      </c>
      <c r="Y1531" s="259">
        <v>618</v>
      </c>
      <c r="Z1531" s="259" t="s">
        <v>3037</v>
      </c>
      <c r="AA1531" s="259" t="e">
        <v>#N/A</v>
      </c>
      <c r="AB1531" s="259"/>
      <c r="AC1531" s="259"/>
      <c r="AD1531" s="259"/>
      <c r="AE1531" s="259"/>
    </row>
    <row r="1532" spans="1:31">
      <c r="A1532" s="259" t="s">
        <v>1627</v>
      </c>
      <c r="B1532" s="259" t="s">
        <v>80</v>
      </c>
      <c r="C1532" s="264" t="s">
        <v>6680</v>
      </c>
      <c r="D1532" s="264" t="s">
        <v>1627</v>
      </c>
      <c r="E1532" s="259" t="s">
        <v>6681</v>
      </c>
      <c r="F1532" s="259" t="s">
        <v>5021</v>
      </c>
      <c r="H1532" s="264" t="s">
        <v>6736</v>
      </c>
      <c r="I1532" s="264" t="s">
        <v>6745</v>
      </c>
      <c r="J1532" s="295">
        <v>4950</v>
      </c>
      <c r="K1532" s="295">
        <v>4950</v>
      </c>
      <c r="L1532" s="295">
        <v>2475</v>
      </c>
      <c r="O1532" s="266">
        <v>0</v>
      </c>
      <c r="P1532" s="266">
        <v>691991014666</v>
      </c>
      <c r="R1532" s="265">
        <v>160</v>
      </c>
      <c r="S1532" s="265">
        <v>33</v>
      </c>
      <c r="T1532" s="265">
        <v>31</v>
      </c>
      <c r="U1532" s="265">
        <v>41</v>
      </c>
      <c r="V1532" s="259" t="s">
        <v>4159</v>
      </c>
      <c r="W1532" s="259" t="s">
        <v>3061</v>
      </c>
      <c r="Y1532" s="259">
        <v>619</v>
      </c>
      <c r="Z1532" s="259" t="s">
        <v>3037</v>
      </c>
      <c r="AA1532" s="259" t="e">
        <v>#N/A</v>
      </c>
      <c r="AB1532" s="259"/>
      <c r="AC1532" s="259"/>
      <c r="AD1532" s="259"/>
      <c r="AE1532" s="259"/>
    </row>
    <row r="1533" spans="1:31">
      <c r="A1533" s="259" t="s">
        <v>1628</v>
      </c>
      <c r="B1533" s="259" t="s">
        <v>80</v>
      </c>
      <c r="C1533" s="264" t="s">
        <v>6438</v>
      </c>
      <c r="D1533" s="264" t="s">
        <v>1628</v>
      </c>
      <c r="E1533" s="259" t="s">
        <v>6429</v>
      </c>
      <c r="F1533" s="259" t="s">
        <v>5021</v>
      </c>
      <c r="H1533" s="264" t="s">
        <v>6738</v>
      </c>
      <c r="I1533" s="264" t="s">
        <v>6746</v>
      </c>
      <c r="J1533" s="295" t="s">
        <v>6428</v>
      </c>
      <c r="K1533" s="295">
        <v>0</v>
      </c>
      <c r="L1533" s="295">
        <v>0</v>
      </c>
      <c r="O1533" s="266">
        <v>0</v>
      </c>
      <c r="P1533" s="266">
        <v>691991014673</v>
      </c>
      <c r="R1533" s="265">
        <v>157</v>
      </c>
      <c r="S1533" s="265">
        <v>33</v>
      </c>
      <c r="T1533" s="265">
        <v>31</v>
      </c>
      <c r="U1533" s="265">
        <v>42</v>
      </c>
      <c r="V1533" s="259" t="s">
        <v>4159</v>
      </c>
      <c r="W1533" s="259" t="s">
        <v>3061</v>
      </c>
      <c r="Y1533" s="259">
        <v>620</v>
      </c>
      <c r="Z1533" s="259" t="s">
        <v>3037</v>
      </c>
      <c r="AA1533" s="259" t="e">
        <v>#N/A</v>
      </c>
      <c r="AB1533" s="259"/>
      <c r="AC1533" s="259"/>
      <c r="AD1533" s="259"/>
      <c r="AE1533" s="259"/>
    </row>
    <row r="1534" spans="1:31">
      <c r="A1534" s="259" t="s">
        <v>1629</v>
      </c>
      <c r="B1534" s="259" t="s">
        <v>80</v>
      </c>
      <c r="C1534" s="264" t="s">
        <v>6680</v>
      </c>
      <c r="D1534" s="264" t="s">
        <v>1629</v>
      </c>
      <c r="E1534" s="259" t="s">
        <v>6681</v>
      </c>
      <c r="F1534" s="259" t="s">
        <v>5021</v>
      </c>
      <c r="H1534" s="264" t="s">
        <v>6734</v>
      </c>
      <c r="I1534" s="264" t="s">
        <v>6747</v>
      </c>
      <c r="J1534" s="295">
        <v>4950</v>
      </c>
      <c r="K1534" s="295">
        <v>4950</v>
      </c>
      <c r="L1534" s="295">
        <v>2475</v>
      </c>
      <c r="O1534" s="266">
        <v>0</v>
      </c>
      <c r="P1534" s="266">
        <v>691991014680</v>
      </c>
      <c r="R1534" s="265">
        <v>150</v>
      </c>
      <c r="S1534" s="265">
        <v>40</v>
      </c>
      <c r="T1534" s="265">
        <v>31</v>
      </c>
      <c r="U1534" s="265">
        <v>33</v>
      </c>
      <c r="V1534" s="259" t="s">
        <v>4159</v>
      </c>
      <c r="W1534" s="259" t="s">
        <v>3061</v>
      </c>
      <c r="Y1534" s="259">
        <v>621</v>
      </c>
      <c r="Z1534" s="259" t="s">
        <v>3037</v>
      </c>
      <c r="AA1534" s="259" t="e">
        <v>#N/A</v>
      </c>
      <c r="AB1534" s="259"/>
      <c r="AC1534" s="259"/>
      <c r="AD1534" s="259"/>
      <c r="AE1534" s="259"/>
    </row>
    <row r="1535" spans="1:31">
      <c r="A1535" s="259" t="s">
        <v>1630</v>
      </c>
      <c r="B1535" s="259" t="s">
        <v>80</v>
      </c>
      <c r="C1535" s="264" t="s">
        <v>6680</v>
      </c>
      <c r="D1535" s="264" t="s">
        <v>1630</v>
      </c>
      <c r="E1535" s="259" t="s">
        <v>6681</v>
      </c>
      <c r="F1535" s="259" t="s">
        <v>5021</v>
      </c>
      <c r="H1535" s="264" t="s">
        <v>6736</v>
      </c>
      <c r="I1535" s="264" t="s">
        <v>6748</v>
      </c>
      <c r="J1535" s="295">
        <v>4950</v>
      </c>
      <c r="K1535" s="295">
        <v>4950</v>
      </c>
      <c r="L1535" s="295">
        <v>2475</v>
      </c>
      <c r="O1535" s="266">
        <v>0</v>
      </c>
      <c r="R1535" s="265">
        <v>180</v>
      </c>
      <c r="S1535" s="265">
        <v>31</v>
      </c>
      <c r="T1535" s="265">
        <v>33</v>
      </c>
      <c r="U1535" s="265">
        <v>42</v>
      </c>
      <c r="V1535" s="259" t="s">
        <v>4159</v>
      </c>
      <c r="W1535" s="259" t="s">
        <v>3061</v>
      </c>
      <c r="Y1535" s="259">
        <v>622</v>
      </c>
      <c r="Z1535" s="259" t="s">
        <v>3037</v>
      </c>
      <c r="AA1535" s="259" t="e">
        <v>#N/A</v>
      </c>
      <c r="AB1535" s="259"/>
      <c r="AC1535" s="259"/>
      <c r="AD1535" s="259"/>
      <c r="AE1535" s="259"/>
    </row>
    <row r="1536" spans="1:31">
      <c r="A1536" s="259" t="s">
        <v>1631</v>
      </c>
      <c r="B1536" s="259" t="s">
        <v>80</v>
      </c>
      <c r="C1536" s="264" t="s">
        <v>6438</v>
      </c>
      <c r="D1536" s="264" t="s">
        <v>1631</v>
      </c>
      <c r="E1536" s="259" t="s">
        <v>6429</v>
      </c>
      <c r="F1536" s="259" t="s">
        <v>5021</v>
      </c>
      <c r="H1536" s="264" t="s">
        <v>6738</v>
      </c>
      <c r="I1536" s="264" t="s">
        <v>6749</v>
      </c>
      <c r="J1536" s="295" t="s">
        <v>6428</v>
      </c>
      <c r="K1536" s="295">
        <v>0</v>
      </c>
      <c r="L1536" s="295">
        <v>0</v>
      </c>
      <c r="O1536" s="266">
        <v>0</v>
      </c>
      <c r="P1536" s="266">
        <v>691991014697</v>
      </c>
      <c r="R1536" s="265">
        <v>0</v>
      </c>
      <c r="S1536" s="265">
        <v>0</v>
      </c>
      <c r="T1536" s="265">
        <v>0</v>
      </c>
      <c r="U1536" s="265">
        <v>0</v>
      </c>
      <c r="V1536" s="259" t="s">
        <v>4159</v>
      </c>
      <c r="W1536" s="259" t="s">
        <v>3061</v>
      </c>
      <c r="Y1536" s="259">
        <v>623</v>
      </c>
      <c r="Z1536" s="259" t="s">
        <v>3037</v>
      </c>
      <c r="AA1536" s="259" t="e">
        <v>#N/A</v>
      </c>
      <c r="AB1536" s="259"/>
      <c r="AC1536" s="259"/>
      <c r="AD1536" s="259"/>
      <c r="AE1536" s="259"/>
    </row>
    <row r="1537" spans="1:31">
      <c r="A1537" s="259" t="s">
        <v>1632</v>
      </c>
      <c r="B1537" s="259" t="s">
        <v>80</v>
      </c>
      <c r="C1537" s="264" t="s">
        <v>6680</v>
      </c>
      <c r="D1537" s="264" t="s">
        <v>1632</v>
      </c>
      <c r="E1537" s="259" t="s">
        <v>6681</v>
      </c>
      <c r="F1537" s="259" t="s">
        <v>5021</v>
      </c>
      <c r="H1537" s="264" t="s">
        <v>6750</v>
      </c>
      <c r="I1537" s="264" t="s">
        <v>6751</v>
      </c>
      <c r="J1537" s="295">
        <v>7856</v>
      </c>
      <c r="K1537" s="295">
        <v>7856</v>
      </c>
      <c r="L1537" s="295">
        <v>3928</v>
      </c>
      <c r="O1537" s="266">
        <v>0</v>
      </c>
      <c r="P1537" s="266">
        <v>691991014703</v>
      </c>
      <c r="R1537" s="265">
        <v>200</v>
      </c>
      <c r="S1537" s="265">
        <v>31</v>
      </c>
      <c r="T1537" s="265">
        <v>33</v>
      </c>
      <c r="U1537" s="265">
        <v>41</v>
      </c>
      <c r="V1537" s="259" t="s">
        <v>4159</v>
      </c>
      <c r="W1537" s="259" t="s">
        <v>3061</v>
      </c>
      <c r="Y1537" s="259">
        <v>624</v>
      </c>
      <c r="Z1537" s="259" t="s">
        <v>3037</v>
      </c>
      <c r="AA1537" s="259" t="e">
        <v>#N/A</v>
      </c>
      <c r="AB1537" s="259"/>
      <c r="AC1537" s="259"/>
      <c r="AD1537" s="259"/>
      <c r="AE1537" s="259"/>
    </row>
    <row r="1538" spans="1:31">
      <c r="A1538" s="259" t="s">
        <v>1633</v>
      </c>
      <c r="B1538" s="259" t="s">
        <v>80</v>
      </c>
      <c r="C1538" s="264" t="s">
        <v>6680</v>
      </c>
      <c r="D1538" s="264" t="s">
        <v>1633</v>
      </c>
      <c r="E1538" s="259" t="s">
        <v>6681</v>
      </c>
      <c r="F1538" s="259" t="s">
        <v>5021</v>
      </c>
      <c r="H1538" s="264" t="s">
        <v>6752</v>
      </c>
      <c r="I1538" s="264" t="s">
        <v>6753</v>
      </c>
      <c r="J1538" s="295">
        <v>7856</v>
      </c>
      <c r="K1538" s="295">
        <v>7856</v>
      </c>
      <c r="L1538" s="295">
        <v>3928</v>
      </c>
      <c r="O1538" s="266">
        <v>0</v>
      </c>
      <c r="P1538" s="266">
        <v>691991014710</v>
      </c>
      <c r="R1538" s="265">
        <v>249</v>
      </c>
      <c r="S1538" s="265">
        <v>40</v>
      </c>
      <c r="T1538" s="265">
        <v>31</v>
      </c>
      <c r="U1538" s="265">
        <v>42</v>
      </c>
      <c r="V1538" s="259" t="s">
        <v>4159</v>
      </c>
      <c r="W1538" s="259" t="s">
        <v>3061</v>
      </c>
      <c r="Y1538" s="259">
        <v>625</v>
      </c>
      <c r="Z1538" s="259" t="s">
        <v>3037</v>
      </c>
      <c r="AA1538" s="259" t="e">
        <v>#N/A</v>
      </c>
      <c r="AB1538" s="259"/>
      <c r="AC1538" s="259"/>
      <c r="AD1538" s="259"/>
      <c r="AE1538" s="259"/>
    </row>
    <row r="1539" spans="1:31">
      <c r="A1539" s="259" t="s">
        <v>1634</v>
      </c>
      <c r="B1539" s="259" t="s">
        <v>80</v>
      </c>
      <c r="C1539" s="264" t="s">
        <v>6438</v>
      </c>
      <c r="D1539" s="264" t="s">
        <v>1634</v>
      </c>
      <c r="F1539" s="259" t="s">
        <v>5021</v>
      </c>
      <c r="H1539" s="264" t="s">
        <v>6754</v>
      </c>
      <c r="I1539" s="264" t="s">
        <v>6755</v>
      </c>
      <c r="J1539" s="295" t="s">
        <v>6428</v>
      </c>
      <c r="K1539" s="295">
        <v>0</v>
      </c>
      <c r="L1539" s="295">
        <v>0</v>
      </c>
      <c r="O1539" s="266">
        <v>0</v>
      </c>
      <c r="P1539" s="266">
        <v>691991014727</v>
      </c>
      <c r="R1539" s="265">
        <v>0</v>
      </c>
      <c r="S1539" s="265">
        <v>0</v>
      </c>
      <c r="T1539" s="265">
        <v>0</v>
      </c>
      <c r="U1539" s="265">
        <v>0</v>
      </c>
      <c r="V1539" s="259" t="s">
        <v>4159</v>
      </c>
      <c r="W1539" s="259" t="s">
        <v>3061</v>
      </c>
      <c r="Y1539" s="259">
        <v>626</v>
      </c>
      <c r="Z1539" s="259" t="s">
        <v>3037</v>
      </c>
      <c r="AA1539" s="259" t="e">
        <v>#N/A</v>
      </c>
      <c r="AB1539" s="259"/>
      <c r="AC1539" s="259"/>
      <c r="AD1539" s="259"/>
      <c r="AE1539" s="259"/>
    </row>
    <row r="1540" spans="1:31">
      <c r="A1540" s="259" t="s">
        <v>1635</v>
      </c>
      <c r="B1540" s="259" t="s">
        <v>80</v>
      </c>
      <c r="C1540" s="264" t="s">
        <v>6438</v>
      </c>
      <c r="D1540" s="264" t="s">
        <v>1635</v>
      </c>
      <c r="E1540" s="259" t="s">
        <v>6429</v>
      </c>
      <c r="F1540" s="259" t="s">
        <v>5021</v>
      </c>
      <c r="H1540" s="264" t="s">
        <v>6754</v>
      </c>
      <c r="I1540" s="264" t="s">
        <v>6755</v>
      </c>
      <c r="J1540" s="295" t="s">
        <v>6428</v>
      </c>
      <c r="K1540" s="295">
        <v>0</v>
      </c>
      <c r="L1540" s="295">
        <v>0</v>
      </c>
      <c r="O1540" s="266">
        <v>0</v>
      </c>
      <c r="P1540" s="266">
        <v>691991014734</v>
      </c>
      <c r="R1540" s="265">
        <v>0</v>
      </c>
      <c r="S1540" s="265">
        <v>0</v>
      </c>
      <c r="T1540" s="265">
        <v>0</v>
      </c>
      <c r="U1540" s="265">
        <v>0</v>
      </c>
      <c r="V1540" s="259" t="s">
        <v>4159</v>
      </c>
      <c r="W1540" s="259" t="s">
        <v>3061</v>
      </c>
      <c r="Y1540" s="259">
        <v>627</v>
      </c>
      <c r="Z1540" s="259" t="s">
        <v>3037</v>
      </c>
      <c r="AA1540" s="259" t="e">
        <v>#N/A</v>
      </c>
      <c r="AB1540" s="259"/>
      <c r="AC1540" s="259"/>
      <c r="AD1540" s="259"/>
      <c r="AE1540" s="259"/>
    </row>
    <row r="1541" spans="1:31">
      <c r="A1541" s="259" t="s">
        <v>1636</v>
      </c>
      <c r="B1541" s="259" t="s">
        <v>80</v>
      </c>
      <c r="C1541" s="264" t="s">
        <v>6680</v>
      </c>
      <c r="D1541" s="264" t="s">
        <v>1636</v>
      </c>
      <c r="E1541" s="259" t="s">
        <v>6681</v>
      </c>
      <c r="H1541" s="264" t="s">
        <v>6750</v>
      </c>
      <c r="I1541" s="264" t="s">
        <v>6756</v>
      </c>
      <c r="J1541" s="295">
        <v>5818</v>
      </c>
      <c r="K1541" s="295">
        <v>5818</v>
      </c>
      <c r="L1541" s="295">
        <v>2909</v>
      </c>
      <c r="O1541" s="266">
        <v>0</v>
      </c>
      <c r="R1541" s="265">
        <v>0</v>
      </c>
      <c r="S1541" s="265">
        <v>0</v>
      </c>
      <c r="T1541" s="265">
        <v>0</v>
      </c>
      <c r="U1541" s="265">
        <v>0</v>
      </c>
      <c r="V1541" s="259" t="s">
        <v>4159</v>
      </c>
      <c r="W1541" s="259" t="s">
        <v>3061</v>
      </c>
      <c r="Y1541" s="259">
        <v>628</v>
      </c>
      <c r="Z1541" s="259" t="s">
        <v>3037</v>
      </c>
      <c r="AA1541" s="259" t="e">
        <v>#N/A</v>
      </c>
      <c r="AB1541" s="259"/>
      <c r="AC1541" s="259"/>
      <c r="AD1541" s="259"/>
      <c r="AE1541" s="259"/>
    </row>
    <row r="1542" spans="1:31">
      <c r="A1542" s="259" t="s">
        <v>1637</v>
      </c>
      <c r="B1542" s="259" t="s">
        <v>80</v>
      </c>
      <c r="C1542" s="264" t="s">
        <v>6680</v>
      </c>
      <c r="D1542" s="264" t="s">
        <v>1637</v>
      </c>
      <c r="E1542" s="259" t="s">
        <v>6681</v>
      </c>
      <c r="F1542" s="259" t="s">
        <v>5021</v>
      </c>
      <c r="H1542" s="264" t="s">
        <v>6752</v>
      </c>
      <c r="I1542" s="264" t="s">
        <v>6757</v>
      </c>
      <c r="J1542" s="295">
        <v>5818</v>
      </c>
      <c r="K1542" s="295">
        <v>5818</v>
      </c>
      <c r="L1542" s="295">
        <v>2909</v>
      </c>
      <c r="O1542" s="266">
        <v>0</v>
      </c>
      <c r="P1542" s="266">
        <v>691991014741</v>
      </c>
      <c r="R1542" s="265">
        <v>200</v>
      </c>
      <c r="S1542" s="265">
        <v>33</v>
      </c>
      <c r="T1542" s="265">
        <v>31</v>
      </c>
      <c r="U1542" s="265">
        <v>41</v>
      </c>
      <c r="V1542" s="259" t="s">
        <v>4159</v>
      </c>
      <c r="W1542" s="259" t="s">
        <v>3061</v>
      </c>
      <c r="Y1542" s="259">
        <v>629</v>
      </c>
      <c r="Z1542" s="259" t="s">
        <v>3037</v>
      </c>
      <c r="AA1542" s="259" t="e">
        <v>#N/A</v>
      </c>
      <c r="AB1542" s="259"/>
      <c r="AC1542" s="259"/>
      <c r="AD1542" s="259"/>
      <c r="AE1542" s="259"/>
    </row>
    <row r="1543" spans="1:31">
      <c r="A1543" s="259" t="s">
        <v>1638</v>
      </c>
      <c r="B1543" s="259" t="s">
        <v>80</v>
      </c>
      <c r="C1543" s="264" t="s">
        <v>6427</v>
      </c>
      <c r="D1543" s="264" t="s">
        <v>1638</v>
      </c>
      <c r="E1543" s="259" t="s">
        <v>6429</v>
      </c>
      <c r="F1543" s="259" t="s">
        <v>5021</v>
      </c>
      <c r="H1543" s="264" t="s">
        <v>6758</v>
      </c>
      <c r="I1543" s="264" t="s">
        <v>6757</v>
      </c>
      <c r="J1543" s="295" t="s">
        <v>6428</v>
      </c>
      <c r="K1543" s="295">
        <v>0</v>
      </c>
      <c r="L1543" s="295">
        <v>0</v>
      </c>
      <c r="O1543" s="266">
        <v>0</v>
      </c>
      <c r="R1543" s="265">
        <v>100</v>
      </c>
      <c r="S1543" s="265">
        <v>33</v>
      </c>
      <c r="T1543" s="265">
        <v>31</v>
      </c>
      <c r="U1543" s="265">
        <v>41</v>
      </c>
      <c r="V1543" s="259" t="s">
        <v>4159</v>
      </c>
      <c r="W1543" s="259" t="s">
        <v>3061</v>
      </c>
      <c r="Y1543" s="259">
        <v>630</v>
      </c>
      <c r="Z1543" s="259" t="s">
        <v>3037</v>
      </c>
      <c r="AA1543" s="259" t="e">
        <v>#N/A</v>
      </c>
      <c r="AB1543" s="259"/>
      <c r="AC1543" s="259"/>
      <c r="AD1543" s="259"/>
      <c r="AE1543" s="259"/>
    </row>
    <row r="1544" spans="1:31">
      <c r="A1544" s="259" t="s">
        <v>1639</v>
      </c>
      <c r="B1544" s="259" t="s">
        <v>80</v>
      </c>
      <c r="C1544" s="264" t="s">
        <v>6427</v>
      </c>
      <c r="D1544" s="264" t="s">
        <v>1639</v>
      </c>
      <c r="E1544" s="259" t="s">
        <v>6429</v>
      </c>
      <c r="F1544" s="259" t="s">
        <v>5021</v>
      </c>
      <c r="H1544" s="264" t="s">
        <v>6752</v>
      </c>
      <c r="I1544" s="264" t="s">
        <v>6757</v>
      </c>
      <c r="J1544" s="295" t="s">
        <v>6428</v>
      </c>
      <c r="K1544" s="295">
        <v>0</v>
      </c>
      <c r="L1544" s="295">
        <v>0</v>
      </c>
      <c r="O1544" s="266">
        <v>0</v>
      </c>
      <c r="P1544" s="266">
        <v>691991032066</v>
      </c>
      <c r="R1544" s="265">
        <v>220</v>
      </c>
      <c r="S1544" s="265">
        <v>33</v>
      </c>
      <c r="T1544" s="265">
        <v>31</v>
      </c>
      <c r="U1544" s="265">
        <v>41</v>
      </c>
      <c r="V1544" s="259" t="s">
        <v>4159</v>
      </c>
      <c r="W1544" s="259" t="s">
        <v>3061</v>
      </c>
      <c r="Y1544" s="259">
        <v>631</v>
      </c>
      <c r="Z1544" s="259" t="s">
        <v>3037</v>
      </c>
      <c r="AA1544" s="259" t="e">
        <v>#N/A</v>
      </c>
      <c r="AB1544" s="259"/>
      <c r="AC1544" s="259"/>
      <c r="AD1544" s="259"/>
      <c r="AE1544" s="259"/>
    </row>
    <row r="1545" spans="1:31">
      <c r="A1545" s="259" t="s">
        <v>1640</v>
      </c>
      <c r="B1545" s="259" t="s">
        <v>80</v>
      </c>
      <c r="C1545" s="264" t="s">
        <v>6680</v>
      </c>
      <c r="D1545" s="264" t="s">
        <v>1640</v>
      </c>
      <c r="E1545" s="259" t="s">
        <v>6681</v>
      </c>
      <c r="F1545" s="259" t="s">
        <v>5021</v>
      </c>
      <c r="H1545" s="264" t="s">
        <v>6750</v>
      </c>
      <c r="I1545" s="264" t="s">
        <v>6759</v>
      </c>
      <c r="J1545" s="295">
        <v>5818</v>
      </c>
      <c r="K1545" s="295">
        <v>5818</v>
      </c>
      <c r="L1545" s="295">
        <v>2909</v>
      </c>
      <c r="O1545" s="266">
        <v>0</v>
      </c>
      <c r="R1545" s="265">
        <v>200</v>
      </c>
      <c r="S1545" s="265">
        <v>33</v>
      </c>
      <c r="T1545" s="265">
        <v>31</v>
      </c>
      <c r="U1545" s="265">
        <v>41</v>
      </c>
      <c r="V1545" s="259" t="s">
        <v>4159</v>
      </c>
      <c r="W1545" s="259" t="s">
        <v>3061</v>
      </c>
      <c r="Y1545" s="259">
        <v>632</v>
      </c>
      <c r="Z1545" s="259" t="s">
        <v>3037</v>
      </c>
      <c r="AA1545" s="259" t="e">
        <v>#N/A</v>
      </c>
      <c r="AB1545" s="259"/>
      <c r="AC1545" s="259"/>
      <c r="AD1545" s="259"/>
      <c r="AE1545" s="259"/>
    </row>
    <row r="1546" spans="1:31">
      <c r="A1546" s="259" t="s">
        <v>1641</v>
      </c>
      <c r="B1546" s="259" t="s">
        <v>80</v>
      </c>
      <c r="C1546" s="264" t="s">
        <v>6680</v>
      </c>
      <c r="D1546" s="264" t="s">
        <v>1641</v>
      </c>
      <c r="E1546" s="259" t="s">
        <v>6681</v>
      </c>
      <c r="F1546" s="259" t="s">
        <v>5021</v>
      </c>
      <c r="H1546" s="264" t="s">
        <v>6752</v>
      </c>
      <c r="I1546" s="264" t="s">
        <v>6760</v>
      </c>
      <c r="J1546" s="295">
        <v>5818</v>
      </c>
      <c r="K1546" s="295">
        <v>5818</v>
      </c>
      <c r="L1546" s="295">
        <v>2909</v>
      </c>
      <c r="O1546" s="266">
        <v>0</v>
      </c>
      <c r="P1546" s="266">
        <v>691991014758</v>
      </c>
      <c r="R1546" s="265">
        <v>200</v>
      </c>
      <c r="S1546" s="265">
        <v>33</v>
      </c>
      <c r="T1546" s="265">
        <v>31</v>
      </c>
      <c r="U1546" s="265">
        <v>41</v>
      </c>
      <c r="V1546" s="259" t="s">
        <v>4159</v>
      </c>
      <c r="W1546" s="259" t="s">
        <v>3061</v>
      </c>
      <c r="Y1546" s="259">
        <v>633</v>
      </c>
      <c r="Z1546" s="259" t="s">
        <v>3037</v>
      </c>
      <c r="AA1546" s="259" t="e">
        <v>#N/A</v>
      </c>
      <c r="AB1546" s="259"/>
      <c r="AC1546" s="259"/>
      <c r="AD1546" s="259"/>
      <c r="AE1546" s="259"/>
    </row>
    <row r="1547" spans="1:31">
      <c r="A1547" s="259" t="s">
        <v>1642</v>
      </c>
      <c r="B1547" s="259" t="s">
        <v>80</v>
      </c>
      <c r="C1547" s="264" t="s">
        <v>6438</v>
      </c>
      <c r="D1547" s="264" t="s">
        <v>1642</v>
      </c>
      <c r="E1547" s="259" t="s">
        <v>6429</v>
      </c>
      <c r="F1547" s="259" t="s">
        <v>5021</v>
      </c>
      <c r="H1547" s="264" t="s">
        <v>6754</v>
      </c>
      <c r="I1547" s="264" t="s">
        <v>6761</v>
      </c>
      <c r="J1547" s="295" t="s">
        <v>6428</v>
      </c>
      <c r="K1547" s="295">
        <v>0</v>
      </c>
      <c r="L1547" s="295">
        <v>0</v>
      </c>
      <c r="O1547" s="266">
        <v>0</v>
      </c>
      <c r="P1547" s="266">
        <v>691991014765</v>
      </c>
      <c r="R1547" s="265">
        <v>183</v>
      </c>
      <c r="S1547" s="265">
        <v>33.5</v>
      </c>
      <c r="T1547" s="265">
        <v>31</v>
      </c>
      <c r="U1547" s="265">
        <v>41.5</v>
      </c>
      <c r="V1547" s="259" t="s">
        <v>4159</v>
      </c>
      <c r="W1547" s="259" t="s">
        <v>3061</v>
      </c>
      <c r="Y1547" s="259">
        <v>634</v>
      </c>
      <c r="Z1547" s="259" t="s">
        <v>3037</v>
      </c>
      <c r="AA1547" s="259" t="e">
        <v>#N/A</v>
      </c>
      <c r="AB1547" s="259"/>
      <c r="AC1547" s="259"/>
      <c r="AD1547" s="259"/>
      <c r="AE1547" s="259"/>
    </row>
    <row r="1548" spans="1:31">
      <c r="A1548" s="259" t="s">
        <v>1643</v>
      </c>
      <c r="B1548" s="259" t="s">
        <v>80</v>
      </c>
      <c r="C1548" s="264" t="s">
        <v>6680</v>
      </c>
      <c r="D1548" s="264" t="s">
        <v>1643</v>
      </c>
      <c r="E1548" s="259" t="s">
        <v>6681</v>
      </c>
      <c r="F1548" s="259" t="s">
        <v>5021</v>
      </c>
      <c r="H1548" s="264" t="s">
        <v>6750</v>
      </c>
      <c r="I1548" s="264" t="s">
        <v>6762</v>
      </c>
      <c r="J1548" s="295">
        <v>5818</v>
      </c>
      <c r="K1548" s="295">
        <v>5818</v>
      </c>
      <c r="L1548" s="295">
        <v>2909</v>
      </c>
      <c r="O1548" s="266">
        <v>0</v>
      </c>
      <c r="P1548" s="266">
        <v>691991005008</v>
      </c>
      <c r="R1548" s="265">
        <v>180</v>
      </c>
      <c r="S1548" s="265">
        <v>33</v>
      </c>
      <c r="T1548" s="265">
        <v>31</v>
      </c>
      <c r="U1548" s="265">
        <v>41</v>
      </c>
      <c r="V1548" s="259" t="s">
        <v>4159</v>
      </c>
      <c r="W1548" s="259" t="s">
        <v>3061</v>
      </c>
      <c r="Y1548" s="259">
        <v>635</v>
      </c>
      <c r="Z1548" s="259" t="s">
        <v>3037</v>
      </c>
      <c r="AA1548" s="259" t="e">
        <v>#N/A</v>
      </c>
      <c r="AB1548" s="259"/>
      <c r="AC1548" s="259"/>
      <c r="AD1548" s="259"/>
      <c r="AE1548" s="259"/>
    </row>
    <row r="1549" spans="1:31">
      <c r="A1549" s="259" t="s">
        <v>1644</v>
      </c>
      <c r="B1549" s="259" t="s">
        <v>80</v>
      </c>
      <c r="C1549" s="264" t="s">
        <v>6680</v>
      </c>
      <c r="D1549" s="264" t="s">
        <v>1644</v>
      </c>
      <c r="E1549" s="259" t="s">
        <v>6681</v>
      </c>
      <c r="F1549" s="259" t="s">
        <v>5021</v>
      </c>
      <c r="H1549" s="264" t="s">
        <v>6752</v>
      </c>
      <c r="I1549" s="264" t="s">
        <v>6763</v>
      </c>
      <c r="J1549" s="295">
        <v>5818</v>
      </c>
      <c r="K1549" s="295">
        <v>5818</v>
      </c>
      <c r="L1549" s="295">
        <v>2909</v>
      </c>
      <c r="O1549" s="266">
        <v>0</v>
      </c>
      <c r="P1549" s="266">
        <v>691991005039</v>
      </c>
      <c r="R1549" s="265">
        <v>215</v>
      </c>
      <c r="S1549" s="265">
        <v>33</v>
      </c>
      <c r="T1549" s="265">
        <v>31</v>
      </c>
      <c r="U1549" s="265">
        <v>41.5</v>
      </c>
      <c r="V1549" s="259" t="s">
        <v>4159</v>
      </c>
      <c r="Y1549" s="259">
        <v>636</v>
      </c>
      <c r="Z1549" s="259" t="s">
        <v>3037</v>
      </c>
      <c r="AA1549" s="259" t="e">
        <v>#N/A</v>
      </c>
      <c r="AB1549" s="259"/>
      <c r="AC1549" s="259"/>
      <c r="AD1549" s="259"/>
      <c r="AE1549" s="259"/>
    </row>
    <row r="1550" spans="1:31">
      <c r="A1550" s="259" t="s">
        <v>1645</v>
      </c>
      <c r="B1550" s="259" t="s">
        <v>80</v>
      </c>
      <c r="C1550" s="264" t="s">
        <v>6438</v>
      </c>
      <c r="D1550" s="264" t="s">
        <v>1645</v>
      </c>
      <c r="E1550" s="259" t="s">
        <v>6429</v>
      </c>
      <c r="F1550" s="259" t="s">
        <v>5021</v>
      </c>
      <c r="H1550" s="264" t="s">
        <v>6754</v>
      </c>
      <c r="I1550" s="264" t="s">
        <v>6764</v>
      </c>
      <c r="J1550" s="295" t="s">
        <v>6428</v>
      </c>
      <c r="K1550" s="295">
        <v>0</v>
      </c>
      <c r="L1550" s="295">
        <v>0</v>
      </c>
      <c r="O1550" s="266">
        <v>0</v>
      </c>
      <c r="P1550" s="266">
        <v>691991014772</v>
      </c>
      <c r="R1550" s="265">
        <v>100</v>
      </c>
      <c r="S1550" s="265">
        <v>41</v>
      </c>
      <c r="T1550" s="265">
        <v>30</v>
      </c>
      <c r="U1550" s="265">
        <v>33</v>
      </c>
      <c r="V1550" s="259" t="s">
        <v>4159</v>
      </c>
      <c r="W1550" s="259" t="s">
        <v>3061</v>
      </c>
      <c r="Y1550" s="259">
        <v>637</v>
      </c>
      <c r="Z1550" s="259" t="s">
        <v>3037</v>
      </c>
      <c r="AA1550" s="259" t="e">
        <v>#N/A</v>
      </c>
      <c r="AB1550" s="259"/>
      <c r="AC1550" s="259"/>
      <c r="AD1550" s="259"/>
      <c r="AE1550" s="259"/>
    </row>
    <row r="1551" spans="1:31">
      <c r="A1551" s="259" t="s">
        <v>1646</v>
      </c>
      <c r="B1551" s="259" t="s">
        <v>80</v>
      </c>
      <c r="C1551" s="264" t="s">
        <v>6438</v>
      </c>
      <c r="D1551" s="264" t="s">
        <v>1646</v>
      </c>
      <c r="E1551" s="259" t="s">
        <v>6429</v>
      </c>
      <c r="F1551" s="259" t="s">
        <v>5021</v>
      </c>
      <c r="H1551" s="264" t="s">
        <v>6754</v>
      </c>
      <c r="I1551" s="264" t="s">
        <v>6764</v>
      </c>
      <c r="J1551" s="295" t="s">
        <v>6428</v>
      </c>
      <c r="K1551" s="295">
        <v>0</v>
      </c>
      <c r="L1551" s="295">
        <v>0</v>
      </c>
      <c r="O1551" s="266">
        <v>0</v>
      </c>
      <c r="P1551" s="266">
        <v>691991032073</v>
      </c>
      <c r="R1551" s="265">
        <v>100</v>
      </c>
      <c r="S1551" s="265">
        <v>41</v>
      </c>
      <c r="T1551" s="265">
        <v>37</v>
      </c>
      <c r="U1551" s="265">
        <v>40</v>
      </c>
      <c r="V1551" s="259" t="s">
        <v>4159</v>
      </c>
      <c r="W1551" s="259" t="s">
        <v>3061</v>
      </c>
      <c r="Y1551" s="259">
        <v>638</v>
      </c>
      <c r="Z1551" s="259" t="s">
        <v>3329</v>
      </c>
      <c r="AA1551" s="259" t="e">
        <v>#N/A</v>
      </c>
      <c r="AB1551" s="259"/>
      <c r="AC1551" s="259"/>
      <c r="AD1551" s="259"/>
      <c r="AE1551" s="259"/>
    </row>
    <row r="1552" spans="1:31">
      <c r="A1552" s="259" t="s">
        <v>1647</v>
      </c>
      <c r="B1552" s="259" t="s">
        <v>80</v>
      </c>
      <c r="C1552" s="264"/>
      <c r="D1552" s="264"/>
      <c r="H1552" s="264"/>
      <c r="I1552" s="264"/>
      <c r="J1552" s="295">
        <v>0</v>
      </c>
      <c r="K1552" s="295">
        <v>0</v>
      </c>
      <c r="L1552" s="295">
        <v>0</v>
      </c>
      <c r="O1552" s="266"/>
      <c r="R1552" s="265">
        <v>0</v>
      </c>
      <c r="S1552" s="265">
        <v>0</v>
      </c>
      <c r="T1552" s="265">
        <v>0</v>
      </c>
      <c r="U1552" s="265">
        <v>0</v>
      </c>
      <c r="V1552" s="259" t="s">
        <v>4159</v>
      </c>
      <c r="W1552" s="259" t="s">
        <v>3061</v>
      </c>
      <c r="Y1552" s="259">
        <v>639</v>
      </c>
      <c r="AA1552" s="259" t="e">
        <v>#N/A</v>
      </c>
      <c r="AB1552" s="259"/>
      <c r="AC1552" s="259"/>
      <c r="AD1552" s="259"/>
      <c r="AE1552" s="259"/>
    </row>
    <row r="1553" spans="1:31">
      <c r="A1553" s="259" t="s">
        <v>1648</v>
      </c>
      <c r="B1553" s="259" t="s">
        <v>80</v>
      </c>
      <c r="C1553" s="264" t="s">
        <v>6680</v>
      </c>
      <c r="D1553" s="264" t="s">
        <v>6765</v>
      </c>
      <c r="H1553" s="264" t="s">
        <v>6766</v>
      </c>
      <c r="I1553" s="264" t="s">
        <v>6767</v>
      </c>
      <c r="J1553" s="295">
        <v>14135.48</v>
      </c>
      <c r="K1553" s="295">
        <v>14135</v>
      </c>
      <c r="L1553" s="295">
        <v>8099.25</v>
      </c>
      <c r="O1553" s="266">
        <v>0</v>
      </c>
      <c r="P1553" s="266">
        <v>691991014932</v>
      </c>
      <c r="R1553" s="265">
        <v>0</v>
      </c>
      <c r="S1553" s="265">
        <v>0</v>
      </c>
      <c r="T1553" s="265">
        <v>0</v>
      </c>
      <c r="U1553" s="265">
        <v>0</v>
      </c>
      <c r="V1553" s="259" t="s">
        <v>4159</v>
      </c>
      <c r="W1553" s="259" t="s">
        <v>3061</v>
      </c>
      <c r="Y1553" s="259">
        <v>640</v>
      </c>
      <c r="AA1553" s="259" t="e">
        <v>#N/A</v>
      </c>
      <c r="AB1553" s="259"/>
      <c r="AC1553" s="259"/>
      <c r="AD1553" s="259"/>
      <c r="AE1553" s="259"/>
    </row>
    <row r="1554" spans="1:31">
      <c r="A1554" s="259" t="s">
        <v>1649</v>
      </c>
      <c r="B1554" s="259" t="s">
        <v>80</v>
      </c>
      <c r="C1554" s="264" t="s">
        <v>6438</v>
      </c>
      <c r="D1554" s="264" t="s">
        <v>6768</v>
      </c>
      <c r="F1554" s="259" t="s">
        <v>5021</v>
      </c>
      <c r="H1554" s="264" t="s">
        <v>6769</v>
      </c>
      <c r="I1554" s="264" t="s">
        <v>6770</v>
      </c>
      <c r="J1554" s="295" t="s">
        <v>6428</v>
      </c>
      <c r="K1554" s="295">
        <v>0</v>
      </c>
      <c r="L1554" s="295">
        <v>0</v>
      </c>
      <c r="O1554" s="266">
        <v>0</v>
      </c>
      <c r="P1554" s="266">
        <v>691991014949</v>
      </c>
      <c r="R1554" s="265">
        <v>0</v>
      </c>
      <c r="S1554" s="265">
        <v>0</v>
      </c>
      <c r="T1554" s="265">
        <v>0</v>
      </c>
      <c r="U1554" s="265">
        <v>0</v>
      </c>
      <c r="V1554" s="259" t="s">
        <v>4159</v>
      </c>
      <c r="W1554" s="259" t="s">
        <v>3061</v>
      </c>
      <c r="Y1554" s="259">
        <v>641</v>
      </c>
      <c r="AA1554" s="259" t="e">
        <v>#N/A</v>
      </c>
      <c r="AB1554" s="259"/>
      <c r="AC1554" s="259"/>
      <c r="AD1554" s="259"/>
      <c r="AE1554" s="259"/>
    </row>
    <row r="1555" spans="1:31">
      <c r="A1555" s="259" t="s">
        <v>1650</v>
      </c>
      <c r="B1555" s="259" t="s">
        <v>80</v>
      </c>
      <c r="C1555" s="264" t="s">
        <v>6438</v>
      </c>
      <c r="D1555" s="264" t="s">
        <v>6771</v>
      </c>
      <c r="F1555" s="259" t="s">
        <v>5021</v>
      </c>
      <c r="H1555" s="264" t="s">
        <v>6769</v>
      </c>
      <c r="I1555" s="264" t="s">
        <v>6772</v>
      </c>
      <c r="J1555" s="295" t="s">
        <v>6428</v>
      </c>
      <c r="K1555" s="295">
        <v>0</v>
      </c>
      <c r="L1555" s="295">
        <v>0</v>
      </c>
      <c r="O1555" s="266">
        <v>0</v>
      </c>
      <c r="P1555" s="266">
        <v>691991036651</v>
      </c>
      <c r="R1555" s="265">
        <v>0</v>
      </c>
      <c r="S1555" s="265">
        <v>0</v>
      </c>
      <c r="T1555" s="265">
        <v>0</v>
      </c>
      <c r="U1555" s="265">
        <v>0</v>
      </c>
      <c r="V1555" s="259" t="s">
        <v>4159</v>
      </c>
      <c r="W1555" s="259" t="s">
        <v>3061</v>
      </c>
      <c r="Y1555" s="259">
        <v>642</v>
      </c>
      <c r="AA1555" s="259" t="e">
        <v>#N/A</v>
      </c>
      <c r="AB1555" s="259"/>
      <c r="AC1555" s="259"/>
      <c r="AD1555" s="259"/>
      <c r="AE1555" s="259"/>
    </row>
    <row r="1556" spans="1:31">
      <c r="A1556" s="259" t="s">
        <v>1651</v>
      </c>
      <c r="B1556" s="259" t="s">
        <v>80</v>
      </c>
      <c r="C1556" s="264" t="s">
        <v>6438</v>
      </c>
      <c r="D1556" s="264" t="s">
        <v>6773</v>
      </c>
      <c r="F1556" s="259" t="s">
        <v>5021</v>
      </c>
      <c r="H1556" s="264" t="s">
        <v>6774</v>
      </c>
      <c r="I1556" s="264" t="s">
        <v>6775</v>
      </c>
      <c r="J1556" s="295" t="s">
        <v>6428</v>
      </c>
      <c r="K1556" s="295">
        <v>0</v>
      </c>
      <c r="L1556" s="295">
        <v>0</v>
      </c>
      <c r="O1556" s="266">
        <v>0</v>
      </c>
      <c r="P1556" s="266">
        <v>691991036644</v>
      </c>
      <c r="R1556" s="265">
        <v>421</v>
      </c>
      <c r="S1556" s="265">
        <v>54</v>
      </c>
      <c r="T1556" s="265">
        <v>21.5</v>
      </c>
      <c r="U1556" s="265">
        <v>60</v>
      </c>
      <c r="V1556" s="259" t="s">
        <v>4159</v>
      </c>
      <c r="W1556" s="259" t="s">
        <v>3061</v>
      </c>
      <c r="Y1556" s="259">
        <v>643</v>
      </c>
      <c r="AA1556" s="259" t="e">
        <v>#N/A</v>
      </c>
      <c r="AB1556" s="259"/>
      <c r="AC1556" s="259"/>
      <c r="AD1556" s="259"/>
      <c r="AE1556" s="259"/>
    </row>
    <row r="1557" spans="1:31">
      <c r="A1557" s="259" t="s">
        <v>1652</v>
      </c>
      <c r="B1557" s="259" t="s">
        <v>80</v>
      </c>
      <c r="C1557" s="264" t="s">
        <v>6438</v>
      </c>
      <c r="D1557" s="264" t="s">
        <v>6776</v>
      </c>
      <c r="F1557" s="259" t="s">
        <v>5021</v>
      </c>
      <c r="H1557" s="264" t="s">
        <v>6774</v>
      </c>
      <c r="I1557" s="264" t="s">
        <v>6777</v>
      </c>
      <c r="J1557" s="295" t="s">
        <v>6428</v>
      </c>
      <c r="K1557" s="295">
        <v>0</v>
      </c>
      <c r="L1557" s="295">
        <v>0</v>
      </c>
      <c r="O1557" s="266">
        <v>0</v>
      </c>
      <c r="R1557" s="265">
        <v>400</v>
      </c>
      <c r="S1557" s="265">
        <v>55.5</v>
      </c>
      <c r="T1557" s="265">
        <v>23.5</v>
      </c>
      <c r="U1557" s="265">
        <v>59.5</v>
      </c>
      <c r="V1557" s="259" t="s">
        <v>4159</v>
      </c>
      <c r="W1557" s="259" t="s">
        <v>3061</v>
      </c>
      <c r="Y1557" s="259">
        <v>644</v>
      </c>
      <c r="AA1557" s="259" t="e">
        <v>#N/A</v>
      </c>
      <c r="AB1557" s="259"/>
      <c r="AC1557" s="259"/>
      <c r="AD1557" s="259"/>
      <c r="AE1557" s="259"/>
    </row>
    <row r="1558" spans="1:31">
      <c r="A1558" s="259" t="s">
        <v>1653</v>
      </c>
      <c r="B1558" s="259" t="s">
        <v>80</v>
      </c>
      <c r="C1558" s="264" t="s">
        <v>6680</v>
      </c>
      <c r="D1558" s="264" t="s">
        <v>6778</v>
      </c>
      <c r="H1558" s="264" t="s">
        <v>6766</v>
      </c>
      <c r="I1558" s="264" t="s">
        <v>6779</v>
      </c>
      <c r="J1558" s="295">
        <v>16056.22</v>
      </c>
      <c r="K1558" s="295">
        <v>16056</v>
      </c>
      <c r="L1558" s="295">
        <v>9199.7800000000007</v>
      </c>
      <c r="O1558" s="266">
        <v>0</v>
      </c>
      <c r="P1558" s="266">
        <v>691991014956</v>
      </c>
      <c r="R1558" s="265">
        <v>0</v>
      </c>
      <c r="S1558" s="265">
        <v>0</v>
      </c>
      <c r="T1558" s="265">
        <v>0</v>
      </c>
      <c r="U1558" s="265">
        <v>0</v>
      </c>
      <c r="V1558" s="259" t="s">
        <v>4159</v>
      </c>
      <c r="W1558" s="259" t="s">
        <v>3061</v>
      </c>
      <c r="Y1558" s="259">
        <v>645</v>
      </c>
      <c r="AA1558" s="259" t="e">
        <v>#N/A</v>
      </c>
      <c r="AB1558" s="259"/>
      <c r="AC1558" s="259"/>
      <c r="AD1558" s="259"/>
      <c r="AE1558" s="259"/>
    </row>
    <row r="1559" spans="1:31">
      <c r="A1559" s="259" t="s">
        <v>1654</v>
      </c>
      <c r="B1559" s="259" t="s">
        <v>80</v>
      </c>
      <c r="C1559" s="264" t="s">
        <v>6680</v>
      </c>
      <c r="D1559" s="264" t="s">
        <v>1654</v>
      </c>
      <c r="E1559" s="259" t="s">
        <v>6429</v>
      </c>
      <c r="H1559" s="264" t="s">
        <v>6766</v>
      </c>
      <c r="I1559" s="264" t="s">
        <v>6780</v>
      </c>
      <c r="J1559" s="295">
        <v>11764.56</v>
      </c>
      <c r="K1559" s="295">
        <v>0</v>
      </c>
      <c r="L1559" s="295">
        <v>5858.27</v>
      </c>
      <c r="O1559" s="266">
        <v>0</v>
      </c>
      <c r="P1559" s="266">
        <v>691991014963</v>
      </c>
      <c r="R1559" s="265">
        <v>0</v>
      </c>
      <c r="S1559" s="265">
        <v>0</v>
      </c>
      <c r="T1559" s="265">
        <v>0</v>
      </c>
      <c r="U1559" s="265">
        <v>0</v>
      </c>
      <c r="V1559" s="259" t="s">
        <v>4159</v>
      </c>
      <c r="W1559" s="259" t="s">
        <v>3061</v>
      </c>
      <c r="Y1559" s="259">
        <v>646</v>
      </c>
      <c r="Z1559" s="259" t="s">
        <v>3037</v>
      </c>
      <c r="AA1559" s="259" t="e">
        <v>#N/A</v>
      </c>
      <c r="AB1559" s="259"/>
      <c r="AC1559" s="259"/>
      <c r="AD1559" s="259"/>
      <c r="AE1559" s="259"/>
    </row>
    <row r="1560" spans="1:31">
      <c r="A1560" s="259" t="s">
        <v>1655</v>
      </c>
      <c r="B1560" s="259" t="s">
        <v>80</v>
      </c>
      <c r="C1560" s="264" t="s">
        <v>6438</v>
      </c>
      <c r="D1560" s="264" t="s">
        <v>1655</v>
      </c>
      <c r="E1560" s="259" t="s">
        <v>6429</v>
      </c>
      <c r="F1560" s="259" t="s">
        <v>5021</v>
      </c>
      <c r="H1560" s="264" t="s">
        <v>6769</v>
      </c>
      <c r="I1560" s="264" t="s">
        <v>6781</v>
      </c>
      <c r="J1560" s="295" t="s">
        <v>6428</v>
      </c>
      <c r="K1560" s="295">
        <v>0</v>
      </c>
      <c r="L1560" s="295">
        <v>0</v>
      </c>
      <c r="N1560" s="295">
        <v>0</v>
      </c>
      <c r="O1560" s="266" t="s">
        <v>6782</v>
      </c>
      <c r="Q1560" s="266">
        <v>0</v>
      </c>
      <c r="R1560" s="265">
        <v>0</v>
      </c>
      <c r="S1560" s="265">
        <v>0</v>
      </c>
      <c r="T1560" s="265">
        <v>0</v>
      </c>
      <c r="U1560" s="265" t="s">
        <v>4159</v>
      </c>
      <c r="V1560" s="259"/>
      <c r="Y1560" s="259">
        <v>647</v>
      </c>
      <c r="Z1560" s="259" t="s">
        <v>3037</v>
      </c>
      <c r="AA1560" s="259" t="e">
        <v>#N/A</v>
      </c>
      <c r="AB1560" s="259"/>
      <c r="AC1560" s="259"/>
      <c r="AD1560" s="259"/>
      <c r="AE1560" s="259"/>
    </row>
    <row r="1561" spans="1:31">
      <c r="A1561" s="259" t="s">
        <v>1656</v>
      </c>
      <c r="B1561" s="259" t="s">
        <v>80</v>
      </c>
      <c r="C1561" s="264" t="s">
        <v>6438</v>
      </c>
      <c r="D1561" s="264" t="s">
        <v>1655</v>
      </c>
      <c r="E1561" s="259" t="s">
        <v>6429</v>
      </c>
      <c r="F1561" s="259" t="s">
        <v>5021</v>
      </c>
      <c r="H1561" s="264" t="s">
        <v>6769</v>
      </c>
      <c r="I1561" s="264" t="s">
        <v>6781</v>
      </c>
      <c r="J1561" s="295" t="s">
        <v>6428</v>
      </c>
      <c r="K1561" s="295">
        <v>0</v>
      </c>
      <c r="L1561" s="295">
        <v>0</v>
      </c>
      <c r="O1561" s="266">
        <v>0</v>
      </c>
      <c r="P1561" s="266">
        <v>691991014970</v>
      </c>
      <c r="R1561" s="265">
        <v>0</v>
      </c>
      <c r="S1561" s="265">
        <v>0</v>
      </c>
      <c r="T1561" s="265">
        <v>0</v>
      </c>
      <c r="U1561" s="265">
        <v>0</v>
      </c>
      <c r="V1561" s="259" t="s">
        <v>4159</v>
      </c>
      <c r="W1561" s="259" t="s">
        <v>3061</v>
      </c>
      <c r="Y1561" s="259">
        <v>648</v>
      </c>
      <c r="Z1561" s="259" t="s">
        <v>3037</v>
      </c>
      <c r="AA1561" s="259" t="e">
        <v>#N/A</v>
      </c>
      <c r="AB1561" s="259"/>
      <c r="AC1561" s="259"/>
      <c r="AD1561" s="259"/>
      <c r="AE1561" s="259"/>
    </row>
    <row r="1562" spans="1:31">
      <c r="A1562" s="259" t="s">
        <v>1657</v>
      </c>
      <c r="B1562" s="259" t="s">
        <v>80</v>
      </c>
      <c r="C1562" s="264" t="s">
        <v>6680</v>
      </c>
      <c r="D1562" s="264" t="s">
        <v>1657</v>
      </c>
      <c r="H1562" s="264" t="s">
        <v>6766</v>
      </c>
      <c r="I1562" s="264" t="s">
        <v>6783</v>
      </c>
      <c r="J1562" s="295">
        <v>14495.61</v>
      </c>
      <c r="K1562" s="295">
        <v>14495</v>
      </c>
      <c r="L1562" s="295">
        <v>8305.6</v>
      </c>
      <c r="O1562" s="266">
        <v>0</v>
      </c>
      <c r="P1562" s="266">
        <v>691991014987</v>
      </c>
      <c r="R1562" s="265">
        <v>70</v>
      </c>
      <c r="S1562" s="265">
        <v>40</v>
      </c>
      <c r="T1562" s="265">
        <v>20</v>
      </c>
      <c r="U1562" s="265">
        <v>30</v>
      </c>
      <c r="V1562" s="259" t="s">
        <v>4159</v>
      </c>
      <c r="W1562" s="259" t="s">
        <v>3061</v>
      </c>
      <c r="Y1562" s="259">
        <v>649</v>
      </c>
      <c r="AA1562" s="259" t="e">
        <v>#N/A</v>
      </c>
      <c r="AB1562" s="259"/>
      <c r="AC1562" s="259"/>
      <c r="AD1562" s="259"/>
      <c r="AE1562" s="259"/>
    </row>
    <row r="1563" spans="1:31">
      <c r="A1563" s="259" t="s">
        <v>1658</v>
      </c>
      <c r="B1563" s="259" t="s">
        <v>80</v>
      </c>
      <c r="C1563" s="264" t="s">
        <v>6427</v>
      </c>
      <c r="D1563" s="264" t="s">
        <v>1658</v>
      </c>
      <c r="F1563" s="259" t="s">
        <v>5021</v>
      </c>
      <c r="H1563" s="264" t="s">
        <v>6766</v>
      </c>
      <c r="I1563" s="264" t="s">
        <v>6783</v>
      </c>
      <c r="J1563" s="295" t="s">
        <v>6428</v>
      </c>
      <c r="K1563" s="295">
        <v>0</v>
      </c>
      <c r="L1563" s="295">
        <v>0</v>
      </c>
      <c r="O1563" s="266">
        <v>0</v>
      </c>
      <c r="R1563" s="265">
        <v>200</v>
      </c>
      <c r="S1563" s="265">
        <v>31</v>
      </c>
      <c r="T1563" s="265">
        <v>28</v>
      </c>
      <c r="U1563" s="265">
        <v>55</v>
      </c>
      <c r="V1563" s="259" t="s">
        <v>4159</v>
      </c>
      <c r="W1563" s="259" t="s">
        <v>3061</v>
      </c>
      <c r="Y1563" s="259">
        <v>650</v>
      </c>
      <c r="Z1563" s="259" t="s">
        <v>3037</v>
      </c>
      <c r="AA1563" s="259" t="e">
        <v>#N/A</v>
      </c>
      <c r="AB1563" s="259"/>
      <c r="AC1563" s="259"/>
      <c r="AD1563" s="259"/>
      <c r="AE1563" s="259"/>
    </row>
    <row r="1564" spans="1:31">
      <c r="A1564" s="259" t="s">
        <v>1659</v>
      </c>
      <c r="B1564" s="259" t="s">
        <v>80</v>
      </c>
      <c r="C1564" s="264" t="s">
        <v>6427</v>
      </c>
      <c r="D1564" s="264" t="s">
        <v>1659</v>
      </c>
      <c r="F1564" s="259" t="s">
        <v>5021</v>
      </c>
      <c r="H1564" s="264" t="s">
        <v>6766</v>
      </c>
      <c r="I1564" s="264" t="s">
        <v>6783</v>
      </c>
      <c r="J1564" s="295" t="s">
        <v>6428</v>
      </c>
      <c r="K1564" s="295">
        <v>0</v>
      </c>
      <c r="L1564" s="295">
        <v>0</v>
      </c>
      <c r="O1564" s="266">
        <v>0</v>
      </c>
      <c r="R1564" s="265">
        <v>200</v>
      </c>
      <c r="S1564" s="265">
        <v>22</v>
      </c>
      <c r="T1564" s="265">
        <v>54</v>
      </c>
      <c r="U1564" s="265">
        <v>35</v>
      </c>
      <c r="V1564" s="259" t="s">
        <v>4159</v>
      </c>
      <c r="W1564" s="259" t="s">
        <v>3061</v>
      </c>
      <c r="Y1564" s="259">
        <v>651</v>
      </c>
      <c r="AA1564" s="259" t="e">
        <v>#N/A</v>
      </c>
      <c r="AB1564" s="259"/>
      <c r="AC1564" s="259"/>
      <c r="AD1564" s="259"/>
      <c r="AE1564" s="259"/>
    </row>
    <row r="1565" spans="1:31">
      <c r="A1565" s="259" t="s">
        <v>1660</v>
      </c>
      <c r="B1565" s="259" t="s">
        <v>80</v>
      </c>
      <c r="C1565" s="264" t="s">
        <v>6680</v>
      </c>
      <c r="D1565" s="264" t="s">
        <v>6784</v>
      </c>
      <c r="E1565" s="259" t="s">
        <v>6429</v>
      </c>
      <c r="H1565" s="264" t="s">
        <v>6766</v>
      </c>
      <c r="I1565" s="264" t="s">
        <v>6785</v>
      </c>
      <c r="J1565" s="295">
        <v>9763.3799999999992</v>
      </c>
      <c r="K1565" s="295">
        <v>0</v>
      </c>
      <c r="L1565" s="295">
        <v>5858.27</v>
      </c>
      <c r="O1565" s="266">
        <v>0</v>
      </c>
      <c r="P1565" s="266">
        <v>691991014994</v>
      </c>
      <c r="R1565" s="265">
        <v>0</v>
      </c>
      <c r="S1565" s="265">
        <v>0</v>
      </c>
      <c r="T1565" s="265">
        <v>0</v>
      </c>
      <c r="U1565" s="265">
        <v>0</v>
      </c>
      <c r="V1565" s="259" t="s">
        <v>4159</v>
      </c>
      <c r="W1565" s="259" t="s">
        <v>3061</v>
      </c>
      <c r="Y1565" s="259">
        <v>652</v>
      </c>
      <c r="Z1565" s="259" t="s">
        <v>3037</v>
      </c>
      <c r="AA1565" s="259" t="e">
        <v>#N/A</v>
      </c>
      <c r="AB1565" s="259"/>
      <c r="AC1565" s="259"/>
      <c r="AD1565" s="259"/>
      <c r="AE1565" s="259"/>
    </row>
    <row r="1566" spans="1:31">
      <c r="A1566" s="259" t="s">
        <v>1661</v>
      </c>
      <c r="B1566" s="259" t="s">
        <v>80</v>
      </c>
      <c r="C1566" s="264" t="s">
        <v>6438</v>
      </c>
      <c r="D1566" s="264" t="s">
        <v>1661</v>
      </c>
      <c r="F1566" s="259" t="s">
        <v>5021</v>
      </c>
      <c r="H1566" s="264" t="s">
        <v>6769</v>
      </c>
      <c r="I1566" s="264" t="s">
        <v>6786</v>
      </c>
      <c r="J1566" s="295" t="s">
        <v>6428</v>
      </c>
      <c r="K1566" s="295">
        <v>0</v>
      </c>
      <c r="L1566" s="295">
        <v>0</v>
      </c>
      <c r="O1566" s="266">
        <v>0</v>
      </c>
      <c r="P1566" s="266">
        <v>691991015007</v>
      </c>
      <c r="R1566" s="265">
        <v>0</v>
      </c>
      <c r="S1566" s="265">
        <v>0</v>
      </c>
      <c r="T1566" s="265">
        <v>0</v>
      </c>
      <c r="U1566" s="265">
        <v>0</v>
      </c>
      <c r="V1566" s="259" t="s">
        <v>4159</v>
      </c>
      <c r="W1566" s="259" t="s">
        <v>3061</v>
      </c>
      <c r="Y1566" s="259">
        <v>653</v>
      </c>
      <c r="Z1566" s="259" t="s">
        <v>3037</v>
      </c>
      <c r="AA1566" s="259" t="e">
        <v>#N/A</v>
      </c>
      <c r="AB1566" s="259"/>
      <c r="AC1566" s="259"/>
      <c r="AD1566" s="259"/>
      <c r="AE1566" s="259"/>
    </row>
    <row r="1567" spans="1:31">
      <c r="A1567" s="259" t="s">
        <v>1662</v>
      </c>
      <c r="B1567" s="259" t="s">
        <v>80</v>
      </c>
      <c r="C1567" s="264" t="s">
        <v>6438</v>
      </c>
      <c r="D1567" s="264" t="s">
        <v>1662</v>
      </c>
      <c r="E1567" s="259" t="s">
        <v>6429</v>
      </c>
      <c r="F1567" s="259" t="s">
        <v>5021</v>
      </c>
      <c r="H1567" s="264" t="s">
        <v>6769</v>
      </c>
      <c r="I1567" s="264" t="s">
        <v>6786</v>
      </c>
      <c r="J1567" s="295" t="s">
        <v>6428</v>
      </c>
      <c r="K1567" s="295">
        <v>0</v>
      </c>
      <c r="L1567" s="295">
        <v>0</v>
      </c>
      <c r="O1567" s="266">
        <v>0</v>
      </c>
      <c r="P1567" s="266">
        <v>691991032455</v>
      </c>
      <c r="R1567" s="265">
        <v>286</v>
      </c>
      <c r="S1567" s="265">
        <v>35.5</v>
      </c>
      <c r="T1567" s="265">
        <v>23.5</v>
      </c>
      <c r="U1567" s="265">
        <v>30</v>
      </c>
      <c r="V1567" s="259" t="s">
        <v>4159</v>
      </c>
      <c r="W1567" s="259" t="s">
        <v>3061</v>
      </c>
      <c r="Y1567" s="259">
        <v>654</v>
      </c>
      <c r="Z1567" s="259" t="s">
        <v>3037</v>
      </c>
      <c r="AA1567" s="259" t="e">
        <v>#N/A</v>
      </c>
      <c r="AB1567" s="259"/>
      <c r="AC1567" s="259"/>
      <c r="AD1567" s="259"/>
      <c r="AE1567" s="259"/>
    </row>
    <row r="1568" spans="1:31">
      <c r="A1568" s="259" t="s">
        <v>1663</v>
      </c>
      <c r="B1568" s="259" t="s">
        <v>80</v>
      </c>
      <c r="C1568" s="264" t="s">
        <v>6680</v>
      </c>
      <c r="D1568" s="264" t="s">
        <v>6787</v>
      </c>
      <c r="H1568" s="264" t="s">
        <v>6766</v>
      </c>
      <c r="I1568" s="264" t="s">
        <v>6788</v>
      </c>
      <c r="J1568" s="295">
        <v>13805.35</v>
      </c>
      <c r="K1568" s="295">
        <v>0</v>
      </c>
      <c r="L1568" s="295">
        <v>8283.2099999999991</v>
      </c>
      <c r="O1568" s="266">
        <v>0</v>
      </c>
      <c r="P1568" s="266">
        <v>691991015014</v>
      </c>
      <c r="R1568" s="265">
        <v>0</v>
      </c>
      <c r="S1568" s="265">
        <v>0</v>
      </c>
      <c r="T1568" s="265">
        <v>0</v>
      </c>
      <c r="U1568" s="265">
        <v>0</v>
      </c>
      <c r="V1568" s="259" t="s">
        <v>4159</v>
      </c>
      <c r="W1568" s="259" t="s">
        <v>3061</v>
      </c>
      <c r="Y1568" s="259">
        <v>655</v>
      </c>
      <c r="AA1568" s="259" t="e">
        <v>#N/A</v>
      </c>
      <c r="AB1568" s="259"/>
      <c r="AC1568" s="259"/>
      <c r="AD1568" s="259"/>
      <c r="AE1568" s="259"/>
    </row>
    <row r="1569" spans="1:31">
      <c r="A1569" s="259" t="s">
        <v>1664</v>
      </c>
      <c r="B1569" s="259" t="s">
        <v>80</v>
      </c>
      <c r="C1569" s="264" t="s">
        <v>6438</v>
      </c>
      <c r="D1569" s="264" t="s">
        <v>1664</v>
      </c>
      <c r="F1569" s="259" t="s">
        <v>5021</v>
      </c>
      <c r="H1569" s="264" t="s">
        <v>6769</v>
      </c>
      <c r="I1569" s="264" t="s">
        <v>6789</v>
      </c>
      <c r="J1569" s="295" t="s">
        <v>6428</v>
      </c>
      <c r="K1569" s="295">
        <v>0</v>
      </c>
      <c r="L1569" s="295">
        <v>0</v>
      </c>
      <c r="O1569" s="266">
        <v>0</v>
      </c>
      <c r="P1569" s="266">
        <v>691991015021</v>
      </c>
      <c r="R1569" s="265">
        <v>0</v>
      </c>
      <c r="S1569" s="265">
        <v>0</v>
      </c>
      <c r="T1569" s="265">
        <v>0</v>
      </c>
      <c r="U1569" s="265">
        <v>0</v>
      </c>
      <c r="V1569" s="259"/>
      <c r="Y1569" s="259">
        <v>656</v>
      </c>
      <c r="Z1569" s="259" t="s">
        <v>3037</v>
      </c>
      <c r="AA1569" s="259" t="e">
        <v>#N/A</v>
      </c>
      <c r="AB1569" s="259"/>
      <c r="AC1569" s="259"/>
      <c r="AD1569" s="259"/>
      <c r="AE1569" s="259"/>
    </row>
    <row r="1570" spans="1:31">
      <c r="A1570" s="259" t="s">
        <v>1665</v>
      </c>
      <c r="B1570" s="259" t="s">
        <v>80</v>
      </c>
      <c r="C1570" s="264" t="s">
        <v>6438</v>
      </c>
      <c r="D1570" s="264" t="s">
        <v>1665</v>
      </c>
      <c r="E1570" s="259" t="s">
        <v>6429</v>
      </c>
      <c r="F1570" s="259" t="s">
        <v>5021</v>
      </c>
      <c r="H1570" s="264" t="s">
        <v>6769</v>
      </c>
      <c r="I1570" s="264" t="s">
        <v>6789</v>
      </c>
      <c r="J1570" s="295" t="s">
        <v>6428</v>
      </c>
      <c r="K1570" s="295">
        <v>0</v>
      </c>
      <c r="L1570" s="295">
        <v>0</v>
      </c>
      <c r="O1570" s="266">
        <v>0</v>
      </c>
      <c r="P1570" s="266">
        <v>691991032424</v>
      </c>
      <c r="R1570" s="265">
        <v>180</v>
      </c>
      <c r="S1570" s="265">
        <v>22</v>
      </c>
      <c r="T1570" s="265">
        <v>54</v>
      </c>
      <c r="U1570" s="265">
        <v>30</v>
      </c>
      <c r="V1570" s="259" t="s">
        <v>4159</v>
      </c>
      <c r="Y1570" s="259">
        <v>657</v>
      </c>
      <c r="Z1570" s="259" t="s">
        <v>3037</v>
      </c>
      <c r="AA1570" s="259" t="e">
        <v>#N/A</v>
      </c>
      <c r="AB1570" s="259"/>
      <c r="AC1570" s="259"/>
      <c r="AD1570" s="259"/>
      <c r="AE1570" s="259"/>
    </row>
    <row r="1571" spans="1:31">
      <c r="A1571" s="259" t="s">
        <v>1666</v>
      </c>
      <c r="B1571" s="259" t="s">
        <v>80</v>
      </c>
      <c r="C1571" s="264" t="s">
        <v>6790</v>
      </c>
      <c r="D1571" s="264" t="s">
        <v>6791</v>
      </c>
      <c r="E1571" s="259" t="s">
        <v>6681</v>
      </c>
      <c r="H1571" s="264" t="s">
        <v>6792</v>
      </c>
      <c r="I1571" s="264" t="s">
        <v>6793</v>
      </c>
      <c r="J1571" s="295">
        <v>7440</v>
      </c>
      <c r="K1571" s="295">
        <v>7440</v>
      </c>
      <c r="L1571" s="295">
        <v>3720</v>
      </c>
      <c r="O1571" s="266"/>
      <c r="P1571" s="266">
        <v>691991010354</v>
      </c>
      <c r="R1571" s="265">
        <v>0</v>
      </c>
      <c r="S1571" s="265">
        <v>0</v>
      </c>
      <c r="T1571" s="265">
        <v>0</v>
      </c>
      <c r="U1571" s="265">
        <v>0</v>
      </c>
      <c r="V1571" s="259" t="s">
        <v>4159</v>
      </c>
      <c r="Y1571" s="259">
        <v>658</v>
      </c>
      <c r="Z1571" s="259" t="s">
        <v>3037</v>
      </c>
      <c r="AA1571" s="259" t="e">
        <v>#N/A</v>
      </c>
      <c r="AB1571" s="259"/>
      <c r="AC1571" s="259"/>
      <c r="AD1571" s="259"/>
      <c r="AE1571" s="259"/>
    </row>
    <row r="1572" spans="1:31">
      <c r="A1572" s="259" t="s">
        <v>1667</v>
      </c>
      <c r="B1572" s="259" t="s">
        <v>80</v>
      </c>
      <c r="C1572" s="264" t="s">
        <v>6790</v>
      </c>
      <c r="D1572" s="264" t="s">
        <v>1667</v>
      </c>
      <c r="E1572" s="259" t="s">
        <v>6681</v>
      </c>
      <c r="F1572" s="259" t="s">
        <v>5021</v>
      </c>
      <c r="H1572" s="264" t="s">
        <v>6794</v>
      </c>
      <c r="I1572" s="264" t="s">
        <v>6795</v>
      </c>
      <c r="J1572" s="295">
        <v>7440</v>
      </c>
      <c r="K1572" s="295">
        <v>7440</v>
      </c>
      <c r="L1572" s="295">
        <v>3720</v>
      </c>
      <c r="O1572" s="266"/>
      <c r="P1572" s="266">
        <v>691991010361</v>
      </c>
      <c r="R1572" s="265">
        <v>0</v>
      </c>
      <c r="S1572" s="265">
        <v>0</v>
      </c>
      <c r="T1572" s="265">
        <v>0</v>
      </c>
      <c r="U1572" s="265">
        <v>0</v>
      </c>
      <c r="V1572" s="259" t="s">
        <v>4159</v>
      </c>
      <c r="Y1572" s="259">
        <v>659</v>
      </c>
      <c r="Z1572" s="259" t="s">
        <v>3037</v>
      </c>
      <c r="AA1572" s="259" t="e">
        <v>#N/A</v>
      </c>
      <c r="AB1572" s="259"/>
      <c r="AC1572" s="259"/>
      <c r="AD1572" s="259"/>
      <c r="AE1572" s="259"/>
    </row>
    <row r="1573" spans="1:31">
      <c r="A1573" s="259" t="s">
        <v>1668</v>
      </c>
      <c r="B1573" s="259" t="s">
        <v>80</v>
      </c>
      <c r="C1573" s="264" t="s">
        <v>6790</v>
      </c>
      <c r="D1573" s="264" t="s">
        <v>1668</v>
      </c>
      <c r="E1573" s="259" t="s">
        <v>6681</v>
      </c>
      <c r="F1573" s="259" t="s">
        <v>5021</v>
      </c>
      <c r="H1573" s="264" t="s">
        <v>6796</v>
      </c>
      <c r="I1573" s="264" t="s">
        <v>6797</v>
      </c>
      <c r="J1573" s="295">
        <v>7440</v>
      </c>
      <c r="K1573" s="295">
        <v>7440</v>
      </c>
      <c r="L1573" s="295">
        <v>3720</v>
      </c>
      <c r="O1573" s="266"/>
      <c r="P1573" s="266">
        <v>691991013348</v>
      </c>
      <c r="R1573" s="265">
        <v>0</v>
      </c>
      <c r="S1573" s="265">
        <v>0</v>
      </c>
      <c r="T1573" s="265">
        <v>0</v>
      </c>
      <c r="U1573" s="265">
        <v>0</v>
      </c>
      <c r="V1573" s="259" t="s">
        <v>4159</v>
      </c>
      <c r="Y1573" s="259">
        <v>660</v>
      </c>
      <c r="Z1573" s="259" t="s">
        <v>3037</v>
      </c>
      <c r="AA1573" s="259" t="e">
        <v>#N/A</v>
      </c>
      <c r="AB1573" s="259"/>
      <c r="AC1573" s="259"/>
      <c r="AD1573" s="259"/>
      <c r="AE1573" s="259"/>
    </row>
    <row r="1574" spans="1:31">
      <c r="A1574" s="259" t="s">
        <v>1669</v>
      </c>
      <c r="B1574" s="259" t="s">
        <v>80</v>
      </c>
      <c r="C1574" s="264" t="s">
        <v>6790</v>
      </c>
      <c r="D1574" s="264" t="s">
        <v>1669</v>
      </c>
      <c r="E1574" s="259" t="s">
        <v>6681</v>
      </c>
      <c r="F1574" s="259" t="s">
        <v>5021</v>
      </c>
      <c r="H1574" s="264" t="s">
        <v>6798</v>
      </c>
      <c r="I1574" s="264" t="s">
        <v>6799</v>
      </c>
      <c r="J1574" s="295">
        <v>7440</v>
      </c>
      <c r="K1574" s="295">
        <v>7440</v>
      </c>
      <c r="L1574" s="295">
        <v>3720</v>
      </c>
      <c r="O1574" s="266"/>
      <c r="P1574" s="266">
        <v>691991032479</v>
      </c>
      <c r="R1574" s="265">
        <v>0</v>
      </c>
      <c r="S1574" s="265">
        <v>0</v>
      </c>
      <c r="T1574" s="265">
        <v>0</v>
      </c>
      <c r="U1574" s="265">
        <v>0</v>
      </c>
      <c r="V1574" s="259" t="s">
        <v>4159</v>
      </c>
      <c r="Y1574" s="259">
        <v>661</v>
      </c>
      <c r="Z1574" s="259" t="s">
        <v>3037</v>
      </c>
      <c r="AA1574" s="259" t="e">
        <v>#N/A</v>
      </c>
      <c r="AB1574" s="259"/>
      <c r="AC1574" s="259"/>
      <c r="AD1574" s="259"/>
      <c r="AE1574" s="259"/>
    </row>
    <row r="1575" spans="1:31">
      <c r="A1575" s="259" t="s">
        <v>1670</v>
      </c>
      <c r="B1575" s="259" t="s">
        <v>80</v>
      </c>
      <c r="C1575" s="264" t="s">
        <v>6790</v>
      </c>
      <c r="D1575" s="264" t="s">
        <v>6800</v>
      </c>
      <c r="E1575" s="259" t="s">
        <v>6681</v>
      </c>
      <c r="H1575" s="264" t="s">
        <v>6801</v>
      </c>
      <c r="I1575" s="264" t="s">
        <v>6802</v>
      </c>
      <c r="J1575" s="295">
        <v>6052</v>
      </c>
      <c r="K1575" s="295">
        <v>6052</v>
      </c>
      <c r="L1575" s="295">
        <v>3026</v>
      </c>
      <c r="O1575" s="266"/>
      <c r="P1575" s="266">
        <v>691991010378</v>
      </c>
      <c r="R1575" s="265">
        <v>0</v>
      </c>
      <c r="S1575" s="265">
        <v>0</v>
      </c>
      <c r="T1575" s="265">
        <v>0</v>
      </c>
      <c r="U1575" s="265">
        <v>0</v>
      </c>
      <c r="V1575" s="259" t="s">
        <v>4159</v>
      </c>
      <c r="Y1575" s="259">
        <v>662</v>
      </c>
      <c r="Z1575" s="259" t="s">
        <v>3037</v>
      </c>
      <c r="AA1575" s="259" t="e">
        <v>#N/A</v>
      </c>
      <c r="AB1575" s="259"/>
      <c r="AC1575" s="259"/>
      <c r="AD1575" s="259"/>
      <c r="AE1575" s="259"/>
    </row>
    <row r="1576" spans="1:31">
      <c r="A1576" s="259" t="s">
        <v>1671</v>
      </c>
      <c r="B1576" s="259" t="s">
        <v>80</v>
      </c>
      <c r="C1576" s="264" t="s">
        <v>6790</v>
      </c>
      <c r="D1576" s="264" t="s">
        <v>1671</v>
      </c>
      <c r="E1576" s="259" t="s">
        <v>6681</v>
      </c>
      <c r="F1576" s="259" t="s">
        <v>5021</v>
      </c>
      <c r="H1576" s="264" t="s">
        <v>6803</v>
      </c>
      <c r="I1576" s="264" t="s">
        <v>6804</v>
      </c>
      <c r="J1576" s="295">
        <v>6156</v>
      </c>
      <c r="K1576" s="295">
        <v>6156</v>
      </c>
      <c r="L1576" s="295">
        <v>3078</v>
      </c>
      <c r="O1576" s="266"/>
      <c r="P1576" s="266">
        <v>691991010385</v>
      </c>
      <c r="R1576" s="265">
        <v>0</v>
      </c>
      <c r="S1576" s="265">
        <v>0</v>
      </c>
      <c r="T1576" s="265">
        <v>0</v>
      </c>
      <c r="U1576" s="265">
        <v>0</v>
      </c>
      <c r="V1576" s="259" t="s">
        <v>4159</v>
      </c>
      <c r="Y1576" s="259">
        <v>663</v>
      </c>
      <c r="Z1576" s="259" t="s">
        <v>3037</v>
      </c>
      <c r="AA1576" s="259" t="e">
        <v>#N/A</v>
      </c>
      <c r="AB1576" s="259"/>
      <c r="AC1576" s="259"/>
      <c r="AD1576" s="259"/>
      <c r="AE1576" s="259"/>
    </row>
    <row r="1577" spans="1:31">
      <c r="A1577" s="259" t="s">
        <v>1672</v>
      </c>
      <c r="B1577" s="259" t="s">
        <v>80</v>
      </c>
      <c r="C1577" s="264" t="s">
        <v>6790</v>
      </c>
      <c r="D1577" s="264" t="s">
        <v>1672</v>
      </c>
      <c r="E1577" s="259" t="s">
        <v>6681</v>
      </c>
      <c r="F1577" s="259" t="s">
        <v>5021</v>
      </c>
      <c r="H1577" s="264" t="s">
        <v>6805</v>
      </c>
      <c r="I1577" s="264" t="s">
        <v>6806</v>
      </c>
      <c r="J1577" s="295">
        <v>386</v>
      </c>
      <c r="K1577" s="295">
        <v>386</v>
      </c>
      <c r="L1577" s="295">
        <v>193</v>
      </c>
      <c r="O1577" s="266"/>
      <c r="P1577" s="266">
        <v>691991007620</v>
      </c>
      <c r="R1577" s="265">
        <v>0</v>
      </c>
      <c r="S1577" s="265">
        <v>0</v>
      </c>
      <c r="T1577" s="265">
        <v>0</v>
      </c>
      <c r="U1577" s="265">
        <v>0</v>
      </c>
      <c r="V1577" s="259" t="s">
        <v>4159</v>
      </c>
      <c r="Y1577" s="259">
        <v>664</v>
      </c>
      <c r="Z1577" s="259" t="s">
        <v>3037</v>
      </c>
      <c r="AA1577" s="259" t="e">
        <v>#N/A</v>
      </c>
      <c r="AB1577" s="259"/>
      <c r="AC1577" s="259"/>
      <c r="AD1577" s="259"/>
      <c r="AE1577" s="259"/>
    </row>
    <row r="1578" spans="1:31">
      <c r="A1578" s="259" t="s">
        <v>1673</v>
      </c>
      <c r="B1578" s="259" t="s">
        <v>80</v>
      </c>
      <c r="C1578" s="264" t="s">
        <v>6790</v>
      </c>
      <c r="D1578" s="264" t="s">
        <v>6807</v>
      </c>
      <c r="E1578" s="259" t="s">
        <v>6681</v>
      </c>
      <c r="H1578" s="264" t="s">
        <v>6808</v>
      </c>
      <c r="I1578" s="264" t="s">
        <v>6809</v>
      </c>
      <c r="J1578" s="295">
        <v>2950</v>
      </c>
      <c r="K1578" s="295">
        <v>2950</v>
      </c>
      <c r="L1578" s="295">
        <v>1475</v>
      </c>
      <c r="O1578" s="266"/>
      <c r="P1578" s="266">
        <v>691991034374</v>
      </c>
      <c r="R1578" s="265"/>
      <c r="V1578" s="259" t="s">
        <v>4159</v>
      </c>
      <c r="Y1578" s="259">
        <v>665</v>
      </c>
      <c r="Z1578" s="259" t="s">
        <v>3030</v>
      </c>
      <c r="AA1578" s="259" t="e">
        <v>#N/A</v>
      </c>
      <c r="AB1578" s="259"/>
      <c r="AC1578" s="259"/>
      <c r="AD1578" s="259"/>
      <c r="AE1578" s="259"/>
    </row>
    <row r="1579" spans="1:31">
      <c r="A1579" s="259" t="s">
        <v>1674</v>
      </c>
      <c r="B1579" s="259" t="s">
        <v>80</v>
      </c>
      <c r="C1579" s="264"/>
      <c r="D1579" s="264"/>
      <c r="H1579" s="264"/>
      <c r="I1579" s="264"/>
      <c r="J1579" s="295">
        <v>0</v>
      </c>
      <c r="K1579" s="295">
        <v>0</v>
      </c>
      <c r="L1579" s="295">
        <v>0</v>
      </c>
      <c r="O1579" s="266"/>
      <c r="R1579" s="265">
        <v>0</v>
      </c>
      <c r="S1579" s="265">
        <v>0</v>
      </c>
      <c r="T1579" s="265">
        <v>0</v>
      </c>
      <c r="U1579" s="265">
        <v>0</v>
      </c>
      <c r="V1579" s="259"/>
      <c r="Y1579" s="259">
        <v>666</v>
      </c>
      <c r="AA1579" s="259" t="e">
        <v>#N/A</v>
      </c>
      <c r="AB1579" s="259"/>
      <c r="AC1579" s="259"/>
      <c r="AD1579" s="259"/>
      <c r="AE1579" s="259"/>
    </row>
    <row r="1580" spans="1:31">
      <c r="A1580" s="259" t="s">
        <v>1679</v>
      </c>
      <c r="B1580" s="259" t="s">
        <v>80</v>
      </c>
      <c r="C1580" s="264"/>
      <c r="D1580" s="264"/>
      <c r="H1580" s="264"/>
      <c r="I1580" s="264"/>
      <c r="J1580" s="295">
        <v>0</v>
      </c>
      <c r="K1580" s="295">
        <v>0</v>
      </c>
      <c r="L1580" s="295">
        <v>0</v>
      </c>
      <c r="O1580" s="266"/>
      <c r="R1580" s="265">
        <v>0</v>
      </c>
      <c r="S1580" s="265">
        <v>0</v>
      </c>
      <c r="T1580" s="265">
        <v>0</v>
      </c>
      <c r="U1580" s="265">
        <v>0</v>
      </c>
      <c r="V1580" s="259"/>
      <c r="Y1580" s="259">
        <v>667</v>
      </c>
      <c r="AA1580" s="259" t="e">
        <v>#N/A</v>
      </c>
      <c r="AB1580" s="259"/>
      <c r="AC1580" s="259"/>
      <c r="AD1580" s="259"/>
      <c r="AE1580" s="259"/>
    </row>
    <row r="1581" spans="1:31">
      <c r="A1581" s="259" t="s">
        <v>1680</v>
      </c>
      <c r="B1581" s="259" t="s">
        <v>80</v>
      </c>
      <c r="C1581" s="264" t="s">
        <v>6810</v>
      </c>
      <c r="D1581" s="264" t="s">
        <v>6811</v>
      </c>
      <c r="E1581" s="259" t="s">
        <v>6812</v>
      </c>
      <c r="F1581" s="259" t="s">
        <v>5021</v>
      </c>
      <c r="G1581" s="259" t="s">
        <v>4048</v>
      </c>
      <c r="H1581" s="264" t="s">
        <v>6813</v>
      </c>
      <c r="I1581" s="264" t="s">
        <v>6814</v>
      </c>
      <c r="J1581" s="295" t="s">
        <v>6815</v>
      </c>
      <c r="K1581" s="295" t="s">
        <v>6815</v>
      </c>
      <c r="L1581" s="295" t="s">
        <v>6815</v>
      </c>
      <c r="O1581" s="266"/>
      <c r="P1581" s="266">
        <v>691991035876</v>
      </c>
      <c r="R1581" s="265">
        <v>7.5</v>
      </c>
      <c r="S1581" s="265">
        <v>21.1</v>
      </c>
      <c r="T1581" s="265">
        <v>11.8</v>
      </c>
      <c r="U1581" s="265">
        <v>40.299999999999997</v>
      </c>
      <c r="V1581" s="259" t="s">
        <v>4159</v>
      </c>
      <c r="Y1581" s="259">
        <v>668</v>
      </c>
      <c r="Z1581" s="259" t="s">
        <v>4042</v>
      </c>
      <c r="AA1581" s="259" t="e">
        <v>#N/A</v>
      </c>
      <c r="AB1581" s="259"/>
      <c r="AC1581" s="259"/>
      <c r="AD1581" s="259"/>
      <c r="AE1581" s="259"/>
    </row>
    <row r="1582" spans="1:31">
      <c r="A1582" s="259" t="s">
        <v>1681</v>
      </c>
      <c r="B1582" s="259" t="s">
        <v>80</v>
      </c>
      <c r="C1582" s="264" t="s">
        <v>6810</v>
      </c>
      <c r="D1582" s="264" t="s">
        <v>6816</v>
      </c>
      <c r="E1582" s="259" t="s">
        <v>6812</v>
      </c>
      <c r="F1582" s="259" t="s">
        <v>5021</v>
      </c>
      <c r="G1582" s="259" t="s">
        <v>4048</v>
      </c>
      <c r="H1582" s="264" t="s">
        <v>6817</v>
      </c>
      <c r="I1582" s="264" t="s">
        <v>6818</v>
      </c>
      <c r="J1582" s="295" t="s">
        <v>6815</v>
      </c>
      <c r="K1582" s="295" t="s">
        <v>6815</v>
      </c>
      <c r="L1582" s="295" t="s">
        <v>6815</v>
      </c>
      <c r="O1582" s="266"/>
      <c r="P1582" s="266">
        <v>691991035869</v>
      </c>
      <c r="R1582" s="265">
        <v>18.3</v>
      </c>
      <c r="S1582" s="265">
        <v>21.1</v>
      </c>
      <c r="T1582" s="265">
        <v>23.1</v>
      </c>
      <c r="U1582" s="265">
        <v>91.5</v>
      </c>
      <c r="V1582" s="259" t="s">
        <v>4159</v>
      </c>
      <c r="Y1582" s="259">
        <v>669</v>
      </c>
      <c r="Z1582" s="259" t="s">
        <v>4042</v>
      </c>
      <c r="AA1582" s="259" t="e">
        <v>#N/A</v>
      </c>
      <c r="AB1582" s="259"/>
      <c r="AC1582" s="259"/>
      <c r="AD1582" s="259"/>
      <c r="AE1582" s="259"/>
    </row>
    <row r="1583" spans="1:31">
      <c r="A1583" s="259" t="s">
        <v>1682</v>
      </c>
      <c r="B1583" s="259" t="s">
        <v>80</v>
      </c>
      <c r="C1583" s="264" t="s">
        <v>6810</v>
      </c>
      <c r="D1583" s="264" t="s">
        <v>6819</v>
      </c>
      <c r="E1583" s="259" t="s">
        <v>6812</v>
      </c>
      <c r="F1583" s="259" t="s">
        <v>5021</v>
      </c>
      <c r="G1583" s="259" t="s">
        <v>4048</v>
      </c>
      <c r="H1583" s="264" t="s">
        <v>6817</v>
      </c>
      <c r="I1583" s="264" t="s">
        <v>6820</v>
      </c>
      <c r="J1583" s="295" t="s">
        <v>6815</v>
      </c>
      <c r="K1583" s="295" t="s">
        <v>6815</v>
      </c>
      <c r="L1583" s="295" t="s">
        <v>6815</v>
      </c>
      <c r="O1583" s="266"/>
      <c r="P1583" s="266">
        <v>691991035852</v>
      </c>
      <c r="R1583" s="265">
        <v>18.63</v>
      </c>
      <c r="S1583" s="265">
        <v>21.1</v>
      </c>
      <c r="T1583" s="265">
        <v>23.1</v>
      </c>
      <c r="U1583" s="265">
        <v>74.8</v>
      </c>
      <c r="V1583" s="259" t="s">
        <v>4159</v>
      </c>
      <c r="Y1583" s="259">
        <v>670</v>
      </c>
      <c r="Z1583" s="259" t="s">
        <v>4042</v>
      </c>
      <c r="AA1583" s="259" t="e">
        <v>#N/A</v>
      </c>
      <c r="AB1583" s="259"/>
      <c r="AC1583" s="259"/>
      <c r="AD1583" s="259"/>
      <c r="AE1583" s="259"/>
    </row>
    <row r="1584" spans="1:31">
      <c r="A1584" s="259" t="s">
        <v>1683</v>
      </c>
      <c r="B1584" s="259" t="s">
        <v>80</v>
      </c>
      <c r="C1584" s="264" t="s">
        <v>6810</v>
      </c>
      <c r="D1584" s="264" t="s">
        <v>6821</v>
      </c>
      <c r="F1584" s="259" t="s">
        <v>5021</v>
      </c>
      <c r="G1584" s="259" t="s">
        <v>4048</v>
      </c>
      <c r="H1584" s="264" t="s">
        <v>6822</v>
      </c>
      <c r="I1584" s="264" t="s">
        <v>6823</v>
      </c>
      <c r="J1584" s="295" t="s">
        <v>6815</v>
      </c>
      <c r="K1584" s="295" t="s">
        <v>6815</v>
      </c>
      <c r="L1584" s="295" t="s">
        <v>6815</v>
      </c>
      <c r="O1584" s="266"/>
      <c r="P1584" s="266">
        <v>691991035845</v>
      </c>
      <c r="R1584" s="265">
        <v>3.4</v>
      </c>
      <c r="S1584" s="265">
        <v>20</v>
      </c>
      <c r="T1584" s="265">
        <v>20.399999999999999</v>
      </c>
      <c r="U1584" s="265">
        <v>13.6</v>
      </c>
      <c r="V1584" s="259" t="s">
        <v>4159</v>
      </c>
      <c r="Y1584" s="259">
        <v>671</v>
      </c>
      <c r="Z1584" s="259" t="s">
        <v>4042</v>
      </c>
      <c r="AA1584" s="259" t="e">
        <v>#N/A</v>
      </c>
      <c r="AB1584" s="259"/>
      <c r="AC1584" s="259"/>
      <c r="AD1584" s="259"/>
      <c r="AE1584" s="259"/>
    </row>
    <row r="1585" spans="1:31">
      <c r="A1585" s="259" t="s">
        <v>1684</v>
      </c>
      <c r="B1585" s="259" t="s">
        <v>80</v>
      </c>
      <c r="C1585" s="264" t="s">
        <v>6810</v>
      </c>
      <c r="D1585" s="264" t="s">
        <v>6824</v>
      </c>
      <c r="E1585" s="259" t="s">
        <v>6812</v>
      </c>
      <c r="F1585" s="259" t="s">
        <v>5021</v>
      </c>
      <c r="G1585" s="259" t="s">
        <v>4048</v>
      </c>
      <c r="H1585" s="264" t="s">
        <v>6825</v>
      </c>
      <c r="I1585" s="264" t="s">
        <v>6826</v>
      </c>
      <c r="J1585" s="295" t="s">
        <v>6815</v>
      </c>
      <c r="K1585" s="295" t="s">
        <v>6815</v>
      </c>
      <c r="L1585" s="295" t="s">
        <v>6815</v>
      </c>
      <c r="O1585" s="266"/>
      <c r="P1585" s="266">
        <v>691991035838</v>
      </c>
      <c r="R1585" s="265">
        <v>2.4</v>
      </c>
      <c r="S1585" s="265">
        <v>20.399999999999999</v>
      </c>
      <c r="T1585" s="265">
        <v>2.6</v>
      </c>
      <c r="U1585" s="265">
        <v>3.9</v>
      </c>
      <c r="V1585" s="259" t="s">
        <v>4159</v>
      </c>
      <c r="Y1585" s="259">
        <v>672</v>
      </c>
      <c r="Z1585" s="259" t="s">
        <v>3264</v>
      </c>
      <c r="AA1585" s="259" t="e">
        <v>#N/A</v>
      </c>
      <c r="AB1585" s="259"/>
      <c r="AC1585" s="259"/>
      <c r="AD1585" s="259"/>
      <c r="AE1585" s="259"/>
    </row>
    <row r="1586" spans="1:31">
      <c r="A1586" s="259" t="s">
        <v>1685</v>
      </c>
      <c r="B1586" s="259" t="s">
        <v>80</v>
      </c>
      <c r="C1586" s="264" t="s">
        <v>6810</v>
      </c>
      <c r="D1586" s="264" t="s">
        <v>6827</v>
      </c>
      <c r="E1586" s="259" t="s">
        <v>6828</v>
      </c>
      <c r="G1586" s="259" t="s">
        <v>4048</v>
      </c>
      <c r="H1586" s="264"/>
      <c r="I1586" s="264" t="s">
        <v>6830</v>
      </c>
      <c r="J1586" s="295" t="s">
        <v>6815</v>
      </c>
      <c r="K1586" s="295" t="s">
        <v>6815</v>
      </c>
      <c r="L1586" s="295" t="s">
        <v>6815</v>
      </c>
      <c r="O1586" s="266"/>
      <c r="P1586" s="266">
        <v>691991038471</v>
      </c>
      <c r="R1586" s="265"/>
      <c r="V1586" s="259" t="s">
        <v>3996</v>
      </c>
      <c r="Y1586" s="259">
        <v>673</v>
      </c>
      <c r="Z1586" s="259" t="s">
        <v>4042</v>
      </c>
      <c r="AA1586" s="259" t="e">
        <v>#N/A</v>
      </c>
      <c r="AB1586" s="259"/>
      <c r="AC1586" s="259"/>
      <c r="AD1586" s="259"/>
      <c r="AE1586" s="259"/>
    </row>
    <row r="1587" spans="1:31">
      <c r="A1587" s="259" t="s">
        <v>1686</v>
      </c>
      <c r="B1587" s="259" t="s">
        <v>80</v>
      </c>
      <c r="C1587" s="264" t="s">
        <v>6810</v>
      </c>
      <c r="D1587" s="264" t="s">
        <v>6831</v>
      </c>
      <c r="E1587" s="259" t="s">
        <v>6812</v>
      </c>
      <c r="F1587" s="259" t="s">
        <v>5021</v>
      </c>
      <c r="G1587" s="259" t="s">
        <v>4048</v>
      </c>
      <c r="H1587" s="264" t="s">
        <v>6832</v>
      </c>
      <c r="I1587" s="264" t="s">
        <v>6833</v>
      </c>
      <c r="J1587" s="295" t="s">
        <v>6815</v>
      </c>
      <c r="K1587" s="295" t="s">
        <v>6815</v>
      </c>
      <c r="L1587" s="295" t="s">
        <v>6815</v>
      </c>
      <c r="O1587" s="266"/>
      <c r="P1587" s="266">
        <v>691991035821</v>
      </c>
      <c r="R1587" s="265">
        <v>2.2000000000000002</v>
      </c>
      <c r="S1587" s="265">
        <v>20</v>
      </c>
      <c r="T1587" s="265">
        <v>11.9</v>
      </c>
      <c r="U1587" s="265">
        <v>11.6</v>
      </c>
      <c r="V1587" s="259" t="s">
        <v>4159</v>
      </c>
      <c r="Y1587" s="259">
        <v>674</v>
      </c>
      <c r="Z1587" s="259" t="s">
        <v>4042</v>
      </c>
      <c r="AA1587" s="259" t="e">
        <v>#N/A</v>
      </c>
      <c r="AB1587" s="259"/>
      <c r="AC1587" s="259"/>
      <c r="AD1587" s="259"/>
      <c r="AE1587" s="259"/>
    </row>
    <row r="1588" spans="1:31">
      <c r="A1588" s="259" t="s">
        <v>1687</v>
      </c>
      <c r="B1588" s="259" t="s">
        <v>80</v>
      </c>
      <c r="C1588" s="264" t="s">
        <v>6810</v>
      </c>
      <c r="D1588" s="264" t="s">
        <v>2924</v>
      </c>
      <c r="F1588" s="259" t="s">
        <v>5021</v>
      </c>
      <c r="G1588" s="259" t="s">
        <v>4048</v>
      </c>
      <c r="H1588" s="264" t="s">
        <v>6834</v>
      </c>
      <c r="I1588" s="264" t="s">
        <v>6835</v>
      </c>
      <c r="J1588" s="295" t="s">
        <v>6815</v>
      </c>
      <c r="K1588" s="295" t="s">
        <v>6815</v>
      </c>
      <c r="L1588" s="295" t="s">
        <v>6815</v>
      </c>
      <c r="O1588" s="266"/>
      <c r="P1588" s="266">
        <v>691991035814</v>
      </c>
      <c r="R1588" s="265">
        <v>43.5</v>
      </c>
      <c r="S1588" s="265">
        <v>24.2</v>
      </c>
      <c r="T1588" s="265">
        <v>22.2</v>
      </c>
      <c r="U1588" s="265">
        <v>103</v>
      </c>
      <c r="V1588" s="259" t="s">
        <v>4159</v>
      </c>
      <c r="Y1588" s="259">
        <v>675</v>
      </c>
      <c r="Z1588" s="259" t="s">
        <v>4042</v>
      </c>
      <c r="AA1588" s="259" t="e">
        <v>#N/A</v>
      </c>
      <c r="AB1588" s="259"/>
      <c r="AC1588" s="259"/>
      <c r="AD1588" s="259"/>
      <c r="AE1588" s="259"/>
    </row>
    <row r="1589" spans="1:31">
      <c r="A1589" s="259" t="s">
        <v>1688</v>
      </c>
      <c r="B1589" s="259" t="s">
        <v>80</v>
      </c>
      <c r="C1589" s="264" t="s">
        <v>6810</v>
      </c>
      <c r="D1589" s="264" t="s">
        <v>6836</v>
      </c>
      <c r="E1589" s="259" t="s">
        <v>6812</v>
      </c>
      <c r="F1589" s="259" t="s">
        <v>5021</v>
      </c>
      <c r="G1589" s="259" t="s">
        <v>4048</v>
      </c>
      <c r="H1589" s="264" t="s">
        <v>6837</v>
      </c>
      <c r="I1589" s="264" t="s">
        <v>6838</v>
      </c>
      <c r="J1589" s="295" t="s">
        <v>6815</v>
      </c>
      <c r="K1589" s="295" t="s">
        <v>6815</v>
      </c>
      <c r="L1589" s="295" t="s">
        <v>6815</v>
      </c>
      <c r="O1589" s="266"/>
      <c r="P1589" s="266">
        <v>691991035807</v>
      </c>
      <c r="R1589" s="265">
        <v>4.9000000000000004</v>
      </c>
      <c r="S1589" s="265">
        <v>21.1</v>
      </c>
      <c r="T1589" s="265">
        <v>18</v>
      </c>
      <c r="U1589" s="265">
        <v>15.4</v>
      </c>
      <c r="V1589" s="259" t="s">
        <v>4159</v>
      </c>
      <c r="Y1589" s="259">
        <v>676</v>
      </c>
      <c r="Z1589" s="259" t="s">
        <v>4042</v>
      </c>
      <c r="AA1589" s="259" t="e">
        <v>#N/A</v>
      </c>
      <c r="AB1589" s="259"/>
      <c r="AC1589" s="259"/>
      <c r="AD1589" s="259"/>
      <c r="AE1589" s="259"/>
    </row>
    <row r="1590" spans="1:31">
      <c r="A1590" s="259" t="s">
        <v>1689</v>
      </c>
      <c r="B1590" s="259" t="s">
        <v>80</v>
      </c>
      <c r="C1590" s="264" t="s">
        <v>6810</v>
      </c>
      <c r="D1590" s="264" t="s">
        <v>6839</v>
      </c>
      <c r="E1590" s="259" t="s">
        <v>6812</v>
      </c>
      <c r="F1590" s="259" t="s">
        <v>5021</v>
      </c>
      <c r="G1590" s="259" t="s">
        <v>4048</v>
      </c>
      <c r="H1590" s="264" t="s">
        <v>6840</v>
      </c>
      <c r="I1590" s="264" t="s">
        <v>6841</v>
      </c>
      <c r="J1590" s="295" t="s">
        <v>6815</v>
      </c>
      <c r="K1590" s="295" t="s">
        <v>6815</v>
      </c>
      <c r="L1590" s="295" t="s">
        <v>6815</v>
      </c>
      <c r="O1590" s="266"/>
      <c r="P1590" s="266">
        <v>691991035791</v>
      </c>
      <c r="R1590" s="265">
        <v>1.5</v>
      </c>
      <c r="S1590" s="265">
        <v>4</v>
      </c>
      <c r="T1590" s="265">
        <v>5</v>
      </c>
      <c r="U1590" s="265">
        <v>4.8</v>
      </c>
      <c r="V1590" s="259" t="s">
        <v>4159</v>
      </c>
      <c r="Y1590" s="259">
        <v>677</v>
      </c>
      <c r="Z1590" s="259" t="s">
        <v>4042</v>
      </c>
      <c r="AA1590" s="259" t="e">
        <v>#N/A</v>
      </c>
      <c r="AB1590" s="259"/>
      <c r="AC1590" s="259"/>
      <c r="AD1590" s="259"/>
      <c r="AE1590" s="259"/>
    </row>
    <row r="1591" spans="1:31">
      <c r="A1591" s="259" t="s">
        <v>1690</v>
      </c>
      <c r="B1591" s="259" t="s">
        <v>80</v>
      </c>
      <c r="C1591" s="264" t="s">
        <v>6810</v>
      </c>
      <c r="D1591" s="264" t="s">
        <v>6842</v>
      </c>
      <c r="E1591" s="259" t="s">
        <v>6812</v>
      </c>
      <c r="F1591" s="259" t="s">
        <v>5021</v>
      </c>
      <c r="G1591" s="259" t="s">
        <v>4048</v>
      </c>
      <c r="H1591" s="264" t="s">
        <v>6843</v>
      </c>
      <c r="I1591" s="264" t="s">
        <v>6844</v>
      </c>
      <c r="J1591" s="295" t="s">
        <v>6815</v>
      </c>
      <c r="K1591" s="295" t="s">
        <v>6815</v>
      </c>
      <c r="L1591" s="295" t="s">
        <v>6815</v>
      </c>
      <c r="O1591" s="266"/>
      <c r="P1591" s="266">
        <v>691991037535</v>
      </c>
      <c r="R1591" s="265">
        <v>1.2</v>
      </c>
      <c r="S1591" s="265">
        <v>20.399999999999999</v>
      </c>
      <c r="T1591" s="265">
        <v>11.9</v>
      </c>
      <c r="U1591" s="265">
        <v>2.2999999999999998</v>
      </c>
      <c r="V1591" s="259" t="s">
        <v>4159</v>
      </c>
      <c r="Y1591" s="259">
        <v>678</v>
      </c>
      <c r="Z1591" s="259" t="s">
        <v>3264</v>
      </c>
      <c r="AA1591" s="259" t="e">
        <v>#N/A</v>
      </c>
      <c r="AB1591" s="259"/>
      <c r="AC1591" s="259"/>
      <c r="AD1591" s="259"/>
      <c r="AE1591" s="259"/>
    </row>
    <row r="1592" spans="1:31">
      <c r="A1592" s="259" t="s">
        <v>1691</v>
      </c>
      <c r="B1592" s="259" t="s">
        <v>80</v>
      </c>
      <c r="C1592" s="264" t="s">
        <v>6810</v>
      </c>
      <c r="D1592" s="264" t="s">
        <v>6845</v>
      </c>
      <c r="E1592" s="259" t="s">
        <v>6812</v>
      </c>
      <c r="F1592" s="259" t="s">
        <v>5021</v>
      </c>
      <c r="G1592" s="259" t="s">
        <v>4048</v>
      </c>
      <c r="H1592" s="264" t="s">
        <v>6845</v>
      </c>
      <c r="I1592" s="264" t="s">
        <v>6846</v>
      </c>
      <c r="J1592" s="295" t="s">
        <v>6815</v>
      </c>
      <c r="K1592" s="295" t="s">
        <v>6815</v>
      </c>
      <c r="L1592" s="295" t="s">
        <v>6815</v>
      </c>
      <c r="O1592" s="266"/>
      <c r="P1592" s="266">
        <v>691991038570</v>
      </c>
      <c r="R1592" s="265"/>
      <c r="V1592" s="259" t="s">
        <v>4159</v>
      </c>
      <c r="Y1592" s="259">
        <v>679</v>
      </c>
      <c r="Z1592" s="259" t="s">
        <v>4042</v>
      </c>
      <c r="AA1592" s="259" t="e">
        <v>#N/A</v>
      </c>
      <c r="AB1592" s="259"/>
      <c r="AC1592" s="259"/>
      <c r="AD1592" s="259"/>
      <c r="AE1592" s="259"/>
    </row>
    <row r="1593" spans="1:31">
      <c r="A1593" s="259" t="s">
        <v>1692</v>
      </c>
      <c r="B1593" s="259" t="s">
        <v>80</v>
      </c>
      <c r="C1593" s="264" t="s">
        <v>6810</v>
      </c>
      <c r="D1593" s="264" t="s">
        <v>1692</v>
      </c>
      <c r="E1593" s="259" t="s">
        <v>6812</v>
      </c>
      <c r="F1593" s="259" t="s">
        <v>5021</v>
      </c>
      <c r="H1593" s="264" t="s">
        <v>1692</v>
      </c>
      <c r="I1593" s="264" t="s">
        <v>6847</v>
      </c>
      <c r="J1593" s="295" t="s">
        <v>6815</v>
      </c>
      <c r="K1593" s="295" t="s">
        <v>6815</v>
      </c>
      <c r="L1593" s="295" t="s">
        <v>6815</v>
      </c>
      <c r="O1593" s="266"/>
      <c r="P1593" s="266">
        <v>691991015618</v>
      </c>
      <c r="R1593" s="265">
        <v>0</v>
      </c>
      <c r="S1593" s="265">
        <v>0</v>
      </c>
      <c r="T1593" s="265">
        <v>0</v>
      </c>
      <c r="U1593" s="265">
        <v>0</v>
      </c>
      <c r="V1593" s="259" t="s">
        <v>4159</v>
      </c>
      <c r="Y1593" s="259">
        <v>680</v>
      </c>
      <c r="Z1593" s="259" t="s">
        <v>3030</v>
      </c>
      <c r="AA1593" s="259" t="e">
        <v>#N/A</v>
      </c>
      <c r="AB1593" s="259"/>
      <c r="AC1593" s="259"/>
      <c r="AD1593" s="259"/>
      <c r="AE1593" s="259"/>
    </row>
    <row r="1594" spans="1:31">
      <c r="A1594" s="259" t="s">
        <v>1693</v>
      </c>
      <c r="B1594" s="259" t="s">
        <v>80</v>
      </c>
      <c r="C1594" s="264" t="s">
        <v>6810</v>
      </c>
      <c r="D1594" s="264" t="s">
        <v>1693</v>
      </c>
      <c r="E1594" s="259" t="s">
        <v>6812</v>
      </c>
      <c r="F1594" s="259" t="s">
        <v>5021</v>
      </c>
      <c r="H1594" s="264" t="s">
        <v>1693</v>
      </c>
      <c r="I1594" s="264" t="s">
        <v>6848</v>
      </c>
      <c r="J1594" s="295" t="s">
        <v>6815</v>
      </c>
      <c r="K1594" s="295" t="s">
        <v>6815</v>
      </c>
      <c r="L1594" s="295" t="s">
        <v>6815</v>
      </c>
      <c r="O1594" s="266"/>
      <c r="P1594" s="266">
        <v>691991013409</v>
      </c>
      <c r="R1594" s="265">
        <v>0</v>
      </c>
      <c r="S1594" s="265">
        <v>0</v>
      </c>
      <c r="T1594" s="265">
        <v>0</v>
      </c>
      <c r="U1594" s="265">
        <v>0</v>
      </c>
      <c r="V1594" s="259" t="s">
        <v>4159</v>
      </c>
      <c r="Y1594" s="259">
        <v>681</v>
      </c>
      <c r="Z1594" s="259" t="s">
        <v>3030</v>
      </c>
      <c r="AA1594" s="259" t="e">
        <v>#N/A</v>
      </c>
      <c r="AB1594" s="259"/>
      <c r="AC1594" s="259"/>
      <c r="AD1594" s="259"/>
      <c r="AE1594" s="259"/>
    </row>
    <row r="1595" spans="1:31">
      <c r="A1595" s="259" t="s">
        <v>1694</v>
      </c>
      <c r="B1595" s="259" t="s">
        <v>80</v>
      </c>
      <c r="C1595" s="264" t="s">
        <v>6810</v>
      </c>
      <c r="D1595" s="264" t="s">
        <v>1694</v>
      </c>
      <c r="E1595" s="259" t="s">
        <v>6812</v>
      </c>
      <c r="F1595" s="259" t="s">
        <v>5021</v>
      </c>
      <c r="H1595" s="264" t="s">
        <v>1694</v>
      </c>
      <c r="I1595" s="264" t="s">
        <v>6849</v>
      </c>
      <c r="J1595" s="295" t="s">
        <v>6815</v>
      </c>
      <c r="K1595" s="295" t="s">
        <v>6815</v>
      </c>
      <c r="L1595" s="295" t="s">
        <v>6815</v>
      </c>
      <c r="O1595" s="266"/>
      <c r="P1595" s="266">
        <v>691991015564</v>
      </c>
      <c r="R1595" s="265">
        <v>0</v>
      </c>
      <c r="S1595" s="265">
        <v>0</v>
      </c>
      <c r="T1595" s="265">
        <v>0</v>
      </c>
      <c r="U1595" s="265">
        <v>0</v>
      </c>
      <c r="V1595" s="259" t="s">
        <v>4159</v>
      </c>
      <c r="Y1595" s="259">
        <v>682</v>
      </c>
      <c r="Z1595" s="259" t="s">
        <v>3030</v>
      </c>
      <c r="AA1595" s="259" t="e">
        <v>#N/A</v>
      </c>
      <c r="AB1595" s="259"/>
      <c r="AC1595" s="259"/>
      <c r="AD1595" s="259"/>
      <c r="AE1595" s="259"/>
    </row>
    <row r="1596" spans="1:31">
      <c r="A1596" s="259" t="s">
        <v>1695</v>
      </c>
      <c r="B1596" s="259" t="s">
        <v>80</v>
      </c>
      <c r="C1596" s="264" t="s">
        <v>6810</v>
      </c>
      <c r="D1596" s="264" t="s">
        <v>1695</v>
      </c>
      <c r="E1596" s="259" t="s">
        <v>6812</v>
      </c>
      <c r="F1596" s="259" t="s">
        <v>5021</v>
      </c>
      <c r="H1596" s="264" t="s">
        <v>1695</v>
      </c>
      <c r="I1596" s="264" t="s">
        <v>6850</v>
      </c>
      <c r="J1596" s="295" t="s">
        <v>6815</v>
      </c>
      <c r="K1596" s="295" t="s">
        <v>6815</v>
      </c>
      <c r="L1596" s="295" t="s">
        <v>6815</v>
      </c>
      <c r="O1596" s="266"/>
      <c r="P1596" s="266">
        <v>691991015502</v>
      </c>
      <c r="R1596" s="265">
        <v>0</v>
      </c>
      <c r="S1596" s="265">
        <v>0</v>
      </c>
      <c r="T1596" s="265">
        <v>0</v>
      </c>
      <c r="U1596" s="265">
        <v>0</v>
      </c>
      <c r="V1596" s="259" t="s">
        <v>4159</v>
      </c>
      <c r="Y1596" s="259">
        <v>683</v>
      </c>
      <c r="Z1596" s="259" t="s">
        <v>3030</v>
      </c>
      <c r="AA1596" s="259" t="e">
        <v>#N/A</v>
      </c>
      <c r="AB1596" s="259"/>
      <c r="AC1596" s="259"/>
      <c r="AD1596" s="259"/>
      <c r="AE1596" s="259"/>
    </row>
    <row r="1597" spans="1:31">
      <c r="A1597" s="259" t="s">
        <v>1696</v>
      </c>
      <c r="B1597" s="259" t="s">
        <v>80</v>
      </c>
      <c r="C1597" s="264" t="s">
        <v>6810</v>
      </c>
      <c r="D1597" s="264" t="s">
        <v>1696</v>
      </c>
      <c r="E1597" s="259" t="s">
        <v>6812</v>
      </c>
      <c r="F1597" s="259" t="s">
        <v>5021</v>
      </c>
      <c r="H1597" s="264" t="s">
        <v>1696</v>
      </c>
      <c r="I1597" s="264" t="s">
        <v>6851</v>
      </c>
      <c r="J1597" s="295" t="s">
        <v>6815</v>
      </c>
      <c r="K1597" s="295" t="s">
        <v>6815</v>
      </c>
      <c r="L1597" s="295" t="s">
        <v>6815</v>
      </c>
      <c r="O1597" s="266"/>
      <c r="P1597" s="266">
        <v>691991015632</v>
      </c>
      <c r="R1597" s="265">
        <v>0</v>
      </c>
      <c r="S1597" s="265">
        <v>0</v>
      </c>
      <c r="T1597" s="265">
        <v>0</v>
      </c>
      <c r="U1597" s="265">
        <v>0</v>
      </c>
      <c r="V1597" s="259" t="s">
        <v>4159</v>
      </c>
      <c r="Y1597" s="259">
        <v>684</v>
      </c>
      <c r="Z1597" s="259" t="s">
        <v>3030</v>
      </c>
      <c r="AA1597" s="259" t="e">
        <v>#N/A</v>
      </c>
      <c r="AB1597" s="259"/>
      <c r="AC1597" s="259"/>
      <c r="AD1597" s="259"/>
      <c r="AE1597" s="259"/>
    </row>
    <row r="1598" spans="1:31">
      <c r="A1598" s="259" t="s">
        <v>1697</v>
      </c>
      <c r="B1598" s="259" t="s">
        <v>80</v>
      </c>
      <c r="C1598" s="264" t="s">
        <v>6810</v>
      </c>
      <c r="D1598" s="264" t="s">
        <v>1697</v>
      </c>
      <c r="E1598" s="259" t="s">
        <v>6812</v>
      </c>
      <c r="F1598" s="259" t="s">
        <v>5021</v>
      </c>
      <c r="H1598" s="264" t="s">
        <v>1697</v>
      </c>
      <c r="I1598" s="264" t="s">
        <v>6852</v>
      </c>
      <c r="J1598" s="295" t="s">
        <v>6815</v>
      </c>
      <c r="K1598" s="295" t="s">
        <v>6815</v>
      </c>
      <c r="L1598" s="295" t="s">
        <v>6815</v>
      </c>
      <c r="O1598" s="266"/>
      <c r="P1598" s="266">
        <v>691991013782</v>
      </c>
      <c r="R1598" s="265">
        <v>0</v>
      </c>
      <c r="S1598" s="265">
        <v>0</v>
      </c>
      <c r="T1598" s="265">
        <v>0</v>
      </c>
      <c r="U1598" s="265">
        <v>0</v>
      </c>
      <c r="V1598" s="259" t="s">
        <v>4159</v>
      </c>
      <c r="Y1598" s="259">
        <v>685</v>
      </c>
      <c r="Z1598" s="259" t="s">
        <v>3030</v>
      </c>
      <c r="AA1598" s="259" t="e">
        <v>#N/A</v>
      </c>
      <c r="AB1598" s="259"/>
      <c r="AC1598" s="259"/>
      <c r="AD1598" s="259"/>
      <c r="AE1598" s="259"/>
    </row>
    <row r="1599" spans="1:31">
      <c r="A1599" s="259" t="s">
        <v>1698</v>
      </c>
      <c r="B1599" s="259" t="s">
        <v>80</v>
      </c>
      <c r="C1599" s="264" t="s">
        <v>6810</v>
      </c>
      <c r="D1599" s="264" t="s">
        <v>6853</v>
      </c>
      <c r="E1599" s="259" t="s">
        <v>6812</v>
      </c>
      <c r="F1599" s="259" t="s">
        <v>5021</v>
      </c>
      <c r="H1599" s="264" t="s">
        <v>6853</v>
      </c>
      <c r="I1599" s="264" t="s">
        <v>6854</v>
      </c>
      <c r="J1599" s="295" t="s">
        <v>6815</v>
      </c>
      <c r="K1599" s="295" t="s">
        <v>6815</v>
      </c>
      <c r="L1599" s="295" t="s">
        <v>6815</v>
      </c>
      <c r="O1599" s="266"/>
      <c r="P1599" s="266">
        <v>691991033803</v>
      </c>
      <c r="R1599" s="265">
        <v>0</v>
      </c>
      <c r="S1599" s="265">
        <v>0</v>
      </c>
      <c r="T1599" s="265">
        <v>0</v>
      </c>
      <c r="U1599" s="265">
        <v>0</v>
      </c>
      <c r="V1599" s="259" t="s">
        <v>4159</v>
      </c>
      <c r="Y1599" s="259">
        <v>686</v>
      </c>
      <c r="Z1599" s="259" t="s">
        <v>3030</v>
      </c>
      <c r="AA1599" s="259" t="e">
        <v>#N/A</v>
      </c>
      <c r="AB1599" s="259"/>
      <c r="AC1599" s="259"/>
      <c r="AD1599" s="259"/>
      <c r="AE1599" s="259"/>
    </row>
    <row r="1600" spans="1:31">
      <c r="A1600" s="259" t="s">
        <v>1699</v>
      </c>
      <c r="B1600" s="259" t="s">
        <v>80</v>
      </c>
      <c r="C1600" s="264" t="s">
        <v>6810</v>
      </c>
      <c r="D1600" s="264" t="s">
        <v>1699</v>
      </c>
      <c r="E1600" s="259" t="s">
        <v>6812</v>
      </c>
      <c r="F1600" s="259" t="s">
        <v>5021</v>
      </c>
      <c r="H1600" s="264" t="s">
        <v>1699</v>
      </c>
      <c r="I1600" s="264" t="s">
        <v>6855</v>
      </c>
      <c r="J1600" s="295" t="s">
        <v>6815</v>
      </c>
      <c r="K1600" s="295" t="s">
        <v>6815</v>
      </c>
      <c r="L1600" s="295" t="s">
        <v>6815</v>
      </c>
      <c r="O1600" s="266"/>
      <c r="P1600" s="266">
        <v>691991013430</v>
      </c>
      <c r="R1600" s="265">
        <v>0</v>
      </c>
      <c r="S1600" s="265">
        <v>0</v>
      </c>
      <c r="T1600" s="265">
        <v>0</v>
      </c>
      <c r="U1600" s="265">
        <v>0</v>
      </c>
      <c r="V1600" s="259" t="s">
        <v>4159</v>
      </c>
      <c r="Y1600" s="259">
        <v>687</v>
      </c>
      <c r="Z1600" s="259" t="s">
        <v>3030</v>
      </c>
      <c r="AA1600" s="259" t="e">
        <v>#N/A</v>
      </c>
      <c r="AB1600" s="259"/>
      <c r="AC1600" s="259"/>
      <c r="AD1600" s="259"/>
      <c r="AE1600" s="259"/>
    </row>
    <row r="1601" spans="1:31">
      <c r="A1601" s="259" t="s">
        <v>1700</v>
      </c>
      <c r="B1601" s="259" t="s">
        <v>80</v>
      </c>
      <c r="C1601" s="264" t="s">
        <v>6810</v>
      </c>
      <c r="D1601" s="264" t="s">
        <v>1700</v>
      </c>
      <c r="E1601" s="259" t="s">
        <v>6812</v>
      </c>
      <c r="F1601" s="259" t="s">
        <v>5021</v>
      </c>
      <c r="H1601" s="264" t="s">
        <v>1700</v>
      </c>
      <c r="I1601" s="264" t="s">
        <v>6856</v>
      </c>
      <c r="J1601" s="295" t="s">
        <v>6815</v>
      </c>
      <c r="K1601" s="295" t="s">
        <v>6815</v>
      </c>
      <c r="L1601" s="295" t="s">
        <v>6815</v>
      </c>
      <c r="O1601" s="266"/>
      <c r="P1601" s="266">
        <v>691991013423</v>
      </c>
      <c r="R1601" s="265">
        <v>0</v>
      </c>
      <c r="S1601" s="265">
        <v>0</v>
      </c>
      <c r="T1601" s="265">
        <v>0</v>
      </c>
      <c r="U1601" s="265">
        <v>0</v>
      </c>
      <c r="V1601" s="259" t="s">
        <v>3028</v>
      </c>
      <c r="Y1601" s="259">
        <v>688</v>
      </c>
      <c r="Z1601" s="259" t="s">
        <v>3030</v>
      </c>
      <c r="AA1601" s="259" t="e">
        <v>#N/A</v>
      </c>
      <c r="AB1601" s="259"/>
      <c r="AC1601" s="259"/>
      <c r="AD1601" s="259"/>
      <c r="AE1601" s="259"/>
    </row>
    <row r="1602" spans="1:31">
      <c r="A1602" s="259" t="s">
        <v>1701</v>
      </c>
      <c r="B1602" s="259" t="s">
        <v>80</v>
      </c>
      <c r="C1602" s="264" t="s">
        <v>6810</v>
      </c>
      <c r="D1602" s="264" t="s">
        <v>1701</v>
      </c>
      <c r="E1602" s="259" t="s">
        <v>6812</v>
      </c>
      <c r="F1602" s="259" t="s">
        <v>5021</v>
      </c>
      <c r="H1602" s="264" t="s">
        <v>1701</v>
      </c>
      <c r="I1602" s="264" t="s">
        <v>6857</v>
      </c>
      <c r="J1602" s="295" t="s">
        <v>6815</v>
      </c>
      <c r="K1602" s="295" t="s">
        <v>6815</v>
      </c>
      <c r="L1602" s="295" t="s">
        <v>6815</v>
      </c>
      <c r="O1602" s="266"/>
      <c r="P1602" s="266">
        <v>691991015748</v>
      </c>
      <c r="R1602" s="265"/>
      <c r="V1602" s="259" t="s">
        <v>4159</v>
      </c>
      <c r="Y1602" s="259">
        <v>689</v>
      </c>
      <c r="Z1602" s="259" t="s">
        <v>3030</v>
      </c>
      <c r="AA1602" s="259" t="e">
        <v>#N/A</v>
      </c>
      <c r="AB1602" s="259"/>
      <c r="AC1602" s="259"/>
      <c r="AD1602" s="259"/>
      <c r="AE1602" s="259"/>
    </row>
    <row r="1603" spans="1:31">
      <c r="A1603" s="259" t="s">
        <v>1702</v>
      </c>
      <c r="B1603" s="259" t="s">
        <v>80</v>
      </c>
      <c r="C1603" s="264" t="s">
        <v>6810</v>
      </c>
      <c r="D1603" s="264" t="s">
        <v>1702</v>
      </c>
      <c r="E1603" s="259" t="s">
        <v>6812</v>
      </c>
      <c r="F1603" s="259" t="s">
        <v>5021</v>
      </c>
      <c r="H1603" s="264" t="s">
        <v>1702</v>
      </c>
      <c r="I1603" s="264" t="s">
        <v>6858</v>
      </c>
      <c r="J1603" s="295" t="s">
        <v>6815</v>
      </c>
      <c r="K1603" s="295" t="s">
        <v>6815</v>
      </c>
      <c r="L1603" s="295" t="s">
        <v>6815</v>
      </c>
      <c r="O1603" s="266"/>
      <c r="P1603" s="266">
        <v>691991013447</v>
      </c>
      <c r="R1603" s="265">
        <v>0</v>
      </c>
      <c r="S1603" s="265">
        <v>0</v>
      </c>
      <c r="T1603" s="265">
        <v>0</v>
      </c>
      <c r="U1603" s="265">
        <v>0</v>
      </c>
      <c r="V1603" s="259" t="s">
        <v>4159</v>
      </c>
      <c r="Y1603" s="259">
        <v>690</v>
      </c>
      <c r="Z1603" s="259" t="s">
        <v>3030</v>
      </c>
      <c r="AA1603" s="259" t="e">
        <v>#N/A</v>
      </c>
      <c r="AB1603" s="259"/>
      <c r="AC1603" s="259"/>
      <c r="AD1603" s="259"/>
      <c r="AE1603" s="259"/>
    </row>
    <row r="1604" spans="1:31">
      <c r="A1604" s="259" t="s">
        <v>1703</v>
      </c>
      <c r="B1604" s="259" t="s">
        <v>80</v>
      </c>
      <c r="C1604" s="264" t="s">
        <v>6810</v>
      </c>
      <c r="D1604" s="264" t="s">
        <v>1703</v>
      </c>
      <c r="E1604" s="259" t="s">
        <v>6812</v>
      </c>
      <c r="F1604" s="259" t="s">
        <v>5021</v>
      </c>
      <c r="H1604" s="264" t="s">
        <v>1703</v>
      </c>
      <c r="I1604" s="264" t="s">
        <v>6859</v>
      </c>
      <c r="J1604" s="295" t="s">
        <v>6815</v>
      </c>
      <c r="K1604" s="295" t="s">
        <v>6815</v>
      </c>
      <c r="L1604" s="295" t="s">
        <v>6815</v>
      </c>
      <c r="O1604" s="266"/>
      <c r="P1604" s="266">
        <v>691991013416</v>
      </c>
      <c r="R1604" s="265">
        <v>0</v>
      </c>
      <c r="S1604" s="265">
        <v>0</v>
      </c>
      <c r="T1604" s="265">
        <v>0</v>
      </c>
      <c r="U1604" s="265">
        <v>0</v>
      </c>
      <c r="V1604" s="259" t="s">
        <v>4159</v>
      </c>
      <c r="Y1604" s="259">
        <v>691</v>
      </c>
      <c r="Z1604" s="259" t="s">
        <v>3030</v>
      </c>
      <c r="AA1604" s="259" t="e">
        <v>#N/A</v>
      </c>
      <c r="AB1604" s="259"/>
      <c r="AC1604" s="259"/>
      <c r="AD1604" s="259"/>
      <c r="AE1604" s="259"/>
    </row>
    <row r="1605" spans="1:31">
      <c r="A1605" s="259" t="s">
        <v>1704</v>
      </c>
      <c r="B1605" s="259" t="s">
        <v>80</v>
      </c>
      <c r="C1605" s="264" t="s">
        <v>6810</v>
      </c>
      <c r="D1605" s="264" t="s">
        <v>1704</v>
      </c>
      <c r="E1605" s="259" t="s">
        <v>6812</v>
      </c>
      <c r="F1605" s="259" t="s">
        <v>5021</v>
      </c>
      <c r="H1605" s="264" t="s">
        <v>1704</v>
      </c>
      <c r="I1605" s="264" t="s">
        <v>6860</v>
      </c>
      <c r="J1605" s="295" t="s">
        <v>6815</v>
      </c>
      <c r="K1605" s="295" t="s">
        <v>6815</v>
      </c>
      <c r="L1605" s="295" t="s">
        <v>6815</v>
      </c>
      <c r="O1605" s="266"/>
      <c r="P1605" s="266">
        <v>691991013768</v>
      </c>
      <c r="R1605" s="265">
        <v>0</v>
      </c>
      <c r="S1605" s="265">
        <v>0</v>
      </c>
      <c r="T1605" s="265">
        <v>0</v>
      </c>
      <c r="U1605" s="265">
        <v>0</v>
      </c>
      <c r="V1605" s="259" t="s">
        <v>3028</v>
      </c>
      <c r="Y1605" s="259">
        <v>692</v>
      </c>
      <c r="Z1605" s="259" t="s">
        <v>3030</v>
      </c>
      <c r="AA1605" s="259" t="e">
        <v>#N/A</v>
      </c>
      <c r="AB1605" s="259"/>
      <c r="AC1605" s="259"/>
      <c r="AD1605" s="259"/>
      <c r="AE1605" s="259"/>
    </row>
    <row r="1606" spans="1:31">
      <c r="A1606" s="259" t="s">
        <v>1705</v>
      </c>
      <c r="B1606" s="259" t="s">
        <v>80</v>
      </c>
      <c r="C1606" s="264" t="s">
        <v>6810</v>
      </c>
      <c r="D1606" s="264" t="s">
        <v>1705</v>
      </c>
      <c r="E1606" s="259" t="s">
        <v>6812</v>
      </c>
      <c r="F1606" s="259" t="s">
        <v>5021</v>
      </c>
      <c r="H1606" s="264" t="s">
        <v>1705</v>
      </c>
      <c r="I1606" s="264" t="s">
        <v>6861</v>
      </c>
      <c r="J1606" s="295" t="s">
        <v>6815</v>
      </c>
      <c r="K1606" s="295" t="s">
        <v>6815</v>
      </c>
      <c r="L1606" s="295" t="s">
        <v>6815</v>
      </c>
      <c r="O1606" s="266">
        <v>0</v>
      </c>
      <c r="P1606" s="266">
        <v>691991032776</v>
      </c>
      <c r="R1606" s="265">
        <v>149</v>
      </c>
      <c r="S1606" s="265">
        <v>19.5</v>
      </c>
      <c r="T1606" s="265">
        <v>24.5</v>
      </c>
      <c r="U1606" s="265">
        <v>45.5</v>
      </c>
      <c r="V1606" s="259" t="s">
        <v>4159</v>
      </c>
      <c r="X1606" s="264" t="s">
        <v>6862</v>
      </c>
      <c r="Y1606" s="259">
        <v>693</v>
      </c>
      <c r="Z1606" s="259" t="s">
        <v>3030</v>
      </c>
      <c r="AA1606" s="259" t="e">
        <v>#N/A</v>
      </c>
      <c r="AB1606" s="259"/>
      <c r="AC1606" s="259"/>
      <c r="AD1606" s="259"/>
      <c r="AE1606" s="259"/>
    </row>
    <row r="1607" spans="1:31">
      <c r="A1607" s="259" t="s">
        <v>1706</v>
      </c>
      <c r="B1607" s="259" t="s">
        <v>80</v>
      </c>
      <c r="C1607" s="264" t="s">
        <v>6810</v>
      </c>
      <c r="D1607" s="264" t="s">
        <v>1706</v>
      </c>
      <c r="E1607" s="259" t="s">
        <v>6812</v>
      </c>
      <c r="F1607" s="259" t="s">
        <v>5021</v>
      </c>
      <c r="H1607" s="264" t="s">
        <v>1705</v>
      </c>
      <c r="I1607" s="264" t="s">
        <v>6861</v>
      </c>
      <c r="J1607" s="295" t="s">
        <v>6815</v>
      </c>
      <c r="K1607" s="295" t="s">
        <v>6815</v>
      </c>
      <c r="L1607" s="295" t="s">
        <v>6815</v>
      </c>
      <c r="O1607" s="266">
        <v>0</v>
      </c>
      <c r="P1607" s="266">
        <v>691991007880</v>
      </c>
      <c r="R1607" s="265">
        <v>0</v>
      </c>
      <c r="S1607" s="265">
        <v>0</v>
      </c>
      <c r="T1607" s="265">
        <v>0</v>
      </c>
      <c r="U1607" s="265">
        <v>0</v>
      </c>
      <c r="V1607" s="259" t="s">
        <v>4159</v>
      </c>
      <c r="Y1607" s="259">
        <v>694</v>
      </c>
      <c r="Z1607" s="259" t="s">
        <v>3030</v>
      </c>
      <c r="AA1607" s="259" t="e">
        <v>#N/A</v>
      </c>
      <c r="AB1607" s="259"/>
      <c r="AC1607" s="259"/>
      <c r="AD1607" s="259"/>
      <c r="AE1607" s="259"/>
    </row>
    <row r="1608" spans="1:31">
      <c r="A1608" s="259" t="s">
        <v>1707</v>
      </c>
      <c r="B1608" s="259" t="s">
        <v>80</v>
      </c>
      <c r="C1608" s="264" t="s">
        <v>6810</v>
      </c>
      <c r="D1608" s="264" t="s">
        <v>1707</v>
      </c>
      <c r="E1608" s="259" t="s">
        <v>6812</v>
      </c>
      <c r="F1608" s="259" t="s">
        <v>5021</v>
      </c>
      <c r="H1608" s="264" t="s">
        <v>1707</v>
      </c>
      <c r="I1608" s="264" t="s">
        <v>6863</v>
      </c>
      <c r="J1608" s="295" t="s">
        <v>6815</v>
      </c>
      <c r="K1608" s="295" t="s">
        <v>6815</v>
      </c>
      <c r="L1608" s="295" t="s">
        <v>6815</v>
      </c>
      <c r="O1608" s="266">
        <v>0</v>
      </c>
      <c r="P1608" s="266">
        <v>691991006685</v>
      </c>
      <c r="R1608" s="265">
        <v>19</v>
      </c>
      <c r="S1608" s="265">
        <v>45.5</v>
      </c>
      <c r="T1608" s="265">
        <v>26</v>
      </c>
      <c r="U1608" s="265">
        <v>5.5</v>
      </c>
      <c r="V1608" s="259" t="s">
        <v>3028</v>
      </c>
      <c r="X1608" s="264" t="s">
        <v>6864</v>
      </c>
      <c r="Y1608" s="259">
        <v>695</v>
      </c>
      <c r="Z1608" s="259" t="s">
        <v>3030</v>
      </c>
      <c r="AA1608" s="259" t="e">
        <v>#N/A</v>
      </c>
      <c r="AB1608" s="259"/>
      <c r="AC1608" s="259"/>
      <c r="AD1608" s="259"/>
      <c r="AE1608" s="259"/>
    </row>
    <row r="1609" spans="1:31">
      <c r="A1609" s="259" t="s">
        <v>1708</v>
      </c>
      <c r="B1609" s="259" t="s">
        <v>80</v>
      </c>
      <c r="C1609" s="264" t="s">
        <v>6810</v>
      </c>
      <c r="D1609" s="264" t="s">
        <v>1708</v>
      </c>
      <c r="E1609" s="259" t="s">
        <v>6812</v>
      </c>
      <c r="F1609" s="259" t="s">
        <v>5021</v>
      </c>
      <c r="H1609" s="264" t="s">
        <v>1708</v>
      </c>
      <c r="I1609" s="264" t="s">
        <v>6865</v>
      </c>
      <c r="J1609" s="295" t="s">
        <v>6815</v>
      </c>
      <c r="K1609" s="295" t="s">
        <v>6815</v>
      </c>
      <c r="L1609" s="295" t="s">
        <v>6815</v>
      </c>
      <c r="O1609" s="266">
        <v>0</v>
      </c>
      <c r="P1609" s="266">
        <v>691991032783</v>
      </c>
      <c r="R1609" s="265">
        <v>117.5</v>
      </c>
      <c r="S1609" s="265">
        <v>24</v>
      </c>
      <c r="T1609" s="265">
        <v>28</v>
      </c>
      <c r="U1609" s="265">
        <v>47</v>
      </c>
      <c r="V1609" s="259" t="s">
        <v>4159</v>
      </c>
      <c r="X1609" s="264" t="s">
        <v>6864</v>
      </c>
      <c r="Y1609" s="259">
        <v>696</v>
      </c>
      <c r="Z1609" s="259" t="s">
        <v>3030</v>
      </c>
      <c r="AA1609" s="259" t="e">
        <v>#N/A</v>
      </c>
      <c r="AB1609" s="259"/>
      <c r="AC1609" s="259"/>
      <c r="AD1609" s="259"/>
      <c r="AE1609" s="259"/>
    </row>
    <row r="1610" spans="1:31">
      <c r="A1610" s="259" t="s">
        <v>1709</v>
      </c>
      <c r="B1610" s="259" t="s">
        <v>80</v>
      </c>
      <c r="C1610" s="264" t="s">
        <v>6810</v>
      </c>
      <c r="D1610" s="264" t="s">
        <v>1709</v>
      </c>
      <c r="E1610" s="259" t="s">
        <v>6812</v>
      </c>
      <c r="F1610" s="259" t="s">
        <v>5021</v>
      </c>
      <c r="H1610" s="264" t="s">
        <v>1709</v>
      </c>
      <c r="I1610" s="264" t="s">
        <v>6866</v>
      </c>
      <c r="J1610" s="295" t="s">
        <v>6815</v>
      </c>
      <c r="K1610" s="295" t="s">
        <v>6815</v>
      </c>
      <c r="L1610" s="295" t="s">
        <v>6815</v>
      </c>
      <c r="O1610" s="266">
        <v>0</v>
      </c>
      <c r="P1610" s="266">
        <v>691991007514</v>
      </c>
      <c r="R1610" s="265">
        <v>119</v>
      </c>
      <c r="S1610" s="265">
        <v>47</v>
      </c>
      <c r="T1610" s="265">
        <v>25.5</v>
      </c>
      <c r="U1610" s="265">
        <v>13</v>
      </c>
      <c r="V1610" s="259" t="s">
        <v>4159</v>
      </c>
      <c r="X1610" s="264" t="s">
        <v>6864</v>
      </c>
      <c r="Y1610" s="259">
        <v>697</v>
      </c>
      <c r="Z1610" s="259" t="s">
        <v>3030</v>
      </c>
      <c r="AA1610" s="259" t="e">
        <v>#N/A</v>
      </c>
      <c r="AB1610" s="259"/>
      <c r="AC1610" s="259"/>
      <c r="AD1610" s="259"/>
      <c r="AE1610" s="259"/>
    </row>
    <row r="1611" spans="1:31">
      <c r="A1611" s="259" t="s">
        <v>1710</v>
      </c>
      <c r="B1611" s="259" t="s">
        <v>80</v>
      </c>
      <c r="C1611" s="264" t="s">
        <v>6810</v>
      </c>
      <c r="D1611" s="264" t="s">
        <v>1710</v>
      </c>
      <c r="E1611" s="259" t="s">
        <v>6812</v>
      </c>
      <c r="F1611" s="259" t="s">
        <v>5021</v>
      </c>
      <c r="H1611" s="264" t="s">
        <v>1710</v>
      </c>
      <c r="I1611" s="264" t="s">
        <v>6867</v>
      </c>
      <c r="J1611" s="295" t="s">
        <v>6815</v>
      </c>
      <c r="K1611" s="295" t="s">
        <v>6815</v>
      </c>
      <c r="L1611" s="295" t="s">
        <v>6815</v>
      </c>
      <c r="O1611" s="266">
        <v>0</v>
      </c>
      <c r="P1611" s="266">
        <v>691991007521</v>
      </c>
      <c r="R1611" s="265">
        <v>43</v>
      </c>
      <c r="S1611" s="265">
        <v>42</v>
      </c>
      <c r="T1611" s="265">
        <v>11</v>
      </c>
      <c r="U1611" s="265">
        <v>6</v>
      </c>
      <c r="V1611" s="259" t="s">
        <v>4159</v>
      </c>
      <c r="Y1611" s="259">
        <v>698</v>
      </c>
      <c r="Z1611" s="259" t="s">
        <v>3030</v>
      </c>
      <c r="AA1611" s="259" t="e">
        <v>#N/A</v>
      </c>
      <c r="AB1611" s="259"/>
      <c r="AC1611" s="259"/>
      <c r="AD1611" s="259"/>
      <c r="AE1611" s="259"/>
    </row>
    <row r="1612" spans="1:31">
      <c r="A1612" s="259" t="s">
        <v>1711</v>
      </c>
      <c r="B1612" s="259" t="s">
        <v>80</v>
      </c>
      <c r="C1612" s="264" t="s">
        <v>6810</v>
      </c>
      <c r="D1612" s="264" t="s">
        <v>1711</v>
      </c>
      <c r="E1612" s="259" t="s">
        <v>6812</v>
      </c>
      <c r="F1612" s="259" t="s">
        <v>5021</v>
      </c>
      <c r="H1612" s="264" t="s">
        <v>1711</v>
      </c>
      <c r="I1612" s="264" t="s">
        <v>6868</v>
      </c>
      <c r="J1612" s="295" t="s">
        <v>6815</v>
      </c>
      <c r="K1612" s="295" t="s">
        <v>6815</v>
      </c>
      <c r="L1612" s="295" t="s">
        <v>6815</v>
      </c>
      <c r="O1612" s="266">
        <v>0</v>
      </c>
      <c r="P1612" s="266">
        <v>691991007552</v>
      </c>
      <c r="R1612" s="265">
        <v>20</v>
      </c>
      <c r="S1612" s="265">
        <v>47</v>
      </c>
      <c r="T1612" s="265">
        <v>8.75</v>
      </c>
      <c r="U1612" s="265">
        <v>7.5</v>
      </c>
      <c r="V1612" s="259" t="s">
        <v>4159</v>
      </c>
      <c r="Y1612" s="259">
        <v>699</v>
      </c>
      <c r="Z1612" s="259" t="s">
        <v>3030</v>
      </c>
      <c r="AA1612" s="259" t="e">
        <v>#N/A</v>
      </c>
      <c r="AB1612" s="259"/>
      <c r="AC1612" s="259"/>
      <c r="AD1612" s="259"/>
      <c r="AE1612" s="259"/>
    </row>
    <row r="1613" spans="1:31">
      <c r="A1613" s="259" t="s">
        <v>1712</v>
      </c>
      <c r="B1613" s="259" t="s">
        <v>80</v>
      </c>
      <c r="C1613" s="264" t="s">
        <v>6810</v>
      </c>
      <c r="D1613" s="264" t="s">
        <v>1712</v>
      </c>
      <c r="E1613" s="259" t="s">
        <v>6812</v>
      </c>
      <c r="F1613" s="259" t="s">
        <v>5021</v>
      </c>
      <c r="H1613" s="264" t="s">
        <v>1712</v>
      </c>
      <c r="I1613" s="264" t="s">
        <v>6869</v>
      </c>
      <c r="J1613" s="295" t="s">
        <v>6815</v>
      </c>
      <c r="K1613" s="295" t="s">
        <v>6815</v>
      </c>
      <c r="L1613" s="295" t="s">
        <v>6815</v>
      </c>
      <c r="O1613" s="266">
        <v>0</v>
      </c>
      <c r="P1613" s="266">
        <v>691991007637</v>
      </c>
      <c r="R1613" s="265">
        <v>27</v>
      </c>
      <c r="S1613" s="265">
        <v>26.5</v>
      </c>
      <c r="T1613" s="265">
        <v>4</v>
      </c>
      <c r="U1613" s="265">
        <v>2</v>
      </c>
      <c r="V1613" s="259" t="s">
        <v>4159</v>
      </c>
      <c r="Y1613" s="259">
        <v>700</v>
      </c>
      <c r="Z1613" s="259" t="s">
        <v>4325</v>
      </c>
      <c r="AA1613" s="259" t="e">
        <v>#N/A</v>
      </c>
      <c r="AB1613" s="259"/>
      <c r="AC1613" s="259"/>
      <c r="AD1613" s="259"/>
      <c r="AE1613" s="259"/>
    </row>
    <row r="1614" spans="1:31">
      <c r="A1614" s="259" t="s">
        <v>1713</v>
      </c>
      <c r="B1614" s="259" t="s">
        <v>80</v>
      </c>
      <c r="C1614" s="264" t="s">
        <v>6810</v>
      </c>
      <c r="D1614" s="264" t="s">
        <v>6870</v>
      </c>
      <c r="E1614" s="259" t="s">
        <v>6812</v>
      </c>
      <c r="F1614" s="259" t="s">
        <v>5021</v>
      </c>
      <c r="H1614" s="264" t="s">
        <v>6870</v>
      </c>
      <c r="I1614" s="264" t="s">
        <v>6871</v>
      </c>
      <c r="J1614" s="295" t="s">
        <v>6815</v>
      </c>
      <c r="K1614" s="295" t="s">
        <v>6815</v>
      </c>
      <c r="L1614" s="295" t="s">
        <v>6815</v>
      </c>
      <c r="O1614" s="266"/>
      <c r="P1614" s="266">
        <v>691991034176</v>
      </c>
      <c r="R1614" s="265"/>
      <c r="V1614" s="259" t="s">
        <v>4159</v>
      </c>
      <c r="Y1614" s="259">
        <v>701</v>
      </c>
      <c r="Z1614" s="259" t="s">
        <v>3030</v>
      </c>
      <c r="AA1614" s="259" t="e">
        <v>#N/A</v>
      </c>
      <c r="AB1614" s="259"/>
      <c r="AC1614" s="259"/>
      <c r="AD1614" s="259"/>
      <c r="AE1614" s="259"/>
    </row>
    <row r="1615" spans="1:31">
      <c r="A1615" s="259" t="s">
        <v>1714</v>
      </c>
      <c r="B1615" s="259" t="s">
        <v>80</v>
      </c>
      <c r="C1615" s="264" t="s">
        <v>6810</v>
      </c>
      <c r="D1615" s="264" t="s">
        <v>6872</v>
      </c>
      <c r="E1615" s="259" t="s">
        <v>6812</v>
      </c>
      <c r="F1615" s="259" t="s">
        <v>5021</v>
      </c>
      <c r="H1615" s="264" t="s">
        <v>6872</v>
      </c>
      <c r="I1615" s="264" t="s">
        <v>6873</v>
      </c>
      <c r="J1615" s="295" t="s">
        <v>6815</v>
      </c>
      <c r="K1615" s="295" t="s">
        <v>6815</v>
      </c>
      <c r="L1615" s="295" t="s">
        <v>6815</v>
      </c>
      <c r="O1615" s="266"/>
      <c r="P1615" s="266">
        <v>691991034275</v>
      </c>
      <c r="R1615" s="265"/>
      <c r="V1615" s="259" t="s">
        <v>4159</v>
      </c>
      <c r="Y1615" s="259">
        <v>702</v>
      </c>
      <c r="Z1615" s="259" t="s">
        <v>3030</v>
      </c>
      <c r="AA1615" s="259" t="e">
        <v>#N/A</v>
      </c>
      <c r="AB1615" s="259"/>
      <c r="AC1615" s="259"/>
      <c r="AD1615" s="259"/>
      <c r="AE1615" s="259"/>
    </row>
    <row r="1616" spans="1:31">
      <c r="A1616" s="259" t="s">
        <v>1715</v>
      </c>
      <c r="B1616" s="259" t="s">
        <v>80</v>
      </c>
      <c r="C1616" s="264" t="s">
        <v>6810</v>
      </c>
      <c r="D1616" s="264" t="s">
        <v>6874</v>
      </c>
      <c r="E1616" s="259" t="s">
        <v>6812</v>
      </c>
      <c r="F1616" s="259" t="s">
        <v>5021</v>
      </c>
      <c r="H1616" s="264" t="s">
        <v>6874</v>
      </c>
      <c r="I1616" s="264" t="s">
        <v>6875</v>
      </c>
      <c r="J1616" s="295" t="s">
        <v>6815</v>
      </c>
      <c r="K1616" s="295" t="s">
        <v>6815</v>
      </c>
      <c r="L1616" s="295" t="s">
        <v>6815</v>
      </c>
      <c r="O1616" s="266"/>
      <c r="P1616" s="266">
        <v>691991034268</v>
      </c>
      <c r="R1616" s="265"/>
      <c r="V1616" s="259" t="s">
        <v>4159</v>
      </c>
      <c r="Y1616" s="259">
        <v>703</v>
      </c>
      <c r="Z1616" s="259" t="s">
        <v>3030</v>
      </c>
      <c r="AA1616" s="259" t="e">
        <v>#N/A</v>
      </c>
      <c r="AB1616" s="259"/>
      <c r="AC1616" s="259"/>
      <c r="AD1616" s="259"/>
      <c r="AE1616" s="259"/>
    </row>
    <row r="1617" spans="1:31">
      <c r="A1617" s="259" t="s">
        <v>1716</v>
      </c>
      <c r="B1617" s="259" t="s">
        <v>80</v>
      </c>
      <c r="C1617" s="264" t="s">
        <v>6810</v>
      </c>
      <c r="D1617" s="264" t="s">
        <v>6876</v>
      </c>
      <c r="E1617" s="259" t="s">
        <v>6812</v>
      </c>
      <c r="F1617" s="259" t="s">
        <v>5021</v>
      </c>
      <c r="H1617" s="264" t="s">
        <v>6876</v>
      </c>
      <c r="I1617" s="264" t="s">
        <v>6877</v>
      </c>
      <c r="J1617" s="295" t="s">
        <v>6815</v>
      </c>
      <c r="K1617" s="295" t="s">
        <v>6815</v>
      </c>
      <c r="L1617" s="295" t="s">
        <v>6815</v>
      </c>
      <c r="O1617" s="266"/>
      <c r="P1617" s="266">
        <v>691991034282</v>
      </c>
      <c r="R1617" s="265"/>
      <c r="V1617" s="259" t="s">
        <v>4159</v>
      </c>
      <c r="Y1617" s="259">
        <v>704</v>
      </c>
      <c r="Z1617" s="259" t="s">
        <v>3030</v>
      </c>
      <c r="AA1617" s="259" t="e">
        <v>#N/A</v>
      </c>
      <c r="AB1617" s="259"/>
      <c r="AC1617" s="259"/>
      <c r="AD1617" s="259"/>
      <c r="AE1617" s="259"/>
    </row>
    <row r="1618" spans="1:31">
      <c r="A1618" s="259" t="s">
        <v>1717</v>
      </c>
      <c r="B1618" s="259" t="s">
        <v>80</v>
      </c>
      <c r="C1618" s="264" t="s">
        <v>6810</v>
      </c>
      <c r="D1618" s="264" t="s">
        <v>1717</v>
      </c>
      <c r="E1618" s="259" t="s">
        <v>6812</v>
      </c>
      <c r="F1618" s="259" t="s">
        <v>5021</v>
      </c>
      <c r="H1618" s="264" t="s">
        <v>1717</v>
      </c>
      <c r="I1618" s="264" t="s">
        <v>6878</v>
      </c>
      <c r="J1618" s="295" t="s">
        <v>6815</v>
      </c>
      <c r="K1618" s="295" t="s">
        <v>6815</v>
      </c>
      <c r="L1618" s="295" t="s">
        <v>6815</v>
      </c>
      <c r="O1618" s="266"/>
      <c r="P1618" s="266">
        <v>691991034305</v>
      </c>
      <c r="R1618" s="265"/>
      <c r="V1618" s="259" t="s">
        <v>3028</v>
      </c>
      <c r="Y1618" s="259">
        <v>705</v>
      </c>
      <c r="Z1618" s="259" t="s">
        <v>3030</v>
      </c>
      <c r="AA1618" s="259" t="e">
        <v>#N/A</v>
      </c>
      <c r="AB1618" s="259"/>
      <c r="AC1618" s="259"/>
      <c r="AD1618" s="259"/>
      <c r="AE1618" s="259"/>
    </row>
    <row r="1619" spans="1:31">
      <c r="A1619" s="259" t="s">
        <v>1718</v>
      </c>
      <c r="B1619" s="259" t="s">
        <v>80</v>
      </c>
      <c r="C1619" s="264" t="s">
        <v>6810</v>
      </c>
      <c r="D1619" s="264" t="s">
        <v>6879</v>
      </c>
      <c r="E1619" s="259" t="s">
        <v>6812</v>
      </c>
      <c r="F1619" s="259" t="s">
        <v>5021</v>
      </c>
      <c r="H1619" s="264" t="s">
        <v>6879</v>
      </c>
      <c r="I1619" s="264" t="s">
        <v>6879</v>
      </c>
      <c r="J1619" s="295" t="s">
        <v>6815</v>
      </c>
      <c r="K1619" s="295" t="s">
        <v>6815</v>
      </c>
      <c r="L1619" s="295" t="s">
        <v>6815</v>
      </c>
      <c r="O1619" s="266"/>
      <c r="P1619" s="266">
        <v>691991034442</v>
      </c>
      <c r="R1619" s="265"/>
      <c r="V1619" s="259" t="s">
        <v>4159</v>
      </c>
      <c r="Y1619" s="259">
        <v>706</v>
      </c>
      <c r="Z1619" s="259" t="s">
        <v>3030</v>
      </c>
      <c r="AA1619" s="259" t="e">
        <v>#N/A</v>
      </c>
      <c r="AB1619" s="259"/>
      <c r="AC1619" s="259"/>
      <c r="AD1619" s="259"/>
      <c r="AE1619" s="259"/>
    </row>
    <row r="1620" spans="1:31">
      <c r="A1620" s="259" t="s">
        <v>1719</v>
      </c>
      <c r="B1620" s="259" t="s">
        <v>80</v>
      </c>
      <c r="C1620" s="264" t="s">
        <v>6810</v>
      </c>
      <c r="D1620" s="264" t="s">
        <v>6880</v>
      </c>
      <c r="E1620" s="259" t="s">
        <v>6812</v>
      </c>
      <c r="F1620" s="259" t="s">
        <v>5021</v>
      </c>
      <c r="H1620" s="264" t="s">
        <v>6880</v>
      </c>
      <c r="I1620" s="264" t="s">
        <v>6881</v>
      </c>
      <c r="J1620" s="295" t="s">
        <v>6815</v>
      </c>
      <c r="K1620" s="295" t="s">
        <v>6815</v>
      </c>
      <c r="L1620" s="295" t="s">
        <v>6815</v>
      </c>
      <c r="O1620" s="266"/>
      <c r="P1620" s="266">
        <v>691991034251</v>
      </c>
      <c r="R1620" s="265"/>
      <c r="V1620" s="259" t="s">
        <v>4159</v>
      </c>
      <c r="Y1620" s="259">
        <v>707</v>
      </c>
      <c r="Z1620" s="259" t="s">
        <v>3030</v>
      </c>
      <c r="AA1620" s="259" t="e">
        <v>#N/A</v>
      </c>
      <c r="AB1620" s="259"/>
      <c r="AC1620" s="259"/>
      <c r="AD1620" s="259"/>
      <c r="AE1620" s="259"/>
    </row>
    <row r="1621" spans="1:31">
      <c r="A1621" s="259" t="s">
        <v>1720</v>
      </c>
      <c r="B1621" s="259" t="s">
        <v>80</v>
      </c>
      <c r="C1621" s="264" t="s">
        <v>6810</v>
      </c>
      <c r="D1621" s="264" t="s">
        <v>1720</v>
      </c>
      <c r="E1621" s="259" t="s">
        <v>6812</v>
      </c>
      <c r="F1621" s="259" t="s">
        <v>5021</v>
      </c>
      <c r="H1621" s="264" t="s">
        <v>1720</v>
      </c>
      <c r="I1621" s="264" t="s">
        <v>6882</v>
      </c>
      <c r="J1621" s="295" t="s">
        <v>6815</v>
      </c>
      <c r="K1621" s="295" t="s">
        <v>6815</v>
      </c>
      <c r="L1621" s="295" t="s">
        <v>6815</v>
      </c>
      <c r="O1621" s="266"/>
      <c r="P1621" s="266">
        <v>691991007958</v>
      </c>
      <c r="R1621" s="265"/>
      <c r="V1621" s="259" t="s">
        <v>4159</v>
      </c>
      <c r="Y1621" s="259">
        <v>708</v>
      </c>
      <c r="Z1621" s="259" t="s">
        <v>3030</v>
      </c>
      <c r="AA1621" s="259" t="e">
        <v>#N/A</v>
      </c>
      <c r="AB1621" s="259"/>
      <c r="AC1621" s="259"/>
      <c r="AD1621" s="259"/>
      <c r="AE1621" s="259"/>
    </row>
    <row r="1622" spans="1:31">
      <c r="A1622" s="259" t="s">
        <v>1721</v>
      </c>
      <c r="B1622" s="259" t="s">
        <v>80</v>
      </c>
      <c r="C1622" s="264" t="s">
        <v>6810</v>
      </c>
      <c r="D1622" s="264" t="s">
        <v>6883</v>
      </c>
      <c r="F1622" s="259" t="s">
        <v>5021</v>
      </c>
      <c r="H1622" s="264" t="s">
        <v>1721</v>
      </c>
      <c r="I1622" s="264" t="s">
        <v>6884</v>
      </c>
      <c r="J1622" s="295" t="s">
        <v>6815</v>
      </c>
      <c r="K1622" s="295" t="s">
        <v>6815</v>
      </c>
      <c r="L1622" s="295" t="s">
        <v>6815</v>
      </c>
      <c r="O1622" s="266"/>
      <c r="P1622" s="266">
        <v>691991034299</v>
      </c>
      <c r="R1622" s="265"/>
      <c r="V1622" s="259"/>
      <c r="Y1622" s="259">
        <v>709</v>
      </c>
      <c r="AA1622" s="259" t="e">
        <v>#N/A</v>
      </c>
      <c r="AB1622" s="259"/>
      <c r="AC1622" s="259"/>
      <c r="AD1622" s="259"/>
      <c r="AE1622" s="259"/>
    </row>
    <row r="1623" spans="1:31">
      <c r="A1623" s="259" t="s">
        <v>1722</v>
      </c>
      <c r="B1623" s="259" t="s">
        <v>80</v>
      </c>
      <c r="C1623" s="264" t="s">
        <v>6810</v>
      </c>
      <c r="D1623" s="264" t="s">
        <v>1722</v>
      </c>
      <c r="E1623" s="259" t="s">
        <v>6812</v>
      </c>
      <c r="F1623" s="259" t="s">
        <v>5021</v>
      </c>
      <c r="H1623" s="264" t="s">
        <v>1722</v>
      </c>
      <c r="I1623" s="264" t="s">
        <v>6885</v>
      </c>
      <c r="J1623" s="295" t="s">
        <v>6815</v>
      </c>
      <c r="K1623" s="295" t="s">
        <v>6815</v>
      </c>
      <c r="L1623" s="295" t="s">
        <v>6815</v>
      </c>
      <c r="O1623" s="266">
        <v>0</v>
      </c>
      <c r="P1623" s="266">
        <v>691991013034</v>
      </c>
      <c r="R1623" s="265">
        <v>96</v>
      </c>
      <c r="S1623" s="265">
        <v>21</v>
      </c>
      <c r="T1623" s="265">
        <v>16</v>
      </c>
      <c r="U1623" s="265">
        <v>38</v>
      </c>
      <c r="V1623" s="259" t="s">
        <v>4159</v>
      </c>
      <c r="Y1623" s="259">
        <v>710</v>
      </c>
      <c r="Z1623" s="259" t="s">
        <v>3030</v>
      </c>
      <c r="AA1623" s="259" t="e">
        <v>#N/A</v>
      </c>
      <c r="AB1623" s="259"/>
      <c r="AC1623" s="259"/>
      <c r="AD1623" s="259"/>
      <c r="AE1623" s="259"/>
    </row>
    <row r="1624" spans="1:31">
      <c r="A1624" s="259" t="s">
        <v>1723</v>
      </c>
      <c r="B1624" s="259" t="s">
        <v>80</v>
      </c>
      <c r="C1624" s="264" t="s">
        <v>6810</v>
      </c>
      <c r="D1624" s="264" t="s">
        <v>1723</v>
      </c>
      <c r="E1624" s="259" t="s">
        <v>6812</v>
      </c>
      <c r="F1624" s="259" t="s">
        <v>5021</v>
      </c>
      <c r="H1624" s="264" t="s">
        <v>1723</v>
      </c>
      <c r="I1624" s="264" t="s">
        <v>6886</v>
      </c>
      <c r="J1624" s="295" t="s">
        <v>6815</v>
      </c>
      <c r="K1624" s="295" t="s">
        <v>6815</v>
      </c>
      <c r="L1624" s="295" t="s">
        <v>6815</v>
      </c>
      <c r="O1624" s="266">
        <v>0</v>
      </c>
      <c r="P1624" s="266">
        <v>691991013102</v>
      </c>
      <c r="R1624" s="265">
        <v>200</v>
      </c>
      <c r="S1624" s="265">
        <v>31</v>
      </c>
      <c r="T1624" s="265">
        <v>22</v>
      </c>
      <c r="U1624" s="265">
        <v>50</v>
      </c>
      <c r="V1624" s="259" t="s">
        <v>4159</v>
      </c>
      <c r="Y1624" s="259">
        <v>711</v>
      </c>
      <c r="Z1624" s="259" t="s">
        <v>3030</v>
      </c>
      <c r="AA1624" s="259" t="e">
        <v>#N/A</v>
      </c>
      <c r="AB1624" s="259"/>
      <c r="AC1624" s="259"/>
      <c r="AD1624" s="259"/>
      <c r="AE1624" s="259"/>
    </row>
    <row r="1625" spans="1:31">
      <c r="A1625" s="259" t="s">
        <v>1724</v>
      </c>
      <c r="B1625" s="259" t="s">
        <v>80</v>
      </c>
      <c r="C1625" s="264" t="s">
        <v>6810</v>
      </c>
      <c r="D1625" s="264" t="s">
        <v>1724</v>
      </c>
      <c r="E1625" s="259" t="s">
        <v>6812</v>
      </c>
      <c r="F1625" s="259" t="s">
        <v>5021</v>
      </c>
      <c r="H1625" s="264" t="s">
        <v>1724</v>
      </c>
      <c r="I1625" s="264" t="s">
        <v>6887</v>
      </c>
      <c r="J1625" s="295" t="s">
        <v>6815</v>
      </c>
      <c r="K1625" s="295" t="s">
        <v>6815</v>
      </c>
      <c r="L1625" s="295" t="s">
        <v>6815</v>
      </c>
      <c r="O1625" s="266">
        <v>0</v>
      </c>
      <c r="P1625" s="266">
        <v>691991013119</v>
      </c>
      <c r="R1625" s="265">
        <v>200</v>
      </c>
      <c r="S1625" s="265">
        <v>31</v>
      </c>
      <c r="T1625" s="265">
        <v>22</v>
      </c>
      <c r="U1625" s="265">
        <v>50</v>
      </c>
      <c r="V1625" s="259" t="s">
        <v>4159</v>
      </c>
      <c r="Y1625" s="259">
        <v>712</v>
      </c>
      <c r="Z1625" s="259" t="s">
        <v>3030</v>
      </c>
      <c r="AA1625" s="259" t="e">
        <v>#N/A</v>
      </c>
      <c r="AB1625" s="259"/>
      <c r="AC1625" s="259"/>
      <c r="AD1625" s="259"/>
      <c r="AE1625" s="259"/>
    </row>
    <row r="1626" spans="1:31">
      <c r="A1626" s="259" t="s">
        <v>1725</v>
      </c>
      <c r="B1626" s="259" t="s">
        <v>80</v>
      </c>
      <c r="C1626" s="264" t="s">
        <v>6810</v>
      </c>
      <c r="D1626" s="264" t="s">
        <v>1725</v>
      </c>
      <c r="E1626" s="259" t="s">
        <v>6812</v>
      </c>
      <c r="F1626" s="259" t="s">
        <v>5021</v>
      </c>
      <c r="H1626" s="264" t="s">
        <v>1725</v>
      </c>
      <c r="I1626" s="264" t="s">
        <v>6888</v>
      </c>
      <c r="J1626" s="295" t="s">
        <v>6815</v>
      </c>
      <c r="K1626" s="295" t="s">
        <v>6815</v>
      </c>
      <c r="L1626" s="295" t="s">
        <v>6815</v>
      </c>
      <c r="O1626" s="266">
        <v>0</v>
      </c>
      <c r="P1626" s="266">
        <v>691991012976</v>
      </c>
      <c r="R1626" s="265">
        <v>200</v>
      </c>
      <c r="S1626" s="265">
        <v>29</v>
      </c>
      <c r="T1626" s="265">
        <v>40</v>
      </c>
      <c r="U1626" s="265">
        <v>24</v>
      </c>
      <c r="V1626" s="259" t="s">
        <v>4159</v>
      </c>
      <c r="Y1626" s="259">
        <v>713</v>
      </c>
      <c r="Z1626" s="259" t="s">
        <v>3030</v>
      </c>
      <c r="AA1626" s="259" t="e">
        <v>#N/A</v>
      </c>
      <c r="AB1626" s="259"/>
      <c r="AC1626" s="259"/>
      <c r="AD1626" s="259"/>
      <c r="AE1626" s="259"/>
    </row>
    <row r="1627" spans="1:31">
      <c r="A1627" s="259" t="s">
        <v>1726</v>
      </c>
      <c r="B1627" s="259" t="s">
        <v>80</v>
      </c>
      <c r="C1627" s="264" t="s">
        <v>6810</v>
      </c>
      <c r="D1627" s="264" t="s">
        <v>1726</v>
      </c>
      <c r="E1627" s="259" t="s">
        <v>6812</v>
      </c>
      <c r="F1627" s="259" t="s">
        <v>5021</v>
      </c>
      <c r="H1627" s="264" t="s">
        <v>1726</v>
      </c>
      <c r="I1627" s="264" t="s">
        <v>6889</v>
      </c>
      <c r="J1627" s="295" t="s">
        <v>6815</v>
      </c>
      <c r="K1627" s="295" t="s">
        <v>6815</v>
      </c>
      <c r="L1627" s="295" t="s">
        <v>6815</v>
      </c>
      <c r="O1627" s="266">
        <v>0</v>
      </c>
      <c r="P1627" s="266">
        <v>691991013003</v>
      </c>
      <c r="R1627" s="265">
        <v>200</v>
      </c>
      <c r="S1627" s="265">
        <v>45</v>
      </c>
      <c r="T1627" s="265">
        <v>30</v>
      </c>
      <c r="U1627" s="265">
        <v>50</v>
      </c>
      <c r="V1627" s="259" t="s">
        <v>4159</v>
      </c>
      <c r="Y1627" s="259">
        <v>714</v>
      </c>
      <c r="Z1627" s="259" t="s">
        <v>3030</v>
      </c>
      <c r="AA1627" s="259" t="e">
        <v>#N/A</v>
      </c>
      <c r="AB1627" s="259"/>
      <c r="AC1627" s="259"/>
      <c r="AD1627" s="259"/>
      <c r="AE1627" s="259"/>
    </row>
    <row r="1628" spans="1:31">
      <c r="A1628" s="259" t="s">
        <v>1727</v>
      </c>
      <c r="B1628" s="259" t="s">
        <v>80</v>
      </c>
      <c r="C1628" s="264" t="s">
        <v>6890</v>
      </c>
      <c r="D1628" s="264" t="s">
        <v>6891</v>
      </c>
      <c r="F1628" s="259" t="s">
        <v>5021</v>
      </c>
      <c r="H1628" s="264" t="s">
        <v>6892</v>
      </c>
      <c r="I1628" s="264" t="s">
        <v>6892</v>
      </c>
      <c r="J1628" s="295" t="s">
        <v>6815</v>
      </c>
      <c r="K1628" s="295" t="s">
        <v>6815</v>
      </c>
      <c r="L1628" s="295" t="s">
        <v>6815</v>
      </c>
      <c r="O1628" s="266"/>
      <c r="R1628" s="265"/>
      <c r="V1628" s="259"/>
      <c r="Y1628" s="259">
        <v>715</v>
      </c>
      <c r="AA1628" s="259" t="e">
        <v>#N/A</v>
      </c>
      <c r="AB1628" s="259"/>
      <c r="AC1628" s="259"/>
      <c r="AD1628" s="259"/>
      <c r="AE1628" s="259"/>
    </row>
    <row r="1629" spans="1:31">
      <c r="A1629" s="259" t="s">
        <v>1728</v>
      </c>
      <c r="B1629" s="259" t="s">
        <v>80</v>
      </c>
      <c r="C1629" s="264"/>
      <c r="D1629" s="264"/>
      <c r="H1629" s="264"/>
      <c r="I1629" s="264"/>
      <c r="J1629" s="295">
        <v>0</v>
      </c>
      <c r="K1629" s="295">
        <v>0</v>
      </c>
      <c r="L1629" s="295">
        <v>0</v>
      </c>
      <c r="O1629" s="266"/>
      <c r="R1629" s="265">
        <v>0</v>
      </c>
      <c r="S1629" s="265">
        <v>0</v>
      </c>
      <c r="T1629" s="265">
        <v>0</v>
      </c>
      <c r="U1629" s="265">
        <v>0</v>
      </c>
      <c r="V1629" s="259"/>
      <c r="Y1629" s="259">
        <v>716</v>
      </c>
      <c r="AA1629" s="259" t="e">
        <v>#N/A</v>
      </c>
      <c r="AB1629" s="259"/>
      <c r="AC1629" s="259"/>
      <c r="AD1629" s="259"/>
      <c r="AE1629" s="259"/>
    </row>
    <row r="1630" spans="1:31">
      <c r="A1630" s="259" t="s">
        <v>1729</v>
      </c>
      <c r="B1630" s="259" t="s">
        <v>80</v>
      </c>
      <c r="C1630" s="264" t="s">
        <v>6810</v>
      </c>
      <c r="D1630" s="264" t="s">
        <v>1729</v>
      </c>
      <c r="E1630" s="259" t="s">
        <v>6812</v>
      </c>
      <c r="F1630" s="259" t="s">
        <v>5021</v>
      </c>
      <c r="H1630" s="264" t="s">
        <v>1729</v>
      </c>
      <c r="I1630" s="264" t="s">
        <v>6893</v>
      </c>
      <c r="J1630" s="295" t="s">
        <v>6815</v>
      </c>
      <c r="K1630" s="295" t="s">
        <v>6815</v>
      </c>
      <c r="L1630" s="295" t="s">
        <v>6815</v>
      </c>
      <c r="O1630" s="266">
        <v>0</v>
      </c>
      <c r="P1630" s="266">
        <v>691991012907</v>
      </c>
      <c r="R1630" s="265">
        <v>40</v>
      </c>
      <c r="S1630" s="265">
        <v>17</v>
      </c>
      <c r="T1630" s="265">
        <v>20</v>
      </c>
      <c r="U1630" s="265">
        <v>24</v>
      </c>
      <c r="V1630" s="259" t="s">
        <v>4159</v>
      </c>
      <c r="Y1630" s="259">
        <v>717</v>
      </c>
      <c r="Z1630" s="259" t="s">
        <v>3030</v>
      </c>
      <c r="AA1630" s="259" t="e">
        <v>#N/A</v>
      </c>
      <c r="AB1630" s="259"/>
      <c r="AC1630" s="259"/>
      <c r="AD1630" s="259"/>
      <c r="AE1630" s="259"/>
    </row>
    <row r="1631" spans="1:31">
      <c r="A1631" s="259" t="s">
        <v>1730</v>
      </c>
      <c r="B1631" s="259" t="s">
        <v>80</v>
      </c>
      <c r="C1631" s="264" t="s">
        <v>6810</v>
      </c>
      <c r="D1631" s="264" t="s">
        <v>1730</v>
      </c>
      <c r="E1631" s="259" t="s">
        <v>6812</v>
      </c>
      <c r="F1631" s="259" t="s">
        <v>5021</v>
      </c>
      <c r="H1631" s="264" t="s">
        <v>1730</v>
      </c>
      <c r="I1631" s="264" t="s">
        <v>6894</v>
      </c>
      <c r="J1631" s="295" t="s">
        <v>6815</v>
      </c>
      <c r="K1631" s="295" t="s">
        <v>6815</v>
      </c>
      <c r="L1631" s="295" t="s">
        <v>6815</v>
      </c>
      <c r="O1631" s="266">
        <v>0</v>
      </c>
      <c r="P1631" s="266">
        <v>691991012914</v>
      </c>
      <c r="R1631" s="265">
        <v>50</v>
      </c>
      <c r="S1631" s="265">
        <v>23</v>
      </c>
      <c r="T1631" s="265">
        <v>17.5</v>
      </c>
      <c r="U1631" s="265">
        <v>27.5</v>
      </c>
      <c r="V1631" s="259" t="s">
        <v>4159</v>
      </c>
      <c r="Y1631" s="259">
        <v>718</v>
      </c>
      <c r="Z1631" s="259" t="s">
        <v>3030</v>
      </c>
      <c r="AA1631" s="259" t="e">
        <v>#N/A</v>
      </c>
      <c r="AB1631" s="259"/>
      <c r="AC1631" s="259"/>
      <c r="AD1631" s="259"/>
      <c r="AE1631" s="259"/>
    </row>
    <row r="1632" spans="1:31">
      <c r="A1632" s="259" t="s">
        <v>1731</v>
      </c>
      <c r="B1632" s="259" t="s">
        <v>80</v>
      </c>
      <c r="C1632" s="264" t="s">
        <v>6810</v>
      </c>
      <c r="D1632" s="264" t="s">
        <v>1731</v>
      </c>
      <c r="E1632" s="259" t="s">
        <v>6812</v>
      </c>
      <c r="F1632" s="259" t="s">
        <v>5021</v>
      </c>
      <c r="H1632" s="264" t="s">
        <v>1731</v>
      </c>
      <c r="I1632" s="264" t="s">
        <v>6895</v>
      </c>
      <c r="J1632" s="295" t="s">
        <v>6815</v>
      </c>
      <c r="K1632" s="295" t="s">
        <v>6815</v>
      </c>
      <c r="L1632" s="295" t="s">
        <v>6815</v>
      </c>
      <c r="O1632" s="266">
        <v>0</v>
      </c>
      <c r="P1632" s="266">
        <v>691991012921</v>
      </c>
      <c r="R1632" s="265">
        <v>80</v>
      </c>
      <c r="S1632" s="265">
        <v>27</v>
      </c>
      <c r="T1632" s="265">
        <v>33</v>
      </c>
      <c r="U1632" s="265">
        <v>27</v>
      </c>
      <c r="V1632" s="259" t="s">
        <v>4159</v>
      </c>
      <c r="Y1632" s="259">
        <v>719</v>
      </c>
      <c r="Z1632" s="259" t="s">
        <v>3030</v>
      </c>
      <c r="AA1632" s="259" t="e">
        <v>#N/A</v>
      </c>
      <c r="AB1632" s="259"/>
      <c r="AC1632" s="259"/>
      <c r="AD1632" s="259"/>
      <c r="AE1632" s="259"/>
    </row>
    <row r="1633" spans="1:31">
      <c r="A1633" s="259" t="s">
        <v>1732</v>
      </c>
      <c r="B1633" s="259" t="s">
        <v>80</v>
      </c>
      <c r="C1633" s="264" t="s">
        <v>6890</v>
      </c>
      <c r="D1633" s="264" t="s">
        <v>1732</v>
      </c>
      <c r="E1633" s="259" t="s">
        <v>6812</v>
      </c>
      <c r="F1633" s="259" t="s">
        <v>5021</v>
      </c>
      <c r="H1633" s="264" t="s">
        <v>6896</v>
      </c>
      <c r="I1633" s="264" t="s">
        <v>6897</v>
      </c>
      <c r="J1633" s="295" t="s">
        <v>6815</v>
      </c>
      <c r="K1633" s="295" t="s">
        <v>6815</v>
      </c>
      <c r="L1633" s="295" t="s">
        <v>6815</v>
      </c>
      <c r="O1633" s="266">
        <v>0</v>
      </c>
      <c r="P1633" s="266">
        <v>5706681000814</v>
      </c>
      <c r="R1633" s="265">
        <v>0</v>
      </c>
      <c r="S1633" s="265">
        <v>0</v>
      </c>
      <c r="T1633" s="265">
        <v>0</v>
      </c>
      <c r="U1633" s="265">
        <v>0</v>
      </c>
      <c r="V1633" s="259" t="s">
        <v>4159</v>
      </c>
      <c r="Y1633" s="259">
        <v>720</v>
      </c>
      <c r="Z1633" s="259" t="s">
        <v>3030</v>
      </c>
      <c r="AA1633" s="259" t="e">
        <v>#N/A</v>
      </c>
      <c r="AB1633" s="259"/>
      <c r="AC1633" s="259"/>
      <c r="AD1633" s="259"/>
      <c r="AE1633" s="259"/>
    </row>
    <row r="1634" spans="1:31">
      <c r="A1634" s="259" t="s">
        <v>1733</v>
      </c>
      <c r="B1634" s="259" t="s">
        <v>80</v>
      </c>
      <c r="C1634" s="264" t="s">
        <v>6890</v>
      </c>
      <c r="D1634" s="264" t="s">
        <v>1733</v>
      </c>
      <c r="E1634" s="259" t="s">
        <v>6812</v>
      </c>
      <c r="F1634" s="259" t="s">
        <v>5021</v>
      </c>
      <c r="H1634" s="264" t="s">
        <v>6896</v>
      </c>
      <c r="I1634" s="264" t="s">
        <v>6897</v>
      </c>
      <c r="J1634" s="295" t="s">
        <v>6815</v>
      </c>
      <c r="K1634" s="295" t="s">
        <v>6815</v>
      </c>
      <c r="L1634" s="295" t="s">
        <v>6815</v>
      </c>
      <c r="O1634" s="266">
        <v>0</v>
      </c>
      <c r="P1634" s="266">
        <v>5706681000821</v>
      </c>
      <c r="R1634" s="265">
        <v>0</v>
      </c>
      <c r="S1634" s="265">
        <v>0</v>
      </c>
      <c r="T1634" s="265">
        <v>0</v>
      </c>
      <c r="U1634" s="265">
        <v>0</v>
      </c>
      <c r="V1634" s="259" t="s">
        <v>4159</v>
      </c>
      <c r="Y1634" s="259">
        <v>721</v>
      </c>
      <c r="Z1634" s="259" t="s">
        <v>3030</v>
      </c>
      <c r="AA1634" s="259" t="e">
        <v>#N/A</v>
      </c>
      <c r="AB1634" s="259"/>
      <c r="AC1634" s="259"/>
      <c r="AD1634" s="259"/>
      <c r="AE1634" s="259"/>
    </row>
    <row r="1635" spans="1:31">
      <c r="A1635" s="259" t="s">
        <v>1734</v>
      </c>
      <c r="B1635" s="259" t="s">
        <v>80</v>
      </c>
      <c r="C1635" s="264"/>
      <c r="D1635" s="264"/>
      <c r="H1635" s="264"/>
      <c r="I1635" s="264"/>
      <c r="J1635" s="295">
        <v>0</v>
      </c>
      <c r="K1635" s="295">
        <v>0</v>
      </c>
      <c r="L1635" s="295">
        <v>0</v>
      </c>
      <c r="O1635" s="266"/>
      <c r="R1635" s="265">
        <v>0</v>
      </c>
      <c r="S1635" s="265">
        <v>0</v>
      </c>
      <c r="T1635" s="265">
        <v>0</v>
      </c>
      <c r="U1635" s="265">
        <v>0</v>
      </c>
      <c r="V1635" s="259"/>
      <c r="Y1635" s="259">
        <v>722</v>
      </c>
      <c r="AA1635" s="259" t="e">
        <v>#N/A</v>
      </c>
      <c r="AB1635" s="259"/>
      <c r="AC1635" s="259"/>
      <c r="AD1635" s="259"/>
      <c r="AE1635" s="259"/>
    </row>
    <row r="1636" spans="1:31">
      <c r="A1636" s="259" t="s">
        <v>1735</v>
      </c>
      <c r="B1636" s="259" t="s">
        <v>80</v>
      </c>
      <c r="C1636" s="264" t="s">
        <v>6898</v>
      </c>
      <c r="D1636" s="264" t="s">
        <v>1735</v>
      </c>
      <c r="E1636" s="259" t="s">
        <v>6812</v>
      </c>
      <c r="F1636" s="259" t="s">
        <v>5021</v>
      </c>
      <c r="H1636" s="264" t="s">
        <v>1735</v>
      </c>
      <c r="I1636" s="264" t="s">
        <v>6899</v>
      </c>
      <c r="J1636" s="295" t="s">
        <v>6815</v>
      </c>
      <c r="K1636" s="295" t="s">
        <v>6815</v>
      </c>
      <c r="L1636" s="295" t="s">
        <v>6815</v>
      </c>
      <c r="O1636" s="266">
        <v>0</v>
      </c>
      <c r="P1636" s="266">
        <v>691991012952</v>
      </c>
      <c r="R1636" s="265">
        <v>62</v>
      </c>
      <c r="S1636" s="265">
        <v>24</v>
      </c>
      <c r="T1636" s="265">
        <v>20</v>
      </c>
      <c r="U1636" s="265">
        <v>25</v>
      </c>
      <c r="V1636" s="259" t="s">
        <v>4159</v>
      </c>
      <c r="Y1636" s="259">
        <v>723</v>
      </c>
      <c r="Z1636" s="259" t="s">
        <v>3030</v>
      </c>
      <c r="AA1636" s="259" t="e">
        <v>#N/A</v>
      </c>
      <c r="AB1636" s="259"/>
      <c r="AC1636" s="259"/>
      <c r="AD1636" s="259"/>
      <c r="AE1636" s="259"/>
    </row>
    <row r="1637" spans="1:31">
      <c r="A1637" s="259" t="s">
        <v>1736</v>
      </c>
      <c r="B1637" s="259" t="s">
        <v>80</v>
      </c>
      <c r="C1637" s="264" t="s">
        <v>6898</v>
      </c>
      <c r="D1637" s="264" t="s">
        <v>1736</v>
      </c>
      <c r="E1637" s="259" t="s">
        <v>6812</v>
      </c>
      <c r="F1637" s="259" t="s">
        <v>5021</v>
      </c>
      <c r="H1637" s="264" t="s">
        <v>1736</v>
      </c>
      <c r="I1637" s="264" t="s">
        <v>6899</v>
      </c>
      <c r="J1637" s="295" t="s">
        <v>6815</v>
      </c>
      <c r="K1637" s="295" t="s">
        <v>6815</v>
      </c>
      <c r="L1637" s="295" t="s">
        <v>6815</v>
      </c>
      <c r="O1637" s="266">
        <v>0</v>
      </c>
      <c r="P1637" s="266">
        <v>691991012969</v>
      </c>
      <c r="R1637" s="265">
        <v>75</v>
      </c>
      <c r="S1637" s="265">
        <v>29</v>
      </c>
      <c r="T1637" s="265">
        <v>21.5</v>
      </c>
      <c r="U1637" s="265">
        <v>26</v>
      </c>
      <c r="V1637" s="259" t="s">
        <v>4159</v>
      </c>
      <c r="Y1637" s="259">
        <v>724</v>
      </c>
      <c r="Z1637" s="259" t="s">
        <v>3030</v>
      </c>
      <c r="AA1637" s="259" t="e">
        <v>#N/A</v>
      </c>
      <c r="AB1637" s="259"/>
      <c r="AC1637" s="259"/>
      <c r="AD1637" s="259"/>
      <c r="AE1637" s="259"/>
    </row>
    <row r="1638" spans="1:31">
      <c r="A1638" s="259" t="s">
        <v>1737</v>
      </c>
      <c r="B1638" s="259" t="s">
        <v>80</v>
      </c>
      <c r="C1638" s="264" t="s">
        <v>6810</v>
      </c>
      <c r="D1638" s="264" t="s">
        <v>1737</v>
      </c>
      <c r="E1638" s="259" t="s">
        <v>6812</v>
      </c>
      <c r="F1638" s="259" t="s">
        <v>5021</v>
      </c>
      <c r="H1638" s="264" t="s">
        <v>1737</v>
      </c>
      <c r="I1638" s="264" t="s">
        <v>6900</v>
      </c>
      <c r="J1638" s="295" t="s">
        <v>6815</v>
      </c>
      <c r="K1638" s="295" t="s">
        <v>6815</v>
      </c>
      <c r="L1638" s="295" t="s">
        <v>6815</v>
      </c>
      <c r="O1638" s="266">
        <v>0</v>
      </c>
      <c r="P1638" s="266">
        <v>691991012983</v>
      </c>
      <c r="R1638" s="265">
        <v>47</v>
      </c>
      <c r="S1638" s="265">
        <v>38.5</v>
      </c>
      <c r="T1638" s="265">
        <v>10.5</v>
      </c>
      <c r="U1638" s="265">
        <v>27</v>
      </c>
      <c r="V1638" s="259" t="s">
        <v>4159</v>
      </c>
      <c r="Y1638" s="259">
        <v>725</v>
      </c>
      <c r="Z1638" s="259" t="s">
        <v>3030</v>
      </c>
      <c r="AA1638" s="259" t="e">
        <v>#N/A</v>
      </c>
      <c r="AB1638" s="259"/>
      <c r="AC1638" s="259"/>
      <c r="AD1638" s="259"/>
      <c r="AE1638" s="259"/>
    </row>
    <row r="1639" spans="1:31">
      <c r="A1639" s="259" t="s">
        <v>1738</v>
      </c>
      <c r="B1639" s="259" t="s">
        <v>80</v>
      </c>
      <c r="C1639" s="264" t="s">
        <v>6810</v>
      </c>
      <c r="D1639" s="264" t="s">
        <v>1738</v>
      </c>
      <c r="E1639" s="259" t="s">
        <v>6812</v>
      </c>
      <c r="F1639" s="259" t="s">
        <v>5021</v>
      </c>
      <c r="H1639" s="264" t="s">
        <v>1738</v>
      </c>
      <c r="I1639" s="264" t="s">
        <v>6901</v>
      </c>
      <c r="J1639" s="295" t="s">
        <v>6815</v>
      </c>
      <c r="K1639" s="295" t="s">
        <v>6815</v>
      </c>
      <c r="L1639" s="295" t="s">
        <v>6815</v>
      </c>
      <c r="O1639" s="266">
        <v>0</v>
      </c>
      <c r="P1639" s="266">
        <v>691991012990</v>
      </c>
      <c r="R1639" s="265">
        <v>20</v>
      </c>
      <c r="S1639" s="265">
        <v>37</v>
      </c>
      <c r="T1639" s="265">
        <v>25</v>
      </c>
      <c r="U1639" s="265">
        <v>5</v>
      </c>
      <c r="V1639" s="259" t="s">
        <v>3028</v>
      </c>
      <c r="Y1639" s="259">
        <v>726</v>
      </c>
      <c r="Z1639" s="259" t="s">
        <v>3030</v>
      </c>
      <c r="AA1639" s="259" t="e">
        <v>#N/A</v>
      </c>
      <c r="AB1639" s="259"/>
      <c r="AC1639" s="259"/>
      <c r="AD1639" s="259"/>
      <c r="AE1639" s="259"/>
    </row>
    <row r="1640" spans="1:31">
      <c r="A1640" s="259" t="s">
        <v>1739</v>
      </c>
      <c r="B1640" s="259" t="s">
        <v>80</v>
      </c>
      <c r="C1640" s="264" t="s">
        <v>6810</v>
      </c>
      <c r="D1640" s="264" t="s">
        <v>1739</v>
      </c>
      <c r="E1640" s="259" t="s">
        <v>6812</v>
      </c>
      <c r="F1640" s="259" t="s">
        <v>5021</v>
      </c>
      <c r="H1640" s="264" t="s">
        <v>1739</v>
      </c>
      <c r="I1640" s="264" t="s">
        <v>6902</v>
      </c>
      <c r="J1640" s="295" t="s">
        <v>6815</v>
      </c>
      <c r="K1640" s="295" t="s">
        <v>6815</v>
      </c>
      <c r="L1640" s="295" t="s">
        <v>6815</v>
      </c>
      <c r="O1640" s="266">
        <v>0</v>
      </c>
      <c r="P1640" s="266">
        <v>691991013010</v>
      </c>
      <c r="R1640" s="265">
        <v>42</v>
      </c>
      <c r="S1640" s="265">
        <v>49</v>
      </c>
      <c r="T1640" s="265">
        <v>20</v>
      </c>
      <c r="U1640" s="265">
        <v>5.3</v>
      </c>
      <c r="V1640" s="259" t="s">
        <v>4159</v>
      </c>
      <c r="Y1640" s="259">
        <v>727</v>
      </c>
      <c r="Z1640" s="259" t="s">
        <v>3030</v>
      </c>
      <c r="AA1640" s="259" t="e">
        <v>#N/A</v>
      </c>
      <c r="AB1640" s="259"/>
      <c r="AC1640" s="259"/>
      <c r="AD1640" s="259"/>
      <c r="AE1640" s="259"/>
    </row>
    <row r="1641" spans="1:31">
      <c r="A1641" s="259" t="s">
        <v>1740</v>
      </c>
      <c r="B1641" s="259" t="s">
        <v>80</v>
      </c>
      <c r="C1641" s="264" t="s">
        <v>6810</v>
      </c>
      <c r="D1641" s="264" t="s">
        <v>1740</v>
      </c>
      <c r="E1641" s="259" t="s">
        <v>6812</v>
      </c>
      <c r="F1641" s="259" t="s">
        <v>5021</v>
      </c>
      <c r="H1641" s="264" t="s">
        <v>1740</v>
      </c>
      <c r="I1641" s="264" t="s">
        <v>6903</v>
      </c>
      <c r="J1641" s="295" t="s">
        <v>6815</v>
      </c>
      <c r="K1641" s="295" t="s">
        <v>6815</v>
      </c>
      <c r="L1641" s="295" t="s">
        <v>6815</v>
      </c>
      <c r="O1641" s="266">
        <v>0</v>
      </c>
      <c r="R1641" s="265">
        <v>87</v>
      </c>
      <c r="S1641" s="265">
        <v>49.25</v>
      </c>
      <c r="T1641" s="265">
        <v>39.25</v>
      </c>
      <c r="U1641" s="265">
        <v>14.25</v>
      </c>
      <c r="V1641" s="259" t="s">
        <v>4159</v>
      </c>
      <c r="Y1641" s="259">
        <v>728</v>
      </c>
      <c r="Z1641" s="259" t="s">
        <v>3030</v>
      </c>
      <c r="AA1641" s="259" t="e">
        <v>#N/A</v>
      </c>
      <c r="AB1641" s="259"/>
      <c r="AC1641" s="259"/>
      <c r="AD1641" s="259"/>
      <c r="AE1641" s="259"/>
    </row>
    <row r="1642" spans="1:31">
      <c r="A1642" s="259" t="s">
        <v>1741</v>
      </c>
      <c r="B1642" s="259" t="s">
        <v>80</v>
      </c>
      <c r="C1642" s="264" t="s">
        <v>6810</v>
      </c>
      <c r="D1642" s="264" t="s">
        <v>1741</v>
      </c>
      <c r="E1642" s="259" t="s">
        <v>6812</v>
      </c>
      <c r="F1642" s="259" t="s">
        <v>5021</v>
      </c>
      <c r="H1642" s="264" t="s">
        <v>1741</v>
      </c>
      <c r="I1642" s="264" t="s">
        <v>6904</v>
      </c>
      <c r="J1642" s="295" t="s">
        <v>6815</v>
      </c>
      <c r="K1642" s="295" t="s">
        <v>6815</v>
      </c>
      <c r="L1642" s="295" t="s">
        <v>6815</v>
      </c>
      <c r="O1642" s="266">
        <v>0</v>
      </c>
      <c r="P1642" s="266">
        <v>691991013027</v>
      </c>
      <c r="R1642" s="265">
        <v>42</v>
      </c>
      <c r="S1642" s="265">
        <v>52</v>
      </c>
      <c r="T1642" s="265">
        <v>41</v>
      </c>
      <c r="U1642" s="265">
        <v>6</v>
      </c>
      <c r="V1642" s="259" t="s">
        <v>3028</v>
      </c>
      <c r="Y1642" s="259">
        <v>729</v>
      </c>
      <c r="Z1642" s="259" t="s">
        <v>3030</v>
      </c>
      <c r="AA1642" s="259" t="e">
        <v>#N/A</v>
      </c>
      <c r="AB1642" s="259"/>
      <c r="AC1642" s="259"/>
      <c r="AD1642" s="259"/>
      <c r="AE1642" s="259"/>
    </row>
    <row r="1643" spans="1:31">
      <c r="A1643" s="259" t="s">
        <v>1742</v>
      </c>
      <c r="B1643" s="259" t="s">
        <v>80</v>
      </c>
      <c r="C1643" s="264" t="s">
        <v>6810</v>
      </c>
      <c r="D1643" s="264" t="s">
        <v>1742</v>
      </c>
      <c r="E1643" s="259" t="s">
        <v>6812</v>
      </c>
      <c r="F1643" s="259" t="s">
        <v>5021</v>
      </c>
      <c r="H1643" s="264" t="s">
        <v>1742</v>
      </c>
      <c r="I1643" s="264" t="s">
        <v>6905</v>
      </c>
      <c r="J1643" s="295" t="s">
        <v>6815</v>
      </c>
      <c r="K1643" s="295" t="s">
        <v>6815</v>
      </c>
      <c r="L1643" s="295" t="s">
        <v>6815</v>
      </c>
      <c r="O1643" s="266">
        <v>0</v>
      </c>
      <c r="P1643" s="266">
        <v>691991013041</v>
      </c>
      <c r="R1643" s="265">
        <v>120</v>
      </c>
      <c r="S1643" s="265">
        <v>37</v>
      </c>
      <c r="T1643" s="265">
        <v>22</v>
      </c>
      <c r="U1643" s="265">
        <v>7</v>
      </c>
      <c r="V1643" s="259" t="s">
        <v>4159</v>
      </c>
      <c r="Y1643" s="259">
        <v>730</v>
      </c>
      <c r="Z1643" s="259" t="s">
        <v>3030</v>
      </c>
      <c r="AA1643" s="259" t="e">
        <v>#N/A</v>
      </c>
      <c r="AB1643" s="259"/>
      <c r="AC1643" s="259"/>
      <c r="AD1643" s="259"/>
      <c r="AE1643" s="259"/>
    </row>
    <row r="1644" spans="1:31">
      <c r="A1644" s="259" t="s">
        <v>1743</v>
      </c>
      <c r="B1644" s="259" t="s">
        <v>80</v>
      </c>
      <c r="C1644" s="264" t="s">
        <v>6810</v>
      </c>
      <c r="D1644" s="264" t="s">
        <v>1743</v>
      </c>
      <c r="E1644" s="259" t="s">
        <v>6812</v>
      </c>
      <c r="F1644" s="259" t="s">
        <v>5021</v>
      </c>
      <c r="H1644" s="264" t="s">
        <v>1743</v>
      </c>
      <c r="I1644" s="264" t="s">
        <v>6906</v>
      </c>
      <c r="J1644" s="295" t="s">
        <v>6815</v>
      </c>
      <c r="K1644" s="295" t="s">
        <v>6815</v>
      </c>
      <c r="L1644" s="295" t="s">
        <v>6815</v>
      </c>
      <c r="O1644" s="266">
        <v>0</v>
      </c>
      <c r="P1644" s="266">
        <v>691991013058</v>
      </c>
      <c r="R1644" s="265">
        <v>52</v>
      </c>
      <c r="S1644" s="265">
        <v>7</v>
      </c>
      <c r="T1644" s="265">
        <v>32</v>
      </c>
      <c r="U1644" s="265">
        <v>4</v>
      </c>
      <c r="V1644" s="259" t="s">
        <v>3834</v>
      </c>
      <c r="Y1644" s="259">
        <v>731</v>
      </c>
      <c r="Z1644" s="259" t="s">
        <v>3030</v>
      </c>
      <c r="AA1644" s="259" t="e">
        <v>#N/A</v>
      </c>
      <c r="AB1644" s="259"/>
      <c r="AC1644" s="259"/>
      <c r="AD1644" s="259"/>
      <c r="AE1644" s="259"/>
    </row>
    <row r="1645" spans="1:31">
      <c r="A1645" s="259" t="s">
        <v>1744</v>
      </c>
      <c r="B1645" s="259" t="s">
        <v>80</v>
      </c>
      <c r="C1645" s="264" t="s">
        <v>6810</v>
      </c>
      <c r="D1645" s="264" t="s">
        <v>1744</v>
      </c>
      <c r="E1645" s="259" t="s">
        <v>6812</v>
      </c>
      <c r="F1645" s="259" t="s">
        <v>5021</v>
      </c>
      <c r="H1645" s="264" t="s">
        <v>1744</v>
      </c>
      <c r="I1645" s="264" t="s">
        <v>6907</v>
      </c>
      <c r="J1645" s="295" t="s">
        <v>6815</v>
      </c>
      <c r="K1645" s="295" t="s">
        <v>6815</v>
      </c>
      <c r="L1645" s="295" t="s">
        <v>6815</v>
      </c>
      <c r="O1645" s="266">
        <v>0</v>
      </c>
      <c r="P1645" s="266">
        <v>50036904315</v>
      </c>
      <c r="R1645" s="265">
        <v>25</v>
      </c>
      <c r="S1645" s="265">
        <v>15</v>
      </c>
      <c r="T1645" s="265">
        <v>6.5</v>
      </c>
      <c r="U1645" s="265">
        <v>9</v>
      </c>
      <c r="V1645" s="259" t="s">
        <v>3028</v>
      </c>
      <c r="Y1645" s="259">
        <v>732</v>
      </c>
      <c r="Z1645" s="259" t="s">
        <v>4325</v>
      </c>
      <c r="AA1645" s="259" t="e">
        <v>#N/A</v>
      </c>
      <c r="AB1645" s="259"/>
      <c r="AC1645" s="259"/>
      <c r="AD1645" s="259"/>
      <c r="AE1645" s="259"/>
    </row>
    <row r="1646" spans="1:31">
      <c r="A1646" s="259" t="s">
        <v>1745</v>
      </c>
      <c r="B1646" s="259" t="s">
        <v>80</v>
      </c>
      <c r="C1646" s="264" t="s">
        <v>6810</v>
      </c>
      <c r="D1646" s="264" t="s">
        <v>1745</v>
      </c>
      <c r="E1646" s="259" t="s">
        <v>6812</v>
      </c>
      <c r="F1646" s="259" t="s">
        <v>5021</v>
      </c>
      <c r="H1646" s="264" t="s">
        <v>1745</v>
      </c>
      <c r="I1646" s="264" t="s">
        <v>6908</v>
      </c>
      <c r="J1646" s="295" t="s">
        <v>6815</v>
      </c>
      <c r="K1646" s="295" t="s">
        <v>6815</v>
      </c>
      <c r="L1646" s="295" t="s">
        <v>6815</v>
      </c>
      <c r="O1646" s="266">
        <v>0</v>
      </c>
      <c r="P1646" s="266">
        <v>691991015717</v>
      </c>
      <c r="R1646" s="265">
        <v>30</v>
      </c>
      <c r="S1646" s="265">
        <v>36</v>
      </c>
      <c r="T1646" s="265">
        <v>10</v>
      </c>
      <c r="U1646" s="265">
        <v>4</v>
      </c>
      <c r="V1646" s="259" t="s">
        <v>4159</v>
      </c>
      <c r="Y1646" s="259">
        <v>733</v>
      </c>
      <c r="Z1646" s="259" t="s">
        <v>3030</v>
      </c>
      <c r="AA1646" s="259" t="e">
        <v>#N/A</v>
      </c>
      <c r="AB1646" s="259"/>
      <c r="AC1646" s="259"/>
      <c r="AD1646" s="259"/>
      <c r="AE1646" s="259"/>
    </row>
    <row r="1647" spans="1:31">
      <c r="A1647" s="259" t="s">
        <v>1746</v>
      </c>
      <c r="B1647" s="259" t="s">
        <v>80</v>
      </c>
      <c r="C1647" s="264" t="s">
        <v>6810</v>
      </c>
      <c r="D1647" s="264" t="s">
        <v>1746</v>
      </c>
      <c r="E1647" s="259" t="s">
        <v>6812</v>
      </c>
      <c r="F1647" s="259" t="s">
        <v>5021</v>
      </c>
      <c r="H1647" s="264" t="s">
        <v>1746</v>
      </c>
      <c r="I1647" s="264" t="s">
        <v>6909</v>
      </c>
      <c r="J1647" s="295" t="s">
        <v>6815</v>
      </c>
      <c r="K1647" s="295" t="s">
        <v>6815</v>
      </c>
      <c r="L1647" s="295" t="s">
        <v>6815</v>
      </c>
      <c r="O1647" s="266">
        <v>0</v>
      </c>
      <c r="P1647" s="266">
        <v>691991013072</v>
      </c>
      <c r="R1647" s="265">
        <v>30</v>
      </c>
      <c r="S1647" s="265">
        <v>39</v>
      </c>
      <c r="T1647" s="265">
        <v>11</v>
      </c>
      <c r="U1647" s="265">
        <v>10</v>
      </c>
      <c r="V1647" s="259" t="s">
        <v>4159</v>
      </c>
      <c r="Y1647" s="259">
        <v>734</v>
      </c>
      <c r="Z1647" s="259" t="s">
        <v>3030</v>
      </c>
      <c r="AA1647" s="259" t="e">
        <v>#N/A</v>
      </c>
      <c r="AB1647" s="259"/>
      <c r="AC1647" s="259"/>
      <c r="AD1647" s="259"/>
      <c r="AE1647" s="259"/>
    </row>
    <row r="1648" spans="1:31">
      <c r="A1648" s="259" t="s">
        <v>1747</v>
      </c>
      <c r="B1648" s="259" t="s">
        <v>80</v>
      </c>
      <c r="C1648" s="264" t="s">
        <v>6810</v>
      </c>
      <c r="D1648" s="264" t="s">
        <v>1747</v>
      </c>
      <c r="E1648" s="259" t="s">
        <v>6812</v>
      </c>
      <c r="F1648" s="259" t="s">
        <v>5021</v>
      </c>
      <c r="H1648" s="264" t="s">
        <v>1747</v>
      </c>
      <c r="I1648" s="264" t="s">
        <v>6910</v>
      </c>
      <c r="J1648" s="295" t="s">
        <v>6815</v>
      </c>
      <c r="K1648" s="295" t="s">
        <v>6815</v>
      </c>
      <c r="L1648" s="295" t="s">
        <v>6815</v>
      </c>
      <c r="O1648" s="266">
        <v>0</v>
      </c>
      <c r="P1648" s="266">
        <v>691991013089</v>
      </c>
      <c r="R1648" s="265">
        <v>30</v>
      </c>
      <c r="S1648" s="265">
        <v>37</v>
      </c>
      <c r="T1648" s="265">
        <v>25</v>
      </c>
      <c r="U1648" s="265">
        <v>5</v>
      </c>
      <c r="V1648" s="259" t="s">
        <v>3028</v>
      </c>
      <c r="Y1648" s="259">
        <v>735</v>
      </c>
      <c r="Z1648" s="259" t="s">
        <v>3030</v>
      </c>
      <c r="AA1648" s="259" t="e">
        <v>#N/A</v>
      </c>
      <c r="AB1648" s="259"/>
      <c r="AC1648" s="259"/>
      <c r="AD1648" s="259"/>
      <c r="AE1648" s="259"/>
    </row>
    <row r="1649" spans="1:31">
      <c r="A1649" s="259" t="s">
        <v>1748</v>
      </c>
      <c r="B1649" s="259" t="s">
        <v>80</v>
      </c>
      <c r="C1649" s="264" t="s">
        <v>6810</v>
      </c>
      <c r="D1649" s="264" t="s">
        <v>1748</v>
      </c>
      <c r="E1649" s="259" t="s">
        <v>6812</v>
      </c>
      <c r="F1649" s="259" t="s">
        <v>5021</v>
      </c>
      <c r="H1649" s="264" t="s">
        <v>1748</v>
      </c>
      <c r="I1649" s="264" t="s">
        <v>6911</v>
      </c>
      <c r="J1649" s="295" t="s">
        <v>6815</v>
      </c>
      <c r="K1649" s="295" t="s">
        <v>6815</v>
      </c>
      <c r="L1649" s="295" t="s">
        <v>6815</v>
      </c>
      <c r="O1649" s="266">
        <v>0</v>
      </c>
      <c r="R1649" s="265">
        <v>22</v>
      </c>
      <c r="S1649" s="265">
        <v>42</v>
      </c>
      <c r="T1649" s="265">
        <v>12</v>
      </c>
      <c r="U1649" s="265">
        <v>5</v>
      </c>
      <c r="V1649" s="259" t="s">
        <v>3834</v>
      </c>
      <c r="Y1649" s="259">
        <v>736</v>
      </c>
      <c r="Z1649" s="259" t="s">
        <v>3030</v>
      </c>
      <c r="AA1649" s="259" t="e">
        <v>#N/A</v>
      </c>
      <c r="AB1649" s="259"/>
      <c r="AC1649" s="259"/>
      <c r="AD1649" s="259"/>
      <c r="AE1649" s="259"/>
    </row>
    <row r="1650" spans="1:31">
      <c r="A1650" s="259" t="s">
        <v>1749</v>
      </c>
      <c r="B1650" s="259" t="s">
        <v>80</v>
      </c>
      <c r="C1650" s="264" t="s">
        <v>6810</v>
      </c>
      <c r="D1650" s="264" t="s">
        <v>1749</v>
      </c>
      <c r="E1650" s="259" t="s">
        <v>6812</v>
      </c>
      <c r="F1650" s="259" t="s">
        <v>5021</v>
      </c>
      <c r="H1650" s="264" t="s">
        <v>1749</v>
      </c>
      <c r="I1650" s="264" t="s">
        <v>6912</v>
      </c>
      <c r="J1650" s="295" t="s">
        <v>6815</v>
      </c>
      <c r="K1650" s="295" t="s">
        <v>6815</v>
      </c>
      <c r="L1650" s="295" t="s">
        <v>6815</v>
      </c>
      <c r="O1650" s="266">
        <v>0</v>
      </c>
      <c r="P1650" s="266">
        <v>691991013096</v>
      </c>
      <c r="R1650" s="265">
        <v>36.26</v>
      </c>
      <c r="S1650" s="265">
        <v>51</v>
      </c>
      <c r="T1650" s="265">
        <v>18</v>
      </c>
      <c r="U1650" s="265">
        <v>6</v>
      </c>
      <c r="V1650" s="259" t="s">
        <v>4159</v>
      </c>
      <c r="Y1650" s="259">
        <v>737</v>
      </c>
      <c r="Z1650" s="259" t="s">
        <v>3030</v>
      </c>
      <c r="AA1650" s="259" t="e">
        <v>#N/A</v>
      </c>
      <c r="AB1650" s="259"/>
      <c r="AC1650" s="259"/>
      <c r="AD1650" s="259"/>
      <c r="AE1650" s="259"/>
    </row>
    <row r="1651" spans="1:31">
      <c r="A1651" s="259" t="s">
        <v>1750</v>
      </c>
      <c r="B1651" s="259" t="s">
        <v>80</v>
      </c>
      <c r="C1651" s="264" t="s">
        <v>6810</v>
      </c>
      <c r="D1651" s="264" t="s">
        <v>1750</v>
      </c>
      <c r="E1651" s="259" t="s">
        <v>6812</v>
      </c>
      <c r="F1651" s="259" t="s">
        <v>5021</v>
      </c>
      <c r="H1651" s="264" t="s">
        <v>1750</v>
      </c>
      <c r="I1651" s="264" t="s">
        <v>6913</v>
      </c>
      <c r="J1651" s="295" t="s">
        <v>6815</v>
      </c>
      <c r="K1651" s="295" t="s">
        <v>6815</v>
      </c>
      <c r="L1651" s="295" t="s">
        <v>6815</v>
      </c>
      <c r="O1651" s="266">
        <v>0</v>
      </c>
      <c r="P1651" s="266">
        <v>691991006487</v>
      </c>
      <c r="R1651" s="265">
        <v>182</v>
      </c>
      <c r="S1651" s="265">
        <v>24.2</v>
      </c>
      <c r="T1651" s="265">
        <v>16.3</v>
      </c>
      <c r="U1651" s="265">
        <v>48.2</v>
      </c>
      <c r="V1651" s="259" t="s">
        <v>4159</v>
      </c>
      <c r="Y1651" s="259">
        <v>738</v>
      </c>
      <c r="Z1651" s="259" t="s">
        <v>3030</v>
      </c>
      <c r="AA1651" s="259" t="e">
        <v>#N/A</v>
      </c>
      <c r="AB1651" s="259"/>
      <c r="AC1651" s="259"/>
      <c r="AD1651" s="259"/>
      <c r="AE1651" s="259"/>
    </row>
    <row r="1652" spans="1:31">
      <c r="A1652" s="259" t="s">
        <v>1751</v>
      </c>
      <c r="B1652" s="259" t="s">
        <v>80</v>
      </c>
      <c r="C1652" s="264" t="s">
        <v>6810</v>
      </c>
      <c r="D1652" s="264" t="s">
        <v>1751</v>
      </c>
      <c r="E1652" s="259" t="s">
        <v>6812</v>
      </c>
      <c r="F1652" s="259" t="s">
        <v>5021</v>
      </c>
      <c r="H1652" s="264" t="s">
        <v>1751</v>
      </c>
      <c r="I1652" s="264" t="s">
        <v>6914</v>
      </c>
      <c r="J1652" s="295" t="s">
        <v>6815</v>
      </c>
      <c r="K1652" s="295" t="s">
        <v>6815</v>
      </c>
      <c r="L1652" s="295" t="s">
        <v>6815</v>
      </c>
      <c r="O1652" s="266">
        <v>0</v>
      </c>
      <c r="P1652" s="266">
        <v>691991006494</v>
      </c>
      <c r="R1652" s="265">
        <v>78</v>
      </c>
      <c r="S1652" s="265">
        <v>51</v>
      </c>
      <c r="T1652" s="265">
        <v>8</v>
      </c>
      <c r="U1652" s="265">
        <v>5</v>
      </c>
      <c r="V1652" s="259" t="s">
        <v>3834</v>
      </c>
      <c r="Y1652" s="259">
        <v>739</v>
      </c>
      <c r="Z1652" s="259" t="s">
        <v>3030</v>
      </c>
      <c r="AA1652" s="259" t="e">
        <v>#N/A</v>
      </c>
      <c r="AB1652" s="259"/>
      <c r="AC1652" s="259"/>
      <c r="AD1652" s="259"/>
      <c r="AE1652" s="259"/>
    </row>
    <row r="1653" spans="1:31">
      <c r="A1653" s="259" t="s">
        <v>1752</v>
      </c>
      <c r="B1653" s="259" t="s">
        <v>80</v>
      </c>
      <c r="C1653" s="264" t="s">
        <v>6810</v>
      </c>
      <c r="D1653" s="264" t="s">
        <v>1752</v>
      </c>
      <c r="E1653" s="259" t="s">
        <v>6812</v>
      </c>
      <c r="F1653" s="259" t="s">
        <v>5021</v>
      </c>
      <c r="H1653" s="264" t="s">
        <v>1752</v>
      </c>
      <c r="I1653" s="264" t="s">
        <v>6915</v>
      </c>
      <c r="J1653" s="295" t="s">
        <v>6815</v>
      </c>
      <c r="K1653" s="295" t="s">
        <v>6815</v>
      </c>
      <c r="L1653" s="295" t="s">
        <v>6815</v>
      </c>
      <c r="O1653" s="266">
        <v>0</v>
      </c>
      <c r="R1653" s="265">
        <v>5.2</v>
      </c>
      <c r="S1653" s="265">
        <v>16</v>
      </c>
      <c r="T1653" s="265">
        <v>5</v>
      </c>
      <c r="U1653" s="265">
        <v>2</v>
      </c>
      <c r="V1653" s="259" t="s">
        <v>4159</v>
      </c>
      <c r="Y1653" s="259">
        <v>740</v>
      </c>
      <c r="Z1653" s="259" t="s">
        <v>3030</v>
      </c>
      <c r="AA1653" s="259" t="e">
        <v>#N/A</v>
      </c>
      <c r="AB1653" s="259"/>
      <c r="AC1653" s="259"/>
      <c r="AD1653" s="259"/>
      <c r="AE1653" s="259"/>
    </row>
    <row r="1654" spans="1:31">
      <c r="A1654" s="259" t="s">
        <v>1753</v>
      </c>
      <c r="B1654" s="259" t="s">
        <v>80</v>
      </c>
      <c r="C1654" s="264" t="s">
        <v>6810</v>
      </c>
      <c r="D1654" s="264" t="s">
        <v>1753</v>
      </c>
      <c r="E1654" s="259" t="s">
        <v>6812</v>
      </c>
      <c r="F1654" s="259" t="s">
        <v>5021</v>
      </c>
      <c r="H1654" s="264" t="s">
        <v>1753</v>
      </c>
      <c r="I1654" s="264" t="s">
        <v>6916</v>
      </c>
      <c r="J1654" s="295" t="s">
        <v>6815</v>
      </c>
      <c r="K1654" s="295" t="s">
        <v>6815</v>
      </c>
      <c r="L1654" s="295" t="s">
        <v>6815</v>
      </c>
      <c r="O1654" s="266">
        <v>0</v>
      </c>
      <c r="R1654" s="265">
        <v>0.8</v>
      </c>
      <c r="S1654" s="265">
        <v>16</v>
      </c>
      <c r="T1654" s="265">
        <v>5</v>
      </c>
      <c r="U1654" s="265">
        <v>2</v>
      </c>
      <c r="V1654" s="259" t="s">
        <v>4159</v>
      </c>
      <c r="Y1654" s="259">
        <v>741</v>
      </c>
      <c r="Z1654" s="259" t="s">
        <v>3227</v>
      </c>
      <c r="AA1654" s="259" t="e">
        <v>#N/A</v>
      </c>
      <c r="AB1654" s="259"/>
      <c r="AC1654" s="259"/>
      <c r="AD1654" s="259"/>
      <c r="AE1654" s="259"/>
    </row>
    <row r="1655" spans="1:31">
      <c r="A1655" s="259" t="s">
        <v>1754</v>
      </c>
      <c r="B1655" s="259" t="s">
        <v>80</v>
      </c>
      <c r="C1655" s="264" t="s">
        <v>6810</v>
      </c>
      <c r="D1655" s="264" t="s">
        <v>1754</v>
      </c>
      <c r="E1655" s="259" t="s">
        <v>6812</v>
      </c>
      <c r="F1655" s="259" t="s">
        <v>5021</v>
      </c>
      <c r="H1655" s="264" t="s">
        <v>1754</v>
      </c>
      <c r="I1655" s="264" t="s">
        <v>6917</v>
      </c>
      <c r="J1655" s="295" t="s">
        <v>6815</v>
      </c>
      <c r="K1655" s="295" t="s">
        <v>6815</v>
      </c>
      <c r="L1655" s="295" t="s">
        <v>6815</v>
      </c>
      <c r="O1655" s="266">
        <v>0</v>
      </c>
      <c r="P1655" s="266">
        <v>691991000256</v>
      </c>
      <c r="R1655" s="265">
        <v>30</v>
      </c>
      <c r="S1655" s="265">
        <v>20</v>
      </c>
      <c r="T1655" s="265">
        <v>8</v>
      </c>
      <c r="U1655" s="265">
        <v>9</v>
      </c>
      <c r="V1655" s="259" t="s">
        <v>3028</v>
      </c>
      <c r="Y1655" s="259">
        <v>742</v>
      </c>
      <c r="Z1655" s="259" t="s">
        <v>3030</v>
      </c>
      <c r="AA1655" s="259" t="e">
        <v>#N/A</v>
      </c>
      <c r="AB1655" s="259"/>
      <c r="AC1655" s="259"/>
      <c r="AD1655" s="259"/>
      <c r="AE1655" s="259"/>
    </row>
    <row r="1656" spans="1:31">
      <c r="A1656" s="259" t="s">
        <v>1755</v>
      </c>
      <c r="B1656" s="259" t="s">
        <v>80</v>
      </c>
      <c r="C1656" s="264" t="s">
        <v>6810</v>
      </c>
      <c r="D1656" s="264" t="s">
        <v>1755</v>
      </c>
      <c r="E1656" s="259" t="s">
        <v>6812</v>
      </c>
      <c r="F1656" s="259" t="s">
        <v>5021</v>
      </c>
      <c r="H1656" s="264" t="s">
        <v>1755</v>
      </c>
      <c r="I1656" s="264" t="s">
        <v>6918</v>
      </c>
      <c r="J1656" s="295" t="s">
        <v>6815</v>
      </c>
      <c r="K1656" s="295" t="s">
        <v>6815</v>
      </c>
      <c r="L1656" s="295" t="s">
        <v>6815</v>
      </c>
      <c r="O1656" s="266">
        <v>0</v>
      </c>
      <c r="P1656" s="266">
        <v>691991006500</v>
      </c>
      <c r="R1656" s="265">
        <v>40</v>
      </c>
      <c r="S1656" s="265">
        <v>51</v>
      </c>
      <c r="T1656" s="265">
        <v>21</v>
      </c>
      <c r="U1656" s="265">
        <v>8</v>
      </c>
      <c r="V1656" s="259" t="s">
        <v>4159</v>
      </c>
      <c r="Y1656" s="259">
        <v>743</v>
      </c>
      <c r="Z1656" s="259" t="s">
        <v>3030</v>
      </c>
      <c r="AA1656" s="259" t="e">
        <v>#N/A</v>
      </c>
      <c r="AB1656" s="259"/>
      <c r="AC1656" s="259"/>
      <c r="AD1656" s="259"/>
      <c r="AE1656" s="259"/>
    </row>
    <row r="1657" spans="1:31">
      <c r="A1657" s="259" t="s">
        <v>1756</v>
      </c>
      <c r="B1657" s="259" t="s">
        <v>80</v>
      </c>
      <c r="C1657" s="264" t="s">
        <v>6810</v>
      </c>
      <c r="D1657" s="264" t="s">
        <v>1756</v>
      </c>
      <c r="E1657" s="259" t="s">
        <v>6812</v>
      </c>
      <c r="F1657" s="259" t="s">
        <v>5021</v>
      </c>
      <c r="H1657" s="264" t="s">
        <v>1756</v>
      </c>
      <c r="I1657" s="264" t="s">
        <v>6919</v>
      </c>
      <c r="J1657" s="295" t="s">
        <v>6815</v>
      </c>
      <c r="K1657" s="295" t="s">
        <v>6815</v>
      </c>
      <c r="L1657" s="295" t="s">
        <v>6815</v>
      </c>
      <c r="O1657" s="266">
        <v>0</v>
      </c>
      <c r="P1657" s="266">
        <v>691991006517</v>
      </c>
      <c r="R1657" s="265">
        <v>61</v>
      </c>
      <c r="S1657" s="265">
        <v>11.5</v>
      </c>
      <c r="T1657" s="265">
        <v>27</v>
      </c>
      <c r="U1657" s="265">
        <v>49.5</v>
      </c>
      <c r="V1657" s="259" t="s">
        <v>4159</v>
      </c>
      <c r="Y1657" s="259">
        <v>744</v>
      </c>
      <c r="Z1657" s="259" t="s">
        <v>4325</v>
      </c>
      <c r="AA1657" s="259" t="e">
        <v>#N/A</v>
      </c>
      <c r="AB1657" s="259"/>
      <c r="AC1657" s="259"/>
      <c r="AD1657" s="259"/>
      <c r="AE1657" s="259"/>
    </row>
    <row r="1658" spans="1:31">
      <c r="A1658" s="259" t="s">
        <v>1757</v>
      </c>
      <c r="B1658" s="259" t="s">
        <v>80</v>
      </c>
      <c r="C1658" s="264" t="s">
        <v>6810</v>
      </c>
      <c r="D1658" s="264" t="s">
        <v>1757</v>
      </c>
      <c r="E1658" s="259" t="s">
        <v>6812</v>
      </c>
      <c r="F1658" s="259" t="s">
        <v>5021</v>
      </c>
      <c r="H1658" s="264" t="s">
        <v>1757</v>
      </c>
      <c r="I1658" s="264" t="s">
        <v>6920</v>
      </c>
      <c r="J1658" s="295" t="s">
        <v>6815</v>
      </c>
      <c r="K1658" s="295" t="s">
        <v>6815</v>
      </c>
      <c r="L1658" s="295" t="s">
        <v>6815</v>
      </c>
      <c r="O1658" s="266">
        <v>0</v>
      </c>
      <c r="P1658" s="266">
        <v>691991013126</v>
      </c>
      <c r="R1658" s="265">
        <v>37.75</v>
      </c>
      <c r="S1658" s="265">
        <v>52</v>
      </c>
      <c r="T1658" s="265">
        <v>27</v>
      </c>
      <c r="U1658" s="265">
        <v>7</v>
      </c>
      <c r="V1658" s="259" t="s">
        <v>3028</v>
      </c>
      <c r="Y1658" s="259">
        <v>745</v>
      </c>
      <c r="Z1658" s="259" t="s">
        <v>3030</v>
      </c>
      <c r="AA1658" s="259" t="e">
        <v>#N/A</v>
      </c>
      <c r="AB1658" s="259"/>
      <c r="AC1658" s="259"/>
      <c r="AD1658" s="259"/>
      <c r="AE1658" s="259"/>
    </row>
    <row r="1659" spans="1:31">
      <c r="A1659" s="259" t="s">
        <v>1758</v>
      </c>
      <c r="B1659" s="259" t="s">
        <v>80</v>
      </c>
      <c r="C1659" s="264" t="s">
        <v>6810</v>
      </c>
      <c r="D1659" s="264" t="s">
        <v>1758</v>
      </c>
      <c r="E1659" s="259" t="s">
        <v>6812</v>
      </c>
      <c r="F1659" s="259" t="s">
        <v>5021</v>
      </c>
      <c r="H1659" s="264" t="s">
        <v>1758</v>
      </c>
      <c r="I1659" s="264" t="s">
        <v>6921</v>
      </c>
      <c r="J1659" s="295" t="s">
        <v>6815</v>
      </c>
      <c r="K1659" s="295" t="s">
        <v>6815</v>
      </c>
      <c r="L1659" s="295" t="s">
        <v>6815</v>
      </c>
      <c r="O1659" s="266">
        <v>0</v>
      </c>
      <c r="R1659" s="265">
        <v>22</v>
      </c>
      <c r="S1659" s="265">
        <v>41</v>
      </c>
      <c r="T1659" s="265">
        <v>16</v>
      </c>
      <c r="U1659" s="265">
        <v>5</v>
      </c>
      <c r="V1659" s="259" t="s">
        <v>3028</v>
      </c>
      <c r="Y1659" s="259">
        <v>746</v>
      </c>
      <c r="Z1659" s="259" t="s">
        <v>3227</v>
      </c>
      <c r="AA1659" s="259" t="e">
        <v>#N/A</v>
      </c>
      <c r="AB1659" s="259"/>
      <c r="AC1659" s="259"/>
      <c r="AD1659" s="259"/>
      <c r="AE1659" s="259"/>
    </row>
    <row r="1660" spans="1:31">
      <c r="A1660" s="259" t="s">
        <v>1759</v>
      </c>
      <c r="B1660" s="259" t="s">
        <v>80</v>
      </c>
      <c r="C1660" s="264" t="s">
        <v>6810</v>
      </c>
      <c r="D1660" s="264" t="s">
        <v>1759</v>
      </c>
      <c r="E1660" s="259" t="s">
        <v>6812</v>
      </c>
      <c r="F1660" s="259" t="s">
        <v>5021</v>
      </c>
      <c r="G1660" s="259" t="s">
        <v>3378</v>
      </c>
      <c r="H1660" s="264" t="s">
        <v>1759</v>
      </c>
      <c r="I1660" s="264" t="s">
        <v>6922</v>
      </c>
      <c r="J1660" s="295" t="s">
        <v>6815</v>
      </c>
      <c r="K1660" s="295" t="s">
        <v>6815</v>
      </c>
      <c r="L1660" s="295" t="s">
        <v>6815</v>
      </c>
      <c r="O1660" s="266">
        <v>0</v>
      </c>
      <c r="P1660" s="266">
        <v>691991032837</v>
      </c>
      <c r="R1660" s="265">
        <v>11</v>
      </c>
      <c r="S1660" s="265">
        <v>11</v>
      </c>
      <c r="T1660" s="265">
        <v>17</v>
      </c>
      <c r="U1660" s="265">
        <v>10</v>
      </c>
      <c r="V1660" s="259" t="s">
        <v>4159</v>
      </c>
      <c r="Y1660" s="259">
        <v>747</v>
      </c>
      <c r="Z1660" s="259" t="s">
        <v>3227</v>
      </c>
      <c r="AA1660" s="259" t="e">
        <v>#N/A</v>
      </c>
      <c r="AB1660" s="259"/>
      <c r="AC1660" s="259"/>
      <c r="AD1660" s="259"/>
      <c r="AE1660" s="259"/>
    </row>
    <row r="1661" spans="1:31">
      <c r="A1661" s="259" t="s">
        <v>1760</v>
      </c>
      <c r="B1661" s="259" t="s">
        <v>80</v>
      </c>
      <c r="C1661" s="264"/>
      <c r="D1661" s="264"/>
      <c r="H1661" s="264"/>
      <c r="I1661" s="264"/>
      <c r="J1661" s="295">
        <v>0</v>
      </c>
      <c r="K1661" s="295">
        <v>0</v>
      </c>
      <c r="L1661" s="295">
        <v>0</v>
      </c>
      <c r="O1661" s="266"/>
      <c r="R1661" s="265">
        <v>0</v>
      </c>
      <c r="S1661" s="265">
        <v>0</v>
      </c>
      <c r="T1661" s="265">
        <v>0</v>
      </c>
      <c r="U1661" s="265">
        <v>0</v>
      </c>
      <c r="V1661" s="259" t="s">
        <v>4159</v>
      </c>
      <c r="W1661" s="259" t="s">
        <v>3061</v>
      </c>
      <c r="Y1661" s="259">
        <v>748</v>
      </c>
      <c r="AA1661" s="259" t="e">
        <v>#N/A</v>
      </c>
      <c r="AB1661" s="259"/>
      <c r="AC1661" s="259"/>
      <c r="AD1661" s="259"/>
      <c r="AE1661" s="259"/>
    </row>
    <row r="1662" spans="1:31">
      <c r="A1662" s="259" t="s">
        <v>1761</v>
      </c>
      <c r="B1662" s="259" t="s">
        <v>80</v>
      </c>
      <c r="C1662" s="264" t="s">
        <v>6923</v>
      </c>
      <c r="D1662" s="264" t="s">
        <v>1761</v>
      </c>
      <c r="E1662" s="259" t="s">
        <v>6924</v>
      </c>
      <c r="H1662" s="264" t="s">
        <v>6925</v>
      </c>
      <c r="I1662" s="264" t="s">
        <v>6926</v>
      </c>
      <c r="J1662" s="295">
        <v>2570</v>
      </c>
      <c r="K1662" s="295">
        <v>1740</v>
      </c>
      <c r="L1662" s="295">
        <v>1285</v>
      </c>
      <c r="O1662" s="266">
        <v>0</v>
      </c>
      <c r="P1662" s="266">
        <v>50036903196</v>
      </c>
      <c r="R1662" s="265">
        <v>30</v>
      </c>
      <c r="S1662" s="265">
        <v>14</v>
      </c>
      <c r="T1662" s="265">
        <v>12</v>
      </c>
      <c r="U1662" s="265">
        <v>18</v>
      </c>
      <c r="V1662" s="259" t="s">
        <v>4159</v>
      </c>
      <c r="W1662" s="259" t="s">
        <v>3061</v>
      </c>
      <c r="X1662" s="264" t="s">
        <v>6927</v>
      </c>
      <c r="Y1662" s="259">
        <v>749</v>
      </c>
      <c r="Z1662" s="259" t="s">
        <v>3030</v>
      </c>
      <c r="AA1662" s="259" t="e">
        <v>#N/A</v>
      </c>
      <c r="AB1662" s="259"/>
      <c r="AC1662" s="259"/>
      <c r="AD1662" s="259"/>
      <c r="AE1662" s="259"/>
    </row>
    <row r="1663" spans="1:31">
      <c r="A1663" s="259" t="s">
        <v>1762</v>
      </c>
      <c r="B1663" s="259" t="s">
        <v>80</v>
      </c>
      <c r="C1663" s="264" t="s">
        <v>6923</v>
      </c>
      <c r="D1663" s="264" t="s">
        <v>1762</v>
      </c>
      <c r="E1663" s="259" t="s">
        <v>6924</v>
      </c>
      <c r="H1663" s="264" t="s">
        <v>6928</v>
      </c>
      <c r="I1663" s="264" t="s">
        <v>6929</v>
      </c>
      <c r="J1663" s="295">
        <v>2640</v>
      </c>
      <c r="K1663" s="295">
        <v>1789</v>
      </c>
      <c r="L1663" s="295">
        <v>1320</v>
      </c>
      <c r="O1663" s="266">
        <v>0</v>
      </c>
      <c r="P1663" s="266">
        <v>50036903660</v>
      </c>
      <c r="R1663" s="265">
        <v>30</v>
      </c>
      <c r="S1663" s="265">
        <v>14</v>
      </c>
      <c r="T1663" s="265">
        <v>12</v>
      </c>
      <c r="U1663" s="265">
        <v>18</v>
      </c>
      <c r="V1663" s="259" t="s">
        <v>4159</v>
      </c>
      <c r="W1663" s="259" t="s">
        <v>3061</v>
      </c>
      <c r="X1663" s="264" t="s">
        <v>6927</v>
      </c>
      <c r="Y1663" s="259">
        <v>750</v>
      </c>
      <c r="Z1663" s="259" t="s">
        <v>3030</v>
      </c>
      <c r="AA1663" s="259" t="e">
        <v>#N/A</v>
      </c>
      <c r="AB1663" s="259"/>
      <c r="AC1663" s="259"/>
      <c r="AD1663" s="259"/>
      <c r="AE1663" s="259"/>
    </row>
    <row r="1664" spans="1:31">
      <c r="A1664" s="259" t="s">
        <v>1763</v>
      </c>
      <c r="B1664" s="259" t="s">
        <v>80</v>
      </c>
      <c r="C1664" s="264" t="s">
        <v>6923</v>
      </c>
      <c r="D1664" s="264" t="s">
        <v>1763</v>
      </c>
      <c r="E1664" s="259" t="s">
        <v>6924</v>
      </c>
      <c r="H1664" s="264" t="s">
        <v>6930</v>
      </c>
      <c r="I1664" s="264" t="s">
        <v>6931</v>
      </c>
      <c r="J1664" s="295">
        <v>4140</v>
      </c>
      <c r="K1664" s="295">
        <v>2719</v>
      </c>
      <c r="L1664" s="295">
        <v>2070</v>
      </c>
      <c r="O1664" s="266">
        <v>0</v>
      </c>
      <c r="P1664" s="266">
        <v>50036902939</v>
      </c>
      <c r="R1664" s="265">
        <v>55</v>
      </c>
      <c r="S1664" s="265">
        <v>19</v>
      </c>
      <c r="T1664" s="265">
        <v>18</v>
      </c>
      <c r="U1664" s="265">
        <v>26</v>
      </c>
      <c r="V1664" s="259" t="s">
        <v>4159</v>
      </c>
      <c r="W1664" s="259" t="s">
        <v>3061</v>
      </c>
      <c r="X1664" s="264" t="s">
        <v>6932</v>
      </c>
      <c r="Y1664" s="259">
        <v>751</v>
      </c>
      <c r="Z1664" s="259" t="s">
        <v>3030</v>
      </c>
      <c r="AA1664" s="259" t="e">
        <v>#N/A</v>
      </c>
      <c r="AB1664" s="259"/>
      <c r="AC1664" s="259"/>
      <c r="AD1664" s="259"/>
      <c r="AE1664" s="259"/>
    </row>
    <row r="1665" spans="1:31">
      <c r="A1665" s="259" t="s">
        <v>1764</v>
      </c>
      <c r="B1665" s="259" t="s">
        <v>80</v>
      </c>
      <c r="C1665" s="264" t="s">
        <v>6923</v>
      </c>
      <c r="D1665" s="264" t="s">
        <v>1764</v>
      </c>
      <c r="E1665" s="259" t="s">
        <v>6924</v>
      </c>
      <c r="H1665" s="264" t="s">
        <v>6933</v>
      </c>
      <c r="I1665" s="264" t="s">
        <v>6934</v>
      </c>
      <c r="J1665" s="295">
        <v>4140</v>
      </c>
      <c r="K1665" s="295">
        <v>2719</v>
      </c>
      <c r="L1665" s="295">
        <v>2070</v>
      </c>
      <c r="O1665" s="266">
        <v>0</v>
      </c>
      <c r="P1665" s="266">
        <v>691991003776</v>
      </c>
      <c r="R1665" s="265">
        <v>55.4</v>
      </c>
      <c r="S1665" s="265">
        <v>18</v>
      </c>
      <c r="T1665" s="265">
        <v>18.5</v>
      </c>
      <c r="U1665" s="265">
        <v>26</v>
      </c>
      <c r="V1665" s="259" t="s">
        <v>4159</v>
      </c>
      <c r="W1665" s="259" t="s">
        <v>3061</v>
      </c>
      <c r="X1665" s="264" t="s">
        <v>6932</v>
      </c>
      <c r="Y1665" s="259">
        <v>752</v>
      </c>
      <c r="Z1665" s="259" t="s">
        <v>3030</v>
      </c>
      <c r="AA1665" s="259" t="e">
        <v>#N/A</v>
      </c>
      <c r="AB1665" s="259"/>
      <c r="AC1665" s="259"/>
      <c r="AD1665" s="259"/>
      <c r="AE1665" s="259"/>
    </row>
    <row r="1666" spans="1:31">
      <c r="A1666" s="259" t="s">
        <v>1765</v>
      </c>
      <c r="B1666" s="259" t="s">
        <v>80</v>
      </c>
      <c r="C1666" s="264" t="s">
        <v>6923</v>
      </c>
      <c r="D1666" s="264" t="s">
        <v>1765</v>
      </c>
      <c r="E1666" s="259" t="s">
        <v>6924</v>
      </c>
      <c r="H1666" s="264" t="s">
        <v>6935</v>
      </c>
      <c r="I1666" s="264" t="s">
        <v>6936</v>
      </c>
      <c r="J1666" s="295">
        <v>5186.01</v>
      </c>
      <c r="K1666" s="295">
        <v>3339</v>
      </c>
      <c r="L1666" s="295">
        <v>2593</v>
      </c>
      <c r="O1666" s="266">
        <v>0</v>
      </c>
      <c r="P1666" s="266">
        <v>50036903493</v>
      </c>
      <c r="R1666" s="265">
        <v>55</v>
      </c>
      <c r="S1666" s="265">
        <v>19</v>
      </c>
      <c r="T1666" s="265">
        <v>18</v>
      </c>
      <c r="U1666" s="265">
        <v>26</v>
      </c>
      <c r="V1666" s="259" t="s">
        <v>4159</v>
      </c>
      <c r="W1666" s="259" t="s">
        <v>3061</v>
      </c>
      <c r="X1666" s="264" t="s">
        <v>6937</v>
      </c>
      <c r="Y1666" s="259">
        <v>753</v>
      </c>
      <c r="Z1666" s="259" t="s">
        <v>3030</v>
      </c>
      <c r="AA1666" s="259" t="e">
        <v>#N/A</v>
      </c>
      <c r="AB1666" s="259"/>
      <c r="AC1666" s="259"/>
      <c r="AD1666" s="259"/>
      <c r="AE1666" s="259"/>
    </row>
    <row r="1667" spans="1:31">
      <c r="A1667" s="259" t="s">
        <v>1766</v>
      </c>
      <c r="B1667" s="259" t="s">
        <v>80</v>
      </c>
      <c r="C1667" s="264" t="s">
        <v>6923</v>
      </c>
      <c r="D1667" s="264" t="s">
        <v>1766</v>
      </c>
      <c r="E1667" s="259" t="s">
        <v>6924</v>
      </c>
      <c r="H1667" s="264" t="s">
        <v>6938</v>
      </c>
      <c r="I1667" s="264" t="s">
        <v>6939</v>
      </c>
      <c r="J1667" s="295">
        <v>3050</v>
      </c>
      <c r="K1667" s="295">
        <v>2099</v>
      </c>
      <c r="L1667" s="295">
        <v>1525</v>
      </c>
      <c r="O1667" s="266">
        <v>0</v>
      </c>
      <c r="P1667" s="266">
        <v>50036903233</v>
      </c>
      <c r="R1667" s="265">
        <v>51</v>
      </c>
      <c r="S1667" s="265">
        <v>21</v>
      </c>
      <c r="T1667" s="265">
        <v>17</v>
      </c>
      <c r="U1667" s="265">
        <v>27</v>
      </c>
      <c r="V1667" s="259" t="s">
        <v>4159</v>
      </c>
      <c r="W1667" s="259" t="s">
        <v>3061</v>
      </c>
      <c r="X1667" s="264" t="s">
        <v>6940</v>
      </c>
      <c r="Y1667" s="259">
        <v>754</v>
      </c>
      <c r="Z1667" s="259" t="s">
        <v>3030</v>
      </c>
      <c r="AA1667" s="259" t="e">
        <v>#N/A</v>
      </c>
      <c r="AB1667" s="259"/>
      <c r="AC1667" s="259"/>
      <c r="AD1667" s="259"/>
      <c r="AE1667" s="259"/>
    </row>
    <row r="1668" spans="1:31">
      <c r="A1668" s="259" t="s">
        <v>1767</v>
      </c>
      <c r="B1668" s="259" t="s">
        <v>80</v>
      </c>
      <c r="C1668" s="264" t="s">
        <v>6923</v>
      </c>
      <c r="D1668" s="264" t="s">
        <v>1767</v>
      </c>
      <c r="E1668" s="259" t="s">
        <v>6924</v>
      </c>
      <c r="H1668" s="264" t="s">
        <v>6941</v>
      </c>
      <c r="I1668" s="264" t="s">
        <v>6942</v>
      </c>
      <c r="J1668" s="295">
        <v>2280</v>
      </c>
      <c r="K1668" s="295">
        <v>1549</v>
      </c>
      <c r="L1668" s="295">
        <v>1140</v>
      </c>
      <c r="O1668" s="266">
        <v>0</v>
      </c>
      <c r="P1668" s="266">
        <v>50036903219</v>
      </c>
      <c r="R1668" s="265">
        <v>63</v>
      </c>
      <c r="S1668" s="265">
        <v>20</v>
      </c>
      <c r="T1668" s="265">
        <v>27</v>
      </c>
      <c r="U1668" s="265">
        <v>21</v>
      </c>
      <c r="V1668" s="259" t="s">
        <v>4159</v>
      </c>
      <c r="W1668" s="259" t="s">
        <v>3061</v>
      </c>
      <c r="X1668" s="264" t="s">
        <v>6943</v>
      </c>
      <c r="Y1668" s="259">
        <v>755</v>
      </c>
      <c r="Z1668" s="259" t="s">
        <v>3030</v>
      </c>
      <c r="AA1668" s="259" t="e">
        <v>#N/A</v>
      </c>
      <c r="AB1668" s="259"/>
      <c r="AC1668" s="259"/>
      <c r="AD1668" s="259"/>
      <c r="AE1668" s="259"/>
    </row>
    <row r="1669" spans="1:31">
      <c r="A1669" s="259" t="s">
        <v>1768</v>
      </c>
      <c r="B1669" s="259" t="s">
        <v>80</v>
      </c>
      <c r="C1669" s="264" t="s">
        <v>6923</v>
      </c>
      <c r="D1669" s="264" t="s">
        <v>1768</v>
      </c>
      <c r="E1669" s="259" t="s">
        <v>6924</v>
      </c>
      <c r="H1669" s="264" t="s">
        <v>6944</v>
      </c>
      <c r="I1669" s="264" t="s">
        <v>6945</v>
      </c>
      <c r="J1669" s="295">
        <v>2280</v>
      </c>
      <c r="K1669" s="295">
        <v>1549</v>
      </c>
      <c r="L1669" s="295">
        <v>1140</v>
      </c>
      <c r="O1669" s="266">
        <v>0</v>
      </c>
      <c r="P1669" s="266">
        <v>50036903677</v>
      </c>
      <c r="R1669" s="265">
        <v>63</v>
      </c>
      <c r="S1669" s="265">
        <v>20</v>
      </c>
      <c r="T1669" s="265">
        <v>27</v>
      </c>
      <c r="U1669" s="265">
        <v>21</v>
      </c>
      <c r="V1669" s="259" t="s">
        <v>4159</v>
      </c>
      <c r="W1669" s="259" t="s">
        <v>3061</v>
      </c>
      <c r="X1669" s="264" t="s">
        <v>6943</v>
      </c>
      <c r="Y1669" s="259">
        <v>756</v>
      </c>
      <c r="Z1669" s="259" t="s">
        <v>3030</v>
      </c>
      <c r="AA1669" s="259" t="e">
        <v>#N/A</v>
      </c>
      <c r="AB1669" s="259"/>
      <c r="AC1669" s="259"/>
      <c r="AD1669" s="259"/>
      <c r="AE1669" s="259"/>
    </row>
    <row r="1670" spans="1:31">
      <c r="A1670" s="259" t="s">
        <v>1769</v>
      </c>
      <c r="B1670" s="259" t="s">
        <v>80</v>
      </c>
      <c r="C1670" s="264" t="s">
        <v>6923</v>
      </c>
      <c r="D1670" s="264" t="s">
        <v>1769</v>
      </c>
      <c r="E1670" s="259" t="s">
        <v>6924</v>
      </c>
      <c r="H1670" s="264" t="s">
        <v>6946</v>
      </c>
      <c r="I1670" s="264" t="s">
        <v>6947</v>
      </c>
      <c r="J1670" s="295">
        <v>2500</v>
      </c>
      <c r="K1670" s="295">
        <v>1730</v>
      </c>
      <c r="L1670" s="295">
        <v>1250</v>
      </c>
      <c r="O1670" s="266">
        <v>0</v>
      </c>
      <c r="P1670" s="266">
        <v>50036903226</v>
      </c>
      <c r="R1670" s="265">
        <v>90</v>
      </c>
      <c r="S1670" s="265">
        <v>31</v>
      </c>
      <c r="T1670" s="265">
        <v>25</v>
      </c>
      <c r="U1670" s="265">
        <v>22</v>
      </c>
      <c r="V1670" s="259" t="s">
        <v>4159</v>
      </c>
      <c r="W1670" s="259" t="s">
        <v>3061</v>
      </c>
      <c r="X1670" s="264" t="s">
        <v>6948</v>
      </c>
      <c r="Y1670" s="259">
        <v>757</v>
      </c>
      <c r="Z1670" s="259" t="s">
        <v>3030</v>
      </c>
      <c r="AA1670" s="259" t="e">
        <v>#N/A</v>
      </c>
      <c r="AB1670" s="259"/>
      <c r="AC1670" s="259"/>
      <c r="AD1670" s="259"/>
      <c r="AE1670" s="259"/>
    </row>
    <row r="1671" spans="1:31">
      <c r="A1671" s="259" t="s">
        <v>1770</v>
      </c>
      <c r="B1671" s="259" t="s">
        <v>80</v>
      </c>
      <c r="C1671" s="264" t="s">
        <v>6923</v>
      </c>
      <c r="D1671" s="264" t="s">
        <v>1770</v>
      </c>
      <c r="E1671" s="259" t="s">
        <v>6924</v>
      </c>
      <c r="H1671" s="264" t="s">
        <v>6949</v>
      </c>
      <c r="I1671" s="264" t="s">
        <v>6950</v>
      </c>
      <c r="J1671" s="295">
        <v>3590</v>
      </c>
      <c r="K1671" s="295">
        <v>2479</v>
      </c>
      <c r="L1671" s="295">
        <v>1795</v>
      </c>
      <c r="O1671" s="266">
        <v>0</v>
      </c>
      <c r="P1671" s="266">
        <v>50036903509</v>
      </c>
      <c r="R1671" s="265">
        <v>85</v>
      </c>
      <c r="S1671" s="265">
        <v>33</v>
      </c>
      <c r="T1671" s="265">
        <v>25</v>
      </c>
      <c r="U1671" s="265">
        <v>22</v>
      </c>
      <c r="V1671" s="259" t="s">
        <v>4159</v>
      </c>
      <c r="W1671" s="259" t="s">
        <v>3061</v>
      </c>
      <c r="X1671" s="264" t="s">
        <v>6951</v>
      </c>
      <c r="Y1671" s="259">
        <v>758</v>
      </c>
      <c r="Z1671" s="259" t="s">
        <v>3030</v>
      </c>
      <c r="AA1671" s="259" t="e">
        <v>#N/A</v>
      </c>
      <c r="AB1671" s="259"/>
      <c r="AC1671" s="259"/>
      <c r="AD1671" s="259"/>
      <c r="AE1671" s="259"/>
    </row>
    <row r="1672" spans="1:31">
      <c r="A1672" s="259" t="s">
        <v>1771</v>
      </c>
      <c r="B1672" s="259" t="s">
        <v>80</v>
      </c>
      <c r="C1672" s="264" t="s">
        <v>6923</v>
      </c>
      <c r="D1672" s="264" t="s">
        <v>1771</v>
      </c>
      <c r="E1672" s="259" t="s">
        <v>6924</v>
      </c>
      <c r="H1672" s="264" t="s">
        <v>6952</v>
      </c>
      <c r="I1672" s="264" t="s">
        <v>6953</v>
      </c>
      <c r="J1672" s="295">
        <v>2500</v>
      </c>
      <c r="K1672" s="295">
        <v>1730</v>
      </c>
      <c r="L1672" s="295">
        <v>1250</v>
      </c>
      <c r="O1672" s="266">
        <v>0</v>
      </c>
      <c r="P1672" s="266">
        <v>50036903523</v>
      </c>
      <c r="R1672" s="265">
        <v>79</v>
      </c>
      <c r="S1672" s="265">
        <v>30</v>
      </c>
      <c r="T1672" s="265">
        <v>25</v>
      </c>
      <c r="U1672" s="265">
        <v>22</v>
      </c>
      <c r="V1672" s="259" t="s">
        <v>4159</v>
      </c>
      <c r="X1672" s="264" t="s">
        <v>6948</v>
      </c>
      <c r="Y1672" s="259">
        <v>759</v>
      </c>
      <c r="Z1672" s="259" t="s">
        <v>3030</v>
      </c>
      <c r="AA1672" s="259" t="e">
        <v>#N/A</v>
      </c>
      <c r="AB1672" s="259"/>
      <c r="AC1672" s="259"/>
      <c r="AD1672" s="259"/>
      <c r="AE1672" s="259"/>
    </row>
    <row r="1673" spans="1:31">
      <c r="A1673" s="259" t="s">
        <v>1772</v>
      </c>
      <c r="B1673" s="259" t="s">
        <v>80</v>
      </c>
      <c r="C1673" s="264" t="s">
        <v>6923</v>
      </c>
      <c r="D1673" s="264" t="s">
        <v>6954</v>
      </c>
      <c r="E1673" s="259" t="s">
        <v>6924</v>
      </c>
      <c r="H1673" s="264" t="s">
        <v>6955</v>
      </c>
      <c r="I1673" s="264" t="s">
        <v>6956</v>
      </c>
      <c r="J1673" s="295">
        <v>1580</v>
      </c>
      <c r="K1673" s="295">
        <v>1259</v>
      </c>
      <c r="L1673" s="295">
        <v>790</v>
      </c>
      <c r="O1673" s="266">
        <v>0</v>
      </c>
      <c r="P1673" s="266">
        <v>691991033452</v>
      </c>
      <c r="R1673" s="265">
        <v>14.1</v>
      </c>
      <c r="S1673" s="265">
        <v>28</v>
      </c>
      <c r="T1673" s="265">
        <v>11</v>
      </c>
      <c r="U1673" s="265">
        <v>3</v>
      </c>
      <c r="V1673" s="259" t="s">
        <v>4159</v>
      </c>
      <c r="W1673" s="259" t="s">
        <v>3061</v>
      </c>
      <c r="Y1673" s="259">
        <v>760</v>
      </c>
      <c r="Z1673" s="259" t="s">
        <v>3030</v>
      </c>
      <c r="AA1673" s="259" t="e">
        <v>#N/A</v>
      </c>
      <c r="AB1673" s="259"/>
      <c r="AC1673" s="259"/>
      <c r="AD1673" s="259"/>
      <c r="AE1673" s="259"/>
    </row>
    <row r="1674" spans="1:31">
      <c r="A1674" s="259" t="s">
        <v>1773</v>
      </c>
      <c r="B1674" s="259" t="s">
        <v>80</v>
      </c>
      <c r="C1674" s="264" t="s">
        <v>6923</v>
      </c>
      <c r="D1674" s="264" t="s">
        <v>1773</v>
      </c>
      <c r="E1674" s="259" t="s">
        <v>6924</v>
      </c>
      <c r="H1674" s="264" t="s">
        <v>6957</v>
      </c>
      <c r="I1674" s="264" t="s">
        <v>6958</v>
      </c>
      <c r="J1674" s="295">
        <v>936</v>
      </c>
      <c r="K1674" s="295">
        <v>779</v>
      </c>
      <c r="L1674" s="295">
        <v>468</v>
      </c>
      <c r="O1674" s="266">
        <v>0</v>
      </c>
      <c r="P1674" s="266">
        <v>50036903202</v>
      </c>
      <c r="R1674" s="265">
        <v>6.8</v>
      </c>
      <c r="S1674" s="265">
        <v>3</v>
      </c>
      <c r="T1674" s="265">
        <v>22</v>
      </c>
      <c r="U1674" s="265">
        <v>3</v>
      </c>
      <c r="V1674" s="259" t="s">
        <v>4159</v>
      </c>
      <c r="Y1674" s="259">
        <v>761</v>
      </c>
      <c r="Z1674" s="259" t="s">
        <v>3030</v>
      </c>
      <c r="AA1674" s="259" t="e">
        <v>#N/A</v>
      </c>
      <c r="AB1674" s="259"/>
      <c r="AC1674" s="259"/>
      <c r="AD1674" s="259"/>
      <c r="AE1674" s="259"/>
    </row>
    <row r="1675" spans="1:31">
      <c r="A1675" s="259" t="s">
        <v>1774</v>
      </c>
      <c r="B1675" s="259" t="s">
        <v>80</v>
      </c>
      <c r="C1675" s="264"/>
      <c r="D1675" s="264"/>
      <c r="H1675" s="264"/>
      <c r="I1675" s="264"/>
      <c r="J1675" s="295">
        <v>0</v>
      </c>
      <c r="K1675" s="295">
        <v>0</v>
      </c>
      <c r="L1675" s="295">
        <v>0</v>
      </c>
      <c r="O1675" s="266"/>
      <c r="R1675" s="265">
        <v>0</v>
      </c>
      <c r="S1675" s="265">
        <v>0</v>
      </c>
      <c r="T1675" s="265">
        <v>0</v>
      </c>
      <c r="U1675" s="265">
        <v>0</v>
      </c>
      <c r="V1675" s="259" t="s">
        <v>3028</v>
      </c>
      <c r="W1675" s="259" t="s">
        <v>3029</v>
      </c>
      <c r="Y1675" s="259">
        <v>762</v>
      </c>
      <c r="AA1675" s="259" t="e">
        <v>#N/A</v>
      </c>
      <c r="AB1675" s="259"/>
      <c r="AC1675" s="259"/>
      <c r="AD1675" s="259"/>
      <c r="AE1675" s="259"/>
    </row>
    <row r="1676" spans="1:31">
      <c r="A1676" s="259" t="s">
        <v>1775</v>
      </c>
      <c r="B1676" s="259" t="s">
        <v>80</v>
      </c>
      <c r="C1676" s="264" t="s">
        <v>6959</v>
      </c>
      <c r="D1676" s="264" t="s">
        <v>1775</v>
      </c>
      <c r="E1676" s="259" t="s">
        <v>6960</v>
      </c>
      <c r="G1676" s="259" t="s">
        <v>4048</v>
      </c>
      <c r="H1676" s="264" t="s">
        <v>6961</v>
      </c>
      <c r="I1676" s="264" t="s">
        <v>6961</v>
      </c>
      <c r="J1676" s="295">
        <v>1825.22</v>
      </c>
      <c r="K1676" s="295">
        <v>1289</v>
      </c>
      <c r="L1676" s="295">
        <v>966.06</v>
      </c>
      <c r="O1676" s="266"/>
      <c r="P1676" s="266">
        <v>691991034879</v>
      </c>
      <c r="R1676" s="265">
        <v>42.55</v>
      </c>
      <c r="S1676" s="265">
        <v>19.3</v>
      </c>
      <c r="T1676" s="265">
        <v>12.6</v>
      </c>
      <c r="U1676" s="265">
        <v>79</v>
      </c>
      <c r="V1676" s="259" t="s">
        <v>3028</v>
      </c>
      <c r="W1676" s="259" t="s">
        <v>3029</v>
      </c>
      <c r="Y1676" s="259">
        <v>763</v>
      </c>
      <c r="Z1676" s="259" t="s">
        <v>3030</v>
      </c>
      <c r="AA1676" s="259" t="e">
        <v>#N/A</v>
      </c>
      <c r="AB1676" s="259"/>
      <c r="AC1676" s="259"/>
      <c r="AD1676" s="259"/>
      <c r="AE1676" s="259"/>
    </row>
    <row r="1677" spans="1:31">
      <c r="A1677" s="259" t="s">
        <v>1776</v>
      </c>
      <c r="B1677" s="259" t="s">
        <v>80</v>
      </c>
      <c r="C1677" s="264" t="s">
        <v>6959</v>
      </c>
      <c r="D1677" s="264" t="s">
        <v>1776</v>
      </c>
      <c r="E1677" s="259" t="s">
        <v>6962</v>
      </c>
      <c r="G1677" s="259" t="s">
        <v>4048</v>
      </c>
      <c r="H1677" s="264" t="s">
        <v>6963</v>
      </c>
      <c r="I1677" s="264" t="s">
        <v>6963</v>
      </c>
      <c r="J1677" s="295">
        <v>356.55</v>
      </c>
      <c r="K1677" s="295">
        <v>216</v>
      </c>
      <c r="L1677" s="295">
        <v>160.34</v>
      </c>
      <c r="O1677" s="266"/>
      <c r="P1677" s="266">
        <v>691991035456</v>
      </c>
      <c r="R1677" s="265"/>
      <c r="S1677" s="265">
        <v>11.81</v>
      </c>
      <c r="T1677" s="265">
        <v>7.87</v>
      </c>
      <c r="U1677" s="265">
        <v>7.87</v>
      </c>
      <c r="V1677" s="259" t="s">
        <v>3028</v>
      </c>
      <c r="W1677" s="259" t="s">
        <v>3029</v>
      </c>
      <c r="Y1677" s="259">
        <v>764</v>
      </c>
      <c r="Z1677" s="259" t="s">
        <v>3030</v>
      </c>
      <c r="AA1677" s="259" t="e">
        <v>#N/A</v>
      </c>
      <c r="AB1677" s="259"/>
      <c r="AC1677" s="259"/>
      <c r="AD1677" s="259"/>
      <c r="AE1677" s="259"/>
    </row>
    <row r="1678" spans="1:31">
      <c r="A1678" s="259" t="s">
        <v>1777</v>
      </c>
      <c r="B1678" s="259" t="s">
        <v>80</v>
      </c>
      <c r="C1678" s="264" t="s">
        <v>6959</v>
      </c>
      <c r="D1678" s="264" t="s">
        <v>1777</v>
      </c>
      <c r="E1678" s="259" t="s">
        <v>6962</v>
      </c>
      <c r="G1678" s="259" t="s">
        <v>4048</v>
      </c>
      <c r="H1678" s="264" t="s">
        <v>6964</v>
      </c>
      <c r="I1678" s="264" t="s">
        <v>6964</v>
      </c>
      <c r="J1678" s="295">
        <v>356.55</v>
      </c>
      <c r="K1678" s="295">
        <v>216</v>
      </c>
      <c r="L1678" s="295">
        <v>160.34</v>
      </c>
      <c r="O1678" s="266"/>
      <c r="P1678" s="266">
        <v>691991035401</v>
      </c>
      <c r="R1678" s="265"/>
      <c r="V1678" s="259" t="s">
        <v>3028</v>
      </c>
      <c r="W1678" s="259" t="s">
        <v>3029</v>
      </c>
      <c r="Y1678" s="259">
        <v>765</v>
      </c>
      <c r="Z1678" s="259" t="s">
        <v>4042</v>
      </c>
      <c r="AA1678" s="259" t="e">
        <v>#N/A</v>
      </c>
      <c r="AB1678" s="259"/>
      <c r="AC1678" s="259"/>
      <c r="AD1678" s="259"/>
      <c r="AE1678" s="259"/>
    </row>
    <row r="1679" spans="1:31">
      <c r="A1679" s="259" t="s">
        <v>1778</v>
      </c>
      <c r="B1679" s="259" t="s">
        <v>80</v>
      </c>
      <c r="C1679" s="264" t="s">
        <v>6959</v>
      </c>
      <c r="D1679" s="264" t="s">
        <v>6965</v>
      </c>
      <c r="E1679" s="259" t="s">
        <v>6966</v>
      </c>
      <c r="H1679" s="264" t="s">
        <v>6967</v>
      </c>
      <c r="I1679" s="264" t="s">
        <v>6968</v>
      </c>
      <c r="J1679" s="295">
        <v>823.82</v>
      </c>
      <c r="K1679" s="295">
        <v>649</v>
      </c>
      <c r="L1679" s="295">
        <v>494.29</v>
      </c>
      <c r="O1679" s="266"/>
      <c r="P1679" s="266">
        <v>691991016288</v>
      </c>
      <c r="R1679" s="265">
        <v>23.5</v>
      </c>
      <c r="S1679" s="265">
        <v>15.4331</v>
      </c>
      <c r="T1679" s="265">
        <v>13.8583</v>
      </c>
      <c r="U1679" s="265">
        <v>19.2913</v>
      </c>
      <c r="V1679" s="259" t="s">
        <v>3028</v>
      </c>
      <c r="W1679" s="259" t="s">
        <v>3029</v>
      </c>
      <c r="Y1679" s="259">
        <v>766</v>
      </c>
      <c r="Z1679" s="259" t="s">
        <v>3030</v>
      </c>
      <c r="AA1679" s="259" t="e">
        <v>#N/A</v>
      </c>
      <c r="AB1679" s="259"/>
      <c r="AC1679" s="259"/>
      <c r="AD1679" s="259"/>
      <c r="AE1679" s="259"/>
    </row>
    <row r="1680" spans="1:31">
      <c r="A1680" s="259" t="s">
        <v>1779</v>
      </c>
      <c r="B1680" s="259" t="s">
        <v>80</v>
      </c>
      <c r="C1680" s="264" t="s">
        <v>6959</v>
      </c>
      <c r="D1680" s="264" t="s">
        <v>6969</v>
      </c>
      <c r="E1680" s="259" t="s">
        <v>6962</v>
      </c>
      <c r="H1680" s="264" t="s">
        <v>6969</v>
      </c>
      <c r="I1680" s="264" t="s">
        <v>6970</v>
      </c>
      <c r="J1680" s="295">
        <v>148.55000000000001</v>
      </c>
      <c r="K1680" s="295">
        <v>119</v>
      </c>
      <c r="L1680" s="295">
        <v>89.14</v>
      </c>
      <c r="O1680" s="266">
        <v>16</v>
      </c>
      <c r="P1680" s="266">
        <v>691991033834</v>
      </c>
      <c r="R1680" s="265"/>
      <c r="S1680" s="265">
        <v>6.6535399999999996</v>
      </c>
      <c r="T1680" s="265">
        <v>3.22</v>
      </c>
      <c r="U1680" s="265">
        <v>1.870079</v>
      </c>
      <c r="V1680" s="259" t="s">
        <v>3028</v>
      </c>
      <c r="W1680" s="259" t="s">
        <v>3029</v>
      </c>
      <c r="Y1680" s="259">
        <v>767</v>
      </c>
      <c r="Z1680" s="259" t="s">
        <v>3030</v>
      </c>
      <c r="AA1680" s="259" t="e">
        <v>#N/A</v>
      </c>
      <c r="AB1680" s="259"/>
      <c r="AC1680" s="259"/>
      <c r="AD1680" s="259"/>
      <c r="AE1680" s="259"/>
    </row>
    <row r="1681" spans="1:31">
      <c r="A1681" s="259" t="s">
        <v>1780</v>
      </c>
      <c r="B1681" s="259" t="s">
        <v>80</v>
      </c>
      <c r="C1681" s="264" t="s">
        <v>6959</v>
      </c>
      <c r="D1681" s="264" t="s">
        <v>1780</v>
      </c>
      <c r="E1681" s="259" t="s">
        <v>6962</v>
      </c>
      <c r="H1681" s="264"/>
      <c r="I1681" s="264"/>
      <c r="J1681" s="295">
        <v>147.66</v>
      </c>
      <c r="K1681" s="295">
        <v>119</v>
      </c>
      <c r="L1681" s="295">
        <v>89.14</v>
      </c>
      <c r="O1681" s="266"/>
      <c r="P1681" s="266">
        <v>691991034558</v>
      </c>
      <c r="R1681" s="265">
        <v>76.058999999999997</v>
      </c>
      <c r="S1681" s="265">
        <v>18.89</v>
      </c>
      <c r="T1681" s="265">
        <v>18.897649999999999</v>
      </c>
      <c r="U1681" s="265">
        <v>23.622</v>
      </c>
      <c r="V1681" s="259" t="s">
        <v>3028</v>
      </c>
      <c r="W1681" s="259" t="s">
        <v>3029</v>
      </c>
      <c r="Y1681" s="259">
        <v>768</v>
      </c>
      <c r="Z1681" s="259" t="s">
        <v>3030</v>
      </c>
      <c r="AA1681" s="259" t="e">
        <v>#N/A</v>
      </c>
      <c r="AB1681" s="259"/>
      <c r="AC1681" s="259"/>
      <c r="AD1681" s="259"/>
      <c r="AE1681" s="259"/>
    </row>
    <row r="1682" spans="1:31">
      <c r="A1682" s="259" t="s">
        <v>1781</v>
      </c>
      <c r="B1682" s="259" t="s">
        <v>80</v>
      </c>
      <c r="C1682" s="264" t="s">
        <v>6959</v>
      </c>
      <c r="D1682" s="264" t="s">
        <v>1781</v>
      </c>
      <c r="E1682" s="259" t="s">
        <v>6962</v>
      </c>
      <c r="H1682" s="264" t="s">
        <v>6971</v>
      </c>
      <c r="I1682" s="264" t="s">
        <v>6971</v>
      </c>
      <c r="J1682" s="295">
        <v>30.01</v>
      </c>
      <c r="K1682" s="295">
        <v>20</v>
      </c>
      <c r="L1682" s="295">
        <v>18.010000000000002</v>
      </c>
      <c r="O1682" s="266"/>
      <c r="P1682" s="266">
        <v>691991033865</v>
      </c>
      <c r="R1682" s="265"/>
      <c r="V1682" s="259" t="s">
        <v>3028</v>
      </c>
      <c r="W1682" s="259" t="s">
        <v>3029</v>
      </c>
      <c r="Y1682" s="259">
        <v>769</v>
      </c>
      <c r="Z1682" s="259" t="s">
        <v>3030</v>
      </c>
      <c r="AA1682" s="259" t="e">
        <v>#N/A</v>
      </c>
      <c r="AB1682" s="259"/>
      <c r="AC1682" s="259"/>
      <c r="AD1682" s="259"/>
      <c r="AE1682" s="259"/>
    </row>
    <row r="1683" spans="1:31">
      <c r="A1683" s="259" t="s">
        <v>1782</v>
      </c>
      <c r="B1683" s="259" t="s">
        <v>80</v>
      </c>
      <c r="C1683" s="264" t="s">
        <v>6959</v>
      </c>
      <c r="D1683" s="264" t="s">
        <v>1782</v>
      </c>
      <c r="E1683" s="259" t="s">
        <v>6962</v>
      </c>
      <c r="H1683" s="264" t="s">
        <v>6972</v>
      </c>
      <c r="I1683" s="264" t="s">
        <v>6972</v>
      </c>
      <c r="J1683" s="295">
        <v>30.01</v>
      </c>
      <c r="K1683" s="295">
        <v>20</v>
      </c>
      <c r="L1683" s="295">
        <v>18.010000000000002</v>
      </c>
      <c r="O1683" s="266"/>
      <c r="P1683" s="266">
        <v>691991033858</v>
      </c>
      <c r="R1683" s="265"/>
      <c r="V1683" s="259" t="s">
        <v>3028</v>
      </c>
      <c r="W1683" s="259" t="s">
        <v>3029</v>
      </c>
      <c r="Y1683" s="259">
        <v>770</v>
      </c>
      <c r="Z1683" s="259" t="s">
        <v>3030</v>
      </c>
      <c r="AA1683" s="259" t="e">
        <v>#N/A</v>
      </c>
      <c r="AB1683" s="259"/>
      <c r="AC1683" s="259"/>
      <c r="AD1683" s="259"/>
      <c r="AE1683" s="259"/>
    </row>
    <row r="1684" spans="1:31">
      <c r="A1684" s="259" t="s">
        <v>1783</v>
      </c>
      <c r="B1684" s="259" t="s">
        <v>80</v>
      </c>
      <c r="C1684" s="264" t="s">
        <v>6959</v>
      </c>
      <c r="D1684" s="264" t="s">
        <v>1783</v>
      </c>
      <c r="E1684" s="259" t="s">
        <v>6962</v>
      </c>
      <c r="H1684" s="264" t="s">
        <v>6973</v>
      </c>
      <c r="I1684" s="264" t="s">
        <v>6974</v>
      </c>
      <c r="J1684" s="295">
        <v>1079.22</v>
      </c>
      <c r="K1684" s="295">
        <v>840</v>
      </c>
      <c r="L1684" s="295">
        <v>641.91999999999996</v>
      </c>
      <c r="O1684" s="266">
        <v>0</v>
      </c>
      <c r="P1684" s="266">
        <v>691991004896</v>
      </c>
      <c r="R1684" s="265">
        <v>50</v>
      </c>
      <c r="S1684" s="265">
        <v>16</v>
      </c>
      <c r="T1684" s="265">
        <v>30</v>
      </c>
      <c r="U1684" s="265">
        <v>22.5</v>
      </c>
      <c r="V1684" s="259" t="s">
        <v>3028</v>
      </c>
      <c r="W1684" s="259" t="s">
        <v>3029</v>
      </c>
      <c r="Y1684" s="259">
        <v>771</v>
      </c>
      <c r="Z1684" s="259" t="s">
        <v>3030</v>
      </c>
      <c r="AA1684" s="259" t="e">
        <v>#N/A</v>
      </c>
      <c r="AB1684" s="259"/>
      <c r="AC1684" s="259"/>
      <c r="AD1684" s="259"/>
      <c r="AE1684" s="259"/>
    </row>
    <row r="1685" spans="1:31">
      <c r="A1685" s="259" t="s">
        <v>1784</v>
      </c>
      <c r="B1685" s="259" t="s">
        <v>80</v>
      </c>
      <c r="C1685" s="264" t="s">
        <v>6959</v>
      </c>
      <c r="D1685" s="264" t="s">
        <v>6975</v>
      </c>
      <c r="E1685" s="259" t="s">
        <v>6962</v>
      </c>
      <c r="G1685" s="259" t="s">
        <v>4048</v>
      </c>
      <c r="H1685" s="264" t="s">
        <v>6976</v>
      </c>
      <c r="I1685" s="264" t="s">
        <v>6976</v>
      </c>
      <c r="J1685" s="295">
        <v>161.13999999999999</v>
      </c>
      <c r="K1685" s="295">
        <v>109</v>
      </c>
      <c r="L1685" s="295">
        <v>80.3</v>
      </c>
      <c r="O1685" s="266">
        <v>1</v>
      </c>
      <c r="P1685" s="266">
        <v>691991035463</v>
      </c>
      <c r="R1685" s="265">
        <v>2</v>
      </c>
      <c r="S1685" s="265">
        <v>465</v>
      </c>
      <c r="T1685" s="265">
        <v>133</v>
      </c>
      <c r="U1685" s="265">
        <v>130</v>
      </c>
      <c r="V1685" s="259" t="s">
        <v>4159</v>
      </c>
      <c r="W1685" s="259" t="s">
        <v>3061</v>
      </c>
      <c r="Y1685" s="259">
        <v>772</v>
      </c>
      <c r="Z1685" s="259" t="s">
        <v>3030</v>
      </c>
      <c r="AA1685" s="259" t="e">
        <v>#N/A</v>
      </c>
      <c r="AB1685" s="259"/>
      <c r="AC1685" s="259"/>
      <c r="AD1685" s="259"/>
      <c r="AE1685" s="259"/>
    </row>
    <row r="1686" spans="1:31">
      <c r="A1686" s="259" t="s">
        <v>1785</v>
      </c>
      <c r="B1686" s="259" t="s">
        <v>80</v>
      </c>
      <c r="C1686" s="264" t="s">
        <v>6959</v>
      </c>
      <c r="D1686" s="264" t="s">
        <v>6977</v>
      </c>
      <c r="E1686" s="259" t="s">
        <v>6978</v>
      </c>
      <c r="G1686" s="259" t="s">
        <v>4048</v>
      </c>
      <c r="H1686" s="264" t="s">
        <v>6979</v>
      </c>
      <c r="I1686" s="264" t="s">
        <v>6979</v>
      </c>
      <c r="J1686" s="295">
        <v>817.17</v>
      </c>
      <c r="K1686" s="295">
        <v>519</v>
      </c>
      <c r="L1686" s="295">
        <v>393.68</v>
      </c>
      <c r="O1686" s="266">
        <v>1</v>
      </c>
      <c r="P1686" s="266">
        <v>691991035180</v>
      </c>
      <c r="R1686" s="265">
        <v>26.455439999999999</v>
      </c>
      <c r="S1686" s="265">
        <v>13.070873199999999</v>
      </c>
      <c r="T1686" s="265">
        <v>12.007880500000001</v>
      </c>
      <c r="U1686" s="265">
        <v>23.1102487</v>
      </c>
      <c r="V1686" s="259" t="s">
        <v>4159</v>
      </c>
      <c r="W1686" s="259" t="s">
        <v>3061</v>
      </c>
      <c r="Y1686" s="259">
        <v>773</v>
      </c>
      <c r="Z1686" s="259" t="s">
        <v>3030</v>
      </c>
      <c r="AA1686" s="259" t="e">
        <v>#N/A</v>
      </c>
      <c r="AB1686" s="259"/>
      <c r="AC1686" s="259"/>
      <c r="AD1686" s="259"/>
      <c r="AE1686" s="259"/>
    </row>
    <row r="1687" spans="1:31">
      <c r="A1687" s="259" t="s">
        <v>1786</v>
      </c>
      <c r="B1687" s="259" t="s">
        <v>80</v>
      </c>
      <c r="C1687" s="264" t="s">
        <v>6959</v>
      </c>
      <c r="D1687" s="264" t="s">
        <v>6980</v>
      </c>
      <c r="E1687" s="259" t="s">
        <v>6978</v>
      </c>
      <c r="G1687" s="259" t="s">
        <v>4048</v>
      </c>
      <c r="H1687" s="264" t="s">
        <v>6981</v>
      </c>
      <c r="I1687" s="264" t="s">
        <v>6981</v>
      </c>
      <c r="J1687" s="295">
        <v>848.62</v>
      </c>
      <c r="K1687" s="295">
        <v>569</v>
      </c>
      <c r="L1687" s="295">
        <v>424.03</v>
      </c>
      <c r="O1687" s="266">
        <v>1</v>
      </c>
      <c r="P1687" s="266">
        <v>691991035135</v>
      </c>
      <c r="R1687" s="265">
        <v>32.187452</v>
      </c>
      <c r="S1687" s="265">
        <v>15.000008100000001</v>
      </c>
      <c r="T1687" s="265">
        <v>12.9133928</v>
      </c>
      <c r="U1687" s="265">
        <v>26.377967000000002</v>
      </c>
      <c r="V1687" s="259" t="s">
        <v>4159</v>
      </c>
      <c r="W1687" s="259" t="s">
        <v>3061</v>
      </c>
      <c r="Y1687" s="259">
        <v>774</v>
      </c>
      <c r="Z1687" s="259" t="s">
        <v>3030</v>
      </c>
      <c r="AA1687" s="259" t="e">
        <v>#N/A</v>
      </c>
      <c r="AB1687" s="259"/>
      <c r="AC1687" s="259"/>
      <c r="AD1687" s="259"/>
      <c r="AE1687" s="259"/>
    </row>
    <row r="1688" spans="1:31">
      <c r="A1688" s="259" t="s">
        <v>1787</v>
      </c>
      <c r="B1688" s="259" t="s">
        <v>80</v>
      </c>
      <c r="C1688" s="264" t="s">
        <v>6959</v>
      </c>
      <c r="D1688" s="264" t="s">
        <v>6982</v>
      </c>
      <c r="E1688" s="259" t="s">
        <v>6978</v>
      </c>
      <c r="G1688" s="259" t="s">
        <v>4048</v>
      </c>
      <c r="H1688" s="264" t="s">
        <v>6983</v>
      </c>
      <c r="I1688" s="264" t="s">
        <v>6983</v>
      </c>
      <c r="J1688" s="295">
        <v>897.04</v>
      </c>
      <c r="K1688" s="295">
        <v>619</v>
      </c>
      <c r="L1688" s="295">
        <v>462.27</v>
      </c>
      <c r="O1688" s="266">
        <v>1</v>
      </c>
      <c r="P1688" s="266">
        <v>691991035081</v>
      </c>
      <c r="R1688" s="265">
        <v>37.478540000000002</v>
      </c>
      <c r="S1688" s="265">
        <v>17.244103800000001</v>
      </c>
      <c r="T1688" s="265">
        <v>14.094495800000001</v>
      </c>
      <c r="U1688" s="265">
        <v>28.188991600000001</v>
      </c>
      <c r="V1688" s="259" t="s">
        <v>4159</v>
      </c>
      <c r="W1688" s="259" t="s">
        <v>3061</v>
      </c>
      <c r="Y1688" s="259">
        <v>775</v>
      </c>
      <c r="Z1688" s="259" t="s">
        <v>3030</v>
      </c>
      <c r="AA1688" s="259" t="e">
        <v>#N/A</v>
      </c>
      <c r="AB1688" s="259"/>
      <c r="AC1688" s="259"/>
      <c r="AD1688" s="259"/>
      <c r="AE1688" s="259"/>
    </row>
    <row r="1689" spans="1:31">
      <c r="A1689" s="259" t="s">
        <v>1788</v>
      </c>
      <c r="B1689" s="259" t="s">
        <v>80</v>
      </c>
      <c r="C1689" s="264" t="s">
        <v>6959</v>
      </c>
      <c r="D1689" s="264" t="s">
        <v>6984</v>
      </c>
      <c r="E1689" s="259" t="s">
        <v>6978</v>
      </c>
      <c r="G1689" s="259" t="s">
        <v>4048</v>
      </c>
      <c r="H1689" s="264" t="s">
        <v>6985</v>
      </c>
      <c r="I1689" s="264" t="s">
        <v>6985</v>
      </c>
      <c r="J1689" s="295">
        <v>1741.31</v>
      </c>
      <c r="K1689" s="295">
        <v>1239</v>
      </c>
      <c r="L1689" s="295">
        <v>924.75</v>
      </c>
      <c r="O1689" s="266">
        <v>1</v>
      </c>
      <c r="P1689" s="266">
        <v>691991035036</v>
      </c>
      <c r="R1689" s="265">
        <v>78.264009999999999</v>
      </c>
      <c r="S1689" s="265">
        <v>23.976390899999998</v>
      </c>
      <c r="T1689" s="265">
        <v>25.0787537</v>
      </c>
      <c r="U1689" s="265">
        <v>26.535447399999999</v>
      </c>
      <c r="V1689" s="259" t="s">
        <v>4159</v>
      </c>
      <c r="W1689" s="259" t="s">
        <v>3061</v>
      </c>
      <c r="Y1689" s="259">
        <v>776</v>
      </c>
      <c r="Z1689" s="259" t="s">
        <v>3030</v>
      </c>
      <c r="AA1689" s="259" t="e">
        <v>#N/A</v>
      </c>
      <c r="AB1689" s="259"/>
      <c r="AC1689" s="259"/>
      <c r="AD1689" s="259"/>
      <c r="AE1689" s="259"/>
    </row>
    <row r="1690" spans="1:31">
      <c r="A1690" s="259" t="s">
        <v>1789</v>
      </c>
      <c r="B1690" s="259" t="s">
        <v>80</v>
      </c>
      <c r="C1690" s="264"/>
      <c r="D1690" s="264"/>
      <c r="H1690" s="264"/>
      <c r="I1690" s="264"/>
      <c r="J1690" s="295">
        <v>0</v>
      </c>
      <c r="K1690" s="295">
        <v>0</v>
      </c>
      <c r="L1690" s="295">
        <v>0</v>
      </c>
      <c r="O1690" s="266"/>
      <c r="R1690" s="265">
        <v>0</v>
      </c>
      <c r="S1690" s="265">
        <v>0</v>
      </c>
      <c r="T1690" s="265">
        <v>0</v>
      </c>
      <c r="U1690" s="265">
        <v>0</v>
      </c>
      <c r="V1690" s="259" t="s">
        <v>4159</v>
      </c>
      <c r="W1690" s="259" t="s">
        <v>3061</v>
      </c>
      <c r="Y1690" s="259">
        <v>777</v>
      </c>
      <c r="AA1690" s="259" t="e">
        <v>#N/A</v>
      </c>
      <c r="AB1690" s="259"/>
      <c r="AC1690" s="259"/>
      <c r="AD1690" s="259"/>
      <c r="AE1690" s="259"/>
    </row>
    <row r="1691" spans="1:31">
      <c r="A1691" s="259" t="s">
        <v>1790</v>
      </c>
      <c r="B1691" s="259" t="s">
        <v>80</v>
      </c>
      <c r="C1691" s="264" t="s">
        <v>6986</v>
      </c>
      <c r="D1691" s="264" t="s">
        <v>6987</v>
      </c>
      <c r="E1691" s="259" t="s">
        <v>6988</v>
      </c>
      <c r="H1691" s="264" t="s">
        <v>6989</v>
      </c>
      <c r="I1691" s="264" t="s">
        <v>6989</v>
      </c>
      <c r="J1691" s="295">
        <v>521.91999999999996</v>
      </c>
      <c r="K1691" s="295">
        <v>415</v>
      </c>
      <c r="L1691" s="295">
        <v>310.32</v>
      </c>
      <c r="O1691" s="266">
        <v>0</v>
      </c>
      <c r="P1691" s="266">
        <v>691991033506</v>
      </c>
      <c r="R1691" s="265">
        <v>20.5</v>
      </c>
      <c r="S1691" s="265">
        <v>10.87</v>
      </c>
      <c r="T1691" s="265">
        <v>13.35</v>
      </c>
      <c r="U1691" s="265">
        <v>20.350000000000001</v>
      </c>
      <c r="V1691" s="259" t="s">
        <v>3028</v>
      </c>
      <c r="W1691" s="259" t="s">
        <v>3029</v>
      </c>
      <c r="Y1691" s="259">
        <v>778</v>
      </c>
      <c r="Z1691" s="259" t="s">
        <v>3030</v>
      </c>
      <c r="AA1691" s="259" t="e">
        <v>#N/A</v>
      </c>
      <c r="AB1691" s="259"/>
      <c r="AC1691" s="259"/>
      <c r="AD1691" s="259"/>
      <c r="AE1691" s="259"/>
    </row>
    <row r="1692" spans="1:31">
      <c r="A1692" s="259" t="s">
        <v>1791</v>
      </c>
      <c r="B1692" s="259" t="s">
        <v>80</v>
      </c>
      <c r="C1692" s="264" t="s">
        <v>6986</v>
      </c>
      <c r="D1692" s="264" t="s">
        <v>6990</v>
      </c>
      <c r="E1692" s="259" t="s">
        <v>6988</v>
      </c>
      <c r="H1692" s="264" t="s">
        <v>6991</v>
      </c>
      <c r="I1692" s="264" t="s">
        <v>6991</v>
      </c>
      <c r="J1692" s="295">
        <v>583.79999999999995</v>
      </c>
      <c r="K1692" s="295">
        <v>465</v>
      </c>
      <c r="L1692" s="295">
        <v>349.36</v>
      </c>
      <c r="O1692" s="266">
        <v>0</v>
      </c>
      <c r="P1692" s="266">
        <v>691991033544</v>
      </c>
      <c r="R1692" s="265">
        <v>32</v>
      </c>
      <c r="S1692" s="265">
        <v>12.64</v>
      </c>
      <c r="T1692" s="265">
        <v>16.61</v>
      </c>
      <c r="U1692" s="265">
        <v>25.59</v>
      </c>
      <c r="V1692" s="259" t="s">
        <v>3028</v>
      </c>
      <c r="W1692" s="259" t="s">
        <v>3029</v>
      </c>
      <c r="Y1692" s="259">
        <v>779</v>
      </c>
      <c r="Z1692" s="259" t="s">
        <v>3030</v>
      </c>
      <c r="AA1692" s="259" t="e">
        <v>#N/A</v>
      </c>
      <c r="AB1692" s="259"/>
      <c r="AC1692" s="259"/>
      <c r="AD1692" s="259"/>
      <c r="AE1692" s="259"/>
    </row>
    <row r="1693" spans="1:31">
      <c r="A1693" s="259" t="s">
        <v>1792</v>
      </c>
      <c r="B1693" s="259" t="s">
        <v>80</v>
      </c>
      <c r="C1693" s="264" t="s">
        <v>6986</v>
      </c>
      <c r="D1693" s="264" t="s">
        <v>6992</v>
      </c>
      <c r="E1693" s="259" t="s">
        <v>6988</v>
      </c>
      <c r="H1693" s="264" t="s">
        <v>6993</v>
      </c>
      <c r="I1693" s="264" t="s">
        <v>6993</v>
      </c>
      <c r="J1693" s="295">
        <v>1030.48</v>
      </c>
      <c r="K1693" s="295">
        <v>825</v>
      </c>
      <c r="L1693" s="295">
        <v>617.71</v>
      </c>
      <c r="O1693" s="266">
        <v>0</v>
      </c>
      <c r="P1693" s="266">
        <v>691991034220</v>
      </c>
      <c r="R1693" s="265">
        <v>76</v>
      </c>
      <c r="S1693" s="265">
        <v>18.897600000000001</v>
      </c>
      <c r="T1693" s="265">
        <v>18.897600000000001</v>
      </c>
      <c r="U1693" s="265">
        <v>23.622</v>
      </c>
      <c r="V1693" s="259" t="s">
        <v>3028</v>
      </c>
      <c r="W1693" s="259" t="s">
        <v>3029</v>
      </c>
      <c r="Y1693" s="259">
        <v>780</v>
      </c>
      <c r="Z1693" s="259" t="s">
        <v>3030</v>
      </c>
      <c r="AA1693" s="259" t="e">
        <v>#N/A</v>
      </c>
      <c r="AB1693" s="259"/>
      <c r="AC1693" s="259"/>
      <c r="AD1693" s="259"/>
      <c r="AE1693" s="259"/>
    </row>
    <row r="1694" spans="1:31">
      <c r="A1694" s="259" t="s">
        <v>1793</v>
      </c>
      <c r="B1694" s="259" t="s">
        <v>80</v>
      </c>
      <c r="C1694" s="264"/>
      <c r="D1694" s="264"/>
      <c r="H1694" s="264"/>
      <c r="I1694" s="264"/>
      <c r="J1694" s="295">
        <v>0</v>
      </c>
      <c r="K1694" s="295">
        <v>0</v>
      </c>
      <c r="L1694" s="295">
        <v>0</v>
      </c>
      <c r="O1694" s="266"/>
      <c r="R1694" s="265">
        <v>0</v>
      </c>
      <c r="S1694" s="265">
        <v>0</v>
      </c>
      <c r="T1694" s="265">
        <v>0</v>
      </c>
      <c r="U1694" s="265">
        <v>0</v>
      </c>
      <c r="V1694" s="259" t="s">
        <v>4159</v>
      </c>
      <c r="W1694" s="259" t="s">
        <v>3061</v>
      </c>
      <c r="Y1694" s="259">
        <v>782</v>
      </c>
      <c r="AA1694" s="259" t="e">
        <v>#N/A</v>
      </c>
      <c r="AB1694" s="259"/>
      <c r="AC1694" s="259"/>
      <c r="AD1694" s="259"/>
      <c r="AE1694" s="259"/>
    </row>
    <row r="1695" spans="1:31">
      <c r="A1695" s="259" t="s">
        <v>1795</v>
      </c>
      <c r="B1695" s="259" t="s">
        <v>80</v>
      </c>
      <c r="C1695" s="264" t="s">
        <v>6994</v>
      </c>
      <c r="D1695" s="264" t="s">
        <v>1795</v>
      </c>
      <c r="E1695" s="259" t="s">
        <v>6995</v>
      </c>
      <c r="H1695" s="264" t="s">
        <v>6999</v>
      </c>
      <c r="I1695" s="264" t="s">
        <v>7000</v>
      </c>
      <c r="J1695" s="295">
        <v>471.43</v>
      </c>
      <c r="K1695" s="295">
        <v>370</v>
      </c>
      <c r="L1695" s="295">
        <v>268.70999999999998</v>
      </c>
      <c r="O1695" s="266">
        <v>0</v>
      </c>
      <c r="P1695" s="266">
        <v>50036904506</v>
      </c>
      <c r="R1695" s="265">
        <v>66.5</v>
      </c>
      <c r="S1695" s="265">
        <v>19.5</v>
      </c>
      <c r="T1695" s="265">
        <v>18.5</v>
      </c>
      <c r="U1695" s="265">
        <v>29</v>
      </c>
      <c r="V1695" s="259" t="s">
        <v>4159</v>
      </c>
      <c r="W1695" s="259" t="s">
        <v>3061</v>
      </c>
      <c r="X1695" s="264" t="s">
        <v>7001</v>
      </c>
      <c r="Y1695" s="259">
        <v>783</v>
      </c>
      <c r="Z1695" s="259" t="s">
        <v>3030</v>
      </c>
      <c r="AA1695" s="259" t="e">
        <v>#N/A</v>
      </c>
      <c r="AB1695" s="259"/>
      <c r="AC1695" s="259"/>
      <c r="AD1695" s="259"/>
      <c r="AE1695" s="259"/>
    </row>
    <row r="1696" spans="1:31">
      <c r="A1696" s="259" t="s">
        <v>1794</v>
      </c>
      <c r="B1696" s="259" t="s">
        <v>80</v>
      </c>
      <c r="C1696" s="264" t="s">
        <v>6994</v>
      </c>
      <c r="D1696" s="264" t="s">
        <v>1794</v>
      </c>
      <c r="E1696" s="259" t="s">
        <v>6995</v>
      </c>
      <c r="H1696" s="264" t="s">
        <v>6996</v>
      </c>
      <c r="I1696" s="264" t="s">
        <v>6997</v>
      </c>
      <c r="J1696" s="295">
        <v>393.28</v>
      </c>
      <c r="K1696" s="295">
        <v>309</v>
      </c>
      <c r="L1696" s="295">
        <v>223.71</v>
      </c>
      <c r="O1696" s="266">
        <v>0</v>
      </c>
      <c r="P1696" s="266">
        <v>50036904490</v>
      </c>
      <c r="R1696" s="265">
        <v>46</v>
      </c>
      <c r="S1696" s="265">
        <v>17</v>
      </c>
      <c r="T1696" s="265">
        <v>14.25</v>
      </c>
      <c r="U1696" s="265">
        <v>24.75</v>
      </c>
      <c r="V1696" s="259" t="s">
        <v>4159</v>
      </c>
      <c r="W1696" s="259" t="s">
        <v>3061</v>
      </c>
      <c r="X1696" s="264" t="s">
        <v>6998</v>
      </c>
      <c r="Y1696" s="259">
        <v>784</v>
      </c>
      <c r="Z1696" s="259" t="s">
        <v>3030</v>
      </c>
      <c r="AA1696" s="259" t="e">
        <v>#N/A</v>
      </c>
      <c r="AB1696" s="259"/>
      <c r="AC1696" s="259"/>
      <c r="AD1696" s="259"/>
      <c r="AE1696" s="259"/>
    </row>
    <row r="1697" spans="1:31">
      <c r="A1697" s="259" t="s">
        <v>1797</v>
      </c>
      <c r="B1697" s="259" t="s">
        <v>80</v>
      </c>
      <c r="C1697" s="264" t="s">
        <v>6994</v>
      </c>
      <c r="D1697" s="264" t="s">
        <v>1797</v>
      </c>
      <c r="E1697" s="259" t="s">
        <v>6995</v>
      </c>
      <c r="H1697" s="264" t="s">
        <v>7005</v>
      </c>
      <c r="I1697" s="264" t="s">
        <v>7006</v>
      </c>
      <c r="J1697" s="295">
        <v>708.39</v>
      </c>
      <c r="K1697" s="295">
        <v>569</v>
      </c>
      <c r="L1697" s="295">
        <v>403.71</v>
      </c>
      <c r="O1697" s="266">
        <v>0</v>
      </c>
      <c r="P1697" s="266">
        <v>50036904513</v>
      </c>
      <c r="R1697" s="265">
        <v>101</v>
      </c>
      <c r="S1697" s="265">
        <v>19.75</v>
      </c>
      <c r="T1697" s="265">
        <v>18.5</v>
      </c>
      <c r="U1697" s="265">
        <v>44.5</v>
      </c>
      <c r="V1697" s="259" t="s">
        <v>4159</v>
      </c>
      <c r="X1697" s="264" t="s">
        <v>7007</v>
      </c>
      <c r="Y1697" s="259">
        <v>785</v>
      </c>
      <c r="Z1697" s="259" t="s">
        <v>3030</v>
      </c>
      <c r="AA1697" s="259" t="e">
        <v>#N/A</v>
      </c>
      <c r="AB1697" s="259"/>
      <c r="AC1697" s="259"/>
      <c r="AD1697" s="259"/>
      <c r="AE1697" s="259"/>
    </row>
    <row r="1698" spans="1:31">
      <c r="A1698" s="60" t="s">
        <v>8389</v>
      </c>
      <c r="B1698" s="60" t="s">
        <v>80</v>
      </c>
      <c r="C1698" s="45" t="s">
        <v>8390</v>
      </c>
      <c r="D1698" s="45" t="s">
        <v>8391</v>
      </c>
      <c r="E1698" s="60" t="s">
        <v>6988</v>
      </c>
      <c r="F1698" s="60" t="s">
        <v>8372</v>
      </c>
      <c r="G1698" s="60" t="s">
        <v>4048</v>
      </c>
      <c r="H1698" s="45" t="s">
        <v>8392</v>
      </c>
      <c r="I1698" s="45" t="s">
        <v>8393</v>
      </c>
      <c r="J1698" s="296">
        <v>1299</v>
      </c>
      <c r="K1698" s="296">
        <v>949</v>
      </c>
      <c r="L1698" s="296">
        <v>711.75</v>
      </c>
      <c r="M1698" s="296"/>
      <c r="N1698" s="296"/>
      <c r="O1698" s="47">
        <v>1</v>
      </c>
      <c r="P1698" s="47">
        <v>691991039898</v>
      </c>
      <c r="Q1698" s="47"/>
      <c r="R1698" s="63">
        <v>40.545540000000003</v>
      </c>
      <c r="S1698" s="63">
        <v>15.5511811023622</v>
      </c>
      <c r="T1698" s="63">
        <v>20.433070866141701</v>
      </c>
      <c r="U1698" s="63">
        <v>28.543307086614199</v>
      </c>
      <c r="V1698" s="63" t="s">
        <v>3028</v>
      </c>
      <c r="W1698" s="60"/>
      <c r="X1698" s="45" t="s">
        <v>8394</v>
      </c>
      <c r="Y1698" s="60">
        <v>785</v>
      </c>
      <c r="Z1698" s="60"/>
      <c r="AA1698" s="45" t="e">
        <v>#N/A</v>
      </c>
      <c r="AB1698" s="286"/>
      <c r="AC1698" s="287"/>
      <c r="AD1698" s="259"/>
      <c r="AE1698" s="259"/>
    </row>
    <row r="1699" spans="1:31">
      <c r="A1699" s="259" t="s">
        <v>1796</v>
      </c>
      <c r="B1699" s="259" t="s">
        <v>80</v>
      </c>
      <c r="C1699" s="264" t="s">
        <v>6994</v>
      </c>
      <c r="D1699" s="264" t="s">
        <v>1796</v>
      </c>
      <c r="E1699" s="259" t="s">
        <v>6995</v>
      </c>
      <c r="H1699" s="264" t="s">
        <v>7002</v>
      </c>
      <c r="I1699" s="264" t="s">
        <v>7003</v>
      </c>
      <c r="J1699" s="295">
        <v>786.54</v>
      </c>
      <c r="K1699" s="295">
        <v>639</v>
      </c>
      <c r="L1699" s="295">
        <v>416.56</v>
      </c>
      <c r="O1699" s="266">
        <v>0</v>
      </c>
      <c r="P1699" s="266">
        <v>50036904520</v>
      </c>
      <c r="R1699" s="265">
        <v>85</v>
      </c>
      <c r="S1699" s="265">
        <v>23</v>
      </c>
      <c r="T1699" s="265">
        <v>21.5</v>
      </c>
      <c r="U1699" s="265">
        <v>26</v>
      </c>
      <c r="V1699" s="259" t="s">
        <v>4159</v>
      </c>
      <c r="W1699" s="259" t="s">
        <v>3061</v>
      </c>
      <c r="X1699" s="264" t="s">
        <v>7004</v>
      </c>
      <c r="Y1699" s="259">
        <v>786</v>
      </c>
      <c r="Z1699" s="259" t="s">
        <v>3030</v>
      </c>
      <c r="AA1699" s="259" t="e">
        <v>#N/A</v>
      </c>
      <c r="AB1699" s="259"/>
      <c r="AC1699" s="259"/>
      <c r="AD1699" s="259"/>
      <c r="AE1699" s="259"/>
    </row>
    <row r="1700" spans="1:31">
      <c r="A1700" s="259" t="s">
        <v>1799</v>
      </c>
      <c r="B1700" s="259" t="s">
        <v>80</v>
      </c>
      <c r="C1700" s="264"/>
      <c r="D1700" s="264"/>
      <c r="H1700" s="264"/>
      <c r="I1700" s="264"/>
      <c r="J1700" s="295">
        <v>0</v>
      </c>
      <c r="K1700" s="295">
        <v>0</v>
      </c>
      <c r="L1700" s="295">
        <v>0</v>
      </c>
      <c r="O1700" s="266"/>
      <c r="R1700" s="265">
        <v>0</v>
      </c>
      <c r="S1700" s="265">
        <v>0</v>
      </c>
      <c r="T1700" s="265">
        <v>0</v>
      </c>
      <c r="U1700" s="265">
        <v>0</v>
      </c>
      <c r="V1700" s="259" t="s">
        <v>4159</v>
      </c>
      <c r="W1700" s="259" t="s">
        <v>3061</v>
      </c>
      <c r="Y1700" s="259">
        <v>787</v>
      </c>
      <c r="AA1700" s="259" t="e">
        <v>#N/A</v>
      </c>
      <c r="AB1700" s="259"/>
      <c r="AC1700" s="259"/>
      <c r="AD1700" s="259"/>
      <c r="AE1700" s="259"/>
    </row>
    <row r="1701" spans="1:31">
      <c r="A1701" s="259" t="s">
        <v>1798</v>
      </c>
      <c r="B1701" s="259" t="s">
        <v>80</v>
      </c>
      <c r="C1701" s="264"/>
      <c r="D1701" s="264"/>
      <c r="H1701" s="264"/>
      <c r="I1701" s="264"/>
      <c r="J1701" s="295">
        <v>0</v>
      </c>
      <c r="K1701" s="295">
        <v>0</v>
      </c>
      <c r="L1701" s="295">
        <v>0</v>
      </c>
      <c r="O1701" s="266"/>
      <c r="R1701" s="265">
        <v>0</v>
      </c>
      <c r="S1701" s="265">
        <v>0</v>
      </c>
      <c r="T1701" s="265">
        <v>0</v>
      </c>
      <c r="U1701" s="265">
        <v>0</v>
      </c>
      <c r="V1701" s="259"/>
      <c r="Y1701" s="259">
        <v>788</v>
      </c>
      <c r="AA1701" s="259" t="e">
        <v>#N/A</v>
      </c>
      <c r="AB1701" s="259"/>
      <c r="AC1701" s="259"/>
      <c r="AD1701" s="259"/>
      <c r="AE1701" s="259"/>
    </row>
    <row r="1702" spans="1:31">
      <c r="A1702" s="259" t="s">
        <v>1801</v>
      </c>
      <c r="B1702" s="259" t="s">
        <v>80</v>
      </c>
      <c r="C1702" s="264" t="s">
        <v>7008</v>
      </c>
      <c r="D1702" s="264" t="s">
        <v>1801</v>
      </c>
      <c r="E1702" s="259" t="s">
        <v>7009</v>
      </c>
      <c r="H1702" s="264" t="s">
        <v>7013</v>
      </c>
      <c r="I1702" s="264" t="s">
        <v>7014</v>
      </c>
      <c r="J1702" s="295">
        <v>973.09</v>
      </c>
      <c r="K1702" s="295">
        <v>779</v>
      </c>
      <c r="L1702" s="295">
        <v>583.86</v>
      </c>
      <c r="O1702" s="266">
        <v>0</v>
      </c>
      <c r="P1702" s="266">
        <v>50036904391</v>
      </c>
      <c r="R1702" s="265">
        <v>43</v>
      </c>
      <c r="S1702" s="265">
        <v>21</v>
      </c>
      <c r="T1702" s="265">
        <v>21</v>
      </c>
      <c r="U1702" s="265">
        <v>25</v>
      </c>
      <c r="V1702" s="259" t="s">
        <v>4159</v>
      </c>
      <c r="W1702" s="259" t="s">
        <v>3061</v>
      </c>
      <c r="X1702" s="264" t="s">
        <v>7015</v>
      </c>
      <c r="Y1702" s="259">
        <v>789</v>
      </c>
      <c r="Z1702" s="259" t="s">
        <v>3030</v>
      </c>
      <c r="AA1702" s="259" t="e">
        <v>#N/A</v>
      </c>
      <c r="AB1702" s="259"/>
      <c r="AC1702" s="259"/>
      <c r="AD1702" s="259"/>
      <c r="AE1702" s="259"/>
    </row>
    <row r="1703" spans="1:31">
      <c r="A1703" s="259" t="s">
        <v>1800</v>
      </c>
      <c r="B1703" s="259" t="s">
        <v>80</v>
      </c>
      <c r="C1703" s="264" t="s">
        <v>7008</v>
      </c>
      <c r="D1703" s="264" t="s">
        <v>1800</v>
      </c>
      <c r="E1703" s="259" t="s">
        <v>7009</v>
      </c>
      <c r="H1703" s="264" t="s">
        <v>7010</v>
      </c>
      <c r="I1703" s="264" t="s">
        <v>7011</v>
      </c>
      <c r="J1703" s="295">
        <v>831.61</v>
      </c>
      <c r="K1703" s="295">
        <v>669</v>
      </c>
      <c r="L1703" s="295">
        <v>498.96</v>
      </c>
      <c r="O1703" s="266">
        <v>0</v>
      </c>
      <c r="P1703" s="266">
        <v>50036904032</v>
      </c>
      <c r="R1703" s="265">
        <v>36</v>
      </c>
      <c r="S1703" s="265">
        <v>20</v>
      </c>
      <c r="T1703" s="265">
        <v>19</v>
      </c>
      <c r="U1703" s="265">
        <v>24</v>
      </c>
      <c r="V1703" s="259" t="s">
        <v>4159</v>
      </c>
      <c r="W1703" s="259" t="s">
        <v>3061</v>
      </c>
      <c r="X1703" s="264" t="s">
        <v>7012</v>
      </c>
      <c r="Y1703" s="259">
        <v>790</v>
      </c>
      <c r="Z1703" s="259" t="s">
        <v>3030</v>
      </c>
      <c r="AA1703" s="259" t="e">
        <v>#N/A</v>
      </c>
      <c r="AB1703" s="259"/>
      <c r="AC1703" s="259"/>
      <c r="AD1703" s="259"/>
      <c r="AE1703" s="259"/>
    </row>
    <row r="1704" spans="1:31">
      <c r="A1704" s="259" t="s">
        <v>1803</v>
      </c>
      <c r="B1704" s="259" t="s">
        <v>80</v>
      </c>
      <c r="C1704" s="264" t="s">
        <v>7008</v>
      </c>
      <c r="D1704" s="264" t="s">
        <v>1803</v>
      </c>
      <c r="E1704" s="259" t="s">
        <v>7009</v>
      </c>
      <c r="H1704" s="264" t="s">
        <v>7019</v>
      </c>
      <c r="I1704" s="264" t="s">
        <v>7020</v>
      </c>
      <c r="J1704" s="295">
        <v>1067.4100000000001</v>
      </c>
      <c r="K1704" s="295">
        <v>859</v>
      </c>
      <c r="L1704" s="295">
        <v>640.45000000000005</v>
      </c>
      <c r="O1704" s="266">
        <v>0</v>
      </c>
      <c r="P1704" s="266">
        <v>50036904407</v>
      </c>
      <c r="R1704" s="265">
        <v>56.8</v>
      </c>
      <c r="S1704" s="265">
        <v>23</v>
      </c>
      <c r="T1704" s="265">
        <v>22</v>
      </c>
      <c r="U1704" s="265">
        <v>29</v>
      </c>
      <c r="V1704" s="259" t="s">
        <v>4159</v>
      </c>
      <c r="W1704" s="259" t="s">
        <v>3061</v>
      </c>
      <c r="X1704" s="264" t="s">
        <v>7021</v>
      </c>
      <c r="Y1704" s="259">
        <v>791</v>
      </c>
      <c r="Z1704" s="259" t="s">
        <v>3030</v>
      </c>
      <c r="AA1704" s="259" t="e">
        <v>#N/A</v>
      </c>
      <c r="AB1704" s="259"/>
      <c r="AC1704" s="259"/>
      <c r="AD1704" s="259"/>
      <c r="AE1704" s="259"/>
    </row>
    <row r="1705" spans="1:31">
      <c r="A1705" s="259" t="s">
        <v>1802</v>
      </c>
      <c r="B1705" s="259" t="s">
        <v>80</v>
      </c>
      <c r="C1705" s="264" t="s">
        <v>7008</v>
      </c>
      <c r="D1705" s="264" t="s">
        <v>1802</v>
      </c>
      <c r="E1705" s="259" t="s">
        <v>7009</v>
      </c>
      <c r="H1705" s="264" t="s">
        <v>7016</v>
      </c>
      <c r="I1705" s="264" t="s">
        <v>7017</v>
      </c>
      <c r="J1705" s="295">
        <v>910.21</v>
      </c>
      <c r="K1705" s="295">
        <v>739</v>
      </c>
      <c r="L1705" s="295">
        <v>546.13</v>
      </c>
      <c r="O1705" s="266">
        <v>0</v>
      </c>
      <c r="P1705" s="266">
        <v>50036904049</v>
      </c>
      <c r="R1705" s="265">
        <v>50</v>
      </c>
      <c r="S1705" s="265">
        <v>23</v>
      </c>
      <c r="T1705" s="265">
        <v>19</v>
      </c>
      <c r="U1705" s="265">
        <v>28</v>
      </c>
      <c r="V1705" s="259" t="s">
        <v>4159</v>
      </c>
      <c r="W1705" s="259" t="s">
        <v>3061</v>
      </c>
      <c r="X1705" s="264" t="s">
        <v>7018</v>
      </c>
      <c r="Y1705" s="259">
        <v>792</v>
      </c>
      <c r="Z1705" s="259" t="s">
        <v>3030</v>
      </c>
      <c r="AA1705" s="259" t="e">
        <v>#N/A</v>
      </c>
      <c r="AB1705" s="259"/>
      <c r="AC1705" s="259"/>
      <c r="AD1705" s="259"/>
      <c r="AE1705" s="259"/>
    </row>
    <row r="1706" spans="1:31">
      <c r="A1706" s="259" t="s">
        <v>1805</v>
      </c>
      <c r="B1706" s="259" t="s">
        <v>80</v>
      </c>
      <c r="C1706" s="264" t="s">
        <v>7008</v>
      </c>
      <c r="D1706" s="264" t="s">
        <v>1805</v>
      </c>
      <c r="E1706" s="259" t="s">
        <v>7009</v>
      </c>
      <c r="H1706" s="264" t="s">
        <v>7025</v>
      </c>
      <c r="I1706" s="264" t="s">
        <v>7026</v>
      </c>
      <c r="J1706" s="295">
        <v>1240.3399999999999</v>
      </c>
      <c r="K1706" s="295">
        <v>989</v>
      </c>
      <c r="L1706" s="295">
        <v>744.2</v>
      </c>
      <c r="O1706" s="266">
        <v>0</v>
      </c>
      <c r="P1706" s="266">
        <v>50036904056</v>
      </c>
      <c r="R1706" s="265">
        <v>88.8</v>
      </c>
      <c r="S1706" s="265">
        <v>22</v>
      </c>
      <c r="T1706" s="265">
        <v>25</v>
      </c>
      <c r="U1706" s="265">
        <v>43</v>
      </c>
      <c r="V1706" s="259" t="s">
        <v>4159</v>
      </c>
      <c r="X1706" s="264" t="s">
        <v>7027</v>
      </c>
      <c r="Y1706" s="259">
        <v>793</v>
      </c>
      <c r="Z1706" s="259" t="s">
        <v>3030</v>
      </c>
      <c r="AA1706" s="259" t="e">
        <v>#N/A</v>
      </c>
      <c r="AB1706" s="259"/>
      <c r="AC1706" s="259"/>
      <c r="AD1706" s="259"/>
      <c r="AE1706" s="259"/>
    </row>
    <row r="1707" spans="1:31">
      <c r="A1707" s="259" t="s">
        <v>1804</v>
      </c>
      <c r="B1707" s="259" t="s">
        <v>80</v>
      </c>
      <c r="C1707" s="264" t="s">
        <v>7008</v>
      </c>
      <c r="D1707" s="264" t="s">
        <v>1804</v>
      </c>
      <c r="E1707" s="259" t="s">
        <v>7009</v>
      </c>
      <c r="H1707" s="264" t="s">
        <v>7022</v>
      </c>
      <c r="I1707" s="264" t="s">
        <v>7023</v>
      </c>
      <c r="J1707" s="295">
        <v>1240.3399999999999</v>
      </c>
      <c r="K1707" s="295">
        <v>989</v>
      </c>
      <c r="L1707" s="295">
        <v>744.2</v>
      </c>
      <c r="O1707" s="266">
        <v>0</v>
      </c>
      <c r="P1707" s="266">
        <v>50036904063</v>
      </c>
      <c r="R1707" s="265">
        <v>90.9</v>
      </c>
      <c r="S1707" s="265">
        <v>29</v>
      </c>
      <c r="T1707" s="265">
        <v>26</v>
      </c>
      <c r="U1707" s="265">
        <v>29</v>
      </c>
      <c r="V1707" s="259" t="s">
        <v>4159</v>
      </c>
      <c r="W1707" s="259" t="s">
        <v>3061</v>
      </c>
      <c r="X1707" s="264" t="s">
        <v>7024</v>
      </c>
      <c r="Y1707" s="259">
        <v>794</v>
      </c>
      <c r="Z1707" s="259" t="s">
        <v>3030</v>
      </c>
      <c r="AA1707" s="259" t="e">
        <v>#N/A</v>
      </c>
      <c r="AB1707" s="259"/>
      <c r="AC1707" s="259"/>
      <c r="AD1707" s="259"/>
      <c r="AE1707" s="259"/>
    </row>
    <row r="1708" spans="1:31">
      <c r="A1708" s="259" t="s">
        <v>1807</v>
      </c>
      <c r="B1708" s="259" t="s">
        <v>80</v>
      </c>
      <c r="C1708" s="264"/>
      <c r="D1708" s="264"/>
      <c r="H1708" s="264"/>
      <c r="I1708" s="264"/>
      <c r="J1708" s="295">
        <v>0</v>
      </c>
      <c r="K1708" s="295">
        <v>0</v>
      </c>
      <c r="L1708" s="295">
        <v>0</v>
      </c>
      <c r="O1708" s="266"/>
      <c r="R1708" s="265"/>
      <c r="V1708" s="259"/>
      <c r="Y1708" s="259">
        <v>795</v>
      </c>
      <c r="AA1708" s="259" t="e">
        <v>#N/A</v>
      </c>
      <c r="AB1708" s="259"/>
      <c r="AC1708" s="259"/>
      <c r="AD1708" s="259"/>
      <c r="AE1708" s="259"/>
    </row>
    <row r="1709" spans="1:31">
      <c r="A1709" s="259" t="s">
        <v>1806</v>
      </c>
      <c r="B1709" s="259" t="s">
        <v>80</v>
      </c>
      <c r="C1709" s="264"/>
      <c r="D1709" s="264"/>
      <c r="H1709" s="264"/>
      <c r="I1709" s="264"/>
      <c r="J1709" s="295">
        <v>0</v>
      </c>
      <c r="K1709" s="295">
        <v>0</v>
      </c>
      <c r="L1709" s="295">
        <v>0</v>
      </c>
      <c r="O1709" s="266"/>
      <c r="R1709" s="265">
        <v>0</v>
      </c>
      <c r="S1709" s="265">
        <v>0</v>
      </c>
      <c r="T1709" s="265">
        <v>0</v>
      </c>
      <c r="U1709" s="265">
        <v>0</v>
      </c>
      <c r="V1709" s="259" t="s">
        <v>4159</v>
      </c>
      <c r="W1709" s="259" t="s">
        <v>3061</v>
      </c>
      <c r="Y1709" s="259">
        <v>796</v>
      </c>
      <c r="AA1709" s="259" t="e">
        <v>#N/A</v>
      </c>
      <c r="AB1709" s="259"/>
      <c r="AC1709" s="259"/>
      <c r="AD1709" s="259"/>
      <c r="AE1709" s="259"/>
    </row>
    <row r="1710" spans="1:31">
      <c r="A1710" s="259" t="s">
        <v>1809</v>
      </c>
      <c r="B1710" s="259" t="s">
        <v>80</v>
      </c>
      <c r="C1710" s="264" t="s">
        <v>7028</v>
      </c>
      <c r="D1710" s="264" t="s">
        <v>1809</v>
      </c>
      <c r="E1710" s="259" t="s">
        <v>7035</v>
      </c>
      <c r="H1710" s="264" t="s">
        <v>7036</v>
      </c>
      <c r="I1710" s="264" t="s">
        <v>7036</v>
      </c>
      <c r="J1710" s="295">
        <v>2561.91</v>
      </c>
      <c r="K1710" s="295">
        <v>1750</v>
      </c>
      <c r="L1710" s="295">
        <v>1313.05</v>
      </c>
      <c r="O1710" s="266"/>
      <c r="P1710" s="266">
        <v>691991034800</v>
      </c>
      <c r="R1710" s="265" t="s">
        <v>7037</v>
      </c>
      <c r="S1710" s="265" t="s">
        <v>7033</v>
      </c>
      <c r="T1710" s="265" t="s">
        <v>7034</v>
      </c>
      <c r="V1710" s="259" t="s">
        <v>3028</v>
      </c>
      <c r="W1710" s="259" t="s">
        <v>3029</v>
      </c>
      <c r="Y1710" s="259">
        <v>797</v>
      </c>
      <c r="Z1710" s="259" t="s">
        <v>3030</v>
      </c>
      <c r="AA1710" s="259" t="e">
        <v>#N/A</v>
      </c>
      <c r="AB1710" s="259"/>
      <c r="AC1710" s="259"/>
      <c r="AD1710" s="259"/>
      <c r="AE1710" s="259"/>
    </row>
    <row r="1711" spans="1:31">
      <c r="A1711" s="259" t="s">
        <v>1808</v>
      </c>
      <c r="B1711" s="259" t="s">
        <v>80</v>
      </c>
      <c r="C1711" s="264" t="s">
        <v>7028</v>
      </c>
      <c r="D1711" s="264" t="s">
        <v>7029</v>
      </c>
      <c r="E1711" s="259" t="s">
        <v>7030</v>
      </c>
      <c r="G1711" s="259" t="s">
        <v>4048</v>
      </c>
      <c r="H1711" s="264" t="s">
        <v>7031</v>
      </c>
      <c r="I1711" s="264" t="s">
        <v>7031</v>
      </c>
      <c r="J1711" s="295">
        <v>545.67999999999995</v>
      </c>
      <c r="K1711" s="295">
        <v>329</v>
      </c>
      <c r="L1711" s="295">
        <v>245.53</v>
      </c>
      <c r="O1711" s="266"/>
      <c r="P1711" s="266">
        <v>691991035418</v>
      </c>
      <c r="R1711" s="265" t="s">
        <v>7032</v>
      </c>
      <c r="S1711" s="265" t="s">
        <v>7033</v>
      </c>
      <c r="T1711" s="265" t="s">
        <v>7034</v>
      </c>
      <c r="V1711" s="259" t="s">
        <v>3028</v>
      </c>
      <c r="W1711" s="259" t="s">
        <v>3029</v>
      </c>
      <c r="Y1711" s="259">
        <v>798</v>
      </c>
      <c r="Z1711" s="259" t="s">
        <v>3030</v>
      </c>
      <c r="AA1711" s="259" t="e">
        <v>#N/A</v>
      </c>
      <c r="AB1711" s="259"/>
      <c r="AC1711" s="259"/>
      <c r="AD1711" s="259"/>
      <c r="AE1711" s="259"/>
    </row>
    <row r="1712" spans="1:31">
      <c r="A1712" s="259" t="s">
        <v>1811</v>
      </c>
      <c r="B1712" s="259" t="s">
        <v>80</v>
      </c>
      <c r="C1712" s="264" t="s">
        <v>7028</v>
      </c>
      <c r="D1712" s="264" t="s">
        <v>1811</v>
      </c>
      <c r="E1712" s="259" t="s">
        <v>7030</v>
      </c>
      <c r="H1712" s="264" t="s">
        <v>7041</v>
      </c>
      <c r="I1712" s="264" t="s">
        <v>7042</v>
      </c>
      <c r="J1712" s="295">
        <v>1995.66</v>
      </c>
      <c r="K1712" s="295">
        <v>1599</v>
      </c>
      <c r="L1712" s="295">
        <v>1197.4000000000001</v>
      </c>
      <c r="O1712" s="266">
        <v>0</v>
      </c>
      <c r="P1712" s="266">
        <v>691991005428</v>
      </c>
      <c r="R1712" s="265">
        <v>80</v>
      </c>
      <c r="S1712" s="265">
        <v>25.5</v>
      </c>
      <c r="T1712" s="265">
        <v>22</v>
      </c>
      <c r="U1712" s="265">
        <v>38.75</v>
      </c>
      <c r="V1712" s="259" t="s">
        <v>4159</v>
      </c>
      <c r="X1712" s="264" t="s">
        <v>7043</v>
      </c>
      <c r="Y1712" s="259">
        <v>799</v>
      </c>
      <c r="Z1712" s="259" t="s">
        <v>3030</v>
      </c>
      <c r="AA1712" s="259" t="e">
        <v>#N/A</v>
      </c>
      <c r="AB1712" s="259"/>
      <c r="AC1712" s="259"/>
      <c r="AD1712" s="259"/>
      <c r="AE1712" s="259"/>
    </row>
    <row r="1713" spans="1:31">
      <c r="A1713" s="259" t="s">
        <v>1810</v>
      </c>
      <c r="B1713" s="259" t="s">
        <v>80</v>
      </c>
      <c r="C1713" s="264" t="s">
        <v>7028</v>
      </c>
      <c r="D1713" s="264" t="s">
        <v>1810</v>
      </c>
      <c r="E1713" s="259" t="s">
        <v>7030</v>
      </c>
      <c r="H1713" s="264" t="s">
        <v>7038</v>
      </c>
      <c r="I1713" s="264" t="s">
        <v>7039</v>
      </c>
      <c r="J1713" s="295">
        <v>2060.64</v>
      </c>
      <c r="K1713" s="295">
        <v>1649</v>
      </c>
      <c r="L1713" s="295">
        <v>1236.3900000000001</v>
      </c>
      <c r="O1713" s="266">
        <v>0</v>
      </c>
      <c r="P1713" s="266">
        <v>691991005404</v>
      </c>
      <c r="R1713" s="265">
        <v>100</v>
      </c>
      <c r="S1713" s="265">
        <v>25.5</v>
      </c>
      <c r="T1713" s="265">
        <v>21.5</v>
      </c>
      <c r="U1713" s="265">
        <v>44</v>
      </c>
      <c r="V1713" s="259" t="s">
        <v>4159</v>
      </c>
      <c r="W1713" s="259" t="s">
        <v>3061</v>
      </c>
      <c r="X1713" s="264" t="s">
        <v>7040</v>
      </c>
      <c r="Y1713" s="259">
        <v>800</v>
      </c>
      <c r="Z1713" s="259" t="s">
        <v>3030</v>
      </c>
      <c r="AA1713" s="259" t="e">
        <v>#N/A</v>
      </c>
      <c r="AB1713" s="259"/>
      <c r="AC1713" s="259"/>
      <c r="AD1713" s="259"/>
      <c r="AE1713" s="259"/>
    </row>
    <row r="1714" spans="1:31">
      <c r="A1714" s="259" t="s">
        <v>1813</v>
      </c>
      <c r="B1714" s="259" t="s">
        <v>80</v>
      </c>
      <c r="C1714" s="264" t="s">
        <v>7028</v>
      </c>
      <c r="D1714" s="264" t="s">
        <v>7045</v>
      </c>
      <c r="E1714" s="259" t="s">
        <v>7035</v>
      </c>
      <c r="G1714" s="259" t="s">
        <v>4048</v>
      </c>
      <c r="H1714" s="264" t="s">
        <v>7045</v>
      </c>
      <c r="I1714" s="264" t="s">
        <v>7045</v>
      </c>
      <c r="J1714" s="295">
        <v>1405</v>
      </c>
      <c r="K1714" s="295">
        <v>999</v>
      </c>
      <c r="L1714" s="295">
        <v>749.25</v>
      </c>
      <c r="O1714" s="266"/>
      <c r="P1714" s="266">
        <v>691991037153</v>
      </c>
      <c r="R1714" s="265">
        <v>42.9</v>
      </c>
      <c r="S1714" s="265">
        <v>13.070866141732299</v>
      </c>
      <c r="T1714" s="265">
        <v>15.5511811023622</v>
      </c>
      <c r="U1714" s="265">
        <v>25.078740157480301</v>
      </c>
      <c r="V1714" s="259" t="s">
        <v>4159</v>
      </c>
      <c r="Y1714" s="259">
        <v>801</v>
      </c>
      <c r="Z1714" s="259" t="s">
        <v>4042</v>
      </c>
      <c r="AA1714" s="259" t="e">
        <v>#N/A</v>
      </c>
      <c r="AB1714" s="259"/>
      <c r="AC1714" s="259"/>
      <c r="AD1714" s="259"/>
      <c r="AE1714" s="259"/>
    </row>
    <row r="1715" spans="1:31">
      <c r="A1715" s="259" t="s">
        <v>1812</v>
      </c>
      <c r="B1715" s="259" t="s">
        <v>80</v>
      </c>
      <c r="C1715" s="264" t="s">
        <v>7028</v>
      </c>
      <c r="D1715" s="264" t="s">
        <v>7044</v>
      </c>
      <c r="E1715" s="259" t="s">
        <v>7035</v>
      </c>
      <c r="G1715" s="259" t="s">
        <v>4048</v>
      </c>
      <c r="H1715" s="264" t="s">
        <v>7044</v>
      </c>
      <c r="I1715" s="264" t="s">
        <v>7044</v>
      </c>
      <c r="J1715" s="295">
        <v>1230</v>
      </c>
      <c r="K1715" s="295">
        <v>849</v>
      </c>
      <c r="L1715" s="295">
        <v>636.75</v>
      </c>
      <c r="O1715" s="266"/>
      <c r="P1715" s="266">
        <v>691991036910</v>
      </c>
      <c r="R1715" s="265">
        <v>30.14</v>
      </c>
      <c r="S1715" s="265">
        <v>11.220472440944899</v>
      </c>
      <c r="T1715" s="265">
        <v>12.2834645669291</v>
      </c>
      <c r="U1715" s="265">
        <v>18.8976377952756</v>
      </c>
      <c r="V1715" s="259" t="s">
        <v>4159</v>
      </c>
      <c r="W1715" s="259" t="s">
        <v>3061</v>
      </c>
      <c r="Y1715" s="259">
        <v>802</v>
      </c>
      <c r="Z1715" s="259" t="s">
        <v>4042</v>
      </c>
      <c r="AA1715" s="259" t="e">
        <v>#N/A</v>
      </c>
      <c r="AB1715" s="259"/>
      <c r="AC1715" s="259"/>
      <c r="AD1715" s="259"/>
      <c r="AE1715" s="259"/>
    </row>
    <row r="1716" spans="1:31">
      <c r="A1716" s="259" t="s">
        <v>1815</v>
      </c>
      <c r="B1716" s="259" t="s">
        <v>80</v>
      </c>
      <c r="C1716" s="264" t="s">
        <v>7028</v>
      </c>
      <c r="D1716" s="264" t="s">
        <v>7048</v>
      </c>
      <c r="E1716" s="259" t="s">
        <v>7035</v>
      </c>
      <c r="G1716" s="259" t="s">
        <v>4048</v>
      </c>
      <c r="H1716" s="264" t="s">
        <v>7048</v>
      </c>
      <c r="I1716" s="264" t="s">
        <v>7048</v>
      </c>
      <c r="J1716" s="295">
        <v>1718</v>
      </c>
      <c r="K1716" s="295">
        <v>1299</v>
      </c>
      <c r="L1716" s="295">
        <v>974.25</v>
      </c>
      <c r="O1716" s="266"/>
      <c r="P1716" s="266" t="s">
        <v>7049</v>
      </c>
      <c r="R1716" s="265">
        <v>63.68</v>
      </c>
      <c r="S1716" s="265">
        <v>22.87</v>
      </c>
      <c r="T1716" s="265">
        <v>18.899999999999999</v>
      </c>
      <c r="U1716" s="265">
        <v>21.6</v>
      </c>
      <c r="V1716" s="259" t="s">
        <v>4159</v>
      </c>
      <c r="Y1716" s="259">
        <v>803</v>
      </c>
      <c r="Z1716" s="259" t="s">
        <v>4042</v>
      </c>
      <c r="AA1716" s="259" t="e">
        <v>#N/A</v>
      </c>
      <c r="AB1716" s="259"/>
      <c r="AC1716" s="259"/>
      <c r="AD1716" s="259"/>
      <c r="AE1716" s="259"/>
    </row>
    <row r="1717" spans="1:31">
      <c r="A1717" s="259" t="s">
        <v>1814</v>
      </c>
      <c r="B1717" s="259" t="s">
        <v>80</v>
      </c>
      <c r="C1717" s="264" t="s">
        <v>7028</v>
      </c>
      <c r="D1717" s="264" t="s">
        <v>7046</v>
      </c>
      <c r="E1717" s="259" t="s">
        <v>7035</v>
      </c>
      <c r="G1717" s="259" t="s">
        <v>4048</v>
      </c>
      <c r="H1717" s="264" t="s">
        <v>7046</v>
      </c>
      <c r="I1717" s="264" t="s">
        <v>7046</v>
      </c>
      <c r="J1717" s="295">
        <v>1562</v>
      </c>
      <c r="K1717" s="295">
        <v>1099</v>
      </c>
      <c r="L1717" s="295">
        <v>824.25</v>
      </c>
      <c r="O1717" s="266"/>
      <c r="P1717" s="266" t="s">
        <v>7047</v>
      </c>
      <c r="R1717" s="265">
        <v>53.02</v>
      </c>
      <c r="S1717" s="265">
        <v>15.078740157480301</v>
      </c>
      <c r="T1717" s="265">
        <v>18.346456692913399</v>
      </c>
      <c r="U1717" s="265">
        <v>28.228346456692901</v>
      </c>
      <c r="V1717" s="259" t="s">
        <v>4159</v>
      </c>
      <c r="Y1717" s="259">
        <v>804</v>
      </c>
      <c r="Z1717" s="259" t="s">
        <v>4042</v>
      </c>
      <c r="AA1717" s="259" t="e">
        <v>#N/A</v>
      </c>
      <c r="AB1717" s="259"/>
      <c r="AC1717" s="259"/>
      <c r="AD1717" s="259"/>
      <c r="AE1717" s="259"/>
    </row>
    <row r="1718" spans="1:31">
      <c r="A1718" s="259" t="s">
        <v>1817</v>
      </c>
      <c r="B1718" s="259" t="s">
        <v>80</v>
      </c>
      <c r="C1718" s="264"/>
      <c r="D1718" s="264" t="s">
        <v>7051</v>
      </c>
      <c r="H1718" s="264"/>
      <c r="I1718" s="264"/>
      <c r="J1718" s="295">
        <v>0</v>
      </c>
      <c r="K1718" s="295">
        <v>0</v>
      </c>
      <c r="L1718" s="295">
        <v>0</v>
      </c>
      <c r="O1718" s="266"/>
      <c r="R1718" s="265">
        <v>0</v>
      </c>
      <c r="S1718" s="265">
        <v>0</v>
      </c>
      <c r="T1718" s="265">
        <v>0</v>
      </c>
      <c r="U1718" s="265">
        <v>0</v>
      </c>
      <c r="V1718" s="259"/>
      <c r="Y1718" s="259">
        <v>805</v>
      </c>
      <c r="AA1718" s="259" t="e">
        <v>#N/A</v>
      </c>
      <c r="AB1718" s="259"/>
      <c r="AC1718" s="259"/>
      <c r="AD1718" s="259"/>
      <c r="AE1718" s="259"/>
    </row>
    <row r="1719" spans="1:31">
      <c r="A1719" s="259" t="s">
        <v>1816</v>
      </c>
      <c r="B1719" s="259" t="s">
        <v>80</v>
      </c>
      <c r="C1719" s="264" t="s">
        <v>7028</v>
      </c>
      <c r="D1719" s="264" t="s">
        <v>7050</v>
      </c>
      <c r="E1719" s="259" t="s">
        <v>7035</v>
      </c>
      <c r="G1719" s="259" t="s">
        <v>4048</v>
      </c>
      <c r="H1719" s="264" t="s">
        <v>7050</v>
      </c>
      <c r="I1719" s="264" t="s">
        <v>7050</v>
      </c>
      <c r="J1719" s="295">
        <v>1874</v>
      </c>
      <c r="K1719" s="295">
        <v>1499</v>
      </c>
      <c r="L1719" s="295">
        <v>1124.25</v>
      </c>
      <c r="O1719" s="266"/>
      <c r="P1719" s="266">
        <v>691991037122</v>
      </c>
      <c r="R1719" s="265">
        <v>88.63</v>
      </c>
      <c r="S1719" s="265">
        <v>25.8</v>
      </c>
      <c r="T1719" s="265">
        <v>23.3</v>
      </c>
      <c r="U1719" s="265">
        <v>27.3</v>
      </c>
      <c r="V1719" s="259" t="s">
        <v>4159</v>
      </c>
      <c r="Y1719" s="259">
        <v>806</v>
      </c>
      <c r="Z1719" s="259" t="s">
        <v>4042</v>
      </c>
      <c r="AA1719" s="259" t="e">
        <v>#N/A</v>
      </c>
      <c r="AB1719" s="259"/>
      <c r="AC1719" s="259"/>
      <c r="AD1719" s="259"/>
      <c r="AE1719" s="259"/>
    </row>
    <row r="1720" spans="1:31">
      <c r="A1720" s="259" t="s">
        <v>1819</v>
      </c>
      <c r="B1720" s="259" t="s">
        <v>80</v>
      </c>
      <c r="C1720" s="264" t="s">
        <v>6829</v>
      </c>
      <c r="D1720" s="264" t="s">
        <v>1819</v>
      </c>
      <c r="E1720" s="259" t="s">
        <v>7052</v>
      </c>
      <c r="H1720" s="264" t="s">
        <v>7056</v>
      </c>
      <c r="I1720" s="264" t="s">
        <v>7057</v>
      </c>
      <c r="J1720" s="295">
        <v>1649.07</v>
      </c>
      <c r="K1720" s="295">
        <v>1379</v>
      </c>
      <c r="L1720" s="295">
        <v>989.44</v>
      </c>
      <c r="O1720" s="266">
        <v>0</v>
      </c>
      <c r="P1720" s="266">
        <v>691991001635</v>
      </c>
      <c r="R1720" s="265">
        <v>74</v>
      </c>
      <c r="S1720" s="265">
        <v>21</v>
      </c>
      <c r="T1720" s="265">
        <v>21</v>
      </c>
      <c r="U1720" s="265">
        <v>27</v>
      </c>
      <c r="V1720" s="259" t="s">
        <v>4159</v>
      </c>
      <c r="W1720" s="259" t="s">
        <v>3061</v>
      </c>
      <c r="X1720" s="264" t="s">
        <v>7058</v>
      </c>
      <c r="Y1720" s="259">
        <v>807</v>
      </c>
      <c r="Z1720" s="259" t="s">
        <v>3030</v>
      </c>
      <c r="AA1720" s="259" t="e">
        <v>#N/A</v>
      </c>
      <c r="AB1720" s="259"/>
      <c r="AC1720" s="259"/>
      <c r="AD1720" s="259"/>
      <c r="AE1720" s="259"/>
    </row>
    <row r="1721" spans="1:31">
      <c r="A1721" s="259" t="s">
        <v>1818</v>
      </c>
      <c r="B1721" s="259" t="s">
        <v>80</v>
      </c>
      <c r="C1721" s="264" t="s">
        <v>6829</v>
      </c>
      <c r="D1721" s="264" t="s">
        <v>1818</v>
      </c>
      <c r="E1721" s="259" t="s">
        <v>7052</v>
      </c>
      <c r="H1721" s="264" t="s">
        <v>7053</v>
      </c>
      <c r="I1721" s="264" t="s">
        <v>7054</v>
      </c>
      <c r="J1721" s="295">
        <v>1491.87</v>
      </c>
      <c r="K1721" s="295">
        <v>1199</v>
      </c>
      <c r="L1721" s="295">
        <v>895.12</v>
      </c>
      <c r="O1721" s="266">
        <v>0</v>
      </c>
      <c r="P1721" s="266">
        <v>691991001628</v>
      </c>
      <c r="R1721" s="265">
        <v>61</v>
      </c>
      <c r="S1721" s="265">
        <v>21.5</v>
      </c>
      <c r="T1721" s="265">
        <v>21.25</v>
      </c>
      <c r="U1721" s="265">
        <v>27</v>
      </c>
      <c r="V1721" s="259" t="s">
        <v>4159</v>
      </c>
      <c r="W1721" s="259" t="s">
        <v>3061</v>
      </c>
      <c r="X1721" s="264" t="s">
        <v>7055</v>
      </c>
      <c r="Y1721" s="259">
        <v>808</v>
      </c>
      <c r="Z1721" s="259" t="s">
        <v>3030</v>
      </c>
      <c r="AA1721" s="259" t="e">
        <v>#N/A</v>
      </c>
      <c r="AB1721" s="259"/>
      <c r="AC1721" s="259"/>
      <c r="AD1721" s="259"/>
      <c r="AE1721" s="259"/>
    </row>
    <row r="1722" spans="1:31">
      <c r="A1722" s="259" t="s">
        <v>1821</v>
      </c>
      <c r="B1722" s="259" t="s">
        <v>80</v>
      </c>
      <c r="C1722" s="264" t="s">
        <v>6829</v>
      </c>
      <c r="D1722" s="264" t="s">
        <v>1821</v>
      </c>
      <c r="E1722" s="259" t="s">
        <v>7052</v>
      </c>
      <c r="H1722" s="264" t="s">
        <v>7062</v>
      </c>
      <c r="I1722" s="264" t="s">
        <v>7063</v>
      </c>
      <c r="J1722" s="295">
        <v>1963.48</v>
      </c>
      <c r="K1722" s="295">
        <v>1579</v>
      </c>
      <c r="L1722" s="295">
        <v>1178.08</v>
      </c>
      <c r="O1722" s="266">
        <v>0</v>
      </c>
      <c r="P1722" s="266">
        <v>691991001659</v>
      </c>
      <c r="R1722" s="265">
        <v>80</v>
      </c>
      <c r="S1722" s="265">
        <v>32</v>
      </c>
      <c r="T1722" s="265">
        <v>32</v>
      </c>
      <c r="U1722" s="265">
        <v>24</v>
      </c>
      <c r="V1722" s="259" t="s">
        <v>4159</v>
      </c>
      <c r="W1722" s="259" t="s">
        <v>3061</v>
      </c>
      <c r="X1722" s="264" t="s">
        <v>7064</v>
      </c>
      <c r="Y1722" s="259">
        <v>809</v>
      </c>
      <c r="Z1722" s="259" t="s">
        <v>3030</v>
      </c>
      <c r="AA1722" s="259" t="e">
        <v>#N/A</v>
      </c>
      <c r="AB1722" s="259"/>
      <c r="AC1722" s="259"/>
      <c r="AD1722" s="259"/>
      <c r="AE1722" s="259"/>
    </row>
    <row r="1723" spans="1:31">
      <c r="A1723" s="259" t="s">
        <v>1820</v>
      </c>
      <c r="B1723" s="259" t="s">
        <v>80</v>
      </c>
      <c r="C1723" s="264" t="s">
        <v>6829</v>
      </c>
      <c r="D1723" s="264" t="s">
        <v>1820</v>
      </c>
      <c r="E1723" s="259" t="s">
        <v>7052</v>
      </c>
      <c r="H1723" s="264" t="s">
        <v>7059</v>
      </c>
      <c r="I1723" s="264" t="s">
        <v>7060</v>
      </c>
      <c r="J1723" s="295">
        <v>2120.6799999999998</v>
      </c>
      <c r="K1723" s="295">
        <v>1699</v>
      </c>
      <c r="L1723" s="295">
        <v>1272.4000000000001</v>
      </c>
      <c r="O1723" s="266">
        <v>0</v>
      </c>
      <c r="P1723" s="266">
        <v>691991001642</v>
      </c>
      <c r="R1723" s="265">
        <v>106</v>
      </c>
      <c r="S1723" s="265">
        <v>26.25</v>
      </c>
      <c r="T1723" s="265">
        <v>23.5</v>
      </c>
      <c r="U1723" s="265">
        <v>41.25</v>
      </c>
      <c r="V1723" s="259" t="s">
        <v>4159</v>
      </c>
      <c r="W1723" s="259" t="s">
        <v>3061</v>
      </c>
      <c r="X1723" s="264" t="s">
        <v>7061</v>
      </c>
      <c r="Y1723" s="259">
        <v>810</v>
      </c>
      <c r="Z1723" s="259" t="s">
        <v>3030</v>
      </c>
      <c r="AA1723" s="259" t="e">
        <v>#N/A</v>
      </c>
      <c r="AB1723" s="259"/>
      <c r="AC1723" s="259"/>
      <c r="AD1723" s="259"/>
      <c r="AE1723" s="259"/>
    </row>
    <row r="1724" spans="1:31">
      <c r="A1724" s="259" t="s">
        <v>1823</v>
      </c>
      <c r="B1724" s="259" t="s">
        <v>80</v>
      </c>
      <c r="C1724" s="264" t="s">
        <v>6829</v>
      </c>
      <c r="D1724" s="264" t="s">
        <v>1823</v>
      </c>
      <c r="E1724" s="259" t="s">
        <v>6828</v>
      </c>
      <c r="H1724" s="264" t="s">
        <v>7068</v>
      </c>
      <c r="I1724" s="264" t="s">
        <v>7069</v>
      </c>
      <c r="J1724" s="295">
        <v>2073.5100000000002</v>
      </c>
      <c r="K1724" s="295">
        <v>1659</v>
      </c>
      <c r="L1724" s="295">
        <v>1244.1099999999999</v>
      </c>
      <c r="O1724" s="266">
        <v>0</v>
      </c>
      <c r="P1724" s="266">
        <v>691991000676</v>
      </c>
      <c r="R1724" s="265">
        <v>66</v>
      </c>
      <c r="S1724" s="265">
        <v>21</v>
      </c>
      <c r="T1724" s="265">
        <v>21</v>
      </c>
      <c r="U1724" s="265">
        <v>27</v>
      </c>
      <c r="V1724" s="259" t="s">
        <v>4159</v>
      </c>
      <c r="W1724" s="259" t="s">
        <v>3061</v>
      </c>
      <c r="X1724" s="264" t="s">
        <v>7070</v>
      </c>
      <c r="Y1724" s="259">
        <v>811</v>
      </c>
      <c r="Z1724" s="259" t="s">
        <v>3030</v>
      </c>
      <c r="AA1724" s="259" t="e">
        <v>#N/A</v>
      </c>
      <c r="AB1724" s="259"/>
      <c r="AC1724" s="259"/>
      <c r="AD1724" s="259"/>
      <c r="AE1724" s="259"/>
    </row>
    <row r="1725" spans="1:31">
      <c r="A1725" s="259" t="s">
        <v>1822</v>
      </c>
      <c r="B1725" s="259" t="s">
        <v>80</v>
      </c>
      <c r="C1725" s="264" t="s">
        <v>6829</v>
      </c>
      <c r="D1725" s="264" t="s">
        <v>1822</v>
      </c>
      <c r="E1725" s="259" t="s">
        <v>7052</v>
      </c>
      <c r="H1725" s="264" t="s">
        <v>7065</v>
      </c>
      <c r="I1725" s="264" t="s">
        <v>7066</v>
      </c>
      <c r="J1725" s="295">
        <v>2639.45</v>
      </c>
      <c r="K1725" s="295">
        <v>2119</v>
      </c>
      <c r="L1725" s="295">
        <v>1583.67</v>
      </c>
      <c r="O1725" s="266">
        <v>0</v>
      </c>
      <c r="P1725" s="266">
        <v>691991001666</v>
      </c>
      <c r="R1725" s="265">
        <v>164</v>
      </c>
      <c r="S1725" s="265">
        <v>52.25</v>
      </c>
      <c r="T1725" s="265">
        <v>32</v>
      </c>
      <c r="U1725" s="265">
        <v>25</v>
      </c>
      <c r="V1725" s="259" t="s">
        <v>4159</v>
      </c>
      <c r="X1725" s="264" t="s">
        <v>7067</v>
      </c>
      <c r="Y1725" s="259">
        <v>812</v>
      </c>
      <c r="Z1725" s="259" t="s">
        <v>3030</v>
      </c>
      <c r="AA1725" s="259" t="e">
        <v>#N/A</v>
      </c>
      <c r="AB1725" s="259"/>
      <c r="AC1725" s="259"/>
      <c r="AD1725" s="259"/>
      <c r="AE1725" s="259"/>
    </row>
    <row r="1726" spans="1:31">
      <c r="A1726" s="259" t="s">
        <v>1825</v>
      </c>
      <c r="B1726" s="259" t="s">
        <v>80</v>
      </c>
      <c r="C1726" s="264" t="s">
        <v>6829</v>
      </c>
      <c r="D1726" s="264" t="s">
        <v>1825</v>
      </c>
      <c r="E1726" s="259" t="s">
        <v>6828</v>
      </c>
      <c r="H1726" s="264" t="s">
        <v>7073</v>
      </c>
      <c r="I1726" s="264" t="s">
        <v>7074</v>
      </c>
      <c r="J1726" s="295">
        <v>2545.13</v>
      </c>
      <c r="K1726" s="295">
        <v>2039</v>
      </c>
      <c r="L1726" s="295">
        <v>1527.08</v>
      </c>
      <c r="O1726" s="266">
        <v>0</v>
      </c>
      <c r="P1726" s="266">
        <v>691991000713</v>
      </c>
      <c r="R1726" s="265">
        <v>105</v>
      </c>
      <c r="S1726" s="265">
        <v>26.25</v>
      </c>
      <c r="T1726" s="265">
        <v>23.5</v>
      </c>
      <c r="U1726" s="265">
        <v>41</v>
      </c>
      <c r="V1726" s="259" t="s">
        <v>4159</v>
      </c>
      <c r="W1726" s="259" t="s">
        <v>3061</v>
      </c>
      <c r="X1726" s="264" t="s">
        <v>7075</v>
      </c>
      <c r="Y1726" s="259">
        <v>813</v>
      </c>
      <c r="Z1726" s="259" t="s">
        <v>3030</v>
      </c>
      <c r="AA1726" s="259" t="e">
        <v>#N/A</v>
      </c>
      <c r="AB1726" s="259"/>
      <c r="AC1726" s="259"/>
      <c r="AD1726" s="259"/>
      <c r="AE1726" s="259"/>
    </row>
    <row r="1727" spans="1:31">
      <c r="A1727" s="259" t="s">
        <v>1824</v>
      </c>
      <c r="B1727" s="259" t="s">
        <v>80</v>
      </c>
      <c r="C1727" s="264" t="s">
        <v>6829</v>
      </c>
      <c r="D1727" s="264" t="s">
        <v>1824</v>
      </c>
      <c r="E1727" s="259" t="s">
        <v>6828</v>
      </c>
      <c r="H1727" s="264" t="s">
        <v>7068</v>
      </c>
      <c r="I1727" s="264" t="s">
        <v>7071</v>
      </c>
      <c r="J1727" s="295">
        <v>2230.7199999999998</v>
      </c>
      <c r="K1727" s="295">
        <v>1789</v>
      </c>
      <c r="L1727" s="295">
        <v>1338.44</v>
      </c>
      <c r="O1727" s="266">
        <v>0</v>
      </c>
      <c r="P1727" s="266">
        <v>691991000690</v>
      </c>
      <c r="R1727" s="265">
        <v>74</v>
      </c>
      <c r="S1727" s="265">
        <v>21</v>
      </c>
      <c r="T1727" s="265">
        <v>21</v>
      </c>
      <c r="U1727" s="265">
        <v>27</v>
      </c>
      <c r="V1727" s="259" t="s">
        <v>4159</v>
      </c>
      <c r="W1727" s="259" t="s">
        <v>3061</v>
      </c>
      <c r="X1727" s="264" t="s">
        <v>7072</v>
      </c>
      <c r="Y1727" s="259">
        <v>814</v>
      </c>
      <c r="Z1727" s="259" t="s">
        <v>3030</v>
      </c>
      <c r="AA1727" s="259" t="e">
        <v>#N/A</v>
      </c>
      <c r="AB1727" s="259"/>
      <c r="AC1727" s="259"/>
      <c r="AD1727" s="259"/>
      <c r="AE1727" s="259"/>
    </row>
    <row r="1728" spans="1:31">
      <c r="A1728" s="259" t="s">
        <v>1827</v>
      </c>
      <c r="B1728" s="259" t="s">
        <v>80</v>
      </c>
      <c r="C1728" s="264" t="s">
        <v>6829</v>
      </c>
      <c r="D1728" s="264" t="s">
        <v>1827</v>
      </c>
      <c r="E1728" s="259" t="s">
        <v>6828</v>
      </c>
      <c r="H1728" s="264" t="s">
        <v>7079</v>
      </c>
      <c r="I1728" s="264" t="s">
        <v>7080</v>
      </c>
      <c r="J1728" s="295">
        <v>3173.94</v>
      </c>
      <c r="K1728" s="295">
        <v>2539</v>
      </c>
      <c r="L1728" s="295">
        <v>1904.37</v>
      </c>
      <c r="O1728" s="266">
        <v>0</v>
      </c>
      <c r="P1728" s="266">
        <v>691991000751</v>
      </c>
      <c r="R1728" s="265">
        <v>172</v>
      </c>
      <c r="S1728" s="265">
        <v>52</v>
      </c>
      <c r="T1728" s="265">
        <v>31.75</v>
      </c>
      <c r="U1728" s="265">
        <v>24.75</v>
      </c>
      <c r="V1728" s="259" t="s">
        <v>4159</v>
      </c>
      <c r="X1728" s="264" t="s">
        <v>7081</v>
      </c>
      <c r="Y1728" s="259">
        <v>815</v>
      </c>
      <c r="Z1728" s="259" t="s">
        <v>3030</v>
      </c>
      <c r="AA1728" s="259" t="e">
        <v>#N/A</v>
      </c>
      <c r="AB1728" s="259"/>
      <c r="AC1728" s="259"/>
      <c r="AD1728" s="259"/>
      <c r="AE1728" s="259"/>
    </row>
    <row r="1729" spans="1:31">
      <c r="A1729" s="259" t="s">
        <v>1826</v>
      </c>
      <c r="B1729" s="259" t="s">
        <v>80</v>
      </c>
      <c r="C1729" s="264" t="s">
        <v>6829</v>
      </c>
      <c r="D1729" s="264" t="s">
        <v>1826</v>
      </c>
      <c r="E1729" s="259" t="s">
        <v>6828</v>
      </c>
      <c r="H1729" s="264" t="s">
        <v>7076</v>
      </c>
      <c r="I1729" s="264" t="s">
        <v>7077</v>
      </c>
      <c r="J1729" s="295">
        <v>2545.13</v>
      </c>
      <c r="K1729" s="295">
        <v>2039</v>
      </c>
      <c r="L1729" s="295">
        <v>1527.08</v>
      </c>
      <c r="O1729" s="266">
        <v>0</v>
      </c>
      <c r="P1729" s="266">
        <v>691991000737</v>
      </c>
      <c r="R1729" s="265">
        <v>103</v>
      </c>
      <c r="S1729" s="265">
        <v>25</v>
      </c>
      <c r="T1729" s="265">
        <v>32</v>
      </c>
      <c r="U1729" s="265">
        <v>32</v>
      </c>
      <c r="V1729" s="259" t="s">
        <v>4159</v>
      </c>
      <c r="W1729" s="259" t="s">
        <v>3061</v>
      </c>
      <c r="X1729" s="264" t="s">
        <v>7078</v>
      </c>
      <c r="Y1729" s="259">
        <v>816</v>
      </c>
      <c r="Z1729" s="259" t="s">
        <v>3030</v>
      </c>
      <c r="AA1729" s="259" t="e">
        <v>#N/A</v>
      </c>
      <c r="AB1729" s="259"/>
      <c r="AC1729" s="259"/>
      <c r="AD1729" s="259"/>
      <c r="AE1729" s="259"/>
    </row>
    <row r="1730" spans="1:31">
      <c r="A1730" s="259" t="s">
        <v>1829</v>
      </c>
      <c r="B1730" s="259" t="s">
        <v>80</v>
      </c>
      <c r="C1730" s="264" t="s">
        <v>6829</v>
      </c>
      <c r="D1730" s="264" t="s">
        <v>7084</v>
      </c>
      <c r="E1730" s="259" t="s">
        <v>6828</v>
      </c>
      <c r="G1730" s="259" t="s">
        <v>4048</v>
      </c>
      <c r="H1730" s="264" t="s">
        <v>7085</v>
      </c>
      <c r="I1730" s="264" t="s">
        <v>7086</v>
      </c>
      <c r="J1730" s="295">
        <v>1200</v>
      </c>
      <c r="K1730" s="295">
        <v>800</v>
      </c>
      <c r="L1730" s="295">
        <v>600</v>
      </c>
      <c r="O1730" s="266">
        <v>0</v>
      </c>
      <c r="P1730" s="266">
        <v>691991035708</v>
      </c>
      <c r="R1730" s="265"/>
      <c r="V1730" s="259" t="s">
        <v>4159</v>
      </c>
      <c r="Y1730" s="259">
        <v>817</v>
      </c>
      <c r="Z1730" s="259" t="s">
        <v>3030</v>
      </c>
      <c r="AA1730" s="259" t="e">
        <v>#N/A</v>
      </c>
      <c r="AB1730" s="259"/>
      <c r="AC1730" s="259"/>
      <c r="AD1730" s="259"/>
      <c r="AE1730" s="259"/>
    </row>
    <row r="1731" spans="1:31">
      <c r="A1731" s="259" t="s">
        <v>1828</v>
      </c>
      <c r="B1731" s="259" t="s">
        <v>80</v>
      </c>
      <c r="C1731" s="264" t="s">
        <v>6829</v>
      </c>
      <c r="D1731" s="264" t="s">
        <v>2962</v>
      </c>
      <c r="E1731" s="259" t="s">
        <v>6828</v>
      </c>
      <c r="G1731" s="259" t="s">
        <v>4048</v>
      </c>
      <c r="H1731" s="264" t="s">
        <v>7082</v>
      </c>
      <c r="I1731" s="264" t="s">
        <v>7083</v>
      </c>
      <c r="J1731" s="295">
        <v>3200</v>
      </c>
      <c r="K1731" s="295">
        <v>2199</v>
      </c>
      <c r="L1731" s="295">
        <v>1600</v>
      </c>
      <c r="O1731" s="266">
        <v>0</v>
      </c>
      <c r="P1731" s="266">
        <v>691991035524</v>
      </c>
      <c r="R1731" s="265"/>
      <c r="V1731" s="259" t="s">
        <v>4159</v>
      </c>
      <c r="Y1731" s="259">
        <v>818</v>
      </c>
      <c r="Z1731" s="259" t="s">
        <v>4042</v>
      </c>
      <c r="AA1731" s="259" t="e">
        <v>#N/A</v>
      </c>
      <c r="AB1731" s="259"/>
      <c r="AC1731" s="259"/>
      <c r="AD1731" s="259"/>
      <c r="AE1731" s="259"/>
    </row>
    <row r="1732" spans="1:31">
      <c r="A1732" s="259" t="s">
        <v>1831</v>
      </c>
      <c r="B1732" s="259" t="s">
        <v>80</v>
      </c>
      <c r="C1732" s="264" t="s">
        <v>6829</v>
      </c>
      <c r="D1732" s="264" t="s">
        <v>7089</v>
      </c>
      <c r="E1732" s="259" t="s">
        <v>6828</v>
      </c>
      <c r="G1732" s="259" t="s">
        <v>4048</v>
      </c>
      <c r="H1732" s="264" t="s">
        <v>6832</v>
      </c>
      <c r="I1732" s="264" t="s">
        <v>7090</v>
      </c>
      <c r="J1732" s="295">
        <v>800</v>
      </c>
      <c r="K1732" s="295">
        <v>550</v>
      </c>
      <c r="L1732" s="295">
        <v>400</v>
      </c>
      <c r="O1732" s="266">
        <v>0</v>
      </c>
      <c r="P1732" s="266">
        <v>691991035692</v>
      </c>
      <c r="R1732" s="265"/>
      <c r="V1732" s="259" t="s">
        <v>4159</v>
      </c>
      <c r="Y1732" s="259">
        <v>819</v>
      </c>
      <c r="Z1732" s="259" t="s">
        <v>3030</v>
      </c>
      <c r="AA1732" s="259" t="e">
        <v>#N/A</v>
      </c>
      <c r="AB1732" s="259"/>
      <c r="AC1732" s="259"/>
      <c r="AD1732" s="259"/>
      <c r="AE1732" s="259"/>
    </row>
    <row r="1733" spans="1:31">
      <c r="A1733" s="259" t="s">
        <v>1830</v>
      </c>
      <c r="B1733" s="259" t="s">
        <v>80</v>
      </c>
      <c r="C1733" s="264" t="s">
        <v>6829</v>
      </c>
      <c r="D1733" s="264" t="s">
        <v>2963</v>
      </c>
      <c r="G1733" s="259" t="s">
        <v>4048</v>
      </c>
      <c r="H1733" s="264" t="s">
        <v>7087</v>
      </c>
      <c r="I1733" s="264" t="s">
        <v>7088</v>
      </c>
      <c r="J1733" s="295">
        <v>1400</v>
      </c>
      <c r="K1733" s="295">
        <v>960</v>
      </c>
      <c r="L1733" s="295">
        <v>700</v>
      </c>
      <c r="O1733" s="266">
        <v>0</v>
      </c>
      <c r="P1733" s="266">
        <v>691991038488</v>
      </c>
      <c r="R1733" s="265"/>
      <c r="V1733" s="259" t="s">
        <v>4159</v>
      </c>
      <c r="Y1733" s="259">
        <v>820</v>
      </c>
      <c r="Z1733" s="259" t="s">
        <v>4042</v>
      </c>
      <c r="AA1733" s="259" t="e">
        <v>#N/A</v>
      </c>
      <c r="AB1733" s="259"/>
      <c r="AC1733" s="259"/>
      <c r="AD1733" s="259"/>
      <c r="AE1733" s="259"/>
    </row>
    <row r="1734" spans="1:31">
      <c r="A1734" s="259" t="s">
        <v>1833</v>
      </c>
      <c r="B1734" s="259" t="s">
        <v>80</v>
      </c>
      <c r="C1734" s="264" t="s">
        <v>6829</v>
      </c>
      <c r="D1734" s="264" t="s">
        <v>7092</v>
      </c>
      <c r="E1734" s="259" t="s">
        <v>6828</v>
      </c>
      <c r="G1734" s="259" t="s">
        <v>4048</v>
      </c>
      <c r="H1734" s="264" t="s">
        <v>7085</v>
      </c>
      <c r="I1734" s="264" t="s">
        <v>7093</v>
      </c>
      <c r="J1734" s="295">
        <v>1600</v>
      </c>
      <c r="K1734" s="295">
        <v>1050</v>
      </c>
      <c r="L1734" s="295">
        <v>800</v>
      </c>
      <c r="O1734" s="266">
        <v>0</v>
      </c>
      <c r="P1734" s="266">
        <v>691991035678</v>
      </c>
      <c r="R1734" s="265"/>
      <c r="V1734" s="259" t="s">
        <v>4159</v>
      </c>
      <c r="Y1734" s="259">
        <v>821</v>
      </c>
      <c r="Z1734" s="259" t="s">
        <v>4042</v>
      </c>
      <c r="AA1734" s="259" t="e">
        <v>#N/A</v>
      </c>
      <c r="AB1734" s="259"/>
      <c r="AC1734" s="259"/>
      <c r="AD1734" s="259"/>
      <c r="AE1734" s="259"/>
    </row>
    <row r="1735" spans="1:31">
      <c r="A1735" s="259" t="s">
        <v>1832</v>
      </c>
      <c r="B1735" s="259" t="s">
        <v>80</v>
      </c>
      <c r="C1735" s="264" t="s">
        <v>6829</v>
      </c>
      <c r="D1735" s="264" t="s">
        <v>2964</v>
      </c>
      <c r="E1735" s="259" t="s">
        <v>6828</v>
      </c>
      <c r="G1735" s="259" t="s">
        <v>4048</v>
      </c>
      <c r="H1735" s="264" t="s">
        <v>7082</v>
      </c>
      <c r="I1735" s="264" t="s">
        <v>7091</v>
      </c>
      <c r="J1735" s="295">
        <v>5300</v>
      </c>
      <c r="K1735" s="295">
        <v>3699</v>
      </c>
      <c r="L1735" s="295">
        <v>2650</v>
      </c>
      <c r="O1735" s="266">
        <v>0</v>
      </c>
      <c r="P1735" s="266">
        <v>691991035685</v>
      </c>
      <c r="R1735" s="265"/>
      <c r="V1735" s="259" t="s">
        <v>4159</v>
      </c>
      <c r="Y1735" s="259">
        <v>822</v>
      </c>
      <c r="Z1735" s="259" t="s">
        <v>4042</v>
      </c>
      <c r="AA1735" s="259" t="e">
        <v>#N/A</v>
      </c>
      <c r="AB1735" s="259"/>
      <c r="AC1735" s="259"/>
      <c r="AD1735" s="259"/>
      <c r="AE1735" s="259"/>
    </row>
    <row r="1736" spans="1:31">
      <c r="A1736" s="259" t="s">
        <v>1835</v>
      </c>
      <c r="B1736" s="259" t="s">
        <v>80</v>
      </c>
      <c r="C1736" s="264" t="s">
        <v>6829</v>
      </c>
      <c r="D1736" s="264" t="s">
        <v>7096</v>
      </c>
      <c r="E1736" s="259" t="s">
        <v>6828</v>
      </c>
      <c r="G1736" s="259" t="s">
        <v>4048</v>
      </c>
      <c r="H1736" s="264" t="s">
        <v>7097</v>
      </c>
      <c r="I1736" s="264" t="s">
        <v>7098</v>
      </c>
      <c r="J1736" s="295">
        <v>400</v>
      </c>
      <c r="K1736" s="295">
        <v>270</v>
      </c>
      <c r="L1736" s="295">
        <v>200</v>
      </c>
      <c r="O1736" s="266">
        <v>0</v>
      </c>
      <c r="P1736" s="266">
        <v>691991035654</v>
      </c>
      <c r="R1736" s="265"/>
      <c r="V1736" s="259" t="s">
        <v>3028</v>
      </c>
      <c r="W1736" s="259" t="s">
        <v>3029</v>
      </c>
      <c r="Y1736" s="259">
        <v>823</v>
      </c>
      <c r="Z1736" s="259" t="s">
        <v>4042</v>
      </c>
      <c r="AA1736" s="259" t="e">
        <v>#N/A</v>
      </c>
      <c r="AB1736" s="259"/>
      <c r="AC1736" s="259"/>
      <c r="AD1736" s="259"/>
      <c r="AE1736" s="259"/>
    </row>
    <row r="1737" spans="1:31">
      <c r="A1737" s="259" t="s">
        <v>1834</v>
      </c>
      <c r="B1737" s="259" t="s">
        <v>80</v>
      </c>
      <c r="C1737" s="264" t="s">
        <v>6829</v>
      </c>
      <c r="D1737" s="264" t="s">
        <v>2965</v>
      </c>
      <c r="E1737" s="259" t="s">
        <v>6828</v>
      </c>
      <c r="G1737" s="259" t="s">
        <v>4048</v>
      </c>
      <c r="H1737" s="264" t="s">
        <v>7094</v>
      </c>
      <c r="I1737" s="264" t="s">
        <v>7095</v>
      </c>
      <c r="J1737" s="295">
        <v>1300</v>
      </c>
      <c r="K1737" s="295">
        <v>800</v>
      </c>
      <c r="L1737" s="295">
        <v>650</v>
      </c>
      <c r="O1737" s="266">
        <v>0</v>
      </c>
      <c r="P1737" s="266">
        <v>691991035661</v>
      </c>
      <c r="R1737" s="265"/>
      <c r="V1737" s="259" t="s">
        <v>4159</v>
      </c>
      <c r="Y1737" s="259">
        <v>824</v>
      </c>
      <c r="Z1737" s="259" t="s">
        <v>4042</v>
      </c>
      <c r="AA1737" s="259" t="e">
        <v>#N/A</v>
      </c>
      <c r="AB1737" s="259"/>
      <c r="AC1737" s="259"/>
      <c r="AD1737" s="259"/>
      <c r="AE1737" s="259"/>
    </row>
    <row r="1738" spans="1:31">
      <c r="A1738" s="259" t="s">
        <v>1837</v>
      </c>
      <c r="B1738" s="259" t="s">
        <v>80</v>
      </c>
      <c r="C1738" s="264" t="s">
        <v>6829</v>
      </c>
      <c r="D1738" s="264" t="s">
        <v>7102</v>
      </c>
      <c r="E1738" s="259" t="s">
        <v>6828</v>
      </c>
      <c r="G1738" s="259" t="s">
        <v>4048</v>
      </c>
      <c r="H1738" s="264" t="s">
        <v>7103</v>
      </c>
      <c r="I1738" s="264" t="s">
        <v>7104</v>
      </c>
      <c r="J1738" s="295">
        <v>60</v>
      </c>
      <c r="K1738" s="295">
        <v>40</v>
      </c>
      <c r="L1738" s="295">
        <v>30</v>
      </c>
      <c r="O1738" s="266">
        <v>0</v>
      </c>
      <c r="P1738" s="266">
        <v>691991035623</v>
      </c>
      <c r="R1738" s="265"/>
      <c r="V1738" s="259" t="s">
        <v>3028</v>
      </c>
      <c r="W1738" s="259" t="s">
        <v>3029</v>
      </c>
      <c r="Y1738" s="259">
        <v>825</v>
      </c>
      <c r="Z1738" s="259" t="s">
        <v>4042</v>
      </c>
      <c r="AA1738" s="259" t="e">
        <v>#N/A</v>
      </c>
      <c r="AB1738" s="259"/>
      <c r="AC1738" s="259"/>
      <c r="AD1738" s="259"/>
      <c r="AE1738" s="259"/>
    </row>
    <row r="1739" spans="1:31">
      <c r="A1739" s="259" t="s">
        <v>1836</v>
      </c>
      <c r="B1739" s="259" t="s">
        <v>80</v>
      </c>
      <c r="C1739" s="264" t="s">
        <v>6829</v>
      </c>
      <c r="D1739" s="264" t="s">
        <v>7099</v>
      </c>
      <c r="E1739" s="259" t="s">
        <v>6828</v>
      </c>
      <c r="G1739" s="259" t="s">
        <v>4048</v>
      </c>
      <c r="H1739" s="264" t="s">
        <v>7100</v>
      </c>
      <c r="I1739" s="264" t="s">
        <v>7101</v>
      </c>
      <c r="J1739" s="295">
        <v>1000</v>
      </c>
      <c r="K1739" s="295">
        <v>650</v>
      </c>
      <c r="L1739" s="295">
        <v>500</v>
      </c>
      <c r="O1739" s="266">
        <v>0</v>
      </c>
      <c r="P1739" s="266">
        <v>691991035647</v>
      </c>
      <c r="R1739" s="265"/>
      <c r="V1739" s="259" t="s">
        <v>4159</v>
      </c>
      <c r="Y1739" s="259">
        <v>826</v>
      </c>
      <c r="Z1739" s="259" t="s">
        <v>4042</v>
      </c>
      <c r="AA1739" s="259" t="e">
        <v>#N/A</v>
      </c>
      <c r="AB1739" s="259"/>
      <c r="AC1739" s="259"/>
      <c r="AD1739" s="259"/>
      <c r="AE1739" s="259"/>
    </row>
    <row r="1740" spans="1:31">
      <c r="A1740" s="259" t="s">
        <v>1839</v>
      </c>
      <c r="B1740" s="259" t="s">
        <v>80</v>
      </c>
      <c r="C1740" s="264" t="s">
        <v>6829</v>
      </c>
      <c r="D1740" s="264" t="s">
        <v>2966</v>
      </c>
      <c r="E1740" s="259" t="s">
        <v>6828</v>
      </c>
      <c r="G1740" s="259" t="s">
        <v>4048</v>
      </c>
      <c r="H1740" s="264" t="s">
        <v>7108</v>
      </c>
      <c r="I1740" s="264" t="s">
        <v>7109</v>
      </c>
      <c r="J1740" s="295">
        <v>3300</v>
      </c>
      <c r="K1740" s="295">
        <v>2299</v>
      </c>
      <c r="L1740" s="295">
        <v>1650</v>
      </c>
      <c r="O1740" s="266">
        <v>0</v>
      </c>
      <c r="P1740" s="266">
        <v>691991035609</v>
      </c>
      <c r="R1740" s="265"/>
      <c r="V1740" s="259" t="s">
        <v>4159</v>
      </c>
      <c r="Y1740" s="259">
        <v>827</v>
      </c>
      <c r="Z1740" s="259" t="s">
        <v>3030</v>
      </c>
      <c r="AA1740" s="259" t="e">
        <v>#N/A</v>
      </c>
      <c r="AB1740" s="259"/>
      <c r="AC1740" s="259"/>
      <c r="AD1740" s="259"/>
      <c r="AE1740" s="259"/>
    </row>
    <row r="1741" spans="1:31">
      <c r="A1741" s="259" t="s">
        <v>1838</v>
      </c>
      <c r="B1741" s="259" t="s">
        <v>80</v>
      </c>
      <c r="C1741" s="264" t="s">
        <v>6829</v>
      </c>
      <c r="D1741" s="264" t="s">
        <v>7105</v>
      </c>
      <c r="E1741" s="259" t="s">
        <v>6828</v>
      </c>
      <c r="G1741" s="259" t="s">
        <v>4048</v>
      </c>
      <c r="H1741" s="264" t="s">
        <v>7106</v>
      </c>
      <c r="I1741" s="264" t="s">
        <v>7107</v>
      </c>
      <c r="J1741" s="295">
        <v>150</v>
      </c>
      <c r="K1741" s="295">
        <v>100</v>
      </c>
      <c r="L1741" s="295">
        <v>75</v>
      </c>
      <c r="O1741" s="266">
        <v>0</v>
      </c>
      <c r="P1741" s="266">
        <v>691991035616</v>
      </c>
      <c r="R1741" s="265"/>
      <c r="V1741" s="259" t="s">
        <v>4159</v>
      </c>
      <c r="Y1741" s="259">
        <v>828</v>
      </c>
      <c r="Z1741" s="259" t="s">
        <v>3030</v>
      </c>
      <c r="AA1741" s="259" t="e">
        <v>#N/A</v>
      </c>
      <c r="AB1741" s="259"/>
      <c r="AC1741" s="259"/>
      <c r="AD1741" s="259"/>
      <c r="AE1741" s="259"/>
    </row>
    <row r="1742" spans="1:31">
      <c r="A1742" s="259" t="s">
        <v>1841</v>
      </c>
      <c r="B1742" s="259" t="s">
        <v>80</v>
      </c>
      <c r="C1742" s="264" t="s">
        <v>6829</v>
      </c>
      <c r="D1742" s="264" t="s">
        <v>2968</v>
      </c>
      <c r="E1742" s="259" t="s">
        <v>6828</v>
      </c>
      <c r="G1742" s="259" t="s">
        <v>4048</v>
      </c>
      <c r="H1742" s="264" t="s">
        <v>7108</v>
      </c>
      <c r="I1742" s="264" t="s">
        <v>7112</v>
      </c>
      <c r="J1742" s="295">
        <v>5900</v>
      </c>
      <c r="K1742" s="295">
        <v>4099</v>
      </c>
      <c r="L1742" s="295">
        <v>2950</v>
      </c>
      <c r="O1742" s="266">
        <v>0</v>
      </c>
      <c r="P1742" s="266">
        <v>691991035586</v>
      </c>
      <c r="R1742" s="265"/>
      <c r="V1742" s="259" t="s">
        <v>4159</v>
      </c>
      <c r="Y1742" s="259">
        <v>829</v>
      </c>
      <c r="Z1742" s="259" t="s">
        <v>3030</v>
      </c>
      <c r="AA1742" s="259" t="e">
        <v>#N/A</v>
      </c>
      <c r="AB1742" s="259"/>
      <c r="AC1742" s="259"/>
      <c r="AD1742" s="259"/>
      <c r="AE1742" s="259"/>
    </row>
    <row r="1743" spans="1:31">
      <c r="A1743" s="259" t="s">
        <v>1840</v>
      </c>
      <c r="B1743" s="259" t="s">
        <v>80</v>
      </c>
      <c r="C1743" s="264" t="s">
        <v>6829</v>
      </c>
      <c r="D1743" s="264" t="s">
        <v>2967</v>
      </c>
      <c r="E1743" s="259" t="s">
        <v>6828</v>
      </c>
      <c r="G1743" s="259" t="s">
        <v>4048</v>
      </c>
      <c r="H1743" s="264" t="s">
        <v>7110</v>
      </c>
      <c r="I1743" s="264" t="s">
        <v>7111</v>
      </c>
      <c r="J1743" s="295">
        <v>200</v>
      </c>
      <c r="K1743" s="295">
        <v>140</v>
      </c>
      <c r="L1743" s="295">
        <v>100</v>
      </c>
      <c r="O1743" s="266">
        <v>0</v>
      </c>
      <c r="P1743" s="266">
        <v>691991035593</v>
      </c>
      <c r="R1743" s="265"/>
      <c r="V1743" s="259" t="s">
        <v>3028</v>
      </c>
      <c r="W1743" s="259" t="s">
        <v>3029</v>
      </c>
      <c r="Y1743" s="259">
        <v>830</v>
      </c>
      <c r="Z1743" s="259" t="s">
        <v>4042</v>
      </c>
      <c r="AA1743" s="259" t="e">
        <v>#N/A</v>
      </c>
      <c r="AB1743" s="259"/>
      <c r="AC1743" s="259"/>
      <c r="AD1743" s="259"/>
      <c r="AE1743" s="259"/>
    </row>
    <row r="1744" spans="1:31">
      <c r="A1744" s="259" t="s">
        <v>1842</v>
      </c>
      <c r="B1744" s="259" t="s">
        <v>80</v>
      </c>
      <c r="C1744" s="264" t="s">
        <v>6829</v>
      </c>
      <c r="D1744" s="264" t="s">
        <v>7113</v>
      </c>
      <c r="E1744" s="259" t="s">
        <v>6828</v>
      </c>
      <c r="G1744" s="259" t="s">
        <v>4048</v>
      </c>
      <c r="H1744" s="264" t="s">
        <v>7110</v>
      </c>
      <c r="I1744" s="264" t="s">
        <v>7114</v>
      </c>
      <c r="J1744" s="295">
        <v>350</v>
      </c>
      <c r="K1744" s="295">
        <v>240</v>
      </c>
      <c r="L1744" s="295">
        <v>175</v>
      </c>
      <c r="O1744" s="266">
        <v>0</v>
      </c>
      <c r="P1744" s="266">
        <v>691991035531</v>
      </c>
      <c r="R1744" s="265"/>
      <c r="V1744" s="259" t="s">
        <v>3028</v>
      </c>
      <c r="W1744" s="259" t="s">
        <v>3029</v>
      </c>
      <c r="Y1744" s="259">
        <v>832</v>
      </c>
      <c r="Z1744" s="259" t="s">
        <v>4042</v>
      </c>
      <c r="AA1744" s="259" t="e">
        <v>#N/A</v>
      </c>
      <c r="AB1744" s="259"/>
      <c r="AC1744" s="259"/>
      <c r="AD1744" s="259"/>
      <c r="AE1744" s="259"/>
    </row>
    <row r="1745" spans="1:31">
      <c r="A1745" s="259" t="s">
        <v>1845</v>
      </c>
      <c r="B1745" s="259" t="s">
        <v>80</v>
      </c>
      <c r="C1745" s="264"/>
      <c r="D1745" s="264" t="s">
        <v>7117</v>
      </c>
      <c r="H1745" s="264"/>
      <c r="I1745" s="264"/>
      <c r="J1745" s="295">
        <v>0</v>
      </c>
      <c r="K1745" s="295">
        <v>0</v>
      </c>
      <c r="L1745" s="295">
        <v>0</v>
      </c>
      <c r="O1745" s="266">
        <v>0</v>
      </c>
      <c r="R1745" s="265">
        <v>0</v>
      </c>
      <c r="S1745" s="265">
        <v>0</v>
      </c>
      <c r="T1745" s="265">
        <v>0</v>
      </c>
      <c r="U1745" s="265">
        <v>0</v>
      </c>
      <c r="V1745" s="259" t="s">
        <v>3028</v>
      </c>
      <c r="W1745" s="259" t="s">
        <v>3029</v>
      </c>
      <c r="Y1745" s="259">
        <v>833</v>
      </c>
      <c r="AA1745" s="259" t="e">
        <v>#N/A</v>
      </c>
      <c r="AB1745" s="259"/>
      <c r="AC1745" s="259"/>
      <c r="AD1745" s="259"/>
      <c r="AE1745" s="259"/>
    </row>
    <row r="1746" spans="1:31">
      <c r="A1746" s="259" t="s">
        <v>1844</v>
      </c>
      <c r="B1746" s="259" t="s">
        <v>80</v>
      </c>
      <c r="C1746" s="264" t="s">
        <v>6829</v>
      </c>
      <c r="D1746" s="264" t="s">
        <v>2969</v>
      </c>
      <c r="E1746" s="259" t="s">
        <v>6828</v>
      </c>
      <c r="G1746" s="259" t="s">
        <v>4048</v>
      </c>
      <c r="H1746" s="264" t="s">
        <v>7115</v>
      </c>
      <c r="I1746" s="264" t="s">
        <v>7116</v>
      </c>
      <c r="J1746" s="295">
        <v>100</v>
      </c>
      <c r="K1746" s="295">
        <v>70</v>
      </c>
      <c r="L1746" s="295">
        <v>50</v>
      </c>
      <c r="O1746" s="266">
        <v>0</v>
      </c>
      <c r="P1746" s="266">
        <v>691991035616</v>
      </c>
      <c r="R1746" s="265"/>
      <c r="V1746" s="259" t="s">
        <v>3028</v>
      </c>
      <c r="Y1746" s="259">
        <v>834</v>
      </c>
      <c r="Z1746" s="259" t="s">
        <v>3030</v>
      </c>
      <c r="AA1746" s="259" t="e">
        <v>#N/A</v>
      </c>
      <c r="AB1746" s="259"/>
      <c r="AC1746" s="259"/>
      <c r="AD1746" s="259"/>
      <c r="AE1746" s="259"/>
    </row>
    <row r="1747" spans="1:31">
      <c r="A1747" s="259" t="s">
        <v>1847</v>
      </c>
      <c r="B1747" s="259" t="s">
        <v>80</v>
      </c>
      <c r="C1747" s="264" t="s">
        <v>7118</v>
      </c>
      <c r="D1747" s="264" t="s">
        <v>1847</v>
      </c>
      <c r="E1747" s="259" t="s">
        <v>7119</v>
      </c>
      <c r="H1747" s="264" t="s">
        <v>7123</v>
      </c>
      <c r="I1747" s="264" t="s">
        <v>7124</v>
      </c>
      <c r="J1747" s="295">
        <v>158.46</v>
      </c>
      <c r="K1747" s="295">
        <v>98</v>
      </c>
      <c r="L1747" s="295">
        <v>71.13</v>
      </c>
      <c r="O1747" s="266">
        <v>2</v>
      </c>
      <c r="P1747" s="266">
        <v>50036904827</v>
      </c>
      <c r="R1747" s="265">
        <v>4</v>
      </c>
      <c r="S1747" s="265">
        <v>39</v>
      </c>
      <c r="T1747" s="265">
        <v>2.5</v>
      </c>
      <c r="U1747" s="265">
        <v>4.5</v>
      </c>
      <c r="V1747" s="259" t="s">
        <v>3028</v>
      </c>
      <c r="W1747" s="259" t="s">
        <v>3029</v>
      </c>
      <c r="X1747" s="264" t="s">
        <v>7125</v>
      </c>
      <c r="Y1747" s="259">
        <v>835</v>
      </c>
      <c r="Z1747" s="259" t="s">
        <v>3030</v>
      </c>
      <c r="AA1747" s="259" t="e">
        <v>#N/A</v>
      </c>
      <c r="AB1747" s="259"/>
      <c r="AC1747" s="259"/>
      <c r="AD1747" s="259"/>
      <c r="AE1747" s="259"/>
    </row>
    <row r="1748" spans="1:31">
      <c r="A1748" s="259" t="s">
        <v>1846</v>
      </c>
      <c r="B1748" s="259" t="s">
        <v>80</v>
      </c>
      <c r="C1748" s="264" t="s">
        <v>7118</v>
      </c>
      <c r="D1748" s="264" t="s">
        <v>1846</v>
      </c>
      <c r="E1748" s="259" t="s">
        <v>7119</v>
      </c>
      <c r="H1748" s="264" t="s">
        <v>7120</v>
      </c>
      <c r="I1748" s="264" t="s">
        <v>7121</v>
      </c>
      <c r="J1748" s="295">
        <v>262.89999999999998</v>
      </c>
      <c r="K1748" s="295">
        <v>154</v>
      </c>
      <c r="L1748" s="295">
        <v>116.14</v>
      </c>
      <c r="O1748" s="266">
        <v>2</v>
      </c>
      <c r="P1748" s="266">
        <v>50036904834</v>
      </c>
      <c r="R1748" s="265">
        <v>10</v>
      </c>
      <c r="S1748" s="265">
        <v>40</v>
      </c>
      <c r="T1748" s="265">
        <v>8</v>
      </c>
      <c r="U1748" s="265">
        <v>5</v>
      </c>
      <c r="V1748" s="259" t="s">
        <v>3028</v>
      </c>
      <c r="W1748" s="259" t="s">
        <v>3029</v>
      </c>
      <c r="X1748" s="264" t="s">
        <v>7122</v>
      </c>
      <c r="Y1748" s="259">
        <v>836</v>
      </c>
      <c r="Z1748" s="259" t="s">
        <v>3030</v>
      </c>
      <c r="AA1748" s="259" t="e">
        <v>#N/A</v>
      </c>
      <c r="AB1748" s="259"/>
      <c r="AC1748" s="259"/>
      <c r="AD1748" s="259"/>
      <c r="AE1748" s="259"/>
    </row>
    <row r="1749" spans="1:31">
      <c r="A1749" s="259" t="s">
        <v>1849</v>
      </c>
      <c r="B1749" s="259" t="s">
        <v>80</v>
      </c>
      <c r="C1749" s="264" t="s">
        <v>7118</v>
      </c>
      <c r="D1749" s="264" t="s">
        <v>1849</v>
      </c>
      <c r="E1749" s="259" t="s">
        <v>7119</v>
      </c>
      <c r="H1749" s="264" t="s">
        <v>7128</v>
      </c>
      <c r="I1749" s="264" t="s">
        <v>7129</v>
      </c>
      <c r="J1749" s="295">
        <v>170.94</v>
      </c>
      <c r="K1749" s="295">
        <v>109</v>
      </c>
      <c r="L1749" s="295">
        <v>80.13</v>
      </c>
      <c r="O1749" s="266">
        <v>2</v>
      </c>
      <c r="P1749" s="266">
        <v>50036904841</v>
      </c>
      <c r="R1749" s="265">
        <v>20</v>
      </c>
      <c r="S1749" s="265">
        <v>43</v>
      </c>
      <c r="T1749" s="265">
        <v>10</v>
      </c>
      <c r="U1749" s="265">
        <v>5</v>
      </c>
      <c r="V1749" s="259" t="s">
        <v>3028</v>
      </c>
      <c r="W1749" s="259" t="s">
        <v>3029</v>
      </c>
      <c r="X1749" s="264" t="s">
        <v>7130</v>
      </c>
      <c r="Y1749" s="259">
        <v>837</v>
      </c>
      <c r="Z1749" s="259" t="s">
        <v>3030</v>
      </c>
      <c r="AA1749" s="259" t="e">
        <v>#N/A</v>
      </c>
      <c r="AB1749" s="259"/>
      <c r="AC1749" s="259"/>
      <c r="AD1749" s="259"/>
      <c r="AE1749" s="259"/>
    </row>
    <row r="1750" spans="1:31">
      <c r="A1750" s="259" t="s">
        <v>1848</v>
      </c>
      <c r="B1750" s="259" t="s">
        <v>80</v>
      </c>
      <c r="C1750" s="264" t="s">
        <v>7118</v>
      </c>
      <c r="D1750" s="264" t="s">
        <v>1848</v>
      </c>
      <c r="E1750" s="259" t="s">
        <v>7119</v>
      </c>
      <c r="H1750" s="264" t="s">
        <v>7126</v>
      </c>
      <c r="I1750" s="264" t="s">
        <v>7127</v>
      </c>
      <c r="J1750" s="295">
        <v>402.16</v>
      </c>
      <c r="K1750" s="295">
        <v>236</v>
      </c>
      <c r="L1750" s="295">
        <v>179.17</v>
      </c>
      <c r="O1750" s="266">
        <v>2</v>
      </c>
      <c r="P1750" s="266">
        <v>50036904858</v>
      </c>
      <c r="R1750" s="265">
        <v>12</v>
      </c>
      <c r="S1750" s="265">
        <v>7</v>
      </c>
      <c r="T1750" s="265">
        <v>13</v>
      </c>
      <c r="U1750" s="265">
        <v>37</v>
      </c>
      <c r="V1750" s="259" t="s">
        <v>3028</v>
      </c>
      <c r="W1750" s="259" t="s">
        <v>3029</v>
      </c>
      <c r="X1750" s="264" t="s">
        <v>7122</v>
      </c>
      <c r="Y1750" s="259">
        <v>838</v>
      </c>
      <c r="Z1750" s="259" t="s">
        <v>3030</v>
      </c>
      <c r="AA1750" s="259" t="e">
        <v>#N/A</v>
      </c>
      <c r="AB1750" s="259"/>
      <c r="AC1750" s="259"/>
      <c r="AD1750" s="259"/>
      <c r="AE1750" s="259"/>
    </row>
    <row r="1751" spans="1:31">
      <c r="A1751" s="259" t="s">
        <v>1851</v>
      </c>
      <c r="B1751" s="259" t="s">
        <v>80</v>
      </c>
      <c r="C1751" s="264" t="s">
        <v>7133</v>
      </c>
      <c r="D1751" s="264" t="s">
        <v>7134</v>
      </c>
      <c r="E1751" s="259" t="s">
        <v>7135</v>
      </c>
      <c r="H1751" s="264" t="s">
        <v>7136</v>
      </c>
      <c r="I1751" s="264" t="s">
        <v>7137</v>
      </c>
      <c r="J1751" s="295">
        <v>262.23</v>
      </c>
      <c r="K1751" s="295">
        <v>169</v>
      </c>
      <c r="L1751" s="295">
        <v>127.22</v>
      </c>
      <c r="O1751" s="266"/>
      <c r="P1751" s="266">
        <v>691991033704</v>
      </c>
      <c r="R1751" s="265"/>
      <c r="V1751" s="259" t="s">
        <v>3028</v>
      </c>
      <c r="Y1751" s="259">
        <v>839</v>
      </c>
      <c r="Z1751" s="259" t="s">
        <v>3030</v>
      </c>
      <c r="AA1751" s="259" t="e">
        <v>#N/A</v>
      </c>
      <c r="AB1751" s="259"/>
      <c r="AC1751" s="259"/>
      <c r="AD1751" s="259"/>
      <c r="AE1751" s="259"/>
    </row>
    <row r="1752" spans="1:31">
      <c r="A1752" s="259" t="s">
        <v>1850</v>
      </c>
      <c r="B1752" s="259" t="s">
        <v>80</v>
      </c>
      <c r="C1752" s="264"/>
      <c r="D1752" s="264" t="s">
        <v>7131</v>
      </c>
      <c r="H1752" s="264"/>
      <c r="I1752" s="264"/>
      <c r="J1752" s="295">
        <v>0</v>
      </c>
      <c r="K1752" s="295">
        <v>0</v>
      </c>
      <c r="L1752" s="295">
        <v>0</v>
      </c>
      <c r="O1752" s="266"/>
      <c r="R1752" s="265">
        <v>0</v>
      </c>
      <c r="S1752" s="265">
        <v>0</v>
      </c>
      <c r="T1752" s="265">
        <v>0</v>
      </c>
      <c r="U1752" s="265">
        <v>0</v>
      </c>
      <c r="V1752" s="259" t="s">
        <v>3028</v>
      </c>
      <c r="W1752" s="259" t="s">
        <v>3029</v>
      </c>
      <c r="X1752" s="264" t="s">
        <v>7132</v>
      </c>
      <c r="Y1752" s="259">
        <v>840</v>
      </c>
      <c r="AA1752" s="259" t="e">
        <v>#N/A</v>
      </c>
      <c r="AB1752" s="259"/>
      <c r="AC1752" s="259"/>
      <c r="AD1752" s="259"/>
      <c r="AE1752" s="259"/>
    </row>
    <row r="1753" spans="1:31">
      <c r="A1753" s="259" t="s">
        <v>1853</v>
      </c>
      <c r="B1753" s="259" t="s">
        <v>80</v>
      </c>
      <c r="C1753" s="264" t="s">
        <v>7133</v>
      </c>
      <c r="D1753" s="264" t="s">
        <v>1853</v>
      </c>
      <c r="E1753" s="259" t="s">
        <v>7135</v>
      </c>
      <c r="H1753" s="264" t="s">
        <v>7139</v>
      </c>
      <c r="I1753" s="264" t="s">
        <v>7139</v>
      </c>
      <c r="J1753" s="295">
        <v>217.08</v>
      </c>
      <c r="K1753" s="295">
        <v>149</v>
      </c>
      <c r="L1753" s="295">
        <v>113.85</v>
      </c>
      <c r="O1753" s="266">
        <v>0</v>
      </c>
      <c r="P1753" s="266">
        <v>691991007705</v>
      </c>
      <c r="R1753" s="265">
        <v>0</v>
      </c>
      <c r="S1753" s="265">
        <v>0</v>
      </c>
      <c r="T1753" s="265">
        <v>0</v>
      </c>
      <c r="U1753" s="265">
        <v>0</v>
      </c>
      <c r="V1753" s="259" t="s">
        <v>3028</v>
      </c>
      <c r="W1753" s="259" t="s">
        <v>3029</v>
      </c>
      <c r="Y1753" s="259">
        <v>841</v>
      </c>
      <c r="Z1753" s="259" t="s">
        <v>3030</v>
      </c>
      <c r="AA1753" s="259" t="e">
        <v>#N/A</v>
      </c>
      <c r="AB1753" s="259"/>
      <c r="AC1753" s="259"/>
      <c r="AD1753" s="259"/>
      <c r="AE1753" s="259"/>
    </row>
    <row r="1754" spans="1:31">
      <c r="A1754" s="259" t="s">
        <v>1852</v>
      </c>
      <c r="B1754" s="259" t="s">
        <v>80</v>
      </c>
      <c r="C1754" s="264" t="s">
        <v>7133</v>
      </c>
      <c r="D1754" s="264" t="s">
        <v>1852</v>
      </c>
      <c r="E1754" s="259" t="s">
        <v>7135</v>
      </c>
      <c r="H1754" s="264" t="s">
        <v>7138</v>
      </c>
      <c r="I1754" s="264" t="s">
        <v>7137</v>
      </c>
      <c r="J1754" s="295">
        <v>262.23</v>
      </c>
      <c r="K1754" s="295">
        <v>169</v>
      </c>
      <c r="L1754" s="295">
        <v>127.22</v>
      </c>
      <c r="O1754" s="266"/>
      <c r="P1754" s="266">
        <v>691991016769</v>
      </c>
      <c r="R1754" s="265"/>
      <c r="V1754" s="259" t="s">
        <v>3028</v>
      </c>
      <c r="W1754" s="259" t="s">
        <v>3029</v>
      </c>
      <c r="Y1754" s="259">
        <v>842</v>
      </c>
      <c r="Z1754" s="259" t="s">
        <v>3030</v>
      </c>
      <c r="AA1754" s="259" t="e">
        <v>#N/A</v>
      </c>
      <c r="AB1754" s="259"/>
      <c r="AC1754" s="259"/>
      <c r="AD1754" s="259"/>
      <c r="AE1754" s="259"/>
    </row>
    <row r="1755" spans="1:31">
      <c r="A1755" s="259" t="s">
        <v>1855</v>
      </c>
      <c r="B1755" s="259" t="s">
        <v>80</v>
      </c>
      <c r="C1755" s="264" t="s">
        <v>7133</v>
      </c>
      <c r="D1755" s="264" t="s">
        <v>1855</v>
      </c>
      <c r="E1755" s="259" t="s">
        <v>7135</v>
      </c>
      <c r="H1755" s="264" t="s">
        <v>7141</v>
      </c>
      <c r="I1755" s="264" t="s">
        <v>7141</v>
      </c>
      <c r="J1755" s="295">
        <v>362.76</v>
      </c>
      <c r="K1755" s="295">
        <v>249</v>
      </c>
      <c r="L1755" s="295">
        <v>192.03</v>
      </c>
      <c r="O1755" s="266">
        <v>0</v>
      </c>
      <c r="P1755" s="266">
        <v>691991007729</v>
      </c>
      <c r="R1755" s="265">
        <v>0</v>
      </c>
      <c r="S1755" s="265">
        <v>0</v>
      </c>
      <c r="T1755" s="265">
        <v>0</v>
      </c>
      <c r="U1755" s="265">
        <v>0</v>
      </c>
      <c r="V1755" s="259" t="s">
        <v>3028</v>
      </c>
      <c r="W1755" s="259" t="s">
        <v>3029</v>
      </c>
      <c r="Y1755" s="259">
        <v>843</v>
      </c>
      <c r="Z1755" s="259" t="s">
        <v>3030</v>
      </c>
      <c r="AA1755" s="259" t="e">
        <v>#N/A</v>
      </c>
      <c r="AB1755" s="259"/>
      <c r="AC1755" s="259"/>
      <c r="AD1755" s="259"/>
      <c r="AE1755" s="259"/>
    </row>
    <row r="1756" spans="1:31">
      <c r="A1756" s="259" t="s">
        <v>1854</v>
      </c>
      <c r="B1756" s="259" t="s">
        <v>80</v>
      </c>
      <c r="C1756" s="264" t="s">
        <v>7133</v>
      </c>
      <c r="D1756" s="264" t="s">
        <v>1854</v>
      </c>
      <c r="E1756" s="259" t="s">
        <v>7135</v>
      </c>
      <c r="H1756" s="264" t="s">
        <v>7140</v>
      </c>
      <c r="I1756" s="264" t="s">
        <v>7140</v>
      </c>
      <c r="J1756" s="295">
        <v>289.92</v>
      </c>
      <c r="K1756" s="295">
        <v>199</v>
      </c>
      <c r="L1756" s="295">
        <v>151.16</v>
      </c>
      <c r="O1756" s="266"/>
      <c r="P1756" s="266">
        <v>691991007712</v>
      </c>
      <c r="R1756" s="265">
        <v>0</v>
      </c>
      <c r="S1756" s="265">
        <v>0</v>
      </c>
      <c r="T1756" s="265">
        <v>0</v>
      </c>
      <c r="U1756" s="265">
        <v>0</v>
      </c>
      <c r="V1756" s="259" t="s">
        <v>3028</v>
      </c>
      <c r="W1756" s="259" t="s">
        <v>3029</v>
      </c>
      <c r="Y1756" s="259">
        <v>844</v>
      </c>
      <c r="Z1756" s="259" t="s">
        <v>3030</v>
      </c>
      <c r="AA1756" s="259" t="e">
        <v>#N/A</v>
      </c>
      <c r="AB1756" s="259"/>
      <c r="AC1756" s="259"/>
      <c r="AD1756" s="259"/>
      <c r="AE1756" s="259"/>
    </row>
    <row r="1757" spans="1:31">
      <c r="A1757" s="259" t="s">
        <v>1857</v>
      </c>
      <c r="B1757" s="259" t="s">
        <v>80</v>
      </c>
      <c r="C1757" s="264" t="s">
        <v>7133</v>
      </c>
      <c r="D1757" s="264" t="s">
        <v>1857</v>
      </c>
      <c r="E1757" s="259" t="s">
        <v>7135</v>
      </c>
      <c r="H1757" s="264" t="s">
        <v>7144</v>
      </c>
      <c r="I1757" s="264" t="s">
        <v>7145</v>
      </c>
      <c r="J1757" s="295">
        <v>879</v>
      </c>
      <c r="K1757" s="295">
        <v>879</v>
      </c>
      <c r="L1757" s="295">
        <v>523.30999999999995</v>
      </c>
      <c r="O1757" s="266">
        <v>0</v>
      </c>
      <c r="P1757" s="266">
        <v>691991000577</v>
      </c>
      <c r="R1757" s="265">
        <v>11</v>
      </c>
      <c r="S1757" s="265">
        <v>8.75</v>
      </c>
      <c r="T1757" s="265">
        <v>10.5</v>
      </c>
      <c r="U1757" s="265">
        <v>14</v>
      </c>
      <c r="V1757" s="259" t="s">
        <v>4159</v>
      </c>
      <c r="W1757" s="259" t="s">
        <v>3061</v>
      </c>
      <c r="Y1757" s="259">
        <v>845</v>
      </c>
      <c r="Z1757" s="259" t="s">
        <v>3030</v>
      </c>
      <c r="AA1757" s="259" t="e">
        <v>#N/A</v>
      </c>
      <c r="AB1757" s="259"/>
      <c r="AC1757" s="259"/>
      <c r="AD1757" s="259"/>
      <c r="AE1757" s="259"/>
    </row>
    <row r="1758" spans="1:31">
      <c r="A1758" s="259" t="s">
        <v>1856</v>
      </c>
      <c r="B1758" s="259" t="s">
        <v>80</v>
      </c>
      <c r="C1758" s="264" t="s">
        <v>7133</v>
      </c>
      <c r="D1758" s="264" t="s">
        <v>1856</v>
      </c>
      <c r="E1758" s="259" t="s">
        <v>7135</v>
      </c>
      <c r="H1758" s="264" t="s">
        <v>7142</v>
      </c>
      <c r="I1758" s="264" t="s">
        <v>7142</v>
      </c>
      <c r="J1758" s="295">
        <v>581.58000000000004</v>
      </c>
      <c r="K1758" s="295">
        <v>399</v>
      </c>
      <c r="L1758" s="295">
        <v>305.39999999999998</v>
      </c>
      <c r="O1758" s="266">
        <v>0</v>
      </c>
      <c r="P1758" s="266">
        <v>50036904636</v>
      </c>
      <c r="R1758" s="265">
        <v>41</v>
      </c>
      <c r="S1758" s="265">
        <v>19</v>
      </c>
      <c r="T1758" s="265">
        <v>19</v>
      </c>
      <c r="U1758" s="265">
        <v>21</v>
      </c>
      <c r="V1758" s="259" t="s">
        <v>4159</v>
      </c>
      <c r="W1758" s="259" t="s">
        <v>3061</v>
      </c>
      <c r="X1758" s="264" t="s">
        <v>7143</v>
      </c>
      <c r="Y1758" s="259">
        <v>846</v>
      </c>
      <c r="Z1758" s="259" t="s">
        <v>3030</v>
      </c>
      <c r="AA1758" s="259" t="e">
        <v>#N/A</v>
      </c>
      <c r="AB1758" s="259"/>
      <c r="AC1758" s="259"/>
      <c r="AD1758" s="259"/>
      <c r="AE1758" s="259"/>
    </row>
    <row r="1759" spans="1:31">
      <c r="A1759" s="259" t="s">
        <v>1859</v>
      </c>
      <c r="B1759" s="259" t="s">
        <v>80</v>
      </c>
      <c r="C1759" s="264" t="s">
        <v>7133</v>
      </c>
      <c r="D1759" s="264" t="s">
        <v>1859</v>
      </c>
      <c r="E1759" s="259" t="s">
        <v>7135</v>
      </c>
      <c r="H1759" s="264" t="s">
        <v>7149</v>
      </c>
      <c r="I1759" s="264" t="s">
        <v>7150</v>
      </c>
      <c r="J1759" s="295">
        <v>1921.91</v>
      </c>
      <c r="K1759" s="295">
        <v>1921.91</v>
      </c>
      <c r="L1759" s="295">
        <v>1100.76</v>
      </c>
      <c r="O1759" s="266">
        <v>0</v>
      </c>
      <c r="P1759" s="266">
        <v>691991000560</v>
      </c>
      <c r="R1759" s="265">
        <v>28</v>
      </c>
      <c r="S1759" s="265">
        <v>13</v>
      </c>
      <c r="T1759" s="265">
        <v>14</v>
      </c>
      <c r="U1759" s="265">
        <v>21</v>
      </c>
      <c r="V1759" s="259" t="s">
        <v>4159</v>
      </c>
      <c r="W1759" s="259" t="s">
        <v>3061</v>
      </c>
      <c r="Y1759" s="259">
        <v>847</v>
      </c>
      <c r="Z1759" s="259" t="s">
        <v>3030</v>
      </c>
      <c r="AA1759" s="259" t="e">
        <v>#N/A</v>
      </c>
      <c r="AB1759" s="259"/>
      <c r="AC1759" s="259"/>
      <c r="AD1759" s="259"/>
      <c r="AE1759" s="259"/>
    </row>
    <row r="1760" spans="1:31">
      <c r="A1760" s="259" t="s">
        <v>1858</v>
      </c>
      <c r="B1760" s="259" t="s">
        <v>80</v>
      </c>
      <c r="C1760" s="264" t="s">
        <v>7133</v>
      </c>
      <c r="D1760" s="264" t="s">
        <v>1858</v>
      </c>
      <c r="E1760" s="259" t="s">
        <v>7135</v>
      </c>
      <c r="H1760" s="264" t="s">
        <v>7146</v>
      </c>
      <c r="I1760" s="264" t="s">
        <v>7147</v>
      </c>
      <c r="J1760" s="295">
        <v>1455.71</v>
      </c>
      <c r="K1760" s="295">
        <v>1169</v>
      </c>
      <c r="L1760" s="295">
        <v>873.25</v>
      </c>
      <c r="O1760" s="266">
        <v>0</v>
      </c>
      <c r="P1760" s="266">
        <v>691991000577</v>
      </c>
      <c r="R1760" s="265">
        <v>18</v>
      </c>
      <c r="S1760" s="265">
        <v>14.5</v>
      </c>
      <c r="T1760" s="265">
        <v>10.5</v>
      </c>
      <c r="U1760" s="265">
        <v>16</v>
      </c>
      <c r="V1760" s="259" t="s">
        <v>4159</v>
      </c>
      <c r="W1760" s="259" t="s">
        <v>3061</v>
      </c>
      <c r="X1760" s="264" t="s">
        <v>7148</v>
      </c>
      <c r="Y1760" s="259">
        <v>848</v>
      </c>
      <c r="Z1760" s="259" t="s">
        <v>3030</v>
      </c>
      <c r="AA1760" s="259" t="e">
        <v>#N/A</v>
      </c>
      <c r="AB1760" s="259"/>
      <c r="AC1760" s="259"/>
      <c r="AD1760" s="259"/>
      <c r="AE1760" s="259"/>
    </row>
    <row r="1761" spans="1:31">
      <c r="A1761" s="259" t="s">
        <v>1861</v>
      </c>
      <c r="B1761" s="259" t="s">
        <v>80</v>
      </c>
      <c r="C1761" s="264" t="s">
        <v>7153</v>
      </c>
      <c r="D1761" s="264" t="s">
        <v>1861</v>
      </c>
      <c r="E1761" s="259" t="s">
        <v>7154</v>
      </c>
      <c r="H1761" s="264" t="s">
        <v>7155</v>
      </c>
      <c r="I1761" s="264" t="s">
        <v>7156</v>
      </c>
      <c r="J1761" s="295">
        <v>4501.74</v>
      </c>
      <c r="K1761" s="295">
        <v>3599</v>
      </c>
      <c r="L1761" s="295">
        <v>2700.15</v>
      </c>
      <c r="O1761" s="266">
        <v>0</v>
      </c>
      <c r="P1761" s="266">
        <v>691991006197</v>
      </c>
      <c r="R1761" s="265">
        <v>0</v>
      </c>
      <c r="S1761" s="265">
        <v>0</v>
      </c>
      <c r="T1761" s="265">
        <v>0</v>
      </c>
      <c r="U1761" s="265">
        <v>0</v>
      </c>
      <c r="V1761" s="259" t="s">
        <v>4159</v>
      </c>
      <c r="W1761" s="259" t="s">
        <v>3061</v>
      </c>
      <c r="X1761" s="264" t="s">
        <v>7157</v>
      </c>
      <c r="Y1761" s="259">
        <v>849</v>
      </c>
      <c r="Z1761" s="259" t="s">
        <v>3030</v>
      </c>
      <c r="AA1761" s="259" t="e">
        <v>#N/A</v>
      </c>
      <c r="AB1761" s="259"/>
      <c r="AC1761" s="259"/>
      <c r="AD1761" s="259"/>
      <c r="AE1761" s="259"/>
    </row>
    <row r="1762" spans="1:31">
      <c r="A1762" s="259" t="s">
        <v>1860</v>
      </c>
      <c r="B1762" s="259" t="s">
        <v>80</v>
      </c>
      <c r="C1762" s="264" t="s">
        <v>7133</v>
      </c>
      <c r="D1762" s="264" t="s">
        <v>1860</v>
      </c>
      <c r="E1762" s="259" t="s">
        <v>7135</v>
      </c>
      <c r="H1762" s="264" t="s">
        <v>7151</v>
      </c>
      <c r="I1762" s="264" t="s">
        <v>7152</v>
      </c>
      <c r="J1762" s="295">
        <v>2621.21</v>
      </c>
      <c r="K1762" s="295">
        <v>2099</v>
      </c>
      <c r="L1762" s="295">
        <v>1572.26</v>
      </c>
      <c r="O1762" s="266">
        <v>0</v>
      </c>
      <c r="P1762" s="266">
        <v>691991006333</v>
      </c>
      <c r="R1762" s="265">
        <v>40</v>
      </c>
      <c r="S1762" s="265">
        <v>16.5</v>
      </c>
      <c r="T1762" s="265">
        <v>14</v>
      </c>
      <c r="U1762" s="265">
        <v>22.75</v>
      </c>
      <c r="V1762" s="259" t="s">
        <v>4159</v>
      </c>
      <c r="Y1762" s="259">
        <v>850</v>
      </c>
      <c r="Z1762" s="259" t="s">
        <v>3030</v>
      </c>
      <c r="AA1762" s="259" t="e">
        <v>#N/A</v>
      </c>
      <c r="AB1762" s="259"/>
      <c r="AC1762" s="259"/>
      <c r="AD1762" s="259"/>
      <c r="AE1762" s="259"/>
    </row>
    <row r="1763" spans="1:31">
      <c r="A1763" s="259" t="s">
        <v>1863</v>
      </c>
      <c r="B1763" s="259" t="s">
        <v>80</v>
      </c>
      <c r="C1763" s="264" t="s">
        <v>1863</v>
      </c>
      <c r="D1763" s="264" t="s">
        <v>1863</v>
      </c>
      <c r="E1763" s="259" t="s">
        <v>7154</v>
      </c>
      <c r="F1763" s="259" t="s">
        <v>5021</v>
      </c>
      <c r="H1763" s="264" t="s">
        <v>7160</v>
      </c>
      <c r="I1763" s="264" t="s">
        <v>7161</v>
      </c>
      <c r="J1763" s="295">
        <v>7199</v>
      </c>
      <c r="K1763" s="295">
        <v>7199</v>
      </c>
      <c r="L1763" s="295">
        <v>4408.1099999999997</v>
      </c>
      <c r="O1763" s="266">
        <v>0</v>
      </c>
      <c r="P1763" s="266">
        <v>50036904483</v>
      </c>
      <c r="R1763" s="265">
        <v>150</v>
      </c>
      <c r="S1763" s="265">
        <v>25</v>
      </c>
      <c r="T1763" s="265">
        <v>20</v>
      </c>
      <c r="U1763" s="265">
        <v>53</v>
      </c>
      <c r="V1763" s="259" t="s">
        <v>4159</v>
      </c>
      <c r="X1763" s="264" t="s">
        <v>7162</v>
      </c>
      <c r="Y1763" s="259">
        <v>851</v>
      </c>
      <c r="Z1763" s="259" t="s">
        <v>3030</v>
      </c>
      <c r="AA1763" s="259" t="e">
        <v>#N/A</v>
      </c>
      <c r="AB1763" s="259"/>
      <c r="AC1763" s="259"/>
      <c r="AD1763" s="259"/>
      <c r="AE1763" s="259"/>
    </row>
    <row r="1764" spans="1:31">
      <c r="A1764" s="259" t="s">
        <v>1862</v>
      </c>
      <c r="B1764" s="259" t="s">
        <v>80</v>
      </c>
      <c r="C1764" s="264" t="s">
        <v>7153</v>
      </c>
      <c r="D1764" s="264" t="s">
        <v>1862</v>
      </c>
      <c r="E1764" s="259" t="s">
        <v>7154</v>
      </c>
      <c r="H1764" s="264" t="s">
        <v>7158</v>
      </c>
      <c r="I1764" s="264" t="s">
        <v>7159</v>
      </c>
      <c r="J1764" s="295">
        <v>1200.47</v>
      </c>
      <c r="K1764" s="295">
        <v>959</v>
      </c>
      <c r="L1764" s="295">
        <v>719.38</v>
      </c>
      <c r="O1764" s="266"/>
      <c r="P1764" s="266">
        <v>691991006203</v>
      </c>
      <c r="R1764" s="265">
        <v>19</v>
      </c>
      <c r="S1764" s="265">
        <v>18.5</v>
      </c>
      <c r="T1764" s="265">
        <v>21.5</v>
      </c>
      <c r="U1764" s="265">
        <v>8</v>
      </c>
      <c r="V1764" s="259" t="s">
        <v>5046</v>
      </c>
      <c r="W1764" s="259" t="s">
        <v>3029</v>
      </c>
      <c r="X1764" s="264" t="s">
        <v>7157</v>
      </c>
      <c r="Y1764" s="259">
        <v>852</v>
      </c>
      <c r="Z1764" s="259" t="s">
        <v>3030</v>
      </c>
      <c r="AA1764" s="259" t="e">
        <v>#N/A</v>
      </c>
      <c r="AB1764" s="259"/>
      <c r="AC1764" s="259"/>
      <c r="AD1764" s="259"/>
      <c r="AE1764" s="259"/>
    </row>
    <row r="1765" spans="1:31">
      <c r="A1765" s="259" t="s">
        <v>1865</v>
      </c>
      <c r="B1765" s="259" t="s">
        <v>80</v>
      </c>
      <c r="C1765" s="264"/>
      <c r="D1765" s="264"/>
      <c r="H1765" s="264"/>
      <c r="I1765" s="264"/>
      <c r="J1765" s="295">
        <v>0</v>
      </c>
      <c r="K1765" s="295">
        <v>0</v>
      </c>
      <c r="L1765" s="295">
        <v>0</v>
      </c>
      <c r="O1765" s="266"/>
      <c r="R1765" s="265">
        <v>0</v>
      </c>
      <c r="S1765" s="265">
        <v>0</v>
      </c>
      <c r="T1765" s="265">
        <v>0</v>
      </c>
      <c r="U1765" s="265">
        <v>0</v>
      </c>
      <c r="V1765" s="259" t="s">
        <v>3028</v>
      </c>
      <c r="W1765" s="259" t="s">
        <v>3029</v>
      </c>
      <c r="X1765" s="264" t="s">
        <v>7167</v>
      </c>
      <c r="Y1765" s="259">
        <v>853</v>
      </c>
      <c r="AA1765" s="259" t="e">
        <v>#N/A</v>
      </c>
      <c r="AB1765" s="259"/>
      <c r="AC1765" s="259"/>
      <c r="AD1765" s="259"/>
      <c r="AE1765" s="259"/>
    </row>
    <row r="1766" spans="1:31">
      <c r="A1766" s="259" t="s">
        <v>1864</v>
      </c>
      <c r="B1766" s="259" t="s">
        <v>80</v>
      </c>
      <c r="C1766" s="264" t="s">
        <v>7163</v>
      </c>
      <c r="D1766" s="264" t="s">
        <v>1864</v>
      </c>
      <c r="E1766" s="259" t="s">
        <v>7135</v>
      </c>
      <c r="F1766" s="259" t="s">
        <v>5021</v>
      </c>
      <c r="H1766" s="264" t="s">
        <v>7164</v>
      </c>
      <c r="I1766" s="264" t="s">
        <v>7165</v>
      </c>
      <c r="J1766" s="295">
        <v>3899</v>
      </c>
      <c r="K1766" s="295">
        <v>3899</v>
      </c>
      <c r="L1766" s="295">
        <v>2387.7199999999998</v>
      </c>
      <c r="O1766" s="266">
        <v>0</v>
      </c>
      <c r="P1766" s="266">
        <v>691991004698</v>
      </c>
      <c r="R1766" s="265">
        <v>138.5</v>
      </c>
      <c r="S1766" s="265">
        <v>31</v>
      </c>
      <c r="T1766" s="265">
        <v>31.5</v>
      </c>
      <c r="U1766" s="265">
        <v>35</v>
      </c>
      <c r="V1766" s="259" t="s">
        <v>4159</v>
      </c>
      <c r="X1766" s="264" t="s">
        <v>7166</v>
      </c>
      <c r="Y1766" s="259">
        <v>854</v>
      </c>
      <c r="Z1766" s="259" t="s">
        <v>3030</v>
      </c>
      <c r="AA1766" s="259" t="e">
        <v>#N/A</v>
      </c>
      <c r="AB1766" s="259"/>
      <c r="AC1766" s="259"/>
      <c r="AD1766" s="259"/>
      <c r="AE1766" s="259"/>
    </row>
    <row r="1767" spans="1:31">
      <c r="A1767" s="259" t="s">
        <v>1867</v>
      </c>
      <c r="B1767" s="259" t="s">
        <v>80</v>
      </c>
      <c r="C1767" s="264" t="s">
        <v>7168</v>
      </c>
      <c r="D1767" s="264" t="s">
        <v>1867</v>
      </c>
      <c r="E1767" s="259" t="s">
        <v>7169</v>
      </c>
      <c r="H1767" s="264" t="s">
        <v>7172</v>
      </c>
      <c r="I1767" s="264" t="s">
        <v>7173</v>
      </c>
      <c r="J1767" s="295">
        <v>128.53</v>
      </c>
      <c r="K1767" s="295">
        <v>99</v>
      </c>
      <c r="L1767" s="295">
        <v>78.69</v>
      </c>
      <c r="O1767" s="266">
        <v>2</v>
      </c>
      <c r="P1767" s="266">
        <v>50036903486</v>
      </c>
      <c r="R1767" s="265">
        <v>5.75</v>
      </c>
      <c r="S1767" s="265">
        <v>6.375</v>
      </c>
      <c r="T1767" s="265">
        <v>7.5</v>
      </c>
      <c r="U1767" s="265">
        <v>11.75</v>
      </c>
      <c r="V1767" s="259" t="s">
        <v>3028</v>
      </c>
      <c r="W1767" s="259" t="s">
        <v>3029</v>
      </c>
      <c r="X1767" s="264" t="s">
        <v>7174</v>
      </c>
      <c r="Y1767" s="259">
        <v>855</v>
      </c>
      <c r="Z1767" s="259" t="s">
        <v>3030</v>
      </c>
      <c r="AA1767" s="259" t="e">
        <v>#N/A</v>
      </c>
      <c r="AB1767" s="259"/>
      <c r="AC1767" s="259"/>
      <c r="AD1767" s="259"/>
      <c r="AE1767" s="259"/>
    </row>
    <row r="1768" spans="1:31">
      <c r="A1768" s="259" t="s">
        <v>1866</v>
      </c>
      <c r="B1768" s="259" t="s">
        <v>80</v>
      </c>
      <c r="C1768" s="264" t="s">
        <v>7168</v>
      </c>
      <c r="D1768" s="264" t="s">
        <v>1866</v>
      </c>
      <c r="E1768" s="259" t="s">
        <v>7169</v>
      </c>
      <c r="H1768" s="264" t="s">
        <v>7170</v>
      </c>
      <c r="I1768" s="264" t="s">
        <v>7171</v>
      </c>
      <c r="J1768" s="295">
        <v>128.53</v>
      </c>
      <c r="K1768" s="295">
        <v>99</v>
      </c>
      <c r="L1768" s="295">
        <v>78.69</v>
      </c>
      <c r="O1768" s="266">
        <v>2</v>
      </c>
      <c r="P1768" s="266">
        <v>50036903455</v>
      </c>
      <c r="R1768" s="265">
        <v>5.75</v>
      </c>
      <c r="S1768" s="265">
        <v>6.375</v>
      </c>
      <c r="T1768" s="265">
        <v>7.5</v>
      </c>
      <c r="U1768" s="265">
        <v>11.75</v>
      </c>
      <c r="V1768" s="259" t="s">
        <v>3028</v>
      </c>
      <c r="W1768" s="259" t="s">
        <v>3029</v>
      </c>
      <c r="X1768" s="264" t="s">
        <v>7167</v>
      </c>
      <c r="Y1768" s="259">
        <v>856</v>
      </c>
      <c r="Z1768" s="259" t="s">
        <v>3030</v>
      </c>
      <c r="AA1768" s="259" t="e">
        <v>#N/A</v>
      </c>
      <c r="AB1768" s="259"/>
      <c r="AC1768" s="259"/>
      <c r="AD1768" s="259"/>
      <c r="AE1768" s="259"/>
    </row>
    <row r="1769" spans="1:31">
      <c r="A1769" s="259" t="s">
        <v>1869</v>
      </c>
      <c r="B1769" s="259" t="s">
        <v>80</v>
      </c>
      <c r="C1769" s="264" t="s">
        <v>7168</v>
      </c>
      <c r="D1769" s="264" t="s">
        <v>1869</v>
      </c>
      <c r="E1769" s="259" t="s">
        <v>7169</v>
      </c>
      <c r="H1769" s="264" t="s">
        <v>7178</v>
      </c>
      <c r="I1769" s="264" t="s">
        <v>7179</v>
      </c>
      <c r="J1769" s="295">
        <v>315.25</v>
      </c>
      <c r="K1769" s="295">
        <v>253</v>
      </c>
      <c r="L1769" s="295">
        <v>194</v>
      </c>
      <c r="O1769" s="266">
        <v>0</v>
      </c>
      <c r="P1769" s="266">
        <v>50036903547</v>
      </c>
      <c r="R1769" s="265">
        <v>13.25</v>
      </c>
      <c r="S1769" s="265">
        <v>8</v>
      </c>
      <c r="T1769" s="265">
        <v>14</v>
      </c>
      <c r="U1769" s="265">
        <v>13</v>
      </c>
      <c r="V1769" s="259" t="s">
        <v>3028</v>
      </c>
      <c r="W1769" s="259" t="s">
        <v>3029</v>
      </c>
      <c r="X1769" s="264" t="s">
        <v>7180</v>
      </c>
      <c r="Y1769" s="259">
        <v>857</v>
      </c>
      <c r="Z1769" s="259" t="s">
        <v>3030</v>
      </c>
      <c r="AA1769" s="259" t="e">
        <v>#N/A</v>
      </c>
      <c r="AB1769" s="259"/>
      <c r="AC1769" s="259"/>
      <c r="AD1769" s="259"/>
      <c r="AE1769" s="259"/>
    </row>
    <row r="1770" spans="1:31">
      <c r="A1770" s="259" t="s">
        <v>1868</v>
      </c>
      <c r="B1770" s="259" t="s">
        <v>80</v>
      </c>
      <c r="C1770" s="264" t="s">
        <v>7168</v>
      </c>
      <c r="D1770" s="264" t="s">
        <v>1868</v>
      </c>
      <c r="E1770" s="259" t="s">
        <v>7169</v>
      </c>
      <c r="H1770" s="264" t="s">
        <v>7175</v>
      </c>
      <c r="I1770" s="264" t="s">
        <v>7176</v>
      </c>
      <c r="J1770" s="295">
        <v>242.49</v>
      </c>
      <c r="K1770" s="295">
        <v>195</v>
      </c>
      <c r="L1770" s="295">
        <v>147.26</v>
      </c>
      <c r="O1770" s="266">
        <v>0</v>
      </c>
      <c r="P1770" s="266">
        <v>50036903615</v>
      </c>
      <c r="R1770" s="265">
        <v>8</v>
      </c>
      <c r="S1770" s="265">
        <v>7.75</v>
      </c>
      <c r="T1770" s="265">
        <v>8</v>
      </c>
      <c r="U1770" s="265">
        <v>13.5</v>
      </c>
      <c r="V1770" s="259" t="s">
        <v>3028</v>
      </c>
      <c r="W1770" s="259" t="s">
        <v>3029</v>
      </c>
      <c r="X1770" s="264" t="s">
        <v>7177</v>
      </c>
      <c r="Y1770" s="259">
        <v>858</v>
      </c>
      <c r="Z1770" s="259" t="s">
        <v>3030</v>
      </c>
      <c r="AA1770" s="259" t="e">
        <v>#N/A</v>
      </c>
      <c r="AB1770" s="259"/>
      <c r="AC1770" s="259"/>
      <c r="AD1770" s="259"/>
      <c r="AE1770" s="259"/>
    </row>
    <row r="1771" spans="1:31">
      <c r="A1771" s="259" t="s">
        <v>1871</v>
      </c>
      <c r="B1771" s="259" t="s">
        <v>80</v>
      </c>
      <c r="C1771" s="264" t="s">
        <v>7168</v>
      </c>
      <c r="D1771" s="264" t="s">
        <v>1871</v>
      </c>
      <c r="E1771" s="259" t="s">
        <v>7169</v>
      </c>
      <c r="H1771" s="264" t="s">
        <v>7184</v>
      </c>
      <c r="I1771" s="264" t="s">
        <v>7185</v>
      </c>
      <c r="J1771" s="295">
        <v>264.32</v>
      </c>
      <c r="K1771" s="295">
        <v>205</v>
      </c>
      <c r="L1771" s="295">
        <v>161.81</v>
      </c>
      <c r="O1771" s="266">
        <v>2</v>
      </c>
      <c r="P1771" s="266">
        <v>50036903462</v>
      </c>
      <c r="R1771" s="265">
        <v>13.5</v>
      </c>
      <c r="S1771" s="265">
        <v>10</v>
      </c>
      <c r="T1771" s="265">
        <v>6</v>
      </c>
      <c r="U1771" s="265">
        <v>9</v>
      </c>
      <c r="V1771" s="259" t="s">
        <v>3028</v>
      </c>
      <c r="W1771" s="259" t="s">
        <v>3029</v>
      </c>
      <c r="X1771" s="264" t="s">
        <v>7183</v>
      </c>
      <c r="Y1771" s="259">
        <v>859</v>
      </c>
      <c r="Z1771" s="259" t="s">
        <v>3030</v>
      </c>
      <c r="AA1771" s="259" t="e">
        <v>#N/A</v>
      </c>
      <c r="AB1771" s="259"/>
      <c r="AC1771" s="259"/>
      <c r="AD1771" s="259"/>
      <c r="AE1771" s="259"/>
    </row>
    <row r="1772" spans="1:31">
      <c r="A1772" s="259" t="s">
        <v>1870</v>
      </c>
      <c r="B1772" s="259" t="s">
        <v>80</v>
      </c>
      <c r="C1772" s="264" t="s">
        <v>7168</v>
      </c>
      <c r="D1772" s="264" t="s">
        <v>1870</v>
      </c>
      <c r="E1772" s="259" t="s">
        <v>7169</v>
      </c>
      <c r="H1772" s="264" t="s">
        <v>7181</v>
      </c>
      <c r="I1772" s="264" t="s">
        <v>7182</v>
      </c>
      <c r="J1772" s="295">
        <v>33.03</v>
      </c>
      <c r="K1772" s="295">
        <v>26</v>
      </c>
      <c r="L1772" s="295">
        <v>20.69</v>
      </c>
      <c r="O1772" s="266">
        <v>0</v>
      </c>
      <c r="P1772" s="266">
        <v>50036903554</v>
      </c>
      <c r="R1772" s="265">
        <v>0.75</v>
      </c>
      <c r="S1772" s="265">
        <v>8.25</v>
      </c>
      <c r="T1772" s="265">
        <v>2.75</v>
      </c>
      <c r="U1772" s="265">
        <v>3.25</v>
      </c>
      <c r="V1772" s="259" t="s">
        <v>3028</v>
      </c>
      <c r="W1772" s="259" t="s">
        <v>3029</v>
      </c>
      <c r="X1772" s="264" t="s">
        <v>7183</v>
      </c>
      <c r="Y1772" s="259">
        <v>860</v>
      </c>
      <c r="Z1772" s="259" t="s">
        <v>3030</v>
      </c>
      <c r="AA1772" s="259" t="e">
        <v>#N/A</v>
      </c>
      <c r="AB1772" s="259"/>
      <c r="AC1772" s="259"/>
      <c r="AD1772" s="259"/>
      <c r="AE1772" s="259"/>
    </row>
    <row r="1773" spans="1:31">
      <c r="A1773" s="259" t="s">
        <v>1873</v>
      </c>
      <c r="B1773" s="259" t="s">
        <v>80</v>
      </c>
      <c r="C1773" s="264" t="s">
        <v>7133</v>
      </c>
      <c r="D1773" s="264" t="s">
        <v>1873</v>
      </c>
      <c r="E1773" s="259" t="s">
        <v>7135</v>
      </c>
      <c r="H1773" s="264" t="s">
        <v>7191</v>
      </c>
      <c r="I1773" s="264" t="s">
        <v>7192</v>
      </c>
      <c r="J1773" s="295">
        <v>0</v>
      </c>
      <c r="K1773" s="295">
        <v>0</v>
      </c>
      <c r="L1773" s="295">
        <v>114.18</v>
      </c>
      <c r="O1773" s="266">
        <v>0</v>
      </c>
      <c r="P1773" s="266">
        <v>50036902953</v>
      </c>
      <c r="R1773" s="265">
        <v>0</v>
      </c>
      <c r="S1773" s="265">
        <v>0</v>
      </c>
      <c r="T1773" s="265">
        <v>0</v>
      </c>
      <c r="U1773" s="265">
        <v>0</v>
      </c>
      <c r="V1773" s="259"/>
      <c r="Y1773" s="259">
        <v>861</v>
      </c>
      <c r="AA1773" s="259" t="e">
        <v>#N/A</v>
      </c>
      <c r="AB1773" s="259"/>
      <c r="AC1773" s="259"/>
      <c r="AD1773" s="259"/>
      <c r="AE1773" s="259"/>
    </row>
    <row r="1774" spans="1:31">
      <c r="A1774" s="259" t="s">
        <v>1872</v>
      </c>
      <c r="B1774" s="259" t="s">
        <v>80</v>
      </c>
      <c r="C1774" s="264" t="s">
        <v>7186</v>
      </c>
      <c r="D1774" s="264" t="s">
        <v>1872</v>
      </c>
      <c r="E1774" s="259" t="s">
        <v>7187</v>
      </c>
      <c r="G1774" s="259" t="s">
        <v>3378</v>
      </c>
      <c r="H1774" s="264" t="s">
        <v>7188</v>
      </c>
      <c r="I1774" s="264" t="s">
        <v>7189</v>
      </c>
      <c r="J1774" s="295">
        <v>82.83</v>
      </c>
      <c r="K1774" s="295">
        <v>75</v>
      </c>
      <c r="L1774" s="295">
        <v>57.28</v>
      </c>
      <c r="O1774" s="266">
        <v>0</v>
      </c>
      <c r="P1774" s="266">
        <v>691991003837</v>
      </c>
      <c r="R1774" s="265">
        <v>0.5</v>
      </c>
      <c r="S1774" s="265">
        <v>3</v>
      </c>
      <c r="T1774" s="265">
        <v>5.5</v>
      </c>
      <c r="U1774" s="265">
        <v>3.5</v>
      </c>
      <c r="V1774" s="259" t="s">
        <v>3028</v>
      </c>
      <c r="W1774" s="259" t="s">
        <v>3029</v>
      </c>
      <c r="X1774" s="264" t="s">
        <v>7190</v>
      </c>
      <c r="Y1774" s="259">
        <v>862</v>
      </c>
      <c r="Z1774" s="259" t="s">
        <v>3227</v>
      </c>
      <c r="AA1774" s="259" t="e">
        <v>#N/A</v>
      </c>
      <c r="AB1774" s="259"/>
      <c r="AC1774" s="259"/>
      <c r="AD1774" s="259"/>
      <c r="AE1774" s="259"/>
    </row>
    <row r="1775" spans="1:31">
      <c r="A1775" s="259" t="s">
        <v>1875</v>
      </c>
      <c r="B1775" s="259" t="s">
        <v>80</v>
      </c>
      <c r="C1775" s="264" t="s">
        <v>7194</v>
      </c>
      <c r="D1775" s="264" t="s">
        <v>1875</v>
      </c>
      <c r="E1775" s="259" t="s">
        <v>7052</v>
      </c>
      <c r="H1775" s="264" t="s">
        <v>7194</v>
      </c>
      <c r="I1775" s="264" t="s">
        <v>7194</v>
      </c>
      <c r="J1775" s="295">
        <v>105.81</v>
      </c>
      <c r="K1775" s="295">
        <v>105.81</v>
      </c>
      <c r="L1775" s="295">
        <v>69.98</v>
      </c>
      <c r="O1775" s="266">
        <v>1</v>
      </c>
      <c r="P1775" s="266">
        <v>691991003868</v>
      </c>
      <c r="R1775" s="265">
        <v>7.35</v>
      </c>
      <c r="S1775" s="265">
        <v>8</v>
      </c>
      <c r="T1775" s="265">
        <v>10</v>
      </c>
      <c r="U1775" s="265">
        <v>14</v>
      </c>
      <c r="V1775" s="259" t="s">
        <v>3028</v>
      </c>
      <c r="W1775" s="259" t="s">
        <v>3029</v>
      </c>
      <c r="Y1775" s="259">
        <v>863</v>
      </c>
      <c r="Z1775" s="259" t="s">
        <v>3030</v>
      </c>
      <c r="AA1775" s="259" t="e">
        <v>#N/A</v>
      </c>
      <c r="AB1775" s="259"/>
      <c r="AC1775" s="259"/>
      <c r="AD1775" s="259"/>
      <c r="AE1775" s="259"/>
    </row>
    <row r="1776" spans="1:31">
      <c r="A1776" s="259" t="s">
        <v>1874</v>
      </c>
      <c r="B1776" s="259" t="s">
        <v>80</v>
      </c>
      <c r="C1776" s="264" t="s">
        <v>5715</v>
      </c>
      <c r="D1776" s="264" t="s">
        <v>1874</v>
      </c>
      <c r="E1776" s="259" t="s">
        <v>5737</v>
      </c>
      <c r="G1776" s="259" t="s">
        <v>3378</v>
      </c>
      <c r="H1776" s="264" t="s">
        <v>7193</v>
      </c>
      <c r="I1776" s="264" t="s">
        <v>7193</v>
      </c>
      <c r="J1776" s="295">
        <v>880.95</v>
      </c>
      <c r="K1776" s="295">
        <v>700</v>
      </c>
      <c r="L1776" s="295">
        <v>528.53</v>
      </c>
      <c r="O1776" s="266"/>
      <c r="P1776" s="266">
        <v>50036903431</v>
      </c>
      <c r="R1776" s="265"/>
      <c r="V1776" s="259" t="s">
        <v>3028</v>
      </c>
      <c r="Y1776" s="259">
        <v>864</v>
      </c>
      <c r="Z1776" s="259" t="s">
        <v>3227</v>
      </c>
      <c r="AA1776" s="259" t="e">
        <v>#N/A</v>
      </c>
      <c r="AB1776" s="259"/>
      <c r="AC1776" s="259"/>
      <c r="AD1776" s="259"/>
      <c r="AE1776" s="259"/>
    </row>
    <row r="1777" spans="1:31">
      <c r="A1777" s="259" t="s">
        <v>1877</v>
      </c>
      <c r="B1777" s="259" t="s">
        <v>80</v>
      </c>
      <c r="C1777" s="264" t="s">
        <v>6273</v>
      </c>
      <c r="D1777" s="264" t="s">
        <v>1877</v>
      </c>
      <c r="F1777" s="259" t="s">
        <v>5021</v>
      </c>
      <c r="H1777" s="264" t="s">
        <v>7197</v>
      </c>
      <c r="I1777" s="264" t="s">
        <v>7198</v>
      </c>
      <c r="J1777" s="295">
        <v>5608.89</v>
      </c>
      <c r="K1777" s="295">
        <v>5608.89</v>
      </c>
      <c r="L1777" s="295">
        <v>3364.6</v>
      </c>
      <c r="O1777" s="266">
        <v>0</v>
      </c>
      <c r="R1777" s="265">
        <v>0</v>
      </c>
      <c r="S1777" s="265">
        <v>0</v>
      </c>
      <c r="T1777" s="265">
        <v>0</v>
      </c>
      <c r="U1777" s="265">
        <v>0</v>
      </c>
      <c r="V1777" s="259"/>
      <c r="Y1777" s="259">
        <v>865</v>
      </c>
      <c r="Z1777" s="259" t="s">
        <v>3227</v>
      </c>
      <c r="AA1777" s="259" t="e">
        <v>#N/A</v>
      </c>
      <c r="AB1777" s="259"/>
      <c r="AC1777" s="259"/>
      <c r="AD1777" s="259"/>
      <c r="AE1777" s="259"/>
    </row>
    <row r="1778" spans="1:31">
      <c r="A1778" s="259" t="s">
        <v>1876</v>
      </c>
      <c r="B1778" s="259" t="s">
        <v>80</v>
      </c>
      <c r="C1778" s="264" t="s">
        <v>6267</v>
      </c>
      <c r="D1778" s="264" t="s">
        <v>1876</v>
      </c>
      <c r="E1778" s="259" t="s">
        <v>6255</v>
      </c>
      <c r="F1778" s="259" t="s">
        <v>5021</v>
      </c>
      <c r="H1778" s="264" t="s">
        <v>7195</v>
      </c>
      <c r="I1778" s="264" t="s">
        <v>7196</v>
      </c>
      <c r="J1778" s="295">
        <v>3239.72</v>
      </c>
      <c r="K1778" s="295">
        <v>3239.72</v>
      </c>
      <c r="L1778" s="295">
        <v>1943.59</v>
      </c>
      <c r="O1778" s="266">
        <v>0</v>
      </c>
      <c r="R1778" s="265">
        <v>0</v>
      </c>
      <c r="S1778" s="265">
        <v>0</v>
      </c>
      <c r="T1778" s="265">
        <v>0</v>
      </c>
      <c r="U1778" s="265">
        <v>0</v>
      </c>
      <c r="V1778" s="259"/>
      <c r="Y1778" s="259">
        <v>866</v>
      </c>
      <c r="Z1778" s="259" t="s">
        <v>3227</v>
      </c>
      <c r="AA1778" s="259" t="e">
        <v>#N/A</v>
      </c>
      <c r="AB1778" s="259"/>
      <c r="AC1778" s="259"/>
      <c r="AD1778" s="259"/>
      <c r="AE1778" s="259"/>
    </row>
    <row r="1779" spans="1:31">
      <c r="A1779" s="259" t="s">
        <v>82</v>
      </c>
      <c r="B1779" s="259" t="s">
        <v>7199</v>
      </c>
      <c r="C1779" s="264"/>
      <c r="D1779" s="264"/>
      <c r="H1779" s="264"/>
      <c r="I1779" s="264"/>
      <c r="J1779" s="295">
        <v>0</v>
      </c>
      <c r="K1779" s="295">
        <v>0</v>
      </c>
      <c r="L1779" s="295">
        <v>0</v>
      </c>
      <c r="O1779" s="266"/>
      <c r="R1779" s="265"/>
      <c r="V1779" s="259"/>
      <c r="Y1779" s="259">
        <f t="shared" ref="Y1779:Y1842" si="2">Y1778+1</f>
        <v>867</v>
      </c>
      <c r="AA1779" s="259" t="e">
        <v>#N/A</v>
      </c>
      <c r="AB1779" s="259"/>
      <c r="AC1779" s="259"/>
      <c r="AD1779" s="259"/>
      <c r="AE1779" s="259"/>
    </row>
    <row r="1780" spans="1:31">
      <c r="A1780" s="259" t="s">
        <v>1029</v>
      </c>
      <c r="B1780" s="259" t="s">
        <v>7199</v>
      </c>
      <c r="C1780" s="264"/>
      <c r="D1780" s="264"/>
      <c r="H1780" s="264"/>
      <c r="I1780" s="264"/>
      <c r="J1780" s="295">
        <v>0</v>
      </c>
      <c r="K1780" s="295">
        <v>0</v>
      </c>
      <c r="L1780" s="295">
        <v>0</v>
      </c>
      <c r="O1780" s="266"/>
      <c r="R1780" s="265">
        <v>0</v>
      </c>
      <c r="S1780" s="265">
        <v>0</v>
      </c>
      <c r="T1780" s="265">
        <v>0</v>
      </c>
      <c r="U1780" s="265">
        <v>0</v>
      </c>
      <c r="V1780" s="259"/>
      <c r="Y1780" s="259">
        <f t="shared" si="2"/>
        <v>868</v>
      </c>
      <c r="AA1780" s="259" t="e">
        <v>#N/A</v>
      </c>
      <c r="AB1780" s="259"/>
      <c r="AC1780" s="259"/>
      <c r="AD1780" s="259"/>
      <c r="AE1780" s="259"/>
    </row>
    <row r="1781" spans="1:31">
      <c r="A1781" s="259" t="s">
        <v>1041</v>
      </c>
      <c r="B1781" s="259" t="s">
        <v>7199</v>
      </c>
      <c r="C1781" s="264"/>
      <c r="D1781" s="264"/>
      <c r="H1781" s="264"/>
      <c r="I1781" s="264"/>
      <c r="J1781" s="295">
        <v>0</v>
      </c>
      <c r="K1781" s="295">
        <v>0</v>
      </c>
      <c r="L1781" s="295">
        <v>0</v>
      </c>
      <c r="O1781" s="266"/>
      <c r="R1781" s="265">
        <v>0</v>
      </c>
      <c r="S1781" s="265">
        <v>0</v>
      </c>
      <c r="T1781" s="265">
        <v>0</v>
      </c>
      <c r="U1781" s="265">
        <v>0</v>
      </c>
      <c r="V1781" s="259"/>
      <c r="Y1781" s="259">
        <f t="shared" si="2"/>
        <v>869</v>
      </c>
      <c r="AA1781" s="259" t="e">
        <v>#N/A</v>
      </c>
      <c r="AB1781" s="259"/>
      <c r="AC1781" s="259"/>
      <c r="AD1781" s="259"/>
      <c r="AE1781" s="259"/>
    </row>
    <row r="1782" spans="1:31">
      <c r="A1782" s="259" t="s">
        <v>1042</v>
      </c>
      <c r="B1782" s="259" t="s">
        <v>7199</v>
      </c>
      <c r="C1782" s="264" t="s">
        <v>5701</v>
      </c>
      <c r="D1782" s="264" t="s">
        <v>5703</v>
      </c>
      <c r="E1782" s="259" t="s">
        <v>5702</v>
      </c>
      <c r="H1782" s="264" t="s">
        <v>5703</v>
      </c>
      <c r="I1782" s="264" t="s">
        <v>5704</v>
      </c>
      <c r="J1782" s="295">
        <v>100.61</v>
      </c>
      <c r="K1782" s="295">
        <v>78</v>
      </c>
      <c r="L1782" s="295">
        <v>52.98</v>
      </c>
      <c r="O1782" s="266"/>
      <c r="P1782" s="266">
        <v>691991401404</v>
      </c>
      <c r="R1782" s="265">
        <v>0.5</v>
      </c>
      <c r="S1782" s="265">
        <v>7</v>
      </c>
      <c r="T1782" s="265">
        <v>5.5</v>
      </c>
      <c r="U1782" s="265">
        <v>3.5</v>
      </c>
      <c r="V1782" s="259" t="s">
        <v>3028</v>
      </c>
      <c r="Y1782" s="259">
        <f t="shared" si="2"/>
        <v>870</v>
      </c>
      <c r="Z1782" s="259" t="s">
        <v>3227</v>
      </c>
      <c r="AA1782" s="259" t="e">
        <v>#N/A</v>
      </c>
      <c r="AB1782" s="259"/>
      <c r="AC1782" s="259"/>
      <c r="AD1782" s="259"/>
      <c r="AE1782" s="259"/>
    </row>
    <row r="1783" spans="1:31">
      <c r="A1783" s="259" t="s">
        <v>1043</v>
      </c>
      <c r="B1783" s="259" t="s">
        <v>7199</v>
      </c>
      <c r="C1783" s="264" t="s">
        <v>5701</v>
      </c>
      <c r="D1783" s="264" t="s">
        <v>5705</v>
      </c>
      <c r="E1783" s="259" t="s">
        <v>5702</v>
      </c>
      <c r="H1783" s="264" t="s">
        <v>5705</v>
      </c>
      <c r="I1783" s="264" t="s">
        <v>5706</v>
      </c>
      <c r="J1783" s="295">
        <v>101.62</v>
      </c>
      <c r="K1783" s="295">
        <v>78</v>
      </c>
      <c r="L1783" s="295">
        <v>53.17</v>
      </c>
      <c r="O1783" s="266"/>
      <c r="P1783" s="266">
        <v>691991013645</v>
      </c>
      <c r="R1783" s="265">
        <v>0.1</v>
      </c>
      <c r="S1783" s="265">
        <v>7</v>
      </c>
      <c r="T1783" s="265">
        <v>3.5</v>
      </c>
      <c r="U1783" s="265">
        <v>5.5</v>
      </c>
      <c r="V1783" s="259" t="s">
        <v>3028</v>
      </c>
      <c r="Y1783" s="259">
        <f t="shared" si="2"/>
        <v>871</v>
      </c>
      <c r="Z1783" s="259" t="s">
        <v>3227</v>
      </c>
      <c r="AA1783" s="259" t="e">
        <v>#N/A</v>
      </c>
      <c r="AB1783" s="259"/>
      <c r="AC1783" s="259"/>
      <c r="AD1783" s="259"/>
      <c r="AE1783" s="259"/>
    </row>
    <row r="1784" spans="1:31">
      <c r="A1784" s="259" t="s">
        <v>1044</v>
      </c>
      <c r="B1784" s="259" t="s">
        <v>7199</v>
      </c>
      <c r="C1784" s="264" t="s">
        <v>5701</v>
      </c>
      <c r="D1784" s="264" t="s">
        <v>5707</v>
      </c>
      <c r="E1784" s="259" t="s">
        <v>5702</v>
      </c>
      <c r="H1784" s="264" t="s">
        <v>5707</v>
      </c>
      <c r="I1784" s="264" t="s">
        <v>5708</v>
      </c>
      <c r="J1784" s="295">
        <v>100.61</v>
      </c>
      <c r="K1784" s="295">
        <v>78</v>
      </c>
      <c r="L1784" s="295">
        <v>53.06</v>
      </c>
      <c r="O1784" s="266"/>
      <c r="P1784" s="266">
        <v>691991401411</v>
      </c>
      <c r="R1784" s="265">
        <v>0.5</v>
      </c>
      <c r="S1784" s="265">
        <v>7</v>
      </c>
      <c r="T1784" s="265">
        <v>5.5</v>
      </c>
      <c r="U1784" s="265">
        <v>3.5</v>
      </c>
      <c r="V1784" s="259" t="s">
        <v>3028</v>
      </c>
      <c r="Y1784" s="259">
        <f t="shared" si="2"/>
        <v>872</v>
      </c>
      <c r="Z1784" s="259" t="s">
        <v>3227</v>
      </c>
      <c r="AA1784" s="259" t="e">
        <v>#N/A</v>
      </c>
      <c r="AB1784" s="259"/>
      <c r="AC1784" s="259"/>
      <c r="AD1784" s="259"/>
      <c r="AE1784" s="259"/>
    </row>
    <row r="1785" spans="1:31">
      <c r="A1785" s="259" t="s">
        <v>1045</v>
      </c>
      <c r="B1785" s="259" t="s">
        <v>7199</v>
      </c>
      <c r="C1785" s="264" t="s">
        <v>5701</v>
      </c>
      <c r="D1785" s="264" t="s">
        <v>5709</v>
      </c>
      <c r="E1785" s="259" t="s">
        <v>5702</v>
      </c>
      <c r="H1785" s="264" t="s">
        <v>5709</v>
      </c>
      <c r="I1785" s="264" t="s">
        <v>5710</v>
      </c>
      <c r="J1785" s="295">
        <v>100.61</v>
      </c>
      <c r="K1785" s="295">
        <v>78</v>
      </c>
      <c r="L1785" s="295">
        <v>53.12</v>
      </c>
      <c r="O1785" s="266"/>
      <c r="P1785" s="266">
        <v>691991401381</v>
      </c>
      <c r="R1785" s="265">
        <v>0.2</v>
      </c>
      <c r="S1785" s="265">
        <v>7</v>
      </c>
      <c r="T1785" s="265">
        <v>3</v>
      </c>
      <c r="U1785" s="265">
        <v>5</v>
      </c>
      <c r="V1785" s="259" t="s">
        <v>3028</v>
      </c>
      <c r="Y1785" s="259">
        <f t="shared" si="2"/>
        <v>873</v>
      </c>
      <c r="Z1785" s="259" t="s">
        <v>3227</v>
      </c>
      <c r="AA1785" s="259" t="e">
        <v>#N/A</v>
      </c>
      <c r="AB1785" s="259"/>
      <c r="AC1785" s="259"/>
      <c r="AD1785" s="259"/>
      <c r="AE1785" s="259"/>
    </row>
    <row r="1786" spans="1:31">
      <c r="A1786" s="259" t="s">
        <v>1046</v>
      </c>
      <c r="B1786" s="259" t="s">
        <v>7199</v>
      </c>
      <c r="C1786" s="264" t="s">
        <v>5701</v>
      </c>
      <c r="D1786" s="264" t="s">
        <v>5711</v>
      </c>
      <c r="E1786" s="259" t="s">
        <v>5702</v>
      </c>
      <c r="H1786" s="264" t="s">
        <v>5711</v>
      </c>
      <c r="I1786" s="264" t="s">
        <v>5712</v>
      </c>
      <c r="J1786" s="295">
        <v>100.61</v>
      </c>
      <c r="K1786" s="295">
        <v>72</v>
      </c>
      <c r="L1786" s="295">
        <v>52.32</v>
      </c>
      <c r="O1786" s="266"/>
      <c r="P1786" s="266">
        <v>691991401398</v>
      </c>
      <c r="R1786" s="265">
        <v>0.5</v>
      </c>
      <c r="S1786" s="265">
        <v>7</v>
      </c>
      <c r="T1786" s="265">
        <v>5.5</v>
      </c>
      <c r="U1786" s="265">
        <v>3.5</v>
      </c>
      <c r="V1786" s="259" t="s">
        <v>3028</v>
      </c>
      <c r="Y1786" s="259">
        <f t="shared" si="2"/>
        <v>874</v>
      </c>
      <c r="Z1786" s="259" t="s">
        <v>3030</v>
      </c>
      <c r="AA1786" s="259" t="e">
        <v>#N/A</v>
      </c>
      <c r="AB1786" s="259"/>
      <c r="AC1786" s="259"/>
      <c r="AD1786" s="259"/>
      <c r="AE1786" s="259"/>
    </row>
    <row r="1787" spans="1:31">
      <c r="A1787" s="259" t="s">
        <v>1047</v>
      </c>
      <c r="B1787" s="259" t="s">
        <v>7199</v>
      </c>
      <c r="C1787" s="264" t="s">
        <v>5701</v>
      </c>
      <c r="D1787" s="264" t="s">
        <v>5713</v>
      </c>
      <c r="E1787" s="259" t="s">
        <v>5702</v>
      </c>
      <c r="H1787" s="264" t="s">
        <v>5713</v>
      </c>
      <c r="I1787" s="264" t="s">
        <v>5714</v>
      </c>
      <c r="J1787" s="295">
        <v>101.62</v>
      </c>
      <c r="K1787" s="295">
        <v>72</v>
      </c>
      <c r="L1787" s="295">
        <v>52.37</v>
      </c>
      <c r="O1787" s="266"/>
      <c r="P1787" s="266">
        <v>691991401367</v>
      </c>
      <c r="R1787" s="265">
        <v>0.5</v>
      </c>
      <c r="S1787" s="265">
        <v>7</v>
      </c>
      <c r="T1787" s="265">
        <v>5.5</v>
      </c>
      <c r="U1787" s="265">
        <v>3.5</v>
      </c>
      <c r="V1787" s="259" t="s">
        <v>3028</v>
      </c>
      <c r="Y1787" s="259">
        <f t="shared" si="2"/>
        <v>875</v>
      </c>
      <c r="Z1787" s="259" t="s">
        <v>3030</v>
      </c>
      <c r="AA1787" s="259" t="e">
        <v>#N/A</v>
      </c>
      <c r="AB1787" s="259"/>
      <c r="AC1787" s="259"/>
      <c r="AD1787" s="259"/>
      <c r="AE1787" s="259"/>
    </row>
    <row r="1788" spans="1:31">
      <c r="A1788" s="259" t="s">
        <v>1048</v>
      </c>
      <c r="B1788" s="259" t="s">
        <v>7199</v>
      </c>
      <c r="C1788" s="264"/>
      <c r="D1788" s="264"/>
      <c r="H1788" s="264"/>
      <c r="I1788" s="264"/>
      <c r="J1788" s="295">
        <v>0</v>
      </c>
      <c r="K1788" s="295">
        <v>0</v>
      </c>
      <c r="L1788" s="295">
        <v>0</v>
      </c>
      <c r="O1788" s="266"/>
      <c r="R1788" s="265"/>
      <c r="S1788" s="265">
        <v>0</v>
      </c>
      <c r="T1788" s="265">
        <v>0</v>
      </c>
      <c r="U1788" s="265">
        <v>0</v>
      </c>
      <c r="V1788" s="259">
        <v>0</v>
      </c>
      <c r="Y1788" s="259">
        <f t="shared" si="2"/>
        <v>876</v>
      </c>
      <c r="AA1788" s="259" t="e">
        <v>#N/A</v>
      </c>
      <c r="AB1788" s="259"/>
      <c r="AC1788" s="259"/>
      <c r="AD1788" s="259"/>
      <c r="AE1788" s="259"/>
    </row>
    <row r="1789" spans="1:31">
      <c r="A1789" s="259" t="s">
        <v>1049</v>
      </c>
      <c r="B1789" s="259" t="s">
        <v>7199</v>
      </c>
      <c r="C1789" s="264" t="s">
        <v>5715</v>
      </c>
      <c r="D1789" s="264" t="s">
        <v>5716</v>
      </c>
      <c r="E1789" s="259" t="s">
        <v>5702</v>
      </c>
      <c r="H1789" s="264" t="s">
        <v>5716</v>
      </c>
      <c r="I1789" s="264" t="s">
        <v>5717</v>
      </c>
      <c r="J1789" s="295">
        <v>29.5</v>
      </c>
      <c r="K1789" s="295">
        <v>20</v>
      </c>
      <c r="L1789" s="295">
        <v>14.63</v>
      </c>
      <c r="O1789" s="266">
        <v>0</v>
      </c>
      <c r="P1789" s="266">
        <v>50036903912</v>
      </c>
      <c r="R1789" s="265">
        <v>2.5</v>
      </c>
      <c r="S1789" s="265">
        <v>5</v>
      </c>
      <c r="T1789" s="265">
        <v>9</v>
      </c>
      <c r="U1789" s="265">
        <v>10</v>
      </c>
      <c r="V1789" s="259" t="s">
        <v>3028</v>
      </c>
      <c r="X1789" s="264" t="s">
        <v>5718</v>
      </c>
      <c r="Y1789" s="259">
        <f t="shared" si="2"/>
        <v>877</v>
      </c>
      <c r="Z1789" s="259" t="s">
        <v>3030</v>
      </c>
      <c r="AA1789" s="259" t="e">
        <v>#N/A</v>
      </c>
      <c r="AB1789" s="259"/>
      <c r="AC1789" s="259"/>
      <c r="AD1789" s="259"/>
      <c r="AE1789" s="259"/>
    </row>
    <row r="1790" spans="1:31">
      <c r="A1790" s="259" t="s">
        <v>1050</v>
      </c>
      <c r="B1790" s="259" t="s">
        <v>7199</v>
      </c>
      <c r="C1790" s="264" t="s">
        <v>5715</v>
      </c>
      <c r="D1790" s="264" t="s">
        <v>5719</v>
      </c>
      <c r="E1790" s="259" t="s">
        <v>5702</v>
      </c>
      <c r="H1790" s="264" t="s">
        <v>5719</v>
      </c>
      <c r="I1790" s="264" t="s">
        <v>5720</v>
      </c>
      <c r="J1790" s="295">
        <v>39.770000000000003</v>
      </c>
      <c r="K1790" s="295">
        <v>30</v>
      </c>
      <c r="L1790" s="295">
        <v>19.2</v>
      </c>
      <c r="O1790" s="266">
        <v>0</v>
      </c>
      <c r="P1790" s="266">
        <v>50036903929</v>
      </c>
      <c r="R1790" s="265">
        <v>4.25</v>
      </c>
      <c r="S1790" s="265">
        <v>15</v>
      </c>
      <c r="T1790" s="265">
        <v>15</v>
      </c>
      <c r="U1790" s="265">
        <v>4</v>
      </c>
      <c r="V1790" s="259" t="s">
        <v>3028</v>
      </c>
      <c r="X1790" s="264" t="s">
        <v>5721</v>
      </c>
      <c r="Y1790" s="259">
        <f t="shared" si="2"/>
        <v>878</v>
      </c>
      <c r="Z1790" s="259" t="s">
        <v>3030</v>
      </c>
      <c r="AA1790" s="259" t="e">
        <v>#N/A</v>
      </c>
      <c r="AB1790" s="259"/>
      <c r="AC1790" s="259"/>
      <c r="AD1790" s="259"/>
      <c r="AE1790" s="259"/>
    </row>
    <row r="1791" spans="1:31">
      <c r="A1791" s="259" t="s">
        <v>1051</v>
      </c>
      <c r="B1791" s="259" t="s">
        <v>7199</v>
      </c>
      <c r="C1791" s="264" t="s">
        <v>5715</v>
      </c>
      <c r="D1791" s="264" t="s">
        <v>5722</v>
      </c>
      <c r="E1791" s="259" t="s">
        <v>5702</v>
      </c>
      <c r="H1791" s="264" t="s">
        <v>5722</v>
      </c>
      <c r="I1791" s="264" t="s">
        <v>5723</v>
      </c>
      <c r="J1791" s="295">
        <v>53.87</v>
      </c>
      <c r="K1791" s="295">
        <v>47</v>
      </c>
      <c r="L1791" s="295">
        <v>26.17</v>
      </c>
      <c r="O1791" s="266">
        <v>0</v>
      </c>
      <c r="P1791" s="266">
        <v>50036903936</v>
      </c>
      <c r="R1791" s="265">
        <v>8</v>
      </c>
      <c r="S1791" s="265">
        <v>16</v>
      </c>
      <c r="T1791" s="265">
        <v>14</v>
      </c>
      <c r="U1791" s="265">
        <v>5</v>
      </c>
      <c r="V1791" s="259" t="s">
        <v>3028</v>
      </c>
      <c r="X1791" s="264" t="s">
        <v>5724</v>
      </c>
      <c r="Y1791" s="259">
        <f t="shared" si="2"/>
        <v>879</v>
      </c>
      <c r="Z1791" s="259" t="s">
        <v>3030</v>
      </c>
      <c r="AA1791" s="259" t="e">
        <v>#N/A</v>
      </c>
      <c r="AB1791" s="259"/>
      <c r="AC1791" s="259"/>
      <c r="AD1791" s="259"/>
      <c r="AE1791" s="259"/>
    </row>
    <row r="1792" spans="1:31">
      <c r="A1792" s="259" t="s">
        <v>119</v>
      </c>
      <c r="B1792" s="259" t="s">
        <v>7199</v>
      </c>
      <c r="C1792" s="264"/>
      <c r="D1792" s="264"/>
      <c r="H1792" s="264"/>
      <c r="I1792" s="264"/>
      <c r="J1792" s="295">
        <v>0</v>
      </c>
      <c r="K1792" s="295">
        <v>0</v>
      </c>
      <c r="L1792" s="295">
        <v>0</v>
      </c>
      <c r="O1792" s="266"/>
      <c r="R1792" s="265"/>
      <c r="S1792" s="265">
        <v>0</v>
      </c>
      <c r="T1792" s="265">
        <v>0</v>
      </c>
      <c r="U1792" s="265">
        <v>0</v>
      </c>
      <c r="V1792" s="259">
        <v>0</v>
      </c>
      <c r="Y1792" s="259">
        <f t="shared" si="2"/>
        <v>880</v>
      </c>
      <c r="AA1792" s="259" t="e">
        <v>#N/A</v>
      </c>
      <c r="AB1792" s="259"/>
      <c r="AC1792" s="259"/>
      <c r="AD1792" s="259"/>
      <c r="AE1792" s="259"/>
    </row>
    <row r="1793" spans="1:31">
      <c r="A1793" s="259" t="s">
        <v>1052</v>
      </c>
      <c r="B1793" s="259" t="s">
        <v>7199</v>
      </c>
      <c r="C1793" s="264" t="s">
        <v>5725</v>
      </c>
      <c r="D1793" s="264" t="s">
        <v>5726</v>
      </c>
      <c r="E1793" s="259" t="s">
        <v>5702</v>
      </c>
      <c r="H1793" s="264" t="s">
        <v>5726</v>
      </c>
      <c r="I1793" s="264" t="s">
        <v>5727</v>
      </c>
      <c r="J1793" s="295">
        <v>75.680000000000007</v>
      </c>
      <c r="K1793" s="295">
        <v>75.680000000000007</v>
      </c>
      <c r="L1793" s="295">
        <v>45.33</v>
      </c>
      <c r="O1793" s="266">
        <v>0</v>
      </c>
      <c r="P1793" s="266">
        <v>691991300059</v>
      </c>
      <c r="R1793" s="265">
        <v>6</v>
      </c>
      <c r="S1793" s="265">
        <v>8</v>
      </c>
      <c r="T1793" s="265">
        <v>8</v>
      </c>
      <c r="U1793" s="265">
        <v>5</v>
      </c>
      <c r="V1793" s="259" t="s">
        <v>3028</v>
      </c>
      <c r="X1793" s="264" t="s">
        <v>5728</v>
      </c>
      <c r="Y1793" s="259">
        <f t="shared" si="2"/>
        <v>881</v>
      </c>
      <c r="Z1793" s="259" t="s">
        <v>3030</v>
      </c>
      <c r="AA1793" s="259" t="e">
        <v>#N/A</v>
      </c>
      <c r="AB1793" s="259"/>
      <c r="AC1793" s="259"/>
      <c r="AD1793" s="259"/>
      <c r="AE1793" s="259"/>
    </row>
    <row r="1794" spans="1:31">
      <c r="A1794" s="259" t="s">
        <v>1053</v>
      </c>
      <c r="B1794" s="259" t="s">
        <v>7199</v>
      </c>
      <c r="C1794" s="264" t="s">
        <v>5725</v>
      </c>
      <c r="D1794" s="264" t="s">
        <v>5729</v>
      </c>
      <c r="E1794" s="259" t="s">
        <v>5702</v>
      </c>
      <c r="H1794" s="264" t="s">
        <v>5729</v>
      </c>
      <c r="I1794" s="264" t="s">
        <v>5730</v>
      </c>
      <c r="J1794" s="295">
        <v>139.82</v>
      </c>
      <c r="K1794" s="295">
        <v>139.82</v>
      </c>
      <c r="L1794" s="295">
        <v>82.24</v>
      </c>
      <c r="O1794" s="266">
        <v>0</v>
      </c>
      <c r="P1794" s="266">
        <v>50036905350</v>
      </c>
      <c r="R1794" s="265">
        <v>13</v>
      </c>
      <c r="S1794" s="265">
        <v>14</v>
      </c>
      <c r="T1794" s="265">
        <v>15</v>
      </c>
      <c r="U1794" s="265">
        <v>9</v>
      </c>
      <c r="V1794" s="259" t="s">
        <v>3028</v>
      </c>
      <c r="X1794" s="264" t="s">
        <v>5731</v>
      </c>
      <c r="Y1794" s="259">
        <f t="shared" si="2"/>
        <v>882</v>
      </c>
      <c r="Z1794" s="259" t="s">
        <v>3030</v>
      </c>
      <c r="AA1794" s="259" t="e">
        <v>#N/A</v>
      </c>
      <c r="AB1794" s="259"/>
      <c r="AC1794" s="259"/>
      <c r="AD1794" s="259"/>
      <c r="AE1794" s="259"/>
    </row>
    <row r="1795" spans="1:31">
      <c r="A1795" s="259" t="s">
        <v>1054</v>
      </c>
      <c r="B1795" s="259" t="s">
        <v>7199</v>
      </c>
      <c r="C1795" s="264" t="s">
        <v>5732</v>
      </c>
      <c r="D1795" s="264" t="s">
        <v>1054</v>
      </c>
      <c r="E1795" s="259" t="s">
        <v>5702</v>
      </c>
      <c r="H1795" s="264" t="s">
        <v>1054</v>
      </c>
      <c r="I1795" s="264" t="s">
        <v>5733</v>
      </c>
      <c r="J1795" s="295">
        <v>51.31</v>
      </c>
      <c r="K1795" s="295">
        <v>47</v>
      </c>
      <c r="L1795" s="295">
        <v>24.78</v>
      </c>
      <c r="O1795" s="266">
        <v>0</v>
      </c>
      <c r="P1795" s="266">
        <v>50036904933</v>
      </c>
      <c r="R1795" s="265">
        <v>6.25</v>
      </c>
      <c r="S1795" s="265">
        <v>26</v>
      </c>
      <c r="T1795" s="265">
        <v>3</v>
      </c>
      <c r="U1795" s="265">
        <v>11</v>
      </c>
      <c r="V1795" s="259" t="s">
        <v>3028</v>
      </c>
      <c r="Y1795" s="259">
        <f t="shared" si="2"/>
        <v>883</v>
      </c>
      <c r="Z1795" s="259" t="s">
        <v>3030</v>
      </c>
      <c r="AA1795" s="259" t="e">
        <v>#N/A</v>
      </c>
      <c r="AB1795" s="259"/>
      <c r="AC1795" s="259"/>
      <c r="AD1795" s="259"/>
      <c r="AE1795" s="259"/>
    </row>
    <row r="1796" spans="1:31">
      <c r="A1796" s="259" t="s">
        <v>1055</v>
      </c>
      <c r="B1796" s="259" t="s">
        <v>7199</v>
      </c>
      <c r="C1796" s="264"/>
      <c r="D1796" s="264"/>
      <c r="H1796" s="264"/>
      <c r="I1796" s="264"/>
      <c r="J1796" s="295">
        <v>0</v>
      </c>
      <c r="K1796" s="295">
        <v>0</v>
      </c>
      <c r="L1796" s="295">
        <v>0</v>
      </c>
      <c r="O1796" s="266"/>
      <c r="R1796" s="265"/>
      <c r="S1796" s="265">
        <v>0</v>
      </c>
      <c r="T1796" s="265">
        <v>0</v>
      </c>
      <c r="U1796" s="265">
        <v>0</v>
      </c>
      <c r="V1796" s="259">
        <v>0</v>
      </c>
      <c r="Y1796" s="259">
        <f t="shared" si="2"/>
        <v>884</v>
      </c>
      <c r="AA1796" s="259" t="e">
        <v>#N/A</v>
      </c>
      <c r="AB1796" s="259"/>
      <c r="AC1796" s="259"/>
      <c r="AD1796" s="259"/>
      <c r="AE1796" s="259"/>
    </row>
    <row r="1797" spans="1:31">
      <c r="A1797" s="259" t="s">
        <v>1056</v>
      </c>
      <c r="B1797" s="259" t="s">
        <v>7199</v>
      </c>
      <c r="C1797" s="264" t="s">
        <v>5715</v>
      </c>
      <c r="D1797" s="264" t="s">
        <v>5734</v>
      </c>
      <c r="E1797" s="259" t="s">
        <v>5702</v>
      </c>
      <c r="H1797" s="264" t="s">
        <v>5734</v>
      </c>
      <c r="I1797" s="264" t="s">
        <v>7200</v>
      </c>
      <c r="J1797" s="295">
        <v>166.77</v>
      </c>
      <c r="K1797" s="295">
        <v>133</v>
      </c>
      <c r="L1797" s="295">
        <v>100.06</v>
      </c>
      <c r="O1797" s="266">
        <v>2</v>
      </c>
      <c r="P1797" s="266">
        <v>691991007446</v>
      </c>
      <c r="R1797" s="265">
        <v>18.3</v>
      </c>
      <c r="S1797" s="265">
        <v>27.5</v>
      </c>
      <c r="T1797" s="265">
        <v>12</v>
      </c>
      <c r="U1797" s="265">
        <v>27</v>
      </c>
      <c r="V1797" s="259" t="s">
        <v>3028</v>
      </c>
      <c r="Y1797" s="259">
        <f t="shared" si="2"/>
        <v>885</v>
      </c>
      <c r="Z1797" s="259" t="s">
        <v>3030</v>
      </c>
      <c r="AA1797" s="259" t="e">
        <v>#N/A</v>
      </c>
      <c r="AB1797" s="259"/>
      <c r="AC1797" s="259"/>
      <c r="AD1797" s="259"/>
      <c r="AE1797" s="259"/>
    </row>
    <row r="1798" spans="1:31">
      <c r="A1798" s="259" t="s">
        <v>1136</v>
      </c>
      <c r="B1798" s="259" t="s">
        <v>7199</v>
      </c>
      <c r="C1798" s="264"/>
      <c r="D1798" s="264"/>
      <c r="H1798" s="264"/>
      <c r="I1798" s="264"/>
      <c r="J1798" s="295">
        <v>0</v>
      </c>
      <c r="K1798" s="295">
        <v>0</v>
      </c>
      <c r="L1798" s="295">
        <v>0</v>
      </c>
      <c r="O1798" s="266"/>
      <c r="R1798" s="265" t="s">
        <v>5761</v>
      </c>
      <c r="S1798" s="265">
        <v>0</v>
      </c>
      <c r="T1798" s="265">
        <v>0</v>
      </c>
      <c r="U1798" s="265">
        <v>0</v>
      </c>
      <c r="V1798" s="259" t="s">
        <v>3028</v>
      </c>
      <c r="X1798" s="264" t="s">
        <v>5940</v>
      </c>
      <c r="Y1798" s="259">
        <f t="shared" si="2"/>
        <v>886</v>
      </c>
      <c r="AA1798" s="259" t="e">
        <v>#N/A</v>
      </c>
      <c r="AB1798" s="259"/>
      <c r="AC1798" s="259"/>
      <c r="AD1798" s="259"/>
      <c r="AE1798" s="259"/>
    </row>
    <row r="1799" spans="1:31">
      <c r="A1799" s="259" t="s">
        <v>1137</v>
      </c>
      <c r="B1799" s="259" t="s">
        <v>7199</v>
      </c>
      <c r="C1799" s="264" t="s">
        <v>5937</v>
      </c>
      <c r="D1799" s="264" t="s">
        <v>5938</v>
      </c>
      <c r="E1799" s="259" t="s">
        <v>5702</v>
      </c>
      <c r="H1799" s="264" t="s">
        <v>5938</v>
      </c>
      <c r="I1799" s="264" t="s">
        <v>5939</v>
      </c>
      <c r="J1799" s="295">
        <v>165.12</v>
      </c>
      <c r="K1799" s="295">
        <v>129</v>
      </c>
      <c r="L1799" s="295">
        <v>99.08</v>
      </c>
      <c r="O1799" s="266">
        <v>2</v>
      </c>
      <c r="P1799" s="266">
        <v>50036904698</v>
      </c>
      <c r="R1799" s="265">
        <v>6.1</v>
      </c>
      <c r="S1799" s="265">
        <v>28</v>
      </c>
      <c r="T1799" s="265">
        <v>15</v>
      </c>
      <c r="U1799" s="265">
        <v>15</v>
      </c>
      <c r="V1799" s="259" t="s">
        <v>3028</v>
      </c>
      <c r="Y1799" s="259">
        <f t="shared" si="2"/>
        <v>887</v>
      </c>
      <c r="Z1799" s="259" t="s">
        <v>3030</v>
      </c>
      <c r="AA1799" s="259" t="e">
        <v>#N/A</v>
      </c>
      <c r="AB1799" s="259"/>
      <c r="AC1799" s="259"/>
      <c r="AD1799" s="259"/>
      <c r="AE1799" s="259"/>
    </row>
    <row r="1800" spans="1:31">
      <c r="A1800" s="259" t="s">
        <v>1138</v>
      </c>
      <c r="B1800" s="259" t="s">
        <v>7199</v>
      </c>
      <c r="C1800" s="264"/>
      <c r="D1800" s="264"/>
      <c r="H1800" s="264"/>
      <c r="I1800" s="264"/>
      <c r="J1800" s="295">
        <v>0</v>
      </c>
      <c r="K1800" s="295">
        <v>0</v>
      </c>
      <c r="L1800" s="295">
        <v>0</v>
      </c>
      <c r="O1800" s="266"/>
      <c r="R1800" s="265">
        <v>1</v>
      </c>
      <c r="S1800" s="265">
        <v>0</v>
      </c>
      <c r="T1800" s="265">
        <v>0</v>
      </c>
      <c r="U1800" s="265">
        <v>0</v>
      </c>
      <c r="V1800" s="259" t="s">
        <v>3028</v>
      </c>
      <c r="X1800" s="264" t="s">
        <v>5944</v>
      </c>
      <c r="Y1800" s="259">
        <f t="shared" si="2"/>
        <v>888</v>
      </c>
      <c r="AA1800" s="259" t="e">
        <v>#N/A</v>
      </c>
      <c r="AB1800" s="259"/>
      <c r="AC1800" s="259"/>
      <c r="AD1800" s="259"/>
      <c r="AE1800" s="259"/>
    </row>
    <row r="1801" spans="1:31">
      <c r="A1801" s="259" t="s">
        <v>1139</v>
      </c>
      <c r="B1801" s="259" t="s">
        <v>7199</v>
      </c>
      <c r="C1801" s="264" t="s">
        <v>5941</v>
      </c>
      <c r="D1801" s="264" t="s">
        <v>5942</v>
      </c>
      <c r="E1801" s="259" t="s">
        <v>5702</v>
      </c>
      <c r="H1801" s="264" t="s">
        <v>5942</v>
      </c>
      <c r="I1801" s="264" t="s">
        <v>5943</v>
      </c>
      <c r="J1801" s="295">
        <v>121.87</v>
      </c>
      <c r="K1801" s="295">
        <v>98</v>
      </c>
      <c r="L1801" s="295">
        <v>73.12</v>
      </c>
      <c r="O1801" s="266">
        <v>0</v>
      </c>
      <c r="P1801" s="266">
        <v>50036904704</v>
      </c>
      <c r="R1801" s="265">
        <v>1</v>
      </c>
      <c r="S1801" s="265">
        <v>10</v>
      </c>
      <c r="T1801" s="265">
        <v>7.5</v>
      </c>
      <c r="U1801" s="265">
        <v>9.25</v>
      </c>
      <c r="V1801" s="259" t="s">
        <v>3028</v>
      </c>
      <c r="X1801" s="264" t="s">
        <v>5947</v>
      </c>
      <c r="Y1801" s="259">
        <f t="shared" si="2"/>
        <v>889</v>
      </c>
      <c r="Z1801" s="259" t="s">
        <v>3030</v>
      </c>
      <c r="AA1801" s="259" t="e">
        <v>#N/A</v>
      </c>
      <c r="AB1801" s="259"/>
      <c r="AC1801" s="259"/>
      <c r="AD1801" s="259"/>
      <c r="AE1801" s="259"/>
    </row>
    <row r="1802" spans="1:31">
      <c r="A1802" s="259" t="s">
        <v>1140</v>
      </c>
      <c r="B1802" s="259" t="s">
        <v>7199</v>
      </c>
      <c r="C1802" s="264" t="s">
        <v>5941</v>
      </c>
      <c r="D1802" s="264" t="s">
        <v>5945</v>
      </c>
      <c r="E1802" s="259" t="s">
        <v>5702</v>
      </c>
      <c r="H1802" s="264" t="s">
        <v>5945</v>
      </c>
      <c r="I1802" s="264" t="s">
        <v>5946</v>
      </c>
      <c r="J1802" s="295">
        <v>166.77</v>
      </c>
      <c r="K1802" s="295">
        <v>133</v>
      </c>
      <c r="L1802" s="295">
        <v>100.06</v>
      </c>
      <c r="O1802" s="266">
        <v>0</v>
      </c>
      <c r="P1802" s="266">
        <v>50036904711</v>
      </c>
      <c r="R1802" s="265">
        <v>6</v>
      </c>
      <c r="S1802" s="265">
        <v>13</v>
      </c>
      <c r="T1802" s="265">
        <v>10.5</v>
      </c>
      <c r="U1802" s="265">
        <v>12</v>
      </c>
      <c r="V1802" s="259" t="s">
        <v>3028</v>
      </c>
      <c r="Y1802" s="259">
        <f t="shared" si="2"/>
        <v>890</v>
      </c>
      <c r="Z1802" s="259" t="s">
        <v>3030</v>
      </c>
      <c r="AA1802" s="259" t="e">
        <v>#N/A</v>
      </c>
      <c r="AB1802" s="259"/>
      <c r="AC1802" s="259"/>
      <c r="AD1802" s="259"/>
      <c r="AE1802" s="259"/>
    </row>
    <row r="1803" spans="1:31">
      <c r="A1803" s="259" t="s">
        <v>1937</v>
      </c>
      <c r="B1803" s="259" t="s">
        <v>110</v>
      </c>
      <c r="C1803" s="264" t="s">
        <v>7201</v>
      </c>
      <c r="D1803" s="264" t="s">
        <v>7202</v>
      </c>
      <c r="H1803" s="264" t="s">
        <v>7201</v>
      </c>
      <c r="I1803" s="264" t="s">
        <v>7203</v>
      </c>
      <c r="J1803" s="295">
        <v>4624.1899999999996</v>
      </c>
      <c r="K1803" s="295">
        <v>4624</v>
      </c>
      <c r="L1803" s="295">
        <v>2311.48</v>
      </c>
      <c r="O1803" s="266"/>
      <c r="P1803" s="266">
        <v>691991002090</v>
      </c>
      <c r="R1803" s="265"/>
      <c r="V1803" s="259">
        <v>0</v>
      </c>
      <c r="Y1803" s="259">
        <f t="shared" si="2"/>
        <v>891</v>
      </c>
      <c r="AA1803" s="259" t="e">
        <v>#N/A</v>
      </c>
      <c r="AB1803" s="259"/>
      <c r="AC1803" s="259"/>
      <c r="AD1803" s="259"/>
      <c r="AE1803" s="259"/>
    </row>
    <row r="1804" spans="1:31">
      <c r="A1804" s="259" t="s">
        <v>1938</v>
      </c>
      <c r="B1804" s="259" t="s">
        <v>110</v>
      </c>
      <c r="C1804" s="264" t="s">
        <v>115</v>
      </c>
      <c r="D1804" s="264" t="s">
        <v>7204</v>
      </c>
      <c r="E1804" s="259" t="s">
        <v>7205</v>
      </c>
      <c r="H1804" s="264" t="s">
        <v>115</v>
      </c>
      <c r="I1804" s="264" t="s">
        <v>7206</v>
      </c>
      <c r="J1804" s="295">
        <v>319.83999999999997</v>
      </c>
      <c r="K1804" s="295">
        <v>253</v>
      </c>
      <c r="L1804" s="295">
        <v>153.41</v>
      </c>
      <c r="O1804" s="266">
        <v>1</v>
      </c>
      <c r="P1804" s="266">
        <v>691991500404</v>
      </c>
      <c r="R1804" s="265">
        <v>1.4</v>
      </c>
      <c r="S1804" s="265">
        <v>8</v>
      </c>
      <c r="T1804" s="265">
        <v>2.125</v>
      </c>
      <c r="U1804" s="265">
        <v>7</v>
      </c>
      <c r="V1804" s="259" t="s">
        <v>3834</v>
      </c>
      <c r="W1804" s="259" t="s">
        <v>3061</v>
      </c>
      <c r="X1804" s="264" t="s">
        <v>7207</v>
      </c>
      <c r="Y1804" s="259">
        <f t="shared" si="2"/>
        <v>892</v>
      </c>
      <c r="Z1804" s="259" t="s">
        <v>3037</v>
      </c>
      <c r="AA1804" s="259" t="e">
        <v>#N/A</v>
      </c>
      <c r="AB1804" s="259"/>
      <c r="AC1804" s="259"/>
      <c r="AD1804" s="259"/>
      <c r="AE1804" s="259"/>
    </row>
    <row r="1805" spans="1:31">
      <c r="A1805" s="259" t="s">
        <v>1939</v>
      </c>
      <c r="B1805" s="259" t="s">
        <v>110</v>
      </c>
      <c r="C1805" s="264" t="s">
        <v>111</v>
      </c>
      <c r="D1805" s="264" t="s">
        <v>7208</v>
      </c>
      <c r="E1805" s="259" t="s">
        <v>7209</v>
      </c>
      <c r="H1805" s="264" t="s">
        <v>111</v>
      </c>
      <c r="I1805" s="264" t="s">
        <v>7210</v>
      </c>
      <c r="J1805" s="295">
        <v>2888.83</v>
      </c>
      <c r="K1805" s="295">
        <v>2307</v>
      </c>
      <c r="L1805" s="295">
        <v>1733.15</v>
      </c>
      <c r="O1805" s="266">
        <v>2</v>
      </c>
      <c r="P1805" s="266">
        <v>691991500398</v>
      </c>
      <c r="R1805" s="265">
        <v>0</v>
      </c>
      <c r="S1805" s="265">
        <v>24.25</v>
      </c>
      <c r="T1805" s="265">
        <v>5</v>
      </c>
      <c r="U1805" s="265">
        <v>15</v>
      </c>
      <c r="V1805" s="259" t="s">
        <v>3834</v>
      </c>
      <c r="W1805" s="259" t="s">
        <v>3061</v>
      </c>
      <c r="X1805" s="264" t="s">
        <v>7211</v>
      </c>
      <c r="Y1805" s="259">
        <f t="shared" si="2"/>
        <v>893</v>
      </c>
      <c r="Z1805" s="259" t="s">
        <v>3030</v>
      </c>
      <c r="AA1805" s="259" t="e">
        <v>#N/A</v>
      </c>
      <c r="AB1805" s="259"/>
      <c r="AC1805" s="259"/>
      <c r="AD1805" s="259"/>
      <c r="AE1805" s="259"/>
    </row>
    <row r="1806" spans="1:31">
      <c r="A1806" s="259" t="s">
        <v>1940</v>
      </c>
      <c r="B1806" s="259" t="s">
        <v>110</v>
      </c>
      <c r="C1806" s="264" t="s">
        <v>111</v>
      </c>
      <c r="D1806" s="264" t="s">
        <v>7212</v>
      </c>
      <c r="E1806" s="259" t="s">
        <v>7209</v>
      </c>
      <c r="H1806" s="264" t="s">
        <v>111</v>
      </c>
      <c r="I1806" s="264" t="s">
        <v>7210</v>
      </c>
      <c r="J1806" s="295">
        <v>4908.28</v>
      </c>
      <c r="K1806" s="295">
        <v>3851</v>
      </c>
      <c r="L1806" s="295">
        <v>2889.2</v>
      </c>
      <c r="O1806" s="266">
        <v>3</v>
      </c>
      <c r="P1806" s="266">
        <v>691991500268</v>
      </c>
      <c r="R1806" s="265">
        <v>12.5</v>
      </c>
      <c r="S1806" s="265">
        <v>15.5</v>
      </c>
      <c r="T1806" s="265">
        <v>24</v>
      </c>
      <c r="U1806" s="265">
        <v>5</v>
      </c>
      <c r="V1806" s="259" t="s">
        <v>3834</v>
      </c>
      <c r="W1806" s="259" t="s">
        <v>3061</v>
      </c>
      <c r="X1806" s="264" t="s">
        <v>7213</v>
      </c>
      <c r="Y1806" s="259">
        <f t="shared" si="2"/>
        <v>894</v>
      </c>
      <c r="Z1806" s="259" t="s">
        <v>3030</v>
      </c>
      <c r="AA1806" s="259" t="e">
        <v>#N/A</v>
      </c>
      <c r="AB1806" s="259"/>
      <c r="AC1806" s="259"/>
      <c r="AD1806" s="259"/>
      <c r="AE1806" s="259"/>
    </row>
    <row r="1807" spans="1:31">
      <c r="A1807" s="259" t="s">
        <v>1941</v>
      </c>
      <c r="B1807" s="259" t="s">
        <v>110</v>
      </c>
      <c r="C1807" s="264" t="s">
        <v>111</v>
      </c>
      <c r="D1807" s="264" t="s">
        <v>7214</v>
      </c>
      <c r="E1807" s="259" t="s">
        <v>7209</v>
      </c>
      <c r="H1807" s="264" t="s">
        <v>111</v>
      </c>
      <c r="I1807" s="264" t="s">
        <v>7215</v>
      </c>
      <c r="J1807" s="295">
        <v>6421.21</v>
      </c>
      <c r="K1807" s="295">
        <v>5135</v>
      </c>
      <c r="L1807" s="295">
        <v>3852.58</v>
      </c>
      <c r="O1807" s="266">
        <v>1</v>
      </c>
      <c r="P1807" s="266">
        <v>691991500282</v>
      </c>
      <c r="R1807" s="265">
        <v>16.760000000000002</v>
      </c>
      <c r="S1807" s="265">
        <v>24</v>
      </c>
      <c r="T1807" s="265">
        <v>19</v>
      </c>
      <c r="U1807" s="265">
        <v>5</v>
      </c>
      <c r="V1807" s="259" t="s">
        <v>3834</v>
      </c>
      <c r="W1807" s="259" t="s">
        <v>3061</v>
      </c>
      <c r="X1807" s="264" t="s">
        <v>7216</v>
      </c>
      <c r="Y1807" s="259">
        <f t="shared" si="2"/>
        <v>895</v>
      </c>
      <c r="Z1807" s="259" t="s">
        <v>3030</v>
      </c>
      <c r="AA1807" s="259" t="e">
        <v>#N/A</v>
      </c>
      <c r="AB1807" s="259"/>
      <c r="AC1807" s="259"/>
      <c r="AD1807" s="259"/>
      <c r="AE1807" s="259"/>
    </row>
    <row r="1808" spans="1:31">
      <c r="A1808" s="259" t="s">
        <v>1942</v>
      </c>
      <c r="B1808" s="259" t="s">
        <v>110</v>
      </c>
      <c r="C1808" s="264" t="s">
        <v>111</v>
      </c>
      <c r="D1808" s="264" t="s">
        <v>7217</v>
      </c>
      <c r="E1808" s="259" t="s">
        <v>7209</v>
      </c>
      <c r="H1808" s="264" t="s">
        <v>111</v>
      </c>
      <c r="I1808" s="264" t="s">
        <v>7218</v>
      </c>
      <c r="J1808" s="295">
        <v>6100.08</v>
      </c>
      <c r="K1808" s="295">
        <v>4881</v>
      </c>
      <c r="L1808" s="295">
        <v>3659.9</v>
      </c>
      <c r="O1808" s="266">
        <v>1</v>
      </c>
      <c r="P1808" s="266">
        <v>691991500299</v>
      </c>
      <c r="R1808" s="265">
        <v>16.079999999999998</v>
      </c>
      <c r="S1808" s="265">
        <v>24</v>
      </c>
      <c r="T1808" s="265">
        <v>19</v>
      </c>
      <c r="U1808" s="265">
        <v>5</v>
      </c>
      <c r="V1808" s="259" t="s">
        <v>3834</v>
      </c>
      <c r="W1808" s="259" t="s">
        <v>3061</v>
      </c>
      <c r="X1808" s="264" t="s">
        <v>7219</v>
      </c>
      <c r="Y1808" s="259">
        <f t="shared" si="2"/>
        <v>896</v>
      </c>
      <c r="Z1808" s="259" t="s">
        <v>3030</v>
      </c>
      <c r="AA1808" s="259" t="e">
        <v>#N/A</v>
      </c>
      <c r="AB1808" s="259"/>
      <c r="AC1808" s="259"/>
      <c r="AD1808" s="259"/>
      <c r="AE1808" s="259"/>
    </row>
    <row r="1809" spans="1:31">
      <c r="A1809" s="259" t="s">
        <v>1943</v>
      </c>
      <c r="B1809" s="259" t="s">
        <v>110</v>
      </c>
      <c r="C1809" s="264" t="s">
        <v>7220</v>
      </c>
      <c r="D1809" s="264" t="s">
        <v>7221</v>
      </c>
      <c r="E1809" s="259" t="s">
        <v>7205</v>
      </c>
      <c r="H1809" s="264" t="s">
        <v>7220</v>
      </c>
      <c r="I1809" s="264" t="s">
        <v>7222</v>
      </c>
      <c r="J1809" s="295">
        <v>160.94</v>
      </c>
      <c r="K1809" s="295">
        <v>129</v>
      </c>
      <c r="L1809" s="295">
        <v>80.010000000000005</v>
      </c>
      <c r="O1809" s="266"/>
      <c r="P1809" s="266">
        <v>691991033285</v>
      </c>
      <c r="R1809" s="265"/>
      <c r="V1809" s="259" t="s">
        <v>3028</v>
      </c>
      <c r="W1809" s="259" t="s">
        <v>3029</v>
      </c>
      <c r="Y1809" s="259">
        <f t="shared" si="2"/>
        <v>897</v>
      </c>
      <c r="Z1809" s="259" t="s">
        <v>3037</v>
      </c>
      <c r="AA1809" s="259" t="e">
        <v>#N/A</v>
      </c>
      <c r="AB1809" s="259"/>
      <c r="AC1809" s="259"/>
      <c r="AD1809" s="259"/>
      <c r="AE1809" s="259"/>
    </row>
    <row r="1810" spans="1:31">
      <c r="A1810" s="259" t="s">
        <v>1944</v>
      </c>
      <c r="B1810" s="259" t="s">
        <v>110</v>
      </c>
      <c r="C1810" s="264" t="s">
        <v>112</v>
      </c>
      <c r="D1810" s="264" t="s">
        <v>7223</v>
      </c>
      <c r="E1810" s="259" t="s">
        <v>7205</v>
      </c>
      <c r="H1810" s="264" t="s">
        <v>112</v>
      </c>
      <c r="I1810" s="264" t="s">
        <v>7224</v>
      </c>
      <c r="J1810" s="295">
        <v>801.53</v>
      </c>
      <c r="K1810" s="295">
        <v>634</v>
      </c>
      <c r="L1810" s="295">
        <v>380.95</v>
      </c>
      <c r="O1810" s="266">
        <v>1</v>
      </c>
      <c r="P1810" s="266">
        <v>691991014161</v>
      </c>
      <c r="R1810" s="265"/>
      <c r="V1810" s="259" t="s">
        <v>3834</v>
      </c>
      <c r="W1810" s="259" t="s">
        <v>3061</v>
      </c>
      <c r="X1810" s="264" t="s">
        <v>7225</v>
      </c>
      <c r="Y1810" s="259">
        <f t="shared" si="2"/>
        <v>898</v>
      </c>
      <c r="Z1810" s="259" t="s">
        <v>3037</v>
      </c>
      <c r="AA1810" s="259" t="e">
        <v>#N/A</v>
      </c>
      <c r="AB1810" s="259"/>
      <c r="AC1810" s="259"/>
      <c r="AD1810" s="259"/>
      <c r="AE1810" s="259"/>
    </row>
    <row r="1811" spans="1:31">
      <c r="A1811" s="259" t="s">
        <v>1945</v>
      </c>
      <c r="B1811" s="259" t="s">
        <v>110</v>
      </c>
      <c r="C1811" s="264" t="s">
        <v>112</v>
      </c>
      <c r="D1811" s="264" t="s">
        <v>7226</v>
      </c>
      <c r="E1811" s="259" t="s">
        <v>7205</v>
      </c>
      <c r="H1811" s="264" t="s">
        <v>112</v>
      </c>
      <c r="I1811" s="264" t="s">
        <v>7227</v>
      </c>
      <c r="J1811" s="295">
        <v>963.79</v>
      </c>
      <c r="K1811" s="295">
        <v>772</v>
      </c>
      <c r="L1811" s="295">
        <v>462.93</v>
      </c>
      <c r="O1811" s="266">
        <v>1</v>
      </c>
      <c r="P1811" s="266">
        <v>691991014154</v>
      </c>
      <c r="R1811" s="265"/>
      <c r="V1811" s="259" t="s">
        <v>3834</v>
      </c>
      <c r="W1811" s="259" t="s">
        <v>3061</v>
      </c>
      <c r="X1811" s="264" t="s">
        <v>7228</v>
      </c>
      <c r="Y1811" s="259">
        <f t="shared" si="2"/>
        <v>899</v>
      </c>
      <c r="Z1811" s="259" t="s">
        <v>3037</v>
      </c>
      <c r="AA1811" s="259" t="e">
        <v>#N/A</v>
      </c>
      <c r="AB1811" s="259"/>
      <c r="AC1811" s="259"/>
      <c r="AD1811" s="259"/>
      <c r="AE1811" s="259"/>
    </row>
    <row r="1812" spans="1:31">
      <c r="A1812" s="259" t="s">
        <v>1946</v>
      </c>
      <c r="B1812" s="259" t="s">
        <v>110</v>
      </c>
      <c r="C1812" s="264" t="s">
        <v>112</v>
      </c>
      <c r="D1812" s="264" t="s">
        <v>7229</v>
      </c>
      <c r="E1812" s="259" t="s">
        <v>7205</v>
      </c>
      <c r="H1812" s="264" t="s">
        <v>112</v>
      </c>
      <c r="I1812" s="264" t="s">
        <v>7230</v>
      </c>
      <c r="J1812" s="295">
        <v>1604.34</v>
      </c>
      <c r="K1812" s="295">
        <v>1283</v>
      </c>
      <c r="L1812" s="295">
        <v>769.96</v>
      </c>
      <c r="O1812" s="266">
        <v>1</v>
      </c>
      <c r="P1812" s="266">
        <v>691991201912</v>
      </c>
      <c r="R1812" s="265">
        <v>1.1000000000000001</v>
      </c>
      <c r="S1812" s="265">
        <v>8.125</v>
      </c>
      <c r="T1812" s="265">
        <v>7</v>
      </c>
      <c r="U1812" s="265">
        <v>2.0619999999999998</v>
      </c>
      <c r="V1812" s="259" t="s">
        <v>3834</v>
      </c>
      <c r="W1812" s="259" t="s">
        <v>3061</v>
      </c>
      <c r="X1812" s="264" t="s">
        <v>7231</v>
      </c>
      <c r="Y1812" s="259">
        <f t="shared" si="2"/>
        <v>900</v>
      </c>
      <c r="Z1812" s="259" t="s">
        <v>3037</v>
      </c>
      <c r="AA1812" s="259" t="e">
        <v>#N/A</v>
      </c>
      <c r="AB1812" s="259"/>
      <c r="AC1812" s="259"/>
      <c r="AD1812" s="259"/>
      <c r="AE1812" s="259"/>
    </row>
    <row r="1813" spans="1:31">
      <c r="A1813" s="259" t="s">
        <v>1947</v>
      </c>
      <c r="B1813" s="259" t="s">
        <v>110</v>
      </c>
      <c r="C1813" s="264" t="s">
        <v>7232</v>
      </c>
      <c r="D1813" s="264" t="s">
        <v>7233</v>
      </c>
      <c r="E1813" s="259" t="s">
        <v>7234</v>
      </c>
      <c r="H1813" s="264" t="s">
        <v>7232</v>
      </c>
      <c r="I1813" s="264" t="s">
        <v>7235</v>
      </c>
      <c r="J1813" s="295">
        <v>8986.75</v>
      </c>
      <c r="K1813" s="295">
        <v>8986</v>
      </c>
      <c r="L1813" s="295">
        <v>4495.13</v>
      </c>
      <c r="O1813" s="266"/>
      <c r="P1813" s="266">
        <v>691991013638</v>
      </c>
      <c r="R1813" s="265">
        <v>10</v>
      </c>
      <c r="S1813" s="265">
        <v>22</v>
      </c>
      <c r="T1813" s="265">
        <v>15.5</v>
      </c>
      <c r="U1813" s="265">
        <v>8</v>
      </c>
      <c r="V1813" s="259" t="s">
        <v>3834</v>
      </c>
      <c r="W1813" s="259" t="s">
        <v>3061</v>
      </c>
      <c r="Y1813" s="259">
        <f t="shared" si="2"/>
        <v>901</v>
      </c>
      <c r="Z1813" s="259" t="s">
        <v>3030</v>
      </c>
      <c r="AA1813" s="259" t="e">
        <v>#N/A</v>
      </c>
      <c r="AB1813" s="259"/>
      <c r="AC1813" s="259"/>
      <c r="AD1813" s="259"/>
      <c r="AE1813" s="259"/>
    </row>
    <row r="1814" spans="1:31">
      <c r="A1814" s="259" t="s">
        <v>1948</v>
      </c>
      <c r="B1814" s="259" t="s">
        <v>110</v>
      </c>
      <c r="C1814" s="264" t="s">
        <v>7236</v>
      </c>
      <c r="D1814" s="264"/>
      <c r="E1814" s="259" t="s">
        <v>7237</v>
      </c>
      <c r="G1814" s="259" t="s">
        <v>3378</v>
      </c>
      <c r="H1814" s="264" t="s">
        <v>7236</v>
      </c>
      <c r="I1814" s="264" t="s">
        <v>7236</v>
      </c>
      <c r="J1814" s="295">
        <v>1281.06</v>
      </c>
      <c r="K1814" s="295">
        <v>1025</v>
      </c>
      <c r="L1814" s="295">
        <v>513.19000000000005</v>
      </c>
      <c r="O1814" s="266"/>
      <c r="P1814" s="266">
        <v>691991500183</v>
      </c>
      <c r="R1814" s="265"/>
      <c r="V1814" s="259" t="s">
        <v>3834</v>
      </c>
      <c r="W1814" s="259" t="s">
        <v>3061</v>
      </c>
      <c r="Y1814" s="259">
        <f t="shared" si="2"/>
        <v>902</v>
      </c>
      <c r="Z1814" s="259" t="s">
        <v>3227</v>
      </c>
      <c r="AA1814" s="259" t="e">
        <v>#N/A</v>
      </c>
      <c r="AB1814" s="259"/>
      <c r="AC1814" s="259"/>
      <c r="AD1814" s="259"/>
      <c r="AE1814" s="259"/>
    </row>
    <row r="1815" spans="1:31">
      <c r="A1815" s="259" t="s">
        <v>1949</v>
      </c>
      <c r="B1815" s="259" t="s">
        <v>116</v>
      </c>
      <c r="C1815" s="264"/>
      <c r="D1815" s="264"/>
      <c r="H1815" s="264"/>
      <c r="I1815" s="264"/>
      <c r="J1815" s="295">
        <v>0</v>
      </c>
      <c r="K1815" s="295">
        <v>0</v>
      </c>
      <c r="L1815" s="295">
        <v>0</v>
      </c>
      <c r="O1815" s="266"/>
      <c r="R1815" s="265"/>
      <c r="V1815" s="265">
        <v>0</v>
      </c>
      <c r="Y1815" s="259">
        <f t="shared" si="2"/>
        <v>903</v>
      </c>
      <c r="AA1815" s="259" t="e">
        <v>#N/A</v>
      </c>
      <c r="AB1815" s="259"/>
      <c r="AC1815" s="259"/>
      <c r="AD1815" s="259"/>
      <c r="AE1815" s="259"/>
    </row>
    <row r="1816" spans="1:31">
      <c r="A1816" s="259" t="s">
        <v>1950</v>
      </c>
      <c r="B1816" s="259" t="s">
        <v>116</v>
      </c>
      <c r="C1816" s="264"/>
      <c r="D1816" s="264"/>
      <c r="H1816" s="264"/>
      <c r="I1816" s="264"/>
      <c r="J1816" s="295">
        <v>0</v>
      </c>
      <c r="K1816" s="295">
        <v>0</v>
      </c>
      <c r="L1816" s="295">
        <v>0</v>
      </c>
      <c r="O1816" s="266"/>
      <c r="R1816" s="265"/>
      <c r="V1816" s="265">
        <v>0</v>
      </c>
      <c r="Y1816" s="259">
        <f t="shared" si="2"/>
        <v>904</v>
      </c>
      <c r="AA1816" s="259" t="e">
        <v>#N/A</v>
      </c>
      <c r="AB1816" s="259"/>
      <c r="AC1816" s="259"/>
      <c r="AD1816" s="259"/>
      <c r="AE1816" s="259"/>
    </row>
    <row r="1817" spans="1:31">
      <c r="A1817" s="259" t="s">
        <v>1951</v>
      </c>
      <c r="B1817" s="259" t="s">
        <v>116</v>
      </c>
      <c r="C1817" s="264"/>
      <c r="D1817" s="264"/>
      <c r="H1817" s="264"/>
      <c r="I1817" s="264"/>
      <c r="J1817" s="295">
        <v>0</v>
      </c>
      <c r="K1817" s="295">
        <v>0</v>
      </c>
      <c r="L1817" s="295">
        <v>0</v>
      </c>
      <c r="O1817" s="266"/>
      <c r="R1817" s="265"/>
      <c r="V1817" s="265">
        <v>0</v>
      </c>
      <c r="Y1817" s="259">
        <f t="shared" si="2"/>
        <v>905</v>
      </c>
      <c r="AA1817" s="259" t="e">
        <v>#N/A</v>
      </c>
      <c r="AB1817" s="259"/>
      <c r="AC1817" s="259"/>
      <c r="AD1817" s="259"/>
      <c r="AE1817" s="259"/>
    </row>
    <row r="1818" spans="1:31">
      <c r="A1818" s="259">
        <v>91616091</v>
      </c>
      <c r="B1818" s="259" t="s">
        <v>116</v>
      </c>
      <c r="C1818" s="264" t="s">
        <v>1949</v>
      </c>
      <c r="D1818" s="264" t="s">
        <v>2927</v>
      </c>
      <c r="E1818" s="259" t="s">
        <v>7238</v>
      </c>
      <c r="G1818" s="259" t="s">
        <v>7239</v>
      </c>
      <c r="H1818" s="264" t="s">
        <v>2927</v>
      </c>
      <c r="I1818" s="264" t="s">
        <v>2927</v>
      </c>
      <c r="J1818" s="295">
        <v>462.47</v>
      </c>
      <c r="K1818" s="295">
        <v>462.47</v>
      </c>
      <c r="L1818" s="295" t="s">
        <v>7240</v>
      </c>
      <c r="O1818" s="266">
        <v>0</v>
      </c>
      <c r="P1818" s="266">
        <v>688705005287</v>
      </c>
      <c r="Q1818" s="266">
        <v>0</v>
      </c>
      <c r="R1818" s="265">
        <v>0</v>
      </c>
      <c r="S1818" s="265">
        <v>0</v>
      </c>
      <c r="V1818" s="265" t="s">
        <v>3028</v>
      </c>
      <c r="W1818" s="259">
        <v>0</v>
      </c>
      <c r="Y1818" s="259">
        <f t="shared" si="2"/>
        <v>906</v>
      </c>
      <c r="AA1818" s="259" t="e">
        <v>#N/A</v>
      </c>
      <c r="AB1818" s="259"/>
      <c r="AC1818" s="259"/>
      <c r="AD1818" s="259"/>
      <c r="AE1818" s="259"/>
    </row>
    <row r="1819" spans="1:31">
      <c r="A1819" s="259">
        <v>50502004</v>
      </c>
      <c r="B1819" s="259" t="s">
        <v>116</v>
      </c>
      <c r="C1819" s="264"/>
      <c r="D1819" s="264" t="s">
        <v>7241</v>
      </c>
      <c r="E1819" s="259" t="s">
        <v>7238</v>
      </c>
      <c r="H1819" s="264" t="s">
        <v>7241</v>
      </c>
      <c r="I1819" s="264" t="s">
        <v>7241</v>
      </c>
      <c r="J1819" s="295">
        <v>1481.72</v>
      </c>
      <c r="K1819" s="295">
        <v>1481.72</v>
      </c>
      <c r="L1819" s="295" t="s">
        <v>7240</v>
      </c>
      <c r="O1819" s="266">
        <v>0</v>
      </c>
      <c r="Q1819" s="266">
        <v>0</v>
      </c>
      <c r="R1819" s="265">
        <v>0</v>
      </c>
      <c r="S1819" s="265">
        <v>0</v>
      </c>
      <c r="V1819" s="265">
        <v>0</v>
      </c>
      <c r="W1819" s="259">
        <v>0</v>
      </c>
      <c r="Y1819" s="259">
        <f t="shared" si="2"/>
        <v>907</v>
      </c>
      <c r="AA1819" s="259" t="e">
        <v>#N/A</v>
      </c>
      <c r="AB1819" s="259"/>
      <c r="AC1819" s="259"/>
      <c r="AD1819" s="259"/>
      <c r="AE1819" s="259"/>
    </row>
    <row r="1820" spans="1:31">
      <c r="A1820" s="259" t="s">
        <v>1952</v>
      </c>
      <c r="B1820" s="259" t="s">
        <v>116</v>
      </c>
      <c r="C1820" s="264"/>
      <c r="D1820" s="264"/>
      <c r="H1820" s="264"/>
      <c r="I1820" s="264"/>
      <c r="J1820" s="295">
        <v>0</v>
      </c>
      <c r="K1820" s="295">
        <v>0</v>
      </c>
      <c r="L1820" s="295">
        <v>0</v>
      </c>
      <c r="O1820" s="266"/>
      <c r="R1820" s="265"/>
      <c r="V1820" s="265">
        <v>0</v>
      </c>
      <c r="Y1820" s="259">
        <f t="shared" si="2"/>
        <v>908</v>
      </c>
      <c r="AA1820" s="259" t="e">
        <v>#N/A</v>
      </c>
      <c r="AB1820" s="259"/>
      <c r="AC1820" s="259"/>
      <c r="AD1820" s="259"/>
      <c r="AE1820" s="259"/>
    </row>
    <row r="1821" spans="1:31">
      <c r="A1821" s="259">
        <v>91610139</v>
      </c>
      <c r="B1821" s="259" t="s">
        <v>116</v>
      </c>
      <c r="C1821" s="264" t="s">
        <v>7242</v>
      </c>
      <c r="D1821" s="264" t="s">
        <v>7243</v>
      </c>
      <c r="E1821" s="259" t="s">
        <v>7238</v>
      </c>
      <c r="H1821" s="264" t="s">
        <v>7243</v>
      </c>
      <c r="I1821" s="264" t="s">
        <v>7243</v>
      </c>
      <c r="J1821" s="295">
        <v>81.37</v>
      </c>
      <c r="K1821" s="295">
        <v>81.37</v>
      </c>
      <c r="L1821" s="295" t="s">
        <v>7240</v>
      </c>
      <c r="O1821" s="266">
        <v>0</v>
      </c>
      <c r="P1821" s="266">
        <v>5706681230136</v>
      </c>
      <c r="Q1821" s="266">
        <v>0</v>
      </c>
      <c r="R1821" s="265">
        <v>7.8740199999999998</v>
      </c>
      <c r="S1821" s="265">
        <v>7.8740199999999998</v>
      </c>
      <c r="V1821" s="265" t="s">
        <v>3028</v>
      </c>
      <c r="W1821" s="259">
        <v>0</v>
      </c>
      <c r="X1821" s="264" t="s">
        <v>7244</v>
      </c>
      <c r="Y1821" s="259">
        <f t="shared" si="2"/>
        <v>909</v>
      </c>
      <c r="AA1821" s="259" t="e">
        <v>#N/A</v>
      </c>
      <c r="AB1821" s="259"/>
      <c r="AC1821" s="259"/>
      <c r="AD1821" s="259"/>
      <c r="AE1821" s="259"/>
    </row>
    <row r="1822" spans="1:31">
      <c r="A1822" s="259">
        <v>92620005</v>
      </c>
      <c r="B1822" s="259" t="s">
        <v>116</v>
      </c>
      <c r="C1822" s="264" t="s">
        <v>1949</v>
      </c>
      <c r="D1822" s="264" t="s">
        <v>7245</v>
      </c>
      <c r="E1822" s="259" t="s">
        <v>7246</v>
      </c>
      <c r="H1822" s="264" t="s">
        <v>7245</v>
      </c>
      <c r="I1822" s="264" t="s">
        <v>7245</v>
      </c>
      <c r="J1822" s="295">
        <v>617.38</v>
      </c>
      <c r="K1822" s="295">
        <v>617.38</v>
      </c>
      <c r="L1822" s="295" t="s">
        <v>7240</v>
      </c>
      <c r="O1822" s="266">
        <v>0</v>
      </c>
      <c r="P1822" s="266">
        <v>688705005140</v>
      </c>
      <c r="Q1822" s="266">
        <v>0</v>
      </c>
      <c r="R1822" s="265">
        <v>0</v>
      </c>
      <c r="S1822" s="265">
        <v>0</v>
      </c>
      <c r="V1822" s="265" t="s">
        <v>7247</v>
      </c>
      <c r="W1822" s="259">
        <v>0</v>
      </c>
      <c r="Y1822" s="259">
        <f t="shared" si="2"/>
        <v>910</v>
      </c>
      <c r="AA1822" s="259" t="e">
        <v>#N/A</v>
      </c>
      <c r="AB1822" s="259"/>
      <c r="AC1822" s="259"/>
      <c r="AD1822" s="259"/>
      <c r="AE1822" s="259"/>
    </row>
    <row r="1823" spans="1:31">
      <c r="A1823" s="259">
        <v>91611580</v>
      </c>
      <c r="B1823" s="259" t="s">
        <v>116</v>
      </c>
      <c r="C1823" s="264" t="s">
        <v>1949</v>
      </c>
      <c r="D1823" s="264" t="s">
        <v>7248</v>
      </c>
      <c r="E1823" s="259" t="s">
        <v>7238</v>
      </c>
      <c r="H1823" s="264" t="s">
        <v>7248</v>
      </c>
      <c r="I1823" s="264" t="s">
        <v>7248</v>
      </c>
      <c r="J1823" s="295">
        <v>1790.41</v>
      </c>
      <c r="K1823" s="295">
        <v>1790.41</v>
      </c>
      <c r="L1823" s="295" t="s">
        <v>7240</v>
      </c>
      <c r="O1823" s="266">
        <v>0</v>
      </c>
      <c r="Q1823" s="266">
        <v>0</v>
      </c>
      <c r="R1823" s="265">
        <v>0</v>
      </c>
      <c r="V1823" s="265">
        <v>0</v>
      </c>
      <c r="W1823" s="259">
        <v>0</v>
      </c>
      <c r="Y1823" s="259">
        <f t="shared" si="2"/>
        <v>911</v>
      </c>
      <c r="AA1823" s="259" t="e">
        <v>#N/A</v>
      </c>
      <c r="AB1823" s="259"/>
      <c r="AC1823" s="259"/>
      <c r="AD1823" s="259"/>
      <c r="AE1823" s="259"/>
    </row>
    <row r="1824" spans="1:31">
      <c r="A1824" s="259" t="s">
        <v>1953</v>
      </c>
      <c r="B1824" s="259" t="s">
        <v>116</v>
      </c>
      <c r="C1824" s="264"/>
      <c r="D1824" s="264"/>
      <c r="H1824" s="264"/>
      <c r="I1824" s="264"/>
      <c r="J1824" s="295">
        <v>0</v>
      </c>
      <c r="K1824" s="295">
        <v>0</v>
      </c>
      <c r="L1824" s="295">
        <v>0</v>
      </c>
      <c r="O1824" s="266"/>
      <c r="R1824" s="265"/>
      <c r="V1824" s="265">
        <v>0</v>
      </c>
      <c r="Y1824" s="259">
        <f t="shared" si="2"/>
        <v>912</v>
      </c>
      <c r="AA1824" s="259" t="e">
        <v>#N/A</v>
      </c>
      <c r="AB1824" s="259"/>
      <c r="AC1824" s="259"/>
      <c r="AD1824" s="259"/>
      <c r="AE1824" s="259"/>
    </row>
    <row r="1825" spans="1:31">
      <c r="A1825" s="259" t="s">
        <v>1954</v>
      </c>
      <c r="B1825" s="259" t="s">
        <v>116</v>
      </c>
      <c r="C1825" s="264"/>
      <c r="D1825" s="264"/>
      <c r="H1825" s="264"/>
      <c r="I1825" s="264"/>
      <c r="J1825" s="295">
        <v>0</v>
      </c>
      <c r="K1825" s="295">
        <v>0</v>
      </c>
      <c r="L1825" s="295">
        <v>0</v>
      </c>
      <c r="O1825" s="266"/>
      <c r="R1825" s="265"/>
      <c r="V1825" s="265">
        <v>0</v>
      </c>
      <c r="Y1825" s="259">
        <f t="shared" si="2"/>
        <v>913</v>
      </c>
      <c r="AA1825" s="259" t="e">
        <v>#N/A</v>
      </c>
      <c r="AB1825" s="259"/>
      <c r="AC1825" s="259"/>
      <c r="AD1825" s="259"/>
      <c r="AE1825" s="259"/>
    </row>
    <row r="1826" spans="1:31">
      <c r="A1826" s="259">
        <v>91602001</v>
      </c>
      <c r="B1826" s="259" t="s">
        <v>116</v>
      </c>
      <c r="C1826" s="264" t="s">
        <v>1949</v>
      </c>
      <c r="D1826" s="264" t="s">
        <v>7249</v>
      </c>
      <c r="E1826" s="259" t="s">
        <v>7238</v>
      </c>
      <c r="H1826" s="264" t="s">
        <v>7249</v>
      </c>
      <c r="I1826" s="264" t="s">
        <v>7249</v>
      </c>
      <c r="J1826" s="295">
        <v>61.74</v>
      </c>
      <c r="K1826" s="295">
        <v>61.74</v>
      </c>
      <c r="L1826" s="295" t="s">
        <v>7240</v>
      </c>
      <c r="O1826" s="266">
        <v>0</v>
      </c>
      <c r="P1826" s="266">
        <v>5706681212163</v>
      </c>
      <c r="Q1826" s="266">
        <v>0</v>
      </c>
      <c r="R1826" s="265">
        <v>5.4094517399999997</v>
      </c>
      <c r="S1826" s="265">
        <v>5.4094517399999997</v>
      </c>
      <c r="V1826" s="265" t="s">
        <v>7247</v>
      </c>
      <c r="W1826" s="259">
        <v>0</v>
      </c>
      <c r="Y1826" s="259">
        <f t="shared" si="2"/>
        <v>914</v>
      </c>
      <c r="AA1826" s="259" t="e">
        <v>#N/A</v>
      </c>
      <c r="AB1826" s="259"/>
      <c r="AC1826" s="259"/>
      <c r="AD1826" s="259"/>
      <c r="AE1826" s="259"/>
    </row>
    <row r="1827" spans="1:31">
      <c r="A1827" s="259">
        <v>91602008</v>
      </c>
      <c r="B1827" s="259" t="s">
        <v>116</v>
      </c>
      <c r="C1827" s="264" t="s">
        <v>1949</v>
      </c>
      <c r="D1827" s="264" t="s">
        <v>7250</v>
      </c>
      <c r="E1827" s="259" t="s">
        <v>7238</v>
      </c>
      <c r="H1827" s="264" t="s">
        <v>7250</v>
      </c>
      <c r="I1827" s="264" t="s">
        <v>7250</v>
      </c>
      <c r="J1827" s="295">
        <v>74.09</v>
      </c>
      <c r="K1827" s="295">
        <v>74.09</v>
      </c>
      <c r="L1827" s="295" t="s">
        <v>7240</v>
      </c>
      <c r="O1827" s="266">
        <v>0</v>
      </c>
      <c r="Q1827" s="266">
        <v>0</v>
      </c>
      <c r="R1827" s="265">
        <v>5.4094517399999997</v>
      </c>
      <c r="S1827" s="265">
        <v>5.4094517399999997</v>
      </c>
      <c r="V1827" s="265" t="s">
        <v>7247</v>
      </c>
      <c r="W1827" s="259">
        <v>0</v>
      </c>
      <c r="Y1827" s="259">
        <f t="shared" si="2"/>
        <v>915</v>
      </c>
      <c r="AA1827" s="259" t="e">
        <v>#N/A</v>
      </c>
      <c r="AB1827" s="259"/>
      <c r="AC1827" s="259"/>
      <c r="AD1827" s="259"/>
      <c r="AE1827" s="259"/>
    </row>
    <row r="1828" spans="1:31">
      <c r="A1828" s="259">
        <v>91602000</v>
      </c>
      <c r="B1828" s="259" t="s">
        <v>116</v>
      </c>
      <c r="C1828" s="264" t="s">
        <v>1949</v>
      </c>
      <c r="D1828" s="264" t="s">
        <v>7251</v>
      </c>
      <c r="E1828" s="259" t="s">
        <v>7238</v>
      </c>
      <c r="H1828" s="264" t="s">
        <v>7251</v>
      </c>
      <c r="I1828" s="264" t="s">
        <v>7251</v>
      </c>
      <c r="J1828" s="295">
        <v>134.59</v>
      </c>
      <c r="K1828" s="295">
        <v>134.59</v>
      </c>
      <c r="L1828" s="295" t="s">
        <v>7240</v>
      </c>
      <c r="O1828" s="266">
        <v>0</v>
      </c>
      <c r="P1828" s="266">
        <v>5706681212156</v>
      </c>
      <c r="Q1828" s="266">
        <v>0</v>
      </c>
      <c r="R1828" s="265">
        <v>0</v>
      </c>
      <c r="S1828" s="265">
        <v>0</v>
      </c>
      <c r="V1828" s="265" t="s">
        <v>7247</v>
      </c>
      <c r="W1828" s="259">
        <v>0</v>
      </c>
      <c r="Y1828" s="259">
        <f t="shared" si="2"/>
        <v>916</v>
      </c>
      <c r="AA1828" s="259" t="e">
        <v>#N/A</v>
      </c>
      <c r="AB1828" s="259"/>
      <c r="AC1828" s="259"/>
      <c r="AD1828" s="259"/>
      <c r="AE1828" s="259"/>
    </row>
    <row r="1829" spans="1:31">
      <c r="A1829" s="259" t="s">
        <v>1955</v>
      </c>
      <c r="B1829" s="259" t="s">
        <v>116</v>
      </c>
      <c r="C1829" s="264" t="s">
        <v>1949</v>
      </c>
      <c r="D1829" s="264" t="s">
        <v>7252</v>
      </c>
      <c r="E1829" s="259" t="s">
        <v>7238</v>
      </c>
      <c r="G1829" s="259" t="s">
        <v>7253</v>
      </c>
      <c r="H1829" s="264" t="s">
        <v>7252</v>
      </c>
      <c r="I1829" s="264" t="s">
        <v>7252</v>
      </c>
      <c r="J1829" s="295">
        <v>61.74</v>
      </c>
      <c r="K1829" s="295">
        <v>61.74</v>
      </c>
      <c r="L1829" s="295" t="s">
        <v>7240</v>
      </c>
      <c r="O1829" s="266">
        <v>0</v>
      </c>
      <c r="P1829" s="266">
        <v>688705006505</v>
      </c>
      <c r="Q1829" s="266">
        <v>0</v>
      </c>
      <c r="R1829" s="265">
        <v>0</v>
      </c>
      <c r="S1829" s="265">
        <v>0</v>
      </c>
      <c r="V1829" s="265">
        <v>0</v>
      </c>
      <c r="W1829" s="259">
        <v>0</v>
      </c>
      <c r="Y1829" s="259">
        <f t="shared" si="2"/>
        <v>917</v>
      </c>
      <c r="Z1829" s="259" t="s">
        <v>3030</v>
      </c>
      <c r="AA1829" s="259" t="e">
        <v>#N/A</v>
      </c>
      <c r="AB1829" s="259"/>
      <c r="AC1829" s="259"/>
      <c r="AD1829" s="259"/>
      <c r="AE1829" s="259"/>
    </row>
    <row r="1830" spans="1:31">
      <c r="A1830" s="259" t="s">
        <v>1956</v>
      </c>
      <c r="B1830" s="259" t="s">
        <v>116</v>
      </c>
      <c r="C1830" s="264"/>
      <c r="D1830" s="264"/>
      <c r="H1830" s="264"/>
      <c r="I1830" s="264"/>
      <c r="J1830" s="295">
        <v>0</v>
      </c>
      <c r="K1830" s="295">
        <v>0</v>
      </c>
      <c r="L1830" s="295">
        <v>0</v>
      </c>
      <c r="O1830" s="266"/>
      <c r="R1830" s="265"/>
      <c r="V1830" s="265">
        <v>0</v>
      </c>
      <c r="Y1830" s="259">
        <f t="shared" si="2"/>
        <v>918</v>
      </c>
      <c r="AA1830" s="259" t="e">
        <v>#N/A</v>
      </c>
      <c r="AB1830" s="259"/>
      <c r="AC1830" s="259"/>
      <c r="AD1830" s="259"/>
      <c r="AE1830" s="259"/>
    </row>
    <row r="1831" spans="1:31">
      <c r="A1831" s="259">
        <v>91602003</v>
      </c>
      <c r="B1831" s="259" t="s">
        <v>116</v>
      </c>
      <c r="C1831" s="264" t="s">
        <v>1949</v>
      </c>
      <c r="D1831" s="264" t="s">
        <v>7254</v>
      </c>
      <c r="E1831" s="259" t="s">
        <v>7238</v>
      </c>
      <c r="H1831" s="264" t="s">
        <v>7254</v>
      </c>
      <c r="I1831" s="264" t="s">
        <v>7254</v>
      </c>
      <c r="J1831" s="295">
        <v>33.340000000000003</v>
      </c>
      <c r="K1831" s="295">
        <v>33.340000000000003</v>
      </c>
      <c r="L1831" s="295" t="s">
        <v>7240</v>
      </c>
      <c r="O1831" s="266">
        <v>0</v>
      </c>
      <c r="Q1831" s="266">
        <v>0</v>
      </c>
      <c r="R1831" s="265">
        <v>7.8740199999999998</v>
      </c>
      <c r="S1831" s="265">
        <v>7.8740199999999998</v>
      </c>
      <c r="V1831" s="265" t="s">
        <v>7247</v>
      </c>
      <c r="W1831" s="259">
        <v>0</v>
      </c>
      <c r="Y1831" s="259">
        <f t="shared" si="2"/>
        <v>919</v>
      </c>
      <c r="AA1831" s="259" t="e">
        <v>#N/A</v>
      </c>
      <c r="AB1831" s="259"/>
      <c r="AC1831" s="259"/>
      <c r="AD1831" s="259"/>
      <c r="AE1831" s="259"/>
    </row>
    <row r="1832" spans="1:31">
      <c r="A1832" s="259">
        <v>91602005</v>
      </c>
      <c r="B1832" s="259" t="s">
        <v>116</v>
      </c>
      <c r="C1832" s="264" t="s">
        <v>1949</v>
      </c>
      <c r="D1832" s="264" t="s">
        <v>7255</v>
      </c>
      <c r="E1832" s="259" t="s">
        <v>7238</v>
      </c>
      <c r="H1832" s="264" t="s">
        <v>7255</v>
      </c>
      <c r="I1832" s="264" t="s">
        <v>7255</v>
      </c>
      <c r="J1832" s="295">
        <v>27.16</v>
      </c>
      <c r="K1832" s="295">
        <v>27.16</v>
      </c>
      <c r="L1832" s="295" t="s">
        <v>7240</v>
      </c>
      <c r="O1832" s="266">
        <v>0</v>
      </c>
      <c r="P1832" s="266">
        <v>5706681212187</v>
      </c>
      <c r="Q1832" s="266">
        <v>0</v>
      </c>
      <c r="R1832" s="265">
        <v>18.110246</v>
      </c>
      <c r="S1832" s="265">
        <v>18.110246</v>
      </c>
      <c r="V1832" s="265" t="s">
        <v>7247</v>
      </c>
      <c r="W1832" s="259">
        <v>0</v>
      </c>
      <c r="Y1832" s="259">
        <f t="shared" si="2"/>
        <v>920</v>
      </c>
      <c r="AA1832" s="259" t="e">
        <v>#N/A</v>
      </c>
      <c r="AB1832" s="259"/>
      <c r="AC1832" s="259"/>
      <c r="AD1832" s="259"/>
      <c r="AE1832" s="259"/>
    </row>
    <row r="1833" spans="1:31">
      <c r="A1833" s="259">
        <v>91602007</v>
      </c>
      <c r="B1833" s="259" t="s">
        <v>116</v>
      </c>
      <c r="C1833" s="264" t="s">
        <v>1949</v>
      </c>
      <c r="D1833" s="264" t="s">
        <v>7256</v>
      </c>
      <c r="E1833" s="259" t="s">
        <v>7238</v>
      </c>
      <c r="H1833" s="264" t="s">
        <v>7256</v>
      </c>
      <c r="I1833" s="264" t="s">
        <v>7256</v>
      </c>
      <c r="J1833" s="295">
        <v>59.27</v>
      </c>
      <c r="K1833" s="295">
        <v>59.27</v>
      </c>
      <c r="L1833" s="295" t="s">
        <v>7240</v>
      </c>
      <c r="O1833" s="266">
        <v>0</v>
      </c>
      <c r="P1833" s="266">
        <v>5706681212194</v>
      </c>
      <c r="Q1833" s="266">
        <v>0</v>
      </c>
      <c r="R1833" s="265">
        <v>18.110246</v>
      </c>
      <c r="S1833" s="265">
        <v>18.110246</v>
      </c>
      <c r="V1833" s="265" t="s">
        <v>7247</v>
      </c>
      <c r="W1833" s="259">
        <v>0</v>
      </c>
      <c r="Y1833" s="259">
        <f t="shared" si="2"/>
        <v>921</v>
      </c>
      <c r="AA1833" s="259" t="e">
        <v>#N/A</v>
      </c>
      <c r="AB1833" s="259"/>
      <c r="AC1833" s="259"/>
      <c r="AD1833" s="259"/>
      <c r="AE1833" s="259"/>
    </row>
    <row r="1834" spans="1:31">
      <c r="A1834" s="259">
        <v>91602018</v>
      </c>
      <c r="B1834" s="259" t="s">
        <v>116</v>
      </c>
      <c r="C1834" s="264" t="s">
        <v>7257</v>
      </c>
      <c r="D1834" s="264" t="s">
        <v>7258</v>
      </c>
      <c r="E1834" s="259" t="s">
        <v>7238</v>
      </c>
      <c r="H1834" s="264" t="s">
        <v>7258</v>
      </c>
      <c r="I1834" s="264" t="s">
        <v>7258</v>
      </c>
      <c r="J1834" s="295">
        <v>43.22</v>
      </c>
      <c r="K1834" s="295">
        <v>43.22</v>
      </c>
      <c r="L1834" s="295" t="s">
        <v>7240</v>
      </c>
      <c r="O1834" s="266">
        <v>0</v>
      </c>
      <c r="P1834" s="266">
        <v>5706681230167</v>
      </c>
      <c r="Q1834" s="266">
        <v>0</v>
      </c>
      <c r="R1834" s="265">
        <v>28.740172999999999</v>
      </c>
      <c r="S1834" s="265">
        <v>28.740172999999999</v>
      </c>
      <c r="V1834" s="265" t="s">
        <v>7247</v>
      </c>
      <c r="W1834" s="259">
        <v>0</v>
      </c>
      <c r="X1834" s="264" t="s">
        <v>7259</v>
      </c>
      <c r="Y1834" s="259">
        <f t="shared" si="2"/>
        <v>922</v>
      </c>
      <c r="AA1834" s="259" t="e">
        <v>#N/A</v>
      </c>
      <c r="AB1834" s="259"/>
      <c r="AC1834" s="259"/>
      <c r="AD1834" s="259"/>
      <c r="AE1834" s="259"/>
    </row>
    <row r="1835" spans="1:31">
      <c r="A1835" s="259" t="s">
        <v>1957</v>
      </c>
      <c r="B1835" s="259" t="s">
        <v>116</v>
      </c>
      <c r="C1835" s="264"/>
      <c r="D1835" s="264"/>
      <c r="H1835" s="264"/>
      <c r="I1835" s="264"/>
      <c r="J1835" s="295">
        <v>0</v>
      </c>
      <c r="K1835" s="295">
        <v>0</v>
      </c>
      <c r="L1835" s="295">
        <v>0</v>
      </c>
      <c r="O1835" s="266"/>
      <c r="R1835" s="265"/>
      <c r="V1835" s="265">
        <v>0</v>
      </c>
      <c r="Y1835" s="259">
        <f t="shared" si="2"/>
        <v>923</v>
      </c>
      <c r="AA1835" s="259" t="e">
        <v>#N/A</v>
      </c>
      <c r="AB1835" s="259"/>
      <c r="AC1835" s="259"/>
      <c r="AD1835" s="259"/>
      <c r="AE1835" s="259"/>
    </row>
    <row r="1836" spans="1:31">
      <c r="A1836" s="259">
        <v>91604006</v>
      </c>
      <c r="B1836" s="259" t="s">
        <v>116</v>
      </c>
      <c r="C1836" s="264" t="s">
        <v>1949</v>
      </c>
      <c r="D1836" s="264" t="s">
        <v>7260</v>
      </c>
      <c r="E1836" s="259" t="s">
        <v>7238</v>
      </c>
      <c r="H1836" s="264" t="s">
        <v>7260</v>
      </c>
      <c r="I1836" s="264" t="s">
        <v>7260</v>
      </c>
      <c r="J1836" s="295">
        <v>43.22</v>
      </c>
      <c r="K1836" s="295">
        <v>43.22</v>
      </c>
      <c r="L1836" s="295" t="s">
        <v>7240</v>
      </c>
      <c r="O1836" s="266">
        <v>0</v>
      </c>
      <c r="P1836" s="266">
        <v>688705000657</v>
      </c>
      <c r="Q1836" s="266">
        <v>0</v>
      </c>
      <c r="R1836" s="265">
        <v>0</v>
      </c>
      <c r="V1836" s="265" t="s">
        <v>3574</v>
      </c>
      <c r="W1836" s="259">
        <v>0</v>
      </c>
      <c r="Y1836" s="259">
        <f t="shared" si="2"/>
        <v>924</v>
      </c>
      <c r="AA1836" s="259" t="e">
        <v>#N/A</v>
      </c>
      <c r="AB1836" s="259"/>
      <c r="AC1836" s="259"/>
      <c r="AD1836" s="259"/>
      <c r="AE1836" s="259"/>
    </row>
    <row r="1837" spans="1:31">
      <c r="A1837" s="259">
        <v>91604007</v>
      </c>
      <c r="B1837" s="259" t="s">
        <v>116</v>
      </c>
      <c r="C1837" s="264"/>
      <c r="D1837" s="264" t="s">
        <v>7261</v>
      </c>
      <c r="E1837" s="259" t="s">
        <v>7238</v>
      </c>
      <c r="H1837" s="264" t="s">
        <v>7261</v>
      </c>
      <c r="I1837" s="264" t="s">
        <v>7261</v>
      </c>
      <c r="J1837" s="295">
        <v>43.22</v>
      </c>
      <c r="K1837" s="295">
        <v>43.22</v>
      </c>
      <c r="L1837" s="295" t="s">
        <v>7240</v>
      </c>
      <c r="O1837" s="266">
        <v>0</v>
      </c>
      <c r="Q1837" s="266">
        <v>0</v>
      </c>
      <c r="R1837" s="265">
        <v>0</v>
      </c>
      <c r="S1837" s="265">
        <v>0</v>
      </c>
      <c r="V1837" s="265" t="s">
        <v>3574</v>
      </c>
      <c r="W1837" s="259">
        <v>0</v>
      </c>
      <c r="Y1837" s="259">
        <f t="shared" si="2"/>
        <v>925</v>
      </c>
      <c r="AA1837" s="259" t="e">
        <v>#N/A</v>
      </c>
      <c r="AB1837" s="259"/>
      <c r="AC1837" s="259"/>
      <c r="AD1837" s="259"/>
      <c r="AE1837" s="259"/>
    </row>
    <row r="1838" spans="1:31">
      <c r="A1838" s="259" t="s">
        <v>1958</v>
      </c>
      <c r="B1838" s="259" t="s">
        <v>116</v>
      </c>
      <c r="C1838" s="264"/>
      <c r="D1838" s="264"/>
      <c r="H1838" s="264"/>
      <c r="I1838" s="264"/>
      <c r="J1838" s="295">
        <v>0</v>
      </c>
      <c r="K1838" s="295">
        <v>0</v>
      </c>
      <c r="L1838" s="295">
        <v>0</v>
      </c>
      <c r="O1838" s="266"/>
      <c r="R1838" s="265"/>
      <c r="V1838" s="265">
        <v>0</v>
      </c>
      <c r="Y1838" s="259">
        <f t="shared" si="2"/>
        <v>926</v>
      </c>
      <c r="AA1838" s="259" t="e">
        <v>#N/A</v>
      </c>
      <c r="AB1838" s="259"/>
      <c r="AC1838" s="259"/>
      <c r="AD1838" s="259"/>
      <c r="AE1838" s="259"/>
    </row>
    <row r="1839" spans="1:31">
      <c r="A1839" s="259" t="s">
        <v>1959</v>
      </c>
      <c r="B1839" s="259" t="s">
        <v>116</v>
      </c>
      <c r="C1839" s="264"/>
      <c r="D1839" s="264"/>
      <c r="H1839" s="264"/>
      <c r="I1839" s="264"/>
      <c r="J1839" s="295">
        <v>0</v>
      </c>
      <c r="K1839" s="295">
        <v>0</v>
      </c>
      <c r="L1839" s="295">
        <v>0</v>
      </c>
      <c r="O1839" s="266"/>
      <c r="R1839" s="265"/>
      <c r="V1839" s="265">
        <v>0</v>
      </c>
      <c r="Y1839" s="259">
        <f t="shared" si="2"/>
        <v>927</v>
      </c>
      <c r="AA1839" s="259" t="e">
        <v>#N/A</v>
      </c>
      <c r="AB1839" s="259"/>
      <c r="AC1839" s="259"/>
      <c r="AD1839" s="259"/>
      <c r="AE1839" s="259"/>
    </row>
    <row r="1840" spans="1:31">
      <c r="A1840" s="259">
        <v>91611781</v>
      </c>
      <c r="B1840" s="259" t="s">
        <v>116</v>
      </c>
      <c r="C1840" s="264" t="s">
        <v>1949</v>
      </c>
      <c r="D1840" s="264" t="s">
        <v>7262</v>
      </c>
      <c r="E1840" s="259" t="s">
        <v>7238</v>
      </c>
      <c r="G1840" s="259" t="s">
        <v>7263</v>
      </c>
      <c r="H1840" s="264" t="s">
        <v>7262</v>
      </c>
      <c r="I1840" s="264" t="s">
        <v>7262</v>
      </c>
      <c r="J1840" s="295">
        <v>71.62</v>
      </c>
      <c r="K1840" s="295">
        <v>71.62</v>
      </c>
      <c r="L1840" s="295" t="s">
        <v>7240</v>
      </c>
      <c r="O1840" s="266">
        <v>0</v>
      </c>
      <c r="Q1840" s="266">
        <v>0</v>
      </c>
      <c r="R1840" s="265">
        <v>0</v>
      </c>
      <c r="V1840" s="265" t="s">
        <v>7264</v>
      </c>
      <c r="W1840" s="259">
        <v>0</v>
      </c>
      <c r="Y1840" s="259">
        <f t="shared" si="2"/>
        <v>928</v>
      </c>
      <c r="AA1840" s="259" t="e">
        <v>#N/A</v>
      </c>
      <c r="AB1840" s="259"/>
      <c r="AC1840" s="259"/>
      <c r="AD1840" s="259"/>
      <c r="AE1840" s="259"/>
    </row>
    <row r="1841" spans="1:31">
      <c r="A1841" s="259">
        <v>91611782</v>
      </c>
      <c r="B1841" s="259" t="s">
        <v>116</v>
      </c>
      <c r="C1841" s="264" t="s">
        <v>1949</v>
      </c>
      <c r="D1841" s="264" t="s">
        <v>7265</v>
      </c>
      <c r="E1841" s="259" t="s">
        <v>7238</v>
      </c>
      <c r="G1841" s="259" t="s">
        <v>7263</v>
      </c>
      <c r="H1841" s="264" t="s">
        <v>7265</v>
      </c>
      <c r="I1841" s="264" t="s">
        <v>7265</v>
      </c>
      <c r="J1841" s="295">
        <v>75.319999999999993</v>
      </c>
      <c r="K1841" s="295">
        <v>75.319999999999993</v>
      </c>
      <c r="L1841" s="295" t="s">
        <v>7240</v>
      </c>
      <c r="O1841" s="266">
        <v>0</v>
      </c>
      <c r="Q1841" s="266">
        <v>0</v>
      </c>
      <c r="R1841" s="265">
        <v>0</v>
      </c>
      <c r="V1841" s="265" t="s">
        <v>7264</v>
      </c>
      <c r="W1841" s="259">
        <v>0</v>
      </c>
      <c r="Y1841" s="259">
        <f t="shared" si="2"/>
        <v>929</v>
      </c>
      <c r="AA1841" s="259" t="e">
        <v>#N/A</v>
      </c>
      <c r="AB1841" s="259"/>
      <c r="AC1841" s="259"/>
      <c r="AD1841" s="259"/>
      <c r="AE1841" s="259"/>
    </row>
    <row r="1842" spans="1:31">
      <c r="A1842" s="259">
        <v>91611783</v>
      </c>
      <c r="B1842" s="259" t="s">
        <v>116</v>
      </c>
      <c r="C1842" s="264" t="s">
        <v>1949</v>
      </c>
      <c r="D1842" s="264" t="s">
        <v>7266</v>
      </c>
      <c r="E1842" s="259" t="s">
        <v>7238</v>
      </c>
      <c r="G1842" s="259" t="s">
        <v>7263</v>
      </c>
      <c r="H1842" s="264" t="s">
        <v>7266</v>
      </c>
      <c r="I1842" s="264" t="s">
        <v>7266</v>
      </c>
      <c r="J1842" s="295">
        <v>90.14</v>
      </c>
      <c r="K1842" s="295">
        <v>90.14</v>
      </c>
      <c r="L1842" s="295" t="s">
        <v>7240</v>
      </c>
      <c r="O1842" s="266">
        <v>0</v>
      </c>
      <c r="P1842" s="266">
        <v>688705003818</v>
      </c>
      <c r="Q1842" s="266">
        <v>0</v>
      </c>
      <c r="R1842" s="265">
        <v>0</v>
      </c>
      <c r="V1842" s="265" t="s">
        <v>7264</v>
      </c>
      <c r="W1842" s="259">
        <v>0</v>
      </c>
      <c r="Y1842" s="259">
        <f t="shared" si="2"/>
        <v>930</v>
      </c>
      <c r="AA1842" s="259" t="e">
        <v>#N/A</v>
      </c>
      <c r="AB1842" s="259"/>
      <c r="AC1842" s="259"/>
      <c r="AD1842" s="259"/>
      <c r="AE1842" s="259"/>
    </row>
    <row r="1843" spans="1:31">
      <c r="A1843" s="259" t="s">
        <v>1960</v>
      </c>
      <c r="B1843" s="259" t="s">
        <v>116</v>
      </c>
      <c r="C1843" s="264" t="s">
        <v>1949</v>
      </c>
      <c r="D1843" s="264" t="s">
        <v>7267</v>
      </c>
      <c r="E1843" s="259" t="s">
        <v>7238</v>
      </c>
      <c r="G1843" s="259" t="s">
        <v>7263</v>
      </c>
      <c r="H1843" s="264" t="s">
        <v>7267</v>
      </c>
      <c r="I1843" s="264" t="s">
        <v>7267</v>
      </c>
      <c r="J1843" s="295">
        <v>22.23</v>
      </c>
      <c r="K1843" s="295">
        <v>22.23</v>
      </c>
      <c r="L1843" s="295" t="s">
        <v>7240</v>
      </c>
      <c r="O1843" s="266">
        <v>1</v>
      </c>
      <c r="Q1843" s="266">
        <v>0</v>
      </c>
      <c r="R1843" s="265">
        <v>0</v>
      </c>
      <c r="V1843" s="265" t="s">
        <v>3218</v>
      </c>
      <c r="W1843" s="259">
        <v>0</v>
      </c>
      <c r="Y1843" s="259">
        <f t="shared" ref="Y1843:Y1906" si="3">Y1842+1</f>
        <v>931</v>
      </c>
      <c r="Z1843" s="259" t="s">
        <v>3227</v>
      </c>
      <c r="AA1843" s="259" t="e">
        <v>#N/A</v>
      </c>
      <c r="AB1843" s="259"/>
      <c r="AC1843" s="259"/>
      <c r="AD1843" s="259"/>
      <c r="AE1843" s="259"/>
    </row>
    <row r="1844" spans="1:31">
      <c r="A1844" s="259" t="s">
        <v>1961</v>
      </c>
      <c r="B1844" s="259" t="s">
        <v>116</v>
      </c>
      <c r="C1844" s="264"/>
      <c r="D1844" s="264"/>
      <c r="H1844" s="264"/>
      <c r="I1844" s="264"/>
      <c r="J1844" s="295">
        <v>0</v>
      </c>
      <c r="K1844" s="295">
        <v>0</v>
      </c>
      <c r="L1844" s="295">
        <v>0</v>
      </c>
      <c r="O1844" s="266"/>
      <c r="R1844" s="265"/>
      <c r="V1844" s="265">
        <v>0</v>
      </c>
      <c r="Y1844" s="259">
        <f t="shared" si="3"/>
        <v>932</v>
      </c>
      <c r="AA1844" s="259" t="e">
        <v>#N/A</v>
      </c>
      <c r="AB1844" s="259"/>
      <c r="AC1844" s="259"/>
      <c r="AD1844" s="259"/>
      <c r="AE1844" s="259"/>
    </row>
    <row r="1845" spans="1:31">
      <c r="A1845" s="259">
        <v>91611784</v>
      </c>
      <c r="B1845" s="259" t="s">
        <v>116</v>
      </c>
      <c r="C1845" s="264" t="s">
        <v>1949</v>
      </c>
      <c r="D1845" s="264" t="s">
        <v>7268</v>
      </c>
      <c r="E1845" s="259" t="s">
        <v>7238</v>
      </c>
      <c r="G1845" s="259" t="s">
        <v>7263</v>
      </c>
      <c r="H1845" s="264" t="s">
        <v>7268</v>
      </c>
      <c r="I1845" s="264" t="s">
        <v>7268</v>
      </c>
      <c r="J1845" s="295">
        <v>39.51</v>
      </c>
      <c r="K1845" s="295">
        <v>39.51</v>
      </c>
      <c r="L1845" s="295" t="s">
        <v>7240</v>
      </c>
      <c r="O1845" s="266">
        <v>0</v>
      </c>
      <c r="Q1845" s="266">
        <v>0</v>
      </c>
      <c r="R1845" s="265">
        <v>0</v>
      </c>
      <c r="V1845" s="265" t="s">
        <v>3028</v>
      </c>
      <c r="W1845" s="259" t="s">
        <v>3029</v>
      </c>
      <c r="Y1845" s="259">
        <f t="shared" si="3"/>
        <v>933</v>
      </c>
      <c r="AA1845" s="259" t="e">
        <v>#N/A</v>
      </c>
      <c r="AB1845" s="259"/>
      <c r="AC1845" s="259"/>
      <c r="AD1845" s="259"/>
      <c r="AE1845" s="259"/>
    </row>
    <row r="1846" spans="1:31">
      <c r="A1846" s="259">
        <v>91610170</v>
      </c>
      <c r="B1846" s="259" t="s">
        <v>116</v>
      </c>
      <c r="C1846" s="264" t="s">
        <v>1949</v>
      </c>
      <c r="D1846" s="264" t="s">
        <v>7269</v>
      </c>
      <c r="E1846" s="259" t="s">
        <v>7238</v>
      </c>
      <c r="G1846" s="259" t="s">
        <v>7263</v>
      </c>
      <c r="H1846" s="264" t="s">
        <v>7269</v>
      </c>
      <c r="I1846" s="264" t="s">
        <v>7269</v>
      </c>
      <c r="J1846" s="295">
        <v>44.45</v>
      </c>
      <c r="K1846" s="295">
        <v>44.45</v>
      </c>
      <c r="L1846" s="295" t="s">
        <v>7240</v>
      </c>
      <c r="O1846" s="266">
        <v>0</v>
      </c>
      <c r="Q1846" s="266">
        <v>0</v>
      </c>
      <c r="R1846" s="265">
        <v>0</v>
      </c>
      <c r="S1846" s="265">
        <v>0</v>
      </c>
      <c r="V1846" s="265" t="s">
        <v>7264</v>
      </c>
      <c r="W1846" s="259">
        <v>0</v>
      </c>
      <c r="Y1846" s="259">
        <f t="shared" si="3"/>
        <v>934</v>
      </c>
      <c r="AA1846" s="259" t="e">
        <v>#N/A</v>
      </c>
      <c r="AB1846" s="259"/>
      <c r="AC1846" s="259"/>
      <c r="AD1846" s="259"/>
      <c r="AE1846" s="259"/>
    </row>
    <row r="1847" spans="1:31">
      <c r="A1847" s="259">
        <v>91611785</v>
      </c>
      <c r="B1847" s="259" t="s">
        <v>116</v>
      </c>
      <c r="C1847" s="264" t="s">
        <v>1949</v>
      </c>
      <c r="D1847" s="264" t="s">
        <v>7270</v>
      </c>
      <c r="E1847" s="259" t="s">
        <v>7238</v>
      </c>
      <c r="G1847" s="259" t="s">
        <v>7263</v>
      </c>
      <c r="H1847" s="264" t="s">
        <v>7270</v>
      </c>
      <c r="I1847" s="264" t="s">
        <v>7270</v>
      </c>
      <c r="J1847" s="295">
        <v>45.69</v>
      </c>
      <c r="K1847" s="295">
        <v>45.69</v>
      </c>
      <c r="L1847" s="295" t="s">
        <v>7240</v>
      </c>
      <c r="O1847" s="266">
        <v>0</v>
      </c>
      <c r="Q1847" s="266">
        <v>0</v>
      </c>
      <c r="R1847" s="265">
        <v>0</v>
      </c>
      <c r="V1847" s="265" t="s">
        <v>7264</v>
      </c>
      <c r="W1847" s="259" t="s">
        <v>3029</v>
      </c>
      <c r="Y1847" s="259">
        <f t="shared" si="3"/>
        <v>935</v>
      </c>
      <c r="AA1847" s="259" t="e">
        <v>#N/A</v>
      </c>
      <c r="AB1847" s="259"/>
      <c r="AC1847" s="259"/>
      <c r="AD1847" s="259"/>
      <c r="AE1847" s="259"/>
    </row>
    <row r="1848" spans="1:31">
      <c r="A1848" s="259">
        <v>91610171</v>
      </c>
      <c r="B1848" s="259" t="s">
        <v>116</v>
      </c>
      <c r="C1848" s="264" t="s">
        <v>1949</v>
      </c>
      <c r="D1848" s="264" t="s">
        <v>7271</v>
      </c>
      <c r="E1848" s="259" t="s">
        <v>7238</v>
      </c>
      <c r="G1848" s="259" t="s">
        <v>7263</v>
      </c>
      <c r="H1848" s="264" t="s">
        <v>7271</v>
      </c>
      <c r="I1848" s="264" t="s">
        <v>7271</v>
      </c>
      <c r="J1848" s="295">
        <v>54.33</v>
      </c>
      <c r="K1848" s="295">
        <v>54.33</v>
      </c>
      <c r="L1848" s="295" t="s">
        <v>7240</v>
      </c>
      <c r="O1848" s="266">
        <v>0</v>
      </c>
      <c r="Q1848" s="266">
        <v>0</v>
      </c>
      <c r="R1848" s="265">
        <v>0</v>
      </c>
      <c r="S1848" s="265">
        <v>0</v>
      </c>
      <c r="V1848" s="265" t="s">
        <v>7272</v>
      </c>
      <c r="W1848" s="259">
        <v>0</v>
      </c>
      <c r="Y1848" s="259">
        <f t="shared" si="3"/>
        <v>936</v>
      </c>
      <c r="AA1848" s="259" t="e">
        <v>#N/A</v>
      </c>
      <c r="AB1848" s="259"/>
      <c r="AC1848" s="259"/>
      <c r="AD1848" s="259"/>
      <c r="AE1848" s="259"/>
    </row>
    <row r="1849" spans="1:31">
      <c r="A1849" s="259">
        <v>91611796</v>
      </c>
      <c r="B1849" s="259" t="s">
        <v>116</v>
      </c>
      <c r="C1849" s="264" t="s">
        <v>1949</v>
      </c>
      <c r="D1849" s="264" t="s">
        <v>7273</v>
      </c>
      <c r="E1849" s="259" t="s">
        <v>7238</v>
      </c>
      <c r="H1849" s="264" t="s">
        <v>7273</v>
      </c>
      <c r="I1849" s="264" t="s">
        <v>7273</v>
      </c>
      <c r="J1849" s="295">
        <v>50.63</v>
      </c>
      <c r="K1849" s="295">
        <v>50.63</v>
      </c>
      <c r="L1849" s="295" t="s">
        <v>7240</v>
      </c>
      <c r="O1849" s="266">
        <v>0</v>
      </c>
      <c r="Q1849" s="266">
        <v>0</v>
      </c>
      <c r="R1849" s="265">
        <v>0</v>
      </c>
      <c r="V1849" s="265" t="s">
        <v>7264</v>
      </c>
      <c r="W1849" s="259">
        <v>0</v>
      </c>
      <c r="Y1849" s="259">
        <f t="shared" si="3"/>
        <v>937</v>
      </c>
      <c r="AA1849" s="259" t="e">
        <v>#N/A</v>
      </c>
      <c r="AB1849" s="259"/>
      <c r="AC1849" s="259"/>
      <c r="AD1849" s="259"/>
      <c r="AE1849" s="259"/>
    </row>
    <row r="1850" spans="1:31">
      <c r="A1850" s="259">
        <v>91610172</v>
      </c>
      <c r="B1850" s="259" t="s">
        <v>116</v>
      </c>
      <c r="C1850" s="264" t="s">
        <v>1949</v>
      </c>
      <c r="D1850" s="264" t="s">
        <v>7274</v>
      </c>
      <c r="E1850" s="259" t="s">
        <v>7238</v>
      </c>
      <c r="H1850" s="264" t="s">
        <v>7274</v>
      </c>
      <c r="I1850" s="264" t="s">
        <v>7274</v>
      </c>
      <c r="J1850" s="295">
        <v>74.09</v>
      </c>
      <c r="K1850" s="295">
        <v>74.09</v>
      </c>
      <c r="L1850" s="295" t="s">
        <v>7240</v>
      </c>
      <c r="O1850" s="266">
        <v>0</v>
      </c>
      <c r="Q1850" s="266">
        <v>0</v>
      </c>
      <c r="R1850" s="265">
        <v>0</v>
      </c>
      <c r="S1850" s="265">
        <v>0</v>
      </c>
      <c r="V1850" s="265" t="s">
        <v>7264</v>
      </c>
      <c r="W1850" s="259">
        <v>0</v>
      </c>
      <c r="Y1850" s="259">
        <f t="shared" si="3"/>
        <v>938</v>
      </c>
      <c r="AA1850" s="259" t="e">
        <v>#N/A</v>
      </c>
      <c r="AB1850" s="259"/>
      <c r="AC1850" s="259"/>
      <c r="AD1850" s="259"/>
      <c r="AE1850" s="259"/>
    </row>
    <row r="1851" spans="1:31">
      <c r="A1851" s="259">
        <v>91611797</v>
      </c>
      <c r="B1851" s="259" t="s">
        <v>116</v>
      </c>
      <c r="C1851" s="264" t="s">
        <v>1949</v>
      </c>
      <c r="D1851" s="264" t="s">
        <v>7275</v>
      </c>
      <c r="E1851" s="259" t="s">
        <v>7238</v>
      </c>
      <c r="H1851" s="264" t="s">
        <v>7275</v>
      </c>
      <c r="I1851" s="264" t="s">
        <v>7275</v>
      </c>
      <c r="J1851" s="295">
        <v>28.4</v>
      </c>
      <c r="K1851" s="295">
        <v>28.4</v>
      </c>
      <c r="L1851" s="295" t="s">
        <v>7240</v>
      </c>
      <c r="O1851" s="266">
        <v>0</v>
      </c>
      <c r="P1851" s="266">
        <v>688705000497</v>
      </c>
      <c r="Q1851" s="266">
        <v>0</v>
      </c>
      <c r="R1851" s="265">
        <v>0</v>
      </c>
      <c r="V1851" s="265" t="s">
        <v>7264</v>
      </c>
      <c r="W1851" s="259">
        <v>0</v>
      </c>
      <c r="Y1851" s="259">
        <f t="shared" si="3"/>
        <v>939</v>
      </c>
      <c r="AA1851" s="259" t="e">
        <v>#N/A</v>
      </c>
      <c r="AB1851" s="259"/>
      <c r="AC1851" s="259"/>
      <c r="AD1851" s="259"/>
      <c r="AE1851" s="259"/>
    </row>
    <row r="1852" spans="1:31">
      <c r="A1852" s="259">
        <v>91610173</v>
      </c>
      <c r="B1852" s="259" t="s">
        <v>116</v>
      </c>
      <c r="C1852" s="264" t="s">
        <v>1949</v>
      </c>
      <c r="D1852" s="264" t="s">
        <v>7276</v>
      </c>
      <c r="E1852" s="259" t="s">
        <v>7238</v>
      </c>
      <c r="H1852" s="264" t="s">
        <v>7276</v>
      </c>
      <c r="I1852" s="264" t="s">
        <v>7276</v>
      </c>
      <c r="J1852" s="295">
        <v>38.28</v>
      </c>
      <c r="K1852" s="295">
        <v>38.28</v>
      </c>
      <c r="L1852" s="295" t="s">
        <v>7240</v>
      </c>
      <c r="O1852" s="266">
        <v>0</v>
      </c>
      <c r="Q1852" s="266">
        <v>0</v>
      </c>
      <c r="R1852" s="265">
        <v>0</v>
      </c>
      <c r="S1852" s="265">
        <v>0</v>
      </c>
      <c r="V1852" s="265" t="s">
        <v>7264</v>
      </c>
      <c r="W1852" s="259">
        <v>0</v>
      </c>
      <c r="Y1852" s="259">
        <f t="shared" si="3"/>
        <v>940</v>
      </c>
      <c r="AA1852" s="259" t="e">
        <v>#N/A</v>
      </c>
      <c r="AB1852" s="259"/>
      <c r="AC1852" s="259"/>
      <c r="AD1852" s="259"/>
      <c r="AE1852" s="259"/>
    </row>
    <row r="1853" spans="1:31">
      <c r="A1853" s="259">
        <v>91611786</v>
      </c>
      <c r="B1853" s="259" t="s">
        <v>116</v>
      </c>
      <c r="C1853" s="264" t="s">
        <v>1949</v>
      </c>
      <c r="D1853" s="264" t="s">
        <v>7277</v>
      </c>
      <c r="E1853" s="259" t="s">
        <v>7238</v>
      </c>
      <c r="G1853" s="259" t="s">
        <v>7263</v>
      </c>
      <c r="H1853" s="264" t="s">
        <v>7277</v>
      </c>
      <c r="I1853" s="264" t="s">
        <v>7277</v>
      </c>
      <c r="J1853" s="295">
        <v>43.22</v>
      </c>
      <c r="K1853" s="295">
        <v>43.22</v>
      </c>
      <c r="L1853" s="295" t="s">
        <v>7240</v>
      </c>
      <c r="O1853" s="266">
        <v>0</v>
      </c>
      <c r="Q1853" s="266">
        <v>0</v>
      </c>
      <c r="R1853" s="265">
        <v>0</v>
      </c>
      <c r="V1853" s="265" t="s">
        <v>3028</v>
      </c>
      <c r="W1853" s="259" t="s">
        <v>3029</v>
      </c>
      <c r="Y1853" s="259">
        <f t="shared" si="3"/>
        <v>941</v>
      </c>
      <c r="AA1853" s="259" t="e">
        <v>#N/A</v>
      </c>
      <c r="AB1853" s="259"/>
      <c r="AC1853" s="259"/>
      <c r="AD1853" s="259"/>
      <c r="AE1853" s="259"/>
    </row>
    <row r="1854" spans="1:31">
      <c r="A1854" s="259">
        <v>91610174</v>
      </c>
      <c r="B1854" s="259" t="s">
        <v>116</v>
      </c>
      <c r="C1854" s="264" t="s">
        <v>1949</v>
      </c>
      <c r="D1854" s="264" t="s">
        <v>7278</v>
      </c>
      <c r="E1854" s="259" t="s">
        <v>7238</v>
      </c>
      <c r="G1854" s="259" t="s">
        <v>7263</v>
      </c>
      <c r="H1854" s="264" t="s">
        <v>7278</v>
      </c>
      <c r="I1854" s="264" t="s">
        <v>7278</v>
      </c>
      <c r="J1854" s="295">
        <v>70.38</v>
      </c>
      <c r="K1854" s="295">
        <v>70.38</v>
      </c>
      <c r="L1854" s="295" t="s">
        <v>7240</v>
      </c>
      <c r="O1854" s="266">
        <v>0</v>
      </c>
      <c r="Q1854" s="266">
        <v>0</v>
      </c>
      <c r="R1854" s="265">
        <v>0</v>
      </c>
      <c r="S1854" s="265">
        <v>0</v>
      </c>
      <c r="V1854" s="265" t="s">
        <v>7264</v>
      </c>
      <c r="W1854" s="259">
        <v>0</v>
      </c>
      <c r="Y1854" s="259">
        <f t="shared" si="3"/>
        <v>942</v>
      </c>
      <c r="AA1854" s="259" t="e">
        <v>#N/A</v>
      </c>
      <c r="AB1854" s="259"/>
      <c r="AC1854" s="259"/>
      <c r="AD1854" s="259"/>
      <c r="AE1854" s="259"/>
    </row>
    <row r="1855" spans="1:31">
      <c r="A1855" s="259" t="s">
        <v>1962</v>
      </c>
      <c r="B1855" s="259" t="s">
        <v>116</v>
      </c>
      <c r="C1855" s="264"/>
      <c r="D1855" s="264" t="s">
        <v>7279</v>
      </c>
      <c r="E1855" s="259" t="s">
        <v>7238</v>
      </c>
      <c r="H1855" s="264" t="s">
        <v>7279</v>
      </c>
      <c r="I1855" s="264" t="s">
        <v>7279</v>
      </c>
      <c r="J1855" s="295">
        <v>18.52</v>
      </c>
      <c r="K1855" s="295">
        <v>18.52</v>
      </c>
      <c r="L1855" s="295" t="s">
        <v>7240</v>
      </c>
      <c r="O1855" s="266">
        <v>0</v>
      </c>
      <c r="Q1855" s="266">
        <v>0</v>
      </c>
      <c r="R1855" s="265">
        <v>0</v>
      </c>
      <c r="S1855" s="265">
        <v>0</v>
      </c>
      <c r="V1855" s="265" t="s">
        <v>3218</v>
      </c>
      <c r="W1855" s="259">
        <v>0</v>
      </c>
      <c r="Y1855" s="259">
        <f t="shared" si="3"/>
        <v>943</v>
      </c>
      <c r="Z1855" s="259" t="s">
        <v>4325</v>
      </c>
      <c r="AA1855" s="259" t="e">
        <v>#N/A</v>
      </c>
      <c r="AB1855" s="259"/>
      <c r="AC1855" s="259"/>
      <c r="AD1855" s="259"/>
      <c r="AE1855" s="259"/>
    </row>
    <row r="1856" spans="1:31">
      <c r="A1856" s="259" t="s">
        <v>1963</v>
      </c>
      <c r="B1856" s="259" t="s">
        <v>116</v>
      </c>
      <c r="C1856" s="264" t="s">
        <v>1949</v>
      </c>
      <c r="D1856" s="264" t="s">
        <v>7280</v>
      </c>
      <c r="E1856" s="259" t="s">
        <v>7238</v>
      </c>
      <c r="H1856" s="264" t="s">
        <v>7280</v>
      </c>
      <c r="I1856" s="264" t="s">
        <v>7280</v>
      </c>
      <c r="J1856" s="295">
        <v>18.52</v>
      </c>
      <c r="K1856" s="295">
        <v>18.52</v>
      </c>
      <c r="L1856" s="295" t="s">
        <v>7240</v>
      </c>
      <c r="O1856" s="266">
        <v>0.5</v>
      </c>
      <c r="Q1856" s="266">
        <v>0</v>
      </c>
      <c r="R1856" s="265">
        <v>0</v>
      </c>
      <c r="S1856" s="265">
        <v>0</v>
      </c>
      <c r="V1856" s="265" t="s">
        <v>3218</v>
      </c>
      <c r="W1856" s="259">
        <v>0</v>
      </c>
      <c r="Y1856" s="259">
        <f t="shared" si="3"/>
        <v>944</v>
      </c>
      <c r="Z1856" s="259" t="s">
        <v>4325</v>
      </c>
      <c r="AA1856" s="259" t="e">
        <v>#N/A</v>
      </c>
      <c r="AB1856" s="259"/>
      <c r="AC1856" s="259"/>
      <c r="AD1856" s="259"/>
      <c r="AE1856" s="259"/>
    </row>
    <row r="1857" spans="1:31">
      <c r="A1857" s="259" t="s">
        <v>1964</v>
      </c>
      <c r="B1857" s="259" t="s">
        <v>116</v>
      </c>
      <c r="C1857" s="264"/>
      <c r="D1857" s="264"/>
      <c r="H1857" s="264"/>
      <c r="I1857" s="264"/>
      <c r="J1857" s="295">
        <v>0</v>
      </c>
      <c r="K1857" s="295">
        <v>0</v>
      </c>
      <c r="L1857" s="295">
        <v>0</v>
      </c>
      <c r="O1857" s="266"/>
      <c r="R1857" s="265"/>
      <c r="V1857" s="265">
        <v>0</v>
      </c>
      <c r="Y1857" s="259">
        <f t="shared" si="3"/>
        <v>945</v>
      </c>
      <c r="AA1857" s="259" t="e">
        <v>#N/A</v>
      </c>
      <c r="AB1857" s="259"/>
      <c r="AC1857" s="259"/>
      <c r="AD1857" s="259"/>
      <c r="AE1857" s="259"/>
    </row>
    <row r="1858" spans="1:31">
      <c r="A1858" s="259">
        <v>91611798</v>
      </c>
      <c r="B1858" s="259" t="s">
        <v>116</v>
      </c>
      <c r="C1858" s="264" t="s">
        <v>1949</v>
      </c>
      <c r="D1858" s="264" t="s">
        <v>7281</v>
      </c>
      <c r="E1858" s="259" t="s">
        <v>7238</v>
      </c>
      <c r="H1858" s="264" t="s">
        <v>7281</v>
      </c>
      <c r="I1858" s="264" t="s">
        <v>7281</v>
      </c>
      <c r="J1858" s="295">
        <v>42</v>
      </c>
      <c r="K1858" s="295">
        <v>42</v>
      </c>
      <c r="L1858" s="295" t="s">
        <v>7240</v>
      </c>
      <c r="O1858" s="266">
        <v>0</v>
      </c>
      <c r="Q1858" s="266">
        <v>0</v>
      </c>
      <c r="R1858" s="265">
        <v>0</v>
      </c>
      <c r="V1858" s="265" t="s">
        <v>7264</v>
      </c>
      <c r="W1858" s="259">
        <v>0</v>
      </c>
      <c r="Y1858" s="259">
        <f t="shared" si="3"/>
        <v>946</v>
      </c>
      <c r="AA1858" s="259" t="e">
        <v>#N/A</v>
      </c>
      <c r="AB1858" s="259"/>
      <c r="AC1858" s="259"/>
      <c r="AD1858" s="259"/>
      <c r="AE1858" s="259"/>
    </row>
    <row r="1859" spans="1:31">
      <c r="A1859" s="259">
        <v>91610175</v>
      </c>
      <c r="B1859" s="259" t="s">
        <v>116</v>
      </c>
      <c r="C1859" s="264" t="s">
        <v>1949</v>
      </c>
      <c r="D1859" s="264" t="s">
        <v>7282</v>
      </c>
      <c r="E1859" s="259" t="s">
        <v>7238</v>
      </c>
      <c r="G1859" s="259" t="s">
        <v>7263</v>
      </c>
      <c r="H1859" s="264" t="s">
        <v>7282</v>
      </c>
      <c r="I1859" s="264" t="s">
        <v>7282</v>
      </c>
      <c r="J1859" s="295">
        <v>59.27</v>
      </c>
      <c r="K1859" s="295">
        <v>59.27</v>
      </c>
      <c r="L1859" s="295" t="s">
        <v>7240</v>
      </c>
      <c r="O1859" s="266">
        <v>0</v>
      </c>
      <c r="Q1859" s="266">
        <v>0</v>
      </c>
      <c r="R1859" s="265">
        <v>0</v>
      </c>
      <c r="S1859" s="265">
        <v>0</v>
      </c>
      <c r="V1859" s="265" t="s">
        <v>7272</v>
      </c>
      <c r="W1859" s="259">
        <v>0</v>
      </c>
      <c r="Y1859" s="259">
        <f t="shared" si="3"/>
        <v>947</v>
      </c>
      <c r="AA1859" s="259" t="e">
        <v>#N/A</v>
      </c>
      <c r="AB1859" s="259"/>
      <c r="AC1859" s="259"/>
      <c r="AD1859" s="259"/>
      <c r="AE1859" s="259"/>
    </row>
    <row r="1860" spans="1:31">
      <c r="A1860" s="259">
        <v>91611799</v>
      </c>
      <c r="B1860" s="259" t="s">
        <v>116</v>
      </c>
      <c r="C1860" s="264" t="s">
        <v>1949</v>
      </c>
      <c r="D1860" s="264" t="s">
        <v>7283</v>
      </c>
      <c r="E1860" s="259" t="s">
        <v>7238</v>
      </c>
      <c r="H1860" s="264" t="s">
        <v>7283</v>
      </c>
      <c r="I1860" s="264" t="s">
        <v>7283</v>
      </c>
      <c r="J1860" s="295">
        <v>50.63</v>
      </c>
      <c r="K1860" s="295">
        <v>50.63</v>
      </c>
      <c r="L1860" s="295" t="s">
        <v>7240</v>
      </c>
      <c r="O1860" s="266">
        <v>0</v>
      </c>
      <c r="Q1860" s="266">
        <v>0</v>
      </c>
      <c r="R1860" s="265">
        <v>0</v>
      </c>
      <c r="V1860" s="265" t="s">
        <v>7264</v>
      </c>
      <c r="W1860" s="259">
        <v>0</v>
      </c>
      <c r="Y1860" s="259">
        <f t="shared" si="3"/>
        <v>948</v>
      </c>
      <c r="AA1860" s="259" t="e">
        <v>#N/A</v>
      </c>
      <c r="AB1860" s="259"/>
      <c r="AC1860" s="259"/>
      <c r="AD1860" s="259"/>
      <c r="AE1860" s="259"/>
    </row>
    <row r="1861" spans="1:31">
      <c r="A1861" s="259">
        <v>91610176</v>
      </c>
      <c r="B1861" s="259" t="s">
        <v>116</v>
      </c>
      <c r="C1861" s="264" t="s">
        <v>1949</v>
      </c>
      <c r="D1861" s="264" t="s">
        <v>7284</v>
      </c>
      <c r="E1861" s="259" t="s">
        <v>7238</v>
      </c>
      <c r="H1861" s="264" t="s">
        <v>7284</v>
      </c>
      <c r="I1861" s="264" t="s">
        <v>7284</v>
      </c>
      <c r="J1861" s="295">
        <v>81.489999999999995</v>
      </c>
      <c r="K1861" s="295">
        <v>81.489999999999995</v>
      </c>
      <c r="L1861" s="295" t="s">
        <v>7240</v>
      </c>
      <c r="O1861" s="266">
        <v>0</v>
      </c>
      <c r="Q1861" s="266">
        <v>0</v>
      </c>
      <c r="R1861" s="265">
        <v>0</v>
      </c>
      <c r="S1861" s="265">
        <v>0</v>
      </c>
      <c r="V1861" s="265" t="s">
        <v>7272</v>
      </c>
      <c r="W1861" s="259">
        <v>0</v>
      </c>
      <c r="Y1861" s="259">
        <f t="shared" si="3"/>
        <v>949</v>
      </c>
      <c r="AA1861" s="259" t="e">
        <v>#N/A</v>
      </c>
      <c r="AB1861" s="259"/>
      <c r="AC1861" s="259"/>
      <c r="AD1861" s="259"/>
      <c r="AE1861" s="259"/>
    </row>
    <row r="1862" spans="1:31">
      <c r="A1862" s="259">
        <v>91611800</v>
      </c>
      <c r="B1862" s="259" t="s">
        <v>116</v>
      </c>
      <c r="C1862" s="264" t="s">
        <v>1949</v>
      </c>
      <c r="D1862" s="264" t="s">
        <v>7285</v>
      </c>
      <c r="E1862" s="259" t="s">
        <v>7238</v>
      </c>
      <c r="H1862" s="264" t="s">
        <v>7285</v>
      </c>
      <c r="I1862" s="264" t="s">
        <v>7285</v>
      </c>
      <c r="J1862" s="295">
        <v>28.4</v>
      </c>
      <c r="K1862" s="295">
        <v>28.4</v>
      </c>
      <c r="L1862" s="295" t="s">
        <v>7240</v>
      </c>
      <c r="O1862" s="266">
        <v>0</v>
      </c>
      <c r="P1862" s="266">
        <v>688705000671</v>
      </c>
      <c r="Q1862" s="266">
        <v>0</v>
      </c>
      <c r="R1862" s="265">
        <v>0</v>
      </c>
      <c r="V1862" s="265" t="s">
        <v>7264</v>
      </c>
      <c r="W1862" s="259">
        <v>0</v>
      </c>
      <c r="Y1862" s="259">
        <f t="shared" si="3"/>
        <v>950</v>
      </c>
      <c r="AA1862" s="259" t="e">
        <v>#N/A</v>
      </c>
      <c r="AB1862" s="259"/>
      <c r="AC1862" s="259"/>
      <c r="AD1862" s="259"/>
      <c r="AE1862" s="259"/>
    </row>
    <row r="1863" spans="1:31">
      <c r="A1863" s="259">
        <v>91610177</v>
      </c>
      <c r="B1863" s="259" t="s">
        <v>116</v>
      </c>
      <c r="C1863" s="264" t="s">
        <v>1949</v>
      </c>
      <c r="D1863" s="264" t="s">
        <v>7286</v>
      </c>
      <c r="E1863" s="259" t="s">
        <v>7238</v>
      </c>
      <c r="H1863" s="264" t="s">
        <v>7286</v>
      </c>
      <c r="I1863" s="264" t="s">
        <v>7286</v>
      </c>
      <c r="J1863" s="295">
        <v>41.98</v>
      </c>
      <c r="K1863" s="295">
        <v>41.98</v>
      </c>
      <c r="L1863" s="295" t="s">
        <v>7240</v>
      </c>
      <c r="O1863" s="266">
        <v>0</v>
      </c>
      <c r="Q1863" s="266">
        <v>0</v>
      </c>
      <c r="R1863" s="265">
        <v>0</v>
      </c>
      <c r="S1863" s="265">
        <v>0</v>
      </c>
      <c r="V1863" s="265" t="s">
        <v>7272</v>
      </c>
      <c r="W1863" s="259">
        <v>0</v>
      </c>
      <c r="Y1863" s="259">
        <f t="shared" si="3"/>
        <v>951</v>
      </c>
      <c r="AA1863" s="259" t="e">
        <v>#N/A</v>
      </c>
      <c r="AB1863" s="259"/>
      <c r="AC1863" s="259"/>
      <c r="AD1863" s="259"/>
      <c r="AE1863" s="259"/>
    </row>
    <row r="1864" spans="1:31">
      <c r="A1864" s="259">
        <v>91611801</v>
      </c>
      <c r="B1864" s="259" t="s">
        <v>116</v>
      </c>
      <c r="C1864" s="264" t="s">
        <v>1949</v>
      </c>
      <c r="D1864" s="264" t="s">
        <v>7287</v>
      </c>
      <c r="E1864" s="259" t="s">
        <v>7238</v>
      </c>
      <c r="G1864" s="259" t="s">
        <v>7263</v>
      </c>
      <c r="H1864" s="264" t="s">
        <v>7287</v>
      </c>
      <c r="I1864" s="264" t="s">
        <v>7287</v>
      </c>
      <c r="J1864" s="295">
        <v>43.22</v>
      </c>
      <c r="K1864" s="295">
        <v>43.22</v>
      </c>
      <c r="L1864" s="295" t="s">
        <v>7240</v>
      </c>
      <c r="O1864" s="266">
        <v>0</v>
      </c>
      <c r="Q1864" s="266">
        <v>0</v>
      </c>
      <c r="R1864" s="265">
        <v>0</v>
      </c>
      <c r="V1864" s="265" t="s">
        <v>7264</v>
      </c>
      <c r="W1864" s="259">
        <v>0</v>
      </c>
      <c r="Y1864" s="259">
        <f t="shared" si="3"/>
        <v>952</v>
      </c>
      <c r="AA1864" s="259" t="e">
        <v>#N/A</v>
      </c>
      <c r="AB1864" s="259"/>
      <c r="AC1864" s="259"/>
      <c r="AD1864" s="259"/>
      <c r="AE1864" s="259"/>
    </row>
    <row r="1865" spans="1:31">
      <c r="A1865" s="259">
        <v>91610178</v>
      </c>
      <c r="B1865" s="259" t="s">
        <v>116</v>
      </c>
      <c r="C1865" s="264" t="s">
        <v>1949</v>
      </c>
      <c r="D1865" s="264" t="s">
        <v>7288</v>
      </c>
      <c r="E1865" s="259" t="s">
        <v>7238</v>
      </c>
      <c r="G1865" s="259" t="s">
        <v>7263</v>
      </c>
      <c r="H1865" s="264" t="s">
        <v>7288</v>
      </c>
      <c r="I1865" s="264" t="s">
        <v>7288</v>
      </c>
      <c r="J1865" s="295">
        <v>76.56</v>
      </c>
      <c r="K1865" s="295">
        <v>76.56</v>
      </c>
      <c r="L1865" s="295" t="s">
        <v>7240</v>
      </c>
      <c r="O1865" s="266">
        <v>0</v>
      </c>
      <c r="Q1865" s="266">
        <v>0</v>
      </c>
      <c r="R1865" s="265">
        <v>0</v>
      </c>
      <c r="S1865" s="265">
        <v>0</v>
      </c>
      <c r="V1865" s="265" t="s">
        <v>7264</v>
      </c>
      <c r="W1865" s="259">
        <v>0</v>
      </c>
      <c r="Y1865" s="259">
        <f t="shared" si="3"/>
        <v>953</v>
      </c>
      <c r="AA1865" s="259" t="e">
        <v>#N/A</v>
      </c>
      <c r="AB1865" s="259"/>
      <c r="AC1865" s="259"/>
      <c r="AD1865" s="259"/>
      <c r="AE1865" s="259"/>
    </row>
    <row r="1866" spans="1:31">
      <c r="A1866" s="259" t="s">
        <v>1965</v>
      </c>
      <c r="B1866" s="259" t="s">
        <v>116</v>
      </c>
      <c r="C1866" s="264" t="s">
        <v>1949</v>
      </c>
      <c r="D1866" s="264" t="s">
        <v>7289</v>
      </c>
      <c r="E1866" s="259" t="s">
        <v>7238</v>
      </c>
      <c r="H1866" s="264" t="s">
        <v>7289</v>
      </c>
      <c r="I1866" s="264" t="s">
        <v>7289</v>
      </c>
      <c r="J1866" s="295">
        <v>18.52</v>
      </c>
      <c r="K1866" s="295">
        <v>18.52</v>
      </c>
      <c r="L1866" s="295" t="s">
        <v>7240</v>
      </c>
      <c r="O1866" s="266">
        <v>0.5</v>
      </c>
      <c r="Q1866" s="266">
        <v>0</v>
      </c>
      <c r="R1866" s="265">
        <v>0</v>
      </c>
      <c r="S1866" s="265">
        <v>0</v>
      </c>
      <c r="V1866" s="265" t="s">
        <v>3218</v>
      </c>
      <c r="W1866" s="259">
        <v>0</v>
      </c>
      <c r="Y1866" s="259">
        <f t="shared" si="3"/>
        <v>954</v>
      </c>
      <c r="Z1866" s="259" t="s">
        <v>3264</v>
      </c>
      <c r="AA1866" s="259" t="e">
        <v>#N/A</v>
      </c>
      <c r="AB1866" s="259"/>
      <c r="AC1866" s="259"/>
      <c r="AD1866" s="259"/>
      <c r="AE1866" s="259"/>
    </row>
    <row r="1867" spans="1:31">
      <c r="A1867" s="259" t="s">
        <v>1966</v>
      </c>
      <c r="B1867" s="259" t="s">
        <v>116</v>
      </c>
      <c r="C1867" s="264" t="s">
        <v>1949</v>
      </c>
      <c r="D1867" s="264" t="s">
        <v>7290</v>
      </c>
      <c r="E1867" s="259" t="s">
        <v>7238</v>
      </c>
      <c r="H1867" s="264" t="s">
        <v>7290</v>
      </c>
      <c r="I1867" s="264" t="s">
        <v>7290</v>
      </c>
      <c r="J1867" s="295">
        <v>18.52</v>
      </c>
      <c r="K1867" s="295">
        <v>18.52</v>
      </c>
      <c r="L1867" s="295" t="s">
        <v>7240</v>
      </c>
      <c r="O1867" s="266">
        <v>0.5</v>
      </c>
      <c r="Q1867" s="266">
        <v>0</v>
      </c>
      <c r="R1867" s="265">
        <v>0</v>
      </c>
      <c r="S1867" s="265">
        <v>0</v>
      </c>
      <c r="V1867" s="265" t="s">
        <v>3218</v>
      </c>
      <c r="W1867" s="259">
        <v>0</v>
      </c>
      <c r="Y1867" s="259">
        <f t="shared" si="3"/>
        <v>955</v>
      </c>
      <c r="Z1867" s="259" t="s">
        <v>3264</v>
      </c>
      <c r="AA1867" s="259" t="e">
        <v>#N/A</v>
      </c>
      <c r="AB1867" s="259"/>
      <c r="AC1867" s="259"/>
      <c r="AD1867" s="259"/>
      <c r="AE1867" s="259"/>
    </row>
    <row r="1868" spans="1:31">
      <c r="A1868" s="259" t="s">
        <v>1967</v>
      </c>
      <c r="B1868" s="259" t="s">
        <v>116</v>
      </c>
      <c r="C1868" s="264"/>
      <c r="D1868" s="264"/>
      <c r="H1868" s="264"/>
      <c r="I1868" s="264"/>
      <c r="J1868" s="295">
        <v>0</v>
      </c>
      <c r="K1868" s="295">
        <v>0</v>
      </c>
      <c r="L1868" s="295">
        <v>0</v>
      </c>
      <c r="O1868" s="266"/>
      <c r="R1868" s="265"/>
      <c r="V1868" s="265">
        <v>0</v>
      </c>
      <c r="Y1868" s="259">
        <f t="shared" si="3"/>
        <v>956</v>
      </c>
      <c r="AA1868" s="259" t="e">
        <v>#N/A</v>
      </c>
      <c r="AB1868" s="259"/>
      <c r="AC1868" s="259"/>
      <c r="AD1868" s="259"/>
      <c r="AE1868" s="259"/>
    </row>
    <row r="1869" spans="1:31">
      <c r="A1869" s="259" t="s">
        <v>1968</v>
      </c>
      <c r="B1869" s="259" t="s">
        <v>116</v>
      </c>
      <c r="C1869" s="264" t="s">
        <v>1949</v>
      </c>
      <c r="D1869" s="264" t="s">
        <v>7291</v>
      </c>
      <c r="E1869" s="259" t="s">
        <v>7238</v>
      </c>
      <c r="H1869" s="264" t="s">
        <v>7291</v>
      </c>
      <c r="I1869" s="264" t="s">
        <v>7291</v>
      </c>
      <c r="J1869" s="295">
        <v>833.47</v>
      </c>
      <c r="K1869" s="295">
        <v>833.47</v>
      </c>
      <c r="L1869" s="295" t="s">
        <v>7240</v>
      </c>
      <c r="O1869" s="266">
        <v>0</v>
      </c>
      <c r="P1869" s="266">
        <v>688705007236</v>
      </c>
      <c r="Q1869" s="266">
        <v>0</v>
      </c>
      <c r="R1869" s="265">
        <v>0</v>
      </c>
      <c r="S1869" s="265">
        <v>0</v>
      </c>
      <c r="V1869" s="265" t="s">
        <v>3574</v>
      </c>
      <c r="W1869" s="259">
        <v>0</v>
      </c>
      <c r="Y1869" s="259">
        <f t="shared" si="3"/>
        <v>957</v>
      </c>
      <c r="Z1869" s="259" t="s">
        <v>3030</v>
      </c>
      <c r="AA1869" s="259" t="e">
        <v>#N/A</v>
      </c>
      <c r="AB1869" s="259"/>
      <c r="AC1869" s="259"/>
      <c r="AD1869" s="259"/>
      <c r="AE1869" s="259"/>
    </row>
    <row r="1870" spans="1:31">
      <c r="A1870" s="259">
        <v>91610001</v>
      </c>
      <c r="B1870" s="259" t="s">
        <v>116</v>
      </c>
      <c r="C1870" s="264" t="s">
        <v>1949</v>
      </c>
      <c r="D1870" s="264" t="s">
        <v>7292</v>
      </c>
      <c r="E1870" s="259" t="s">
        <v>7238</v>
      </c>
      <c r="H1870" s="264" t="s">
        <v>7292</v>
      </c>
      <c r="I1870" s="264" t="s">
        <v>7292</v>
      </c>
      <c r="J1870" s="295">
        <v>277.82</v>
      </c>
      <c r="K1870" s="295">
        <v>277.82</v>
      </c>
      <c r="L1870" s="295" t="s">
        <v>7240</v>
      </c>
      <c r="O1870" s="266">
        <v>0</v>
      </c>
      <c r="P1870" s="266">
        <v>688705004181</v>
      </c>
      <c r="Q1870" s="266">
        <v>0</v>
      </c>
      <c r="R1870" s="265">
        <v>0</v>
      </c>
      <c r="S1870" s="265">
        <v>0</v>
      </c>
      <c r="V1870" s="265" t="s">
        <v>3028</v>
      </c>
      <c r="W1870" s="259">
        <v>0</v>
      </c>
      <c r="Y1870" s="259">
        <f t="shared" si="3"/>
        <v>958</v>
      </c>
      <c r="AA1870" s="259" t="e">
        <v>#N/A</v>
      </c>
      <c r="AB1870" s="259"/>
      <c r="AC1870" s="259"/>
      <c r="AD1870" s="259"/>
      <c r="AE1870" s="259"/>
    </row>
    <row r="1871" spans="1:31">
      <c r="A1871" s="259" t="s">
        <v>1969</v>
      </c>
      <c r="B1871" s="259" t="s">
        <v>116</v>
      </c>
      <c r="C1871" s="264" t="s">
        <v>1949</v>
      </c>
      <c r="D1871" s="264" t="s">
        <v>7293</v>
      </c>
      <c r="E1871" s="259" t="s">
        <v>7238</v>
      </c>
      <c r="H1871" s="264" t="s">
        <v>7293</v>
      </c>
      <c r="I1871" s="264" t="s">
        <v>7293</v>
      </c>
      <c r="J1871" s="295">
        <v>185.21</v>
      </c>
      <c r="K1871" s="295">
        <v>185.21</v>
      </c>
      <c r="L1871" s="295" t="s">
        <v>7240</v>
      </c>
      <c r="O1871" s="266">
        <v>0</v>
      </c>
      <c r="P1871" s="266">
        <v>688705007151</v>
      </c>
      <c r="Q1871" s="266">
        <v>0</v>
      </c>
      <c r="R1871" s="265">
        <v>0</v>
      </c>
      <c r="S1871" s="265">
        <v>0</v>
      </c>
      <c r="V1871" s="265" t="s">
        <v>3028</v>
      </c>
      <c r="W1871" s="259">
        <v>0</v>
      </c>
      <c r="Y1871" s="259">
        <f t="shared" si="3"/>
        <v>959</v>
      </c>
      <c r="Z1871" s="259" t="s">
        <v>3030</v>
      </c>
      <c r="AA1871" s="259" t="e">
        <v>#N/A</v>
      </c>
      <c r="AB1871" s="259"/>
      <c r="AC1871" s="259"/>
      <c r="AD1871" s="259"/>
      <c r="AE1871" s="259"/>
    </row>
    <row r="1872" spans="1:31">
      <c r="A1872" s="259" t="s">
        <v>1970</v>
      </c>
      <c r="B1872" s="259" t="s">
        <v>116</v>
      </c>
      <c r="C1872" s="264" t="s">
        <v>1949</v>
      </c>
      <c r="D1872" s="264" t="s">
        <v>7294</v>
      </c>
      <c r="E1872" s="259" t="s">
        <v>7238</v>
      </c>
      <c r="H1872" s="264" t="s">
        <v>7294</v>
      </c>
      <c r="I1872" s="264" t="s">
        <v>7294</v>
      </c>
      <c r="J1872" s="295">
        <v>185.21</v>
      </c>
      <c r="K1872" s="295">
        <v>185.21</v>
      </c>
      <c r="L1872" s="295" t="s">
        <v>7240</v>
      </c>
      <c r="O1872" s="266">
        <v>0</v>
      </c>
      <c r="P1872" s="266">
        <v>688705007168</v>
      </c>
      <c r="Q1872" s="266">
        <v>0</v>
      </c>
      <c r="R1872" s="265">
        <v>0</v>
      </c>
      <c r="S1872" s="265">
        <v>0</v>
      </c>
      <c r="V1872" s="265" t="s">
        <v>3028</v>
      </c>
      <c r="W1872" s="259">
        <v>0</v>
      </c>
      <c r="Y1872" s="259">
        <f t="shared" si="3"/>
        <v>960</v>
      </c>
      <c r="Z1872" s="259" t="s">
        <v>3030</v>
      </c>
      <c r="AA1872" s="259" t="e">
        <v>#N/A</v>
      </c>
      <c r="AB1872" s="259"/>
      <c r="AC1872" s="259"/>
      <c r="AD1872" s="259"/>
      <c r="AE1872" s="259"/>
    </row>
    <row r="1873" spans="1:31">
      <c r="A1873" s="259" t="s">
        <v>1971</v>
      </c>
      <c r="B1873" s="259" t="s">
        <v>116</v>
      </c>
      <c r="C1873" s="264" t="s">
        <v>1949</v>
      </c>
      <c r="D1873" s="264" t="s">
        <v>2728</v>
      </c>
      <c r="E1873" s="259" t="s">
        <v>7238</v>
      </c>
      <c r="H1873" s="264" t="s">
        <v>2728</v>
      </c>
      <c r="I1873" s="264" t="s">
        <v>2728</v>
      </c>
      <c r="J1873" s="295">
        <v>123.6</v>
      </c>
      <c r="K1873" s="295">
        <v>123.6</v>
      </c>
      <c r="L1873" s="295" t="s">
        <v>7240</v>
      </c>
      <c r="O1873" s="266">
        <v>0</v>
      </c>
      <c r="P1873" s="266">
        <v>688705008332</v>
      </c>
      <c r="Q1873" s="266">
        <v>0</v>
      </c>
      <c r="R1873" s="265">
        <v>0</v>
      </c>
      <c r="S1873" s="265">
        <v>0</v>
      </c>
      <c r="V1873" s="265" t="s">
        <v>3028</v>
      </c>
      <c r="W1873" s="259">
        <v>0</v>
      </c>
      <c r="Y1873" s="259">
        <f t="shared" si="3"/>
        <v>961</v>
      </c>
      <c r="Z1873" s="259" t="s">
        <v>4042</v>
      </c>
      <c r="AA1873" s="259" t="e">
        <v>#N/A</v>
      </c>
      <c r="AB1873" s="259"/>
      <c r="AC1873" s="259"/>
      <c r="AD1873" s="259"/>
      <c r="AE1873" s="259"/>
    </row>
    <row r="1874" spans="1:31">
      <c r="A1874" s="259">
        <v>91616001</v>
      </c>
      <c r="B1874" s="259" t="s">
        <v>116</v>
      </c>
      <c r="C1874" s="264" t="s">
        <v>1949</v>
      </c>
      <c r="D1874" s="264" t="s">
        <v>7295</v>
      </c>
      <c r="E1874" s="259" t="s">
        <v>7238</v>
      </c>
      <c r="H1874" s="264" t="s">
        <v>7295</v>
      </c>
      <c r="I1874" s="264" t="s">
        <v>7295</v>
      </c>
      <c r="J1874" s="295">
        <v>39.51</v>
      </c>
      <c r="K1874" s="295">
        <v>39.51</v>
      </c>
      <c r="L1874" s="295" t="s">
        <v>7240</v>
      </c>
      <c r="O1874" s="266">
        <v>0</v>
      </c>
      <c r="Q1874" s="266">
        <v>0</v>
      </c>
      <c r="R1874" s="265">
        <v>0</v>
      </c>
      <c r="S1874" s="265">
        <v>0</v>
      </c>
      <c r="V1874" s="265" t="s">
        <v>3028</v>
      </c>
      <c r="W1874" s="259">
        <v>0</v>
      </c>
      <c r="Y1874" s="259">
        <f t="shared" si="3"/>
        <v>962</v>
      </c>
      <c r="AA1874" s="259" t="e">
        <v>#N/A</v>
      </c>
      <c r="AB1874" s="259"/>
      <c r="AC1874" s="259"/>
      <c r="AD1874" s="259"/>
      <c r="AE1874" s="259"/>
    </row>
    <row r="1875" spans="1:31">
      <c r="A1875" s="259">
        <v>91616002</v>
      </c>
      <c r="B1875" s="259" t="s">
        <v>116</v>
      </c>
      <c r="C1875" s="264" t="s">
        <v>1949</v>
      </c>
      <c r="D1875" s="264" t="s">
        <v>7296</v>
      </c>
      <c r="E1875" s="259" t="s">
        <v>7238</v>
      </c>
      <c r="H1875" s="264" t="s">
        <v>7296</v>
      </c>
      <c r="I1875" s="264" t="s">
        <v>7296</v>
      </c>
      <c r="J1875" s="295">
        <v>54.33</v>
      </c>
      <c r="K1875" s="295">
        <v>54.33</v>
      </c>
      <c r="L1875" s="295" t="s">
        <v>7240</v>
      </c>
      <c r="O1875" s="266">
        <v>0</v>
      </c>
      <c r="Q1875" s="266">
        <v>0</v>
      </c>
      <c r="R1875" s="265">
        <v>0</v>
      </c>
      <c r="S1875" s="265">
        <v>0</v>
      </c>
      <c r="V1875" s="265" t="s">
        <v>3028</v>
      </c>
      <c r="W1875" s="259">
        <v>0</v>
      </c>
      <c r="Y1875" s="259">
        <f t="shared" si="3"/>
        <v>963</v>
      </c>
      <c r="AA1875" s="259" t="e">
        <v>#N/A</v>
      </c>
      <c r="AB1875" s="259"/>
      <c r="AC1875" s="259"/>
      <c r="AD1875" s="259"/>
      <c r="AE1875" s="259"/>
    </row>
    <row r="1876" spans="1:31">
      <c r="A1876" s="259">
        <v>91616003</v>
      </c>
      <c r="B1876" s="259" t="s">
        <v>116</v>
      </c>
      <c r="C1876" s="264" t="s">
        <v>1949</v>
      </c>
      <c r="D1876" s="264" t="s">
        <v>7297</v>
      </c>
      <c r="E1876" s="259" t="s">
        <v>7238</v>
      </c>
      <c r="H1876" s="264" t="s">
        <v>7297</v>
      </c>
      <c r="I1876" s="264" t="s">
        <v>7297</v>
      </c>
      <c r="J1876" s="295">
        <v>77.790000000000006</v>
      </c>
      <c r="K1876" s="295">
        <v>77.790000000000006</v>
      </c>
      <c r="L1876" s="295" t="s">
        <v>7240</v>
      </c>
      <c r="O1876" s="266">
        <v>0</v>
      </c>
      <c r="Q1876" s="266">
        <v>0</v>
      </c>
      <c r="R1876" s="265">
        <v>0</v>
      </c>
      <c r="S1876" s="265">
        <v>0</v>
      </c>
      <c r="V1876" s="265" t="s">
        <v>3028</v>
      </c>
      <c r="W1876" s="259">
        <v>0</v>
      </c>
      <c r="Y1876" s="259">
        <f t="shared" si="3"/>
        <v>964</v>
      </c>
      <c r="AA1876" s="259" t="e">
        <v>#N/A</v>
      </c>
      <c r="AB1876" s="259"/>
      <c r="AC1876" s="259"/>
      <c r="AD1876" s="259"/>
      <c r="AE1876" s="259"/>
    </row>
    <row r="1877" spans="1:31">
      <c r="A1877" s="259">
        <v>91616004</v>
      </c>
      <c r="B1877" s="259" t="s">
        <v>116</v>
      </c>
      <c r="C1877" s="264" t="s">
        <v>1949</v>
      </c>
      <c r="D1877" s="264" t="s">
        <v>7298</v>
      </c>
      <c r="E1877" s="259" t="s">
        <v>7238</v>
      </c>
      <c r="H1877" s="264" t="s">
        <v>7298</v>
      </c>
      <c r="I1877" s="264" t="s">
        <v>7298</v>
      </c>
      <c r="J1877" s="295">
        <v>124.71</v>
      </c>
      <c r="K1877" s="295">
        <v>124.71</v>
      </c>
      <c r="L1877" s="295" t="s">
        <v>7240</v>
      </c>
      <c r="O1877" s="266">
        <v>0</v>
      </c>
      <c r="Q1877" s="266">
        <v>0</v>
      </c>
      <c r="R1877" s="265">
        <v>0</v>
      </c>
      <c r="S1877" s="265">
        <v>0</v>
      </c>
      <c r="V1877" s="265" t="s">
        <v>3028</v>
      </c>
      <c r="W1877" s="259">
        <v>0</v>
      </c>
      <c r="Y1877" s="259">
        <f t="shared" si="3"/>
        <v>965</v>
      </c>
      <c r="AA1877" s="259" t="e">
        <v>#N/A</v>
      </c>
      <c r="AB1877" s="259"/>
      <c r="AC1877" s="259"/>
      <c r="AD1877" s="259"/>
      <c r="AE1877" s="259"/>
    </row>
    <row r="1878" spans="1:31">
      <c r="A1878" s="259">
        <v>91616005</v>
      </c>
      <c r="B1878" s="259" t="s">
        <v>116</v>
      </c>
      <c r="C1878" s="264" t="s">
        <v>1949</v>
      </c>
      <c r="D1878" s="264" t="s">
        <v>7299</v>
      </c>
      <c r="E1878" s="259" t="s">
        <v>7238</v>
      </c>
      <c r="H1878" s="264" t="s">
        <v>7299</v>
      </c>
      <c r="I1878" s="264" t="s">
        <v>7299</v>
      </c>
      <c r="J1878" s="295">
        <v>265.47000000000003</v>
      </c>
      <c r="K1878" s="295">
        <v>265.47000000000003</v>
      </c>
      <c r="L1878" s="295" t="s">
        <v>7240</v>
      </c>
      <c r="O1878" s="266">
        <v>0</v>
      </c>
      <c r="Q1878" s="266">
        <v>0</v>
      </c>
      <c r="R1878" s="265">
        <v>0</v>
      </c>
      <c r="S1878" s="265">
        <v>0</v>
      </c>
      <c r="V1878" s="265" t="s">
        <v>3028</v>
      </c>
      <c r="W1878" s="259">
        <v>0</v>
      </c>
      <c r="Y1878" s="259">
        <f t="shared" si="3"/>
        <v>966</v>
      </c>
      <c r="AA1878" s="259" t="e">
        <v>#N/A</v>
      </c>
      <c r="AB1878" s="259"/>
      <c r="AC1878" s="259"/>
      <c r="AD1878" s="259"/>
      <c r="AE1878" s="259"/>
    </row>
    <row r="1879" spans="1:31">
      <c r="A1879" s="259">
        <v>91616006</v>
      </c>
      <c r="B1879" s="259" t="s">
        <v>116</v>
      </c>
      <c r="C1879" s="264" t="s">
        <v>1949</v>
      </c>
      <c r="D1879" s="264" t="s">
        <v>7300</v>
      </c>
      <c r="E1879" s="259" t="s">
        <v>7238</v>
      </c>
      <c r="H1879" s="264" t="s">
        <v>7300</v>
      </c>
      <c r="I1879" s="264" t="s">
        <v>7300</v>
      </c>
      <c r="J1879" s="295">
        <v>942.12</v>
      </c>
      <c r="K1879" s="295">
        <v>942.12</v>
      </c>
      <c r="L1879" s="295" t="s">
        <v>7240</v>
      </c>
      <c r="O1879" s="266">
        <v>0</v>
      </c>
      <c r="Q1879" s="266">
        <v>0</v>
      </c>
      <c r="R1879" s="265">
        <v>0</v>
      </c>
      <c r="S1879" s="265">
        <v>0</v>
      </c>
      <c r="V1879" s="265" t="s">
        <v>3028</v>
      </c>
      <c r="W1879" s="259">
        <v>0</v>
      </c>
      <c r="Y1879" s="259">
        <f t="shared" si="3"/>
        <v>967</v>
      </c>
      <c r="AA1879" s="259" t="e">
        <v>#N/A</v>
      </c>
      <c r="AB1879" s="259"/>
      <c r="AC1879" s="259"/>
      <c r="AD1879" s="259"/>
      <c r="AE1879" s="259"/>
    </row>
    <row r="1880" spans="1:31">
      <c r="A1880" s="259">
        <v>91611701</v>
      </c>
      <c r="B1880" s="259" t="s">
        <v>116</v>
      </c>
      <c r="C1880" s="264" t="s">
        <v>1949</v>
      </c>
      <c r="D1880" s="264" t="s">
        <v>7301</v>
      </c>
      <c r="E1880" s="259" t="s">
        <v>7238</v>
      </c>
      <c r="H1880" s="264" t="s">
        <v>7301</v>
      </c>
      <c r="I1880" s="264" t="s">
        <v>7301</v>
      </c>
      <c r="J1880" s="295">
        <v>16.05</v>
      </c>
      <c r="K1880" s="295">
        <v>16.05</v>
      </c>
      <c r="L1880" s="295" t="s">
        <v>7240</v>
      </c>
      <c r="O1880" s="266">
        <v>0</v>
      </c>
      <c r="Q1880" s="266">
        <v>0</v>
      </c>
      <c r="R1880" s="265">
        <v>0</v>
      </c>
      <c r="S1880" s="265">
        <v>0</v>
      </c>
      <c r="V1880" s="265" t="s">
        <v>3028</v>
      </c>
      <c r="W1880" s="259" t="s">
        <v>3029</v>
      </c>
      <c r="Y1880" s="259">
        <f t="shared" si="3"/>
        <v>968</v>
      </c>
      <c r="AA1880" s="259" t="e">
        <v>#N/A</v>
      </c>
      <c r="AB1880" s="259"/>
      <c r="AC1880" s="259"/>
      <c r="AD1880" s="259"/>
      <c r="AE1880" s="259"/>
    </row>
    <row r="1881" spans="1:31">
      <c r="A1881" s="259">
        <v>91611702</v>
      </c>
      <c r="B1881" s="259" t="s">
        <v>116</v>
      </c>
      <c r="C1881" s="264" t="s">
        <v>1949</v>
      </c>
      <c r="D1881" s="264" t="s">
        <v>7302</v>
      </c>
      <c r="E1881" s="259" t="s">
        <v>7238</v>
      </c>
      <c r="H1881" s="264" t="s">
        <v>7302</v>
      </c>
      <c r="I1881" s="264" t="s">
        <v>7302</v>
      </c>
      <c r="J1881" s="295">
        <v>16.05</v>
      </c>
      <c r="K1881" s="295">
        <v>16.05</v>
      </c>
      <c r="L1881" s="295" t="s">
        <v>7240</v>
      </c>
      <c r="O1881" s="266">
        <v>0</v>
      </c>
      <c r="Q1881" s="266">
        <v>0</v>
      </c>
      <c r="R1881" s="265">
        <v>0</v>
      </c>
      <c r="S1881" s="265">
        <v>0</v>
      </c>
      <c r="V1881" s="265" t="s">
        <v>3028</v>
      </c>
      <c r="W1881" s="259" t="s">
        <v>3029</v>
      </c>
      <c r="Y1881" s="259">
        <f t="shared" si="3"/>
        <v>969</v>
      </c>
      <c r="AA1881" s="259" t="e">
        <v>#N/A</v>
      </c>
      <c r="AB1881" s="259"/>
      <c r="AC1881" s="259"/>
      <c r="AD1881" s="259"/>
      <c r="AE1881" s="259"/>
    </row>
    <row r="1882" spans="1:31">
      <c r="A1882" s="259" t="s">
        <v>1972</v>
      </c>
      <c r="B1882" s="259" t="s">
        <v>116</v>
      </c>
      <c r="C1882" s="264"/>
      <c r="D1882" s="264"/>
      <c r="H1882" s="264"/>
      <c r="I1882" s="264"/>
      <c r="J1882" s="295">
        <v>0</v>
      </c>
      <c r="K1882" s="295">
        <v>0</v>
      </c>
      <c r="L1882" s="295">
        <v>0</v>
      </c>
      <c r="O1882" s="266"/>
      <c r="R1882" s="265"/>
      <c r="V1882" s="265">
        <v>0</v>
      </c>
      <c r="Y1882" s="259">
        <f t="shared" si="3"/>
        <v>970</v>
      </c>
      <c r="AA1882" s="259" t="e">
        <v>#N/A</v>
      </c>
      <c r="AB1882" s="259"/>
      <c r="AC1882" s="259"/>
      <c r="AD1882" s="259"/>
      <c r="AE1882" s="259"/>
    </row>
    <row r="1883" spans="1:31">
      <c r="A1883" s="259">
        <v>91616025</v>
      </c>
      <c r="B1883" s="259" t="s">
        <v>116</v>
      </c>
      <c r="C1883" s="264" t="s">
        <v>1949</v>
      </c>
      <c r="D1883" s="264" t="s">
        <v>7303</v>
      </c>
      <c r="E1883" s="259" t="s">
        <v>7238</v>
      </c>
      <c r="G1883" s="259" t="s">
        <v>7304</v>
      </c>
      <c r="H1883" s="264" t="s">
        <v>7303</v>
      </c>
      <c r="I1883" s="264" t="s">
        <v>7303</v>
      </c>
      <c r="J1883" s="295">
        <v>14.82</v>
      </c>
      <c r="K1883" s="295">
        <v>14.82</v>
      </c>
      <c r="L1883" s="295" t="s">
        <v>7240</v>
      </c>
      <c r="O1883" s="266">
        <v>0</v>
      </c>
      <c r="Q1883" s="266">
        <v>0</v>
      </c>
      <c r="R1883" s="265">
        <v>0</v>
      </c>
      <c r="V1883" s="265" t="s">
        <v>3028</v>
      </c>
      <c r="W1883" s="259" t="s">
        <v>3029</v>
      </c>
      <c r="Y1883" s="259">
        <f t="shared" si="3"/>
        <v>971</v>
      </c>
      <c r="AA1883" s="259" t="e">
        <v>#N/A</v>
      </c>
      <c r="AB1883" s="259"/>
      <c r="AC1883" s="259"/>
      <c r="AD1883" s="259"/>
      <c r="AE1883" s="259"/>
    </row>
    <row r="1884" spans="1:31">
      <c r="A1884" s="259">
        <v>91616026</v>
      </c>
      <c r="B1884" s="259" t="s">
        <v>116</v>
      </c>
      <c r="C1884" s="264" t="s">
        <v>1949</v>
      </c>
      <c r="D1884" s="264" t="s">
        <v>7305</v>
      </c>
      <c r="E1884" s="259" t="s">
        <v>7238</v>
      </c>
      <c r="G1884" s="259" t="s">
        <v>7304</v>
      </c>
      <c r="H1884" s="264" t="s">
        <v>7305</v>
      </c>
      <c r="I1884" s="264" t="s">
        <v>7305</v>
      </c>
      <c r="J1884" s="295">
        <v>16.05</v>
      </c>
      <c r="K1884" s="295">
        <v>16.05</v>
      </c>
      <c r="L1884" s="295" t="s">
        <v>7240</v>
      </c>
      <c r="O1884" s="266">
        <v>0</v>
      </c>
      <c r="Q1884" s="266">
        <v>0</v>
      </c>
      <c r="R1884" s="265">
        <v>0</v>
      </c>
      <c r="V1884" s="265" t="s">
        <v>3028</v>
      </c>
      <c r="W1884" s="259" t="s">
        <v>3029</v>
      </c>
      <c r="Y1884" s="259">
        <f t="shared" si="3"/>
        <v>972</v>
      </c>
      <c r="AA1884" s="259" t="e">
        <v>#N/A</v>
      </c>
      <c r="AB1884" s="259"/>
      <c r="AC1884" s="259"/>
      <c r="AD1884" s="259"/>
      <c r="AE1884" s="259"/>
    </row>
    <row r="1885" spans="1:31">
      <c r="A1885" s="259">
        <v>91616027</v>
      </c>
      <c r="B1885" s="259" t="s">
        <v>116</v>
      </c>
      <c r="C1885" s="264" t="s">
        <v>1949</v>
      </c>
      <c r="D1885" s="264" t="s">
        <v>7306</v>
      </c>
      <c r="E1885" s="259" t="s">
        <v>7238</v>
      </c>
      <c r="G1885" s="259" t="s">
        <v>7304</v>
      </c>
      <c r="H1885" s="264" t="s">
        <v>7306</v>
      </c>
      <c r="I1885" s="264" t="s">
        <v>7306</v>
      </c>
      <c r="J1885" s="295">
        <v>17.29</v>
      </c>
      <c r="K1885" s="295">
        <v>17.29</v>
      </c>
      <c r="L1885" s="295" t="s">
        <v>7240</v>
      </c>
      <c r="O1885" s="266">
        <v>0</v>
      </c>
      <c r="Q1885" s="266">
        <v>0</v>
      </c>
      <c r="R1885" s="265">
        <v>0</v>
      </c>
      <c r="V1885" s="265" t="s">
        <v>3028</v>
      </c>
      <c r="W1885" s="259">
        <v>0</v>
      </c>
      <c r="Y1885" s="259">
        <f t="shared" si="3"/>
        <v>973</v>
      </c>
      <c r="AA1885" s="259" t="e">
        <v>#N/A</v>
      </c>
      <c r="AB1885" s="259"/>
      <c r="AC1885" s="259"/>
      <c r="AD1885" s="259"/>
      <c r="AE1885" s="259"/>
    </row>
    <row r="1886" spans="1:31">
      <c r="A1886" s="259">
        <v>91616028</v>
      </c>
      <c r="B1886" s="259" t="s">
        <v>116</v>
      </c>
      <c r="C1886" s="264" t="s">
        <v>1949</v>
      </c>
      <c r="D1886" s="264" t="s">
        <v>7307</v>
      </c>
      <c r="E1886" s="259" t="s">
        <v>7238</v>
      </c>
      <c r="G1886" s="259" t="s">
        <v>7304</v>
      </c>
      <c r="H1886" s="264" t="s">
        <v>7307</v>
      </c>
      <c r="I1886" s="264" t="s">
        <v>7307</v>
      </c>
      <c r="J1886" s="295">
        <v>18.52</v>
      </c>
      <c r="K1886" s="295">
        <v>18.52</v>
      </c>
      <c r="L1886" s="295" t="s">
        <v>7240</v>
      </c>
      <c r="O1886" s="266">
        <v>0</v>
      </c>
      <c r="Q1886" s="266">
        <v>0</v>
      </c>
      <c r="R1886" s="265">
        <v>0</v>
      </c>
      <c r="V1886" s="265" t="s">
        <v>3028</v>
      </c>
      <c r="W1886" s="259" t="s">
        <v>3029</v>
      </c>
      <c r="Y1886" s="259">
        <f t="shared" si="3"/>
        <v>974</v>
      </c>
      <c r="AA1886" s="259" t="e">
        <v>#N/A</v>
      </c>
      <c r="AB1886" s="259"/>
      <c r="AC1886" s="259"/>
      <c r="AD1886" s="259"/>
      <c r="AE1886" s="259"/>
    </row>
    <row r="1887" spans="1:31">
      <c r="A1887" s="259">
        <v>91616029</v>
      </c>
      <c r="B1887" s="259" t="s">
        <v>116</v>
      </c>
      <c r="C1887" s="264" t="s">
        <v>1949</v>
      </c>
      <c r="D1887" s="264" t="s">
        <v>7308</v>
      </c>
      <c r="E1887" s="259" t="s">
        <v>7238</v>
      </c>
      <c r="G1887" s="259" t="s">
        <v>7304</v>
      </c>
      <c r="H1887" s="264" t="s">
        <v>7308</v>
      </c>
      <c r="I1887" s="264" t="s">
        <v>7308</v>
      </c>
      <c r="J1887" s="295">
        <v>20.99</v>
      </c>
      <c r="K1887" s="295">
        <v>20.99</v>
      </c>
      <c r="L1887" s="295" t="s">
        <v>7240</v>
      </c>
      <c r="O1887" s="266">
        <v>0</v>
      </c>
      <c r="Q1887" s="266">
        <v>0</v>
      </c>
      <c r="R1887" s="265">
        <v>0</v>
      </c>
      <c r="V1887" s="265" t="s">
        <v>3028</v>
      </c>
      <c r="W1887" s="259" t="s">
        <v>3029</v>
      </c>
      <c r="Y1887" s="259">
        <f t="shared" si="3"/>
        <v>975</v>
      </c>
      <c r="AA1887" s="259" t="e">
        <v>#N/A</v>
      </c>
      <c r="AB1887" s="259"/>
      <c r="AC1887" s="259"/>
      <c r="AD1887" s="259"/>
      <c r="AE1887" s="259"/>
    </row>
    <row r="1888" spans="1:31">
      <c r="A1888" s="259" t="s">
        <v>1973</v>
      </c>
      <c r="B1888" s="259" t="s">
        <v>116</v>
      </c>
      <c r="C1888" s="264"/>
      <c r="D1888" s="264"/>
      <c r="H1888" s="264"/>
      <c r="I1888" s="264"/>
      <c r="J1888" s="295">
        <v>0</v>
      </c>
      <c r="K1888" s="295">
        <v>0</v>
      </c>
      <c r="L1888" s="295">
        <v>0</v>
      </c>
      <c r="O1888" s="266"/>
      <c r="R1888" s="265"/>
      <c r="V1888" s="265">
        <v>0</v>
      </c>
      <c r="Y1888" s="259">
        <f t="shared" si="3"/>
        <v>976</v>
      </c>
      <c r="AA1888" s="259" t="e">
        <v>#N/A</v>
      </c>
      <c r="AB1888" s="259"/>
      <c r="AC1888" s="259"/>
      <c r="AD1888" s="259"/>
      <c r="AE1888" s="259"/>
    </row>
    <row r="1889" spans="1:31">
      <c r="A1889" s="259">
        <v>91616030</v>
      </c>
      <c r="B1889" s="259" t="s">
        <v>116</v>
      </c>
      <c r="C1889" s="264" t="s">
        <v>1949</v>
      </c>
      <c r="D1889" s="264" t="s">
        <v>7309</v>
      </c>
      <c r="E1889" s="259" t="s">
        <v>7238</v>
      </c>
      <c r="G1889" s="259" t="s">
        <v>7304</v>
      </c>
      <c r="H1889" s="264" t="s">
        <v>7309</v>
      </c>
      <c r="I1889" s="264" t="s">
        <v>7309</v>
      </c>
      <c r="J1889" s="295">
        <v>54.33</v>
      </c>
      <c r="K1889" s="295">
        <v>54.33</v>
      </c>
      <c r="L1889" s="295" t="s">
        <v>7240</v>
      </c>
      <c r="O1889" s="266">
        <v>0</v>
      </c>
      <c r="Q1889" s="266">
        <v>0</v>
      </c>
      <c r="R1889" s="265">
        <v>0</v>
      </c>
      <c r="V1889" s="265" t="s">
        <v>3028</v>
      </c>
      <c r="W1889" s="259" t="s">
        <v>3029</v>
      </c>
      <c r="Y1889" s="259">
        <f t="shared" si="3"/>
        <v>977</v>
      </c>
      <c r="AA1889" s="259" t="e">
        <v>#N/A</v>
      </c>
      <c r="AB1889" s="259"/>
      <c r="AC1889" s="259"/>
      <c r="AD1889" s="259"/>
      <c r="AE1889" s="259"/>
    </row>
    <row r="1890" spans="1:31">
      <c r="A1890" s="259">
        <v>91616031</v>
      </c>
      <c r="B1890" s="259" t="s">
        <v>116</v>
      </c>
      <c r="C1890" s="264" t="s">
        <v>1949</v>
      </c>
      <c r="D1890" s="264" t="s">
        <v>7310</v>
      </c>
      <c r="E1890" s="259" t="s">
        <v>7238</v>
      </c>
      <c r="G1890" s="259" t="s">
        <v>7304</v>
      </c>
      <c r="H1890" s="264" t="s">
        <v>7310</v>
      </c>
      <c r="I1890" s="264" t="s">
        <v>7310</v>
      </c>
      <c r="J1890" s="295">
        <v>62.97</v>
      </c>
      <c r="K1890" s="295">
        <v>62.97</v>
      </c>
      <c r="L1890" s="295" t="s">
        <v>7240</v>
      </c>
      <c r="O1890" s="266">
        <v>0</v>
      </c>
      <c r="Q1890" s="266">
        <v>0</v>
      </c>
      <c r="R1890" s="265">
        <v>0</v>
      </c>
      <c r="V1890" s="265" t="s">
        <v>3028</v>
      </c>
      <c r="W1890" s="259" t="s">
        <v>3029</v>
      </c>
      <c r="Y1890" s="259">
        <f t="shared" si="3"/>
        <v>978</v>
      </c>
      <c r="AA1890" s="259" t="e">
        <v>#N/A</v>
      </c>
      <c r="AB1890" s="259"/>
      <c r="AC1890" s="259"/>
      <c r="AD1890" s="259"/>
      <c r="AE1890" s="259"/>
    </row>
    <row r="1891" spans="1:31">
      <c r="A1891" s="259">
        <v>91616032</v>
      </c>
      <c r="B1891" s="259" t="s">
        <v>116</v>
      </c>
      <c r="C1891" s="264" t="s">
        <v>1949</v>
      </c>
      <c r="D1891" s="264" t="s">
        <v>7311</v>
      </c>
      <c r="E1891" s="259" t="s">
        <v>7238</v>
      </c>
      <c r="G1891" s="259" t="s">
        <v>7304</v>
      </c>
      <c r="H1891" s="264" t="s">
        <v>7311</v>
      </c>
      <c r="I1891" s="264" t="s">
        <v>7311</v>
      </c>
      <c r="J1891" s="295">
        <v>76.56</v>
      </c>
      <c r="K1891" s="295">
        <v>76.56</v>
      </c>
      <c r="L1891" s="295" t="s">
        <v>7240</v>
      </c>
      <c r="O1891" s="266">
        <v>0</v>
      </c>
      <c r="Q1891" s="266">
        <v>0</v>
      </c>
      <c r="R1891" s="265">
        <v>0</v>
      </c>
      <c r="V1891" s="265" t="s">
        <v>3028</v>
      </c>
      <c r="W1891" s="259" t="s">
        <v>3029</v>
      </c>
      <c r="Y1891" s="259">
        <f t="shared" si="3"/>
        <v>979</v>
      </c>
      <c r="AA1891" s="259" t="e">
        <v>#N/A</v>
      </c>
      <c r="AB1891" s="259"/>
      <c r="AC1891" s="259"/>
      <c r="AD1891" s="259"/>
      <c r="AE1891" s="259"/>
    </row>
    <row r="1892" spans="1:31">
      <c r="A1892" s="259">
        <v>91616033</v>
      </c>
      <c r="B1892" s="259" t="s">
        <v>116</v>
      </c>
      <c r="C1892" s="264" t="s">
        <v>1949</v>
      </c>
      <c r="D1892" s="264" t="s">
        <v>7312</v>
      </c>
      <c r="E1892" s="259" t="s">
        <v>7238</v>
      </c>
      <c r="G1892" s="259" t="s">
        <v>7304</v>
      </c>
      <c r="H1892" s="264" t="s">
        <v>7312</v>
      </c>
      <c r="I1892" s="264" t="s">
        <v>7312</v>
      </c>
      <c r="J1892" s="295">
        <v>106.19</v>
      </c>
      <c r="K1892" s="295">
        <v>106.19</v>
      </c>
      <c r="L1892" s="295" t="s">
        <v>7240</v>
      </c>
      <c r="O1892" s="266">
        <v>0</v>
      </c>
      <c r="Q1892" s="266">
        <v>0</v>
      </c>
      <c r="R1892" s="265">
        <v>0</v>
      </c>
      <c r="V1892" s="265" t="s">
        <v>3028</v>
      </c>
      <c r="W1892" s="259" t="s">
        <v>3029</v>
      </c>
      <c r="Y1892" s="259">
        <f t="shared" si="3"/>
        <v>980</v>
      </c>
      <c r="AA1892" s="259" t="e">
        <v>#N/A</v>
      </c>
      <c r="AB1892" s="259"/>
      <c r="AC1892" s="259"/>
      <c r="AD1892" s="259"/>
      <c r="AE1892" s="259"/>
    </row>
    <row r="1893" spans="1:31">
      <c r="A1893" s="259">
        <v>91616034</v>
      </c>
      <c r="B1893" s="259" t="s">
        <v>116</v>
      </c>
      <c r="C1893" s="264" t="s">
        <v>1949</v>
      </c>
      <c r="D1893" s="264" t="s">
        <v>7313</v>
      </c>
      <c r="E1893" s="259" t="s">
        <v>7238</v>
      </c>
      <c r="G1893" s="259" t="s">
        <v>7304</v>
      </c>
      <c r="H1893" s="264" t="s">
        <v>7313</v>
      </c>
      <c r="I1893" s="264" t="s">
        <v>7313</v>
      </c>
      <c r="J1893" s="295">
        <v>208.68</v>
      </c>
      <c r="K1893" s="295">
        <v>208.68</v>
      </c>
      <c r="L1893" s="295" t="s">
        <v>7240</v>
      </c>
      <c r="O1893" s="266">
        <v>0</v>
      </c>
      <c r="Q1893" s="266">
        <v>0</v>
      </c>
      <c r="R1893" s="265">
        <v>0</v>
      </c>
      <c r="V1893" s="265" t="s">
        <v>3028</v>
      </c>
      <c r="W1893" s="259" t="s">
        <v>3029</v>
      </c>
      <c r="Y1893" s="259">
        <f t="shared" si="3"/>
        <v>981</v>
      </c>
      <c r="AA1893" s="259" t="e">
        <v>#N/A</v>
      </c>
      <c r="AB1893" s="259"/>
      <c r="AC1893" s="259"/>
      <c r="AD1893" s="259"/>
      <c r="AE1893" s="259"/>
    </row>
    <row r="1894" spans="1:31">
      <c r="A1894" s="259" t="s">
        <v>1974</v>
      </c>
      <c r="B1894" s="259" t="s">
        <v>116</v>
      </c>
      <c r="C1894" s="264"/>
      <c r="D1894" s="264"/>
      <c r="H1894" s="264"/>
      <c r="I1894" s="264"/>
      <c r="J1894" s="295">
        <v>0</v>
      </c>
      <c r="K1894" s="295">
        <v>0</v>
      </c>
      <c r="L1894" s="295">
        <v>0</v>
      </c>
      <c r="O1894" s="266"/>
      <c r="R1894" s="265"/>
      <c r="V1894" s="265">
        <v>0</v>
      </c>
      <c r="Y1894" s="259">
        <f t="shared" si="3"/>
        <v>982</v>
      </c>
      <c r="AA1894" s="259" t="e">
        <v>#N/A</v>
      </c>
      <c r="AB1894" s="259"/>
      <c r="AC1894" s="259"/>
      <c r="AD1894" s="259"/>
      <c r="AE1894" s="259"/>
    </row>
    <row r="1895" spans="1:31">
      <c r="A1895" s="259">
        <v>91616041</v>
      </c>
      <c r="B1895" s="259" t="s">
        <v>116</v>
      </c>
      <c r="C1895" s="264" t="s">
        <v>1949</v>
      </c>
      <c r="D1895" s="264" t="s">
        <v>7314</v>
      </c>
      <c r="E1895" s="259" t="s">
        <v>7238</v>
      </c>
      <c r="H1895" s="264" t="s">
        <v>7314</v>
      </c>
      <c r="I1895" s="264" t="s">
        <v>7314</v>
      </c>
      <c r="J1895" s="295">
        <v>38.28</v>
      </c>
      <c r="K1895" s="295">
        <v>38.28</v>
      </c>
      <c r="L1895" s="295" t="s">
        <v>7240</v>
      </c>
      <c r="O1895" s="266">
        <v>0</v>
      </c>
      <c r="Q1895" s="266">
        <v>0</v>
      </c>
      <c r="R1895" s="265">
        <v>0</v>
      </c>
      <c r="V1895" s="265" t="s">
        <v>3247</v>
      </c>
      <c r="W1895" s="259">
        <v>0</v>
      </c>
      <c r="Y1895" s="259">
        <f t="shared" si="3"/>
        <v>983</v>
      </c>
      <c r="AA1895" s="259" t="e">
        <v>#N/A</v>
      </c>
      <c r="AB1895" s="259"/>
      <c r="AC1895" s="259"/>
      <c r="AD1895" s="259"/>
      <c r="AE1895" s="259"/>
    </row>
    <row r="1896" spans="1:31">
      <c r="A1896" s="259">
        <v>91616024</v>
      </c>
      <c r="B1896" s="259" t="s">
        <v>116</v>
      </c>
      <c r="C1896" s="264" t="s">
        <v>1949</v>
      </c>
      <c r="D1896" s="264" t="s">
        <v>7315</v>
      </c>
      <c r="E1896" s="259" t="s">
        <v>7238</v>
      </c>
      <c r="H1896" s="264" t="s">
        <v>7315</v>
      </c>
      <c r="I1896" s="264" t="s">
        <v>7315</v>
      </c>
      <c r="J1896" s="295">
        <v>51.86</v>
      </c>
      <c r="K1896" s="295">
        <v>51.86</v>
      </c>
      <c r="L1896" s="295" t="s">
        <v>7240</v>
      </c>
      <c r="O1896" s="266">
        <v>0</v>
      </c>
      <c r="Q1896" s="266">
        <v>0</v>
      </c>
      <c r="R1896" s="265">
        <v>0</v>
      </c>
      <c r="V1896" s="265" t="s">
        <v>3247</v>
      </c>
      <c r="W1896" s="259">
        <v>0</v>
      </c>
      <c r="Y1896" s="259">
        <f t="shared" si="3"/>
        <v>984</v>
      </c>
      <c r="AA1896" s="259" t="e">
        <v>#N/A</v>
      </c>
      <c r="AB1896" s="259"/>
      <c r="AC1896" s="259"/>
      <c r="AD1896" s="259"/>
      <c r="AE1896" s="259"/>
    </row>
    <row r="1897" spans="1:31">
      <c r="A1897" s="259">
        <v>91616042</v>
      </c>
      <c r="B1897" s="259" t="s">
        <v>116</v>
      </c>
      <c r="C1897" s="264" t="s">
        <v>1949</v>
      </c>
      <c r="D1897" s="264" t="s">
        <v>7316</v>
      </c>
      <c r="E1897" s="259" t="s">
        <v>7238</v>
      </c>
      <c r="H1897" s="264" t="s">
        <v>7316</v>
      </c>
      <c r="I1897" s="264" t="s">
        <v>7316</v>
      </c>
      <c r="J1897" s="295">
        <v>71.62</v>
      </c>
      <c r="K1897" s="295">
        <v>71.62</v>
      </c>
      <c r="L1897" s="295" t="s">
        <v>7240</v>
      </c>
      <c r="O1897" s="266">
        <v>0</v>
      </c>
      <c r="Q1897" s="266">
        <v>0</v>
      </c>
      <c r="R1897" s="265">
        <v>0</v>
      </c>
      <c r="V1897" s="265" t="s">
        <v>3247</v>
      </c>
      <c r="W1897" s="259">
        <v>0</v>
      </c>
      <c r="Y1897" s="259">
        <f t="shared" si="3"/>
        <v>985</v>
      </c>
      <c r="AA1897" s="259" t="e">
        <v>#N/A</v>
      </c>
      <c r="AB1897" s="259"/>
      <c r="AC1897" s="259"/>
      <c r="AD1897" s="259"/>
      <c r="AE1897" s="259"/>
    </row>
    <row r="1898" spans="1:31">
      <c r="A1898" s="259">
        <v>91616043</v>
      </c>
      <c r="B1898" s="259" t="s">
        <v>116</v>
      </c>
      <c r="C1898" s="264" t="s">
        <v>1949</v>
      </c>
      <c r="D1898" s="264" t="s">
        <v>7317</v>
      </c>
      <c r="E1898" s="259" t="s">
        <v>7238</v>
      </c>
      <c r="H1898" s="264" t="s">
        <v>7317</v>
      </c>
      <c r="I1898" s="264" t="s">
        <v>7317</v>
      </c>
      <c r="J1898" s="295">
        <v>107.42</v>
      </c>
      <c r="K1898" s="295">
        <v>107.42</v>
      </c>
      <c r="L1898" s="295" t="s">
        <v>7240</v>
      </c>
      <c r="O1898" s="266">
        <v>0</v>
      </c>
      <c r="Q1898" s="266">
        <v>0</v>
      </c>
      <c r="R1898" s="265">
        <v>0</v>
      </c>
      <c r="V1898" s="265" t="s">
        <v>3028</v>
      </c>
      <c r="W1898" s="259">
        <v>0</v>
      </c>
      <c r="Y1898" s="259">
        <f t="shared" si="3"/>
        <v>986</v>
      </c>
      <c r="AA1898" s="259" t="e">
        <v>#N/A</v>
      </c>
      <c r="AB1898" s="259"/>
      <c r="AC1898" s="259"/>
      <c r="AD1898" s="259"/>
      <c r="AE1898" s="259"/>
    </row>
    <row r="1899" spans="1:31">
      <c r="A1899" s="259">
        <v>91616044</v>
      </c>
      <c r="B1899" s="259" t="s">
        <v>116</v>
      </c>
      <c r="C1899" s="264" t="s">
        <v>1949</v>
      </c>
      <c r="D1899" s="264" t="s">
        <v>7318</v>
      </c>
      <c r="E1899" s="259" t="s">
        <v>7238</v>
      </c>
      <c r="H1899" s="264" t="s">
        <v>7318</v>
      </c>
      <c r="I1899" s="264" t="s">
        <v>7318</v>
      </c>
      <c r="J1899" s="295">
        <v>225.96</v>
      </c>
      <c r="K1899" s="295">
        <v>225.96</v>
      </c>
      <c r="L1899" s="295" t="s">
        <v>7240</v>
      </c>
      <c r="O1899" s="266">
        <v>0</v>
      </c>
      <c r="Q1899" s="266">
        <v>0</v>
      </c>
      <c r="R1899" s="265">
        <v>0</v>
      </c>
      <c r="V1899" s="265" t="s">
        <v>3028</v>
      </c>
      <c r="W1899" s="259">
        <v>0</v>
      </c>
      <c r="Y1899" s="259">
        <f t="shared" si="3"/>
        <v>987</v>
      </c>
      <c r="AA1899" s="259" t="e">
        <v>#N/A</v>
      </c>
      <c r="AB1899" s="259"/>
      <c r="AC1899" s="259"/>
      <c r="AD1899" s="259"/>
      <c r="AE1899" s="259"/>
    </row>
    <row r="1900" spans="1:31">
      <c r="A1900" s="259">
        <v>91616045</v>
      </c>
      <c r="B1900" s="259" t="s">
        <v>116</v>
      </c>
      <c r="C1900" s="264" t="s">
        <v>1949</v>
      </c>
      <c r="D1900" s="264" t="s">
        <v>7319</v>
      </c>
      <c r="E1900" s="259" t="s">
        <v>7238</v>
      </c>
      <c r="H1900" s="264" t="s">
        <v>7319</v>
      </c>
      <c r="I1900" s="264" t="s">
        <v>7319</v>
      </c>
      <c r="J1900" s="295">
        <v>869.27</v>
      </c>
      <c r="K1900" s="295">
        <v>869.27</v>
      </c>
      <c r="L1900" s="295" t="s">
        <v>7240</v>
      </c>
      <c r="O1900" s="266">
        <v>0</v>
      </c>
      <c r="Q1900" s="266">
        <v>0</v>
      </c>
      <c r="R1900" s="265">
        <v>0</v>
      </c>
      <c r="V1900" s="265" t="s">
        <v>3247</v>
      </c>
      <c r="W1900" s="259">
        <v>0</v>
      </c>
      <c r="Y1900" s="259">
        <f t="shared" si="3"/>
        <v>988</v>
      </c>
      <c r="AA1900" s="259" t="e">
        <v>#N/A</v>
      </c>
      <c r="AB1900" s="259"/>
      <c r="AC1900" s="259"/>
      <c r="AD1900" s="259"/>
      <c r="AE1900" s="259"/>
    </row>
    <row r="1901" spans="1:31">
      <c r="A1901" s="259" t="s">
        <v>1975</v>
      </c>
      <c r="B1901" s="259" t="s">
        <v>116</v>
      </c>
      <c r="C1901" s="264"/>
      <c r="D1901" s="264"/>
      <c r="H1901" s="264"/>
      <c r="I1901" s="264"/>
      <c r="J1901" s="295">
        <v>0</v>
      </c>
      <c r="K1901" s="295">
        <v>0</v>
      </c>
      <c r="L1901" s="295">
        <v>0</v>
      </c>
      <c r="O1901" s="266"/>
      <c r="R1901" s="265"/>
      <c r="V1901" s="265">
        <v>0</v>
      </c>
      <c r="Y1901" s="259">
        <f t="shared" si="3"/>
        <v>989</v>
      </c>
      <c r="AA1901" s="259" t="e">
        <v>#N/A</v>
      </c>
      <c r="AB1901" s="259"/>
      <c r="AC1901" s="259"/>
      <c r="AD1901" s="259"/>
      <c r="AE1901" s="259"/>
    </row>
    <row r="1902" spans="1:31">
      <c r="A1902" s="259">
        <v>91616055</v>
      </c>
      <c r="B1902" s="259" t="s">
        <v>116</v>
      </c>
      <c r="C1902" s="264" t="s">
        <v>1949</v>
      </c>
      <c r="D1902" s="264" t="s">
        <v>7320</v>
      </c>
      <c r="E1902" s="259" t="s">
        <v>7238</v>
      </c>
      <c r="H1902" s="264" t="s">
        <v>7320</v>
      </c>
      <c r="I1902" s="264" t="s">
        <v>7320</v>
      </c>
      <c r="J1902" s="295">
        <v>41.98</v>
      </c>
      <c r="K1902" s="295">
        <v>41.98</v>
      </c>
      <c r="L1902" s="295" t="s">
        <v>7240</v>
      </c>
      <c r="O1902" s="266">
        <v>0</v>
      </c>
      <c r="Q1902" s="266">
        <v>0</v>
      </c>
      <c r="R1902" s="265">
        <v>0</v>
      </c>
      <c r="V1902" s="265" t="s">
        <v>3247</v>
      </c>
      <c r="W1902" s="259">
        <v>0</v>
      </c>
      <c r="Y1902" s="259">
        <f t="shared" si="3"/>
        <v>990</v>
      </c>
      <c r="AA1902" s="259" t="e">
        <v>#N/A</v>
      </c>
      <c r="AB1902" s="259"/>
      <c r="AC1902" s="259"/>
      <c r="AD1902" s="259"/>
      <c r="AE1902" s="259"/>
    </row>
    <row r="1903" spans="1:31">
      <c r="A1903" s="259">
        <v>91616056</v>
      </c>
      <c r="B1903" s="259" t="s">
        <v>116</v>
      </c>
      <c r="C1903" s="264" t="s">
        <v>1949</v>
      </c>
      <c r="D1903" s="264" t="s">
        <v>7321</v>
      </c>
      <c r="E1903" s="259" t="s">
        <v>7238</v>
      </c>
      <c r="H1903" s="264" t="s">
        <v>7321</v>
      </c>
      <c r="I1903" s="264" t="s">
        <v>7321</v>
      </c>
      <c r="J1903" s="295">
        <v>60.5</v>
      </c>
      <c r="K1903" s="295">
        <v>60.5</v>
      </c>
      <c r="L1903" s="295" t="s">
        <v>7240</v>
      </c>
      <c r="O1903" s="266">
        <v>0</v>
      </c>
      <c r="Q1903" s="266">
        <v>0</v>
      </c>
      <c r="R1903" s="265">
        <v>0</v>
      </c>
      <c r="V1903" s="265" t="s">
        <v>3247</v>
      </c>
      <c r="W1903" s="259">
        <v>0</v>
      </c>
      <c r="Y1903" s="259">
        <f t="shared" si="3"/>
        <v>991</v>
      </c>
      <c r="AA1903" s="259" t="e">
        <v>#N/A</v>
      </c>
      <c r="AB1903" s="259"/>
      <c r="AC1903" s="259"/>
      <c r="AD1903" s="259"/>
      <c r="AE1903" s="259"/>
    </row>
    <row r="1904" spans="1:31">
      <c r="A1904" s="259">
        <v>91616057</v>
      </c>
      <c r="B1904" s="259" t="s">
        <v>116</v>
      </c>
      <c r="C1904" s="264" t="s">
        <v>1949</v>
      </c>
      <c r="D1904" s="264" t="s">
        <v>7322</v>
      </c>
      <c r="E1904" s="259" t="s">
        <v>7238</v>
      </c>
      <c r="H1904" s="264" t="s">
        <v>7322</v>
      </c>
      <c r="I1904" s="264" t="s">
        <v>7322</v>
      </c>
      <c r="J1904" s="295">
        <v>88.9</v>
      </c>
      <c r="K1904" s="295">
        <v>88.9</v>
      </c>
      <c r="L1904" s="295" t="s">
        <v>7240</v>
      </c>
      <c r="O1904" s="266">
        <v>0</v>
      </c>
      <c r="Q1904" s="266">
        <v>0</v>
      </c>
      <c r="R1904" s="265">
        <v>0</v>
      </c>
      <c r="V1904" s="265" t="s">
        <v>3247</v>
      </c>
      <c r="W1904" s="259">
        <v>0</v>
      </c>
      <c r="Y1904" s="259">
        <f t="shared" si="3"/>
        <v>992</v>
      </c>
      <c r="AA1904" s="259" t="e">
        <v>#N/A</v>
      </c>
      <c r="AB1904" s="259"/>
      <c r="AC1904" s="259"/>
      <c r="AD1904" s="259"/>
      <c r="AE1904" s="259"/>
    </row>
    <row r="1905" spans="1:31">
      <c r="A1905" s="259">
        <v>91616058</v>
      </c>
      <c r="B1905" s="259" t="s">
        <v>116</v>
      </c>
      <c r="C1905" s="264" t="s">
        <v>1949</v>
      </c>
      <c r="D1905" s="264" t="s">
        <v>7323</v>
      </c>
      <c r="E1905" s="259" t="s">
        <v>7238</v>
      </c>
      <c r="H1905" s="264" t="s">
        <v>7323</v>
      </c>
      <c r="I1905" s="264" t="s">
        <v>7323</v>
      </c>
      <c r="J1905" s="295">
        <v>142</v>
      </c>
      <c r="K1905" s="295">
        <v>142</v>
      </c>
      <c r="L1905" s="295" t="s">
        <v>7240</v>
      </c>
      <c r="O1905" s="266">
        <v>0</v>
      </c>
      <c r="Q1905" s="266">
        <v>0</v>
      </c>
      <c r="R1905" s="265">
        <v>0</v>
      </c>
      <c r="V1905" s="265" t="s">
        <v>3247</v>
      </c>
      <c r="W1905" s="259">
        <v>0</v>
      </c>
      <c r="Y1905" s="259">
        <f t="shared" si="3"/>
        <v>993</v>
      </c>
      <c r="AA1905" s="259" t="e">
        <v>#N/A</v>
      </c>
      <c r="AB1905" s="259"/>
      <c r="AC1905" s="259"/>
      <c r="AD1905" s="259"/>
      <c r="AE1905" s="259"/>
    </row>
    <row r="1906" spans="1:31">
      <c r="A1906" s="259">
        <v>91616059</v>
      </c>
      <c r="B1906" s="259" t="s">
        <v>116</v>
      </c>
      <c r="C1906" s="264" t="s">
        <v>1949</v>
      </c>
      <c r="D1906" s="264" t="s">
        <v>7324</v>
      </c>
      <c r="E1906" s="259" t="s">
        <v>7238</v>
      </c>
      <c r="H1906" s="264" t="s">
        <v>7324</v>
      </c>
      <c r="I1906" s="264" t="s">
        <v>7324</v>
      </c>
      <c r="J1906" s="295">
        <v>313.63</v>
      </c>
      <c r="K1906" s="295">
        <v>313.63</v>
      </c>
      <c r="L1906" s="295" t="s">
        <v>7240</v>
      </c>
      <c r="O1906" s="266">
        <v>0</v>
      </c>
      <c r="Q1906" s="266">
        <v>0</v>
      </c>
      <c r="R1906" s="265">
        <v>0</v>
      </c>
      <c r="V1906" s="265" t="s">
        <v>3247</v>
      </c>
      <c r="W1906" s="259">
        <v>0</v>
      </c>
      <c r="Y1906" s="259">
        <f t="shared" si="3"/>
        <v>994</v>
      </c>
      <c r="AA1906" s="259" t="e">
        <v>#N/A</v>
      </c>
      <c r="AB1906" s="259"/>
      <c r="AC1906" s="259"/>
      <c r="AD1906" s="259"/>
      <c r="AE1906" s="259"/>
    </row>
    <row r="1907" spans="1:31">
      <c r="A1907" s="259">
        <v>91616060</v>
      </c>
      <c r="B1907" s="259" t="s">
        <v>116</v>
      </c>
      <c r="C1907" s="264" t="s">
        <v>1949</v>
      </c>
      <c r="D1907" s="264" t="s">
        <v>7325</v>
      </c>
      <c r="E1907" s="259" t="s">
        <v>7238</v>
      </c>
      <c r="H1907" s="264" t="s">
        <v>7325</v>
      </c>
      <c r="I1907" s="264" t="s">
        <v>7325</v>
      </c>
      <c r="J1907" s="295">
        <v>1217.48</v>
      </c>
      <c r="K1907" s="295">
        <v>1217.48</v>
      </c>
      <c r="L1907" s="295" t="s">
        <v>7240</v>
      </c>
      <c r="O1907" s="266">
        <v>0</v>
      </c>
      <c r="Q1907" s="266">
        <v>0</v>
      </c>
      <c r="R1907" s="265">
        <v>0</v>
      </c>
      <c r="V1907" s="265" t="s">
        <v>3247</v>
      </c>
      <c r="W1907" s="259">
        <v>0</v>
      </c>
      <c r="Y1907" s="259">
        <f t="shared" ref="Y1907:Y1970" si="4">Y1906+1</f>
        <v>995</v>
      </c>
      <c r="AA1907" s="259" t="e">
        <v>#N/A</v>
      </c>
      <c r="AB1907" s="259"/>
      <c r="AC1907" s="259"/>
      <c r="AD1907" s="259"/>
      <c r="AE1907" s="259"/>
    </row>
    <row r="1908" spans="1:31">
      <c r="A1908" s="259" t="s">
        <v>1976</v>
      </c>
      <c r="B1908" s="259" t="s">
        <v>116</v>
      </c>
      <c r="C1908" s="264"/>
      <c r="D1908" s="264"/>
      <c r="H1908" s="264"/>
      <c r="I1908" s="264"/>
      <c r="J1908" s="295">
        <v>0</v>
      </c>
      <c r="K1908" s="295">
        <v>0</v>
      </c>
      <c r="L1908" s="295">
        <v>0</v>
      </c>
      <c r="O1908" s="266"/>
      <c r="R1908" s="265"/>
      <c r="V1908" s="265">
        <v>0</v>
      </c>
      <c r="Y1908" s="259">
        <f t="shared" si="4"/>
        <v>996</v>
      </c>
      <c r="AA1908" s="259" t="e">
        <v>#N/A</v>
      </c>
      <c r="AB1908" s="259"/>
      <c r="AC1908" s="259"/>
      <c r="AD1908" s="259"/>
      <c r="AE1908" s="259"/>
    </row>
    <row r="1909" spans="1:31">
      <c r="A1909" s="259">
        <v>91616012</v>
      </c>
      <c r="B1909" s="259" t="s">
        <v>116</v>
      </c>
      <c r="C1909" s="264" t="s">
        <v>1949</v>
      </c>
      <c r="D1909" s="264" t="s">
        <v>7326</v>
      </c>
      <c r="E1909" s="259" t="s">
        <v>7238</v>
      </c>
      <c r="H1909" s="264" t="s">
        <v>7326</v>
      </c>
      <c r="I1909" s="264" t="s">
        <v>7326</v>
      </c>
      <c r="J1909" s="295">
        <v>46.92</v>
      </c>
      <c r="K1909" s="295">
        <v>46.92</v>
      </c>
      <c r="L1909" s="295" t="s">
        <v>7240</v>
      </c>
      <c r="O1909" s="266">
        <v>0</v>
      </c>
      <c r="Q1909" s="266">
        <v>0</v>
      </c>
      <c r="R1909" s="265">
        <v>0</v>
      </c>
      <c r="S1909" s="265">
        <v>0</v>
      </c>
      <c r="V1909" s="265" t="s">
        <v>3247</v>
      </c>
      <c r="W1909" s="259">
        <v>0</v>
      </c>
      <c r="Y1909" s="259">
        <f t="shared" si="4"/>
        <v>997</v>
      </c>
      <c r="AA1909" s="259" t="e">
        <v>#N/A</v>
      </c>
      <c r="AB1909" s="259"/>
      <c r="AC1909" s="259"/>
      <c r="AD1909" s="259"/>
      <c r="AE1909" s="259"/>
    </row>
    <row r="1910" spans="1:31">
      <c r="A1910" s="259">
        <v>91616013</v>
      </c>
      <c r="B1910" s="259" t="s">
        <v>116</v>
      </c>
      <c r="C1910" s="264" t="s">
        <v>1949</v>
      </c>
      <c r="D1910" s="264" t="s">
        <v>7327</v>
      </c>
      <c r="E1910" s="259" t="s">
        <v>7238</v>
      </c>
      <c r="H1910" s="264" t="s">
        <v>7327</v>
      </c>
      <c r="I1910" s="264" t="s">
        <v>7327</v>
      </c>
      <c r="J1910" s="295">
        <v>70.38</v>
      </c>
      <c r="K1910" s="295">
        <v>70.38</v>
      </c>
      <c r="L1910" s="295" t="s">
        <v>7240</v>
      </c>
      <c r="O1910" s="266">
        <v>0</v>
      </c>
      <c r="Q1910" s="266">
        <v>0</v>
      </c>
      <c r="R1910" s="265">
        <v>0</v>
      </c>
      <c r="S1910" s="265">
        <v>0</v>
      </c>
      <c r="V1910" s="265" t="s">
        <v>3247</v>
      </c>
      <c r="W1910" s="259">
        <v>0</v>
      </c>
      <c r="Y1910" s="259">
        <f t="shared" si="4"/>
        <v>998</v>
      </c>
      <c r="AA1910" s="259" t="e">
        <v>#N/A</v>
      </c>
      <c r="AB1910" s="259"/>
      <c r="AC1910" s="259"/>
      <c r="AD1910" s="259"/>
      <c r="AE1910" s="259"/>
    </row>
    <row r="1911" spans="1:31">
      <c r="A1911" s="259">
        <v>91616014</v>
      </c>
      <c r="B1911" s="259" t="s">
        <v>116</v>
      </c>
      <c r="C1911" s="264" t="s">
        <v>1949</v>
      </c>
      <c r="D1911" s="264" t="s">
        <v>7328</v>
      </c>
      <c r="E1911" s="259" t="s">
        <v>7238</v>
      </c>
      <c r="H1911" s="264" t="s">
        <v>7328</v>
      </c>
      <c r="I1911" s="264" t="s">
        <v>7328</v>
      </c>
      <c r="J1911" s="295">
        <v>106.19</v>
      </c>
      <c r="K1911" s="295">
        <v>106.19</v>
      </c>
      <c r="L1911" s="295" t="s">
        <v>7240</v>
      </c>
      <c r="O1911" s="266">
        <v>0</v>
      </c>
      <c r="Q1911" s="266">
        <v>0</v>
      </c>
      <c r="R1911" s="265">
        <v>0</v>
      </c>
      <c r="S1911" s="265">
        <v>0</v>
      </c>
      <c r="V1911" s="265" t="s">
        <v>3247</v>
      </c>
      <c r="W1911" s="259">
        <v>0</v>
      </c>
      <c r="Y1911" s="259">
        <f t="shared" si="4"/>
        <v>999</v>
      </c>
      <c r="AA1911" s="259" t="e">
        <v>#N/A</v>
      </c>
      <c r="AB1911" s="259"/>
      <c r="AC1911" s="259"/>
      <c r="AD1911" s="259"/>
      <c r="AE1911" s="259"/>
    </row>
    <row r="1912" spans="1:31">
      <c r="A1912" s="259">
        <v>91616015</v>
      </c>
      <c r="B1912" s="259" t="s">
        <v>116</v>
      </c>
      <c r="C1912" s="264" t="s">
        <v>1949</v>
      </c>
      <c r="D1912" s="264" t="s">
        <v>7329</v>
      </c>
      <c r="E1912" s="259" t="s">
        <v>7238</v>
      </c>
      <c r="H1912" s="264" t="s">
        <v>7329</v>
      </c>
      <c r="I1912" s="264" t="s">
        <v>7329</v>
      </c>
      <c r="J1912" s="295">
        <v>175.34</v>
      </c>
      <c r="K1912" s="295">
        <v>175.34</v>
      </c>
      <c r="L1912" s="295" t="s">
        <v>7240</v>
      </c>
      <c r="O1912" s="266">
        <v>0</v>
      </c>
      <c r="Q1912" s="266">
        <v>0</v>
      </c>
      <c r="R1912" s="265">
        <v>0</v>
      </c>
      <c r="S1912" s="265">
        <v>0</v>
      </c>
      <c r="V1912" s="265" t="s">
        <v>3247</v>
      </c>
      <c r="W1912" s="259">
        <v>0</v>
      </c>
      <c r="Y1912" s="259">
        <f t="shared" si="4"/>
        <v>1000</v>
      </c>
      <c r="AA1912" s="259" t="e">
        <v>#N/A</v>
      </c>
      <c r="AB1912" s="259"/>
      <c r="AC1912" s="259"/>
      <c r="AD1912" s="259"/>
      <c r="AE1912" s="259"/>
    </row>
    <row r="1913" spans="1:31">
      <c r="A1913" s="259">
        <v>91616016</v>
      </c>
      <c r="B1913" s="259" t="s">
        <v>116</v>
      </c>
      <c r="C1913" s="264" t="s">
        <v>1949</v>
      </c>
      <c r="D1913" s="264" t="s">
        <v>7330</v>
      </c>
      <c r="E1913" s="259" t="s">
        <v>7238</v>
      </c>
      <c r="H1913" s="264" t="s">
        <v>7330</v>
      </c>
      <c r="I1913" s="264" t="s">
        <v>7330</v>
      </c>
      <c r="J1913" s="295">
        <v>390.19</v>
      </c>
      <c r="K1913" s="295">
        <v>390.19</v>
      </c>
      <c r="L1913" s="295" t="s">
        <v>7240</v>
      </c>
      <c r="O1913" s="266">
        <v>0</v>
      </c>
      <c r="Q1913" s="266">
        <v>0</v>
      </c>
      <c r="R1913" s="265">
        <v>0</v>
      </c>
      <c r="S1913" s="265">
        <v>0</v>
      </c>
      <c r="V1913" s="265" t="s">
        <v>3247</v>
      </c>
      <c r="W1913" s="259">
        <v>0</v>
      </c>
      <c r="Y1913" s="259">
        <f t="shared" si="4"/>
        <v>1001</v>
      </c>
      <c r="AA1913" s="259" t="e">
        <v>#N/A</v>
      </c>
      <c r="AB1913" s="259"/>
      <c r="AC1913" s="259"/>
      <c r="AD1913" s="259"/>
      <c r="AE1913" s="259"/>
    </row>
    <row r="1914" spans="1:31">
      <c r="A1914" s="259">
        <v>91616017</v>
      </c>
      <c r="B1914" s="259" t="s">
        <v>116</v>
      </c>
      <c r="C1914" s="264" t="s">
        <v>1949</v>
      </c>
      <c r="D1914" s="264" t="s">
        <v>7331</v>
      </c>
      <c r="E1914" s="259" t="s">
        <v>7238</v>
      </c>
      <c r="H1914" s="264" t="s">
        <v>7331</v>
      </c>
      <c r="I1914" s="264" t="s">
        <v>7331</v>
      </c>
      <c r="J1914" s="295">
        <v>1523.7</v>
      </c>
      <c r="K1914" s="295">
        <v>1523.7</v>
      </c>
      <c r="L1914" s="295" t="s">
        <v>7240</v>
      </c>
      <c r="O1914" s="266">
        <v>0</v>
      </c>
      <c r="Q1914" s="266">
        <v>0</v>
      </c>
      <c r="R1914" s="265">
        <v>0</v>
      </c>
      <c r="S1914" s="265">
        <v>0</v>
      </c>
      <c r="V1914" s="265" t="s">
        <v>3247</v>
      </c>
      <c r="W1914" s="259">
        <v>0</v>
      </c>
      <c r="Y1914" s="259">
        <f t="shared" si="4"/>
        <v>1002</v>
      </c>
      <c r="AA1914" s="259" t="e">
        <v>#N/A</v>
      </c>
      <c r="AB1914" s="259"/>
      <c r="AC1914" s="259"/>
      <c r="AD1914" s="259"/>
      <c r="AE1914" s="259"/>
    </row>
    <row r="1915" spans="1:31">
      <c r="A1915" s="259" t="s">
        <v>1977</v>
      </c>
      <c r="B1915" s="259" t="s">
        <v>116</v>
      </c>
      <c r="C1915" s="264"/>
      <c r="D1915" s="264"/>
      <c r="H1915" s="264"/>
      <c r="I1915" s="264"/>
      <c r="J1915" s="295">
        <v>0</v>
      </c>
      <c r="K1915" s="295">
        <v>0</v>
      </c>
      <c r="L1915" s="295">
        <v>0</v>
      </c>
      <c r="O1915" s="266"/>
      <c r="R1915" s="265"/>
      <c r="V1915" s="265">
        <v>0</v>
      </c>
      <c r="Y1915" s="259">
        <f t="shared" si="4"/>
        <v>1003</v>
      </c>
      <c r="AA1915" s="259" t="e">
        <v>#N/A</v>
      </c>
      <c r="AB1915" s="259"/>
      <c r="AC1915" s="259"/>
      <c r="AD1915" s="259"/>
      <c r="AE1915" s="259"/>
    </row>
    <row r="1916" spans="1:31">
      <c r="A1916" s="259">
        <v>91616035</v>
      </c>
      <c r="B1916" s="259" t="s">
        <v>116</v>
      </c>
      <c r="C1916" s="264" t="s">
        <v>1949</v>
      </c>
      <c r="D1916" s="264" t="s">
        <v>7332</v>
      </c>
      <c r="E1916" s="259" t="s">
        <v>7238</v>
      </c>
      <c r="G1916" s="259" t="s">
        <v>7304</v>
      </c>
      <c r="H1916" s="264" t="s">
        <v>7332</v>
      </c>
      <c r="I1916" s="264" t="s">
        <v>7332</v>
      </c>
      <c r="J1916" s="295">
        <v>37.04</v>
      </c>
      <c r="K1916" s="295">
        <v>37.04</v>
      </c>
      <c r="L1916" s="295" t="s">
        <v>7240</v>
      </c>
      <c r="O1916" s="266">
        <v>0</v>
      </c>
      <c r="Q1916" s="266">
        <v>0</v>
      </c>
      <c r="R1916" s="265">
        <v>0</v>
      </c>
      <c r="V1916" s="265" t="s">
        <v>3028</v>
      </c>
      <c r="W1916" s="259">
        <v>0</v>
      </c>
      <c r="Y1916" s="259">
        <f t="shared" si="4"/>
        <v>1004</v>
      </c>
      <c r="AA1916" s="259" t="e">
        <v>#N/A</v>
      </c>
      <c r="AB1916" s="259"/>
      <c r="AC1916" s="259"/>
      <c r="AD1916" s="259"/>
      <c r="AE1916" s="259"/>
    </row>
    <row r="1917" spans="1:31">
      <c r="A1917" s="259">
        <v>91616036</v>
      </c>
      <c r="B1917" s="259" t="s">
        <v>116</v>
      </c>
      <c r="C1917" s="264" t="s">
        <v>1949</v>
      </c>
      <c r="D1917" s="264" t="s">
        <v>7333</v>
      </c>
      <c r="E1917" s="259" t="s">
        <v>7238</v>
      </c>
      <c r="G1917" s="259" t="s">
        <v>7304</v>
      </c>
      <c r="H1917" s="264" t="s">
        <v>7333</v>
      </c>
      <c r="I1917" s="264" t="s">
        <v>7333</v>
      </c>
      <c r="J1917" s="295">
        <v>37.04</v>
      </c>
      <c r="K1917" s="295">
        <v>37.04</v>
      </c>
      <c r="L1917" s="295" t="s">
        <v>7240</v>
      </c>
      <c r="O1917" s="266">
        <v>0</v>
      </c>
      <c r="Q1917" s="266">
        <v>0</v>
      </c>
      <c r="R1917" s="265">
        <v>0</v>
      </c>
      <c r="V1917" s="265" t="s">
        <v>3028</v>
      </c>
      <c r="W1917" s="259" t="s">
        <v>3029</v>
      </c>
      <c r="Y1917" s="259">
        <f t="shared" si="4"/>
        <v>1005</v>
      </c>
      <c r="AA1917" s="259" t="e">
        <v>#N/A</v>
      </c>
      <c r="AB1917" s="259"/>
      <c r="AC1917" s="259"/>
      <c r="AD1917" s="259"/>
      <c r="AE1917" s="259"/>
    </row>
    <row r="1918" spans="1:31">
      <c r="A1918" s="259">
        <v>91616046</v>
      </c>
      <c r="B1918" s="259" t="s">
        <v>116</v>
      </c>
      <c r="C1918" s="264" t="s">
        <v>1949</v>
      </c>
      <c r="D1918" s="264" t="s">
        <v>7334</v>
      </c>
      <c r="E1918" s="259" t="s">
        <v>7238</v>
      </c>
      <c r="H1918" s="264" t="s">
        <v>7334</v>
      </c>
      <c r="I1918" s="264" t="s">
        <v>7334</v>
      </c>
      <c r="J1918" s="295">
        <v>55.56</v>
      </c>
      <c r="K1918" s="295">
        <v>55.56</v>
      </c>
      <c r="L1918" s="295" t="s">
        <v>7240</v>
      </c>
      <c r="O1918" s="266">
        <v>0</v>
      </c>
      <c r="Q1918" s="266">
        <v>0</v>
      </c>
      <c r="R1918" s="265">
        <v>0</v>
      </c>
      <c r="V1918" s="265" t="s">
        <v>3028</v>
      </c>
      <c r="W1918" s="259">
        <v>0</v>
      </c>
      <c r="Y1918" s="259">
        <f t="shared" si="4"/>
        <v>1006</v>
      </c>
      <c r="AA1918" s="259" t="e">
        <v>#N/A</v>
      </c>
      <c r="AB1918" s="259"/>
      <c r="AC1918" s="259"/>
      <c r="AD1918" s="259"/>
      <c r="AE1918" s="259"/>
    </row>
    <row r="1919" spans="1:31">
      <c r="A1919" s="259">
        <v>91616047</v>
      </c>
      <c r="B1919" s="259" t="s">
        <v>116</v>
      </c>
      <c r="C1919" s="264" t="s">
        <v>1949</v>
      </c>
      <c r="D1919" s="264" t="s">
        <v>7335</v>
      </c>
      <c r="E1919" s="259" t="s">
        <v>7238</v>
      </c>
      <c r="H1919" s="264" t="s">
        <v>7335</v>
      </c>
      <c r="I1919" s="264" t="s">
        <v>7335</v>
      </c>
      <c r="J1919" s="295">
        <v>95.08</v>
      </c>
      <c r="K1919" s="295">
        <v>95.08</v>
      </c>
      <c r="L1919" s="295" t="s">
        <v>7240</v>
      </c>
      <c r="O1919" s="266">
        <v>0</v>
      </c>
      <c r="Q1919" s="266">
        <v>0</v>
      </c>
      <c r="R1919" s="265">
        <v>0</v>
      </c>
      <c r="V1919" s="265" t="s">
        <v>3028</v>
      </c>
      <c r="W1919" s="259" t="s">
        <v>3029</v>
      </c>
      <c r="Y1919" s="259">
        <f t="shared" si="4"/>
        <v>1007</v>
      </c>
      <c r="AA1919" s="259" t="e">
        <v>#N/A</v>
      </c>
      <c r="AB1919" s="259"/>
      <c r="AC1919" s="259"/>
      <c r="AD1919" s="259"/>
      <c r="AE1919" s="259"/>
    </row>
    <row r="1920" spans="1:31">
      <c r="A1920" s="259">
        <v>91616053</v>
      </c>
      <c r="B1920" s="259" t="s">
        <v>116</v>
      </c>
      <c r="C1920" s="264" t="s">
        <v>7242</v>
      </c>
      <c r="D1920" s="264" t="s">
        <v>7336</v>
      </c>
      <c r="E1920" s="259" t="s">
        <v>7238</v>
      </c>
      <c r="H1920" s="264" t="s">
        <v>7336</v>
      </c>
      <c r="I1920" s="264" t="s">
        <v>7336</v>
      </c>
      <c r="J1920" s="295">
        <v>37.04</v>
      </c>
      <c r="K1920" s="295">
        <v>37.04</v>
      </c>
      <c r="L1920" s="295" t="s">
        <v>7240</v>
      </c>
      <c r="O1920" s="266">
        <v>0</v>
      </c>
      <c r="Q1920" s="266">
        <v>0</v>
      </c>
      <c r="R1920" s="265">
        <v>0</v>
      </c>
      <c r="V1920" s="265" t="s">
        <v>3247</v>
      </c>
      <c r="W1920" s="259">
        <v>0</v>
      </c>
      <c r="Y1920" s="259">
        <f t="shared" si="4"/>
        <v>1008</v>
      </c>
      <c r="AA1920" s="259" t="e">
        <v>#N/A</v>
      </c>
      <c r="AB1920" s="259"/>
      <c r="AC1920" s="259"/>
      <c r="AD1920" s="259"/>
      <c r="AE1920" s="259"/>
    </row>
    <row r="1921" spans="1:31">
      <c r="A1921" s="259">
        <v>91616054</v>
      </c>
      <c r="B1921" s="259" t="s">
        <v>116</v>
      </c>
      <c r="C1921" s="264" t="s">
        <v>7242</v>
      </c>
      <c r="D1921" s="264" t="s">
        <v>7337</v>
      </c>
      <c r="E1921" s="259" t="s">
        <v>7238</v>
      </c>
      <c r="H1921" s="264" t="s">
        <v>7337</v>
      </c>
      <c r="I1921" s="264" t="s">
        <v>7337</v>
      </c>
      <c r="J1921" s="295">
        <v>37.04</v>
      </c>
      <c r="K1921" s="295">
        <v>37.04</v>
      </c>
      <c r="L1921" s="295" t="s">
        <v>7240</v>
      </c>
      <c r="O1921" s="266">
        <v>0</v>
      </c>
      <c r="Q1921" s="266">
        <v>0</v>
      </c>
      <c r="R1921" s="265">
        <v>0</v>
      </c>
      <c r="V1921" s="265" t="s">
        <v>3247</v>
      </c>
      <c r="W1921" s="259">
        <v>0</v>
      </c>
      <c r="X1921" s="264" t="s">
        <v>7338</v>
      </c>
      <c r="Y1921" s="259">
        <f t="shared" si="4"/>
        <v>1009</v>
      </c>
      <c r="AA1921" s="259" t="e">
        <v>#N/A</v>
      </c>
      <c r="AB1921" s="259"/>
      <c r="AC1921" s="259"/>
      <c r="AD1921" s="259"/>
      <c r="AE1921" s="259"/>
    </row>
    <row r="1922" spans="1:31">
      <c r="A1922" s="259">
        <v>91616037</v>
      </c>
      <c r="B1922" s="259" t="s">
        <v>116</v>
      </c>
      <c r="C1922" s="264" t="s">
        <v>1949</v>
      </c>
      <c r="D1922" s="264" t="s">
        <v>7339</v>
      </c>
      <c r="E1922" s="259" t="s">
        <v>7238</v>
      </c>
      <c r="G1922" s="259" t="s">
        <v>7304</v>
      </c>
      <c r="H1922" s="264" t="s">
        <v>7339</v>
      </c>
      <c r="I1922" s="264" t="s">
        <v>7339</v>
      </c>
      <c r="J1922" s="295">
        <v>55.56</v>
      </c>
      <c r="K1922" s="295">
        <v>55.56</v>
      </c>
      <c r="L1922" s="295" t="s">
        <v>7240</v>
      </c>
      <c r="O1922" s="266">
        <v>0</v>
      </c>
      <c r="Q1922" s="266">
        <v>0</v>
      </c>
      <c r="R1922" s="265">
        <v>0</v>
      </c>
      <c r="V1922" s="265" t="s">
        <v>3028</v>
      </c>
      <c r="W1922" s="259" t="s">
        <v>3029</v>
      </c>
      <c r="Y1922" s="259">
        <f t="shared" si="4"/>
        <v>1010</v>
      </c>
      <c r="AA1922" s="259" t="e">
        <v>#N/A</v>
      </c>
      <c r="AB1922" s="259"/>
      <c r="AC1922" s="259"/>
      <c r="AD1922" s="259"/>
      <c r="AE1922" s="259"/>
    </row>
    <row r="1923" spans="1:31">
      <c r="A1923" s="259">
        <v>91616038</v>
      </c>
      <c r="B1923" s="259" t="s">
        <v>116</v>
      </c>
      <c r="C1923" s="264" t="s">
        <v>1949</v>
      </c>
      <c r="D1923" s="264" t="s">
        <v>7340</v>
      </c>
      <c r="E1923" s="259" t="s">
        <v>7238</v>
      </c>
      <c r="G1923" s="259" t="s">
        <v>7304</v>
      </c>
      <c r="H1923" s="264" t="s">
        <v>7340</v>
      </c>
      <c r="I1923" s="264" t="s">
        <v>7340</v>
      </c>
      <c r="J1923" s="295">
        <v>69.150000000000006</v>
      </c>
      <c r="K1923" s="295">
        <v>69.150000000000006</v>
      </c>
      <c r="L1923" s="295" t="s">
        <v>7240</v>
      </c>
      <c r="O1923" s="266">
        <v>0</v>
      </c>
      <c r="Q1923" s="266">
        <v>0</v>
      </c>
      <c r="R1923" s="265">
        <v>0</v>
      </c>
      <c r="V1923" s="265" t="s">
        <v>3028</v>
      </c>
      <c r="W1923" s="259" t="s">
        <v>3029</v>
      </c>
      <c r="Y1923" s="259">
        <f t="shared" si="4"/>
        <v>1011</v>
      </c>
      <c r="AA1923" s="259" t="e">
        <v>#N/A</v>
      </c>
      <c r="AB1923" s="259"/>
      <c r="AC1923" s="259"/>
      <c r="AD1923" s="259"/>
      <c r="AE1923" s="259"/>
    </row>
    <row r="1924" spans="1:31">
      <c r="A1924" s="259">
        <v>91616039</v>
      </c>
      <c r="B1924" s="259" t="s">
        <v>116</v>
      </c>
      <c r="C1924" s="264" t="s">
        <v>1949</v>
      </c>
      <c r="D1924" s="264" t="s">
        <v>7341</v>
      </c>
      <c r="E1924" s="259" t="s">
        <v>7238</v>
      </c>
      <c r="G1924" s="259" t="s">
        <v>7304</v>
      </c>
      <c r="H1924" s="264" t="s">
        <v>7341</v>
      </c>
      <c r="I1924" s="264" t="s">
        <v>7341</v>
      </c>
      <c r="J1924" s="295">
        <v>85.2</v>
      </c>
      <c r="K1924" s="295">
        <v>85.2</v>
      </c>
      <c r="L1924" s="295" t="s">
        <v>7240</v>
      </c>
      <c r="O1924" s="266">
        <v>0</v>
      </c>
      <c r="Q1924" s="266">
        <v>0</v>
      </c>
      <c r="R1924" s="265">
        <v>0</v>
      </c>
      <c r="V1924" s="265" t="s">
        <v>3028</v>
      </c>
      <c r="W1924" s="259" t="s">
        <v>3029</v>
      </c>
      <c r="Y1924" s="259">
        <f t="shared" si="4"/>
        <v>1012</v>
      </c>
      <c r="AA1924" s="259" t="e">
        <v>#N/A</v>
      </c>
      <c r="AB1924" s="259"/>
      <c r="AC1924" s="259"/>
      <c r="AD1924" s="259"/>
      <c r="AE1924" s="259"/>
    </row>
    <row r="1925" spans="1:31">
      <c r="A1925" s="259">
        <v>91616040</v>
      </c>
      <c r="B1925" s="259" t="s">
        <v>116</v>
      </c>
      <c r="C1925" s="264" t="s">
        <v>1949</v>
      </c>
      <c r="D1925" s="264" t="s">
        <v>7342</v>
      </c>
      <c r="E1925" s="259" t="s">
        <v>7238</v>
      </c>
      <c r="G1925" s="259" t="s">
        <v>7304</v>
      </c>
      <c r="H1925" s="264" t="s">
        <v>7342</v>
      </c>
      <c r="I1925" s="264" t="s">
        <v>7342</v>
      </c>
      <c r="J1925" s="295">
        <v>64.209999999999994</v>
      </c>
      <c r="K1925" s="295">
        <v>64.209999999999994</v>
      </c>
      <c r="L1925" s="295" t="s">
        <v>7240</v>
      </c>
      <c r="O1925" s="266">
        <v>0</v>
      </c>
      <c r="Q1925" s="266">
        <v>0</v>
      </c>
      <c r="R1925" s="265">
        <v>0</v>
      </c>
      <c r="V1925" s="265" t="s">
        <v>3028</v>
      </c>
      <c r="W1925" s="259" t="s">
        <v>3029</v>
      </c>
      <c r="Y1925" s="259">
        <f t="shared" si="4"/>
        <v>1013</v>
      </c>
      <c r="AA1925" s="259" t="e">
        <v>#N/A</v>
      </c>
      <c r="AB1925" s="259"/>
      <c r="AC1925" s="259"/>
      <c r="AD1925" s="259"/>
      <c r="AE1925" s="259"/>
    </row>
    <row r="1926" spans="1:31">
      <c r="A1926" s="259">
        <v>91616048</v>
      </c>
      <c r="B1926" s="259" t="s">
        <v>116</v>
      </c>
      <c r="C1926" s="264" t="s">
        <v>1949</v>
      </c>
      <c r="D1926" s="264" t="s">
        <v>7343</v>
      </c>
      <c r="E1926" s="259" t="s">
        <v>7238</v>
      </c>
      <c r="H1926" s="264" t="s">
        <v>7343</v>
      </c>
      <c r="I1926" s="264" t="s">
        <v>7343</v>
      </c>
      <c r="J1926" s="295">
        <v>66.680000000000007</v>
      </c>
      <c r="K1926" s="295">
        <v>66.680000000000007</v>
      </c>
      <c r="L1926" s="295" t="s">
        <v>7240</v>
      </c>
      <c r="O1926" s="266">
        <v>0</v>
      </c>
      <c r="Q1926" s="266">
        <v>0</v>
      </c>
      <c r="R1926" s="265">
        <v>0</v>
      </c>
      <c r="V1926" s="265" t="s">
        <v>3247</v>
      </c>
      <c r="W1926" s="259">
        <v>0</v>
      </c>
      <c r="Y1926" s="259">
        <f t="shared" si="4"/>
        <v>1014</v>
      </c>
      <c r="AA1926" s="259" t="e">
        <v>#N/A</v>
      </c>
      <c r="AB1926" s="259"/>
      <c r="AC1926" s="259"/>
      <c r="AD1926" s="259"/>
      <c r="AE1926" s="259"/>
    </row>
    <row r="1927" spans="1:31">
      <c r="A1927" s="259">
        <v>91616049</v>
      </c>
      <c r="B1927" s="259" t="s">
        <v>116</v>
      </c>
      <c r="C1927" s="264" t="s">
        <v>1949</v>
      </c>
      <c r="D1927" s="264" t="s">
        <v>7344</v>
      </c>
      <c r="E1927" s="259" t="s">
        <v>7238</v>
      </c>
      <c r="H1927" s="264" t="s">
        <v>7344</v>
      </c>
      <c r="I1927" s="264" t="s">
        <v>7344</v>
      </c>
      <c r="J1927" s="295">
        <v>139.53</v>
      </c>
      <c r="K1927" s="295">
        <v>139.53</v>
      </c>
      <c r="L1927" s="295" t="s">
        <v>7240</v>
      </c>
      <c r="O1927" s="266">
        <v>0</v>
      </c>
      <c r="Q1927" s="266">
        <v>0</v>
      </c>
      <c r="R1927" s="265">
        <v>0</v>
      </c>
      <c r="V1927" s="265" t="s">
        <v>3028</v>
      </c>
      <c r="W1927" s="259" t="s">
        <v>3029</v>
      </c>
      <c r="Y1927" s="259">
        <f t="shared" si="4"/>
        <v>1015</v>
      </c>
      <c r="AA1927" s="259" t="e">
        <v>#N/A</v>
      </c>
      <c r="AB1927" s="259"/>
      <c r="AC1927" s="259"/>
      <c r="AD1927" s="259"/>
      <c r="AE1927" s="259"/>
    </row>
    <row r="1928" spans="1:31">
      <c r="A1928" s="259">
        <v>91616050</v>
      </c>
      <c r="B1928" s="259" t="s">
        <v>116</v>
      </c>
      <c r="C1928" s="264" t="s">
        <v>1949</v>
      </c>
      <c r="D1928" s="264" t="s">
        <v>7345</v>
      </c>
      <c r="E1928" s="259" t="s">
        <v>7238</v>
      </c>
      <c r="H1928" s="264" t="s">
        <v>7345</v>
      </c>
      <c r="I1928" s="264" t="s">
        <v>7345</v>
      </c>
      <c r="J1928" s="295">
        <v>170.4</v>
      </c>
      <c r="K1928" s="295">
        <v>170.4</v>
      </c>
      <c r="L1928" s="295" t="s">
        <v>7240</v>
      </c>
      <c r="O1928" s="266">
        <v>0</v>
      </c>
      <c r="Q1928" s="266">
        <v>0</v>
      </c>
      <c r="R1928" s="265">
        <v>0</v>
      </c>
      <c r="V1928" s="265" t="s">
        <v>3247</v>
      </c>
      <c r="W1928" s="259">
        <v>0</v>
      </c>
      <c r="Y1928" s="259">
        <f t="shared" si="4"/>
        <v>1016</v>
      </c>
      <c r="AA1928" s="259" t="e">
        <v>#N/A</v>
      </c>
      <c r="AB1928" s="259"/>
      <c r="AC1928" s="259"/>
      <c r="AD1928" s="259"/>
      <c r="AE1928" s="259"/>
    </row>
    <row r="1929" spans="1:31">
      <c r="A1929" s="259">
        <v>91616051</v>
      </c>
      <c r="B1929" s="259" t="s">
        <v>116</v>
      </c>
      <c r="C1929" s="264" t="s">
        <v>1949</v>
      </c>
      <c r="D1929" s="264" t="s">
        <v>7346</v>
      </c>
      <c r="E1929" s="259" t="s">
        <v>7238</v>
      </c>
      <c r="H1929" s="264" t="s">
        <v>7346</v>
      </c>
      <c r="I1929" s="264" t="s">
        <v>7346</v>
      </c>
      <c r="J1929" s="295">
        <v>161.75</v>
      </c>
      <c r="K1929" s="295">
        <v>161.75</v>
      </c>
      <c r="L1929" s="295" t="s">
        <v>7240</v>
      </c>
      <c r="O1929" s="266">
        <v>0</v>
      </c>
      <c r="Q1929" s="266">
        <v>0</v>
      </c>
      <c r="R1929" s="265">
        <v>0</v>
      </c>
      <c r="V1929" s="265" t="s">
        <v>3247</v>
      </c>
      <c r="W1929" s="259">
        <v>0</v>
      </c>
      <c r="Y1929" s="259">
        <f t="shared" si="4"/>
        <v>1017</v>
      </c>
      <c r="AA1929" s="259" t="e">
        <v>#N/A</v>
      </c>
      <c r="AB1929" s="259"/>
      <c r="AC1929" s="259"/>
      <c r="AD1929" s="259"/>
      <c r="AE1929" s="259"/>
    </row>
    <row r="1930" spans="1:31">
      <c r="A1930" s="259" t="s">
        <v>1978</v>
      </c>
      <c r="B1930" s="259" t="s">
        <v>116</v>
      </c>
      <c r="C1930" s="264"/>
      <c r="D1930" s="264"/>
      <c r="H1930" s="264"/>
      <c r="I1930" s="264"/>
      <c r="J1930" s="295">
        <v>0</v>
      </c>
      <c r="K1930" s="295">
        <v>0</v>
      </c>
      <c r="L1930" s="295">
        <v>0</v>
      </c>
      <c r="O1930" s="266"/>
      <c r="R1930" s="265"/>
      <c r="V1930" s="265">
        <v>0</v>
      </c>
      <c r="Y1930" s="259">
        <f t="shared" si="4"/>
        <v>1018</v>
      </c>
      <c r="AA1930" s="259" t="e">
        <v>#N/A</v>
      </c>
      <c r="AB1930" s="259"/>
      <c r="AC1930" s="259"/>
      <c r="AD1930" s="259"/>
      <c r="AE1930" s="259"/>
    </row>
    <row r="1931" spans="1:31">
      <c r="A1931" s="259">
        <v>91611750</v>
      </c>
      <c r="B1931" s="259" t="s">
        <v>116</v>
      </c>
      <c r="C1931" s="264" t="s">
        <v>1949</v>
      </c>
      <c r="D1931" s="264" t="s">
        <v>7347</v>
      </c>
      <c r="E1931" s="259" t="s">
        <v>7238</v>
      </c>
      <c r="H1931" s="264" t="s">
        <v>7347</v>
      </c>
      <c r="I1931" s="264" t="s">
        <v>7347</v>
      </c>
      <c r="J1931" s="295">
        <v>29.63</v>
      </c>
      <c r="K1931" s="295">
        <v>29.63</v>
      </c>
      <c r="L1931" s="295" t="s">
        <v>7240</v>
      </c>
      <c r="O1931" s="266">
        <v>0</v>
      </c>
      <c r="Q1931" s="266">
        <v>0</v>
      </c>
      <c r="R1931" s="265">
        <v>0</v>
      </c>
      <c r="V1931" s="265" t="s">
        <v>3028</v>
      </c>
      <c r="W1931" s="259" t="s">
        <v>3029</v>
      </c>
      <c r="Y1931" s="259">
        <f t="shared" si="4"/>
        <v>1019</v>
      </c>
      <c r="AA1931" s="259" t="e">
        <v>#N/A</v>
      </c>
      <c r="AB1931" s="259"/>
      <c r="AC1931" s="259"/>
      <c r="AD1931" s="259"/>
      <c r="AE1931" s="259"/>
    </row>
    <row r="1932" spans="1:31">
      <c r="A1932" s="259">
        <v>91611751</v>
      </c>
      <c r="B1932" s="259" t="s">
        <v>116</v>
      </c>
      <c r="C1932" s="264" t="s">
        <v>1949</v>
      </c>
      <c r="D1932" s="264" t="s">
        <v>7348</v>
      </c>
      <c r="E1932" s="259" t="s">
        <v>7238</v>
      </c>
      <c r="H1932" s="264" t="s">
        <v>7348</v>
      </c>
      <c r="I1932" s="264" t="s">
        <v>7348</v>
      </c>
      <c r="J1932" s="295">
        <v>29.63</v>
      </c>
      <c r="K1932" s="295">
        <v>29.63</v>
      </c>
      <c r="L1932" s="295" t="s">
        <v>7240</v>
      </c>
      <c r="O1932" s="266">
        <v>0</v>
      </c>
      <c r="Q1932" s="266">
        <v>0</v>
      </c>
      <c r="R1932" s="265">
        <v>0</v>
      </c>
      <c r="V1932" s="265" t="s">
        <v>3028</v>
      </c>
      <c r="W1932" s="259" t="s">
        <v>3029</v>
      </c>
      <c r="Y1932" s="259">
        <f t="shared" si="4"/>
        <v>1020</v>
      </c>
      <c r="AA1932" s="259" t="e">
        <v>#N/A</v>
      </c>
      <c r="AB1932" s="259"/>
      <c r="AC1932" s="259"/>
      <c r="AD1932" s="259"/>
      <c r="AE1932" s="259"/>
    </row>
    <row r="1933" spans="1:31">
      <c r="A1933" s="259">
        <v>91616052</v>
      </c>
      <c r="B1933" s="259" t="s">
        <v>116</v>
      </c>
      <c r="C1933" s="264" t="s">
        <v>1949</v>
      </c>
      <c r="D1933" s="264" t="s">
        <v>7349</v>
      </c>
      <c r="E1933" s="259" t="s">
        <v>7238</v>
      </c>
      <c r="H1933" s="264" t="s">
        <v>7349</v>
      </c>
      <c r="I1933" s="264" t="s">
        <v>7349</v>
      </c>
      <c r="J1933" s="295">
        <v>16.05</v>
      </c>
      <c r="K1933" s="295">
        <v>16.05</v>
      </c>
      <c r="L1933" s="295" t="s">
        <v>7240</v>
      </c>
      <c r="O1933" s="266">
        <v>0</v>
      </c>
      <c r="Q1933" s="266">
        <v>0</v>
      </c>
      <c r="R1933" s="265">
        <v>0</v>
      </c>
      <c r="V1933" s="265" t="s">
        <v>3247</v>
      </c>
      <c r="W1933" s="259">
        <v>0</v>
      </c>
      <c r="Y1933" s="259">
        <f t="shared" si="4"/>
        <v>1021</v>
      </c>
      <c r="AA1933" s="259" t="e">
        <v>#N/A</v>
      </c>
      <c r="AB1933" s="259"/>
      <c r="AC1933" s="259"/>
      <c r="AD1933" s="259"/>
      <c r="AE1933" s="259"/>
    </row>
    <row r="1934" spans="1:31">
      <c r="A1934" s="259" t="s">
        <v>1979</v>
      </c>
      <c r="B1934" s="259" t="s">
        <v>116</v>
      </c>
      <c r="C1934" s="264"/>
      <c r="D1934" s="264"/>
      <c r="H1934" s="264"/>
      <c r="I1934" s="264"/>
      <c r="J1934" s="295">
        <v>0</v>
      </c>
      <c r="K1934" s="295">
        <v>0</v>
      </c>
      <c r="L1934" s="295">
        <v>0</v>
      </c>
      <c r="O1934" s="266"/>
      <c r="R1934" s="265"/>
      <c r="V1934" s="265">
        <v>0</v>
      </c>
      <c r="Y1934" s="259">
        <f t="shared" si="4"/>
        <v>1022</v>
      </c>
      <c r="AA1934" s="259" t="e">
        <v>#N/A</v>
      </c>
      <c r="AB1934" s="259"/>
      <c r="AC1934" s="259"/>
      <c r="AD1934" s="259"/>
      <c r="AE1934" s="259"/>
    </row>
    <row r="1935" spans="1:31">
      <c r="A1935" s="259" t="s">
        <v>1980</v>
      </c>
      <c r="B1935" s="259" t="s">
        <v>116</v>
      </c>
      <c r="C1935" s="264"/>
      <c r="D1935" s="264"/>
      <c r="H1935" s="264"/>
      <c r="I1935" s="264"/>
      <c r="J1935" s="295">
        <v>0</v>
      </c>
      <c r="K1935" s="295">
        <v>0</v>
      </c>
      <c r="L1935" s="295">
        <v>0</v>
      </c>
      <c r="O1935" s="266"/>
      <c r="R1935" s="265"/>
      <c r="V1935" s="265">
        <v>0</v>
      </c>
      <c r="Y1935" s="259">
        <f t="shared" si="4"/>
        <v>1023</v>
      </c>
      <c r="AA1935" s="259" t="e">
        <v>#N/A</v>
      </c>
      <c r="AB1935" s="259"/>
      <c r="AC1935" s="259"/>
      <c r="AD1935" s="259"/>
      <c r="AE1935" s="259"/>
    </row>
    <row r="1936" spans="1:31">
      <c r="A1936" s="259">
        <v>97120902</v>
      </c>
      <c r="B1936" s="259" t="s">
        <v>116</v>
      </c>
      <c r="C1936" s="264" t="s">
        <v>7350</v>
      </c>
      <c r="D1936" s="264" t="s">
        <v>7351</v>
      </c>
      <c r="E1936" s="259" t="s">
        <v>7352</v>
      </c>
      <c r="H1936" s="264" t="s">
        <v>7351</v>
      </c>
      <c r="I1936" s="264" t="s">
        <v>7351</v>
      </c>
      <c r="J1936" s="295">
        <v>118.91</v>
      </c>
      <c r="K1936" s="295">
        <v>118.91</v>
      </c>
      <c r="L1936" s="295" t="s">
        <v>7240</v>
      </c>
      <c r="O1936" s="266">
        <v>0</v>
      </c>
      <c r="P1936" s="266">
        <v>688705003245</v>
      </c>
      <c r="Q1936" s="266">
        <v>0</v>
      </c>
      <c r="R1936" s="265">
        <v>0</v>
      </c>
      <c r="S1936" s="265">
        <v>11.5</v>
      </c>
      <c r="V1936" s="265" t="s">
        <v>7247</v>
      </c>
      <c r="W1936" s="259">
        <v>0</v>
      </c>
      <c r="X1936" s="264" t="s">
        <v>7353</v>
      </c>
      <c r="Y1936" s="259">
        <f t="shared" si="4"/>
        <v>1024</v>
      </c>
      <c r="AA1936" s="259" t="e">
        <v>#N/A</v>
      </c>
      <c r="AB1936" s="259"/>
      <c r="AC1936" s="259"/>
      <c r="AD1936" s="259"/>
      <c r="AE1936" s="259"/>
    </row>
    <row r="1937" spans="1:31">
      <c r="A1937" s="259">
        <v>97120903</v>
      </c>
      <c r="B1937" s="259" t="s">
        <v>116</v>
      </c>
      <c r="C1937" s="264" t="s">
        <v>7350</v>
      </c>
      <c r="D1937" s="264" t="s">
        <v>7354</v>
      </c>
      <c r="E1937" s="259" t="s">
        <v>7352</v>
      </c>
      <c r="H1937" s="264" t="s">
        <v>7354</v>
      </c>
      <c r="I1937" s="264" t="s">
        <v>7354</v>
      </c>
      <c r="J1937" s="295">
        <v>132.12</v>
      </c>
      <c r="K1937" s="295">
        <v>132.12</v>
      </c>
      <c r="L1937" s="295" t="s">
        <v>7240</v>
      </c>
      <c r="O1937" s="266">
        <v>0</v>
      </c>
      <c r="P1937" s="266">
        <v>688705003252</v>
      </c>
      <c r="Q1937" s="266">
        <v>0</v>
      </c>
      <c r="R1937" s="265">
        <v>10.7</v>
      </c>
      <c r="S1937" s="265">
        <v>10.7</v>
      </c>
      <c r="V1937" s="265" t="s">
        <v>7247</v>
      </c>
      <c r="W1937" s="259">
        <v>0</v>
      </c>
      <c r="X1937" s="264" t="s">
        <v>7353</v>
      </c>
      <c r="Y1937" s="259">
        <f t="shared" si="4"/>
        <v>1025</v>
      </c>
      <c r="AA1937" s="259" t="e">
        <v>#N/A</v>
      </c>
      <c r="AB1937" s="259"/>
      <c r="AC1937" s="259"/>
      <c r="AD1937" s="259"/>
      <c r="AE1937" s="259"/>
    </row>
    <row r="1938" spans="1:31">
      <c r="A1938" s="259">
        <v>97120904</v>
      </c>
      <c r="B1938" s="259" t="s">
        <v>116</v>
      </c>
      <c r="C1938" s="264" t="s">
        <v>7350</v>
      </c>
      <c r="D1938" s="264" t="s">
        <v>7355</v>
      </c>
      <c r="E1938" s="259" t="s">
        <v>7352</v>
      </c>
      <c r="H1938" s="264" t="s">
        <v>7355</v>
      </c>
      <c r="I1938" s="264" t="s">
        <v>7355</v>
      </c>
      <c r="J1938" s="295">
        <v>1027.58</v>
      </c>
      <c r="K1938" s="295">
        <v>1027.58</v>
      </c>
      <c r="L1938" s="295" t="s">
        <v>7240</v>
      </c>
      <c r="O1938" s="266">
        <v>0</v>
      </c>
      <c r="P1938" s="266">
        <v>688705003269</v>
      </c>
      <c r="Q1938" s="266">
        <v>0</v>
      </c>
      <c r="R1938" s="265">
        <v>23.7</v>
      </c>
      <c r="S1938" s="265">
        <v>23.7</v>
      </c>
      <c r="V1938" s="265" t="s">
        <v>7247</v>
      </c>
      <c r="W1938" s="259">
        <v>0</v>
      </c>
      <c r="X1938" s="264" t="s">
        <v>7353</v>
      </c>
      <c r="Y1938" s="259">
        <f t="shared" si="4"/>
        <v>1026</v>
      </c>
      <c r="AA1938" s="259" t="e">
        <v>#N/A</v>
      </c>
      <c r="AB1938" s="259"/>
      <c r="AC1938" s="259"/>
      <c r="AD1938" s="259"/>
      <c r="AE1938" s="259"/>
    </row>
    <row r="1939" spans="1:31">
      <c r="A1939" s="259" t="s">
        <v>1981</v>
      </c>
      <c r="B1939" s="259" t="s">
        <v>116</v>
      </c>
      <c r="C1939" s="264"/>
      <c r="D1939" s="264"/>
      <c r="H1939" s="264"/>
      <c r="I1939" s="264"/>
      <c r="J1939" s="295">
        <v>0</v>
      </c>
      <c r="K1939" s="295">
        <v>0</v>
      </c>
      <c r="L1939" s="295">
        <v>0</v>
      </c>
      <c r="O1939" s="266"/>
      <c r="R1939" s="265"/>
      <c r="V1939" s="265">
        <v>0</v>
      </c>
      <c r="Y1939" s="259">
        <f t="shared" si="4"/>
        <v>1027</v>
      </c>
      <c r="AA1939" s="259" t="e">
        <v>#N/A</v>
      </c>
      <c r="AB1939" s="259"/>
      <c r="AC1939" s="259"/>
      <c r="AD1939" s="259"/>
      <c r="AE1939" s="259"/>
    </row>
    <row r="1940" spans="1:31">
      <c r="A1940" s="259">
        <v>97120910</v>
      </c>
      <c r="B1940" s="259" t="s">
        <v>116</v>
      </c>
      <c r="C1940" s="264" t="s">
        <v>7350</v>
      </c>
      <c r="D1940" s="264" t="s">
        <v>7356</v>
      </c>
      <c r="E1940" s="259" t="s">
        <v>7352</v>
      </c>
      <c r="G1940" s="259" t="s">
        <v>7357</v>
      </c>
      <c r="H1940" s="264" t="s">
        <v>7356</v>
      </c>
      <c r="I1940" s="264" t="s">
        <v>7356</v>
      </c>
      <c r="J1940" s="295">
        <v>92.04</v>
      </c>
      <c r="K1940" s="295">
        <v>92.04</v>
      </c>
      <c r="L1940" s="295" t="s">
        <v>7240</v>
      </c>
      <c r="O1940" s="266">
        <v>0</v>
      </c>
      <c r="P1940" s="266">
        <v>688705003276</v>
      </c>
      <c r="Q1940" s="266">
        <v>0</v>
      </c>
      <c r="R1940" s="265">
        <v>10.3</v>
      </c>
      <c r="S1940" s="265">
        <v>10.3</v>
      </c>
      <c r="V1940" s="265" t="s">
        <v>7247</v>
      </c>
      <c r="W1940" s="259">
        <v>0</v>
      </c>
      <c r="Y1940" s="259">
        <f t="shared" si="4"/>
        <v>1028</v>
      </c>
      <c r="AA1940" s="259" t="e">
        <v>#N/A</v>
      </c>
      <c r="AB1940" s="259"/>
      <c r="AC1940" s="259"/>
      <c r="AD1940" s="259"/>
      <c r="AE1940" s="259"/>
    </row>
    <row r="1941" spans="1:31">
      <c r="A1941" s="259">
        <v>97120912</v>
      </c>
      <c r="B1941" s="259" t="s">
        <v>116</v>
      </c>
      <c r="C1941" s="264" t="s">
        <v>7350</v>
      </c>
      <c r="D1941" s="264" t="s">
        <v>7358</v>
      </c>
      <c r="E1941" s="259" t="s">
        <v>7352</v>
      </c>
      <c r="H1941" s="264" t="s">
        <v>7358</v>
      </c>
      <c r="I1941" s="264" t="s">
        <v>7358</v>
      </c>
      <c r="J1941" s="295">
        <v>117.02</v>
      </c>
      <c r="K1941" s="295">
        <v>117.02</v>
      </c>
      <c r="L1941" s="295" t="s">
        <v>7240</v>
      </c>
      <c r="O1941" s="266">
        <v>0</v>
      </c>
      <c r="P1941" s="266">
        <v>688705003290</v>
      </c>
      <c r="Q1941" s="266">
        <v>0</v>
      </c>
      <c r="R1941" s="265">
        <v>0</v>
      </c>
      <c r="S1941" s="265">
        <v>11.5</v>
      </c>
      <c r="V1941" s="265" t="s">
        <v>7247</v>
      </c>
      <c r="W1941" s="259">
        <v>0</v>
      </c>
      <c r="X1941" s="264" t="s">
        <v>7359</v>
      </c>
      <c r="Y1941" s="259">
        <f t="shared" si="4"/>
        <v>1029</v>
      </c>
      <c r="AA1941" s="259" t="e">
        <v>#N/A</v>
      </c>
      <c r="AB1941" s="259"/>
      <c r="AC1941" s="259"/>
      <c r="AD1941" s="259"/>
      <c r="AE1941" s="259"/>
    </row>
    <row r="1942" spans="1:31">
      <c r="A1942" s="259" t="s">
        <v>1982</v>
      </c>
      <c r="B1942" s="259" t="s">
        <v>116</v>
      </c>
      <c r="C1942" s="264"/>
      <c r="D1942" s="264"/>
      <c r="H1942" s="264"/>
      <c r="I1942" s="264"/>
      <c r="J1942" s="295">
        <v>0</v>
      </c>
      <c r="K1942" s="295">
        <v>0</v>
      </c>
      <c r="L1942" s="295">
        <v>0</v>
      </c>
      <c r="O1942" s="266"/>
      <c r="R1942" s="265"/>
      <c r="V1942" s="265">
        <v>0</v>
      </c>
      <c r="Y1942" s="259">
        <f t="shared" si="4"/>
        <v>1030</v>
      </c>
      <c r="AA1942" s="259" t="e">
        <v>#N/A</v>
      </c>
      <c r="AB1942" s="259"/>
      <c r="AC1942" s="259"/>
      <c r="AD1942" s="259"/>
      <c r="AE1942" s="259"/>
    </row>
    <row r="1943" spans="1:31">
      <c r="A1943" s="259">
        <v>97120922</v>
      </c>
      <c r="B1943" s="259" t="s">
        <v>116</v>
      </c>
      <c r="C1943" s="264" t="s">
        <v>7350</v>
      </c>
      <c r="D1943" s="264" t="s">
        <v>7360</v>
      </c>
      <c r="E1943" s="259" t="s">
        <v>7352</v>
      </c>
      <c r="H1943" s="264" t="s">
        <v>7360</v>
      </c>
      <c r="I1943" s="264" t="s">
        <v>7360</v>
      </c>
      <c r="J1943" s="295">
        <v>139.37</v>
      </c>
      <c r="K1943" s="295">
        <v>139.37</v>
      </c>
      <c r="L1943" s="295" t="s">
        <v>7240</v>
      </c>
      <c r="O1943" s="266">
        <v>0</v>
      </c>
      <c r="P1943" s="266">
        <v>688705003344</v>
      </c>
      <c r="Q1943" s="266">
        <v>0</v>
      </c>
      <c r="R1943" s="265">
        <v>0</v>
      </c>
      <c r="S1943" s="265">
        <v>11.5</v>
      </c>
      <c r="V1943" s="265" t="s">
        <v>7247</v>
      </c>
      <c r="W1943" s="259">
        <v>0</v>
      </c>
      <c r="X1943" s="264" t="s">
        <v>7361</v>
      </c>
      <c r="Y1943" s="259">
        <f t="shared" si="4"/>
        <v>1031</v>
      </c>
      <c r="AA1943" s="259" t="e">
        <v>#N/A</v>
      </c>
      <c r="AB1943" s="259"/>
      <c r="AC1943" s="259"/>
      <c r="AD1943" s="259"/>
      <c r="AE1943" s="259"/>
    </row>
    <row r="1944" spans="1:31">
      <c r="A1944" s="259">
        <v>97120923</v>
      </c>
      <c r="B1944" s="259" t="s">
        <v>116</v>
      </c>
      <c r="C1944" s="264" t="s">
        <v>7350</v>
      </c>
      <c r="D1944" s="264" t="s">
        <v>7362</v>
      </c>
      <c r="E1944" s="259" t="s">
        <v>7352</v>
      </c>
      <c r="H1944" s="264" t="s">
        <v>7362</v>
      </c>
      <c r="I1944" s="264" t="s">
        <v>7362</v>
      </c>
      <c r="J1944" s="295">
        <v>160.4</v>
      </c>
      <c r="K1944" s="295">
        <v>160.4</v>
      </c>
      <c r="L1944" s="295" t="s">
        <v>7240</v>
      </c>
      <c r="O1944" s="266">
        <v>0</v>
      </c>
      <c r="P1944" s="266">
        <v>688705003351</v>
      </c>
      <c r="Q1944" s="266">
        <v>0</v>
      </c>
      <c r="R1944" s="265">
        <v>10.7</v>
      </c>
      <c r="S1944" s="265">
        <v>10.7</v>
      </c>
      <c r="V1944" s="265" t="s">
        <v>7247</v>
      </c>
      <c r="W1944" s="259">
        <v>0</v>
      </c>
      <c r="X1944" s="264" t="s">
        <v>7361</v>
      </c>
      <c r="Y1944" s="259">
        <f t="shared" si="4"/>
        <v>1032</v>
      </c>
      <c r="AA1944" s="259" t="e">
        <v>#N/A</v>
      </c>
      <c r="AB1944" s="259"/>
      <c r="AC1944" s="259"/>
      <c r="AD1944" s="259"/>
      <c r="AE1944" s="259"/>
    </row>
    <row r="1945" spans="1:31">
      <c r="A1945" s="259">
        <v>97120924</v>
      </c>
      <c r="B1945" s="259" t="s">
        <v>116</v>
      </c>
      <c r="C1945" s="264" t="s">
        <v>7350</v>
      </c>
      <c r="D1945" s="264" t="s">
        <v>7363</v>
      </c>
      <c r="E1945" s="259" t="s">
        <v>7352</v>
      </c>
      <c r="H1945" s="264" t="s">
        <v>7363</v>
      </c>
      <c r="I1945" s="264" t="s">
        <v>7363</v>
      </c>
      <c r="J1945" s="295">
        <v>1288.5</v>
      </c>
      <c r="K1945" s="295">
        <v>1288.5</v>
      </c>
      <c r="L1945" s="295" t="s">
        <v>7240</v>
      </c>
      <c r="O1945" s="266">
        <v>0</v>
      </c>
      <c r="P1945" s="266">
        <v>688705003368</v>
      </c>
      <c r="Q1945" s="266">
        <v>0</v>
      </c>
      <c r="R1945" s="265">
        <v>23.7</v>
      </c>
      <c r="S1945" s="265">
        <v>23.7</v>
      </c>
      <c r="V1945" s="265" t="s">
        <v>7247</v>
      </c>
      <c r="W1945" s="259">
        <v>0</v>
      </c>
      <c r="X1945" s="264" t="s">
        <v>7361</v>
      </c>
      <c r="Y1945" s="259">
        <f t="shared" si="4"/>
        <v>1033</v>
      </c>
      <c r="AA1945" s="259" t="e">
        <v>#N/A</v>
      </c>
      <c r="AB1945" s="259"/>
      <c r="AC1945" s="259"/>
      <c r="AD1945" s="259"/>
      <c r="AE1945" s="259"/>
    </row>
    <row r="1946" spans="1:31">
      <c r="A1946" s="259" t="s">
        <v>1983</v>
      </c>
      <c r="B1946" s="259" t="s">
        <v>116</v>
      </c>
      <c r="C1946" s="264"/>
      <c r="D1946" s="264"/>
      <c r="H1946" s="264"/>
      <c r="I1946" s="264"/>
      <c r="J1946" s="295">
        <v>0</v>
      </c>
      <c r="K1946" s="295">
        <v>0</v>
      </c>
      <c r="L1946" s="295">
        <v>0</v>
      </c>
      <c r="O1946" s="266"/>
      <c r="R1946" s="265"/>
      <c r="V1946" s="265">
        <v>0</v>
      </c>
      <c r="Y1946" s="259">
        <f t="shared" si="4"/>
        <v>1034</v>
      </c>
      <c r="AA1946" s="259" t="e">
        <v>#N/A</v>
      </c>
      <c r="AB1946" s="259"/>
      <c r="AC1946" s="259"/>
      <c r="AD1946" s="259"/>
      <c r="AE1946" s="259"/>
    </row>
    <row r="1947" spans="1:31">
      <c r="A1947" s="259">
        <v>97120932</v>
      </c>
      <c r="B1947" s="259" t="s">
        <v>116</v>
      </c>
      <c r="C1947" s="264" t="s">
        <v>7350</v>
      </c>
      <c r="D1947" s="264" t="s">
        <v>7365</v>
      </c>
      <c r="E1947" s="259" t="s">
        <v>7352</v>
      </c>
      <c r="H1947" s="264" t="s">
        <v>7365</v>
      </c>
      <c r="I1947" s="264" t="s">
        <v>7365</v>
      </c>
      <c r="J1947" s="295">
        <v>165.66</v>
      </c>
      <c r="K1947" s="295">
        <v>165.66</v>
      </c>
      <c r="L1947" s="295" t="s">
        <v>7240</v>
      </c>
      <c r="O1947" s="266">
        <v>0</v>
      </c>
      <c r="P1947" s="266">
        <v>688705003399</v>
      </c>
      <c r="Q1947" s="266">
        <v>0</v>
      </c>
      <c r="R1947" s="265">
        <v>0</v>
      </c>
      <c r="S1947" s="265">
        <v>11.5</v>
      </c>
      <c r="V1947" s="265" t="s">
        <v>7247</v>
      </c>
      <c r="W1947" s="259">
        <v>0</v>
      </c>
      <c r="X1947" s="264" t="s">
        <v>7364</v>
      </c>
      <c r="Y1947" s="259">
        <f t="shared" si="4"/>
        <v>1035</v>
      </c>
      <c r="AA1947" s="259" t="e">
        <v>#N/A</v>
      </c>
      <c r="AB1947" s="259"/>
      <c r="AC1947" s="259"/>
      <c r="AD1947" s="259"/>
      <c r="AE1947" s="259"/>
    </row>
    <row r="1948" spans="1:31">
      <c r="A1948" s="259">
        <v>97120934</v>
      </c>
      <c r="B1948" s="259" t="s">
        <v>116</v>
      </c>
      <c r="C1948" s="264" t="s">
        <v>7350</v>
      </c>
      <c r="D1948" s="264" t="s">
        <v>7366</v>
      </c>
      <c r="E1948" s="259" t="s">
        <v>7352</v>
      </c>
      <c r="H1948" s="264" t="s">
        <v>7366</v>
      </c>
      <c r="I1948" s="264" t="s">
        <v>7366</v>
      </c>
      <c r="J1948" s="295">
        <v>1573.81</v>
      </c>
      <c r="K1948" s="295">
        <v>1573.81</v>
      </c>
      <c r="L1948" s="295" t="s">
        <v>7240</v>
      </c>
      <c r="O1948" s="266">
        <v>0</v>
      </c>
      <c r="P1948" s="266">
        <v>688705003412</v>
      </c>
      <c r="Q1948" s="266">
        <v>0</v>
      </c>
      <c r="R1948" s="265">
        <v>23.7</v>
      </c>
      <c r="S1948" s="265">
        <v>23.7</v>
      </c>
      <c r="V1948" s="265" t="s">
        <v>7247</v>
      </c>
      <c r="W1948" s="259">
        <v>0</v>
      </c>
      <c r="X1948" s="264" t="s">
        <v>7364</v>
      </c>
      <c r="Y1948" s="259">
        <f t="shared" si="4"/>
        <v>1036</v>
      </c>
      <c r="AA1948" s="259" t="e">
        <v>#N/A</v>
      </c>
      <c r="AB1948" s="259"/>
      <c r="AC1948" s="259"/>
      <c r="AD1948" s="259"/>
      <c r="AE1948" s="259"/>
    </row>
    <row r="1949" spans="1:31">
      <c r="A1949" s="259" t="s">
        <v>1984</v>
      </c>
      <c r="B1949" s="259" t="s">
        <v>116</v>
      </c>
      <c r="C1949" s="264"/>
      <c r="D1949" s="264"/>
      <c r="H1949" s="264"/>
      <c r="I1949" s="264"/>
      <c r="J1949" s="295">
        <v>0</v>
      </c>
      <c r="K1949" s="295">
        <v>0</v>
      </c>
      <c r="L1949" s="295">
        <v>0</v>
      </c>
      <c r="O1949" s="266"/>
      <c r="R1949" s="265"/>
      <c r="V1949" s="265">
        <v>0</v>
      </c>
      <c r="Y1949" s="259">
        <f t="shared" si="4"/>
        <v>1037</v>
      </c>
      <c r="AA1949" s="259" t="e">
        <v>#N/A</v>
      </c>
      <c r="AB1949" s="259"/>
      <c r="AC1949" s="259"/>
      <c r="AD1949" s="259"/>
      <c r="AE1949" s="259"/>
    </row>
    <row r="1950" spans="1:31">
      <c r="A1950" s="259">
        <v>97120832</v>
      </c>
      <c r="B1950" s="259" t="s">
        <v>116</v>
      </c>
      <c r="C1950" s="264" t="s">
        <v>7350</v>
      </c>
      <c r="D1950" s="264" t="s">
        <v>7367</v>
      </c>
      <c r="E1950" s="259" t="s">
        <v>7352</v>
      </c>
      <c r="H1950" s="264" t="s">
        <v>7367</v>
      </c>
      <c r="I1950" s="264" t="s">
        <v>7367</v>
      </c>
      <c r="J1950" s="295">
        <v>203.79</v>
      </c>
      <c r="K1950" s="295">
        <v>203.79</v>
      </c>
      <c r="L1950" s="295" t="s">
        <v>7240</v>
      </c>
      <c r="O1950" s="266">
        <v>0</v>
      </c>
      <c r="P1950" s="266">
        <v>688705003429</v>
      </c>
      <c r="Q1950" s="266">
        <v>0</v>
      </c>
      <c r="R1950" s="265">
        <v>0</v>
      </c>
      <c r="S1950" s="265">
        <v>11.5</v>
      </c>
      <c r="V1950" s="265" t="s">
        <v>7247</v>
      </c>
      <c r="W1950" s="259">
        <v>0</v>
      </c>
      <c r="Y1950" s="259">
        <f t="shared" si="4"/>
        <v>1038</v>
      </c>
      <c r="AA1950" s="259" t="e">
        <v>#N/A</v>
      </c>
      <c r="AB1950" s="259"/>
      <c r="AC1950" s="259"/>
      <c r="AD1950" s="259"/>
      <c r="AE1950" s="259"/>
    </row>
    <row r="1951" spans="1:31">
      <c r="A1951" s="259" t="s">
        <v>1985</v>
      </c>
      <c r="B1951" s="259" t="s">
        <v>116</v>
      </c>
      <c r="C1951" s="264"/>
      <c r="D1951" s="264"/>
      <c r="H1951" s="264"/>
      <c r="I1951" s="264"/>
      <c r="J1951" s="295">
        <v>0</v>
      </c>
      <c r="K1951" s="295">
        <v>0</v>
      </c>
      <c r="L1951" s="295">
        <v>0</v>
      </c>
      <c r="O1951" s="266"/>
      <c r="R1951" s="265"/>
      <c r="V1951" s="265">
        <v>0</v>
      </c>
      <c r="Y1951" s="259">
        <f t="shared" si="4"/>
        <v>1039</v>
      </c>
      <c r="AA1951" s="259" t="e">
        <v>#N/A</v>
      </c>
      <c r="AB1951" s="259"/>
      <c r="AC1951" s="259"/>
      <c r="AD1951" s="259"/>
      <c r="AE1951" s="259"/>
    </row>
    <row r="1952" spans="1:31">
      <c r="A1952" s="259">
        <v>97120842</v>
      </c>
      <c r="B1952" s="259" t="s">
        <v>116</v>
      </c>
      <c r="C1952" s="264" t="s">
        <v>7350</v>
      </c>
      <c r="D1952" s="264" t="s">
        <v>7368</v>
      </c>
      <c r="E1952" s="259" t="s">
        <v>7352</v>
      </c>
      <c r="H1952" s="264" t="s">
        <v>7368</v>
      </c>
      <c r="I1952" s="264" t="s">
        <v>7368</v>
      </c>
      <c r="J1952" s="295">
        <v>224.83</v>
      </c>
      <c r="K1952" s="295">
        <v>224.83</v>
      </c>
      <c r="L1952" s="295" t="s">
        <v>7240</v>
      </c>
      <c r="O1952" s="266">
        <v>0</v>
      </c>
      <c r="P1952" s="266">
        <v>688705003450</v>
      </c>
      <c r="Q1952" s="266">
        <v>0</v>
      </c>
      <c r="R1952" s="265">
        <v>0</v>
      </c>
      <c r="S1952" s="265">
        <v>11.5</v>
      </c>
      <c r="V1952" s="265" t="s">
        <v>7247</v>
      </c>
      <c r="W1952" s="259">
        <v>0</v>
      </c>
      <c r="Y1952" s="259">
        <f t="shared" si="4"/>
        <v>1040</v>
      </c>
      <c r="AA1952" s="259" t="e">
        <v>#N/A</v>
      </c>
      <c r="AB1952" s="259"/>
      <c r="AC1952" s="259"/>
      <c r="AD1952" s="259"/>
      <c r="AE1952" s="259"/>
    </row>
    <row r="1953" spans="1:31">
      <c r="A1953" s="259">
        <v>97120844</v>
      </c>
      <c r="B1953" s="259" t="s">
        <v>116</v>
      </c>
      <c r="C1953" s="264" t="s">
        <v>7350</v>
      </c>
      <c r="D1953" s="264" t="s">
        <v>7369</v>
      </c>
      <c r="E1953" s="259" t="s">
        <v>7352</v>
      </c>
      <c r="H1953" s="264" t="s">
        <v>7369</v>
      </c>
      <c r="I1953" s="264" t="s">
        <v>7369</v>
      </c>
      <c r="J1953" s="295">
        <v>2243.04</v>
      </c>
      <c r="K1953" s="295">
        <v>2243.04</v>
      </c>
      <c r="L1953" s="295" t="s">
        <v>7240</v>
      </c>
      <c r="O1953" s="266">
        <v>0</v>
      </c>
      <c r="P1953" s="266">
        <v>688705003474</v>
      </c>
      <c r="Q1953" s="266">
        <v>0</v>
      </c>
      <c r="R1953" s="265">
        <v>23.7</v>
      </c>
      <c r="S1953" s="265">
        <v>23.7</v>
      </c>
      <c r="V1953" s="265" t="s">
        <v>7247</v>
      </c>
      <c r="W1953" s="259">
        <v>0</v>
      </c>
      <c r="X1953" s="264" t="s">
        <v>7370</v>
      </c>
      <c r="Y1953" s="259">
        <f t="shared" si="4"/>
        <v>1041</v>
      </c>
      <c r="AA1953" s="259" t="e">
        <v>#N/A</v>
      </c>
      <c r="AB1953" s="259"/>
      <c r="AC1953" s="259"/>
      <c r="AD1953" s="259"/>
      <c r="AE1953" s="259"/>
    </row>
    <row r="1954" spans="1:31">
      <c r="A1954" s="259" t="s">
        <v>1986</v>
      </c>
      <c r="B1954" s="259" t="s">
        <v>116</v>
      </c>
      <c r="C1954" s="264"/>
      <c r="D1954" s="264"/>
      <c r="H1954" s="264"/>
      <c r="I1954" s="264"/>
      <c r="J1954" s="295">
        <v>0</v>
      </c>
      <c r="K1954" s="295">
        <v>0</v>
      </c>
      <c r="L1954" s="295">
        <v>0</v>
      </c>
      <c r="O1954" s="266"/>
      <c r="R1954" s="265"/>
      <c r="V1954" s="265">
        <v>0</v>
      </c>
      <c r="Y1954" s="259">
        <f t="shared" si="4"/>
        <v>1042</v>
      </c>
      <c r="AA1954" s="259" t="e">
        <v>#N/A</v>
      </c>
      <c r="AB1954" s="259"/>
      <c r="AC1954" s="259"/>
      <c r="AD1954" s="259"/>
      <c r="AE1954" s="259"/>
    </row>
    <row r="1955" spans="1:31">
      <c r="A1955" s="259">
        <v>97120852</v>
      </c>
      <c r="B1955" s="259" t="s">
        <v>116</v>
      </c>
      <c r="C1955" s="264" t="s">
        <v>7350</v>
      </c>
      <c r="D1955" s="264" t="s">
        <v>7371</v>
      </c>
      <c r="E1955" s="259" t="s">
        <v>7352</v>
      </c>
      <c r="H1955" s="264" t="s">
        <v>7371</v>
      </c>
      <c r="I1955" s="264" t="s">
        <v>7371</v>
      </c>
      <c r="J1955" s="295">
        <v>247.18</v>
      </c>
      <c r="K1955" s="295">
        <v>247.18</v>
      </c>
      <c r="L1955" s="295" t="s">
        <v>7240</v>
      </c>
      <c r="O1955" s="266">
        <v>0</v>
      </c>
      <c r="P1955" s="266">
        <v>688705003481</v>
      </c>
      <c r="Q1955" s="266">
        <v>0</v>
      </c>
      <c r="R1955" s="265">
        <v>0</v>
      </c>
      <c r="S1955" s="265">
        <v>11.5</v>
      </c>
      <c r="V1955" s="265" t="s">
        <v>7247</v>
      </c>
      <c r="W1955" s="259">
        <v>0</v>
      </c>
      <c r="Y1955" s="259">
        <f t="shared" si="4"/>
        <v>1043</v>
      </c>
      <c r="AA1955" s="259" t="e">
        <v>#N/A</v>
      </c>
      <c r="AB1955" s="259"/>
      <c r="AC1955" s="259"/>
      <c r="AD1955" s="259"/>
      <c r="AE1955" s="259"/>
    </row>
    <row r="1956" spans="1:31">
      <c r="A1956" s="259">
        <v>97120854</v>
      </c>
      <c r="B1956" s="259" t="s">
        <v>116</v>
      </c>
      <c r="C1956" s="264" t="s">
        <v>7350</v>
      </c>
      <c r="D1956" s="264" t="s">
        <v>7372</v>
      </c>
      <c r="E1956" s="259" t="s">
        <v>7352</v>
      </c>
      <c r="H1956" s="264" t="s">
        <v>7372</v>
      </c>
      <c r="I1956" s="264" t="s">
        <v>7372</v>
      </c>
      <c r="J1956" s="295">
        <v>2478.39</v>
      </c>
      <c r="K1956" s="295">
        <v>2478.39</v>
      </c>
      <c r="L1956" s="295" t="s">
        <v>7240</v>
      </c>
      <c r="O1956" s="266">
        <v>0</v>
      </c>
      <c r="P1956" s="266">
        <v>688705003504</v>
      </c>
      <c r="Q1956" s="266">
        <v>0</v>
      </c>
      <c r="R1956" s="265">
        <v>23.7</v>
      </c>
      <c r="S1956" s="265">
        <v>23.7</v>
      </c>
      <c r="V1956" s="265" t="s">
        <v>7247</v>
      </c>
      <c r="W1956" s="259">
        <v>0</v>
      </c>
      <c r="X1956" s="264" t="s">
        <v>7373</v>
      </c>
      <c r="Y1956" s="259">
        <f t="shared" si="4"/>
        <v>1044</v>
      </c>
      <c r="AA1956" s="259" t="e">
        <v>#N/A</v>
      </c>
      <c r="AB1956" s="259"/>
      <c r="AC1956" s="259"/>
      <c r="AD1956" s="259"/>
      <c r="AE1956" s="259"/>
    </row>
    <row r="1957" spans="1:31">
      <c r="A1957" s="259" t="s">
        <v>1987</v>
      </c>
      <c r="B1957" s="259" t="s">
        <v>116</v>
      </c>
      <c r="C1957" s="264"/>
      <c r="D1957" s="264"/>
      <c r="H1957" s="264"/>
      <c r="I1957" s="264"/>
      <c r="J1957" s="295">
        <v>0</v>
      </c>
      <c r="K1957" s="295">
        <v>0</v>
      </c>
      <c r="L1957" s="295">
        <v>0</v>
      </c>
      <c r="O1957" s="266"/>
      <c r="R1957" s="265"/>
      <c r="V1957" s="265">
        <v>0</v>
      </c>
      <c r="Y1957" s="259">
        <f t="shared" si="4"/>
        <v>1045</v>
      </c>
      <c r="AA1957" s="259" t="e">
        <v>#N/A</v>
      </c>
      <c r="AB1957" s="259"/>
      <c r="AC1957" s="259"/>
      <c r="AD1957" s="259"/>
      <c r="AE1957" s="259"/>
    </row>
    <row r="1958" spans="1:31">
      <c r="A1958" s="259">
        <v>97120073</v>
      </c>
      <c r="B1958" s="259" t="s">
        <v>116</v>
      </c>
      <c r="C1958" s="264" t="s">
        <v>7350</v>
      </c>
      <c r="D1958" s="264" t="s">
        <v>7374</v>
      </c>
      <c r="E1958" s="259" t="s">
        <v>7352</v>
      </c>
      <c r="H1958" s="264" t="s">
        <v>7374</v>
      </c>
      <c r="I1958" s="264" t="s">
        <v>7374</v>
      </c>
      <c r="J1958" s="295">
        <v>74.94</v>
      </c>
      <c r="K1958" s="295">
        <v>74.94</v>
      </c>
      <c r="L1958" s="295" t="s">
        <v>7240</v>
      </c>
      <c r="O1958" s="266">
        <v>0</v>
      </c>
      <c r="P1958" s="266">
        <v>688705002729</v>
      </c>
      <c r="Q1958" s="266">
        <v>0</v>
      </c>
      <c r="R1958" s="265">
        <v>10.25</v>
      </c>
      <c r="S1958" s="265">
        <v>10.25</v>
      </c>
      <c r="V1958" s="265" t="s">
        <v>7247</v>
      </c>
      <c r="W1958" s="259">
        <v>0</v>
      </c>
      <c r="Y1958" s="259">
        <f t="shared" si="4"/>
        <v>1046</v>
      </c>
      <c r="AA1958" s="259" t="e">
        <v>#N/A</v>
      </c>
      <c r="AB1958" s="259"/>
      <c r="AC1958" s="259"/>
      <c r="AD1958" s="259"/>
      <c r="AE1958" s="259"/>
    </row>
    <row r="1959" spans="1:31">
      <c r="A1959" s="259">
        <v>97120074</v>
      </c>
      <c r="B1959" s="259" t="s">
        <v>116</v>
      </c>
      <c r="C1959" s="264" t="s">
        <v>7350</v>
      </c>
      <c r="D1959" s="264" t="s">
        <v>7375</v>
      </c>
      <c r="E1959" s="259" t="s">
        <v>7352</v>
      </c>
      <c r="H1959" s="264" t="s">
        <v>7375</v>
      </c>
      <c r="I1959" s="264" t="s">
        <v>7375</v>
      </c>
      <c r="J1959" s="295">
        <v>136.74</v>
      </c>
      <c r="K1959" s="295">
        <v>136.74</v>
      </c>
      <c r="L1959" s="295" t="s">
        <v>7240</v>
      </c>
      <c r="O1959" s="266">
        <v>0</v>
      </c>
      <c r="P1959" s="266">
        <v>688705002736</v>
      </c>
      <c r="Q1959" s="266">
        <v>0</v>
      </c>
      <c r="R1959" s="265">
        <v>0</v>
      </c>
      <c r="S1959" s="265">
        <v>11.5</v>
      </c>
      <c r="V1959" s="265" t="s">
        <v>7247</v>
      </c>
      <c r="W1959" s="259">
        <v>0</v>
      </c>
      <c r="X1959" s="264" t="s">
        <v>7376</v>
      </c>
      <c r="Y1959" s="259">
        <f t="shared" si="4"/>
        <v>1047</v>
      </c>
      <c r="AA1959" s="259" t="e">
        <v>#N/A</v>
      </c>
      <c r="AB1959" s="259"/>
      <c r="AC1959" s="259"/>
      <c r="AD1959" s="259"/>
      <c r="AE1959" s="259"/>
    </row>
    <row r="1960" spans="1:31">
      <c r="A1960" s="259" t="s">
        <v>1988</v>
      </c>
      <c r="B1960" s="259" t="s">
        <v>116</v>
      </c>
      <c r="C1960" s="264"/>
      <c r="D1960" s="264"/>
      <c r="H1960" s="264"/>
      <c r="I1960" s="264"/>
      <c r="J1960" s="295">
        <v>0</v>
      </c>
      <c r="K1960" s="295">
        <v>0</v>
      </c>
      <c r="L1960" s="295">
        <v>0</v>
      </c>
      <c r="O1960" s="266"/>
      <c r="R1960" s="265"/>
      <c r="V1960" s="265">
        <v>0</v>
      </c>
      <c r="Y1960" s="259">
        <f t="shared" si="4"/>
        <v>1048</v>
      </c>
      <c r="AA1960" s="259" t="e">
        <v>#N/A</v>
      </c>
      <c r="AB1960" s="259"/>
      <c r="AC1960" s="259"/>
      <c r="AD1960" s="259"/>
      <c r="AE1960" s="259"/>
    </row>
    <row r="1961" spans="1:31">
      <c r="A1961" s="259">
        <v>97120425</v>
      </c>
      <c r="B1961" s="259" t="s">
        <v>116</v>
      </c>
      <c r="C1961" s="264" t="s">
        <v>7350</v>
      </c>
      <c r="D1961" s="264" t="s">
        <v>7377</v>
      </c>
      <c r="E1961" s="259" t="s">
        <v>7352</v>
      </c>
      <c r="H1961" s="264" t="s">
        <v>7377</v>
      </c>
      <c r="I1961" s="264" t="s">
        <v>7377</v>
      </c>
      <c r="J1961" s="295">
        <v>57.85</v>
      </c>
      <c r="K1961" s="295">
        <v>57.85</v>
      </c>
      <c r="L1961" s="295" t="s">
        <v>7240</v>
      </c>
      <c r="O1961" s="266">
        <v>0</v>
      </c>
      <c r="P1961" s="266">
        <v>688705002767</v>
      </c>
      <c r="Q1961" s="266">
        <v>0</v>
      </c>
      <c r="R1961" s="265">
        <v>10.25</v>
      </c>
      <c r="S1961" s="265">
        <v>10.25</v>
      </c>
      <c r="V1961" s="265" t="s">
        <v>7247</v>
      </c>
      <c r="W1961" s="259">
        <v>0</v>
      </c>
      <c r="Y1961" s="259">
        <f t="shared" si="4"/>
        <v>1049</v>
      </c>
      <c r="AA1961" s="259" t="e">
        <v>#N/A</v>
      </c>
      <c r="AB1961" s="259"/>
      <c r="AC1961" s="259"/>
      <c r="AD1961" s="259"/>
      <c r="AE1961" s="259"/>
    </row>
    <row r="1962" spans="1:31">
      <c r="A1962" s="259">
        <v>97120426</v>
      </c>
      <c r="B1962" s="259" t="s">
        <v>116</v>
      </c>
      <c r="C1962" s="264" t="s">
        <v>7350</v>
      </c>
      <c r="D1962" s="264" t="s">
        <v>7378</v>
      </c>
      <c r="E1962" s="259" t="s">
        <v>7352</v>
      </c>
      <c r="H1962" s="264" t="s">
        <v>7378</v>
      </c>
      <c r="I1962" s="264" t="s">
        <v>7378</v>
      </c>
      <c r="J1962" s="295">
        <v>110.44</v>
      </c>
      <c r="K1962" s="295">
        <v>110.44</v>
      </c>
      <c r="L1962" s="295" t="s">
        <v>7240</v>
      </c>
      <c r="O1962" s="266">
        <v>0</v>
      </c>
      <c r="P1962" s="266">
        <v>688705002774</v>
      </c>
      <c r="Q1962" s="266">
        <v>0</v>
      </c>
      <c r="R1962" s="265">
        <v>0</v>
      </c>
      <c r="S1962" s="265">
        <v>11.5</v>
      </c>
      <c r="V1962" s="265" t="s">
        <v>7247</v>
      </c>
      <c r="W1962" s="259">
        <v>0</v>
      </c>
      <c r="X1962" s="264" t="s">
        <v>7379</v>
      </c>
      <c r="Y1962" s="259">
        <f t="shared" si="4"/>
        <v>1050</v>
      </c>
      <c r="AA1962" s="259" t="e">
        <v>#N/A</v>
      </c>
      <c r="AB1962" s="259"/>
      <c r="AC1962" s="259"/>
      <c r="AD1962" s="259"/>
      <c r="AE1962" s="259"/>
    </row>
    <row r="1963" spans="1:31">
      <c r="A1963" s="259" t="s">
        <v>1989</v>
      </c>
      <c r="B1963" s="259" t="s">
        <v>116</v>
      </c>
      <c r="C1963" s="264"/>
      <c r="D1963" s="264"/>
      <c r="H1963" s="264"/>
      <c r="I1963" s="264"/>
      <c r="J1963" s="295">
        <v>0</v>
      </c>
      <c r="K1963" s="295">
        <v>0</v>
      </c>
      <c r="L1963" s="295">
        <v>0</v>
      </c>
      <c r="O1963" s="266"/>
      <c r="R1963" s="265"/>
      <c r="V1963" s="265">
        <v>0</v>
      </c>
      <c r="Y1963" s="259">
        <f t="shared" si="4"/>
        <v>1051</v>
      </c>
      <c r="AA1963" s="259" t="e">
        <v>#N/A</v>
      </c>
      <c r="AB1963" s="259"/>
      <c r="AC1963" s="259"/>
      <c r="AD1963" s="259"/>
      <c r="AE1963" s="259"/>
    </row>
    <row r="1964" spans="1:31">
      <c r="A1964" s="259">
        <v>97120070</v>
      </c>
      <c r="B1964" s="259" t="s">
        <v>116</v>
      </c>
      <c r="C1964" s="264" t="s">
        <v>7350</v>
      </c>
      <c r="D1964" s="264" t="s">
        <v>7380</v>
      </c>
      <c r="E1964" s="259" t="s">
        <v>7352</v>
      </c>
      <c r="H1964" s="264" t="s">
        <v>7380</v>
      </c>
      <c r="I1964" s="264" t="s">
        <v>7380</v>
      </c>
      <c r="J1964" s="295">
        <v>93.35</v>
      </c>
      <c r="K1964" s="295">
        <v>93.35</v>
      </c>
      <c r="L1964" s="295" t="s">
        <v>7240</v>
      </c>
      <c r="O1964" s="266">
        <v>0</v>
      </c>
      <c r="P1964" s="266">
        <v>688705002699</v>
      </c>
      <c r="Q1964" s="266">
        <v>0</v>
      </c>
      <c r="R1964" s="265">
        <v>0</v>
      </c>
      <c r="S1964" s="265">
        <v>11.5</v>
      </c>
      <c r="V1964" s="265" t="s">
        <v>7247</v>
      </c>
      <c r="W1964" s="259">
        <v>0</v>
      </c>
      <c r="Y1964" s="259">
        <f t="shared" si="4"/>
        <v>1052</v>
      </c>
      <c r="AA1964" s="259" t="e">
        <v>#N/A</v>
      </c>
      <c r="AB1964" s="259"/>
      <c r="AC1964" s="259"/>
      <c r="AD1964" s="259"/>
      <c r="AE1964" s="259"/>
    </row>
    <row r="1965" spans="1:31">
      <c r="A1965" s="259">
        <v>97120071</v>
      </c>
      <c r="B1965" s="259" t="s">
        <v>116</v>
      </c>
      <c r="C1965" s="264" t="s">
        <v>7350</v>
      </c>
      <c r="D1965" s="264" t="s">
        <v>7381</v>
      </c>
      <c r="E1965" s="259" t="s">
        <v>7352</v>
      </c>
      <c r="H1965" s="264" t="s">
        <v>7381</v>
      </c>
      <c r="I1965" s="264" t="s">
        <v>7381</v>
      </c>
      <c r="J1965" s="295">
        <v>109.13</v>
      </c>
      <c r="K1965" s="295">
        <v>109.13</v>
      </c>
      <c r="L1965" s="295" t="s">
        <v>7240</v>
      </c>
      <c r="O1965" s="266">
        <v>0</v>
      </c>
      <c r="P1965" s="266">
        <v>688705002705</v>
      </c>
      <c r="Q1965" s="266">
        <v>0</v>
      </c>
      <c r="R1965" s="265">
        <v>10.7</v>
      </c>
      <c r="S1965" s="265">
        <v>10.7</v>
      </c>
      <c r="V1965" s="265" t="s">
        <v>7247</v>
      </c>
      <c r="W1965" s="259">
        <v>0</v>
      </c>
      <c r="X1965" s="264" t="s">
        <v>7382</v>
      </c>
      <c r="Y1965" s="259">
        <f t="shared" si="4"/>
        <v>1053</v>
      </c>
      <c r="AA1965" s="259" t="e">
        <v>#N/A</v>
      </c>
      <c r="AB1965" s="259"/>
      <c r="AC1965" s="259"/>
      <c r="AD1965" s="259"/>
      <c r="AE1965" s="259"/>
    </row>
    <row r="1966" spans="1:31">
      <c r="A1966" s="259">
        <v>97120072</v>
      </c>
      <c r="B1966" s="259" t="s">
        <v>116</v>
      </c>
      <c r="C1966" s="264" t="s">
        <v>7350</v>
      </c>
      <c r="D1966" s="264" t="s">
        <v>7383</v>
      </c>
      <c r="E1966" s="259" t="s">
        <v>7352</v>
      </c>
      <c r="H1966" s="264" t="s">
        <v>7383</v>
      </c>
      <c r="I1966" s="264" t="s">
        <v>7383</v>
      </c>
      <c r="J1966" s="295">
        <v>887.49</v>
      </c>
      <c r="K1966" s="295">
        <v>887.49</v>
      </c>
      <c r="L1966" s="295" t="s">
        <v>7240</v>
      </c>
      <c r="O1966" s="266">
        <v>0</v>
      </c>
      <c r="P1966" s="266">
        <v>688705002712</v>
      </c>
      <c r="Q1966" s="266">
        <v>0</v>
      </c>
      <c r="R1966" s="265">
        <v>23.7</v>
      </c>
      <c r="S1966" s="265">
        <v>23.7</v>
      </c>
      <c r="V1966" s="265" t="s">
        <v>7247</v>
      </c>
      <c r="W1966" s="259">
        <v>0</v>
      </c>
      <c r="X1966" s="264" t="s">
        <v>7382</v>
      </c>
      <c r="Y1966" s="259">
        <f t="shared" si="4"/>
        <v>1054</v>
      </c>
      <c r="AA1966" s="259" t="e">
        <v>#N/A</v>
      </c>
      <c r="AB1966" s="259"/>
      <c r="AC1966" s="259"/>
      <c r="AD1966" s="259"/>
      <c r="AE1966" s="259"/>
    </row>
    <row r="1967" spans="1:31">
      <c r="A1967" s="259" t="s">
        <v>1990</v>
      </c>
      <c r="B1967" s="259" t="s">
        <v>116</v>
      </c>
      <c r="C1967" s="264"/>
      <c r="D1967" s="264"/>
      <c r="H1967" s="264"/>
      <c r="I1967" s="264"/>
      <c r="J1967" s="295">
        <v>0</v>
      </c>
      <c r="K1967" s="295">
        <v>0</v>
      </c>
      <c r="L1967" s="295">
        <v>0</v>
      </c>
      <c r="O1967" s="266"/>
      <c r="R1967" s="265"/>
      <c r="V1967" s="265">
        <v>0</v>
      </c>
      <c r="Y1967" s="259">
        <f t="shared" si="4"/>
        <v>1055</v>
      </c>
      <c r="AA1967" s="259" t="e">
        <v>#N/A</v>
      </c>
      <c r="AB1967" s="259"/>
      <c r="AC1967" s="259"/>
      <c r="AD1967" s="259"/>
      <c r="AE1967" s="259"/>
    </row>
    <row r="1968" spans="1:31">
      <c r="A1968" s="259">
        <v>97120407</v>
      </c>
      <c r="B1968" s="259" t="s">
        <v>116</v>
      </c>
      <c r="C1968" s="264" t="s">
        <v>7350</v>
      </c>
      <c r="D1968" s="264" t="s">
        <v>7384</v>
      </c>
      <c r="E1968" s="259" t="s">
        <v>7352</v>
      </c>
      <c r="H1968" s="264" t="s">
        <v>7384</v>
      </c>
      <c r="I1968" s="264" t="s">
        <v>7384</v>
      </c>
      <c r="J1968" s="295">
        <v>160.4</v>
      </c>
      <c r="K1968" s="295">
        <v>160.4</v>
      </c>
      <c r="L1968" s="295" t="s">
        <v>7240</v>
      </c>
      <c r="O1968" s="266">
        <v>0</v>
      </c>
      <c r="P1968" s="266">
        <v>688705003146</v>
      </c>
      <c r="Q1968" s="266">
        <v>0</v>
      </c>
      <c r="R1968" s="265">
        <v>10.25</v>
      </c>
      <c r="S1968" s="265">
        <v>10.25</v>
      </c>
      <c r="V1968" s="265" t="s">
        <v>7247</v>
      </c>
      <c r="W1968" s="259">
        <v>0</v>
      </c>
      <c r="Y1968" s="259">
        <f t="shared" si="4"/>
        <v>1056</v>
      </c>
      <c r="AA1968" s="259" t="e">
        <v>#N/A</v>
      </c>
      <c r="AB1968" s="259"/>
      <c r="AC1968" s="259"/>
      <c r="AD1968" s="259"/>
      <c r="AE1968" s="259"/>
    </row>
    <row r="1969" spans="1:31">
      <c r="A1969" s="259">
        <v>97120412</v>
      </c>
      <c r="B1969" s="259" t="s">
        <v>116</v>
      </c>
      <c r="C1969" s="264" t="s">
        <v>7350</v>
      </c>
      <c r="D1969" s="264" t="s">
        <v>7385</v>
      </c>
      <c r="E1969" s="259" t="s">
        <v>7352</v>
      </c>
      <c r="H1969" s="264" t="s">
        <v>7385</v>
      </c>
      <c r="I1969" s="264" t="s">
        <v>7385</v>
      </c>
      <c r="J1969" s="295">
        <v>2429.7399999999998</v>
      </c>
      <c r="K1969" s="295">
        <v>2429.7399999999998</v>
      </c>
      <c r="L1969" s="295" t="s">
        <v>7240</v>
      </c>
      <c r="O1969" s="266">
        <v>0</v>
      </c>
      <c r="P1969" s="266">
        <v>688705003153</v>
      </c>
      <c r="Q1969" s="266">
        <v>0</v>
      </c>
      <c r="R1969" s="265">
        <v>23.7</v>
      </c>
      <c r="S1969" s="265">
        <v>23.7</v>
      </c>
      <c r="V1969" s="265" t="s">
        <v>7247</v>
      </c>
      <c r="W1969" s="259">
        <v>0</v>
      </c>
      <c r="X1969" s="264" t="s">
        <v>7386</v>
      </c>
      <c r="Y1969" s="259">
        <f t="shared" si="4"/>
        <v>1057</v>
      </c>
      <c r="AA1969" s="259" t="e">
        <v>#N/A</v>
      </c>
      <c r="AB1969" s="259"/>
      <c r="AC1969" s="259"/>
      <c r="AD1969" s="259"/>
      <c r="AE1969" s="259"/>
    </row>
    <row r="1970" spans="1:31">
      <c r="A1970" s="259" t="s">
        <v>1991</v>
      </c>
      <c r="B1970" s="259" t="s">
        <v>116</v>
      </c>
      <c r="C1970" s="264"/>
      <c r="D1970" s="264"/>
      <c r="H1970" s="264"/>
      <c r="I1970" s="264"/>
      <c r="J1970" s="295">
        <v>0</v>
      </c>
      <c r="K1970" s="295">
        <v>0</v>
      </c>
      <c r="L1970" s="295">
        <v>0</v>
      </c>
      <c r="O1970" s="266"/>
      <c r="R1970" s="265"/>
      <c r="V1970" s="265">
        <v>0</v>
      </c>
      <c r="Y1970" s="259">
        <f t="shared" si="4"/>
        <v>1058</v>
      </c>
      <c r="AA1970" s="259" t="e">
        <v>#N/A</v>
      </c>
      <c r="AB1970" s="259"/>
      <c r="AC1970" s="259"/>
      <c r="AD1970" s="259"/>
      <c r="AE1970" s="259"/>
    </row>
    <row r="1971" spans="1:31">
      <c r="A1971" s="259">
        <v>97120413</v>
      </c>
      <c r="B1971" s="259" t="s">
        <v>116</v>
      </c>
      <c r="C1971" s="264" t="s">
        <v>7350</v>
      </c>
      <c r="D1971" s="264" t="s">
        <v>7387</v>
      </c>
      <c r="E1971" s="259" t="s">
        <v>7352</v>
      </c>
      <c r="H1971" s="264" t="s">
        <v>7387</v>
      </c>
      <c r="I1971" s="264" t="s">
        <v>7387</v>
      </c>
      <c r="J1971" s="295">
        <v>181.44</v>
      </c>
      <c r="K1971" s="295">
        <v>181.44</v>
      </c>
      <c r="L1971" s="295" t="s">
        <v>7240</v>
      </c>
      <c r="O1971" s="266">
        <v>0</v>
      </c>
      <c r="P1971" s="266">
        <v>688705003184</v>
      </c>
      <c r="Q1971" s="266">
        <v>0</v>
      </c>
      <c r="R1971" s="265">
        <v>10.25</v>
      </c>
      <c r="S1971" s="265">
        <v>10.25</v>
      </c>
      <c r="V1971" s="265" t="s">
        <v>7247</v>
      </c>
      <c r="W1971" s="259">
        <v>0</v>
      </c>
      <c r="Y1971" s="259">
        <f t="shared" ref="Y1971:Y2034" si="5">Y1970+1</f>
        <v>1059</v>
      </c>
      <c r="AA1971" s="259" t="e">
        <v>#N/A</v>
      </c>
      <c r="AB1971" s="259"/>
      <c r="AC1971" s="259"/>
      <c r="AD1971" s="259"/>
      <c r="AE1971" s="259"/>
    </row>
    <row r="1972" spans="1:31">
      <c r="A1972" s="259">
        <v>97120421</v>
      </c>
      <c r="B1972" s="259" t="s">
        <v>116</v>
      </c>
      <c r="C1972" s="264" t="s">
        <v>7350</v>
      </c>
      <c r="D1972" s="264" t="s">
        <v>7388</v>
      </c>
      <c r="E1972" s="259" t="s">
        <v>7352</v>
      </c>
      <c r="H1972" s="264" t="s">
        <v>7388</v>
      </c>
      <c r="I1972" s="264" t="s">
        <v>7388</v>
      </c>
      <c r="J1972" s="295">
        <v>335.27</v>
      </c>
      <c r="K1972" s="295">
        <v>335.27</v>
      </c>
      <c r="L1972" s="295" t="s">
        <v>7240</v>
      </c>
      <c r="O1972" s="266">
        <v>0</v>
      </c>
      <c r="P1972" s="266">
        <v>688705003191</v>
      </c>
      <c r="Q1972" s="266">
        <v>0</v>
      </c>
      <c r="R1972" s="265">
        <v>0</v>
      </c>
      <c r="S1972" s="265">
        <v>11.5</v>
      </c>
      <c r="V1972" s="265" t="s">
        <v>7247</v>
      </c>
      <c r="W1972" s="259">
        <v>0</v>
      </c>
      <c r="X1972" s="264" t="s">
        <v>7389</v>
      </c>
      <c r="Y1972" s="259">
        <f t="shared" si="5"/>
        <v>1060</v>
      </c>
      <c r="AA1972" s="259" t="e">
        <v>#N/A</v>
      </c>
      <c r="AB1972" s="259"/>
      <c r="AC1972" s="259"/>
      <c r="AD1972" s="259"/>
      <c r="AE1972" s="259"/>
    </row>
    <row r="1973" spans="1:31">
      <c r="A1973" s="259">
        <v>97120423</v>
      </c>
      <c r="B1973" s="259" t="s">
        <v>116</v>
      </c>
      <c r="C1973" s="264" t="s">
        <v>7350</v>
      </c>
      <c r="D1973" s="264" t="s">
        <v>7390</v>
      </c>
      <c r="E1973" s="259" t="s">
        <v>7352</v>
      </c>
      <c r="H1973" s="264" t="s">
        <v>7390</v>
      </c>
      <c r="I1973" s="264" t="s">
        <v>7390</v>
      </c>
      <c r="J1973" s="295">
        <v>391.81</v>
      </c>
      <c r="K1973" s="295">
        <v>391.81</v>
      </c>
      <c r="L1973" s="295" t="s">
        <v>7240</v>
      </c>
      <c r="O1973" s="266">
        <v>0</v>
      </c>
      <c r="P1973" s="266">
        <v>688705003214</v>
      </c>
      <c r="Q1973" s="266">
        <v>0</v>
      </c>
      <c r="R1973" s="265">
        <v>10.7</v>
      </c>
      <c r="S1973" s="265">
        <v>10.7</v>
      </c>
      <c r="V1973" s="265" t="s">
        <v>7247</v>
      </c>
      <c r="W1973" s="259">
        <v>0</v>
      </c>
      <c r="X1973" s="264" t="s">
        <v>7389</v>
      </c>
      <c r="Y1973" s="259">
        <f t="shared" si="5"/>
        <v>1061</v>
      </c>
      <c r="AA1973" s="259" t="e">
        <v>#N/A</v>
      </c>
      <c r="AB1973" s="259"/>
      <c r="AC1973" s="259"/>
      <c r="AD1973" s="259"/>
      <c r="AE1973" s="259"/>
    </row>
    <row r="1974" spans="1:31">
      <c r="A1974" s="259" t="s">
        <v>1992</v>
      </c>
      <c r="B1974" s="259" t="s">
        <v>116</v>
      </c>
      <c r="C1974" s="264"/>
      <c r="D1974" s="264"/>
      <c r="H1974" s="264"/>
      <c r="I1974" s="264"/>
      <c r="J1974" s="295">
        <v>0</v>
      </c>
      <c r="K1974" s="295">
        <v>0</v>
      </c>
      <c r="L1974" s="295">
        <v>0</v>
      </c>
      <c r="O1974" s="266"/>
      <c r="R1974" s="265"/>
      <c r="V1974" s="265">
        <v>0</v>
      </c>
      <c r="Y1974" s="259">
        <f t="shared" si="5"/>
        <v>1062</v>
      </c>
      <c r="AA1974" s="259" t="e">
        <v>#N/A</v>
      </c>
      <c r="AB1974" s="259"/>
      <c r="AC1974" s="259"/>
      <c r="AD1974" s="259"/>
      <c r="AE1974" s="259"/>
    </row>
    <row r="1975" spans="1:31">
      <c r="A1975" s="259" t="s">
        <v>1993</v>
      </c>
      <c r="B1975" s="259" t="s">
        <v>116</v>
      </c>
      <c r="C1975" s="264"/>
      <c r="D1975" s="264"/>
      <c r="H1975" s="264"/>
      <c r="I1975" s="264"/>
      <c r="J1975" s="295">
        <v>0</v>
      </c>
      <c r="K1975" s="295">
        <v>0</v>
      </c>
      <c r="L1975" s="295">
        <v>0</v>
      </c>
      <c r="O1975" s="266"/>
      <c r="R1975" s="265"/>
      <c r="V1975" s="265">
        <v>0</v>
      </c>
      <c r="Y1975" s="259">
        <f t="shared" si="5"/>
        <v>1063</v>
      </c>
      <c r="AA1975" s="259" t="e">
        <v>#N/A</v>
      </c>
      <c r="AB1975" s="259"/>
      <c r="AC1975" s="259"/>
      <c r="AD1975" s="259"/>
      <c r="AE1975" s="259"/>
    </row>
    <row r="1976" spans="1:31">
      <c r="A1976" s="259">
        <v>97122013</v>
      </c>
      <c r="B1976" s="259" t="s">
        <v>116</v>
      </c>
      <c r="C1976" s="264" t="s">
        <v>7350</v>
      </c>
      <c r="D1976" s="264" t="s">
        <v>7391</v>
      </c>
      <c r="E1976" s="259" t="s">
        <v>7352</v>
      </c>
      <c r="H1976" s="264" t="s">
        <v>7391</v>
      </c>
      <c r="I1976" s="264" t="s">
        <v>7391</v>
      </c>
      <c r="J1976" s="295">
        <v>48.65</v>
      </c>
      <c r="K1976" s="295">
        <v>48.65</v>
      </c>
      <c r="L1976" s="295" t="s">
        <v>7240</v>
      </c>
      <c r="O1976" s="266">
        <v>0</v>
      </c>
      <c r="P1976" s="266">
        <v>688705003511</v>
      </c>
      <c r="Q1976" s="266">
        <v>0</v>
      </c>
      <c r="R1976" s="265">
        <v>10.25</v>
      </c>
      <c r="S1976" s="265">
        <v>10.25</v>
      </c>
      <c r="V1976" s="265" t="s">
        <v>7247</v>
      </c>
      <c r="W1976" s="259">
        <v>0</v>
      </c>
      <c r="Y1976" s="259">
        <f t="shared" si="5"/>
        <v>1064</v>
      </c>
      <c r="AA1976" s="259" t="e">
        <v>#N/A</v>
      </c>
      <c r="AB1976" s="259"/>
      <c r="AC1976" s="259"/>
      <c r="AD1976" s="259"/>
      <c r="AE1976" s="259"/>
    </row>
    <row r="1977" spans="1:31">
      <c r="A1977" s="259" t="s">
        <v>1994</v>
      </c>
      <c r="B1977" s="259" t="s">
        <v>116</v>
      </c>
      <c r="C1977" s="264"/>
      <c r="D1977" s="264"/>
      <c r="H1977" s="264"/>
      <c r="I1977" s="264"/>
      <c r="J1977" s="295">
        <v>0</v>
      </c>
      <c r="K1977" s="295">
        <v>0</v>
      </c>
      <c r="L1977" s="295">
        <v>0</v>
      </c>
      <c r="O1977" s="266"/>
      <c r="R1977" s="265"/>
      <c r="V1977" s="265">
        <v>0</v>
      </c>
      <c r="Y1977" s="259">
        <f t="shared" si="5"/>
        <v>1065</v>
      </c>
      <c r="AA1977" s="259" t="e">
        <v>#N/A</v>
      </c>
      <c r="AB1977" s="259"/>
      <c r="AC1977" s="259"/>
      <c r="AD1977" s="259"/>
      <c r="AE1977" s="259"/>
    </row>
    <row r="1978" spans="1:31">
      <c r="A1978" s="259">
        <v>97120040</v>
      </c>
      <c r="B1978" s="259" t="s">
        <v>116</v>
      </c>
      <c r="C1978" s="264" t="s">
        <v>7350</v>
      </c>
      <c r="D1978" s="264" t="s">
        <v>7392</v>
      </c>
      <c r="E1978" s="259" t="s">
        <v>7352</v>
      </c>
      <c r="H1978" s="264" t="s">
        <v>7392</v>
      </c>
      <c r="I1978" s="264" t="s">
        <v>7392</v>
      </c>
      <c r="J1978" s="295">
        <v>256</v>
      </c>
      <c r="K1978" s="295">
        <v>256</v>
      </c>
      <c r="L1978" s="295" t="s">
        <v>7240</v>
      </c>
      <c r="O1978" s="266">
        <v>0</v>
      </c>
      <c r="P1978" s="266">
        <v>5706681201266</v>
      </c>
      <c r="Q1978" s="266">
        <v>0</v>
      </c>
      <c r="R1978" s="265">
        <v>0</v>
      </c>
      <c r="S1978" s="265">
        <v>11.5</v>
      </c>
      <c r="V1978" s="265" t="s">
        <v>7247</v>
      </c>
      <c r="W1978" s="259">
        <v>0</v>
      </c>
      <c r="Y1978" s="259">
        <f t="shared" si="5"/>
        <v>1066</v>
      </c>
      <c r="AA1978" s="259" t="e">
        <v>#N/A</v>
      </c>
      <c r="AB1978" s="259"/>
      <c r="AC1978" s="259"/>
      <c r="AD1978" s="259"/>
      <c r="AE1978" s="259"/>
    </row>
    <row r="1979" spans="1:31">
      <c r="A1979" s="259" t="s">
        <v>1995</v>
      </c>
      <c r="B1979" s="259" t="s">
        <v>116</v>
      </c>
      <c r="C1979" s="264"/>
      <c r="D1979" s="264"/>
      <c r="H1979" s="264"/>
      <c r="I1979" s="264"/>
      <c r="J1979" s="295">
        <v>0</v>
      </c>
      <c r="K1979" s="295">
        <v>0</v>
      </c>
      <c r="L1979" s="295">
        <v>0</v>
      </c>
      <c r="O1979" s="266"/>
      <c r="R1979" s="265"/>
      <c r="V1979" s="265">
        <v>0</v>
      </c>
      <c r="Y1979" s="259">
        <f t="shared" si="5"/>
        <v>1067</v>
      </c>
      <c r="AA1979" s="259" t="e">
        <v>#N/A</v>
      </c>
      <c r="AB1979" s="259"/>
      <c r="AC1979" s="259"/>
      <c r="AD1979" s="259"/>
      <c r="AE1979" s="259"/>
    </row>
    <row r="1980" spans="1:31">
      <c r="A1980" s="259" t="s">
        <v>1996</v>
      </c>
      <c r="B1980" s="259" t="s">
        <v>116</v>
      </c>
      <c r="C1980" s="264"/>
      <c r="D1980" s="264"/>
      <c r="H1980" s="264"/>
      <c r="I1980" s="264"/>
      <c r="J1980" s="295">
        <v>0</v>
      </c>
      <c r="K1980" s="295">
        <v>0</v>
      </c>
      <c r="L1980" s="295">
        <v>0</v>
      </c>
      <c r="O1980" s="266"/>
      <c r="R1980" s="265"/>
      <c r="V1980" s="265">
        <v>0</v>
      </c>
      <c r="Y1980" s="259">
        <f t="shared" si="5"/>
        <v>1068</v>
      </c>
      <c r="AA1980" s="259" t="e">
        <v>#N/A</v>
      </c>
      <c r="AB1980" s="259"/>
      <c r="AC1980" s="259"/>
      <c r="AD1980" s="259"/>
      <c r="AE1980" s="259"/>
    </row>
    <row r="1981" spans="1:31">
      <c r="A1981" s="259" t="s">
        <v>1997</v>
      </c>
      <c r="B1981" s="259" t="s">
        <v>116</v>
      </c>
      <c r="C1981" s="264"/>
      <c r="D1981" s="264"/>
      <c r="H1981" s="264"/>
      <c r="I1981" s="264"/>
      <c r="J1981" s="295">
        <v>0</v>
      </c>
      <c r="K1981" s="295">
        <v>0</v>
      </c>
      <c r="L1981" s="295">
        <v>0</v>
      </c>
      <c r="O1981" s="266"/>
      <c r="R1981" s="265"/>
      <c r="V1981" s="265">
        <v>0</v>
      </c>
      <c r="Y1981" s="259">
        <f t="shared" si="5"/>
        <v>1069</v>
      </c>
      <c r="AA1981" s="259" t="e">
        <v>#N/A</v>
      </c>
      <c r="AB1981" s="259"/>
      <c r="AC1981" s="259"/>
      <c r="AD1981" s="259"/>
      <c r="AE1981" s="259"/>
    </row>
    <row r="1982" spans="1:31">
      <c r="A1982" s="259" t="s">
        <v>1998</v>
      </c>
      <c r="B1982" s="259" t="s">
        <v>116</v>
      </c>
      <c r="C1982" s="264"/>
      <c r="D1982" s="264"/>
      <c r="H1982" s="264"/>
      <c r="I1982" s="264"/>
      <c r="J1982" s="295">
        <v>0</v>
      </c>
      <c r="K1982" s="295">
        <v>0</v>
      </c>
      <c r="L1982" s="295">
        <v>0</v>
      </c>
      <c r="O1982" s="266"/>
      <c r="R1982" s="265"/>
      <c r="V1982" s="265">
        <v>0</v>
      </c>
      <c r="Y1982" s="259">
        <f t="shared" si="5"/>
        <v>1070</v>
      </c>
      <c r="AA1982" s="259" t="e">
        <v>#N/A</v>
      </c>
      <c r="AB1982" s="259"/>
      <c r="AC1982" s="259"/>
      <c r="AD1982" s="259"/>
      <c r="AE1982" s="259"/>
    </row>
    <row r="1983" spans="1:31">
      <c r="A1983" s="259" t="s">
        <v>1999</v>
      </c>
      <c r="B1983" s="259" t="s">
        <v>116</v>
      </c>
      <c r="C1983" s="264" t="s">
        <v>7393</v>
      </c>
      <c r="D1983" s="264" t="s">
        <v>1998</v>
      </c>
      <c r="E1983" s="259" t="s">
        <v>7394</v>
      </c>
      <c r="H1983" s="264" t="s">
        <v>1998</v>
      </c>
      <c r="I1983" s="264" t="s">
        <v>1998</v>
      </c>
      <c r="J1983" s="295">
        <v>4506.8900000000003</v>
      </c>
      <c r="K1983" s="295">
        <v>4506.8900000000003</v>
      </c>
      <c r="L1983" s="295" t="s">
        <v>7240</v>
      </c>
      <c r="O1983" s="266">
        <v>17.2</v>
      </c>
      <c r="P1983" s="266">
        <v>688705007434</v>
      </c>
      <c r="Q1983" s="266">
        <v>0</v>
      </c>
      <c r="R1983" s="265">
        <v>0</v>
      </c>
      <c r="S1983" s="265">
        <v>0</v>
      </c>
      <c r="V1983" s="265" t="s">
        <v>3218</v>
      </c>
      <c r="W1983" s="259">
        <v>16.8</v>
      </c>
      <c r="Y1983" s="259">
        <f t="shared" si="5"/>
        <v>1071</v>
      </c>
      <c r="Z1983" s="259" t="s">
        <v>3030</v>
      </c>
      <c r="AA1983" s="259" t="e">
        <v>#N/A</v>
      </c>
      <c r="AB1983" s="259"/>
      <c r="AC1983" s="259"/>
      <c r="AD1983" s="259"/>
      <c r="AE1983" s="259"/>
    </row>
    <row r="1984" spans="1:31">
      <c r="A1984" s="259" t="s">
        <v>2000</v>
      </c>
      <c r="B1984" s="259" t="s">
        <v>116</v>
      </c>
      <c r="C1984" s="264"/>
      <c r="D1984" s="264"/>
      <c r="H1984" s="264"/>
      <c r="I1984" s="264"/>
      <c r="J1984" s="295">
        <v>0</v>
      </c>
      <c r="K1984" s="295">
        <v>0</v>
      </c>
      <c r="L1984" s="295">
        <v>0</v>
      </c>
      <c r="O1984" s="266"/>
      <c r="R1984" s="265"/>
      <c r="V1984" s="265">
        <v>0</v>
      </c>
      <c r="Y1984" s="259">
        <f t="shared" si="5"/>
        <v>1072</v>
      </c>
      <c r="AA1984" s="259" t="e">
        <v>#N/A</v>
      </c>
      <c r="AB1984" s="259"/>
      <c r="AC1984" s="259"/>
      <c r="AD1984" s="259"/>
      <c r="AE1984" s="259"/>
    </row>
    <row r="1985" spans="1:31">
      <c r="A1985" s="259" t="s">
        <v>2001</v>
      </c>
      <c r="B1985" s="259" t="s">
        <v>116</v>
      </c>
      <c r="C1985" s="264"/>
      <c r="D1985" s="264"/>
      <c r="H1985" s="264"/>
      <c r="I1985" s="264"/>
      <c r="J1985" s="295">
        <v>0</v>
      </c>
      <c r="K1985" s="295">
        <v>0</v>
      </c>
      <c r="L1985" s="295">
        <v>0</v>
      </c>
      <c r="O1985" s="266"/>
      <c r="R1985" s="265"/>
      <c r="V1985" s="265">
        <v>0</v>
      </c>
      <c r="Y1985" s="259">
        <f t="shared" si="5"/>
        <v>1073</v>
      </c>
      <c r="AA1985" s="259" t="e">
        <v>#N/A</v>
      </c>
      <c r="AB1985" s="259"/>
      <c r="AC1985" s="259"/>
      <c r="AD1985" s="259"/>
      <c r="AE1985" s="259"/>
    </row>
    <row r="1986" spans="1:31">
      <c r="A1986" s="259" t="s">
        <v>2002</v>
      </c>
      <c r="B1986" s="259" t="s">
        <v>116</v>
      </c>
      <c r="C1986" s="264"/>
      <c r="D1986" s="264"/>
      <c r="H1986" s="264"/>
      <c r="I1986" s="264"/>
      <c r="J1986" s="295">
        <v>0</v>
      </c>
      <c r="K1986" s="295">
        <v>0</v>
      </c>
      <c r="L1986" s="295">
        <v>0</v>
      </c>
      <c r="O1986" s="266"/>
      <c r="R1986" s="265"/>
      <c r="V1986" s="265">
        <v>0</v>
      </c>
      <c r="Y1986" s="259">
        <f t="shared" si="5"/>
        <v>1074</v>
      </c>
      <c r="AA1986" s="259" t="e">
        <v>#N/A</v>
      </c>
      <c r="AB1986" s="259"/>
      <c r="AC1986" s="259"/>
      <c r="AD1986" s="259"/>
      <c r="AE1986" s="259"/>
    </row>
    <row r="1987" spans="1:31">
      <c r="A1987" s="259" t="s">
        <v>2003</v>
      </c>
      <c r="B1987" s="259" t="s">
        <v>116</v>
      </c>
      <c r="C1987" s="264"/>
      <c r="D1987" s="264"/>
      <c r="H1987" s="264"/>
      <c r="I1987" s="264"/>
      <c r="J1987" s="295">
        <v>0</v>
      </c>
      <c r="K1987" s="295">
        <v>0</v>
      </c>
      <c r="L1987" s="295">
        <v>0</v>
      </c>
      <c r="O1987" s="266"/>
      <c r="R1987" s="265"/>
      <c r="V1987" s="265">
        <v>0</v>
      </c>
      <c r="Y1987" s="259">
        <f t="shared" si="5"/>
        <v>1075</v>
      </c>
      <c r="AA1987" s="259" t="e">
        <v>#N/A</v>
      </c>
      <c r="AB1987" s="259"/>
      <c r="AC1987" s="259"/>
      <c r="AD1987" s="259"/>
      <c r="AE1987" s="259"/>
    </row>
    <row r="1988" spans="1:31">
      <c r="A1988" s="259" t="s">
        <v>2004</v>
      </c>
      <c r="B1988" s="259" t="s">
        <v>116</v>
      </c>
      <c r="C1988" s="264" t="s">
        <v>7395</v>
      </c>
      <c r="D1988" s="264" t="s">
        <v>7396</v>
      </c>
      <c r="E1988" s="259" t="s">
        <v>7397</v>
      </c>
      <c r="H1988" s="264" t="s">
        <v>7396</v>
      </c>
      <c r="I1988" s="264" t="s">
        <v>7396</v>
      </c>
      <c r="J1988" s="295">
        <v>1642.85</v>
      </c>
      <c r="K1988" s="295">
        <v>1642.85</v>
      </c>
      <c r="L1988" s="295" t="s">
        <v>7240</v>
      </c>
      <c r="O1988" s="266">
        <v>0</v>
      </c>
      <c r="P1988" s="266">
        <v>688705008004</v>
      </c>
      <c r="Q1988" s="266">
        <v>0</v>
      </c>
      <c r="R1988" s="265">
        <v>0</v>
      </c>
      <c r="S1988" s="265">
        <v>0</v>
      </c>
      <c r="V1988" s="265" t="s">
        <v>3028</v>
      </c>
      <c r="W1988" s="259">
        <v>0</v>
      </c>
      <c r="Y1988" s="259">
        <f t="shared" si="5"/>
        <v>1076</v>
      </c>
      <c r="Z1988" s="259" t="s">
        <v>4042</v>
      </c>
      <c r="AA1988" s="259" t="e">
        <v>#N/A</v>
      </c>
      <c r="AB1988" s="259"/>
      <c r="AC1988" s="259"/>
      <c r="AD1988" s="259"/>
      <c r="AE1988" s="259"/>
    </row>
    <row r="1989" spans="1:31">
      <c r="A1989" s="259" t="s">
        <v>2005</v>
      </c>
      <c r="B1989" s="259" t="s">
        <v>116</v>
      </c>
      <c r="C1989" s="264" t="s">
        <v>7395</v>
      </c>
      <c r="D1989" s="264" t="s">
        <v>2912</v>
      </c>
      <c r="E1989" s="259" t="s">
        <v>7397</v>
      </c>
      <c r="G1989" s="259" t="s">
        <v>7398</v>
      </c>
      <c r="H1989" s="264" t="s">
        <v>7396</v>
      </c>
      <c r="I1989" s="264" t="s">
        <v>7396</v>
      </c>
      <c r="J1989" s="295">
        <v>1807.65</v>
      </c>
      <c r="K1989" s="295">
        <v>1807.65</v>
      </c>
      <c r="L1989" s="295" t="s">
        <v>7240</v>
      </c>
      <c r="O1989" s="266">
        <v>0</v>
      </c>
      <c r="P1989" s="266">
        <v>688705009919</v>
      </c>
      <c r="Q1989" s="266">
        <v>0</v>
      </c>
      <c r="R1989" s="265">
        <v>0</v>
      </c>
      <c r="S1989" s="265">
        <v>0</v>
      </c>
      <c r="V1989" s="265" t="s">
        <v>3028</v>
      </c>
      <c r="W1989" s="259">
        <v>0</v>
      </c>
      <c r="Y1989" s="259">
        <f t="shared" si="5"/>
        <v>1077</v>
      </c>
      <c r="Z1989" s="259" t="s">
        <v>4042</v>
      </c>
      <c r="AA1989" s="259" t="e">
        <v>#N/A</v>
      </c>
      <c r="AB1989" s="259"/>
      <c r="AC1989" s="259"/>
      <c r="AD1989" s="259"/>
      <c r="AE1989" s="259"/>
    </row>
    <row r="1990" spans="1:31">
      <c r="A1990" s="259" t="s">
        <v>2006</v>
      </c>
      <c r="B1990" s="259" t="s">
        <v>116</v>
      </c>
      <c r="C1990" s="264"/>
      <c r="D1990" s="264"/>
      <c r="H1990" s="264"/>
      <c r="I1990" s="264"/>
      <c r="J1990" s="295">
        <v>0</v>
      </c>
      <c r="K1990" s="295">
        <v>0</v>
      </c>
      <c r="L1990" s="295">
        <v>0</v>
      </c>
      <c r="O1990" s="266"/>
      <c r="R1990" s="265"/>
      <c r="V1990" s="265">
        <v>0</v>
      </c>
      <c r="Y1990" s="259">
        <f t="shared" si="5"/>
        <v>1078</v>
      </c>
      <c r="AA1990" s="259" t="e">
        <v>#N/A</v>
      </c>
      <c r="AB1990" s="259"/>
      <c r="AC1990" s="259"/>
      <c r="AD1990" s="259"/>
      <c r="AE1990" s="259"/>
    </row>
    <row r="1991" spans="1:31">
      <c r="A1991" s="259" t="s">
        <v>2007</v>
      </c>
      <c r="B1991" s="259" t="s">
        <v>116</v>
      </c>
      <c r="C1991" s="264" t="s">
        <v>7395</v>
      </c>
      <c r="D1991" s="264" t="s">
        <v>2913</v>
      </c>
      <c r="E1991" s="259" t="s">
        <v>7397</v>
      </c>
      <c r="G1991" s="259" t="s">
        <v>7399</v>
      </c>
      <c r="H1991" s="264" t="s">
        <v>2913</v>
      </c>
      <c r="I1991" s="264" t="s">
        <v>2913</v>
      </c>
      <c r="J1991" s="295">
        <v>1905.5</v>
      </c>
      <c r="K1991" s="295">
        <v>1905.5</v>
      </c>
      <c r="L1991" s="295" t="s">
        <v>7240</v>
      </c>
      <c r="O1991" s="266">
        <v>0</v>
      </c>
      <c r="P1991" s="266">
        <v>688705008011</v>
      </c>
      <c r="Q1991" s="266">
        <v>0</v>
      </c>
      <c r="R1991" s="265">
        <v>0</v>
      </c>
      <c r="S1991" s="265">
        <v>0</v>
      </c>
      <c r="V1991" s="265" t="s">
        <v>3028</v>
      </c>
      <c r="W1991" s="259">
        <v>0</v>
      </c>
      <c r="X1991" s="264" t="s">
        <v>7400</v>
      </c>
      <c r="Y1991" s="259">
        <f t="shared" si="5"/>
        <v>1079</v>
      </c>
      <c r="Z1991" s="259" t="s">
        <v>4042</v>
      </c>
      <c r="AA1991" s="259" t="e">
        <v>#N/A</v>
      </c>
      <c r="AB1991" s="259"/>
      <c r="AC1991" s="259"/>
      <c r="AD1991" s="259"/>
      <c r="AE1991" s="259"/>
    </row>
    <row r="1992" spans="1:31">
      <c r="A1992" s="259" t="s">
        <v>2008</v>
      </c>
      <c r="B1992" s="259" t="s">
        <v>116</v>
      </c>
      <c r="C1992" s="264" t="s">
        <v>7395</v>
      </c>
      <c r="D1992" s="264" t="s">
        <v>2914</v>
      </c>
      <c r="E1992" s="259" t="s">
        <v>7397</v>
      </c>
      <c r="G1992" s="259" t="s">
        <v>7398</v>
      </c>
      <c r="H1992" s="264" t="s">
        <v>2913</v>
      </c>
      <c r="I1992" s="264" t="s">
        <v>2913</v>
      </c>
      <c r="J1992" s="295">
        <v>2096.0500000000002</v>
      </c>
      <c r="K1992" s="295">
        <v>2096.0500000000002</v>
      </c>
      <c r="L1992" s="295" t="s">
        <v>7240</v>
      </c>
      <c r="O1992" s="266">
        <v>0</v>
      </c>
      <c r="P1992" s="266">
        <v>688705009902</v>
      </c>
      <c r="Q1992" s="266">
        <v>0</v>
      </c>
      <c r="R1992" s="265">
        <v>0</v>
      </c>
      <c r="S1992" s="265">
        <v>0</v>
      </c>
      <c r="V1992" s="265" t="s">
        <v>3028</v>
      </c>
      <c r="W1992" s="259">
        <v>0</v>
      </c>
      <c r="X1992" s="264" t="s">
        <v>7400</v>
      </c>
      <c r="Y1992" s="259">
        <f t="shared" si="5"/>
        <v>1080</v>
      </c>
      <c r="Z1992" s="259" t="s">
        <v>4042</v>
      </c>
      <c r="AA1992" s="259" t="e">
        <v>#N/A</v>
      </c>
      <c r="AB1992" s="259"/>
      <c r="AC1992" s="259"/>
      <c r="AD1992" s="259"/>
      <c r="AE1992" s="259"/>
    </row>
    <row r="1993" spans="1:31">
      <c r="A1993" s="259" t="s">
        <v>2009</v>
      </c>
      <c r="B1993" s="259" t="s">
        <v>116</v>
      </c>
      <c r="C1993" s="264"/>
      <c r="D1993" s="264"/>
      <c r="H1993" s="264"/>
      <c r="I1993" s="264"/>
      <c r="J1993" s="295">
        <v>0</v>
      </c>
      <c r="K1993" s="295">
        <v>0</v>
      </c>
      <c r="L1993" s="295">
        <v>0</v>
      </c>
      <c r="O1993" s="266"/>
      <c r="R1993" s="265"/>
      <c r="V1993" s="265">
        <v>0</v>
      </c>
      <c r="Y1993" s="259">
        <f t="shared" si="5"/>
        <v>1081</v>
      </c>
      <c r="AA1993" s="259" t="e">
        <v>#N/A</v>
      </c>
      <c r="AB1993" s="259"/>
      <c r="AC1993" s="259"/>
      <c r="AD1993" s="259"/>
      <c r="AE1993" s="259"/>
    </row>
    <row r="1994" spans="1:31">
      <c r="A1994" s="259" t="s">
        <v>2010</v>
      </c>
      <c r="B1994" s="259" t="s">
        <v>116</v>
      </c>
      <c r="C1994" s="264"/>
      <c r="D1994" s="264"/>
      <c r="H1994" s="264"/>
      <c r="I1994" s="264"/>
      <c r="J1994" s="295">
        <v>0</v>
      </c>
      <c r="K1994" s="295">
        <v>0</v>
      </c>
      <c r="L1994" s="295">
        <v>0</v>
      </c>
      <c r="O1994" s="266"/>
      <c r="R1994" s="265"/>
      <c r="V1994" s="265">
        <v>0</v>
      </c>
      <c r="Y1994" s="259">
        <f t="shared" si="5"/>
        <v>1082</v>
      </c>
      <c r="AA1994" s="259" t="e">
        <v>#N/A</v>
      </c>
      <c r="AB1994" s="259"/>
      <c r="AC1994" s="259"/>
      <c r="AD1994" s="259"/>
      <c r="AE1994" s="259"/>
    </row>
    <row r="1995" spans="1:31">
      <c r="A1995" s="259">
        <v>9045107780</v>
      </c>
      <c r="B1995" s="259" t="s">
        <v>116</v>
      </c>
      <c r="C1995" s="264" t="s">
        <v>7395</v>
      </c>
      <c r="D1995" s="264" t="s">
        <v>7401</v>
      </c>
      <c r="E1995" s="259" t="s">
        <v>7397</v>
      </c>
      <c r="H1995" s="264" t="s">
        <v>7401</v>
      </c>
      <c r="I1995" s="264" t="s">
        <v>7401</v>
      </c>
      <c r="J1995" s="295">
        <v>2574.48</v>
      </c>
      <c r="K1995" s="295">
        <v>2574.48</v>
      </c>
      <c r="L1995" s="295" t="s">
        <v>7240</v>
      </c>
      <c r="O1995" s="266">
        <v>0</v>
      </c>
      <c r="P1995" s="266">
        <v>688705005171</v>
      </c>
      <c r="Q1995" s="266">
        <v>0</v>
      </c>
      <c r="R1995" s="265">
        <v>24.8</v>
      </c>
      <c r="S1995" s="265">
        <v>13</v>
      </c>
      <c r="V1995" s="265" t="s">
        <v>3028</v>
      </c>
      <c r="W1995" s="259" t="s">
        <v>3029</v>
      </c>
      <c r="X1995" s="264" t="s">
        <v>7402</v>
      </c>
      <c r="Y1995" s="259">
        <f t="shared" si="5"/>
        <v>1083</v>
      </c>
      <c r="AA1995" s="259" t="e">
        <v>#N/A</v>
      </c>
      <c r="AB1995" s="259"/>
      <c r="AC1995" s="259"/>
      <c r="AD1995" s="259"/>
      <c r="AE1995" s="259"/>
    </row>
    <row r="1996" spans="1:31">
      <c r="A1996" s="259">
        <v>9045115164</v>
      </c>
      <c r="B1996" s="259" t="s">
        <v>116</v>
      </c>
      <c r="C1996" s="264" t="s">
        <v>7395</v>
      </c>
      <c r="D1996" s="264" t="s">
        <v>7403</v>
      </c>
      <c r="E1996" s="259" t="s">
        <v>7397</v>
      </c>
      <c r="H1996" s="264" t="s">
        <v>7403</v>
      </c>
      <c r="I1996" s="264" t="s">
        <v>7403</v>
      </c>
      <c r="J1996" s="295">
        <v>2759.7</v>
      </c>
      <c r="K1996" s="295">
        <v>2759.7</v>
      </c>
      <c r="L1996" s="295" t="s">
        <v>7240</v>
      </c>
      <c r="O1996" s="266">
        <v>0</v>
      </c>
      <c r="P1996" s="266">
        <v>688705005591</v>
      </c>
      <c r="Q1996" s="266">
        <v>0</v>
      </c>
      <c r="R1996" s="265">
        <v>0</v>
      </c>
      <c r="S1996" s="265">
        <v>0</v>
      </c>
      <c r="V1996" s="265" t="s">
        <v>3028</v>
      </c>
      <c r="W1996" s="259">
        <v>0</v>
      </c>
      <c r="X1996" s="264" t="s">
        <v>7402</v>
      </c>
      <c r="Y1996" s="259">
        <f t="shared" si="5"/>
        <v>1084</v>
      </c>
      <c r="AA1996" s="259" t="e">
        <v>#N/A</v>
      </c>
      <c r="AB1996" s="259"/>
      <c r="AC1996" s="259"/>
      <c r="AD1996" s="259"/>
      <c r="AE1996" s="259"/>
    </row>
    <row r="1997" spans="1:31">
      <c r="A1997" s="259" t="s">
        <v>2011</v>
      </c>
      <c r="B1997" s="259" t="s">
        <v>116</v>
      </c>
      <c r="C1997" s="264"/>
      <c r="D1997" s="264"/>
      <c r="H1997" s="264"/>
      <c r="I1997" s="264"/>
      <c r="J1997" s="295">
        <v>0</v>
      </c>
      <c r="K1997" s="295">
        <v>0</v>
      </c>
      <c r="L1997" s="295">
        <v>0</v>
      </c>
      <c r="O1997" s="266"/>
      <c r="R1997" s="265"/>
      <c r="V1997" s="265">
        <v>0</v>
      </c>
      <c r="Y1997" s="259">
        <f t="shared" si="5"/>
        <v>1085</v>
      </c>
      <c r="AA1997" s="259" t="e">
        <v>#N/A</v>
      </c>
      <c r="AB1997" s="259"/>
      <c r="AC1997" s="259"/>
      <c r="AD1997" s="259"/>
      <c r="AE1997" s="259"/>
    </row>
    <row r="1998" spans="1:31">
      <c r="A1998" s="259">
        <v>9045122814</v>
      </c>
      <c r="B1998" s="259" t="s">
        <v>116</v>
      </c>
      <c r="C1998" s="264" t="s">
        <v>7395</v>
      </c>
      <c r="D1998" s="264" t="s">
        <v>7404</v>
      </c>
      <c r="E1998" s="259" t="s">
        <v>7397</v>
      </c>
      <c r="H1998" s="264" t="s">
        <v>7404</v>
      </c>
      <c r="I1998" s="264" t="s">
        <v>7404</v>
      </c>
      <c r="J1998" s="295">
        <v>3025.17</v>
      </c>
      <c r="K1998" s="295">
        <v>3025.17</v>
      </c>
      <c r="L1998" s="295" t="s">
        <v>7240</v>
      </c>
      <c r="O1998" s="266">
        <v>0</v>
      </c>
      <c r="P1998" s="266">
        <v>688705006345</v>
      </c>
      <c r="Q1998" s="266">
        <v>0</v>
      </c>
      <c r="R1998" s="265">
        <v>0</v>
      </c>
      <c r="S1998" s="265">
        <v>0</v>
      </c>
      <c r="V1998" s="265" t="s">
        <v>3028</v>
      </c>
      <c r="W1998" s="259">
        <v>0</v>
      </c>
      <c r="Y1998" s="259">
        <f t="shared" si="5"/>
        <v>1086</v>
      </c>
      <c r="AA1998" s="259" t="e">
        <v>#N/A</v>
      </c>
      <c r="AB1998" s="259"/>
      <c r="AC1998" s="259"/>
      <c r="AD1998" s="259"/>
      <c r="AE1998" s="259"/>
    </row>
    <row r="1999" spans="1:31">
      <c r="A1999" s="259">
        <v>9045122816</v>
      </c>
      <c r="B1999" s="259" t="s">
        <v>116</v>
      </c>
      <c r="C1999" s="264" t="s">
        <v>7395</v>
      </c>
      <c r="D1999" s="264" t="s">
        <v>7405</v>
      </c>
      <c r="E1999" s="259" t="s">
        <v>7397</v>
      </c>
      <c r="H1999" s="264" t="s">
        <v>7405</v>
      </c>
      <c r="I1999" s="264" t="s">
        <v>7405</v>
      </c>
      <c r="J1999" s="295">
        <v>3210.39</v>
      </c>
      <c r="K1999" s="295">
        <v>3210.39</v>
      </c>
      <c r="L1999" s="295" t="s">
        <v>7240</v>
      </c>
      <c r="O1999" s="266">
        <v>0</v>
      </c>
      <c r="P1999" s="266">
        <v>688705006369</v>
      </c>
      <c r="Q1999" s="266">
        <v>0</v>
      </c>
      <c r="R1999" s="265">
        <v>0</v>
      </c>
      <c r="S1999" s="265">
        <v>0</v>
      </c>
      <c r="V1999" s="265" t="s">
        <v>3028</v>
      </c>
      <c r="W1999" s="259">
        <v>0</v>
      </c>
      <c r="Y1999" s="259">
        <f t="shared" si="5"/>
        <v>1087</v>
      </c>
      <c r="AA1999" s="259" t="e">
        <v>#N/A</v>
      </c>
      <c r="AB1999" s="259"/>
      <c r="AC1999" s="259"/>
      <c r="AD1999" s="259"/>
      <c r="AE1999" s="259"/>
    </row>
    <row r="2000" spans="1:31">
      <c r="A2000" s="259" t="s">
        <v>2012</v>
      </c>
      <c r="B2000" s="259" t="s">
        <v>116</v>
      </c>
      <c r="C2000" s="264"/>
      <c r="D2000" s="264"/>
      <c r="H2000" s="264"/>
      <c r="I2000" s="264"/>
      <c r="J2000" s="295">
        <v>0</v>
      </c>
      <c r="K2000" s="295">
        <v>0</v>
      </c>
      <c r="L2000" s="295">
        <v>0</v>
      </c>
      <c r="O2000" s="266"/>
      <c r="R2000" s="265"/>
      <c r="V2000" s="265">
        <v>0</v>
      </c>
      <c r="Y2000" s="259">
        <f t="shared" si="5"/>
        <v>1088</v>
      </c>
      <c r="AA2000" s="259" t="e">
        <v>#N/A</v>
      </c>
      <c r="AB2000" s="259"/>
      <c r="AC2000" s="259"/>
      <c r="AD2000" s="259"/>
      <c r="AE2000" s="259"/>
    </row>
    <row r="2001" spans="1:31">
      <c r="A2001" s="259">
        <v>9045107781</v>
      </c>
      <c r="B2001" s="259" t="s">
        <v>116</v>
      </c>
      <c r="C2001" s="264" t="s">
        <v>7395</v>
      </c>
      <c r="D2001" s="264" t="s">
        <v>7406</v>
      </c>
      <c r="E2001" s="259" t="s">
        <v>7397</v>
      </c>
      <c r="H2001" s="264" t="s">
        <v>7406</v>
      </c>
      <c r="I2001" s="264" t="s">
        <v>7406</v>
      </c>
      <c r="J2001" s="295">
        <v>2080.58</v>
      </c>
      <c r="K2001" s="295">
        <v>2080.58</v>
      </c>
      <c r="L2001" s="295" t="s">
        <v>7240</v>
      </c>
      <c r="O2001" s="266">
        <v>0</v>
      </c>
      <c r="P2001" s="266">
        <v>688705005188</v>
      </c>
      <c r="Q2001" s="266">
        <v>0</v>
      </c>
      <c r="R2001" s="265">
        <v>24.8</v>
      </c>
      <c r="S2001" s="265">
        <v>13</v>
      </c>
      <c r="V2001" s="265" t="s">
        <v>3028</v>
      </c>
      <c r="W2001" s="259">
        <v>0</v>
      </c>
      <c r="Y2001" s="259">
        <f t="shared" si="5"/>
        <v>1089</v>
      </c>
      <c r="AA2001" s="259" t="e">
        <v>#N/A</v>
      </c>
      <c r="AB2001" s="259"/>
      <c r="AC2001" s="259"/>
      <c r="AD2001" s="259"/>
      <c r="AE2001" s="259"/>
    </row>
    <row r="2002" spans="1:31">
      <c r="A2002" s="259">
        <v>9045115165</v>
      </c>
      <c r="B2002" s="259" t="s">
        <v>116</v>
      </c>
      <c r="C2002" s="264" t="s">
        <v>7395</v>
      </c>
      <c r="D2002" s="264" t="s">
        <v>7407</v>
      </c>
      <c r="E2002" s="259" t="s">
        <v>7397</v>
      </c>
      <c r="H2002" s="264" t="s">
        <v>7407</v>
      </c>
      <c r="I2002" s="264" t="s">
        <v>7407</v>
      </c>
      <c r="J2002" s="295">
        <v>2265.79</v>
      </c>
      <c r="K2002" s="295">
        <v>2265.79</v>
      </c>
      <c r="L2002" s="295" t="s">
        <v>7240</v>
      </c>
      <c r="O2002" s="266">
        <v>0</v>
      </c>
      <c r="P2002" s="266">
        <v>688705005546</v>
      </c>
      <c r="Q2002" s="266">
        <v>0</v>
      </c>
      <c r="R2002" s="265">
        <v>0</v>
      </c>
      <c r="S2002" s="265">
        <v>0</v>
      </c>
      <c r="V2002" s="265" t="s">
        <v>3028</v>
      </c>
      <c r="W2002" s="259" t="s">
        <v>3029</v>
      </c>
      <c r="X2002" s="264" t="s">
        <v>7402</v>
      </c>
      <c r="Y2002" s="259">
        <f t="shared" si="5"/>
        <v>1090</v>
      </c>
      <c r="AA2002" s="259" t="e">
        <v>#N/A</v>
      </c>
      <c r="AB2002" s="259"/>
      <c r="AC2002" s="259"/>
      <c r="AD2002" s="259"/>
      <c r="AE2002" s="259"/>
    </row>
    <row r="2003" spans="1:31">
      <c r="A2003" s="259" t="s">
        <v>2013</v>
      </c>
      <c r="B2003" s="259" t="s">
        <v>116</v>
      </c>
      <c r="C2003" s="264"/>
      <c r="D2003" s="264"/>
      <c r="H2003" s="264"/>
      <c r="I2003" s="264"/>
      <c r="J2003" s="295">
        <v>0</v>
      </c>
      <c r="K2003" s="295">
        <v>0</v>
      </c>
      <c r="L2003" s="295">
        <v>0</v>
      </c>
      <c r="O2003" s="266"/>
      <c r="R2003" s="265"/>
      <c r="V2003" s="265">
        <v>0</v>
      </c>
      <c r="Y2003" s="259">
        <f t="shared" si="5"/>
        <v>1091</v>
      </c>
      <c r="AA2003" s="259" t="e">
        <v>#N/A</v>
      </c>
      <c r="AB2003" s="259"/>
      <c r="AC2003" s="259"/>
      <c r="AD2003" s="259"/>
      <c r="AE2003" s="259"/>
    </row>
    <row r="2004" spans="1:31">
      <c r="A2004" s="259">
        <v>9045122813</v>
      </c>
      <c r="B2004" s="259" t="s">
        <v>116</v>
      </c>
      <c r="C2004" s="264" t="s">
        <v>7395</v>
      </c>
      <c r="D2004" s="264" t="s">
        <v>7408</v>
      </c>
      <c r="E2004" s="259" t="s">
        <v>7397</v>
      </c>
      <c r="H2004" s="264" t="s">
        <v>7408</v>
      </c>
      <c r="I2004" s="264" t="s">
        <v>7408</v>
      </c>
      <c r="J2004" s="295">
        <v>2531.27</v>
      </c>
      <c r="K2004" s="295">
        <v>2531.27</v>
      </c>
      <c r="L2004" s="295" t="s">
        <v>7240</v>
      </c>
      <c r="O2004" s="266">
        <v>0</v>
      </c>
      <c r="P2004" s="266">
        <v>688705006338</v>
      </c>
      <c r="Q2004" s="266">
        <v>0</v>
      </c>
      <c r="R2004" s="265">
        <v>0</v>
      </c>
      <c r="S2004" s="265">
        <v>0</v>
      </c>
      <c r="V2004" s="265" t="s">
        <v>3028</v>
      </c>
      <c r="W2004" s="259">
        <v>0</v>
      </c>
      <c r="Y2004" s="259">
        <f t="shared" si="5"/>
        <v>1092</v>
      </c>
      <c r="AA2004" s="259" t="e">
        <v>#N/A</v>
      </c>
      <c r="AB2004" s="259"/>
      <c r="AC2004" s="259"/>
      <c r="AD2004" s="259"/>
      <c r="AE2004" s="259"/>
    </row>
    <row r="2005" spans="1:31">
      <c r="A2005" s="259">
        <v>9045122815</v>
      </c>
      <c r="B2005" s="259" t="s">
        <v>116</v>
      </c>
      <c r="C2005" s="264" t="s">
        <v>7395</v>
      </c>
      <c r="D2005" s="264" t="s">
        <v>7409</v>
      </c>
      <c r="E2005" s="259" t="s">
        <v>7397</v>
      </c>
      <c r="H2005" s="264" t="s">
        <v>7409</v>
      </c>
      <c r="I2005" s="264" t="s">
        <v>7409</v>
      </c>
      <c r="J2005" s="295">
        <v>2716.48</v>
      </c>
      <c r="K2005" s="295">
        <v>2716.48</v>
      </c>
      <c r="L2005" s="295" t="s">
        <v>7240</v>
      </c>
      <c r="O2005" s="266">
        <v>0</v>
      </c>
      <c r="P2005" s="266">
        <v>688705006352</v>
      </c>
      <c r="Q2005" s="266">
        <v>0</v>
      </c>
      <c r="R2005" s="265">
        <v>0</v>
      </c>
      <c r="S2005" s="265">
        <v>0</v>
      </c>
      <c r="V2005" s="265" t="s">
        <v>3028</v>
      </c>
      <c r="W2005" s="259">
        <v>0</v>
      </c>
      <c r="Y2005" s="259">
        <f t="shared" si="5"/>
        <v>1093</v>
      </c>
      <c r="AA2005" s="259" t="e">
        <v>#N/A</v>
      </c>
      <c r="AB2005" s="259"/>
      <c r="AC2005" s="259"/>
      <c r="AD2005" s="259"/>
      <c r="AE2005" s="259"/>
    </row>
    <row r="2006" spans="1:31">
      <c r="A2006" s="259" t="s">
        <v>2014</v>
      </c>
      <c r="B2006" s="259" t="s">
        <v>116</v>
      </c>
      <c r="C2006" s="264"/>
      <c r="D2006" s="264"/>
      <c r="H2006" s="264"/>
      <c r="I2006" s="264"/>
      <c r="J2006" s="295">
        <v>0</v>
      </c>
      <c r="K2006" s="295">
        <v>0</v>
      </c>
      <c r="L2006" s="295">
        <v>0</v>
      </c>
      <c r="O2006" s="266"/>
      <c r="R2006" s="265"/>
      <c r="V2006" s="265">
        <v>0</v>
      </c>
      <c r="Y2006" s="259">
        <f t="shared" si="5"/>
        <v>1094</v>
      </c>
      <c r="AA2006" s="259" t="e">
        <v>#N/A</v>
      </c>
      <c r="AB2006" s="259"/>
      <c r="AC2006" s="259"/>
      <c r="AD2006" s="259"/>
      <c r="AE2006" s="259"/>
    </row>
    <row r="2007" spans="1:31">
      <c r="A2007" s="259">
        <v>9045107782</v>
      </c>
      <c r="B2007" s="259" t="s">
        <v>116</v>
      </c>
      <c r="C2007" s="264" t="s">
        <v>7395</v>
      </c>
      <c r="D2007" s="264" t="s">
        <v>7410</v>
      </c>
      <c r="E2007" s="259" t="s">
        <v>7397</v>
      </c>
      <c r="H2007" s="264" t="s">
        <v>7410</v>
      </c>
      <c r="I2007" s="264" t="s">
        <v>7410</v>
      </c>
      <c r="J2007" s="295">
        <v>429.7</v>
      </c>
      <c r="K2007" s="295">
        <v>429.7</v>
      </c>
      <c r="L2007" s="295" t="s">
        <v>7240</v>
      </c>
      <c r="O2007" s="266">
        <v>0</v>
      </c>
      <c r="P2007" s="266">
        <v>688705005195</v>
      </c>
      <c r="Q2007" s="266">
        <v>0</v>
      </c>
      <c r="R2007" s="265">
        <v>11.8</v>
      </c>
      <c r="S2007" s="265">
        <v>8.6</v>
      </c>
      <c r="V2007" s="265" t="s">
        <v>3028</v>
      </c>
      <c r="W2007" s="259">
        <v>0</v>
      </c>
      <c r="X2007" s="264" t="s">
        <v>7402</v>
      </c>
      <c r="Y2007" s="259">
        <f t="shared" si="5"/>
        <v>1095</v>
      </c>
      <c r="AA2007" s="259" t="e">
        <v>#N/A</v>
      </c>
      <c r="AB2007" s="259"/>
      <c r="AC2007" s="259"/>
      <c r="AD2007" s="259"/>
      <c r="AE2007" s="259"/>
    </row>
    <row r="2008" spans="1:31">
      <c r="A2008" s="259">
        <v>9045107783</v>
      </c>
      <c r="B2008" s="259" t="s">
        <v>116</v>
      </c>
      <c r="C2008" s="264" t="s">
        <v>7395</v>
      </c>
      <c r="D2008" s="264" t="s">
        <v>7411</v>
      </c>
      <c r="E2008" s="259" t="s">
        <v>7397</v>
      </c>
      <c r="H2008" s="264" t="s">
        <v>7411</v>
      </c>
      <c r="I2008" s="264" t="s">
        <v>7411</v>
      </c>
      <c r="J2008" s="295">
        <v>429.7</v>
      </c>
      <c r="K2008" s="295">
        <v>429.7</v>
      </c>
      <c r="L2008" s="295" t="s">
        <v>7240</v>
      </c>
      <c r="O2008" s="266">
        <v>0</v>
      </c>
      <c r="P2008" s="266">
        <v>688705005201</v>
      </c>
      <c r="Q2008" s="266">
        <v>0</v>
      </c>
      <c r="R2008" s="265">
        <v>11.8</v>
      </c>
      <c r="S2008" s="265">
        <v>8.6</v>
      </c>
      <c r="V2008" s="265" t="s">
        <v>3028</v>
      </c>
      <c r="W2008" s="259">
        <v>0</v>
      </c>
      <c r="X2008" s="264" t="s">
        <v>7402</v>
      </c>
      <c r="Y2008" s="259">
        <f t="shared" si="5"/>
        <v>1096</v>
      </c>
      <c r="AA2008" s="259" t="e">
        <v>#N/A</v>
      </c>
      <c r="AB2008" s="259"/>
      <c r="AC2008" s="259"/>
      <c r="AD2008" s="259"/>
      <c r="AE2008" s="259"/>
    </row>
    <row r="2009" spans="1:31">
      <c r="A2009" s="259">
        <v>9045107784</v>
      </c>
      <c r="B2009" s="259" t="s">
        <v>116</v>
      </c>
      <c r="C2009" s="264" t="s">
        <v>7395</v>
      </c>
      <c r="D2009" s="264" t="s">
        <v>7412</v>
      </c>
      <c r="E2009" s="259" t="s">
        <v>7397</v>
      </c>
      <c r="H2009" s="264" t="s">
        <v>7412</v>
      </c>
      <c r="I2009" s="264" t="s">
        <v>7412</v>
      </c>
      <c r="J2009" s="295">
        <v>429.7</v>
      </c>
      <c r="K2009" s="295">
        <v>429.7</v>
      </c>
      <c r="L2009" s="295" t="s">
        <v>7240</v>
      </c>
      <c r="O2009" s="266">
        <v>0</v>
      </c>
      <c r="P2009" s="266">
        <v>688705005218</v>
      </c>
      <c r="Q2009" s="266">
        <v>0</v>
      </c>
      <c r="R2009" s="265">
        <v>11.8</v>
      </c>
      <c r="S2009" s="265">
        <v>8.6</v>
      </c>
      <c r="V2009" s="265" t="s">
        <v>3028</v>
      </c>
      <c r="W2009" s="259" t="s">
        <v>3029</v>
      </c>
      <c r="X2009" s="264" t="s">
        <v>7402</v>
      </c>
      <c r="Y2009" s="259">
        <f t="shared" si="5"/>
        <v>1097</v>
      </c>
      <c r="AA2009" s="259" t="e">
        <v>#N/A</v>
      </c>
      <c r="AB2009" s="259"/>
      <c r="AC2009" s="259"/>
      <c r="AD2009" s="259"/>
      <c r="AE2009" s="259"/>
    </row>
    <row r="2010" spans="1:31">
      <c r="A2010" s="259">
        <v>9045107785</v>
      </c>
      <c r="B2010" s="259" t="s">
        <v>116</v>
      </c>
      <c r="C2010" s="264" t="s">
        <v>7395</v>
      </c>
      <c r="D2010" s="264" t="s">
        <v>7413</v>
      </c>
      <c r="E2010" s="259" t="s">
        <v>7397</v>
      </c>
      <c r="H2010" s="264" t="s">
        <v>7413</v>
      </c>
      <c r="I2010" s="264" t="s">
        <v>7413</v>
      </c>
      <c r="J2010" s="295">
        <v>429.7</v>
      </c>
      <c r="K2010" s="295">
        <v>429.7</v>
      </c>
      <c r="L2010" s="295" t="s">
        <v>7240</v>
      </c>
      <c r="O2010" s="266">
        <v>0</v>
      </c>
      <c r="P2010" s="266">
        <v>688705005225</v>
      </c>
      <c r="Q2010" s="266">
        <v>0</v>
      </c>
      <c r="R2010" s="265">
        <v>11.8</v>
      </c>
      <c r="S2010" s="265">
        <v>8.6</v>
      </c>
      <c r="V2010" s="265" t="s">
        <v>3028</v>
      </c>
      <c r="W2010" s="259" t="s">
        <v>3029</v>
      </c>
      <c r="X2010" s="264" t="s">
        <v>7402</v>
      </c>
      <c r="Y2010" s="259">
        <f t="shared" si="5"/>
        <v>1098</v>
      </c>
      <c r="AA2010" s="259" t="e">
        <v>#N/A</v>
      </c>
      <c r="AB2010" s="259"/>
      <c r="AC2010" s="259"/>
      <c r="AD2010" s="259"/>
      <c r="AE2010" s="259"/>
    </row>
    <row r="2011" spans="1:31">
      <c r="A2011" s="259">
        <v>9045115166</v>
      </c>
      <c r="B2011" s="259" t="s">
        <v>116</v>
      </c>
      <c r="C2011" s="264" t="s">
        <v>7395</v>
      </c>
      <c r="D2011" s="264" t="s">
        <v>7414</v>
      </c>
      <c r="E2011" s="259" t="s">
        <v>7397</v>
      </c>
      <c r="H2011" s="264" t="s">
        <v>7414</v>
      </c>
      <c r="I2011" s="264" t="s">
        <v>7414</v>
      </c>
      <c r="J2011" s="295">
        <v>456.86</v>
      </c>
      <c r="K2011" s="295">
        <v>456.86</v>
      </c>
      <c r="L2011" s="295" t="s">
        <v>7240</v>
      </c>
      <c r="O2011" s="266">
        <v>0</v>
      </c>
      <c r="P2011" s="266">
        <v>688705005560</v>
      </c>
      <c r="Q2011" s="266">
        <v>0</v>
      </c>
      <c r="R2011" s="265">
        <v>0</v>
      </c>
      <c r="S2011" s="265">
        <v>0</v>
      </c>
      <c r="V2011" s="265" t="s">
        <v>3028</v>
      </c>
      <c r="W2011" s="259">
        <v>0</v>
      </c>
      <c r="X2011" s="264" t="s">
        <v>7402</v>
      </c>
      <c r="Y2011" s="259">
        <f t="shared" si="5"/>
        <v>1099</v>
      </c>
      <c r="AA2011" s="259" t="e">
        <v>#N/A</v>
      </c>
      <c r="AB2011" s="259"/>
      <c r="AC2011" s="259"/>
      <c r="AD2011" s="259"/>
      <c r="AE2011" s="259"/>
    </row>
    <row r="2012" spans="1:31">
      <c r="A2012" s="259">
        <v>9045115167</v>
      </c>
      <c r="B2012" s="259" t="s">
        <v>116</v>
      </c>
      <c r="C2012" s="264" t="s">
        <v>7395</v>
      </c>
      <c r="D2012" s="264" t="s">
        <v>7415</v>
      </c>
      <c r="E2012" s="259" t="s">
        <v>7397</v>
      </c>
      <c r="H2012" s="264" t="s">
        <v>7415</v>
      </c>
      <c r="I2012" s="264" t="s">
        <v>7415</v>
      </c>
      <c r="J2012" s="295">
        <v>456.86</v>
      </c>
      <c r="K2012" s="295">
        <v>456.86</v>
      </c>
      <c r="L2012" s="295" t="s">
        <v>7240</v>
      </c>
      <c r="O2012" s="266">
        <v>0</v>
      </c>
      <c r="P2012" s="266">
        <v>688705005553</v>
      </c>
      <c r="Q2012" s="266">
        <v>0</v>
      </c>
      <c r="R2012" s="265">
        <v>0</v>
      </c>
      <c r="S2012" s="265">
        <v>0</v>
      </c>
      <c r="V2012" s="265" t="s">
        <v>3028</v>
      </c>
      <c r="W2012" s="259" t="s">
        <v>3029</v>
      </c>
      <c r="X2012" s="264" t="s">
        <v>7402</v>
      </c>
      <c r="Y2012" s="259">
        <f t="shared" si="5"/>
        <v>1100</v>
      </c>
      <c r="AA2012" s="259" t="e">
        <v>#N/A</v>
      </c>
      <c r="AB2012" s="259"/>
      <c r="AC2012" s="259"/>
      <c r="AD2012" s="259"/>
      <c r="AE2012" s="259"/>
    </row>
    <row r="2013" spans="1:31">
      <c r="A2013" s="259">
        <v>9045115168</v>
      </c>
      <c r="B2013" s="259" t="s">
        <v>116</v>
      </c>
      <c r="C2013" s="264" t="s">
        <v>7395</v>
      </c>
      <c r="D2013" s="264" t="s">
        <v>7416</v>
      </c>
      <c r="E2013" s="259" t="s">
        <v>7397</v>
      </c>
      <c r="H2013" s="264" t="s">
        <v>7416</v>
      </c>
      <c r="I2013" s="264" t="s">
        <v>7416</v>
      </c>
      <c r="J2013" s="295">
        <v>456.86</v>
      </c>
      <c r="K2013" s="295">
        <v>456.86</v>
      </c>
      <c r="L2013" s="295" t="s">
        <v>7240</v>
      </c>
      <c r="O2013" s="266">
        <v>0</v>
      </c>
      <c r="P2013" s="266">
        <v>688705005584</v>
      </c>
      <c r="Q2013" s="266">
        <v>0</v>
      </c>
      <c r="R2013" s="265">
        <v>0</v>
      </c>
      <c r="S2013" s="265">
        <v>0</v>
      </c>
      <c r="V2013" s="265" t="s">
        <v>3028</v>
      </c>
      <c r="W2013" s="259" t="s">
        <v>3029</v>
      </c>
      <c r="X2013" s="264" t="s">
        <v>7402</v>
      </c>
      <c r="Y2013" s="259">
        <f t="shared" si="5"/>
        <v>1101</v>
      </c>
      <c r="AA2013" s="259" t="e">
        <v>#N/A</v>
      </c>
      <c r="AB2013" s="259"/>
      <c r="AC2013" s="259"/>
      <c r="AD2013" s="259"/>
      <c r="AE2013" s="259"/>
    </row>
    <row r="2014" spans="1:31">
      <c r="A2014" s="259">
        <v>9045115170</v>
      </c>
      <c r="B2014" s="259" t="s">
        <v>116</v>
      </c>
      <c r="C2014" s="264" t="s">
        <v>7395</v>
      </c>
      <c r="D2014" s="264" t="s">
        <v>7417</v>
      </c>
      <c r="E2014" s="259" t="s">
        <v>7397</v>
      </c>
      <c r="H2014" s="264" t="s">
        <v>7417</v>
      </c>
      <c r="I2014" s="264" t="s">
        <v>7417</v>
      </c>
      <c r="J2014" s="295">
        <v>456.86</v>
      </c>
      <c r="K2014" s="295">
        <v>456.86</v>
      </c>
      <c r="L2014" s="295" t="s">
        <v>7240</v>
      </c>
      <c r="O2014" s="266">
        <v>0</v>
      </c>
      <c r="P2014" s="266">
        <v>688705005577</v>
      </c>
      <c r="Q2014" s="266">
        <v>0</v>
      </c>
      <c r="R2014" s="265">
        <v>0</v>
      </c>
      <c r="S2014" s="265">
        <v>0</v>
      </c>
      <c r="V2014" s="265" t="s">
        <v>3028</v>
      </c>
      <c r="W2014" s="259" t="s">
        <v>3029</v>
      </c>
      <c r="X2014" s="264" t="s">
        <v>7402</v>
      </c>
      <c r="Y2014" s="259">
        <f t="shared" si="5"/>
        <v>1102</v>
      </c>
      <c r="AA2014" s="259" t="e">
        <v>#N/A</v>
      </c>
      <c r="AB2014" s="259"/>
      <c r="AC2014" s="259"/>
      <c r="AD2014" s="259"/>
      <c r="AE2014" s="259"/>
    </row>
    <row r="2015" spans="1:31">
      <c r="A2015" s="259">
        <v>9045121618</v>
      </c>
      <c r="B2015" s="259" t="s">
        <v>116</v>
      </c>
      <c r="C2015" s="264" t="s">
        <v>7395</v>
      </c>
      <c r="D2015" s="264" t="s">
        <v>7418</v>
      </c>
      <c r="E2015" s="259" t="s">
        <v>7397</v>
      </c>
      <c r="H2015" s="264" t="s">
        <v>7418</v>
      </c>
      <c r="I2015" s="264" t="s">
        <v>7418</v>
      </c>
      <c r="J2015" s="295">
        <v>819.88</v>
      </c>
      <c r="K2015" s="295">
        <v>819.88</v>
      </c>
      <c r="L2015" s="295" t="s">
        <v>7240</v>
      </c>
      <c r="O2015" s="266">
        <v>0</v>
      </c>
      <c r="P2015" s="266">
        <v>688705006222</v>
      </c>
      <c r="Q2015" s="266">
        <v>0</v>
      </c>
      <c r="R2015" s="265">
        <v>0</v>
      </c>
      <c r="S2015" s="265">
        <v>0</v>
      </c>
      <c r="V2015" s="265" t="s">
        <v>3028</v>
      </c>
      <c r="W2015" s="259">
        <v>0</v>
      </c>
      <c r="Y2015" s="259">
        <f t="shared" si="5"/>
        <v>1103</v>
      </c>
      <c r="AA2015" s="259" t="e">
        <v>#N/A</v>
      </c>
      <c r="AB2015" s="259"/>
      <c r="AC2015" s="259"/>
      <c r="AD2015" s="259"/>
      <c r="AE2015" s="259"/>
    </row>
    <row r="2016" spans="1:31">
      <c r="A2016" s="259">
        <v>9045121619</v>
      </c>
      <c r="B2016" s="259" t="s">
        <v>116</v>
      </c>
      <c r="C2016" s="264" t="s">
        <v>7395</v>
      </c>
      <c r="D2016" s="264" t="s">
        <v>7419</v>
      </c>
      <c r="E2016" s="259" t="s">
        <v>7397</v>
      </c>
      <c r="H2016" s="264" t="s">
        <v>7419</v>
      </c>
      <c r="I2016" s="264" t="s">
        <v>7419</v>
      </c>
      <c r="J2016" s="295">
        <v>819.88</v>
      </c>
      <c r="K2016" s="295">
        <v>819.88</v>
      </c>
      <c r="L2016" s="295" t="s">
        <v>7240</v>
      </c>
      <c r="O2016" s="266">
        <v>0</v>
      </c>
      <c r="P2016" s="266">
        <v>688705006239</v>
      </c>
      <c r="Q2016" s="266">
        <v>0</v>
      </c>
      <c r="R2016" s="265">
        <v>0</v>
      </c>
      <c r="S2016" s="265">
        <v>0</v>
      </c>
      <c r="V2016" s="265" t="s">
        <v>3028</v>
      </c>
      <c r="W2016" s="259">
        <v>0</v>
      </c>
      <c r="Y2016" s="259">
        <f t="shared" si="5"/>
        <v>1104</v>
      </c>
      <c r="AA2016" s="259" t="e">
        <v>#N/A</v>
      </c>
      <c r="AB2016" s="259"/>
      <c r="AC2016" s="259"/>
      <c r="AD2016" s="259"/>
      <c r="AE2016" s="259"/>
    </row>
    <row r="2017" spans="1:31">
      <c r="A2017" s="259">
        <v>9045122108</v>
      </c>
      <c r="B2017" s="259" t="s">
        <v>116</v>
      </c>
      <c r="C2017" s="264" t="s">
        <v>7395</v>
      </c>
      <c r="D2017" s="264" t="s">
        <v>7420</v>
      </c>
      <c r="E2017" s="259" t="s">
        <v>7397</v>
      </c>
      <c r="H2017" s="264" t="s">
        <v>7420</v>
      </c>
      <c r="I2017" s="264" t="s">
        <v>7420</v>
      </c>
      <c r="J2017" s="295">
        <v>871.74</v>
      </c>
      <c r="K2017" s="295">
        <v>871.74</v>
      </c>
      <c r="L2017" s="295" t="s">
        <v>7240</v>
      </c>
      <c r="O2017" s="266">
        <v>0</v>
      </c>
      <c r="P2017" s="266">
        <v>688705006246</v>
      </c>
      <c r="Q2017" s="266">
        <v>0</v>
      </c>
      <c r="R2017" s="265">
        <v>0</v>
      </c>
      <c r="S2017" s="265">
        <v>0</v>
      </c>
      <c r="V2017" s="265" t="s">
        <v>3028</v>
      </c>
      <c r="W2017" s="259">
        <v>0</v>
      </c>
      <c r="Y2017" s="259">
        <f t="shared" si="5"/>
        <v>1105</v>
      </c>
      <c r="AA2017" s="259" t="e">
        <v>#N/A</v>
      </c>
      <c r="AB2017" s="259"/>
      <c r="AC2017" s="259"/>
      <c r="AD2017" s="259"/>
      <c r="AE2017" s="259"/>
    </row>
    <row r="2018" spans="1:31">
      <c r="A2018" s="259">
        <v>9045122109</v>
      </c>
      <c r="B2018" s="259" t="s">
        <v>116</v>
      </c>
      <c r="C2018" s="264" t="s">
        <v>7395</v>
      </c>
      <c r="D2018" s="264" t="s">
        <v>7421</v>
      </c>
      <c r="E2018" s="259" t="s">
        <v>7397</v>
      </c>
      <c r="H2018" s="264" t="s">
        <v>7421</v>
      </c>
      <c r="I2018" s="264" t="s">
        <v>7421</v>
      </c>
      <c r="J2018" s="295">
        <v>871.74</v>
      </c>
      <c r="K2018" s="295">
        <v>871.74</v>
      </c>
      <c r="L2018" s="295" t="s">
        <v>7240</v>
      </c>
      <c r="O2018" s="266">
        <v>0</v>
      </c>
      <c r="P2018" s="266">
        <v>688705006253</v>
      </c>
      <c r="Q2018" s="266">
        <v>0</v>
      </c>
      <c r="R2018" s="265">
        <v>0</v>
      </c>
      <c r="S2018" s="265">
        <v>0</v>
      </c>
      <c r="V2018" s="265" t="s">
        <v>3028</v>
      </c>
      <c r="W2018" s="259">
        <v>0</v>
      </c>
      <c r="Y2018" s="259">
        <f t="shared" si="5"/>
        <v>1106</v>
      </c>
      <c r="AA2018" s="259" t="e">
        <v>#N/A</v>
      </c>
      <c r="AB2018" s="259"/>
      <c r="AC2018" s="259"/>
      <c r="AD2018" s="259"/>
      <c r="AE2018" s="259"/>
    </row>
    <row r="2019" spans="1:31">
      <c r="A2019" s="259" t="s">
        <v>2015</v>
      </c>
      <c r="B2019" s="259" t="s">
        <v>116</v>
      </c>
      <c r="C2019" s="264"/>
      <c r="D2019" s="264"/>
      <c r="H2019" s="264"/>
      <c r="I2019" s="264"/>
      <c r="J2019" s="295">
        <v>0</v>
      </c>
      <c r="K2019" s="295">
        <v>0</v>
      </c>
      <c r="L2019" s="295">
        <v>0</v>
      </c>
      <c r="O2019" s="266"/>
      <c r="R2019" s="265"/>
      <c r="V2019" s="265">
        <v>0</v>
      </c>
      <c r="Y2019" s="259">
        <f t="shared" si="5"/>
        <v>1107</v>
      </c>
      <c r="AA2019" s="259" t="e">
        <v>#N/A</v>
      </c>
      <c r="AB2019" s="259"/>
      <c r="AC2019" s="259"/>
      <c r="AD2019" s="259"/>
      <c r="AE2019" s="259"/>
    </row>
    <row r="2020" spans="1:31">
      <c r="A2020" s="259" t="s">
        <v>2016</v>
      </c>
      <c r="B2020" s="259" t="s">
        <v>116</v>
      </c>
      <c r="C2020" s="264"/>
      <c r="D2020" s="264"/>
      <c r="H2020" s="264"/>
      <c r="I2020" s="264"/>
      <c r="J2020" s="295">
        <v>0</v>
      </c>
      <c r="K2020" s="295">
        <v>0</v>
      </c>
      <c r="L2020" s="295">
        <v>0</v>
      </c>
      <c r="O2020" s="266"/>
      <c r="R2020" s="265"/>
      <c r="V2020" s="265">
        <v>0</v>
      </c>
      <c r="Y2020" s="259">
        <f t="shared" si="5"/>
        <v>1108</v>
      </c>
      <c r="AA2020" s="259" t="e">
        <v>#N/A</v>
      </c>
      <c r="AB2020" s="259"/>
      <c r="AC2020" s="259"/>
      <c r="AD2020" s="259"/>
      <c r="AE2020" s="259"/>
    </row>
    <row r="2021" spans="1:31">
      <c r="A2021" s="259" t="s">
        <v>2017</v>
      </c>
      <c r="B2021" s="259" t="s">
        <v>116</v>
      </c>
      <c r="C2021" s="264"/>
      <c r="D2021" s="264"/>
      <c r="H2021" s="264"/>
      <c r="I2021" s="264"/>
      <c r="J2021" s="295">
        <v>0</v>
      </c>
      <c r="K2021" s="295">
        <v>0</v>
      </c>
      <c r="L2021" s="295">
        <v>0</v>
      </c>
      <c r="O2021" s="266"/>
      <c r="R2021" s="265"/>
      <c r="V2021" s="265">
        <v>0</v>
      </c>
      <c r="Y2021" s="259">
        <f t="shared" si="5"/>
        <v>1109</v>
      </c>
      <c r="AA2021" s="259" t="e">
        <v>#N/A</v>
      </c>
      <c r="AB2021" s="259"/>
      <c r="AC2021" s="259"/>
      <c r="AD2021" s="259"/>
      <c r="AE2021" s="259"/>
    </row>
    <row r="2022" spans="1:31">
      <c r="A2022" s="259" t="s">
        <v>2018</v>
      </c>
      <c r="B2022" s="259" t="s">
        <v>116</v>
      </c>
      <c r="C2022" s="264" t="s">
        <v>7395</v>
      </c>
      <c r="D2022" s="264" t="s">
        <v>7422</v>
      </c>
      <c r="E2022" s="259" t="s">
        <v>7423</v>
      </c>
      <c r="H2022" s="264" t="s">
        <v>7422</v>
      </c>
      <c r="I2022" s="264" t="s">
        <v>7422</v>
      </c>
      <c r="J2022" s="295">
        <v>2214.5</v>
      </c>
      <c r="K2022" s="295">
        <v>2214.5</v>
      </c>
      <c r="L2022" s="295" t="s">
        <v>7240</v>
      </c>
      <c r="O2022" s="266">
        <v>0</v>
      </c>
      <c r="P2022" s="266">
        <v>688705007991</v>
      </c>
      <c r="Q2022" s="266">
        <v>0</v>
      </c>
      <c r="R2022" s="265">
        <v>0</v>
      </c>
      <c r="S2022" s="265">
        <v>0</v>
      </c>
      <c r="V2022" s="265" t="s">
        <v>3028</v>
      </c>
      <c r="W2022" s="259">
        <v>0</v>
      </c>
      <c r="Y2022" s="259">
        <f t="shared" si="5"/>
        <v>1110</v>
      </c>
      <c r="Z2022" s="259" t="s">
        <v>4042</v>
      </c>
      <c r="AA2022" s="259" t="e">
        <v>#N/A</v>
      </c>
      <c r="AB2022" s="259"/>
      <c r="AC2022" s="259"/>
      <c r="AD2022" s="259"/>
      <c r="AE2022" s="259"/>
    </row>
    <row r="2023" spans="1:31">
      <c r="A2023" s="259" t="s">
        <v>2019</v>
      </c>
      <c r="B2023" s="259" t="s">
        <v>116</v>
      </c>
      <c r="C2023" s="264" t="s">
        <v>7395</v>
      </c>
      <c r="D2023" s="264" t="s">
        <v>2911</v>
      </c>
      <c r="E2023" s="259" t="s">
        <v>7423</v>
      </c>
      <c r="G2023" s="259" t="s">
        <v>7424</v>
      </c>
      <c r="H2023" s="264" t="s">
        <v>2911</v>
      </c>
      <c r="I2023" s="264" t="s">
        <v>7422</v>
      </c>
      <c r="J2023" s="295">
        <v>2384.4499999999998</v>
      </c>
      <c r="K2023" s="295">
        <v>2384.4499999999998</v>
      </c>
      <c r="L2023" s="295" t="s">
        <v>7240</v>
      </c>
      <c r="O2023" s="266">
        <v>0</v>
      </c>
      <c r="P2023" s="266">
        <v>688705009896</v>
      </c>
      <c r="Q2023" s="266">
        <v>0</v>
      </c>
      <c r="R2023" s="265">
        <v>0</v>
      </c>
      <c r="S2023" s="265">
        <v>0</v>
      </c>
      <c r="V2023" s="265" t="s">
        <v>3028</v>
      </c>
      <c r="W2023" s="259">
        <v>0</v>
      </c>
      <c r="Y2023" s="259">
        <f t="shared" si="5"/>
        <v>1111</v>
      </c>
      <c r="Z2023" s="259" t="s">
        <v>4042</v>
      </c>
      <c r="AA2023" s="259" t="e">
        <v>#N/A</v>
      </c>
      <c r="AB2023" s="259"/>
      <c r="AC2023" s="259"/>
      <c r="AD2023" s="259"/>
      <c r="AE2023" s="259"/>
    </row>
    <row r="2024" spans="1:31">
      <c r="A2024" s="259" t="s">
        <v>2020</v>
      </c>
      <c r="B2024" s="259" t="s">
        <v>116</v>
      </c>
      <c r="C2024" s="264"/>
      <c r="D2024" s="264"/>
      <c r="H2024" s="264"/>
      <c r="I2024" s="264"/>
      <c r="J2024" s="295">
        <v>0</v>
      </c>
      <c r="K2024" s="295">
        <v>0</v>
      </c>
      <c r="L2024" s="295">
        <v>0</v>
      </c>
      <c r="O2024" s="266"/>
      <c r="R2024" s="265"/>
      <c r="V2024" s="265">
        <v>0</v>
      </c>
      <c r="Y2024" s="259">
        <f t="shared" si="5"/>
        <v>1112</v>
      </c>
      <c r="AA2024" s="259" t="e">
        <v>#N/A</v>
      </c>
      <c r="AB2024" s="259"/>
      <c r="AC2024" s="259"/>
      <c r="AD2024" s="259"/>
      <c r="AE2024" s="259"/>
    </row>
    <row r="2025" spans="1:31">
      <c r="A2025" s="259" t="s">
        <v>2021</v>
      </c>
      <c r="B2025" s="259" t="s">
        <v>116</v>
      </c>
      <c r="C2025" s="264"/>
      <c r="D2025" s="264"/>
      <c r="H2025" s="264"/>
      <c r="I2025" s="264"/>
      <c r="J2025" s="295">
        <v>0</v>
      </c>
      <c r="K2025" s="295">
        <v>0</v>
      </c>
      <c r="L2025" s="295">
        <v>0</v>
      </c>
      <c r="O2025" s="266"/>
      <c r="R2025" s="265"/>
      <c r="V2025" s="265">
        <v>0</v>
      </c>
      <c r="Y2025" s="259">
        <f t="shared" si="5"/>
        <v>1113</v>
      </c>
      <c r="AA2025" s="259" t="e">
        <v>#N/A</v>
      </c>
      <c r="AB2025" s="259"/>
      <c r="AC2025" s="259"/>
      <c r="AD2025" s="259"/>
      <c r="AE2025" s="259"/>
    </row>
    <row r="2026" spans="1:31">
      <c r="A2026" s="259">
        <v>9025109547</v>
      </c>
      <c r="B2026" s="259" t="s">
        <v>116</v>
      </c>
      <c r="C2026" s="264" t="s">
        <v>7425</v>
      </c>
      <c r="D2026" s="264" t="s">
        <v>7426</v>
      </c>
      <c r="E2026" s="259" t="s">
        <v>7423</v>
      </c>
      <c r="H2026" s="264" t="s">
        <v>7426</v>
      </c>
      <c r="I2026" s="264" t="s">
        <v>7426</v>
      </c>
      <c r="J2026" s="295">
        <v>5482.35</v>
      </c>
      <c r="K2026" s="295">
        <v>5482.35</v>
      </c>
      <c r="L2026" s="295" t="s">
        <v>7240</v>
      </c>
      <c r="O2026" s="266">
        <v>0</v>
      </c>
      <c r="P2026" s="266">
        <v>688705005393</v>
      </c>
      <c r="Q2026" s="266">
        <v>0</v>
      </c>
      <c r="R2026" s="265">
        <v>0</v>
      </c>
      <c r="S2026" s="265">
        <v>0</v>
      </c>
      <c r="V2026" s="265" t="s">
        <v>3028</v>
      </c>
      <c r="W2026" s="259" t="s">
        <v>3029</v>
      </c>
      <c r="X2026" s="264" t="s">
        <v>7427</v>
      </c>
      <c r="Y2026" s="259">
        <f t="shared" si="5"/>
        <v>1114</v>
      </c>
      <c r="AA2026" s="259" t="e">
        <v>#N/A</v>
      </c>
      <c r="AB2026" s="259"/>
      <c r="AC2026" s="259"/>
      <c r="AD2026" s="259"/>
      <c r="AE2026" s="259"/>
    </row>
    <row r="2027" spans="1:31">
      <c r="A2027" s="259">
        <v>9025109886</v>
      </c>
      <c r="B2027" s="259" t="s">
        <v>116</v>
      </c>
      <c r="C2027" s="264" t="s">
        <v>7425</v>
      </c>
      <c r="D2027" s="264" t="s">
        <v>7428</v>
      </c>
      <c r="E2027" s="259" t="s">
        <v>7423</v>
      </c>
      <c r="H2027" s="264" t="s">
        <v>7428</v>
      </c>
      <c r="I2027" s="264" t="s">
        <v>7428</v>
      </c>
      <c r="J2027" s="295">
        <v>6247.91</v>
      </c>
      <c r="K2027" s="295">
        <v>6247.91</v>
      </c>
      <c r="L2027" s="295" t="s">
        <v>7240</v>
      </c>
      <c r="O2027" s="266">
        <v>0</v>
      </c>
      <c r="P2027" s="266">
        <v>688705005478</v>
      </c>
      <c r="Q2027" s="266">
        <v>0</v>
      </c>
      <c r="R2027" s="265">
        <v>0</v>
      </c>
      <c r="S2027" s="265">
        <v>0</v>
      </c>
      <c r="V2027" s="265" t="s">
        <v>3028</v>
      </c>
      <c r="W2027" s="259" t="s">
        <v>3029</v>
      </c>
      <c r="X2027" s="264" t="s">
        <v>7427</v>
      </c>
      <c r="Y2027" s="259">
        <f t="shared" si="5"/>
        <v>1115</v>
      </c>
      <c r="AA2027" s="259" t="e">
        <v>#N/A</v>
      </c>
      <c r="AB2027" s="259"/>
      <c r="AC2027" s="259"/>
      <c r="AD2027" s="259"/>
      <c r="AE2027" s="259"/>
    </row>
    <row r="2028" spans="1:31">
      <c r="A2028" s="259" t="s">
        <v>2022</v>
      </c>
      <c r="B2028" s="259" t="s">
        <v>116</v>
      </c>
      <c r="C2028" s="264"/>
      <c r="D2028" s="264"/>
      <c r="H2028" s="264"/>
      <c r="I2028" s="264"/>
      <c r="J2028" s="295">
        <v>0</v>
      </c>
      <c r="K2028" s="295">
        <v>0</v>
      </c>
      <c r="L2028" s="295">
        <v>0</v>
      </c>
      <c r="O2028" s="266"/>
      <c r="R2028" s="265"/>
      <c r="V2028" s="265">
        <v>0</v>
      </c>
      <c r="Y2028" s="259">
        <f t="shared" si="5"/>
        <v>1116</v>
      </c>
      <c r="AA2028" s="259" t="e">
        <v>#N/A</v>
      </c>
      <c r="AB2028" s="259"/>
      <c r="AC2028" s="259"/>
      <c r="AD2028" s="259"/>
      <c r="AE2028" s="259"/>
    </row>
    <row r="2029" spans="1:31">
      <c r="A2029" s="259" t="s">
        <v>2023</v>
      </c>
      <c r="B2029" s="259" t="s">
        <v>116</v>
      </c>
      <c r="C2029" s="264"/>
      <c r="D2029" s="264"/>
      <c r="H2029" s="264"/>
      <c r="I2029" s="264"/>
      <c r="J2029" s="295">
        <v>0</v>
      </c>
      <c r="K2029" s="295">
        <v>0</v>
      </c>
      <c r="L2029" s="295">
        <v>0</v>
      </c>
      <c r="O2029" s="266"/>
      <c r="R2029" s="265"/>
      <c r="V2029" s="265">
        <v>0</v>
      </c>
      <c r="Y2029" s="259">
        <f t="shared" si="5"/>
        <v>1117</v>
      </c>
      <c r="AA2029" s="259" t="e">
        <v>#N/A</v>
      </c>
      <c r="AB2029" s="259"/>
      <c r="AC2029" s="259"/>
      <c r="AD2029" s="259"/>
      <c r="AE2029" s="259"/>
    </row>
    <row r="2030" spans="1:31">
      <c r="A2030" s="259">
        <v>9025121796</v>
      </c>
      <c r="B2030" s="259" t="s">
        <v>116</v>
      </c>
      <c r="C2030" s="264" t="s">
        <v>7425</v>
      </c>
      <c r="D2030" s="264" t="s">
        <v>7429</v>
      </c>
      <c r="E2030" s="259" t="s">
        <v>7423</v>
      </c>
      <c r="H2030" s="264" t="s">
        <v>7429</v>
      </c>
      <c r="I2030" s="264" t="s">
        <v>7429</v>
      </c>
      <c r="J2030" s="295">
        <v>7630.84</v>
      </c>
      <c r="K2030" s="295">
        <v>7630.84</v>
      </c>
      <c r="L2030" s="295" t="s">
        <v>7240</v>
      </c>
      <c r="O2030" s="266">
        <v>0</v>
      </c>
      <c r="P2030" s="266">
        <v>688705006048</v>
      </c>
      <c r="Q2030" s="266">
        <v>0</v>
      </c>
      <c r="R2030" s="265">
        <v>0</v>
      </c>
      <c r="S2030" s="265">
        <v>0</v>
      </c>
      <c r="V2030" s="265" t="s">
        <v>3028</v>
      </c>
      <c r="W2030" s="259">
        <v>0</v>
      </c>
      <c r="X2030" s="264" t="s">
        <v>7430</v>
      </c>
      <c r="Y2030" s="259">
        <f t="shared" si="5"/>
        <v>1118</v>
      </c>
      <c r="AA2030" s="259" t="e">
        <v>#N/A</v>
      </c>
      <c r="AB2030" s="259"/>
      <c r="AC2030" s="259"/>
      <c r="AD2030" s="259"/>
      <c r="AE2030" s="259"/>
    </row>
    <row r="2031" spans="1:31">
      <c r="A2031" s="259" t="s">
        <v>2024</v>
      </c>
      <c r="B2031" s="259" t="s">
        <v>116</v>
      </c>
      <c r="C2031" s="264"/>
      <c r="D2031" s="264"/>
      <c r="H2031" s="264"/>
      <c r="I2031" s="264"/>
      <c r="J2031" s="295">
        <v>0</v>
      </c>
      <c r="K2031" s="295">
        <v>0</v>
      </c>
      <c r="L2031" s="295">
        <v>0</v>
      </c>
      <c r="O2031" s="266"/>
      <c r="R2031" s="265"/>
      <c r="V2031" s="265">
        <v>0</v>
      </c>
      <c r="Y2031" s="259">
        <f t="shared" si="5"/>
        <v>1119</v>
      </c>
      <c r="AA2031" s="259" t="e">
        <v>#N/A</v>
      </c>
      <c r="AB2031" s="259"/>
      <c r="AC2031" s="259"/>
      <c r="AD2031" s="259"/>
      <c r="AE2031" s="259"/>
    </row>
    <row r="2032" spans="1:31">
      <c r="A2032" s="259" t="s">
        <v>2025</v>
      </c>
      <c r="B2032" s="259" t="s">
        <v>116</v>
      </c>
      <c r="C2032" s="264"/>
      <c r="D2032" s="264"/>
      <c r="H2032" s="264"/>
      <c r="I2032" s="264"/>
      <c r="J2032" s="295">
        <v>0</v>
      </c>
      <c r="K2032" s="295">
        <v>0</v>
      </c>
      <c r="L2032" s="295">
        <v>0</v>
      </c>
      <c r="O2032" s="266"/>
      <c r="R2032" s="265"/>
      <c r="V2032" s="265">
        <v>0</v>
      </c>
      <c r="Y2032" s="259">
        <f t="shared" si="5"/>
        <v>1120</v>
      </c>
      <c r="AA2032" s="259" t="e">
        <v>#N/A</v>
      </c>
      <c r="AB2032" s="259"/>
      <c r="AC2032" s="259"/>
      <c r="AD2032" s="259"/>
      <c r="AE2032" s="259"/>
    </row>
    <row r="2033" spans="1:31">
      <c r="A2033" s="259">
        <v>91511217</v>
      </c>
      <c r="B2033" s="259" t="s">
        <v>116</v>
      </c>
      <c r="C2033" s="264" t="s">
        <v>7425</v>
      </c>
      <c r="D2033" s="264" t="s">
        <v>7431</v>
      </c>
      <c r="E2033" s="259" t="s">
        <v>7423</v>
      </c>
      <c r="H2033" s="264" t="s">
        <v>7431</v>
      </c>
      <c r="I2033" s="264" t="s">
        <v>7431</v>
      </c>
      <c r="J2033" s="295">
        <v>2226.2800000000002</v>
      </c>
      <c r="K2033" s="295">
        <v>2226.2800000000002</v>
      </c>
      <c r="L2033" s="295" t="s">
        <v>7240</v>
      </c>
      <c r="O2033" s="266">
        <v>0</v>
      </c>
      <c r="P2033" s="266">
        <v>688705006031</v>
      </c>
      <c r="Q2033" s="266">
        <v>0</v>
      </c>
      <c r="R2033" s="265">
        <v>0</v>
      </c>
      <c r="S2033" s="265">
        <v>0</v>
      </c>
      <c r="V2033" s="265" t="s">
        <v>3574</v>
      </c>
      <c r="W2033" s="259">
        <v>0</v>
      </c>
      <c r="Y2033" s="259">
        <f t="shared" si="5"/>
        <v>1121</v>
      </c>
      <c r="AA2033" s="259" t="e">
        <v>#N/A</v>
      </c>
      <c r="AB2033" s="259"/>
      <c r="AC2033" s="259"/>
      <c r="AD2033" s="259"/>
      <c r="AE2033" s="259"/>
    </row>
    <row r="2034" spans="1:31">
      <c r="A2034" s="259" t="s">
        <v>2026</v>
      </c>
      <c r="B2034" s="259" t="s">
        <v>116</v>
      </c>
      <c r="C2034" s="264"/>
      <c r="D2034" s="264"/>
      <c r="H2034" s="264"/>
      <c r="I2034" s="264"/>
      <c r="J2034" s="295">
        <v>0</v>
      </c>
      <c r="K2034" s="295">
        <v>0</v>
      </c>
      <c r="L2034" s="295">
        <v>0</v>
      </c>
      <c r="O2034" s="266"/>
      <c r="R2034" s="265"/>
      <c r="V2034" s="265">
        <v>0</v>
      </c>
      <c r="Y2034" s="259">
        <f t="shared" si="5"/>
        <v>1122</v>
      </c>
      <c r="AA2034" s="259" t="e">
        <v>#N/A</v>
      </c>
      <c r="AB2034" s="259"/>
      <c r="AC2034" s="259"/>
      <c r="AD2034" s="259"/>
      <c r="AE2034" s="259"/>
    </row>
    <row r="2035" spans="1:31">
      <c r="A2035" s="259" t="s">
        <v>2027</v>
      </c>
      <c r="B2035" s="259" t="s">
        <v>116</v>
      </c>
      <c r="C2035" s="264"/>
      <c r="D2035" s="264"/>
      <c r="H2035" s="264"/>
      <c r="I2035" s="264"/>
      <c r="J2035" s="295">
        <v>0</v>
      </c>
      <c r="K2035" s="295">
        <v>0</v>
      </c>
      <c r="L2035" s="295">
        <v>0</v>
      </c>
      <c r="O2035" s="266"/>
      <c r="R2035" s="265"/>
      <c r="V2035" s="265">
        <v>0</v>
      </c>
      <c r="Y2035" s="259">
        <f t="shared" ref="Y2035:Y2098" si="6">Y2034+1</f>
        <v>1123</v>
      </c>
      <c r="AA2035" s="259" t="e">
        <v>#N/A</v>
      </c>
      <c r="AB2035" s="259"/>
      <c r="AC2035" s="259"/>
      <c r="AD2035" s="259"/>
      <c r="AE2035" s="259"/>
    </row>
    <row r="2036" spans="1:31">
      <c r="A2036" s="259">
        <v>9025122049</v>
      </c>
      <c r="B2036" s="259" t="s">
        <v>116</v>
      </c>
      <c r="C2036" s="264" t="s">
        <v>7425</v>
      </c>
      <c r="D2036" s="264" t="s">
        <v>7432</v>
      </c>
      <c r="E2036" s="259" t="s">
        <v>7423</v>
      </c>
      <c r="H2036" s="264" t="s">
        <v>7432</v>
      </c>
      <c r="I2036" s="264" t="s">
        <v>7432</v>
      </c>
      <c r="J2036" s="295">
        <v>12082.17</v>
      </c>
      <c r="K2036" s="295">
        <v>12082.17</v>
      </c>
      <c r="L2036" s="295" t="s">
        <v>7240</v>
      </c>
      <c r="O2036" s="266">
        <v>0</v>
      </c>
      <c r="P2036" s="266">
        <v>688705006116</v>
      </c>
      <c r="Q2036" s="266">
        <v>0</v>
      </c>
      <c r="R2036" s="265">
        <v>0</v>
      </c>
      <c r="S2036" s="265">
        <v>0</v>
      </c>
      <c r="V2036" s="265" t="s">
        <v>3028</v>
      </c>
      <c r="W2036" s="259">
        <v>0</v>
      </c>
      <c r="X2036" s="264" t="s">
        <v>7433</v>
      </c>
      <c r="Y2036" s="259">
        <f t="shared" si="6"/>
        <v>1124</v>
      </c>
      <c r="AA2036" s="259" t="e">
        <v>#N/A</v>
      </c>
      <c r="AB2036" s="259"/>
      <c r="AC2036" s="259"/>
      <c r="AD2036" s="259"/>
      <c r="AE2036" s="259"/>
    </row>
    <row r="2037" spans="1:31">
      <c r="A2037" s="259">
        <v>9025122050</v>
      </c>
      <c r="B2037" s="259" t="s">
        <v>116</v>
      </c>
      <c r="C2037" s="264" t="s">
        <v>7425</v>
      </c>
      <c r="D2037" s="264" t="s">
        <v>7434</v>
      </c>
      <c r="E2037" s="259" t="s">
        <v>7423</v>
      </c>
      <c r="H2037" s="264" t="s">
        <v>7434</v>
      </c>
      <c r="I2037" s="264" t="s">
        <v>7434</v>
      </c>
      <c r="J2037" s="295">
        <v>13353.97</v>
      </c>
      <c r="K2037" s="295">
        <v>13353.97</v>
      </c>
      <c r="L2037" s="295" t="s">
        <v>7240</v>
      </c>
      <c r="O2037" s="266">
        <v>0</v>
      </c>
      <c r="P2037" s="266">
        <v>688705006109</v>
      </c>
      <c r="Q2037" s="266">
        <v>0</v>
      </c>
      <c r="R2037" s="265">
        <v>0</v>
      </c>
      <c r="S2037" s="265">
        <v>0</v>
      </c>
      <c r="V2037" s="265" t="s">
        <v>3028</v>
      </c>
      <c r="W2037" s="259">
        <v>0</v>
      </c>
      <c r="X2037" s="264" t="s">
        <v>7435</v>
      </c>
      <c r="Y2037" s="259">
        <f t="shared" si="6"/>
        <v>1125</v>
      </c>
      <c r="AA2037" s="259" t="e">
        <v>#N/A</v>
      </c>
      <c r="AB2037" s="259"/>
      <c r="AC2037" s="259"/>
      <c r="AD2037" s="259"/>
      <c r="AE2037" s="259"/>
    </row>
    <row r="2038" spans="1:31">
      <c r="A2038" s="259" t="s">
        <v>2028</v>
      </c>
      <c r="B2038" s="259" t="s">
        <v>116</v>
      </c>
      <c r="C2038" s="264"/>
      <c r="D2038" s="264"/>
      <c r="H2038" s="264"/>
      <c r="I2038" s="264"/>
      <c r="J2038" s="295">
        <v>0</v>
      </c>
      <c r="K2038" s="295">
        <v>0</v>
      </c>
      <c r="L2038" s="295">
        <v>0</v>
      </c>
      <c r="O2038" s="266"/>
      <c r="R2038" s="265"/>
      <c r="V2038" s="265">
        <v>0</v>
      </c>
      <c r="Y2038" s="259">
        <f t="shared" si="6"/>
        <v>1126</v>
      </c>
      <c r="AA2038" s="259" t="e">
        <v>#N/A</v>
      </c>
      <c r="AB2038" s="259"/>
      <c r="AC2038" s="259"/>
      <c r="AD2038" s="259"/>
      <c r="AE2038" s="259"/>
    </row>
    <row r="2039" spans="1:31">
      <c r="A2039" s="259">
        <v>9025123579</v>
      </c>
      <c r="B2039" s="259" t="s">
        <v>116</v>
      </c>
      <c r="C2039" s="264" t="s">
        <v>7425</v>
      </c>
      <c r="D2039" s="264" t="s">
        <v>7436</v>
      </c>
      <c r="E2039" s="259" t="s">
        <v>7423</v>
      </c>
      <c r="H2039" s="264" t="s">
        <v>7436</v>
      </c>
      <c r="I2039" s="264" t="s">
        <v>7436</v>
      </c>
      <c r="J2039" s="295">
        <v>10865.92</v>
      </c>
      <c r="K2039" s="295">
        <v>10865.92</v>
      </c>
      <c r="L2039" s="295" t="s">
        <v>7240</v>
      </c>
      <c r="O2039" s="266">
        <v>0</v>
      </c>
      <c r="P2039" s="266">
        <v>688705007298</v>
      </c>
      <c r="Q2039" s="266">
        <v>0</v>
      </c>
      <c r="R2039" s="265">
        <v>0</v>
      </c>
      <c r="S2039" s="265">
        <v>0</v>
      </c>
      <c r="V2039" s="265" t="s">
        <v>3028</v>
      </c>
      <c r="W2039" s="259">
        <v>0</v>
      </c>
      <c r="X2039" s="264" t="s">
        <v>7437</v>
      </c>
      <c r="Y2039" s="259">
        <f t="shared" si="6"/>
        <v>1127</v>
      </c>
      <c r="AA2039" s="259" t="e">
        <v>#N/A</v>
      </c>
      <c r="AB2039" s="259"/>
      <c r="AC2039" s="259"/>
      <c r="AD2039" s="259"/>
      <c r="AE2039" s="259"/>
    </row>
    <row r="2040" spans="1:31">
      <c r="A2040" s="259">
        <v>9025123580</v>
      </c>
      <c r="B2040" s="259" t="s">
        <v>116</v>
      </c>
      <c r="C2040" s="264" t="s">
        <v>7425</v>
      </c>
      <c r="D2040" s="264" t="s">
        <v>7438</v>
      </c>
      <c r="E2040" s="259" t="s">
        <v>7423</v>
      </c>
      <c r="H2040" s="264" t="s">
        <v>7438</v>
      </c>
      <c r="I2040" s="264" t="s">
        <v>7438</v>
      </c>
      <c r="J2040" s="295">
        <v>12162.43</v>
      </c>
      <c r="K2040" s="295">
        <v>12162.43</v>
      </c>
      <c r="L2040" s="295" t="s">
        <v>7240</v>
      </c>
      <c r="O2040" s="266">
        <v>0</v>
      </c>
      <c r="P2040" s="266">
        <v>688705007281</v>
      </c>
      <c r="Q2040" s="266">
        <v>0</v>
      </c>
      <c r="R2040" s="265">
        <v>0</v>
      </c>
      <c r="S2040" s="265">
        <v>0</v>
      </c>
      <c r="V2040" s="265" t="s">
        <v>3028</v>
      </c>
      <c r="W2040" s="259">
        <v>0</v>
      </c>
      <c r="X2040" s="264" t="s">
        <v>7437</v>
      </c>
      <c r="Y2040" s="259">
        <f t="shared" si="6"/>
        <v>1128</v>
      </c>
      <c r="AA2040" s="259" t="e">
        <v>#N/A</v>
      </c>
      <c r="AB2040" s="259"/>
      <c r="AC2040" s="259"/>
      <c r="AD2040" s="259"/>
      <c r="AE2040" s="259"/>
    </row>
    <row r="2041" spans="1:31">
      <c r="A2041" s="259" t="s">
        <v>2029</v>
      </c>
      <c r="B2041" s="259" t="s">
        <v>116</v>
      </c>
      <c r="C2041" s="264"/>
      <c r="D2041" s="264"/>
      <c r="H2041" s="264"/>
      <c r="I2041" s="264"/>
      <c r="J2041" s="295">
        <v>0</v>
      </c>
      <c r="K2041" s="295">
        <v>0</v>
      </c>
      <c r="L2041" s="295">
        <v>0</v>
      </c>
      <c r="O2041" s="266"/>
      <c r="R2041" s="265"/>
      <c r="V2041" s="265">
        <v>0</v>
      </c>
      <c r="Y2041" s="259">
        <f t="shared" si="6"/>
        <v>1129</v>
      </c>
      <c r="AA2041" s="259" t="e">
        <v>#N/A</v>
      </c>
      <c r="AB2041" s="259"/>
      <c r="AC2041" s="259"/>
      <c r="AD2041" s="259"/>
      <c r="AE2041" s="259"/>
    </row>
    <row r="2042" spans="1:31">
      <c r="A2042" s="259">
        <v>91512205</v>
      </c>
      <c r="B2042" s="259" t="s">
        <v>116</v>
      </c>
      <c r="C2042" s="264" t="s">
        <v>7425</v>
      </c>
      <c r="D2042" s="264" t="s">
        <v>7439</v>
      </c>
      <c r="E2042" s="259" t="s">
        <v>7423</v>
      </c>
      <c r="H2042" s="264" t="s">
        <v>7439</v>
      </c>
      <c r="I2042" s="264" t="s">
        <v>7439</v>
      </c>
      <c r="J2042" s="295">
        <v>2797.98</v>
      </c>
      <c r="K2042" s="295">
        <v>2797.98</v>
      </c>
      <c r="L2042" s="295" t="s">
        <v>7240</v>
      </c>
      <c r="O2042" s="266">
        <v>0</v>
      </c>
      <c r="P2042" s="266">
        <v>688705006093</v>
      </c>
      <c r="Q2042" s="266">
        <v>0</v>
      </c>
      <c r="R2042" s="265">
        <v>0</v>
      </c>
      <c r="S2042" s="265">
        <v>0</v>
      </c>
      <c r="V2042" s="265" t="s">
        <v>3574</v>
      </c>
      <c r="W2042" s="259">
        <v>0</v>
      </c>
      <c r="X2042" s="264" t="s">
        <v>7440</v>
      </c>
      <c r="Y2042" s="259">
        <f t="shared" si="6"/>
        <v>1130</v>
      </c>
      <c r="AA2042" s="259" t="e">
        <v>#N/A</v>
      </c>
      <c r="AB2042" s="259"/>
      <c r="AC2042" s="259"/>
      <c r="AD2042" s="259"/>
      <c r="AE2042" s="259"/>
    </row>
    <row r="2043" spans="1:31">
      <c r="A2043" s="259" t="s">
        <v>2030</v>
      </c>
      <c r="B2043" s="259" t="s">
        <v>116</v>
      </c>
      <c r="C2043" s="264" t="s">
        <v>7425</v>
      </c>
      <c r="D2043" s="264" t="s">
        <v>7441</v>
      </c>
      <c r="E2043" s="259" t="s">
        <v>7423</v>
      </c>
      <c r="H2043" s="264" t="s">
        <v>7441</v>
      </c>
      <c r="I2043" s="264" t="s">
        <v>7441</v>
      </c>
      <c r="J2043" s="295">
        <v>92.61</v>
      </c>
      <c r="K2043" s="295">
        <v>92.61</v>
      </c>
      <c r="L2043" s="295" t="s">
        <v>7240</v>
      </c>
      <c r="O2043" s="266">
        <v>0</v>
      </c>
      <c r="P2043" s="266">
        <v>688705007250</v>
      </c>
      <c r="Q2043" s="266">
        <v>0</v>
      </c>
      <c r="R2043" s="265">
        <v>0</v>
      </c>
      <c r="S2043" s="265">
        <v>0</v>
      </c>
      <c r="V2043" s="265" t="s">
        <v>3996</v>
      </c>
      <c r="W2043" s="259">
        <v>0</v>
      </c>
      <c r="Y2043" s="259">
        <f t="shared" si="6"/>
        <v>1131</v>
      </c>
      <c r="Z2043" s="259" t="s">
        <v>3264</v>
      </c>
      <c r="AA2043" s="259" t="e">
        <v>#N/A</v>
      </c>
      <c r="AB2043" s="259"/>
      <c r="AC2043" s="259"/>
      <c r="AD2043" s="259"/>
      <c r="AE2043" s="259"/>
    </row>
    <row r="2044" spans="1:31">
      <c r="A2044" s="259" t="s">
        <v>2031</v>
      </c>
      <c r="B2044" s="259" t="s">
        <v>116</v>
      </c>
      <c r="C2044" s="264"/>
      <c r="D2044" s="264"/>
      <c r="H2044" s="264"/>
      <c r="I2044" s="264"/>
      <c r="J2044" s="295">
        <v>0</v>
      </c>
      <c r="K2044" s="295">
        <v>0</v>
      </c>
      <c r="L2044" s="295">
        <v>0</v>
      </c>
      <c r="O2044" s="266"/>
      <c r="R2044" s="265"/>
      <c r="V2044" s="265">
        <v>0</v>
      </c>
      <c r="Y2044" s="259">
        <f t="shared" si="6"/>
        <v>1132</v>
      </c>
      <c r="AA2044" s="259" t="e">
        <v>#N/A</v>
      </c>
      <c r="AB2044" s="259"/>
      <c r="AC2044" s="259"/>
      <c r="AD2044" s="259"/>
      <c r="AE2044" s="259"/>
    </row>
    <row r="2045" spans="1:31">
      <c r="A2045" s="259" t="s">
        <v>2032</v>
      </c>
      <c r="B2045" s="259" t="s">
        <v>116</v>
      </c>
      <c r="C2045" s="264"/>
      <c r="D2045" s="264"/>
      <c r="H2045" s="264"/>
      <c r="I2045" s="264"/>
      <c r="J2045" s="295">
        <v>0</v>
      </c>
      <c r="K2045" s="295">
        <v>0</v>
      </c>
      <c r="L2045" s="295">
        <v>0</v>
      </c>
      <c r="O2045" s="266"/>
      <c r="R2045" s="265"/>
      <c r="V2045" s="265">
        <v>0</v>
      </c>
      <c r="Y2045" s="259">
        <f t="shared" si="6"/>
        <v>1133</v>
      </c>
      <c r="AA2045" s="259" t="e">
        <v>#N/A</v>
      </c>
      <c r="AB2045" s="259"/>
      <c r="AC2045" s="259"/>
      <c r="AD2045" s="259"/>
      <c r="AE2045" s="259"/>
    </row>
    <row r="2046" spans="1:31">
      <c r="A2046" s="259">
        <v>9025122052</v>
      </c>
      <c r="B2046" s="259" t="s">
        <v>116</v>
      </c>
      <c r="C2046" s="264" t="s">
        <v>7425</v>
      </c>
      <c r="D2046" s="264" t="s">
        <v>7442</v>
      </c>
      <c r="E2046" s="259" t="s">
        <v>7423</v>
      </c>
      <c r="H2046" s="264" t="s">
        <v>7442</v>
      </c>
      <c r="I2046" s="264" t="s">
        <v>7442</v>
      </c>
      <c r="J2046" s="295">
        <v>16406.310000000001</v>
      </c>
      <c r="K2046" s="295">
        <v>16406.310000000001</v>
      </c>
      <c r="L2046" s="295" t="s">
        <v>7240</v>
      </c>
      <c r="O2046" s="266">
        <v>0</v>
      </c>
      <c r="P2046" s="266">
        <v>688705006123</v>
      </c>
      <c r="Q2046" s="266">
        <v>0</v>
      </c>
      <c r="R2046" s="265">
        <v>0</v>
      </c>
      <c r="S2046" s="265">
        <v>0</v>
      </c>
      <c r="V2046" s="265" t="s">
        <v>3028</v>
      </c>
      <c r="W2046" s="259">
        <v>0</v>
      </c>
      <c r="X2046" s="264" t="s">
        <v>7435</v>
      </c>
      <c r="Y2046" s="259">
        <f t="shared" si="6"/>
        <v>1134</v>
      </c>
      <c r="AA2046" s="259" t="e">
        <v>#N/A</v>
      </c>
      <c r="AB2046" s="259"/>
      <c r="AC2046" s="259"/>
      <c r="AD2046" s="259"/>
      <c r="AE2046" s="259"/>
    </row>
    <row r="2047" spans="1:31">
      <c r="A2047" s="259">
        <v>9025122053</v>
      </c>
      <c r="B2047" s="259" t="s">
        <v>116</v>
      </c>
      <c r="C2047" s="264" t="s">
        <v>7425</v>
      </c>
      <c r="D2047" s="264" t="s">
        <v>7443</v>
      </c>
      <c r="E2047" s="259" t="s">
        <v>7423</v>
      </c>
      <c r="H2047" s="264" t="s">
        <v>7443</v>
      </c>
      <c r="I2047" s="264" t="s">
        <v>7443</v>
      </c>
      <c r="J2047" s="295">
        <v>17805.3</v>
      </c>
      <c r="K2047" s="295">
        <v>17805.3</v>
      </c>
      <c r="L2047" s="295" t="s">
        <v>7240</v>
      </c>
      <c r="O2047" s="266">
        <v>0</v>
      </c>
      <c r="P2047" s="266">
        <v>688705006130</v>
      </c>
      <c r="Q2047" s="266">
        <v>0</v>
      </c>
      <c r="R2047" s="265">
        <v>0</v>
      </c>
      <c r="S2047" s="265">
        <v>0</v>
      </c>
      <c r="V2047" s="265" t="s">
        <v>3028</v>
      </c>
      <c r="W2047" s="259">
        <v>0</v>
      </c>
      <c r="X2047" s="264" t="s">
        <v>7435</v>
      </c>
      <c r="Y2047" s="259">
        <f t="shared" si="6"/>
        <v>1135</v>
      </c>
      <c r="AA2047" s="259" t="e">
        <v>#N/A</v>
      </c>
      <c r="AB2047" s="259"/>
      <c r="AC2047" s="259"/>
      <c r="AD2047" s="259"/>
      <c r="AE2047" s="259"/>
    </row>
    <row r="2048" spans="1:31">
      <c r="A2048" s="259" t="s">
        <v>2033</v>
      </c>
      <c r="B2048" s="259" t="s">
        <v>116</v>
      </c>
      <c r="C2048" s="264"/>
      <c r="D2048" s="264"/>
      <c r="H2048" s="264"/>
      <c r="I2048" s="264"/>
      <c r="J2048" s="295">
        <v>0</v>
      </c>
      <c r="K2048" s="295">
        <v>0</v>
      </c>
      <c r="L2048" s="295">
        <v>0</v>
      </c>
      <c r="O2048" s="266"/>
      <c r="R2048" s="265"/>
      <c r="V2048" s="265">
        <v>0</v>
      </c>
      <c r="Y2048" s="259">
        <f t="shared" si="6"/>
        <v>1136</v>
      </c>
      <c r="AA2048" s="259" t="e">
        <v>#N/A</v>
      </c>
      <c r="AB2048" s="259"/>
      <c r="AC2048" s="259"/>
      <c r="AD2048" s="259"/>
      <c r="AE2048" s="259"/>
    </row>
    <row r="2049" spans="1:31">
      <c r="A2049" s="259">
        <v>9025123581</v>
      </c>
      <c r="B2049" s="259" t="s">
        <v>116</v>
      </c>
      <c r="C2049" s="264" t="s">
        <v>7425</v>
      </c>
      <c r="D2049" s="264" t="s">
        <v>2891</v>
      </c>
      <c r="E2049" s="259" t="s">
        <v>7423</v>
      </c>
      <c r="H2049" s="264" t="s">
        <v>2891</v>
      </c>
      <c r="I2049" s="264" t="s">
        <v>2891</v>
      </c>
      <c r="J2049" s="295">
        <v>14755.43</v>
      </c>
      <c r="K2049" s="295">
        <v>14755.43</v>
      </c>
      <c r="L2049" s="295" t="s">
        <v>7240</v>
      </c>
      <c r="O2049" s="266">
        <v>0</v>
      </c>
      <c r="P2049" s="266">
        <v>688705007274</v>
      </c>
      <c r="Q2049" s="266">
        <v>0</v>
      </c>
      <c r="R2049" s="265">
        <v>0</v>
      </c>
      <c r="S2049" s="265">
        <v>0</v>
      </c>
      <c r="V2049" s="265" t="s">
        <v>3028</v>
      </c>
      <c r="W2049" s="259">
        <v>0</v>
      </c>
      <c r="X2049" s="264" t="s">
        <v>7444</v>
      </c>
      <c r="Y2049" s="259">
        <f t="shared" si="6"/>
        <v>1137</v>
      </c>
      <c r="AA2049" s="259" t="e">
        <v>#N/A</v>
      </c>
      <c r="AB2049" s="259"/>
      <c r="AC2049" s="259"/>
      <c r="AD2049" s="259"/>
      <c r="AE2049" s="259"/>
    </row>
    <row r="2050" spans="1:31">
      <c r="A2050" s="259">
        <v>9025123582</v>
      </c>
      <c r="B2050" s="259" t="s">
        <v>116</v>
      </c>
      <c r="C2050" s="264"/>
      <c r="D2050" s="264" t="s">
        <v>2686</v>
      </c>
      <c r="E2050" s="259" t="s">
        <v>7423</v>
      </c>
      <c r="H2050" s="264" t="s">
        <v>2686</v>
      </c>
      <c r="I2050" s="264" t="s">
        <v>2686</v>
      </c>
      <c r="J2050" s="295">
        <v>16156.89</v>
      </c>
      <c r="K2050" s="295">
        <v>16156.89</v>
      </c>
      <c r="L2050" s="295" t="s">
        <v>7240</v>
      </c>
      <c r="O2050" s="266"/>
      <c r="R2050" s="265"/>
      <c r="V2050" s="265">
        <v>0</v>
      </c>
      <c r="Y2050" s="259">
        <f t="shared" si="6"/>
        <v>1138</v>
      </c>
      <c r="AA2050" s="259" t="e">
        <v>#N/A</v>
      </c>
      <c r="AB2050" s="259"/>
      <c r="AC2050" s="259"/>
      <c r="AD2050" s="259"/>
      <c r="AE2050" s="259"/>
    </row>
    <row r="2051" spans="1:31">
      <c r="A2051" s="259" t="s">
        <v>2034</v>
      </c>
      <c r="B2051" s="259" t="s">
        <v>116</v>
      </c>
      <c r="C2051" s="264"/>
      <c r="D2051" s="264"/>
      <c r="H2051" s="264"/>
      <c r="I2051" s="264"/>
      <c r="J2051" s="295">
        <v>0</v>
      </c>
      <c r="K2051" s="295">
        <v>0</v>
      </c>
      <c r="L2051" s="295">
        <v>0</v>
      </c>
      <c r="O2051" s="266"/>
      <c r="R2051" s="265"/>
      <c r="V2051" s="265">
        <v>0</v>
      </c>
      <c r="Y2051" s="259">
        <f t="shared" si="6"/>
        <v>1139</v>
      </c>
      <c r="AA2051" s="259" t="e">
        <v>#N/A</v>
      </c>
      <c r="AB2051" s="259"/>
      <c r="AC2051" s="259"/>
      <c r="AD2051" s="259"/>
      <c r="AE2051" s="259"/>
    </row>
    <row r="2052" spans="1:31">
      <c r="A2052" s="259">
        <v>91512255</v>
      </c>
      <c r="B2052" s="259" t="s">
        <v>116</v>
      </c>
      <c r="C2052" s="264" t="s">
        <v>7425</v>
      </c>
      <c r="D2052" s="264" t="s">
        <v>7445</v>
      </c>
      <c r="E2052" s="259" t="s">
        <v>7423</v>
      </c>
      <c r="H2052" s="264" t="s">
        <v>7445</v>
      </c>
      <c r="I2052" s="264" t="s">
        <v>7445</v>
      </c>
      <c r="J2052" s="295">
        <v>2925.16</v>
      </c>
      <c r="K2052" s="295">
        <v>2925.16</v>
      </c>
      <c r="L2052" s="295" t="s">
        <v>7240</v>
      </c>
      <c r="O2052" s="266">
        <v>0</v>
      </c>
      <c r="P2052" s="266">
        <v>688705006147</v>
      </c>
      <c r="Q2052" s="266">
        <v>0</v>
      </c>
      <c r="R2052" s="265">
        <v>0</v>
      </c>
      <c r="S2052" s="265">
        <v>0</v>
      </c>
      <c r="V2052" s="265" t="s">
        <v>3574</v>
      </c>
      <c r="W2052" s="259">
        <v>0</v>
      </c>
      <c r="X2052" s="264" t="s">
        <v>7440</v>
      </c>
      <c r="Y2052" s="259">
        <f t="shared" si="6"/>
        <v>1140</v>
      </c>
      <c r="AA2052" s="259" t="e">
        <v>#N/A</v>
      </c>
      <c r="AB2052" s="259"/>
      <c r="AC2052" s="259"/>
      <c r="AD2052" s="259"/>
      <c r="AE2052" s="259"/>
    </row>
    <row r="2053" spans="1:31">
      <c r="A2053" s="259" t="s">
        <v>2035</v>
      </c>
      <c r="B2053" s="259" t="s">
        <v>116</v>
      </c>
      <c r="C2053" s="264" t="s">
        <v>7425</v>
      </c>
      <c r="D2053" s="264" t="s">
        <v>7446</v>
      </c>
      <c r="E2053" s="259" t="s">
        <v>7423</v>
      </c>
      <c r="H2053" s="264" t="s">
        <v>7446</v>
      </c>
      <c r="I2053" s="264" t="s">
        <v>7446</v>
      </c>
      <c r="J2053" s="295">
        <v>104.95</v>
      </c>
      <c r="K2053" s="295">
        <v>104.95</v>
      </c>
      <c r="L2053" s="295" t="s">
        <v>7240</v>
      </c>
      <c r="O2053" s="266">
        <v>0</v>
      </c>
      <c r="P2053" s="266">
        <v>688705007212</v>
      </c>
      <c r="Q2053" s="266">
        <v>0</v>
      </c>
      <c r="R2053" s="265">
        <v>0</v>
      </c>
      <c r="S2053" s="265">
        <v>0</v>
      </c>
      <c r="V2053" s="265">
        <v>0</v>
      </c>
      <c r="W2053" s="259">
        <v>0</v>
      </c>
      <c r="Y2053" s="259">
        <f t="shared" si="6"/>
        <v>1141</v>
      </c>
      <c r="Z2053" s="259" t="s">
        <v>3264</v>
      </c>
      <c r="AA2053" s="259" t="e">
        <v>#N/A</v>
      </c>
      <c r="AB2053" s="259"/>
      <c r="AC2053" s="259"/>
      <c r="AD2053" s="259"/>
      <c r="AE2053" s="259"/>
    </row>
    <row r="2054" spans="1:31">
      <c r="A2054" s="259" t="s">
        <v>2036</v>
      </c>
      <c r="B2054" s="259" t="s">
        <v>116</v>
      </c>
      <c r="C2054" s="264"/>
      <c r="D2054" s="264"/>
      <c r="H2054" s="264"/>
      <c r="I2054" s="264"/>
      <c r="J2054" s="295">
        <v>0</v>
      </c>
      <c r="K2054" s="295">
        <v>0</v>
      </c>
      <c r="L2054" s="295">
        <v>0</v>
      </c>
      <c r="O2054" s="266"/>
      <c r="R2054" s="265"/>
      <c r="V2054" s="265">
        <v>0</v>
      </c>
      <c r="Y2054" s="259">
        <f t="shared" si="6"/>
        <v>1142</v>
      </c>
      <c r="AA2054" s="259" t="e">
        <v>#N/A</v>
      </c>
      <c r="AB2054" s="259"/>
      <c r="AC2054" s="259"/>
      <c r="AD2054" s="259"/>
      <c r="AE2054" s="259"/>
    </row>
    <row r="2055" spans="1:31">
      <c r="A2055" s="259" t="s">
        <v>2037</v>
      </c>
      <c r="B2055" s="259" t="s">
        <v>116</v>
      </c>
      <c r="C2055" s="264"/>
      <c r="D2055" s="264"/>
      <c r="H2055" s="264"/>
      <c r="I2055" s="264"/>
      <c r="J2055" s="295">
        <v>0</v>
      </c>
      <c r="K2055" s="295">
        <v>0</v>
      </c>
      <c r="L2055" s="295">
        <v>0</v>
      </c>
      <c r="O2055" s="266"/>
      <c r="R2055" s="265"/>
      <c r="V2055" s="265">
        <v>0</v>
      </c>
      <c r="Y2055" s="259">
        <f t="shared" si="6"/>
        <v>1143</v>
      </c>
      <c r="AA2055" s="259" t="e">
        <v>#N/A</v>
      </c>
      <c r="AB2055" s="259"/>
      <c r="AC2055" s="259"/>
      <c r="AD2055" s="259"/>
      <c r="AE2055" s="259"/>
    </row>
    <row r="2056" spans="1:31">
      <c r="A2056" s="259" t="s">
        <v>2038</v>
      </c>
      <c r="B2056" s="259" t="s">
        <v>116</v>
      </c>
      <c r="C2056" s="264"/>
      <c r="D2056" s="264"/>
      <c r="H2056" s="264"/>
      <c r="I2056" s="264"/>
      <c r="J2056" s="295">
        <v>0</v>
      </c>
      <c r="K2056" s="295">
        <v>0</v>
      </c>
      <c r="L2056" s="295">
        <v>0</v>
      </c>
      <c r="O2056" s="266"/>
      <c r="R2056" s="265"/>
      <c r="V2056" s="265">
        <v>0</v>
      </c>
      <c r="Y2056" s="259">
        <f t="shared" si="6"/>
        <v>1144</v>
      </c>
      <c r="AA2056" s="259" t="e">
        <v>#N/A</v>
      </c>
      <c r="AB2056" s="259"/>
      <c r="AC2056" s="259"/>
      <c r="AD2056" s="259"/>
      <c r="AE2056" s="259"/>
    </row>
    <row r="2057" spans="1:31">
      <c r="A2057" s="259" t="s">
        <v>2039</v>
      </c>
      <c r="B2057" s="259" t="s">
        <v>116</v>
      </c>
      <c r="C2057" s="264" t="s">
        <v>7242</v>
      </c>
      <c r="D2057" s="264" t="s">
        <v>7447</v>
      </c>
      <c r="E2057" s="259" t="s">
        <v>7448</v>
      </c>
      <c r="H2057" s="264" t="s">
        <v>7447</v>
      </c>
      <c r="I2057" s="264" t="s">
        <v>7447</v>
      </c>
      <c r="J2057" s="295">
        <v>424.76</v>
      </c>
      <c r="K2057" s="295">
        <v>424.76</v>
      </c>
      <c r="L2057" s="295" t="s">
        <v>7240</v>
      </c>
      <c r="O2057" s="266">
        <v>0</v>
      </c>
      <c r="Q2057" s="266">
        <v>0</v>
      </c>
      <c r="R2057" s="265">
        <v>0</v>
      </c>
      <c r="S2057" s="265">
        <v>0</v>
      </c>
      <c r="V2057" s="265" t="s">
        <v>3218</v>
      </c>
      <c r="W2057" s="259">
        <v>0</v>
      </c>
      <c r="X2057" s="264" t="s">
        <v>7449</v>
      </c>
      <c r="Y2057" s="259">
        <f t="shared" si="6"/>
        <v>1145</v>
      </c>
      <c r="Z2057" s="259" t="s">
        <v>3264</v>
      </c>
      <c r="AA2057" s="259" t="e">
        <v>#N/A</v>
      </c>
      <c r="AB2057" s="259"/>
      <c r="AC2057" s="259"/>
      <c r="AD2057" s="259"/>
      <c r="AE2057" s="259"/>
    </row>
    <row r="2058" spans="1:31">
      <c r="A2058" s="259" t="s">
        <v>2040</v>
      </c>
      <c r="B2058" s="259" t="s">
        <v>116</v>
      </c>
      <c r="C2058" s="264" t="s">
        <v>7242</v>
      </c>
      <c r="D2058" s="264" t="s">
        <v>7450</v>
      </c>
      <c r="E2058" s="259" t="s">
        <v>7448</v>
      </c>
      <c r="H2058" s="264" t="s">
        <v>7450</v>
      </c>
      <c r="I2058" s="264" t="s">
        <v>7450</v>
      </c>
      <c r="J2058" s="295">
        <v>424.76</v>
      </c>
      <c r="K2058" s="295">
        <v>424.76</v>
      </c>
      <c r="L2058" s="295" t="s">
        <v>7240</v>
      </c>
      <c r="O2058" s="266">
        <v>0</v>
      </c>
      <c r="Q2058" s="266">
        <v>0</v>
      </c>
      <c r="R2058" s="265">
        <v>0</v>
      </c>
      <c r="S2058" s="265">
        <v>0</v>
      </c>
      <c r="V2058" s="265" t="s">
        <v>3218</v>
      </c>
      <c r="W2058" s="259">
        <v>0</v>
      </c>
      <c r="X2058" s="264" t="s">
        <v>7451</v>
      </c>
      <c r="Y2058" s="259">
        <f t="shared" si="6"/>
        <v>1146</v>
      </c>
      <c r="Z2058" s="259" t="s">
        <v>3264</v>
      </c>
      <c r="AA2058" s="259" t="e">
        <v>#N/A</v>
      </c>
      <c r="AB2058" s="259"/>
      <c r="AC2058" s="259"/>
      <c r="AD2058" s="259"/>
      <c r="AE2058" s="259"/>
    </row>
    <row r="2059" spans="1:31">
      <c r="A2059" s="259" t="s">
        <v>2041</v>
      </c>
      <c r="B2059" s="259" t="s">
        <v>116</v>
      </c>
      <c r="C2059" s="264" t="s">
        <v>7242</v>
      </c>
      <c r="D2059" s="264" t="s">
        <v>7452</v>
      </c>
      <c r="E2059" s="259" t="s">
        <v>7448</v>
      </c>
      <c r="H2059" s="264" t="s">
        <v>7452</v>
      </c>
      <c r="I2059" s="264" t="s">
        <v>7452</v>
      </c>
      <c r="J2059" s="295">
        <v>467.98</v>
      </c>
      <c r="K2059" s="295">
        <v>467.98</v>
      </c>
      <c r="L2059" s="295" t="s">
        <v>7240</v>
      </c>
      <c r="O2059" s="266">
        <v>0</v>
      </c>
      <c r="Q2059" s="266">
        <v>0</v>
      </c>
      <c r="R2059" s="265">
        <v>0</v>
      </c>
      <c r="V2059" s="265" t="s">
        <v>3218</v>
      </c>
      <c r="W2059" s="259">
        <v>0</v>
      </c>
      <c r="Y2059" s="259">
        <f t="shared" si="6"/>
        <v>1147</v>
      </c>
      <c r="Z2059" s="259" t="s">
        <v>3264</v>
      </c>
      <c r="AA2059" s="259" t="e">
        <v>#N/A</v>
      </c>
      <c r="AB2059" s="259"/>
      <c r="AC2059" s="259"/>
      <c r="AD2059" s="259"/>
      <c r="AE2059" s="259"/>
    </row>
    <row r="2060" spans="1:31">
      <c r="A2060" s="259" t="s">
        <v>2042</v>
      </c>
      <c r="B2060" s="259" t="s">
        <v>116</v>
      </c>
      <c r="C2060" s="264" t="s">
        <v>7242</v>
      </c>
      <c r="D2060" s="264" t="s">
        <v>7453</v>
      </c>
      <c r="E2060" s="259" t="s">
        <v>7448</v>
      </c>
      <c r="H2060" s="264" t="s">
        <v>7453</v>
      </c>
      <c r="I2060" s="264" t="s">
        <v>7453</v>
      </c>
      <c r="J2060" s="295">
        <v>424.76</v>
      </c>
      <c r="K2060" s="295">
        <v>424.76</v>
      </c>
      <c r="L2060" s="295" t="s">
        <v>7240</v>
      </c>
      <c r="O2060" s="266">
        <v>0</v>
      </c>
      <c r="Q2060" s="266">
        <v>0</v>
      </c>
      <c r="R2060" s="265">
        <v>0</v>
      </c>
      <c r="S2060" s="265">
        <v>0</v>
      </c>
      <c r="V2060" s="265" t="s">
        <v>3218</v>
      </c>
      <c r="W2060" s="259">
        <v>0</v>
      </c>
      <c r="X2060" s="264" t="s">
        <v>7449</v>
      </c>
      <c r="Y2060" s="259">
        <f t="shared" si="6"/>
        <v>1148</v>
      </c>
      <c r="Z2060" s="259" t="s">
        <v>3264</v>
      </c>
      <c r="AA2060" s="259" t="e">
        <v>#N/A</v>
      </c>
      <c r="AB2060" s="259"/>
      <c r="AC2060" s="259"/>
      <c r="AD2060" s="259"/>
      <c r="AE2060" s="259"/>
    </row>
    <row r="2061" spans="1:31">
      <c r="A2061" s="259" t="s">
        <v>2043</v>
      </c>
      <c r="B2061" s="259" t="s">
        <v>116</v>
      </c>
      <c r="C2061" s="264" t="s">
        <v>7242</v>
      </c>
      <c r="D2061" s="264" t="s">
        <v>7454</v>
      </c>
      <c r="E2061" s="259" t="s">
        <v>7448</v>
      </c>
      <c r="H2061" s="264" t="s">
        <v>7454</v>
      </c>
      <c r="I2061" s="264" t="s">
        <v>7454</v>
      </c>
      <c r="J2061" s="295">
        <v>424.76</v>
      </c>
      <c r="K2061" s="295">
        <v>424.76</v>
      </c>
      <c r="L2061" s="295" t="s">
        <v>7240</v>
      </c>
      <c r="O2061" s="266">
        <v>0</v>
      </c>
      <c r="Q2061" s="266">
        <v>0</v>
      </c>
      <c r="R2061" s="265">
        <v>0</v>
      </c>
      <c r="S2061" s="265">
        <v>0</v>
      </c>
      <c r="V2061" s="265" t="s">
        <v>3218</v>
      </c>
      <c r="W2061" s="259">
        <v>0</v>
      </c>
      <c r="X2061" s="264" t="s">
        <v>7449</v>
      </c>
      <c r="Y2061" s="259">
        <f t="shared" si="6"/>
        <v>1149</v>
      </c>
      <c r="Z2061" s="259" t="s">
        <v>3264</v>
      </c>
      <c r="AA2061" s="259" t="e">
        <v>#N/A</v>
      </c>
      <c r="AB2061" s="259"/>
      <c r="AC2061" s="259"/>
      <c r="AD2061" s="259"/>
      <c r="AE2061" s="259"/>
    </row>
    <row r="2062" spans="1:31">
      <c r="A2062" s="259" t="s">
        <v>2044</v>
      </c>
      <c r="B2062" s="259" t="s">
        <v>116</v>
      </c>
      <c r="C2062" s="264" t="s">
        <v>7242</v>
      </c>
      <c r="D2062" s="264" t="s">
        <v>7455</v>
      </c>
      <c r="E2062" s="259" t="s">
        <v>7448</v>
      </c>
      <c r="H2062" s="264" t="s">
        <v>7455</v>
      </c>
      <c r="I2062" s="264" t="s">
        <v>7455</v>
      </c>
      <c r="J2062" s="295">
        <v>467.98</v>
      </c>
      <c r="K2062" s="295">
        <v>467.98</v>
      </c>
      <c r="L2062" s="295" t="s">
        <v>7240</v>
      </c>
      <c r="O2062" s="266">
        <v>0</v>
      </c>
      <c r="Q2062" s="266">
        <v>0</v>
      </c>
      <c r="R2062" s="265">
        <v>0</v>
      </c>
      <c r="S2062" s="265">
        <v>0</v>
      </c>
      <c r="V2062" s="265" t="s">
        <v>3218</v>
      </c>
      <c r="W2062" s="259">
        <v>0</v>
      </c>
      <c r="X2062" s="264" t="s">
        <v>7449</v>
      </c>
      <c r="Y2062" s="259">
        <f t="shared" si="6"/>
        <v>1150</v>
      </c>
      <c r="Z2062" s="259" t="s">
        <v>3264</v>
      </c>
      <c r="AA2062" s="259" t="e">
        <v>#N/A</v>
      </c>
      <c r="AB2062" s="259"/>
      <c r="AC2062" s="259"/>
      <c r="AD2062" s="259"/>
      <c r="AE2062" s="259"/>
    </row>
    <row r="2063" spans="1:31">
      <c r="A2063" s="259" t="s">
        <v>2045</v>
      </c>
      <c r="B2063" s="259" t="s">
        <v>116</v>
      </c>
      <c r="C2063" s="264"/>
      <c r="D2063" s="264"/>
      <c r="H2063" s="264"/>
      <c r="I2063" s="264"/>
      <c r="J2063" s="295">
        <v>0</v>
      </c>
      <c r="K2063" s="295">
        <v>0</v>
      </c>
      <c r="L2063" s="295">
        <v>0</v>
      </c>
      <c r="O2063" s="266"/>
      <c r="R2063" s="265"/>
      <c r="V2063" s="265">
        <v>0</v>
      </c>
      <c r="Y2063" s="259">
        <f t="shared" si="6"/>
        <v>1151</v>
      </c>
      <c r="AA2063" s="259" t="e">
        <v>#N/A</v>
      </c>
      <c r="AB2063" s="259"/>
      <c r="AC2063" s="259"/>
      <c r="AD2063" s="259"/>
      <c r="AE2063" s="259"/>
    </row>
    <row r="2064" spans="1:31">
      <c r="A2064" s="259">
        <v>91606020</v>
      </c>
      <c r="B2064" s="259" t="s">
        <v>116</v>
      </c>
      <c r="C2064" s="264" t="s">
        <v>7242</v>
      </c>
      <c r="D2064" s="264" t="s">
        <v>7456</v>
      </c>
      <c r="E2064" s="259" t="s">
        <v>7448</v>
      </c>
      <c r="H2064" s="264" t="s">
        <v>7456</v>
      </c>
      <c r="I2064" s="264" t="s">
        <v>7456</v>
      </c>
      <c r="J2064" s="295">
        <v>127.18</v>
      </c>
      <c r="K2064" s="295">
        <v>127.18</v>
      </c>
      <c r="L2064" s="295" t="s">
        <v>7240</v>
      </c>
      <c r="O2064" s="266">
        <v>0</v>
      </c>
      <c r="Q2064" s="266">
        <v>0</v>
      </c>
      <c r="R2064" s="265">
        <v>0</v>
      </c>
      <c r="S2064" s="265">
        <v>0</v>
      </c>
      <c r="V2064" s="265" t="s">
        <v>3218</v>
      </c>
      <c r="W2064" s="259">
        <v>0</v>
      </c>
      <c r="X2064" s="264" t="s">
        <v>7457</v>
      </c>
      <c r="Y2064" s="259">
        <f t="shared" si="6"/>
        <v>1152</v>
      </c>
      <c r="AA2064" s="259" t="e">
        <v>#N/A</v>
      </c>
      <c r="AB2064" s="259"/>
      <c r="AC2064" s="259"/>
      <c r="AD2064" s="259"/>
      <c r="AE2064" s="259"/>
    </row>
    <row r="2065" spans="1:31">
      <c r="A2065" s="259">
        <v>91606021</v>
      </c>
      <c r="B2065" s="259" t="s">
        <v>116</v>
      </c>
      <c r="C2065" s="264" t="s">
        <v>7242</v>
      </c>
      <c r="D2065" s="264" t="s">
        <v>7458</v>
      </c>
      <c r="E2065" s="259" t="s">
        <v>7448</v>
      </c>
      <c r="H2065" s="264" t="s">
        <v>7458</v>
      </c>
      <c r="I2065" s="264" t="s">
        <v>7458</v>
      </c>
      <c r="J2065" s="295">
        <v>40.75</v>
      </c>
      <c r="K2065" s="295">
        <v>40.75</v>
      </c>
      <c r="L2065" s="295" t="s">
        <v>7240</v>
      </c>
      <c r="O2065" s="266">
        <v>0</v>
      </c>
      <c r="Q2065" s="266">
        <v>0</v>
      </c>
      <c r="R2065" s="265">
        <v>0</v>
      </c>
      <c r="S2065" s="265">
        <v>0</v>
      </c>
      <c r="V2065" s="265" t="s">
        <v>3028</v>
      </c>
      <c r="W2065" s="259">
        <v>0</v>
      </c>
      <c r="X2065" s="264" t="s">
        <v>7457</v>
      </c>
      <c r="Y2065" s="259">
        <f t="shared" si="6"/>
        <v>1153</v>
      </c>
      <c r="AA2065" s="259" t="e">
        <v>#N/A</v>
      </c>
      <c r="AB2065" s="259"/>
      <c r="AC2065" s="259"/>
      <c r="AD2065" s="259"/>
      <c r="AE2065" s="259"/>
    </row>
    <row r="2066" spans="1:31">
      <c r="A2066" s="259" t="s">
        <v>2046</v>
      </c>
      <c r="B2066" s="259" t="s">
        <v>116</v>
      </c>
      <c r="C2066" s="264"/>
      <c r="D2066" s="264"/>
      <c r="H2066" s="264"/>
      <c r="I2066" s="264"/>
      <c r="J2066" s="295">
        <v>0</v>
      </c>
      <c r="K2066" s="295">
        <v>0</v>
      </c>
      <c r="L2066" s="295">
        <v>0</v>
      </c>
      <c r="O2066" s="266"/>
      <c r="R2066" s="265"/>
      <c r="V2066" s="265">
        <v>0</v>
      </c>
      <c r="Y2066" s="259">
        <f t="shared" si="6"/>
        <v>1154</v>
      </c>
      <c r="AA2066" s="259" t="e">
        <v>#N/A</v>
      </c>
      <c r="AB2066" s="259"/>
      <c r="AC2066" s="259"/>
      <c r="AD2066" s="259"/>
      <c r="AE2066" s="259"/>
    </row>
    <row r="2067" spans="1:31">
      <c r="A2067" s="259" t="s">
        <v>2047</v>
      </c>
      <c r="B2067" s="259" t="s">
        <v>116</v>
      </c>
      <c r="C2067" s="264" t="s">
        <v>7459</v>
      </c>
      <c r="D2067" s="264"/>
      <c r="E2067" s="259" t="s">
        <v>7460</v>
      </c>
      <c r="H2067" s="264" t="s">
        <v>7459</v>
      </c>
      <c r="I2067" s="264" t="s">
        <v>7459</v>
      </c>
      <c r="J2067" s="295">
        <v>509.85</v>
      </c>
      <c r="K2067" s="295">
        <v>509.85</v>
      </c>
      <c r="L2067" s="295" t="s">
        <v>7240</v>
      </c>
      <c r="O2067" s="266"/>
      <c r="P2067" s="266">
        <v>688705008448</v>
      </c>
      <c r="R2067" s="265"/>
      <c r="V2067" s="265">
        <v>0</v>
      </c>
      <c r="Y2067" s="259">
        <f t="shared" si="6"/>
        <v>1155</v>
      </c>
      <c r="Z2067" s="259" t="s">
        <v>4042</v>
      </c>
      <c r="AA2067" s="259" t="e">
        <v>#N/A</v>
      </c>
      <c r="AB2067" s="259"/>
      <c r="AC2067" s="259"/>
      <c r="AD2067" s="259"/>
      <c r="AE2067" s="259"/>
    </row>
    <row r="2068" spans="1:31">
      <c r="A2068" s="259" t="s">
        <v>2048</v>
      </c>
      <c r="B2068" s="259" t="s">
        <v>116</v>
      </c>
      <c r="C2068" s="264" t="s">
        <v>7461</v>
      </c>
      <c r="D2068" s="264"/>
      <c r="E2068" s="259" t="s">
        <v>7460</v>
      </c>
      <c r="H2068" s="264" t="s">
        <v>7461</v>
      </c>
      <c r="I2068" s="264" t="s">
        <v>7461</v>
      </c>
      <c r="J2068" s="295">
        <v>1282.3499999999999</v>
      </c>
      <c r="K2068" s="295">
        <v>1282.3499999999999</v>
      </c>
      <c r="L2068" s="295" t="s">
        <v>7240</v>
      </c>
      <c r="O2068" s="266"/>
      <c r="P2068" s="266">
        <v>688705008479</v>
      </c>
      <c r="R2068" s="265"/>
      <c r="V2068" s="265">
        <v>0</v>
      </c>
      <c r="Y2068" s="259">
        <f t="shared" si="6"/>
        <v>1156</v>
      </c>
      <c r="Z2068" s="259" t="s">
        <v>4042</v>
      </c>
      <c r="AA2068" s="259" t="e">
        <v>#N/A</v>
      </c>
      <c r="AB2068" s="259"/>
      <c r="AC2068" s="259"/>
      <c r="AD2068" s="259"/>
      <c r="AE2068" s="259"/>
    </row>
    <row r="2069" spans="1:31">
      <c r="A2069" s="259" t="s">
        <v>2049</v>
      </c>
      <c r="B2069" s="259" t="s">
        <v>116</v>
      </c>
      <c r="C2069" s="264"/>
      <c r="D2069" s="264"/>
      <c r="E2069" s="259" t="s">
        <v>7460</v>
      </c>
      <c r="H2069" s="264"/>
      <c r="I2069" s="264"/>
      <c r="J2069" s="295">
        <v>0</v>
      </c>
      <c r="K2069" s="295">
        <v>0</v>
      </c>
      <c r="L2069" s="295">
        <v>0</v>
      </c>
      <c r="O2069" s="266"/>
      <c r="R2069" s="265"/>
      <c r="V2069" s="265">
        <v>0</v>
      </c>
      <c r="Y2069" s="259">
        <f t="shared" si="6"/>
        <v>1157</v>
      </c>
      <c r="AA2069" s="259" t="e">
        <v>#N/A</v>
      </c>
      <c r="AB2069" s="259"/>
      <c r="AC2069" s="259"/>
      <c r="AD2069" s="259"/>
      <c r="AE2069" s="259"/>
    </row>
    <row r="2070" spans="1:31">
      <c r="A2070" s="259" t="s">
        <v>2050</v>
      </c>
      <c r="B2070" s="259" t="s">
        <v>116</v>
      </c>
      <c r="C2070" s="264" t="s">
        <v>7462</v>
      </c>
      <c r="D2070" s="264"/>
      <c r="E2070" s="259" t="s">
        <v>7460</v>
      </c>
      <c r="H2070" s="264" t="s">
        <v>7462</v>
      </c>
      <c r="I2070" s="264" t="s">
        <v>7462</v>
      </c>
      <c r="J2070" s="295">
        <v>509.85</v>
      </c>
      <c r="K2070" s="295">
        <v>509.85</v>
      </c>
      <c r="L2070" s="295" t="s">
        <v>7240</v>
      </c>
      <c r="O2070" s="266"/>
      <c r="P2070" s="266">
        <v>688705008455</v>
      </c>
      <c r="R2070" s="265"/>
      <c r="V2070" s="265">
        <v>0</v>
      </c>
      <c r="Y2070" s="259">
        <f t="shared" si="6"/>
        <v>1158</v>
      </c>
      <c r="Z2070" s="259" t="s">
        <v>7463</v>
      </c>
      <c r="AA2070" s="259" t="e">
        <v>#N/A</v>
      </c>
      <c r="AB2070" s="259"/>
      <c r="AC2070" s="259"/>
      <c r="AD2070" s="259"/>
      <c r="AE2070" s="259"/>
    </row>
    <row r="2071" spans="1:31">
      <c r="A2071" s="259" t="s">
        <v>2051</v>
      </c>
      <c r="B2071" s="259" t="s">
        <v>116</v>
      </c>
      <c r="C2071" s="264" t="s">
        <v>7464</v>
      </c>
      <c r="D2071" s="264"/>
      <c r="E2071" s="259" t="s">
        <v>7460</v>
      </c>
      <c r="H2071" s="264" t="s">
        <v>7464</v>
      </c>
      <c r="I2071" s="264" t="s">
        <v>7464</v>
      </c>
      <c r="J2071" s="295">
        <v>1282.3499999999999</v>
      </c>
      <c r="K2071" s="295">
        <v>1282.3499999999999</v>
      </c>
      <c r="L2071" s="295" t="s">
        <v>7240</v>
      </c>
      <c r="O2071" s="266"/>
      <c r="P2071" s="266">
        <v>688705008486</v>
      </c>
      <c r="R2071" s="265"/>
      <c r="V2071" s="265">
        <v>0</v>
      </c>
      <c r="Y2071" s="259">
        <f t="shared" si="6"/>
        <v>1159</v>
      </c>
      <c r="Z2071" s="259" t="s">
        <v>7463</v>
      </c>
      <c r="AA2071" s="259" t="e">
        <v>#N/A</v>
      </c>
      <c r="AB2071" s="259"/>
      <c r="AC2071" s="259"/>
      <c r="AD2071" s="259"/>
      <c r="AE2071" s="259"/>
    </row>
    <row r="2072" spans="1:31">
      <c r="A2072" s="259" t="s">
        <v>2052</v>
      </c>
      <c r="B2072" s="259" t="s">
        <v>116</v>
      </c>
      <c r="C2072" s="264"/>
      <c r="D2072" s="264"/>
      <c r="E2072" s="259" t="s">
        <v>7460</v>
      </c>
      <c r="H2072" s="264"/>
      <c r="I2072" s="264"/>
      <c r="J2072" s="295">
        <v>0</v>
      </c>
      <c r="K2072" s="295">
        <v>0</v>
      </c>
      <c r="L2072" s="295">
        <v>0</v>
      </c>
      <c r="O2072" s="266"/>
      <c r="R2072" s="265"/>
      <c r="V2072" s="265">
        <v>0</v>
      </c>
      <c r="Y2072" s="259">
        <f t="shared" si="6"/>
        <v>1160</v>
      </c>
      <c r="AA2072" s="259" t="e">
        <v>#N/A</v>
      </c>
      <c r="AB2072" s="259"/>
      <c r="AC2072" s="259"/>
      <c r="AD2072" s="259"/>
      <c r="AE2072" s="259"/>
    </row>
    <row r="2073" spans="1:31">
      <c r="A2073" s="259" t="s">
        <v>2053</v>
      </c>
      <c r="B2073" s="259" t="s">
        <v>116</v>
      </c>
      <c r="C2073" s="264" t="s">
        <v>7465</v>
      </c>
      <c r="D2073" s="264"/>
      <c r="E2073" s="259" t="s">
        <v>7460</v>
      </c>
      <c r="H2073" s="264" t="s">
        <v>7465</v>
      </c>
      <c r="I2073" s="264" t="s">
        <v>7465</v>
      </c>
      <c r="J2073" s="295">
        <v>509.85</v>
      </c>
      <c r="K2073" s="295">
        <v>509.85</v>
      </c>
      <c r="L2073" s="295" t="s">
        <v>7240</v>
      </c>
      <c r="O2073" s="266"/>
      <c r="P2073" s="266">
        <v>688705008462</v>
      </c>
      <c r="R2073" s="265"/>
      <c r="V2073" s="265">
        <v>0</v>
      </c>
      <c r="Y2073" s="259">
        <f t="shared" si="6"/>
        <v>1161</v>
      </c>
      <c r="Z2073" s="259" t="s">
        <v>7463</v>
      </c>
      <c r="AA2073" s="259" t="e">
        <v>#N/A</v>
      </c>
      <c r="AB2073" s="259"/>
      <c r="AC2073" s="259"/>
      <c r="AD2073" s="259"/>
      <c r="AE2073" s="259"/>
    </row>
    <row r="2074" spans="1:31">
      <c r="A2074" s="259" t="s">
        <v>2054</v>
      </c>
      <c r="B2074" s="259" t="s">
        <v>116</v>
      </c>
      <c r="C2074" s="264" t="s">
        <v>7466</v>
      </c>
      <c r="D2074" s="264"/>
      <c r="E2074" s="259" t="s">
        <v>7460</v>
      </c>
      <c r="H2074" s="264" t="s">
        <v>7466</v>
      </c>
      <c r="I2074" s="264" t="s">
        <v>7466</v>
      </c>
      <c r="J2074" s="295">
        <v>1282.3499999999999</v>
      </c>
      <c r="K2074" s="295">
        <v>1282.3499999999999</v>
      </c>
      <c r="L2074" s="295" t="s">
        <v>7240</v>
      </c>
      <c r="O2074" s="266"/>
      <c r="P2074" s="266">
        <v>688705008493</v>
      </c>
      <c r="R2074" s="265"/>
      <c r="V2074" s="265">
        <v>0</v>
      </c>
      <c r="Y2074" s="259">
        <f t="shared" si="6"/>
        <v>1162</v>
      </c>
      <c r="Z2074" s="259" t="s">
        <v>7463</v>
      </c>
      <c r="AA2074" s="259" t="e">
        <v>#N/A</v>
      </c>
      <c r="AB2074" s="259"/>
      <c r="AC2074" s="259"/>
      <c r="AD2074" s="259"/>
      <c r="AE2074" s="259"/>
    </row>
    <row r="2075" spans="1:31">
      <c r="A2075" s="259" t="s">
        <v>2055</v>
      </c>
      <c r="B2075" s="259" t="s">
        <v>116</v>
      </c>
      <c r="C2075" s="264"/>
      <c r="D2075" s="264"/>
      <c r="E2075" s="259" t="s">
        <v>7460</v>
      </c>
      <c r="H2075" s="264"/>
      <c r="I2075" s="264"/>
      <c r="J2075" s="295">
        <v>0</v>
      </c>
      <c r="K2075" s="295">
        <v>0</v>
      </c>
      <c r="L2075" s="295">
        <v>0</v>
      </c>
      <c r="O2075" s="266"/>
      <c r="R2075" s="265"/>
      <c r="V2075" s="265">
        <v>0</v>
      </c>
      <c r="Y2075" s="259">
        <f t="shared" si="6"/>
        <v>1163</v>
      </c>
      <c r="AA2075" s="259" t="e">
        <v>#N/A</v>
      </c>
      <c r="AB2075" s="259"/>
      <c r="AC2075" s="259"/>
      <c r="AD2075" s="259"/>
      <c r="AE2075" s="259"/>
    </row>
    <row r="2076" spans="1:31">
      <c r="A2076" s="259" t="s">
        <v>2056</v>
      </c>
      <c r="B2076" s="259" t="s">
        <v>116</v>
      </c>
      <c r="C2076" s="264" t="s">
        <v>7467</v>
      </c>
      <c r="D2076" s="264"/>
      <c r="E2076" s="259" t="s">
        <v>7460</v>
      </c>
      <c r="H2076" s="264" t="s">
        <v>7467</v>
      </c>
      <c r="I2076" s="264" t="s">
        <v>7467</v>
      </c>
      <c r="J2076" s="295">
        <v>509.85</v>
      </c>
      <c r="K2076" s="295">
        <v>509.85</v>
      </c>
      <c r="L2076" s="295" t="s">
        <v>7240</v>
      </c>
      <c r="O2076" s="266"/>
      <c r="P2076" s="266">
        <v>688705008509</v>
      </c>
      <c r="R2076" s="265"/>
      <c r="V2076" s="265">
        <v>0</v>
      </c>
      <c r="Y2076" s="259">
        <f t="shared" si="6"/>
        <v>1164</v>
      </c>
      <c r="Z2076" s="259" t="s">
        <v>4042</v>
      </c>
      <c r="AA2076" s="259" t="e">
        <v>#N/A</v>
      </c>
      <c r="AB2076" s="259"/>
      <c r="AC2076" s="259"/>
      <c r="AD2076" s="259"/>
      <c r="AE2076" s="259"/>
    </row>
    <row r="2077" spans="1:31">
      <c r="A2077" s="259" t="s">
        <v>2057</v>
      </c>
      <c r="B2077" s="259" t="s">
        <v>116</v>
      </c>
      <c r="C2077" s="264" t="s">
        <v>7468</v>
      </c>
      <c r="D2077" s="264"/>
      <c r="E2077" s="259" t="s">
        <v>7460</v>
      </c>
      <c r="H2077" s="264" t="s">
        <v>7468</v>
      </c>
      <c r="I2077" s="264" t="s">
        <v>7468</v>
      </c>
      <c r="J2077" s="295">
        <v>1282.3499999999999</v>
      </c>
      <c r="K2077" s="295">
        <v>1282.3499999999999</v>
      </c>
      <c r="L2077" s="295" t="s">
        <v>7240</v>
      </c>
      <c r="O2077" s="266"/>
      <c r="P2077" s="266">
        <v>688705008523</v>
      </c>
      <c r="R2077" s="265"/>
      <c r="V2077" s="265">
        <v>0</v>
      </c>
      <c r="Y2077" s="259">
        <f t="shared" si="6"/>
        <v>1165</v>
      </c>
      <c r="Z2077" s="259" t="s">
        <v>4042</v>
      </c>
      <c r="AA2077" s="259" t="e">
        <v>#N/A</v>
      </c>
      <c r="AB2077" s="259"/>
      <c r="AC2077" s="259"/>
      <c r="AD2077" s="259"/>
      <c r="AE2077" s="259"/>
    </row>
    <row r="2078" spans="1:31">
      <c r="A2078" s="259" t="s">
        <v>2058</v>
      </c>
      <c r="B2078" s="259" t="s">
        <v>116</v>
      </c>
      <c r="C2078" s="264"/>
      <c r="D2078" s="264"/>
      <c r="E2078" s="259" t="s">
        <v>7460</v>
      </c>
      <c r="H2078" s="264"/>
      <c r="I2078" s="264"/>
      <c r="J2078" s="295">
        <v>0</v>
      </c>
      <c r="K2078" s="295">
        <v>0</v>
      </c>
      <c r="L2078" s="295">
        <v>0</v>
      </c>
      <c r="O2078" s="266"/>
      <c r="R2078" s="265"/>
      <c r="V2078" s="265">
        <v>0</v>
      </c>
      <c r="Y2078" s="259">
        <f t="shared" si="6"/>
        <v>1166</v>
      </c>
      <c r="AA2078" s="259" t="e">
        <v>#N/A</v>
      </c>
      <c r="AB2078" s="259"/>
      <c r="AC2078" s="259"/>
      <c r="AD2078" s="259"/>
      <c r="AE2078" s="259"/>
    </row>
    <row r="2079" spans="1:31">
      <c r="A2079" s="259" t="s">
        <v>2059</v>
      </c>
      <c r="B2079" s="259" t="s">
        <v>116</v>
      </c>
      <c r="C2079" s="264" t="s">
        <v>7469</v>
      </c>
      <c r="D2079" s="264"/>
      <c r="E2079" s="259" t="s">
        <v>7460</v>
      </c>
      <c r="H2079" s="264" t="s">
        <v>7469</v>
      </c>
      <c r="I2079" s="264" t="s">
        <v>7469</v>
      </c>
      <c r="J2079" s="295">
        <v>509.85</v>
      </c>
      <c r="K2079" s="295">
        <v>509.85</v>
      </c>
      <c r="L2079" s="295" t="s">
        <v>7240</v>
      </c>
      <c r="O2079" s="266"/>
      <c r="P2079" s="266">
        <v>688705008516</v>
      </c>
      <c r="R2079" s="265"/>
      <c r="V2079" s="265">
        <v>0</v>
      </c>
      <c r="Y2079" s="259">
        <f t="shared" si="6"/>
        <v>1167</v>
      </c>
      <c r="Z2079" s="259" t="s">
        <v>7463</v>
      </c>
      <c r="AA2079" s="259" t="e">
        <v>#N/A</v>
      </c>
      <c r="AB2079" s="259"/>
      <c r="AC2079" s="259"/>
      <c r="AD2079" s="259"/>
      <c r="AE2079" s="259"/>
    </row>
    <row r="2080" spans="1:31">
      <c r="A2080" s="259" t="s">
        <v>2060</v>
      </c>
      <c r="B2080" s="259" t="s">
        <v>116</v>
      </c>
      <c r="C2080" s="264" t="s">
        <v>7470</v>
      </c>
      <c r="D2080" s="264"/>
      <c r="E2080" s="259" t="s">
        <v>7460</v>
      </c>
      <c r="H2080" s="264" t="s">
        <v>7470</v>
      </c>
      <c r="I2080" s="264" t="s">
        <v>7470</v>
      </c>
      <c r="J2080" s="295">
        <v>1282.3499999999999</v>
      </c>
      <c r="K2080" s="295">
        <v>1282.3499999999999</v>
      </c>
      <c r="L2080" s="295" t="s">
        <v>7240</v>
      </c>
      <c r="O2080" s="266"/>
      <c r="P2080" s="266">
        <v>688705008530</v>
      </c>
      <c r="R2080" s="265"/>
      <c r="V2080" s="265">
        <v>0</v>
      </c>
      <c r="Y2080" s="259">
        <f t="shared" si="6"/>
        <v>1168</v>
      </c>
      <c r="Z2080" s="259" t="s">
        <v>7463</v>
      </c>
      <c r="AA2080" s="259" t="e">
        <v>#N/A</v>
      </c>
      <c r="AB2080" s="259"/>
      <c r="AC2080" s="259"/>
      <c r="AD2080" s="259"/>
      <c r="AE2080" s="259"/>
    </row>
    <row r="2081" spans="1:31">
      <c r="A2081" s="259" t="s">
        <v>2061</v>
      </c>
      <c r="B2081" s="259" t="s">
        <v>116</v>
      </c>
      <c r="C2081" s="264"/>
      <c r="D2081" s="264"/>
      <c r="E2081" s="259" t="s">
        <v>7460</v>
      </c>
      <c r="H2081" s="264"/>
      <c r="I2081" s="264"/>
      <c r="J2081" s="295">
        <v>0</v>
      </c>
      <c r="K2081" s="295">
        <v>0</v>
      </c>
      <c r="L2081" s="295">
        <v>0</v>
      </c>
      <c r="O2081" s="266"/>
      <c r="R2081" s="265"/>
      <c r="V2081" s="265">
        <v>0</v>
      </c>
      <c r="Y2081" s="259">
        <f t="shared" si="6"/>
        <v>1169</v>
      </c>
      <c r="AA2081" s="259" t="e">
        <v>#N/A</v>
      </c>
      <c r="AB2081" s="259"/>
      <c r="AC2081" s="259"/>
      <c r="AD2081" s="259"/>
      <c r="AE2081" s="259"/>
    </row>
    <row r="2082" spans="1:31">
      <c r="A2082" s="259" t="s">
        <v>2062</v>
      </c>
      <c r="B2082" s="259" t="s">
        <v>116</v>
      </c>
      <c r="C2082" s="264" t="s">
        <v>7471</v>
      </c>
      <c r="D2082" s="264"/>
      <c r="E2082" s="259" t="s">
        <v>7460</v>
      </c>
      <c r="H2082" s="264" t="s">
        <v>7471</v>
      </c>
      <c r="I2082" s="264" t="s">
        <v>7471</v>
      </c>
      <c r="J2082" s="295">
        <v>257.5</v>
      </c>
      <c r="K2082" s="295">
        <v>257.5</v>
      </c>
      <c r="L2082" s="295" t="s">
        <v>7240</v>
      </c>
      <c r="O2082" s="266"/>
      <c r="P2082" s="266">
        <v>688705008592</v>
      </c>
      <c r="R2082" s="265"/>
      <c r="V2082" s="265">
        <v>0</v>
      </c>
      <c r="Y2082" s="259">
        <f t="shared" si="6"/>
        <v>1170</v>
      </c>
      <c r="Z2082" s="259" t="s">
        <v>4042</v>
      </c>
      <c r="AA2082" s="259" t="e">
        <v>#N/A</v>
      </c>
      <c r="AB2082" s="259"/>
      <c r="AC2082" s="259"/>
      <c r="AD2082" s="259"/>
      <c r="AE2082" s="259"/>
    </row>
    <row r="2083" spans="1:31">
      <c r="A2083" s="259" t="s">
        <v>2063</v>
      </c>
      <c r="B2083" s="259" t="s">
        <v>116</v>
      </c>
      <c r="C2083" s="264" t="s">
        <v>7472</v>
      </c>
      <c r="D2083" s="264"/>
      <c r="E2083" s="259" t="s">
        <v>7460</v>
      </c>
      <c r="H2083" s="264" t="s">
        <v>7472</v>
      </c>
      <c r="I2083" s="264" t="s">
        <v>7472</v>
      </c>
      <c r="J2083" s="295">
        <v>123.6</v>
      </c>
      <c r="K2083" s="295">
        <v>123.6</v>
      </c>
      <c r="L2083" s="295" t="s">
        <v>7240</v>
      </c>
      <c r="O2083" s="266"/>
      <c r="P2083" s="266">
        <v>688705008608</v>
      </c>
      <c r="R2083" s="265"/>
      <c r="V2083" s="265">
        <v>0</v>
      </c>
      <c r="Y2083" s="259">
        <f t="shared" si="6"/>
        <v>1171</v>
      </c>
      <c r="Z2083" s="259" t="s">
        <v>4042</v>
      </c>
      <c r="AA2083" s="259" t="e">
        <v>#N/A</v>
      </c>
      <c r="AB2083" s="259"/>
      <c r="AC2083" s="259"/>
      <c r="AD2083" s="259"/>
      <c r="AE2083" s="259"/>
    </row>
    <row r="2084" spans="1:31">
      <c r="A2084" s="259" t="s">
        <v>2064</v>
      </c>
      <c r="B2084" s="259" t="s">
        <v>116</v>
      </c>
      <c r="C2084" s="264" t="s">
        <v>7473</v>
      </c>
      <c r="D2084" s="264"/>
      <c r="E2084" s="259" t="s">
        <v>7460</v>
      </c>
      <c r="H2084" s="264" t="s">
        <v>7473</v>
      </c>
      <c r="I2084" s="264" t="s">
        <v>7473</v>
      </c>
      <c r="J2084" s="295">
        <v>257.5</v>
      </c>
      <c r="K2084" s="295">
        <v>257.5</v>
      </c>
      <c r="L2084" s="295" t="s">
        <v>7240</v>
      </c>
      <c r="O2084" s="266"/>
      <c r="P2084" s="266">
        <v>688705008615</v>
      </c>
      <c r="R2084" s="265"/>
      <c r="V2084" s="265">
        <v>0</v>
      </c>
      <c r="Y2084" s="259">
        <f t="shared" si="6"/>
        <v>1172</v>
      </c>
      <c r="Z2084" s="259" t="s">
        <v>4042</v>
      </c>
      <c r="AA2084" s="259" t="e">
        <v>#N/A</v>
      </c>
      <c r="AB2084" s="259"/>
      <c r="AC2084" s="259"/>
      <c r="AD2084" s="259"/>
      <c r="AE2084" s="259"/>
    </row>
    <row r="2085" spans="1:31">
      <c r="A2085" s="259" t="s">
        <v>2065</v>
      </c>
      <c r="B2085" s="259" t="s">
        <v>116</v>
      </c>
      <c r="C2085" s="264"/>
      <c r="D2085" s="264"/>
      <c r="E2085" s="259" t="s">
        <v>7460</v>
      </c>
      <c r="H2085" s="264"/>
      <c r="I2085" s="264"/>
      <c r="J2085" s="295">
        <v>0</v>
      </c>
      <c r="K2085" s="295">
        <v>0</v>
      </c>
      <c r="L2085" s="295">
        <v>0</v>
      </c>
      <c r="O2085" s="266"/>
      <c r="R2085" s="265"/>
      <c r="V2085" s="265">
        <v>0</v>
      </c>
      <c r="Y2085" s="259">
        <f t="shared" si="6"/>
        <v>1173</v>
      </c>
      <c r="AA2085" s="259" t="e">
        <v>#N/A</v>
      </c>
      <c r="AB2085" s="259"/>
      <c r="AC2085" s="259"/>
      <c r="AD2085" s="259"/>
      <c r="AE2085" s="259"/>
    </row>
    <row r="2086" spans="1:31">
      <c r="A2086" s="259" t="s">
        <v>2066</v>
      </c>
      <c r="B2086" s="259" t="s">
        <v>116</v>
      </c>
      <c r="C2086" s="264" t="s">
        <v>7474</v>
      </c>
      <c r="D2086" s="264"/>
      <c r="E2086" s="259" t="s">
        <v>7460</v>
      </c>
      <c r="H2086" s="264" t="s">
        <v>7474</v>
      </c>
      <c r="I2086" s="264" t="s">
        <v>7474</v>
      </c>
      <c r="J2086" s="295">
        <v>51.5</v>
      </c>
      <c r="K2086" s="295">
        <v>51.5</v>
      </c>
      <c r="L2086" s="295" t="s">
        <v>7240</v>
      </c>
      <c r="O2086" s="266"/>
      <c r="P2086" s="266">
        <v>688705008547</v>
      </c>
      <c r="R2086" s="265"/>
      <c r="V2086" s="265">
        <v>0</v>
      </c>
      <c r="Y2086" s="259">
        <f t="shared" si="6"/>
        <v>1174</v>
      </c>
      <c r="Z2086" s="259" t="s">
        <v>7463</v>
      </c>
      <c r="AA2086" s="259" t="e">
        <v>#N/A</v>
      </c>
      <c r="AB2086" s="259"/>
      <c r="AC2086" s="259"/>
      <c r="AD2086" s="259"/>
      <c r="AE2086" s="259"/>
    </row>
    <row r="2087" spans="1:31">
      <c r="A2087" s="259" t="s">
        <v>2067</v>
      </c>
      <c r="B2087" s="259" t="s">
        <v>116</v>
      </c>
      <c r="C2087" s="264" t="s">
        <v>7475</v>
      </c>
      <c r="D2087" s="264"/>
      <c r="E2087" s="259" t="s">
        <v>7460</v>
      </c>
      <c r="H2087" s="264" t="s">
        <v>7475</v>
      </c>
      <c r="I2087" s="264" t="s">
        <v>7475</v>
      </c>
      <c r="J2087" s="295">
        <v>51.5</v>
      </c>
      <c r="K2087" s="295">
        <v>51.5</v>
      </c>
      <c r="L2087" s="295" t="s">
        <v>7240</v>
      </c>
      <c r="O2087" s="266"/>
      <c r="P2087" s="266">
        <v>688705008554</v>
      </c>
      <c r="R2087" s="265"/>
      <c r="V2087" s="265">
        <v>0</v>
      </c>
      <c r="Y2087" s="259">
        <f t="shared" si="6"/>
        <v>1175</v>
      </c>
      <c r="Z2087" s="259" t="s">
        <v>7463</v>
      </c>
      <c r="AA2087" s="259" t="e">
        <v>#N/A</v>
      </c>
      <c r="AB2087" s="259"/>
      <c r="AC2087" s="259"/>
      <c r="AD2087" s="259"/>
      <c r="AE2087" s="259"/>
    </row>
    <row r="2088" spans="1:31">
      <c r="A2088" s="259" t="s">
        <v>2068</v>
      </c>
      <c r="B2088" s="259" t="s">
        <v>116</v>
      </c>
      <c r="C2088" s="264"/>
      <c r="D2088" s="264"/>
      <c r="E2088" s="259" t="s">
        <v>7460</v>
      </c>
      <c r="H2088" s="264"/>
      <c r="I2088" s="264"/>
      <c r="J2088" s="295">
        <v>0</v>
      </c>
      <c r="K2088" s="295">
        <v>0</v>
      </c>
      <c r="L2088" s="295">
        <v>0</v>
      </c>
      <c r="O2088" s="266"/>
      <c r="R2088" s="265"/>
      <c r="V2088" s="265">
        <v>0</v>
      </c>
      <c r="Y2088" s="259">
        <f t="shared" si="6"/>
        <v>1176</v>
      </c>
      <c r="AA2088" s="259" t="e">
        <v>#N/A</v>
      </c>
      <c r="AB2088" s="259"/>
      <c r="AC2088" s="259"/>
      <c r="AD2088" s="259"/>
      <c r="AE2088" s="259"/>
    </row>
    <row r="2089" spans="1:31">
      <c r="A2089" s="259" t="s">
        <v>2069</v>
      </c>
      <c r="B2089" s="259" t="s">
        <v>116</v>
      </c>
      <c r="C2089" s="264" t="s">
        <v>7476</v>
      </c>
      <c r="D2089" s="264"/>
      <c r="E2089" s="259" t="s">
        <v>7460</v>
      </c>
      <c r="H2089" s="264" t="s">
        <v>7476</v>
      </c>
      <c r="I2089" s="264" t="s">
        <v>7476</v>
      </c>
      <c r="J2089" s="295">
        <v>77.25</v>
      </c>
      <c r="K2089" s="295">
        <v>77.25</v>
      </c>
      <c r="L2089" s="295" t="s">
        <v>7240</v>
      </c>
      <c r="O2089" s="266"/>
      <c r="P2089" s="266">
        <v>688705008561</v>
      </c>
      <c r="R2089" s="265"/>
      <c r="V2089" s="265">
        <v>0</v>
      </c>
      <c r="Y2089" s="259">
        <f t="shared" si="6"/>
        <v>1177</v>
      </c>
      <c r="Z2089" s="259" t="s">
        <v>7463</v>
      </c>
      <c r="AA2089" s="259" t="e">
        <v>#N/A</v>
      </c>
      <c r="AB2089" s="259"/>
      <c r="AC2089" s="259"/>
      <c r="AD2089" s="259"/>
      <c r="AE2089" s="259"/>
    </row>
    <row r="2090" spans="1:31">
      <c r="A2090" s="259" t="s">
        <v>2070</v>
      </c>
      <c r="B2090" s="259" t="s">
        <v>116</v>
      </c>
      <c r="C2090" s="264" t="s">
        <v>7477</v>
      </c>
      <c r="D2090" s="264"/>
      <c r="E2090" s="259" t="s">
        <v>7460</v>
      </c>
      <c r="H2090" s="264" t="s">
        <v>7477</v>
      </c>
      <c r="I2090" s="264" t="s">
        <v>7477</v>
      </c>
      <c r="J2090" s="295">
        <v>169.95</v>
      </c>
      <c r="K2090" s="295">
        <v>169.95</v>
      </c>
      <c r="L2090" s="295" t="s">
        <v>7240</v>
      </c>
      <c r="O2090" s="266"/>
      <c r="P2090" s="266">
        <v>688705008578</v>
      </c>
      <c r="R2090" s="265"/>
      <c r="V2090" s="265">
        <v>0</v>
      </c>
      <c r="Y2090" s="259">
        <f t="shared" si="6"/>
        <v>1178</v>
      </c>
      <c r="Z2090" s="259" t="s">
        <v>7463</v>
      </c>
      <c r="AA2090" s="259" t="e">
        <v>#N/A</v>
      </c>
      <c r="AB2090" s="259"/>
      <c r="AC2090" s="259"/>
      <c r="AD2090" s="259"/>
      <c r="AE2090" s="259"/>
    </row>
    <row r="2091" spans="1:31">
      <c r="A2091" s="259" t="s">
        <v>2071</v>
      </c>
      <c r="B2091" s="259" t="s">
        <v>116</v>
      </c>
      <c r="C2091" s="264"/>
      <c r="D2091" s="264"/>
      <c r="E2091" s="259" t="s">
        <v>7460</v>
      </c>
      <c r="H2091" s="264"/>
      <c r="I2091" s="264"/>
      <c r="J2091" s="295">
        <v>0</v>
      </c>
      <c r="K2091" s="295">
        <v>0</v>
      </c>
      <c r="L2091" s="295">
        <v>0</v>
      </c>
      <c r="O2091" s="266"/>
      <c r="R2091" s="265"/>
      <c r="V2091" s="265">
        <v>0</v>
      </c>
      <c r="Y2091" s="259">
        <f t="shared" si="6"/>
        <v>1179</v>
      </c>
      <c r="AA2091" s="259" t="e">
        <v>#N/A</v>
      </c>
      <c r="AB2091" s="259"/>
      <c r="AC2091" s="259"/>
      <c r="AD2091" s="259"/>
      <c r="AE2091" s="259"/>
    </row>
    <row r="2092" spans="1:31">
      <c r="A2092" s="259" t="s">
        <v>2072</v>
      </c>
      <c r="B2092" s="259" t="s">
        <v>116</v>
      </c>
      <c r="C2092" s="264" t="s">
        <v>7478</v>
      </c>
      <c r="D2092" s="264"/>
      <c r="E2092" s="259" t="s">
        <v>7460</v>
      </c>
      <c r="H2092" s="264" t="s">
        <v>7478</v>
      </c>
      <c r="I2092" s="264" t="s">
        <v>7478</v>
      </c>
      <c r="J2092" s="295">
        <v>231.75</v>
      </c>
      <c r="K2092" s="295">
        <v>231.75</v>
      </c>
      <c r="L2092" s="295" t="s">
        <v>7240</v>
      </c>
      <c r="O2092" s="266"/>
      <c r="P2092" s="266">
        <v>688705009858</v>
      </c>
      <c r="R2092" s="265"/>
      <c r="V2092" s="265">
        <v>0</v>
      </c>
      <c r="Y2092" s="259">
        <f t="shared" si="6"/>
        <v>1180</v>
      </c>
      <c r="Z2092" s="259" t="s">
        <v>7463</v>
      </c>
      <c r="AA2092" s="259" t="e">
        <v>#N/A</v>
      </c>
      <c r="AB2092" s="259"/>
      <c r="AC2092" s="259"/>
      <c r="AD2092" s="259"/>
      <c r="AE2092" s="259"/>
    </row>
    <row r="2093" spans="1:31">
      <c r="A2093" s="259" t="s">
        <v>2073</v>
      </c>
      <c r="B2093" s="259" t="s">
        <v>116</v>
      </c>
      <c r="C2093" s="264" t="s">
        <v>7479</v>
      </c>
      <c r="D2093" s="264"/>
      <c r="E2093" s="259" t="s">
        <v>7460</v>
      </c>
      <c r="H2093" s="264" t="s">
        <v>7479</v>
      </c>
      <c r="I2093" s="264" t="s">
        <v>7479</v>
      </c>
      <c r="J2093" s="295">
        <v>231.75</v>
      </c>
      <c r="K2093" s="295">
        <v>231.75</v>
      </c>
      <c r="L2093" s="295" t="s">
        <v>7240</v>
      </c>
      <c r="O2093" s="266"/>
      <c r="P2093" s="266">
        <v>688705008585</v>
      </c>
      <c r="R2093" s="265"/>
      <c r="V2093" s="265">
        <v>0</v>
      </c>
      <c r="Y2093" s="259">
        <f t="shared" si="6"/>
        <v>1181</v>
      </c>
      <c r="Z2093" s="259" t="s">
        <v>7463</v>
      </c>
      <c r="AA2093" s="259" t="e">
        <v>#N/A</v>
      </c>
      <c r="AB2093" s="259"/>
      <c r="AC2093" s="259"/>
      <c r="AD2093" s="259"/>
      <c r="AE2093" s="259"/>
    </row>
    <row r="2094" spans="1:31">
      <c r="A2094" s="259" t="s">
        <v>2074</v>
      </c>
      <c r="B2094" s="259" t="s">
        <v>116</v>
      </c>
      <c r="C2094" s="264"/>
      <c r="D2094" s="264"/>
      <c r="E2094" s="259" t="s">
        <v>7460</v>
      </c>
      <c r="H2094" s="264"/>
      <c r="I2094" s="264"/>
      <c r="J2094" s="295">
        <v>0</v>
      </c>
      <c r="K2094" s="295">
        <v>0</v>
      </c>
      <c r="L2094" s="295">
        <v>0</v>
      </c>
      <c r="O2094" s="266"/>
      <c r="R2094" s="265"/>
      <c r="V2094" s="265">
        <v>0</v>
      </c>
      <c r="Y2094" s="259">
        <f t="shared" si="6"/>
        <v>1182</v>
      </c>
      <c r="AA2094" s="259" t="e">
        <v>#N/A</v>
      </c>
      <c r="AB2094" s="259"/>
      <c r="AC2094" s="259"/>
      <c r="AD2094" s="259"/>
      <c r="AE2094" s="259"/>
    </row>
    <row r="2095" spans="1:31">
      <c r="A2095" s="259" t="s">
        <v>2075</v>
      </c>
      <c r="B2095" s="259" t="s">
        <v>116</v>
      </c>
      <c r="C2095" s="264" t="s">
        <v>7480</v>
      </c>
      <c r="D2095" s="264"/>
      <c r="E2095" s="259" t="s">
        <v>7460</v>
      </c>
      <c r="H2095" s="264" t="s">
        <v>7480</v>
      </c>
      <c r="I2095" s="264" t="s">
        <v>7480</v>
      </c>
      <c r="J2095" s="295">
        <v>97.85</v>
      </c>
      <c r="K2095" s="295">
        <v>97.85</v>
      </c>
      <c r="L2095" s="295" t="s">
        <v>7240</v>
      </c>
      <c r="O2095" s="266"/>
      <c r="P2095" s="266">
        <v>688705008622</v>
      </c>
      <c r="R2095" s="265"/>
      <c r="V2095" s="265">
        <v>0</v>
      </c>
      <c r="Y2095" s="259">
        <f t="shared" si="6"/>
        <v>1183</v>
      </c>
      <c r="Z2095" s="259" t="s">
        <v>4042</v>
      </c>
      <c r="AA2095" s="259" t="e">
        <v>#N/A</v>
      </c>
      <c r="AB2095" s="259"/>
      <c r="AC2095" s="259"/>
      <c r="AD2095" s="259"/>
      <c r="AE2095" s="259"/>
    </row>
    <row r="2096" spans="1:31">
      <c r="A2096" s="259" t="s">
        <v>2076</v>
      </c>
      <c r="B2096" s="259" t="s">
        <v>116</v>
      </c>
      <c r="C2096" s="264" t="s">
        <v>7481</v>
      </c>
      <c r="D2096" s="264"/>
      <c r="E2096" s="259" t="s">
        <v>7460</v>
      </c>
      <c r="H2096" s="264" t="s">
        <v>7481</v>
      </c>
      <c r="I2096" s="264" t="s">
        <v>7481</v>
      </c>
      <c r="J2096" s="295">
        <v>44.29</v>
      </c>
      <c r="K2096" s="295">
        <v>44.29</v>
      </c>
      <c r="L2096" s="295" t="s">
        <v>7240</v>
      </c>
      <c r="O2096" s="266"/>
      <c r="P2096" s="266">
        <v>688705008707</v>
      </c>
      <c r="R2096" s="265"/>
      <c r="V2096" s="265">
        <v>0</v>
      </c>
      <c r="Y2096" s="259">
        <f t="shared" si="6"/>
        <v>1184</v>
      </c>
      <c r="Z2096" s="259" t="s">
        <v>7463</v>
      </c>
      <c r="AA2096" s="259" t="e">
        <v>#N/A</v>
      </c>
      <c r="AB2096" s="259"/>
      <c r="AC2096" s="259"/>
      <c r="AD2096" s="259"/>
      <c r="AE2096" s="259"/>
    </row>
    <row r="2097" spans="1:31">
      <c r="A2097" s="259" t="s">
        <v>2077</v>
      </c>
      <c r="B2097" s="259" t="s">
        <v>116</v>
      </c>
      <c r="C2097" s="264" t="s">
        <v>7482</v>
      </c>
      <c r="D2097" s="264"/>
      <c r="E2097" s="259" t="s">
        <v>7460</v>
      </c>
      <c r="H2097" s="264" t="s">
        <v>7482</v>
      </c>
      <c r="I2097" s="264" t="s">
        <v>7482</v>
      </c>
      <c r="J2097" s="295">
        <v>57.68</v>
      </c>
      <c r="K2097" s="295">
        <v>57.68</v>
      </c>
      <c r="L2097" s="295" t="s">
        <v>7240</v>
      </c>
      <c r="O2097" s="266"/>
      <c r="P2097" s="266">
        <v>688705008714</v>
      </c>
      <c r="R2097" s="265"/>
      <c r="V2097" s="265">
        <v>0</v>
      </c>
      <c r="Y2097" s="259">
        <f t="shared" si="6"/>
        <v>1185</v>
      </c>
      <c r="Z2097" s="259" t="s">
        <v>7463</v>
      </c>
      <c r="AA2097" s="259" t="e">
        <v>#N/A</v>
      </c>
      <c r="AB2097" s="259"/>
      <c r="AC2097" s="259"/>
      <c r="AD2097" s="259"/>
      <c r="AE2097" s="259"/>
    </row>
    <row r="2098" spans="1:31">
      <c r="A2098" s="259" t="s">
        <v>2078</v>
      </c>
      <c r="B2098" s="259" t="s">
        <v>116</v>
      </c>
      <c r="C2098" s="264" t="s">
        <v>7483</v>
      </c>
      <c r="D2098" s="264"/>
      <c r="E2098" s="259" t="s">
        <v>7460</v>
      </c>
      <c r="H2098" s="264" t="s">
        <v>7483</v>
      </c>
      <c r="I2098" s="264" t="s">
        <v>7483</v>
      </c>
      <c r="J2098" s="295">
        <v>87.55</v>
      </c>
      <c r="K2098" s="295">
        <v>87.55</v>
      </c>
      <c r="L2098" s="295" t="s">
        <v>7240</v>
      </c>
      <c r="O2098" s="266"/>
      <c r="P2098" s="266">
        <v>688705008721</v>
      </c>
      <c r="R2098" s="265"/>
      <c r="V2098" s="265">
        <v>0</v>
      </c>
      <c r="Y2098" s="259">
        <f t="shared" si="6"/>
        <v>1186</v>
      </c>
      <c r="Z2098" s="259" t="s">
        <v>7463</v>
      </c>
      <c r="AA2098" s="259" t="e">
        <v>#N/A</v>
      </c>
      <c r="AB2098" s="259"/>
      <c r="AC2098" s="259"/>
      <c r="AD2098" s="259"/>
      <c r="AE2098" s="259"/>
    </row>
    <row r="2099" spans="1:31">
      <c r="A2099" s="259" t="s">
        <v>2079</v>
      </c>
      <c r="B2099" s="259" t="s">
        <v>116</v>
      </c>
      <c r="C2099" s="264" t="s">
        <v>7484</v>
      </c>
      <c r="D2099" s="264"/>
      <c r="E2099" s="259" t="s">
        <v>7460</v>
      </c>
      <c r="H2099" s="264" t="s">
        <v>7484</v>
      </c>
      <c r="I2099" s="264" t="s">
        <v>7484</v>
      </c>
      <c r="J2099" s="295">
        <v>127.72</v>
      </c>
      <c r="K2099" s="295">
        <v>127.72</v>
      </c>
      <c r="L2099" s="295" t="s">
        <v>7240</v>
      </c>
      <c r="O2099" s="266"/>
      <c r="P2099" s="266">
        <v>688705008738</v>
      </c>
      <c r="R2099" s="265"/>
      <c r="V2099" s="265">
        <v>0</v>
      </c>
      <c r="Y2099" s="259">
        <f t="shared" ref="Y2099:Y2162" si="7">Y2098+1</f>
        <v>1187</v>
      </c>
      <c r="Z2099" s="259" t="s">
        <v>7463</v>
      </c>
      <c r="AA2099" s="259" t="e">
        <v>#N/A</v>
      </c>
      <c r="AB2099" s="259"/>
      <c r="AC2099" s="259"/>
      <c r="AD2099" s="259"/>
      <c r="AE2099" s="259"/>
    </row>
    <row r="2100" spans="1:31">
      <c r="A2100" s="259" t="s">
        <v>2080</v>
      </c>
      <c r="B2100" s="259" t="s">
        <v>116</v>
      </c>
      <c r="C2100" s="264" t="s">
        <v>7485</v>
      </c>
      <c r="D2100" s="264"/>
      <c r="E2100" s="259" t="s">
        <v>7460</v>
      </c>
      <c r="H2100" s="264" t="s">
        <v>7485</v>
      </c>
      <c r="I2100" s="264" t="s">
        <v>7485</v>
      </c>
      <c r="J2100" s="295">
        <v>216.3</v>
      </c>
      <c r="K2100" s="295">
        <v>216.3</v>
      </c>
      <c r="L2100" s="295" t="s">
        <v>7240</v>
      </c>
      <c r="O2100" s="266"/>
      <c r="P2100" s="266">
        <v>688705008745</v>
      </c>
      <c r="R2100" s="265"/>
      <c r="V2100" s="265">
        <v>0</v>
      </c>
      <c r="Y2100" s="259">
        <f t="shared" si="7"/>
        <v>1188</v>
      </c>
      <c r="Z2100" s="259" t="s">
        <v>7463</v>
      </c>
      <c r="AA2100" s="259" t="e">
        <v>#N/A</v>
      </c>
      <c r="AB2100" s="259"/>
      <c r="AC2100" s="259"/>
      <c r="AD2100" s="259"/>
      <c r="AE2100" s="259"/>
    </row>
    <row r="2101" spans="1:31">
      <c r="A2101" s="259" t="s">
        <v>2081</v>
      </c>
      <c r="B2101" s="259" t="s">
        <v>116</v>
      </c>
      <c r="C2101" s="264" t="s">
        <v>7486</v>
      </c>
      <c r="D2101" s="264"/>
      <c r="E2101" s="259" t="s">
        <v>7460</v>
      </c>
      <c r="H2101" s="264" t="s">
        <v>7486</v>
      </c>
      <c r="I2101" s="264" t="s">
        <v>7486</v>
      </c>
      <c r="J2101" s="295">
        <v>1854</v>
      </c>
      <c r="K2101" s="295">
        <v>1854</v>
      </c>
      <c r="L2101" s="295" t="s">
        <v>7240</v>
      </c>
      <c r="O2101" s="266"/>
      <c r="P2101" s="266">
        <v>688705008769</v>
      </c>
      <c r="R2101" s="265"/>
      <c r="V2101" s="265">
        <v>0</v>
      </c>
      <c r="Y2101" s="259">
        <f t="shared" si="7"/>
        <v>1189</v>
      </c>
      <c r="Z2101" s="259" t="s">
        <v>7487</v>
      </c>
      <c r="AA2101" s="259" t="e">
        <v>#N/A</v>
      </c>
      <c r="AB2101" s="259"/>
      <c r="AC2101" s="259"/>
      <c r="AD2101" s="259"/>
      <c r="AE2101" s="259"/>
    </row>
    <row r="2102" spans="1:31">
      <c r="A2102" s="259" t="s">
        <v>2082</v>
      </c>
      <c r="B2102" s="259" t="s">
        <v>116</v>
      </c>
      <c r="C2102" s="264" t="s">
        <v>7488</v>
      </c>
      <c r="D2102" s="264"/>
      <c r="E2102" s="259" t="s">
        <v>7460</v>
      </c>
      <c r="H2102" s="264" t="s">
        <v>7488</v>
      </c>
      <c r="I2102" s="264" t="s">
        <v>7488</v>
      </c>
      <c r="J2102" s="295">
        <v>28.84</v>
      </c>
      <c r="K2102" s="295">
        <v>28.84</v>
      </c>
      <c r="L2102" s="295" t="s">
        <v>7240</v>
      </c>
      <c r="O2102" s="266"/>
      <c r="P2102" s="266">
        <v>688705008752</v>
      </c>
      <c r="R2102" s="265"/>
      <c r="V2102" s="265">
        <v>0</v>
      </c>
      <c r="Y2102" s="259">
        <f t="shared" si="7"/>
        <v>1190</v>
      </c>
      <c r="Z2102" s="259" t="s">
        <v>7463</v>
      </c>
      <c r="AA2102" s="259" t="e">
        <v>#N/A</v>
      </c>
      <c r="AB2102" s="259"/>
      <c r="AC2102" s="259"/>
      <c r="AD2102" s="259"/>
      <c r="AE2102" s="259"/>
    </row>
    <row r="2103" spans="1:31">
      <c r="A2103" s="259" t="s">
        <v>2083</v>
      </c>
      <c r="B2103" s="259" t="s">
        <v>116</v>
      </c>
      <c r="C2103" s="264" t="s">
        <v>7489</v>
      </c>
      <c r="D2103" s="264"/>
      <c r="E2103" s="259" t="s">
        <v>7460</v>
      </c>
      <c r="H2103" s="264" t="s">
        <v>7489</v>
      </c>
      <c r="I2103" s="264" t="s">
        <v>7489</v>
      </c>
      <c r="J2103" s="295">
        <v>35.020000000000003</v>
      </c>
      <c r="K2103" s="295">
        <v>35.020000000000003</v>
      </c>
      <c r="L2103" s="295" t="s">
        <v>7240</v>
      </c>
      <c r="O2103" s="266"/>
      <c r="P2103" s="266">
        <v>688705008776</v>
      </c>
      <c r="R2103" s="265"/>
      <c r="V2103" s="265">
        <v>0</v>
      </c>
      <c r="Y2103" s="259">
        <f t="shared" si="7"/>
        <v>1191</v>
      </c>
      <c r="Z2103" s="259" t="s">
        <v>7487</v>
      </c>
      <c r="AA2103" s="259" t="e">
        <v>#N/A</v>
      </c>
      <c r="AB2103" s="259"/>
      <c r="AC2103" s="259"/>
      <c r="AD2103" s="259"/>
      <c r="AE2103" s="259"/>
    </row>
    <row r="2104" spans="1:31">
      <c r="A2104" s="259" t="s">
        <v>2084</v>
      </c>
      <c r="B2104" s="259" t="s">
        <v>116</v>
      </c>
      <c r="C2104" s="264" t="s">
        <v>7490</v>
      </c>
      <c r="D2104" s="264"/>
      <c r="E2104" s="259" t="s">
        <v>7460</v>
      </c>
      <c r="H2104" s="264" t="s">
        <v>7490</v>
      </c>
      <c r="I2104" s="264" t="s">
        <v>7490</v>
      </c>
      <c r="J2104" s="295">
        <v>35.020000000000003</v>
      </c>
      <c r="K2104" s="295">
        <v>35.020000000000003</v>
      </c>
      <c r="L2104" s="295" t="s">
        <v>7240</v>
      </c>
      <c r="O2104" s="266"/>
      <c r="P2104" s="266">
        <v>688705008783</v>
      </c>
      <c r="R2104" s="265"/>
      <c r="V2104" s="265">
        <v>0</v>
      </c>
      <c r="Y2104" s="259">
        <f t="shared" si="7"/>
        <v>1192</v>
      </c>
      <c r="Z2104" s="259" t="s">
        <v>7487</v>
      </c>
      <c r="AA2104" s="259" t="e">
        <v>#N/A</v>
      </c>
      <c r="AB2104" s="259"/>
      <c r="AC2104" s="259"/>
      <c r="AD2104" s="259"/>
      <c r="AE2104" s="259"/>
    </row>
    <row r="2105" spans="1:31">
      <c r="A2105" s="259" t="s">
        <v>2085</v>
      </c>
      <c r="B2105" s="259" t="s">
        <v>116</v>
      </c>
      <c r="C2105" s="264"/>
      <c r="D2105" s="264"/>
      <c r="H2105" s="264"/>
      <c r="I2105" s="264"/>
      <c r="J2105" s="295">
        <v>0</v>
      </c>
      <c r="K2105" s="295">
        <v>0</v>
      </c>
      <c r="L2105" s="295">
        <v>0</v>
      </c>
      <c r="O2105" s="266"/>
      <c r="R2105" s="265"/>
      <c r="V2105" s="265">
        <v>0</v>
      </c>
      <c r="Y2105" s="259">
        <f t="shared" si="7"/>
        <v>1193</v>
      </c>
      <c r="AA2105" s="259" t="e">
        <v>#N/A</v>
      </c>
      <c r="AB2105" s="259"/>
      <c r="AC2105" s="259"/>
      <c r="AD2105" s="259"/>
      <c r="AE2105" s="259"/>
    </row>
    <row r="2106" spans="1:31">
      <c r="A2106" s="259" t="s">
        <v>2086</v>
      </c>
      <c r="B2106" s="259" t="s">
        <v>116</v>
      </c>
      <c r="C2106" s="264"/>
      <c r="D2106" s="264"/>
      <c r="H2106" s="264"/>
      <c r="I2106" s="264"/>
      <c r="J2106" s="295">
        <v>0</v>
      </c>
      <c r="K2106" s="295">
        <v>0</v>
      </c>
      <c r="L2106" s="295">
        <v>0</v>
      </c>
      <c r="O2106" s="266"/>
      <c r="R2106" s="265"/>
      <c r="V2106" s="265">
        <v>0</v>
      </c>
      <c r="Y2106" s="259">
        <f t="shared" si="7"/>
        <v>1194</v>
      </c>
      <c r="AA2106" s="259" t="e">
        <v>#N/A</v>
      </c>
      <c r="AB2106" s="259"/>
      <c r="AC2106" s="259"/>
      <c r="AD2106" s="259"/>
      <c r="AE2106" s="259"/>
    </row>
    <row r="2107" spans="1:31">
      <c r="A2107" s="259" t="s">
        <v>2087</v>
      </c>
      <c r="B2107" s="259" t="s">
        <v>116</v>
      </c>
      <c r="C2107" s="264"/>
      <c r="D2107" s="264"/>
      <c r="H2107" s="264"/>
      <c r="I2107" s="264"/>
      <c r="J2107" s="295">
        <v>0</v>
      </c>
      <c r="K2107" s="295">
        <v>0</v>
      </c>
      <c r="L2107" s="295">
        <v>0</v>
      </c>
      <c r="O2107" s="266"/>
      <c r="R2107" s="265"/>
      <c r="V2107" s="265">
        <v>0</v>
      </c>
      <c r="Y2107" s="259">
        <f t="shared" si="7"/>
        <v>1195</v>
      </c>
      <c r="AA2107" s="259" t="e">
        <v>#N/A</v>
      </c>
      <c r="AB2107" s="259"/>
      <c r="AC2107" s="259"/>
      <c r="AD2107" s="259"/>
      <c r="AE2107" s="259"/>
    </row>
    <row r="2108" spans="1:31">
      <c r="A2108" s="259" t="s">
        <v>2088</v>
      </c>
      <c r="B2108" s="259" t="s">
        <v>116</v>
      </c>
      <c r="C2108" s="264"/>
      <c r="D2108" s="264"/>
      <c r="H2108" s="264"/>
      <c r="I2108" s="264"/>
      <c r="J2108" s="295">
        <v>0</v>
      </c>
      <c r="K2108" s="295">
        <v>0</v>
      </c>
      <c r="L2108" s="295">
        <v>0</v>
      </c>
      <c r="O2108" s="266"/>
      <c r="R2108" s="265"/>
      <c r="V2108" s="265">
        <v>0</v>
      </c>
      <c r="Y2108" s="259">
        <f t="shared" si="7"/>
        <v>1196</v>
      </c>
      <c r="AA2108" s="259" t="e">
        <v>#N/A</v>
      </c>
      <c r="AB2108" s="259"/>
      <c r="AC2108" s="259"/>
      <c r="AD2108" s="259"/>
      <c r="AE2108" s="259"/>
    </row>
    <row r="2109" spans="1:31">
      <c r="A2109" s="259" t="s">
        <v>2091</v>
      </c>
      <c r="B2109" s="259" t="s">
        <v>116</v>
      </c>
      <c r="C2109" s="264"/>
      <c r="D2109" s="264"/>
      <c r="H2109" s="264"/>
      <c r="I2109" s="264"/>
      <c r="J2109" s="295">
        <v>0</v>
      </c>
      <c r="K2109" s="295">
        <v>0</v>
      </c>
      <c r="L2109" s="295">
        <v>0</v>
      </c>
      <c r="O2109" s="266"/>
      <c r="R2109" s="265"/>
      <c r="V2109" s="265">
        <v>0</v>
      </c>
      <c r="Y2109" s="259">
        <f t="shared" si="7"/>
        <v>1197</v>
      </c>
      <c r="AA2109" s="259" t="e">
        <v>#N/A</v>
      </c>
      <c r="AB2109" s="259"/>
      <c r="AC2109" s="259"/>
      <c r="AD2109" s="259"/>
      <c r="AE2109" s="259"/>
    </row>
    <row r="2110" spans="1:31">
      <c r="A2110" s="259" t="s">
        <v>2092</v>
      </c>
      <c r="B2110" s="259" t="s">
        <v>116</v>
      </c>
      <c r="C2110" s="264"/>
      <c r="D2110" s="264" t="s">
        <v>2689</v>
      </c>
      <c r="E2110" s="259" t="s">
        <v>7460</v>
      </c>
      <c r="G2110" s="259" t="s">
        <v>7491</v>
      </c>
      <c r="H2110" s="264" t="s">
        <v>2689</v>
      </c>
      <c r="I2110" s="264" t="s">
        <v>2689</v>
      </c>
      <c r="J2110" s="295">
        <v>680.35</v>
      </c>
      <c r="K2110" s="295">
        <v>680.35</v>
      </c>
      <c r="L2110" s="295" t="s">
        <v>7240</v>
      </c>
      <c r="O2110" s="266"/>
      <c r="P2110" s="266">
        <v>688705008288</v>
      </c>
      <c r="R2110" s="265"/>
      <c r="V2110" s="265">
        <v>0</v>
      </c>
      <c r="Y2110" s="259">
        <f t="shared" si="7"/>
        <v>1198</v>
      </c>
      <c r="Z2110" s="259" t="s">
        <v>3030</v>
      </c>
      <c r="AA2110" s="259" t="e">
        <v>#N/A</v>
      </c>
      <c r="AB2110" s="259"/>
      <c r="AC2110" s="259"/>
      <c r="AD2110" s="259"/>
      <c r="AE2110" s="259"/>
    </row>
    <row r="2111" spans="1:31">
      <c r="A2111" s="259" t="s">
        <v>2093</v>
      </c>
      <c r="B2111" s="259" t="s">
        <v>116</v>
      </c>
      <c r="C2111" s="264"/>
      <c r="D2111" s="264" t="s">
        <v>2690</v>
      </c>
      <c r="E2111" s="259" t="s">
        <v>7460</v>
      </c>
      <c r="G2111" s="259" t="s">
        <v>7491</v>
      </c>
      <c r="H2111" s="264" t="s">
        <v>2690</v>
      </c>
      <c r="I2111" s="264" t="s">
        <v>2690</v>
      </c>
      <c r="J2111" s="295">
        <v>680.35</v>
      </c>
      <c r="K2111" s="295">
        <v>680.35</v>
      </c>
      <c r="L2111" s="295" t="s">
        <v>7240</v>
      </c>
      <c r="O2111" s="266"/>
      <c r="P2111" s="266">
        <v>688705008295</v>
      </c>
      <c r="R2111" s="265"/>
      <c r="V2111" s="265">
        <v>0</v>
      </c>
      <c r="Y2111" s="259">
        <f t="shared" si="7"/>
        <v>1199</v>
      </c>
      <c r="Z2111" s="259" t="s">
        <v>3264</v>
      </c>
      <c r="AA2111" s="259" t="e">
        <v>#N/A</v>
      </c>
      <c r="AB2111" s="259"/>
      <c r="AC2111" s="259"/>
      <c r="AD2111" s="259"/>
      <c r="AE2111" s="259"/>
    </row>
    <row r="2112" spans="1:31">
      <c r="A2112" s="259" t="s">
        <v>2094</v>
      </c>
      <c r="B2112" s="259" t="s">
        <v>116</v>
      </c>
      <c r="C2112" s="264"/>
      <c r="D2112" s="264" t="s">
        <v>2691</v>
      </c>
      <c r="E2112" s="259" t="s">
        <v>7460</v>
      </c>
      <c r="G2112" s="259" t="s">
        <v>7491</v>
      </c>
      <c r="H2112" s="264" t="s">
        <v>2691</v>
      </c>
      <c r="I2112" s="264" t="s">
        <v>2691</v>
      </c>
      <c r="J2112" s="295">
        <v>680.35</v>
      </c>
      <c r="K2112" s="295">
        <v>680.35</v>
      </c>
      <c r="L2112" s="295" t="s">
        <v>7240</v>
      </c>
      <c r="O2112" s="266"/>
      <c r="P2112" s="266">
        <v>688705008240</v>
      </c>
      <c r="R2112" s="265"/>
      <c r="V2112" s="265">
        <v>0</v>
      </c>
      <c r="Y2112" s="259">
        <f t="shared" si="7"/>
        <v>1200</v>
      </c>
      <c r="Z2112" s="259" t="s">
        <v>4325</v>
      </c>
      <c r="AA2112" s="259" t="e">
        <v>#N/A</v>
      </c>
      <c r="AB2112" s="259"/>
      <c r="AC2112" s="259"/>
      <c r="AD2112" s="259"/>
      <c r="AE2112" s="259"/>
    </row>
    <row r="2113" spans="1:31">
      <c r="A2113" s="259" t="s">
        <v>2095</v>
      </c>
      <c r="B2113" s="259" t="s">
        <v>116</v>
      </c>
      <c r="C2113" s="264"/>
      <c r="D2113" s="264" t="s">
        <v>2692</v>
      </c>
      <c r="E2113" s="259" t="s">
        <v>7460</v>
      </c>
      <c r="G2113" s="259" t="s">
        <v>7491</v>
      </c>
      <c r="H2113" s="264" t="s">
        <v>2692</v>
      </c>
      <c r="I2113" s="264" t="s">
        <v>2692</v>
      </c>
      <c r="J2113" s="295">
        <v>1910.18</v>
      </c>
      <c r="K2113" s="295">
        <v>1910.18</v>
      </c>
      <c r="L2113" s="295" t="s">
        <v>7240</v>
      </c>
      <c r="O2113" s="266"/>
      <c r="P2113" s="266">
        <v>688705008257</v>
      </c>
      <c r="R2113" s="265"/>
      <c r="V2113" s="265">
        <v>0</v>
      </c>
      <c r="Y2113" s="259">
        <f t="shared" si="7"/>
        <v>1201</v>
      </c>
      <c r="Z2113" s="259" t="s">
        <v>4325</v>
      </c>
      <c r="AA2113" s="259" t="e">
        <v>#N/A</v>
      </c>
      <c r="AB2113" s="259"/>
      <c r="AC2113" s="259"/>
      <c r="AD2113" s="259"/>
      <c r="AE2113" s="259"/>
    </row>
    <row r="2114" spans="1:31">
      <c r="A2114" s="259" t="s">
        <v>2096</v>
      </c>
      <c r="B2114" s="259" t="s">
        <v>116</v>
      </c>
      <c r="C2114" s="264"/>
      <c r="D2114" s="264" t="s">
        <v>2693</v>
      </c>
      <c r="E2114" s="259" t="s">
        <v>7460</v>
      </c>
      <c r="G2114" s="259" t="s">
        <v>7491</v>
      </c>
      <c r="H2114" s="264" t="s">
        <v>2693</v>
      </c>
      <c r="I2114" s="264" t="s">
        <v>2693</v>
      </c>
      <c r="J2114" s="295">
        <v>1910.18</v>
      </c>
      <c r="K2114" s="295">
        <v>1910.18</v>
      </c>
      <c r="L2114" s="295" t="s">
        <v>7240</v>
      </c>
      <c r="O2114" s="266"/>
      <c r="P2114" s="266">
        <v>688705008233</v>
      </c>
      <c r="R2114" s="265"/>
      <c r="V2114" s="265">
        <v>0</v>
      </c>
      <c r="Y2114" s="259">
        <f t="shared" si="7"/>
        <v>1202</v>
      </c>
      <c r="Z2114" s="259" t="s">
        <v>3264</v>
      </c>
      <c r="AA2114" s="259" t="e">
        <v>#N/A</v>
      </c>
      <c r="AB2114" s="259"/>
      <c r="AC2114" s="259"/>
      <c r="AD2114" s="259"/>
      <c r="AE2114" s="259"/>
    </row>
    <row r="2115" spans="1:31">
      <c r="A2115" s="259" t="s">
        <v>2097</v>
      </c>
      <c r="B2115" s="259" t="s">
        <v>116</v>
      </c>
      <c r="C2115" s="264"/>
      <c r="D2115" s="264" t="s">
        <v>2694</v>
      </c>
      <c r="E2115" s="259" t="s">
        <v>7460</v>
      </c>
      <c r="G2115" s="259" t="s">
        <v>7491</v>
      </c>
      <c r="H2115" s="264" t="s">
        <v>2694</v>
      </c>
      <c r="I2115" s="264" t="s">
        <v>2694</v>
      </c>
      <c r="J2115" s="295">
        <v>1910.18</v>
      </c>
      <c r="K2115" s="295">
        <v>1910.18</v>
      </c>
      <c r="L2115" s="295" t="s">
        <v>7240</v>
      </c>
      <c r="O2115" s="266"/>
      <c r="P2115" s="266">
        <v>688705008226</v>
      </c>
      <c r="R2115" s="265"/>
      <c r="V2115" s="265">
        <v>0</v>
      </c>
      <c r="Y2115" s="259">
        <f t="shared" si="7"/>
        <v>1203</v>
      </c>
      <c r="Z2115" s="259" t="s">
        <v>4325</v>
      </c>
      <c r="AA2115" s="259" t="e">
        <v>#N/A</v>
      </c>
      <c r="AB2115" s="259"/>
      <c r="AC2115" s="259"/>
      <c r="AD2115" s="259"/>
      <c r="AE2115" s="259"/>
    </row>
    <row r="2116" spans="1:31">
      <c r="A2116" s="259" t="s">
        <v>2098</v>
      </c>
      <c r="B2116" s="259" t="s">
        <v>116</v>
      </c>
      <c r="C2116" s="264"/>
      <c r="D2116" s="264"/>
      <c r="H2116" s="264"/>
      <c r="I2116" s="264"/>
      <c r="J2116" s="295">
        <v>0</v>
      </c>
      <c r="K2116" s="295">
        <v>0</v>
      </c>
      <c r="L2116" s="295">
        <v>0</v>
      </c>
      <c r="O2116" s="266"/>
      <c r="R2116" s="265"/>
      <c r="V2116" s="265">
        <v>0</v>
      </c>
      <c r="Y2116" s="259">
        <f t="shared" si="7"/>
        <v>1204</v>
      </c>
      <c r="AA2116" s="259" t="e">
        <v>#N/A</v>
      </c>
      <c r="AB2116" s="259"/>
      <c r="AC2116" s="259"/>
      <c r="AD2116" s="259"/>
      <c r="AE2116" s="259"/>
    </row>
    <row r="2117" spans="1:31">
      <c r="A2117" s="259" t="s">
        <v>2099</v>
      </c>
      <c r="B2117" s="259" t="s">
        <v>116</v>
      </c>
      <c r="C2117" s="264"/>
      <c r="D2117" s="264"/>
      <c r="H2117" s="264"/>
      <c r="I2117" s="264"/>
      <c r="J2117" s="295">
        <v>0</v>
      </c>
      <c r="K2117" s="295">
        <v>0</v>
      </c>
      <c r="L2117" s="295">
        <v>0</v>
      </c>
      <c r="O2117" s="266"/>
      <c r="R2117" s="265"/>
      <c r="V2117" s="265">
        <v>0</v>
      </c>
      <c r="Y2117" s="259">
        <f t="shared" si="7"/>
        <v>1205</v>
      </c>
      <c r="AA2117" s="259" t="e">
        <v>#N/A</v>
      </c>
      <c r="AB2117" s="259"/>
      <c r="AC2117" s="259"/>
      <c r="AD2117" s="259"/>
      <c r="AE2117" s="259"/>
    </row>
    <row r="2118" spans="1:31">
      <c r="A2118" s="259" t="s">
        <v>2100</v>
      </c>
      <c r="B2118" s="259" t="s">
        <v>116</v>
      </c>
      <c r="C2118" s="264"/>
      <c r="D2118" s="264"/>
      <c r="H2118" s="264"/>
      <c r="I2118" s="264"/>
      <c r="J2118" s="295">
        <v>0</v>
      </c>
      <c r="K2118" s="295">
        <v>0</v>
      </c>
      <c r="L2118" s="295">
        <v>0</v>
      </c>
      <c r="O2118" s="266"/>
      <c r="R2118" s="265"/>
      <c r="V2118" s="265">
        <v>0</v>
      </c>
      <c r="Y2118" s="259">
        <f t="shared" si="7"/>
        <v>1206</v>
      </c>
      <c r="AA2118" s="259" t="e">
        <v>#N/A</v>
      </c>
      <c r="AB2118" s="259"/>
      <c r="AC2118" s="259"/>
      <c r="AD2118" s="259"/>
      <c r="AE2118" s="259"/>
    </row>
    <row r="2119" spans="1:31">
      <c r="A2119" s="259">
        <v>91611752</v>
      </c>
      <c r="B2119" s="259" t="s">
        <v>116</v>
      </c>
      <c r="C2119" s="264"/>
      <c r="D2119" s="264" t="s">
        <v>2695</v>
      </c>
      <c r="E2119" s="259" t="s">
        <v>7460</v>
      </c>
      <c r="G2119" s="259" t="s">
        <v>7491</v>
      </c>
      <c r="H2119" s="264" t="s">
        <v>2695</v>
      </c>
      <c r="I2119" s="264" t="s">
        <v>2695</v>
      </c>
      <c r="J2119" s="295">
        <v>95.08</v>
      </c>
      <c r="K2119" s="295">
        <v>95.08</v>
      </c>
      <c r="L2119" s="295" t="s">
        <v>7240</v>
      </c>
      <c r="O2119" s="266"/>
      <c r="R2119" s="265"/>
      <c r="V2119" s="265">
        <v>0</v>
      </c>
      <c r="Y2119" s="259">
        <f t="shared" si="7"/>
        <v>1207</v>
      </c>
      <c r="AA2119" s="259" t="e">
        <v>#N/A</v>
      </c>
      <c r="AB2119" s="259"/>
      <c r="AC2119" s="259"/>
      <c r="AD2119" s="259"/>
      <c r="AE2119" s="259"/>
    </row>
    <row r="2120" spans="1:31">
      <c r="A2120" s="259">
        <v>91611753</v>
      </c>
      <c r="B2120" s="259" t="s">
        <v>116</v>
      </c>
      <c r="C2120" s="264"/>
      <c r="D2120" s="264" t="s">
        <v>2696</v>
      </c>
      <c r="E2120" s="259" t="s">
        <v>7460</v>
      </c>
      <c r="G2120" s="259" t="s">
        <v>7491</v>
      </c>
      <c r="H2120" s="264" t="s">
        <v>2696</v>
      </c>
      <c r="I2120" s="264" t="s">
        <v>2696</v>
      </c>
      <c r="J2120" s="295">
        <v>164.22</v>
      </c>
      <c r="K2120" s="295">
        <v>164.22</v>
      </c>
      <c r="L2120" s="295" t="s">
        <v>7240</v>
      </c>
      <c r="O2120" s="266"/>
      <c r="R2120" s="265"/>
      <c r="V2120" s="265">
        <v>0</v>
      </c>
      <c r="Y2120" s="259">
        <f t="shared" si="7"/>
        <v>1208</v>
      </c>
      <c r="AA2120" s="259" t="e">
        <v>#N/A</v>
      </c>
      <c r="AB2120" s="259"/>
      <c r="AC2120" s="259"/>
      <c r="AD2120" s="259"/>
      <c r="AE2120" s="259"/>
    </row>
    <row r="2121" spans="1:31">
      <c r="A2121" s="259" t="s">
        <v>2101</v>
      </c>
      <c r="B2121" s="259" t="s">
        <v>116</v>
      </c>
      <c r="C2121" s="264"/>
      <c r="D2121" s="264"/>
      <c r="H2121" s="264"/>
      <c r="I2121" s="264"/>
      <c r="J2121" s="295">
        <v>0</v>
      </c>
      <c r="K2121" s="295">
        <v>0</v>
      </c>
      <c r="L2121" s="295">
        <v>0</v>
      </c>
      <c r="O2121" s="266"/>
      <c r="R2121" s="265"/>
      <c r="V2121" s="265">
        <v>0</v>
      </c>
      <c r="Y2121" s="259">
        <f t="shared" si="7"/>
        <v>1209</v>
      </c>
      <c r="AA2121" s="259" t="e">
        <v>#N/A</v>
      </c>
      <c r="AB2121" s="259"/>
      <c r="AC2121" s="259"/>
      <c r="AD2121" s="259"/>
      <c r="AE2121" s="259"/>
    </row>
    <row r="2122" spans="1:31">
      <c r="A2122" s="259">
        <v>91611850</v>
      </c>
      <c r="B2122" s="259" t="s">
        <v>116</v>
      </c>
      <c r="C2122" s="264" t="s">
        <v>7242</v>
      </c>
      <c r="D2122" s="264" t="s">
        <v>7493</v>
      </c>
      <c r="E2122" s="259" t="s">
        <v>7460</v>
      </c>
      <c r="G2122" s="259" t="s">
        <v>7491</v>
      </c>
      <c r="H2122" s="264" t="s">
        <v>7493</v>
      </c>
      <c r="I2122" s="264" t="s">
        <v>7493</v>
      </c>
      <c r="J2122" s="295">
        <v>234.61</v>
      </c>
      <c r="K2122" s="295">
        <v>234.61</v>
      </c>
      <c r="L2122" s="295" t="s">
        <v>7240</v>
      </c>
      <c r="O2122" s="266">
        <v>0</v>
      </c>
      <c r="P2122" s="266">
        <v>688705001937</v>
      </c>
      <c r="Q2122" s="266">
        <v>0</v>
      </c>
      <c r="R2122" s="265">
        <v>0</v>
      </c>
      <c r="S2122" s="265">
        <v>0</v>
      </c>
      <c r="V2122" s="265" t="s">
        <v>3028</v>
      </c>
      <c r="W2122" s="259" t="s">
        <v>3029</v>
      </c>
      <c r="X2122" s="264" t="s">
        <v>7492</v>
      </c>
      <c r="Y2122" s="259">
        <f t="shared" si="7"/>
        <v>1210</v>
      </c>
      <c r="AA2122" s="259" t="e">
        <v>#N/A</v>
      </c>
      <c r="AB2122" s="259"/>
      <c r="AC2122" s="259"/>
      <c r="AD2122" s="259"/>
      <c r="AE2122" s="259"/>
    </row>
    <row r="2123" spans="1:31">
      <c r="A2123" s="259" t="s">
        <v>2102</v>
      </c>
      <c r="B2123" s="259" t="s">
        <v>116</v>
      </c>
      <c r="C2123" s="264"/>
      <c r="D2123" s="264"/>
      <c r="H2123" s="264"/>
      <c r="I2123" s="264"/>
      <c r="J2123" s="295">
        <v>0</v>
      </c>
      <c r="K2123" s="295">
        <v>0</v>
      </c>
      <c r="L2123" s="295">
        <v>0</v>
      </c>
      <c r="O2123" s="266"/>
      <c r="R2123" s="265"/>
      <c r="V2123" s="265">
        <v>0</v>
      </c>
      <c r="Y2123" s="259">
        <f t="shared" si="7"/>
        <v>1211</v>
      </c>
      <c r="AA2123" s="259" t="e">
        <v>#N/A</v>
      </c>
      <c r="AB2123" s="259"/>
      <c r="AC2123" s="259"/>
      <c r="AD2123" s="259"/>
      <c r="AE2123" s="259"/>
    </row>
    <row r="2124" spans="1:31">
      <c r="A2124" s="259">
        <v>91611754</v>
      </c>
      <c r="B2124" s="259" t="s">
        <v>116</v>
      </c>
      <c r="C2124" s="264" t="s">
        <v>7242</v>
      </c>
      <c r="D2124" s="264" t="s">
        <v>7494</v>
      </c>
      <c r="E2124" s="259" t="s">
        <v>7460</v>
      </c>
      <c r="G2124" s="259" t="s">
        <v>7491</v>
      </c>
      <c r="H2124" s="264" t="s">
        <v>7494</v>
      </c>
      <c r="I2124" s="264" t="s">
        <v>7494</v>
      </c>
      <c r="J2124" s="295">
        <v>54.33</v>
      </c>
      <c r="K2124" s="295">
        <v>54.33</v>
      </c>
      <c r="L2124" s="295" t="s">
        <v>7240</v>
      </c>
      <c r="O2124" s="266">
        <v>0</v>
      </c>
      <c r="Q2124" s="266">
        <v>0</v>
      </c>
      <c r="R2124" s="265">
        <v>0</v>
      </c>
      <c r="V2124" s="265" t="s">
        <v>3028</v>
      </c>
      <c r="W2124" s="259" t="s">
        <v>3029</v>
      </c>
      <c r="X2124" s="264" t="s">
        <v>7244</v>
      </c>
      <c r="Y2124" s="259">
        <f t="shared" si="7"/>
        <v>1212</v>
      </c>
      <c r="AA2124" s="259" t="e">
        <v>#N/A</v>
      </c>
      <c r="AB2124" s="259"/>
      <c r="AC2124" s="259"/>
      <c r="AD2124" s="259"/>
      <c r="AE2124" s="259"/>
    </row>
    <row r="2125" spans="1:31">
      <c r="A2125" s="259">
        <v>91611755</v>
      </c>
      <c r="B2125" s="259" t="s">
        <v>116</v>
      </c>
      <c r="C2125" s="264" t="s">
        <v>7242</v>
      </c>
      <c r="D2125" s="264" t="s">
        <v>7495</v>
      </c>
      <c r="E2125" s="259" t="s">
        <v>7460</v>
      </c>
      <c r="G2125" s="259" t="s">
        <v>7491</v>
      </c>
      <c r="H2125" s="264" t="s">
        <v>7495</v>
      </c>
      <c r="I2125" s="264" t="s">
        <v>7495</v>
      </c>
      <c r="J2125" s="295">
        <v>54.33</v>
      </c>
      <c r="K2125" s="295">
        <v>54.33</v>
      </c>
      <c r="L2125" s="295" t="s">
        <v>7240</v>
      </c>
      <c r="O2125" s="266">
        <v>0</v>
      </c>
      <c r="Q2125" s="266">
        <v>0</v>
      </c>
      <c r="R2125" s="265">
        <v>0</v>
      </c>
      <c r="V2125" s="265" t="s">
        <v>3028</v>
      </c>
      <c r="W2125" s="259" t="s">
        <v>3029</v>
      </c>
      <c r="X2125" s="264" t="s">
        <v>7244</v>
      </c>
      <c r="Y2125" s="259">
        <f t="shared" si="7"/>
        <v>1213</v>
      </c>
      <c r="AA2125" s="259" t="e">
        <v>#N/A</v>
      </c>
      <c r="AB2125" s="259"/>
      <c r="AC2125" s="259"/>
      <c r="AD2125" s="259"/>
      <c r="AE2125" s="259"/>
    </row>
    <row r="2126" spans="1:31">
      <c r="A2126" s="259">
        <v>91611156</v>
      </c>
      <c r="B2126" s="259" t="s">
        <v>116</v>
      </c>
      <c r="C2126" s="264" t="s">
        <v>7242</v>
      </c>
      <c r="D2126" s="264" t="s">
        <v>7496</v>
      </c>
      <c r="E2126" s="259" t="s">
        <v>7460</v>
      </c>
      <c r="G2126" s="259" t="s">
        <v>7491</v>
      </c>
      <c r="H2126" s="264" t="s">
        <v>7496</v>
      </c>
      <c r="I2126" s="264" t="s">
        <v>7496</v>
      </c>
      <c r="J2126" s="295">
        <v>179.04</v>
      </c>
      <c r="K2126" s="295">
        <v>179.04</v>
      </c>
      <c r="L2126" s="295" t="s">
        <v>7240</v>
      </c>
      <c r="O2126" s="266">
        <v>0</v>
      </c>
      <c r="Q2126" s="266">
        <v>0</v>
      </c>
      <c r="R2126" s="265">
        <v>0</v>
      </c>
      <c r="V2126" s="265" t="s">
        <v>3028</v>
      </c>
      <c r="W2126" s="259" t="s">
        <v>3029</v>
      </c>
      <c r="X2126" s="264" t="s">
        <v>7244</v>
      </c>
      <c r="Y2126" s="259">
        <f t="shared" si="7"/>
        <v>1214</v>
      </c>
      <c r="AA2126" s="259" t="e">
        <v>#N/A</v>
      </c>
      <c r="AB2126" s="259"/>
      <c r="AC2126" s="259"/>
      <c r="AD2126" s="259"/>
      <c r="AE2126" s="259"/>
    </row>
    <row r="2127" spans="1:31">
      <c r="A2127" s="259">
        <v>91611157</v>
      </c>
      <c r="B2127" s="259" t="s">
        <v>116</v>
      </c>
      <c r="C2127" s="264" t="s">
        <v>7242</v>
      </c>
      <c r="D2127" s="264" t="s">
        <v>7497</v>
      </c>
      <c r="E2127" s="259" t="s">
        <v>7460</v>
      </c>
      <c r="G2127" s="259" t="s">
        <v>7491</v>
      </c>
      <c r="H2127" s="264" t="s">
        <v>7497</v>
      </c>
      <c r="I2127" s="264" t="s">
        <v>7497</v>
      </c>
      <c r="J2127" s="295">
        <v>179.04</v>
      </c>
      <c r="K2127" s="295">
        <v>179.04</v>
      </c>
      <c r="L2127" s="295" t="s">
        <v>7240</v>
      </c>
      <c r="O2127" s="266">
        <v>0</v>
      </c>
      <c r="Q2127" s="266">
        <v>0</v>
      </c>
      <c r="R2127" s="265">
        <v>0</v>
      </c>
      <c r="V2127" s="265" t="s">
        <v>3028</v>
      </c>
      <c r="W2127" s="259" t="s">
        <v>3029</v>
      </c>
      <c r="X2127" s="264" t="s">
        <v>7244</v>
      </c>
      <c r="Y2127" s="259">
        <f t="shared" si="7"/>
        <v>1215</v>
      </c>
      <c r="AA2127" s="259" t="e">
        <v>#N/A</v>
      </c>
      <c r="AB2127" s="259"/>
      <c r="AC2127" s="259"/>
      <c r="AD2127" s="259"/>
      <c r="AE2127" s="259"/>
    </row>
    <row r="2128" spans="1:31">
      <c r="A2128" s="259">
        <v>91611758</v>
      </c>
      <c r="B2128" s="259" t="s">
        <v>116</v>
      </c>
      <c r="C2128" s="264" t="s">
        <v>7242</v>
      </c>
      <c r="D2128" s="264" t="s">
        <v>7498</v>
      </c>
      <c r="E2128" s="259" t="s">
        <v>7460</v>
      </c>
      <c r="G2128" s="259" t="s">
        <v>7491</v>
      </c>
      <c r="H2128" s="264" t="s">
        <v>7498</v>
      </c>
      <c r="I2128" s="264" t="s">
        <v>7498</v>
      </c>
      <c r="J2128" s="295">
        <v>50.63</v>
      </c>
      <c r="K2128" s="295">
        <v>50.63</v>
      </c>
      <c r="L2128" s="295" t="s">
        <v>7240</v>
      </c>
      <c r="O2128" s="266">
        <v>0</v>
      </c>
      <c r="Q2128" s="266">
        <v>0</v>
      </c>
      <c r="R2128" s="265">
        <v>0</v>
      </c>
      <c r="V2128" s="265" t="s">
        <v>3028</v>
      </c>
      <c r="W2128" s="259" t="s">
        <v>3029</v>
      </c>
      <c r="X2128" s="264" t="s">
        <v>7244</v>
      </c>
      <c r="Y2128" s="259">
        <f t="shared" si="7"/>
        <v>1216</v>
      </c>
      <c r="AA2128" s="259" t="e">
        <v>#N/A</v>
      </c>
      <c r="AB2128" s="259"/>
      <c r="AC2128" s="259"/>
      <c r="AD2128" s="259"/>
      <c r="AE2128" s="259"/>
    </row>
    <row r="2129" spans="1:31">
      <c r="A2129" s="259">
        <v>91611759</v>
      </c>
      <c r="B2129" s="259" t="s">
        <v>116</v>
      </c>
      <c r="C2129" s="264" t="s">
        <v>7242</v>
      </c>
      <c r="D2129" s="264" t="s">
        <v>7499</v>
      </c>
      <c r="E2129" s="259" t="s">
        <v>7460</v>
      </c>
      <c r="G2129" s="259" t="s">
        <v>7491</v>
      </c>
      <c r="H2129" s="264" t="s">
        <v>7499</v>
      </c>
      <c r="I2129" s="264" t="s">
        <v>7499</v>
      </c>
      <c r="J2129" s="295">
        <v>50.63</v>
      </c>
      <c r="K2129" s="295">
        <v>50.63</v>
      </c>
      <c r="L2129" s="295" t="s">
        <v>7240</v>
      </c>
      <c r="O2129" s="266">
        <v>0</v>
      </c>
      <c r="Q2129" s="266">
        <v>0</v>
      </c>
      <c r="R2129" s="265">
        <v>0</v>
      </c>
      <c r="V2129" s="265" t="s">
        <v>3028</v>
      </c>
      <c r="W2129" s="259" t="s">
        <v>3029</v>
      </c>
      <c r="X2129" s="264" t="s">
        <v>7244</v>
      </c>
      <c r="Y2129" s="259">
        <f t="shared" si="7"/>
        <v>1217</v>
      </c>
      <c r="AA2129" s="259" t="e">
        <v>#N/A</v>
      </c>
      <c r="AB2129" s="259"/>
      <c r="AC2129" s="259"/>
      <c r="AD2129" s="259"/>
      <c r="AE2129" s="259"/>
    </row>
    <row r="2130" spans="1:31">
      <c r="A2130" s="259">
        <v>91611760</v>
      </c>
      <c r="B2130" s="259" t="s">
        <v>116</v>
      </c>
      <c r="C2130" s="264" t="s">
        <v>7242</v>
      </c>
      <c r="D2130" s="264" t="s">
        <v>7500</v>
      </c>
      <c r="E2130" s="259" t="s">
        <v>7460</v>
      </c>
      <c r="G2130" s="259" t="s">
        <v>7491</v>
      </c>
      <c r="H2130" s="264" t="s">
        <v>7500</v>
      </c>
      <c r="I2130" s="264" t="s">
        <v>7500</v>
      </c>
      <c r="J2130" s="295">
        <v>65.44</v>
      </c>
      <c r="K2130" s="295">
        <v>65.44</v>
      </c>
      <c r="L2130" s="295" t="s">
        <v>7240</v>
      </c>
      <c r="O2130" s="266">
        <v>0</v>
      </c>
      <c r="Q2130" s="266">
        <v>0</v>
      </c>
      <c r="R2130" s="265">
        <v>0</v>
      </c>
      <c r="V2130" s="265" t="s">
        <v>3028</v>
      </c>
      <c r="W2130" s="259" t="s">
        <v>3029</v>
      </c>
      <c r="X2130" s="264" t="s">
        <v>7244</v>
      </c>
      <c r="Y2130" s="259">
        <f t="shared" si="7"/>
        <v>1218</v>
      </c>
      <c r="AA2130" s="259" t="e">
        <v>#N/A</v>
      </c>
      <c r="AB2130" s="259"/>
      <c r="AC2130" s="259"/>
      <c r="AD2130" s="259"/>
      <c r="AE2130" s="259"/>
    </row>
    <row r="2131" spans="1:31">
      <c r="A2131" s="259">
        <v>91611761</v>
      </c>
      <c r="B2131" s="259" t="s">
        <v>116</v>
      </c>
      <c r="C2131" s="264" t="s">
        <v>7242</v>
      </c>
      <c r="D2131" s="264" t="s">
        <v>7501</v>
      </c>
      <c r="E2131" s="259" t="s">
        <v>7460</v>
      </c>
      <c r="G2131" s="259" t="s">
        <v>7491</v>
      </c>
      <c r="H2131" s="264" t="s">
        <v>7501</v>
      </c>
      <c r="I2131" s="264" t="s">
        <v>7501</v>
      </c>
      <c r="J2131" s="295">
        <v>65.44</v>
      </c>
      <c r="K2131" s="295">
        <v>65.44</v>
      </c>
      <c r="L2131" s="295" t="s">
        <v>7240</v>
      </c>
      <c r="O2131" s="266">
        <v>0</v>
      </c>
      <c r="Q2131" s="266">
        <v>0</v>
      </c>
      <c r="R2131" s="265">
        <v>0</v>
      </c>
      <c r="V2131" s="265" t="s">
        <v>3028</v>
      </c>
      <c r="W2131" s="259" t="s">
        <v>3029</v>
      </c>
      <c r="X2131" s="264" t="s">
        <v>7244</v>
      </c>
      <c r="Y2131" s="259">
        <f t="shared" si="7"/>
        <v>1219</v>
      </c>
      <c r="AA2131" s="259" t="e">
        <v>#N/A</v>
      </c>
      <c r="AB2131" s="259"/>
      <c r="AC2131" s="259"/>
      <c r="AD2131" s="259"/>
      <c r="AE2131" s="259"/>
    </row>
    <row r="2132" spans="1:31">
      <c r="A2132" s="259">
        <v>91611762</v>
      </c>
      <c r="B2132" s="259" t="s">
        <v>116</v>
      </c>
      <c r="C2132" s="264" t="s">
        <v>7242</v>
      </c>
      <c r="D2132" s="264" t="s">
        <v>7502</v>
      </c>
      <c r="E2132" s="259" t="s">
        <v>7460</v>
      </c>
      <c r="G2132" s="259" t="s">
        <v>7491</v>
      </c>
      <c r="H2132" s="264" t="s">
        <v>7502</v>
      </c>
      <c r="I2132" s="264" t="s">
        <v>7502</v>
      </c>
      <c r="J2132" s="295">
        <v>122.24</v>
      </c>
      <c r="K2132" s="295">
        <v>122.24</v>
      </c>
      <c r="L2132" s="295" t="s">
        <v>7240</v>
      </c>
      <c r="O2132" s="266">
        <v>0</v>
      </c>
      <c r="Q2132" s="266">
        <v>0</v>
      </c>
      <c r="R2132" s="265">
        <v>0</v>
      </c>
      <c r="V2132" s="265" t="s">
        <v>3028</v>
      </c>
      <c r="W2132" s="259" t="s">
        <v>3029</v>
      </c>
      <c r="X2132" s="264" t="s">
        <v>7244</v>
      </c>
      <c r="Y2132" s="259">
        <f t="shared" si="7"/>
        <v>1220</v>
      </c>
      <c r="AA2132" s="259" t="e">
        <v>#N/A</v>
      </c>
      <c r="AB2132" s="259"/>
      <c r="AC2132" s="259"/>
      <c r="AD2132" s="259"/>
      <c r="AE2132" s="259"/>
    </row>
    <row r="2133" spans="1:31">
      <c r="A2133" s="259">
        <v>91611763</v>
      </c>
      <c r="B2133" s="259" t="s">
        <v>116</v>
      </c>
      <c r="C2133" s="264" t="s">
        <v>7242</v>
      </c>
      <c r="D2133" s="264" t="s">
        <v>7503</v>
      </c>
      <c r="E2133" s="259" t="s">
        <v>7460</v>
      </c>
      <c r="G2133" s="259" t="s">
        <v>7491</v>
      </c>
      <c r="H2133" s="264" t="s">
        <v>7503</v>
      </c>
      <c r="I2133" s="264" t="s">
        <v>7503</v>
      </c>
      <c r="J2133" s="295">
        <v>122.24</v>
      </c>
      <c r="K2133" s="295">
        <v>122.24</v>
      </c>
      <c r="L2133" s="295" t="s">
        <v>7240</v>
      </c>
      <c r="O2133" s="266">
        <v>0</v>
      </c>
      <c r="Q2133" s="266">
        <v>0</v>
      </c>
      <c r="R2133" s="265">
        <v>0</v>
      </c>
      <c r="V2133" s="265" t="s">
        <v>3028</v>
      </c>
      <c r="W2133" s="259" t="s">
        <v>3029</v>
      </c>
      <c r="X2133" s="264" t="s">
        <v>7244</v>
      </c>
      <c r="Y2133" s="259">
        <f t="shared" si="7"/>
        <v>1221</v>
      </c>
      <c r="AA2133" s="259" t="e">
        <v>#N/A</v>
      </c>
      <c r="AB2133" s="259"/>
      <c r="AC2133" s="259"/>
      <c r="AD2133" s="259"/>
      <c r="AE2133" s="259"/>
    </row>
    <row r="2134" spans="1:31">
      <c r="A2134" s="259">
        <v>91611764</v>
      </c>
      <c r="B2134" s="259" t="s">
        <v>116</v>
      </c>
      <c r="C2134" s="264" t="s">
        <v>7242</v>
      </c>
      <c r="D2134" s="264" t="s">
        <v>7504</v>
      </c>
      <c r="E2134" s="259" t="s">
        <v>7460</v>
      </c>
      <c r="G2134" s="259" t="s">
        <v>7491</v>
      </c>
      <c r="H2134" s="264" t="s">
        <v>7504</v>
      </c>
      <c r="I2134" s="264" t="s">
        <v>7504</v>
      </c>
      <c r="J2134" s="295">
        <v>191.39</v>
      </c>
      <c r="K2134" s="295">
        <v>191.39</v>
      </c>
      <c r="L2134" s="295" t="s">
        <v>7240</v>
      </c>
      <c r="O2134" s="266">
        <v>0</v>
      </c>
      <c r="Q2134" s="266">
        <v>0</v>
      </c>
      <c r="R2134" s="265">
        <v>0</v>
      </c>
      <c r="V2134" s="265" t="s">
        <v>3028</v>
      </c>
      <c r="W2134" s="259" t="s">
        <v>3029</v>
      </c>
      <c r="X2134" s="264" t="s">
        <v>7244</v>
      </c>
      <c r="Y2134" s="259">
        <f t="shared" si="7"/>
        <v>1222</v>
      </c>
      <c r="AA2134" s="259" t="e">
        <v>#N/A</v>
      </c>
      <c r="AB2134" s="259"/>
      <c r="AC2134" s="259"/>
      <c r="AD2134" s="259"/>
      <c r="AE2134" s="259"/>
    </row>
    <row r="2135" spans="1:31">
      <c r="A2135" s="259">
        <v>91611765</v>
      </c>
      <c r="B2135" s="259" t="s">
        <v>116</v>
      </c>
      <c r="C2135" s="264" t="s">
        <v>7242</v>
      </c>
      <c r="D2135" s="264" t="s">
        <v>7505</v>
      </c>
      <c r="E2135" s="259" t="s">
        <v>7460</v>
      </c>
      <c r="G2135" s="259" t="s">
        <v>7491</v>
      </c>
      <c r="H2135" s="264" t="s">
        <v>7505</v>
      </c>
      <c r="I2135" s="264" t="s">
        <v>7505</v>
      </c>
      <c r="J2135" s="295">
        <v>191.39</v>
      </c>
      <c r="K2135" s="295">
        <v>191.39</v>
      </c>
      <c r="L2135" s="295" t="s">
        <v>7240</v>
      </c>
      <c r="O2135" s="266">
        <v>0</v>
      </c>
      <c r="Q2135" s="266">
        <v>0</v>
      </c>
      <c r="R2135" s="265">
        <v>0</v>
      </c>
      <c r="V2135" s="265" t="s">
        <v>3028</v>
      </c>
      <c r="W2135" s="259" t="s">
        <v>3029</v>
      </c>
      <c r="X2135" s="264" t="s">
        <v>7244</v>
      </c>
      <c r="Y2135" s="259">
        <f t="shared" si="7"/>
        <v>1223</v>
      </c>
      <c r="AA2135" s="259" t="e">
        <v>#N/A</v>
      </c>
      <c r="AB2135" s="259"/>
      <c r="AC2135" s="259"/>
      <c r="AD2135" s="259"/>
      <c r="AE2135" s="259"/>
    </row>
    <row r="2136" spans="1:31">
      <c r="A2136" s="259">
        <v>91611766</v>
      </c>
      <c r="B2136" s="259" t="s">
        <v>116</v>
      </c>
      <c r="C2136" s="264" t="s">
        <v>7242</v>
      </c>
      <c r="D2136" s="264" t="s">
        <v>7506</v>
      </c>
      <c r="E2136" s="259" t="s">
        <v>7460</v>
      </c>
      <c r="G2136" s="259" t="s">
        <v>7491</v>
      </c>
      <c r="H2136" s="264" t="s">
        <v>7506</v>
      </c>
      <c r="I2136" s="264" t="s">
        <v>7506</v>
      </c>
      <c r="J2136" s="295">
        <v>33.340000000000003</v>
      </c>
      <c r="K2136" s="295">
        <v>33.340000000000003</v>
      </c>
      <c r="L2136" s="295" t="s">
        <v>7240</v>
      </c>
      <c r="O2136" s="266">
        <v>0</v>
      </c>
      <c r="Q2136" s="266">
        <v>0</v>
      </c>
      <c r="R2136" s="265">
        <v>0</v>
      </c>
      <c r="V2136" s="265" t="s">
        <v>3028</v>
      </c>
      <c r="W2136" s="259" t="s">
        <v>3029</v>
      </c>
      <c r="X2136" s="264" t="s">
        <v>7244</v>
      </c>
      <c r="Y2136" s="259">
        <f t="shared" si="7"/>
        <v>1224</v>
      </c>
      <c r="AA2136" s="259" t="e">
        <v>#N/A</v>
      </c>
      <c r="AB2136" s="259"/>
      <c r="AC2136" s="259"/>
      <c r="AD2136" s="259"/>
      <c r="AE2136" s="259"/>
    </row>
    <row r="2137" spans="1:31">
      <c r="A2137" s="259" t="s">
        <v>2103</v>
      </c>
      <c r="B2137" s="259" t="s">
        <v>116</v>
      </c>
      <c r="C2137" s="264"/>
      <c r="D2137" s="264"/>
      <c r="H2137" s="264"/>
      <c r="I2137" s="264"/>
      <c r="J2137" s="295">
        <v>0</v>
      </c>
      <c r="K2137" s="295">
        <v>0</v>
      </c>
      <c r="L2137" s="295">
        <v>0</v>
      </c>
      <c r="O2137" s="266"/>
      <c r="R2137" s="265"/>
      <c r="V2137" s="265">
        <v>0</v>
      </c>
      <c r="Y2137" s="259">
        <f t="shared" si="7"/>
        <v>1225</v>
      </c>
      <c r="AA2137" s="259" t="e">
        <v>#N/A</v>
      </c>
      <c r="AB2137" s="259"/>
      <c r="AC2137" s="259"/>
      <c r="AD2137" s="259"/>
      <c r="AE2137" s="259"/>
    </row>
    <row r="2138" spans="1:31">
      <c r="A2138" s="259" t="s">
        <v>2104</v>
      </c>
      <c r="B2138" s="259" t="s">
        <v>116</v>
      </c>
      <c r="C2138" s="264"/>
      <c r="D2138" s="264"/>
      <c r="H2138" s="264"/>
      <c r="I2138" s="264"/>
      <c r="J2138" s="295">
        <v>0</v>
      </c>
      <c r="K2138" s="295">
        <v>0</v>
      </c>
      <c r="L2138" s="295">
        <v>0</v>
      </c>
      <c r="O2138" s="266"/>
      <c r="R2138" s="265"/>
      <c r="V2138" s="265">
        <v>0</v>
      </c>
      <c r="Y2138" s="259">
        <f t="shared" si="7"/>
        <v>1226</v>
      </c>
      <c r="AA2138" s="259" t="e">
        <v>#N/A</v>
      </c>
      <c r="AB2138" s="259"/>
      <c r="AC2138" s="259"/>
      <c r="AD2138" s="259"/>
      <c r="AE2138" s="259"/>
    </row>
    <row r="2139" spans="1:31">
      <c r="A2139" s="259" t="s">
        <v>2105</v>
      </c>
      <c r="B2139" s="259" t="s">
        <v>116</v>
      </c>
      <c r="C2139" s="264" t="s">
        <v>7242</v>
      </c>
      <c r="D2139" s="264" t="s">
        <v>7507</v>
      </c>
      <c r="E2139" s="259" t="s">
        <v>7448</v>
      </c>
      <c r="G2139" s="259" t="s">
        <v>7508</v>
      </c>
      <c r="H2139" s="264" t="s">
        <v>7507</v>
      </c>
      <c r="I2139" s="264" t="s">
        <v>7507</v>
      </c>
      <c r="J2139" s="295">
        <v>477.85</v>
      </c>
      <c r="K2139" s="295">
        <v>477.85</v>
      </c>
      <c r="L2139" s="295" t="s">
        <v>7240</v>
      </c>
      <c r="O2139" s="266">
        <v>0</v>
      </c>
      <c r="P2139" s="266">
        <v>5706681234103</v>
      </c>
      <c r="Q2139" s="266">
        <v>0</v>
      </c>
      <c r="R2139" s="265">
        <v>0</v>
      </c>
      <c r="V2139" s="265" t="s">
        <v>3218</v>
      </c>
      <c r="W2139" s="259">
        <v>0</v>
      </c>
      <c r="Y2139" s="259">
        <f t="shared" si="7"/>
        <v>1227</v>
      </c>
      <c r="Z2139" s="259" t="s">
        <v>3037</v>
      </c>
      <c r="AA2139" s="259" t="e">
        <v>#N/A</v>
      </c>
      <c r="AB2139" s="259"/>
      <c r="AC2139" s="259"/>
      <c r="AD2139" s="259"/>
      <c r="AE2139" s="259"/>
    </row>
    <row r="2140" spans="1:31">
      <c r="A2140" s="259" t="s">
        <v>2106</v>
      </c>
      <c r="B2140" s="259" t="s">
        <v>116</v>
      </c>
      <c r="C2140" s="264" t="s">
        <v>7242</v>
      </c>
      <c r="D2140" s="264" t="s">
        <v>7509</v>
      </c>
      <c r="E2140" s="259" t="s">
        <v>7448</v>
      </c>
      <c r="G2140" s="259" t="s">
        <v>7508</v>
      </c>
      <c r="H2140" s="264" t="s">
        <v>7509</v>
      </c>
      <c r="I2140" s="264" t="s">
        <v>7509</v>
      </c>
      <c r="J2140" s="295">
        <v>1043.3800000000001</v>
      </c>
      <c r="K2140" s="295">
        <v>1043.3800000000001</v>
      </c>
      <c r="L2140" s="295" t="s">
        <v>7240</v>
      </c>
      <c r="O2140" s="266">
        <v>0</v>
      </c>
      <c r="P2140" s="266">
        <v>5706681234080</v>
      </c>
      <c r="Q2140" s="266">
        <v>0</v>
      </c>
      <c r="R2140" s="265">
        <v>0</v>
      </c>
      <c r="V2140" s="265" t="s">
        <v>3218</v>
      </c>
      <c r="W2140" s="259">
        <v>0</v>
      </c>
      <c r="X2140" s="264" t="s">
        <v>7510</v>
      </c>
      <c r="Y2140" s="259">
        <f t="shared" si="7"/>
        <v>1228</v>
      </c>
      <c r="Z2140" s="259" t="s">
        <v>3037</v>
      </c>
      <c r="AA2140" s="259" t="e">
        <v>#N/A</v>
      </c>
      <c r="AB2140" s="259"/>
      <c r="AC2140" s="259"/>
      <c r="AD2140" s="259"/>
      <c r="AE2140" s="259"/>
    </row>
    <row r="2141" spans="1:31">
      <c r="A2141" s="259" t="s">
        <v>2107</v>
      </c>
      <c r="B2141" s="259" t="s">
        <v>116</v>
      </c>
      <c r="C2141" s="264" t="s">
        <v>7257</v>
      </c>
      <c r="D2141" s="264" t="s">
        <v>7511</v>
      </c>
      <c r="E2141" s="259" t="s">
        <v>7448</v>
      </c>
      <c r="G2141" s="259" t="s">
        <v>7508</v>
      </c>
      <c r="H2141" s="264" t="s">
        <v>7511</v>
      </c>
      <c r="I2141" s="264" t="s">
        <v>7511</v>
      </c>
      <c r="J2141" s="295">
        <v>477.85</v>
      </c>
      <c r="K2141" s="295">
        <v>477.85</v>
      </c>
      <c r="L2141" s="295" t="s">
        <v>7240</v>
      </c>
      <c r="O2141" s="266">
        <v>0</v>
      </c>
      <c r="P2141" s="266">
        <v>5706681234097</v>
      </c>
      <c r="Q2141" s="266">
        <v>0</v>
      </c>
      <c r="R2141" s="265">
        <v>0</v>
      </c>
      <c r="V2141" s="265" t="s">
        <v>3218</v>
      </c>
      <c r="W2141" s="259">
        <v>0</v>
      </c>
      <c r="X2141" s="264" t="s">
        <v>7510</v>
      </c>
      <c r="Y2141" s="259">
        <f t="shared" si="7"/>
        <v>1229</v>
      </c>
      <c r="Z2141" s="259" t="s">
        <v>3037</v>
      </c>
      <c r="AA2141" s="259" t="e">
        <v>#N/A</v>
      </c>
      <c r="AB2141" s="259"/>
      <c r="AC2141" s="259"/>
      <c r="AD2141" s="259"/>
      <c r="AE2141" s="259"/>
    </row>
    <row r="2142" spans="1:31">
      <c r="A2142" s="259" t="s">
        <v>2108</v>
      </c>
      <c r="B2142" s="259" t="s">
        <v>116</v>
      </c>
      <c r="C2142" s="264" t="s">
        <v>7257</v>
      </c>
      <c r="D2142" s="264" t="s">
        <v>7512</v>
      </c>
      <c r="E2142" s="259" t="s">
        <v>7448</v>
      </c>
      <c r="G2142" s="259" t="s">
        <v>7508</v>
      </c>
      <c r="H2142" s="264" t="s">
        <v>7512</v>
      </c>
      <c r="I2142" s="264" t="s">
        <v>7512</v>
      </c>
      <c r="J2142" s="295">
        <v>1043.3800000000001</v>
      </c>
      <c r="K2142" s="295">
        <v>1043.3800000000001</v>
      </c>
      <c r="L2142" s="295" t="s">
        <v>7240</v>
      </c>
      <c r="O2142" s="266">
        <v>0</v>
      </c>
      <c r="P2142" s="266">
        <v>5706681234073</v>
      </c>
      <c r="Q2142" s="266">
        <v>0</v>
      </c>
      <c r="R2142" s="265">
        <v>0</v>
      </c>
      <c r="V2142" s="265" t="s">
        <v>3218</v>
      </c>
      <c r="W2142" s="259">
        <v>0</v>
      </c>
      <c r="X2142" s="264" t="s">
        <v>7510</v>
      </c>
      <c r="Y2142" s="259">
        <f t="shared" si="7"/>
        <v>1230</v>
      </c>
      <c r="Z2142" s="259" t="s">
        <v>3037</v>
      </c>
      <c r="AA2142" s="259" t="e">
        <v>#N/A</v>
      </c>
      <c r="AB2142" s="259"/>
      <c r="AC2142" s="259"/>
      <c r="AD2142" s="259"/>
      <c r="AE2142" s="259"/>
    </row>
    <row r="2143" spans="1:31">
      <c r="A2143" s="259" t="s">
        <v>2109</v>
      </c>
      <c r="B2143" s="259" t="s">
        <v>116</v>
      </c>
      <c r="C2143" s="264" t="s">
        <v>7242</v>
      </c>
      <c r="D2143" s="264" t="s">
        <v>7513</v>
      </c>
      <c r="E2143" s="259" t="s">
        <v>7448</v>
      </c>
      <c r="G2143" s="259" t="s">
        <v>7508</v>
      </c>
      <c r="H2143" s="264" t="s">
        <v>7513</v>
      </c>
      <c r="I2143" s="264" t="s">
        <v>7513</v>
      </c>
      <c r="J2143" s="295">
        <v>477.85</v>
      </c>
      <c r="K2143" s="295">
        <v>477.85</v>
      </c>
      <c r="L2143" s="295" t="s">
        <v>7240</v>
      </c>
      <c r="O2143" s="266">
        <v>0</v>
      </c>
      <c r="P2143" s="266">
        <v>5706681234066</v>
      </c>
      <c r="Q2143" s="266">
        <v>0</v>
      </c>
      <c r="R2143" s="265">
        <v>0</v>
      </c>
      <c r="V2143" s="265" t="s">
        <v>3218</v>
      </c>
      <c r="W2143" s="259">
        <v>0</v>
      </c>
      <c r="X2143" s="264" t="s">
        <v>7510</v>
      </c>
      <c r="Y2143" s="259">
        <f t="shared" si="7"/>
        <v>1231</v>
      </c>
      <c r="Z2143" s="259" t="s">
        <v>3037</v>
      </c>
      <c r="AA2143" s="259" t="e">
        <v>#N/A</v>
      </c>
      <c r="AB2143" s="259"/>
      <c r="AC2143" s="259"/>
      <c r="AD2143" s="259"/>
      <c r="AE2143" s="259"/>
    </row>
    <row r="2144" spans="1:31">
      <c r="A2144" s="259" t="s">
        <v>2110</v>
      </c>
      <c r="B2144" s="259" t="s">
        <v>116</v>
      </c>
      <c r="C2144" s="264" t="s">
        <v>7242</v>
      </c>
      <c r="D2144" s="264" t="s">
        <v>7514</v>
      </c>
      <c r="E2144" s="259" t="s">
        <v>7448</v>
      </c>
      <c r="G2144" s="259" t="s">
        <v>7508</v>
      </c>
      <c r="H2144" s="264" t="s">
        <v>7514</v>
      </c>
      <c r="I2144" s="264" t="s">
        <v>7514</v>
      </c>
      <c r="J2144" s="295">
        <v>1043.3800000000001</v>
      </c>
      <c r="K2144" s="295">
        <v>1043.3800000000001</v>
      </c>
      <c r="L2144" s="295" t="s">
        <v>7240</v>
      </c>
      <c r="O2144" s="266">
        <v>0</v>
      </c>
      <c r="P2144" s="266">
        <v>5706681234059</v>
      </c>
      <c r="Q2144" s="266">
        <v>0</v>
      </c>
      <c r="R2144" s="265">
        <v>0</v>
      </c>
      <c r="V2144" s="265" t="s">
        <v>3218</v>
      </c>
      <c r="W2144" s="259">
        <v>0</v>
      </c>
      <c r="X2144" s="264" t="s">
        <v>7510</v>
      </c>
      <c r="Y2144" s="259">
        <f t="shared" si="7"/>
        <v>1232</v>
      </c>
      <c r="Z2144" s="259" t="s">
        <v>3037</v>
      </c>
      <c r="AA2144" s="259" t="e">
        <v>#N/A</v>
      </c>
      <c r="AB2144" s="259"/>
      <c r="AC2144" s="259"/>
      <c r="AD2144" s="259"/>
      <c r="AE2144" s="259"/>
    </row>
    <row r="2145" spans="1:31">
      <c r="A2145" s="259" t="s">
        <v>2111</v>
      </c>
      <c r="B2145" s="259" t="s">
        <v>116</v>
      </c>
      <c r="C2145" s="264" t="s">
        <v>7242</v>
      </c>
      <c r="D2145" s="264" t="s">
        <v>7515</v>
      </c>
      <c r="E2145" s="259" t="s">
        <v>7448</v>
      </c>
      <c r="G2145" s="259" t="s">
        <v>7508</v>
      </c>
      <c r="H2145" s="264" t="s">
        <v>7515</v>
      </c>
      <c r="I2145" s="264" t="s">
        <v>7515</v>
      </c>
      <c r="J2145" s="295">
        <v>477.85</v>
      </c>
      <c r="K2145" s="295">
        <v>477.85</v>
      </c>
      <c r="L2145" s="295" t="s">
        <v>7240</v>
      </c>
      <c r="O2145" s="266">
        <v>0</v>
      </c>
      <c r="P2145" s="266">
        <v>5706681234042</v>
      </c>
      <c r="Q2145" s="266">
        <v>0</v>
      </c>
      <c r="R2145" s="265">
        <v>0</v>
      </c>
      <c r="V2145" s="265" t="s">
        <v>3218</v>
      </c>
      <c r="W2145" s="259">
        <v>0</v>
      </c>
      <c r="X2145" s="264" t="s">
        <v>7510</v>
      </c>
      <c r="Y2145" s="259">
        <f t="shared" si="7"/>
        <v>1233</v>
      </c>
      <c r="Z2145" s="259" t="s">
        <v>3037</v>
      </c>
      <c r="AA2145" s="259" t="e">
        <v>#N/A</v>
      </c>
      <c r="AB2145" s="259"/>
      <c r="AC2145" s="259"/>
      <c r="AD2145" s="259"/>
      <c r="AE2145" s="259"/>
    </row>
    <row r="2146" spans="1:31">
      <c r="A2146" s="259" t="s">
        <v>2112</v>
      </c>
      <c r="B2146" s="259" t="s">
        <v>116</v>
      </c>
      <c r="C2146" s="264" t="s">
        <v>7242</v>
      </c>
      <c r="D2146" s="264" t="s">
        <v>7516</v>
      </c>
      <c r="E2146" s="259" t="s">
        <v>7448</v>
      </c>
      <c r="G2146" s="259" t="s">
        <v>7508</v>
      </c>
      <c r="H2146" s="264" t="s">
        <v>7516</v>
      </c>
      <c r="I2146" s="264" t="s">
        <v>7516</v>
      </c>
      <c r="J2146" s="295">
        <v>1043.3800000000001</v>
      </c>
      <c r="K2146" s="295">
        <v>1043.3800000000001</v>
      </c>
      <c r="L2146" s="295" t="s">
        <v>7240</v>
      </c>
      <c r="O2146" s="266">
        <v>0</v>
      </c>
      <c r="P2146" s="266">
        <v>5706681234035</v>
      </c>
      <c r="Q2146" s="266">
        <v>0</v>
      </c>
      <c r="R2146" s="265">
        <v>0</v>
      </c>
      <c r="V2146" s="265" t="s">
        <v>3218</v>
      </c>
      <c r="W2146" s="259">
        <v>0</v>
      </c>
      <c r="X2146" s="264" t="s">
        <v>7510</v>
      </c>
      <c r="Y2146" s="259">
        <f t="shared" si="7"/>
        <v>1234</v>
      </c>
      <c r="Z2146" s="259" t="s">
        <v>3037</v>
      </c>
      <c r="AA2146" s="259" t="e">
        <v>#N/A</v>
      </c>
      <c r="AB2146" s="259"/>
      <c r="AC2146" s="259"/>
      <c r="AD2146" s="259"/>
      <c r="AE2146" s="259"/>
    </row>
    <row r="2147" spans="1:31">
      <c r="A2147" s="259" t="s">
        <v>2113</v>
      </c>
      <c r="B2147" s="259" t="s">
        <v>116</v>
      </c>
      <c r="C2147" s="264" t="s">
        <v>7242</v>
      </c>
      <c r="D2147" s="264" t="s">
        <v>7517</v>
      </c>
      <c r="E2147" s="259" t="s">
        <v>7448</v>
      </c>
      <c r="G2147" s="259" t="s">
        <v>7508</v>
      </c>
      <c r="H2147" s="264" t="s">
        <v>7517</v>
      </c>
      <c r="I2147" s="264" t="s">
        <v>7517</v>
      </c>
      <c r="J2147" s="295">
        <v>495.14</v>
      </c>
      <c r="K2147" s="295">
        <v>495.14</v>
      </c>
      <c r="L2147" s="295" t="s">
        <v>7240</v>
      </c>
      <c r="O2147" s="266">
        <v>0</v>
      </c>
      <c r="P2147" s="266">
        <v>5706681234028</v>
      </c>
      <c r="Q2147" s="266">
        <v>0</v>
      </c>
      <c r="R2147" s="265">
        <v>0</v>
      </c>
      <c r="V2147" s="265" t="s">
        <v>3218</v>
      </c>
      <c r="W2147" s="259">
        <v>0</v>
      </c>
      <c r="X2147" s="264" t="s">
        <v>7510</v>
      </c>
      <c r="Y2147" s="259">
        <f t="shared" si="7"/>
        <v>1235</v>
      </c>
      <c r="Z2147" s="259" t="s">
        <v>3037</v>
      </c>
      <c r="AA2147" s="259" t="e">
        <v>#N/A</v>
      </c>
      <c r="AB2147" s="259"/>
      <c r="AC2147" s="259"/>
      <c r="AD2147" s="259"/>
      <c r="AE2147" s="259"/>
    </row>
    <row r="2148" spans="1:31">
      <c r="A2148" s="259" t="s">
        <v>2114</v>
      </c>
      <c r="B2148" s="259" t="s">
        <v>116</v>
      </c>
      <c r="C2148" s="264" t="s">
        <v>7242</v>
      </c>
      <c r="D2148" s="264" t="s">
        <v>7518</v>
      </c>
      <c r="E2148" s="259" t="s">
        <v>7448</v>
      </c>
      <c r="G2148" s="259" t="s">
        <v>7508</v>
      </c>
      <c r="H2148" s="264" t="s">
        <v>7518</v>
      </c>
      <c r="I2148" s="264" t="s">
        <v>7518</v>
      </c>
      <c r="J2148" s="295">
        <v>1060.6600000000001</v>
      </c>
      <c r="K2148" s="295">
        <v>1060.6600000000001</v>
      </c>
      <c r="L2148" s="295" t="s">
        <v>7240</v>
      </c>
      <c r="O2148" s="266">
        <v>0</v>
      </c>
      <c r="P2148" s="266">
        <v>5706681234011</v>
      </c>
      <c r="Q2148" s="266">
        <v>0</v>
      </c>
      <c r="R2148" s="265">
        <v>0</v>
      </c>
      <c r="V2148" s="265" t="s">
        <v>3218</v>
      </c>
      <c r="W2148" s="259">
        <v>0</v>
      </c>
      <c r="X2148" s="264" t="s">
        <v>7510</v>
      </c>
      <c r="Y2148" s="259">
        <f t="shared" si="7"/>
        <v>1236</v>
      </c>
      <c r="Z2148" s="259" t="s">
        <v>3037</v>
      </c>
      <c r="AA2148" s="259" t="e">
        <v>#N/A</v>
      </c>
      <c r="AB2148" s="259"/>
      <c r="AC2148" s="259"/>
      <c r="AD2148" s="259"/>
      <c r="AE2148" s="259"/>
    </row>
    <row r="2149" spans="1:31">
      <c r="A2149" s="259" t="s">
        <v>2115</v>
      </c>
      <c r="B2149" s="259" t="s">
        <v>116</v>
      </c>
      <c r="C2149" s="264" t="s">
        <v>7242</v>
      </c>
      <c r="D2149" s="264" t="s">
        <v>7519</v>
      </c>
      <c r="E2149" s="259" t="s">
        <v>7448</v>
      </c>
      <c r="G2149" s="259" t="s">
        <v>7508</v>
      </c>
      <c r="H2149" s="264" t="s">
        <v>7519</v>
      </c>
      <c r="I2149" s="264" t="s">
        <v>7519</v>
      </c>
      <c r="J2149" s="295">
        <v>495.14</v>
      </c>
      <c r="K2149" s="295">
        <v>495.14</v>
      </c>
      <c r="L2149" s="295" t="s">
        <v>7240</v>
      </c>
      <c r="O2149" s="266">
        <v>0</v>
      </c>
      <c r="P2149" s="266">
        <v>5706681234004</v>
      </c>
      <c r="Q2149" s="266">
        <v>0</v>
      </c>
      <c r="R2149" s="265">
        <v>0</v>
      </c>
      <c r="V2149" s="265" t="s">
        <v>3218</v>
      </c>
      <c r="W2149" s="259">
        <v>0</v>
      </c>
      <c r="X2149" s="264" t="s">
        <v>7510</v>
      </c>
      <c r="Y2149" s="259">
        <f t="shared" si="7"/>
        <v>1237</v>
      </c>
      <c r="Z2149" s="259" t="s">
        <v>3037</v>
      </c>
      <c r="AA2149" s="259" t="e">
        <v>#N/A</v>
      </c>
      <c r="AB2149" s="259"/>
      <c r="AC2149" s="259"/>
      <c r="AD2149" s="259"/>
      <c r="AE2149" s="259"/>
    </row>
    <row r="2150" spans="1:31">
      <c r="A2150" s="259" t="s">
        <v>2116</v>
      </c>
      <c r="B2150" s="259" t="s">
        <v>116</v>
      </c>
      <c r="C2150" s="264" t="s">
        <v>7242</v>
      </c>
      <c r="D2150" s="264" t="s">
        <v>7520</v>
      </c>
      <c r="E2150" s="259" t="s">
        <v>7448</v>
      </c>
      <c r="G2150" s="259" t="s">
        <v>7508</v>
      </c>
      <c r="H2150" s="264" t="s">
        <v>7520</v>
      </c>
      <c r="I2150" s="264" t="s">
        <v>7520</v>
      </c>
      <c r="J2150" s="295">
        <v>1060.6600000000001</v>
      </c>
      <c r="K2150" s="295">
        <v>1060.6600000000001</v>
      </c>
      <c r="L2150" s="295" t="s">
        <v>7240</v>
      </c>
      <c r="O2150" s="266">
        <v>0</v>
      </c>
      <c r="P2150" s="266">
        <v>5706681233991</v>
      </c>
      <c r="Q2150" s="266">
        <v>0</v>
      </c>
      <c r="R2150" s="265">
        <v>0</v>
      </c>
      <c r="V2150" s="265" t="s">
        <v>3218</v>
      </c>
      <c r="W2150" s="259">
        <v>0</v>
      </c>
      <c r="X2150" s="264" t="s">
        <v>7510</v>
      </c>
      <c r="Y2150" s="259">
        <f t="shared" si="7"/>
        <v>1238</v>
      </c>
      <c r="Z2150" s="259" t="s">
        <v>3037</v>
      </c>
      <c r="AA2150" s="259" t="e">
        <v>#N/A</v>
      </c>
      <c r="AB2150" s="259"/>
      <c r="AC2150" s="259"/>
      <c r="AD2150" s="259"/>
      <c r="AE2150" s="259"/>
    </row>
    <row r="2151" spans="1:31">
      <c r="A2151" s="259" t="s">
        <v>2117</v>
      </c>
      <c r="B2151" s="259" t="s">
        <v>116</v>
      </c>
      <c r="C2151" s="264"/>
      <c r="D2151" s="264"/>
      <c r="H2151" s="264"/>
      <c r="I2151" s="264"/>
      <c r="J2151" s="295">
        <v>0</v>
      </c>
      <c r="K2151" s="295">
        <v>0</v>
      </c>
      <c r="L2151" s="295">
        <v>0</v>
      </c>
      <c r="O2151" s="266"/>
      <c r="R2151" s="265"/>
      <c r="V2151" s="265">
        <v>0</v>
      </c>
      <c r="Y2151" s="259">
        <f t="shared" si="7"/>
        <v>1239</v>
      </c>
      <c r="AA2151" s="259" t="e">
        <v>#N/A</v>
      </c>
      <c r="AB2151" s="259"/>
      <c r="AC2151" s="259"/>
      <c r="AD2151" s="259"/>
      <c r="AE2151" s="259"/>
    </row>
    <row r="2152" spans="1:31">
      <c r="A2152" s="259" t="s">
        <v>2118</v>
      </c>
      <c r="B2152" s="259" t="s">
        <v>116</v>
      </c>
      <c r="C2152" s="264" t="s">
        <v>7242</v>
      </c>
      <c r="D2152" s="264" t="s">
        <v>7521</v>
      </c>
      <c r="E2152" s="259" t="s">
        <v>7448</v>
      </c>
      <c r="G2152" s="259" t="s">
        <v>7508</v>
      </c>
      <c r="H2152" s="264" t="s">
        <v>7521</v>
      </c>
      <c r="I2152" s="264" t="s">
        <v>7521</v>
      </c>
      <c r="J2152" s="295">
        <v>417.35</v>
      </c>
      <c r="K2152" s="295">
        <v>417.35</v>
      </c>
      <c r="L2152" s="295" t="s">
        <v>7240</v>
      </c>
      <c r="O2152" s="266">
        <v>0</v>
      </c>
      <c r="P2152" s="266">
        <v>5706681233984</v>
      </c>
      <c r="Q2152" s="266">
        <v>0</v>
      </c>
      <c r="R2152" s="265">
        <v>0</v>
      </c>
      <c r="V2152" s="265" t="s">
        <v>3218</v>
      </c>
      <c r="W2152" s="259">
        <v>0</v>
      </c>
      <c r="Y2152" s="259">
        <f t="shared" si="7"/>
        <v>1240</v>
      </c>
      <c r="Z2152" s="259" t="s">
        <v>3037</v>
      </c>
      <c r="AA2152" s="259" t="e">
        <v>#N/A</v>
      </c>
      <c r="AB2152" s="259"/>
      <c r="AC2152" s="259"/>
      <c r="AD2152" s="259"/>
      <c r="AE2152" s="259"/>
    </row>
    <row r="2153" spans="1:31">
      <c r="A2153" s="259" t="s">
        <v>2119</v>
      </c>
      <c r="B2153" s="259" t="s">
        <v>116</v>
      </c>
      <c r="C2153" s="264"/>
      <c r="D2153" s="264" t="s">
        <v>2697</v>
      </c>
      <c r="E2153" s="259" t="s">
        <v>7448</v>
      </c>
      <c r="G2153" s="259" t="s">
        <v>7508</v>
      </c>
      <c r="H2153" s="264" t="s">
        <v>2697</v>
      </c>
      <c r="I2153" s="264" t="s">
        <v>2697</v>
      </c>
      <c r="J2153" s="295">
        <v>834.7</v>
      </c>
      <c r="K2153" s="295">
        <v>834.7</v>
      </c>
      <c r="L2153" s="295" t="s">
        <v>7240</v>
      </c>
      <c r="O2153" s="266"/>
      <c r="P2153" s="266">
        <v>5706681233977</v>
      </c>
      <c r="R2153" s="265"/>
      <c r="V2153" s="265">
        <v>0</v>
      </c>
      <c r="Y2153" s="259">
        <f t="shared" si="7"/>
        <v>1241</v>
      </c>
      <c r="Z2153" s="259" t="s">
        <v>3037</v>
      </c>
      <c r="AA2153" s="259" t="e">
        <v>#N/A</v>
      </c>
      <c r="AB2153" s="259"/>
      <c r="AC2153" s="259"/>
      <c r="AD2153" s="259"/>
      <c r="AE2153" s="259"/>
    </row>
    <row r="2154" spans="1:31">
      <c r="A2154" s="259" t="s">
        <v>2120</v>
      </c>
      <c r="B2154" s="259" t="s">
        <v>116</v>
      </c>
      <c r="C2154" s="264" t="s">
        <v>7257</v>
      </c>
      <c r="D2154" s="264" t="s">
        <v>7522</v>
      </c>
      <c r="E2154" s="259" t="s">
        <v>7448</v>
      </c>
      <c r="G2154" s="259" t="s">
        <v>7508</v>
      </c>
      <c r="H2154" s="264" t="s">
        <v>7522</v>
      </c>
      <c r="I2154" s="264" t="s">
        <v>7522</v>
      </c>
      <c r="J2154" s="295">
        <v>417.35</v>
      </c>
      <c r="K2154" s="295">
        <v>417.35</v>
      </c>
      <c r="L2154" s="295" t="s">
        <v>7240</v>
      </c>
      <c r="O2154" s="266">
        <v>0</v>
      </c>
      <c r="P2154" s="266">
        <v>5706681233960</v>
      </c>
      <c r="Q2154" s="266">
        <v>0</v>
      </c>
      <c r="R2154" s="265">
        <v>0</v>
      </c>
      <c r="V2154" s="265" t="s">
        <v>3218</v>
      </c>
      <c r="W2154" s="259">
        <v>0</v>
      </c>
      <c r="X2154" s="264" t="s">
        <v>7523</v>
      </c>
      <c r="Y2154" s="259">
        <f t="shared" si="7"/>
        <v>1242</v>
      </c>
      <c r="Z2154" s="259" t="s">
        <v>3037</v>
      </c>
      <c r="AA2154" s="259" t="e">
        <v>#N/A</v>
      </c>
      <c r="AB2154" s="259"/>
      <c r="AC2154" s="259"/>
      <c r="AD2154" s="259"/>
      <c r="AE2154" s="259"/>
    </row>
    <row r="2155" spans="1:31">
      <c r="A2155" s="259" t="s">
        <v>2121</v>
      </c>
      <c r="B2155" s="259" t="s">
        <v>116</v>
      </c>
      <c r="C2155" s="264" t="s">
        <v>7257</v>
      </c>
      <c r="D2155" s="264" t="s">
        <v>7524</v>
      </c>
      <c r="E2155" s="259" t="s">
        <v>7448</v>
      </c>
      <c r="G2155" s="259" t="s">
        <v>7508</v>
      </c>
      <c r="H2155" s="264" t="s">
        <v>7524</v>
      </c>
      <c r="I2155" s="264" t="s">
        <v>7524</v>
      </c>
      <c r="J2155" s="295">
        <v>834.7</v>
      </c>
      <c r="K2155" s="295">
        <v>834.7</v>
      </c>
      <c r="L2155" s="295" t="s">
        <v>7240</v>
      </c>
      <c r="O2155" s="266">
        <v>0</v>
      </c>
      <c r="P2155" s="266">
        <v>5706681233953</v>
      </c>
      <c r="Q2155" s="266">
        <v>0</v>
      </c>
      <c r="R2155" s="265">
        <v>0</v>
      </c>
      <c r="V2155" s="265" t="s">
        <v>3218</v>
      </c>
      <c r="W2155" s="259">
        <v>0</v>
      </c>
      <c r="X2155" s="264" t="s">
        <v>7523</v>
      </c>
      <c r="Y2155" s="259">
        <f t="shared" si="7"/>
        <v>1243</v>
      </c>
      <c r="Z2155" s="259" t="s">
        <v>3037</v>
      </c>
      <c r="AA2155" s="259" t="e">
        <v>#N/A</v>
      </c>
      <c r="AB2155" s="259"/>
      <c r="AC2155" s="259"/>
      <c r="AD2155" s="259"/>
      <c r="AE2155" s="259"/>
    </row>
    <row r="2156" spans="1:31">
      <c r="A2156" s="259" t="s">
        <v>2122</v>
      </c>
      <c r="B2156" s="259" t="s">
        <v>116</v>
      </c>
      <c r="C2156" s="264" t="s">
        <v>7257</v>
      </c>
      <c r="D2156" s="264" t="s">
        <v>7525</v>
      </c>
      <c r="E2156" s="259" t="s">
        <v>7448</v>
      </c>
      <c r="G2156" s="259" t="s">
        <v>7508</v>
      </c>
      <c r="H2156" s="264" t="s">
        <v>7525</v>
      </c>
      <c r="I2156" s="264" t="s">
        <v>7525</v>
      </c>
      <c r="J2156" s="295">
        <v>417.35</v>
      </c>
      <c r="K2156" s="295">
        <v>417.35</v>
      </c>
      <c r="L2156" s="295" t="s">
        <v>7240</v>
      </c>
      <c r="O2156" s="266">
        <v>0</v>
      </c>
      <c r="P2156" s="266">
        <v>5706681233946</v>
      </c>
      <c r="Q2156" s="266">
        <v>0</v>
      </c>
      <c r="R2156" s="265">
        <v>0</v>
      </c>
      <c r="V2156" s="265" t="s">
        <v>3218</v>
      </c>
      <c r="W2156" s="259">
        <v>0</v>
      </c>
      <c r="X2156" s="264" t="s">
        <v>7523</v>
      </c>
      <c r="Y2156" s="259">
        <f t="shared" si="7"/>
        <v>1244</v>
      </c>
      <c r="Z2156" s="259" t="s">
        <v>3037</v>
      </c>
      <c r="AA2156" s="259" t="e">
        <v>#N/A</v>
      </c>
      <c r="AB2156" s="259"/>
      <c r="AC2156" s="259"/>
      <c r="AD2156" s="259"/>
      <c r="AE2156" s="259"/>
    </row>
    <row r="2157" spans="1:31">
      <c r="A2157" s="259" t="s">
        <v>2123</v>
      </c>
      <c r="B2157" s="259" t="s">
        <v>116</v>
      </c>
      <c r="C2157" s="264" t="s">
        <v>7257</v>
      </c>
      <c r="D2157" s="264" t="s">
        <v>7526</v>
      </c>
      <c r="E2157" s="259" t="s">
        <v>7448</v>
      </c>
      <c r="G2157" s="259" t="s">
        <v>7508</v>
      </c>
      <c r="H2157" s="264" t="s">
        <v>7526</v>
      </c>
      <c r="I2157" s="264" t="s">
        <v>7526</v>
      </c>
      <c r="J2157" s="295">
        <v>834.7</v>
      </c>
      <c r="K2157" s="295">
        <v>834.7</v>
      </c>
      <c r="L2157" s="295" t="s">
        <v>7240</v>
      </c>
      <c r="O2157" s="266">
        <v>0</v>
      </c>
      <c r="P2157" s="266">
        <v>5706681233939</v>
      </c>
      <c r="Q2157" s="266">
        <v>0</v>
      </c>
      <c r="R2157" s="265">
        <v>0</v>
      </c>
      <c r="V2157" s="265" t="s">
        <v>3218</v>
      </c>
      <c r="W2157" s="259">
        <v>0</v>
      </c>
      <c r="X2157" s="264" t="s">
        <v>7523</v>
      </c>
      <c r="Y2157" s="259">
        <f t="shared" si="7"/>
        <v>1245</v>
      </c>
      <c r="Z2157" s="259" t="s">
        <v>3037</v>
      </c>
      <c r="AA2157" s="259" t="e">
        <v>#N/A</v>
      </c>
      <c r="AB2157" s="259"/>
      <c r="AC2157" s="259"/>
      <c r="AD2157" s="259"/>
      <c r="AE2157" s="259"/>
    </row>
    <row r="2158" spans="1:31">
      <c r="A2158" s="259" t="s">
        <v>2124</v>
      </c>
      <c r="B2158" s="259" t="s">
        <v>116</v>
      </c>
      <c r="C2158" s="264" t="s">
        <v>7257</v>
      </c>
      <c r="D2158" s="264" t="s">
        <v>7527</v>
      </c>
      <c r="E2158" s="259" t="s">
        <v>7448</v>
      </c>
      <c r="G2158" s="259" t="s">
        <v>7508</v>
      </c>
      <c r="H2158" s="264" t="s">
        <v>7527</v>
      </c>
      <c r="I2158" s="264" t="s">
        <v>7527</v>
      </c>
      <c r="J2158" s="295">
        <v>417.35</v>
      </c>
      <c r="K2158" s="295">
        <v>417.35</v>
      </c>
      <c r="L2158" s="295" t="s">
        <v>7240</v>
      </c>
      <c r="O2158" s="266">
        <v>0</v>
      </c>
      <c r="P2158" s="266">
        <v>5706681233915</v>
      </c>
      <c r="Q2158" s="266">
        <v>0</v>
      </c>
      <c r="R2158" s="265">
        <v>0</v>
      </c>
      <c r="V2158" s="265" t="s">
        <v>3218</v>
      </c>
      <c r="W2158" s="259">
        <v>0</v>
      </c>
      <c r="X2158" s="264" t="s">
        <v>7523</v>
      </c>
      <c r="Y2158" s="259">
        <f t="shared" si="7"/>
        <v>1246</v>
      </c>
      <c r="Z2158" s="259" t="s">
        <v>3037</v>
      </c>
      <c r="AA2158" s="259" t="e">
        <v>#N/A</v>
      </c>
      <c r="AB2158" s="259"/>
      <c r="AC2158" s="259"/>
      <c r="AD2158" s="259"/>
      <c r="AE2158" s="259"/>
    </row>
    <row r="2159" spans="1:31">
      <c r="A2159" s="259" t="s">
        <v>2125</v>
      </c>
      <c r="B2159" s="259" t="s">
        <v>116</v>
      </c>
      <c r="C2159" s="264" t="s">
        <v>7257</v>
      </c>
      <c r="D2159" s="264" t="s">
        <v>7528</v>
      </c>
      <c r="E2159" s="259" t="s">
        <v>7448</v>
      </c>
      <c r="G2159" s="259" t="s">
        <v>7508</v>
      </c>
      <c r="H2159" s="264" t="s">
        <v>7528</v>
      </c>
      <c r="I2159" s="264" t="s">
        <v>7528</v>
      </c>
      <c r="J2159" s="295">
        <v>834.7</v>
      </c>
      <c r="K2159" s="295">
        <v>834.7</v>
      </c>
      <c r="L2159" s="295" t="s">
        <v>7240</v>
      </c>
      <c r="O2159" s="266">
        <v>0</v>
      </c>
      <c r="P2159" s="266">
        <v>5706681233908</v>
      </c>
      <c r="Q2159" s="266">
        <v>0</v>
      </c>
      <c r="R2159" s="265">
        <v>0</v>
      </c>
      <c r="V2159" s="265" t="s">
        <v>3218</v>
      </c>
      <c r="W2159" s="259">
        <v>0</v>
      </c>
      <c r="X2159" s="264" t="s">
        <v>7523</v>
      </c>
      <c r="Y2159" s="259">
        <f t="shared" si="7"/>
        <v>1247</v>
      </c>
      <c r="Z2159" s="259" t="s">
        <v>3037</v>
      </c>
      <c r="AA2159" s="259" t="e">
        <v>#N/A</v>
      </c>
      <c r="AB2159" s="259"/>
      <c r="AC2159" s="259"/>
      <c r="AD2159" s="259"/>
      <c r="AE2159" s="259"/>
    </row>
    <row r="2160" spans="1:31">
      <c r="A2160" s="259" t="s">
        <v>2126</v>
      </c>
      <c r="B2160" s="259" t="s">
        <v>116</v>
      </c>
      <c r="C2160" s="264" t="s">
        <v>7257</v>
      </c>
      <c r="D2160" s="264" t="s">
        <v>7529</v>
      </c>
      <c r="E2160" s="259" t="s">
        <v>7448</v>
      </c>
      <c r="G2160" s="259" t="s">
        <v>7508</v>
      </c>
      <c r="H2160" s="264" t="s">
        <v>7529</v>
      </c>
      <c r="I2160" s="264" t="s">
        <v>7529</v>
      </c>
      <c r="J2160" s="295">
        <v>434.64</v>
      </c>
      <c r="K2160" s="295">
        <v>434.64</v>
      </c>
      <c r="L2160" s="295" t="s">
        <v>7240</v>
      </c>
      <c r="O2160" s="266">
        <v>0</v>
      </c>
      <c r="P2160" s="266">
        <v>5706681233892</v>
      </c>
      <c r="Q2160" s="266">
        <v>0</v>
      </c>
      <c r="R2160" s="265">
        <v>0</v>
      </c>
      <c r="V2160" s="265" t="s">
        <v>3218</v>
      </c>
      <c r="W2160" s="259">
        <v>0</v>
      </c>
      <c r="X2160" s="264" t="s">
        <v>7523</v>
      </c>
      <c r="Y2160" s="259">
        <f t="shared" si="7"/>
        <v>1248</v>
      </c>
      <c r="Z2160" s="259" t="s">
        <v>3037</v>
      </c>
      <c r="AA2160" s="259" t="e">
        <v>#N/A</v>
      </c>
      <c r="AB2160" s="259"/>
      <c r="AC2160" s="259"/>
      <c r="AD2160" s="259"/>
      <c r="AE2160" s="259"/>
    </row>
    <row r="2161" spans="1:31">
      <c r="A2161" s="259" t="s">
        <v>2127</v>
      </c>
      <c r="B2161" s="259" t="s">
        <v>116</v>
      </c>
      <c r="C2161" s="264" t="s">
        <v>7242</v>
      </c>
      <c r="D2161" s="264" t="s">
        <v>7530</v>
      </c>
      <c r="E2161" s="259" t="s">
        <v>7448</v>
      </c>
      <c r="G2161" s="259" t="s">
        <v>7508</v>
      </c>
      <c r="H2161" s="264" t="s">
        <v>7530</v>
      </c>
      <c r="I2161" s="264" t="s">
        <v>7530</v>
      </c>
      <c r="J2161" s="295">
        <v>859.4</v>
      </c>
      <c r="K2161" s="295">
        <v>859.4</v>
      </c>
      <c r="L2161" s="295" t="s">
        <v>7240</v>
      </c>
      <c r="O2161" s="266">
        <v>0</v>
      </c>
      <c r="P2161" s="266">
        <v>5706681233885</v>
      </c>
      <c r="Q2161" s="266">
        <v>0</v>
      </c>
      <c r="R2161" s="265">
        <v>0</v>
      </c>
      <c r="S2161" s="265">
        <v>0</v>
      </c>
      <c r="V2161" s="265" t="s">
        <v>3218</v>
      </c>
      <c r="W2161" s="259">
        <v>0</v>
      </c>
      <c r="X2161" s="264" t="s">
        <v>7523</v>
      </c>
      <c r="Y2161" s="259">
        <f t="shared" si="7"/>
        <v>1249</v>
      </c>
      <c r="Z2161" s="259" t="s">
        <v>3037</v>
      </c>
      <c r="AA2161" s="259" t="e">
        <v>#N/A</v>
      </c>
      <c r="AB2161" s="259"/>
      <c r="AC2161" s="259"/>
      <c r="AD2161" s="259"/>
      <c r="AE2161" s="259"/>
    </row>
    <row r="2162" spans="1:31">
      <c r="A2162" s="259" t="s">
        <v>2128</v>
      </c>
      <c r="B2162" s="259" t="s">
        <v>116</v>
      </c>
      <c r="C2162" s="264" t="s">
        <v>7257</v>
      </c>
      <c r="D2162" s="264" t="s">
        <v>7531</v>
      </c>
      <c r="E2162" s="259" t="s">
        <v>7448</v>
      </c>
      <c r="G2162" s="259" t="s">
        <v>7508</v>
      </c>
      <c r="H2162" s="264" t="s">
        <v>7531</v>
      </c>
      <c r="I2162" s="264" t="s">
        <v>7531</v>
      </c>
      <c r="J2162" s="295">
        <v>434.64</v>
      </c>
      <c r="K2162" s="295">
        <v>434.64</v>
      </c>
      <c r="L2162" s="295" t="s">
        <v>7240</v>
      </c>
      <c r="O2162" s="266">
        <v>0</v>
      </c>
      <c r="P2162" s="266">
        <v>5706681233878</v>
      </c>
      <c r="Q2162" s="266">
        <v>0</v>
      </c>
      <c r="R2162" s="265">
        <v>0</v>
      </c>
      <c r="V2162" s="265" t="s">
        <v>3218</v>
      </c>
      <c r="W2162" s="259">
        <v>0</v>
      </c>
      <c r="X2162" s="264" t="s">
        <v>7523</v>
      </c>
      <c r="Y2162" s="259">
        <f t="shared" si="7"/>
        <v>1250</v>
      </c>
      <c r="Z2162" s="259" t="s">
        <v>3037</v>
      </c>
      <c r="AA2162" s="259" t="e">
        <v>#N/A</v>
      </c>
      <c r="AB2162" s="259"/>
      <c r="AC2162" s="259"/>
      <c r="AD2162" s="259"/>
      <c r="AE2162" s="259"/>
    </row>
    <row r="2163" spans="1:31">
      <c r="A2163" s="259" t="s">
        <v>2129</v>
      </c>
      <c r="B2163" s="259" t="s">
        <v>116</v>
      </c>
      <c r="C2163" s="264" t="s">
        <v>7242</v>
      </c>
      <c r="D2163" s="264" t="s">
        <v>7532</v>
      </c>
      <c r="E2163" s="259" t="s">
        <v>7448</v>
      </c>
      <c r="G2163" s="259" t="s">
        <v>7508</v>
      </c>
      <c r="H2163" s="264" t="s">
        <v>7532</v>
      </c>
      <c r="I2163" s="264" t="s">
        <v>7532</v>
      </c>
      <c r="J2163" s="295">
        <v>859.4</v>
      </c>
      <c r="K2163" s="295">
        <v>859.4</v>
      </c>
      <c r="L2163" s="295" t="s">
        <v>7240</v>
      </c>
      <c r="O2163" s="266">
        <v>0</v>
      </c>
      <c r="P2163" s="266">
        <v>5706681233861</v>
      </c>
      <c r="Q2163" s="266">
        <v>0</v>
      </c>
      <c r="R2163" s="265">
        <v>0</v>
      </c>
      <c r="S2163" s="265">
        <v>0</v>
      </c>
      <c r="V2163" s="265" t="s">
        <v>3218</v>
      </c>
      <c r="W2163" s="259">
        <v>0</v>
      </c>
      <c r="Y2163" s="259">
        <f t="shared" ref="Y2163:Y2226" si="8">Y2162+1</f>
        <v>1251</v>
      </c>
      <c r="Z2163" s="259" t="s">
        <v>3037</v>
      </c>
      <c r="AA2163" s="259" t="e">
        <v>#N/A</v>
      </c>
      <c r="AB2163" s="259"/>
      <c r="AC2163" s="259"/>
      <c r="AD2163" s="259"/>
      <c r="AE2163" s="259"/>
    </row>
    <row r="2164" spans="1:31">
      <c r="A2164" s="259" t="s">
        <v>2130</v>
      </c>
      <c r="B2164" s="259" t="s">
        <v>116</v>
      </c>
      <c r="C2164" s="264"/>
      <c r="D2164" s="264"/>
      <c r="H2164" s="264"/>
      <c r="I2164" s="264"/>
      <c r="J2164" s="295">
        <v>0</v>
      </c>
      <c r="K2164" s="295">
        <v>0</v>
      </c>
      <c r="L2164" s="295">
        <v>0</v>
      </c>
      <c r="O2164" s="266"/>
      <c r="R2164" s="265"/>
      <c r="V2164" s="265">
        <v>0</v>
      </c>
      <c r="Y2164" s="259">
        <f t="shared" si="8"/>
        <v>1252</v>
      </c>
      <c r="AA2164" s="259" t="e">
        <v>#N/A</v>
      </c>
      <c r="AB2164" s="259"/>
      <c r="AC2164" s="259"/>
      <c r="AD2164" s="259"/>
      <c r="AE2164" s="259"/>
    </row>
    <row r="2165" spans="1:31">
      <c r="A2165" s="259" t="s">
        <v>2131</v>
      </c>
      <c r="B2165" s="259" t="s">
        <v>116</v>
      </c>
      <c r="C2165" s="264" t="s">
        <v>7257</v>
      </c>
      <c r="D2165" s="264" t="s">
        <v>7533</v>
      </c>
      <c r="E2165" s="259" t="s">
        <v>7448</v>
      </c>
      <c r="G2165" s="259" t="s">
        <v>7508</v>
      </c>
      <c r="H2165" s="264" t="s">
        <v>7533</v>
      </c>
      <c r="I2165" s="264" t="s">
        <v>7533</v>
      </c>
      <c r="J2165" s="295">
        <v>391.42</v>
      </c>
      <c r="K2165" s="295">
        <v>391.42</v>
      </c>
      <c r="L2165" s="295" t="s">
        <v>7240</v>
      </c>
      <c r="O2165" s="266">
        <v>0</v>
      </c>
      <c r="P2165" s="266">
        <v>5706681233854</v>
      </c>
      <c r="Q2165" s="266">
        <v>0</v>
      </c>
      <c r="R2165" s="265">
        <v>0</v>
      </c>
      <c r="V2165" s="265" t="s">
        <v>3218</v>
      </c>
      <c r="W2165" s="259">
        <v>0</v>
      </c>
      <c r="Y2165" s="259">
        <f t="shared" si="8"/>
        <v>1253</v>
      </c>
      <c r="Z2165" s="259" t="s">
        <v>3037</v>
      </c>
      <c r="AA2165" s="259" t="e">
        <v>#N/A</v>
      </c>
      <c r="AB2165" s="259"/>
      <c r="AC2165" s="259"/>
      <c r="AD2165" s="259"/>
      <c r="AE2165" s="259"/>
    </row>
    <row r="2166" spans="1:31">
      <c r="A2166" s="259" t="s">
        <v>2132</v>
      </c>
      <c r="B2166" s="259" t="s">
        <v>116</v>
      </c>
      <c r="C2166" s="264" t="s">
        <v>7257</v>
      </c>
      <c r="D2166" s="264" t="s">
        <v>7534</v>
      </c>
      <c r="E2166" s="259" t="s">
        <v>7448</v>
      </c>
      <c r="G2166" s="259" t="s">
        <v>7508</v>
      </c>
      <c r="H2166" s="264" t="s">
        <v>7534</v>
      </c>
      <c r="I2166" s="264" t="s">
        <v>7534</v>
      </c>
      <c r="J2166" s="295">
        <v>695.17</v>
      </c>
      <c r="K2166" s="295">
        <v>695.17</v>
      </c>
      <c r="L2166" s="295" t="s">
        <v>7240</v>
      </c>
      <c r="O2166" s="266">
        <v>0</v>
      </c>
      <c r="P2166" s="266">
        <v>5706681233847</v>
      </c>
      <c r="Q2166" s="266">
        <v>0</v>
      </c>
      <c r="R2166" s="265">
        <v>0</v>
      </c>
      <c r="V2166" s="265" t="s">
        <v>3218</v>
      </c>
      <c r="W2166" s="259">
        <v>0</v>
      </c>
      <c r="X2166" s="264" t="s">
        <v>7535</v>
      </c>
      <c r="Y2166" s="259">
        <f t="shared" si="8"/>
        <v>1254</v>
      </c>
      <c r="Z2166" s="259" t="s">
        <v>3037</v>
      </c>
      <c r="AA2166" s="259" t="e">
        <v>#N/A</v>
      </c>
      <c r="AB2166" s="259"/>
      <c r="AC2166" s="259"/>
      <c r="AD2166" s="259"/>
      <c r="AE2166" s="259"/>
    </row>
    <row r="2167" spans="1:31">
      <c r="A2167" s="259" t="s">
        <v>2133</v>
      </c>
      <c r="B2167" s="259" t="s">
        <v>116</v>
      </c>
      <c r="C2167" s="264" t="s">
        <v>7257</v>
      </c>
      <c r="D2167" s="264" t="s">
        <v>7536</v>
      </c>
      <c r="E2167" s="259" t="s">
        <v>7448</v>
      </c>
      <c r="G2167" s="259" t="s">
        <v>7508</v>
      </c>
      <c r="H2167" s="264" t="s">
        <v>7536</v>
      </c>
      <c r="I2167" s="264" t="s">
        <v>7536</v>
      </c>
      <c r="J2167" s="295">
        <v>391.42</v>
      </c>
      <c r="K2167" s="295">
        <v>391.42</v>
      </c>
      <c r="L2167" s="295" t="s">
        <v>7240</v>
      </c>
      <c r="O2167" s="266">
        <v>0</v>
      </c>
      <c r="P2167" s="266">
        <v>5706681233830</v>
      </c>
      <c r="Q2167" s="266">
        <v>0</v>
      </c>
      <c r="R2167" s="265">
        <v>0</v>
      </c>
      <c r="V2167" s="265" t="s">
        <v>3218</v>
      </c>
      <c r="W2167" s="259">
        <v>0</v>
      </c>
      <c r="X2167" s="264" t="s">
        <v>7535</v>
      </c>
      <c r="Y2167" s="259">
        <f t="shared" si="8"/>
        <v>1255</v>
      </c>
      <c r="Z2167" s="259" t="s">
        <v>3037</v>
      </c>
      <c r="AA2167" s="259" t="e">
        <v>#N/A</v>
      </c>
      <c r="AB2167" s="259"/>
      <c r="AC2167" s="259"/>
      <c r="AD2167" s="259"/>
      <c r="AE2167" s="259"/>
    </row>
    <row r="2168" spans="1:31">
      <c r="A2168" s="259" t="s">
        <v>2134</v>
      </c>
      <c r="B2168" s="259" t="s">
        <v>116</v>
      </c>
      <c r="C2168" s="264" t="s">
        <v>7257</v>
      </c>
      <c r="D2168" s="264" t="s">
        <v>7537</v>
      </c>
      <c r="E2168" s="259" t="s">
        <v>7448</v>
      </c>
      <c r="G2168" s="259" t="s">
        <v>7508</v>
      </c>
      <c r="H2168" s="264" t="s">
        <v>7537</v>
      </c>
      <c r="I2168" s="264" t="s">
        <v>7537</v>
      </c>
      <c r="J2168" s="295">
        <v>695.17</v>
      </c>
      <c r="K2168" s="295">
        <v>695.17</v>
      </c>
      <c r="L2168" s="295" t="s">
        <v>7240</v>
      </c>
      <c r="O2168" s="266">
        <v>0</v>
      </c>
      <c r="P2168" s="266">
        <v>5706681233823</v>
      </c>
      <c r="Q2168" s="266">
        <v>0</v>
      </c>
      <c r="R2168" s="265">
        <v>0</v>
      </c>
      <c r="V2168" s="265" t="s">
        <v>3218</v>
      </c>
      <c r="W2168" s="259">
        <v>0</v>
      </c>
      <c r="X2168" s="264" t="s">
        <v>7535</v>
      </c>
      <c r="Y2168" s="259">
        <f t="shared" si="8"/>
        <v>1256</v>
      </c>
      <c r="Z2168" s="259" t="s">
        <v>3037</v>
      </c>
      <c r="AA2168" s="259" t="e">
        <v>#N/A</v>
      </c>
      <c r="AB2168" s="259"/>
      <c r="AC2168" s="259"/>
      <c r="AD2168" s="259"/>
      <c r="AE2168" s="259"/>
    </row>
    <row r="2169" spans="1:31">
      <c r="A2169" s="259" t="s">
        <v>2135</v>
      </c>
      <c r="B2169" s="259" t="s">
        <v>116</v>
      </c>
      <c r="C2169" s="264" t="s">
        <v>7257</v>
      </c>
      <c r="D2169" s="264" t="s">
        <v>7538</v>
      </c>
      <c r="E2169" s="259" t="s">
        <v>7448</v>
      </c>
      <c r="G2169" s="259" t="s">
        <v>7508</v>
      </c>
      <c r="H2169" s="264" t="s">
        <v>7538</v>
      </c>
      <c r="I2169" s="264" t="s">
        <v>7538</v>
      </c>
      <c r="J2169" s="295">
        <v>391.42</v>
      </c>
      <c r="K2169" s="295">
        <v>391.42</v>
      </c>
      <c r="L2169" s="295" t="s">
        <v>7240</v>
      </c>
      <c r="O2169" s="266">
        <v>0</v>
      </c>
      <c r="P2169" s="266">
        <v>5706681233816</v>
      </c>
      <c r="Q2169" s="266">
        <v>0</v>
      </c>
      <c r="R2169" s="265">
        <v>0</v>
      </c>
      <c r="V2169" s="265" t="s">
        <v>3218</v>
      </c>
      <c r="W2169" s="259">
        <v>0</v>
      </c>
      <c r="X2169" s="264" t="s">
        <v>7535</v>
      </c>
      <c r="Y2169" s="259">
        <f t="shared" si="8"/>
        <v>1257</v>
      </c>
      <c r="Z2169" s="259" t="s">
        <v>3037</v>
      </c>
      <c r="AA2169" s="259" t="e">
        <v>#N/A</v>
      </c>
      <c r="AB2169" s="259"/>
      <c r="AC2169" s="259"/>
      <c r="AD2169" s="259"/>
      <c r="AE2169" s="259"/>
    </row>
    <row r="2170" spans="1:31">
      <c r="A2170" s="259" t="s">
        <v>2136</v>
      </c>
      <c r="B2170" s="259" t="s">
        <v>116</v>
      </c>
      <c r="C2170" s="264" t="s">
        <v>7257</v>
      </c>
      <c r="D2170" s="264" t="s">
        <v>7539</v>
      </c>
      <c r="E2170" s="259" t="s">
        <v>7448</v>
      </c>
      <c r="G2170" s="259" t="s">
        <v>7508</v>
      </c>
      <c r="H2170" s="264" t="s">
        <v>7539</v>
      </c>
      <c r="I2170" s="264" t="s">
        <v>7539</v>
      </c>
      <c r="J2170" s="295">
        <v>695.17</v>
      </c>
      <c r="K2170" s="295">
        <v>695.17</v>
      </c>
      <c r="L2170" s="295" t="s">
        <v>7240</v>
      </c>
      <c r="O2170" s="266">
        <v>0</v>
      </c>
      <c r="P2170" s="266">
        <v>5706681233809</v>
      </c>
      <c r="Q2170" s="266">
        <v>0</v>
      </c>
      <c r="R2170" s="265">
        <v>0</v>
      </c>
      <c r="V2170" s="265" t="s">
        <v>3218</v>
      </c>
      <c r="W2170" s="259">
        <v>0</v>
      </c>
      <c r="X2170" s="264" t="s">
        <v>7535</v>
      </c>
      <c r="Y2170" s="259">
        <f t="shared" si="8"/>
        <v>1258</v>
      </c>
      <c r="Z2170" s="259" t="s">
        <v>3037</v>
      </c>
      <c r="AA2170" s="259" t="e">
        <v>#N/A</v>
      </c>
      <c r="AB2170" s="259"/>
      <c r="AC2170" s="259"/>
      <c r="AD2170" s="259"/>
      <c r="AE2170" s="259"/>
    </row>
    <row r="2171" spans="1:31">
      <c r="A2171" s="259" t="s">
        <v>2137</v>
      </c>
      <c r="B2171" s="259" t="s">
        <v>116</v>
      </c>
      <c r="C2171" s="264" t="s">
        <v>7257</v>
      </c>
      <c r="D2171" s="264" t="s">
        <v>7540</v>
      </c>
      <c r="E2171" s="259" t="s">
        <v>7448</v>
      </c>
      <c r="G2171" s="259" t="s">
        <v>7508</v>
      </c>
      <c r="H2171" s="264" t="s">
        <v>7540</v>
      </c>
      <c r="I2171" s="264" t="s">
        <v>7540</v>
      </c>
      <c r="J2171" s="295">
        <v>391.42</v>
      </c>
      <c r="K2171" s="295">
        <v>391.42</v>
      </c>
      <c r="L2171" s="295" t="s">
        <v>7240</v>
      </c>
      <c r="O2171" s="266">
        <v>0</v>
      </c>
      <c r="P2171" s="266">
        <v>5706681233793</v>
      </c>
      <c r="Q2171" s="266">
        <v>0</v>
      </c>
      <c r="R2171" s="265">
        <v>0</v>
      </c>
      <c r="V2171" s="265" t="s">
        <v>3218</v>
      </c>
      <c r="W2171" s="259">
        <v>0</v>
      </c>
      <c r="X2171" s="264" t="s">
        <v>7535</v>
      </c>
      <c r="Y2171" s="259">
        <f t="shared" si="8"/>
        <v>1259</v>
      </c>
      <c r="Z2171" s="259" t="s">
        <v>3037</v>
      </c>
      <c r="AA2171" s="259" t="e">
        <v>#N/A</v>
      </c>
      <c r="AB2171" s="259"/>
      <c r="AC2171" s="259"/>
      <c r="AD2171" s="259"/>
      <c r="AE2171" s="259"/>
    </row>
    <row r="2172" spans="1:31">
      <c r="A2172" s="259" t="s">
        <v>2138</v>
      </c>
      <c r="B2172" s="259" t="s">
        <v>116</v>
      </c>
      <c r="C2172" s="264" t="s">
        <v>7257</v>
      </c>
      <c r="D2172" s="264" t="s">
        <v>7541</v>
      </c>
      <c r="E2172" s="259" t="s">
        <v>7448</v>
      </c>
      <c r="G2172" s="259" t="s">
        <v>7508</v>
      </c>
      <c r="H2172" s="264" t="s">
        <v>7541</v>
      </c>
      <c r="I2172" s="264" t="s">
        <v>7541</v>
      </c>
      <c r="J2172" s="295">
        <v>695.17</v>
      </c>
      <c r="K2172" s="295">
        <v>695.17</v>
      </c>
      <c r="L2172" s="295" t="s">
        <v>7240</v>
      </c>
      <c r="O2172" s="266">
        <v>0</v>
      </c>
      <c r="P2172" s="266">
        <v>5706681233779</v>
      </c>
      <c r="Q2172" s="266">
        <v>0</v>
      </c>
      <c r="R2172" s="265">
        <v>0</v>
      </c>
      <c r="V2172" s="265" t="s">
        <v>3218</v>
      </c>
      <c r="W2172" s="259">
        <v>0</v>
      </c>
      <c r="X2172" s="264" t="s">
        <v>7535</v>
      </c>
      <c r="Y2172" s="259">
        <f t="shared" si="8"/>
        <v>1260</v>
      </c>
      <c r="Z2172" s="259" t="s">
        <v>3037</v>
      </c>
      <c r="AA2172" s="259" t="e">
        <v>#N/A</v>
      </c>
      <c r="AB2172" s="259"/>
      <c r="AC2172" s="259"/>
      <c r="AD2172" s="259"/>
      <c r="AE2172" s="259"/>
    </row>
    <row r="2173" spans="1:31">
      <c r="A2173" s="259" t="s">
        <v>2139</v>
      </c>
      <c r="B2173" s="259" t="s">
        <v>116</v>
      </c>
      <c r="C2173" s="264" t="s">
        <v>7242</v>
      </c>
      <c r="D2173" s="264" t="s">
        <v>7542</v>
      </c>
      <c r="E2173" s="259" t="s">
        <v>7448</v>
      </c>
      <c r="G2173" s="259" t="s">
        <v>7508</v>
      </c>
      <c r="H2173" s="264" t="s">
        <v>7542</v>
      </c>
      <c r="I2173" s="264" t="s">
        <v>7542</v>
      </c>
      <c r="J2173" s="295">
        <v>401.3</v>
      </c>
      <c r="K2173" s="295">
        <v>401.3</v>
      </c>
      <c r="L2173" s="295" t="s">
        <v>7240</v>
      </c>
      <c r="O2173" s="266">
        <v>0</v>
      </c>
      <c r="P2173" s="266">
        <v>5706681233762</v>
      </c>
      <c r="Q2173" s="266">
        <v>0</v>
      </c>
      <c r="R2173" s="265">
        <v>0</v>
      </c>
      <c r="S2173" s="265">
        <v>0</v>
      </c>
      <c r="V2173" s="265" t="s">
        <v>3218</v>
      </c>
      <c r="W2173" s="259">
        <v>0</v>
      </c>
      <c r="X2173" s="264" t="s">
        <v>7535</v>
      </c>
      <c r="Y2173" s="259">
        <f t="shared" si="8"/>
        <v>1261</v>
      </c>
      <c r="Z2173" s="259" t="s">
        <v>3037</v>
      </c>
      <c r="AA2173" s="259" t="e">
        <v>#N/A</v>
      </c>
      <c r="AB2173" s="259"/>
      <c r="AC2173" s="259"/>
      <c r="AD2173" s="259"/>
      <c r="AE2173" s="259"/>
    </row>
    <row r="2174" spans="1:31">
      <c r="A2174" s="259" t="s">
        <v>2140</v>
      </c>
      <c r="B2174" s="259" t="s">
        <v>116</v>
      </c>
      <c r="C2174" s="264" t="s">
        <v>7242</v>
      </c>
      <c r="D2174" s="264" t="s">
        <v>7543</v>
      </c>
      <c r="E2174" s="259" t="s">
        <v>7448</v>
      </c>
      <c r="G2174" s="259" t="s">
        <v>7508</v>
      </c>
      <c r="H2174" s="264" t="s">
        <v>7543</v>
      </c>
      <c r="I2174" s="264" t="s">
        <v>7543</v>
      </c>
      <c r="J2174" s="295">
        <v>716.16</v>
      </c>
      <c r="K2174" s="295">
        <v>716.16</v>
      </c>
      <c r="L2174" s="295" t="s">
        <v>7240</v>
      </c>
      <c r="O2174" s="266">
        <v>0</v>
      </c>
      <c r="P2174" s="266">
        <v>5706681220595</v>
      </c>
      <c r="Q2174" s="266">
        <v>0</v>
      </c>
      <c r="R2174" s="265">
        <v>0</v>
      </c>
      <c r="S2174" s="265">
        <v>0</v>
      </c>
      <c r="V2174" s="265" t="s">
        <v>3218</v>
      </c>
      <c r="W2174" s="259">
        <v>0</v>
      </c>
      <c r="X2174" s="264" t="s">
        <v>7544</v>
      </c>
      <c r="Y2174" s="259">
        <f t="shared" si="8"/>
        <v>1262</v>
      </c>
      <c r="Z2174" s="259" t="s">
        <v>3037</v>
      </c>
      <c r="AA2174" s="259" t="e">
        <v>#N/A</v>
      </c>
      <c r="AB2174" s="259"/>
      <c r="AC2174" s="259"/>
      <c r="AD2174" s="259"/>
      <c r="AE2174" s="259"/>
    </row>
    <row r="2175" spans="1:31">
      <c r="A2175" s="259" t="s">
        <v>2141</v>
      </c>
      <c r="B2175" s="259" t="s">
        <v>116</v>
      </c>
      <c r="C2175" s="264" t="s">
        <v>7242</v>
      </c>
      <c r="D2175" s="264" t="s">
        <v>7545</v>
      </c>
      <c r="E2175" s="259" t="s">
        <v>7448</v>
      </c>
      <c r="G2175" s="259" t="s">
        <v>7508</v>
      </c>
      <c r="H2175" s="264" t="s">
        <v>7545</v>
      </c>
      <c r="I2175" s="264" t="s">
        <v>7545</v>
      </c>
      <c r="J2175" s="295">
        <v>401.3</v>
      </c>
      <c r="K2175" s="295">
        <v>401.3</v>
      </c>
      <c r="L2175" s="295" t="s">
        <v>7240</v>
      </c>
      <c r="O2175" s="266">
        <v>0</v>
      </c>
      <c r="P2175" s="266">
        <v>5706681220588</v>
      </c>
      <c r="Q2175" s="266">
        <v>0</v>
      </c>
      <c r="R2175" s="265">
        <v>0</v>
      </c>
      <c r="S2175" s="265">
        <v>0</v>
      </c>
      <c r="V2175" s="265" t="s">
        <v>3218</v>
      </c>
      <c r="W2175" s="259">
        <v>0</v>
      </c>
      <c r="X2175" s="264" t="s">
        <v>7544</v>
      </c>
      <c r="Y2175" s="259">
        <f t="shared" si="8"/>
        <v>1263</v>
      </c>
      <c r="Z2175" s="259" t="s">
        <v>3037</v>
      </c>
      <c r="AA2175" s="259" t="e">
        <v>#N/A</v>
      </c>
      <c r="AB2175" s="259"/>
      <c r="AC2175" s="259"/>
      <c r="AD2175" s="259"/>
      <c r="AE2175" s="259"/>
    </row>
    <row r="2176" spans="1:31">
      <c r="A2176" s="259" t="s">
        <v>2142</v>
      </c>
      <c r="B2176" s="259" t="s">
        <v>116</v>
      </c>
      <c r="C2176" s="264" t="s">
        <v>7242</v>
      </c>
      <c r="D2176" s="264" t="s">
        <v>7546</v>
      </c>
      <c r="E2176" s="259" t="s">
        <v>7448</v>
      </c>
      <c r="G2176" s="259" t="s">
        <v>7508</v>
      </c>
      <c r="H2176" s="264" t="s">
        <v>7546</v>
      </c>
      <c r="I2176" s="264" t="s">
        <v>7546</v>
      </c>
      <c r="J2176" s="295">
        <v>716.16</v>
      </c>
      <c r="K2176" s="295">
        <v>716.16</v>
      </c>
      <c r="L2176" s="295" t="s">
        <v>7240</v>
      </c>
      <c r="O2176" s="266">
        <v>0</v>
      </c>
      <c r="P2176" s="266">
        <v>5706681220571</v>
      </c>
      <c r="Q2176" s="266">
        <v>0</v>
      </c>
      <c r="R2176" s="265">
        <v>0</v>
      </c>
      <c r="S2176" s="265">
        <v>0</v>
      </c>
      <c r="V2176" s="265" t="s">
        <v>3218</v>
      </c>
      <c r="W2176" s="259">
        <v>0</v>
      </c>
      <c r="X2176" s="264" t="s">
        <v>7544</v>
      </c>
      <c r="Y2176" s="259">
        <f t="shared" si="8"/>
        <v>1264</v>
      </c>
      <c r="Z2176" s="259" t="s">
        <v>3037</v>
      </c>
      <c r="AA2176" s="259" t="e">
        <v>#N/A</v>
      </c>
      <c r="AB2176" s="259"/>
      <c r="AC2176" s="259"/>
      <c r="AD2176" s="259"/>
      <c r="AE2176" s="259"/>
    </row>
    <row r="2177" spans="1:31">
      <c r="A2177" s="259" t="s">
        <v>2143</v>
      </c>
      <c r="B2177" s="259" t="s">
        <v>116</v>
      </c>
      <c r="C2177" s="264"/>
      <c r="D2177" s="264"/>
      <c r="H2177" s="264"/>
      <c r="I2177" s="264"/>
      <c r="J2177" s="295">
        <v>0</v>
      </c>
      <c r="K2177" s="295">
        <v>0</v>
      </c>
      <c r="L2177" s="295">
        <v>0</v>
      </c>
      <c r="O2177" s="266"/>
      <c r="R2177" s="265"/>
      <c r="V2177" s="265">
        <v>0</v>
      </c>
      <c r="Y2177" s="259">
        <f t="shared" si="8"/>
        <v>1265</v>
      </c>
      <c r="AA2177" s="259" t="e">
        <v>#N/A</v>
      </c>
      <c r="AB2177" s="259"/>
      <c r="AC2177" s="259"/>
      <c r="AD2177" s="259"/>
      <c r="AE2177" s="259"/>
    </row>
    <row r="2178" spans="1:31">
      <c r="A2178" s="259">
        <v>91611700</v>
      </c>
      <c r="B2178" s="259" t="s">
        <v>116</v>
      </c>
      <c r="C2178" s="264" t="s">
        <v>7242</v>
      </c>
      <c r="D2178" s="264" t="s">
        <v>7547</v>
      </c>
      <c r="E2178" s="259" t="s">
        <v>7448</v>
      </c>
      <c r="H2178" s="264" t="s">
        <v>7547</v>
      </c>
      <c r="I2178" s="264" t="s">
        <v>7547</v>
      </c>
      <c r="J2178" s="295">
        <v>28.4</v>
      </c>
      <c r="K2178" s="295">
        <v>28.4</v>
      </c>
      <c r="L2178" s="295" t="s">
        <v>7240</v>
      </c>
      <c r="O2178" s="266">
        <v>0</v>
      </c>
      <c r="Q2178" s="266">
        <v>0</v>
      </c>
      <c r="R2178" s="265">
        <v>0</v>
      </c>
      <c r="V2178" s="265" t="s">
        <v>3028</v>
      </c>
      <c r="W2178" s="259" t="s">
        <v>3029</v>
      </c>
      <c r="Y2178" s="259">
        <f t="shared" si="8"/>
        <v>1266</v>
      </c>
      <c r="AA2178" s="259" t="e">
        <v>#N/A</v>
      </c>
      <c r="AB2178" s="259"/>
      <c r="AC2178" s="259"/>
      <c r="AD2178" s="259"/>
      <c r="AE2178" s="259"/>
    </row>
    <row r="2179" spans="1:31">
      <c r="A2179" s="259">
        <v>91611620</v>
      </c>
      <c r="B2179" s="259" t="s">
        <v>116</v>
      </c>
      <c r="C2179" s="264" t="s">
        <v>7242</v>
      </c>
      <c r="D2179" s="264" t="s">
        <v>7548</v>
      </c>
      <c r="E2179" s="259" t="s">
        <v>7448</v>
      </c>
      <c r="H2179" s="264" t="s">
        <v>7548</v>
      </c>
      <c r="I2179" s="264" t="s">
        <v>7548</v>
      </c>
      <c r="J2179" s="295">
        <v>28.4</v>
      </c>
      <c r="K2179" s="295">
        <v>28.4</v>
      </c>
      <c r="L2179" s="295" t="s">
        <v>7240</v>
      </c>
      <c r="O2179" s="266">
        <v>0</v>
      </c>
      <c r="Q2179" s="266">
        <v>0</v>
      </c>
      <c r="R2179" s="265">
        <v>0</v>
      </c>
      <c r="V2179" s="265" t="s">
        <v>3028</v>
      </c>
      <c r="W2179" s="259" t="s">
        <v>3029</v>
      </c>
      <c r="X2179" s="264" t="s">
        <v>7510</v>
      </c>
      <c r="Y2179" s="259">
        <f t="shared" si="8"/>
        <v>1267</v>
      </c>
      <c r="AA2179" s="259" t="e">
        <v>#N/A</v>
      </c>
      <c r="AB2179" s="259"/>
      <c r="AC2179" s="259"/>
      <c r="AD2179" s="259"/>
      <c r="AE2179" s="259"/>
    </row>
    <row r="2180" spans="1:31">
      <c r="A2180" s="259">
        <v>91611710</v>
      </c>
      <c r="B2180" s="259" t="s">
        <v>116</v>
      </c>
      <c r="C2180" s="264" t="s">
        <v>7242</v>
      </c>
      <c r="D2180" s="264" t="s">
        <v>7549</v>
      </c>
      <c r="E2180" s="259" t="s">
        <v>7448</v>
      </c>
      <c r="H2180" s="264" t="s">
        <v>7549</v>
      </c>
      <c r="I2180" s="264" t="s">
        <v>7549</v>
      </c>
      <c r="J2180" s="295">
        <v>93.84</v>
      </c>
      <c r="K2180" s="295">
        <v>93.84</v>
      </c>
      <c r="L2180" s="295" t="s">
        <v>7240</v>
      </c>
      <c r="O2180" s="266">
        <v>0</v>
      </c>
      <c r="Q2180" s="266">
        <v>0</v>
      </c>
      <c r="R2180" s="265">
        <v>0</v>
      </c>
      <c r="V2180" s="265" t="s">
        <v>3028</v>
      </c>
      <c r="W2180" s="259" t="s">
        <v>3029</v>
      </c>
      <c r="X2180" s="264" t="s">
        <v>7535</v>
      </c>
      <c r="Y2180" s="259">
        <f t="shared" si="8"/>
        <v>1268</v>
      </c>
      <c r="AA2180" s="259" t="e">
        <v>#N/A</v>
      </c>
      <c r="AB2180" s="259"/>
      <c r="AC2180" s="259"/>
      <c r="AD2180" s="259"/>
      <c r="AE2180" s="259"/>
    </row>
    <row r="2181" spans="1:31">
      <c r="A2181" s="259">
        <v>91611610</v>
      </c>
      <c r="B2181" s="259" t="s">
        <v>116</v>
      </c>
      <c r="C2181" s="264" t="s">
        <v>7242</v>
      </c>
      <c r="D2181" s="264" t="s">
        <v>7550</v>
      </c>
      <c r="E2181" s="259" t="s">
        <v>7448</v>
      </c>
      <c r="H2181" s="264" t="s">
        <v>7550</v>
      </c>
      <c r="I2181" s="264" t="s">
        <v>7550</v>
      </c>
      <c r="J2181" s="295">
        <v>93.84</v>
      </c>
      <c r="K2181" s="295">
        <v>93.84</v>
      </c>
      <c r="L2181" s="295" t="s">
        <v>7240</v>
      </c>
      <c r="O2181" s="266">
        <v>0</v>
      </c>
      <c r="Q2181" s="266">
        <v>0</v>
      </c>
      <c r="R2181" s="265">
        <v>0</v>
      </c>
      <c r="V2181" s="265" t="s">
        <v>3028</v>
      </c>
      <c r="W2181" s="259" t="s">
        <v>3029</v>
      </c>
      <c r="X2181" s="264" t="s">
        <v>7510</v>
      </c>
      <c r="Y2181" s="259">
        <f t="shared" si="8"/>
        <v>1269</v>
      </c>
      <c r="AA2181" s="259" t="e">
        <v>#N/A</v>
      </c>
      <c r="AB2181" s="259"/>
      <c r="AC2181" s="259"/>
      <c r="AD2181" s="259"/>
      <c r="AE2181" s="259"/>
    </row>
    <row r="2182" spans="1:31">
      <c r="A2182" s="259">
        <v>91611725</v>
      </c>
      <c r="B2182" s="259" t="s">
        <v>116</v>
      </c>
      <c r="C2182" s="264" t="s">
        <v>7242</v>
      </c>
      <c r="D2182" s="264" t="s">
        <v>7551</v>
      </c>
      <c r="E2182" s="259" t="s">
        <v>7448</v>
      </c>
      <c r="H2182" s="264" t="s">
        <v>7551</v>
      </c>
      <c r="I2182" s="264" t="s">
        <v>7551</v>
      </c>
      <c r="J2182" s="295">
        <v>69.150000000000006</v>
      </c>
      <c r="K2182" s="295">
        <v>69.150000000000006</v>
      </c>
      <c r="L2182" s="295" t="s">
        <v>7240</v>
      </c>
      <c r="O2182" s="266">
        <v>0</v>
      </c>
      <c r="Q2182" s="266">
        <v>0</v>
      </c>
      <c r="R2182" s="265">
        <v>0</v>
      </c>
      <c r="V2182" s="265" t="s">
        <v>3028</v>
      </c>
      <c r="W2182" s="259" t="s">
        <v>3029</v>
      </c>
      <c r="X2182" s="264" t="s">
        <v>7510</v>
      </c>
      <c r="Y2182" s="259">
        <f t="shared" si="8"/>
        <v>1270</v>
      </c>
      <c r="AA2182" s="259" t="e">
        <v>#N/A</v>
      </c>
      <c r="AB2182" s="259"/>
      <c r="AC2182" s="259"/>
      <c r="AD2182" s="259"/>
      <c r="AE2182" s="259"/>
    </row>
    <row r="2183" spans="1:31">
      <c r="A2183" s="259" t="s">
        <v>2144</v>
      </c>
      <c r="B2183" s="259" t="s">
        <v>116</v>
      </c>
      <c r="C2183" s="264"/>
      <c r="D2183" s="264"/>
      <c r="H2183" s="264"/>
      <c r="I2183" s="264"/>
      <c r="J2183" s="295">
        <v>0</v>
      </c>
      <c r="K2183" s="295">
        <v>0</v>
      </c>
      <c r="L2183" s="295">
        <v>0</v>
      </c>
      <c r="O2183" s="266"/>
      <c r="R2183" s="265"/>
      <c r="V2183" s="265">
        <v>0</v>
      </c>
      <c r="Y2183" s="259">
        <f t="shared" si="8"/>
        <v>1271</v>
      </c>
      <c r="AA2183" s="259" t="e">
        <v>#N/A</v>
      </c>
      <c r="AB2183" s="259"/>
      <c r="AC2183" s="259"/>
      <c r="AD2183" s="259"/>
      <c r="AE2183" s="259"/>
    </row>
    <row r="2184" spans="1:31">
      <c r="A2184" s="259" t="s">
        <v>2145</v>
      </c>
      <c r="B2184" s="259" t="s">
        <v>116</v>
      </c>
      <c r="C2184" s="264"/>
      <c r="D2184" s="264"/>
      <c r="H2184" s="264"/>
      <c r="I2184" s="264"/>
      <c r="J2184" s="295">
        <v>0</v>
      </c>
      <c r="K2184" s="295">
        <v>0</v>
      </c>
      <c r="L2184" s="295">
        <v>0</v>
      </c>
      <c r="O2184" s="266"/>
      <c r="R2184" s="265"/>
      <c r="V2184" s="265">
        <v>0</v>
      </c>
      <c r="Y2184" s="259">
        <f t="shared" si="8"/>
        <v>1272</v>
      </c>
      <c r="AA2184" s="259" t="e">
        <v>#N/A</v>
      </c>
      <c r="AB2184" s="259"/>
      <c r="AC2184" s="259"/>
      <c r="AD2184" s="259"/>
      <c r="AE2184" s="259"/>
    </row>
    <row r="2185" spans="1:31">
      <c r="A2185" s="259">
        <v>90506500</v>
      </c>
      <c r="B2185" s="259" t="s">
        <v>116</v>
      </c>
      <c r="C2185" s="264" t="s">
        <v>7552</v>
      </c>
      <c r="D2185" s="264" t="s">
        <v>7553</v>
      </c>
      <c r="E2185" s="259" t="s">
        <v>7554</v>
      </c>
      <c r="G2185" s="259" t="s">
        <v>7555</v>
      </c>
      <c r="H2185" s="264" t="s">
        <v>7553</v>
      </c>
      <c r="I2185" s="264" t="s">
        <v>7553</v>
      </c>
      <c r="J2185" s="295">
        <v>6050.34</v>
      </c>
      <c r="K2185" s="295">
        <v>6050.34</v>
      </c>
      <c r="L2185" s="295" t="s">
        <v>7240</v>
      </c>
      <c r="O2185" s="266">
        <v>0</v>
      </c>
      <c r="P2185" s="266">
        <v>5706681235230</v>
      </c>
      <c r="Q2185" s="266">
        <v>0</v>
      </c>
      <c r="R2185" s="265">
        <v>0</v>
      </c>
      <c r="S2185" s="265">
        <v>0</v>
      </c>
      <c r="V2185" s="265">
        <v>0</v>
      </c>
      <c r="W2185" s="259" t="s">
        <v>3029</v>
      </c>
      <c r="Y2185" s="259">
        <f t="shared" si="8"/>
        <v>1273</v>
      </c>
      <c r="AA2185" s="259" t="e">
        <v>#N/A</v>
      </c>
      <c r="AB2185" s="259"/>
      <c r="AC2185" s="259"/>
      <c r="AD2185" s="259"/>
      <c r="AE2185" s="259"/>
    </row>
    <row r="2186" spans="1:31">
      <c r="A2186" s="259">
        <v>90506505</v>
      </c>
      <c r="B2186" s="259" t="s">
        <v>116</v>
      </c>
      <c r="C2186" s="264" t="s">
        <v>7552</v>
      </c>
      <c r="D2186" s="264" t="s">
        <v>7556</v>
      </c>
      <c r="E2186" s="259" t="s">
        <v>7554</v>
      </c>
      <c r="G2186" s="259" t="s">
        <v>7555</v>
      </c>
      <c r="H2186" s="264" t="s">
        <v>7556</v>
      </c>
      <c r="I2186" s="264" t="s">
        <v>7556</v>
      </c>
      <c r="J2186" s="295">
        <v>6050.34</v>
      </c>
      <c r="K2186" s="295">
        <v>6050.34</v>
      </c>
      <c r="L2186" s="295" t="s">
        <v>7240</v>
      </c>
      <c r="O2186" s="266">
        <v>0</v>
      </c>
      <c r="P2186" s="266">
        <v>5706681235247</v>
      </c>
      <c r="Q2186" s="266">
        <v>0</v>
      </c>
      <c r="R2186" s="265">
        <v>0</v>
      </c>
      <c r="S2186" s="265">
        <v>0</v>
      </c>
      <c r="V2186" s="265" t="s">
        <v>3028</v>
      </c>
      <c r="W2186" s="259" t="s">
        <v>3029</v>
      </c>
      <c r="X2186" s="264" t="s">
        <v>7557</v>
      </c>
      <c r="Y2186" s="259">
        <f t="shared" si="8"/>
        <v>1274</v>
      </c>
      <c r="AA2186" s="259" t="e">
        <v>#N/A</v>
      </c>
      <c r="AB2186" s="259"/>
      <c r="AC2186" s="259"/>
      <c r="AD2186" s="259"/>
      <c r="AE2186" s="259"/>
    </row>
    <row r="2187" spans="1:31">
      <c r="A2187" s="259">
        <v>90506510</v>
      </c>
      <c r="B2187" s="259" t="s">
        <v>116</v>
      </c>
      <c r="C2187" s="264" t="s">
        <v>7552</v>
      </c>
      <c r="D2187" s="264" t="s">
        <v>7558</v>
      </c>
      <c r="E2187" s="259" t="s">
        <v>7554</v>
      </c>
      <c r="G2187" s="259" t="s">
        <v>7555</v>
      </c>
      <c r="H2187" s="264" t="s">
        <v>7558</v>
      </c>
      <c r="I2187" s="264" t="s">
        <v>7558</v>
      </c>
      <c r="J2187" s="295">
        <v>6050.34</v>
      </c>
      <c r="K2187" s="295">
        <v>6050.34</v>
      </c>
      <c r="L2187" s="295" t="s">
        <v>7240</v>
      </c>
      <c r="O2187" s="266">
        <v>0</v>
      </c>
      <c r="P2187" s="266">
        <v>5706681235254</v>
      </c>
      <c r="Q2187" s="266">
        <v>0</v>
      </c>
      <c r="R2187" s="265">
        <v>0</v>
      </c>
      <c r="S2187" s="265">
        <v>0</v>
      </c>
      <c r="V2187" s="265" t="s">
        <v>3028</v>
      </c>
      <c r="W2187" s="259" t="s">
        <v>3029</v>
      </c>
      <c r="X2187" s="264" t="s">
        <v>7557</v>
      </c>
      <c r="Y2187" s="259">
        <f t="shared" si="8"/>
        <v>1275</v>
      </c>
      <c r="AA2187" s="259" t="e">
        <v>#N/A</v>
      </c>
      <c r="AB2187" s="259"/>
      <c r="AC2187" s="259"/>
      <c r="AD2187" s="259"/>
      <c r="AE2187" s="259"/>
    </row>
    <row r="2188" spans="1:31">
      <c r="A2188" s="259">
        <v>90506535</v>
      </c>
      <c r="B2188" s="259" t="s">
        <v>116</v>
      </c>
      <c r="C2188" s="264" t="s">
        <v>7552</v>
      </c>
      <c r="D2188" s="264" t="s">
        <v>7559</v>
      </c>
      <c r="E2188" s="259" t="s">
        <v>7554</v>
      </c>
      <c r="G2188" s="259" t="s">
        <v>7555</v>
      </c>
      <c r="H2188" s="264" t="s">
        <v>7559</v>
      </c>
      <c r="I2188" s="264" t="s">
        <v>7559</v>
      </c>
      <c r="J2188" s="295">
        <v>6050.34</v>
      </c>
      <c r="K2188" s="295">
        <v>6050.34</v>
      </c>
      <c r="L2188" s="295" t="s">
        <v>7240</v>
      </c>
      <c r="O2188" s="266">
        <v>0</v>
      </c>
      <c r="P2188" s="266">
        <v>5706681235971</v>
      </c>
      <c r="Q2188" s="266">
        <v>0</v>
      </c>
      <c r="R2188" s="265">
        <v>0</v>
      </c>
      <c r="V2188" s="265">
        <v>0</v>
      </c>
      <c r="W2188" s="259" t="s">
        <v>3029</v>
      </c>
      <c r="X2188" s="264" t="s">
        <v>7557</v>
      </c>
      <c r="Y2188" s="259">
        <f t="shared" si="8"/>
        <v>1276</v>
      </c>
      <c r="AA2188" s="259" t="e">
        <v>#N/A</v>
      </c>
      <c r="AB2188" s="259"/>
      <c r="AC2188" s="259"/>
      <c r="AD2188" s="259"/>
      <c r="AE2188" s="259"/>
    </row>
    <row r="2189" spans="1:31">
      <c r="A2189" s="259">
        <v>90506540</v>
      </c>
      <c r="B2189" s="259" t="s">
        <v>116</v>
      </c>
      <c r="C2189" s="264" t="s">
        <v>7552</v>
      </c>
      <c r="D2189" s="264" t="s">
        <v>7560</v>
      </c>
      <c r="E2189" s="259" t="s">
        <v>7554</v>
      </c>
      <c r="G2189" s="259" t="s">
        <v>7555</v>
      </c>
      <c r="H2189" s="264" t="s">
        <v>7560</v>
      </c>
      <c r="I2189" s="264" t="s">
        <v>7560</v>
      </c>
      <c r="J2189" s="295">
        <v>6605.99</v>
      </c>
      <c r="K2189" s="295">
        <v>6605.99</v>
      </c>
      <c r="L2189" s="295" t="s">
        <v>7240</v>
      </c>
      <c r="O2189" s="266">
        <v>0</v>
      </c>
      <c r="P2189" s="266">
        <v>5706681237074</v>
      </c>
      <c r="Q2189" s="266">
        <v>0</v>
      </c>
      <c r="R2189" s="265">
        <v>0</v>
      </c>
      <c r="S2189" s="265">
        <v>0</v>
      </c>
      <c r="V2189" s="265" t="s">
        <v>3028</v>
      </c>
      <c r="W2189" s="259" t="s">
        <v>3029</v>
      </c>
      <c r="X2189" s="264" t="s">
        <v>7557</v>
      </c>
      <c r="Y2189" s="259">
        <f t="shared" si="8"/>
        <v>1277</v>
      </c>
      <c r="AA2189" s="259" t="e">
        <v>#N/A</v>
      </c>
      <c r="AB2189" s="259"/>
      <c r="AC2189" s="259"/>
      <c r="AD2189" s="259"/>
      <c r="AE2189" s="259"/>
    </row>
    <row r="2190" spans="1:31">
      <c r="A2190" s="259">
        <v>90506545</v>
      </c>
      <c r="B2190" s="259" t="s">
        <v>116</v>
      </c>
      <c r="C2190" s="264" t="s">
        <v>7552</v>
      </c>
      <c r="D2190" s="264" t="s">
        <v>7561</v>
      </c>
      <c r="E2190" s="259" t="s">
        <v>7554</v>
      </c>
      <c r="G2190" s="259" t="s">
        <v>7555</v>
      </c>
      <c r="H2190" s="264" t="s">
        <v>7561</v>
      </c>
      <c r="I2190" s="264" t="s">
        <v>7561</v>
      </c>
      <c r="J2190" s="295">
        <v>6605.99</v>
      </c>
      <c r="K2190" s="295">
        <v>6605.99</v>
      </c>
      <c r="L2190" s="295" t="s">
        <v>7240</v>
      </c>
      <c r="O2190" s="266">
        <v>0</v>
      </c>
      <c r="P2190" s="266">
        <v>5706681237081</v>
      </c>
      <c r="Q2190" s="266">
        <v>0</v>
      </c>
      <c r="R2190" s="265">
        <v>0</v>
      </c>
      <c r="S2190" s="265">
        <v>0</v>
      </c>
      <c r="V2190" s="265" t="s">
        <v>3028</v>
      </c>
      <c r="W2190" s="259" t="s">
        <v>3029</v>
      </c>
      <c r="X2190" s="264" t="s">
        <v>7557</v>
      </c>
      <c r="Y2190" s="259">
        <f t="shared" si="8"/>
        <v>1278</v>
      </c>
      <c r="AA2190" s="259" t="e">
        <v>#N/A</v>
      </c>
      <c r="AB2190" s="259"/>
      <c r="AC2190" s="259"/>
      <c r="AD2190" s="259"/>
      <c r="AE2190" s="259"/>
    </row>
    <row r="2191" spans="1:31">
      <c r="A2191" s="259">
        <v>90506550</v>
      </c>
      <c r="B2191" s="259" t="s">
        <v>116</v>
      </c>
      <c r="C2191" s="264" t="s">
        <v>7552</v>
      </c>
      <c r="D2191" s="264" t="s">
        <v>7562</v>
      </c>
      <c r="E2191" s="259" t="s">
        <v>7554</v>
      </c>
      <c r="G2191" s="259" t="s">
        <v>7555</v>
      </c>
      <c r="H2191" s="264" t="s">
        <v>7562</v>
      </c>
      <c r="I2191" s="264" t="s">
        <v>7562</v>
      </c>
      <c r="J2191" s="295">
        <v>6605.99</v>
      </c>
      <c r="K2191" s="295">
        <v>6605.99</v>
      </c>
      <c r="L2191" s="295" t="s">
        <v>7240</v>
      </c>
      <c r="O2191" s="266">
        <v>0</v>
      </c>
      <c r="P2191" s="266">
        <v>5706681237098</v>
      </c>
      <c r="Q2191" s="266">
        <v>0</v>
      </c>
      <c r="R2191" s="265">
        <v>0</v>
      </c>
      <c r="S2191" s="265">
        <v>0</v>
      </c>
      <c r="V2191" s="265" t="s">
        <v>3028</v>
      </c>
      <c r="W2191" s="259" t="s">
        <v>3029</v>
      </c>
      <c r="X2191" s="264" t="s">
        <v>7557</v>
      </c>
      <c r="Y2191" s="259">
        <f t="shared" si="8"/>
        <v>1279</v>
      </c>
      <c r="AA2191" s="259" t="e">
        <v>#N/A</v>
      </c>
      <c r="AB2191" s="259"/>
      <c r="AC2191" s="259"/>
      <c r="AD2191" s="259"/>
      <c r="AE2191" s="259"/>
    </row>
    <row r="2192" spans="1:31">
      <c r="A2192" s="259">
        <v>90506555</v>
      </c>
      <c r="B2192" s="259" t="s">
        <v>116</v>
      </c>
      <c r="C2192" s="264" t="s">
        <v>7552</v>
      </c>
      <c r="D2192" s="264" t="s">
        <v>7563</v>
      </c>
      <c r="E2192" s="259" t="s">
        <v>7554</v>
      </c>
      <c r="G2192" s="259" t="s">
        <v>7555</v>
      </c>
      <c r="H2192" s="264" t="s">
        <v>7563</v>
      </c>
      <c r="I2192" s="264" t="s">
        <v>7563</v>
      </c>
      <c r="J2192" s="295">
        <v>6605.99</v>
      </c>
      <c r="K2192" s="295">
        <v>6605.99</v>
      </c>
      <c r="L2192" s="295" t="s">
        <v>7240</v>
      </c>
      <c r="O2192" s="266">
        <v>0</v>
      </c>
      <c r="P2192" s="266">
        <v>5706681237104</v>
      </c>
      <c r="Q2192" s="266">
        <v>0</v>
      </c>
      <c r="R2192" s="265">
        <v>0</v>
      </c>
      <c r="S2192" s="265">
        <v>0</v>
      </c>
      <c r="V2192" s="265" t="s">
        <v>3028</v>
      </c>
      <c r="W2192" s="259" t="s">
        <v>3029</v>
      </c>
      <c r="X2192" s="264" t="s">
        <v>7557</v>
      </c>
      <c r="Y2192" s="259">
        <f t="shared" si="8"/>
        <v>1280</v>
      </c>
      <c r="AA2192" s="259" t="e">
        <v>#N/A</v>
      </c>
      <c r="AB2192" s="259"/>
      <c r="AC2192" s="259"/>
      <c r="AD2192" s="259"/>
      <c r="AE2192" s="259"/>
    </row>
    <row r="2193" spans="1:31">
      <c r="A2193" s="259">
        <v>90506515</v>
      </c>
      <c r="B2193" s="259" t="s">
        <v>116</v>
      </c>
      <c r="C2193" s="264" t="s">
        <v>7552</v>
      </c>
      <c r="D2193" s="264" t="s">
        <v>7564</v>
      </c>
      <c r="E2193" s="259" t="s">
        <v>7554</v>
      </c>
      <c r="G2193" s="259" t="s">
        <v>7555</v>
      </c>
      <c r="H2193" s="264" t="s">
        <v>7564</v>
      </c>
      <c r="I2193" s="264" t="s">
        <v>7564</v>
      </c>
      <c r="J2193" s="295">
        <v>6050.34</v>
      </c>
      <c r="K2193" s="295">
        <v>6050.34</v>
      </c>
      <c r="L2193" s="295" t="s">
        <v>7240</v>
      </c>
      <c r="O2193" s="266">
        <v>0</v>
      </c>
      <c r="Q2193" s="266">
        <v>0</v>
      </c>
      <c r="R2193" s="265">
        <v>0</v>
      </c>
      <c r="V2193" s="265" t="s">
        <v>3028</v>
      </c>
      <c r="W2193" s="259" t="s">
        <v>3029</v>
      </c>
      <c r="X2193" s="264" t="s">
        <v>7557</v>
      </c>
      <c r="Y2193" s="259">
        <f t="shared" si="8"/>
        <v>1281</v>
      </c>
      <c r="AA2193" s="259" t="e">
        <v>#N/A</v>
      </c>
      <c r="AB2193" s="259"/>
      <c r="AC2193" s="259"/>
      <c r="AD2193" s="259"/>
      <c r="AE2193" s="259"/>
    </row>
    <row r="2194" spans="1:31">
      <c r="A2194" s="259">
        <v>90506520</v>
      </c>
      <c r="B2194" s="259" t="s">
        <v>116</v>
      </c>
      <c r="C2194" s="264" t="s">
        <v>7552</v>
      </c>
      <c r="D2194" s="264" t="s">
        <v>7565</v>
      </c>
      <c r="E2194" s="259" t="s">
        <v>7554</v>
      </c>
      <c r="G2194" s="259" t="s">
        <v>7555</v>
      </c>
      <c r="H2194" s="264" t="s">
        <v>7565</v>
      </c>
      <c r="I2194" s="264" t="s">
        <v>7565</v>
      </c>
      <c r="J2194" s="295">
        <v>6050.34</v>
      </c>
      <c r="K2194" s="295">
        <v>6050.34</v>
      </c>
      <c r="L2194" s="295" t="s">
        <v>7240</v>
      </c>
      <c r="O2194" s="266">
        <v>0</v>
      </c>
      <c r="P2194" s="266">
        <v>5706681235278</v>
      </c>
      <c r="Q2194" s="266">
        <v>0</v>
      </c>
      <c r="R2194" s="265">
        <v>0</v>
      </c>
      <c r="V2194" s="265" t="s">
        <v>3028</v>
      </c>
      <c r="W2194" s="259" t="s">
        <v>3029</v>
      </c>
      <c r="X2194" s="264" t="s">
        <v>7557</v>
      </c>
      <c r="Y2194" s="259">
        <f t="shared" si="8"/>
        <v>1282</v>
      </c>
      <c r="AA2194" s="259" t="e">
        <v>#N/A</v>
      </c>
      <c r="AB2194" s="259"/>
      <c r="AC2194" s="259"/>
      <c r="AD2194" s="259"/>
      <c r="AE2194" s="259"/>
    </row>
    <row r="2195" spans="1:31">
      <c r="A2195" s="259">
        <v>90506525</v>
      </c>
      <c r="B2195" s="259" t="s">
        <v>116</v>
      </c>
      <c r="C2195" s="264" t="s">
        <v>7552</v>
      </c>
      <c r="D2195" s="264" t="s">
        <v>7566</v>
      </c>
      <c r="E2195" s="259" t="s">
        <v>7554</v>
      </c>
      <c r="G2195" s="259" t="s">
        <v>7555</v>
      </c>
      <c r="H2195" s="264" t="s">
        <v>7566</v>
      </c>
      <c r="I2195" s="264" t="s">
        <v>7566</v>
      </c>
      <c r="J2195" s="295">
        <v>6050.34</v>
      </c>
      <c r="K2195" s="295">
        <v>6050.34</v>
      </c>
      <c r="L2195" s="295" t="s">
        <v>7240</v>
      </c>
      <c r="O2195" s="266">
        <v>0</v>
      </c>
      <c r="P2195" s="266">
        <v>5706681235285</v>
      </c>
      <c r="Q2195" s="266">
        <v>0</v>
      </c>
      <c r="R2195" s="265">
        <v>0</v>
      </c>
      <c r="V2195" s="265" t="s">
        <v>3028</v>
      </c>
      <c r="W2195" s="259" t="s">
        <v>3029</v>
      </c>
      <c r="X2195" s="264" t="s">
        <v>7557</v>
      </c>
      <c r="Y2195" s="259">
        <f t="shared" si="8"/>
        <v>1283</v>
      </c>
      <c r="AA2195" s="259" t="e">
        <v>#N/A</v>
      </c>
      <c r="AB2195" s="259"/>
      <c r="AC2195" s="259"/>
      <c r="AD2195" s="259"/>
      <c r="AE2195" s="259"/>
    </row>
    <row r="2196" spans="1:31">
      <c r="A2196" s="259">
        <v>90506530</v>
      </c>
      <c r="B2196" s="259" t="s">
        <v>116</v>
      </c>
      <c r="C2196" s="264" t="s">
        <v>7552</v>
      </c>
      <c r="D2196" s="264" t="s">
        <v>7567</v>
      </c>
      <c r="E2196" s="259" t="s">
        <v>7554</v>
      </c>
      <c r="G2196" s="259" t="s">
        <v>7555</v>
      </c>
      <c r="H2196" s="264" t="s">
        <v>7567</v>
      </c>
      <c r="I2196" s="264" t="s">
        <v>7567</v>
      </c>
      <c r="J2196" s="295">
        <v>6050.34</v>
      </c>
      <c r="K2196" s="295">
        <v>6050.34</v>
      </c>
      <c r="L2196" s="295" t="s">
        <v>7240</v>
      </c>
      <c r="O2196" s="266">
        <v>0</v>
      </c>
      <c r="P2196" s="266">
        <v>5706681235964</v>
      </c>
      <c r="Q2196" s="266">
        <v>0</v>
      </c>
      <c r="R2196" s="265">
        <v>0</v>
      </c>
      <c r="V2196" s="265" t="s">
        <v>3028</v>
      </c>
      <c r="W2196" s="259" t="s">
        <v>3029</v>
      </c>
      <c r="X2196" s="264" t="s">
        <v>7557</v>
      </c>
      <c r="Y2196" s="259">
        <f t="shared" si="8"/>
        <v>1284</v>
      </c>
      <c r="AA2196" s="259" t="e">
        <v>#N/A</v>
      </c>
      <c r="AB2196" s="259"/>
      <c r="AC2196" s="259"/>
      <c r="AD2196" s="259"/>
      <c r="AE2196" s="259"/>
    </row>
    <row r="2197" spans="1:31">
      <c r="A2197" s="259" t="s">
        <v>2146</v>
      </c>
      <c r="B2197" s="259" t="s">
        <v>116</v>
      </c>
      <c r="C2197" s="264"/>
      <c r="D2197" s="264"/>
      <c r="H2197" s="264"/>
      <c r="I2197" s="264"/>
      <c r="J2197" s="295">
        <v>0</v>
      </c>
      <c r="K2197" s="295">
        <v>0</v>
      </c>
      <c r="L2197" s="295">
        <v>0</v>
      </c>
      <c r="O2197" s="266"/>
      <c r="R2197" s="265"/>
      <c r="V2197" s="265">
        <v>0</v>
      </c>
      <c r="Y2197" s="259">
        <f t="shared" si="8"/>
        <v>1285</v>
      </c>
      <c r="AA2197" s="259" t="e">
        <v>#N/A</v>
      </c>
      <c r="AB2197" s="259"/>
      <c r="AC2197" s="259"/>
      <c r="AD2197" s="259"/>
      <c r="AE2197" s="259"/>
    </row>
    <row r="2198" spans="1:31">
      <c r="A2198" s="259">
        <v>91611767</v>
      </c>
      <c r="B2198" s="259" t="s">
        <v>116</v>
      </c>
      <c r="C2198" s="264" t="s">
        <v>7552</v>
      </c>
      <c r="D2198" s="264" t="s">
        <v>7568</v>
      </c>
      <c r="E2198" s="259" t="s">
        <v>7554</v>
      </c>
      <c r="G2198" s="259" t="s">
        <v>7555</v>
      </c>
      <c r="H2198" s="264" t="s">
        <v>7568</v>
      </c>
      <c r="I2198" s="264" t="s">
        <v>7568</v>
      </c>
      <c r="J2198" s="295">
        <v>135.82</v>
      </c>
      <c r="K2198" s="295">
        <v>135.82</v>
      </c>
      <c r="L2198" s="295" t="s">
        <v>7240</v>
      </c>
      <c r="O2198" s="266">
        <v>0</v>
      </c>
      <c r="Q2198" s="266">
        <v>0</v>
      </c>
      <c r="R2198" s="265">
        <v>0</v>
      </c>
      <c r="V2198" s="265" t="s">
        <v>3028</v>
      </c>
      <c r="W2198" s="259" t="s">
        <v>3029</v>
      </c>
      <c r="X2198" s="264" t="s">
        <v>7557</v>
      </c>
      <c r="Y2198" s="259">
        <f t="shared" si="8"/>
        <v>1286</v>
      </c>
      <c r="AA2198" s="259" t="e">
        <v>#N/A</v>
      </c>
      <c r="AB2198" s="259"/>
      <c r="AC2198" s="259"/>
      <c r="AD2198" s="259"/>
      <c r="AE2198" s="259"/>
    </row>
    <row r="2199" spans="1:31">
      <c r="A2199" s="259">
        <v>91616068</v>
      </c>
      <c r="B2199" s="259" t="s">
        <v>116</v>
      </c>
      <c r="C2199" s="264" t="s">
        <v>7552</v>
      </c>
      <c r="D2199" s="264" t="s">
        <v>7569</v>
      </c>
      <c r="E2199" s="259" t="s">
        <v>7554</v>
      </c>
      <c r="G2199" s="259" t="s">
        <v>7555</v>
      </c>
      <c r="H2199" s="264" t="s">
        <v>7569</v>
      </c>
      <c r="I2199" s="264" t="s">
        <v>7569</v>
      </c>
      <c r="J2199" s="295">
        <v>54.33</v>
      </c>
      <c r="K2199" s="295">
        <v>54.33</v>
      </c>
      <c r="L2199" s="295" t="s">
        <v>7240</v>
      </c>
      <c r="O2199" s="266">
        <v>0</v>
      </c>
      <c r="Q2199" s="266">
        <v>0</v>
      </c>
      <c r="R2199" s="265">
        <v>0</v>
      </c>
      <c r="V2199" s="265" t="s">
        <v>3028</v>
      </c>
      <c r="W2199" s="259" t="s">
        <v>3029</v>
      </c>
      <c r="X2199" s="264" t="s">
        <v>7557</v>
      </c>
      <c r="Y2199" s="259">
        <f t="shared" si="8"/>
        <v>1287</v>
      </c>
      <c r="AA2199" s="259" t="e">
        <v>#N/A</v>
      </c>
      <c r="AB2199" s="259"/>
      <c r="AC2199" s="259"/>
      <c r="AD2199" s="259"/>
      <c r="AE2199" s="259"/>
    </row>
    <row r="2200" spans="1:31">
      <c r="A2200" s="259">
        <v>91611842</v>
      </c>
      <c r="B2200" s="259" t="s">
        <v>116</v>
      </c>
      <c r="C2200" s="264"/>
      <c r="D2200" s="264" t="s">
        <v>2698</v>
      </c>
      <c r="E2200" s="259" t="s">
        <v>7554</v>
      </c>
      <c r="G2200" s="259" t="s">
        <v>7555</v>
      </c>
      <c r="H2200" s="264" t="s">
        <v>2698</v>
      </c>
      <c r="I2200" s="264" t="s">
        <v>2698</v>
      </c>
      <c r="J2200" s="295">
        <v>682.82</v>
      </c>
      <c r="K2200" s="295">
        <v>682.82</v>
      </c>
      <c r="L2200" s="295" t="s">
        <v>7240</v>
      </c>
      <c r="O2200" s="266"/>
      <c r="R2200" s="265"/>
      <c r="V2200" s="265">
        <v>0</v>
      </c>
      <c r="Y2200" s="259">
        <f t="shared" si="8"/>
        <v>1288</v>
      </c>
      <c r="AA2200" s="259" t="e">
        <v>#N/A</v>
      </c>
      <c r="AB2200" s="259"/>
      <c r="AC2200" s="259"/>
      <c r="AD2200" s="259"/>
      <c r="AE2200" s="259"/>
    </row>
    <row r="2201" spans="1:31">
      <c r="A2201" s="259" t="s">
        <v>2147</v>
      </c>
      <c r="B2201" s="259" t="s">
        <v>116</v>
      </c>
      <c r="C2201" s="264"/>
      <c r="D2201" s="264" t="s">
        <v>7570</v>
      </c>
      <c r="E2201" s="259" t="s">
        <v>7554</v>
      </c>
      <c r="G2201" s="259" t="s">
        <v>7555</v>
      </c>
      <c r="H2201" s="264" t="s">
        <v>7570</v>
      </c>
      <c r="I2201" s="264" t="s">
        <v>7570</v>
      </c>
      <c r="J2201" s="295">
        <v>22.23</v>
      </c>
      <c r="K2201" s="295">
        <v>22.23</v>
      </c>
      <c r="L2201" s="295" t="s">
        <v>7240</v>
      </c>
      <c r="O2201" s="266">
        <v>0</v>
      </c>
      <c r="Q2201" s="266">
        <v>0</v>
      </c>
      <c r="R2201" s="265">
        <v>0</v>
      </c>
      <c r="S2201" s="265">
        <v>0</v>
      </c>
      <c r="V2201" s="265" t="s">
        <v>3028</v>
      </c>
      <c r="W2201" s="259">
        <v>0</v>
      </c>
      <c r="Y2201" s="259">
        <f t="shared" si="8"/>
        <v>1289</v>
      </c>
      <c r="Z2201" s="259" t="s">
        <v>4325</v>
      </c>
      <c r="AA2201" s="259" t="e">
        <v>#N/A</v>
      </c>
      <c r="AB2201" s="259"/>
      <c r="AC2201" s="259"/>
      <c r="AD2201" s="259"/>
      <c r="AE2201" s="259"/>
    </row>
    <row r="2202" spans="1:31">
      <c r="A2202" s="259" t="s">
        <v>2148</v>
      </c>
      <c r="B2202" s="259" t="s">
        <v>116</v>
      </c>
      <c r="C2202" s="264"/>
      <c r="D2202" s="264"/>
      <c r="H2202" s="264"/>
      <c r="I2202" s="264"/>
      <c r="J2202" s="295">
        <v>0</v>
      </c>
      <c r="K2202" s="295">
        <v>0</v>
      </c>
      <c r="L2202" s="295">
        <v>0</v>
      </c>
      <c r="O2202" s="266"/>
      <c r="R2202" s="265"/>
      <c r="V2202" s="265">
        <v>0</v>
      </c>
      <c r="Y2202" s="259">
        <f t="shared" si="8"/>
        <v>1290</v>
      </c>
      <c r="AA2202" s="259" t="e">
        <v>#N/A</v>
      </c>
      <c r="AB2202" s="259"/>
      <c r="AC2202" s="259"/>
      <c r="AD2202" s="259"/>
      <c r="AE2202" s="259"/>
    </row>
    <row r="2203" spans="1:31">
      <c r="A2203" s="259">
        <v>90512005</v>
      </c>
      <c r="B2203" s="259" t="s">
        <v>116</v>
      </c>
      <c r="C2203" s="264" t="s">
        <v>7552</v>
      </c>
      <c r="D2203" s="264" t="s">
        <v>7571</v>
      </c>
      <c r="E2203" s="259" t="s">
        <v>7554</v>
      </c>
      <c r="G2203" s="259" t="s">
        <v>7263</v>
      </c>
      <c r="H2203" s="264" t="s">
        <v>7571</v>
      </c>
      <c r="I2203" s="264" t="s">
        <v>7571</v>
      </c>
      <c r="J2203" s="295">
        <v>18521.46</v>
      </c>
      <c r="K2203" s="295">
        <v>18521.46</v>
      </c>
      <c r="L2203" s="295" t="s">
        <v>7240</v>
      </c>
      <c r="O2203" s="266">
        <v>0</v>
      </c>
      <c r="P2203" s="266">
        <v>5706681235308</v>
      </c>
      <c r="Q2203" s="266">
        <v>0</v>
      </c>
      <c r="R2203" s="265">
        <v>0</v>
      </c>
      <c r="S2203" s="265">
        <v>0</v>
      </c>
      <c r="V2203" s="265" t="s">
        <v>3028</v>
      </c>
      <c r="W2203" s="259" t="s">
        <v>3029</v>
      </c>
      <c r="Y2203" s="259">
        <f t="shared" si="8"/>
        <v>1291</v>
      </c>
      <c r="AA2203" s="259" t="e">
        <v>#N/A</v>
      </c>
      <c r="AB2203" s="259"/>
      <c r="AC2203" s="259"/>
      <c r="AD2203" s="259"/>
      <c r="AE2203" s="259"/>
    </row>
    <row r="2204" spans="1:31">
      <c r="A2204" s="259">
        <v>90512010</v>
      </c>
      <c r="B2204" s="259" t="s">
        <v>116</v>
      </c>
      <c r="C2204" s="264" t="s">
        <v>7552</v>
      </c>
      <c r="D2204" s="264" t="s">
        <v>7572</v>
      </c>
      <c r="E2204" s="259" t="s">
        <v>7554</v>
      </c>
      <c r="G2204" s="259" t="s">
        <v>7263</v>
      </c>
      <c r="H2204" s="264" t="s">
        <v>7572</v>
      </c>
      <c r="I2204" s="264" t="s">
        <v>7572</v>
      </c>
      <c r="J2204" s="295">
        <v>21484.89</v>
      </c>
      <c r="K2204" s="295">
        <v>21484.89</v>
      </c>
      <c r="L2204" s="295" t="s">
        <v>7240</v>
      </c>
      <c r="O2204" s="266">
        <v>0</v>
      </c>
      <c r="P2204" s="266">
        <v>5706681236992</v>
      </c>
      <c r="Q2204" s="266">
        <v>0</v>
      </c>
      <c r="R2204" s="265">
        <v>16.38</v>
      </c>
      <c r="S2204" s="265">
        <v>16.38</v>
      </c>
      <c r="V2204" s="265" t="s">
        <v>3028</v>
      </c>
      <c r="W2204" s="259" t="s">
        <v>3029</v>
      </c>
      <c r="X2204" s="264" t="s">
        <v>7573</v>
      </c>
      <c r="Y2204" s="259">
        <f t="shared" si="8"/>
        <v>1292</v>
      </c>
      <c r="AA2204" s="259" t="e">
        <v>#N/A</v>
      </c>
      <c r="AB2204" s="259"/>
      <c r="AC2204" s="259"/>
      <c r="AD2204" s="259"/>
      <c r="AE2204" s="259"/>
    </row>
    <row r="2205" spans="1:31">
      <c r="A2205" s="259">
        <v>90512000</v>
      </c>
      <c r="B2205" s="259" t="s">
        <v>116</v>
      </c>
      <c r="C2205" s="264" t="s">
        <v>7552</v>
      </c>
      <c r="D2205" s="264" t="s">
        <v>7574</v>
      </c>
      <c r="E2205" s="259" t="s">
        <v>7554</v>
      </c>
      <c r="G2205" s="259" t="s">
        <v>7263</v>
      </c>
      <c r="H2205" s="264" t="s">
        <v>7574</v>
      </c>
      <c r="I2205" s="264" t="s">
        <v>7574</v>
      </c>
      <c r="J2205" s="295">
        <v>18521.46</v>
      </c>
      <c r="K2205" s="295">
        <v>18521.46</v>
      </c>
      <c r="L2205" s="295" t="s">
        <v>7240</v>
      </c>
      <c r="O2205" s="266">
        <v>0</v>
      </c>
      <c r="P2205" s="266">
        <v>5706681235292</v>
      </c>
      <c r="Q2205" s="266">
        <v>0</v>
      </c>
      <c r="R2205" s="265">
        <v>0</v>
      </c>
      <c r="S2205" s="265">
        <v>0</v>
      </c>
      <c r="V2205" s="265" t="s">
        <v>3028</v>
      </c>
      <c r="W2205" s="259" t="s">
        <v>3029</v>
      </c>
      <c r="X2205" s="264" t="s">
        <v>7573</v>
      </c>
      <c r="Y2205" s="259">
        <f t="shared" si="8"/>
        <v>1293</v>
      </c>
      <c r="AA2205" s="259" t="e">
        <v>#N/A</v>
      </c>
      <c r="AB2205" s="259"/>
      <c r="AC2205" s="259"/>
      <c r="AD2205" s="259"/>
      <c r="AE2205" s="259"/>
    </row>
    <row r="2206" spans="1:31">
      <c r="A2206" s="259">
        <v>90512015</v>
      </c>
      <c r="B2206" s="259" t="s">
        <v>116</v>
      </c>
      <c r="C2206" s="264" t="s">
        <v>7552</v>
      </c>
      <c r="D2206" s="264" t="s">
        <v>7575</v>
      </c>
      <c r="E2206" s="259" t="s">
        <v>7554</v>
      </c>
      <c r="G2206" s="259" t="s">
        <v>7263</v>
      </c>
      <c r="H2206" s="264" t="s">
        <v>7575</v>
      </c>
      <c r="I2206" s="264" t="s">
        <v>7575</v>
      </c>
      <c r="J2206" s="295">
        <v>21484.89</v>
      </c>
      <c r="K2206" s="295">
        <v>21484.89</v>
      </c>
      <c r="L2206" s="295" t="s">
        <v>7240</v>
      </c>
      <c r="O2206" s="266">
        <v>0</v>
      </c>
      <c r="P2206" s="266">
        <v>5706681237005</v>
      </c>
      <c r="Q2206" s="266">
        <v>0</v>
      </c>
      <c r="R2206" s="265">
        <v>16.38</v>
      </c>
      <c r="S2206" s="265">
        <v>16.38</v>
      </c>
      <c r="V2206" s="265" t="s">
        <v>3028</v>
      </c>
      <c r="W2206" s="259" t="s">
        <v>3029</v>
      </c>
      <c r="X2206" s="264" t="s">
        <v>7573</v>
      </c>
      <c r="Y2206" s="259">
        <f t="shared" si="8"/>
        <v>1294</v>
      </c>
      <c r="AA2206" s="259" t="e">
        <v>#N/A</v>
      </c>
      <c r="AB2206" s="259"/>
      <c r="AC2206" s="259"/>
      <c r="AD2206" s="259"/>
      <c r="AE2206" s="259"/>
    </row>
    <row r="2207" spans="1:31">
      <c r="A2207" s="259" t="s">
        <v>2149</v>
      </c>
      <c r="B2207" s="259" t="s">
        <v>116</v>
      </c>
      <c r="C2207" s="264"/>
      <c r="D2207" s="264"/>
      <c r="H2207" s="264"/>
      <c r="I2207" s="264"/>
      <c r="J2207" s="295">
        <v>0</v>
      </c>
      <c r="K2207" s="295">
        <v>0</v>
      </c>
      <c r="L2207" s="295">
        <v>0</v>
      </c>
      <c r="O2207" s="266"/>
      <c r="R2207" s="265"/>
      <c r="V2207" s="265">
        <v>0</v>
      </c>
      <c r="Y2207" s="259">
        <f t="shared" si="8"/>
        <v>1295</v>
      </c>
      <c r="AA2207" s="259" t="e">
        <v>#N/A</v>
      </c>
      <c r="AB2207" s="259"/>
      <c r="AC2207" s="259"/>
      <c r="AD2207" s="259"/>
      <c r="AE2207" s="259"/>
    </row>
    <row r="2208" spans="1:31">
      <c r="A2208" s="259">
        <v>91611768</v>
      </c>
      <c r="B2208" s="259" t="s">
        <v>116</v>
      </c>
      <c r="C2208" s="264" t="s">
        <v>7552</v>
      </c>
      <c r="D2208" s="264" t="s">
        <v>7576</v>
      </c>
      <c r="E2208" s="259" t="s">
        <v>7554</v>
      </c>
      <c r="G2208" s="259" t="s">
        <v>7263</v>
      </c>
      <c r="H2208" s="264" t="s">
        <v>7576</v>
      </c>
      <c r="I2208" s="264" t="s">
        <v>7576</v>
      </c>
      <c r="J2208" s="295">
        <v>219.79</v>
      </c>
      <c r="K2208" s="295">
        <v>219.79</v>
      </c>
      <c r="L2208" s="295" t="s">
        <v>7240</v>
      </c>
      <c r="O2208" s="266">
        <v>0</v>
      </c>
      <c r="Q2208" s="266">
        <v>0</v>
      </c>
      <c r="R2208" s="265">
        <v>0</v>
      </c>
      <c r="S2208" s="265">
        <v>0</v>
      </c>
      <c r="V2208" s="265" t="s">
        <v>3028</v>
      </c>
      <c r="W2208" s="259" t="s">
        <v>3029</v>
      </c>
      <c r="X2208" s="264" t="s">
        <v>7573</v>
      </c>
      <c r="Y2208" s="259">
        <f t="shared" si="8"/>
        <v>1296</v>
      </c>
      <c r="AA2208" s="259" t="e">
        <v>#N/A</v>
      </c>
      <c r="AB2208" s="259"/>
      <c r="AC2208" s="259"/>
      <c r="AD2208" s="259"/>
      <c r="AE2208" s="259"/>
    </row>
    <row r="2209" spans="1:31">
      <c r="A2209" s="259">
        <v>91616075</v>
      </c>
      <c r="B2209" s="259" t="s">
        <v>116</v>
      </c>
      <c r="C2209" s="264" t="s">
        <v>7552</v>
      </c>
      <c r="D2209" s="264" t="s">
        <v>7577</v>
      </c>
      <c r="E2209" s="259" t="s">
        <v>7554</v>
      </c>
      <c r="G2209" s="259" t="s">
        <v>7263</v>
      </c>
      <c r="H2209" s="264" t="s">
        <v>7577</v>
      </c>
      <c r="I2209" s="264" t="s">
        <v>7577</v>
      </c>
      <c r="J2209" s="295">
        <v>66.680000000000007</v>
      </c>
      <c r="K2209" s="295">
        <v>66.680000000000007</v>
      </c>
      <c r="L2209" s="295" t="s">
        <v>7240</v>
      </c>
      <c r="O2209" s="266">
        <v>0</v>
      </c>
      <c r="Q2209" s="266">
        <v>0</v>
      </c>
      <c r="R2209" s="265">
        <v>0</v>
      </c>
      <c r="S2209" s="265">
        <v>0</v>
      </c>
      <c r="V2209" s="265" t="s">
        <v>3028</v>
      </c>
      <c r="W2209" s="259" t="s">
        <v>3029</v>
      </c>
      <c r="X2209" s="264" t="s">
        <v>7573</v>
      </c>
      <c r="Y2209" s="259">
        <f t="shared" si="8"/>
        <v>1297</v>
      </c>
      <c r="AA2209" s="259" t="e">
        <v>#N/A</v>
      </c>
      <c r="AB2209" s="259"/>
      <c r="AC2209" s="259"/>
      <c r="AD2209" s="259"/>
      <c r="AE2209" s="259"/>
    </row>
    <row r="2210" spans="1:31">
      <c r="A2210" s="259" t="s">
        <v>2150</v>
      </c>
      <c r="B2210" s="259" t="s">
        <v>116</v>
      </c>
      <c r="C2210" s="264"/>
      <c r="D2210" s="264"/>
      <c r="H2210" s="264"/>
      <c r="I2210" s="264"/>
      <c r="J2210" s="295">
        <v>0</v>
      </c>
      <c r="K2210" s="295">
        <v>0</v>
      </c>
      <c r="L2210" s="295">
        <v>0</v>
      </c>
      <c r="O2210" s="266"/>
      <c r="R2210" s="265"/>
      <c r="V2210" s="265">
        <v>0</v>
      </c>
      <c r="Y2210" s="259">
        <f t="shared" si="8"/>
        <v>1298</v>
      </c>
      <c r="AA2210" s="259" t="e">
        <v>#N/A</v>
      </c>
      <c r="AB2210" s="259"/>
      <c r="AC2210" s="259"/>
      <c r="AD2210" s="259"/>
      <c r="AE2210" s="259"/>
    </row>
    <row r="2211" spans="1:31">
      <c r="A2211" s="259" t="s">
        <v>2151</v>
      </c>
      <c r="B2211" s="259" t="s">
        <v>116</v>
      </c>
      <c r="C2211" s="264"/>
      <c r="D2211" s="264"/>
      <c r="H2211" s="264"/>
      <c r="I2211" s="264"/>
      <c r="J2211" s="295">
        <v>0</v>
      </c>
      <c r="K2211" s="295">
        <v>0</v>
      </c>
      <c r="L2211" s="295">
        <v>0</v>
      </c>
      <c r="O2211" s="266"/>
      <c r="R2211" s="265"/>
      <c r="V2211" s="265">
        <v>0</v>
      </c>
      <c r="Y2211" s="259">
        <f t="shared" si="8"/>
        <v>1299</v>
      </c>
      <c r="AA2211" s="259" t="e">
        <v>#N/A</v>
      </c>
      <c r="AB2211" s="259"/>
      <c r="AC2211" s="259"/>
      <c r="AD2211" s="259"/>
      <c r="AE2211" s="259"/>
    </row>
    <row r="2212" spans="1:31">
      <c r="A2212" s="259">
        <v>90510325</v>
      </c>
      <c r="B2212" s="259" t="s">
        <v>116</v>
      </c>
      <c r="C2212" s="264" t="s">
        <v>7578</v>
      </c>
      <c r="D2212" s="264" t="s">
        <v>7579</v>
      </c>
      <c r="E2212" s="259" t="s">
        <v>7580</v>
      </c>
      <c r="G2212" s="259" t="s">
        <v>7263</v>
      </c>
      <c r="H2212" s="264" t="s">
        <v>7579</v>
      </c>
      <c r="I2212" s="264" t="s">
        <v>7579</v>
      </c>
      <c r="J2212" s="295">
        <v>1216.24</v>
      </c>
      <c r="K2212" s="295">
        <v>1216.24</v>
      </c>
      <c r="L2212" s="295" t="s">
        <v>7240</v>
      </c>
      <c r="O2212" s="266">
        <v>0</v>
      </c>
      <c r="P2212" s="266">
        <v>5706681231126</v>
      </c>
      <c r="Q2212" s="266">
        <v>0</v>
      </c>
      <c r="R2212" s="265"/>
      <c r="V2212" s="265" t="s">
        <v>3028</v>
      </c>
      <c r="W2212" s="259" t="s">
        <v>3029</v>
      </c>
      <c r="Y2212" s="259">
        <f t="shared" si="8"/>
        <v>1300</v>
      </c>
      <c r="AA2212" s="259" t="e">
        <v>#N/A</v>
      </c>
      <c r="AB2212" s="259"/>
      <c r="AC2212" s="259"/>
      <c r="AD2212" s="259"/>
      <c r="AE2212" s="259"/>
    </row>
    <row r="2213" spans="1:31">
      <c r="A2213" s="259">
        <v>90510340</v>
      </c>
      <c r="B2213" s="259" t="s">
        <v>116</v>
      </c>
      <c r="C2213" s="264" t="s">
        <v>7578</v>
      </c>
      <c r="D2213" s="264" t="s">
        <v>2926</v>
      </c>
      <c r="E2213" s="259" t="s">
        <v>7580</v>
      </c>
      <c r="G2213" s="259" t="s">
        <v>7263</v>
      </c>
      <c r="H2213" s="264" t="s">
        <v>2926</v>
      </c>
      <c r="I2213" s="264" t="s">
        <v>2926</v>
      </c>
      <c r="J2213" s="295">
        <v>1216.24</v>
      </c>
      <c r="K2213" s="295">
        <v>1216.24</v>
      </c>
      <c r="L2213" s="295" t="s">
        <v>7240</v>
      </c>
      <c r="O2213" s="266">
        <v>0</v>
      </c>
      <c r="P2213" s="266">
        <v>5706681231416</v>
      </c>
      <c r="Q2213" s="266">
        <v>0</v>
      </c>
      <c r="R2213" s="265"/>
      <c r="V2213" s="265" t="s">
        <v>3028</v>
      </c>
      <c r="W2213" s="259" t="s">
        <v>3029</v>
      </c>
      <c r="Y2213" s="259">
        <f t="shared" si="8"/>
        <v>1301</v>
      </c>
      <c r="AA2213" s="259" t="e">
        <v>#N/A</v>
      </c>
      <c r="AB2213" s="259"/>
      <c r="AC2213" s="259"/>
      <c r="AD2213" s="259"/>
      <c r="AE2213" s="259"/>
    </row>
    <row r="2214" spans="1:31">
      <c r="A2214" s="259" t="s">
        <v>2152</v>
      </c>
      <c r="B2214" s="259" t="s">
        <v>116</v>
      </c>
      <c r="C2214" s="264"/>
      <c r="D2214" s="264"/>
      <c r="H2214" s="264"/>
      <c r="I2214" s="264"/>
      <c r="J2214" s="295">
        <v>0</v>
      </c>
      <c r="K2214" s="295">
        <v>0</v>
      </c>
      <c r="L2214" s="295">
        <v>0</v>
      </c>
      <c r="O2214" s="266"/>
      <c r="R2214" s="265"/>
      <c r="V2214" s="265">
        <v>0</v>
      </c>
      <c r="Y2214" s="259">
        <f t="shared" si="8"/>
        <v>1302</v>
      </c>
      <c r="AA2214" s="259" t="e">
        <v>#N/A</v>
      </c>
      <c r="AB2214" s="259"/>
      <c r="AC2214" s="259"/>
      <c r="AD2214" s="259"/>
      <c r="AE2214" s="259"/>
    </row>
    <row r="2215" spans="1:31">
      <c r="A2215" s="259">
        <v>90510330</v>
      </c>
      <c r="B2215" s="259" t="s">
        <v>116</v>
      </c>
      <c r="C2215" s="264" t="s">
        <v>7578</v>
      </c>
      <c r="D2215" s="264" t="s">
        <v>7581</v>
      </c>
      <c r="E2215" s="259" t="s">
        <v>7580</v>
      </c>
      <c r="G2215" s="259" t="s">
        <v>7263</v>
      </c>
      <c r="H2215" s="264" t="s">
        <v>7581</v>
      </c>
      <c r="I2215" s="264" t="s">
        <v>7581</v>
      </c>
      <c r="J2215" s="295">
        <v>1216.24</v>
      </c>
      <c r="K2215" s="295">
        <v>1216.24</v>
      </c>
      <c r="L2215" s="295" t="s">
        <v>7240</v>
      </c>
      <c r="O2215" s="266">
        <v>0</v>
      </c>
      <c r="P2215" s="266">
        <v>5706681231133</v>
      </c>
      <c r="Q2215" s="266">
        <v>0</v>
      </c>
      <c r="R2215" s="265"/>
      <c r="V2215" s="265" t="s">
        <v>3028</v>
      </c>
      <c r="W2215" s="259" t="s">
        <v>3029</v>
      </c>
      <c r="Y2215" s="259">
        <f t="shared" si="8"/>
        <v>1303</v>
      </c>
      <c r="AA2215" s="259" t="e">
        <v>#N/A</v>
      </c>
      <c r="AB2215" s="259"/>
      <c r="AC2215" s="259"/>
      <c r="AD2215" s="259"/>
      <c r="AE2215" s="259"/>
    </row>
    <row r="2216" spans="1:31">
      <c r="A2216" s="259">
        <v>90513545</v>
      </c>
      <c r="B2216" s="259" t="s">
        <v>116</v>
      </c>
      <c r="C2216" s="264" t="s">
        <v>7578</v>
      </c>
      <c r="D2216" s="264" t="s">
        <v>7582</v>
      </c>
      <c r="E2216" s="259" t="s">
        <v>7580</v>
      </c>
      <c r="G2216" s="259" t="s">
        <v>7263</v>
      </c>
      <c r="H2216" s="264" t="s">
        <v>7582</v>
      </c>
      <c r="I2216" s="264" t="s">
        <v>7582</v>
      </c>
      <c r="J2216" s="295">
        <v>1216.24</v>
      </c>
      <c r="K2216" s="295">
        <v>1216.24</v>
      </c>
      <c r="L2216" s="295" t="s">
        <v>7240</v>
      </c>
      <c r="O2216" s="266">
        <v>0</v>
      </c>
      <c r="P2216" s="266">
        <v>5706681231423</v>
      </c>
      <c r="Q2216" s="266">
        <v>0</v>
      </c>
      <c r="R2216" s="265"/>
      <c r="V2216" s="265" t="s">
        <v>3028</v>
      </c>
      <c r="W2216" s="259" t="s">
        <v>3029</v>
      </c>
      <c r="Y2216" s="259">
        <f t="shared" si="8"/>
        <v>1304</v>
      </c>
      <c r="AA2216" s="259" t="e">
        <v>#N/A</v>
      </c>
      <c r="AB2216" s="259"/>
      <c r="AC2216" s="259"/>
      <c r="AD2216" s="259"/>
      <c r="AE2216" s="259"/>
    </row>
    <row r="2217" spans="1:31">
      <c r="A2217" s="259">
        <v>90510360</v>
      </c>
      <c r="B2217" s="259" t="s">
        <v>116</v>
      </c>
      <c r="C2217" s="264"/>
      <c r="D2217" s="264" t="s">
        <v>7583</v>
      </c>
      <c r="E2217" s="259" t="s">
        <v>7580</v>
      </c>
      <c r="G2217" s="259" t="s">
        <v>7263</v>
      </c>
      <c r="H2217" s="264" t="s">
        <v>7583</v>
      </c>
      <c r="I2217" s="264" t="s">
        <v>7583</v>
      </c>
      <c r="J2217" s="295">
        <v>1216.24</v>
      </c>
      <c r="K2217" s="295">
        <v>1216.24</v>
      </c>
      <c r="L2217" s="295" t="s">
        <v>7240</v>
      </c>
      <c r="O2217" s="266">
        <v>0</v>
      </c>
      <c r="P2217" s="266">
        <v>5706681237135</v>
      </c>
      <c r="Q2217" s="266">
        <v>0</v>
      </c>
      <c r="R2217" s="265">
        <v>0</v>
      </c>
      <c r="S2217" s="265">
        <v>0</v>
      </c>
      <c r="V2217" s="265" t="s">
        <v>3028</v>
      </c>
      <c r="W2217" s="259">
        <v>0</v>
      </c>
      <c r="Y2217" s="259">
        <f t="shared" si="8"/>
        <v>1305</v>
      </c>
      <c r="AA2217" s="259" t="e">
        <v>#N/A</v>
      </c>
      <c r="AB2217" s="259"/>
      <c r="AC2217" s="259"/>
      <c r="AD2217" s="259"/>
      <c r="AE2217" s="259"/>
    </row>
    <row r="2218" spans="1:31">
      <c r="A2218" s="259" t="s">
        <v>2153</v>
      </c>
      <c r="B2218" s="259" t="s">
        <v>116</v>
      </c>
      <c r="C2218" s="264"/>
      <c r="D2218" s="264"/>
      <c r="H2218" s="264"/>
      <c r="I2218" s="264"/>
      <c r="J2218" s="295">
        <v>0</v>
      </c>
      <c r="K2218" s="295">
        <v>0</v>
      </c>
      <c r="L2218" s="295">
        <v>0</v>
      </c>
      <c r="O2218" s="266"/>
      <c r="R2218" s="265"/>
      <c r="V2218" s="265">
        <v>0</v>
      </c>
      <c r="Y2218" s="259">
        <f t="shared" si="8"/>
        <v>1306</v>
      </c>
      <c r="AA2218" s="259" t="e">
        <v>#N/A</v>
      </c>
      <c r="AB2218" s="259"/>
      <c r="AC2218" s="259"/>
      <c r="AD2218" s="259"/>
      <c r="AE2218" s="259"/>
    </row>
    <row r="2219" spans="1:31">
      <c r="A2219" s="259">
        <v>90510335</v>
      </c>
      <c r="B2219" s="259" t="s">
        <v>116</v>
      </c>
      <c r="C2219" s="264" t="s">
        <v>7578</v>
      </c>
      <c r="D2219" s="264" t="s">
        <v>7584</v>
      </c>
      <c r="E2219" s="259" t="s">
        <v>7580</v>
      </c>
      <c r="G2219" s="259" t="s">
        <v>7263</v>
      </c>
      <c r="H2219" s="264" t="s">
        <v>7584</v>
      </c>
      <c r="I2219" s="264" t="s">
        <v>7584</v>
      </c>
      <c r="J2219" s="295">
        <v>1216.24</v>
      </c>
      <c r="K2219" s="295">
        <v>1216.24</v>
      </c>
      <c r="L2219" s="295" t="s">
        <v>7240</v>
      </c>
      <c r="O2219" s="266">
        <v>0</v>
      </c>
      <c r="P2219" s="266">
        <v>5706681231140</v>
      </c>
      <c r="Q2219" s="266">
        <v>0</v>
      </c>
      <c r="R2219" s="265"/>
      <c r="V2219" s="265" t="s">
        <v>3028</v>
      </c>
      <c r="W2219" s="259" t="s">
        <v>3029</v>
      </c>
      <c r="Y2219" s="259">
        <f t="shared" si="8"/>
        <v>1307</v>
      </c>
      <c r="AA2219" s="259" t="e">
        <v>#N/A</v>
      </c>
      <c r="AB2219" s="259"/>
      <c r="AC2219" s="259"/>
      <c r="AD2219" s="259"/>
      <c r="AE2219" s="259"/>
    </row>
    <row r="2220" spans="1:31">
      <c r="A2220" s="259" t="s">
        <v>2154</v>
      </c>
      <c r="B2220" s="259" t="s">
        <v>116</v>
      </c>
      <c r="C2220" s="264"/>
      <c r="D2220" s="264"/>
      <c r="H2220" s="264"/>
      <c r="I2220" s="264"/>
      <c r="J2220" s="295">
        <v>0</v>
      </c>
      <c r="K2220" s="295">
        <v>0</v>
      </c>
      <c r="L2220" s="295">
        <v>0</v>
      </c>
      <c r="O2220" s="266"/>
      <c r="R2220" s="265"/>
      <c r="V2220" s="265">
        <v>0</v>
      </c>
      <c r="Y2220" s="259">
        <f t="shared" si="8"/>
        <v>1308</v>
      </c>
      <c r="AA2220" s="259" t="e">
        <v>#N/A</v>
      </c>
      <c r="AB2220" s="259"/>
      <c r="AC2220" s="259"/>
      <c r="AD2220" s="259"/>
      <c r="AE2220" s="259"/>
    </row>
    <row r="2221" spans="1:31">
      <c r="A2221" s="259">
        <v>91610145</v>
      </c>
      <c r="B2221" s="259" t="s">
        <v>116</v>
      </c>
      <c r="C2221" s="264" t="s">
        <v>7578</v>
      </c>
      <c r="D2221" s="264" t="s">
        <v>7585</v>
      </c>
      <c r="E2221" s="259" t="s">
        <v>7580</v>
      </c>
      <c r="G2221" s="259" t="s">
        <v>7263</v>
      </c>
      <c r="H2221" s="264" t="s">
        <v>7585</v>
      </c>
      <c r="I2221" s="264" t="s">
        <v>7585</v>
      </c>
      <c r="J2221" s="295">
        <v>97.55</v>
      </c>
      <c r="K2221" s="295">
        <v>97.55</v>
      </c>
      <c r="L2221" s="295" t="s">
        <v>7240</v>
      </c>
      <c r="O2221" s="266">
        <v>0</v>
      </c>
      <c r="Q2221" s="266">
        <v>0</v>
      </c>
      <c r="R2221" s="265"/>
      <c r="V2221" s="265" t="s">
        <v>3028</v>
      </c>
      <c r="W2221" s="259" t="s">
        <v>3029</v>
      </c>
      <c r="Y2221" s="259">
        <f t="shared" si="8"/>
        <v>1309</v>
      </c>
      <c r="AA2221" s="259" t="e">
        <v>#N/A</v>
      </c>
      <c r="AB2221" s="259"/>
      <c r="AC2221" s="259"/>
      <c r="AD2221" s="259"/>
      <c r="AE2221" s="259"/>
    </row>
    <row r="2222" spans="1:31">
      <c r="A2222" s="259">
        <v>91610146</v>
      </c>
      <c r="B2222" s="259" t="s">
        <v>116</v>
      </c>
      <c r="C2222" s="264" t="s">
        <v>7578</v>
      </c>
      <c r="D2222" s="264" t="s">
        <v>7586</v>
      </c>
      <c r="E2222" s="259" t="s">
        <v>7580</v>
      </c>
      <c r="G2222" s="259" t="s">
        <v>7263</v>
      </c>
      <c r="H2222" s="264" t="s">
        <v>7586</v>
      </c>
      <c r="I2222" s="264" t="s">
        <v>7586</v>
      </c>
      <c r="J2222" s="295">
        <v>97.55</v>
      </c>
      <c r="K2222" s="295">
        <v>97.55</v>
      </c>
      <c r="L2222" s="295" t="s">
        <v>7240</v>
      </c>
      <c r="O2222" s="266">
        <v>0</v>
      </c>
      <c r="Q2222" s="266">
        <v>0</v>
      </c>
      <c r="R2222" s="265"/>
      <c r="V2222" s="265" t="s">
        <v>3028</v>
      </c>
      <c r="W2222" s="259" t="s">
        <v>3029</v>
      </c>
      <c r="Y2222" s="259">
        <f t="shared" si="8"/>
        <v>1310</v>
      </c>
      <c r="AA2222" s="259" t="e">
        <v>#N/A</v>
      </c>
      <c r="AB2222" s="259"/>
      <c r="AC2222" s="259"/>
      <c r="AD2222" s="259"/>
      <c r="AE2222" s="259"/>
    </row>
    <row r="2223" spans="1:31">
      <c r="A2223" s="259">
        <v>91610147</v>
      </c>
      <c r="B2223" s="259" t="s">
        <v>116</v>
      </c>
      <c r="C2223" s="264" t="s">
        <v>7578</v>
      </c>
      <c r="D2223" s="264" t="s">
        <v>7587</v>
      </c>
      <c r="E2223" s="259" t="s">
        <v>7580</v>
      </c>
      <c r="G2223" s="259" t="s">
        <v>7263</v>
      </c>
      <c r="H2223" s="264" t="s">
        <v>7587</v>
      </c>
      <c r="I2223" s="264" t="s">
        <v>7587</v>
      </c>
      <c r="J2223" s="295">
        <v>97.55</v>
      </c>
      <c r="K2223" s="295">
        <v>97.55</v>
      </c>
      <c r="L2223" s="295" t="s">
        <v>7240</v>
      </c>
      <c r="O2223" s="266">
        <v>0</v>
      </c>
      <c r="Q2223" s="266">
        <v>0</v>
      </c>
      <c r="R2223" s="265"/>
      <c r="V2223" s="265" t="s">
        <v>3028</v>
      </c>
      <c r="W2223" s="259" t="s">
        <v>3029</v>
      </c>
      <c r="Y2223" s="259">
        <f t="shared" si="8"/>
        <v>1311</v>
      </c>
      <c r="AA2223" s="259" t="e">
        <v>#N/A</v>
      </c>
      <c r="AB2223" s="259"/>
      <c r="AC2223" s="259"/>
      <c r="AD2223" s="259"/>
      <c r="AE2223" s="259"/>
    </row>
    <row r="2224" spans="1:31">
      <c r="A2224" s="259">
        <v>91610148</v>
      </c>
      <c r="B2224" s="259" t="s">
        <v>116</v>
      </c>
      <c r="C2224" s="264" t="s">
        <v>7578</v>
      </c>
      <c r="D2224" s="264" t="s">
        <v>7588</v>
      </c>
      <c r="E2224" s="259" t="s">
        <v>7580</v>
      </c>
      <c r="G2224" s="259" t="s">
        <v>7263</v>
      </c>
      <c r="H2224" s="264" t="s">
        <v>7588</v>
      </c>
      <c r="I2224" s="264" t="s">
        <v>7588</v>
      </c>
      <c r="J2224" s="295">
        <v>97.55</v>
      </c>
      <c r="K2224" s="295">
        <v>97.55</v>
      </c>
      <c r="L2224" s="295" t="s">
        <v>7240</v>
      </c>
      <c r="O2224" s="266">
        <v>0</v>
      </c>
      <c r="Q2224" s="266">
        <v>0</v>
      </c>
      <c r="R2224" s="265"/>
      <c r="V2224" s="265" t="s">
        <v>3028</v>
      </c>
      <c r="W2224" s="259" t="s">
        <v>3029</v>
      </c>
      <c r="Y2224" s="259">
        <f t="shared" si="8"/>
        <v>1312</v>
      </c>
      <c r="AA2224" s="259" t="e">
        <v>#N/A</v>
      </c>
      <c r="AB2224" s="259"/>
      <c r="AC2224" s="259"/>
      <c r="AD2224" s="259"/>
      <c r="AE2224" s="259"/>
    </row>
    <row r="2225" spans="1:31">
      <c r="A2225" s="259">
        <v>91610149</v>
      </c>
      <c r="B2225" s="259" t="s">
        <v>116</v>
      </c>
      <c r="C2225" s="264" t="s">
        <v>7578</v>
      </c>
      <c r="D2225" s="264" t="s">
        <v>7589</v>
      </c>
      <c r="E2225" s="259" t="s">
        <v>7580</v>
      </c>
      <c r="G2225" s="259" t="s">
        <v>7263</v>
      </c>
      <c r="H2225" s="264" t="s">
        <v>7589</v>
      </c>
      <c r="I2225" s="264" t="s">
        <v>7589</v>
      </c>
      <c r="J2225" s="295">
        <v>97.55</v>
      </c>
      <c r="K2225" s="295">
        <v>97.55</v>
      </c>
      <c r="L2225" s="295" t="s">
        <v>7240</v>
      </c>
      <c r="O2225" s="266">
        <v>0</v>
      </c>
      <c r="Q2225" s="266">
        <v>0</v>
      </c>
      <c r="R2225" s="265"/>
      <c r="V2225" s="265" t="s">
        <v>3028</v>
      </c>
      <c r="W2225" s="259" t="s">
        <v>3029</v>
      </c>
      <c r="Y2225" s="259">
        <f t="shared" si="8"/>
        <v>1313</v>
      </c>
      <c r="AA2225" s="259" t="e">
        <v>#N/A</v>
      </c>
      <c r="AB2225" s="259"/>
      <c r="AC2225" s="259"/>
      <c r="AD2225" s="259"/>
      <c r="AE2225" s="259"/>
    </row>
    <row r="2226" spans="1:31">
      <c r="A2226" s="259">
        <v>91611833</v>
      </c>
      <c r="B2226" s="259" t="s">
        <v>116</v>
      </c>
      <c r="C2226" s="264"/>
      <c r="D2226" s="264" t="s">
        <v>7590</v>
      </c>
      <c r="E2226" s="259" t="s">
        <v>7580</v>
      </c>
      <c r="G2226" s="259" t="s">
        <v>7263</v>
      </c>
      <c r="H2226" s="264" t="s">
        <v>7590</v>
      </c>
      <c r="I2226" s="264" t="s">
        <v>7590</v>
      </c>
      <c r="J2226" s="295">
        <v>11.11</v>
      </c>
      <c r="K2226" s="295">
        <v>11.11</v>
      </c>
      <c r="L2226" s="295" t="s">
        <v>7240</v>
      </c>
      <c r="O2226" s="266">
        <v>0</v>
      </c>
      <c r="Q2226" s="266">
        <v>0</v>
      </c>
      <c r="R2226" s="265">
        <v>0</v>
      </c>
      <c r="S2226" s="265">
        <v>0</v>
      </c>
      <c r="V2226" s="265" t="s">
        <v>3028</v>
      </c>
      <c r="W2226" s="259">
        <v>0</v>
      </c>
      <c r="Y2226" s="259">
        <f t="shared" si="8"/>
        <v>1314</v>
      </c>
      <c r="AA2226" s="259" t="e">
        <v>#N/A</v>
      </c>
      <c r="AB2226" s="259"/>
      <c r="AC2226" s="259"/>
      <c r="AD2226" s="259"/>
      <c r="AE2226" s="259"/>
    </row>
    <row r="2227" spans="1:31">
      <c r="A2227" s="259">
        <v>91611740</v>
      </c>
      <c r="B2227" s="259" t="s">
        <v>116</v>
      </c>
      <c r="C2227" s="264" t="s">
        <v>7578</v>
      </c>
      <c r="D2227" s="264" t="s">
        <v>7591</v>
      </c>
      <c r="E2227" s="259" t="s">
        <v>7580</v>
      </c>
      <c r="G2227" s="259" t="s">
        <v>7263</v>
      </c>
      <c r="H2227" s="264" t="s">
        <v>7591</v>
      </c>
      <c r="I2227" s="264" t="s">
        <v>7591</v>
      </c>
      <c r="J2227" s="295">
        <v>53.09</v>
      </c>
      <c r="K2227" s="295">
        <v>53.09</v>
      </c>
      <c r="L2227" s="295" t="s">
        <v>7240</v>
      </c>
      <c r="O2227" s="266">
        <v>0</v>
      </c>
      <c r="Q2227" s="266">
        <v>0</v>
      </c>
      <c r="R2227" s="265"/>
      <c r="V2227" s="265" t="s">
        <v>3028</v>
      </c>
      <c r="W2227" s="259" t="s">
        <v>3029</v>
      </c>
      <c r="Y2227" s="259">
        <f t="shared" ref="Y2227:Y2290" si="9">Y2226+1</f>
        <v>1315</v>
      </c>
      <c r="AA2227" s="259" t="e">
        <v>#N/A</v>
      </c>
      <c r="AB2227" s="259"/>
      <c r="AC2227" s="259"/>
      <c r="AD2227" s="259"/>
      <c r="AE2227" s="259"/>
    </row>
    <row r="2228" spans="1:31">
      <c r="A2228" s="259">
        <v>91611838</v>
      </c>
      <c r="B2228" s="259" t="s">
        <v>116</v>
      </c>
      <c r="C2228" s="264"/>
      <c r="D2228" s="264" t="s">
        <v>7592</v>
      </c>
      <c r="E2228" s="259" t="s">
        <v>7580</v>
      </c>
      <c r="G2228" s="259" t="s">
        <v>7263</v>
      </c>
      <c r="H2228" s="264" t="s">
        <v>7592</v>
      </c>
      <c r="I2228" s="264" t="s">
        <v>7592</v>
      </c>
      <c r="J2228" s="295">
        <v>53.09</v>
      </c>
      <c r="K2228" s="295">
        <v>53.09</v>
      </c>
      <c r="L2228" s="295" t="s">
        <v>7240</v>
      </c>
      <c r="O2228" s="266">
        <v>0</v>
      </c>
      <c r="Q2228" s="266">
        <v>0</v>
      </c>
      <c r="R2228" s="265">
        <v>0</v>
      </c>
      <c r="S2228" s="265">
        <v>0</v>
      </c>
      <c r="V2228" s="265" t="s">
        <v>3028</v>
      </c>
      <c r="W2228" s="259">
        <v>0</v>
      </c>
      <c r="Y2228" s="259">
        <f t="shared" si="9"/>
        <v>1316</v>
      </c>
      <c r="AA2228" s="259" t="e">
        <v>#N/A</v>
      </c>
      <c r="AB2228" s="259"/>
      <c r="AC2228" s="259"/>
      <c r="AD2228" s="259"/>
      <c r="AE2228" s="259"/>
    </row>
    <row r="2229" spans="1:31">
      <c r="A2229" s="259">
        <v>91611855</v>
      </c>
      <c r="B2229" s="259" t="s">
        <v>116</v>
      </c>
      <c r="C2229" s="264"/>
      <c r="D2229" s="264" t="s">
        <v>7593</v>
      </c>
      <c r="E2229" s="259" t="s">
        <v>7580</v>
      </c>
      <c r="G2229" s="259" t="s">
        <v>7263</v>
      </c>
      <c r="H2229" s="264" t="s">
        <v>7593</v>
      </c>
      <c r="I2229" s="264" t="s">
        <v>7593</v>
      </c>
      <c r="J2229" s="295">
        <v>93.84</v>
      </c>
      <c r="K2229" s="295">
        <v>93.84</v>
      </c>
      <c r="L2229" s="295" t="s">
        <v>7240</v>
      </c>
      <c r="O2229" s="266">
        <v>0</v>
      </c>
      <c r="Q2229" s="266">
        <v>0</v>
      </c>
      <c r="R2229" s="265">
        <v>0</v>
      </c>
      <c r="S2229" s="265">
        <v>0</v>
      </c>
      <c r="V2229" s="265" t="s">
        <v>3028</v>
      </c>
      <c r="W2229" s="259">
        <v>0</v>
      </c>
      <c r="Y2229" s="259">
        <f t="shared" si="9"/>
        <v>1317</v>
      </c>
      <c r="AA2229" s="259" t="e">
        <v>#N/A</v>
      </c>
      <c r="AB2229" s="259"/>
      <c r="AC2229" s="259"/>
      <c r="AD2229" s="259"/>
      <c r="AE2229" s="259"/>
    </row>
    <row r="2230" spans="1:31">
      <c r="A2230" s="259">
        <v>91611856</v>
      </c>
      <c r="B2230" s="259" t="s">
        <v>116</v>
      </c>
      <c r="C2230" s="264" t="s">
        <v>7578</v>
      </c>
      <c r="D2230" s="264" t="s">
        <v>7594</v>
      </c>
      <c r="E2230" s="259" t="s">
        <v>7580</v>
      </c>
      <c r="G2230" s="259" t="s">
        <v>7263</v>
      </c>
      <c r="H2230" s="264" t="s">
        <v>7594</v>
      </c>
      <c r="I2230" s="264" t="s">
        <v>7594</v>
      </c>
      <c r="J2230" s="295">
        <v>95.08</v>
      </c>
      <c r="K2230" s="295">
        <v>95.08</v>
      </c>
      <c r="L2230" s="295" t="s">
        <v>7240</v>
      </c>
      <c r="O2230" s="266">
        <v>0</v>
      </c>
      <c r="Q2230" s="266">
        <v>0</v>
      </c>
      <c r="R2230" s="265">
        <v>0</v>
      </c>
      <c r="S2230" s="265">
        <v>0</v>
      </c>
      <c r="V2230" s="265" t="s">
        <v>3028</v>
      </c>
      <c r="W2230" s="259" t="s">
        <v>3029</v>
      </c>
      <c r="Y2230" s="259">
        <f t="shared" si="9"/>
        <v>1318</v>
      </c>
      <c r="AA2230" s="259" t="e">
        <v>#N/A</v>
      </c>
      <c r="AB2230" s="259"/>
      <c r="AC2230" s="259"/>
      <c r="AD2230" s="259"/>
      <c r="AE2230" s="259"/>
    </row>
    <row r="2231" spans="1:31">
      <c r="A2231" s="259" t="s">
        <v>2155</v>
      </c>
      <c r="B2231" s="259" t="s">
        <v>116</v>
      </c>
      <c r="C2231" s="264"/>
      <c r="D2231" s="264"/>
      <c r="H2231" s="264"/>
      <c r="I2231" s="264"/>
      <c r="J2231" s="295">
        <v>0</v>
      </c>
      <c r="K2231" s="295">
        <v>0</v>
      </c>
      <c r="L2231" s="295">
        <v>0</v>
      </c>
      <c r="O2231" s="266"/>
      <c r="R2231" s="265"/>
      <c r="V2231" s="265">
        <v>0</v>
      </c>
      <c r="Y2231" s="259">
        <f t="shared" si="9"/>
        <v>1319</v>
      </c>
      <c r="AA2231" s="259" t="e">
        <v>#N/A</v>
      </c>
      <c r="AB2231" s="259"/>
      <c r="AC2231" s="259"/>
      <c r="AD2231" s="259"/>
      <c r="AE2231" s="259"/>
    </row>
    <row r="2232" spans="1:31">
      <c r="A2232" s="259">
        <v>90509087</v>
      </c>
      <c r="B2232" s="259" t="s">
        <v>116</v>
      </c>
      <c r="C2232" s="264" t="s">
        <v>7578</v>
      </c>
      <c r="D2232" s="264" t="s">
        <v>7595</v>
      </c>
      <c r="E2232" s="259" t="s">
        <v>7580</v>
      </c>
      <c r="G2232" s="259" t="s">
        <v>7555</v>
      </c>
      <c r="H2232" s="264" t="s">
        <v>7595</v>
      </c>
      <c r="I2232" s="264" t="s">
        <v>7595</v>
      </c>
      <c r="J2232" s="295">
        <v>3488.21</v>
      </c>
      <c r="K2232" s="295">
        <v>3488.21</v>
      </c>
      <c r="L2232" s="295" t="s">
        <v>7240</v>
      </c>
      <c r="O2232" s="266">
        <v>0</v>
      </c>
      <c r="P2232" s="266">
        <v>5706681231089</v>
      </c>
      <c r="Q2232" s="266">
        <v>0</v>
      </c>
      <c r="R2232" s="265"/>
      <c r="V2232" s="265" t="s">
        <v>3028</v>
      </c>
      <c r="W2232" s="259" t="s">
        <v>3029</v>
      </c>
      <c r="Y2232" s="259">
        <f t="shared" si="9"/>
        <v>1320</v>
      </c>
      <c r="AA2232" s="259" t="e">
        <v>#N/A</v>
      </c>
      <c r="AB2232" s="259"/>
      <c r="AC2232" s="259"/>
      <c r="AD2232" s="259"/>
      <c r="AE2232" s="259"/>
    </row>
    <row r="2233" spans="1:31">
      <c r="A2233" s="259">
        <v>90509090</v>
      </c>
      <c r="B2233" s="259" t="s">
        <v>116</v>
      </c>
      <c r="C2233" s="264" t="s">
        <v>7578</v>
      </c>
      <c r="D2233" s="264" t="s">
        <v>7596</v>
      </c>
      <c r="E2233" s="259" t="s">
        <v>7580</v>
      </c>
      <c r="G2233" s="259" t="s">
        <v>7555</v>
      </c>
      <c r="H2233" s="264" t="s">
        <v>7596</v>
      </c>
      <c r="I2233" s="264" t="s">
        <v>7596</v>
      </c>
      <c r="J2233" s="295">
        <v>3488.21</v>
      </c>
      <c r="K2233" s="295">
        <v>3488.21</v>
      </c>
      <c r="L2233" s="295" t="s">
        <v>7240</v>
      </c>
      <c r="O2233" s="266">
        <v>0</v>
      </c>
      <c r="P2233" s="266">
        <v>5706681231447</v>
      </c>
      <c r="Q2233" s="266">
        <v>0</v>
      </c>
      <c r="R2233" s="265"/>
      <c r="V2233" s="265" t="s">
        <v>3028</v>
      </c>
      <c r="W2233" s="259" t="s">
        <v>3029</v>
      </c>
      <c r="Y2233" s="259">
        <f t="shared" si="9"/>
        <v>1321</v>
      </c>
      <c r="AA2233" s="259" t="e">
        <v>#N/A</v>
      </c>
      <c r="AB2233" s="259"/>
      <c r="AC2233" s="259"/>
      <c r="AD2233" s="259"/>
      <c r="AE2233" s="259"/>
    </row>
    <row r="2234" spans="1:31">
      <c r="A2234" s="259" t="s">
        <v>2156</v>
      </c>
      <c r="B2234" s="259" t="s">
        <v>116</v>
      </c>
      <c r="C2234" s="264"/>
      <c r="D2234" s="264"/>
      <c r="H2234" s="264"/>
      <c r="I2234" s="264"/>
      <c r="J2234" s="295">
        <v>0</v>
      </c>
      <c r="K2234" s="295">
        <v>0</v>
      </c>
      <c r="L2234" s="295">
        <v>0</v>
      </c>
      <c r="O2234" s="266"/>
      <c r="R2234" s="265"/>
      <c r="V2234" s="265">
        <v>0</v>
      </c>
      <c r="Y2234" s="259">
        <f t="shared" si="9"/>
        <v>1322</v>
      </c>
      <c r="AA2234" s="259" t="e">
        <v>#N/A</v>
      </c>
      <c r="AB2234" s="259"/>
      <c r="AC2234" s="259"/>
      <c r="AD2234" s="259"/>
      <c r="AE2234" s="259"/>
    </row>
    <row r="2235" spans="1:31">
      <c r="A2235" s="259">
        <v>90509088</v>
      </c>
      <c r="B2235" s="259" t="s">
        <v>116</v>
      </c>
      <c r="C2235" s="264" t="s">
        <v>7578</v>
      </c>
      <c r="D2235" s="264" t="s">
        <v>7597</v>
      </c>
      <c r="E2235" s="259" t="s">
        <v>7580</v>
      </c>
      <c r="G2235" s="259" t="s">
        <v>7555</v>
      </c>
      <c r="H2235" s="264" t="s">
        <v>7597</v>
      </c>
      <c r="I2235" s="264" t="s">
        <v>7597</v>
      </c>
      <c r="J2235" s="295">
        <v>3488.21</v>
      </c>
      <c r="K2235" s="295">
        <v>3488.21</v>
      </c>
      <c r="L2235" s="295" t="s">
        <v>7240</v>
      </c>
      <c r="O2235" s="266">
        <v>0</v>
      </c>
      <c r="P2235" s="266">
        <v>5706681231096</v>
      </c>
      <c r="Q2235" s="266">
        <v>0</v>
      </c>
      <c r="R2235" s="265"/>
      <c r="V2235" s="265" t="s">
        <v>3028</v>
      </c>
      <c r="W2235" s="259" t="s">
        <v>3029</v>
      </c>
      <c r="Y2235" s="259">
        <f t="shared" si="9"/>
        <v>1323</v>
      </c>
      <c r="AA2235" s="259" t="e">
        <v>#N/A</v>
      </c>
      <c r="AB2235" s="259"/>
      <c r="AC2235" s="259"/>
      <c r="AD2235" s="259"/>
      <c r="AE2235" s="259"/>
    </row>
    <row r="2236" spans="1:31">
      <c r="A2236" s="259">
        <v>90509095</v>
      </c>
      <c r="B2236" s="259" t="s">
        <v>116</v>
      </c>
      <c r="C2236" s="264" t="s">
        <v>7578</v>
      </c>
      <c r="D2236" s="264" t="s">
        <v>7598</v>
      </c>
      <c r="E2236" s="259" t="s">
        <v>7580</v>
      </c>
      <c r="G2236" s="259" t="s">
        <v>7555</v>
      </c>
      <c r="H2236" s="264" t="s">
        <v>7598</v>
      </c>
      <c r="I2236" s="264" t="s">
        <v>7598</v>
      </c>
      <c r="J2236" s="295">
        <v>3488.21</v>
      </c>
      <c r="K2236" s="295">
        <v>3488.21</v>
      </c>
      <c r="L2236" s="295" t="s">
        <v>7240</v>
      </c>
      <c r="O2236" s="266">
        <v>0</v>
      </c>
      <c r="P2236" s="266">
        <v>5706681231454</v>
      </c>
      <c r="Q2236" s="266">
        <v>0</v>
      </c>
      <c r="R2236" s="265"/>
      <c r="V2236" s="265" t="s">
        <v>3028</v>
      </c>
      <c r="W2236" s="259" t="s">
        <v>3029</v>
      </c>
      <c r="Y2236" s="259">
        <f t="shared" si="9"/>
        <v>1324</v>
      </c>
      <c r="AA2236" s="259" t="e">
        <v>#N/A</v>
      </c>
      <c r="AB2236" s="259"/>
      <c r="AC2236" s="259"/>
      <c r="AD2236" s="259"/>
      <c r="AE2236" s="259"/>
    </row>
    <row r="2237" spans="1:31">
      <c r="A2237" s="259">
        <v>90509105</v>
      </c>
      <c r="B2237" s="259" t="s">
        <v>116</v>
      </c>
      <c r="C2237" s="264"/>
      <c r="D2237" s="264" t="s">
        <v>7599</v>
      </c>
      <c r="E2237" s="259" t="s">
        <v>7580</v>
      </c>
      <c r="G2237" s="259" t="s">
        <v>7555</v>
      </c>
      <c r="H2237" s="264" t="s">
        <v>7599</v>
      </c>
      <c r="I2237" s="264" t="s">
        <v>7599</v>
      </c>
      <c r="J2237" s="295">
        <v>3704.29</v>
      </c>
      <c r="K2237" s="295">
        <v>3704.29</v>
      </c>
      <c r="L2237" s="295" t="s">
        <v>7240</v>
      </c>
      <c r="O2237" s="266">
        <v>0</v>
      </c>
      <c r="P2237" s="266">
        <v>5706681237128</v>
      </c>
      <c r="Q2237" s="266">
        <v>0</v>
      </c>
      <c r="R2237" s="265">
        <v>0</v>
      </c>
      <c r="S2237" s="265">
        <v>0</v>
      </c>
      <c r="V2237" s="265" t="s">
        <v>3028</v>
      </c>
      <c r="W2237" s="259">
        <v>0</v>
      </c>
      <c r="Y2237" s="259">
        <f t="shared" si="9"/>
        <v>1325</v>
      </c>
      <c r="AA2237" s="259" t="e">
        <v>#N/A</v>
      </c>
      <c r="AB2237" s="259"/>
      <c r="AC2237" s="259"/>
      <c r="AD2237" s="259"/>
      <c r="AE2237" s="259"/>
    </row>
    <row r="2238" spans="1:31">
      <c r="A2238" s="259" t="s">
        <v>2157</v>
      </c>
      <c r="B2238" s="259" t="s">
        <v>116</v>
      </c>
      <c r="C2238" s="264"/>
      <c r="D2238" s="264"/>
      <c r="H2238" s="264"/>
      <c r="I2238" s="264"/>
      <c r="J2238" s="295">
        <v>0</v>
      </c>
      <c r="K2238" s="295">
        <v>0</v>
      </c>
      <c r="L2238" s="295">
        <v>0</v>
      </c>
      <c r="O2238" s="266"/>
      <c r="R2238" s="265"/>
      <c r="V2238" s="265">
        <v>0</v>
      </c>
      <c r="Y2238" s="259">
        <f t="shared" si="9"/>
        <v>1326</v>
      </c>
      <c r="AA2238" s="259" t="e">
        <v>#N/A</v>
      </c>
      <c r="AB2238" s="259"/>
      <c r="AC2238" s="259"/>
      <c r="AD2238" s="259"/>
      <c r="AE2238" s="259"/>
    </row>
    <row r="2239" spans="1:31">
      <c r="A2239" s="259">
        <v>90509089</v>
      </c>
      <c r="B2239" s="259" t="s">
        <v>116</v>
      </c>
      <c r="C2239" s="264" t="s">
        <v>7578</v>
      </c>
      <c r="D2239" s="264" t="s">
        <v>7600</v>
      </c>
      <c r="E2239" s="259" t="s">
        <v>7580</v>
      </c>
      <c r="G2239" s="259" t="s">
        <v>7555</v>
      </c>
      <c r="H2239" s="264" t="s">
        <v>7600</v>
      </c>
      <c r="I2239" s="264" t="s">
        <v>7600</v>
      </c>
      <c r="J2239" s="295">
        <v>3488.21</v>
      </c>
      <c r="K2239" s="295">
        <v>3488.21</v>
      </c>
      <c r="L2239" s="295" t="s">
        <v>7240</v>
      </c>
      <c r="O2239" s="266">
        <v>0</v>
      </c>
      <c r="P2239" s="266">
        <v>5706681231102</v>
      </c>
      <c r="Q2239" s="266">
        <v>0</v>
      </c>
      <c r="R2239" s="265"/>
      <c r="V2239" s="265" t="s">
        <v>3028</v>
      </c>
      <c r="W2239" s="259" t="s">
        <v>3029</v>
      </c>
      <c r="Y2239" s="259">
        <f t="shared" si="9"/>
        <v>1327</v>
      </c>
      <c r="AA2239" s="259" t="e">
        <v>#N/A</v>
      </c>
      <c r="AB2239" s="259"/>
      <c r="AC2239" s="259"/>
      <c r="AD2239" s="259"/>
      <c r="AE2239" s="259"/>
    </row>
    <row r="2240" spans="1:31">
      <c r="A2240" s="259">
        <v>90509091</v>
      </c>
      <c r="B2240" s="259" t="s">
        <v>116</v>
      </c>
      <c r="C2240" s="264" t="s">
        <v>7578</v>
      </c>
      <c r="D2240" s="264" t="s">
        <v>7601</v>
      </c>
      <c r="E2240" s="259" t="s">
        <v>7580</v>
      </c>
      <c r="G2240" s="259" t="s">
        <v>7555</v>
      </c>
      <c r="H2240" s="264" t="s">
        <v>7601</v>
      </c>
      <c r="I2240" s="264" t="s">
        <v>7601</v>
      </c>
      <c r="J2240" s="295">
        <v>3488.21</v>
      </c>
      <c r="K2240" s="295">
        <v>3488.21</v>
      </c>
      <c r="L2240" s="295" t="s">
        <v>7240</v>
      </c>
      <c r="O2240" s="266">
        <v>0</v>
      </c>
      <c r="P2240" s="266">
        <v>5706681231553</v>
      </c>
      <c r="Q2240" s="266">
        <v>0</v>
      </c>
      <c r="R2240" s="265"/>
      <c r="V2240" s="265" t="s">
        <v>3028</v>
      </c>
      <c r="W2240" s="259" t="s">
        <v>3029</v>
      </c>
      <c r="Y2240" s="259">
        <f t="shared" si="9"/>
        <v>1328</v>
      </c>
      <c r="AA2240" s="259" t="e">
        <v>#N/A</v>
      </c>
      <c r="AB2240" s="259"/>
      <c r="AC2240" s="259"/>
      <c r="AD2240" s="259"/>
      <c r="AE2240" s="259"/>
    </row>
    <row r="2241" spans="1:31">
      <c r="A2241" s="259" t="s">
        <v>2158</v>
      </c>
      <c r="B2241" s="259" t="s">
        <v>116</v>
      </c>
      <c r="C2241" s="264"/>
      <c r="D2241" s="264"/>
      <c r="H2241" s="264"/>
      <c r="I2241" s="264"/>
      <c r="J2241" s="295">
        <v>0</v>
      </c>
      <c r="K2241" s="295">
        <v>0</v>
      </c>
      <c r="L2241" s="295">
        <v>0</v>
      </c>
      <c r="O2241" s="266"/>
      <c r="R2241" s="265"/>
      <c r="V2241" s="265">
        <v>0</v>
      </c>
      <c r="Y2241" s="259">
        <f t="shared" si="9"/>
        <v>1329</v>
      </c>
      <c r="AA2241" s="259" t="e">
        <v>#N/A</v>
      </c>
      <c r="AB2241" s="259"/>
      <c r="AC2241" s="259"/>
      <c r="AD2241" s="259"/>
      <c r="AE2241" s="259"/>
    </row>
    <row r="2242" spans="1:31">
      <c r="A2242" s="259">
        <v>91610154</v>
      </c>
      <c r="B2242" s="259" t="s">
        <v>116</v>
      </c>
      <c r="C2242" s="264" t="s">
        <v>7578</v>
      </c>
      <c r="D2242" s="264" t="s">
        <v>7602</v>
      </c>
      <c r="E2242" s="259" t="s">
        <v>7580</v>
      </c>
      <c r="G2242" s="259" t="s">
        <v>7555</v>
      </c>
      <c r="H2242" s="264" t="s">
        <v>7602</v>
      </c>
      <c r="I2242" s="264" t="s">
        <v>7602</v>
      </c>
      <c r="J2242" s="295">
        <v>180.28</v>
      </c>
      <c r="K2242" s="295">
        <v>180.28</v>
      </c>
      <c r="L2242" s="295" t="s">
        <v>7240</v>
      </c>
      <c r="O2242" s="266">
        <v>0</v>
      </c>
      <c r="Q2242" s="266">
        <v>0</v>
      </c>
      <c r="R2242" s="265"/>
      <c r="V2242" s="265" t="s">
        <v>3028</v>
      </c>
      <c r="W2242" s="259" t="s">
        <v>3029</v>
      </c>
      <c r="Y2242" s="259">
        <f t="shared" si="9"/>
        <v>1330</v>
      </c>
      <c r="AA2242" s="259" t="e">
        <v>#N/A</v>
      </c>
      <c r="AB2242" s="259"/>
      <c r="AC2242" s="259"/>
      <c r="AD2242" s="259"/>
      <c r="AE2242" s="259"/>
    </row>
    <row r="2243" spans="1:31">
      <c r="A2243" s="259">
        <v>91610153</v>
      </c>
      <c r="B2243" s="259" t="s">
        <v>116</v>
      </c>
      <c r="C2243" s="264" t="s">
        <v>7578</v>
      </c>
      <c r="D2243" s="264" t="s">
        <v>7603</v>
      </c>
      <c r="E2243" s="259" t="s">
        <v>7580</v>
      </c>
      <c r="G2243" s="259" t="s">
        <v>7555</v>
      </c>
      <c r="H2243" s="264" t="s">
        <v>7603</v>
      </c>
      <c r="I2243" s="264" t="s">
        <v>7603</v>
      </c>
      <c r="J2243" s="295">
        <v>180.28</v>
      </c>
      <c r="K2243" s="295">
        <v>180.28</v>
      </c>
      <c r="L2243" s="295" t="s">
        <v>7240</v>
      </c>
      <c r="O2243" s="266">
        <v>0</v>
      </c>
      <c r="Q2243" s="266">
        <v>0</v>
      </c>
      <c r="R2243" s="265"/>
      <c r="V2243" s="265" t="s">
        <v>3028</v>
      </c>
      <c r="W2243" s="259" t="s">
        <v>3029</v>
      </c>
      <c r="Y2243" s="259">
        <f t="shared" si="9"/>
        <v>1331</v>
      </c>
      <c r="AA2243" s="259" t="e">
        <v>#N/A</v>
      </c>
      <c r="AB2243" s="259"/>
      <c r="AC2243" s="259"/>
      <c r="AD2243" s="259"/>
      <c r="AE2243" s="259"/>
    </row>
    <row r="2244" spans="1:31">
      <c r="A2244" s="259">
        <v>91610152</v>
      </c>
      <c r="B2244" s="259" t="s">
        <v>116</v>
      </c>
      <c r="C2244" s="264" t="s">
        <v>7578</v>
      </c>
      <c r="D2244" s="264" t="s">
        <v>7604</v>
      </c>
      <c r="E2244" s="259" t="s">
        <v>7580</v>
      </c>
      <c r="G2244" s="259" t="s">
        <v>7555</v>
      </c>
      <c r="H2244" s="264" t="s">
        <v>7604</v>
      </c>
      <c r="I2244" s="264" t="s">
        <v>7604</v>
      </c>
      <c r="J2244" s="295">
        <v>180.28</v>
      </c>
      <c r="K2244" s="295">
        <v>180.28</v>
      </c>
      <c r="L2244" s="295" t="s">
        <v>7240</v>
      </c>
      <c r="O2244" s="266">
        <v>0</v>
      </c>
      <c r="Q2244" s="266">
        <v>0</v>
      </c>
      <c r="R2244" s="265"/>
      <c r="V2244" s="265" t="s">
        <v>3028</v>
      </c>
      <c r="W2244" s="259" t="s">
        <v>3029</v>
      </c>
      <c r="Y2244" s="259">
        <f t="shared" si="9"/>
        <v>1332</v>
      </c>
      <c r="AA2244" s="259" t="e">
        <v>#N/A</v>
      </c>
      <c r="AB2244" s="259"/>
      <c r="AC2244" s="259"/>
      <c r="AD2244" s="259"/>
      <c r="AE2244" s="259"/>
    </row>
    <row r="2245" spans="1:31">
      <c r="A2245" s="259">
        <v>91610151</v>
      </c>
      <c r="B2245" s="259" t="s">
        <v>116</v>
      </c>
      <c r="C2245" s="264" t="s">
        <v>7578</v>
      </c>
      <c r="D2245" s="264" t="s">
        <v>7605</v>
      </c>
      <c r="E2245" s="259" t="s">
        <v>7580</v>
      </c>
      <c r="G2245" s="259" t="s">
        <v>7555</v>
      </c>
      <c r="H2245" s="264" t="s">
        <v>7605</v>
      </c>
      <c r="I2245" s="264" t="s">
        <v>7605</v>
      </c>
      <c r="J2245" s="295">
        <v>180.28</v>
      </c>
      <c r="K2245" s="295">
        <v>180.28</v>
      </c>
      <c r="L2245" s="295" t="s">
        <v>7240</v>
      </c>
      <c r="O2245" s="266">
        <v>0</v>
      </c>
      <c r="Q2245" s="266">
        <v>0</v>
      </c>
      <c r="R2245" s="265"/>
      <c r="V2245" s="265" t="s">
        <v>3028</v>
      </c>
      <c r="W2245" s="259" t="s">
        <v>3029</v>
      </c>
      <c r="Y2245" s="259">
        <f t="shared" si="9"/>
        <v>1333</v>
      </c>
      <c r="AA2245" s="259" t="e">
        <v>#N/A</v>
      </c>
      <c r="AB2245" s="259"/>
      <c r="AC2245" s="259"/>
      <c r="AD2245" s="259"/>
      <c r="AE2245" s="259"/>
    </row>
    <row r="2246" spans="1:31">
      <c r="A2246" s="259">
        <v>91610150</v>
      </c>
      <c r="B2246" s="259" t="s">
        <v>116</v>
      </c>
      <c r="C2246" s="264" t="s">
        <v>7578</v>
      </c>
      <c r="D2246" s="264" t="s">
        <v>7606</v>
      </c>
      <c r="E2246" s="259" t="s">
        <v>7580</v>
      </c>
      <c r="G2246" s="259" t="s">
        <v>7555</v>
      </c>
      <c r="H2246" s="264" t="s">
        <v>7606</v>
      </c>
      <c r="I2246" s="264" t="s">
        <v>7606</v>
      </c>
      <c r="J2246" s="295">
        <v>180.28</v>
      </c>
      <c r="K2246" s="295">
        <v>180.28</v>
      </c>
      <c r="L2246" s="295" t="s">
        <v>7240</v>
      </c>
      <c r="O2246" s="266">
        <v>0</v>
      </c>
      <c r="Q2246" s="266">
        <v>0</v>
      </c>
      <c r="R2246" s="265"/>
      <c r="V2246" s="265" t="s">
        <v>3028</v>
      </c>
      <c r="W2246" s="259" t="s">
        <v>3029</v>
      </c>
      <c r="Y2246" s="259">
        <f t="shared" si="9"/>
        <v>1334</v>
      </c>
      <c r="AA2246" s="259" t="e">
        <v>#N/A</v>
      </c>
      <c r="AB2246" s="259"/>
      <c r="AC2246" s="259"/>
      <c r="AD2246" s="259"/>
      <c r="AE2246" s="259"/>
    </row>
    <row r="2247" spans="1:31">
      <c r="A2247" s="259">
        <v>91611834</v>
      </c>
      <c r="B2247" s="259" t="s">
        <v>116</v>
      </c>
      <c r="C2247" s="264"/>
      <c r="D2247" s="264" t="s">
        <v>7607</v>
      </c>
      <c r="E2247" s="259" t="s">
        <v>7580</v>
      </c>
      <c r="G2247" s="259" t="s">
        <v>7555</v>
      </c>
      <c r="H2247" s="264" t="s">
        <v>7607</v>
      </c>
      <c r="I2247" s="264" t="s">
        <v>7607</v>
      </c>
      <c r="J2247" s="295">
        <v>30.87</v>
      </c>
      <c r="K2247" s="295">
        <v>30.87</v>
      </c>
      <c r="L2247" s="295" t="s">
        <v>7240</v>
      </c>
      <c r="O2247" s="266">
        <v>0</v>
      </c>
      <c r="Q2247" s="266">
        <v>0</v>
      </c>
      <c r="R2247" s="265">
        <v>0</v>
      </c>
      <c r="S2247" s="265">
        <v>0</v>
      </c>
      <c r="V2247" s="265" t="s">
        <v>3028</v>
      </c>
      <c r="W2247" s="259">
        <v>0</v>
      </c>
      <c r="Y2247" s="259">
        <f t="shared" si="9"/>
        <v>1335</v>
      </c>
      <c r="AA2247" s="259" t="e">
        <v>#N/A</v>
      </c>
      <c r="AB2247" s="259"/>
      <c r="AC2247" s="259"/>
      <c r="AD2247" s="259"/>
      <c r="AE2247" s="259"/>
    </row>
    <row r="2248" spans="1:31">
      <c r="A2248" s="259">
        <v>91611745</v>
      </c>
      <c r="B2248" s="259" t="s">
        <v>116</v>
      </c>
      <c r="C2248" s="264" t="s">
        <v>7578</v>
      </c>
      <c r="D2248" s="264" t="s">
        <v>7608</v>
      </c>
      <c r="E2248" s="259" t="s">
        <v>7580</v>
      </c>
      <c r="G2248" s="259" t="s">
        <v>7555</v>
      </c>
      <c r="H2248" s="264" t="s">
        <v>7608</v>
      </c>
      <c r="I2248" s="264" t="s">
        <v>7608</v>
      </c>
      <c r="J2248" s="295">
        <v>122.24</v>
      </c>
      <c r="K2248" s="295">
        <v>122.24</v>
      </c>
      <c r="L2248" s="295" t="s">
        <v>7240</v>
      </c>
      <c r="O2248" s="266">
        <v>0</v>
      </c>
      <c r="Q2248" s="266">
        <v>0</v>
      </c>
      <c r="R2248" s="265"/>
      <c r="V2248" s="265" t="s">
        <v>3028</v>
      </c>
      <c r="W2248" s="259" t="s">
        <v>3029</v>
      </c>
      <c r="Y2248" s="259">
        <f t="shared" si="9"/>
        <v>1336</v>
      </c>
      <c r="AA2248" s="259" t="e">
        <v>#N/A</v>
      </c>
      <c r="AB2248" s="259"/>
      <c r="AC2248" s="259"/>
      <c r="AD2248" s="259"/>
      <c r="AE2248" s="259"/>
    </row>
    <row r="2249" spans="1:31">
      <c r="A2249" s="259">
        <v>91611839</v>
      </c>
      <c r="B2249" s="259" t="s">
        <v>116</v>
      </c>
      <c r="C2249" s="264"/>
      <c r="D2249" s="264" t="s">
        <v>7609</v>
      </c>
      <c r="E2249" s="259" t="s">
        <v>7580</v>
      </c>
      <c r="G2249" s="259" t="s">
        <v>7555</v>
      </c>
      <c r="H2249" s="264" t="s">
        <v>7609</v>
      </c>
      <c r="I2249" s="264" t="s">
        <v>7609</v>
      </c>
      <c r="J2249" s="295">
        <v>122.24</v>
      </c>
      <c r="K2249" s="295">
        <v>122.24</v>
      </c>
      <c r="L2249" s="295" t="s">
        <v>7240</v>
      </c>
      <c r="O2249" s="266">
        <v>0</v>
      </c>
      <c r="Q2249" s="266">
        <v>0</v>
      </c>
      <c r="R2249" s="265">
        <v>0</v>
      </c>
      <c r="S2249" s="265">
        <v>0</v>
      </c>
      <c r="V2249" s="265" t="s">
        <v>3028</v>
      </c>
      <c r="W2249" s="259">
        <v>0</v>
      </c>
      <c r="Y2249" s="259">
        <f t="shared" si="9"/>
        <v>1337</v>
      </c>
      <c r="AA2249" s="259" t="e">
        <v>#N/A</v>
      </c>
      <c r="AB2249" s="259"/>
      <c r="AC2249" s="259"/>
      <c r="AD2249" s="259"/>
      <c r="AE2249" s="259"/>
    </row>
    <row r="2250" spans="1:31">
      <c r="A2250" s="259">
        <v>91611857</v>
      </c>
      <c r="B2250" s="259" t="s">
        <v>116</v>
      </c>
      <c r="C2250" s="264" t="s">
        <v>7578</v>
      </c>
      <c r="D2250" s="264" t="s">
        <v>7610</v>
      </c>
      <c r="E2250" s="259" t="s">
        <v>7580</v>
      </c>
      <c r="G2250" s="259" t="s">
        <v>7555</v>
      </c>
      <c r="H2250" s="264" t="s">
        <v>7610</v>
      </c>
      <c r="I2250" s="264" t="s">
        <v>7610</v>
      </c>
      <c r="J2250" s="295">
        <v>258.07</v>
      </c>
      <c r="K2250" s="295">
        <v>258.07</v>
      </c>
      <c r="L2250" s="295" t="s">
        <v>7240</v>
      </c>
      <c r="O2250" s="266">
        <v>0</v>
      </c>
      <c r="Q2250" s="266">
        <v>0</v>
      </c>
      <c r="R2250" s="265">
        <v>0</v>
      </c>
      <c r="S2250" s="265">
        <v>0</v>
      </c>
      <c r="V2250" s="265" t="s">
        <v>3028</v>
      </c>
      <c r="W2250" s="259" t="s">
        <v>3029</v>
      </c>
      <c r="Y2250" s="259">
        <f t="shared" si="9"/>
        <v>1338</v>
      </c>
      <c r="AA2250" s="259" t="e">
        <v>#N/A</v>
      </c>
      <c r="AB2250" s="259"/>
      <c r="AC2250" s="259"/>
      <c r="AD2250" s="259"/>
      <c r="AE2250" s="259"/>
    </row>
    <row r="2251" spans="1:31">
      <c r="A2251" s="259">
        <v>91611844</v>
      </c>
      <c r="B2251" s="259" t="s">
        <v>116</v>
      </c>
      <c r="C2251" s="264" t="s">
        <v>7578</v>
      </c>
      <c r="D2251" s="264" t="s">
        <v>7611</v>
      </c>
      <c r="E2251" s="259" t="s">
        <v>7580</v>
      </c>
      <c r="G2251" s="259" t="s">
        <v>7555</v>
      </c>
      <c r="H2251" s="264" t="s">
        <v>7611</v>
      </c>
      <c r="I2251" s="264" t="s">
        <v>7611</v>
      </c>
      <c r="J2251" s="295">
        <v>258.07</v>
      </c>
      <c r="K2251" s="295">
        <v>258.07</v>
      </c>
      <c r="L2251" s="295" t="s">
        <v>7240</v>
      </c>
      <c r="O2251" s="266">
        <v>0</v>
      </c>
      <c r="Q2251" s="266">
        <v>0</v>
      </c>
      <c r="R2251" s="265">
        <v>0</v>
      </c>
      <c r="S2251" s="265">
        <v>0</v>
      </c>
      <c r="V2251" s="265" t="s">
        <v>3028</v>
      </c>
      <c r="W2251" s="259">
        <v>0</v>
      </c>
      <c r="Y2251" s="259">
        <f t="shared" si="9"/>
        <v>1339</v>
      </c>
      <c r="AA2251" s="259" t="e">
        <v>#N/A</v>
      </c>
      <c r="AB2251" s="259"/>
      <c r="AC2251" s="259"/>
      <c r="AD2251" s="259"/>
      <c r="AE2251" s="259"/>
    </row>
    <row r="2252" spans="1:31">
      <c r="A2252" s="259" t="s">
        <v>2159</v>
      </c>
      <c r="B2252" s="259" t="s">
        <v>116</v>
      </c>
      <c r="C2252" s="264"/>
      <c r="D2252" s="264"/>
      <c r="H2252" s="264"/>
      <c r="I2252" s="264"/>
      <c r="J2252" s="295">
        <v>0</v>
      </c>
      <c r="K2252" s="295">
        <v>0</v>
      </c>
      <c r="L2252" s="295">
        <v>0</v>
      </c>
      <c r="O2252" s="266"/>
      <c r="R2252" s="265"/>
      <c r="V2252" s="265">
        <v>0</v>
      </c>
      <c r="Y2252" s="259">
        <f t="shared" si="9"/>
        <v>1340</v>
      </c>
      <c r="AA2252" s="259" t="e">
        <v>#N/A</v>
      </c>
      <c r="AB2252" s="259"/>
      <c r="AC2252" s="259"/>
      <c r="AD2252" s="259"/>
      <c r="AE2252" s="259"/>
    </row>
    <row r="2253" spans="1:31">
      <c r="A2253" s="259">
        <v>90507070</v>
      </c>
      <c r="B2253" s="259" t="s">
        <v>116</v>
      </c>
      <c r="C2253" s="264" t="s">
        <v>7578</v>
      </c>
      <c r="D2253" s="264" t="s">
        <v>7612</v>
      </c>
      <c r="E2253" s="259" t="s">
        <v>7580</v>
      </c>
      <c r="G2253" s="259" t="s">
        <v>7555</v>
      </c>
      <c r="H2253" s="264" t="s">
        <v>7612</v>
      </c>
      <c r="I2253" s="264" t="s">
        <v>7612</v>
      </c>
      <c r="J2253" s="295">
        <v>4864.97</v>
      </c>
      <c r="K2253" s="295">
        <v>4864.97</v>
      </c>
      <c r="L2253" s="295" t="s">
        <v>7240</v>
      </c>
      <c r="O2253" s="266">
        <v>0</v>
      </c>
      <c r="P2253" s="266">
        <v>5706681230990</v>
      </c>
      <c r="Q2253" s="266">
        <v>0</v>
      </c>
      <c r="R2253" s="265"/>
      <c r="V2253" s="265" t="s">
        <v>3028</v>
      </c>
      <c r="W2253" s="259" t="s">
        <v>3029</v>
      </c>
      <c r="Y2253" s="259">
        <f t="shared" si="9"/>
        <v>1341</v>
      </c>
      <c r="AA2253" s="259" t="e">
        <v>#N/A</v>
      </c>
      <c r="AB2253" s="259"/>
      <c r="AC2253" s="259"/>
      <c r="AD2253" s="259"/>
      <c r="AE2253" s="259"/>
    </row>
    <row r="2254" spans="1:31">
      <c r="A2254" s="259">
        <v>90507071</v>
      </c>
      <c r="B2254" s="259" t="s">
        <v>116</v>
      </c>
      <c r="C2254" s="264" t="s">
        <v>7578</v>
      </c>
      <c r="D2254" s="264" t="s">
        <v>7613</v>
      </c>
      <c r="E2254" s="259" t="s">
        <v>7580</v>
      </c>
      <c r="G2254" s="259" t="s">
        <v>7555</v>
      </c>
      <c r="H2254" s="264" t="s">
        <v>7613</v>
      </c>
      <c r="I2254" s="264" t="s">
        <v>7613</v>
      </c>
      <c r="J2254" s="295">
        <v>4864.97</v>
      </c>
      <c r="K2254" s="295">
        <v>4864.97</v>
      </c>
      <c r="L2254" s="295" t="s">
        <v>7240</v>
      </c>
      <c r="O2254" s="266">
        <v>0</v>
      </c>
      <c r="P2254" s="266">
        <v>5706681231560</v>
      </c>
      <c r="Q2254" s="266">
        <v>0</v>
      </c>
      <c r="R2254" s="265"/>
      <c r="V2254" s="265" t="s">
        <v>3028</v>
      </c>
      <c r="W2254" s="259" t="s">
        <v>3029</v>
      </c>
      <c r="Y2254" s="259">
        <f t="shared" si="9"/>
        <v>1342</v>
      </c>
      <c r="AA2254" s="259" t="e">
        <v>#N/A</v>
      </c>
      <c r="AB2254" s="259"/>
      <c r="AC2254" s="259"/>
      <c r="AD2254" s="259"/>
      <c r="AE2254" s="259"/>
    </row>
    <row r="2255" spans="1:31">
      <c r="A2255" s="259" t="s">
        <v>2160</v>
      </c>
      <c r="B2255" s="259" t="s">
        <v>116</v>
      </c>
      <c r="C2255" s="264"/>
      <c r="D2255" s="264"/>
      <c r="H2255" s="264"/>
      <c r="I2255" s="264"/>
      <c r="J2255" s="295">
        <v>0</v>
      </c>
      <c r="K2255" s="295">
        <v>0</v>
      </c>
      <c r="L2255" s="295">
        <v>0</v>
      </c>
      <c r="O2255" s="266"/>
      <c r="R2255" s="265"/>
      <c r="V2255" s="265">
        <v>0</v>
      </c>
      <c r="Y2255" s="259">
        <f t="shared" si="9"/>
        <v>1343</v>
      </c>
      <c r="AA2255" s="259" t="e">
        <v>#N/A</v>
      </c>
      <c r="AB2255" s="259"/>
      <c r="AC2255" s="259"/>
      <c r="AD2255" s="259"/>
      <c r="AE2255" s="259"/>
    </row>
    <row r="2256" spans="1:31">
      <c r="A2256" s="259">
        <v>90507075</v>
      </c>
      <c r="B2256" s="259" t="s">
        <v>116</v>
      </c>
      <c r="C2256" s="264" t="s">
        <v>7578</v>
      </c>
      <c r="D2256" s="264" t="s">
        <v>7614</v>
      </c>
      <c r="E2256" s="259" t="s">
        <v>7580</v>
      </c>
      <c r="G2256" s="259" t="s">
        <v>7555</v>
      </c>
      <c r="H2256" s="264" t="s">
        <v>7614</v>
      </c>
      <c r="I2256" s="264" t="s">
        <v>7614</v>
      </c>
      <c r="J2256" s="295">
        <v>4864.97</v>
      </c>
      <c r="K2256" s="295">
        <v>4864.97</v>
      </c>
      <c r="L2256" s="295" t="s">
        <v>7240</v>
      </c>
      <c r="O2256" s="266">
        <v>0</v>
      </c>
      <c r="P2256" s="266">
        <v>5706681231065</v>
      </c>
      <c r="Q2256" s="266">
        <v>0</v>
      </c>
      <c r="R2256" s="265">
        <v>0</v>
      </c>
      <c r="S2256" s="265">
        <v>0</v>
      </c>
      <c r="V2256" s="265" t="s">
        <v>3028</v>
      </c>
      <c r="W2256" s="259" t="s">
        <v>3029</v>
      </c>
      <c r="Y2256" s="259">
        <f t="shared" si="9"/>
        <v>1344</v>
      </c>
      <c r="AA2256" s="259" t="e">
        <v>#N/A</v>
      </c>
      <c r="AB2256" s="259"/>
      <c r="AC2256" s="259"/>
      <c r="AD2256" s="259"/>
      <c r="AE2256" s="259"/>
    </row>
    <row r="2257" spans="1:31">
      <c r="A2257" s="259">
        <v>90507085</v>
      </c>
      <c r="B2257" s="259" t="s">
        <v>116</v>
      </c>
      <c r="C2257" s="264" t="s">
        <v>7578</v>
      </c>
      <c r="D2257" s="264" t="s">
        <v>7615</v>
      </c>
      <c r="E2257" s="259" t="s">
        <v>7580</v>
      </c>
      <c r="G2257" s="259" t="s">
        <v>7555</v>
      </c>
      <c r="H2257" s="264" t="s">
        <v>7615</v>
      </c>
      <c r="I2257" s="264" t="s">
        <v>7615</v>
      </c>
      <c r="J2257" s="295">
        <v>4864.97</v>
      </c>
      <c r="K2257" s="295">
        <v>4864.97</v>
      </c>
      <c r="L2257" s="295" t="s">
        <v>7240</v>
      </c>
      <c r="O2257" s="266">
        <v>0</v>
      </c>
      <c r="P2257" s="266">
        <v>5706681231577</v>
      </c>
      <c r="Q2257" s="266">
        <v>0</v>
      </c>
      <c r="R2257" s="265">
        <v>0</v>
      </c>
      <c r="S2257" s="265">
        <v>0</v>
      </c>
      <c r="V2257" s="265" t="s">
        <v>3028</v>
      </c>
      <c r="W2257" s="259" t="s">
        <v>3029</v>
      </c>
      <c r="Y2257" s="259">
        <f t="shared" si="9"/>
        <v>1345</v>
      </c>
      <c r="AA2257" s="259" t="e">
        <v>#N/A</v>
      </c>
      <c r="AB2257" s="259"/>
      <c r="AC2257" s="259"/>
      <c r="AD2257" s="259"/>
      <c r="AE2257" s="259"/>
    </row>
    <row r="2258" spans="1:31">
      <c r="A2258" s="259">
        <v>90507155</v>
      </c>
      <c r="B2258" s="259" t="s">
        <v>116</v>
      </c>
      <c r="C2258" s="264"/>
      <c r="D2258" s="264" t="s">
        <v>7616</v>
      </c>
      <c r="E2258" s="259" t="s">
        <v>7580</v>
      </c>
      <c r="G2258" s="259" t="s">
        <v>7555</v>
      </c>
      <c r="H2258" s="264" t="s">
        <v>7616</v>
      </c>
      <c r="I2258" s="264" t="s">
        <v>7616</v>
      </c>
      <c r="J2258" s="295">
        <v>5099.58</v>
      </c>
      <c r="K2258" s="295">
        <v>5099.58</v>
      </c>
      <c r="L2258" s="295" t="s">
        <v>7240</v>
      </c>
      <c r="O2258" s="266">
        <v>0</v>
      </c>
      <c r="P2258" s="266">
        <v>5706681237111</v>
      </c>
      <c r="Q2258" s="266">
        <v>0</v>
      </c>
      <c r="R2258" s="265">
        <v>0</v>
      </c>
      <c r="S2258" s="265">
        <v>0</v>
      </c>
      <c r="V2258" s="265" t="s">
        <v>3028</v>
      </c>
      <c r="W2258" s="259">
        <v>0</v>
      </c>
      <c r="Y2258" s="259">
        <f t="shared" si="9"/>
        <v>1346</v>
      </c>
      <c r="AA2258" s="259" t="e">
        <v>#N/A</v>
      </c>
      <c r="AB2258" s="259"/>
      <c r="AC2258" s="259"/>
      <c r="AD2258" s="259"/>
      <c r="AE2258" s="259"/>
    </row>
    <row r="2259" spans="1:31">
      <c r="A2259" s="259" t="s">
        <v>2161</v>
      </c>
      <c r="B2259" s="259" t="s">
        <v>116</v>
      </c>
      <c r="C2259" s="264"/>
      <c r="D2259" s="264"/>
      <c r="H2259" s="264"/>
      <c r="I2259" s="264"/>
      <c r="J2259" s="295">
        <v>0</v>
      </c>
      <c r="K2259" s="295">
        <v>0</v>
      </c>
      <c r="L2259" s="295">
        <v>0</v>
      </c>
      <c r="O2259" s="266"/>
      <c r="R2259" s="265"/>
      <c r="V2259" s="265">
        <v>0</v>
      </c>
      <c r="Y2259" s="259">
        <f t="shared" si="9"/>
        <v>1347</v>
      </c>
      <c r="AA2259" s="259" t="e">
        <v>#N/A</v>
      </c>
      <c r="AB2259" s="259"/>
      <c r="AC2259" s="259"/>
      <c r="AD2259" s="259"/>
      <c r="AE2259" s="259"/>
    </row>
    <row r="2260" spans="1:31">
      <c r="A2260" s="259">
        <v>90507080</v>
      </c>
      <c r="B2260" s="259" t="s">
        <v>116</v>
      </c>
      <c r="C2260" s="264" t="s">
        <v>7578</v>
      </c>
      <c r="D2260" s="264" t="s">
        <v>7617</v>
      </c>
      <c r="E2260" s="259" t="s">
        <v>7580</v>
      </c>
      <c r="G2260" s="259" t="s">
        <v>7555</v>
      </c>
      <c r="H2260" s="264" t="s">
        <v>7617</v>
      </c>
      <c r="I2260" s="264" t="s">
        <v>7617</v>
      </c>
      <c r="J2260" s="295">
        <v>4864.97</v>
      </c>
      <c r="K2260" s="295">
        <v>4864.97</v>
      </c>
      <c r="L2260" s="295" t="s">
        <v>7240</v>
      </c>
      <c r="O2260" s="266">
        <v>0</v>
      </c>
      <c r="P2260" s="266">
        <v>5706681231072</v>
      </c>
      <c r="Q2260" s="266">
        <v>0</v>
      </c>
      <c r="R2260" s="265">
        <v>0</v>
      </c>
      <c r="S2260" s="265">
        <v>0</v>
      </c>
      <c r="V2260" s="265" t="s">
        <v>3028</v>
      </c>
      <c r="W2260" s="259" t="s">
        <v>3029</v>
      </c>
      <c r="Y2260" s="259">
        <f t="shared" si="9"/>
        <v>1348</v>
      </c>
      <c r="AA2260" s="259" t="e">
        <v>#N/A</v>
      </c>
      <c r="AB2260" s="259"/>
      <c r="AC2260" s="259"/>
      <c r="AD2260" s="259"/>
      <c r="AE2260" s="259"/>
    </row>
    <row r="2261" spans="1:31">
      <c r="A2261" s="259">
        <v>90507081</v>
      </c>
      <c r="B2261" s="259" t="s">
        <v>116</v>
      </c>
      <c r="C2261" s="264" t="s">
        <v>7578</v>
      </c>
      <c r="D2261" s="264" t="s">
        <v>7618</v>
      </c>
      <c r="E2261" s="259" t="s">
        <v>7580</v>
      </c>
      <c r="G2261" s="259" t="s">
        <v>7555</v>
      </c>
      <c r="H2261" s="264" t="s">
        <v>7618</v>
      </c>
      <c r="I2261" s="264" t="s">
        <v>7618</v>
      </c>
      <c r="J2261" s="295">
        <v>4864.97</v>
      </c>
      <c r="K2261" s="295">
        <v>4864.97</v>
      </c>
      <c r="L2261" s="295" t="s">
        <v>7240</v>
      </c>
      <c r="O2261" s="266">
        <v>0</v>
      </c>
      <c r="P2261" s="266">
        <v>5706681231584</v>
      </c>
      <c r="Q2261" s="266">
        <v>0</v>
      </c>
      <c r="R2261" s="265">
        <v>0</v>
      </c>
      <c r="S2261" s="265">
        <v>0</v>
      </c>
      <c r="V2261" s="265" t="s">
        <v>3028</v>
      </c>
      <c r="W2261" s="259" t="s">
        <v>3029</v>
      </c>
      <c r="Y2261" s="259">
        <f t="shared" si="9"/>
        <v>1349</v>
      </c>
      <c r="AA2261" s="259" t="e">
        <v>#N/A</v>
      </c>
      <c r="AB2261" s="259"/>
      <c r="AC2261" s="259"/>
      <c r="AD2261" s="259"/>
      <c r="AE2261" s="259"/>
    </row>
    <row r="2262" spans="1:31">
      <c r="A2262" s="259" t="s">
        <v>2162</v>
      </c>
      <c r="B2262" s="259" t="s">
        <v>116</v>
      </c>
      <c r="C2262" s="264"/>
      <c r="D2262" s="264"/>
      <c r="H2262" s="264"/>
      <c r="I2262" s="264"/>
      <c r="J2262" s="295">
        <v>0</v>
      </c>
      <c r="K2262" s="295">
        <v>0</v>
      </c>
      <c r="L2262" s="295">
        <v>0</v>
      </c>
      <c r="O2262" s="266"/>
      <c r="R2262" s="265"/>
      <c r="V2262" s="265">
        <v>0</v>
      </c>
      <c r="Y2262" s="259">
        <f t="shared" si="9"/>
        <v>1350</v>
      </c>
      <c r="AA2262" s="259" t="e">
        <v>#N/A</v>
      </c>
      <c r="AB2262" s="259"/>
      <c r="AC2262" s="259"/>
      <c r="AD2262" s="259"/>
      <c r="AE2262" s="259"/>
    </row>
    <row r="2263" spans="1:31">
      <c r="A2263" s="259">
        <v>91610155</v>
      </c>
      <c r="B2263" s="259" t="s">
        <v>116</v>
      </c>
      <c r="C2263" s="264" t="s">
        <v>7578</v>
      </c>
      <c r="D2263" s="264" t="s">
        <v>7619</v>
      </c>
      <c r="E2263" s="259" t="s">
        <v>7580</v>
      </c>
      <c r="G2263" s="259" t="s">
        <v>7555</v>
      </c>
      <c r="H2263" s="264" t="s">
        <v>7619</v>
      </c>
      <c r="I2263" s="264" t="s">
        <v>7619</v>
      </c>
      <c r="J2263" s="295">
        <v>277.82</v>
      </c>
      <c r="K2263" s="295">
        <v>277.82</v>
      </c>
      <c r="L2263" s="295" t="s">
        <v>7240</v>
      </c>
      <c r="O2263" s="266">
        <v>0</v>
      </c>
      <c r="Q2263" s="266">
        <v>0</v>
      </c>
      <c r="R2263" s="265">
        <v>0</v>
      </c>
      <c r="S2263" s="265">
        <v>0</v>
      </c>
      <c r="V2263" s="265" t="s">
        <v>3028</v>
      </c>
      <c r="W2263" s="259" t="s">
        <v>3029</v>
      </c>
      <c r="Y2263" s="259">
        <f t="shared" si="9"/>
        <v>1351</v>
      </c>
      <c r="AA2263" s="259" t="e">
        <v>#N/A</v>
      </c>
      <c r="AB2263" s="259"/>
      <c r="AC2263" s="259"/>
      <c r="AD2263" s="259"/>
      <c r="AE2263" s="259"/>
    </row>
    <row r="2264" spans="1:31">
      <c r="A2264" s="259">
        <v>91610156</v>
      </c>
      <c r="B2264" s="259" t="s">
        <v>116</v>
      </c>
      <c r="C2264" s="264" t="s">
        <v>7578</v>
      </c>
      <c r="D2264" s="264" t="s">
        <v>7620</v>
      </c>
      <c r="E2264" s="259" t="s">
        <v>7580</v>
      </c>
      <c r="G2264" s="259" t="s">
        <v>7555</v>
      </c>
      <c r="H2264" s="264" t="s">
        <v>7620</v>
      </c>
      <c r="I2264" s="264" t="s">
        <v>7620</v>
      </c>
      <c r="J2264" s="295">
        <v>277.82</v>
      </c>
      <c r="K2264" s="295">
        <v>277.82</v>
      </c>
      <c r="L2264" s="295" t="s">
        <v>7240</v>
      </c>
      <c r="O2264" s="266">
        <v>0</v>
      </c>
      <c r="Q2264" s="266">
        <v>0</v>
      </c>
      <c r="R2264" s="265">
        <v>0</v>
      </c>
      <c r="S2264" s="265">
        <v>0</v>
      </c>
      <c r="V2264" s="265" t="s">
        <v>3028</v>
      </c>
      <c r="W2264" s="259" t="s">
        <v>3029</v>
      </c>
      <c r="Y2264" s="259">
        <f t="shared" si="9"/>
        <v>1352</v>
      </c>
      <c r="AA2264" s="259" t="e">
        <v>#N/A</v>
      </c>
      <c r="AB2264" s="259"/>
      <c r="AC2264" s="259"/>
      <c r="AD2264" s="259"/>
      <c r="AE2264" s="259"/>
    </row>
    <row r="2265" spans="1:31">
      <c r="A2265" s="259">
        <v>91610157</v>
      </c>
      <c r="B2265" s="259" t="s">
        <v>116</v>
      </c>
      <c r="C2265" s="264" t="s">
        <v>7578</v>
      </c>
      <c r="D2265" s="264" t="s">
        <v>7621</v>
      </c>
      <c r="E2265" s="259" t="s">
        <v>7580</v>
      </c>
      <c r="G2265" s="259" t="s">
        <v>7555</v>
      </c>
      <c r="H2265" s="264" t="s">
        <v>7621</v>
      </c>
      <c r="I2265" s="264" t="s">
        <v>7621</v>
      </c>
      <c r="J2265" s="295">
        <v>277.82</v>
      </c>
      <c r="K2265" s="295">
        <v>277.82</v>
      </c>
      <c r="L2265" s="295" t="s">
        <v>7240</v>
      </c>
      <c r="O2265" s="266">
        <v>0</v>
      </c>
      <c r="Q2265" s="266">
        <v>0</v>
      </c>
      <c r="R2265" s="265">
        <v>0</v>
      </c>
      <c r="S2265" s="265">
        <v>0</v>
      </c>
      <c r="V2265" s="265" t="s">
        <v>3028</v>
      </c>
      <c r="W2265" s="259" t="s">
        <v>3029</v>
      </c>
      <c r="Y2265" s="259">
        <f t="shared" si="9"/>
        <v>1353</v>
      </c>
      <c r="AA2265" s="259" t="e">
        <v>#N/A</v>
      </c>
      <c r="AB2265" s="259"/>
      <c r="AC2265" s="259"/>
      <c r="AD2265" s="259"/>
      <c r="AE2265" s="259"/>
    </row>
    <row r="2266" spans="1:31">
      <c r="A2266" s="259">
        <v>91610158</v>
      </c>
      <c r="B2266" s="259" t="s">
        <v>116</v>
      </c>
      <c r="C2266" s="264" t="s">
        <v>7578</v>
      </c>
      <c r="D2266" s="264" t="s">
        <v>7622</v>
      </c>
      <c r="E2266" s="259" t="s">
        <v>7580</v>
      </c>
      <c r="G2266" s="259" t="s">
        <v>7555</v>
      </c>
      <c r="H2266" s="264" t="s">
        <v>7622</v>
      </c>
      <c r="I2266" s="264" t="s">
        <v>7622</v>
      </c>
      <c r="J2266" s="295">
        <v>277.82</v>
      </c>
      <c r="K2266" s="295">
        <v>277.82</v>
      </c>
      <c r="L2266" s="295" t="s">
        <v>7240</v>
      </c>
      <c r="O2266" s="266">
        <v>0</v>
      </c>
      <c r="Q2266" s="266">
        <v>0</v>
      </c>
      <c r="R2266" s="265">
        <v>0</v>
      </c>
      <c r="S2266" s="265">
        <v>0</v>
      </c>
      <c r="V2266" s="265" t="s">
        <v>3028</v>
      </c>
      <c r="W2266" s="259" t="s">
        <v>3029</v>
      </c>
      <c r="Y2266" s="259">
        <f t="shared" si="9"/>
        <v>1354</v>
      </c>
      <c r="AA2266" s="259" t="e">
        <v>#N/A</v>
      </c>
      <c r="AB2266" s="259"/>
      <c r="AC2266" s="259"/>
      <c r="AD2266" s="259"/>
      <c r="AE2266" s="259"/>
    </row>
    <row r="2267" spans="1:31">
      <c r="A2267" s="259">
        <v>91610159</v>
      </c>
      <c r="B2267" s="259" t="s">
        <v>116</v>
      </c>
      <c r="C2267" s="264" t="s">
        <v>7578</v>
      </c>
      <c r="D2267" s="264" t="s">
        <v>7623</v>
      </c>
      <c r="E2267" s="259" t="s">
        <v>7580</v>
      </c>
      <c r="G2267" s="259" t="s">
        <v>7555</v>
      </c>
      <c r="H2267" s="264" t="s">
        <v>7623</v>
      </c>
      <c r="I2267" s="264" t="s">
        <v>7623</v>
      </c>
      <c r="J2267" s="295">
        <v>277.82</v>
      </c>
      <c r="K2267" s="295">
        <v>277.82</v>
      </c>
      <c r="L2267" s="295" t="s">
        <v>7240</v>
      </c>
      <c r="O2267" s="266">
        <v>0</v>
      </c>
      <c r="Q2267" s="266">
        <v>0</v>
      </c>
      <c r="R2267" s="265"/>
      <c r="V2267" s="265" t="s">
        <v>3028</v>
      </c>
      <c r="W2267" s="259" t="s">
        <v>3029</v>
      </c>
      <c r="Y2267" s="259">
        <f t="shared" si="9"/>
        <v>1355</v>
      </c>
      <c r="AA2267" s="259" t="e">
        <v>#N/A</v>
      </c>
      <c r="AB2267" s="259"/>
      <c r="AC2267" s="259"/>
      <c r="AD2267" s="259"/>
      <c r="AE2267" s="259"/>
    </row>
    <row r="2268" spans="1:31">
      <c r="A2268" s="259">
        <v>91611835</v>
      </c>
      <c r="B2268" s="259" t="s">
        <v>116</v>
      </c>
      <c r="C2268" s="264"/>
      <c r="D2268" s="264" t="s">
        <v>7624</v>
      </c>
      <c r="E2268" s="259" t="s">
        <v>7580</v>
      </c>
      <c r="G2268" s="259" t="s">
        <v>7555</v>
      </c>
      <c r="H2268" s="264" t="s">
        <v>7624</v>
      </c>
      <c r="I2268" s="264" t="s">
        <v>7624</v>
      </c>
      <c r="J2268" s="295">
        <v>45.69</v>
      </c>
      <c r="K2268" s="295">
        <v>45.69</v>
      </c>
      <c r="L2268" s="295" t="s">
        <v>7240</v>
      </c>
      <c r="O2268" s="266">
        <v>0</v>
      </c>
      <c r="Q2268" s="266">
        <v>0</v>
      </c>
      <c r="R2268" s="265">
        <v>0</v>
      </c>
      <c r="S2268" s="265">
        <v>0</v>
      </c>
      <c r="V2268" s="265" t="s">
        <v>3028</v>
      </c>
      <c r="W2268" s="259">
        <v>0</v>
      </c>
      <c r="Y2268" s="259">
        <f t="shared" si="9"/>
        <v>1356</v>
      </c>
      <c r="AA2268" s="259" t="e">
        <v>#N/A</v>
      </c>
      <c r="AB2268" s="259"/>
      <c r="AC2268" s="259"/>
      <c r="AD2268" s="259"/>
      <c r="AE2268" s="259"/>
    </row>
    <row r="2269" spans="1:31">
      <c r="A2269" s="259">
        <v>91611735</v>
      </c>
      <c r="B2269" s="259" t="s">
        <v>116</v>
      </c>
      <c r="C2269" s="264" t="s">
        <v>7578</v>
      </c>
      <c r="D2269" s="264" t="s">
        <v>7625</v>
      </c>
      <c r="E2269" s="259" t="s">
        <v>7580</v>
      </c>
      <c r="G2269" s="259" t="s">
        <v>7555</v>
      </c>
      <c r="H2269" s="264" t="s">
        <v>7625</v>
      </c>
      <c r="I2269" s="264" t="s">
        <v>7625</v>
      </c>
      <c r="J2269" s="295">
        <v>135.82</v>
      </c>
      <c r="K2269" s="295">
        <v>135.82</v>
      </c>
      <c r="L2269" s="295" t="s">
        <v>7240</v>
      </c>
      <c r="O2269" s="266">
        <v>0</v>
      </c>
      <c r="Q2269" s="266">
        <v>0</v>
      </c>
      <c r="R2269" s="265">
        <v>0</v>
      </c>
      <c r="S2269" s="265">
        <v>0</v>
      </c>
      <c r="V2269" s="265" t="s">
        <v>3028</v>
      </c>
      <c r="W2269" s="259" t="s">
        <v>3029</v>
      </c>
      <c r="Y2269" s="259">
        <f t="shared" si="9"/>
        <v>1357</v>
      </c>
      <c r="AA2269" s="259" t="e">
        <v>#N/A</v>
      </c>
      <c r="AB2269" s="259"/>
      <c r="AC2269" s="259"/>
      <c r="AD2269" s="259"/>
      <c r="AE2269" s="259"/>
    </row>
    <row r="2270" spans="1:31">
      <c r="A2270" s="259">
        <v>91611840</v>
      </c>
      <c r="B2270" s="259" t="s">
        <v>116</v>
      </c>
      <c r="C2270" s="264"/>
      <c r="D2270" s="264" t="s">
        <v>7626</v>
      </c>
      <c r="E2270" s="259" t="s">
        <v>7580</v>
      </c>
      <c r="G2270" s="259" t="s">
        <v>7555</v>
      </c>
      <c r="H2270" s="264" t="s">
        <v>7626</v>
      </c>
      <c r="I2270" s="264" t="s">
        <v>7626</v>
      </c>
      <c r="J2270" s="295">
        <v>135.82</v>
      </c>
      <c r="K2270" s="295">
        <v>135.82</v>
      </c>
      <c r="L2270" s="295" t="s">
        <v>7240</v>
      </c>
      <c r="O2270" s="266">
        <v>0</v>
      </c>
      <c r="Q2270" s="266">
        <v>0</v>
      </c>
      <c r="R2270" s="265">
        <v>0</v>
      </c>
      <c r="S2270" s="265">
        <v>0</v>
      </c>
      <c r="V2270" s="265" t="s">
        <v>3028</v>
      </c>
      <c r="W2270" s="259">
        <v>0</v>
      </c>
      <c r="Y2270" s="259">
        <f t="shared" si="9"/>
        <v>1358</v>
      </c>
      <c r="AA2270" s="259" t="e">
        <v>#N/A</v>
      </c>
      <c r="AB2270" s="259"/>
      <c r="AC2270" s="259"/>
      <c r="AD2270" s="259"/>
      <c r="AE2270" s="259"/>
    </row>
    <row r="2271" spans="1:31">
      <c r="A2271" s="259">
        <v>91611858</v>
      </c>
      <c r="B2271" s="259" t="s">
        <v>116</v>
      </c>
      <c r="C2271" s="264"/>
      <c r="D2271" s="264" t="s">
        <v>7627</v>
      </c>
      <c r="E2271" s="259" t="s">
        <v>7580</v>
      </c>
      <c r="G2271" s="259" t="s">
        <v>7555</v>
      </c>
      <c r="H2271" s="264" t="s">
        <v>7627</v>
      </c>
      <c r="I2271" s="264" t="s">
        <v>7627</v>
      </c>
      <c r="J2271" s="295">
        <v>313.63</v>
      </c>
      <c r="K2271" s="295">
        <v>313.63</v>
      </c>
      <c r="L2271" s="295" t="s">
        <v>7240</v>
      </c>
      <c r="O2271" s="266">
        <v>0</v>
      </c>
      <c r="Q2271" s="266">
        <v>0</v>
      </c>
      <c r="R2271" s="265">
        <v>0</v>
      </c>
      <c r="S2271" s="265">
        <v>0</v>
      </c>
      <c r="V2271" s="265" t="s">
        <v>3028</v>
      </c>
      <c r="W2271" s="259">
        <v>0</v>
      </c>
      <c r="Y2271" s="259">
        <f t="shared" si="9"/>
        <v>1359</v>
      </c>
      <c r="AA2271" s="259" t="e">
        <v>#N/A</v>
      </c>
      <c r="AB2271" s="259"/>
      <c r="AC2271" s="259"/>
      <c r="AD2271" s="259"/>
      <c r="AE2271" s="259"/>
    </row>
    <row r="2272" spans="1:31">
      <c r="A2272" s="259">
        <v>91611837</v>
      </c>
      <c r="B2272" s="259" t="s">
        <v>116</v>
      </c>
      <c r="C2272" s="264" t="s">
        <v>7578</v>
      </c>
      <c r="D2272" s="264" t="s">
        <v>7628</v>
      </c>
      <c r="E2272" s="259" t="s">
        <v>7580</v>
      </c>
      <c r="G2272" s="259" t="s">
        <v>7555</v>
      </c>
      <c r="H2272" s="264" t="s">
        <v>7628</v>
      </c>
      <c r="I2272" s="264" t="s">
        <v>7628</v>
      </c>
      <c r="J2272" s="295">
        <v>313.63</v>
      </c>
      <c r="K2272" s="295">
        <v>313.63</v>
      </c>
      <c r="L2272" s="295" t="s">
        <v>7240</v>
      </c>
      <c r="O2272" s="266">
        <v>0</v>
      </c>
      <c r="Q2272" s="266">
        <v>0</v>
      </c>
      <c r="R2272" s="265">
        <v>0</v>
      </c>
      <c r="S2272" s="265">
        <v>0</v>
      </c>
      <c r="V2272" s="265" t="s">
        <v>3028</v>
      </c>
      <c r="W2272" s="259" t="s">
        <v>3029</v>
      </c>
      <c r="Y2272" s="259">
        <f t="shared" si="9"/>
        <v>1360</v>
      </c>
      <c r="AA2272" s="259" t="e">
        <v>#N/A</v>
      </c>
      <c r="AB2272" s="259"/>
      <c r="AC2272" s="259"/>
      <c r="AD2272" s="259"/>
      <c r="AE2272" s="259"/>
    </row>
    <row r="2273" spans="1:31">
      <c r="A2273" s="259" t="s">
        <v>2163</v>
      </c>
      <c r="B2273" s="259" t="s">
        <v>116</v>
      </c>
      <c r="C2273" s="264"/>
      <c r="D2273" s="264"/>
      <c r="H2273" s="264"/>
      <c r="I2273" s="264"/>
      <c r="J2273" s="295">
        <v>0</v>
      </c>
      <c r="K2273" s="295">
        <v>0</v>
      </c>
      <c r="L2273" s="295">
        <v>0</v>
      </c>
      <c r="O2273" s="266"/>
      <c r="R2273" s="265"/>
      <c r="V2273" s="265">
        <v>0</v>
      </c>
      <c r="Y2273" s="259">
        <f t="shared" si="9"/>
        <v>1361</v>
      </c>
      <c r="AA2273" s="259" t="e">
        <v>#N/A</v>
      </c>
      <c r="AB2273" s="259"/>
      <c r="AC2273" s="259"/>
      <c r="AD2273" s="259"/>
      <c r="AE2273" s="259"/>
    </row>
    <row r="2274" spans="1:31">
      <c r="A2274" s="259" t="s">
        <v>2164</v>
      </c>
      <c r="B2274" s="259" t="s">
        <v>116</v>
      </c>
      <c r="C2274" s="264"/>
      <c r="D2274" s="264"/>
      <c r="H2274" s="264"/>
      <c r="I2274" s="264"/>
      <c r="J2274" s="295">
        <v>0</v>
      </c>
      <c r="K2274" s="295">
        <v>0</v>
      </c>
      <c r="L2274" s="295">
        <v>0</v>
      </c>
      <c r="O2274" s="266"/>
      <c r="R2274" s="265"/>
      <c r="V2274" s="265">
        <v>0</v>
      </c>
      <c r="Y2274" s="259">
        <f t="shared" si="9"/>
        <v>1362</v>
      </c>
      <c r="AA2274" s="259" t="e">
        <v>#N/A</v>
      </c>
      <c r="AB2274" s="259"/>
      <c r="AC2274" s="259"/>
      <c r="AD2274" s="259"/>
      <c r="AE2274" s="259"/>
    </row>
    <row r="2275" spans="1:31">
      <c r="A2275" s="259" t="s">
        <v>2165</v>
      </c>
      <c r="B2275" s="259" t="s">
        <v>116</v>
      </c>
      <c r="C2275" s="264"/>
      <c r="D2275" s="264"/>
      <c r="H2275" s="264"/>
      <c r="I2275" s="264"/>
      <c r="J2275" s="295">
        <v>0</v>
      </c>
      <c r="K2275" s="295">
        <v>0</v>
      </c>
      <c r="L2275" s="295">
        <v>0</v>
      </c>
      <c r="O2275" s="266">
        <v>0</v>
      </c>
      <c r="P2275" s="266">
        <v>0</v>
      </c>
      <c r="Q2275" s="266">
        <v>0</v>
      </c>
      <c r="R2275" s="265">
        <v>0</v>
      </c>
      <c r="S2275" s="265">
        <v>0</v>
      </c>
      <c r="V2275" s="265">
        <v>0</v>
      </c>
      <c r="W2275" s="259">
        <v>0</v>
      </c>
      <c r="Y2275" s="259">
        <f t="shared" si="9"/>
        <v>1363</v>
      </c>
      <c r="AA2275" s="259" t="e">
        <v>#N/A</v>
      </c>
      <c r="AB2275" s="259"/>
      <c r="AC2275" s="259"/>
      <c r="AD2275" s="259"/>
      <c r="AE2275" s="259"/>
    </row>
    <row r="2276" spans="1:31">
      <c r="A2276" s="259">
        <v>92215320</v>
      </c>
      <c r="B2276" s="259" t="s">
        <v>116</v>
      </c>
      <c r="C2276" s="264" t="s">
        <v>7350</v>
      </c>
      <c r="D2276" s="264" t="s">
        <v>7629</v>
      </c>
      <c r="E2276" s="259" t="s">
        <v>7246</v>
      </c>
      <c r="H2276" s="264" t="s">
        <v>7629</v>
      </c>
      <c r="I2276" s="264" t="s">
        <v>7629</v>
      </c>
      <c r="J2276" s="295">
        <v>1206.29</v>
      </c>
      <c r="K2276" s="295">
        <v>1206.29</v>
      </c>
      <c r="L2276" s="295" t="s">
        <v>7240</v>
      </c>
      <c r="O2276" s="266">
        <v>0</v>
      </c>
      <c r="P2276" s="266">
        <v>688705004341</v>
      </c>
      <c r="Q2276" s="266">
        <v>0</v>
      </c>
      <c r="R2276" s="265">
        <v>0</v>
      </c>
      <c r="V2276" s="265" t="s">
        <v>7247</v>
      </c>
      <c r="W2276" s="259">
        <v>0</v>
      </c>
      <c r="Y2276" s="259">
        <f t="shared" si="9"/>
        <v>1364</v>
      </c>
      <c r="AA2276" s="259" t="e">
        <v>#N/A</v>
      </c>
      <c r="AB2276" s="259"/>
      <c r="AC2276" s="259"/>
      <c r="AD2276" s="259"/>
      <c r="AE2276" s="259"/>
    </row>
    <row r="2277" spans="1:31">
      <c r="A2277" s="259">
        <v>92215330</v>
      </c>
      <c r="B2277" s="259" t="s">
        <v>116</v>
      </c>
      <c r="C2277" s="264" t="s">
        <v>7350</v>
      </c>
      <c r="D2277" s="264" t="s">
        <v>7630</v>
      </c>
      <c r="E2277" s="259" t="s">
        <v>7246</v>
      </c>
      <c r="H2277" s="264" t="s">
        <v>7630</v>
      </c>
      <c r="I2277" s="264" t="s">
        <v>7630</v>
      </c>
      <c r="J2277" s="295">
        <v>1206.29</v>
      </c>
      <c r="K2277" s="295">
        <v>1206.29</v>
      </c>
      <c r="L2277" s="295" t="s">
        <v>7240</v>
      </c>
      <c r="O2277" s="266">
        <v>0</v>
      </c>
      <c r="P2277" s="266">
        <v>688705004358</v>
      </c>
      <c r="Q2277" s="266">
        <v>0</v>
      </c>
      <c r="R2277" s="265">
        <v>0</v>
      </c>
      <c r="V2277" s="265" t="s">
        <v>7247</v>
      </c>
      <c r="W2277" s="259">
        <v>0</v>
      </c>
      <c r="X2277" s="264" t="s">
        <v>7631</v>
      </c>
      <c r="Y2277" s="259">
        <f t="shared" si="9"/>
        <v>1365</v>
      </c>
      <c r="AA2277" s="259" t="e">
        <v>#N/A</v>
      </c>
      <c r="AB2277" s="259"/>
      <c r="AC2277" s="259"/>
      <c r="AD2277" s="259"/>
      <c r="AE2277" s="259"/>
    </row>
    <row r="2278" spans="1:31">
      <c r="A2278" s="259">
        <v>92625012</v>
      </c>
      <c r="B2278" s="259" t="s">
        <v>116</v>
      </c>
      <c r="C2278" s="264" t="s">
        <v>7350</v>
      </c>
      <c r="D2278" s="264" t="s">
        <v>7632</v>
      </c>
      <c r="E2278" s="259" t="s">
        <v>7246</v>
      </c>
      <c r="H2278" s="264" t="s">
        <v>7632</v>
      </c>
      <c r="I2278" s="264" t="s">
        <v>7632</v>
      </c>
      <c r="J2278" s="295">
        <v>322.27</v>
      </c>
      <c r="K2278" s="295">
        <v>322.27</v>
      </c>
      <c r="L2278" s="295" t="s">
        <v>7240</v>
      </c>
      <c r="O2278" s="266">
        <v>0</v>
      </c>
      <c r="P2278" s="266">
        <v>688705004990</v>
      </c>
      <c r="Q2278" s="266">
        <v>0</v>
      </c>
      <c r="R2278" s="265">
        <v>0</v>
      </c>
      <c r="V2278" s="265" t="s">
        <v>7247</v>
      </c>
      <c r="W2278" s="259">
        <v>0</v>
      </c>
      <c r="X2278" s="264" t="s">
        <v>7631</v>
      </c>
      <c r="Y2278" s="259">
        <f t="shared" si="9"/>
        <v>1366</v>
      </c>
      <c r="AA2278" s="259" t="e">
        <v>#N/A</v>
      </c>
      <c r="AB2278" s="259"/>
      <c r="AC2278" s="259"/>
      <c r="AD2278" s="259"/>
      <c r="AE2278" s="259"/>
    </row>
    <row r="2279" spans="1:31">
      <c r="A2279" s="259" t="s">
        <v>2166</v>
      </c>
      <c r="B2279" s="259" t="s">
        <v>116</v>
      </c>
      <c r="C2279" s="264"/>
      <c r="D2279" s="264"/>
      <c r="H2279" s="264"/>
      <c r="I2279" s="264"/>
      <c r="J2279" s="295">
        <v>0</v>
      </c>
      <c r="K2279" s="295">
        <v>0</v>
      </c>
      <c r="L2279" s="295">
        <v>0</v>
      </c>
      <c r="O2279" s="266">
        <v>0</v>
      </c>
      <c r="P2279" s="266">
        <v>0</v>
      </c>
      <c r="Q2279" s="266">
        <v>0</v>
      </c>
      <c r="R2279" s="265">
        <v>0</v>
      </c>
      <c r="S2279" s="265">
        <v>0</v>
      </c>
      <c r="V2279" s="265">
        <v>0</v>
      </c>
      <c r="W2279" s="259">
        <v>0</v>
      </c>
      <c r="Y2279" s="259">
        <f t="shared" si="9"/>
        <v>1367</v>
      </c>
      <c r="AA2279" s="259" t="e">
        <v>#N/A</v>
      </c>
      <c r="AB2279" s="259"/>
      <c r="AC2279" s="259"/>
      <c r="AD2279" s="259"/>
      <c r="AE2279" s="259"/>
    </row>
    <row r="2280" spans="1:31">
      <c r="A2280" s="259">
        <v>92215340</v>
      </c>
      <c r="B2280" s="259" t="s">
        <v>116</v>
      </c>
      <c r="C2280" s="264" t="s">
        <v>7350</v>
      </c>
      <c r="D2280" s="264" t="s">
        <v>7633</v>
      </c>
      <c r="E2280" s="259" t="s">
        <v>7246</v>
      </c>
      <c r="H2280" s="264" t="s">
        <v>7633</v>
      </c>
      <c r="I2280" s="264" t="s">
        <v>7633</v>
      </c>
      <c r="J2280" s="295">
        <v>1455.82</v>
      </c>
      <c r="K2280" s="295">
        <v>1455.82</v>
      </c>
      <c r="L2280" s="295" t="s">
        <v>7240</v>
      </c>
      <c r="O2280" s="266">
        <v>0</v>
      </c>
      <c r="P2280" s="266">
        <v>688705004372</v>
      </c>
      <c r="Q2280" s="266">
        <v>0</v>
      </c>
      <c r="R2280" s="265">
        <v>0</v>
      </c>
      <c r="V2280" s="265" t="s">
        <v>7247</v>
      </c>
      <c r="W2280" s="259">
        <v>0</v>
      </c>
      <c r="Y2280" s="259">
        <f t="shared" si="9"/>
        <v>1368</v>
      </c>
      <c r="AA2280" s="259" t="e">
        <v>#N/A</v>
      </c>
      <c r="AB2280" s="259"/>
      <c r="AC2280" s="259"/>
      <c r="AD2280" s="259"/>
      <c r="AE2280" s="259"/>
    </row>
    <row r="2281" spans="1:31">
      <c r="A2281" s="259">
        <v>92215350</v>
      </c>
      <c r="B2281" s="259" t="s">
        <v>116</v>
      </c>
      <c r="C2281" s="264" t="s">
        <v>7350</v>
      </c>
      <c r="D2281" s="264" t="s">
        <v>7634</v>
      </c>
      <c r="E2281" s="259" t="s">
        <v>7246</v>
      </c>
      <c r="H2281" s="264" t="s">
        <v>7634</v>
      </c>
      <c r="I2281" s="264" t="s">
        <v>7634</v>
      </c>
      <c r="J2281" s="295">
        <v>1455.82</v>
      </c>
      <c r="K2281" s="295">
        <v>1455.82</v>
      </c>
      <c r="L2281" s="295" t="s">
        <v>7240</v>
      </c>
      <c r="O2281" s="266">
        <v>0</v>
      </c>
      <c r="P2281" s="266">
        <v>688705004389</v>
      </c>
      <c r="Q2281" s="266">
        <v>0</v>
      </c>
      <c r="R2281" s="265">
        <v>0</v>
      </c>
      <c r="V2281" s="265" t="s">
        <v>7247</v>
      </c>
      <c r="W2281" s="259">
        <v>0</v>
      </c>
      <c r="X2281" s="264" t="s">
        <v>7635</v>
      </c>
      <c r="Y2281" s="259">
        <f t="shared" si="9"/>
        <v>1369</v>
      </c>
      <c r="AA2281" s="259" t="e">
        <v>#N/A</v>
      </c>
      <c r="AB2281" s="259"/>
      <c r="AC2281" s="259"/>
      <c r="AD2281" s="259"/>
      <c r="AE2281" s="259"/>
    </row>
    <row r="2282" spans="1:31">
      <c r="A2282" s="259">
        <v>92625013</v>
      </c>
      <c r="B2282" s="259" t="s">
        <v>116</v>
      </c>
      <c r="C2282" s="264" t="s">
        <v>7350</v>
      </c>
      <c r="D2282" s="264" t="s">
        <v>7636</v>
      </c>
      <c r="E2282" s="259" t="s">
        <v>7246</v>
      </c>
      <c r="H2282" s="264" t="s">
        <v>7636</v>
      </c>
      <c r="I2282" s="264" t="s">
        <v>7636</v>
      </c>
      <c r="J2282" s="295">
        <v>343.26</v>
      </c>
      <c r="K2282" s="295">
        <v>343.26</v>
      </c>
      <c r="L2282" s="295" t="s">
        <v>7240</v>
      </c>
      <c r="O2282" s="266">
        <v>0</v>
      </c>
      <c r="P2282" s="266">
        <v>688705005003</v>
      </c>
      <c r="Q2282" s="266">
        <v>0</v>
      </c>
      <c r="R2282" s="265">
        <v>0</v>
      </c>
      <c r="V2282" s="265" t="s">
        <v>7247</v>
      </c>
      <c r="W2282" s="259">
        <v>0</v>
      </c>
      <c r="X2282" s="264" t="s">
        <v>7635</v>
      </c>
      <c r="Y2282" s="259">
        <f t="shared" si="9"/>
        <v>1370</v>
      </c>
      <c r="AA2282" s="259" t="e">
        <v>#N/A</v>
      </c>
      <c r="AB2282" s="259"/>
      <c r="AC2282" s="259"/>
      <c r="AD2282" s="259"/>
      <c r="AE2282" s="259"/>
    </row>
    <row r="2283" spans="1:31">
      <c r="A2283" s="259" t="s">
        <v>2167</v>
      </c>
      <c r="B2283" s="259" t="s">
        <v>116</v>
      </c>
      <c r="C2283" s="264"/>
      <c r="D2283" s="264"/>
      <c r="H2283" s="264"/>
      <c r="I2283" s="264"/>
      <c r="J2283" s="295">
        <v>0</v>
      </c>
      <c r="K2283" s="295">
        <v>0</v>
      </c>
      <c r="L2283" s="295">
        <v>0</v>
      </c>
      <c r="O2283" s="266">
        <v>0</v>
      </c>
      <c r="P2283" s="266">
        <v>0</v>
      </c>
      <c r="Q2283" s="266">
        <v>0</v>
      </c>
      <c r="R2283" s="265">
        <v>0</v>
      </c>
      <c r="S2283" s="265">
        <v>0</v>
      </c>
      <c r="V2283" s="265">
        <v>0</v>
      </c>
      <c r="W2283" s="259">
        <v>0</v>
      </c>
      <c r="Y2283" s="259">
        <f t="shared" si="9"/>
        <v>1371</v>
      </c>
      <c r="AA2283" s="259" t="e">
        <v>#N/A</v>
      </c>
      <c r="AB2283" s="259"/>
      <c r="AC2283" s="259"/>
      <c r="AD2283" s="259"/>
      <c r="AE2283" s="259"/>
    </row>
    <row r="2284" spans="1:31">
      <c r="A2284" s="259">
        <v>92215360</v>
      </c>
      <c r="B2284" s="259" t="s">
        <v>116</v>
      </c>
      <c r="C2284" s="264" t="s">
        <v>7350</v>
      </c>
      <c r="D2284" s="264" t="s">
        <v>7637</v>
      </c>
      <c r="E2284" s="259" t="s">
        <v>7246</v>
      </c>
      <c r="H2284" s="264" t="s">
        <v>7637</v>
      </c>
      <c r="I2284" s="264" t="s">
        <v>7637</v>
      </c>
      <c r="J2284" s="295">
        <v>1799.1</v>
      </c>
      <c r="K2284" s="295">
        <v>1799.1</v>
      </c>
      <c r="L2284" s="295" t="s">
        <v>7240</v>
      </c>
      <c r="O2284" s="266">
        <v>0</v>
      </c>
      <c r="P2284" s="266">
        <v>688705004976</v>
      </c>
      <c r="Q2284" s="266">
        <v>0</v>
      </c>
      <c r="R2284" s="265">
        <v>0</v>
      </c>
      <c r="V2284" s="265" t="s">
        <v>7247</v>
      </c>
      <c r="W2284" s="259">
        <v>0</v>
      </c>
      <c r="Y2284" s="259">
        <f t="shared" si="9"/>
        <v>1372</v>
      </c>
      <c r="AA2284" s="259" t="e">
        <v>#N/A</v>
      </c>
      <c r="AB2284" s="259"/>
      <c r="AC2284" s="259"/>
      <c r="AD2284" s="259"/>
      <c r="AE2284" s="259"/>
    </row>
    <row r="2285" spans="1:31">
      <c r="A2285" s="259">
        <v>92215370</v>
      </c>
      <c r="B2285" s="259" t="s">
        <v>116</v>
      </c>
      <c r="C2285" s="264" t="s">
        <v>7350</v>
      </c>
      <c r="D2285" s="264" t="s">
        <v>7638</v>
      </c>
      <c r="E2285" s="259" t="s">
        <v>7246</v>
      </c>
      <c r="H2285" s="264" t="s">
        <v>7638</v>
      </c>
      <c r="I2285" s="264" t="s">
        <v>7638</v>
      </c>
      <c r="J2285" s="295">
        <v>1799.1</v>
      </c>
      <c r="K2285" s="295">
        <v>1799.1</v>
      </c>
      <c r="L2285" s="295" t="s">
        <v>7240</v>
      </c>
      <c r="O2285" s="266">
        <v>0</v>
      </c>
      <c r="P2285" s="266">
        <v>688705004983</v>
      </c>
      <c r="Q2285" s="266">
        <v>0</v>
      </c>
      <c r="R2285" s="265">
        <v>0</v>
      </c>
      <c r="V2285" s="265" t="s">
        <v>7247</v>
      </c>
      <c r="W2285" s="259">
        <v>0</v>
      </c>
      <c r="X2285" s="264" t="s">
        <v>7639</v>
      </c>
      <c r="Y2285" s="259">
        <f t="shared" si="9"/>
        <v>1373</v>
      </c>
      <c r="AA2285" s="259" t="e">
        <v>#N/A</v>
      </c>
      <c r="AB2285" s="259"/>
      <c r="AC2285" s="259"/>
      <c r="AD2285" s="259"/>
      <c r="AE2285" s="259"/>
    </row>
    <row r="2286" spans="1:31">
      <c r="A2286" s="259">
        <v>92625014</v>
      </c>
      <c r="B2286" s="259" t="s">
        <v>116</v>
      </c>
      <c r="C2286" s="264" t="s">
        <v>7350</v>
      </c>
      <c r="D2286" s="264" t="s">
        <v>7640</v>
      </c>
      <c r="E2286" s="259" t="s">
        <v>7246</v>
      </c>
      <c r="H2286" s="264" t="s">
        <v>7640</v>
      </c>
      <c r="I2286" s="264" t="s">
        <v>7640</v>
      </c>
      <c r="J2286" s="295">
        <v>360.55</v>
      </c>
      <c r="K2286" s="295">
        <v>360.55</v>
      </c>
      <c r="L2286" s="295" t="s">
        <v>7240</v>
      </c>
      <c r="O2286" s="266">
        <v>0</v>
      </c>
      <c r="P2286" s="266">
        <v>688705005010</v>
      </c>
      <c r="Q2286" s="266">
        <v>0</v>
      </c>
      <c r="R2286" s="265">
        <v>0</v>
      </c>
      <c r="V2286" s="265" t="s">
        <v>7247</v>
      </c>
      <c r="W2286" s="259">
        <v>0</v>
      </c>
      <c r="X2286" s="264" t="s">
        <v>7639</v>
      </c>
      <c r="Y2286" s="259">
        <f t="shared" si="9"/>
        <v>1374</v>
      </c>
      <c r="AA2286" s="259" t="e">
        <v>#N/A</v>
      </c>
      <c r="AB2286" s="259"/>
      <c r="AC2286" s="259"/>
      <c r="AD2286" s="259"/>
      <c r="AE2286" s="259"/>
    </row>
    <row r="2287" spans="1:31">
      <c r="A2287" s="259" t="s">
        <v>2168</v>
      </c>
      <c r="B2287" s="259" t="s">
        <v>116</v>
      </c>
      <c r="C2287" s="264"/>
      <c r="D2287" s="264"/>
      <c r="H2287" s="264"/>
      <c r="I2287" s="264"/>
      <c r="J2287" s="295">
        <v>0</v>
      </c>
      <c r="K2287" s="295">
        <v>0</v>
      </c>
      <c r="L2287" s="295">
        <v>0</v>
      </c>
      <c r="O2287" s="266"/>
      <c r="R2287" s="265"/>
      <c r="V2287" s="265">
        <v>0</v>
      </c>
      <c r="Y2287" s="259">
        <f t="shared" si="9"/>
        <v>1375</v>
      </c>
      <c r="AA2287" s="259" t="e">
        <v>#N/A</v>
      </c>
      <c r="AB2287" s="259"/>
      <c r="AC2287" s="259"/>
      <c r="AD2287" s="259"/>
      <c r="AE2287" s="259"/>
    </row>
    <row r="2288" spans="1:31">
      <c r="A2288" s="259" t="s">
        <v>2169</v>
      </c>
      <c r="B2288" s="259" t="s">
        <v>116</v>
      </c>
      <c r="C2288" s="264"/>
      <c r="D2288" s="264"/>
      <c r="H2288" s="264"/>
      <c r="I2288" s="264"/>
      <c r="J2288" s="295">
        <v>0</v>
      </c>
      <c r="K2288" s="295">
        <v>0</v>
      </c>
      <c r="L2288" s="295">
        <v>0</v>
      </c>
      <c r="O2288" s="266">
        <v>0</v>
      </c>
      <c r="P2288" s="266">
        <v>0</v>
      </c>
      <c r="Q2288" s="266">
        <v>0</v>
      </c>
      <c r="R2288" s="265">
        <v>0</v>
      </c>
      <c r="S2288" s="265">
        <v>0</v>
      </c>
      <c r="V2288" s="265">
        <v>0</v>
      </c>
      <c r="W2288" s="259">
        <v>0</v>
      </c>
      <c r="Y2288" s="259">
        <f t="shared" si="9"/>
        <v>1376</v>
      </c>
      <c r="AA2288" s="259" t="e">
        <v>#N/A</v>
      </c>
      <c r="AB2288" s="259"/>
      <c r="AC2288" s="259"/>
      <c r="AD2288" s="259"/>
      <c r="AE2288" s="259"/>
    </row>
    <row r="2289" spans="1:31">
      <c r="A2289" s="259">
        <v>92225950</v>
      </c>
      <c r="B2289" s="259" t="s">
        <v>116</v>
      </c>
      <c r="C2289" s="264" t="s">
        <v>7350</v>
      </c>
      <c r="D2289" s="264" t="s">
        <v>7641</v>
      </c>
      <c r="E2289" s="259" t="s">
        <v>7246</v>
      </c>
      <c r="H2289" s="264" t="s">
        <v>7641</v>
      </c>
      <c r="I2289" s="264" t="s">
        <v>7641</v>
      </c>
      <c r="J2289" s="295">
        <v>1861.14</v>
      </c>
      <c r="K2289" s="295">
        <v>1861.14</v>
      </c>
      <c r="L2289" s="295" t="s">
        <v>7240</v>
      </c>
      <c r="O2289" s="266">
        <v>0</v>
      </c>
      <c r="P2289" s="266">
        <v>688705005041</v>
      </c>
      <c r="Q2289" s="266">
        <v>0</v>
      </c>
      <c r="R2289" s="265">
        <v>13.385833999999999</v>
      </c>
      <c r="S2289" s="265">
        <v>13.385833999999999</v>
      </c>
      <c r="V2289" s="265" t="s">
        <v>7247</v>
      </c>
      <c r="W2289" s="259">
        <v>0</v>
      </c>
      <c r="Y2289" s="259">
        <f t="shared" si="9"/>
        <v>1377</v>
      </c>
      <c r="AA2289" s="259" t="e">
        <v>#N/A</v>
      </c>
      <c r="AB2289" s="259"/>
      <c r="AC2289" s="259"/>
      <c r="AD2289" s="259"/>
      <c r="AE2289" s="259"/>
    </row>
    <row r="2290" spans="1:31">
      <c r="A2290" s="259">
        <v>92225960</v>
      </c>
      <c r="B2290" s="259" t="s">
        <v>116</v>
      </c>
      <c r="C2290" s="264" t="s">
        <v>7350</v>
      </c>
      <c r="D2290" s="264" t="s">
        <v>7642</v>
      </c>
      <c r="E2290" s="259" t="s">
        <v>7246</v>
      </c>
      <c r="H2290" s="264" t="s">
        <v>7642</v>
      </c>
      <c r="I2290" s="264" t="s">
        <v>7642</v>
      </c>
      <c r="J2290" s="295">
        <v>1861.14</v>
      </c>
      <c r="K2290" s="295">
        <v>1861.14</v>
      </c>
      <c r="L2290" s="295" t="s">
        <v>7240</v>
      </c>
      <c r="O2290" s="266">
        <v>0</v>
      </c>
      <c r="P2290" s="266">
        <v>688705005058</v>
      </c>
      <c r="Q2290" s="266">
        <v>0</v>
      </c>
      <c r="R2290" s="265">
        <v>13.385833999999999</v>
      </c>
      <c r="S2290" s="265">
        <v>13.385833999999999</v>
      </c>
      <c r="V2290" s="265" t="s">
        <v>7247</v>
      </c>
      <c r="W2290" s="259">
        <v>0</v>
      </c>
      <c r="X2290" s="264" t="s">
        <v>7643</v>
      </c>
      <c r="Y2290" s="259">
        <f t="shared" si="9"/>
        <v>1378</v>
      </c>
      <c r="AA2290" s="259" t="e">
        <v>#N/A</v>
      </c>
      <c r="AB2290" s="259"/>
      <c r="AC2290" s="259"/>
      <c r="AD2290" s="259"/>
      <c r="AE2290" s="259"/>
    </row>
    <row r="2291" spans="1:31">
      <c r="A2291" s="259">
        <v>92610003</v>
      </c>
      <c r="B2291" s="259" t="s">
        <v>116</v>
      </c>
      <c r="C2291" s="264" t="s">
        <v>7350</v>
      </c>
      <c r="D2291" s="264" t="s">
        <v>7644</v>
      </c>
      <c r="E2291" s="259" t="s">
        <v>7246</v>
      </c>
      <c r="H2291" s="264" t="s">
        <v>7644</v>
      </c>
      <c r="I2291" s="264" t="s">
        <v>7644</v>
      </c>
      <c r="J2291" s="295">
        <v>138.29</v>
      </c>
      <c r="K2291" s="295">
        <v>138.29</v>
      </c>
      <c r="L2291" s="295" t="s">
        <v>7240</v>
      </c>
      <c r="O2291" s="266">
        <v>0</v>
      </c>
      <c r="P2291" s="266">
        <v>688705005065</v>
      </c>
      <c r="Q2291" s="266">
        <v>0</v>
      </c>
      <c r="R2291" s="265">
        <v>0</v>
      </c>
      <c r="S2291" s="265">
        <v>11.811030000000001</v>
      </c>
      <c r="V2291" s="265" t="s">
        <v>7247</v>
      </c>
      <c r="W2291" s="259">
        <v>0</v>
      </c>
      <c r="X2291" s="264" t="s">
        <v>7643</v>
      </c>
      <c r="Y2291" s="259">
        <f t="shared" ref="Y2291:Y2354" si="10">Y2290+1</f>
        <v>1379</v>
      </c>
      <c r="AA2291" s="259" t="e">
        <v>#N/A</v>
      </c>
      <c r="AB2291" s="259"/>
      <c r="AC2291" s="259"/>
      <c r="AD2291" s="259"/>
      <c r="AE2291" s="259"/>
    </row>
    <row r="2292" spans="1:31">
      <c r="A2292" s="259">
        <v>92625011</v>
      </c>
      <c r="B2292" s="259" t="s">
        <v>116</v>
      </c>
      <c r="C2292" s="264" t="s">
        <v>7350</v>
      </c>
      <c r="D2292" s="264" t="s">
        <v>7645</v>
      </c>
      <c r="E2292" s="259" t="s">
        <v>7246</v>
      </c>
      <c r="H2292" s="264" t="s">
        <v>7645</v>
      </c>
      <c r="I2292" s="264" t="s">
        <v>7645</v>
      </c>
      <c r="J2292" s="295">
        <v>138.29</v>
      </c>
      <c r="K2292" s="295">
        <v>138.29</v>
      </c>
      <c r="L2292" s="295" t="s">
        <v>7240</v>
      </c>
      <c r="O2292" s="266">
        <v>0</v>
      </c>
      <c r="P2292" s="266">
        <v>688705005072</v>
      </c>
      <c r="Q2292" s="266">
        <v>0</v>
      </c>
      <c r="R2292" s="265">
        <v>7.0866179999999996</v>
      </c>
      <c r="S2292" s="265">
        <v>7.0866179999999996</v>
      </c>
      <c r="V2292" s="265" t="s">
        <v>7247</v>
      </c>
      <c r="W2292" s="259">
        <v>0</v>
      </c>
      <c r="X2292" s="264" t="s">
        <v>7643</v>
      </c>
      <c r="Y2292" s="259">
        <f t="shared" si="10"/>
        <v>1380</v>
      </c>
      <c r="AA2292" s="259" t="e">
        <v>#N/A</v>
      </c>
      <c r="AB2292" s="259"/>
      <c r="AC2292" s="259"/>
      <c r="AD2292" s="259"/>
      <c r="AE2292" s="259"/>
    </row>
    <row r="2293" spans="1:31">
      <c r="A2293" s="259" t="s">
        <v>2170</v>
      </c>
      <c r="B2293" s="259" t="s">
        <v>116</v>
      </c>
      <c r="C2293" s="264"/>
      <c r="D2293" s="264"/>
      <c r="H2293" s="264"/>
      <c r="I2293" s="264"/>
      <c r="J2293" s="295">
        <v>0</v>
      </c>
      <c r="K2293" s="295">
        <v>0</v>
      </c>
      <c r="L2293" s="295">
        <v>0</v>
      </c>
      <c r="O2293" s="266">
        <v>0</v>
      </c>
      <c r="P2293" s="266">
        <v>0</v>
      </c>
      <c r="Q2293" s="266">
        <v>0</v>
      </c>
      <c r="R2293" s="265">
        <v>0</v>
      </c>
      <c r="S2293" s="265">
        <v>0</v>
      </c>
      <c r="V2293" s="265">
        <v>0</v>
      </c>
      <c r="W2293" s="259">
        <v>0</v>
      </c>
      <c r="Y2293" s="259">
        <f t="shared" si="10"/>
        <v>1381</v>
      </c>
      <c r="AA2293" s="259" t="e">
        <v>#N/A</v>
      </c>
      <c r="AB2293" s="259"/>
      <c r="AC2293" s="259"/>
      <c r="AD2293" s="259"/>
      <c r="AE2293" s="259"/>
    </row>
    <row r="2294" spans="1:31">
      <c r="A2294" s="259">
        <v>92225940</v>
      </c>
      <c r="B2294" s="259" t="s">
        <v>116</v>
      </c>
      <c r="C2294" s="264" t="s">
        <v>7350</v>
      </c>
      <c r="D2294" s="264" t="s">
        <v>7646</v>
      </c>
      <c r="E2294" s="259" t="s">
        <v>7246</v>
      </c>
      <c r="H2294" s="264" t="s">
        <v>7646</v>
      </c>
      <c r="I2294" s="264" t="s">
        <v>7646</v>
      </c>
      <c r="J2294" s="295">
        <v>2797.22</v>
      </c>
      <c r="K2294" s="295">
        <v>2797.22</v>
      </c>
      <c r="L2294" s="295" t="s">
        <v>7240</v>
      </c>
      <c r="O2294" s="266">
        <v>0</v>
      </c>
      <c r="P2294" s="266">
        <v>688705004426</v>
      </c>
      <c r="Q2294" s="266">
        <v>0</v>
      </c>
      <c r="R2294" s="265">
        <v>14.960637999999999</v>
      </c>
      <c r="S2294" s="265">
        <v>14.960637999999999</v>
      </c>
      <c r="V2294" s="265" t="s">
        <v>7247</v>
      </c>
      <c r="W2294" s="259">
        <v>0</v>
      </c>
      <c r="Y2294" s="259">
        <f t="shared" si="10"/>
        <v>1382</v>
      </c>
      <c r="AA2294" s="259" t="e">
        <v>#N/A</v>
      </c>
      <c r="AB2294" s="259"/>
      <c r="AC2294" s="259"/>
      <c r="AD2294" s="259"/>
      <c r="AE2294" s="259"/>
    </row>
    <row r="2295" spans="1:31">
      <c r="A2295" s="259">
        <v>92225945</v>
      </c>
      <c r="B2295" s="259" t="s">
        <v>116</v>
      </c>
      <c r="C2295" s="264" t="s">
        <v>7350</v>
      </c>
      <c r="D2295" s="264" t="s">
        <v>7647</v>
      </c>
      <c r="E2295" s="259" t="s">
        <v>7246</v>
      </c>
      <c r="H2295" s="264" t="s">
        <v>7647</v>
      </c>
      <c r="I2295" s="264" t="s">
        <v>7647</v>
      </c>
      <c r="J2295" s="295">
        <v>2797.22</v>
      </c>
      <c r="K2295" s="295">
        <v>2797.22</v>
      </c>
      <c r="L2295" s="295" t="s">
        <v>7240</v>
      </c>
      <c r="O2295" s="266">
        <v>0</v>
      </c>
      <c r="P2295" s="266">
        <v>688705005027</v>
      </c>
      <c r="Q2295" s="266">
        <v>0</v>
      </c>
      <c r="R2295" s="265">
        <v>14.960637999999999</v>
      </c>
      <c r="S2295" s="265">
        <v>14.960637999999999</v>
      </c>
      <c r="V2295" s="265" t="s">
        <v>7247</v>
      </c>
      <c r="W2295" s="259">
        <v>0</v>
      </c>
      <c r="X2295" s="264" t="s">
        <v>7648</v>
      </c>
      <c r="Y2295" s="259">
        <f t="shared" si="10"/>
        <v>1383</v>
      </c>
      <c r="AA2295" s="259" t="e">
        <v>#N/A</v>
      </c>
      <c r="AB2295" s="259"/>
      <c r="AC2295" s="259"/>
      <c r="AD2295" s="259"/>
      <c r="AE2295" s="259"/>
    </row>
    <row r="2296" spans="1:31">
      <c r="A2296" s="259">
        <v>92610002</v>
      </c>
      <c r="B2296" s="259" t="s">
        <v>116</v>
      </c>
      <c r="C2296" s="264" t="s">
        <v>7350</v>
      </c>
      <c r="D2296" s="264" t="s">
        <v>7649</v>
      </c>
      <c r="E2296" s="259" t="s">
        <v>7246</v>
      </c>
      <c r="H2296" s="264" t="s">
        <v>7649</v>
      </c>
      <c r="I2296" s="264" t="s">
        <v>7649</v>
      </c>
      <c r="J2296" s="295">
        <v>62.97</v>
      </c>
      <c r="K2296" s="295">
        <v>62.97</v>
      </c>
      <c r="L2296" s="295" t="s">
        <v>7240</v>
      </c>
      <c r="O2296" s="266" t="s">
        <v>5131</v>
      </c>
      <c r="P2296" s="266">
        <v>688705005034</v>
      </c>
      <c r="Q2296" s="266">
        <v>0</v>
      </c>
      <c r="R2296" s="265">
        <v>0</v>
      </c>
      <c r="V2296" s="265" t="s">
        <v>7247</v>
      </c>
      <c r="W2296" s="259">
        <v>0</v>
      </c>
      <c r="X2296" s="264" t="s">
        <v>7648</v>
      </c>
      <c r="Y2296" s="259">
        <f t="shared" si="10"/>
        <v>1384</v>
      </c>
      <c r="AA2296" s="259" t="e">
        <v>#N/A</v>
      </c>
      <c r="AB2296" s="259"/>
      <c r="AC2296" s="259"/>
      <c r="AD2296" s="259"/>
      <c r="AE2296" s="259"/>
    </row>
    <row r="2297" spans="1:31">
      <c r="A2297" s="259" t="s">
        <v>2171</v>
      </c>
      <c r="B2297" s="259" t="s">
        <v>116</v>
      </c>
      <c r="C2297" s="264"/>
      <c r="D2297" s="264"/>
      <c r="H2297" s="264"/>
      <c r="I2297" s="264"/>
      <c r="J2297" s="295">
        <v>0</v>
      </c>
      <c r="K2297" s="295">
        <v>0</v>
      </c>
      <c r="L2297" s="295">
        <v>0</v>
      </c>
      <c r="O2297" s="266"/>
      <c r="R2297" s="265"/>
      <c r="V2297" s="265">
        <v>0</v>
      </c>
      <c r="Y2297" s="259">
        <f t="shared" si="10"/>
        <v>1385</v>
      </c>
      <c r="AA2297" s="259" t="e">
        <v>#N/A</v>
      </c>
      <c r="AB2297" s="259"/>
      <c r="AC2297" s="259"/>
      <c r="AD2297" s="259"/>
      <c r="AE2297" s="259"/>
    </row>
    <row r="2298" spans="1:31">
      <c r="A2298" s="259" t="s">
        <v>2172</v>
      </c>
      <c r="B2298" s="259" t="s">
        <v>116</v>
      </c>
      <c r="C2298" s="264"/>
      <c r="D2298" s="264"/>
      <c r="H2298" s="264"/>
      <c r="I2298" s="264"/>
      <c r="J2298" s="295">
        <v>0</v>
      </c>
      <c r="K2298" s="295">
        <v>0</v>
      </c>
      <c r="L2298" s="295">
        <v>0</v>
      </c>
      <c r="O2298" s="266">
        <v>0</v>
      </c>
      <c r="P2298" s="266">
        <v>0</v>
      </c>
      <c r="Q2298" s="266">
        <v>0</v>
      </c>
      <c r="R2298" s="265">
        <v>0</v>
      </c>
      <c r="S2298" s="265">
        <v>0</v>
      </c>
      <c r="V2298" s="265">
        <v>0</v>
      </c>
      <c r="W2298" s="259">
        <v>0</v>
      </c>
      <c r="Y2298" s="259">
        <f t="shared" si="10"/>
        <v>1386</v>
      </c>
      <c r="AA2298" s="259" t="e">
        <v>#N/A</v>
      </c>
      <c r="AB2298" s="259"/>
      <c r="AC2298" s="259"/>
      <c r="AD2298" s="259"/>
      <c r="AE2298" s="259"/>
    </row>
    <row r="2299" spans="1:31">
      <c r="A2299" s="259">
        <v>92615010</v>
      </c>
      <c r="B2299" s="259" t="s">
        <v>116</v>
      </c>
      <c r="C2299" s="264" t="s">
        <v>7350</v>
      </c>
      <c r="D2299" s="264" t="s">
        <v>7650</v>
      </c>
      <c r="E2299" s="259" t="s">
        <v>7246</v>
      </c>
      <c r="H2299" s="264" t="s">
        <v>7650</v>
      </c>
      <c r="I2299" s="264" t="s">
        <v>7650</v>
      </c>
      <c r="J2299" s="295">
        <v>1680.51</v>
      </c>
      <c r="K2299" s="295">
        <v>1680.51</v>
      </c>
      <c r="L2299" s="295" t="s">
        <v>7240</v>
      </c>
      <c r="O2299" s="266">
        <v>0</v>
      </c>
      <c r="P2299" s="266">
        <v>688705005096</v>
      </c>
      <c r="Q2299" s="266">
        <v>0</v>
      </c>
      <c r="R2299" s="265">
        <v>20.078751</v>
      </c>
      <c r="S2299" s="265">
        <v>20.078751</v>
      </c>
      <c r="V2299" s="265" t="s">
        <v>7247</v>
      </c>
      <c r="W2299" s="259">
        <v>0</v>
      </c>
      <c r="Y2299" s="259">
        <f t="shared" si="10"/>
        <v>1387</v>
      </c>
      <c r="AA2299" s="259" t="e">
        <v>#N/A</v>
      </c>
      <c r="AB2299" s="259"/>
      <c r="AC2299" s="259"/>
      <c r="AD2299" s="259"/>
      <c r="AE2299" s="259"/>
    </row>
    <row r="2300" spans="1:31">
      <c r="A2300" s="259">
        <v>92615110</v>
      </c>
      <c r="B2300" s="259" t="s">
        <v>116</v>
      </c>
      <c r="C2300" s="264" t="s">
        <v>7350</v>
      </c>
      <c r="D2300" s="264" t="s">
        <v>7651</v>
      </c>
      <c r="E2300" s="259" t="s">
        <v>7246</v>
      </c>
      <c r="H2300" s="264" t="s">
        <v>7651</v>
      </c>
      <c r="I2300" s="264" t="s">
        <v>7651</v>
      </c>
      <c r="J2300" s="295">
        <v>1680.51</v>
      </c>
      <c r="K2300" s="295">
        <v>1680.51</v>
      </c>
      <c r="L2300" s="295" t="s">
        <v>7240</v>
      </c>
      <c r="O2300" s="266">
        <v>0</v>
      </c>
      <c r="P2300" s="266">
        <v>688705005102</v>
      </c>
      <c r="Q2300" s="266">
        <v>0</v>
      </c>
      <c r="R2300" s="265">
        <v>20.078751</v>
      </c>
      <c r="S2300" s="265">
        <v>20.078751</v>
      </c>
      <c r="V2300" s="265" t="s">
        <v>7247</v>
      </c>
      <c r="W2300" s="259">
        <v>0</v>
      </c>
      <c r="X2300" s="264" t="s">
        <v>7652</v>
      </c>
      <c r="Y2300" s="259">
        <f t="shared" si="10"/>
        <v>1388</v>
      </c>
      <c r="AA2300" s="259" t="e">
        <v>#N/A</v>
      </c>
      <c r="AB2300" s="259"/>
      <c r="AC2300" s="259"/>
      <c r="AD2300" s="259"/>
      <c r="AE2300" s="259"/>
    </row>
    <row r="2301" spans="1:31">
      <c r="A2301" s="259">
        <v>92765022</v>
      </c>
      <c r="B2301" s="259" t="s">
        <v>116</v>
      </c>
      <c r="C2301" s="264"/>
      <c r="D2301" s="264" t="s">
        <v>7653</v>
      </c>
      <c r="E2301" s="259" t="s">
        <v>7246</v>
      </c>
      <c r="H2301" s="264" t="s">
        <v>7653</v>
      </c>
      <c r="I2301" s="264" t="s">
        <v>7653</v>
      </c>
      <c r="J2301" s="295">
        <v>244.48</v>
      </c>
      <c r="K2301" s="295">
        <v>244.48</v>
      </c>
      <c r="L2301" s="295" t="s">
        <v>7240</v>
      </c>
      <c r="O2301" s="266">
        <v>0</v>
      </c>
      <c r="P2301" s="266">
        <v>688705004419</v>
      </c>
      <c r="Q2301" s="266">
        <v>0</v>
      </c>
      <c r="R2301" s="265">
        <v>0</v>
      </c>
      <c r="S2301" s="265">
        <v>0</v>
      </c>
      <c r="V2301" s="265">
        <v>0</v>
      </c>
      <c r="W2301" s="259">
        <v>0</v>
      </c>
      <c r="Y2301" s="259">
        <f t="shared" si="10"/>
        <v>1389</v>
      </c>
      <c r="AA2301" s="259" t="e">
        <v>#N/A</v>
      </c>
      <c r="AB2301" s="259"/>
      <c r="AC2301" s="259"/>
      <c r="AD2301" s="259"/>
      <c r="AE2301" s="259"/>
    </row>
    <row r="2302" spans="1:31">
      <c r="A2302" s="259" t="s">
        <v>2173</v>
      </c>
      <c r="B2302" s="259" t="s">
        <v>116</v>
      </c>
      <c r="C2302" s="264"/>
      <c r="D2302" s="264"/>
      <c r="H2302" s="264"/>
      <c r="I2302" s="264"/>
      <c r="J2302" s="295">
        <v>0</v>
      </c>
      <c r="K2302" s="295">
        <v>0</v>
      </c>
      <c r="L2302" s="295">
        <v>0</v>
      </c>
      <c r="O2302" s="266">
        <v>0</v>
      </c>
      <c r="P2302" s="266">
        <v>0</v>
      </c>
      <c r="Q2302" s="266">
        <v>0</v>
      </c>
      <c r="R2302" s="265">
        <v>0</v>
      </c>
      <c r="S2302" s="265">
        <v>0</v>
      </c>
      <c r="V2302" s="265">
        <v>0</v>
      </c>
      <c r="W2302" s="259">
        <v>0</v>
      </c>
      <c r="Y2302" s="259">
        <f t="shared" si="10"/>
        <v>1390</v>
      </c>
      <c r="AA2302" s="259" t="e">
        <v>#N/A</v>
      </c>
      <c r="AB2302" s="259"/>
      <c r="AC2302" s="259"/>
      <c r="AD2302" s="259"/>
      <c r="AE2302" s="259"/>
    </row>
    <row r="2303" spans="1:31">
      <c r="A2303" s="259">
        <v>92615300</v>
      </c>
      <c r="B2303" s="259" t="s">
        <v>116</v>
      </c>
      <c r="C2303" s="264" t="s">
        <v>7350</v>
      </c>
      <c r="D2303" s="264" t="s">
        <v>7654</v>
      </c>
      <c r="E2303" s="259" t="s">
        <v>7246</v>
      </c>
      <c r="H2303" s="264" t="s">
        <v>7654</v>
      </c>
      <c r="I2303" s="264" t="s">
        <v>7654</v>
      </c>
      <c r="J2303" s="295">
        <v>3835.18</v>
      </c>
      <c r="K2303" s="295">
        <v>3835.18</v>
      </c>
      <c r="L2303" s="295" t="s">
        <v>7240</v>
      </c>
      <c r="O2303" s="266">
        <v>0</v>
      </c>
      <c r="P2303" s="266">
        <v>688705005119</v>
      </c>
      <c r="Q2303" s="266">
        <v>0</v>
      </c>
      <c r="R2303" s="265">
        <v>0</v>
      </c>
      <c r="S2303" s="265">
        <v>31.889780999999999</v>
      </c>
      <c r="V2303" s="265" t="s">
        <v>7247</v>
      </c>
      <c r="W2303" s="259">
        <v>0</v>
      </c>
      <c r="Y2303" s="259">
        <f t="shared" si="10"/>
        <v>1391</v>
      </c>
      <c r="AA2303" s="259" t="e">
        <v>#N/A</v>
      </c>
      <c r="AB2303" s="259"/>
      <c r="AC2303" s="259"/>
      <c r="AD2303" s="259"/>
      <c r="AE2303" s="259"/>
    </row>
    <row r="2304" spans="1:31">
      <c r="A2304" s="259">
        <v>92615400</v>
      </c>
      <c r="B2304" s="259" t="s">
        <v>116</v>
      </c>
      <c r="C2304" s="264" t="s">
        <v>7350</v>
      </c>
      <c r="D2304" s="264" t="s">
        <v>7655</v>
      </c>
      <c r="E2304" s="259" t="s">
        <v>7246</v>
      </c>
      <c r="H2304" s="264" t="s">
        <v>7655</v>
      </c>
      <c r="I2304" s="264" t="s">
        <v>7655</v>
      </c>
      <c r="J2304" s="295">
        <v>3835.18</v>
      </c>
      <c r="K2304" s="295">
        <v>3835.18</v>
      </c>
      <c r="L2304" s="295" t="s">
        <v>7240</v>
      </c>
      <c r="O2304" s="266">
        <v>0</v>
      </c>
      <c r="P2304" s="266">
        <v>688705005126</v>
      </c>
      <c r="Q2304" s="266">
        <v>0</v>
      </c>
      <c r="R2304" s="265">
        <v>0</v>
      </c>
      <c r="S2304" s="265">
        <v>31.889780999999999</v>
      </c>
      <c r="V2304" s="265" t="s">
        <v>7247</v>
      </c>
      <c r="W2304" s="259">
        <v>0</v>
      </c>
      <c r="X2304" s="264" t="s">
        <v>7656</v>
      </c>
      <c r="Y2304" s="259">
        <f t="shared" si="10"/>
        <v>1392</v>
      </c>
      <c r="AA2304" s="259" t="e">
        <v>#N/A</v>
      </c>
      <c r="AB2304" s="259"/>
      <c r="AC2304" s="259"/>
      <c r="AD2304" s="259"/>
      <c r="AE2304" s="259"/>
    </row>
    <row r="2305" spans="1:31">
      <c r="A2305" s="259">
        <v>92620006</v>
      </c>
      <c r="B2305" s="259" t="s">
        <v>116</v>
      </c>
      <c r="C2305" s="264" t="s">
        <v>7350</v>
      </c>
      <c r="D2305" s="264" t="s">
        <v>7657</v>
      </c>
      <c r="E2305" s="259" t="s">
        <v>7246</v>
      </c>
      <c r="H2305" s="264" t="s">
        <v>7657</v>
      </c>
      <c r="I2305" s="264" t="s">
        <v>7657</v>
      </c>
      <c r="J2305" s="295">
        <v>1511.35</v>
      </c>
      <c r="K2305" s="295">
        <v>1511.35</v>
      </c>
      <c r="L2305" s="295" t="s">
        <v>7240</v>
      </c>
      <c r="O2305" s="266">
        <v>0</v>
      </c>
      <c r="P2305" s="266">
        <v>688705005133</v>
      </c>
      <c r="Q2305" s="266">
        <v>0</v>
      </c>
      <c r="R2305" s="265">
        <v>0</v>
      </c>
      <c r="S2305" s="265">
        <v>31.889780999999999</v>
      </c>
      <c r="V2305" s="265" t="s">
        <v>7247</v>
      </c>
      <c r="W2305" s="259">
        <v>0</v>
      </c>
      <c r="X2305" s="264" t="s">
        <v>7656</v>
      </c>
      <c r="Y2305" s="259">
        <f t="shared" si="10"/>
        <v>1393</v>
      </c>
      <c r="AA2305" s="259" t="e">
        <v>#N/A</v>
      </c>
      <c r="AB2305" s="259"/>
      <c r="AC2305" s="259"/>
      <c r="AD2305" s="259"/>
      <c r="AE2305" s="259"/>
    </row>
    <row r="2306" spans="1:31">
      <c r="A2306" s="259" t="s">
        <v>2174</v>
      </c>
      <c r="B2306" s="259" t="s">
        <v>116</v>
      </c>
      <c r="C2306" s="264"/>
      <c r="D2306" s="264"/>
      <c r="H2306" s="264"/>
      <c r="I2306" s="264"/>
      <c r="J2306" s="295">
        <v>0</v>
      </c>
      <c r="K2306" s="295">
        <v>0</v>
      </c>
      <c r="L2306" s="295">
        <v>0</v>
      </c>
      <c r="O2306" s="266"/>
      <c r="R2306" s="265"/>
      <c r="V2306" s="265">
        <v>0</v>
      </c>
      <c r="Y2306" s="259">
        <f t="shared" si="10"/>
        <v>1394</v>
      </c>
      <c r="AA2306" s="259" t="e">
        <v>#N/A</v>
      </c>
      <c r="AB2306" s="259"/>
      <c r="AC2306" s="259"/>
      <c r="AD2306" s="259"/>
      <c r="AE2306" s="259"/>
    </row>
    <row r="2307" spans="1:31">
      <c r="A2307" s="259" t="s">
        <v>2175</v>
      </c>
      <c r="B2307" s="259" t="s">
        <v>116</v>
      </c>
      <c r="C2307" s="264"/>
      <c r="D2307" s="264"/>
      <c r="H2307" s="264"/>
      <c r="I2307" s="264"/>
      <c r="J2307" s="295">
        <v>0</v>
      </c>
      <c r="K2307" s="295">
        <v>0</v>
      </c>
      <c r="L2307" s="295">
        <v>0</v>
      </c>
      <c r="O2307" s="266">
        <v>0</v>
      </c>
      <c r="P2307" s="266">
        <v>0</v>
      </c>
      <c r="Q2307" s="266">
        <v>0</v>
      </c>
      <c r="R2307" s="265">
        <v>0</v>
      </c>
      <c r="S2307" s="265">
        <v>0</v>
      </c>
      <c r="V2307" s="265">
        <v>0</v>
      </c>
      <c r="W2307" s="259">
        <v>0</v>
      </c>
      <c r="Y2307" s="259">
        <f t="shared" si="10"/>
        <v>1395</v>
      </c>
      <c r="AA2307" s="259" t="e">
        <v>#N/A</v>
      </c>
      <c r="AB2307" s="259"/>
      <c r="AC2307" s="259"/>
      <c r="AD2307" s="259"/>
      <c r="AE2307" s="259"/>
    </row>
    <row r="2308" spans="1:31">
      <c r="A2308" s="259">
        <v>92210525</v>
      </c>
      <c r="B2308" s="259" t="s">
        <v>116</v>
      </c>
      <c r="C2308" s="264" t="s">
        <v>7350</v>
      </c>
      <c r="D2308" s="264" t="s">
        <v>2175</v>
      </c>
      <c r="E2308" s="259" t="s">
        <v>7246</v>
      </c>
      <c r="H2308" s="264" t="s">
        <v>2175</v>
      </c>
      <c r="I2308" s="264" t="s">
        <v>2175</v>
      </c>
      <c r="J2308" s="295">
        <v>18823.98</v>
      </c>
      <c r="K2308" s="295">
        <v>18823.98</v>
      </c>
      <c r="L2308" s="295" t="s">
        <v>7240</v>
      </c>
      <c r="O2308" s="266">
        <v>0</v>
      </c>
      <c r="P2308" s="266">
        <v>688705004365</v>
      </c>
      <c r="Q2308" s="266">
        <v>0</v>
      </c>
      <c r="R2308" s="265">
        <v>31.5</v>
      </c>
      <c r="S2308" s="265">
        <v>31.5</v>
      </c>
      <c r="V2308" s="265" t="s">
        <v>7247</v>
      </c>
      <c r="W2308" s="259">
        <v>0</v>
      </c>
      <c r="Y2308" s="259">
        <f t="shared" si="10"/>
        <v>1396</v>
      </c>
      <c r="AA2308" s="259" t="e">
        <v>#N/A</v>
      </c>
      <c r="AB2308" s="259"/>
      <c r="AC2308" s="259"/>
      <c r="AD2308" s="259"/>
      <c r="AE2308" s="259"/>
    </row>
    <row r="2309" spans="1:31">
      <c r="A2309" s="259">
        <v>92620035</v>
      </c>
      <c r="B2309" s="259" t="s">
        <v>116</v>
      </c>
      <c r="C2309" s="264" t="s">
        <v>7350</v>
      </c>
      <c r="D2309" s="264" t="s">
        <v>7658</v>
      </c>
      <c r="E2309" s="259" t="s">
        <v>7246</v>
      </c>
      <c r="H2309" s="264" t="s">
        <v>7658</v>
      </c>
      <c r="I2309" s="264" t="s">
        <v>7658</v>
      </c>
      <c r="J2309" s="295">
        <v>90.14</v>
      </c>
      <c r="K2309" s="295">
        <v>90.14</v>
      </c>
      <c r="L2309" s="295" t="s">
        <v>7240</v>
      </c>
      <c r="O2309" s="266">
        <v>0</v>
      </c>
      <c r="P2309" s="266">
        <v>688705000060</v>
      </c>
      <c r="Q2309" s="266">
        <v>0</v>
      </c>
      <c r="R2309" s="265">
        <v>13.78</v>
      </c>
      <c r="S2309" s="265">
        <v>13.78</v>
      </c>
      <c r="V2309" s="265" t="s">
        <v>7247</v>
      </c>
      <c r="W2309" s="259">
        <v>0</v>
      </c>
      <c r="X2309" s="264" t="s">
        <v>7652</v>
      </c>
      <c r="Y2309" s="259">
        <f t="shared" si="10"/>
        <v>1397</v>
      </c>
      <c r="AA2309" s="259" t="e">
        <v>#N/A</v>
      </c>
      <c r="AB2309" s="259"/>
      <c r="AC2309" s="259"/>
      <c r="AD2309" s="259"/>
      <c r="AE2309" s="259"/>
    </row>
    <row r="2310" spans="1:31">
      <c r="A2310" s="259">
        <v>92625020</v>
      </c>
      <c r="B2310" s="259" t="s">
        <v>116</v>
      </c>
      <c r="C2310" s="264" t="s">
        <v>7350</v>
      </c>
      <c r="D2310" s="264" t="s">
        <v>7659</v>
      </c>
      <c r="E2310" s="259" t="s">
        <v>7246</v>
      </c>
      <c r="H2310" s="264" t="s">
        <v>7659</v>
      </c>
      <c r="I2310" s="264" t="s">
        <v>7659</v>
      </c>
      <c r="J2310" s="295">
        <v>550.70000000000005</v>
      </c>
      <c r="K2310" s="295">
        <v>550.70000000000005</v>
      </c>
      <c r="L2310" s="295" t="s">
        <v>7240</v>
      </c>
      <c r="O2310" s="266">
        <v>0</v>
      </c>
      <c r="P2310" s="266">
        <v>688705000015</v>
      </c>
      <c r="Q2310" s="266">
        <v>0</v>
      </c>
      <c r="R2310" s="265">
        <v>8.89</v>
      </c>
      <c r="S2310" s="265">
        <v>8.89</v>
      </c>
      <c r="V2310" s="265" t="s">
        <v>7247</v>
      </c>
      <c r="W2310" s="259">
        <v>0</v>
      </c>
      <c r="X2310" s="264" t="s">
        <v>7652</v>
      </c>
      <c r="Y2310" s="259">
        <f t="shared" si="10"/>
        <v>1398</v>
      </c>
      <c r="AA2310" s="259" t="e">
        <v>#N/A</v>
      </c>
      <c r="AB2310" s="259"/>
      <c r="AC2310" s="259"/>
      <c r="AD2310" s="259"/>
      <c r="AE2310" s="259"/>
    </row>
    <row r="2311" spans="1:31">
      <c r="A2311" s="259">
        <v>92625025</v>
      </c>
      <c r="B2311" s="259" t="s">
        <v>116</v>
      </c>
      <c r="C2311" s="264" t="s">
        <v>7350</v>
      </c>
      <c r="D2311" s="264" t="s">
        <v>7660</v>
      </c>
      <c r="E2311" s="259" t="s">
        <v>7246</v>
      </c>
      <c r="H2311" s="264" t="s">
        <v>7660</v>
      </c>
      <c r="I2311" s="264" t="s">
        <v>7660</v>
      </c>
      <c r="J2311" s="295">
        <v>550.70000000000005</v>
      </c>
      <c r="K2311" s="295">
        <v>550.70000000000005</v>
      </c>
      <c r="L2311" s="295" t="s">
        <v>7240</v>
      </c>
      <c r="O2311" s="266">
        <v>0</v>
      </c>
      <c r="P2311" s="266">
        <v>688705001869</v>
      </c>
      <c r="Q2311" s="266">
        <v>0</v>
      </c>
      <c r="R2311" s="265">
        <v>20.28</v>
      </c>
      <c r="S2311" s="265">
        <v>20.28</v>
      </c>
      <c r="V2311" s="265" t="s">
        <v>7247</v>
      </c>
      <c r="W2311" s="259">
        <v>0</v>
      </c>
      <c r="X2311" s="264" t="s">
        <v>7652</v>
      </c>
      <c r="Y2311" s="259">
        <f t="shared" si="10"/>
        <v>1399</v>
      </c>
      <c r="AA2311" s="259" t="e">
        <v>#N/A</v>
      </c>
      <c r="AB2311" s="259"/>
      <c r="AC2311" s="259"/>
      <c r="AD2311" s="259"/>
      <c r="AE2311" s="259"/>
    </row>
    <row r="2312" spans="1:31">
      <c r="A2312" s="259">
        <v>92625030</v>
      </c>
      <c r="B2312" s="259" t="s">
        <v>116</v>
      </c>
      <c r="C2312" s="264" t="s">
        <v>7350</v>
      </c>
      <c r="D2312" s="264" t="s">
        <v>7661</v>
      </c>
      <c r="E2312" s="259" t="s">
        <v>7246</v>
      </c>
      <c r="H2312" s="264" t="s">
        <v>7661</v>
      </c>
      <c r="I2312" s="264" t="s">
        <v>7661</v>
      </c>
      <c r="J2312" s="295">
        <v>690.23</v>
      </c>
      <c r="K2312" s="295">
        <v>690.23</v>
      </c>
      <c r="L2312" s="295" t="s">
        <v>7240</v>
      </c>
      <c r="O2312" s="266">
        <v>0</v>
      </c>
      <c r="P2312" s="266">
        <v>688705001821</v>
      </c>
      <c r="Q2312" s="266">
        <v>0</v>
      </c>
      <c r="R2312" s="265">
        <v>26.78</v>
      </c>
      <c r="S2312" s="265">
        <v>26.78</v>
      </c>
      <c r="V2312" s="265" t="s">
        <v>7247</v>
      </c>
      <c r="W2312" s="259">
        <v>0</v>
      </c>
      <c r="X2312" s="264" t="s">
        <v>7652</v>
      </c>
      <c r="Y2312" s="259">
        <f t="shared" si="10"/>
        <v>1400</v>
      </c>
      <c r="AA2312" s="259" t="e">
        <v>#N/A</v>
      </c>
      <c r="AB2312" s="259"/>
      <c r="AC2312" s="259"/>
      <c r="AD2312" s="259"/>
      <c r="AE2312" s="259"/>
    </row>
    <row r="2313" spans="1:31">
      <c r="A2313" s="259" t="s">
        <v>2176</v>
      </c>
      <c r="B2313" s="259" t="s">
        <v>116</v>
      </c>
      <c r="C2313" s="264"/>
      <c r="D2313" s="264"/>
      <c r="H2313" s="264"/>
      <c r="I2313" s="264"/>
      <c r="J2313" s="295">
        <v>0</v>
      </c>
      <c r="K2313" s="295">
        <v>0</v>
      </c>
      <c r="L2313" s="295">
        <v>0</v>
      </c>
      <c r="O2313" s="266"/>
      <c r="R2313" s="265"/>
      <c r="V2313" s="265">
        <v>0</v>
      </c>
      <c r="Y2313" s="259">
        <f t="shared" si="10"/>
        <v>1401</v>
      </c>
      <c r="AA2313" s="259" t="e">
        <v>#N/A</v>
      </c>
      <c r="AB2313" s="259"/>
      <c r="AC2313" s="259"/>
      <c r="AD2313" s="259"/>
      <c r="AE2313" s="259"/>
    </row>
    <row r="2314" spans="1:31">
      <c r="A2314" s="259" t="s">
        <v>2177</v>
      </c>
      <c r="B2314" s="259" t="s">
        <v>116</v>
      </c>
      <c r="C2314" s="264"/>
      <c r="D2314" s="264"/>
      <c r="H2314" s="264"/>
      <c r="I2314" s="264"/>
      <c r="J2314" s="295">
        <v>0</v>
      </c>
      <c r="K2314" s="295">
        <v>0</v>
      </c>
      <c r="L2314" s="295">
        <v>0</v>
      </c>
      <c r="O2314" s="266"/>
      <c r="R2314" s="265"/>
      <c r="V2314" s="265">
        <v>0</v>
      </c>
      <c r="Y2314" s="259">
        <f t="shared" si="10"/>
        <v>1402</v>
      </c>
      <c r="AA2314" s="259" t="e">
        <v>#N/A</v>
      </c>
      <c r="AB2314" s="259"/>
      <c r="AC2314" s="259"/>
      <c r="AD2314" s="259"/>
      <c r="AE2314" s="259"/>
    </row>
    <row r="2315" spans="1:31">
      <c r="A2315" s="259" t="s">
        <v>2178</v>
      </c>
      <c r="B2315" s="259" t="s">
        <v>116</v>
      </c>
      <c r="C2315" s="264"/>
      <c r="D2315" s="264"/>
      <c r="H2315" s="264"/>
      <c r="I2315" s="264"/>
      <c r="J2315" s="295">
        <v>0</v>
      </c>
      <c r="K2315" s="295">
        <v>0</v>
      </c>
      <c r="L2315" s="295">
        <v>0</v>
      </c>
      <c r="O2315" s="266">
        <v>0</v>
      </c>
      <c r="P2315" s="266">
        <v>0</v>
      </c>
      <c r="Q2315" s="266">
        <v>0</v>
      </c>
      <c r="R2315" s="265">
        <v>0</v>
      </c>
      <c r="S2315" s="265">
        <v>0</v>
      </c>
      <c r="V2315" s="265">
        <v>0</v>
      </c>
      <c r="W2315" s="259">
        <v>0</v>
      </c>
      <c r="Y2315" s="259">
        <f t="shared" si="10"/>
        <v>1403</v>
      </c>
      <c r="AA2315" s="259" t="e">
        <v>#N/A</v>
      </c>
      <c r="AB2315" s="259"/>
      <c r="AC2315" s="259"/>
      <c r="AD2315" s="259"/>
      <c r="AE2315" s="259"/>
    </row>
    <row r="2316" spans="1:31">
      <c r="A2316" s="259" t="s">
        <v>2179</v>
      </c>
      <c r="B2316" s="259" t="s">
        <v>116</v>
      </c>
      <c r="C2316" s="264" t="s">
        <v>7662</v>
      </c>
      <c r="D2316" s="264" t="s">
        <v>7663</v>
      </c>
      <c r="E2316" s="259" t="s">
        <v>7664</v>
      </c>
      <c r="H2316" s="264" t="s">
        <v>7663</v>
      </c>
      <c r="I2316" s="264" t="s">
        <v>7663</v>
      </c>
      <c r="J2316" s="295">
        <v>4532</v>
      </c>
      <c r="K2316" s="295">
        <v>4532</v>
      </c>
      <c r="L2316" s="295" t="s">
        <v>7240</v>
      </c>
      <c r="O2316" s="266">
        <v>0</v>
      </c>
      <c r="Q2316" s="266">
        <v>0</v>
      </c>
      <c r="R2316" s="265"/>
      <c r="V2316" s="265" t="s">
        <v>3218</v>
      </c>
      <c r="W2316" s="259">
        <v>0</v>
      </c>
      <c r="Y2316" s="259">
        <f t="shared" si="10"/>
        <v>1404</v>
      </c>
      <c r="Z2316" s="259" t="s">
        <v>3030</v>
      </c>
      <c r="AA2316" s="259" t="e">
        <v>#N/A</v>
      </c>
      <c r="AB2316" s="259"/>
      <c r="AC2316" s="259"/>
      <c r="AD2316" s="259"/>
      <c r="AE2316" s="259"/>
    </row>
    <row r="2317" spans="1:31">
      <c r="A2317" s="259" t="s">
        <v>2180</v>
      </c>
      <c r="B2317" s="259" t="s">
        <v>116</v>
      </c>
      <c r="C2317" s="264" t="s">
        <v>7662</v>
      </c>
      <c r="D2317" s="264" t="s">
        <v>7665</v>
      </c>
      <c r="E2317" s="259" t="s">
        <v>7664</v>
      </c>
      <c r="H2317" s="264" t="s">
        <v>7665</v>
      </c>
      <c r="I2317" s="264" t="s">
        <v>7665</v>
      </c>
      <c r="J2317" s="295">
        <v>4995.5</v>
      </c>
      <c r="K2317" s="295">
        <v>4995.5</v>
      </c>
      <c r="L2317" s="295" t="s">
        <v>7240</v>
      </c>
      <c r="O2317" s="266">
        <v>0</v>
      </c>
      <c r="Q2317" s="266">
        <v>0</v>
      </c>
      <c r="R2317" s="265"/>
      <c r="V2317" s="265" t="s">
        <v>3218</v>
      </c>
      <c r="W2317" s="259">
        <v>0</v>
      </c>
      <c r="X2317" s="264" t="s">
        <v>7666</v>
      </c>
      <c r="Y2317" s="259">
        <f t="shared" si="10"/>
        <v>1405</v>
      </c>
      <c r="Z2317" s="259" t="s">
        <v>3264</v>
      </c>
      <c r="AA2317" s="259" t="e">
        <v>#N/A</v>
      </c>
      <c r="AB2317" s="259"/>
      <c r="AC2317" s="259"/>
      <c r="AD2317" s="259"/>
      <c r="AE2317" s="259"/>
    </row>
    <row r="2318" spans="1:31">
      <c r="A2318" s="259" t="s">
        <v>2181</v>
      </c>
      <c r="B2318" s="259" t="s">
        <v>116</v>
      </c>
      <c r="C2318" s="264" t="s">
        <v>7662</v>
      </c>
      <c r="D2318" s="264" t="s">
        <v>7667</v>
      </c>
      <c r="E2318" s="259" t="s">
        <v>7664</v>
      </c>
      <c r="H2318" s="264" t="s">
        <v>7667</v>
      </c>
      <c r="I2318" s="264" t="s">
        <v>7667</v>
      </c>
      <c r="J2318" s="295">
        <v>4789.5</v>
      </c>
      <c r="K2318" s="295">
        <v>4789.5</v>
      </c>
      <c r="L2318" s="295" t="s">
        <v>7240</v>
      </c>
      <c r="O2318" s="266">
        <v>0</v>
      </c>
      <c r="Q2318" s="266">
        <v>0</v>
      </c>
      <c r="R2318" s="265"/>
      <c r="V2318" s="265" t="s">
        <v>3218</v>
      </c>
      <c r="W2318" s="259">
        <v>0</v>
      </c>
      <c r="X2318" s="264" t="s">
        <v>7666</v>
      </c>
      <c r="Y2318" s="259">
        <f t="shared" si="10"/>
        <v>1406</v>
      </c>
      <c r="Z2318" s="259" t="s">
        <v>3030</v>
      </c>
      <c r="AA2318" s="259" t="e">
        <v>#N/A</v>
      </c>
      <c r="AB2318" s="259"/>
      <c r="AC2318" s="259"/>
      <c r="AD2318" s="259"/>
      <c r="AE2318" s="259"/>
    </row>
    <row r="2319" spans="1:31">
      <c r="A2319" s="259" t="s">
        <v>2182</v>
      </c>
      <c r="B2319" s="259" t="s">
        <v>116</v>
      </c>
      <c r="C2319" s="264"/>
      <c r="D2319" s="264"/>
      <c r="H2319" s="264"/>
      <c r="I2319" s="264"/>
      <c r="J2319" s="295">
        <v>0</v>
      </c>
      <c r="K2319" s="295">
        <v>0</v>
      </c>
      <c r="L2319" s="295">
        <v>0</v>
      </c>
      <c r="O2319" s="266"/>
      <c r="R2319" s="265"/>
      <c r="V2319" s="265">
        <v>0</v>
      </c>
      <c r="Y2319" s="259">
        <f t="shared" si="10"/>
        <v>1407</v>
      </c>
      <c r="AA2319" s="259" t="e">
        <v>#N/A</v>
      </c>
      <c r="AB2319" s="259"/>
      <c r="AC2319" s="259"/>
      <c r="AD2319" s="259"/>
      <c r="AE2319" s="259"/>
    </row>
    <row r="2320" spans="1:31">
      <c r="A2320" s="259" t="s">
        <v>2183</v>
      </c>
      <c r="B2320" s="259" t="s">
        <v>116</v>
      </c>
      <c r="C2320" s="264" t="s">
        <v>7662</v>
      </c>
      <c r="D2320" s="264" t="s">
        <v>7668</v>
      </c>
      <c r="E2320" s="259" t="s">
        <v>7664</v>
      </c>
      <c r="H2320" s="264" t="s">
        <v>7668</v>
      </c>
      <c r="I2320" s="264" t="s">
        <v>7668</v>
      </c>
      <c r="J2320" s="295">
        <v>148.16999999999999</v>
      </c>
      <c r="K2320" s="295">
        <v>148.16999999999999</v>
      </c>
      <c r="L2320" s="295" t="s">
        <v>7240</v>
      </c>
      <c r="O2320" s="266">
        <v>0</v>
      </c>
      <c r="Q2320" s="266">
        <v>0</v>
      </c>
      <c r="R2320" s="265"/>
      <c r="V2320" s="265" t="s">
        <v>3218</v>
      </c>
      <c r="W2320" s="259">
        <v>0</v>
      </c>
      <c r="X2320" s="264" t="s">
        <v>7666</v>
      </c>
      <c r="Y2320" s="259">
        <f t="shared" si="10"/>
        <v>1408</v>
      </c>
      <c r="Z2320" s="259" t="s">
        <v>3030</v>
      </c>
      <c r="AA2320" s="259" t="e">
        <v>#N/A</v>
      </c>
      <c r="AB2320" s="259"/>
      <c r="AC2320" s="259"/>
      <c r="AD2320" s="259"/>
      <c r="AE2320" s="259"/>
    </row>
    <row r="2321" spans="1:31">
      <c r="A2321" s="259" t="s">
        <v>2184</v>
      </c>
      <c r="B2321" s="259" t="s">
        <v>116</v>
      </c>
      <c r="C2321" s="264" t="s">
        <v>7662</v>
      </c>
      <c r="D2321" s="264" t="s">
        <v>7669</v>
      </c>
      <c r="E2321" s="259" t="s">
        <v>7664</v>
      </c>
      <c r="H2321" s="264" t="s">
        <v>7669</v>
      </c>
      <c r="I2321" s="264" t="s">
        <v>7669</v>
      </c>
      <c r="J2321" s="295">
        <v>238.31</v>
      </c>
      <c r="K2321" s="295">
        <v>238.31</v>
      </c>
      <c r="L2321" s="295" t="s">
        <v>7240</v>
      </c>
      <c r="O2321" s="266">
        <v>0</v>
      </c>
      <c r="Q2321" s="266">
        <v>0</v>
      </c>
      <c r="R2321" s="265"/>
      <c r="V2321" s="265" t="s">
        <v>3218</v>
      </c>
      <c r="W2321" s="259">
        <v>0</v>
      </c>
      <c r="X2321" s="264" t="s">
        <v>7666</v>
      </c>
      <c r="Y2321" s="259">
        <f t="shared" si="10"/>
        <v>1409</v>
      </c>
      <c r="Z2321" s="259" t="s">
        <v>3030</v>
      </c>
      <c r="AA2321" s="259" t="e">
        <v>#N/A</v>
      </c>
      <c r="AB2321" s="259"/>
      <c r="AC2321" s="259"/>
      <c r="AD2321" s="259"/>
      <c r="AE2321" s="259"/>
    </row>
    <row r="2322" spans="1:31">
      <c r="A2322" s="259">
        <v>91515020</v>
      </c>
      <c r="B2322" s="259" t="s">
        <v>116</v>
      </c>
      <c r="C2322" s="264" t="s">
        <v>7662</v>
      </c>
      <c r="D2322" s="264" t="s">
        <v>7670</v>
      </c>
      <c r="E2322" s="259" t="s">
        <v>7664</v>
      </c>
      <c r="H2322" s="264" t="s">
        <v>7670</v>
      </c>
      <c r="I2322" s="264" t="s">
        <v>7670</v>
      </c>
      <c r="J2322" s="295">
        <v>2593</v>
      </c>
      <c r="K2322" s="295">
        <v>2593</v>
      </c>
      <c r="L2322" s="295" t="s">
        <v>7240</v>
      </c>
      <c r="O2322" s="266">
        <v>0</v>
      </c>
      <c r="P2322" s="266">
        <v>5706681212101</v>
      </c>
      <c r="Q2322" s="266">
        <v>0</v>
      </c>
      <c r="R2322" s="265">
        <v>22.834658000000001</v>
      </c>
      <c r="S2322" s="265">
        <v>47.244120000000002</v>
      </c>
      <c r="V2322" s="265" t="s">
        <v>3574</v>
      </c>
      <c r="W2322" s="259">
        <v>0</v>
      </c>
      <c r="X2322" s="264" t="s">
        <v>7666</v>
      </c>
      <c r="Y2322" s="259">
        <f t="shared" si="10"/>
        <v>1410</v>
      </c>
      <c r="AA2322" s="259" t="e">
        <v>#N/A</v>
      </c>
      <c r="AB2322" s="259"/>
      <c r="AC2322" s="259"/>
      <c r="AD2322" s="259"/>
      <c r="AE2322" s="259"/>
    </row>
    <row r="2323" spans="1:31">
      <c r="A2323" s="259" t="s">
        <v>2185</v>
      </c>
      <c r="B2323" s="259" t="s">
        <v>116</v>
      </c>
      <c r="C2323" s="264"/>
      <c r="D2323" s="264"/>
      <c r="H2323" s="264"/>
      <c r="I2323" s="264"/>
      <c r="J2323" s="295">
        <v>0</v>
      </c>
      <c r="K2323" s="295">
        <v>0</v>
      </c>
      <c r="L2323" s="295">
        <v>0</v>
      </c>
      <c r="O2323" s="266"/>
      <c r="R2323" s="265"/>
      <c r="V2323" s="265">
        <v>0</v>
      </c>
      <c r="Y2323" s="259">
        <f t="shared" si="10"/>
        <v>1411</v>
      </c>
      <c r="AA2323" s="259" t="e">
        <v>#N/A</v>
      </c>
      <c r="AB2323" s="259"/>
      <c r="AC2323" s="259"/>
      <c r="AD2323" s="259"/>
      <c r="AE2323" s="259"/>
    </row>
    <row r="2324" spans="1:31">
      <c r="A2324" s="259" t="s">
        <v>2186</v>
      </c>
      <c r="B2324" s="259" t="s">
        <v>116</v>
      </c>
      <c r="C2324" s="264"/>
      <c r="D2324" s="264" t="s">
        <v>2898</v>
      </c>
      <c r="E2324" s="259" t="s">
        <v>7671</v>
      </c>
      <c r="H2324" s="264" t="s">
        <v>2898</v>
      </c>
      <c r="I2324" s="264" t="s">
        <v>2898</v>
      </c>
      <c r="J2324" s="295">
        <v>5974</v>
      </c>
      <c r="K2324" s="295">
        <v>5974</v>
      </c>
      <c r="L2324" s="295" t="s">
        <v>7240</v>
      </c>
      <c r="O2324" s="266"/>
      <c r="P2324" s="266">
        <v>688705007809</v>
      </c>
      <c r="R2324" s="265"/>
      <c r="V2324" s="265">
        <v>0</v>
      </c>
      <c r="Y2324" s="259">
        <f t="shared" si="10"/>
        <v>1412</v>
      </c>
      <c r="Z2324" s="259" t="s">
        <v>4042</v>
      </c>
      <c r="AA2324" s="259" t="e">
        <v>#N/A</v>
      </c>
      <c r="AB2324" s="259"/>
      <c r="AC2324" s="259"/>
      <c r="AD2324" s="259"/>
      <c r="AE2324" s="259"/>
    </row>
    <row r="2325" spans="1:31">
      <c r="A2325" s="259" t="s">
        <v>2187</v>
      </c>
      <c r="B2325" s="259" t="s">
        <v>116</v>
      </c>
      <c r="C2325" s="264"/>
      <c r="D2325" s="264" t="s">
        <v>2899</v>
      </c>
      <c r="E2325" s="259" t="s">
        <v>7671</v>
      </c>
      <c r="H2325" s="264" t="s">
        <v>2899</v>
      </c>
      <c r="I2325" s="264" t="s">
        <v>2899</v>
      </c>
      <c r="J2325" s="295">
        <v>6180</v>
      </c>
      <c r="K2325" s="295">
        <v>6180</v>
      </c>
      <c r="L2325" s="295" t="s">
        <v>7240</v>
      </c>
      <c r="O2325" s="266"/>
      <c r="P2325" s="266">
        <v>688705007458</v>
      </c>
      <c r="R2325" s="265"/>
      <c r="V2325" s="265">
        <v>0</v>
      </c>
      <c r="Y2325" s="259">
        <f t="shared" si="10"/>
        <v>1413</v>
      </c>
      <c r="Z2325" s="259" t="s">
        <v>4042</v>
      </c>
      <c r="AA2325" s="259" t="e">
        <v>#N/A</v>
      </c>
      <c r="AB2325" s="259"/>
      <c r="AC2325" s="259"/>
      <c r="AD2325" s="259"/>
      <c r="AE2325" s="259"/>
    </row>
    <row r="2326" spans="1:31">
      <c r="A2326" s="259" t="s">
        <v>2188</v>
      </c>
      <c r="B2326" s="259" t="s">
        <v>116</v>
      </c>
      <c r="C2326" s="264"/>
      <c r="D2326" s="264" t="s">
        <v>2900</v>
      </c>
      <c r="E2326" s="259" t="s">
        <v>7671</v>
      </c>
      <c r="H2326" s="264" t="s">
        <v>2900</v>
      </c>
      <c r="I2326" s="264" t="s">
        <v>2900</v>
      </c>
      <c r="J2326" s="295">
        <v>6592</v>
      </c>
      <c r="K2326" s="295">
        <v>6592</v>
      </c>
      <c r="L2326" s="295" t="s">
        <v>7240</v>
      </c>
      <c r="O2326" s="266">
        <v>0</v>
      </c>
      <c r="P2326" s="266">
        <v>688705007571</v>
      </c>
      <c r="Q2326" s="266">
        <v>0</v>
      </c>
      <c r="R2326" s="265">
        <v>0</v>
      </c>
      <c r="S2326" s="265">
        <v>0</v>
      </c>
      <c r="V2326" s="265" t="s">
        <v>3028</v>
      </c>
      <c r="W2326" s="259">
        <v>0</v>
      </c>
      <c r="X2326" s="264" t="s">
        <v>7672</v>
      </c>
      <c r="Y2326" s="259">
        <f t="shared" si="10"/>
        <v>1414</v>
      </c>
      <c r="Z2326" s="259" t="s">
        <v>4042</v>
      </c>
      <c r="AA2326" s="259" t="e">
        <v>#N/A</v>
      </c>
      <c r="AB2326" s="259"/>
      <c r="AC2326" s="259"/>
      <c r="AD2326" s="259"/>
      <c r="AE2326" s="259"/>
    </row>
    <row r="2327" spans="1:31">
      <c r="A2327" s="259" t="s">
        <v>2189</v>
      </c>
      <c r="B2327" s="259" t="s">
        <v>116</v>
      </c>
      <c r="C2327" s="264"/>
      <c r="D2327" s="264"/>
      <c r="H2327" s="264"/>
      <c r="I2327" s="264"/>
      <c r="J2327" s="295">
        <v>0</v>
      </c>
      <c r="K2327" s="295">
        <v>0</v>
      </c>
      <c r="L2327" s="295">
        <v>0</v>
      </c>
      <c r="O2327" s="266"/>
      <c r="R2327" s="265"/>
      <c r="V2327" s="265">
        <v>0</v>
      </c>
      <c r="Y2327" s="259">
        <f t="shared" si="10"/>
        <v>1415</v>
      </c>
      <c r="AA2327" s="259" t="e">
        <v>#N/A</v>
      </c>
      <c r="AB2327" s="259"/>
      <c r="AC2327" s="259"/>
      <c r="AD2327" s="259"/>
      <c r="AE2327" s="259"/>
    </row>
    <row r="2328" spans="1:31">
      <c r="A2328" s="259" t="s">
        <v>2190</v>
      </c>
      <c r="B2328" s="259" t="s">
        <v>116</v>
      </c>
      <c r="C2328" s="264"/>
      <c r="D2328" s="264" t="s">
        <v>7673</v>
      </c>
      <c r="E2328" s="259" t="s">
        <v>7671</v>
      </c>
      <c r="H2328" s="264" t="s">
        <v>7673</v>
      </c>
      <c r="I2328" s="264" t="s">
        <v>7673</v>
      </c>
      <c r="J2328" s="295">
        <v>2060</v>
      </c>
      <c r="K2328" s="295">
        <v>2060</v>
      </c>
      <c r="L2328" s="295" t="s">
        <v>7240</v>
      </c>
      <c r="O2328" s="266"/>
      <c r="P2328" s="266">
        <v>688705008196</v>
      </c>
      <c r="R2328" s="265"/>
      <c r="V2328" s="265">
        <v>0</v>
      </c>
      <c r="Y2328" s="259">
        <f t="shared" si="10"/>
        <v>1416</v>
      </c>
      <c r="Z2328" s="259" t="s">
        <v>4042</v>
      </c>
      <c r="AA2328" s="259" t="e">
        <v>#N/A</v>
      </c>
      <c r="AB2328" s="259"/>
      <c r="AC2328" s="259"/>
      <c r="AD2328" s="259"/>
      <c r="AE2328" s="259"/>
    </row>
    <row r="2329" spans="1:31">
      <c r="A2329" s="259" t="s">
        <v>2191</v>
      </c>
      <c r="B2329" s="259" t="s">
        <v>116</v>
      </c>
      <c r="C2329" s="264"/>
      <c r="D2329" s="264" t="s">
        <v>7674</v>
      </c>
      <c r="E2329" s="259" t="s">
        <v>7671</v>
      </c>
      <c r="H2329" s="264" t="s">
        <v>7674</v>
      </c>
      <c r="I2329" s="264" t="s">
        <v>7674</v>
      </c>
      <c r="J2329" s="295">
        <v>412</v>
      </c>
      <c r="K2329" s="295">
        <v>412</v>
      </c>
      <c r="L2329" s="295" t="s">
        <v>7240</v>
      </c>
      <c r="O2329" s="266"/>
      <c r="P2329" s="266">
        <v>688705009070</v>
      </c>
      <c r="R2329" s="265"/>
      <c r="V2329" s="265">
        <v>0</v>
      </c>
      <c r="Y2329" s="259">
        <f t="shared" si="10"/>
        <v>1417</v>
      </c>
      <c r="Z2329" s="259" t="s">
        <v>4042</v>
      </c>
      <c r="AA2329" s="259" t="e">
        <v>#N/A</v>
      </c>
      <c r="AB2329" s="259"/>
      <c r="AC2329" s="259"/>
      <c r="AD2329" s="259"/>
      <c r="AE2329" s="259"/>
    </row>
    <row r="2330" spans="1:31">
      <c r="A2330" s="259" t="s">
        <v>2192</v>
      </c>
      <c r="B2330" s="259" t="s">
        <v>116</v>
      </c>
      <c r="C2330" s="264"/>
      <c r="D2330" s="264"/>
      <c r="H2330" s="264"/>
      <c r="I2330" s="264"/>
      <c r="J2330" s="295">
        <v>0</v>
      </c>
      <c r="K2330" s="295">
        <v>0</v>
      </c>
      <c r="L2330" s="295">
        <v>0</v>
      </c>
      <c r="O2330" s="266">
        <v>0</v>
      </c>
      <c r="P2330" s="266">
        <v>0</v>
      </c>
      <c r="Q2330" s="266">
        <v>0</v>
      </c>
      <c r="R2330" s="265">
        <v>0</v>
      </c>
      <c r="S2330" s="265">
        <v>0</v>
      </c>
      <c r="V2330" s="265">
        <v>0</v>
      </c>
      <c r="W2330" s="259">
        <v>0</v>
      </c>
      <c r="Y2330" s="259">
        <f t="shared" si="10"/>
        <v>1418</v>
      </c>
      <c r="AA2330" s="259" t="e">
        <v>#N/A</v>
      </c>
      <c r="AB2330" s="259"/>
      <c r="AC2330" s="259"/>
      <c r="AD2330" s="259"/>
      <c r="AE2330" s="259"/>
    </row>
    <row r="2331" spans="1:31">
      <c r="A2331" s="259" t="s">
        <v>2193</v>
      </c>
      <c r="B2331" s="259" t="s">
        <v>116</v>
      </c>
      <c r="C2331" s="264" t="s">
        <v>7662</v>
      </c>
      <c r="D2331" s="264" t="s">
        <v>7675</v>
      </c>
      <c r="E2331" s="259" t="s">
        <v>7671</v>
      </c>
      <c r="H2331" s="264" t="s">
        <v>7675</v>
      </c>
      <c r="I2331" s="264" t="s">
        <v>7675</v>
      </c>
      <c r="J2331" s="295">
        <v>8272.92</v>
      </c>
      <c r="K2331" s="295">
        <v>8272.92</v>
      </c>
      <c r="L2331" s="295" t="s">
        <v>7240</v>
      </c>
      <c r="O2331" s="266">
        <v>0</v>
      </c>
      <c r="P2331" s="266">
        <v>688705006451</v>
      </c>
      <c r="Q2331" s="266">
        <v>0</v>
      </c>
      <c r="R2331" s="265">
        <v>0</v>
      </c>
      <c r="S2331" s="265">
        <v>0</v>
      </c>
      <c r="V2331" s="265" t="s">
        <v>3218</v>
      </c>
      <c r="W2331" s="259">
        <v>0</v>
      </c>
      <c r="Y2331" s="259">
        <f t="shared" si="10"/>
        <v>1419</v>
      </c>
      <c r="Z2331" s="259" t="s">
        <v>3030</v>
      </c>
      <c r="AA2331" s="259" t="e">
        <v>#N/A</v>
      </c>
      <c r="AB2331" s="259"/>
      <c r="AC2331" s="259"/>
      <c r="AD2331" s="259"/>
      <c r="AE2331" s="259"/>
    </row>
    <row r="2332" spans="1:31">
      <c r="A2332" s="259" t="s">
        <v>2194</v>
      </c>
      <c r="B2332" s="259" t="s">
        <v>116</v>
      </c>
      <c r="C2332" s="264" t="s">
        <v>7662</v>
      </c>
      <c r="D2332" s="264" t="s">
        <v>7676</v>
      </c>
      <c r="E2332" s="259" t="s">
        <v>7671</v>
      </c>
      <c r="H2332" s="264" t="s">
        <v>7676</v>
      </c>
      <c r="I2332" s="264" t="s">
        <v>7676</v>
      </c>
      <c r="J2332" s="295">
        <v>8766.82</v>
      </c>
      <c r="K2332" s="295">
        <v>8766.82</v>
      </c>
      <c r="L2332" s="295" t="s">
        <v>7240</v>
      </c>
      <c r="O2332" s="266">
        <v>0</v>
      </c>
      <c r="P2332" s="266">
        <v>688705006468</v>
      </c>
      <c r="Q2332" s="266">
        <v>0</v>
      </c>
      <c r="R2332" s="265">
        <v>0</v>
      </c>
      <c r="S2332" s="265">
        <v>0</v>
      </c>
      <c r="V2332" s="265" t="s">
        <v>3218</v>
      </c>
      <c r="W2332" s="259">
        <v>0</v>
      </c>
      <c r="Y2332" s="259">
        <f t="shared" si="10"/>
        <v>1420</v>
      </c>
      <c r="Z2332" s="259" t="s">
        <v>3030</v>
      </c>
      <c r="AA2332" s="259" t="e">
        <v>#N/A</v>
      </c>
      <c r="AB2332" s="259"/>
      <c r="AC2332" s="259"/>
      <c r="AD2332" s="259"/>
      <c r="AE2332" s="259"/>
    </row>
    <row r="2333" spans="1:31">
      <c r="A2333" s="259" t="s">
        <v>2195</v>
      </c>
      <c r="B2333" s="259" t="s">
        <v>116</v>
      </c>
      <c r="C2333" s="264" t="s">
        <v>7662</v>
      </c>
      <c r="D2333" s="264" t="s">
        <v>7677</v>
      </c>
      <c r="E2333" s="259" t="s">
        <v>7671</v>
      </c>
      <c r="H2333" s="264" t="s">
        <v>7677</v>
      </c>
      <c r="I2333" s="264" t="s">
        <v>7677</v>
      </c>
      <c r="J2333" s="295">
        <v>9507.68</v>
      </c>
      <c r="K2333" s="295">
        <v>9507.68</v>
      </c>
      <c r="L2333" s="295" t="s">
        <v>7240</v>
      </c>
      <c r="O2333" s="266">
        <v>0</v>
      </c>
      <c r="P2333" s="266">
        <v>688705006475</v>
      </c>
      <c r="Q2333" s="266">
        <v>0</v>
      </c>
      <c r="R2333" s="265">
        <v>0</v>
      </c>
      <c r="S2333" s="265">
        <v>0</v>
      </c>
      <c r="V2333" s="265" t="s">
        <v>3996</v>
      </c>
      <c r="W2333" s="259">
        <v>0</v>
      </c>
      <c r="Y2333" s="259">
        <f t="shared" si="10"/>
        <v>1421</v>
      </c>
      <c r="Z2333" s="259" t="s">
        <v>3264</v>
      </c>
      <c r="AA2333" s="259" t="e">
        <v>#N/A</v>
      </c>
      <c r="AB2333" s="259"/>
      <c r="AC2333" s="259"/>
      <c r="AD2333" s="259"/>
      <c r="AE2333" s="259"/>
    </row>
    <row r="2334" spans="1:31">
      <c r="A2334" s="259" t="s">
        <v>2196</v>
      </c>
      <c r="B2334" s="259" t="s">
        <v>116</v>
      </c>
      <c r="C2334" s="264"/>
      <c r="D2334" s="264"/>
      <c r="H2334" s="264"/>
      <c r="I2334" s="264"/>
      <c r="J2334" s="295">
        <v>0</v>
      </c>
      <c r="K2334" s="295">
        <v>0</v>
      </c>
      <c r="L2334" s="295">
        <v>0</v>
      </c>
      <c r="O2334" s="266"/>
      <c r="R2334" s="265"/>
      <c r="V2334" s="265">
        <v>0</v>
      </c>
      <c r="Y2334" s="259">
        <f t="shared" si="10"/>
        <v>1422</v>
      </c>
      <c r="AA2334" s="259" t="e">
        <v>#N/A</v>
      </c>
      <c r="AB2334" s="259"/>
      <c r="AC2334" s="259"/>
      <c r="AD2334" s="259"/>
      <c r="AE2334" s="259"/>
    </row>
    <row r="2335" spans="1:31">
      <c r="A2335" s="259" t="s">
        <v>2197</v>
      </c>
      <c r="B2335" s="259" t="s">
        <v>116</v>
      </c>
      <c r="C2335" s="264"/>
      <c r="D2335" s="264" t="s">
        <v>2703</v>
      </c>
      <c r="E2335" s="259" t="s">
        <v>7671</v>
      </c>
      <c r="H2335" s="264" t="s">
        <v>2703</v>
      </c>
      <c r="I2335" s="264" t="s">
        <v>2703</v>
      </c>
      <c r="J2335" s="295">
        <v>123.6</v>
      </c>
      <c r="K2335" s="295">
        <v>123.6</v>
      </c>
      <c r="L2335" s="295" t="s">
        <v>7240</v>
      </c>
      <c r="O2335" s="266"/>
      <c r="P2335" s="266">
        <v>688705008219</v>
      </c>
      <c r="R2335" s="265"/>
      <c r="V2335" s="265">
        <v>0</v>
      </c>
      <c r="Y2335" s="259">
        <f t="shared" si="10"/>
        <v>1423</v>
      </c>
      <c r="Z2335" s="259" t="s">
        <v>4042</v>
      </c>
      <c r="AA2335" s="259" t="e">
        <v>#N/A</v>
      </c>
      <c r="AB2335" s="259"/>
      <c r="AC2335" s="259"/>
      <c r="AD2335" s="259"/>
      <c r="AE2335" s="259"/>
    </row>
    <row r="2336" spans="1:31">
      <c r="A2336" s="259">
        <v>91515052</v>
      </c>
      <c r="B2336" s="259" t="s">
        <v>116</v>
      </c>
      <c r="C2336" s="264" t="s">
        <v>7662</v>
      </c>
      <c r="D2336" s="264" t="s">
        <v>7678</v>
      </c>
      <c r="E2336" s="259" t="s">
        <v>7671</v>
      </c>
      <c r="H2336" s="264" t="s">
        <v>7678</v>
      </c>
      <c r="I2336" s="264" t="s">
        <v>7678</v>
      </c>
      <c r="J2336" s="295">
        <v>1883.02</v>
      </c>
      <c r="K2336" s="295">
        <v>1883.02</v>
      </c>
      <c r="L2336" s="295" t="s">
        <v>7240</v>
      </c>
      <c r="O2336" s="266">
        <v>0</v>
      </c>
      <c r="P2336" s="266">
        <v>5706681005741</v>
      </c>
      <c r="Q2336" s="266">
        <v>0</v>
      </c>
      <c r="R2336" s="265">
        <v>0</v>
      </c>
      <c r="S2336" s="265">
        <v>0</v>
      </c>
      <c r="V2336" s="265" t="s">
        <v>3574</v>
      </c>
      <c r="W2336" s="259">
        <v>0</v>
      </c>
      <c r="Y2336" s="259">
        <f t="shared" si="10"/>
        <v>1424</v>
      </c>
      <c r="AA2336" s="259" t="e">
        <v>#N/A</v>
      </c>
      <c r="AB2336" s="259"/>
      <c r="AC2336" s="259"/>
      <c r="AD2336" s="259"/>
      <c r="AE2336" s="259"/>
    </row>
    <row r="2337" spans="1:31">
      <c r="A2337" s="259" t="s">
        <v>2198</v>
      </c>
      <c r="B2337" s="259" t="s">
        <v>116</v>
      </c>
      <c r="C2337" s="264"/>
      <c r="D2337" s="264" t="s">
        <v>2704</v>
      </c>
      <c r="E2337" s="259" t="s">
        <v>7671</v>
      </c>
      <c r="H2337" s="264" t="s">
        <v>2704</v>
      </c>
      <c r="I2337" s="264" t="s">
        <v>2704</v>
      </c>
      <c r="J2337" s="295">
        <v>555.64</v>
      </c>
      <c r="K2337" s="295">
        <v>555.64</v>
      </c>
      <c r="L2337" s="295" t="s">
        <v>7240</v>
      </c>
      <c r="O2337" s="266"/>
      <c r="P2337" s="266">
        <v>688705005751</v>
      </c>
      <c r="R2337" s="265"/>
      <c r="V2337" s="265">
        <v>0</v>
      </c>
      <c r="Y2337" s="259">
        <f t="shared" si="10"/>
        <v>1425</v>
      </c>
      <c r="Z2337" s="259" t="s">
        <v>3030</v>
      </c>
      <c r="AA2337" s="259" t="e">
        <v>#N/A</v>
      </c>
      <c r="AB2337" s="259"/>
      <c r="AC2337" s="259"/>
      <c r="AD2337" s="259"/>
      <c r="AE2337" s="259"/>
    </row>
    <row r="2338" spans="1:31">
      <c r="A2338" s="259" t="s">
        <v>2199</v>
      </c>
      <c r="B2338" s="259" t="s">
        <v>116</v>
      </c>
      <c r="C2338" s="264"/>
      <c r="D2338" s="264"/>
      <c r="H2338" s="264"/>
      <c r="I2338" s="264"/>
      <c r="J2338" s="295">
        <v>0</v>
      </c>
      <c r="K2338" s="295">
        <v>0</v>
      </c>
      <c r="L2338" s="295">
        <v>0</v>
      </c>
      <c r="O2338" s="266"/>
      <c r="R2338" s="265"/>
      <c r="V2338" s="265">
        <v>0</v>
      </c>
      <c r="Y2338" s="259">
        <f t="shared" si="10"/>
        <v>1426</v>
      </c>
      <c r="AA2338" s="259" t="e">
        <v>#N/A</v>
      </c>
      <c r="AB2338" s="259"/>
      <c r="AC2338" s="259"/>
      <c r="AD2338" s="259"/>
      <c r="AE2338" s="259"/>
    </row>
    <row r="2339" spans="1:31">
      <c r="A2339" s="259" t="s">
        <v>2200</v>
      </c>
      <c r="B2339" s="259" t="s">
        <v>116</v>
      </c>
      <c r="C2339" s="264"/>
      <c r="D2339" s="264"/>
      <c r="H2339" s="264"/>
      <c r="I2339" s="264"/>
      <c r="J2339" s="295">
        <v>0</v>
      </c>
      <c r="K2339" s="295">
        <v>0</v>
      </c>
      <c r="L2339" s="295">
        <v>0</v>
      </c>
      <c r="O2339" s="266">
        <v>0</v>
      </c>
      <c r="P2339" s="266">
        <v>0</v>
      </c>
      <c r="Q2339" s="266">
        <v>0</v>
      </c>
      <c r="R2339" s="265">
        <v>0</v>
      </c>
      <c r="S2339" s="265">
        <v>0</v>
      </c>
      <c r="V2339" s="265">
        <v>0</v>
      </c>
      <c r="W2339" s="259">
        <v>0</v>
      </c>
      <c r="Y2339" s="259">
        <f t="shared" si="10"/>
        <v>1427</v>
      </c>
      <c r="AA2339" s="259" t="e">
        <v>#N/A</v>
      </c>
      <c r="AB2339" s="259"/>
      <c r="AC2339" s="259"/>
      <c r="AD2339" s="259"/>
      <c r="AE2339" s="259"/>
    </row>
    <row r="2340" spans="1:31">
      <c r="A2340" s="259">
        <v>90490000</v>
      </c>
      <c r="B2340" s="259" t="s">
        <v>116</v>
      </c>
      <c r="C2340" s="264" t="s">
        <v>7679</v>
      </c>
      <c r="D2340" s="264" t="s">
        <v>7680</v>
      </c>
      <c r="E2340" s="259" t="s">
        <v>7681</v>
      </c>
      <c r="H2340" s="264" t="s">
        <v>7680</v>
      </c>
      <c r="I2340" s="264" t="s">
        <v>7680</v>
      </c>
      <c r="J2340" s="295">
        <v>11123</v>
      </c>
      <c r="K2340" s="295">
        <v>11123</v>
      </c>
      <c r="L2340" s="295" t="s">
        <v>7240</v>
      </c>
      <c r="O2340" s="266">
        <v>0</v>
      </c>
      <c r="P2340" s="266">
        <v>5706681235322</v>
      </c>
      <c r="Q2340" s="266">
        <v>0</v>
      </c>
      <c r="R2340" s="265">
        <v>15.8</v>
      </c>
      <c r="S2340" s="265">
        <v>16.3</v>
      </c>
      <c r="V2340" s="265" t="s">
        <v>5416</v>
      </c>
      <c r="W2340" s="259">
        <v>0</v>
      </c>
      <c r="Y2340" s="259">
        <f t="shared" si="10"/>
        <v>1428</v>
      </c>
      <c r="AA2340" s="259" t="e">
        <v>#N/A</v>
      </c>
      <c r="AB2340" s="259"/>
      <c r="AC2340" s="259"/>
      <c r="AD2340" s="259"/>
      <c r="AE2340" s="259"/>
    </row>
    <row r="2341" spans="1:31">
      <c r="A2341" s="259">
        <v>90490005</v>
      </c>
      <c r="B2341" s="259" t="s">
        <v>116</v>
      </c>
      <c r="C2341" s="264"/>
      <c r="D2341" s="264" t="s">
        <v>2705</v>
      </c>
      <c r="E2341" s="259" t="s">
        <v>7681</v>
      </c>
      <c r="H2341" s="264" t="s">
        <v>2705</v>
      </c>
      <c r="I2341" s="264" t="s">
        <v>2705</v>
      </c>
      <c r="J2341" s="295">
        <v>14790</v>
      </c>
      <c r="K2341" s="295">
        <v>14790</v>
      </c>
      <c r="L2341" s="295" t="s">
        <v>7240</v>
      </c>
      <c r="O2341" s="266"/>
      <c r="P2341" s="266">
        <v>5706681237623</v>
      </c>
      <c r="R2341" s="265"/>
      <c r="V2341" s="265">
        <v>0</v>
      </c>
      <c r="Y2341" s="259">
        <f t="shared" si="10"/>
        <v>1429</v>
      </c>
      <c r="AA2341" s="259" t="e">
        <v>#N/A</v>
      </c>
      <c r="AB2341" s="259"/>
      <c r="AC2341" s="259"/>
      <c r="AD2341" s="259"/>
      <c r="AE2341" s="259"/>
    </row>
    <row r="2342" spans="1:31">
      <c r="A2342" s="259" t="s">
        <v>2201</v>
      </c>
      <c r="B2342" s="259" t="s">
        <v>116</v>
      </c>
      <c r="C2342" s="264"/>
      <c r="D2342" s="264"/>
      <c r="H2342" s="264"/>
      <c r="I2342" s="264"/>
      <c r="J2342" s="295">
        <v>0</v>
      </c>
      <c r="K2342" s="295">
        <v>0</v>
      </c>
      <c r="L2342" s="295">
        <v>0</v>
      </c>
      <c r="O2342" s="266"/>
      <c r="R2342" s="265"/>
      <c r="V2342" s="265">
        <v>0</v>
      </c>
      <c r="Y2342" s="259">
        <f t="shared" si="10"/>
        <v>1430</v>
      </c>
      <c r="AA2342" s="259" t="e">
        <v>#N/A</v>
      </c>
      <c r="AB2342" s="259"/>
      <c r="AC2342" s="259"/>
      <c r="AD2342" s="259"/>
      <c r="AE2342" s="259"/>
    </row>
    <row r="2343" spans="1:31">
      <c r="A2343" s="259">
        <v>91515037</v>
      </c>
      <c r="B2343" s="259" t="s">
        <v>116</v>
      </c>
      <c r="C2343" s="264" t="s">
        <v>7679</v>
      </c>
      <c r="D2343" s="264" t="s">
        <v>7682</v>
      </c>
      <c r="E2343" s="259" t="s">
        <v>7681</v>
      </c>
      <c r="H2343" s="264" t="s">
        <v>7682</v>
      </c>
      <c r="I2343" s="264" t="s">
        <v>7682</v>
      </c>
      <c r="J2343" s="295">
        <v>2099</v>
      </c>
      <c r="K2343" s="295">
        <v>2099</v>
      </c>
      <c r="L2343" s="295" t="s">
        <v>7240</v>
      </c>
      <c r="O2343" s="266">
        <v>0</v>
      </c>
      <c r="Q2343" s="266">
        <v>0</v>
      </c>
      <c r="R2343" s="265">
        <v>37.4</v>
      </c>
      <c r="S2343" s="265">
        <v>22.8</v>
      </c>
      <c r="V2343" s="265" t="s">
        <v>3574</v>
      </c>
      <c r="W2343" s="259">
        <v>0</v>
      </c>
      <c r="X2343" s="264" t="s">
        <v>7683</v>
      </c>
      <c r="Y2343" s="259">
        <f t="shared" si="10"/>
        <v>1431</v>
      </c>
      <c r="AA2343" s="259" t="e">
        <v>#N/A</v>
      </c>
      <c r="AB2343" s="259"/>
      <c r="AC2343" s="259"/>
      <c r="AD2343" s="259"/>
      <c r="AE2343" s="259"/>
    </row>
    <row r="2344" spans="1:31">
      <c r="A2344" s="259" t="s">
        <v>2202</v>
      </c>
      <c r="B2344" s="259" t="s">
        <v>116</v>
      </c>
      <c r="C2344" s="264"/>
      <c r="D2344" s="264"/>
      <c r="H2344" s="264"/>
      <c r="I2344" s="264"/>
      <c r="J2344" s="295">
        <v>0</v>
      </c>
      <c r="K2344" s="295">
        <v>0</v>
      </c>
      <c r="L2344" s="295">
        <v>0</v>
      </c>
      <c r="O2344" s="266"/>
      <c r="R2344" s="265"/>
      <c r="V2344" s="265">
        <v>0</v>
      </c>
      <c r="X2344" s="264" t="s">
        <v>7683</v>
      </c>
      <c r="Y2344" s="259">
        <f t="shared" si="10"/>
        <v>1432</v>
      </c>
      <c r="AA2344" s="259" t="e">
        <v>#N/A</v>
      </c>
      <c r="AB2344" s="259"/>
      <c r="AC2344" s="259"/>
      <c r="AD2344" s="259"/>
      <c r="AE2344" s="259"/>
    </row>
    <row r="2345" spans="1:31">
      <c r="A2345" s="259" t="s">
        <v>2203</v>
      </c>
      <c r="B2345" s="259" t="s">
        <v>116</v>
      </c>
      <c r="C2345" s="264"/>
      <c r="D2345" s="264"/>
      <c r="H2345" s="264"/>
      <c r="I2345" s="264"/>
      <c r="J2345" s="295">
        <v>0</v>
      </c>
      <c r="K2345" s="295">
        <v>0</v>
      </c>
      <c r="L2345" s="295">
        <v>0</v>
      </c>
      <c r="O2345" s="266"/>
      <c r="R2345" s="265"/>
      <c r="V2345" s="265">
        <v>0</v>
      </c>
      <c r="Y2345" s="259">
        <f t="shared" si="10"/>
        <v>1433</v>
      </c>
      <c r="AA2345" s="259" t="e">
        <v>#N/A</v>
      </c>
      <c r="AB2345" s="259"/>
      <c r="AC2345" s="259"/>
      <c r="AD2345" s="259"/>
      <c r="AE2345" s="259"/>
    </row>
    <row r="2346" spans="1:31">
      <c r="A2346" s="259" t="s">
        <v>2204</v>
      </c>
      <c r="B2346" s="259" t="s">
        <v>116</v>
      </c>
      <c r="C2346" s="264" t="s">
        <v>7662</v>
      </c>
      <c r="D2346" s="264" t="s">
        <v>7684</v>
      </c>
      <c r="E2346" s="259" t="s">
        <v>7685</v>
      </c>
      <c r="H2346" s="264" t="s">
        <v>7684</v>
      </c>
      <c r="I2346" s="264" t="s">
        <v>7684</v>
      </c>
      <c r="J2346" s="295">
        <v>13520.67</v>
      </c>
      <c r="K2346" s="295">
        <v>13520.67</v>
      </c>
      <c r="L2346" s="295" t="s">
        <v>7240</v>
      </c>
      <c r="O2346" s="266">
        <v>0</v>
      </c>
      <c r="P2346" s="266">
        <v>688705007403</v>
      </c>
      <c r="Q2346" s="266">
        <v>0</v>
      </c>
      <c r="R2346" s="265">
        <v>0</v>
      </c>
      <c r="S2346" s="265">
        <v>0</v>
      </c>
      <c r="V2346" s="265" t="s">
        <v>3218</v>
      </c>
      <c r="W2346" s="259">
        <v>0</v>
      </c>
      <c r="X2346" s="264" t="s">
        <v>7686</v>
      </c>
      <c r="Y2346" s="259">
        <f t="shared" si="10"/>
        <v>1434</v>
      </c>
      <c r="Z2346" s="259" t="s">
        <v>3264</v>
      </c>
      <c r="AA2346" s="259" t="e">
        <v>#N/A</v>
      </c>
      <c r="AB2346" s="259"/>
      <c r="AC2346" s="259"/>
      <c r="AD2346" s="259"/>
      <c r="AE2346" s="259"/>
    </row>
    <row r="2347" spans="1:31">
      <c r="A2347" s="259" t="s">
        <v>2205</v>
      </c>
      <c r="B2347" s="259" t="s">
        <v>116</v>
      </c>
      <c r="C2347" s="264" t="s">
        <v>7662</v>
      </c>
      <c r="D2347" s="264" t="s">
        <v>7687</v>
      </c>
      <c r="E2347" s="259" t="s">
        <v>7685</v>
      </c>
      <c r="H2347" s="264" t="s">
        <v>7687</v>
      </c>
      <c r="I2347" s="264" t="s">
        <v>7687</v>
      </c>
      <c r="J2347" s="295">
        <v>13891.1</v>
      </c>
      <c r="K2347" s="295">
        <v>13891.1</v>
      </c>
      <c r="L2347" s="295" t="s">
        <v>7240</v>
      </c>
      <c r="O2347" s="266">
        <v>0</v>
      </c>
      <c r="Q2347" s="266">
        <v>0</v>
      </c>
      <c r="R2347" s="265">
        <v>0</v>
      </c>
      <c r="S2347" s="265">
        <v>0</v>
      </c>
      <c r="V2347" s="265" t="s">
        <v>3218</v>
      </c>
      <c r="W2347" s="259">
        <v>0</v>
      </c>
      <c r="X2347" s="264" t="s">
        <v>7686</v>
      </c>
      <c r="Y2347" s="259">
        <f t="shared" si="10"/>
        <v>1435</v>
      </c>
      <c r="Z2347" s="259" t="s">
        <v>3030</v>
      </c>
      <c r="AA2347" s="259" t="e">
        <v>#N/A</v>
      </c>
      <c r="AB2347" s="259"/>
      <c r="AC2347" s="259"/>
      <c r="AD2347" s="259"/>
      <c r="AE2347" s="259"/>
    </row>
    <row r="2348" spans="1:31">
      <c r="A2348" s="259" t="s">
        <v>2206</v>
      </c>
      <c r="B2348" s="259" t="s">
        <v>116</v>
      </c>
      <c r="C2348" s="264" t="s">
        <v>7662</v>
      </c>
      <c r="D2348" s="264" t="s">
        <v>7688</v>
      </c>
      <c r="E2348" s="259" t="s">
        <v>7685</v>
      </c>
      <c r="H2348" s="264" t="s">
        <v>7688</v>
      </c>
      <c r="I2348" s="264" t="s">
        <v>7688</v>
      </c>
      <c r="J2348" s="295">
        <v>14817.17</v>
      </c>
      <c r="K2348" s="295">
        <v>14817.17</v>
      </c>
      <c r="L2348" s="295" t="s">
        <v>7240</v>
      </c>
      <c r="O2348" s="266">
        <v>0</v>
      </c>
      <c r="Q2348" s="266">
        <v>0</v>
      </c>
      <c r="R2348" s="265">
        <v>0</v>
      </c>
      <c r="S2348" s="265">
        <v>0</v>
      </c>
      <c r="V2348" s="265" t="s">
        <v>3218</v>
      </c>
      <c r="W2348" s="259">
        <v>0</v>
      </c>
      <c r="X2348" s="264" t="s">
        <v>7689</v>
      </c>
      <c r="Y2348" s="259">
        <f t="shared" si="10"/>
        <v>1436</v>
      </c>
      <c r="Z2348" s="259" t="s">
        <v>3264</v>
      </c>
      <c r="AA2348" s="259" t="e">
        <v>#N/A</v>
      </c>
      <c r="AB2348" s="259"/>
      <c r="AC2348" s="259"/>
      <c r="AD2348" s="259"/>
      <c r="AE2348" s="259"/>
    </row>
    <row r="2349" spans="1:31">
      <c r="A2349" s="259" t="s">
        <v>2207</v>
      </c>
      <c r="B2349" s="259" t="s">
        <v>116</v>
      </c>
      <c r="C2349" s="264"/>
      <c r="D2349" s="264"/>
      <c r="H2349" s="264"/>
      <c r="I2349" s="264"/>
      <c r="J2349" s="295">
        <v>0</v>
      </c>
      <c r="K2349" s="295">
        <v>0</v>
      </c>
      <c r="L2349" s="295">
        <v>0</v>
      </c>
      <c r="O2349" s="266"/>
      <c r="R2349" s="265"/>
      <c r="V2349" s="265">
        <v>0</v>
      </c>
      <c r="Y2349" s="259">
        <f t="shared" si="10"/>
        <v>1437</v>
      </c>
      <c r="AA2349" s="259" t="e">
        <v>#N/A</v>
      </c>
      <c r="AB2349" s="259"/>
      <c r="AC2349" s="259"/>
      <c r="AD2349" s="259"/>
      <c r="AE2349" s="259"/>
    </row>
    <row r="2350" spans="1:31">
      <c r="A2350" s="259" t="s">
        <v>2208</v>
      </c>
      <c r="B2350" s="259" t="s">
        <v>116</v>
      </c>
      <c r="C2350" s="264" t="s">
        <v>7662</v>
      </c>
      <c r="D2350" s="264" t="s">
        <v>7690</v>
      </c>
      <c r="E2350" s="259" t="s">
        <v>7685</v>
      </c>
      <c r="H2350" s="264" t="s">
        <v>7690</v>
      </c>
      <c r="I2350" s="264" t="s">
        <v>7690</v>
      </c>
      <c r="J2350" s="295">
        <v>13520.67</v>
      </c>
      <c r="K2350" s="295">
        <v>13520.67</v>
      </c>
      <c r="L2350" s="295" t="s">
        <v>7240</v>
      </c>
      <c r="O2350" s="266">
        <v>0</v>
      </c>
      <c r="P2350" s="266">
        <v>688705007397</v>
      </c>
      <c r="Q2350" s="266">
        <v>0</v>
      </c>
      <c r="R2350" s="265">
        <v>0</v>
      </c>
      <c r="S2350" s="265">
        <v>0</v>
      </c>
      <c r="V2350" s="265" t="s">
        <v>3218</v>
      </c>
      <c r="W2350" s="259">
        <v>0</v>
      </c>
      <c r="Y2350" s="259">
        <f t="shared" si="10"/>
        <v>1438</v>
      </c>
      <c r="Z2350" s="259" t="s">
        <v>3030</v>
      </c>
      <c r="AA2350" s="259" t="e">
        <v>#N/A</v>
      </c>
      <c r="AB2350" s="259"/>
      <c r="AC2350" s="259"/>
      <c r="AD2350" s="259"/>
      <c r="AE2350" s="259"/>
    </row>
    <row r="2351" spans="1:31">
      <c r="A2351" s="259" t="s">
        <v>2209</v>
      </c>
      <c r="B2351" s="259" t="s">
        <v>116</v>
      </c>
      <c r="C2351" s="264" t="s">
        <v>7662</v>
      </c>
      <c r="D2351" s="264" t="s">
        <v>7691</v>
      </c>
      <c r="E2351" s="259" t="s">
        <v>7685</v>
      </c>
      <c r="H2351" s="264" t="s">
        <v>7691</v>
      </c>
      <c r="I2351" s="264" t="s">
        <v>7691</v>
      </c>
      <c r="J2351" s="295">
        <v>13891.1</v>
      </c>
      <c r="K2351" s="295">
        <v>13891.1</v>
      </c>
      <c r="L2351" s="295" t="s">
        <v>7240</v>
      </c>
      <c r="O2351" s="266">
        <v>0</v>
      </c>
      <c r="P2351" s="266">
        <v>688705000404</v>
      </c>
      <c r="Q2351" s="266">
        <v>0</v>
      </c>
      <c r="R2351" s="265">
        <v>0</v>
      </c>
      <c r="S2351" s="265">
        <v>0</v>
      </c>
      <c r="V2351" s="265" t="s">
        <v>3218</v>
      </c>
      <c r="W2351" s="259">
        <v>0</v>
      </c>
      <c r="X2351" s="264" t="s">
        <v>7689</v>
      </c>
      <c r="Y2351" s="259">
        <f t="shared" si="10"/>
        <v>1439</v>
      </c>
      <c r="Z2351" s="259" t="s">
        <v>3030</v>
      </c>
      <c r="AA2351" s="259" t="e">
        <v>#N/A</v>
      </c>
      <c r="AB2351" s="259"/>
      <c r="AC2351" s="259"/>
      <c r="AD2351" s="259"/>
      <c r="AE2351" s="259"/>
    </row>
    <row r="2352" spans="1:31">
      <c r="A2352" s="259" t="s">
        <v>2210</v>
      </c>
      <c r="B2352" s="259" t="s">
        <v>116</v>
      </c>
      <c r="C2352" s="264" t="s">
        <v>7662</v>
      </c>
      <c r="D2352" s="264" t="s">
        <v>7692</v>
      </c>
      <c r="E2352" s="259" t="s">
        <v>7685</v>
      </c>
      <c r="H2352" s="264" t="s">
        <v>7692</v>
      </c>
      <c r="I2352" s="264" t="s">
        <v>7692</v>
      </c>
      <c r="J2352" s="295">
        <v>14817.17</v>
      </c>
      <c r="K2352" s="295">
        <v>14817.17</v>
      </c>
      <c r="L2352" s="295" t="s">
        <v>7240</v>
      </c>
      <c r="O2352" s="266">
        <v>0</v>
      </c>
      <c r="Q2352" s="266">
        <v>0</v>
      </c>
      <c r="R2352" s="265">
        <v>0</v>
      </c>
      <c r="S2352" s="265">
        <v>0</v>
      </c>
      <c r="V2352" s="265" t="s">
        <v>3218</v>
      </c>
      <c r="W2352" s="259">
        <v>0</v>
      </c>
      <c r="X2352" s="264" t="s">
        <v>7689</v>
      </c>
      <c r="Y2352" s="259">
        <f t="shared" si="10"/>
        <v>1440</v>
      </c>
      <c r="Z2352" s="259" t="s">
        <v>3264</v>
      </c>
      <c r="AA2352" s="259" t="e">
        <v>#N/A</v>
      </c>
      <c r="AB2352" s="259"/>
      <c r="AC2352" s="259"/>
      <c r="AD2352" s="259"/>
      <c r="AE2352" s="259"/>
    </row>
    <row r="2353" spans="1:31">
      <c r="A2353" s="259" t="s">
        <v>2211</v>
      </c>
      <c r="B2353" s="259" t="s">
        <v>116</v>
      </c>
      <c r="C2353" s="264"/>
      <c r="D2353" s="264"/>
      <c r="H2353" s="264"/>
      <c r="I2353" s="264"/>
      <c r="J2353" s="295">
        <v>0</v>
      </c>
      <c r="K2353" s="295">
        <v>0</v>
      </c>
      <c r="L2353" s="295">
        <v>0</v>
      </c>
      <c r="O2353" s="266"/>
      <c r="R2353" s="265"/>
      <c r="V2353" s="265">
        <v>0</v>
      </c>
      <c r="Y2353" s="259">
        <f t="shared" si="10"/>
        <v>1441</v>
      </c>
      <c r="AA2353" s="259" t="e">
        <v>#N/A</v>
      </c>
      <c r="AB2353" s="259"/>
      <c r="AC2353" s="259"/>
      <c r="AD2353" s="259"/>
      <c r="AE2353" s="259"/>
    </row>
    <row r="2354" spans="1:31">
      <c r="A2354" s="259" t="s">
        <v>2212</v>
      </c>
      <c r="B2354" s="259" t="s">
        <v>116</v>
      </c>
      <c r="C2354" s="264" t="s">
        <v>7662</v>
      </c>
      <c r="D2354" s="264" t="s">
        <v>7693</v>
      </c>
      <c r="E2354" s="259" t="s">
        <v>7685</v>
      </c>
      <c r="H2354" s="264" t="s">
        <v>7693</v>
      </c>
      <c r="I2354" s="264" t="s">
        <v>7693</v>
      </c>
      <c r="J2354" s="295">
        <v>11236.35</v>
      </c>
      <c r="K2354" s="295">
        <v>11236.35</v>
      </c>
      <c r="L2354" s="295" t="s">
        <v>7240</v>
      </c>
      <c r="O2354" s="266">
        <v>0</v>
      </c>
      <c r="P2354" s="266">
        <v>688705007410</v>
      </c>
      <c r="Q2354" s="266">
        <v>0</v>
      </c>
      <c r="R2354" s="265">
        <v>0</v>
      </c>
      <c r="S2354" s="265">
        <v>0</v>
      </c>
      <c r="V2354" s="265" t="s">
        <v>3218</v>
      </c>
      <c r="W2354" s="259">
        <v>0</v>
      </c>
      <c r="X2354" s="264" t="s">
        <v>7694</v>
      </c>
      <c r="Y2354" s="259">
        <f t="shared" si="10"/>
        <v>1442</v>
      </c>
      <c r="Z2354" s="259" t="s">
        <v>3264</v>
      </c>
      <c r="AA2354" s="259" t="e">
        <v>#N/A</v>
      </c>
      <c r="AB2354" s="259"/>
      <c r="AC2354" s="259"/>
      <c r="AD2354" s="259"/>
      <c r="AE2354" s="259"/>
    </row>
    <row r="2355" spans="1:31">
      <c r="A2355" s="259" t="s">
        <v>2213</v>
      </c>
      <c r="B2355" s="259" t="s">
        <v>116</v>
      </c>
      <c r="C2355" s="264" t="s">
        <v>7662</v>
      </c>
      <c r="D2355" s="264" t="s">
        <v>7695</v>
      </c>
      <c r="E2355" s="259" t="s">
        <v>7685</v>
      </c>
      <c r="H2355" s="264" t="s">
        <v>7695</v>
      </c>
      <c r="I2355" s="264" t="s">
        <v>7695</v>
      </c>
      <c r="J2355" s="295">
        <v>11606.78</v>
      </c>
      <c r="K2355" s="295">
        <v>11606.78</v>
      </c>
      <c r="L2355" s="295" t="s">
        <v>7240</v>
      </c>
      <c r="O2355" s="266">
        <v>0</v>
      </c>
      <c r="P2355" s="266">
        <v>688705000428</v>
      </c>
      <c r="Q2355" s="266">
        <v>0</v>
      </c>
      <c r="R2355" s="265">
        <v>0</v>
      </c>
      <c r="S2355" s="265">
        <v>0</v>
      </c>
      <c r="V2355" s="265" t="s">
        <v>3218</v>
      </c>
      <c r="W2355" s="259">
        <v>0</v>
      </c>
      <c r="X2355" s="264" t="s">
        <v>7696</v>
      </c>
      <c r="Y2355" s="259">
        <f t="shared" ref="Y2355:Y2418" si="11">Y2354+1</f>
        <v>1443</v>
      </c>
      <c r="Z2355" s="259" t="s">
        <v>3030</v>
      </c>
      <c r="AA2355" s="259" t="e">
        <v>#N/A</v>
      </c>
      <c r="AB2355" s="259"/>
      <c r="AC2355" s="259"/>
      <c r="AD2355" s="259"/>
      <c r="AE2355" s="259"/>
    </row>
    <row r="2356" spans="1:31">
      <c r="A2356" s="259" t="s">
        <v>2214</v>
      </c>
      <c r="B2356" s="259" t="s">
        <v>116</v>
      </c>
      <c r="C2356" s="264" t="s">
        <v>7662</v>
      </c>
      <c r="D2356" s="264" t="s">
        <v>7697</v>
      </c>
      <c r="E2356" s="259" t="s">
        <v>7685</v>
      </c>
      <c r="H2356" s="264" t="s">
        <v>7697</v>
      </c>
      <c r="I2356" s="264" t="s">
        <v>7697</v>
      </c>
      <c r="J2356" s="295">
        <v>12532.85</v>
      </c>
      <c r="K2356" s="295">
        <v>12532.85</v>
      </c>
      <c r="L2356" s="295" t="s">
        <v>7240</v>
      </c>
      <c r="O2356" s="266">
        <v>0</v>
      </c>
      <c r="Q2356" s="266">
        <v>0</v>
      </c>
      <c r="R2356" s="265">
        <v>0</v>
      </c>
      <c r="S2356" s="265">
        <v>0</v>
      </c>
      <c r="V2356" s="265" t="s">
        <v>3218</v>
      </c>
      <c r="W2356" s="259">
        <v>0</v>
      </c>
      <c r="X2356" s="264" t="s">
        <v>7696</v>
      </c>
      <c r="Y2356" s="259">
        <f t="shared" si="11"/>
        <v>1444</v>
      </c>
      <c r="Z2356" s="259" t="s">
        <v>3264</v>
      </c>
      <c r="AA2356" s="259" t="e">
        <v>#N/A</v>
      </c>
      <c r="AB2356" s="259"/>
      <c r="AC2356" s="259"/>
      <c r="AD2356" s="259"/>
      <c r="AE2356" s="259"/>
    </row>
    <row r="2357" spans="1:31">
      <c r="A2357" s="259" t="s">
        <v>2215</v>
      </c>
      <c r="B2357" s="259" t="s">
        <v>116</v>
      </c>
      <c r="C2357" s="264"/>
      <c r="D2357" s="264"/>
      <c r="H2357" s="264"/>
      <c r="I2357" s="264"/>
      <c r="J2357" s="295">
        <v>0</v>
      </c>
      <c r="K2357" s="295">
        <v>0</v>
      </c>
      <c r="L2357" s="295">
        <v>0</v>
      </c>
      <c r="O2357" s="266"/>
      <c r="R2357" s="265"/>
      <c r="V2357" s="265">
        <v>0</v>
      </c>
      <c r="Y2357" s="259">
        <f t="shared" si="11"/>
        <v>1445</v>
      </c>
      <c r="AA2357" s="259" t="e">
        <v>#N/A</v>
      </c>
      <c r="AB2357" s="259"/>
      <c r="AC2357" s="259"/>
      <c r="AD2357" s="259"/>
      <c r="AE2357" s="259"/>
    </row>
    <row r="2358" spans="1:31">
      <c r="A2358" s="259" t="s">
        <v>2216</v>
      </c>
      <c r="B2358" s="259" t="s">
        <v>116</v>
      </c>
      <c r="C2358" s="264" t="s">
        <v>7662</v>
      </c>
      <c r="D2358" s="264" t="s">
        <v>7698</v>
      </c>
      <c r="E2358" s="259" t="s">
        <v>7685</v>
      </c>
      <c r="H2358" s="264" t="s">
        <v>7698</v>
      </c>
      <c r="I2358" s="264" t="s">
        <v>7698</v>
      </c>
      <c r="J2358" s="295">
        <v>11236.35</v>
      </c>
      <c r="K2358" s="295">
        <v>11236.35</v>
      </c>
      <c r="L2358" s="295" t="s">
        <v>7240</v>
      </c>
      <c r="O2358" s="266">
        <v>0</v>
      </c>
      <c r="P2358" s="266">
        <v>688705007427</v>
      </c>
      <c r="Q2358" s="266">
        <v>0</v>
      </c>
      <c r="R2358" s="265">
        <v>0</v>
      </c>
      <c r="S2358" s="265">
        <v>0</v>
      </c>
      <c r="V2358" s="265" t="s">
        <v>3218</v>
      </c>
      <c r="W2358" s="259">
        <v>0</v>
      </c>
      <c r="X2358" s="264" t="s">
        <v>7696</v>
      </c>
      <c r="Y2358" s="259">
        <f t="shared" si="11"/>
        <v>1446</v>
      </c>
      <c r="Z2358" s="259" t="s">
        <v>3264</v>
      </c>
      <c r="AA2358" s="259" t="e">
        <v>#N/A</v>
      </c>
      <c r="AB2358" s="259"/>
      <c r="AC2358" s="259"/>
      <c r="AD2358" s="259"/>
      <c r="AE2358" s="259"/>
    </row>
    <row r="2359" spans="1:31">
      <c r="A2359" s="259" t="s">
        <v>2217</v>
      </c>
      <c r="B2359" s="259" t="s">
        <v>116</v>
      </c>
      <c r="C2359" s="264" t="s">
        <v>7662</v>
      </c>
      <c r="D2359" s="264" t="s">
        <v>7699</v>
      </c>
      <c r="E2359" s="259" t="s">
        <v>7685</v>
      </c>
      <c r="H2359" s="264" t="s">
        <v>7699</v>
      </c>
      <c r="I2359" s="264" t="s">
        <v>7699</v>
      </c>
      <c r="J2359" s="295">
        <v>11606.78</v>
      </c>
      <c r="K2359" s="295">
        <v>11606.78</v>
      </c>
      <c r="L2359" s="295" t="s">
        <v>7240</v>
      </c>
      <c r="O2359" s="266">
        <v>0</v>
      </c>
      <c r="P2359" s="266">
        <v>688705000411</v>
      </c>
      <c r="Q2359" s="266">
        <v>0</v>
      </c>
      <c r="R2359" s="265">
        <v>0</v>
      </c>
      <c r="S2359" s="265">
        <v>0</v>
      </c>
      <c r="V2359" s="265" t="s">
        <v>3218</v>
      </c>
      <c r="W2359" s="259">
        <v>0</v>
      </c>
      <c r="X2359" s="264" t="s">
        <v>7689</v>
      </c>
      <c r="Y2359" s="259">
        <f t="shared" si="11"/>
        <v>1447</v>
      </c>
      <c r="Z2359" s="259" t="s">
        <v>3030</v>
      </c>
      <c r="AA2359" s="259" t="e">
        <v>#N/A</v>
      </c>
      <c r="AB2359" s="259"/>
      <c r="AC2359" s="259"/>
      <c r="AD2359" s="259"/>
      <c r="AE2359" s="259"/>
    </row>
    <row r="2360" spans="1:31">
      <c r="A2360" s="259" t="s">
        <v>2218</v>
      </c>
      <c r="B2360" s="259" t="s">
        <v>116</v>
      </c>
      <c r="C2360" s="264" t="s">
        <v>7662</v>
      </c>
      <c r="D2360" s="264" t="s">
        <v>7700</v>
      </c>
      <c r="E2360" s="259" t="s">
        <v>7685</v>
      </c>
      <c r="H2360" s="264" t="s">
        <v>7700</v>
      </c>
      <c r="I2360" s="264" t="s">
        <v>7700</v>
      </c>
      <c r="J2360" s="295">
        <v>12532.85</v>
      </c>
      <c r="K2360" s="295">
        <v>12532.85</v>
      </c>
      <c r="L2360" s="295" t="s">
        <v>7240</v>
      </c>
      <c r="O2360" s="266">
        <v>0</v>
      </c>
      <c r="Q2360" s="266">
        <v>0</v>
      </c>
      <c r="R2360" s="265">
        <v>0</v>
      </c>
      <c r="S2360" s="265">
        <v>0</v>
      </c>
      <c r="V2360" s="265" t="s">
        <v>3218</v>
      </c>
      <c r="W2360" s="259">
        <v>0</v>
      </c>
      <c r="X2360" s="264" t="s">
        <v>7686</v>
      </c>
      <c r="Y2360" s="259">
        <f t="shared" si="11"/>
        <v>1448</v>
      </c>
      <c r="Z2360" s="259" t="s">
        <v>3264</v>
      </c>
      <c r="AA2360" s="259" t="e">
        <v>#N/A</v>
      </c>
      <c r="AB2360" s="259"/>
      <c r="AC2360" s="259"/>
      <c r="AD2360" s="259"/>
      <c r="AE2360" s="259"/>
    </row>
    <row r="2361" spans="1:31">
      <c r="A2361" s="259" t="s">
        <v>2219</v>
      </c>
      <c r="B2361" s="259" t="s">
        <v>116</v>
      </c>
      <c r="C2361" s="264"/>
      <c r="D2361" s="264"/>
      <c r="H2361" s="264"/>
      <c r="I2361" s="264"/>
      <c r="J2361" s="295">
        <v>0</v>
      </c>
      <c r="K2361" s="295">
        <v>0</v>
      </c>
      <c r="L2361" s="295">
        <v>0</v>
      </c>
      <c r="O2361" s="266"/>
      <c r="R2361" s="265"/>
      <c r="V2361" s="265">
        <v>0</v>
      </c>
      <c r="Y2361" s="259">
        <f t="shared" si="11"/>
        <v>1449</v>
      </c>
      <c r="AA2361" s="259" t="e">
        <v>#N/A</v>
      </c>
      <c r="AB2361" s="259"/>
      <c r="AC2361" s="259"/>
      <c r="AD2361" s="259"/>
      <c r="AE2361" s="259"/>
    </row>
    <row r="2362" spans="1:31">
      <c r="A2362" s="259">
        <v>91515048</v>
      </c>
      <c r="B2362" s="259" t="s">
        <v>116</v>
      </c>
      <c r="C2362" s="264" t="s">
        <v>7662</v>
      </c>
      <c r="D2362" s="264" t="s">
        <v>7701</v>
      </c>
      <c r="E2362" s="259" t="s">
        <v>7685</v>
      </c>
      <c r="H2362" s="264" t="s">
        <v>7701</v>
      </c>
      <c r="I2362" s="264" t="s">
        <v>7701</v>
      </c>
      <c r="J2362" s="295">
        <v>1932.41</v>
      </c>
      <c r="K2362" s="295">
        <v>1932.41</v>
      </c>
      <c r="L2362" s="295" t="s">
        <v>7240</v>
      </c>
      <c r="O2362" s="266">
        <v>0</v>
      </c>
      <c r="P2362" s="266">
        <v>5706681239306</v>
      </c>
      <c r="Q2362" s="266">
        <v>0</v>
      </c>
      <c r="R2362" s="265">
        <v>0</v>
      </c>
      <c r="S2362" s="265">
        <v>0</v>
      </c>
      <c r="V2362" s="265" t="s">
        <v>3574</v>
      </c>
      <c r="W2362" s="259">
        <v>0</v>
      </c>
      <c r="X2362" s="264" t="s">
        <v>7689</v>
      </c>
      <c r="Y2362" s="259">
        <f t="shared" si="11"/>
        <v>1450</v>
      </c>
      <c r="AA2362" s="259" t="e">
        <v>#N/A</v>
      </c>
      <c r="AB2362" s="259"/>
      <c r="AC2362" s="259"/>
      <c r="AD2362" s="259"/>
      <c r="AE2362" s="259"/>
    </row>
    <row r="2363" spans="1:31">
      <c r="A2363" s="259" t="s">
        <v>2220</v>
      </c>
      <c r="B2363" s="259" t="s">
        <v>116</v>
      </c>
      <c r="C2363" s="264" t="s">
        <v>7662</v>
      </c>
      <c r="D2363" s="264" t="s">
        <v>7702</v>
      </c>
      <c r="E2363" s="259" t="s">
        <v>7685</v>
      </c>
      <c r="H2363" s="264" t="s">
        <v>7702</v>
      </c>
      <c r="I2363" s="264" t="s">
        <v>7702</v>
      </c>
      <c r="J2363" s="295">
        <v>64.209999999999994</v>
      </c>
      <c r="K2363" s="295">
        <v>64.209999999999994</v>
      </c>
      <c r="L2363" s="295" t="s">
        <v>7240</v>
      </c>
      <c r="O2363" s="266">
        <v>0</v>
      </c>
      <c r="P2363" s="266">
        <v>5706681239375</v>
      </c>
      <c r="Q2363" s="266">
        <v>0</v>
      </c>
      <c r="R2363" s="265">
        <v>0</v>
      </c>
      <c r="S2363" s="265">
        <v>0</v>
      </c>
      <c r="V2363" s="265" t="s">
        <v>3218</v>
      </c>
      <c r="W2363" s="259">
        <v>0</v>
      </c>
      <c r="X2363" s="264" t="s">
        <v>7694</v>
      </c>
      <c r="Y2363" s="259">
        <f t="shared" si="11"/>
        <v>1451</v>
      </c>
      <c r="Z2363" s="259" t="s">
        <v>3030</v>
      </c>
      <c r="AA2363" s="259" t="e">
        <v>#N/A</v>
      </c>
      <c r="AB2363" s="259"/>
      <c r="AC2363" s="259"/>
      <c r="AD2363" s="259"/>
      <c r="AE2363" s="259"/>
    </row>
    <row r="2364" spans="1:31">
      <c r="A2364" s="259" t="s">
        <v>2221</v>
      </c>
      <c r="B2364" s="259" t="s">
        <v>116</v>
      </c>
      <c r="C2364" s="264" t="s">
        <v>7662</v>
      </c>
      <c r="D2364" s="264" t="s">
        <v>7703</v>
      </c>
      <c r="E2364" s="259" t="s">
        <v>7685</v>
      </c>
      <c r="H2364" s="264" t="s">
        <v>7703</v>
      </c>
      <c r="I2364" s="264" t="s">
        <v>7703</v>
      </c>
      <c r="J2364" s="295">
        <v>222.26</v>
      </c>
      <c r="K2364" s="295">
        <v>222.26</v>
      </c>
      <c r="L2364" s="295" t="s">
        <v>7240</v>
      </c>
      <c r="O2364" s="266">
        <v>0</v>
      </c>
      <c r="P2364" s="266">
        <v>5706681239368</v>
      </c>
      <c r="Q2364" s="266">
        <v>0</v>
      </c>
      <c r="R2364" s="265">
        <v>0</v>
      </c>
      <c r="S2364" s="265">
        <v>0</v>
      </c>
      <c r="V2364" s="265" t="s">
        <v>3218</v>
      </c>
      <c r="W2364" s="259">
        <v>0</v>
      </c>
      <c r="X2364" s="264" t="s">
        <v>7704</v>
      </c>
      <c r="Y2364" s="259">
        <f t="shared" si="11"/>
        <v>1452</v>
      </c>
      <c r="Z2364" s="259" t="s">
        <v>3030</v>
      </c>
      <c r="AA2364" s="259" t="e">
        <v>#N/A</v>
      </c>
      <c r="AB2364" s="259"/>
      <c r="AC2364" s="259"/>
      <c r="AD2364" s="259"/>
      <c r="AE2364" s="259"/>
    </row>
    <row r="2365" spans="1:31">
      <c r="A2365" s="259" t="s">
        <v>2222</v>
      </c>
      <c r="B2365" s="259" t="s">
        <v>116</v>
      </c>
      <c r="C2365" s="264" t="s">
        <v>7662</v>
      </c>
      <c r="D2365" s="264" t="s">
        <v>7705</v>
      </c>
      <c r="E2365" s="259" t="s">
        <v>7685</v>
      </c>
      <c r="H2365" s="264" t="s">
        <v>7705</v>
      </c>
      <c r="I2365" s="264" t="s">
        <v>7705</v>
      </c>
      <c r="J2365" s="295">
        <v>817.41</v>
      </c>
      <c r="K2365" s="295">
        <v>817.41</v>
      </c>
      <c r="L2365" s="295" t="s">
        <v>7240</v>
      </c>
      <c r="O2365" s="266">
        <v>0</v>
      </c>
      <c r="P2365" s="266">
        <v>5706681239917</v>
      </c>
      <c r="Q2365" s="266">
        <v>0</v>
      </c>
      <c r="R2365" s="265">
        <v>0</v>
      </c>
      <c r="S2365" s="265">
        <v>0</v>
      </c>
      <c r="V2365" s="265" t="s">
        <v>3218</v>
      </c>
      <c r="W2365" s="259">
        <v>0</v>
      </c>
      <c r="X2365" s="264" t="s">
        <v>7704</v>
      </c>
      <c r="Y2365" s="259">
        <f t="shared" si="11"/>
        <v>1453</v>
      </c>
      <c r="Z2365" s="259" t="s">
        <v>3030</v>
      </c>
      <c r="AA2365" s="259" t="e">
        <v>#N/A</v>
      </c>
      <c r="AB2365" s="259"/>
      <c r="AC2365" s="259"/>
      <c r="AD2365" s="259"/>
      <c r="AE2365" s="259"/>
    </row>
    <row r="2366" spans="1:31">
      <c r="A2366" s="259">
        <v>91001003</v>
      </c>
      <c r="B2366" s="259" t="s">
        <v>116</v>
      </c>
      <c r="C2366" s="264" t="s">
        <v>7662</v>
      </c>
      <c r="D2366" s="264" t="s">
        <v>7706</v>
      </c>
      <c r="E2366" s="259" t="s">
        <v>7685</v>
      </c>
      <c r="H2366" s="264" t="s">
        <v>7706</v>
      </c>
      <c r="I2366" s="264" t="s">
        <v>7706</v>
      </c>
      <c r="J2366" s="295">
        <v>170.4</v>
      </c>
      <c r="K2366" s="295">
        <v>170.4</v>
      </c>
      <c r="L2366" s="295" t="s">
        <v>7240</v>
      </c>
      <c r="O2366" s="266">
        <v>0</v>
      </c>
      <c r="P2366" s="266">
        <v>5706681239382</v>
      </c>
      <c r="Q2366" s="266">
        <v>0</v>
      </c>
      <c r="R2366" s="265">
        <v>0</v>
      </c>
      <c r="S2366" s="265">
        <v>0</v>
      </c>
      <c r="V2366" s="265" t="s">
        <v>3218</v>
      </c>
      <c r="W2366" s="259">
        <v>0</v>
      </c>
      <c r="X2366" s="264" t="s">
        <v>7704</v>
      </c>
      <c r="Y2366" s="259">
        <f t="shared" si="11"/>
        <v>1454</v>
      </c>
      <c r="AA2366" s="259" t="e">
        <v>#N/A</v>
      </c>
      <c r="AB2366" s="259"/>
      <c r="AC2366" s="259"/>
      <c r="AD2366" s="259"/>
      <c r="AE2366" s="259"/>
    </row>
    <row r="2367" spans="1:31">
      <c r="A2367" s="259">
        <v>91001004</v>
      </c>
      <c r="B2367" s="259" t="s">
        <v>116</v>
      </c>
      <c r="C2367" s="264" t="s">
        <v>7662</v>
      </c>
      <c r="D2367" s="264" t="s">
        <v>7707</v>
      </c>
      <c r="E2367" s="259" t="s">
        <v>7685</v>
      </c>
      <c r="H2367" s="264" t="s">
        <v>7707</v>
      </c>
      <c r="I2367" s="264" t="s">
        <v>7707</v>
      </c>
      <c r="J2367" s="295">
        <v>44.45</v>
      </c>
      <c r="K2367" s="295">
        <v>44.45</v>
      </c>
      <c r="L2367" s="295" t="s">
        <v>7240</v>
      </c>
      <c r="O2367" s="266">
        <v>0</v>
      </c>
      <c r="P2367" s="266">
        <v>5706681239399</v>
      </c>
      <c r="Q2367" s="266">
        <v>0</v>
      </c>
      <c r="R2367" s="265">
        <v>0</v>
      </c>
      <c r="S2367" s="265">
        <v>0</v>
      </c>
      <c r="V2367" s="265" t="s">
        <v>3218</v>
      </c>
      <c r="W2367" s="259">
        <v>0</v>
      </c>
      <c r="X2367" s="264" t="s">
        <v>7704</v>
      </c>
      <c r="Y2367" s="259">
        <f t="shared" si="11"/>
        <v>1455</v>
      </c>
      <c r="AA2367" s="259" t="e">
        <v>#N/A</v>
      </c>
      <c r="AB2367" s="259"/>
      <c r="AC2367" s="259"/>
      <c r="AD2367" s="259"/>
      <c r="AE2367" s="259"/>
    </row>
    <row r="2368" spans="1:31">
      <c r="A2368" s="259" t="s">
        <v>2223</v>
      </c>
      <c r="B2368" s="259" t="s">
        <v>116</v>
      </c>
      <c r="C2368" s="264" t="s">
        <v>7662</v>
      </c>
      <c r="D2368" s="264" t="s">
        <v>7708</v>
      </c>
      <c r="E2368" s="259" t="s">
        <v>7685</v>
      </c>
      <c r="H2368" s="264" t="s">
        <v>7708</v>
      </c>
      <c r="I2368" s="264" t="s">
        <v>7708</v>
      </c>
      <c r="J2368" s="295">
        <v>334.62</v>
      </c>
      <c r="K2368" s="295">
        <v>334.62</v>
      </c>
      <c r="L2368" s="295" t="s">
        <v>7240</v>
      </c>
      <c r="O2368" s="266">
        <v>0</v>
      </c>
      <c r="P2368" s="266">
        <v>5706681239900</v>
      </c>
      <c r="Q2368" s="266">
        <v>0</v>
      </c>
      <c r="R2368" s="265">
        <v>0</v>
      </c>
      <c r="S2368" s="265">
        <v>0</v>
      </c>
      <c r="V2368" s="265" t="s">
        <v>3218</v>
      </c>
      <c r="W2368" s="259">
        <v>0</v>
      </c>
      <c r="X2368" s="264" t="s">
        <v>7704</v>
      </c>
      <c r="Y2368" s="259">
        <f t="shared" si="11"/>
        <v>1456</v>
      </c>
      <c r="Z2368" s="259" t="s">
        <v>3030</v>
      </c>
      <c r="AA2368" s="259" t="e">
        <v>#N/A</v>
      </c>
      <c r="AB2368" s="259"/>
      <c r="AC2368" s="259"/>
      <c r="AD2368" s="259"/>
      <c r="AE2368" s="259"/>
    </row>
    <row r="2369" spans="1:31">
      <c r="A2369" s="259" t="s">
        <v>2224</v>
      </c>
      <c r="B2369" s="259" t="s">
        <v>116</v>
      </c>
      <c r="C2369" s="264"/>
      <c r="D2369" s="264"/>
      <c r="H2369" s="264"/>
      <c r="I2369" s="264"/>
      <c r="J2369" s="295">
        <v>0</v>
      </c>
      <c r="K2369" s="295">
        <v>0</v>
      </c>
      <c r="L2369" s="295">
        <v>0</v>
      </c>
      <c r="O2369" s="266"/>
      <c r="R2369" s="265"/>
      <c r="V2369" s="265">
        <v>0</v>
      </c>
      <c r="Y2369" s="259">
        <f t="shared" si="11"/>
        <v>1457</v>
      </c>
      <c r="AA2369" s="259" t="e">
        <v>#N/A</v>
      </c>
      <c r="AB2369" s="259"/>
      <c r="AC2369" s="259"/>
      <c r="AD2369" s="259"/>
      <c r="AE2369" s="259"/>
    </row>
    <row r="2370" spans="1:31">
      <c r="A2370" s="259" t="s">
        <v>2225</v>
      </c>
      <c r="B2370" s="259" t="s">
        <v>116</v>
      </c>
      <c r="C2370" s="264"/>
      <c r="D2370" s="264"/>
      <c r="H2370" s="264"/>
      <c r="I2370" s="264"/>
      <c r="J2370" s="295">
        <v>0</v>
      </c>
      <c r="K2370" s="295">
        <v>0</v>
      </c>
      <c r="L2370" s="295">
        <v>0</v>
      </c>
      <c r="O2370" s="266">
        <v>0</v>
      </c>
      <c r="P2370" s="266">
        <v>0</v>
      </c>
      <c r="Q2370" s="266">
        <v>0</v>
      </c>
      <c r="R2370" s="265">
        <v>0</v>
      </c>
      <c r="S2370" s="265">
        <v>0</v>
      </c>
      <c r="V2370" s="265">
        <v>0</v>
      </c>
      <c r="W2370" s="259">
        <v>0</v>
      </c>
      <c r="Y2370" s="259">
        <f t="shared" si="11"/>
        <v>1458</v>
      </c>
      <c r="AA2370" s="259" t="e">
        <v>#N/A</v>
      </c>
      <c r="AB2370" s="259"/>
      <c r="AC2370" s="259"/>
      <c r="AD2370" s="259"/>
      <c r="AE2370" s="259"/>
    </row>
    <row r="2371" spans="1:31">
      <c r="A2371" s="259" t="s">
        <v>2226</v>
      </c>
      <c r="B2371" s="259" t="s">
        <v>116</v>
      </c>
      <c r="C2371" s="264" t="s">
        <v>7662</v>
      </c>
      <c r="D2371" s="264" t="s">
        <v>7709</v>
      </c>
      <c r="E2371" s="259" t="s">
        <v>7710</v>
      </c>
      <c r="G2371" s="259" t="s">
        <v>7711</v>
      </c>
      <c r="H2371" s="264" t="s">
        <v>7709</v>
      </c>
      <c r="I2371" s="264" t="s">
        <v>7709</v>
      </c>
      <c r="J2371" s="295">
        <v>9260.73</v>
      </c>
      <c r="K2371" s="295">
        <v>9260.73</v>
      </c>
      <c r="L2371" s="295" t="s">
        <v>7240</v>
      </c>
      <c r="O2371" s="266">
        <v>0</v>
      </c>
      <c r="P2371" s="266">
        <v>5706681232727</v>
      </c>
      <c r="Q2371" s="266">
        <v>0</v>
      </c>
      <c r="R2371" s="265"/>
      <c r="V2371" s="265" t="s">
        <v>3218</v>
      </c>
      <c r="W2371" s="259">
        <v>0</v>
      </c>
      <c r="Y2371" s="259">
        <f t="shared" si="11"/>
        <v>1459</v>
      </c>
      <c r="Z2371" s="259" t="s">
        <v>3227</v>
      </c>
      <c r="AA2371" s="259" t="e">
        <v>#N/A</v>
      </c>
      <c r="AB2371" s="259"/>
      <c r="AC2371" s="259"/>
      <c r="AD2371" s="259"/>
      <c r="AE2371" s="259"/>
    </row>
    <row r="2372" spans="1:31">
      <c r="A2372" s="259" t="s">
        <v>2227</v>
      </c>
      <c r="B2372" s="259" t="s">
        <v>116</v>
      </c>
      <c r="C2372" s="264" t="s">
        <v>7662</v>
      </c>
      <c r="D2372" s="264" t="s">
        <v>7712</v>
      </c>
      <c r="E2372" s="259" t="s">
        <v>7710</v>
      </c>
      <c r="G2372" s="259" t="s">
        <v>7711</v>
      </c>
      <c r="H2372" s="264" t="s">
        <v>7712</v>
      </c>
      <c r="I2372" s="264" t="s">
        <v>7712</v>
      </c>
      <c r="J2372" s="295">
        <v>9878.11</v>
      </c>
      <c r="K2372" s="295">
        <v>9878.11</v>
      </c>
      <c r="L2372" s="295" t="s">
        <v>7240</v>
      </c>
      <c r="O2372" s="266">
        <v>0</v>
      </c>
      <c r="P2372" s="266">
        <v>5706681232741</v>
      </c>
      <c r="Q2372" s="266">
        <v>0</v>
      </c>
      <c r="R2372" s="265"/>
      <c r="V2372" s="265" t="s">
        <v>3218</v>
      </c>
      <c r="W2372" s="259">
        <v>0</v>
      </c>
      <c r="X2372" s="264" t="s">
        <v>7713</v>
      </c>
      <c r="Y2372" s="259">
        <f t="shared" si="11"/>
        <v>1460</v>
      </c>
      <c r="Z2372" s="259" t="s">
        <v>3227</v>
      </c>
      <c r="AA2372" s="259" t="e">
        <v>#N/A</v>
      </c>
      <c r="AB2372" s="259"/>
      <c r="AC2372" s="259"/>
      <c r="AD2372" s="259"/>
      <c r="AE2372" s="259"/>
    </row>
    <row r="2373" spans="1:31">
      <c r="A2373" s="259" t="s">
        <v>2228</v>
      </c>
      <c r="B2373" s="259" t="s">
        <v>116</v>
      </c>
      <c r="C2373" s="264"/>
      <c r="D2373" s="264"/>
      <c r="H2373" s="264"/>
      <c r="I2373" s="264"/>
      <c r="J2373" s="295">
        <v>0</v>
      </c>
      <c r="K2373" s="295">
        <v>0</v>
      </c>
      <c r="L2373" s="295">
        <v>0</v>
      </c>
      <c r="O2373" s="266"/>
      <c r="R2373" s="265"/>
      <c r="V2373" s="265">
        <v>0</v>
      </c>
      <c r="Y2373" s="259">
        <f t="shared" si="11"/>
        <v>1461</v>
      </c>
      <c r="AA2373" s="259" t="e">
        <v>#N/A</v>
      </c>
      <c r="AB2373" s="259"/>
      <c r="AC2373" s="259"/>
      <c r="AD2373" s="259"/>
      <c r="AE2373" s="259"/>
    </row>
    <row r="2374" spans="1:31">
      <c r="A2374" s="259" t="s">
        <v>2229</v>
      </c>
      <c r="B2374" s="259" t="s">
        <v>116</v>
      </c>
      <c r="C2374" s="264" t="s">
        <v>7662</v>
      </c>
      <c r="D2374" s="264" t="s">
        <v>7714</v>
      </c>
      <c r="E2374" s="259" t="s">
        <v>7710</v>
      </c>
      <c r="G2374" s="259" t="s">
        <v>7263</v>
      </c>
      <c r="H2374" s="264" t="s">
        <v>7714</v>
      </c>
      <c r="I2374" s="264" t="s">
        <v>7714</v>
      </c>
      <c r="J2374" s="295">
        <v>250.66</v>
      </c>
      <c r="K2374" s="295">
        <v>250.66</v>
      </c>
      <c r="L2374" s="295" t="s">
        <v>7240</v>
      </c>
      <c r="O2374" s="266">
        <v>0</v>
      </c>
      <c r="Q2374" s="266">
        <v>0</v>
      </c>
      <c r="R2374" s="265"/>
      <c r="V2374" s="265" t="s">
        <v>3218</v>
      </c>
      <c r="W2374" s="259">
        <v>0</v>
      </c>
      <c r="X2374" s="264" t="s">
        <v>7715</v>
      </c>
      <c r="Y2374" s="259">
        <f t="shared" si="11"/>
        <v>1462</v>
      </c>
      <c r="Z2374" s="259" t="s">
        <v>3227</v>
      </c>
      <c r="AA2374" s="259" t="e">
        <v>#N/A</v>
      </c>
      <c r="AB2374" s="259"/>
      <c r="AC2374" s="259"/>
      <c r="AD2374" s="259"/>
      <c r="AE2374" s="259"/>
    </row>
    <row r="2375" spans="1:31">
      <c r="A2375" s="259">
        <v>91510210</v>
      </c>
      <c r="B2375" s="259" t="s">
        <v>116</v>
      </c>
      <c r="C2375" s="264" t="s">
        <v>7662</v>
      </c>
      <c r="D2375" s="264" t="s">
        <v>7716</v>
      </c>
      <c r="E2375" s="259" t="s">
        <v>7710</v>
      </c>
      <c r="G2375" s="259" t="s">
        <v>7717</v>
      </c>
      <c r="H2375" s="264" t="s">
        <v>7716</v>
      </c>
      <c r="I2375" s="264" t="s">
        <v>7716</v>
      </c>
      <c r="J2375" s="295">
        <v>1975.62</v>
      </c>
      <c r="K2375" s="295">
        <v>1975.62</v>
      </c>
      <c r="L2375" s="295" t="s">
        <v>7240</v>
      </c>
      <c r="O2375" s="266">
        <v>0</v>
      </c>
      <c r="Q2375" s="266">
        <v>0</v>
      </c>
      <c r="R2375" s="265">
        <v>22.834658000000001</v>
      </c>
      <c r="S2375" s="265">
        <v>30.708677999999999</v>
      </c>
      <c r="V2375" s="265" t="s">
        <v>3574</v>
      </c>
      <c r="W2375" s="259">
        <v>0</v>
      </c>
      <c r="X2375" s="264" t="s">
        <v>7713</v>
      </c>
      <c r="Y2375" s="259">
        <f t="shared" si="11"/>
        <v>1463</v>
      </c>
      <c r="AA2375" s="259" t="e">
        <v>#N/A</v>
      </c>
      <c r="AB2375" s="259"/>
      <c r="AC2375" s="259"/>
      <c r="AD2375" s="259"/>
      <c r="AE2375" s="259"/>
    </row>
    <row r="2376" spans="1:31">
      <c r="A2376" s="259" t="s">
        <v>2230</v>
      </c>
      <c r="B2376" s="259" t="s">
        <v>116</v>
      </c>
      <c r="C2376" s="264"/>
      <c r="D2376" s="264"/>
      <c r="H2376" s="264"/>
      <c r="I2376" s="264"/>
      <c r="J2376" s="295">
        <v>0</v>
      </c>
      <c r="K2376" s="295">
        <v>0</v>
      </c>
      <c r="L2376" s="295">
        <v>0</v>
      </c>
      <c r="O2376" s="266"/>
      <c r="R2376" s="265"/>
      <c r="V2376" s="265">
        <v>0</v>
      </c>
      <c r="Y2376" s="259">
        <f t="shared" si="11"/>
        <v>1464</v>
      </c>
      <c r="AA2376" s="259" t="e">
        <v>#N/A</v>
      </c>
      <c r="AB2376" s="259"/>
      <c r="AC2376" s="259"/>
      <c r="AD2376" s="259"/>
      <c r="AE2376" s="259"/>
    </row>
    <row r="2377" spans="1:31">
      <c r="A2377" s="259" t="s">
        <v>2231</v>
      </c>
      <c r="B2377" s="259" t="s">
        <v>116</v>
      </c>
      <c r="C2377" s="264"/>
      <c r="D2377" s="264"/>
      <c r="H2377" s="264"/>
      <c r="I2377" s="264"/>
      <c r="J2377" s="295">
        <v>0</v>
      </c>
      <c r="K2377" s="295">
        <v>0</v>
      </c>
      <c r="L2377" s="295">
        <v>0</v>
      </c>
      <c r="O2377" s="266"/>
      <c r="R2377" s="265"/>
      <c r="V2377" s="265">
        <v>0</v>
      </c>
      <c r="Y2377" s="259">
        <f t="shared" si="11"/>
        <v>1465</v>
      </c>
      <c r="AA2377" s="259" t="e">
        <v>#N/A</v>
      </c>
      <c r="AB2377" s="259"/>
      <c r="AC2377" s="259"/>
      <c r="AD2377" s="259"/>
      <c r="AE2377" s="259"/>
    </row>
    <row r="2378" spans="1:31">
      <c r="A2378" s="259" t="s">
        <v>2232</v>
      </c>
      <c r="B2378" s="259" t="s">
        <v>116</v>
      </c>
      <c r="C2378" s="264" t="s">
        <v>7718</v>
      </c>
      <c r="D2378" s="264" t="s">
        <v>7719</v>
      </c>
      <c r="E2378" s="259" t="s">
        <v>7671</v>
      </c>
      <c r="H2378" s="264" t="s">
        <v>7719</v>
      </c>
      <c r="I2378" s="264" t="s">
        <v>7719</v>
      </c>
      <c r="J2378" s="295">
        <v>21578.400000000001</v>
      </c>
      <c r="K2378" s="295">
        <v>21578.400000000001</v>
      </c>
      <c r="L2378" s="295" t="s">
        <v>7240</v>
      </c>
      <c r="O2378" s="266">
        <v>0</v>
      </c>
      <c r="P2378" s="266">
        <v>688705005775</v>
      </c>
      <c r="Q2378" s="266">
        <v>0</v>
      </c>
      <c r="R2378" s="265">
        <v>0</v>
      </c>
      <c r="S2378" s="265">
        <v>0</v>
      </c>
      <c r="V2378" s="265" t="s">
        <v>3218</v>
      </c>
      <c r="W2378" s="259">
        <v>0</v>
      </c>
      <c r="X2378" s="264" t="s">
        <v>7720</v>
      </c>
      <c r="Y2378" s="259">
        <f t="shared" si="11"/>
        <v>1466</v>
      </c>
      <c r="Z2378" s="259" t="s">
        <v>3030</v>
      </c>
      <c r="AA2378" s="259" t="e">
        <v>#N/A</v>
      </c>
      <c r="AB2378" s="259"/>
      <c r="AC2378" s="259"/>
      <c r="AD2378" s="259"/>
      <c r="AE2378" s="259"/>
    </row>
    <row r="2379" spans="1:31">
      <c r="A2379" s="259" t="s">
        <v>2233</v>
      </c>
      <c r="B2379" s="259" t="s">
        <v>116</v>
      </c>
      <c r="C2379" s="264" t="s">
        <v>7718</v>
      </c>
      <c r="D2379" s="264" t="s">
        <v>7721</v>
      </c>
      <c r="E2379" s="259" t="s">
        <v>7671</v>
      </c>
      <c r="H2379" s="264" t="s">
        <v>7721</v>
      </c>
      <c r="I2379" s="264" t="s">
        <v>7721</v>
      </c>
      <c r="J2379" s="295">
        <v>23376.6</v>
      </c>
      <c r="K2379" s="295">
        <v>23376.6</v>
      </c>
      <c r="L2379" s="295" t="s">
        <v>7240</v>
      </c>
      <c r="O2379" s="266">
        <v>0</v>
      </c>
      <c r="P2379" s="266">
        <v>688705005782</v>
      </c>
      <c r="Q2379" s="266">
        <v>0</v>
      </c>
      <c r="R2379" s="265">
        <v>0</v>
      </c>
      <c r="S2379" s="265">
        <v>0</v>
      </c>
      <c r="V2379" s="265" t="s">
        <v>3996</v>
      </c>
      <c r="W2379" s="259">
        <v>0</v>
      </c>
      <c r="X2379" s="264" t="s">
        <v>7720</v>
      </c>
      <c r="Y2379" s="259">
        <f t="shared" si="11"/>
        <v>1467</v>
      </c>
      <c r="Z2379" s="259" t="s">
        <v>3264</v>
      </c>
      <c r="AA2379" s="259" t="e">
        <v>#N/A</v>
      </c>
      <c r="AB2379" s="259"/>
      <c r="AC2379" s="259"/>
      <c r="AD2379" s="259"/>
      <c r="AE2379" s="259"/>
    </row>
    <row r="2380" spans="1:31">
      <c r="A2380" s="259" t="s">
        <v>2234</v>
      </c>
      <c r="B2380" s="259" t="s">
        <v>116</v>
      </c>
      <c r="C2380" s="264"/>
      <c r="D2380" s="264"/>
      <c r="H2380" s="264"/>
      <c r="I2380" s="264"/>
      <c r="J2380" s="295">
        <v>0</v>
      </c>
      <c r="K2380" s="295">
        <v>0</v>
      </c>
      <c r="L2380" s="295">
        <v>0</v>
      </c>
      <c r="O2380" s="266"/>
      <c r="R2380" s="265"/>
      <c r="V2380" s="265">
        <v>0</v>
      </c>
      <c r="Y2380" s="259">
        <f t="shared" si="11"/>
        <v>1468</v>
      </c>
      <c r="AA2380" s="259" t="e">
        <v>#N/A</v>
      </c>
      <c r="AB2380" s="259"/>
      <c r="AC2380" s="259"/>
      <c r="AD2380" s="259"/>
      <c r="AE2380" s="259"/>
    </row>
    <row r="2381" spans="1:31">
      <c r="A2381" s="259" t="s">
        <v>2235</v>
      </c>
      <c r="B2381" s="259" t="s">
        <v>116</v>
      </c>
      <c r="C2381" s="264" t="s">
        <v>7718</v>
      </c>
      <c r="D2381" s="264" t="s">
        <v>7722</v>
      </c>
      <c r="E2381" s="259" t="s">
        <v>7671</v>
      </c>
      <c r="H2381" s="264" t="s">
        <v>7722</v>
      </c>
      <c r="I2381" s="264" t="s">
        <v>7722</v>
      </c>
      <c r="J2381" s="295">
        <v>16783.2</v>
      </c>
      <c r="K2381" s="295">
        <v>16783.2</v>
      </c>
      <c r="L2381" s="295" t="s">
        <v>7240</v>
      </c>
      <c r="O2381" s="266">
        <v>0</v>
      </c>
      <c r="P2381" s="266">
        <v>688705005836</v>
      </c>
      <c r="Q2381" s="266">
        <v>0</v>
      </c>
      <c r="R2381" s="265">
        <v>0</v>
      </c>
      <c r="S2381" s="265">
        <v>0</v>
      </c>
      <c r="V2381" s="265" t="s">
        <v>3218</v>
      </c>
      <c r="W2381" s="259">
        <v>0</v>
      </c>
      <c r="X2381" s="264" t="s">
        <v>7723</v>
      </c>
      <c r="Y2381" s="259">
        <f t="shared" si="11"/>
        <v>1469</v>
      </c>
      <c r="Z2381" s="259" t="s">
        <v>3030</v>
      </c>
      <c r="AA2381" s="259" t="e">
        <v>#N/A</v>
      </c>
      <c r="AB2381" s="259"/>
      <c r="AC2381" s="259"/>
      <c r="AD2381" s="259"/>
      <c r="AE2381" s="259"/>
    </row>
    <row r="2382" spans="1:31">
      <c r="A2382" s="259" t="s">
        <v>2236</v>
      </c>
      <c r="B2382" s="259" t="s">
        <v>116</v>
      </c>
      <c r="C2382" s="264" t="s">
        <v>7718</v>
      </c>
      <c r="D2382" s="264" t="s">
        <v>7724</v>
      </c>
      <c r="E2382" s="259" t="s">
        <v>7671</v>
      </c>
      <c r="H2382" s="264" t="s">
        <v>7724</v>
      </c>
      <c r="I2382" s="264" t="s">
        <v>7724</v>
      </c>
      <c r="J2382" s="295">
        <v>18581.400000000001</v>
      </c>
      <c r="K2382" s="295">
        <v>18581.400000000001</v>
      </c>
      <c r="L2382" s="295" t="s">
        <v>7240</v>
      </c>
      <c r="O2382" s="266">
        <v>0</v>
      </c>
      <c r="P2382" s="266">
        <v>688705005843</v>
      </c>
      <c r="Q2382" s="266">
        <v>0</v>
      </c>
      <c r="R2382" s="265">
        <v>0</v>
      </c>
      <c r="S2382" s="265">
        <v>0</v>
      </c>
      <c r="V2382" s="265" t="s">
        <v>3996</v>
      </c>
      <c r="W2382" s="259">
        <v>0</v>
      </c>
      <c r="X2382" s="264" t="s">
        <v>7723</v>
      </c>
      <c r="Y2382" s="259">
        <f t="shared" si="11"/>
        <v>1470</v>
      </c>
      <c r="Z2382" s="259" t="s">
        <v>3264</v>
      </c>
      <c r="AA2382" s="259" t="e">
        <v>#N/A</v>
      </c>
      <c r="AB2382" s="259"/>
      <c r="AC2382" s="259"/>
      <c r="AD2382" s="259"/>
      <c r="AE2382" s="259"/>
    </row>
    <row r="2383" spans="1:31">
      <c r="A2383" s="259" t="s">
        <v>2237</v>
      </c>
      <c r="B2383" s="259" t="s">
        <v>116</v>
      </c>
      <c r="C2383" s="264"/>
      <c r="D2383" s="264"/>
      <c r="H2383" s="264"/>
      <c r="I2383" s="264"/>
      <c r="J2383" s="295">
        <v>0</v>
      </c>
      <c r="K2383" s="295">
        <v>0</v>
      </c>
      <c r="L2383" s="295">
        <v>0</v>
      </c>
      <c r="O2383" s="266"/>
      <c r="R2383" s="265"/>
      <c r="V2383" s="265">
        <v>0</v>
      </c>
      <c r="Y2383" s="259">
        <f t="shared" si="11"/>
        <v>1471</v>
      </c>
      <c r="AA2383" s="259" t="e">
        <v>#N/A</v>
      </c>
      <c r="AB2383" s="259"/>
      <c r="AC2383" s="259"/>
      <c r="AD2383" s="259"/>
      <c r="AE2383" s="259"/>
    </row>
    <row r="2384" spans="1:31">
      <c r="A2384" s="259" t="s">
        <v>2238</v>
      </c>
      <c r="B2384" s="259" t="s">
        <v>116</v>
      </c>
      <c r="C2384" s="264" t="s">
        <v>7718</v>
      </c>
      <c r="D2384" s="264" t="s">
        <v>7725</v>
      </c>
      <c r="E2384" s="259" t="s">
        <v>7671</v>
      </c>
      <c r="H2384" s="264" t="s">
        <v>7725</v>
      </c>
      <c r="I2384" s="264" t="s">
        <v>7725</v>
      </c>
      <c r="J2384" s="295">
        <v>2397.6</v>
      </c>
      <c r="K2384" s="295">
        <v>2397.6</v>
      </c>
      <c r="L2384" s="295" t="s">
        <v>7240</v>
      </c>
      <c r="O2384" s="266">
        <v>0</v>
      </c>
      <c r="P2384" s="266">
        <v>688705007526</v>
      </c>
      <c r="Q2384" s="266">
        <v>0</v>
      </c>
      <c r="R2384" s="265">
        <v>0</v>
      </c>
      <c r="S2384" s="265">
        <v>0</v>
      </c>
      <c r="V2384" s="265" t="s">
        <v>3574</v>
      </c>
      <c r="W2384" s="259">
        <v>0</v>
      </c>
      <c r="X2384" s="264" t="s">
        <v>7726</v>
      </c>
      <c r="Y2384" s="259">
        <f t="shared" si="11"/>
        <v>1472</v>
      </c>
      <c r="Z2384" s="259" t="s">
        <v>3030</v>
      </c>
      <c r="AA2384" s="259" t="e">
        <v>#N/A</v>
      </c>
      <c r="AB2384" s="259"/>
      <c r="AC2384" s="259"/>
      <c r="AD2384" s="259"/>
      <c r="AE2384" s="259"/>
    </row>
    <row r="2385" spans="1:31">
      <c r="A2385" s="259" t="s">
        <v>2239</v>
      </c>
      <c r="B2385" s="259" t="s">
        <v>116</v>
      </c>
      <c r="C2385" s="264" t="s">
        <v>7718</v>
      </c>
      <c r="D2385" s="264" t="s">
        <v>7727</v>
      </c>
      <c r="E2385" s="259" t="s">
        <v>7671</v>
      </c>
      <c r="H2385" s="264" t="s">
        <v>7727</v>
      </c>
      <c r="I2385" s="264" t="s">
        <v>7727</v>
      </c>
      <c r="J2385" s="295">
        <v>111.13</v>
      </c>
      <c r="K2385" s="295">
        <v>111.13</v>
      </c>
      <c r="L2385" s="295" t="s">
        <v>7240</v>
      </c>
      <c r="O2385" s="266">
        <v>0</v>
      </c>
      <c r="P2385" s="266">
        <v>688705007694</v>
      </c>
      <c r="Q2385" s="266">
        <v>0</v>
      </c>
      <c r="R2385" s="265">
        <v>0</v>
      </c>
      <c r="S2385" s="265">
        <v>0</v>
      </c>
      <c r="V2385" s="265" t="s">
        <v>3218</v>
      </c>
      <c r="W2385" s="259">
        <v>0</v>
      </c>
      <c r="Y2385" s="259">
        <f t="shared" si="11"/>
        <v>1473</v>
      </c>
      <c r="Z2385" s="259" t="s">
        <v>4042</v>
      </c>
      <c r="AA2385" s="259" t="e">
        <v>#N/A</v>
      </c>
      <c r="AB2385" s="259"/>
      <c r="AC2385" s="259"/>
      <c r="AD2385" s="259"/>
      <c r="AE2385" s="259"/>
    </row>
    <row r="2386" spans="1:31">
      <c r="A2386" s="259" t="s">
        <v>2240</v>
      </c>
      <c r="B2386" s="259" t="s">
        <v>116</v>
      </c>
      <c r="C2386" s="264" t="s">
        <v>7718</v>
      </c>
      <c r="D2386" s="264" t="s">
        <v>7728</v>
      </c>
      <c r="E2386" s="259" t="s">
        <v>7671</v>
      </c>
      <c r="H2386" s="264" t="s">
        <v>7728</v>
      </c>
      <c r="I2386" s="264" t="s">
        <v>7728</v>
      </c>
      <c r="J2386" s="295">
        <v>80.34</v>
      </c>
      <c r="K2386" s="295">
        <v>80.34</v>
      </c>
      <c r="L2386" s="295" t="s">
        <v>7240</v>
      </c>
      <c r="O2386" s="266"/>
      <c r="P2386" s="266">
        <v>688705008349</v>
      </c>
      <c r="R2386" s="265"/>
      <c r="V2386" s="265">
        <v>0</v>
      </c>
      <c r="Y2386" s="259">
        <f t="shared" si="11"/>
        <v>1474</v>
      </c>
      <c r="AA2386" s="259" t="e">
        <v>#N/A</v>
      </c>
      <c r="AB2386" s="259"/>
      <c r="AC2386" s="259"/>
      <c r="AD2386" s="259"/>
      <c r="AE2386" s="259"/>
    </row>
    <row r="2387" spans="1:31">
      <c r="A2387" s="259" t="s">
        <v>2241</v>
      </c>
      <c r="B2387" s="259" t="s">
        <v>116</v>
      </c>
      <c r="C2387" s="264"/>
      <c r="D2387" s="264"/>
      <c r="H2387" s="264"/>
      <c r="I2387" s="264"/>
      <c r="J2387" s="295">
        <v>0</v>
      </c>
      <c r="K2387" s="295">
        <v>0</v>
      </c>
      <c r="L2387" s="295">
        <v>0</v>
      </c>
      <c r="O2387" s="266"/>
      <c r="R2387" s="265"/>
      <c r="V2387" s="265">
        <v>0</v>
      </c>
      <c r="Y2387" s="259">
        <f t="shared" si="11"/>
        <v>1475</v>
      </c>
      <c r="AA2387" s="259" t="e">
        <v>#N/A</v>
      </c>
      <c r="AB2387" s="259"/>
      <c r="AC2387" s="259"/>
      <c r="AD2387" s="259"/>
      <c r="AE2387" s="259"/>
    </row>
    <row r="2388" spans="1:31">
      <c r="A2388" s="259" t="s">
        <v>2242</v>
      </c>
      <c r="B2388" s="259" t="s">
        <v>116</v>
      </c>
      <c r="C2388" s="264"/>
      <c r="D2388" s="264"/>
      <c r="H2388" s="264"/>
      <c r="I2388" s="264"/>
      <c r="J2388" s="295">
        <v>0</v>
      </c>
      <c r="K2388" s="295">
        <v>0</v>
      </c>
      <c r="L2388" s="295">
        <v>0</v>
      </c>
      <c r="O2388" s="266">
        <v>0</v>
      </c>
      <c r="P2388" s="266">
        <v>0</v>
      </c>
      <c r="Q2388" s="266">
        <v>0</v>
      </c>
      <c r="R2388" s="265">
        <v>0</v>
      </c>
      <c r="S2388" s="265">
        <v>0</v>
      </c>
      <c r="V2388" s="265">
        <v>0</v>
      </c>
      <c r="W2388" s="259">
        <v>0</v>
      </c>
      <c r="Y2388" s="259">
        <f t="shared" si="11"/>
        <v>1476</v>
      </c>
      <c r="AA2388" s="259" t="e">
        <v>#N/A</v>
      </c>
      <c r="AB2388" s="259"/>
      <c r="AC2388" s="259"/>
      <c r="AD2388" s="259"/>
      <c r="AE2388" s="259"/>
    </row>
    <row r="2389" spans="1:31">
      <c r="A2389" s="259" t="s">
        <v>2243</v>
      </c>
      <c r="B2389" s="259" t="s">
        <v>116</v>
      </c>
      <c r="C2389" s="264" t="s">
        <v>7729</v>
      </c>
      <c r="D2389" s="264" t="s">
        <v>2717</v>
      </c>
      <c r="E2389" s="259" t="s">
        <v>7730</v>
      </c>
      <c r="G2389" s="259" t="s">
        <v>7711</v>
      </c>
      <c r="H2389" s="264" t="s">
        <v>7731</v>
      </c>
      <c r="I2389" s="264" t="s">
        <v>7731</v>
      </c>
      <c r="J2389" s="295">
        <v>12348</v>
      </c>
      <c r="K2389" s="295">
        <v>12348</v>
      </c>
      <c r="L2389" s="295" t="s">
        <v>7240</v>
      </c>
      <c r="O2389" s="266"/>
      <c r="P2389" s="266">
        <v>688705007342</v>
      </c>
      <c r="R2389" s="265"/>
      <c r="V2389" s="265">
        <v>0</v>
      </c>
      <c r="Y2389" s="259">
        <f t="shared" si="11"/>
        <v>1477</v>
      </c>
      <c r="AA2389" s="259" t="e">
        <v>#N/A</v>
      </c>
      <c r="AB2389" s="259"/>
      <c r="AC2389" s="259"/>
      <c r="AD2389" s="259"/>
      <c r="AE2389" s="259"/>
    </row>
    <row r="2390" spans="1:31">
      <c r="A2390" s="259" t="s">
        <v>2244</v>
      </c>
      <c r="B2390" s="259" t="s">
        <v>116</v>
      </c>
      <c r="C2390" s="264" t="s">
        <v>7729</v>
      </c>
      <c r="D2390" s="264" t="s">
        <v>7731</v>
      </c>
      <c r="E2390" s="259" t="s">
        <v>7730</v>
      </c>
      <c r="G2390" s="259" t="s">
        <v>7711</v>
      </c>
      <c r="H2390" s="264" t="s">
        <v>7731</v>
      </c>
      <c r="I2390" s="264" t="s">
        <v>7731</v>
      </c>
      <c r="J2390" s="295">
        <v>13088.5</v>
      </c>
      <c r="K2390" s="295">
        <v>13088.5</v>
      </c>
      <c r="L2390" s="295" t="s">
        <v>7240</v>
      </c>
      <c r="O2390" s="266">
        <v>0</v>
      </c>
      <c r="P2390" s="266">
        <v>5706681232482</v>
      </c>
      <c r="Q2390" s="266">
        <v>0</v>
      </c>
      <c r="R2390" s="265">
        <v>22.83</v>
      </c>
      <c r="S2390" s="265">
        <v>23.62</v>
      </c>
      <c r="V2390" s="265" t="s">
        <v>3218</v>
      </c>
      <c r="W2390" s="259">
        <v>0</v>
      </c>
      <c r="X2390" s="264" t="s">
        <v>7732</v>
      </c>
      <c r="Y2390" s="259">
        <f t="shared" si="11"/>
        <v>1478</v>
      </c>
      <c r="Z2390" s="259" t="s">
        <v>3227</v>
      </c>
      <c r="AA2390" s="259" t="e">
        <v>#N/A</v>
      </c>
      <c r="AB2390" s="259"/>
      <c r="AC2390" s="259"/>
      <c r="AD2390" s="259"/>
      <c r="AE2390" s="259"/>
    </row>
    <row r="2391" spans="1:31">
      <c r="A2391" s="259" t="s">
        <v>2245</v>
      </c>
      <c r="B2391" s="259" t="s">
        <v>116</v>
      </c>
      <c r="C2391" s="264" t="s">
        <v>5131</v>
      </c>
      <c r="D2391" s="264"/>
      <c r="H2391" s="264"/>
      <c r="I2391" s="264"/>
      <c r="J2391" s="295">
        <v>0</v>
      </c>
      <c r="K2391" s="295">
        <v>0</v>
      </c>
      <c r="L2391" s="295">
        <v>0</v>
      </c>
      <c r="O2391" s="266">
        <v>0</v>
      </c>
      <c r="P2391" s="266">
        <v>0</v>
      </c>
      <c r="Q2391" s="266">
        <v>0</v>
      </c>
      <c r="R2391" s="265">
        <v>0</v>
      </c>
      <c r="S2391" s="265">
        <v>0</v>
      </c>
      <c r="V2391" s="265">
        <v>0</v>
      </c>
      <c r="W2391" s="259">
        <v>0</v>
      </c>
      <c r="Y2391" s="259">
        <f t="shared" si="11"/>
        <v>1479</v>
      </c>
      <c r="AA2391" s="259" t="e">
        <v>#N/A</v>
      </c>
      <c r="AB2391" s="259"/>
      <c r="AC2391" s="259"/>
      <c r="AD2391" s="259"/>
      <c r="AE2391" s="259"/>
    </row>
    <row r="2392" spans="1:31">
      <c r="A2392" s="259" t="s">
        <v>2246</v>
      </c>
      <c r="B2392" s="259" t="s">
        <v>116</v>
      </c>
      <c r="C2392" s="264" t="s">
        <v>7733</v>
      </c>
      <c r="D2392" s="264" t="s">
        <v>7734</v>
      </c>
      <c r="E2392" s="259" t="s">
        <v>7730</v>
      </c>
      <c r="G2392" s="259" t="s">
        <v>7711</v>
      </c>
      <c r="H2392" s="264" t="s">
        <v>7734</v>
      </c>
      <c r="I2392" s="264" t="s">
        <v>7734</v>
      </c>
      <c r="J2392" s="295">
        <v>13705.88</v>
      </c>
      <c r="K2392" s="295">
        <v>13705.88</v>
      </c>
      <c r="L2392" s="295" t="s">
        <v>7240</v>
      </c>
      <c r="O2392" s="266">
        <v>0</v>
      </c>
      <c r="P2392" s="266">
        <v>688705007380</v>
      </c>
      <c r="Q2392" s="266">
        <v>0</v>
      </c>
      <c r="R2392" s="265">
        <v>17.7</v>
      </c>
      <c r="S2392" s="265">
        <v>22.8</v>
      </c>
      <c r="V2392" s="265" t="s">
        <v>3218</v>
      </c>
      <c r="W2392" s="259">
        <v>0</v>
      </c>
      <c r="Y2392" s="259">
        <f t="shared" si="11"/>
        <v>1480</v>
      </c>
      <c r="Z2392" s="259" t="s">
        <v>3227</v>
      </c>
      <c r="AA2392" s="259" t="e">
        <v>#N/A</v>
      </c>
      <c r="AB2392" s="259"/>
      <c r="AC2392" s="259"/>
      <c r="AD2392" s="259"/>
      <c r="AE2392" s="259"/>
    </row>
    <row r="2393" spans="1:31">
      <c r="A2393" s="259" t="s">
        <v>2247</v>
      </c>
      <c r="B2393" s="259" t="s">
        <v>116</v>
      </c>
      <c r="C2393" s="264" t="s">
        <v>7733</v>
      </c>
      <c r="D2393" s="264" t="s">
        <v>7735</v>
      </c>
      <c r="E2393" s="259" t="s">
        <v>7730</v>
      </c>
      <c r="G2393" s="259" t="s">
        <v>7711</v>
      </c>
      <c r="H2393" s="264" t="s">
        <v>7735</v>
      </c>
      <c r="I2393" s="264" t="s">
        <v>7735</v>
      </c>
      <c r="J2393" s="295">
        <v>14446.74</v>
      </c>
      <c r="K2393" s="295">
        <v>14446.74</v>
      </c>
      <c r="L2393" s="295" t="s">
        <v>7240</v>
      </c>
      <c r="O2393" s="266">
        <v>0</v>
      </c>
      <c r="P2393" s="266">
        <v>5706681232604</v>
      </c>
      <c r="Q2393" s="266">
        <v>0</v>
      </c>
      <c r="R2393" s="265">
        <v>22.83</v>
      </c>
      <c r="S2393" s="265">
        <v>23.62</v>
      </c>
      <c r="V2393" s="265" t="s">
        <v>3218</v>
      </c>
      <c r="W2393" s="259">
        <v>0</v>
      </c>
      <c r="X2393" s="264" t="s">
        <v>7736</v>
      </c>
      <c r="Y2393" s="259">
        <f t="shared" si="11"/>
        <v>1481</v>
      </c>
      <c r="Z2393" s="259" t="s">
        <v>3227</v>
      </c>
      <c r="AA2393" s="259" t="e">
        <v>#N/A</v>
      </c>
      <c r="AB2393" s="259"/>
      <c r="AC2393" s="259"/>
      <c r="AD2393" s="259"/>
      <c r="AE2393" s="259"/>
    </row>
    <row r="2394" spans="1:31">
      <c r="A2394" s="259" t="s">
        <v>2248</v>
      </c>
      <c r="B2394" s="259" t="s">
        <v>116</v>
      </c>
      <c r="C2394" s="264" t="s">
        <v>5131</v>
      </c>
      <c r="D2394" s="264"/>
      <c r="H2394" s="264"/>
      <c r="I2394" s="264"/>
      <c r="J2394" s="295">
        <v>0</v>
      </c>
      <c r="K2394" s="295">
        <v>0</v>
      </c>
      <c r="L2394" s="295">
        <v>0</v>
      </c>
      <c r="O2394" s="266"/>
      <c r="R2394" s="265"/>
      <c r="V2394" s="265">
        <v>0</v>
      </c>
      <c r="Y2394" s="259">
        <f t="shared" si="11"/>
        <v>1482</v>
      </c>
      <c r="AA2394" s="259" t="e">
        <v>#N/A</v>
      </c>
      <c r="AB2394" s="259"/>
      <c r="AC2394" s="259"/>
      <c r="AD2394" s="259"/>
      <c r="AE2394" s="259"/>
    </row>
    <row r="2395" spans="1:31">
      <c r="A2395" s="259" t="s">
        <v>2249</v>
      </c>
      <c r="B2395" s="259" t="s">
        <v>116</v>
      </c>
      <c r="C2395" s="264" t="s">
        <v>7737</v>
      </c>
      <c r="D2395" s="264" t="s">
        <v>7738</v>
      </c>
      <c r="E2395" s="259" t="s">
        <v>7730</v>
      </c>
      <c r="H2395" s="264" t="s">
        <v>7738</v>
      </c>
      <c r="I2395" s="264" t="s">
        <v>7738</v>
      </c>
      <c r="J2395" s="295">
        <v>9693</v>
      </c>
      <c r="K2395" s="295">
        <v>9693</v>
      </c>
      <c r="L2395" s="295" t="s">
        <v>7240</v>
      </c>
      <c r="O2395" s="266">
        <v>0</v>
      </c>
      <c r="P2395" s="266">
        <v>688705007366</v>
      </c>
      <c r="Q2395" s="266">
        <v>0</v>
      </c>
      <c r="R2395" s="265">
        <v>0</v>
      </c>
      <c r="S2395" s="265">
        <v>0</v>
      </c>
      <c r="V2395" s="265" t="s">
        <v>3218</v>
      </c>
      <c r="W2395" s="259">
        <v>0</v>
      </c>
      <c r="Y2395" s="259">
        <f t="shared" si="11"/>
        <v>1483</v>
      </c>
      <c r="Z2395" s="259" t="s">
        <v>3227</v>
      </c>
      <c r="AA2395" s="259" t="e">
        <v>#N/A</v>
      </c>
      <c r="AB2395" s="259"/>
      <c r="AC2395" s="259"/>
      <c r="AD2395" s="259"/>
      <c r="AE2395" s="259"/>
    </row>
    <row r="2396" spans="1:31">
      <c r="A2396" s="259" t="s">
        <v>2250</v>
      </c>
      <c r="B2396" s="259" t="s">
        <v>116</v>
      </c>
      <c r="C2396" s="264" t="s">
        <v>5131</v>
      </c>
      <c r="D2396" s="264"/>
      <c r="H2396" s="264"/>
      <c r="I2396" s="264"/>
      <c r="J2396" s="295">
        <v>0</v>
      </c>
      <c r="K2396" s="295">
        <v>0</v>
      </c>
      <c r="L2396" s="295">
        <v>0</v>
      </c>
      <c r="O2396" s="266">
        <v>0</v>
      </c>
      <c r="P2396" s="266">
        <v>0</v>
      </c>
      <c r="Q2396" s="266">
        <v>0</v>
      </c>
      <c r="R2396" s="265">
        <v>0</v>
      </c>
      <c r="S2396" s="265">
        <v>0</v>
      </c>
      <c r="V2396" s="265">
        <v>0</v>
      </c>
      <c r="W2396" s="259">
        <v>0</v>
      </c>
      <c r="Y2396" s="259">
        <f t="shared" si="11"/>
        <v>1484</v>
      </c>
      <c r="AA2396" s="259" t="e">
        <v>#N/A</v>
      </c>
      <c r="AB2396" s="259"/>
      <c r="AC2396" s="259"/>
      <c r="AD2396" s="259"/>
      <c r="AE2396" s="259"/>
    </row>
    <row r="2397" spans="1:31">
      <c r="A2397" s="259" t="s">
        <v>2251</v>
      </c>
      <c r="B2397" s="259" t="s">
        <v>116</v>
      </c>
      <c r="C2397" s="264" t="s">
        <v>7737</v>
      </c>
      <c r="D2397" s="264" t="s">
        <v>7739</v>
      </c>
      <c r="E2397" s="259" t="s">
        <v>7730</v>
      </c>
      <c r="G2397" s="259" t="s">
        <v>7711</v>
      </c>
      <c r="H2397" s="264" t="s">
        <v>7739</v>
      </c>
      <c r="I2397" s="264" t="s">
        <v>7739</v>
      </c>
      <c r="J2397" s="295">
        <v>11236.35</v>
      </c>
      <c r="K2397" s="295">
        <v>11236.35</v>
      </c>
      <c r="L2397" s="295" t="s">
        <v>7240</v>
      </c>
      <c r="O2397" s="266">
        <v>0</v>
      </c>
      <c r="P2397" s="266">
        <v>688705007373</v>
      </c>
      <c r="Q2397" s="266">
        <v>0</v>
      </c>
      <c r="R2397" s="265">
        <v>17.7</v>
      </c>
      <c r="S2397" s="265">
        <v>22.8</v>
      </c>
      <c r="V2397" s="265" t="s">
        <v>3218</v>
      </c>
      <c r="W2397" s="259">
        <v>0</v>
      </c>
      <c r="Y2397" s="259">
        <f t="shared" si="11"/>
        <v>1485</v>
      </c>
      <c r="Z2397" s="259" t="s">
        <v>3227</v>
      </c>
      <c r="AA2397" s="259" t="e">
        <v>#N/A</v>
      </c>
      <c r="AB2397" s="259"/>
      <c r="AC2397" s="259"/>
      <c r="AD2397" s="259"/>
      <c r="AE2397" s="259"/>
    </row>
    <row r="2398" spans="1:31">
      <c r="A2398" s="259" t="s">
        <v>2252</v>
      </c>
      <c r="B2398" s="259" t="s">
        <v>116</v>
      </c>
      <c r="C2398" s="264" t="s">
        <v>7737</v>
      </c>
      <c r="D2398" s="264" t="s">
        <v>7740</v>
      </c>
      <c r="E2398" s="259" t="s">
        <v>7730</v>
      </c>
      <c r="G2398" s="259" t="s">
        <v>7711</v>
      </c>
      <c r="H2398" s="264" t="s">
        <v>7740</v>
      </c>
      <c r="I2398" s="264" t="s">
        <v>7740</v>
      </c>
      <c r="J2398" s="295">
        <v>11977.21</v>
      </c>
      <c r="K2398" s="295">
        <v>11977.21</v>
      </c>
      <c r="L2398" s="295" t="s">
        <v>7240</v>
      </c>
      <c r="O2398" s="266">
        <v>0</v>
      </c>
      <c r="P2398" s="266">
        <v>5706681232574</v>
      </c>
      <c r="Q2398" s="266">
        <v>0</v>
      </c>
      <c r="R2398" s="265">
        <v>22.83</v>
      </c>
      <c r="S2398" s="265">
        <v>23.62</v>
      </c>
      <c r="V2398" s="265" t="s">
        <v>3218</v>
      </c>
      <c r="W2398" s="259">
        <v>0</v>
      </c>
      <c r="X2398" s="264" t="s">
        <v>7741</v>
      </c>
      <c r="Y2398" s="259">
        <f t="shared" si="11"/>
        <v>1486</v>
      </c>
      <c r="Z2398" s="259" t="s">
        <v>3227</v>
      </c>
      <c r="AA2398" s="259" t="e">
        <v>#N/A</v>
      </c>
      <c r="AB2398" s="259"/>
      <c r="AC2398" s="259"/>
      <c r="AD2398" s="259"/>
      <c r="AE2398" s="259"/>
    </row>
    <row r="2399" spans="1:31">
      <c r="A2399" s="259" t="s">
        <v>2253</v>
      </c>
      <c r="B2399" s="259" t="s">
        <v>116</v>
      </c>
      <c r="C2399" s="264" t="s">
        <v>5131</v>
      </c>
      <c r="D2399" s="264"/>
      <c r="H2399" s="264"/>
      <c r="I2399" s="264"/>
      <c r="J2399" s="295">
        <v>0</v>
      </c>
      <c r="K2399" s="295">
        <v>0</v>
      </c>
      <c r="L2399" s="295">
        <v>0</v>
      </c>
      <c r="O2399" s="266">
        <v>0</v>
      </c>
      <c r="P2399" s="266">
        <v>0</v>
      </c>
      <c r="Q2399" s="266">
        <v>0</v>
      </c>
      <c r="R2399" s="265">
        <v>0</v>
      </c>
      <c r="S2399" s="265">
        <v>0</v>
      </c>
      <c r="V2399" s="265">
        <v>0</v>
      </c>
      <c r="W2399" s="259">
        <v>0</v>
      </c>
      <c r="Y2399" s="259">
        <f t="shared" si="11"/>
        <v>1487</v>
      </c>
      <c r="AA2399" s="259" t="e">
        <v>#N/A</v>
      </c>
      <c r="AB2399" s="259"/>
      <c r="AC2399" s="259"/>
      <c r="AD2399" s="259"/>
      <c r="AE2399" s="259"/>
    </row>
    <row r="2400" spans="1:31">
      <c r="A2400" s="259" t="s">
        <v>2254</v>
      </c>
      <c r="B2400" s="259" t="s">
        <v>116</v>
      </c>
      <c r="C2400" s="264" t="s">
        <v>7742</v>
      </c>
      <c r="D2400" s="264" t="s">
        <v>7743</v>
      </c>
      <c r="E2400" s="259" t="s">
        <v>7730</v>
      </c>
      <c r="H2400" s="264" t="s">
        <v>7743</v>
      </c>
      <c r="I2400" s="264" t="s">
        <v>7743</v>
      </c>
      <c r="J2400" s="295">
        <v>13089</v>
      </c>
      <c r="K2400" s="295">
        <v>13089</v>
      </c>
      <c r="L2400" s="295" t="s">
        <v>7240</v>
      </c>
      <c r="O2400" s="266">
        <v>0</v>
      </c>
      <c r="P2400" s="266">
        <v>5706681232512</v>
      </c>
      <c r="Q2400" s="266">
        <v>0</v>
      </c>
      <c r="R2400" s="265">
        <v>22.83</v>
      </c>
      <c r="S2400" s="265">
        <v>23.62</v>
      </c>
      <c r="V2400" s="265" t="s">
        <v>3218</v>
      </c>
      <c r="W2400" s="259">
        <v>0</v>
      </c>
      <c r="X2400" s="264" t="s">
        <v>7744</v>
      </c>
      <c r="Y2400" s="259">
        <f t="shared" si="11"/>
        <v>1488</v>
      </c>
      <c r="Z2400" s="259" t="s">
        <v>3227</v>
      </c>
      <c r="AA2400" s="259" t="e">
        <v>#N/A</v>
      </c>
      <c r="AB2400" s="259"/>
      <c r="AC2400" s="259"/>
      <c r="AD2400" s="259"/>
      <c r="AE2400" s="259"/>
    </row>
    <row r="2401" spans="1:31">
      <c r="A2401" s="259" t="s">
        <v>2255</v>
      </c>
      <c r="B2401" s="259" t="s">
        <v>116</v>
      </c>
      <c r="C2401" s="264"/>
      <c r="D2401" s="264"/>
      <c r="H2401" s="264"/>
      <c r="I2401" s="264"/>
      <c r="J2401" s="295">
        <v>0</v>
      </c>
      <c r="K2401" s="295">
        <v>0</v>
      </c>
      <c r="L2401" s="295">
        <v>0</v>
      </c>
      <c r="O2401" s="266">
        <v>0</v>
      </c>
      <c r="P2401" s="266">
        <v>0</v>
      </c>
      <c r="Q2401" s="266">
        <v>0</v>
      </c>
      <c r="R2401" s="265">
        <v>0</v>
      </c>
      <c r="S2401" s="265">
        <v>0</v>
      </c>
      <c r="V2401" s="265">
        <v>0</v>
      </c>
      <c r="W2401" s="259">
        <v>0</v>
      </c>
      <c r="Y2401" s="259">
        <f t="shared" si="11"/>
        <v>1489</v>
      </c>
      <c r="AA2401" s="259" t="e">
        <v>#N/A</v>
      </c>
      <c r="AB2401" s="259"/>
      <c r="AC2401" s="259"/>
      <c r="AD2401" s="259"/>
      <c r="AE2401" s="259"/>
    </row>
    <row r="2402" spans="1:31">
      <c r="A2402" s="259">
        <v>91510180</v>
      </c>
      <c r="B2402" s="259" t="s">
        <v>116</v>
      </c>
      <c r="C2402" s="264" t="s">
        <v>7745</v>
      </c>
      <c r="D2402" s="264" t="s">
        <v>2720</v>
      </c>
      <c r="E2402" s="259" t="s">
        <v>7746</v>
      </c>
      <c r="G2402" s="259" t="s">
        <v>7263</v>
      </c>
      <c r="H2402" s="264" t="s">
        <v>2720</v>
      </c>
      <c r="I2402" s="264" t="s">
        <v>2720</v>
      </c>
      <c r="J2402" s="295">
        <v>2346</v>
      </c>
      <c r="K2402" s="295">
        <v>2346</v>
      </c>
      <c r="L2402" s="295" t="s">
        <v>7240</v>
      </c>
      <c r="O2402" s="266">
        <v>0</v>
      </c>
      <c r="P2402" s="266">
        <v>5706681232512</v>
      </c>
      <c r="Q2402" s="266">
        <v>0</v>
      </c>
      <c r="R2402" s="265">
        <v>22.83</v>
      </c>
      <c r="S2402" s="265">
        <v>23.62</v>
      </c>
      <c r="V2402" s="265" t="s">
        <v>3218</v>
      </c>
      <c r="W2402" s="259">
        <v>0</v>
      </c>
      <c r="X2402" s="264" t="s">
        <v>7744</v>
      </c>
      <c r="Y2402" s="259">
        <f t="shared" si="11"/>
        <v>1490</v>
      </c>
      <c r="AA2402" s="259" t="e">
        <v>#N/A</v>
      </c>
      <c r="AB2402" s="259"/>
      <c r="AC2402" s="259"/>
      <c r="AD2402" s="259"/>
      <c r="AE2402" s="259"/>
    </row>
    <row r="2403" spans="1:31">
      <c r="A2403" s="259" t="s">
        <v>2256</v>
      </c>
      <c r="B2403" s="259" t="s">
        <v>116</v>
      </c>
      <c r="C2403" s="264"/>
      <c r="D2403" s="264"/>
      <c r="H2403" s="264"/>
      <c r="I2403" s="264"/>
      <c r="J2403" s="295">
        <v>0</v>
      </c>
      <c r="K2403" s="295">
        <v>0</v>
      </c>
      <c r="L2403" s="295">
        <v>0</v>
      </c>
      <c r="O2403" s="266"/>
      <c r="R2403" s="265"/>
      <c r="V2403" s="265">
        <v>0</v>
      </c>
      <c r="Y2403" s="259">
        <f t="shared" si="11"/>
        <v>1491</v>
      </c>
      <c r="AA2403" s="259" t="e">
        <v>#N/A</v>
      </c>
      <c r="AB2403" s="259"/>
      <c r="AC2403" s="259"/>
      <c r="AD2403" s="259"/>
      <c r="AE2403" s="259"/>
    </row>
    <row r="2404" spans="1:31">
      <c r="A2404" s="259" t="s">
        <v>2257</v>
      </c>
      <c r="B2404" s="259" t="s">
        <v>116</v>
      </c>
      <c r="C2404" s="264"/>
      <c r="D2404" s="264"/>
      <c r="H2404" s="264"/>
      <c r="I2404" s="264"/>
      <c r="J2404" s="295">
        <v>0</v>
      </c>
      <c r="K2404" s="295">
        <v>0</v>
      </c>
      <c r="L2404" s="295">
        <v>0</v>
      </c>
      <c r="O2404" s="266"/>
      <c r="R2404" s="265"/>
      <c r="V2404" s="265">
        <v>0</v>
      </c>
      <c r="Y2404" s="259">
        <f t="shared" si="11"/>
        <v>1492</v>
      </c>
      <c r="AA2404" s="259" t="e">
        <v>#N/A</v>
      </c>
      <c r="AB2404" s="259"/>
      <c r="AC2404" s="259"/>
      <c r="AD2404" s="259"/>
      <c r="AE2404" s="259"/>
    </row>
    <row r="2405" spans="1:31">
      <c r="A2405" s="259" t="s">
        <v>2258</v>
      </c>
      <c r="B2405" s="259" t="s">
        <v>116</v>
      </c>
      <c r="C2405" s="264"/>
      <c r="D2405" s="264"/>
      <c r="H2405" s="264"/>
      <c r="I2405" s="264"/>
      <c r="J2405" s="295">
        <v>0</v>
      </c>
      <c r="K2405" s="295">
        <v>0</v>
      </c>
      <c r="L2405" s="295">
        <v>0</v>
      </c>
      <c r="O2405" s="266">
        <v>0</v>
      </c>
      <c r="P2405" s="266">
        <v>0</v>
      </c>
      <c r="Q2405" s="266">
        <v>0</v>
      </c>
      <c r="R2405" s="265">
        <v>0</v>
      </c>
      <c r="S2405" s="265">
        <v>0</v>
      </c>
      <c r="V2405" s="265">
        <v>0</v>
      </c>
      <c r="W2405" s="259">
        <v>0</v>
      </c>
      <c r="Y2405" s="259">
        <f t="shared" si="11"/>
        <v>1493</v>
      </c>
      <c r="AA2405" s="259" t="e">
        <v>#N/A</v>
      </c>
      <c r="AB2405" s="259"/>
      <c r="AC2405" s="259"/>
      <c r="AD2405" s="259"/>
      <c r="AE2405" s="259"/>
    </row>
    <row r="2406" spans="1:31">
      <c r="A2406" s="259">
        <v>90721090</v>
      </c>
      <c r="B2406" s="259" t="s">
        <v>116</v>
      </c>
      <c r="C2406" s="264" t="s">
        <v>7747</v>
      </c>
      <c r="D2406" s="264" t="s">
        <v>7748</v>
      </c>
      <c r="E2406" s="259" t="s">
        <v>7749</v>
      </c>
      <c r="G2406" s="259" t="s">
        <v>7750</v>
      </c>
      <c r="H2406" s="264" t="s">
        <v>7748</v>
      </c>
      <c r="I2406" s="264" t="s">
        <v>7748</v>
      </c>
      <c r="J2406" s="295">
        <v>8643.35</v>
      </c>
      <c r="K2406" s="295">
        <v>8643.35</v>
      </c>
      <c r="L2406" s="295" t="s">
        <v>7240</v>
      </c>
      <c r="O2406" s="266">
        <v>0</v>
      </c>
      <c r="Q2406" s="266">
        <v>0</v>
      </c>
      <c r="R2406" s="265">
        <v>0</v>
      </c>
      <c r="S2406" s="265">
        <v>0</v>
      </c>
      <c r="V2406" s="265" t="s">
        <v>7247</v>
      </c>
      <c r="W2406" s="259">
        <v>0</v>
      </c>
      <c r="Y2406" s="259">
        <f t="shared" si="11"/>
        <v>1494</v>
      </c>
      <c r="AA2406" s="259" t="e">
        <v>#N/A</v>
      </c>
      <c r="AB2406" s="259"/>
      <c r="AC2406" s="259"/>
      <c r="AD2406" s="259"/>
      <c r="AE2406" s="259"/>
    </row>
    <row r="2407" spans="1:31">
      <c r="A2407" s="259" t="s">
        <v>2259</v>
      </c>
      <c r="B2407" s="259" t="s">
        <v>116</v>
      </c>
      <c r="C2407" s="264"/>
      <c r="D2407" s="264"/>
      <c r="H2407" s="264"/>
      <c r="I2407" s="264"/>
      <c r="J2407" s="295">
        <v>0</v>
      </c>
      <c r="K2407" s="295">
        <v>0</v>
      </c>
      <c r="L2407" s="295">
        <v>0</v>
      </c>
      <c r="O2407" s="266">
        <v>0</v>
      </c>
      <c r="P2407" s="266">
        <v>0</v>
      </c>
      <c r="Q2407" s="266">
        <v>0</v>
      </c>
      <c r="R2407" s="265">
        <v>0</v>
      </c>
      <c r="S2407" s="265">
        <v>0</v>
      </c>
      <c r="V2407" s="265">
        <v>0</v>
      </c>
      <c r="W2407" s="259">
        <v>0</v>
      </c>
      <c r="Y2407" s="259">
        <f t="shared" si="11"/>
        <v>1495</v>
      </c>
      <c r="AA2407" s="259" t="e">
        <v>#N/A</v>
      </c>
      <c r="AB2407" s="259"/>
      <c r="AC2407" s="259"/>
      <c r="AD2407" s="259"/>
      <c r="AE2407" s="259"/>
    </row>
    <row r="2408" spans="1:31">
      <c r="A2408" s="259">
        <v>90721015</v>
      </c>
      <c r="B2408" s="259" t="s">
        <v>116</v>
      </c>
      <c r="C2408" s="264" t="s">
        <v>7747</v>
      </c>
      <c r="D2408" s="264" t="s">
        <v>7751</v>
      </c>
      <c r="E2408" s="259" t="s">
        <v>7749</v>
      </c>
      <c r="H2408" s="264" t="s">
        <v>7751</v>
      </c>
      <c r="I2408" s="264" t="s">
        <v>7751</v>
      </c>
      <c r="J2408" s="295">
        <v>15434.55</v>
      </c>
      <c r="K2408" s="295">
        <v>15434.55</v>
      </c>
      <c r="L2408" s="295" t="s">
        <v>7240</v>
      </c>
      <c r="O2408" s="266">
        <v>0</v>
      </c>
      <c r="Q2408" s="266">
        <v>0</v>
      </c>
      <c r="R2408" s="265">
        <v>0</v>
      </c>
      <c r="S2408" s="265">
        <v>0</v>
      </c>
      <c r="V2408" s="265" t="s">
        <v>7247</v>
      </c>
      <c r="W2408" s="259">
        <v>0</v>
      </c>
      <c r="Y2408" s="259">
        <f t="shared" si="11"/>
        <v>1496</v>
      </c>
      <c r="AA2408" s="259" t="e">
        <v>#N/A</v>
      </c>
      <c r="AB2408" s="259"/>
      <c r="AC2408" s="259"/>
      <c r="AD2408" s="259"/>
      <c r="AE2408" s="259"/>
    </row>
    <row r="2409" spans="1:31">
      <c r="A2409" s="259" t="s">
        <v>2260</v>
      </c>
      <c r="B2409" s="259" t="s">
        <v>116</v>
      </c>
      <c r="C2409" s="264"/>
      <c r="D2409" s="264"/>
      <c r="H2409" s="264"/>
      <c r="I2409" s="264"/>
      <c r="J2409" s="295">
        <v>0</v>
      </c>
      <c r="K2409" s="295">
        <v>0</v>
      </c>
      <c r="L2409" s="295">
        <v>0</v>
      </c>
      <c r="O2409" s="266">
        <v>0</v>
      </c>
      <c r="P2409" s="266">
        <v>0</v>
      </c>
      <c r="Q2409" s="266">
        <v>0</v>
      </c>
      <c r="R2409" s="265">
        <v>0</v>
      </c>
      <c r="S2409" s="265">
        <v>0</v>
      </c>
      <c r="V2409" s="265">
        <v>0</v>
      </c>
      <c r="W2409" s="259">
        <v>0</v>
      </c>
      <c r="Y2409" s="259">
        <f t="shared" si="11"/>
        <v>1497</v>
      </c>
      <c r="AA2409" s="259" t="e">
        <v>#N/A</v>
      </c>
      <c r="AB2409" s="259"/>
      <c r="AC2409" s="259"/>
      <c r="AD2409" s="259"/>
      <c r="AE2409" s="259"/>
    </row>
    <row r="2410" spans="1:31">
      <c r="A2410" s="259">
        <v>90721060</v>
      </c>
      <c r="B2410" s="259" t="s">
        <v>116</v>
      </c>
      <c r="C2410" s="264" t="s">
        <v>7747</v>
      </c>
      <c r="D2410" s="264" t="s">
        <v>2260</v>
      </c>
      <c r="E2410" s="259" t="s">
        <v>7749</v>
      </c>
      <c r="H2410" s="264" t="s">
        <v>2260</v>
      </c>
      <c r="I2410" s="264" t="s">
        <v>2260</v>
      </c>
      <c r="J2410" s="295">
        <v>41735.019999999997</v>
      </c>
      <c r="K2410" s="295">
        <v>41735.019999999997</v>
      </c>
      <c r="L2410" s="295" t="s">
        <v>7240</v>
      </c>
      <c r="O2410" s="266">
        <v>25.353129999999997</v>
      </c>
      <c r="Q2410" s="266">
        <v>0</v>
      </c>
      <c r="R2410" s="265">
        <v>0</v>
      </c>
      <c r="S2410" s="265">
        <v>0</v>
      </c>
      <c r="V2410" s="265" t="s">
        <v>7247</v>
      </c>
      <c r="W2410" s="259">
        <v>0</v>
      </c>
      <c r="Y2410" s="259">
        <f t="shared" si="11"/>
        <v>1498</v>
      </c>
      <c r="AA2410" s="259" t="e">
        <v>#N/A</v>
      </c>
      <c r="AB2410" s="259"/>
      <c r="AC2410" s="259"/>
      <c r="AD2410" s="259"/>
      <c r="AE2410" s="259"/>
    </row>
    <row r="2411" spans="1:31">
      <c r="A2411" s="259" t="s">
        <v>2261</v>
      </c>
      <c r="B2411" s="259" t="s">
        <v>116</v>
      </c>
      <c r="C2411" s="264"/>
      <c r="D2411" s="264"/>
      <c r="H2411" s="264"/>
      <c r="I2411" s="264"/>
      <c r="J2411" s="295">
        <v>0</v>
      </c>
      <c r="K2411" s="295">
        <v>0</v>
      </c>
      <c r="L2411" s="295">
        <v>0</v>
      </c>
      <c r="O2411" s="266"/>
      <c r="R2411" s="265"/>
      <c r="V2411" s="265">
        <v>0</v>
      </c>
      <c r="Y2411" s="259">
        <f t="shared" si="11"/>
        <v>1499</v>
      </c>
      <c r="AA2411" s="259" t="e">
        <v>#N/A</v>
      </c>
      <c r="AB2411" s="259"/>
      <c r="AC2411" s="259"/>
      <c r="AD2411" s="259"/>
      <c r="AE2411" s="259"/>
    </row>
    <row r="2412" spans="1:31">
      <c r="A2412" s="259" t="s">
        <v>2262</v>
      </c>
      <c r="B2412" s="259" t="s">
        <v>116</v>
      </c>
      <c r="C2412" s="264"/>
      <c r="D2412" s="264"/>
      <c r="H2412" s="264"/>
      <c r="I2412" s="264"/>
      <c r="J2412" s="295">
        <v>0</v>
      </c>
      <c r="K2412" s="295">
        <v>0</v>
      </c>
      <c r="L2412" s="295">
        <v>0</v>
      </c>
      <c r="O2412" s="266">
        <v>0</v>
      </c>
      <c r="P2412" s="266">
        <v>0</v>
      </c>
      <c r="Q2412" s="266">
        <v>0</v>
      </c>
      <c r="R2412" s="265">
        <v>0</v>
      </c>
      <c r="S2412" s="265">
        <v>0</v>
      </c>
      <c r="V2412" s="265">
        <v>0</v>
      </c>
      <c r="W2412" s="259">
        <v>0</v>
      </c>
      <c r="Y2412" s="259">
        <f t="shared" si="11"/>
        <v>1500</v>
      </c>
      <c r="AA2412" s="259" t="e">
        <v>#N/A</v>
      </c>
      <c r="AB2412" s="259"/>
      <c r="AC2412" s="259"/>
      <c r="AD2412" s="259"/>
      <c r="AE2412" s="259"/>
    </row>
    <row r="2413" spans="1:31">
      <c r="A2413" s="259">
        <v>90721040</v>
      </c>
      <c r="B2413" s="259" t="s">
        <v>116</v>
      </c>
      <c r="C2413" s="264" t="s">
        <v>7747</v>
      </c>
      <c r="D2413" s="264" t="s">
        <v>2262</v>
      </c>
      <c r="E2413" s="259" t="s">
        <v>7749</v>
      </c>
      <c r="H2413" s="264" t="s">
        <v>2262</v>
      </c>
      <c r="I2413" s="264" t="s">
        <v>2262</v>
      </c>
      <c r="J2413" s="295">
        <v>3756.15</v>
      </c>
      <c r="K2413" s="295">
        <v>3756.15</v>
      </c>
      <c r="L2413" s="295" t="s">
        <v>7240</v>
      </c>
      <c r="O2413" s="266">
        <v>0</v>
      </c>
      <c r="P2413" s="266">
        <v>688705000756</v>
      </c>
      <c r="Q2413" s="266">
        <v>0</v>
      </c>
      <c r="R2413" s="265">
        <v>20.866153000000001</v>
      </c>
      <c r="S2413" s="265">
        <v>20.866153000000001</v>
      </c>
      <c r="V2413" s="265" t="s">
        <v>7752</v>
      </c>
      <c r="W2413" s="259">
        <v>0</v>
      </c>
      <c r="Y2413" s="259">
        <f t="shared" si="11"/>
        <v>1501</v>
      </c>
      <c r="AA2413" s="259" t="e">
        <v>#N/A</v>
      </c>
      <c r="AB2413" s="259"/>
      <c r="AC2413" s="259"/>
      <c r="AD2413" s="259"/>
      <c r="AE2413" s="259"/>
    </row>
    <row r="2414" spans="1:31">
      <c r="A2414" s="259" t="s">
        <v>2263</v>
      </c>
      <c r="B2414" s="259" t="s">
        <v>116</v>
      </c>
      <c r="C2414" s="264"/>
      <c r="D2414" s="264"/>
      <c r="H2414" s="264"/>
      <c r="I2414" s="264"/>
      <c r="J2414" s="295">
        <v>0</v>
      </c>
      <c r="K2414" s="295">
        <v>0</v>
      </c>
      <c r="L2414" s="295">
        <v>0</v>
      </c>
      <c r="O2414" s="266"/>
      <c r="R2414" s="265"/>
      <c r="V2414" s="265">
        <v>0</v>
      </c>
      <c r="Y2414" s="259">
        <f t="shared" si="11"/>
        <v>1502</v>
      </c>
      <c r="AA2414" s="259" t="e">
        <v>#N/A</v>
      </c>
      <c r="AB2414" s="259"/>
      <c r="AC2414" s="259"/>
      <c r="AD2414" s="259"/>
      <c r="AE2414" s="259"/>
    </row>
    <row r="2415" spans="1:31">
      <c r="A2415" s="259">
        <v>90721070</v>
      </c>
      <c r="B2415" s="259" t="s">
        <v>116</v>
      </c>
      <c r="C2415" s="264" t="s">
        <v>7747</v>
      </c>
      <c r="D2415" s="264" t="s">
        <v>2263</v>
      </c>
      <c r="E2415" s="259" t="s">
        <v>7749</v>
      </c>
      <c r="H2415" s="264" t="s">
        <v>2263</v>
      </c>
      <c r="I2415" s="264" t="s">
        <v>2263</v>
      </c>
      <c r="J2415" s="295">
        <v>3531.43</v>
      </c>
      <c r="K2415" s="295">
        <v>3531.43</v>
      </c>
      <c r="L2415" s="295" t="s">
        <v>7240</v>
      </c>
      <c r="O2415" s="266">
        <v>0</v>
      </c>
      <c r="P2415" s="266">
        <v>5706681220212</v>
      </c>
      <c r="Q2415" s="266">
        <v>0</v>
      </c>
      <c r="R2415" s="265">
        <v>0</v>
      </c>
      <c r="S2415" s="265">
        <v>0</v>
      </c>
      <c r="V2415" s="265" t="s">
        <v>7752</v>
      </c>
      <c r="W2415" s="259">
        <v>0</v>
      </c>
      <c r="X2415" s="264" t="s">
        <v>7753</v>
      </c>
      <c r="Y2415" s="259">
        <f t="shared" si="11"/>
        <v>1503</v>
      </c>
      <c r="AA2415" s="259" t="e">
        <v>#N/A</v>
      </c>
      <c r="AB2415" s="259"/>
      <c r="AC2415" s="259"/>
      <c r="AD2415" s="259"/>
      <c r="AE2415" s="259"/>
    </row>
    <row r="2416" spans="1:31">
      <c r="A2416" s="259" t="s">
        <v>2264</v>
      </c>
      <c r="B2416" s="259" t="s">
        <v>116</v>
      </c>
      <c r="C2416" s="264"/>
      <c r="D2416" s="264"/>
      <c r="H2416" s="264"/>
      <c r="I2416" s="264"/>
      <c r="J2416" s="295">
        <v>0</v>
      </c>
      <c r="K2416" s="295">
        <v>0</v>
      </c>
      <c r="L2416" s="295">
        <v>0</v>
      </c>
      <c r="O2416" s="266"/>
      <c r="R2416" s="265"/>
      <c r="V2416" s="265">
        <v>0</v>
      </c>
      <c r="Y2416" s="259">
        <f t="shared" si="11"/>
        <v>1504</v>
      </c>
      <c r="AA2416" s="259" t="e">
        <v>#N/A</v>
      </c>
      <c r="AB2416" s="259"/>
      <c r="AC2416" s="259"/>
      <c r="AD2416" s="259"/>
      <c r="AE2416" s="259"/>
    </row>
    <row r="2417" spans="1:31">
      <c r="A2417" s="259">
        <v>90721080</v>
      </c>
      <c r="B2417" s="259" t="s">
        <v>116</v>
      </c>
      <c r="C2417" s="264" t="s">
        <v>7747</v>
      </c>
      <c r="D2417" s="264" t="s">
        <v>2264</v>
      </c>
      <c r="E2417" s="259" t="s">
        <v>7749</v>
      </c>
      <c r="H2417" s="264" t="s">
        <v>2264</v>
      </c>
      <c r="I2417" s="264" t="s">
        <v>2264</v>
      </c>
      <c r="J2417" s="295">
        <v>3531.43</v>
      </c>
      <c r="K2417" s="295">
        <v>3531.43</v>
      </c>
      <c r="L2417" s="295" t="s">
        <v>7240</v>
      </c>
      <c r="O2417" s="266">
        <v>0</v>
      </c>
      <c r="Q2417" s="266">
        <v>0</v>
      </c>
      <c r="R2417" s="265">
        <v>0</v>
      </c>
      <c r="S2417" s="265">
        <v>0</v>
      </c>
      <c r="V2417" s="265" t="s">
        <v>7752</v>
      </c>
      <c r="W2417" s="259">
        <v>0</v>
      </c>
      <c r="X2417" s="264" t="s">
        <v>7754</v>
      </c>
      <c r="Y2417" s="259">
        <f t="shared" si="11"/>
        <v>1505</v>
      </c>
      <c r="AA2417" s="259" t="e">
        <v>#N/A</v>
      </c>
      <c r="AB2417" s="259"/>
      <c r="AC2417" s="259"/>
      <c r="AD2417" s="259"/>
      <c r="AE2417" s="259"/>
    </row>
    <row r="2418" spans="1:31">
      <c r="A2418" s="259" t="s">
        <v>2265</v>
      </c>
      <c r="B2418" s="259" t="s">
        <v>116</v>
      </c>
      <c r="C2418" s="264"/>
      <c r="D2418" s="264"/>
      <c r="H2418" s="264"/>
      <c r="I2418" s="264"/>
      <c r="J2418" s="295">
        <v>0</v>
      </c>
      <c r="K2418" s="295">
        <v>0</v>
      </c>
      <c r="L2418" s="295">
        <v>0</v>
      </c>
      <c r="O2418" s="266">
        <v>0</v>
      </c>
      <c r="P2418" s="266">
        <v>0</v>
      </c>
      <c r="Q2418" s="266">
        <v>0</v>
      </c>
      <c r="R2418" s="265">
        <v>0</v>
      </c>
      <c r="S2418" s="265">
        <v>0</v>
      </c>
      <c r="V2418" s="265">
        <v>0</v>
      </c>
      <c r="W2418" s="259">
        <v>0</v>
      </c>
      <c r="Y2418" s="259">
        <f t="shared" si="11"/>
        <v>1506</v>
      </c>
      <c r="AA2418" s="259" t="e">
        <v>#N/A</v>
      </c>
      <c r="AB2418" s="259"/>
      <c r="AC2418" s="259"/>
      <c r="AD2418" s="259"/>
      <c r="AE2418" s="259"/>
    </row>
    <row r="2419" spans="1:31">
      <c r="A2419" s="259">
        <v>90721094</v>
      </c>
      <c r="B2419" s="259" t="s">
        <v>116</v>
      </c>
      <c r="C2419" s="264" t="s">
        <v>7747</v>
      </c>
      <c r="D2419" s="264" t="s">
        <v>2265</v>
      </c>
      <c r="E2419" s="259" t="s">
        <v>7749</v>
      </c>
      <c r="H2419" s="264" t="s">
        <v>2265</v>
      </c>
      <c r="I2419" s="264" t="s">
        <v>2265</v>
      </c>
      <c r="J2419" s="295">
        <v>682.82</v>
      </c>
      <c r="K2419" s="295">
        <v>682.82</v>
      </c>
      <c r="L2419" s="295" t="s">
        <v>7240</v>
      </c>
      <c r="O2419" s="266">
        <v>1</v>
      </c>
      <c r="P2419" s="266">
        <v>688705006017</v>
      </c>
      <c r="Q2419" s="266">
        <v>0</v>
      </c>
      <c r="R2419" s="265">
        <v>0</v>
      </c>
      <c r="S2419" s="265">
        <v>0</v>
      </c>
      <c r="V2419" s="265" t="s">
        <v>3028</v>
      </c>
      <c r="W2419" s="259">
        <v>0</v>
      </c>
      <c r="Y2419" s="259">
        <f t="shared" ref="Y2419:Y2482" si="12">Y2418+1</f>
        <v>1507</v>
      </c>
      <c r="AA2419" s="259" t="e">
        <v>#N/A</v>
      </c>
      <c r="AB2419" s="259"/>
      <c r="AC2419" s="259"/>
      <c r="AD2419" s="259"/>
      <c r="AE2419" s="259"/>
    </row>
    <row r="2420" spans="1:31">
      <c r="A2420" s="259" t="s">
        <v>2266</v>
      </c>
      <c r="B2420" s="259" t="s">
        <v>116</v>
      </c>
      <c r="C2420" s="264"/>
      <c r="D2420" s="264"/>
      <c r="H2420" s="264"/>
      <c r="I2420" s="264"/>
      <c r="J2420" s="295">
        <v>0</v>
      </c>
      <c r="K2420" s="295">
        <v>0</v>
      </c>
      <c r="L2420" s="295">
        <v>0</v>
      </c>
      <c r="O2420" s="266"/>
      <c r="R2420" s="265"/>
      <c r="V2420" s="265">
        <v>0</v>
      </c>
      <c r="Y2420" s="259">
        <f t="shared" si="12"/>
        <v>1508</v>
      </c>
      <c r="AA2420" s="259" t="e">
        <v>#N/A</v>
      </c>
      <c r="AB2420" s="259"/>
      <c r="AC2420" s="259"/>
      <c r="AD2420" s="259"/>
      <c r="AE2420" s="259"/>
    </row>
    <row r="2421" spans="1:31">
      <c r="A2421" s="259" t="s">
        <v>2267</v>
      </c>
      <c r="B2421" s="259" t="s">
        <v>116</v>
      </c>
      <c r="C2421" s="264" t="s">
        <v>7747</v>
      </c>
      <c r="D2421" s="264" t="s">
        <v>7755</v>
      </c>
      <c r="E2421" s="259" t="s">
        <v>7749</v>
      </c>
      <c r="H2421" s="264" t="s">
        <v>7755</v>
      </c>
      <c r="I2421" s="264" t="s">
        <v>7755</v>
      </c>
      <c r="J2421" s="295">
        <v>549.47</v>
      </c>
      <c r="K2421" s="295">
        <v>549.47</v>
      </c>
      <c r="L2421" s="295" t="s">
        <v>7240</v>
      </c>
      <c r="O2421" s="266">
        <v>0</v>
      </c>
      <c r="P2421" s="266">
        <v>5706681233755</v>
      </c>
      <c r="Q2421" s="266">
        <v>0</v>
      </c>
      <c r="R2421" s="265">
        <v>15.354339</v>
      </c>
      <c r="S2421" s="265">
        <v>15.354339</v>
      </c>
      <c r="V2421" s="265" t="s">
        <v>3218</v>
      </c>
      <c r="W2421" s="259">
        <v>0</v>
      </c>
      <c r="Y2421" s="259">
        <f t="shared" si="12"/>
        <v>1509</v>
      </c>
      <c r="Z2421" s="259" t="s">
        <v>3030</v>
      </c>
      <c r="AA2421" s="259" t="e">
        <v>#N/A</v>
      </c>
      <c r="AB2421" s="259"/>
      <c r="AC2421" s="259"/>
      <c r="AD2421" s="259"/>
      <c r="AE2421" s="259"/>
    </row>
    <row r="2422" spans="1:31">
      <c r="A2422" s="259" t="s">
        <v>2268</v>
      </c>
      <c r="B2422" s="259" t="s">
        <v>116</v>
      </c>
      <c r="C2422" s="264"/>
      <c r="D2422" s="264"/>
      <c r="H2422" s="264"/>
      <c r="I2422" s="264"/>
      <c r="J2422" s="295">
        <v>0</v>
      </c>
      <c r="K2422" s="295">
        <v>0</v>
      </c>
      <c r="L2422" s="295">
        <v>0</v>
      </c>
      <c r="O2422" s="266"/>
      <c r="R2422" s="265"/>
      <c r="V2422" s="265">
        <v>0</v>
      </c>
      <c r="Y2422" s="259">
        <f t="shared" si="12"/>
        <v>1510</v>
      </c>
      <c r="AA2422" s="259" t="e">
        <v>#N/A</v>
      </c>
      <c r="AB2422" s="259"/>
      <c r="AC2422" s="259"/>
      <c r="AD2422" s="259"/>
      <c r="AE2422" s="259"/>
    </row>
    <row r="2423" spans="1:31">
      <c r="A2423" s="259" t="s">
        <v>2269</v>
      </c>
      <c r="B2423" s="259" t="s">
        <v>116</v>
      </c>
      <c r="C2423" s="264"/>
      <c r="D2423" s="264"/>
      <c r="H2423" s="264"/>
      <c r="I2423" s="264"/>
      <c r="J2423" s="295">
        <v>0</v>
      </c>
      <c r="K2423" s="295">
        <v>0</v>
      </c>
      <c r="L2423" s="295">
        <v>0</v>
      </c>
      <c r="O2423" s="266"/>
      <c r="R2423" s="265"/>
      <c r="V2423" s="265">
        <v>0</v>
      </c>
      <c r="Y2423" s="259">
        <f t="shared" si="12"/>
        <v>1511</v>
      </c>
      <c r="AA2423" s="259" t="e">
        <v>#N/A</v>
      </c>
      <c r="AB2423" s="259"/>
      <c r="AC2423" s="259"/>
      <c r="AD2423" s="259"/>
      <c r="AE2423" s="259"/>
    </row>
    <row r="2424" spans="1:31">
      <c r="A2424" s="259" t="s">
        <v>2270</v>
      </c>
      <c r="B2424" s="259" t="s">
        <v>116</v>
      </c>
      <c r="C2424" s="264"/>
      <c r="D2424" s="264"/>
      <c r="H2424" s="264"/>
      <c r="I2424" s="264"/>
      <c r="J2424" s="295">
        <v>0</v>
      </c>
      <c r="K2424" s="295">
        <v>0</v>
      </c>
      <c r="L2424" s="295">
        <v>0</v>
      </c>
      <c r="O2424" s="266"/>
      <c r="R2424" s="265"/>
      <c r="V2424" s="265">
        <v>0</v>
      </c>
      <c r="Y2424" s="259">
        <f t="shared" si="12"/>
        <v>1512</v>
      </c>
      <c r="AA2424" s="259" t="e">
        <v>#N/A</v>
      </c>
      <c r="AB2424" s="259"/>
      <c r="AC2424" s="259"/>
      <c r="AD2424" s="259"/>
      <c r="AE2424" s="259"/>
    </row>
    <row r="2425" spans="1:31">
      <c r="A2425" s="259">
        <v>90280040</v>
      </c>
      <c r="B2425" s="259" t="s">
        <v>116</v>
      </c>
      <c r="C2425" s="264"/>
      <c r="D2425" s="264" t="s">
        <v>2706</v>
      </c>
      <c r="E2425" s="259" t="s">
        <v>7756</v>
      </c>
      <c r="H2425" s="264" t="s">
        <v>2706</v>
      </c>
      <c r="I2425" s="264" t="s">
        <v>2706</v>
      </c>
      <c r="J2425" s="295">
        <v>1976</v>
      </c>
      <c r="K2425" s="295">
        <v>1976</v>
      </c>
      <c r="L2425" s="295" t="s">
        <v>7240</v>
      </c>
      <c r="O2425" s="266"/>
      <c r="R2425" s="265"/>
      <c r="V2425" s="265">
        <v>0</v>
      </c>
      <c r="Y2425" s="259">
        <f t="shared" si="12"/>
        <v>1513</v>
      </c>
      <c r="AA2425" s="259" t="e">
        <v>#N/A</v>
      </c>
      <c r="AB2425" s="259"/>
      <c r="AC2425" s="259"/>
      <c r="AD2425" s="259"/>
      <c r="AE2425" s="259"/>
    </row>
    <row r="2426" spans="1:31">
      <c r="A2426" s="259" t="s">
        <v>2271</v>
      </c>
      <c r="B2426" s="259" t="s">
        <v>116</v>
      </c>
      <c r="C2426" s="264"/>
      <c r="D2426" s="264"/>
      <c r="H2426" s="264"/>
      <c r="I2426" s="264"/>
      <c r="J2426" s="295">
        <v>0</v>
      </c>
      <c r="K2426" s="295">
        <v>0</v>
      </c>
      <c r="L2426" s="295">
        <v>0</v>
      </c>
      <c r="O2426" s="266">
        <v>0</v>
      </c>
      <c r="P2426" s="266">
        <v>0</v>
      </c>
      <c r="Q2426" s="266">
        <v>0</v>
      </c>
      <c r="R2426" s="265">
        <v>0</v>
      </c>
      <c r="S2426" s="265">
        <v>0</v>
      </c>
      <c r="V2426" s="265">
        <v>0</v>
      </c>
      <c r="W2426" s="259">
        <v>0</v>
      </c>
      <c r="Y2426" s="259">
        <f t="shared" si="12"/>
        <v>1514</v>
      </c>
      <c r="AA2426" s="259" t="e">
        <v>#N/A</v>
      </c>
      <c r="AB2426" s="259"/>
      <c r="AC2426" s="259"/>
      <c r="AD2426" s="259"/>
      <c r="AE2426" s="259"/>
    </row>
    <row r="2427" spans="1:31">
      <c r="A2427" s="259">
        <v>91515039</v>
      </c>
      <c r="B2427" s="259" t="s">
        <v>116</v>
      </c>
      <c r="C2427" s="264" t="s">
        <v>7679</v>
      </c>
      <c r="D2427" s="264" t="s">
        <v>7757</v>
      </c>
      <c r="E2427" s="259" t="s">
        <v>7756</v>
      </c>
      <c r="G2427" s="259" t="s">
        <v>7357</v>
      </c>
      <c r="H2427" s="264" t="s">
        <v>7757</v>
      </c>
      <c r="I2427" s="264" t="s">
        <v>7757</v>
      </c>
      <c r="J2427" s="295">
        <v>2499.16</v>
      </c>
      <c r="K2427" s="295">
        <v>2499.16</v>
      </c>
      <c r="L2427" s="295" t="s">
        <v>7240</v>
      </c>
      <c r="O2427" s="266">
        <v>0</v>
      </c>
      <c r="Q2427" s="266">
        <v>0</v>
      </c>
      <c r="R2427" s="265">
        <v>38.6</v>
      </c>
      <c r="S2427" s="265">
        <v>23.9</v>
      </c>
      <c r="V2427" s="265" t="s">
        <v>3574</v>
      </c>
      <c r="W2427" s="259">
        <v>0</v>
      </c>
      <c r="X2427" s="264" t="s">
        <v>7758</v>
      </c>
      <c r="Y2427" s="259">
        <f t="shared" si="12"/>
        <v>1515</v>
      </c>
      <c r="AA2427" s="259" t="e">
        <v>#N/A</v>
      </c>
      <c r="AB2427" s="259"/>
      <c r="AC2427" s="259"/>
      <c r="AD2427" s="259"/>
      <c r="AE2427" s="259"/>
    </row>
    <row r="2428" spans="1:31">
      <c r="A2428" s="259" t="s">
        <v>2272</v>
      </c>
      <c r="B2428" s="259" t="s">
        <v>116</v>
      </c>
      <c r="C2428" s="264"/>
      <c r="D2428" s="264"/>
      <c r="H2428" s="264"/>
      <c r="I2428" s="264"/>
      <c r="J2428" s="295">
        <v>0</v>
      </c>
      <c r="K2428" s="295">
        <v>0</v>
      </c>
      <c r="L2428" s="295">
        <v>0</v>
      </c>
      <c r="O2428" s="266"/>
      <c r="R2428" s="265"/>
      <c r="V2428" s="265">
        <v>0</v>
      </c>
      <c r="Y2428" s="259">
        <f t="shared" si="12"/>
        <v>1516</v>
      </c>
      <c r="AA2428" s="259" t="e">
        <v>#N/A</v>
      </c>
      <c r="AB2428" s="259"/>
      <c r="AC2428" s="259"/>
      <c r="AD2428" s="259"/>
      <c r="AE2428" s="259"/>
    </row>
    <row r="2429" spans="1:31">
      <c r="A2429" s="259">
        <v>90280120</v>
      </c>
      <c r="B2429" s="259" t="s">
        <v>116</v>
      </c>
      <c r="C2429" s="264" t="s">
        <v>7662</v>
      </c>
      <c r="D2429" s="264" t="s">
        <v>7759</v>
      </c>
      <c r="E2429" s="259" t="s">
        <v>7756</v>
      </c>
      <c r="G2429" s="259" t="s">
        <v>7357</v>
      </c>
      <c r="H2429" s="264" t="s">
        <v>7759</v>
      </c>
      <c r="I2429" s="264" t="s">
        <v>7759</v>
      </c>
      <c r="J2429" s="295">
        <v>1666.93</v>
      </c>
      <c r="K2429" s="295">
        <v>1666.93</v>
      </c>
      <c r="L2429" s="295" t="s">
        <v>7240</v>
      </c>
      <c r="O2429" s="266">
        <v>0</v>
      </c>
      <c r="Q2429" s="266">
        <v>0</v>
      </c>
      <c r="R2429" s="265">
        <v>0</v>
      </c>
      <c r="S2429" s="265">
        <v>0</v>
      </c>
      <c r="V2429" s="265" t="s">
        <v>3028</v>
      </c>
      <c r="W2429" s="259" t="s">
        <v>3029</v>
      </c>
      <c r="Y2429" s="259">
        <f t="shared" si="12"/>
        <v>1517</v>
      </c>
      <c r="AA2429" s="259" t="e">
        <v>#N/A</v>
      </c>
      <c r="AB2429" s="259"/>
      <c r="AC2429" s="259"/>
      <c r="AD2429" s="259"/>
      <c r="AE2429" s="259"/>
    </row>
    <row r="2430" spans="1:31">
      <c r="A2430" s="259" t="s">
        <v>2273</v>
      </c>
      <c r="B2430" s="259" t="s">
        <v>116</v>
      </c>
      <c r="C2430" s="264"/>
      <c r="D2430" s="264"/>
      <c r="H2430" s="264"/>
      <c r="I2430" s="264"/>
      <c r="J2430" s="295">
        <v>0</v>
      </c>
      <c r="K2430" s="295">
        <v>0</v>
      </c>
      <c r="L2430" s="295">
        <v>0</v>
      </c>
      <c r="O2430" s="266">
        <v>0</v>
      </c>
      <c r="P2430" s="266">
        <v>0</v>
      </c>
      <c r="Q2430" s="266">
        <v>0</v>
      </c>
      <c r="R2430" s="265">
        <v>0</v>
      </c>
      <c r="S2430" s="265">
        <v>0</v>
      </c>
      <c r="V2430" s="265">
        <v>0</v>
      </c>
      <c r="W2430" s="259">
        <v>0</v>
      </c>
      <c r="Y2430" s="259">
        <f t="shared" si="12"/>
        <v>1518</v>
      </c>
      <c r="AA2430" s="259" t="e">
        <v>#N/A</v>
      </c>
      <c r="AB2430" s="259"/>
      <c r="AC2430" s="259"/>
      <c r="AD2430" s="259"/>
      <c r="AE2430" s="259"/>
    </row>
    <row r="2431" spans="1:31">
      <c r="A2431" s="259" t="s">
        <v>2274</v>
      </c>
      <c r="B2431" s="259" t="s">
        <v>116</v>
      </c>
      <c r="C2431" s="264"/>
      <c r="D2431" s="264"/>
      <c r="H2431" s="264"/>
      <c r="I2431" s="264"/>
      <c r="J2431" s="295">
        <v>0</v>
      </c>
      <c r="K2431" s="295">
        <v>0</v>
      </c>
      <c r="L2431" s="295">
        <v>0</v>
      </c>
      <c r="O2431" s="266"/>
      <c r="R2431" s="265"/>
      <c r="V2431" s="265">
        <v>0</v>
      </c>
      <c r="Y2431" s="259">
        <f t="shared" si="12"/>
        <v>1519</v>
      </c>
      <c r="AA2431" s="259" t="e">
        <v>#N/A</v>
      </c>
      <c r="AB2431" s="259"/>
      <c r="AC2431" s="259"/>
      <c r="AD2431" s="259"/>
      <c r="AE2431" s="259"/>
    </row>
    <row r="2432" spans="1:31">
      <c r="A2432" s="259" t="s">
        <v>2275</v>
      </c>
      <c r="B2432" s="259" t="s">
        <v>116</v>
      </c>
      <c r="C2432" s="264"/>
      <c r="D2432" s="264"/>
      <c r="H2432" s="264"/>
      <c r="I2432" s="264"/>
      <c r="J2432" s="295">
        <v>0</v>
      </c>
      <c r="K2432" s="295">
        <v>0</v>
      </c>
      <c r="L2432" s="295">
        <v>0</v>
      </c>
      <c r="O2432" s="266"/>
      <c r="R2432" s="265"/>
      <c r="V2432" s="265">
        <v>0</v>
      </c>
      <c r="Y2432" s="259">
        <f t="shared" si="12"/>
        <v>1520</v>
      </c>
      <c r="AA2432" s="259" t="e">
        <v>#N/A</v>
      </c>
      <c r="AB2432" s="259"/>
      <c r="AC2432" s="259"/>
      <c r="AD2432" s="259"/>
      <c r="AE2432" s="259"/>
    </row>
    <row r="2433" spans="1:31">
      <c r="A2433" s="259" t="s">
        <v>2276</v>
      </c>
      <c r="B2433" s="259" t="s">
        <v>116</v>
      </c>
      <c r="C2433" s="264"/>
      <c r="D2433" s="264"/>
      <c r="H2433" s="264"/>
      <c r="I2433" s="264"/>
      <c r="J2433" s="295">
        <v>0</v>
      </c>
      <c r="K2433" s="295">
        <v>0</v>
      </c>
      <c r="L2433" s="295">
        <v>0</v>
      </c>
      <c r="O2433" s="266"/>
      <c r="R2433" s="265"/>
      <c r="V2433" s="265">
        <v>0</v>
      </c>
      <c r="Y2433" s="259">
        <f t="shared" si="12"/>
        <v>1521</v>
      </c>
      <c r="AA2433" s="259" t="e">
        <v>#N/A</v>
      </c>
      <c r="AB2433" s="259"/>
      <c r="AC2433" s="259"/>
      <c r="AD2433" s="259"/>
      <c r="AE2433" s="259"/>
    </row>
    <row r="2434" spans="1:31">
      <c r="A2434" s="259" t="s">
        <v>2277</v>
      </c>
      <c r="B2434" s="259" t="s">
        <v>116</v>
      </c>
      <c r="C2434" s="264"/>
      <c r="D2434" s="264"/>
      <c r="H2434" s="264"/>
      <c r="I2434" s="264"/>
      <c r="J2434" s="295">
        <v>0</v>
      </c>
      <c r="K2434" s="295">
        <v>0</v>
      </c>
      <c r="L2434" s="295">
        <v>0</v>
      </c>
      <c r="O2434" s="266"/>
      <c r="R2434" s="265"/>
      <c r="V2434" s="265">
        <v>0</v>
      </c>
      <c r="Y2434" s="259">
        <f t="shared" si="12"/>
        <v>1522</v>
      </c>
      <c r="AA2434" s="259" t="e">
        <v>#N/A</v>
      </c>
      <c r="AB2434" s="259"/>
      <c r="AC2434" s="259"/>
      <c r="AD2434" s="259"/>
      <c r="AE2434" s="259"/>
    </row>
    <row r="2435" spans="1:31">
      <c r="A2435" s="259" t="s">
        <v>2278</v>
      </c>
      <c r="B2435" s="259" t="s">
        <v>116</v>
      </c>
      <c r="C2435" s="264"/>
      <c r="D2435" s="264"/>
      <c r="H2435" s="264"/>
      <c r="I2435" s="264"/>
      <c r="J2435" s="295">
        <v>0</v>
      </c>
      <c r="K2435" s="295">
        <v>0</v>
      </c>
      <c r="L2435" s="295">
        <v>0</v>
      </c>
      <c r="O2435" s="266"/>
      <c r="R2435" s="265"/>
      <c r="V2435" s="265">
        <v>0</v>
      </c>
      <c r="Y2435" s="259">
        <f t="shared" si="12"/>
        <v>1523</v>
      </c>
      <c r="AA2435" s="259" t="e">
        <v>#N/A</v>
      </c>
      <c r="AB2435" s="259"/>
      <c r="AC2435" s="259"/>
      <c r="AD2435" s="259"/>
      <c r="AE2435" s="259"/>
    </row>
    <row r="2436" spans="1:31">
      <c r="A2436" s="259" t="s">
        <v>2279</v>
      </c>
      <c r="B2436" s="259" t="s">
        <v>116</v>
      </c>
      <c r="C2436" s="264"/>
      <c r="D2436" s="264"/>
      <c r="H2436" s="264"/>
      <c r="I2436" s="264"/>
      <c r="J2436" s="295">
        <v>0</v>
      </c>
      <c r="K2436" s="295">
        <v>0</v>
      </c>
      <c r="L2436" s="295">
        <v>0</v>
      </c>
      <c r="O2436" s="266"/>
      <c r="R2436" s="265"/>
      <c r="V2436" s="265">
        <v>0</v>
      </c>
      <c r="Y2436" s="259">
        <f t="shared" si="12"/>
        <v>1524</v>
      </c>
      <c r="AA2436" s="259" t="e">
        <v>#N/A</v>
      </c>
      <c r="AB2436" s="259"/>
      <c r="AC2436" s="259"/>
      <c r="AD2436" s="259"/>
      <c r="AE2436" s="259"/>
    </row>
    <row r="2437" spans="1:31">
      <c r="A2437" s="259" t="s">
        <v>2280</v>
      </c>
      <c r="B2437" s="259" t="s">
        <v>116</v>
      </c>
      <c r="C2437" s="264"/>
      <c r="D2437" s="264"/>
      <c r="H2437" s="264"/>
      <c r="I2437" s="264"/>
      <c r="J2437" s="295">
        <v>0</v>
      </c>
      <c r="K2437" s="295">
        <v>0</v>
      </c>
      <c r="L2437" s="295">
        <v>0</v>
      </c>
      <c r="O2437" s="266"/>
      <c r="R2437" s="265"/>
      <c r="V2437" s="265">
        <v>0</v>
      </c>
      <c r="Y2437" s="259">
        <f t="shared" si="12"/>
        <v>1525</v>
      </c>
      <c r="AA2437" s="259" t="e">
        <v>#N/A</v>
      </c>
      <c r="AB2437" s="259"/>
      <c r="AC2437" s="259"/>
      <c r="AD2437" s="259"/>
      <c r="AE2437" s="259"/>
    </row>
    <row r="2438" spans="1:31">
      <c r="A2438" s="259" t="s">
        <v>2281</v>
      </c>
      <c r="B2438" s="259" t="s">
        <v>116</v>
      </c>
      <c r="C2438" s="264"/>
      <c r="D2438" s="264"/>
      <c r="H2438" s="264"/>
      <c r="I2438" s="264"/>
      <c r="J2438" s="295">
        <v>0</v>
      </c>
      <c r="K2438" s="295">
        <v>0</v>
      </c>
      <c r="L2438" s="295">
        <v>0</v>
      </c>
      <c r="O2438" s="266"/>
      <c r="R2438" s="265"/>
      <c r="V2438" s="265">
        <v>0</v>
      </c>
      <c r="Y2438" s="259">
        <f t="shared" si="12"/>
        <v>1526</v>
      </c>
      <c r="AA2438" s="259" t="e">
        <v>#N/A</v>
      </c>
      <c r="AB2438" s="259"/>
      <c r="AC2438" s="259"/>
      <c r="AD2438" s="259"/>
      <c r="AE2438" s="259"/>
    </row>
    <row r="2439" spans="1:31">
      <c r="A2439" s="259" t="s">
        <v>2282</v>
      </c>
      <c r="B2439" s="259" t="s">
        <v>116</v>
      </c>
      <c r="C2439" s="264"/>
      <c r="D2439" s="264"/>
      <c r="H2439" s="264"/>
      <c r="I2439" s="264"/>
      <c r="J2439" s="295">
        <v>0</v>
      </c>
      <c r="K2439" s="295">
        <v>0</v>
      </c>
      <c r="L2439" s="295">
        <v>0</v>
      </c>
      <c r="O2439" s="266"/>
      <c r="R2439" s="265"/>
      <c r="V2439" s="265">
        <v>0</v>
      </c>
      <c r="Y2439" s="259">
        <f t="shared" si="12"/>
        <v>1527</v>
      </c>
      <c r="AA2439" s="259" t="e">
        <v>#N/A</v>
      </c>
      <c r="AB2439" s="259"/>
      <c r="AC2439" s="259"/>
      <c r="AD2439" s="259"/>
      <c r="AE2439" s="259"/>
    </row>
    <row r="2440" spans="1:31">
      <c r="A2440" s="259" t="s">
        <v>2283</v>
      </c>
      <c r="B2440" s="259" t="s">
        <v>116</v>
      </c>
      <c r="C2440" s="264"/>
      <c r="D2440" s="264"/>
      <c r="H2440" s="264"/>
      <c r="I2440" s="264"/>
      <c r="J2440" s="295">
        <v>0</v>
      </c>
      <c r="K2440" s="295">
        <v>0</v>
      </c>
      <c r="L2440" s="295">
        <v>0</v>
      </c>
      <c r="O2440" s="266"/>
      <c r="R2440" s="265"/>
      <c r="V2440" s="265">
        <v>0</v>
      </c>
      <c r="Y2440" s="259">
        <f t="shared" si="12"/>
        <v>1528</v>
      </c>
      <c r="AA2440" s="259" t="e">
        <v>#N/A</v>
      </c>
      <c r="AB2440" s="259"/>
      <c r="AC2440" s="259"/>
      <c r="AD2440" s="259"/>
      <c r="AE2440" s="259"/>
    </row>
    <row r="2441" spans="1:31">
      <c r="A2441" s="259" t="s">
        <v>2284</v>
      </c>
      <c r="B2441" s="259" t="s">
        <v>116</v>
      </c>
      <c r="C2441" s="264"/>
      <c r="D2441" s="264"/>
      <c r="H2441" s="264"/>
      <c r="I2441" s="264"/>
      <c r="J2441" s="295">
        <v>0</v>
      </c>
      <c r="K2441" s="295">
        <v>0</v>
      </c>
      <c r="L2441" s="295">
        <v>0</v>
      </c>
      <c r="O2441" s="266"/>
      <c r="R2441" s="265"/>
      <c r="V2441" s="265">
        <v>0</v>
      </c>
      <c r="Y2441" s="259">
        <f t="shared" si="12"/>
        <v>1529</v>
      </c>
      <c r="AA2441" s="259" t="e">
        <v>#N/A</v>
      </c>
      <c r="AB2441" s="259"/>
      <c r="AC2441" s="259"/>
      <c r="AD2441" s="259"/>
      <c r="AE2441" s="259"/>
    </row>
    <row r="2442" spans="1:31">
      <c r="A2442" s="259">
        <v>91611846</v>
      </c>
      <c r="B2442" s="259" t="s">
        <v>116</v>
      </c>
      <c r="C2442" s="264" t="s">
        <v>7242</v>
      </c>
      <c r="D2442" s="264" t="s">
        <v>7761</v>
      </c>
      <c r="E2442" s="259" t="s">
        <v>7760</v>
      </c>
      <c r="G2442" s="259" t="s">
        <v>7263</v>
      </c>
      <c r="H2442" s="264" t="s">
        <v>7761</v>
      </c>
      <c r="I2442" s="264" t="s">
        <v>7761</v>
      </c>
      <c r="J2442" s="295">
        <v>56.8</v>
      </c>
      <c r="K2442" s="295">
        <v>56.8</v>
      </c>
      <c r="L2442" s="295" t="s">
        <v>7240</v>
      </c>
      <c r="O2442" s="266">
        <v>1.1000000000000001</v>
      </c>
      <c r="Q2442" s="266">
        <v>0</v>
      </c>
      <c r="R2442" s="265">
        <v>13.39</v>
      </c>
      <c r="S2442" s="265">
        <v>10.63</v>
      </c>
      <c r="V2442" s="265" t="s">
        <v>3028</v>
      </c>
      <c r="W2442" s="259" t="s">
        <v>3029</v>
      </c>
      <c r="Y2442" s="259">
        <f t="shared" si="12"/>
        <v>1530</v>
      </c>
      <c r="AA2442" s="259" t="e">
        <v>#N/A</v>
      </c>
      <c r="AB2442" s="259"/>
      <c r="AC2442" s="259"/>
      <c r="AD2442" s="259"/>
      <c r="AE2442" s="259"/>
    </row>
    <row r="2443" spans="1:31">
      <c r="A2443" s="259">
        <v>91611847</v>
      </c>
      <c r="B2443" s="259" t="s">
        <v>116</v>
      </c>
      <c r="C2443" s="264" t="s">
        <v>7242</v>
      </c>
      <c r="D2443" s="264" t="s">
        <v>7762</v>
      </c>
      <c r="E2443" s="259" t="s">
        <v>7760</v>
      </c>
      <c r="G2443" s="259" t="s">
        <v>7263</v>
      </c>
      <c r="H2443" s="264" t="s">
        <v>7762</v>
      </c>
      <c r="I2443" s="264" t="s">
        <v>7762</v>
      </c>
      <c r="J2443" s="295">
        <v>93.84</v>
      </c>
      <c r="K2443" s="295">
        <v>93.84</v>
      </c>
      <c r="L2443" s="295" t="s">
        <v>7240</v>
      </c>
      <c r="O2443" s="266">
        <v>3.3</v>
      </c>
      <c r="Q2443" s="266">
        <v>0</v>
      </c>
      <c r="R2443" s="265">
        <v>13.39</v>
      </c>
      <c r="S2443" s="265">
        <v>10.63</v>
      </c>
      <c r="V2443" s="265" t="s">
        <v>3028</v>
      </c>
      <c r="W2443" s="259" t="s">
        <v>3029</v>
      </c>
      <c r="Y2443" s="259">
        <f t="shared" si="12"/>
        <v>1531</v>
      </c>
      <c r="AA2443" s="259" t="e">
        <v>#N/A</v>
      </c>
      <c r="AB2443" s="259"/>
      <c r="AC2443" s="259"/>
      <c r="AD2443" s="259"/>
      <c r="AE2443" s="259"/>
    </row>
    <row r="2444" spans="1:31">
      <c r="A2444" s="259">
        <v>91611848</v>
      </c>
      <c r="B2444" s="259" t="s">
        <v>116</v>
      </c>
      <c r="C2444" s="264" t="s">
        <v>7242</v>
      </c>
      <c r="D2444" s="264" t="s">
        <v>7763</v>
      </c>
      <c r="E2444" s="259" t="s">
        <v>7760</v>
      </c>
      <c r="G2444" s="259" t="s">
        <v>7263</v>
      </c>
      <c r="H2444" s="264" t="s">
        <v>7763</v>
      </c>
      <c r="I2444" s="264" t="s">
        <v>7763</v>
      </c>
      <c r="J2444" s="295">
        <v>150.63999999999999</v>
      </c>
      <c r="K2444" s="295">
        <v>150.63999999999999</v>
      </c>
      <c r="L2444" s="295" t="s">
        <v>7240</v>
      </c>
      <c r="O2444" s="266">
        <v>6.62</v>
      </c>
      <c r="Q2444" s="266">
        <v>0</v>
      </c>
      <c r="R2444" s="265">
        <v>13.39</v>
      </c>
      <c r="S2444" s="265">
        <v>10.63</v>
      </c>
      <c r="V2444" s="265" t="s">
        <v>3028</v>
      </c>
      <c r="W2444" s="259" t="s">
        <v>3029</v>
      </c>
      <c r="Y2444" s="259">
        <f t="shared" si="12"/>
        <v>1532</v>
      </c>
      <c r="AA2444" s="259" t="e">
        <v>#N/A</v>
      </c>
      <c r="AB2444" s="259"/>
      <c r="AC2444" s="259"/>
      <c r="AD2444" s="259"/>
      <c r="AE2444" s="259"/>
    </row>
    <row r="2445" spans="1:31">
      <c r="A2445" s="259" t="s">
        <v>2285</v>
      </c>
      <c r="B2445" s="259" t="s">
        <v>116</v>
      </c>
      <c r="C2445" s="264"/>
      <c r="D2445" s="264"/>
      <c r="H2445" s="264"/>
      <c r="I2445" s="264"/>
      <c r="J2445" s="295">
        <v>0</v>
      </c>
      <c r="K2445" s="295">
        <v>0</v>
      </c>
      <c r="L2445" s="295">
        <v>0</v>
      </c>
      <c r="O2445" s="266"/>
      <c r="R2445" s="265"/>
      <c r="V2445" s="265">
        <v>0</v>
      </c>
      <c r="Y2445" s="259">
        <f t="shared" si="12"/>
        <v>1533</v>
      </c>
      <c r="AA2445" s="259" t="e">
        <v>#N/A</v>
      </c>
      <c r="AB2445" s="259"/>
      <c r="AC2445" s="259"/>
      <c r="AD2445" s="259"/>
      <c r="AE2445" s="259"/>
    </row>
    <row r="2446" spans="1:31">
      <c r="A2446" s="259" t="s">
        <v>2286</v>
      </c>
      <c r="B2446" s="259" t="s">
        <v>116</v>
      </c>
      <c r="C2446" s="264"/>
      <c r="D2446" s="264"/>
      <c r="H2446" s="264"/>
      <c r="I2446" s="264"/>
      <c r="J2446" s="295">
        <v>0</v>
      </c>
      <c r="K2446" s="295">
        <v>0</v>
      </c>
      <c r="L2446" s="295">
        <v>0</v>
      </c>
      <c r="O2446" s="266"/>
      <c r="R2446" s="265"/>
      <c r="V2446" s="265">
        <v>0</v>
      </c>
      <c r="Y2446" s="259">
        <f t="shared" si="12"/>
        <v>1534</v>
      </c>
      <c r="AA2446" s="259" t="e">
        <v>#N/A</v>
      </c>
      <c r="AB2446" s="259"/>
      <c r="AC2446" s="259"/>
      <c r="AD2446" s="259"/>
      <c r="AE2446" s="259"/>
    </row>
    <row r="2447" spans="1:31">
      <c r="A2447" s="259">
        <v>90280117</v>
      </c>
      <c r="B2447" s="259" t="s">
        <v>116</v>
      </c>
      <c r="C2447" s="264"/>
      <c r="D2447" s="264" t="s">
        <v>2707</v>
      </c>
      <c r="E2447" s="259" t="s">
        <v>7764</v>
      </c>
      <c r="H2447" s="264" t="s">
        <v>2707</v>
      </c>
      <c r="I2447" s="264" t="s">
        <v>2707</v>
      </c>
      <c r="J2447" s="295">
        <v>180</v>
      </c>
      <c r="K2447" s="295">
        <v>180</v>
      </c>
      <c r="L2447" s="295" t="s">
        <v>7240</v>
      </c>
      <c r="O2447" s="266"/>
      <c r="P2447" s="266">
        <v>688705002958</v>
      </c>
      <c r="R2447" s="265"/>
      <c r="V2447" s="265">
        <v>0</v>
      </c>
      <c r="Y2447" s="259">
        <f t="shared" si="12"/>
        <v>1535</v>
      </c>
      <c r="AA2447" s="259" t="e">
        <v>#N/A</v>
      </c>
      <c r="AB2447" s="259"/>
      <c r="AC2447" s="259"/>
      <c r="AD2447" s="259"/>
      <c r="AE2447" s="259"/>
    </row>
    <row r="2448" spans="1:31">
      <c r="A2448" s="259" t="s">
        <v>2287</v>
      </c>
      <c r="B2448" s="259" t="s">
        <v>116</v>
      </c>
      <c r="C2448" s="264"/>
      <c r="D2448" s="264"/>
      <c r="H2448" s="264"/>
      <c r="I2448" s="264"/>
      <c r="J2448" s="295">
        <v>0</v>
      </c>
      <c r="K2448" s="295">
        <v>0</v>
      </c>
      <c r="L2448" s="295">
        <v>0</v>
      </c>
      <c r="O2448" s="266"/>
      <c r="R2448" s="265"/>
      <c r="V2448" s="265">
        <v>0</v>
      </c>
      <c r="Y2448" s="259">
        <f t="shared" si="12"/>
        <v>1536</v>
      </c>
      <c r="AA2448" s="259" t="e">
        <v>#N/A</v>
      </c>
      <c r="AB2448" s="259"/>
      <c r="AC2448" s="259"/>
      <c r="AD2448" s="259"/>
      <c r="AE2448" s="259"/>
    </row>
    <row r="2449" spans="1:31">
      <c r="A2449" s="259" t="s">
        <v>2288</v>
      </c>
      <c r="B2449" s="259" t="s">
        <v>116</v>
      </c>
      <c r="C2449" s="264"/>
      <c r="D2449" s="264"/>
      <c r="H2449" s="264"/>
      <c r="I2449" s="264"/>
      <c r="J2449" s="295">
        <v>0</v>
      </c>
      <c r="K2449" s="295">
        <v>0</v>
      </c>
      <c r="L2449" s="295">
        <v>0</v>
      </c>
      <c r="O2449" s="266"/>
      <c r="R2449" s="265"/>
      <c r="V2449" s="265">
        <v>0</v>
      </c>
      <c r="Y2449" s="259">
        <f t="shared" si="12"/>
        <v>1537</v>
      </c>
      <c r="AA2449" s="259" t="e">
        <v>#N/A</v>
      </c>
      <c r="AB2449" s="259"/>
      <c r="AC2449" s="259"/>
      <c r="AD2449" s="259"/>
      <c r="AE2449" s="259"/>
    </row>
    <row r="2450" spans="1:31">
      <c r="A2450" s="259" t="s">
        <v>2289</v>
      </c>
      <c r="B2450" s="259" t="s">
        <v>116</v>
      </c>
      <c r="C2450" s="264"/>
      <c r="D2450" s="264"/>
      <c r="H2450" s="264"/>
      <c r="I2450" s="264"/>
      <c r="J2450" s="295">
        <v>0</v>
      </c>
      <c r="K2450" s="295">
        <v>0</v>
      </c>
      <c r="L2450" s="295">
        <v>0</v>
      </c>
      <c r="O2450" s="266">
        <v>0</v>
      </c>
      <c r="P2450" s="266">
        <v>0</v>
      </c>
      <c r="Q2450" s="266">
        <v>0</v>
      </c>
      <c r="R2450" s="265">
        <v>0</v>
      </c>
      <c r="S2450" s="265">
        <v>0</v>
      </c>
      <c r="V2450" s="265">
        <v>0</v>
      </c>
      <c r="W2450" s="259">
        <v>0</v>
      </c>
      <c r="Y2450" s="259">
        <f t="shared" si="12"/>
        <v>1538</v>
      </c>
      <c r="AA2450" s="259" t="e">
        <v>#N/A</v>
      </c>
      <c r="AB2450" s="259"/>
      <c r="AC2450" s="259"/>
      <c r="AD2450" s="259"/>
      <c r="AE2450" s="259"/>
    </row>
    <row r="2451" spans="1:31">
      <c r="A2451" s="259" t="s">
        <v>2290</v>
      </c>
      <c r="B2451" s="259" t="s">
        <v>116</v>
      </c>
      <c r="C2451" s="264" t="s">
        <v>7765</v>
      </c>
      <c r="D2451" s="264" t="s">
        <v>7766</v>
      </c>
      <c r="E2451" s="259" t="s">
        <v>7767</v>
      </c>
      <c r="G2451" s="259" t="s">
        <v>7768</v>
      </c>
      <c r="H2451" s="264" t="s">
        <v>7766</v>
      </c>
      <c r="I2451" s="264" t="s">
        <v>7766</v>
      </c>
      <c r="J2451" s="295">
        <v>427.23</v>
      </c>
      <c r="K2451" s="295">
        <v>427.23</v>
      </c>
      <c r="L2451" s="295" t="s">
        <v>7240</v>
      </c>
      <c r="O2451" s="266" t="s">
        <v>5131</v>
      </c>
      <c r="P2451" s="266">
        <v>5706681234493</v>
      </c>
      <c r="Q2451" s="266">
        <v>0</v>
      </c>
      <c r="R2451" s="265">
        <v>0</v>
      </c>
      <c r="V2451" s="265" t="s">
        <v>3218</v>
      </c>
      <c r="W2451" s="259">
        <v>0</v>
      </c>
      <c r="Y2451" s="259">
        <f t="shared" si="12"/>
        <v>1539</v>
      </c>
      <c r="Z2451" s="259" t="s">
        <v>3227</v>
      </c>
      <c r="AA2451" s="259" t="e">
        <v>#N/A</v>
      </c>
      <c r="AB2451" s="259"/>
      <c r="AC2451" s="259"/>
      <c r="AD2451" s="259"/>
      <c r="AE2451" s="259"/>
    </row>
    <row r="2452" spans="1:31">
      <c r="A2452" s="259" t="s">
        <v>2291</v>
      </c>
      <c r="B2452" s="259" t="s">
        <v>116</v>
      </c>
      <c r="C2452" s="264" t="s">
        <v>7765</v>
      </c>
      <c r="D2452" s="264" t="s">
        <v>7769</v>
      </c>
      <c r="E2452" s="259" t="s">
        <v>7767</v>
      </c>
      <c r="G2452" s="259" t="s">
        <v>7768</v>
      </c>
      <c r="H2452" s="264" t="s">
        <v>7769</v>
      </c>
      <c r="I2452" s="264" t="s">
        <v>7769</v>
      </c>
      <c r="J2452" s="295">
        <v>239.54</v>
      </c>
      <c r="K2452" s="295">
        <v>239.54</v>
      </c>
      <c r="L2452" s="295" t="s">
        <v>7240</v>
      </c>
      <c r="O2452" s="266" t="s">
        <v>5131</v>
      </c>
      <c r="P2452" s="266">
        <v>5706681234509</v>
      </c>
      <c r="Q2452" s="266">
        <v>0</v>
      </c>
      <c r="R2452" s="265">
        <v>0</v>
      </c>
      <c r="V2452" s="265" t="s">
        <v>3218</v>
      </c>
      <c r="W2452" s="259">
        <v>0</v>
      </c>
      <c r="X2452" s="264" t="s">
        <v>7770</v>
      </c>
      <c r="Y2452" s="259">
        <f t="shared" si="12"/>
        <v>1540</v>
      </c>
      <c r="Z2452" s="259" t="s">
        <v>3227</v>
      </c>
      <c r="AA2452" s="259" t="e">
        <v>#N/A</v>
      </c>
      <c r="AB2452" s="259"/>
      <c r="AC2452" s="259"/>
      <c r="AD2452" s="259"/>
      <c r="AE2452" s="259"/>
    </row>
    <row r="2453" spans="1:31">
      <c r="A2453" s="259" t="s">
        <v>2292</v>
      </c>
      <c r="B2453" s="259" t="s">
        <v>116</v>
      </c>
      <c r="C2453" s="264"/>
      <c r="D2453" s="264"/>
      <c r="H2453" s="264"/>
      <c r="I2453" s="264"/>
      <c r="J2453" s="295">
        <v>0</v>
      </c>
      <c r="K2453" s="295">
        <v>0</v>
      </c>
      <c r="L2453" s="295">
        <v>0</v>
      </c>
      <c r="O2453" s="266">
        <v>0</v>
      </c>
      <c r="P2453" s="266">
        <v>0</v>
      </c>
      <c r="Q2453" s="266">
        <v>0</v>
      </c>
      <c r="R2453" s="265">
        <v>0</v>
      </c>
      <c r="S2453" s="265">
        <v>0</v>
      </c>
      <c r="V2453" s="265">
        <v>0</v>
      </c>
      <c r="W2453" s="259">
        <v>0</v>
      </c>
      <c r="Y2453" s="259">
        <f t="shared" si="12"/>
        <v>1541</v>
      </c>
      <c r="AA2453" s="259" t="e">
        <v>#N/A</v>
      </c>
      <c r="AB2453" s="259"/>
      <c r="AC2453" s="259"/>
      <c r="AD2453" s="259"/>
      <c r="AE2453" s="259"/>
    </row>
    <row r="2454" spans="1:31">
      <c r="A2454" s="259" t="s">
        <v>2293</v>
      </c>
      <c r="B2454" s="259" t="s">
        <v>116</v>
      </c>
      <c r="C2454" s="264" t="s">
        <v>7765</v>
      </c>
      <c r="D2454" s="264" t="s">
        <v>7771</v>
      </c>
      <c r="E2454" s="259" t="s">
        <v>7767</v>
      </c>
      <c r="G2454" s="259" t="s">
        <v>7768</v>
      </c>
      <c r="H2454" s="264" t="s">
        <v>7771</v>
      </c>
      <c r="I2454" s="264" t="s">
        <v>7771</v>
      </c>
      <c r="J2454" s="295">
        <v>311.16000000000003</v>
      </c>
      <c r="K2454" s="295">
        <v>311.16000000000003</v>
      </c>
      <c r="L2454" s="295" t="s">
        <v>7240</v>
      </c>
      <c r="O2454" s="266">
        <v>0</v>
      </c>
      <c r="P2454" s="266">
        <v>5706681234486</v>
      </c>
      <c r="Q2454" s="266">
        <v>0</v>
      </c>
      <c r="R2454" s="265">
        <v>0</v>
      </c>
      <c r="S2454" s="265">
        <v>0</v>
      </c>
      <c r="V2454" s="265" t="s">
        <v>3218</v>
      </c>
      <c r="W2454" s="259">
        <v>0</v>
      </c>
      <c r="Y2454" s="259">
        <f t="shared" si="12"/>
        <v>1542</v>
      </c>
      <c r="Z2454" s="259" t="s">
        <v>3227</v>
      </c>
      <c r="AA2454" s="259" t="e">
        <v>#N/A</v>
      </c>
      <c r="AB2454" s="259"/>
      <c r="AC2454" s="259"/>
      <c r="AD2454" s="259"/>
      <c r="AE2454" s="259"/>
    </row>
    <row r="2455" spans="1:31">
      <c r="A2455" s="259" t="s">
        <v>2294</v>
      </c>
      <c r="B2455" s="259" t="s">
        <v>116</v>
      </c>
      <c r="C2455" s="264"/>
      <c r="D2455" s="264"/>
      <c r="H2455" s="264"/>
      <c r="I2455" s="264"/>
      <c r="J2455" s="295">
        <v>0</v>
      </c>
      <c r="K2455" s="295">
        <v>0</v>
      </c>
      <c r="L2455" s="295">
        <v>0</v>
      </c>
      <c r="O2455" s="266"/>
      <c r="R2455" s="265"/>
      <c r="V2455" s="265">
        <v>0</v>
      </c>
      <c r="Y2455" s="259">
        <f t="shared" si="12"/>
        <v>1543</v>
      </c>
      <c r="AA2455" s="259" t="e">
        <v>#N/A</v>
      </c>
      <c r="AB2455" s="259"/>
      <c r="AC2455" s="259"/>
      <c r="AD2455" s="259"/>
      <c r="AE2455" s="259"/>
    </row>
    <row r="2456" spans="1:31">
      <c r="A2456" s="259" t="s">
        <v>2295</v>
      </c>
      <c r="B2456" s="259" t="s">
        <v>116</v>
      </c>
      <c r="C2456" s="264" t="s">
        <v>7765</v>
      </c>
      <c r="D2456" s="264" t="s">
        <v>7772</v>
      </c>
      <c r="E2456" s="259" t="s">
        <v>7767</v>
      </c>
      <c r="G2456" s="259" t="s">
        <v>7773</v>
      </c>
      <c r="H2456" s="264" t="s">
        <v>7772</v>
      </c>
      <c r="I2456" s="264" t="s">
        <v>7772</v>
      </c>
      <c r="J2456" s="295">
        <v>285.23</v>
      </c>
      <c r="K2456" s="295">
        <v>285.23</v>
      </c>
      <c r="L2456" s="295" t="s">
        <v>7240</v>
      </c>
      <c r="O2456" s="266" t="s">
        <v>5131</v>
      </c>
      <c r="P2456" s="266">
        <v>5706681234196</v>
      </c>
      <c r="Q2456" s="266">
        <v>0</v>
      </c>
      <c r="R2456" s="265">
        <v>0</v>
      </c>
      <c r="V2456" s="265" t="s">
        <v>3218</v>
      </c>
      <c r="W2456" s="259">
        <v>0</v>
      </c>
      <c r="Y2456" s="259">
        <f t="shared" si="12"/>
        <v>1544</v>
      </c>
      <c r="Z2456" s="259" t="s">
        <v>3227</v>
      </c>
      <c r="AA2456" s="259" t="e">
        <v>#N/A</v>
      </c>
      <c r="AB2456" s="259"/>
      <c r="AC2456" s="259"/>
      <c r="AD2456" s="259"/>
      <c r="AE2456" s="259"/>
    </row>
    <row r="2457" spans="1:31">
      <c r="A2457" s="259" t="s">
        <v>2296</v>
      </c>
      <c r="B2457" s="259" t="s">
        <v>116</v>
      </c>
      <c r="C2457" s="264"/>
      <c r="D2457" s="264"/>
      <c r="H2457" s="264"/>
      <c r="I2457" s="264"/>
      <c r="J2457" s="295">
        <v>0</v>
      </c>
      <c r="K2457" s="295">
        <v>0</v>
      </c>
      <c r="L2457" s="295">
        <v>0</v>
      </c>
      <c r="O2457" s="266">
        <v>0</v>
      </c>
      <c r="P2457" s="266">
        <v>0</v>
      </c>
      <c r="Q2457" s="266">
        <v>0</v>
      </c>
      <c r="R2457" s="265">
        <v>0</v>
      </c>
      <c r="S2457" s="265">
        <v>0</v>
      </c>
      <c r="V2457" s="265">
        <v>0</v>
      </c>
      <c r="W2457" s="259">
        <v>0</v>
      </c>
      <c r="Y2457" s="259">
        <f t="shared" si="12"/>
        <v>1545</v>
      </c>
      <c r="AA2457" s="259" t="e">
        <v>#N/A</v>
      </c>
      <c r="AB2457" s="259"/>
      <c r="AC2457" s="259"/>
      <c r="AD2457" s="259"/>
      <c r="AE2457" s="259"/>
    </row>
    <row r="2458" spans="1:31">
      <c r="A2458" s="259" t="s">
        <v>2297</v>
      </c>
      <c r="B2458" s="259" t="s">
        <v>116</v>
      </c>
      <c r="C2458" s="264" t="s">
        <v>7765</v>
      </c>
      <c r="D2458" s="264" t="s">
        <v>7774</v>
      </c>
      <c r="E2458" s="259" t="s">
        <v>7767</v>
      </c>
      <c r="G2458" s="259" t="s">
        <v>7768</v>
      </c>
      <c r="H2458" s="264" t="s">
        <v>7774</v>
      </c>
      <c r="I2458" s="264" t="s">
        <v>7774</v>
      </c>
      <c r="J2458" s="295">
        <v>626.03</v>
      </c>
      <c r="K2458" s="295">
        <v>626.03</v>
      </c>
      <c r="L2458" s="295" t="s">
        <v>7240</v>
      </c>
      <c r="O2458" s="266" t="s">
        <v>5131</v>
      </c>
      <c r="P2458" s="266">
        <v>5706681234479</v>
      </c>
      <c r="Q2458" s="266">
        <v>0</v>
      </c>
      <c r="R2458" s="265">
        <v>0</v>
      </c>
      <c r="V2458" s="265" t="s">
        <v>3218</v>
      </c>
      <c r="W2458" s="259">
        <v>0</v>
      </c>
      <c r="Y2458" s="259">
        <f t="shared" si="12"/>
        <v>1546</v>
      </c>
      <c r="Z2458" s="259" t="s">
        <v>3227</v>
      </c>
      <c r="AA2458" s="259" t="e">
        <v>#N/A</v>
      </c>
      <c r="AB2458" s="259"/>
      <c r="AC2458" s="259"/>
      <c r="AD2458" s="259"/>
      <c r="AE2458" s="259"/>
    </row>
    <row r="2459" spans="1:31">
      <c r="A2459" s="259" t="s">
        <v>2298</v>
      </c>
      <c r="B2459" s="259" t="s">
        <v>116</v>
      </c>
      <c r="C2459" s="264"/>
      <c r="D2459" s="264"/>
      <c r="H2459" s="264"/>
      <c r="I2459" s="264"/>
      <c r="J2459" s="295">
        <v>0</v>
      </c>
      <c r="K2459" s="295">
        <v>0</v>
      </c>
      <c r="L2459" s="295">
        <v>0</v>
      </c>
      <c r="O2459" s="266"/>
      <c r="R2459" s="265"/>
      <c r="V2459" s="265">
        <v>0</v>
      </c>
      <c r="Y2459" s="259">
        <f t="shared" si="12"/>
        <v>1547</v>
      </c>
      <c r="AA2459" s="259" t="e">
        <v>#N/A</v>
      </c>
      <c r="AB2459" s="259"/>
      <c r="AC2459" s="259"/>
      <c r="AD2459" s="259"/>
      <c r="AE2459" s="259"/>
    </row>
    <row r="2460" spans="1:31">
      <c r="A2460" s="259" t="s">
        <v>2299</v>
      </c>
      <c r="B2460" s="259" t="s">
        <v>116</v>
      </c>
      <c r="C2460" s="264" t="s">
        <v>7765</v>
      </c>
      <c r="D2460" s="264" t="s">
        <v>7775</v>
      </c>
      <c r="E2460" s="259" t="s">
        <v>7767</v>
      </c>
      <c r="G2460" s="259" t="s">
        <v>7304</v>
      </c>
      <c r="H2460" s="264" t="s">
        <v>7775</v>
      </c>
      <c r="I2460" s="264" t="s">
        <v>7775</v>
      </c>
      <c r="J2460" s="295">
        <v>102.49</v>
      </c>
      <c r="K2460" s="295">
        <v>102.49</v>
      </c>
      <c r="L2460" s="295" t="s">
        <v>7240</v>
      </c>
      <c r="O2460" s="266">
        <v>0</v>
      </c>
      <c r="Q2460" s="266">
        <v>0</v>
      </c>
      <c r="R2460" s="265">
        <v>0</v>
      </c>
      <c r="S2460" s="265">
        <v>0</v>
      </c>
      <c r="V2460" s="265" t="s">
        <v>3218</v>
      </c>
      <c r="W2460" s="259" t="s">
        <v>3029</v>
      </c>
      <c r="X2460" s="264" t="s">
        <v>7770</v>
      </c>
      <c r="Y2460" s="259">
        <f t="shared" si="12"/>
        <v>1548</v>
      </c>
      <c r="Z2460" s="259" t="s">
        <v>4325</v>
      </c>
      <c r="AA2460" s="259" t="e">
        <v>#N/A</v>
      </c>
      <c r="AB2460" s="259"/>
      <c r="AC2460" s="259"/>
      <c r="AD2460" s="259"/>
      <c r="AE2460" s="259"/>
    </row>
    <row r="2461" spans="1:31">
      <c r="A2461" s="259" t="s">
        <v>2300</v>
      </c>
      <c r="B2461" s="259" t="s">
        <v>116</v>
      </c>
      <c r="C2461" s="264" t="s">
        <v>7765</v>
      </c>
      <c r="D2461" s="264" t="s">
        <v>7776</v>
      </c>
      <c r="E2461" s="259" t="s">
        <v>7767</v>
      </c>
      <c r="G2461" s="259" t="s">
        <v>7304</v>
      </c>
      <c r="H2461" s="264" t="s">
        <v>7776</v>
      </c>
      <c r="I2461" s="264" t="s">
        <v>7776</v>
      </c>
      <c r="J2461" s="295">
        <v>102.49</v>
      </c>
      <c r="K2461" s="295">
        <v>102.49</v>
      </c>
      <c r="L2461" s="295" t="s">
        <v>7240</v>
      </c>
      <c r="O2461" s="266">
        <v>0</v>
      </c>
      <c r="P2461" s="266">
        <v>5706681234806</v>
      </c>
      <c r="Q2461" s="266">
        <v>0</v>
      </c>
      <c r="R2461" s="265">
        <v>0</v>
      </c>
      <c r="S2461" s="265">
        <v>5.9055150000000003</v>
      </c>
      <c r="V2461" s="265" t="s">
        <v>3218</v>
      </c>
      <c r="W2461" s="259" t="s">
        <v>3029</v>
      </c>
      <c r="X2461" s="264" t="s">
        <v>7777</v>
      </c>
      <c r="Y2461" s="259">
        <f t="shared" si="12"/>
        <v>1549</v>
      </c>
      <c r="Z2461" s="259" t="s">
        <v>3264</v>
      </c>
      <c r="AA2461" s="259" t="e">
        <v>#N/A</v>
      </c>
      <c r="AB2461" s="259"/>
      <c r="AC2461" s="259"/>
      <c r="AD2461" s="259"/>
      <c r="AE2461" s="259"/>
    </row>
    <row r="2462" spans="1:31">
      <c r="A2462" s="259" t="s">
        <v>2301</v>
      </c>
      <c r="B2462" s="259" t="s">
        <v>116</v>
      </c>
      <c r="C2462" s="264" t="s">
        <v>7765</v>
      </c>
      <c r="D2462" s="264" t="s">
        <v>7778</v>
      </c>
      <c r="E2462" s="259" t="s">
        <v>7767</v>
      </c>
      <c r="G2462" s="259" t="s">
        <v>7304</v>
      </c>
      <c r="H2462" s="264" t="s">
        <v>7778</v>
      </c>
      <c r="I2462" s="264" t="s">
        <v>7778</v>
      </c>
      <c r="J2462" s="295">
        <v>150.63999999999999</v>
      </c>
      <c r="K2462" s="295">
        <v>150.63999999999999</v>
      </c>
      <c r="L2462" s="295" t="s">
        <v>7240</v>
      </c>
      <c r="O2462" s="266">
        <v>0</v>
      </c>
      <c r="Q2462" s="266">
        <v>0</v>
      </c>
      <c r="R2462" s="265">
        <v>0</v>
      </c>
      <c r="S2462" s="265">
        <v>0</v>
      </c>
      <c r="V2462" s="265" t="s">
        <v>3218</v>
      </c>
      <c r="W2462" s="259">
        <v>0</v>
      </c>
      <c r="X2462" s="264" t="s">
        <v>7777</v>
      </c>
      <c r="Y2462" s="259">
        <f t="shared" si="12"/>
        <v>1550</v>
      </c>
      <c r="Z2462" s="259" t="s">
        <v>3264</v>
      </c>
      <c r="AA2462" s="259" t="e">
        <v>#N/A</v>
      </c>
      <c r="AB2462" s="259"/>
      <c r="AC2462" s="259"/>
      <c r="AD2462" s="259"/>
      <c r="AE2462" s="259"/>
    </row>
    <row r="2463" spans="1:31">
      <c r="A2463" s="259" t="s">
        <v>2302</v>
      </c>
      <c r="B2463" s="259" t="s">
        <v>116</v>
      </c>
      <c r="C2463" s="264"/>
      <c r="D2463" s="264"/>
      <c r="H2463" s="264"/>
      <c r="I2463" s="264"/>
      <c r="J2463" s="295">
        <v>0</v>
      </c>
      <c r="K2463" s="295">
        <v>0</v>
      </c>
      <c r="L2463" s="295">
        <v>0</v>
      </c>
      <c r="O2463" s="266"/>
      <c r="R2463" s="265"/>
      <c r="V2463" s="265">
        <v>0</v>
      </c>
      <c r="Y2463" s="259">
        <f t="shared" si="12"/>
        <v>1551</v>
      </c>
      <c r="AA2463" s="259" t="e">
        <v>#N/A</v>
      </c>
      <c r="AB2463" s="259"/>
      <c r="AC2463" s="259"/>
      <c r="AD2463" s="259"/>
      <c r="AE2463" s="259"/>
    </row>
    <row r="2464" spans="1:31">
      <c r="A2464" s="259" t="s">
        <v>2303</v>
      </c>
      <c r="B2464" s="259" t="s">
        <v>116</v>
      </c>
      <c r="C2464" s="264"/>
      <c r="D2464" s="264"/>
      <c r="H2464" s="264"/>
      <c r="I2464" s="264"/>
      <c r="J2464" s="295">
        <v>0</v>
      </c>
      <c r="K2464" s="295">
        <v>0</v>
      </c>
      <c r="L2464" s="295">
        <v>0</v>
      </c>
      <c r="O2464" s="266">
        <v>0</v>
      </c>
      <c r="P2464" s="266">
        <v>0</v>
      </c>
      <c r="Q2464" s="266">
        <v>0</v>
      </c>
      <c r="R2464" s="265">
        <v>0</v>
      </c>
      <c r="S2464" s="265">
        <v>0</v>
      </c>
      <c r="V2464" s="265">
        <v>0</v>
      </c>
      <c r="W2464" s="259">
        <v>0</v>
      </c>
      <c r="Y2464" s="259">
        <f t="shared" si="12"/>
        <v>1552</v>
      </c>
      <c r="AA2464" s="259" t="e">
        <v>#N/A</v>
      </c>
      <c r="AB2464" s="259"/>
      <c r="AC2464" s="259"/>
      <c r="AD2464" s="259"/>
      <c r="AE2464" s="259"/>
    </row>
    <row r="2465" spans="1:31">
      <c r="A2465" s="259" t="s">
        <v>2304</v>
      </c>
      <c r="B2465" s="259" t="s">
        <v>116</v>
      </c>
      <c r="C2465" s="264" t="s">
        <v>7765</v>
      </c>
      <c r="D2465" s="264" t="s">
        <v>7779</v>
      </c>
      <c r="E2465" s="259" t="s">
        <v>7767</v>
      </c>
      <c r="G2465" s="259" t="s">
        <v>7768</v>
      </c>
      <c r="H2465" s="264" t="s">
        <v>7779</v>
      </c>
      <c r="I2465" s="264" t="s">
        <v>7779</v>
      </c>
      <c r="J2465" s="295">
        <v>156.82</v>
      </c>
      <c r="K2465" s="295">
        <v>156.82</v>
      </c>
      <c r="L2465" s="295" t="s">
        <v>7240</v>
      </c>
      <c r="O2465" s="266" t="s">
        <v>5131</v>
      </c>
      <c r="P2465" s="266">
        <v>5706681234455</v>
      </c>
      <c r="Q2465" s="266">
        <v>0</v>
      </c>
      <c r="R2465" s="265">
        <v>0</v>
      </c>
      <c r="V2465" s="265" t="s">
        <v>3218</v>
      </c>
      <c r="W2465" s="259">
        <v>0</v>
      </c>
      <c r="Y2465" s="259">
        <f t="shared" si="12"/>
        <v>1553</v>
      </c>
      <c r="Z2465" s="259" t="s">
        <v>3227</v>
      </c>
      <c r="AA2465" s="259" t="e">
        <v>#N/A</v>
      </c>
      <c r="AB2465" s="259"/>
      <c r="AC2465" s="259"/>
      <c r="AD2465" s="259"/>
      <c r="AE2465" s="259"/>
    </row>
    <row r="2466" spans="1:31">
      <c r="A2466" s="259" t="s">
        <v>2305</v>
      </c>
      <c r="B2466" s="259" t="s">
        <v>116</v>
      </c>
      <c r="C2466" s="264" t="s">
        <v>7765</v>
      </c>
      <c r="D2466" s="264" t="s">
        <v>7780</v>
      </c>
      <c r="E2466" s="259" t="s">
        <v>7767</v>
      </c>
      <c r="G2466" s="259" t="s">
        <v>7768</v>
      </c>
      <c r="H2466" s="264" t="s">
        <v>7780</v>
      </c>
      <c r="I2466" s="264" t="s">
        <v>7780</v>
      </c>
      <c r="J2466" s="295">
        <v>145.69999999999999</v>
      </c>
      <c r="K2466" s="295">
        <v>145.69999999999999</v>
      </c>
      <c r="L2466" s="295" t="s">
        <v>7240</v>
      </c>
      <c r="O2466" s="266" t="s">
        <v>5131</v>
      </c>
      <c r="P2466" s="266">
        <v>5706681234462</v>
      </c>
      <c r="Q2466" s="266">
        <v>0</v>
      </c>
      <c r="R2466" s="265">
        <v>0</v>
      </c>
      <c r="V2466" s="265" t="s">
        <v>3218</v>
      </c>
      <c r="W2466" s="259">
        <v>0</v>
      </c>
      <c r="X2466" s="264" t="s">
        <v>7781</v>
      </c>
      <c r="Y2466" s="259">
        <f t="shared" si="12"/>
        <v>1554</v>
      </c>
      <c r="Z2466" s="259" t="s">
        <v>3227</v>
      </c>
      <c r="AA2466" s="259" t="e">
        <v>#N/A</v>
      </c>
      <c r="AB2466" s="259"/>
      <c r="AC2466" s="259"/>
      <c r="AD2466" s="259"/>
      <c r="AE2466" s="259"/>
    </row>
    <row r="2467" spans="1:31">
      <c r="A2467" s="259" t="s">
        <v>2306</v>
      </c>
      <c r="B2467" s="259" t="s">
        <v>116</v>
      </c>
      <c r="C2467" s="264"/>
      <c r="D2467" s="264"/>
      <c r="H2467" s="264"/>
      <c r="I2467" s="264"/>
      <c r="J2467" s="295">
        <v>0</v>
      </c>
      <c r="K2467" s="295">
        <v>0</v>
      </c>
      <c r="L2467" s="295">
        <v>0</v>
      </c>
      <c r="O2467" s="266">
        <v>0</v>
      </c>
      <c r="P2467" s="266">
        <v>0</v>
      </c>
      <c r="Q2467" s="266">
        <v>0</v>
      </c>
      <c r="R2467" s="265">
        <v>0</v>
      </c>
      <c r="S2467" s="265">
        <v>0</v>
      </c>
      <c r="V2467" s="265">
        <v>0</v>
      </c>
      <c r="W2467" s="259">
        <v>0</v>
      </c>
      <c r="Y2467" s="259">
        <f t="shared" si="12"/>
        <v>1555</v>
      </c>
      <c r="AA2467" s="259" t="e">
        <v>#N/A</v>
      </c>
      <c r="AB2467" s="259"/>
      <c r="AC2467" s="259"/>
      <c r="AD2467" s="259"/>
      <c r="AE2467" s="259"/>
    </row>
    <row r="2468" spans="1:31">
      <c r="A2468" s="259" t="s">
        <v>2307</v>
      </c>
      <c r="B2468" s="259" t="s">
        <v>116</v>
      </c>
      <c r="C2468" s="264" t="s">
        <v>7765</v>
      </c>
      <c r="D2468" s="264" t="s">
        <v>7782</v>
      </c>
      <c r="E2468" s="259" t="s">
        <v>7767</v>
      </c>
      <c r="G2468" s="259" t="s">
        <v>7768</v>
      </c>
      <c r="H2468" s="264" t="s">
        <v>7782</v>
      </c>
      <c r="I2468" s="264" t="s">
        <v>7782</v>
      </c>
      <c r="J2468" s="295">
        <v>170.4</v>
      </c>
      <c r="K2468" s="295">
        <v>170.4</v>
      </c>
      <c r="L2468" s="295" t="s">
        <v>7240</v>
      </c>
      <c r="O2468" s="266" t="s">
        <v>5131</v>
      </c>
      <c r="P2468" s="266">
        <v>5706681234431</v>
      </c>
      <c r="Q2468" s="266">
        <v>0</v>
      </c>
      <c r="R2468" s="265">
        <v>0</v>
      </c>
      <c r="V2468" s="265" t="s">
        <v>3218</v>
      </c>
      <c r="W2468" s="259">
        <v>0</v>
      </c>
      <c r="Y2468" s="259">
        <f t="shared" si="12"/>
        <v>1556</v>
      </c>
      <c r="Z2468" s="259" t="s">
        <v>3227</v>
      </c>
      <c r="AA2468" s="259" t="e">
        <v>#N/A</v>
      </c>
      <c r="AB2468" s="259"/>
      <c r="AC2468" s="259"/>
      <c r="AD2468" s="259"/>
      <c r="AE2468" s="259"/>
    </row>
    <row r="2469" spans="1:31">
      <c r="A2469" s="259" t="s">
        <v>2308</v>
      </c>
      <c r="B2469" s="259" t="s">
        <v>116</v>
      </c>
      <c r="C2469" s="264" t="s">
        <v>7765</v>
      </c>
      <c r="D2469" s="264" t="s">
        <v>7783</v>
      </c>
      <c r="E2469" s="259" t="s">
        <v>7767</v>
      </c>
      <c r="G2469" s="259" t="s">
        <v>7768</v>
      </c>
      <c r="H2469" s="264" t="s">
        <v>7783</v>
      </c>
      <c r="I2469" s="264" t="s">
        <v>7783</v>
      </c>
      <c r="J2469" s="295">
        <v>153.11000000000001</v>
      </c>
      <c r="K2469" s="295">
        <v>153.11000000000001</v>
      </c>
      <c r="L2469" s="295" t="s">
        <v>7240</v>
      </c>
      <c r="O2469" s="266">
        <v>0</v>
      </c>
      <c r="P2469" s="266">
        <v>5706681234448</v>
      </c>
      <c r="Q2469" s="266">
        <v>0</v>
      </c>
      <c r="R2469" s="265">
        <v>0</v>
      </c>
      <c r="V2469" s="265" t="s">
        <v>3218</v>
      </c>
      <c r="W2469" s="259">
        <v>0</v>
      </c>
      <c r="X2469" s="264" t="s">
        <v>7784</v>
      </c>
      <c r="Y2469" s="259">
        <f t="shared" si="12"/>
        <v>1557</v>
      </c>
      <c r="Z2469" s="259" t="s">
        <v>3227</v>
      </c>
      <c r="AA2469" s="259" t="e">
        <v>#N/A</v>
      </c>
      <c r="AB2469" s="259"/>
      <c r="AC2469" s="259"/>
      <c r="AD2469" s="259"/>
      <c r="AE2469" s="259"/>
    </row>
    <row r="2470" spans="1:31">
      <c r="A2470" s="259" t="s">
        <v>2309</v>
      </c>
      <c r="B2470" s="259" t="s">
        <v>116</v>
      </c>
      <c r="C2470" s="264"/>
      <c r="D2470" s="264"/>
      <c r="H2470" s="264"/>
      <c r="I2470" s="264"/>
      <c r="J2470" s="295">
        <v>0</v>
      </c>
      <c r="K2470" s="295">
        <v>0</v>
      </c>
      <c r="L2470" s="295">
        <v>0</v>
      </c>
      <c r="O2470" s="266"/>
      <c r="R2470" s="265"/>
      <c r="V2470" s="265">
        <v>0</v>
      </c>
      <c r="Y2470" s="259">
        <f t="shared" si="12"/>
        <v>1558</v>
      </c>
      <c r="AA2470" s="259" t="e">
        <v>#N/A</v>
      </c>
      <c r="AB2470" s="259"/>
      <c r="AC2470" s="259"/>
      <c r="AD2470" s="259"/>
      <c r="AE2470" s="259"/>
    </row>
    <row r="2471" spans="1:31">
      <c r="A2471" s="259" t="s">
        <v>2310</v>
      </c>
      <c r="B2471" s="259" t="s">
        <v>116</v>
      </c>
      <c r="C2471" s="264" t="s">
        <v>7765</v>
      </c>
      <c r="D2471" s="264" t="s">
        <v>7785</v>
      </c>
      <c r="E2471" s="259" t="s">
        <v>7767</v>
      </c>
      <c r="G2471" s="259" t="s">
        <v>7768</v>
      </c>
      <c r="H2471" s="264" t="s">
        <v>7785</v>
      </c>
      <c r="I2471" s="264" t="s">
        <v>7785</v>
      </c>
      <c r="J2471" s="295">
        <v>160.52000000000001</v>
      </c>
      <c r="K2471" s="295">
        <v>160.52000000000001</v>
      </c>
      <c r="L2471" s="295" t="s">
        <v>7240</v>
      </c>
      <c r="O2471" s="266" t="s">
        <v>5131</v>
      </c>
      <c r="P2471" s="266">
        <v>5706681234349</v>
      </c>
      <c r="Q2471" s="266">
        <v>0</v>
      </c>
      <c r="R2471" s="265">
        <v>0</v>
      </c>
      <c r="V2471" s="265" t="s">
        <v>3218</v>
      </c>
      <c r="W2471" s="259">
        <v>0</v>
      </c>
      <c r="Y2471" s="259">
        <f t="shared" si="12"/>
        <v>1559</v>
      </c>
      <c r="Z2471" s="259" t="s">
        <v>3227</v>
      </c>
      <c r="AA2471" s="259" t="e">
        <v>#N/A</v>
      </c>
      <c r="AB2471" s="259"/>
      <c r="AC2471" s="259"/>
      <c r="AD2471" s="259"/>
      <c r="AE2471" s="259"/>
    </row>
    <row r="2472" spans="1:31">
      <c r="A2472" s="259" t="s">
        <v>2311</v>
      </c>
      <c r="B2472" s="259" t="s">
        <v>116</v>
      </c>
      <c r="C2472" s="264" t="s">
        <v>7765</v>
      </c>
      <c r="D2472" s="264" t="s">
        <v>7786</v>
      </c>
      <c r="E2472" s="259" t="s">
        <v>7767</v>
      </c>
      <c r="G2472" s="259" t="s">
        <v>7768</v>
      </c>
      <c r="H2472" s="264" t="s">
        <v>7786</v>
      </c>
      <c r="I2472" s="264" t="s">
        <v>7786</v>
      </c>
      <c r="J2472" s="295">
        <v>140.76</v>
      </c>
      <c r="K2472" s="295">
        <v>140.76</v>
      </c>
      <c r="L2472" s="295" t="s">
        <v>7240</v>
      </c>
      <c r="O2472" s="266" t="s">
        <v>5131</v>
      </c>
      <c r="P2472" s="266">
        <v>5706681234370</v>
      </c>
      <c r="Q2472" s="266">
        <v>0</v>
      </c>
      <c r="R2472" s="265">
        <v>0</v>
      </c>
      <c r="V2472" s="265" t="s">
        <v>3218</v>
      </c>
      <c r="W2472" s="259">
        <v>0</v>
      </c>
      <c r="X2472" s="264" t="s">
        <v>7787</v>
      </c>
      <c r="Y2472" s="259">
        <f t="shared" si="12"/>
        <v>1560</v>
      </c>
      <c r="Z2472" s="259" t="s">
        <v>3227</v>
      </c>
      <c r="AA2472" s="259" t="e">
        <v>#N/A</v>
      </c>
      <c r="AB2472" s="259"/>
      <c r="AC2472" s="259"/>
      <c r="AD2472" s="259"/>
      <c r="AE2472" s="259"/>
    </row>
    <row r="2473" spans="1:31">
      <c r="A2473" s="259" t="s">
        <v>2312</v>
      </c>
      <c r="B2473" s="259" t="s">
        <v>116</v>
      </c>
      <c r="C2473" s="264"/>
      <c r="D2473" s="264"/>
      <c r="H2473" s="264"/>
      <c r="I2473" s="264"/>
      <c r="J2473" s="295">
        <v>0</v>
      </c>
      <c r="K2473" s="295">
        <v>0</v>
      </c>
      <c r="L2473" s="295">
        <v>0</v>
      </c>
      <c r="O2473" s="266">
        <v>0</v>
      </c>
      <c r="P2473" s="266">
        <v>0</v>
      </c>
      <c r="Q2473" s="266">
        <v>0</v>
      </c>
      <c r="R2473" s="265">
        <v>0</v>
      </c>
      <c r="S2473" s="265">
        <v>0</v>
      </c>
      <c r="V2473" s="265">
        <v>0</v>
      </c>
      <c r="W2473" s="259">
        <v>0</v>
      </c>
      <c r="Y2473" s="259">
        <f t="shared" si="12"/>
        <v>1561</v>
      </c>
      <c r="AA2473" s="259" t="e">
        <v>#N/A</v>
      </c>
      <c r="AB2473" s="259"/>
      <c r="AC2473" s="259"/>
      <c r="AD2473" s="259"/>
      <c r="AE2473" s="259"/>
    </row>
    <row r="2474" spans="1:31">
      <c r="A2474" s="259" t="s">
        <v>2313</v>
      </c>
      <c r="B2474" s="259" t="s">
        <v>116</v>
      </c>
      <c r="C2474" s="264" t="s">
        <v>7765</v>
      </c>
      <c r="D2474" s="264" t="s">
        <v>7788</v>
      </c>
      <c r="E2474" s="259" t="s">
        <v>7767</v>
      </c>
      <c r="G2474" s="259" t="s">
        <v>7773</v>
      </c>
      <c r="H2474" s="264" t="s">
        <v>7788</v>
      </c>
      <c r="I2474" s="264" t="s">
        <v>7788</v>
      </c>
      <c r="J2474" s="295">
        <v>198.8</v>
      </c>
      <c r="K2474" s="295">
        <v>198.8</v>
      </c>
      <c r="L2474" s="295" t="s">
        <v>7240</v>
      </c>
      <c r="O2474" s="266" t="s">
        <v>5131</v>
      </c>
      <c r="P2474" s="266">
        <v>5706681234417</v>
      </c>
      <c r="Q2474" s="266">
        <v>0</v>
      </c>
      <c r="R2474" s="265">
        <v>0</v>
      </c>
      <c r="V2474" s="265" t="s">
        <v>3218</v>
      </c>
      <c r="W2474" s="259">
        <v>0</v>
      </c>
      <c r="Y2474" s="259">
        <f t="shared" si="12"/>
        <v>1562</v>
      </c>
      <c r="Z2474" s="259" t="s">
        <v>3227</v>
      </c>
      <c r="AA2474" s="259" t="e">
        <v>#N/A</v>
      </c>
      <c r="AB2474" s="259"/>
      <c r="AC2474" s="259"/>
      <c r="AD2474" s="259"/>
      <c r="AE2474" s="259"/>
    </row>
    <row r="2475" spans="1:31">
      <c r="A2475" s="259" t="s">
        <v>2314</v>
      </c>
      <c r="B2475" s="259" t="s">
        <v>116</v>
      </c>
      <c r="C2475" s="264" t="s">
        <v>7765</v>
      </c>
      <c r="D2475" s="264" t="s">
        <v>7789</v>
      </c>
      <c r="E2475" s="259" t="s">
        <v>7767</v>
      </c>
      <c r="G2475" s="259" t="s">
        <v>7773</v>
      </c>
      <c r="H2475" s="264" t="s">
        <v>7789</v>
      </c>
      <c r="I2475" s="264" t="s">
        <v>7789</v>
      </c>
      <c r="J2475" s="295">
        <v>166.69</v>
      </c>
      <c r="K2475" s="295">
        <v>166.69</v>
      </c>
      <c r="L2475" s="295" t="s">
        <v>7240</v>
      </c>
      <c r="O2475" s="266" t="s">
        <v>5131</v>
      </c>
      <c r="P2475" s="266">
        <v>5706681234424</v>
      </c>
      <c r="Q2475" s="266">
        <v>0</v>
      </c>
      <c r="R2475" s="265">
        <v>0</v>
      </c>
      <c r="V2475" s="265" t="s">
        <v>3218</v>
      </c>
      <c r="W2475" s="259">
        <v>0</v>
      </c>
      <c r="X2475" s="264" t="s">
        <v>7790</v>
      </c>
      <c r="Y2475" s="259">
        <f t="shared" si="12"/>
        <v>1563</v>
      </c>
      <c r="Z2475" s="259" t="s">
        <v>3227</v>
      </c>
      <c r="AA2475" s="259" t="e">
        <v>#N/A</v>
      </c>
      <c r="AB2475" s="259"/>
      <c r="AC2475" s="259"/>
      <c r="AD2475" s="259"/>
      <c r="AE2475" s="259"/>
    </row>
    <row r="2476" spans="1:31">
      <c r="A2476" s="259" t="s">
        <v>2315</v>
      </c>
      <c r="B2476" s="259" t="s">
        <v>116</v>
      </c>
      <c r="C2476" s="264"/>
      <c r="D2476" s="264"/>
      <c r="H2476" s="264"/>
      <c r="I2476" s="264"/>
      <c r="J2476" s="295">
        <v>0</v>
      </c>
      <c r="K2476" s="295">
        <v>0</v>
      </c>
      <c r="L2476" s="295">
        <v>0</v>
      </c>
      <c r="O2476" s="266"/>
      <c r="R2476" s="265"/>
      <c r="V2476" s="265">
        <v>0</v>
      </c>
      <c r="Y2476" s="259">
        <f t="shared" si="12"/>
        <v>1564</v>
      </c>
      <c r="AA2476" s="259" t="e">
        <v>#N/A</v>
      </c>
      <c r="AB2476" s="259"/>
      <c r="AC2476" s="259"/>
      <c r="AD2476" s="259"/>
      <c r="AE2476" s="259"/>
    </row>
    <row r="2477" spans="1:31">
      <c r="A2477" s="259" t="s">
        <v>2316</v>
      </c>
      <c r="B2477" s="259" t="s">
        <v>116</v>
      </c>
      <c r="C2477" s="264"/>
      <c r="D2477" s="264"/>
      <c r="H2477" s="264"/>
      <c r="I2477" s="264"/>
      <c r="J2477" s="295">
        <v>0</v>
      </c>
      <c r="K2477" s="295">
        <v>0</v>
      </c>
      <c r="L2477" s="295">
        <v>0</v>
      </c>
      <c r="O2477" s="266">
        <v>0</v>
      </c>
      <c r="P2477" s="266">
        <v>0</v>
      </c>
      <c r="Q2477" s="266">
        <v>0</v>
      </c>
      <c r="R2477" s="265">
        <v>0</v>
      </c>
      <c r="S2477" s="265">
        <v>0</v>
      </c>
      <c r="V2477" s="265">
        <v>0</v>
      </c>
      <c r="W2477" s="259">
        <v>0</v>
      </c>
      <c r="Y2477" s="259">
        <f t="shared" si="12"/>
        <v>1565</v>
      </c>
      <c r="AA2477" s="259" t="e">
        <v>#N/A</v>
      </c>
      <c r="AB2477" s="259"/>
      <c r="AC2477" s="259"/>
      <c r="AD2477" s="259"/>
      <c r="AE2477" s="259"/>
    </row>
    <row r="2478" spans="1:31">
      <c r="A2478" s="259" t="s">
        <v>2317</v>
      </c>
      <c r="B2478" s="259" t="s">
        <v>116</v>
      </c>
      <c r="C2478" s="264" t="s">
        <v>7242</v>
      </c>
      <c r="D2478" s="264" t="s">
        <v>7791</v>
      </c>
      <c r="E2478" s="259" t="s">
        <v>7767</v>
      </c>
      <c r="H2478" s="264" t="s">
        <v>7791</v>
      </c>
      <c r="I2478" s="264" t="s">
        <v>7791</v>
      </c>
      <c r="J2478" s="295">
        <v>1994.14</v>
      </c>
      <c r="K2478" s="295">
        <v>1994.14</v>
      </c>
      <c r="L2478" s="295" t="s">
        <v>7240</v>
      </c>
      <c r="O2478" s="266">
        <v>0</v>
      </c>
      <c r="P2478" s="266">
        <v>5706681234523</v>
      </c>
      <c r="Q2478" s="266">
        <v>0</v>
      </c>
      <c r="R2478" s="265">
        <v>0</v>
      </c>
      <c r="V2478" s="265" t="s">
        <v>3218</v>
      </c>
      <c r="W2478" s="259">
        <v>0</v>
      </c>
      <c r="Y2478" s="259">
        <f t="shared" si="12"/>
        <v>1566</v>
      </c>
      <c r="Z2478" s="259" t="s">
        <v>3037</v>
      </c>
      <c r="AA2478" s="259" t="e">
        <v>#N/A</v>
      </c>
      <c r="AB2478" s="259"/>
      <c r="AC2478" s="259"/>
      <c r="AD2478" s="259"/>
      <c r="AE2478" s="259"/>
    </row>
    <row r="2479" spans="1:31">
      <c r="A2479" s="259" t="s">
        <v>2318</v>
      </c>
      <c r="B2479" s="259" t="s">
        <v>116</v>
      </c>
      <c r="C2479" s="264"/>
      <c r="D2479" s="264"/>
      <c r="H2479" s="264"/>
      <c r="I2479" s="264"/>
      <c r="J2479" s="295">
        <v>0</v>
      </c>
      <c r="K2479" s="295">
        <v>0</v>
      </c>
      <c r="L2479" s="295">
        <v>0</v>
      </c>
      <c r="O2479" s="266">
        <v>0</v>
      </c>
      <c r="P2479" s="266">
        <v>0</v>
      </c>
      <c r="Q2479" s="266">
        <v>0</v>
      </c>
      <c r="R2479" s="265">
        <v>0</v>
      </c>
      <c r="S2479" s="265">
        <v>0</v>
      </c>
      <c r="V2479" s="265">
        <v>0</v>
      </c>
      <c r="W2479" s="259">
        <v>0</v>
      </c>
      <c r="Y2479" s="259">
        <f t="shared" si="12"/>
        <v>1567</v>
      </c>
      <c r="AA2479" s="259" t="e">
        <v>#N/A</v>
      </c>
      <c r="AB2479" s="259"/>
      <c r="AC2479" s="259"/>
      <c r="AD2479" s="259"/>
      <c r="AE2479" s="259"/>
    </row>
    <row r="2480" spans="1:31">
      <c r="A2480" s="259" t="s">
        <v>2319</v>
      </c>
      <c r="B2480" s="259" t="s">
        <v>116</v>
      </c>
      <c r="C2480" s="264" t="s">
        <v>7242</v>
      </c>
      <c r="D2480" s="264" t="s">
        <v>7792</v>
      </c>
      <c r="E2480" s="259" t="s">
        <v>7767</v>
      </c>
      <c r="H2480" s="264" t="s">
        <v>7792</v>
      </c>
      <c r="I2480" s="264" t="s">
        <v>7792</v>
      </c>
      <c r="J2480" s="295">
        <v>2444.83</v>
      </c>
      <c r="K2480" s="295">
        <v>2444.83</v>
      </c>
      <c r="L2480" s="295" t="s">
        <v>7240</v>
      </c>
      <c r="O2480" s="266">
        <v>0</v>
      </c>
      <c r="P2480" s="266">
        <v>5706681234264</v>
      </c>
      <c r="Q2480" s="266">
        <v>0</v>
      </c>
      <c r="R2480" s="265">
        <v>0</v>
      </c>
      <c r="S2480" s="265">
        <v>0</v>
      </c>
      <c r="V2480" s="265" t="s">
        <v>3218</v>
      </c>
      <c r="W2480" s="259">
        <v>0</v>
      </c>
      <c r="X2480" s="264" t="s">
        <v>7793</v>
      </c>
      <c r="Y2480" s="259">
        <f t="shared" si="12"/>
        <v>1568</v>
      </c>
      <c r="Z2480" s="259" t="s">
        <v>3037</v>
      </c>
      <c r="AA2480" s="259" t="e">
        <v>#N/A</v>
      </c>
      <c r="AB2480" s="259"/>
      <c r="AC2480" s="259"/>
      <c r="AD2480" s="259"/>
      <c r="AE2480" s="259"/>
    </row>
    <row r="2481" spans="1:31">
      <c r="A2481" s="259" t="s">
        <v>2320</v>
      </c>
      <c r="B2481" s="259" t="s">
        <v>116</v>
      </c>
      <c r="C2481" s="264"/>
      <c r="D2481" s="264"/>
      <c r="H2481" s="264"/>
      <c r="I2481" s="264"/>
      <c r="J2481" s="295">
        <v>0</v>
      </c>
      <c r="K2481" s="295">
        <v>0</v>
      </c>
      <c r="L2481" s="295">
        <v>0</v>
      </c>
      <c r="O2481" s="266">
        <v>0</v>
      </c>
      <c r="P2481" s="266">
        <v>0</v>
      </c>
      <c r="Q2481" s="266">
        <v>0</v>
      </c>
      <c r="R2481" s="265">
        <v>0</v>
      </c>
      <c r="S2481" s="265">
        <v>0</v>
      </c>
      <c r="V2481" s="265">
        <v>0</v>
      </c>
      <c r="W2481" s="259">
        <v>0</v>
      </c>
      <c r="Y2481" s="259">
        <f t="shared" si="12"/>
        <v>1569</v>
      </c>
      <c r="AA2481" s="259" t="e">
        <v>#N/A</v>
      </c>
      <c r="AB2481" s="259"/>
      <c r="AC2481" s="259"/>
      <c r="AD2481" s="259"/>
      <c r="AE2481" s="259"/>
    </row>
    <row r="2482" spans="1:31">
      <c r="A2482" s="259" t="s">
        <v>2321</v>
      </c>
      <c r="B2482" s="259" t="s">
        <v>116</v>
      </c>
      <c r="C2482" s="264" t="s">
        <v>7242</v>
      </c>
      <c r="D2482" s="264" t="s">
        <v>7794</v>
      </c>
      <c r="E2482" s="259" t="s">
        <v>7767</v>
      </c>
      <c r="H2482" s="264" t="s">
        <v>7794</v>
      </c>
      <c r="I2482" s="264" t="s">
        <v>7794</v>
      </c>
      <c r="J2482" s="295">
        <v>2370.75</v>
      </c>
      <c r="K2482" s="295">
        <v>2370.75</v>
      </c>
      <c r="L2482" s="295" t="s">
        <v>7240</v>
      </c>
      <c r="O2482" s="266">
        <v>0</v>
      </c>
      <c r="P2482" s="266">
        <v>5706681234301</v>
      </c>
      <c r="Q2482" s="266">
        <v>0</v>
      </c>
      <c r="R2482" s="265">
        <v>0</v>
      </c>
      <c r="V2482" s="265" t="s">
        <v>3218</v>
      </c>
      <c r="W2482" s="259">
        <v>0</v>
      </c>
      <c r="Y2482" s="259">
        <f t="shared" si="12"/>
        <v>1570</v>
      </c>
      <c r="Z2482" s="259" t="s">
        <v>3037</v>
      </c>
      <c r="AA2482" s="259" t="e">
        <v>#N/A</v>
      </c>
      <c r="AB2482" s="259"/>
      <c r="AC2482" s="259"/>
      <c r="AD2482" s="259"/>
      <c r="AE2482" s="259"/>
    </row>
    <row r="2483" spans="1:31">
      <c r="A2483" s="259" t="s">
        <v>2322</v>
      </c>
      <c r="B2483" s="259" t="s">
        <v>116</v>
      </c>
      <c r="C2483" s="264"/>
      <c r="D2483" s="264"/>
      <c r="H2483" s="264"/>
      <c r="I2483" s="264"/>
      <c r="J2483" s="295">
        <v>0</v>
      </c>
      <c r="K2483" s="295">
        <v>0</v>
      </c>
      <c r="L2483" s="295">
        <v>0</v>
      </c>
      <c r="O2483" s="266"/>
      <c r="R2483" s="265"/>
      <c r="V2483" s="265">
        <v>0</v>
      </c>
      <c r="Y2483" s="259">
        <f t="shared" ref="Y2483:Y2546" si="13">Y2482+1</f>
        <v>1571</v>
      </c>
      <c r="AA2483" s="259" t="e">
        <v>#N/A</v>
      </c>
      <c r="AB2483" s="259"/>
      <c r="AC2483" s="259"/>
      <c r="AD2483" s="259"/>
      <c r="AE2483" s="259"/>
    </row>
    <row r="2484" spans="1:31">
      <c r="A2484" s="259">
        <v>90357040</v>
      </c>
      <c r="B2484" s="259" t="s">
        <v>116</v>
      </c>
      <c r="C2484" s="264" t="s">
        <v>7765</v>
      </c>
      <c r="D2484" s="264" t="s">
        <v>7795</v>
      </c>
      <c r="E2484" s="259" t="s">
        <v>7767</v>
      </c>
      <c r="G2484" s="259" t="s">
        <v>7796</v>
      </c>
      <c r="H2484" s="264" t="s">
        <v>7795</v>
      </c>
      <c r="I2484" s="264" t="s">
        <v>7795</v>
      </c>
      <c r="J2484" s="295">
        <v>588.98</v>
      </c>
      <c r="K2484" s="295">
        <v>588.98</v>
      </c>
      <c r="L2484" s="295" t="s">
        <v>7240</v>
      </c>
      <c r="O2484" s="266">
        <v>0</v>
      </c>
      <c r="Q2484" s="266">
        <v>0</v>
      </c>
      <c r="R2484" s="265">
        <v>20.472452000000001</v>
      </c>
      <c r="S2484" s="265">
        <v>20.472452000000001</v>
      </c>
      <c r="V2484" s="265" t="s">
        <v>7752</v>
      </c>
      <c r="W2484" s="259">
        <v>0</v>
      </c>
      <c r="Y2484" s="259">
        <f t="shared" si="13"/>
        <v>1572</v>
      </c>
      <c r="AA2484" s="259" t="e">
        <v>#N/A</v>
      </c>
      <c r="AB2484" s="259"/>
      <c r="AC2484" s="259"/>
      <c r="AD2484" s="259"/>
      <c r="AE2484" s="259"/>
    </row>
    <row r="2485" spans="1:31">
      <c r="A2485" s="259">
        <v>90357041</v>
      </c>
      <c r="B2485" s="259" t="s">
        <v>116</v>
      </c>
      <c r="C2485" s="264" t="s">
        <v>7242</v>
      </c>
      <c r="D2485" s="264" t="s">
        <v>7797</v>
      </c>
      <c r="E2485" s="259" t="s">
        <v>7767</v>
      </c>
      <c r="H2485" s="264" t="s">
        <v>7797</v>
      </c>
      <c r="I2485" s="264" t="s">
        <v>7797</v>
      </c>
      <c r="J2485" s="295">
        <v>588.98</v>
      </c>
      <c r="K2485" s="295">
        <v>588.98</v>
      </c>
      <c r="L2485" s="295" t="s">
        <v>7240</v>
      </c>
      <c r="O2485" s="266">
        <v>0</v>
      </c>
      <c r="P2485" s="266">
        <v>5706681239313</v>
      </c>
      <c r="Q2485" s="266">
        <v>0</v>
      </c>
      <c r="R2485" s="265">
        <v>0</v>
      </c>
      <c r="S2485" s="265">
        <v>0</v>
      </c>
      <c r="V2485" s="265" t="s">
        <v>7752</v>
      </c>
      <c r="W2485" s="259">
        <v>0</v>
      </c>
      <c r="X2485" s="264" t="s">
        <v>7338</v>
      </c>
      <c r="Y2485" s="259">
        <f t="shared" si="13"/>
        <v>1573</v>
      </c>
      <c r="AA2485" s="259" t="e">
        <v>#N/A</v>
      </c>
      <c r="AB2485" s="259"/>
      <c r="AC2485" s="259"/>
      <c r="AD2485" s="259"/>
      <c r="AE2485" s="259"/>
    </row>
    <row r="2486" spans="1:31">
      <c r="A2486" s="259" t="s">
        <v>2323</v>
      </c>
      <c r="B2486" s="259" t="s">
        <v>116</v>
      </c>
      <c r="C2486" s="264"/>
      <c r="D2486" s="264"/>
      <c r="H2486" s="264"/>
      <c r="I2486" s="264"/>
      <c r="J2486" s="295">
        <v>0</v>
      </c>
      <c r="K2486" s="295">
        <v>0</v>
      </c>
      <c r="L2486" s="295">
        <v>0</v>
      </c>
      <c r="O2486" s="266"/>
      <c r="R2486" s="265"/>
      <c r="V2486" s="265">
        <v>0</v>
      </c>
      <c r="Y2486" s="259">
        <f t="shared" si="13"/>
        <v>1574</v>
      </c>
      <c r="AA2486" s="259" t="e">
        <v>#N/A</v>
      </c>
      <c r="AB2486" s="259"/>
      <c r="AC2486" s="259"/>
      <c r="AD2486" s="259"/>
      <c r="AE2486" s="259"/>
    </row>
    <row r="2487" spans="1:31">
      <c r="A2487" s="259">
        <v>90357180</v>
      </c>
      <c r="B2487" s="259" t="s">
        <v>116</v>
      </c>
      <c r="C2487" s="264" t="s">
        <v>7242</v>
      </c>
      <c r="D2487" s="264" t="s">
        <v>7798</v>
      </c>
      <c r="E2487" s="259" t="s">
        <v>7767</v>
      </c>
      <c r="H2487" s="264" t="s">
        <v>7798</v>
      </c>
      <c r="I2487" s="264" t="s">
        <v>7798</v>
      </c>
      <c r="J2487" s="295">
        <v>12.35</v>
      </c>
      <c r="K2487" s="295">
        <v>12.35</v>
      </c>
      <c r="L2487" s="295" t="s">
        <v>7240</v>
      </c>
      <c r="O2487" s="266">
        <v>0</v>
      </c>
      <c r="P2487" s="266">
        <v>5706681211319</v>
      </c>
      <c r="Q2487" s="266">
        <v>0</v>
      </c>
      <c r="R2487" s="265">
        <v>0</v>
      </c>
      <c r="V2487" s="265" t="s">
        <v>3028</v>
      </c>
      <c r="W2487" s="259" t="s">
        <v>3029</v>
      </c>
      <c r="X2487" s="264" t="s">
        <v>7793</v>
      </c>
      <c r="Y2487" s="259">
        <f t="shared" si="13"/>
        <v>1575</v>
      </c>
      <c r="AA2487" s="259" t="e">
        <v>#N/A</v>
      </c>
      <c r="AB2487" s="259"/>
      <c r="AC2487" s="259"/>
      <c r="AD2487" s="259"/>
      <c r="AE2487" s="259"/>
    </row>
    <row r="2488" spans="1:31">
      <c r="A2488" s="259">
        <v>91610110</v>
      </c>
      <c r="B2488" s="259" t="s">
        <v>116</v>
      </c>
      <c r="C2488" s="264"/>
      <c r="D2488" s="264" t="s">
        <v>2708</v>
      </c>
      <c r="E2488" s="259" t="s">
        <v>7767</v>
      </c>
      <c r="H2488" s="264" t="s">
        <v>2708</v>
      </c>
      <c r="I2488" s="264" t="s">
        <v>2708</v>
      </c>
      <c r="J2488" s="295">
        <v>27.16</v>
      </c>
      <c r="K2488" s="295">
        <v>27.16</v>
      </c>
      <c r="L2488" s="295" t="s">
        <v>7240</v>
      </c>
      <c r="O2488" s="266"/>
      <c r="R2488" s="265"/>
      <c r="V2488" s="265">
        <v>0</v>
      </c>
      <c r="Y2488" s="259">
        <f t="shared" si="13"/>
        <v>1576</v>
      </c>
      <c r="AA2488" s="259" t="e">
        <v>#N/A</v>
      </c>
      <c r="AB2488" s="259"/>
      <c r="AC2488" s="259"/>
      <c r="AD2488" s="259"/>
      <c r="AE2488" s="259"/>
    </row>
    <row r="2489" spans="1:31">
      <c r="A2489" s="259">
        <v>90357210</v>
      </c>
      <c r="B2489" s="259" t="s">
        <v>116</v>
      </c>
      <c r="C2489" s="264" t="s">
        <v>7242</v>
      </c>
      <c r="D2489" s="264" t="s">
        <v>7799</v>
      </c>
      <c r="E2489" s="259" t="s">
        <v>7767</v>
      </c>
      <c r="H2489" s="264" t="s">
        <v>7799</v>
      </c>
      <c r="I2489" s="264" t="s">
        <v>7799</v>
      </c>
      <c r="J2489" s="295">
        <v>19.760000000000002</v>
      </c>
      <c r="K2489" s="295">
        <v>19.760000000000002</v>
      </c>
      <c r="L2489" s="295" t="s">
        <v>7240</v>
      </c>
      <c r="O2489" s="266">
        <v>0</v>
      </c>
      <c r="P2489" s="266">
        <v>5706681211340</v>
      </c>
      <c r="Q2489" s="266">
        <v>0</v>
      </c>
      <c r="R2489" s="265">
        <v>0</v>
      </c>
      <c r="V2489" s="265" t="s">
        <v>3028</v>
      </c>
      <c r="W2489" s="259" t="s">
        <v>3029</v>
      </c>
      <c r="X2489" s="264" t="s">
        <v>7793</v>
      </c>
      <c r="Y2489" s="259">
        <f t="shared" si="13"/>
        <v>1577</v>
      </c>
      <c r="AA2489" s="259" t="e">
        <v>#N/A</v>
      </c>
      <c r="AB2489" s="259"/>
      <c r="AC2489" s="259"/>
      <c r="AD2489" s="259"/>
      <c r="AE2489" s="259"/>
    </row>
    <row r="2490" spans="1:31">
      <c r="A2490" s="259">
        <v>91611301</v>
      </c>
      <c r="B2490" s="259" t="s">
        <v>116</v>
      </c>
      <c r="C2490" s="264"/>
      <c r="D2490" s="264" t="s">
        <v>2709</v>
      </c>
      <c r="E2490" s="259" t="s">
        <v>7767</v>
      </c>
      <c r="H2490" s="264" t="s">
        <v>2709</v>
      </c>
      <c r="I2490" s="264" t="s">
        <v>2709</v>
      </c>
      <c r="J2490" s="295">
        <v>7.41</v>
      </c>
      <c r="K2490" s="295">
        <v>7.41</v>
      </c>
      <c r="L2490" s="295" t="s">
        <v>7240</v>
      </c>
      <c r="O2490" s="266"/>
      <c r="R2490" s="265"/>
      <c r="V2490" s="265">
        <v>0</v>
      </c>
      <c r="Y2490" s="259">
        <f t="shared" si="13"/>
        <v>1578</v>
      </c>
      <c r="AA2490" s="259" t="e">
        <v>#N/A</v>
      </c>
      <c r="AB2490" s="259"/>
      <c r="AC2490" s="259"/>
      <c r="AD2490" s="259"/>
      <c r="AE2490" s="259"/>
    </row>
    <row r="2491" spans="1:31">
      <c r="A2491" s="259" t="s">
        <v>2324</v>
      </c>
      <c r="B2491" s="259" t="s">
        <v>116</v>
      </c>
      <c r="C2491" s="264"/>
      <c r="D2491" s="264" t="s">
        <v>7800</v>
      </c>
      <c r="E2491" s="259" t="s">
        <v>7767</v>
      </c>
      <c r="H2491" s="264" t="s">
        <v>7800</v>
      </c>
      <c r="I2491" s="264" t="s">
        <v>7800</v>
      </c>
      <c r="J2491" s="295">
        <v>60.5</v>
      </c>
      <c r="K2491" s="295">
        <v>60.5</v>
      </c>
      <c r="L2491" s="295" t="s">
        <v>7240</v>
      </c>
      <c r="O2491" s="266">
        <v>0</v>
      </c>
      <c r="P2491" s="266">
        <v>5706681234813</v>
      </c>
      <c r="Q2491" s="266">
        <v>0</v>
      </c>
      <c r="R2491" s="265">
        <v>0</v>
      </c>
      <c r="S2491" s="265">
        <v>0</v>
      </c>
      <c r="V2491" s="265" t="s">
        <v>3218</v>
      </c>
      <c r="W2491" s="259">
        <v>0</v>
      </c>
      <c r="Y2491" s="259">
        <f t="shared" si="13"/>
        <v>1579</v>
      </c>
      <c r="Z2491" s="259" t="s">
        <v>3264</v>
      </c>
      <c r="AA2491" s="259" t="e">
        <v>#N/A</v>
      </c>
      <c r="AB2491" s="259"/>
      <c r="AC2491" s="259"/>
      <c r="AD2491" s="259"/>
      <c r="AE2491" s="259"/>
    </row>
    <row r="2492" spans="1:31">
      <c r="A2492" s="259">
        <v>91611374</v>
      </c>
      <c r="B2492" s="259" t="s">
        <v>116</v>
      </c>
      <c r="C2492" s="264" t="s">
        <v>7242</v>
      </c>
      <c r="D2492" s="264" t="s">
        <v>7801</v>
      </c>
      <c r="E2492" s="259" t="s">
        <v>7767</v>
      </c>
      <c r="H2492" s="264" t="s">
        <v>7801</v>
      </c>
      <c r="I2492" s="264" t="s">
        <v>7801</v>
      </c>
      <c r="J2492" s="295">
        <v>38.28</v>
      </c>
      <c r="K2492" s="295">
        <v>38.28</v>
      </c>
      <c r="L2492" s="295" t="s">
        <v>7240</v>
      </c>
      <c r="O2492" s="266">
        <v>0</v>
      </c>
      <c r="P2492" s="266">
        <v>5706681218141</v>
      </c>
      <c r="Q2492" s="266">
        <v>0</v>
      </c>
      <c r="R2492" s="265">
        <v>0</v>
      </c>
      <c r="V2492" s="265" t="s">
        <v>3028</v>
      </c>
      <c r="W2492" s="259" t="s">
        <v>3029</v>
      </c>
      <c r="X2492" s="264" t="s">
        <v>7793</v>
      </c>
      <c r="Y2492" s="259">
        <f t="shared" si="13"/>
        <v>1580</v>
      </c>
      <c r="AA2492" s="259" t="e">
        <v>#N/A</v>
      </c>
      <c r="AB2492" s="259"/>
      <c r="AC2492" s="259"/>
      <c r="AD2492" s="259"/>
      <c r="AE2492" s="259"/>
    </row>
    <row r="2493" spans="1:31">
      <c r="A2493" s="259">
        <v>91611375</v>
      </c>
      <c r="B2493" s="259" t="s">
        <v>116</v>
      </c>
      <c r="C2493" s="264" t="s">
        <v>7242</v>
      </c>
      <c r="D2493" s="264" t="s">
        <v>7802</v>
      </c>
      <c r="E2493" s="259" t="s">
        <v>7767</v>
      </c>
      <c r="H2493" s="264" t="s">
        <v>7802</v>
      </c>
      <c r="I2493" s="264" t="s">
        <v>7802</v>
      </c>
      <c r="J2493" s="295">
        <v>16.05</v>
      </c>
      <c r="K2493" s="295">
        <v>16.05</v>
      </c>
      <c r="L2493" s="295" t="s">
        <v>7240</v>
      </c>
      <c r="O2493" s="266">
        <v>0</v>
      </c>
      <c r="P2493" s="266">
        <v>5706681218158</v>
      </c>
      <c r="Q2493" s="266">
        <v>0</v>
      </c>
      <c r="R2493" s="265">
        <v>0</v>
      </c>
      <c r="V2493" s="265" t="s">
        <v>3028</v>
      </c>
      <c r="W2493" s="259" t="s">
        <v>3029</v>
      </c>
      <c r="X2493" s="264" t="s">
        <v>7793</v>
      </c>
      <c r="Y2493" s="259">
        <f t="shared" si="13"/>
        <v>1581</v>
      </c>
      <c r="AA2493" s="259" t="e">
        <v>#N/A</v>
      </c>
      <c r="AB2493" s="259"/>
      <c r="AC2493" s="259"/>
      <c r="AD2493" s="259"/>
      <c r="AE2493" s="259"/>
    </row>
    <row r="2494" spans="1:31">
      <c r="A2494" s="259">
        <v>91611376</v>
      </c>
      <c r="B2494" s="259" t="s">
        <v>116</v>
      </c>
      <c r="C2494" s="264" t="s">
        <v>7242</v>
      </c>
      <c r="D2494" s="264" t="s">
        <v>7803</v>
      </c>
      <c r="E2494" s="259" t="s">
        <v>7767</v>
      </c>
      <c r="H2494" s="264" t="s">
        <v>7803</v>
      </c>
      <c r="I2494" s="264" t="s">
        <v>7803</v>
      </c>
      <c r="J2494" s="295">
        <v>11.11</v>
      </c>
      <c r="K2494" s="295">
        <v>11.11</v>
      </c>
      <c r="L2494" s="295" t="s">
        <v>7240</v>
      </c>
      <c r="O2494" s="266">
        <v>0</v>
      </c>
      <c r="P2494" s="266">
        <v>5706681218165</v>
      </c>
      <c r="Q2494" s="266">
        <v>0</v>
      </c>
      <c r="R2494" s="265">
        <v>0</v>
      </c>
      <c r="V2494" s="265" t="s">
        <v>3028</v>
      </c>
      <c r="W2494" s="259" t="s">
        <v>3029</v>
      </c>
      <c r="X2494" s="264" t="s">
        <v>7793</v>
      </c>
      <c r="Y2494" s="259">
        <f t="shared" si="13"/>
        <v>1582</v>
      </c>
      <c r="AA2494" s="259" t="e">
        <v>#N/A</v>
      </c>
      <c r="AB2494" s="259"/>
      <c r="AC2494" s="259"/>
      <c r="AD2494" s="259"/>
      <c r="AE2494" s="259"/>
    </row>
    <row r="2495" spans="1:31">
      <c r="A2495" s="259">
        <v>91611377</v>
      </c>
      <c r="B2495" s="259" t="s">
        <v>116</v>
      </c>
      <c r="C2495" s="264" t="s">
        <v>7242</v>
      </c>
      <c r="D2495" s="264" t="s">
        <v>7804</v>
      </c>
      <c r="E2495" s="259" t="s">
        <v>7767</v>
      </c>
      <c r="H2495" s="264" t="s">
        <v>7804</v>
      </c>
      <c r="I2495" s="264" t="s">
        <v>7804</v>
      </c>
      <c r="J2495" s="295">
        <v>11.11</v>
      </c>
      <c r="K2495" s="295">
        <v>11.11</v>
      </c>
      <c r="L2495" s="295" t="s">
        <v>7240</v>
      </c>
      <c r="O2495" s="266">
        <v>0</v>
      </c>
      <c r="P2495" s="266">
        <v>5706681218172</v>
      </c>
      <c r="Q2495" s="266">
        <v>0</v>
      </c>
      <c r="R2495" s="265">
        <v>0</v>
      </c>
      <c r="V2495" s="265" t="s">
        <v>3028</v>
      </c>
      <c r="W2495" s="259" t="s">
        <v>3029</v>
      </c>
      <c r="X2495" s="264" t="s">
        <v>7793</v>
      </c>
      <c r="Y2495" s="259">
        <f t="shared" si="13"/>
        <v>1583</v>
      </c>
      <c r="AA2495" s="259" t="e">
        <v>#N/A</v>
      </c>
      <c r="AB2495" s="259"/>
      <c r="AC2495" s="259"/>
      <c r="AD2495" s="259"/>
      <c r="AE2495" s="259"/>
    </row>
    <row r="2496" spans="1:31">
      <c r="A2496" s="259">
        <v>91611386</v>
      </c>
      <c r="B2496" s="259" t="s">
        <v>116</v>
      </c>
      <c r="C2496" s="264" t="s">
        <v>7242</v>
      </c>
      <c r="D2496" s="264" t="s">
        <v>7805</v>
      </c>
      <c r="E2496" s="259" t="s">
        <v>7767</v>
      </c>
      <c r="H2496" s="264" t="s">
        <v>7805</v>
      </c>
      <c r="I2496" s="264" t="s">
        <v>7805</v>
      </c>
      <c r="J2496" s="295">
        <v>38.28</v>
      </c>
      <c r="K2496" s="295">
        <v>38.28</v>
      </c>
      <c r="L2496" s="295" t="s">
        <v>7240</v>
      </c>
      <c r="O2496" s="266">
        <v>0</v>
      </c>
      <c r="P2496" s="266">
        <v>5706681218264</v>
      </c>
      <c r="Q2496" s="266">
        <v>0</v>
      </c>
      <c r="R2496" s="265">
        <v>0</v>
      </c>
      <c r="V2496" s="265" t="s">
        <v>3028</v>
      </c>
      <c r="W2496" s="259" t="s">
        <v>3029</v>
      </c>
      <c r="X2496" s="264" t="s">
        <v>7793</v>
      </c>
      <c r="Y2496" s="259">
        <f t="shared" si="13"/>
        <v>1584</v>
      </c>
      <c r="AA2496" s="259" t="e">
        <v>#N/A</v>
      </c>
      <c r="AB2496" s="259"/>
      <c r="AC2496" s="259"/>
      <c r="AD2496" s="259"/>
      <c r="AE2496" s="259"/>
    </row>
    <row r="2497" spans="1:31">
      <c r="A2497" s="259">
        <v>91611387</v>
      </c>
      <c r="B2497" s="259" t="s">
        <v>116</v>
      </c>
      <c r="C2497" s="264" t="s">
        <v>7242</v>
      </c>
      <c r="D2497" s="264" t="s">
        <v>7806</v>
      </c>
      <c r="E2497" s="259" t="s">
        <v>7767</v>
      </c>
      <c r="H2497" s="264" t="s">
        <v>7806</v>
      </c>
      <c r="I2497" s="264" t="s">
        <v>7806</v>
      </c>
      <c r="J2497" s="295">
        <v>16.05</v>
      </c>
      <c r="K2497" s="295">
        <v>16.05</v>
      </c>
      <c r="L2497" s="295" t="s">
        <v>7240</v>
      </c>
      <c r="O2497" s="266">
        <v>0</v>
      </c>
      <c r="P2497" s="266">
        <v>5706681218271</v>
      </c>
      <c r="Q2497" s="266">
        <v>0</v>
      </c>
      <c r="R2497" s="265">
        <v>0</v>
      </c>
      <c r="V2497" s="265" t="s">
        <v>3028</v>
      </c>
      <c r="W2497" s="259" t="s">
        <v>3029</v>
      </c>
      <c r="X2497" s="264" t="s">
        <v>7793</v>
      </c>
      <c r="Y2497" s="259">
        <f t="shared" si="13"/>
        <v>1585</v>
      </c>
      <c r="AA2497" s="259" t="e">
        <v>#N/A</v>
      </c>
      <c r="AB2497" s="259"/>
      <c r="AC2497" s="259"/>
      <c r="AD2497" s="259"/>
      <c r="AE2497" s="259"/>
    </row>
    <row r="2498" spans="1:31">
      <c r="A2498" s="259">
        <v>91611388</v>
      </c>
      <c r="B2498" s="259" t="s">
        <v>116</v>
      </c>
      <c r="C2498" s="264" t="s">
        <v>7242</v>
      </c>
      <c r="D2498" s="264" t="s">
        <v>7807</v>
      </c>
      <c r="E2498" s="259" t="s">
        <v>7767</v>
      </c>
      <c r="H2498" s="264" t="s">
        <v>7807</v>
      </c>
      <c r="I2498" s="264" t="s">
        <v>7807</v>
      </c>
      <c r="J2498" s="295">
        <v>11.11</v>
      </c>
      <c r="K2498" s="295">
        <v>11.11</v>
      </c>
      <c r="L2498" s="295" t="s">
        <v>7240</v>
      </c>
      <c r="O2498" s="266">
        <v>0</v>
      </c>
      <c r="P2498" s="266">
        <v>5706681218288</v>
      </c>
      <c r="Q2498" s="266">
        <v>0</v>
      </c>
      <c r="R2498" s="265">
        <v>0</v>
      </c>
      <c r="V2498" s="265" t="s">
        <v>3028</v>
      </c>
      <c r="W2498" s="259" t="s">
        <v>3029</v>
      </c>
      <c r="X2498" s="264" t="s">
        <v>7793</v>
      </c>
      <c r="Y2498" s="259">
        <f t="shared" si="13"/>
        <v>1586</v>
      </c>
      <c r="AA2498" s="259" t="e">
        <v>#N/A</v>
      </c>
      <c r="AB2498" s="259"/>
      <c r="AC2498" s="259"/>
      <c r="AD2498" s="259"/>
      <c r="AE2498" s="259"/>
    </row>
    <row r="2499" spans="1:31">
      <c r="A2499" s="259">
        <v>91611389</v>
      </c>
      <c r="B2499" s="259" t="s">
        <v>116</v>
      </c>
      <c r="C2499" s="264" t="s">
        <v>7242</v>
      </c>
      <c r="D2499" s="264" t="s">
        <v>7808</v>
      </c>
      <c r="E2499" s="259" t="s">
        <v>7767</v>
      </c>
      <c r="H2499" s="264" t="s">
        <v>7808</v>
      </c>
      <c r="I2499" s="264" t="s">
        <v>7808</v>
      </c>
      <c r="J2499" s="295">
        <v>11.11</v>
      </c>
      <c r="K2499" s="295">
        <v>11.11</v>
      </c>
      <c r="L2499" s="295" t="s">
        <v>7240</v>
      </c>
      <c r="O2499" s="266">
        <v>0</v>
      </c>
      <c r="P2499" s="266">
        <v>5706681218295</v>
      </c>
      <c r="Q2499" s="266">
        <v>0</v>
      </c>
      <c r="R2499" s="265">
        <v>0</v>
      </c>
      <c r="V2499" s="265" t="s">
        <v>3028</v>
      </c>
      <c r="W2499" s="259" t="s">
        <v>3029</v>
      </c>
      <c r="X2499" s="264" t="s">
        <v>7793</v>
      </c>
      <c r="Y2499" s="259">
        <f t="shared" si="13"/>
        <v>1587</v>
      </c>
      <c r="AA2499" s="259" t="e">
        <v>#N/A</v>
      </c>
      <c r="AB2499" s="259"/>
      <c r="AC2499" s="259"/>
      <c r="AD2499" s="259"/>
      <c r="AE2499" s="259"/>
    </row>
    <row r="2500" spans="1:31">
      <c r="A2500" s="259">
        <v>91611410</v>
      </c>
      <c r="B2500" s="259" t="s">
        <v>116</v>
      </c>
      <c r="C2500" s="264" t="s">
        <v>7242</v>
      </c>
      <c r="D2500" s="264" t="s">
        <v>7809</v>
      </c>
      <c r="E2500" s="259" t="s">
        <v>7767</v>
      </c>
      <c r="G2500" s="259" t="s">
        <v>7357</v>
      </c>
      <c r="H2500" s="264" t="s">
        <v>7809</v>
      </c>
      <c r="I2500" s="264" t="s">
        <v>7809</v>
      </c>
      <c r="J2500" s="295">
        <v>12.35</v>
      </c>
      <c r="K2500" s="295">
        <v>12.35</v>
      </c>
      <c r="L2500" s="295" t="s">
        <v>7240</v>
      </c>
      <c r="O2500" s="266">
        <v>0</v>
      </c>
      <c r="Q2500" s="266">
        <v>0</v>
      </c>
      <c r="R2500" s="265">
        <v>0</v>
      </c>
      <c r="V2500" s="265" t="s">
        <v>3028</v>
      </c>
      <c r="W2500" s="259" t="s">
        <v>3029</v>
      </c>
      <c r="X2500" s="264" t="s">
        <v>7793</v>
      </c>
      <c r="Y2500" s="259">
        <f t="shared" si="13"/>
        <v>1588</v>
      </c>
      <c r="AA2500" s="259" t="e">
        <v>#N/A</v>
      </c>
      <c r="AB2500" s="259"/>
      <c r="AC2500" s="259"/>
      <c r="AD2500" s="259"/>
      <c r="AE2500" s="259"/>
    </row>
    <row r="2501" spans="1:31">
      <c r="A2501" s="259">
        <v>91611420</v>
      </c>
      <c r="B2501" s="259" t="s">
        <v>116</v>
      </c>
      <c r="C2501" s="264" t="s">
        <v>7242</v>
      </c>
      <c r="D2501" s="264" t="s">
        <v>7810</v>
      </c>
      <c r="E2501" s="259" t="s">
        <v>7767</v>
      </c>
      <c r="G2501" s="259" t="s">
        <v>7357</v>
      </c>
      <c r="H2501" s="264" t="s">
        <v>7810</v>
      </c>
      <c r="I2501" s="264" t="s">
        <v>7810</v>
      </c>
      <c r="J2501" s="295">
        <v>7.41</v>
      </c>
      <c r="K2501" s="295">
        <v>7.41</v>
      </c>
      <c r="L2501" s="295" t="s">
        <v>7240</v>
      </c>
      <c r="O2501" s="266">
        <v>0</v>
      </c>
      <c r="Q2501" s="266">
        <v>0</v>
      </c>
      <c r="R2501" s="265">
        <v>0</v>
      </c>
      <c r="V2501" s="265" t="s">
        <v>3028</v>
      </c>
      <c r="W2501" s="259" t="s">
        <v>3029</v>
      </c>
      <c r="X2501" s="264" t="s">
        <v>7793</v>
      </c>
      <c r="Y2501" s="259">
        <f t="shared" si="13"/>
        <v>1589</v>
      </c>
      <c r="AA2501" s="259" t="e">
        <v>#N/A</v>
      </c>
      <c r="AB2501" s="259"/>
      <c r="AC2501" s="259"/>
      <c r="AD2501" s="259"/>
      <c r="AE2501" s="259"/>
    </row>
    <row r="2502" spans="1:31">
      <c r="A2502" s="259" t="s">
        <v>2325</v>
      </c>
      <c r="B2502" s="259" t="s">
        <v>116</v>
      </c>
      <c r="C2502" s="264"/>
      <c r="D2502" s="264"/>
      <c r="H2502" s="264"/>
      <c r="I2502" s="264"/>
      <c r="J2502" s="295">
        <v>0</v>
      </c>
      <c r="K2502" s="295">
        <v>0</v>
      </c>
      <c r="L2502" s="295">
        <v>0</v>
      </c>
      <c r="O2502" s="266"/>
      <c r="R2502" s="265"/>
      <c r="V2502" s="265">
        <v>0</v>
      </c>
      <c r="Y2502" s="259">
        <f t="shared" si="13"/>
        <v>1590</v>
      </c>
      <c r="AA2502" s="259" t="e">
        <v>#N/A</v>
      </c>
      <c r="AB2502" s="259"/>
      <c r="AC2502" s="259"/>
      <c r="AD2502" s="259"/>
      <c r="AE2502" s="259"/>
    </row>
    <row r="2503" spans="1:31">
      <c r="A2503" s="259">
        <v>90357190</v>
      </c>
      <c r="B2503" s="259" t="s">
        <v>116</v>
      </c>
      <c r="C2503" s="264" t="s">
        <v>7765</v>
      </c>
      <c r="D2503" s="264" t="s">
        <v>7811</v>
      </c>
      <c r="E2503" s="259" t="s">
        <v>7767</v>
      </c>
      <c r="H2503" s="264" t="s">
        <v>7811</v>
      </c>
      <c r="I2503" s="264" t="s">
        <v>7811</v>
      </c>
      <c r="J2503" s="295">
        <v>16.05</v>
      </c>
      <c r="K2503" s="295">
        <v>16.05</v>
      </c>
      <c r="L2503" s="295" t="s">
        <v>7240</v>
      </c>
      <c r="O2503" s="266">
        <v>0</v>
      </c>
      <c r="P2503" s="266">
        <v>5706681211326</v>
      </c>
      <c r="Q2503" s="266">
        <v>0</v>
      </c>
      <c r="R2503" s="265">
        <v>0</v>
      </c>
      <c r="V2503" s="265" t="s">
        <v>3247</v>
      </c>
      <c r="W2503" s="259" t="s">
        <v>3029</v>
      </c>
      <c r="X2503" s="264" t="s">
        <v>7812</v>
      </c>
      <c r="Y2503" s="259">
        <f t="shared" si="13"/>
        <v>1591</v>
      </c>
      <c r="AA2503" s="259" t="e">
        <v>#N/A</v>
      </c>
      <c r="AB2503" s="259"/>
      <c r="AC2503" s="259"/>
      <c r="AD2503" s="259"/>
      <c r="AE2503" s="259"/>
    </row>
    <row r="2504" spans="1:31">
      <c r="A2504" s="259">
        <v>91610109</v>
      </c>
      <c r="B2504" s="259" t="s">
        <v>116</v>
      </c>
      <c r="C2504" s="264" t="s">
        <v>7765</v>
      </c>
      <c r="D2504" s="264" t="s">
        <v>7813</v>
      </c>
      <c r="E2504" s="259" t="s">
        <v>7767</v>
      </c>
      <c r="H2504" s="264" t="s">
        <v>7813</v>
      </c>
      <c r="I2504" s="264" t="s">
        <v>7813</v>
      </c>
      <c r="J2504" s="295">
        <v>32.1</v>
      </c>
      <c r="K2504" s="295">
        <v>32.1</v>
      </c>
      <c r="L2504" s="295" t="s">
        <v>7240</v>
      </c>
      <c r="O2504" s="266">
        <v>0</v>
      </c>
      <c r="Q2504" s="266">
        <v>0</v>
      </c>
      <c r="R2504" s="265">
        <v>0</v>
      </c>
      <c r="V2504" s="265" t="s">
        <v>3247</v>
      </c>
      <c r="W2504" s="259">
        <v>0</v>
      </c>
      <c r="X2504" s="264" t="s">
        <v>7812</v>
      </c>
      <c r="Y2504" s="259">
        <f t="shared" si="13"/>
        <v>1592</v>
      </c>
      <c r="AA2504" s="259" t="e">
        <v>#N/A</v>
      </c>
      <c r="AB2504" s="259"/>
      <c r="AC2504" s="259"/>
      <c r="AD2504" s="259"/>
      <c r="AE2504" s="259"/>
    </row>
    <row r="2505" spans="1:31">
      <c r="A2505" s="259">
        <v>90357220</v>
      </c>
      <c r="B2505" s="259" t="s">
        <v>116</v>
      </c>
      <c r="C2505" s="264" t="s">
        <v>7765</v>
      </c>
      <c r="D2505" s="264" t="s">
        <v>7814</v>
      </c>
      <c r="E2505" s="259" t="s">
        <v>7767</v>
      </c>
      <c r="H2505" s="264" t="s">
        <v>7814</v>
      </c>
      <c r="I2505" s="264" t="s">
        <v>7814</v>
      </c>
      <c r="J2505" s="295">
        <v>22.23</v>
      </c>
      <c r="K2505" s="295">
        <v>22.23</v>
      </c>
      <c r="L2505" s="295" t="s">
        <v>7240</v>
      </c>
      <c r="O2505" s="266">
        <v>0</v>
      </c>
      <c r="P2505" s="266">
        <v>5706681211357</v>
      </c>
      <c r="Q2505" s="266">
        <v>0</v>
      </c>
      <c r="R2505" s="265">
        <v>0</v>
      </c>
      <c r="V2505" s="265" t="s">
        <v>3247</v>
      </c>
      <c r="W2505" s="259" t="s">
        <v>3029</v>
      </c>
      <c r="X2505" s="264" t="s">
        <v>7812</v>
      </c>
      <c r="Y2505" s="259">
        <f t="shared" si="13"/>
        <v>1593</v>
      </c>
      <c r="AA2505" s="259" t="e">
        <v>#N/A</v>
      </c>
      <c r="AB2505" s="259"/>
      <c r="AC2505" s="259"/>
      <c r="AD2505" s="259"/>
      <c r="AE2505" s="259"/>
    </row>
    <row r="2506" spans="1:31">
      <c r="A2506" s="259">
        <v>91611302</v>
      </c>
      <c r="B2506" s="259" t="s">
        <v>116</v>
      </c>
      <c r="C2506" s="264"/>
      <c r="D2506" s="264" t="s">
        <v>2710</v>
      </c>
      <c r="E2506" s="259" t="s">
        <v>7767</v>
      </c>
      <c r="H2506" s="264" t="s">
        <v>2710</v>
      </c>
      <c r="I2506" s="264" t="s">
        <v>2710</v>
      </c>
      <c r="J2506" s="295">
        <v>8.64</v>
      </c>
      <c r="K2506" s="295">
        <v>8.64</v>
      </c>
      <c r="L2506" s="295" t="s">
        <v>7240</v>
      </c>
      <c r="O2506" s="266"/>
      <c r="R2506" s="265"/>
      <c r="V2506" s="265">
        <v>0</v>
      </c>
      <c r="Y2506" s="259">
        <f t="shared" si="13"/>
        <v>1594</v>
      </c>
      <c r="AA2506" s="259" t="e">
        <v>#N/A</v>
      </c>
      <c r="AB2506" s="259"/>
      <c r="AC2506" s="259"/>
      <c r="AD2506" s="259"/>
      <c r="AE2506" s="259"/>
    </row>
    <row r="2507" spans="1:31">
      <c r="A2507" s="259" t="s">
        <v>2326</v>
      </c>
      <c r="B2507" s="259" t="s">
        <v>116</v>
      </c>
      <c r="C2507" s="264"/>
      <c r="D2507" s="264" t="s">
        <v>7815</v>
      </c>
      <c r="E2507" s="259" t="s">
        <v>7767</v>
      </c>
      <c r="H2507" s="264" t="s">
        <v>7815</v>
      </c>
      <c r="I2507" s="264" t="s">
        <v>7815</v>
      </c>
      <c r="J2507" s="295">
        <v>62.97</v>
      </c>
      <c r="K2507" s="295">
        <v>62.97</v>
      </c>
      <c r="L2507" s="295" t="s">
        <v>7240</v>
      </c>
      <c r="O2507" s="266">
        <v>0</v>
      </c>
      <c r="P2507" s="266">
        <v>5706681234820</v>
      </c>
      <c r="Q2507" s="266">
        <v>0</v>
      </c>
      <c r="R2507" s="265">
        <v>0</v>
      </c>
      <c r="S2507" s="265">
        <v>0</v>
      </c>
      <c r="V2507" s="265" t="s">
        <v>3218</v>
      </c>
      <c r="W2507" s="259">
        <v>0</v>
      </c>
      <c r="Y2507" s="259">
        <f t="shared" si="13"/>
        <v>1595</v>
      </c>
      <c r="Z2507" s="259" t="s">
        <v>3264</v>
      </c>
      <c r="AA2507" s="259" t="e">
        <v>#N/A</v>
      </c>
      <c r="AB2507" s="259"/>
      <c r="AC2507" s="259"/>
      <c r="AD2507" s="259"/>
      <c r="AE2507" s="259"/>
    </row>
    <row r="2508" spans="1:31">
      <c r="A2508" s="259">
        <v>91611378</v>
      </c>
      <c r="B2508" s="259" t="s">
        <v>116</v>
      </c>
      <c r="C2508" s="264"/>
      <c r="D2508" s="264" t="s">
        <v>2711</v>
      </c>
      <c r="E2508" s="259" t="s">
        <v>7767</v>
      </c>
      <c r="H2508" s="264" t="s">
        <v>2711</v>
      </c>
      <c r="I2508" s="264" t="s">
        <v>2711</v>
      </c>
      <c r="J2508" s="295">
        <v>43.22</v>
      </c>
      <c r="K2508" s="295">
        <v>43.22</v>
      </c>
      <c r="L2508" s="295" t="s">
        <v>7240</v>
      </c>
      <c r="O2508" s="266"/>
      <c r="P2508" s="266">
        <v>5706681218189</v>
      </c>
      <c r="R2508" s="265"/>
      <c r="V2508" s="265">
        <v>0</v>
      </c>
      <c r="Y2508" s="259">
        <f t="shared" si="13"/>
        <v>1596</v>
      </c>
      <c r="AA2508" s="259" t="e">
        <v>#N/A</v>
      </c>
      <c r="AB2508" s="259"/>
      <c r="AC2508" s="259"/>
      <c r="AD2508" s="259"/>
      <c r="AE2508" s="259"/>
    </row>
    <row r="2509" spans="1:31">
      <c r="A2509" s="259">
        <v>91611379</v>
      </c>
      <c r="B2509" s="259" t="s">
        <v>116</v>
      </c>
      <c r="C2509" s="264"/>
      <c r="D2509" s="264" t="s">
        <v>2712</v>
      </c>
      <c r="E2509" s="259" t="s">
        <v>7767</v>
      </c>
      <c r="H2509" s="264" t="s">
        <v>2712</v>
      </c>
      <c r="I2509" s="264" t="s">
        <v>2712</v>
      </c>
      <c r="J2509" s="295">
        <v>19.760000000000002</v>
      </c>
      <c r="K2509" s="295">
        <v>19.760000000000002</v>
      </c>
      <c r="L2509" s="295" t="s">
        <v>7240</v>
      </c>
      <c r="O2509" s="266"/>
      <c r="P2509" s="266">
        <v>5706681218196</v>
      </c>
      <c r="R2509" s="265"/>
      <c r="V2509" s="265">
        <v>0</v>
      </c>
      <c r="Y2509" s="259">
        <f t="shared" si="13"/>
        <v>1597</v>
      </c>
      <c r="AA2509" s="259" t="e">
        <v>#N/A</v>
      </c>
      <c r="AB2509" s="259"/>
      <c r="AC2509" s="259"/>
      <c r="AD2509" s="259"/>
      <c r="AE2509" s="259"/>
    </row>
    <row r="2510" spans="1:31">
      <c r="A2510" s="259">
        <v>91611380</v>
      </c>
      <c r="B2510" s="259" t="s">
        <v>116</v>
      </c>
      <c r="C2510" s="264" t="s">
        <v>7242</v>
      </c>
      <c r="D2510" s="264" t="s">
        <v>7816</v>
      </c>
      <c r="E2510" s="259" t="s">
        <v>7767</v>
      </c>
      <c r="H2510" s="264" t="s">
        <v>7816</v>
      </c>
      <c r="I2510" s="264" t="s">
        <v>7816</v>
      </c>
      <c r="J2510" s="295">
        <v>12.35</v>
      </c>
      <c r="K2510" s="295">
        <v>12.35</v>
      </c>
      <c r="L2510" s="295" t="s">
        <v>7240</v>
      </c>
      <c r="O2510" s="266">
        <v>0</v>
      </c>
      <c r="P2510" s="266">
        <v>5706681218202</v>
      </c>
      <c r="Q2510" s="266">
        <v>0</v>
      </c>
      <c r="R2510" s="265">
        <v>0</v>
      </c>
      <c r="V2510" s="265" t="s">
        <v>3028</v>
      </c>
      <c r="W2510" s="259" t="s">
        <v>3029</v>
      </c>
      <c r="X2510" s="264" t="s">
        <v>7812</v>
      </c>
      <c r="Y2510" s="259">
        <f t="shared" si="13"/>
        <v>1598</v>
      </c>
      <c r="AA2510" s="259" t="e">
        <v>#N/A</v>
      </c>
      <c r="AB2510" s="259"/>
      <c r="AC2510" s="259"/>
      <c r="AD2510" s="259"/>
      <c r="AE2510" s="259"/>
    </row>
    <row r="2511" spans="1:31">
      <c r="A2511" s="259">
        <v>91611381</v>
      </c>
      <c r="B2511" s="259" t="s">
        <v>116</v>
      </c>
      <c r="C2511" s="264" t="s">
        <v>7242</v>
      </c>
      <c r="D2511" s="264" t="s">
        <v>7817</v>
      </c>
      <c r="E2511" s="259" t="s">
        <v>7767</v>
      </c>
      <c r="H2511" s="264" t="s">
        <v>7817</v>
      </c>
      <c r="I2511" s="264" t="s">
        <v>7817</v>
      </c>
      <c r="J2511" s="295">
        <v>12.35</v>
      </c>
      <c r="K2511" s="295">
        <v>12.35</v>
      </c>
      <c r="L2511" s="295" t="s">
        <v>7240</v>
      </c>
      <c r="O2511" s="266">
        <v>0</v>
      </c>
      <c r="P2511" s="266">
        <v>5706681218219</v>
      </c>
      <c r="Q2511" s="266">
        <v>0</v>
      </c>
      <c r="R2511" s="265">
        <v>0</v>
      </c>
      <c r="V2511" s="265">
        <v>0</v>
      </c>
      <c r="W2511" s="259" t="s">
        <v>3029</v>
      </c>
      <c r="X2511" s="264" t="s">
        <v>7812</v>
      </c>
      <c r="Y2511" s="259">
        <f t="shared" si="13"/>
        <v>1599</v>
      </c>
      <c r="AA2511" s="259" t="e">
        <v>#N/A</v>
      </c>
      <c r="AB2511" s="259"/>
      <c r="AC2511" s="259"/>
      <c r="AD2511" s="259"/>
      <c r="AE2511" s="259"/>
    </row>
    <row r="2512" spans="1:31">
      <c r="A2512" s="259">
        <v>91611390</v>
      </c>
      <c r="B2512" s="259" t="s">
        <v>116</v>
      </c>
      <c r="C2512" s="264" t="s">
        <v>7242</v>
      </c>
      <c r="D2512" s="264" t="s">
        <v>7818</v>
      </c>
      <c r="E2512" s="259" t="s">
        <v>7767</v>
      </c>
      <c r="H2512" s="264" t="s">
        <v>7818</v>
      </c>
      <c r="I2512" s="264" t="s">
        <v>7818</v>
      </c>
      <c r="J2512" s="295">
        <v>43.22</v>
      </c>
      <c r="K2512" s="295">
        <v>43.22</v>
      </c>
      <c r="L2512" s="295" t="s">
        <v>7240</v>
      </c>
      <c r="O2512" s="266">
        <v>0</v>
      </c>
      <c r="P2512" s="266">
        <v>5706681218301</v>
      </c>
      <c r="Q2512" s="266">
        <v>0</v>
      </c>
      <c r="R2512" s="265">
        <v>0</v>
      </c>
      <c r="V2512" s="265">
        <v>0</v>
      </c>
      <c r="W2512" s="259" t="s">
        <v>3029</v>
      </c>
      <c r="X2512" s="264" t="s">
        <v>7812</v>
      </c>
      <c r="Y2512" s="259">
        <f t="shared" si="13"/>
        <v>1600</v>
      </c>
      <c r="AA2512" s="259" t="e">
        <v>#N/A</v>
      </c>
      <c r="AB2512" s="259"/>
      <c r="AC2512" s="259"/>
      <c r="AD2512" s="259"/>
      <c r="AE2512" s="259"/>
    </row>
    <row r="2513" spans="1:31">
      <c r="A2513" s="259">
        <v>91611391</v>
      </c>
      <c r="B2513" s="259" t="s">
        <v>116</v>
      </c>
      <c r="C2513" s="264" t="s">
        <v>7242</v>
      </c>
      <c r="D2513" s="264" t="s">
        <v>7819</v>
      </c>
      <c r="E2513" s="259" t="s">
        <v>7767</v>
      </c>
      <c r="H2513" s="264" t="s">
        <v>7819</v>
      </c>
      <c r="I2513" s="264" t="s">
        <v>7819</v>
      </c>
      <c r="J2513" s="295">
        <v>19.760000000000002</v>
      </c>
      <c r="K2513" s="295">
        <v>19.760000000000002</v>
      </c>
      <c r="L2513" s="295" t="s">
        <v>7240</v>
      </c>
      <c r="O2513" s="266">
        <v>0</v>
      </c>
      <c r="P2513" s="266">
        <v>5706681218318</v>
      </c>
      <c r="Q2513" s="266">
        <v>0</v>
      </c>
      <c r="R2513" s="265">
        <v>0</v>
      </c>
      <c r="V2513" s="265">
        <v>0</v>
      </c>
      <c r="W2513" s="259" t="s">
        <v>3029</v>
      </c>
      <c r="X2513" s="264" t="s">
        <v>7812</v>
      </c>
      <c r="Y2513" s="259">
        <f t="shared" si="13"/>
        <v>1601</v>
      </c>
      <c r="AA2513" s="259" t="e">
        <v>#N/A</v>
      </c>
      <c r="AB2513" s="259"/>
      <c r="AC2513" s="259"/>
      <c r="AD2513" s="259"/>
      <c r="AE2513" s="259"/>
    </row>
    <row r="2514" spans="1:31">
      <c r="A2514" s="259">
        <v>91611392</v>
      </c>
      <c r="B2514" s="259" t="s">
        <v>116</v>
      </c>
      <c r="C2514" s="264" t="s">
        <v>7242</v>
      </c>
      <c r="D2514" s="264" t="s">
        <v>7820</v>
      </c>
      <c r="E2514" s="259" t="s">
        <v>7767</v>
      </c>
      <c r="H2514" s="264" t="s">
        <v>7820</v>
      </c>
      <c r="I2514" s="264" t="s">
        <v>7820</v>
      </c>
      <c r="J2514" s="295">
        <v>12.35</v>
      </c>
      <c r="K2514" s="295">
        <v>12.35</v>
      </c>
      <c r="L2514" s="295" t="s">
        <v>7240</v>
      </c>
      <c r="O2514" s="266">
        <v>0</v>
      </c>
      <c r="P2514" s="266">
        <v>5706681218325</v>
      </c>
      <c r="Q2514" s="266">
        <v>0</v>
      </c>
      <c r="R2514" s="265">
        <v>0</v>
      </c>
      <c r="V2514" s="265">
        <v>0</v>
      </c>
      <c r="W2514" s="259" t="s">
        <v>3029</v>
      </c>
      <c r="X2514" s="264" t="s">
        <v>7812</v>
      </c>
      <c r="Y2514" s="259">
        <f t="shared" si="13"/>
        <v>1602</v>
      </c>
      <c r="AA2514" s="259" t="e">
        <v>#N/A</v>
      </c>
      <c r="AB2514" s="259"/>
      <c r="AC2514" s="259"/>
      <c r="AD2514" s="259"/>
      <c r="AE2514" s="259"/>
    </row>
    <row r="2515" spans="1:31">
      <c r="A2515" s="259">
        <v>91611393</v>
      </c>
      <c r="B2515" s="259" t="s">
        <v>116</v>
      </c>
      <c r="C2515" s="264" t="s">
        <v>7242</v>
      </c>
      <c r="D2515" s="264" t="s">
        <v>7821</v>
      </c>
      <c r="E2515" s="259" t="s">
        <v>7767</v>
      </c>
      <c r="H2515" s="264" t="s">
        <v>7821</v>
      </c>
      <c r="I2515" s="264" t="s">
        <v>7821</v>
      </c>
      <c r="J2515" s="295">
        <v>12.35</v>
      </c>
      <c r="K2515" s="295">
        <v>12.35</v>
      </c>
      <c r="L2515" s="295" t="s">
        <v>7240</v>
      </c>
      <c r="O2515" s="266">
        <v>0</v>
      </c>
      <c r="P2515" s="266">
        <v>5706681218332</v>
      </c>
      <c r="Q2515" s="266">
        <v>0</v>
      </c>
      <c r="R2515" s="265">
        <v>0</v>
      </c>
      <c r="V2515" s="265">
        <v>0</v>
      </c>
      <c r="W2515" s="259" t="s">
        <v>3029</v>
      </c>
      <c r="X2515" s="264" t="s">
        <v>7812</v>
      </c>
      <c r="Y2515" s="259">
        <f t="shared" si="13"/>
        <v>1603</v>
      </c>
      <c r="AA2515" s="259" t="e">
        <v>#N/A</v>
      </c>
      <c r="AB2515" s="259"/>
      <c r="AC2515" s="259"/>
      <c r="AD2515" s="259"/>
      <c r="AE2515" s="259"/>
    </row>
    <row r="2516" spans="1:31">
      <c r="A2516" s="259">
        <v>91611450</v>
      </c>
      <c r="B2516" s="259" t="s">
        <v>116</v>
      </c>
      <c r="C2516" s="264" t="s">
        <v>7242</v>
      </c>
      <c r="D2516" s="264" t="s">
        <v>7822</v>
      </c>
      <c r="E2516" s="259" t="s">
        <v>7767</v>
      </c>
      <c r="G2516" s="259" t="s">
        <v>7357</v>
      </c>
      <c r="H2516" s="264" t="s">
        <v>7822</v>
      </c>
      <c r="I2516" s="264" t="s">
        <v>7822</v>
      </c>
      <c r="J2516" s="295">
        <v>14.82</v>
      </c>
      <c r="K2516" s="295">
        <v>14.82</v>
      </c>
      <c r="L2516" s="295" t="s">
        <v>7240</v>
      </c>
      <c r="O2516" s="266">
        <v>0</v>
      </c>
      <c r="Q2516" s="266">
        <v>0</v>
      </c>
      <c r="R2516" s="265">
        <v>0</v>
      </c>
      <c r="V2516" s="265">
        <v>0</v>
      </c>
      <c r="W2516" s="259" t="s">
        <v>3029</v>
      </c>
      <c r="X2516" s="264" t="s">
        <v>7812</v>
      </c>
      <c r="Y2516" s="259">
        <f t="shared" si="13"/>
        <v>1604</v>
      </c>
      <c r="AA2516" s="259" t="e">
        <v>#N/A</v>
      </c>
      <c r="AB2516" s="259"/>
      <c r="AC2516" s="259"/>
      <c r="AD2516" s="259"/>
      <c r="AE2516" s="259"/>
    </row>
    <row r="2517" spans="1:31">
      <c r="A2517" s="259">
        <v>91611470</v>
      </c>
      <c r="B2517" s="259" t="s">
        <v>116</v>
      </c>
      <c r="C2517" s="264" t="s">
        <v>7242</v>
      </c>
      <c r="D2517" s="264" t="s">
        <v>7823</v>
      </c>
      <c r="E2517" s="259" t="s">
        <v>7767</v>
      </c>
      <c r="G2517" s="259" t="s">
        <v>7357</v>
      </c>
      <c r="H2517" s="264" t="s">
        <v>7823</v>
      </c>
      <c r="I2517" s="264" t="s">
        <v>7823</v>
      </c>
      <c r="J2517" s="295">
        <v>9.8800000000000008</v>
      </c>
      <c r="K2517" s="295">
        <v>9.8800000000000008</v>
      </c>
      <c r="L2517" s="295" t="s">
        <v>7240</v>
      </c>
      <c r="O2517" s="266">
        <v>0</v>
      </c>
      <c r="Q2517" s="266">
        <v>0</v>
      </c>
      <c r="R2517" s="265">
        <v>0</v>
      </c>
      <c r="V2517" s="265">
        <v>0</v>
      </c>
      <c r="W2517" s="259" t="s">
        <v>3029</v>
      </c>
      <c r="X2517" s="264" t="s">
        <v>7812</v>
      </c>
      <c r="Y2517" s="259">
        <f t="shared" si="13"/>
        <v>1605</v>
      </c>
      <c r="AA2517" s="259" t="e">
        <v>#N/A</v>
      </c>
      <c r="AB2517" s="259"/>
      <c r="AC2517" s="259"/>
      <c r="AD2517" s="259"/>
      <c r="AE2517" s="259"/>
    </row>
    <row r="2518" spans="1:31">
      <c r="A2518" s="259" t="s">
        <v>2327</v>
      </c>
      <c r="B2518" s="259" t="s">
        <v>116</v>
      </c>
      <c r="C2518" s="264"/>
      <c r="D2518" s="264"/>
      <c r="H2518" s="264"/>
      <c r="I2518" s="264"/>
      <c r="J2518" s="295">
        <v>0</v>
      </c>
      <c r="K2518" s="295">
        <v>0</v>
      </c>
      <c r="L2518" s="295">
        <v>0</v>
      </c>
      <c r="O2518" s="266"/>
      <c r="R2518" s="265"/>
      <c r="V2518" s="265">
        <v>0</v>
      </c>
      <c r="Y2518" s="259">
        <f t="shared" si="13"/>
        <v>1606</v>
      </c>
      <c r="AA2518" s="259" t="e">
        <v>#N/A</v>
      </c>
      <c r="AB2518" s="259"/>
      <c r="AC2518" s="259"/>
      <c r="AD2518" s="259"/>
      <c r="AE2518" s="259"/>
    </row>
    <row r="2519" spans="1:31">
      <c r="A2519" s="259">
        <v>90357200</v>
      </c>
      <c r="B2519" s="259" t="s">
        <v>116</v>
      </c>
      <c r="C2519" s="264" t="s">
        <v>7242</v>
      </c>
      <c r="D2519" s="264" t="s">
        <v>7824</v>
      </c>
      <c r="E2519" s="259" t="s">
        <v>7767</v>
      </c>
      <c r="H2519" s="264" t="s">
        <v>7824</v>
      </c>
      <c r="I2519" s="264" t="s">
        <v>7824</v>
      </c>
      <c r="J2519" s="295">
        <v>18.52</v>
      </c>
      <c r="K2519" s="295">
        <v>18.52</v>
      </c>
      <c r="L2519" s="295" t="s">
        <v>7240</v>
      </c>
      <c r="O2519" s="266">
        <v>0</v>
      </c>
      <c r="P2519" s="266">
        <v>5706681211333</v>
      </c>
      <c r="Q2519" s="266">
        <v>0</v>
      </c>
      <c r="R2519" s="265">
        <v>0</v>
      </c>
      <c r="V2519" s="265" t="s">
        <v>3247</v>
      </c>
      <c r="W2519" s="259" t="s">
        <v>3029</v>
      </c>
      <c r="X2519" s="264" t="s">
        <v>7825</v>
      </c>
      <c r="Y2519" s="259">
        <f t="shared" si="13"/>
        <v>1607</v>
      </c>
      <c r="AA2519" s="259" t="e">
        <v>#N/A</v>
      </c>
      <c r="AB2519" s="259"/>
      <c r="AC2519" s="259"/>
      <c r="AD2519" s="259"/>
      <c r="AE2519" s="259"/>
    </row>
    <row r="2520" spans="1:31">
      <c r="A2520" s="259">
        <v>91610108</v>
      </c>
      <c r="B2520" s="259" t="s">
        <v>116</v>
      </c>
      <c r="C2520" s="264"/>
      <c r="D2520" s="264" t="s">
        <v>2713</v>
      </c>
      <c r="E2520" s="259" t="s">
        <v>7767</v>
      </c>
      <c r="H2520" s="264" t="s">
        <v>2713</v>
      </c>
      <c r="I2520" s="264" t="s">
        <v>2713</v>
      </c>
      <c r="J2520" s="295">
        <v>38.28</v>
      </c>
      <c r="K2520" s="295">
        <v>38.28</v>
      </c>
      <c r="L2520" s="295" t="s">
        <v>7240</v>
      </c>
      <c r="O2520" s="266"/>
      <c r="R2520" s="265"/>
      <c r="V2520" s="265">
        <v>0</v>
      </c>
      <c r="Y2520" s="259">
        <f t="shared" si="13"/>
        <v>1608</v>
      </c>
      <c r="AA2520" s="259" t="e">
        <v>#N/A</v>
      </c>
      <c r="AB2520" s="259"/>
      <c r="AC2520" s="259"/>
      <c r="AD2520" s="259"/>
      <c r="AE2520" s="259"/>
    </row>
    <row r="2521" spans="1:31">
      <c r="A2521" s="259">
        <v>90357170</v>
      </c>
      <c r="B2521" s="259" t="s">
        <v>116</v>
      </c>
      <c r="C2521" s="264" t="s">
        <v>7242</v>
      </c>
      <c r="D2521" s="264" t="s">
        <v>7826</v>
      </c>
      <c r="E2521" s="259" t="s">
        <v>7767</v>
      </c>
      <c r="H2521" s="264" t="s">
        <v>7826</v>
      </c>
      <c r="I2521" s="264" t="s">
        <v>7826</v>
      </c>
      <c r="J2521" s="295">
        <v>24.7</v>
      </c>
      <c r="K2521" s="295">
        <v>24.7</v>
      </c>
      <c r="L2521" s="295" t="s">
        <v>7240</v>
      </c>
      <c r="O2521" s="266">
        <v>0</v>
      </c>
      <c r="P2521" s="266">
        <v>5706681210824</v>
      </c>
      <c r="Q2521" s="266">
        <v>0</v>
      </c>
      <c r="R2521" s="265">
        <v>0</v>
      </c>
      <c r="V2521" s="265" t="s">
        <v>3247</v>
      </c>
      <c r="W2521" s="259" t="s">
        <v>3029</v>
      </c>
      <c r="X2521" s="264" t="s">
        <v>7825</v>
      </c>
      <c r="Y2521" s="259">
        <f t="shared" si="13"/>
        <v>1609</v>
      </c>
      <c r="AA2521" s="259" t="e">
        <v>#N/A</v>
      </c>
      <c r="AB2521" s="259"/>
      <c r="AC2521" s="259"/>
      <c r="AD2521" s="259"/>
      <c r="AE2521" s="259"/>
    </row>
    <row r="2522" spans="1:31">
      <c r="A2522" s="259">
        <v>91611303</v>
      </c>
      <c r="B2522" s="259" t="s">
        <v>116</v>
      </c>
      <c r="C2522" s="264"/>
      <c r="D2522" s="264" t="s">
        <v>2714</v>
      </c>
      <c r="E2522" s="259" t="s">
        <v>7767</v>
      </c>
      <c r="H2522" s="264" t="s">
        <v>2714</v>
      </c>
      <c r="I2522" s="264" t="s">
        <v>2714</v>
      </c>
      <c r="J2522" s="295">
        <v>8.64</v>
      </c>
      <c r="K2522" s="295">
        <v>8.64</v>
      </c>
      <c r="L2522" s="295" t="s">
        <v>7240</v>
      </c>
      <c r="O2522" s="266"/>
      <c r="R2522" s="265"/>
      <c r="V2522" s="265">
        <v>0</v>
      </c>
      <c r="Y2522" s="259">
        <f t="shared" si="13"/>
        <v>1610</v>
      </c>
      <c r="AA2522" s="259" t="e">
        <v>#N/A</v>
      </c>
      <c r="AB2522" s="259"/>
      <c r="AC2522" s="259"/>
      <c r="AD2522" s="259"/>
      <c r="AE2522" s="259"/>
    </row>
    <row r="2523" spans="1:31">
      <c r="A2523" s="259" t="s">
        <v>2328</v>
      </c>
      <c r="B2523" s="259" t="s">
        <v>116</v>
      </c>
      <c r="C2523" s="264"/>
      <c r="D2523" s="264" t="s">
        <v>7827</v>
      </c>
      <c r="E2523" s="259" t="s">
        <v>7767</v>
      </c>
      <c r="H2523" s="264" t="s">
        <v>7827</v>
      </c>
      <c r="I2523" s="264" t="s">
        <v>7827</v>
      </c>
      <c r="J2523" s="295">
        <v>64.209999999999994</v>
      </c>
      <c r="K2523" s="295">
        <v>64.209999999999994</v>
      </c>
      <c r="L2523" s="295" t="s">
        <v>7240</v>
      </c>
      <c r="O2523" s="266">
        <v>0</v>
      </c>
      <c r="P2523" s="266">
        <v>5706681234837</v>
      </c>
      <c r="Q2523" s="266">
        <v>0</v>
      </c>
      <c r="R2523" s="265">
        <v>0</v>
      </c>
      <c r="S2523" s="265">
        <v>0</v>
      </c>
      <c r="V2523" s="265" t="s">
        <v>3218</v>
      </c>
      <c r="W2523" s="259">
        <v>0</v>
      </c>
      <c r="Y2523" s="259">
        <f t="shared" si="13"/>
        <v>1611</v>
      </c>
      <c r="Z2523" s="259" t="s">
        <v>3264</v>
      </c>
      <c r="AA2523" s="259" t="e">
        <v>#N/A</v>
      </c>
      <c r="AB2523" s="259"/>
      <c r="AC2523" s="259"/>
      <c r="AD2523" s="259"/>
      <c r="AE2523" s="259"/>
    </row>
    <row r="2524" spans="1:31">
      <c r="A2524" s="259">
        <v>91611382</v>
      </c>
      <c r="B2524" s="259" t="s">
        <v>116</v>
      </c>
      <c r="C2524" s="264" t="s">
        <v>7242</v>
      </c>
      <c r="D2524" s="264" t="s">
        <v>7828</v>
      </c>
      <c r="E2524" s="259" t="s">
        <v>7767</v>
      </c>
      <c r="H2524" s="264" t="s">
        <v>7828</v>
      </c>
      <c r="I2524" s="264" t="s">
        <v>7828</v>
      </c>
      <c r="J2524" s="295">
        <v>48.16</v>
      </c>
      <c r="K2524" s="295">
        <v>48.16</v>
      </c>
      <c r="L2524" s="295" t="s">
        <v>7240</v>
      </c>
      <c r="O2524" s="266">
        <v>0</v>
      </c>
      <c r="P2524" s="266">
        <v>5706681218226</v>
      </c>
      <c r="Q2524" s="266">
        <v>0</v>
      </c>
      <c r="R2524" s="265">
        <v>0</v>
      </c>
      <c r="V2524" s="265" t="s">
        <v>3028</v>
      </c>
      <c r="W2524" s="259" t="s">
        <v>3029</v>
      </c>
      <c r="X2524" s="264" t="s">
        <v>7825</v>
      </c>
      <c r="Y2524" s="259">
        <f t="shared" si="13"/>
        <v>1612</v>
      </c>
      <c r="AA2524" s="259" t="e">
        <v>#N/A</v>
      </c>
      <c r="AB2524" s="259"/>
      <c r="AC2524" s="259"/>
      <c r="AD2524" s="259"/>
      <c r="AE2524" s="259"/>
    </row>
    <row r="2525" spans="1:31">
      <c r="A2525" s="259">
        <v>91611383</v>
      </c>
      <c r="B2525" s="259" t="s">
        <v>116</v>
      </c>
      <c r="C2525" s="264" t="s">
        <v>7242</v>
      </c>
      <c r="D2525" s="264" t="s">
        <v>7829</v>
      </c>
      <c r="E2525" s="259" t="s">
        <v>7767</v>
      </c>
      <c r="H2525" s="264" t="s">
        <v>7829</v>
      </c>
      <c r="I2525" s="264" t="s">
        <v>7829</v>
      </c>
      <c r="J2525" s="295">
        <v>23.46</v>
      </c>
      <c r="K2525" s="295">
        <v>23.46</v>
      </c>
      <c r="L2525" s="295" t="s">
        <v>7240</v>
      </c>
      <c r="O2525" s="266">
        <v>0</v>
      </c>
      <c r="P2525" s="266">
        <v>5706681218233</v>
      </c>
      <c r="Q2525" s="266">
        <v>0</v>
      </c>
      <c r="R2525" s="265">
        <v>0</v>
      </c>
      <c r="V2525" s="265" t="s">
        <v>3028</v>
      </c>
      <c r="W2525" s="259" t="s">
        <v>3029</v>
      </c>
      <c r="X2525" s="264" t="s">
        <v>7825</v>
      </c>
      <c r="Y2525" s="259">
        <f t="shared" si="13"/>
        <v>1613</v>
      </c>
      <c r="AA2525" s="259" t="e">
        <v>#N/A</v>
      </c>
      <c r="AB2525" s="259"/>
      <c r="AC2525" s="259"/>
      <c r="AD2525" s="259"/>
      <c r="AE2525" s="259"/>
    </row>
    <row r="2526" spans="1:31">
      <c r="A2526" s="259">
        <v>91611384</v>
      </c>
      <c r="B2526" s="259" t="s">
        <v>116</v>
      </c>
      <c r="C2526" s="264" t="s">
        <v>7242</v>
      </c>
      <c r="D2526" s="264" t="s">
        <v>7830</v>
      </c>
      <c r="E2526" s="259" t="s">
        <v>7767</v>
      </c>
      <c r="H2526" s="264" t="s">
        <v>7830</v>
      </c>
      <c r="I2526" s="264" t="s">
        <v>7830</v>
      </c>
      <c r="J2526" s="295">
        <v>14.82</v>
      </c>
      <c r="K2526" s="295">
        <v>14.82</v>
      </c>
      <c r="L2526" s="295" t="s">
        <v>7240</v>
      </c>
      <c r="O2526" s="266">
        <v>0</v>
      </c>
      <c r="P2526" s="266">
        <v>5706681218240</v>
      </c>
      <c r="Q2526" s="266">
        <v>0</v>
      </c>
      <c r="R2526" s="265">
        <v>0</v>
      </c>
      <c r="V2526" s="265" t="s">
        <v>3028</v>
      </c>
      <c r="W2526" s="259" t="s">
        <v>3029</v>
      </c>
      <c r="X2526" s="264" t="s">
        <v>7825</v>
      </c>
      <c r="Y2526" s="259">
        <f t="shared" si="13"/>
        <v>1614</v>
      </c>
      <c r="AA2526" s="259" t="e">
        <v>#N/A</v>
      </c>
      <c r="AB2526" s="259"/>
      <c r="AC2526" s="259"/>
      <c r="AD2526" s="259"/>
      <c r="AE2526" s="259"/>
    </row>
    <row r="2527" spans="1:31">
      <c r="A2527" s="259">
        <v>91611385</v>
      </c>
      <c r="B2527" s="259" t="s">
        <v>116</v>
      </c>
      <c r="C2527" s="264" t="s">
        <v>7242</v>
      </c>
      <c r="D2527" s="264" t="s">
        <v>7831</v>
      </c>
      <c r="E2527" s="259" t="s">
        <v>7767</v>
      </c>
      <c r="H2527" s="264" t="s">
        <v>7831</v>
      </c>
      <c r="I2527" s="264" t="s">
        <v>7831</v>
      </c>
      <c r="J2527" s="295">
        <v>14.82</v>
      </c>
      <c r="K2527" s="295">
        <v>14.82</v>
      </c>
      <c r="L2527" s="295" t="s">
        <v>7240</v>
      </c>
      <c r="O2527" s="266">
        <v>0</v>
      </c>
      <c r="P2527" s="266">
        <v>5706681218257</v>
      </c>
      <c r="Q2527" s="266">
        <v>0</v>
      </c>
      <c r="R2527" s="265">
        <v>0</v>
      </c>
      <c r="V2527" s="265" t="s">
        <v>3028</v>
      </c>
      <c r="W2527" s="259" t="s">
        <v>3029</v>
      </c>
      <c r="X2527" s="264" t="s">
        <v>7825</v>
      </c>
      <c r="Y2527" s="259">
        <f t="shared" si="13"/>
        <v>1615</v>
      </c>
      <c r="AA2527" s="259" t="e">
        <v>#N/A</v>
      </c>
      <c r="AB2527" s="259"/>
      <c r="AC2527" s="259"/>
      <c r="AD2527" s="259"/>
      <c r="AE2527" s="259"/>
    </row>
    <row r="2528" spans="1:31">
      <c r="A2528" s="259">
        <v>91611394</v>
      </c>
      <c r="B2528" s="259" t="s">
        <v>116</v>
      </c>
      <c r="C2528" s="264" t="s">
        <v>7242</v>
      </c>
      <c r="D2528" s="264" t="s">
        <v>7832</v>
      </c>
      <c r="E2528" s="259" t="s">
        <v>7767</v>
      </c>
      <c r="H2528" s="264" t="s">
        <v>7832</v>
      </c>
      <c r="I2528" s="264" t="s">
        <v>7832</v>
      </c>
      <c r="J2528" s="295">
        <v>48.16</v>
      </c>
      <c r="K2528" s="295">
        <v>48.16</v>
      </c>
      <c r="L2528" s="295" t="s">
        <v>7240</v>
      </c>
      <c r="O2528" s="266">
        <v>0</v>
      </c>
      <c r="P2528" s="266">
        <v>5706681218349</v>
      </c>
      <c r="Q2528" s="266">
        <v>0</v>
      </c>
      <c r="R2528" s="265">
        <v>0</v>
      </c>
      <c r="V2528" s="265" t="s">
        <v>3028</v>
      </c>
      <c r="W2528" s="259" t="s">
        <v>3029</v>
      </c>
      <c r="X2528" s="264" t="s">
        <v>7825</v>
      </c>
      <c r="Y2528" s="259">
        <f t="shared" si="13"/>
        <v>1616</v>
      </c>
      <c r="AA2528" s="259" t="e">
        <v>#N/A</v>
      </c>
      <c r="AB2528" s="259"/>
      <c r="AC2528" s="259"/>
      <c r="AD2528" s="259"/>
      <c r="AE2528" s="259"/>
    </row>
    <row r="2529" spans="1:31">
      <c r="A2529" s="259">
        <v>91611395</v>
      </c>
      <c r="B2529" s="259" t="s">
        <v>116</v>
      </c>
      <c r="C2529" s="264" t="s">
        <v>7242</v>
      </c>
      <c r="D2529" s="264" t="s">
        <v>7833</v>
      </c>
      <c r="E2529" s="259" t="s">
        <v>7767</v>
      </c>
      <c r="H2529" s="264" t="s">
        <v>7833</v>
      </c>
      <c r="I2529" s="264" t="s">
        <v>7833</v>
      </c>
      <c r="J2529" s="295">
        <v>23.46</v>
      </c>
      <c r="K2529" s="295">
        <v>23.46</v>
      </c>
      <c r="L2529" s="295" t="s">
        <v>7240</v>
      </c>
      <c r="O2529" s="266">
        <v>0</v>
      </c>
      <c r="P2529" s="266">
        <v>5706681218356</v>
      </c>
      <c r="Q2529" s="266">
        <v>0</v>
      </c>
      <c r="R2529" s="265">
        <v>0</v>
      </c>
      <c r="V2529" s="265" t="s">
        <v>3028</v>
      </c>
      <c r="W2529" s="259" t="s">
        <v>3029</v>
      </c>
      <c r="X2529" s="264" t="s">
        <v>7825</v>
      </c>
      <c r="Y2529" s="259">
        <f t="shared" si="13"/>
        <v>1617</v>
      </c>
      <c r="AA2529" s="259" t="e">
        <v>#N/A</v>
      </c>
      <c r="AB2529" s="259"/>
      <c r="AC2529" s="259"/>
      <c r="AD2529" s="259"/>
      <c r="AE2529" s="259"/>
    </row>
    <row r="2530" spans="1:31">
      <c r="A2530" s="259">
        <v>91611396</v>
      </c>
      <c r="B2530" s="259" t="s">
        <v>116</v>
      </c>
      <c r="C2530" s="264" t="s">
        <v>7242</v>
      </c>
      <c r="D2530" s="264" t="s">
        <v>7834</v>
      </c>
      <c r="E2530" s="259" t="s">
        <v>7767</v>
      </c>
      <c r="H2530" s="264" t="s">
        <v>7834</v>
      </c>
      <c r="I2530" s="264" t="s">
        <v>7834</v>
      </c>
      <c r="J2530" s="295">
        <v>14.82</v>
      </c>
      <c r="K2530" s="295">
        <v>14.82</v>
      </c>
      <c r="L2530" s="295" t="s">
        <v>7240</v>
      </c>
      <c r="O2530" s="266">
        <v>0</v>
      </c>
      <c r="P2530" s="266">
        <v>5706681218370</v>
      </c>
      <c r="Q2530" s="266">
        <v>0</v>
      </c>
      <c r="R2530" s="265">
        <v>0</v>
      </c>
      <c r="V2530" s="265" t="s">
        <v>3028</v>
      </c>
      <c r="W2530" s="259" t="s">
        <v>3029</v>
      </c>
      <c r="X2530" s="264" t="s">
        <v>7825</v>
      </c>
      <c r="Y2530" s="259">
        <f t="shared" si="13"/>
        <v>1618</v>
      </c>
      <c r="AA2530" s="259" t="e">
        <v>#N/A</v>
      </c>
      <c r="AB2530" s="259"/>
      <c r="AC2530" s="259"/>
      <c r="AD2530" s="259"/>
      <c r="AE2530" s="259"/>
    </row>
    <row r="2531" spans="1:31">
      <c r="A2531" s="259">
        <v>91611397</v>
      </c>
      <c r="B2531" s="259" t="s">
        <v>116</v>
      </c>
      <c r="C2531" s="264" t="s">
        <v>7242</v>
      </c>
      <c r="D2531" s="264" t="s">
        <v>7835</v>
      </c>
      <c r="E2531" s="259" t="s">
        <v>7767</v>
      </c>
      <c r="H2531" s="264" t="s">
        <v>7835</v>
      </c>
      <c r="I2531" s="264" t="s">
        <v>7835</v>
      </c>
      <c r="J2531" s="295">
        <v>14.82</v>
      </c>
      <c r="K2531" s="295">
        <v>14.82</v>
      </c>
      <c r="L2531" s="295" t="s">
        <v>7240</v>
      </c>
      <c r="O2531" s="266">
        <v>0</v>
      </c>
      <c r="P2531" s="266">
        <v>5706681218370</v>
      </c>
      <c r="Q2531" s="266">
        <v>0</v>
      </c>
      <c r="R2531" s="265">
        <v>0</v>
      </c>
      <c r="V2531" s="265" t="s">
        <v>3028</v>
      </c>
      <c r="W2531" s="259" t="s">
        <v>3029</v>
      </c>
      <c r="X2531" s="264" t="s">
        <v>7825</v>
      </c>
      <c r="Y2531" s="259">
        <f t="shared" si="13"/>
        <v>1619</v>
      </c>
      <c r="AA2531" s="259" t="e">
        <v>#N/A</v>
      </c>
      <c r="AB2531" s="259"/>
      <c r="AC2531" s="259"/>
      <c r="AD2531" s="259"/>
      <c r="AE2531" s="259"/>
    </row>
    <row r="2532" spans="1:31">
      <c r="A2532" s="259">
        <v>91611490</v>
      </c>
      <c r="B2532" s="259" t="s">
        <v>116</v>
      </c>
      <c r="C2532" s="264" t="s">
        <v>7242</v>
      </c>
      <c r="D2532" s="264" t="s">
        <v>7836</v>
      </c>
      <c r="E2532" s="259" t="s">
        <v>7767</v>
      </c>
      <c r="G2532" s="259" t="s">
        <v>7357</v>
      </c>
      <c r="H2532" s="264" t="s">
        <v>7836</v>
      </c>
      <c r="I2532" s="264" t="s">
        <v>7836</v>
      </c>
      <c r="J2532" s="295">
        <v>14.82</v>
      </c>
      <c r="K2532" s="295">
        <v>14.82</v>
      </c>
      <c r="L2532" s="295" t="s">
        <v>7240</v>
      </c>
      <c r="O2532" s="266">
        <v>0</v>
      </c>
      <c r="Q2532" s="266">
        <v>0</v>
      </c>
      <c r="R2532" s="265">
        <v>0</v>
      </c>
      <c r="V2532" s="265" t="s">
        <v>3028</v>
      </c>
      <c r="W2532" s="259" t="s">
        <v>3029</v>
      </c>
      <c r="X2532" s="264" t="s">
        <v>7825</v>
      </c>
      <c r="Y2532" s="259">
        <f t="shared" si="13"/>
        <v>1620</v>
      </c>
      <c r="AA2532" s="259" t="e">
        <v>#N/A</v>
      </c>
      <c r="AB2532" s="259"/>
      <c r="AC2532" s="259"/>
      <c r="AD2532" s="259"/>
      <c r="AE2532" s="259"/>
    </row>
    <row r="2533" spans="1:31">
      <c r="A2533" s="259">
        <v>91611510</v>
      </c>
      <c r="B2533" s="259" t="s">
        <v>116</v>
      </c>
      <c r="C2533" s="264" t="s">
        <v>7242</v>
      </c>
      <c r="D2533" s="264" t="s">
        <v>7837</v>
      </c>
      <c r="E2533" s="259" t="s">
        <v>7767</v>
      </c>
      <c r="G2533" s="259" t="s">
        <v>7357</v>
      </c>
      <c r="H2533" s="264" t="s">
        <v>7837</v>
      </c>
      <c r="I2533" s="264" t="s">
        <v>7837</v>
      </c>
      <c r="J2533" s="295">
        <v>12.35</v>
      </c>
      <c r="K2533" s="295">
        <v>12.35</v>
      </c>
      <c r="L2533" s="295" t="s">
        <v>7240</v>
      </c>
      <c r="O2533" s="266">
        <v>0</v>
      </c>
      <c r="Q2533" s="266">
        <v>0</v>
      </c>
      <c r="R2533" s="265">
        <v>0</v>
      </c>
      <c r="V2533" s="265" t="s">
        <v>3028</v>
      </c>
      <c r="W2533" s="259" t="s">
        <v>3029</v>
      </c>
      <c r="X2533" s="264" t="s">
        <v>7825</v>
      </c>
      <c r="Y2533" s="259">
        <f t="shared" si="13"/>
        <v>1621</v>
      </c>
      <c r="AA2533" s="259" t="e">
        <v>#N/A</v>
      </c>
      <c r="AB2533" s="259"/>
      <c r="AC2533" s="259"/>
      <c r="AD2533" s="259"/>
      <c r="AE2533" s="259"/>
    </row>
    <row r="2534" spans="1:31">
      <c r="A2534" s="259" t="s">
        <v>2329</v>
      </c>
      <c r="B2534" s="259" t="s">
        <v>116</v>
      </c>
      <c r="C2534" s="264"/>
      <c r="D2534" s="264"/>
      <c r="H2534" s="264"/>
      <c r="I2534" s="264"/>
      <c r="J2534" s="295">
        <v>0</v>
      </c>
      <c r="K2534" s="295">
        <v>0</v>
      </c>
      <c r="L2534" s="295">
        <v>0</v>
      </c>
      <c r="O2534" s="266"/>
      <c r="R2534" s="265"/>
      <c r="V2534" s="265">
        <v>0</v>
      </c>
      <c r="Y2534" s="259">
        <f t="shared" si="13"/>
        <v>1622</v>
      </c>
      <c r="AA2534" s="259" t="e">
        <v>#N/A</v>
      </c>
      <c r="AB2534" s="259"/>
      <c r="AC2534" s="259"/>
      <c r="AD2534" s="259"/>
      <c r="AE2534" s="259"/>
    </row>
    <row r="2535" spans="1:31">
      <c r="A2535" s="259" t="s">
        <v>2330</v>
      </c>
      <c r="B2535" s="259" t="s">
        <v>116</v>
      </c>
      <c r="C2535" s="264" t="s">
        <v>7242</v>
      </c>
      <c r="D2535" s="264" t="s">
        <v>7838</v>
      </c>
      <c r="E2535" s="259" t="s">
        <v>7767</v>
      </c>
      <c r="H2535" s="264" t="s">
        <v>7838</v>
      </c>
      <c r="I2535" s="264" t="s">
        <v>7838</v>
      </c>
      <c r="J2535" s="295">
        <v>24.7</v>
      </c>
      <c r="K2535" s="295">
        <v>24.7</v>
      </c>
      <c r="L2535" s="295" t="s">
        <v>7240</v>
      </c>
      <c r="O2535" s="266">
        <v>0</v>
      </c>
      <c r="P2535" s="266">
        <v>5706681234837</v>
      </c>
      <c r="Q2535" s="266">
        <v>0</v>
      </c>
      <c r="R2535" s="265">
        <v>0</v>
      </c>
      <c r="V2535" s="265" t="s">
        <v>3218</v>
      </c>
      <c r="W2535" s="259" t="s">
        <v>3029</v>
      </c>
      <c r="X2535" s="264" t="s">
        <v>7793</v>
      </c>
      <c r="Y2535" s="259">
        <f t="shared" si="13"/>
        <v>1623</v>
      </c>
      <c r="Z2535" s="259" t="s">
        <v>3264</v>
      </c>
      <c r="AA2535" s="259" t="e">
        <v>#N/A</v>
      </c>
      <c r="AB2535" s="259"/>
      <c r="AC2535" s="259"/>
      <c r="AD2535" s="259"/>
      <c r="AE2535" s="259"/>
    </row>
    <row r="2536" spans="1:31">
      <c r="A2536" s="259">
        <v>90357230</v>
      </c>
      <c r="B2536" s="259" t="s">
        <v>116</v>
      </c>
      <c r="C2536" s="264"/>
      <c r="D2536" s="264" t="s">
        <v>7839</v>
      </c>
      <c r="E2536" s="259">
        <v>41300000</v>
      </c>
      <c r="H2536" s="264" t="s">
        <v>7839</v>
      </c>
      <c r="I2536" s="264" t="s">
        <v>7839</v>
      </c>
      <c r="J2536" s="295">
        <v>18.52</v>
      </c>
      <c r="K2536" s="295">
        <v>18.52</v>
      </c>
      <c r="L2536" s="295" t="s">
        <v>7240</v>
      </c>
      <c r="O2536" s="266">
        <v>0</v>
      </c>
      <c r="Q2536" s="266">
        <v>0</v>
      </c>
      <c r="R2536" s="265">
        <v>0</v>
      </c>
      <c r="S2536" s="265">
        <v>0</v>
      </c>
      <c r="V2536" s="265">
        <v>0</v>
      </c>
      <c r="W2536" s="259">
        <v>0</v>
      </c>
      <c r="Y2536" s="259">
        <f t="shared" si="13"/>
        <v>1624</v>
      </c>
      <c r="AA2536" s="259" t="e">
        <v>#N/A</v>
      </c>
      <c r="AB2536" s="259"/>
      <c r="AC2536" s="259"/>
      <c r="AD2536" s="259"/>
      <c r="AE2536" s="259"/>
    </row>
    <row r="2537" spans="1:31">
      <c r="A2537" s="259" t="s">
        <v>2331</v>
      </c>
      <c r="B2537" s="259" t="s">
        <v>116</v>
      </c>
      <c r="C2537" s="264" t="s">
        <v>7242</v>
      </c>
      <c r="D2537" s="264" t="s">
        <v>7840</v>
      </c>
      <c r="E2537" s="259" t="s">
        <v>7767</v>
      </c>
      <c r="H2537" s="264" t="s">
        <v>7840</v>
      </c>
      <c r="I2537" s="264" t="s">
        <v>7840</v>
      </c>
      <c r="J2537" s="295">
        <v>64.209999999999994</v>
      </c>
      <c r="K2537" s="295">
        <v>64.209999999999994</v>
      </c>
      <c r="L2537" s="295" t="s">
        <v>7240</v>
      </c>
      <c r="O2537" s="266">
        <v>0</v>
      </c>
      <c r="P2537" s="266">
        <v>5706681234752</v>
      </c>
      <c r="Q2537" s="266">
        <v>0</v>
      </c>
      <c r="R2537" s="265">
        <v>0</v>
      </c>
      <c r="V2537" s="265" t="s">
        <v>3218</v>
      </c>
      <c r="W2537" s="259">
        <v>0</v>
      </c>
      <c r="X2537" s="264" t="s">
        <v>7793</v>
      </c>
      <c r="Y2537" s="259">
        <f t="shared" si="13"/>
        <v>1625</v>
      </c>
      <c r="Z2537" s="259" t="s">
        <v>4325</v>
      </c>
      <c r="AA2537" s="259" t="e">
        <v>#N/A</v>
      </c>
      <c r="AB2537" s="259"/>
      <c r="AC2537" s="259"/>
      <c r="AD2537" s="259"/>
      <c r="AE2537" s="259"/>
    </row>
    <row r="2538" spans="1:31">
      <c r="A2538" s="259" t="s">
        <v>2332</v>
      </c>
      <c r="B2538" s="259" t="s">
        <v>116</v>
      </c>
      <c r="C2538" s="264"/>
      <c r="D2538" s="264"/>
      <c r="H2538" s="264"/>
      <c r="I2538" s="264"/>
      <c r="J2538" s="295">
        <v>0</v>
      </c>
      <c r="K2538" s="295">
        <v>0</v>
      </c>
      <c r="L2538" s="295">
        <v>0</v>
      </c>
      <c r="O2538" s="266"/>
      <c r="R2538" s="265"/>
      <c r="V2538" s="265">
        <v>0</v>
      </c>
      <c r="Y2538" s="259">
        <f t="shared" si="13"/>
        <v>1626</v>
      </c>
      <c r="AA2538" s="259" t="e">
        <v>#N/A</v>
      </c>
      <c r="AB2538" s="259"/>
      <c r="AC2538" s="259"/>
      <c r="AD2538" s="259"/>
      <c r="AE2538" s="259"/>
    </row>
    <row r="2539" spans="1:31">
      <c r="A2539" s="259" t="s">
        <v>2333</v>
      </c>
      <c r="B2539" s="259" t="s">
        <v>116</v>
      </c>
      <c r="C2539" s="264"/>
      <c r="D2539" s="264"/>
      <c r="H2539" s="264"/>
      <c r="I2539" s="264"/>
      <c r="J2539" s="295">
        <v>0</v>
      </c>
      <c r="K2539" s="295">
        <v>0</v>
      </c>
      <c r="L2539" s="295">
        <v>0</v>
      </c>
      <c r="O2539" s="266"/>
      <c r="R2539" s="265"/>
      <c r="V2539" s="265">
        <v>0</v>
      </c>
      <c r="Y2539" s="259">
        <f t="shared" si="13"/>
        <v>1627</v>
      </c>
      <c r="AA2539" s="259" t="e">
        <v>#N/A</v>
      </c>
      <c r="AB2539" s="259"/>
      <c r="AC2539" s="259"/>
      <c r="AD2539" s="259"/>
      <c r="AE2539" s="259"/>
    </row>
    <row r="2540" spans="1:31">
      <c r="A2540" s="259" t="s">
        <v>2334</v>
      </c>
      <c r="B2540" s="259" t="s">
        <v>116</v>
      </c>
      <c r="C2540" s="264"/>
      <c r="D2540" s="264"/>
      <c r="H2540" s="264"/>
      <c r="I2540" s="264"/>
      <c r="J2540" s="295">
        <v>0</v>
      </c>
      <c r="K2540" s="295">
        <v>0</v>
      </c>
      <c r="L2540" s="295">
        <v>0</v>
      </c>
      <c r="O2540" s="266">
        <v>0</v>
      </c>
      <c r="P2540" s="266">
        <v>0</v>
      </c>
      <c r="Q2540" s="266">
        <v>0</v>
      </c>
      <c r="R2540" s="265">
        <v>0</v>
      </c>
      <c r="S2540" s="265">
        <v>0</v>
      </c>
      <c r="V2540" s="265">
        <v>0</v>
      </c>
      <c r="W2540" s="259">
        <v>0</v>
      </c>
      <c r="Y2540" s="259">
        <f t="shared" si="13"/>
        <v>1628</v>
      </c>
      <c r="AA2540" s="259" t="e">
        <v>#N/A</v>
      </c>
      <c r="AB2540" s="259"/>
      <c r="AC2540" s="259"/>
      <c r="AD2540" s="259"/>
      <c r="AE2540" s="259"/>
    </row>
    <row r="2541" spans="1:31">
      <c r="A2541" s="259" t="s">
        <v>2335</v>
      </c>
      <c r="B2541" s="259" t="s">
        <v>116</v>
      </c>
      <c r="C2541" s="264"/>
      <c r="D2541" s="264" t="s">
        <v>7841</v>
      </c>
      <c r="E2541" s="259" t="s">
        <v>7842</v>
      </c>
      <c r="H2541" s="264" t="s">
        <v>7841</v>
      </c>
      <c r="I2541" s="264" t="s">
        <v>7841</v>
      </c>
      <c r="J2541" s="295">
        <v>2018.84</v>
      </c>
      <c r="K2541" s="295">
        <v>2018.84</v>
      </c>
      <c r="L2541" s="295" t="s">
        <v>7240</v>
      </c>
      <c r="O2541" s="266">
        <v>0</v>
      </c>
      <c r="P2541" s="266">
        <v>688705006550</v>
      </c>
      <c r="Q2541" s="266">
        <v>0</v>
      </c>
      <c r="R2541" s="265">
        <v>0</v>
      </c>
      <c r="S2541" s="265">
        <v>0</v>
      </c>
      <c r="V2541" s="265" t="s">
        <v>3574</v>
      </c>
      <c r="W2541" s="259">
        <v>0</v>
      </c>
      <c r="Y2541" s="259">
        <f t="shared" si="13"/>
        <v>1629</v>
      </c>
      <c r="Z2541" s="259" t="s">
        <v>3030</v>
      </c>
      <c r="AA2541" s="259" t="e">
        <v>#N/A</v>
      </c>
      <c r="AB2541" s="259"/>
      <c r="AC2541" s="259"/>
      <c r="AD2541" s="259"/>
      <c r="AE2541" s="259"/>
    </row>
    <row r="2542" spans="1:31">
      <c r="A2542" s="259" t="s">
        <v>2336</v>
      </c>
      <c r="B2542" s="259" t="s">
        <v>116</v>
      </c>
      <c r="C2542" s="264"/>
      <c r="D2542" s="264"/>
      <c r="H2542" s="264"/>
      <c r="I2542" s="264"/>
      <c r="J2542" s="295">
        <v>0</v>
      </c>
      <c r="K2542" s="295">
        <v>0</v>
      </c>
      <c r="L2542" s="295">
        <v>0</v>
      </c>
      <c r="O2542" s="266">
        <v>0</v>
      </c>
      <c r="P2542" s="266">
        <v>0</v>
      </c>
      <c r="Q2542" s="266">
        <v>0</v>
      </c>
      <c r="R2542" s="265">
        <v>0</v>
      </c>
      <c r="S2542" s="265">
        <v>0</v>
      </c>
      <c r="V2542" s="265">
        <v>0</v>
      </c>
      <c r="W2542" s="259">
        <v>0</v>
      </c>
      <c r="Y2542" s="259">
        <f t="shared" si="13"/>
        <v>1630</v>
      </c>
      <c r="AA2542" s="259" t="e">
        <v>#N/A</v>
      </c>
      <c r="AB2542" s="259"/>
      <c r="AC2542" s="259"/>
      <c r="AD2542" s="259"/>
      <c r="AE2542" s="259"/>
    </row>
    <row r="2543" spans="1:31">
      <c r="A2543" s="259">
        <v>90357701</v>
      </c>
      <c r="B2543" s="259" t="s">
        <v>116</v>
      </c>
      <c r="C2543" s="264"/>
      <c r="D2543" s="264" t="s">
        <v>7843</v>
      </c>
      <c r="E2543" s="259" t="s">
        <v>7842</v>
      </c>
      <c r="H2543" s="264" t="s">
        <v>7843</v>
      </c>
      <c r="I2543" s="264" t="s">
        <v>7843</v>
      </c>
      <c r="J2543" s="295">
        <v>740.86</v>
      </c>
      <c r="K2543" s="295">
        <v>740.86</v>
      </c>
      <c r="L2543" s="295" t="s">
        <v>7240</v>
      </c>
      <c r="O2543" s="266">
        <v>0</v>
      </c>
      <c r="P2543" s="266">
        <v>688705004167</v>
      </c>
      <c r="Q2543" s="266">
        <v>0</v>
      </c>
      <c r="R2543" s="265">
        <v>0</v>
      </c>
      <c r="S2543" s="265">
        <v>0</v>
      </c>
      <c r="V2543" s="265" t="s">
        <v>3028</v>
      </c>
      <c r="W2543" s="259" t="s">
        <v>3029</v>
      </c>
      <c r="Y2543" s="259">
        <f t="shared" si="13"/>
        <v>1631</v>
      </c>
      <c r="AA2543" s="259" t="e">
        <v>#N/A</v>
      </c>
      <c r="AB2543" s="259"/>
      <c r="AC2543" s="259"/>
      <c r="AD2543" s="259"/>
      <c r="AE2543" s="259"/>
    </row>
    <row r="2544" spans="1:31">
      <c r="A2544" s="259">
        <v>90357702</v>
      </c>
      <c r="B2544" s="259" t="s">
        <v>116</v>
      </c>
      <c r="C2544" s="264"/>
      <c r="D2544" s="264" t="s">
        <v>7844</v>
      </c>
      <c r="E2544" s="259" t="s">
        <v>7842</v>
      </c>
      <c r="H2544" s="264" t="s">
        <v>7844</v>
      </c>
      <c r="I2544" s="264" t="s">
        <v>7844</v>
      </c>
      <c r="J2544" s="295">
        <v>740.86</v>
      </c>
      <c r="K2544" s="295">
        <v>740.86</v>
      </c>
      <c r="L2544" s="295" t="s">
        <v>7240</v>
      </c>
      <c r="O2544" s="266">
        <v>0</v>
      </c>
      <c r="P2544" s="266">
        <v>688705004174</v>
      </c>
      <c r="Q2544" s="266">
        <v>0</v>
      </c>
      <c r="R2544" s="265">
        <v>0</v>
      </c>
      <c r="S2544" s="265">
        <v>0</v>
      </c>
      <c r="V2544" s="265" t="s">
        <v>3028</v>
      </c>
      <c r="W2544" s="259" t="s">
        <v>3029</v>
      </c>
      <c r="Y2544" s="259">
        <f t="shared" si="13"/>
        <v>1632</v>
      </c>
      <c r="AA2544" s="259" t="e">
        <v>#N/A</v>
      </c>
      <c r="AB2544" s="259"/>
      <c r="AC2544" s="259"/>
      <c r="AD2544" s="259"/>
      <c r="AE2544" s="259"/>
    </row>
    <row r="2545" spans="1:31">
      <c r="A2545" s="259" t="s">
        <v>2337</v>
      </c>
      <c r="B2545" s="259" t="s">
        <v>116</v>
      </c>
      <c r="C2545" s="264"/>
      <c r="D2545" s="264"/>
      <c r="H2545" s="264"/>
      <c r="I2545" s="264"/>
      <c r="J2545" s="295">
        <v>0</v>
      </c>
      <c r="K2545" s="295">
        <v>0</v>
      </c>
      <c r="L2545" s="295">
        <v>0</v>
      </c>
      <c r="O2545" s="266"/>
      <c r="R2545" s="265"/>
      <c r="V2545" s="265">
        <v>0</v>
      </c>
      <c r="Y2545" s="259">
        <f t="shared" si="13"/>
        <v>1633</v>
      </c>
      <c r="AA2545" s="259" t="e">
        <v>#N/A</v>
      </c>
      <c r="AB2545" s="259"/>
      <c r="AC2545" s="259"/>
      <c r="AD2545" s="259"/>
      <c r="AE2545" s="259"/>
    </row>
    <row r="2546" spans="1:31">
      <c r="A2546" s="259" t="s">
        <v>2338</v>
      </c>
      <c r="B2546" s="259" t="s">
        <v>116</v>
      </c>
      <c r="C2546" s="264"/>
      <c r="D2546" s="264" t="s">
        <v>7845</v>
      </c>
      <c r="E2546" s="259" t="s">
        <v>7842</v>
      </c>
      <c r="H2546" s="264" t="s">
        <v>7845</v>
      </c>
      <c r="I2546" s="264" t="s">
        <v>7845</v>
      </c>
      <c r="J2546" s="295">
        <v>172.87</v>
      </c>
      <c r="K2546" s="295">
        <v>172.87</v>
      </c>
      <c r="L2546" s="295" t="s">
        <v>7240</v>
      </c>
      <c r="O2546" s="266">
        <v>0</v>
      </c>
      <c r="P2546" s="266">
        <v>688705007243</v>
      </c>
      <c r="Q2546" s="266">
        <v>0</v>
      </c>
      <c r="R2546" s="265">
        <v>0</v>
      </c>
      <c r="S2546" s="265">
        <v>0</v>
      </c>
      <c r="V2546" s="265" t="s">
        <v>3028</v>
      </c>
      <c r="W2546" s="259">
        <v>0</v>
      </c>
      <c r="Y2546" s="259">
        <f t="shared" si="13"/>
        <v>1634</v>
      </c>
      <c r="Z2546" s="259" t="s">
        <v>3030</v>
      </c>
      <c r="AA2546" s="259" t="e">
        <v>#N/A</v>
      </c>
      <c r="AB2546" s="259"/>
      <c r="AC2546" s="259"/>
      <c r="AD2546" s="259"/>
      <c r="AE2546" s="259"/>
    </row>
    <row r="2547" spans="1:31">
      <c r="A2547" s="259" t="s">
        <v>2339</v>
      </c>
      <c r="B2547" s="259" t="s">
        <v>116</v>
      </c>
      <c r="C2547" s="264"/>
      <c r="D2547" s="264" t="s">
        <v>7846</v>
      </c>
      <c r="E2547" s="259" t="s">
        <v>7842</v>
      </c>
      <c r="H2547" s="264" t="s">
        <v>7846</v>
      </c>
      <c r="I2547" s="264" t="s">
        <v>7846</v>
      </c>
      <c r="J2547" s="295">
        <v>172.87</v>
      </c>
      <c r="K2547" s="295">
        <v>172.87</v>
      </c>
      <c r="L2547" s="295" t="s">
        <v>7240</v>
      </c>
      <c r="O2547" s="266">
        <v>0</v>
      </c>
      <c r="P2547" s="266">
        <v>688705007229</v>
      </c>
      <c r="Q2547" s="266">
        <v>0</v>
      </c>
      <c r="R2547" s="265">
        <v>0</v>
      </c>
      <c r="S2547" s="265">
        <v>0</v>
      </c>
      <c r="V2547" s="265" t="s">
        <v>3574</v>
      </c>
      <c r="W2547" s="259">
        <v>0</v>
      </c>
      <c r="Y2547" s="259">
        <f t="shared" ref="Y2547:Y2610" si="14">Y2546+1</f>
        <v>1635</v>
      </c>
      <c r="Z2547" s="259" t="s">
        <v>3030</v>
      </c>
      <c r="AA2547" s="259" t="e">
        <v>#N/A</v>
      </c>
      <c r="AB2547" s="259"/>
      <c r="AC2547" s="259"/>
      <c r="AD2547" s="259"/>
      <c r="AE2547" s="259"/>
    </row>
    <row r="2548" spans="1:31">
      <c r="A2548" s="259">
        <v>91610002</v>
      </c>
      <c r="B2548" s="259" t="s">
        <v>116</v>
      </c>
      <c r="C2548" s="264"/>
      <c r="D2548" s="264" t="s">
        <v>7847</v>
      </c>
      <c r="E2548" s="259" t="s">
        <v>7842</v>
      </c>
      <c r="H2548" s="264" t="s">
        <v>7847</v>
      </c>
      <c r="I2548" s="264" t="s">
        <v>7847</v>
      </c>
      <c r="J2548" s="295">
        <v>43.22</v>
      </c>
      <c r="K2548" s="295">
        <v>43.22</v>
      </c>
      <c r="L2548" s="295" t="s">
        <v>7240</v>
      </c>
      <c r="O2548" s="266">
        <v>0</v>
      </c>
      <c r="Q2548" s="266">
        <v>0</v>
      </c>
      <c r="R2548" s="265">
        <v>0</v>
      </c>
      <c r="S2548" s="265">
        <v>0</v>
      </c>
      <c r="V2548" s="265" t="s">
        <v>3028</v>
      </c>
      <c r="W2548" s="259" t="s">
        <v>3029</v>
      </c>
      <c r="Y2548" s="259">
        <f t="shared" si="14"/>
        <v>1636</v>
      </c>
      <c r="AA2548" s="259" t="e">
        <v>#N/A</v>
      </c>
      <c r="AB2548" s="259"/>
      <c r="AC2548" s="259"/>
      <c r="AD2548" s="259"/>
      <c r="AE2548" s="259"/>
    </row>
    <row r="2549" spans="1:31">
      <c r="A2549" s="259">
        <v>91610005</v>
      </c>
      <c r="B2549" s="259" t="s">
        <v>116</v>
      </c>
      <c r="C2549" s="264"/>
      <c r="D2549" s="264" t="s">
        <v>7848</v>
      </c>
      <c r="E2549" s="259" t="s">
        <v>7842</v>
      </c>
      <c r="H2549" s="264" t="s">
        <v>7848</v>
      </c>
      <c r="I2549" s="264" t="s">
        <v>7848</v>
      </c>
      <c r="J2549" s="295">
        <v>43.22</v>
      </c>
      <c r="K2549" s="295">
        <v>43.22</v>
      </c>
      <c r="L2549" s="295" t="s">
        <v>7240</v>
      </c>
      <c r="O2549" s="266">
        <v>0</v>
      </c>
      <c r="Q2549" s="266">
        <v>0</v>
      </c>
      <c r="R2549" s="265">
        <v>0</v>
      </c>
      <c r="S2549" s="265">
        <v>0</v>
      </c>
      <c r="V2549" s="265" t="s">
        <v>3028</v>
      </c>
      <c r="W2549" s="259" t="s">
        <v>3029</v>
      </c>
      <c r="Y2549" s="259">
        <f t="shared" si="14"/>
        <v>1637</v>
      </c>
      <c r="AA2549" s="259" t="e">
        <v>#N/A</v>
      </c>
      <c r="AB2549" s="259"/>
      <c r="AC2549" s="259"/>
      <c r="AD2549" s="259"/>
      <c r="AE2549" s="259"/>
    </row>
    <row r="2550" spans="1:31">
      <c r="A2550" s="259">
        <v>91610003</v>
      </c>
      <c r="B2550" s="259" t="s">
        <v>116</v>
      </c>
      <c r="C2550" s="264"/>
      <c r="D2550" s="264" t="s">
        <v>7849</v>
      </c>
      <c r="E2550" s="259" t="s">
        <v>7842</v>
      </c>
      <c r="H2550" s="264" t="s">
        <v>7849</v>
      </c>
      <c r="I2550" s="264" t="s">
        <v>7849</v>
      </c>
      <c r="J2550" s="295">
        <v>413.65</v>
      </c>
      <c r="K2550" s="295">
        <v>413.65</v>
      </c>
      <c r="L2550" s="295" t="s">
        <v>7240</v>
      </c>
      <c r="O2550" s="266">
        <v>0</v>
      </c>
      <c r="Q2550" s="266">
        <v>0</v>
      </c>
      <c r="R2550" s="265">
        <v>0</v>
      </c>
      <c r="S2550" s="265">
        <v>0</v>
      </c>
      <c r="V2550" s="265" t="s">
        <v>3028</v>
      </c>
      <c r="W2550" s="259" t="s">
        <v>3029</v>
      </c>
      <c r="Y2550" s="259">
        <f t="shared" si="14"/>
        <v>1638</v>
      </c>
      <c r="AA2550" s="259" t="e">
        <v>#N/A</v>
      </c>
      <c r="AB2550" s="259"/>
      <c r="AC2550" s="259"/>
      <c r="AD2550" s="259"/>
      <c r="AE2550" s="259"/>
    </row>
    <row r="2551" spans="1:31">
      <c r="A2551" s="259">
        <v>91610004</v>
      </c>
      <c r="B2551" s="259" t="s">
        <v>116</v>
      </c>
      <c r="C2551" s="264"/>
      <c r="D2551" s="264" t="s">
        <v>7850</v>
      </c>
      <c r="E2551" s="259" t="s">
        <v>7842</v>
      </c>
      <c r="H2551" s="264" t="s">
        <v>7850</v>
      </c>
      <c r="I2551" s="264" t="s">
        <v>7850</v>
      </c>
      <c r="J2551" s="295">
        <v>123.48</v>
      </c>
      <c r="K2551" s="295">
        <v>123.48</v>
      </c>
      <c r="L2551" s="295" t="s">
        <v>7240</v>
      </c>
      <c r="O2551" s="266">
        <v>0</v>
      </c>
      <c r="Q2551" s="266">
        <v>0</v>
      </c>
      <c r="R2551" s="265">
        <v>0</v>
      </c>
      <c r="S2551" s="265">
        <v>0</v>
      </c>
      <c r="V2551" s="265" t="s">
        <v>7247</v>
      </c>
      <c r="W2551" s="259">
        <v>0</v>
      </c>
      <c r="Y2551" s="259">
        <f t="shared" si="14"/>
        <v>1639</v>
      </c>
      <c r="AA2551" s="259" t="e">
        <v>#N/A</v>
      </c>
      <c r="AB2551" s="259"/>
      <c r="AC2551" s="259"/>
      <c r="AD2551" s="259"/>
      <c r="AE2551" s="259"/>
    </row>
    <row r="2552" spans="1:31">
      <c r="A2552" s="259">
        <v>91610006</v>
      </c>
      <c r="B2552" s="259" t="s">
        <v>116</v>
      </c>
      <c r="C2552" s="264"/>
      <c r="D2552" s="264" t="s">
        <v>7851</v>
      </c>
      <c r="E2552" s="259" t="s">
        <v>7842</v>
      </c>
      <c r="H2552" s="264" t="s">
        <v>7851</v>
      </c>
      <c r="I2552" s="264" t="s">
        <v>7851</v>
      </c>
      <c r="J2552" s="295">
        <v>61.74</v>
      </c>
      <c r="K2552" s="295">
        <v>61.74</v>
      </c>
      <c r="L2552" s="295" t="s">
        <v>7240</v>
      </c>
      <c r="O2552" s="266">
        <v>0</v>
      </c>
      <c r="Q2552" s="266">
        <v>0</v>
      </c>
      <c r="R2552" s="265">
        <v>0</v>
      </c>
      <c r="S2552" s="265">
        <v>0</v>
      </c>
      <c r="V2552" s="265" t="s">
        <v>7247</v>
      </c>
      <c r="W2552" s="259">
        <v>0</v>
      </c>
      <c r="Y2552" s="259">
        <f t="shared" si="14"/>
        <v>1640</v>
      </c>
      <c r="AA2552" s="259" t="e">
        <v>#N/A</v>
      </c>
      <c r="AB2552" s="259"/>
      <c r="AC2552" s="259"/>
      <c r="AD2552" s="259"/>
      <c r="AE2552" s="259"/>
    </row>
    <row r="2553" spans="1:31">
      <c r="A2553" s="259">
        <v>91610007</v>
      </c>
      <c r="B2553" s="259" t="s">
        <v>116</v>
      </c>
      <c r="C2553" s="264"/>
      <c r="D2553" s="264" t="s">
        <v>7852</v>
      </c>
      <c r="E2553" s="259" t="s">
        <v>7842</v>
      </c>
      <c r="H2553" s="264" t="s">
        <v>7852</v>
      </c>
      <c r="I2553" s="264" t="s">
        <v>7852</v>
      </c>
      <c r="J2553" s="295">
        <v>265.47000000000003</v>
      </c>
      <c r="K2553" s="295">
        <v>265.47000000000003</v>
      </c>
      <c r="L2553" s="295" t="s">
        <v>7240</v>
      </c>
      <c r="O2553" s="266">
        <v>0</v>
      </c>
      <c r="Q2553" s="266">
        <v>0</v>
      </c>
      <c r="R2553" s="265">
        <v>0</v>
      </c>
      <c r="S2553" s="265">
        <v>0</v>
      </c>
      <c r="V2553" s="265" t="s">
        <v>7247</v>
      </c>
      <c r="W2553" s="259">
        <v>0</v>
      </c>
      <c r="Y2553" s="259">
        <f t="shared" si="14"/>
        <v>1641</v>
      </c>
      <c r="AA2553" s="259" t="e">
        <v>#N/A</v>
      </c>
      <c r="AB2553" s="259"/>
      <c r="AC2553" s="259"/>
      <c r="AD2553" s="259"/>
      <c r="AE2553" s="259"/>
    </row>
    <row r="2554" spans="1:31">
      <c r="A2554" s="259" t="s">
        <v>2340</v>
      </c>
      <c r="B2554" s="259" t="s">
        <v>116</v>
      </c>
      <c r="C2554" s="264"/>
      <c r="D2554" s="264" t="s">
        <v>7853</v>
      </c>
      <c r="E2554" s="259" t="s">
        <v>7842</v>
      </c>
      <c r="H2554" s="264" t="s">
        <v>7853</v>
      </c>
      <c r="I2554" s="264" t="s">
        <v>7853</v>
      </c>
      <c r="J2554" s="295">
        <v>123.48</v>
      </c>
      <c r="K2554" s="295">
        <v>123.48</v>
      </c>
      <c r="L2554" s="295" t="s">
        <v>7240</v>
      </c>
      <c r="O2554" s="266">
        <v>0</v>
      </c>
      <c r="P2554" s="266">
        <v>688705006574</v>
      </c>
      <c r="Q2554" s="266">
        <v>0</v>
      </c>
      <c r="R2554" s="265">
        <v>0</v>
      </c>
      <c r="S2554" s="265">
        <v>0</v>
      </c>
      <c r="V2554" s="265" t="s">
        <v>7854</v>
      </c>
      <c r="W2554" s="259">
        <v>0</v>
      </c>
      <c r="Y2554" s="259">
        <f t="shared" si="14"/>
        <v>1642</v>
      </c>
      <c r="Z2554" s="259" t="s">
        <v>3030</v>
      </c>
      <c r="AA2554" s="259" t="e">
        <v>#N/A</v>
      </c>
      <c r="AB2554" s="259"/>
      <c r="AC2554" s="259"/>
      <c r="AD2554" s="259"/>
      <c r="AE2554" s="259"/>
    </row>
    <row r="2555" spans="1:31">
      <c r="A2555" s="259" t="s">
        <v>2341</v>
      </c>
      <c r="B2555" s="259" t="s">
        <v>116</v>
      </c>
      <c r="C2555" s="264"/>
      <c r="D2555" s="264" t="s">
        <v>7855</v>
      </c>
      <c r="E2555" s="259" t="s">
        <v>7842</v>
      </c>
      <c r="H2555" s="264" t="s">
        <v>7855</v>
      </c>
      <c r="I2555" s="264" t="s">
        <v>7855</v>
      </c>
      <c r="J2555" s="295">
        <v>37.04</v>
      </c>
      <c r="K2555" s="295">
        <v>37.04</v>
      </c>
      <c r="L2555" s="295" t="s">
        <v>7240</v>
      </c>
      <c r="O2555" s="266">
        <v>0</v>
      </c>
      <c r="P2555" s="266">
        <v>688705007540</v>
      </c>
      <c r="Q2555" s="266">
        <v>0</v>
      </c>
      <c r="R2555" s="265">
        <v>0</v>
      </c>
      <c r="S2555" s="265">
        <v>0</v>
      </c>
      <c r="V2555" s="265" t="s">
        <v>3574</v>
      </c>
      <c r="W2555" s="259">
        <v>0</v>
      </c>
      <c r="Y2555" s="259">
        <f t="shared" si="14"/>
        <v>1643</v>
      </c>
      <c r="Z2555" s="259" t="s">
        <v>3030</v>
      </c>
      <c r="AA2555" s="259" t="e">
        <v>#N/A</v>
      </c>
      <c r="AB2555" s="259"/>
      <c r="AC2555" s="259"/>
      <c r="AD2555" s="259"/>
      <c r="AE2555" s="259"/>
    </row>
    <row r="2556" spans="1:31">
      <c r="A2556" s="259" t="s">
        <v>2342</v>
      </c>
      <c r="B2556" s="259" t="s">
        <v>116</v>
      </c>
      <c r="C2556" s="264"/>
      <c r="D2556" s="264" t="s">
        <v>7856</v>
      </c>
      <c r="E2556" s="259" t="s">
        <v>7842</v>
      </c>
      <c r="H2556" s="264" t="s">
        <v>7856</v>
      </c>
      <c r="I2556" s="264" t="s">
        <v>7856</v>
      </c>
      <c r="J2556" s="295">
        <v>148.16999999999999</v>
      </c>
      <c r="K2556" s="295">
        <v>148.16999999999999</v>
      </c>
      <c r="L2556" s="295" t="s">
        <v>7240</v>
      </c>
      <c r="O2556" s="266">
        <v>0</v>
      </c>
      <c r="P2556" s="266">
        <v>688705007564</v>
      </c>
      <c r="Q2556" s="266">
        <v>0</v>
      </c>
      <c r="R2556" s="265">
        <v>0</v>
      </c>
      <c r="S2556" s="265">
        <v>0</v>
      </c>
      <c r="V2556" s="265" t="s">
        <v>3028</v>
      </c>
      <c r="W2556" s="259">
        <v>0</v>
      </c>
      <c r="Y2556" s="259">
        <f t="shared" si="14"/>
        <v>1644</v>
      </c>
      <c r="Z2556" s="259" t="s">
        <v>3030</v>
      </c>
      <c r="AA2556" s="259" t="e">
        <v>#N/A</v>
      </c>
      <c r="AB2556" s="259"/>
      <c r="AC2556" s="259"/>
      <c r="AD2556" s="259"/>
      <c r="AE2556" s="259"/>
    </row>
    <row r="2557" spans="1:31">
      <c r="A2557" s="259">
        <v>91616117</v>
      </c>
      <c r="B2557" s="259" t="s">
        <v>116</v>
      </c>
      <c r="C2557" s="264" t="s">
        <v>7257</v>
      </c>
      <c r="D2557" s="264" t="s">
        <v>7857</v>
      </c>
      <c r="E2557" s="259" t="s">
        <v>7842</v>
      </c>
      <c r="H2557" s="264" t="s">
        <v>7857</v>
      </c>
      <c r="I2557" s="264" t="s">
        <v>7857</v>
      </c>
      <c r="J2557" s="295">
        <v>123.48</v>
      </c>
      <c r="K2557" s="295">
        <v>123.48</v>
      </c>
      <c r="L2557" s="295" t="s">
        <v>7240</v>
      </c>
      <c r="O2557" s="266">
        <v>0</v>
      </c>
      <c r="Q2557" s="266">
        <v>0</v>
      </c>
      <c r="R2557" s="265">
        <v>0</v>
      </c>
      <c r="S2557" s="265">
        <v>0</v>
      </c>
      <c r="V2557" s="265" t="s">
        <v>3028</v>
      </c>
      <c r="W2557" s="259">
        <v>0</v>
      </c>
      <c r="Y2557" s="259">
        <f t="shared" si="14"/>
        <v>1645</v>
      </c>
      <c r="AA2557" s="259" t="e">
        <v>#N/A</v>
      </c>
      <c r="AB2557" s="259"/>
      <c r="AC2557" s="259"/>
      <c r="AD2557" s="259"/>
      <c r="AE2557" s="259"/>
    </row>
    <row r="2558" spans="1:31">
      <c r="A2558" s="259" t="s">
        <v>2343</v>
      </c>
      <c r="B2558" s="259" t="s">
        <v>116</v>
      </c>
      <c r="C2558" s="264"/>
      <c r="D2558" s="264"/>
      <c r="H2558" s="264"/>
      <c r="I2558" s="264"/>
      <c r="J2558" s="295">
        <v>0</v>
      </c>
      <c r="K2558" s="295">
        <v>0</v>
      </c>
      <c r="L2558" s="295">
        <v>0</v>
      </c>
      <c r="O2558" s="266"/>
      <c r="R2558" s="265"/>
      <c r="V2558" s="265">
        <v>0</v>
      </c>
      <c r="Y2558" s="259">
        <f t="shared" si="14"/>
        <v>1646</v>
      </c>
      <c r="AA2558" s="259" t="e">
        <v>#N/A</v>
      </c>
      <c r="AB2558" s="259"/>
      <c r="AC2558" s="259"/>
      <c r="AD2558" s="259"/>
      <c r="AE2558" s="259"/>
    </row>
    <row r="2559" spans="1:31">
      <c r="A2559" s="259" t="s">
        <v>2344</v>
      </c>
      <c r="B2559" s="259" t="s">
        <v>116</v>
      </c>
      <c r="C2559" s="264"/>
      <c r="D2559" s="264" t="s">
        <v>7858</v>
      </c>
      <c r="E2559" s="259" t="s">
        <v>7842</v>
      </c>
      <c r="H2559" s="264" t="s">
        <v>7858</v>
      </c>
      <c r="I2559" s="264" t="s">
        <v>7858</v>
      </c>
      <c r="J2559" s="295">
        <v>2494.2199999999998</v>
      </c>
      <c r="K2559" s="295">
        <v>2494.2199999999998</v>
      </c>
      <c r="L2559" s="295" t="s">
        <v>7240</v>
      </c>
      <c r="O2559" s="266">
        <v>0</v>
      </c>
      <c r="P2559" s="266">
        <v>688705007601</v>
      </c>
      <c r="Q2559" s="266">
        <v>0</v>
      </c>
      <c r="R2559" s="265">
        <v>0</v>
      </c>
      <c r="S2559" s="265">
        <v>0</v>
      </c>
      <c r="V2559" s="265" t="s">
        <v>3574</v>
      </c>
      <c r="W2559" s="259">
        <v>0</v>
      </c>
      <c r="Y2559" s="259">
        <f t="shared" si="14"/>
        <v>1647</v>
      </c>
      <c r="Z2559" s="259" t="s">
        <v>3030</v>
      </c>
      <c r="AA2559" s="259" t="e">
        <v>#N/A</v>
      </c>
      <c r="AB2559" s="259"/>
      <c r="AC2559" s="259"/>
      <c r="AD2559" s="259"/>
      <c r="AE2559" s="259"/>
    </row>
    <row r="2560" spans="1:31">
      <c r="A2560" s="259" t="s">
        <v>2345</v>
      </c>
      <c r="B2560" s="259" t="s">
        <v>116</v>
      </c>
      <c r="C2560" s="264"/>
      <c r="D2560" s="264"/>
      <c r="H2560" s="264"/>
      <c r="I2560" s="264"/>
      <c r="J2560" s="295">
        <v>0</v>
      </c>
      <c r="K2560" s="295">
        <v>0</v>
      </c>
      <c r="L2560" s="295">
        <v>0</v>
      </c>
      <c r="O2560" s="266"/>
      <c r="R2560" s="265"/>
      <c r="V2560" s="265">
        <v>0</v>
      </c>
      <c r="Y2560" s="259">
        <f t="shared" si="14"/>
        <v>1648</v>
      </c>
      <c r="AA2560" s="259" t="e">
        <v>#N/A</v>
      </c>
      <c r="AB2560" s="259"/>
      <c r="AC2560" s="259"/>
      <c r="AD2560" s="259"/>
      <c r="AE2560" s="259"/>
    </row>
    <row r="2561" spans="1:31">
      <c r="A2561" s="259">
        <v>91515053</v>
      </c>
      <c r="B2561" s="259" t="s">
        <v>116</v>
      </c>
      <c r="C2561" s="264"/>
      <c r="D2561" s="264" t="s">
        <v>7859</v>
      </c>
      <c r="E2561" s="259" t="s">
        <v>7842</v>
      </c>
      <c r="H2561" s="264" t="s">
        <v>7859</v>
      </c>
      <c r="I2561" s="264" t="s">
        <v>7859</v>
      </c>
      <c r="J2561" s="295">
        <v>2301.6</v>
      </c>
      <c r="K2561" s="295">
        <v>2301.6</v>
      </c>
      <c r="L2561" s="295" t="s">
        <v>7240</v>
      </c>
      <c r="O2561" s="266">
        <v>0</v>
      </c>
      <c r="Q2561" s="266">
        <v>0</v>
      </c>
      <c r="R2561" s="265">
        <v>0</v>
      </c>
      <c r="S2561" s="265">
        <v>0</v>
      </c>
      <c r="V2561" s="265" t="s">
        <v>3574</v>
      </c>
      <c r="W2561" s="259">
        <v>0</v>
      </c>
      <c r="Y2561" s="259">
        <f t="shared" si="14"/>
        <v>1649</v>
      </c>
      <c r="AA2561" s="259" t="e">
        <v>#N/A</v>
      </c>
      <c r="AB2561" s="259"/>
      <c r="AC2561" s="259"/>
      <c r="AD2561" s="259"/>
      <c r="AE2561" s="259"/>
    </row>
    <row r="2562" spans="1:31">
      <c r="A2562" s="259">
        <v>91515054</v>
      </c>
      <c r="B2562" s="259" t="s">
        <v>116</v>
      </c>
      <c r="C2562" s="264"/>
      <c r="D2562" s="264" t="s">
        <v>7860</v>
      </c>
      <c r="E2562" s="259" t="s">
        <v>7842</v>
      </c>
      <c r="H2562" s="264" t="s">
        <v>7860</v>
      </c>
      <c r="I2562" s="264" t="s">
        <v>7860</v>
      </c>
      <c r="J2562" s="295">
        <v>1843.5</v>
      </c>
      <c r="K2562" s="295">
        <v>1843.5</v>
      </c>
      <c r="L2562" s="295" t="s">
        <v>7240</v>
      </c>
      <c r="O2562" s="266">
        <v>0</v>
      </c>
      <c r="Q2562" s="266">
        <v>0</v>
      </c>
      <c r="R2562" s="265">
        <v>0</v>
      </c>
      <c r="S2562" s="265">
        <v>0</v>
      </c>
      <c r="V2562" s="265" t="s">
        <v>3574</v>
      </c>
      <c r="W2562" s="259">
        <v>0</v>
      </c>
      <c r="Y2562" s="259">
        <f t="shared" si="14"/>
        <v>1650</v>
      </c>
      <c r="AA2562" s="259" t="e">
        <v>#N/A</v>
      </c>
      <c r="AB2562" s="259"/>
      <c r="AC2562" s="259"/>
      <c r="AD2562" s="259"/>
      <c r="AE2562" s="259"/>
    </row>
    <row r="2563" spans="1:31">
      <c r="A2563" s="259" t="s">
        <v>2346</v>
      </c>
      <c r="B2563" s="259" t="s">
        <v>116</v>
      </c>
      <c r="C2563" s="264"/>
      <c r="D2563" s="264"/>
      <c r="H2563" s="264"/>
      <c r="I2563" s="264"/>
      <c r="J2563" s="295">
        <v>0</v>
      </c>
      <c r="K2563" s="295">
        <v>0</v>
      </c>
      <c r="L2563" s="295">
        <v>0</v>
      </c>
      <c r="O2563" s="266"/>
      <c r="R2563" s="265"/>
      <c r="V2563" s="265">
        <v>0</v>
      </c>
      <c r="Y2563" s="259">
        <f t="shared" si="14"/>
        <v>1651</v>
      </c>
      <c r="AA2563" s="259" t="e">
        <v>#N/A</v>
      </c>
      <c r="AB2563" s="259"/>
      <c r="AC2563" s="259"/>
      <c r="AD2563" s="259"/>
      <c r="AE2563" s="259"/>
    </row>
    <row r="2564" spans="1:31">
      <c r="A2564" s="259" t="s">
        <v>2347</v>
      </c>
      <c r="B2564" s="259" t="s">
        <v>116</v>
      </c>
      <c r="C2564" s="264"/>
      <c r="D2564" s="264"/>
      <c r="H2564" s="264"/>
      <c r="I2564" s="264"/>
      <c r="J2564" s="295">
        <v>0</v>
      </c>
      <c r="K2564" s="295">
        <v>0</v>
      </c>
      <c r="L2564" s="295">
        <v>0</v>
      </c>
      <c r="O2564" s="266">
        <v>0</v>
      </c>
      <c r="P2564" s="266">
        <v>0</v>
      </c>
      <c r="Q2564" s="266">
        <v>0</v>
      </c>
      <c r="R2564" s="265">
        <v>0</v>
      </c>
      <c r="S2564" s="265">
        <v>0</v>
      </c>
      <c r="V2564" s="265">
        <v>0</v>
      </c>
      <c r="W2564" s="259">
        <v>0</v>
      </c>
      <c r="Y2564" s="259">
        <f t="shared" si="14"/>
        <v>1652</v>
      </c>
      <c r="AA2564" s="259" t="e">
        <v>#N/A</v>
      </c>
      <c r="AB2564" s="259"/>
      <c r="AC2564" s="259"/>
      <c r="AD2564" s="259"/>
      <c r="AE2564" s="259"/>
    </row>
    <row r="2565" spans="1:31">
      <c r="A2565" s="259" t="s">
        <v>2348</v>
      </c>
      <c r="B2565" s="259" t="s">
        <v>116</v>
      </c>
      <c r="C2565" s="264" t="s">
        <v>7257</v>
      </c>
      <c r="D2565" s="264" t="s">
        <v>7861</v>
      </c>
      <c r="E2565" s="259" t="s">
        <v>7842</v>
      </c>
      <c r="H2565" s="264" t="s">
        <v>7861</v>
      </c>
      <c r="I2565" s="264" t="s">
        <v>7861</v>
      </c>
      <c r="J2565" s="295">
        <v>477.85</v>
      </c>
      <c r="K2565" s="295">
        <v>477.85</v>
      </c>
      <c r="L2565" s="295" t="s">
        <v>7240</v>
      </c>
      <c r="O2565" s="266">
        <v>2</v>
      </c>
      <c r="P2565" s="266">
        <v>5706681234769</v>
      </c>
      <c r="Q2565" s="266">
        <v>0</v>
      </c>
      <c r="R2565" s="265">
        <v>0</v>
      </c>
      <c r="V2565" s="265" t="s">
        <v>3218</v>
      </c>
      <c r="W2565" s="259">
        <v>0</v>
      </c>
      <c r="Y2565" s="259">
        <f t="shared" si="14"/>
        <v>1653</v>
      </c>
      <c r="Z2565" s="259" t="s">
        <v>3030</v>
      </c>
      <c r="AA2565" s="259" t="e">
        <v>#N/A</v>
      </c>
      <c r="AB2565" s="259"/>
      <c r="AC2565" s="259"/>
      <c r="AD2565" s="259"/>
      <c r="AE2565" s="259"/>
    </row>
    <row r="2566" spans="1:31">
      <c r="A2566" s="259" t="s">
        <v>2349</v>
      </c>
      <c r="B2566" s="259" t="s">
        <v>116</v>
      </c>
      <c r="C2566" s="264" t="s">
        <v>7257</v>
      </c>
      <c r="D2566" s="264" t="s">
        <v>7862</v>
      </c>
      <c r="E2566" s="259" t="s">
        <v>7842</v>
      </c>
      <c r="H2566" s="264" t="s">
        <v>7862</v>
      </c>
      <c r="I2566" s="264" t="s">
        <v>7862</v>
      </c>
      <c r="J2566" s="295">
        <v>869.27</v>
      </c>
      <c r="K2566" s="295">
        <v>869.27</v>
      </c>
      <c r="L2566" s="295" t="s">
        <v>7240</v>
      </c>
      <c r="O2566" s="266">
        <v>4</v>
      </c>
      <c r="P2566" s="266">
        <v>5706681234776</v>
      </c>
      <c r="Q2566" s="266">
        <v>0</v>
      </c>
      <c r="R2566" s="265">
        <v>0</v>
      </c>
      <c r="V2566" s="265" t="s">
        <v>3218</v>
      </c>
      <c r="W2566" s="259">
        <v>0</v>
      </c>
      <c r="X2566" s="264" t="s">
        <v>7259</v>
      </c>
      <c r="Y2566" s="259">
        <f t="shared" si="14"/>
        <v>1654</v>
      </c>
      <c r="Z2566" s="259" t="s">
        <v>3030</v>
      </c>
      <c r="AA2566" s="259" t="e">
        <v>#N/A</v>
      </c>
      <c r="AB2566" s="259"/>
      <c r="AC2566" s="259"/>
      <c r="AD2566" s="259"/>
      <c r="AE2566" s="259"/>
    </row>
    <row r="2567" spans="1:31">
      <c r="A2567" s="259" t="s">
        <v>2350</v>
      </c>
      <c r="B2567" s="259" t="s">
        <v>116</v>
      </c>
      <c r="C2567" s="264"/>
      <c r="D2567" s="264"/>
      <c r="H2567" s="264"/>
      <c r="I2567" s="264"/>
      <c r="J2567" s="295">
        <v>0</v>
      </c>
      <c r="K2567" s="295">
        <v>0</v>
      </c>
      <c r="L2567" s="295">
        <v>0</v>
      </c>
      <c r="O2567" s="266">
        <v>0</v>
      </c>
      <c r="P2567" s="266">
        <v>0</v>
      </c>
      <c r="Q2567" s="266">
        <v>0</v>
      </c>
      <c r="R2567" s="265">
        <v>0</v>
      </c>
      <c r="S2567" s="265">
        <v>0</v>
      </c>
      <c r="V2567" s="265">
        <v>0</v>
      </c>
      <c r="W2567" s="259">
        <v>0</v>
      </c>
      <c r="Y2567" s="259">
        <f t="shared" si="14"/>
        <v>1655</v>
      </c>
      <c r="AA2567" s="259" t="e">
        <v>#N/A</v>
      </c>
      <c r="AB2567" s="259"/>
      <c r="AC2567" s="259"/>
      <c r="AD2567" s="259"/>
      <c r="AE2567" s="259"/>
    </row>
    <row r="2568" spans="1:31">
      <c r="A2568" s="259" t="s">
        <v>2351</v>
      </c>
      <c r="B2568" s="259" t="s">
        <v>116</v>
      </c>
      <c r="C2568" s="264" t="s">
        <v>7257</v>
      </c>
      <c r="D2568" s="264" t="s">
        <v>7863</v>
      </c>
      <c r="E2568" s="259" t="s">
        <v>7842</v>
      </c>
      <c r="H2568" s="264" t="s">
        <v>7863</v>
      </c>
      <c r="I2568" s="264" t="s">
        <v>7863</v>
      </c>
      <c r="J2568" s="295">
        <v>417.35</v>
      </c>
      <c r="K2568" s="295">
        <v>417.35</v>
      </c>
      <c r="L2568" s="295" t="s">
        <v>7240</v>
      </c>
      <c r="O2568" s="266">
        <v>2</v>
      </c>
      <c r="P2568" s="266">
        <v>5706681234967</v>
      </c>
      <c r="Q2568" s="266">
        <v>0</v>
      </c>
      <c r="R2568" s="265">
        <v>0</v>
      </c>
      <c r="V2568" s="265" t="s">
        <v>3218</v>
      </c>
      <c r="W2568" s="259">
        <v>0</v>
      </c>
      <c r="Y2568" s="259">
        <f t="shared" si="14"/>
        <v>1656</v>
      </c>
      <c r="Z2568" s="259" t="s">
        <v>4325</v>
      </c>
      <c r="AA2568" s="259" t="e">
        <v>#N/A</v>
      </c>
      <c r="AB2568" s="259"/>
      <c r="AC2568" s="259"/>
      <c r="AD2568" s="259"/>
      <c r="AE2568" s="259"/>
    </row>
    <row r="2569" spans="1:31">
      <c r="A2569" s="259" t="s">
        <v>2352</v>
      </c>
      <c r="B2569" s="259" t="s">
        <v>116</v>
      </c>
      <c r="C2569" s="264" t="s">
        <v>7257</v>
      </c>
      <c r="D2569" s="264" t="s">
        <v>7864</v>
      </c>
      <c r="E2569" s="259" t="s">
        <v>7842</v>
      </c>
      <c r="H2569" s="264" t="s">
        <v>7864</v>
      </c>
      <c r="I2569" s="264" t="s">
        <v>7864</v>
      </c>
      <c r="J2569" s="295">
        <v>695.17</v>
      </c>
      <c r="K2569" s="295">
        <v>695.17</v>
      </c>
      <c r="L2569" s="295" t="s">
        <v>7240</v>
      </c>
      <c r="O2569" s="266">
        <v>4</v>
      </c>
      <c r="P2569" s="266">
        <v>5706681234981</v>
      </c>
      <c r="Q2569" s="266">
        <v>0</v>
      </c>
      <c r="R2569" s="265">
        <v>0</v>
      </c>
      <c r="V2569" s="265" t="s">
        <v>3218</v>
      </c>
      <c r="W2569" s="259">
        <v>0</v>
      </c>
      <c r="X2569" s="264" t="s">
        <v>7865</v>
      </c>
      <c r="Y2569" s="259">
        <f t="shared" si="14"/>
        <v>1657</v>
      </c>
      <c r="Z2569" s="259" t="s">
        <v>4325</v>
      </c>
      <c r="AA2569" s="259" t="e">
        <v>#N/A</v>
      </c>
      <c r="AB2569" s="259"/>
      <c r="AC2569" s="259"/>
      <c r="AD2569" s="259"/>
      <c r="AE2569" s="259"/>
    </row>
    <row r="2570" spans="1:31">
      <c r="A2570" s="259" t="s">
        <v>2353</v>
      </c>
      <c r="B2570" s="259" t="s">
        <v>116</v>
      </c>
      <c r="C2570" s="264"/>
      <c r="D2570" s="264"/>
      <c r="H2570" s="264"/>
      <c r="I2570" s="264"/>
      <c r="J2570" s="295">
        <v>0</v>
      </c>
      <c r="K2570" s="295">
        <v>0</v>
      </c>
      <c r="L2570" s="295">
        <v>0</v>
      </c>
      <c r="O2570" s="266">
        <v>0</v>
      </c>
      <c r="P2570" s="266">
        <v>0</v>
      </c>
      <c r="Q2570" s="266">
        <v>0</v>
      </c>
      <c r="R2570" s="265">
        <v>0</v>
      </c>
      <c r="S2570" s="265">
        <v>0</v>
      </c>
      <c r="V2570" s="265">
        <v>0</v>
      </c>
      <c r="W2570" s="259">
        <v>0</v>
      </c>
      <c r="Y2570" s="259">
        <f t="shared" si="14"/>
        <v>1658</v>
      </c>
      <c r="AA2570" s="259" t="e">
        <v>#N/A</v>
      </c>
      <c r="AB2570" s="259"/>
      <c r="AC2570" s="259"/>
      <c r="AD2570" s="259"/>
      <c r="AE2570" s="259"/>
    </row>
    <row r="2571" spans="1:31">
      <c r="A2571" s="259" t="s">
        <v>2354</v>
      </c>
      <c r="B2571" s="259" t="s">
        <v>116</v>
      </c>
      <c r="C2571" s="264" t="s">
        <v>7257</v>
      </c>
      <c r="D2571" s="264" t="s">
        <v>7866</v>
      </c>
      <c r="E2571" s="259" t="s">
        <v>7842</v>
      </c>
      <c r="H2571" s="264" t="s">
        <v>7866</v>
      </c>
      <c r="I2571" s="264" t="s">
        <v>7866</v>
      </c>
      <c r="J2571" s="295">
        <v>391.42</v>
      </c>
      <c r="K2571" s="295">
        <v>391.42</v>
      </c>
      <c r="L2571" s="295" t="s">
        <v>7240</v>
      </c>
      <c r="O2571" s="266">
        <v>0</v>
      </c>
      <c r="P2571" s="266">
        <v>5706681234998</v>
      </c>
      <c r="Q2571" s="266">
        <v>0</v>
      </c>
      <c r="R2571" s="265">
        <v>0</v>
      </c>
      <c r="V2571" s="265" t="s">
        <v>3218</v>
      </c>
      <c r="W2571" s="259">
        <v>0</v>
      </c>
      <c r="Y2571" s="259">
        <f t="shared" si="14"/>
        <v>1659</v>
      </c>
      <c r="Z2571" s="259" t="s">
        <v>3264</v>
      </c>
      <c r="AA2571" s="259" t="e">
        <v>#N/A</v>
      </c>
      <c r="AB2571" s="259"/>
      <c r="AC2571" s="259"/>
      <c r="AD2571" s="259"/>
      <c r="AE2571" s="259"/>
    </row>
    <row r="2572" spans="1:31">
      <c r="A2572" s="259" t="s">
        <v>2355</v>
      </c>
      <c r="B2572" s="259" t="s">
        <v>116</v>
      </c>
      <c r="C2572" s="264" t="s">
        <v>7257</v>
      </c>
      <c r="D2572" s="264" t="s">
        <v>7867</v>
      </c>
      <c r="E2572" s="259" t="s">
        <v>7842</v>
      </c>
      <c r="H2572" s="264" t="s">
        <v>7867</v>
      </c>
      <c r="I2572" s="264" t="s">
        <v>7867</v>
      </c>
      <c r="J2572" s="295">
        <v>608.74</v>
      </c>
      <c r="K2572" s="295">
        <v>608.74</v>
      </c>
      <c r="L2572" s="295" t="s">
        <v>7240</v>
      </c>
      <c r="O2572" s="266">
        <v>0</v>
      </c>
      <c r="P2572" s="266">
        <v>5706681235018</v>
      </c>
      <c r="Q2572" s="266">
        <v>0</v>
      </c>
      <c r="R2572" s="265">
        <v>0</v>
      </c>
      <c r="V2572" s="265" t="s">
        <v>3218</v>
      </c>
      <c r="W2572" s="259">
        <v>0</v>
      </c>
      <c r="X2572" s="264" t="s">
        <v>7868</v>
      </c>
      <c r="Y2572" s="259">
        <f t="shared" si="14"/>
        <v>1660</v>
      </c>
      <c r="Z2572" s="259" t="s">
        <v>3264</v>
      </c>
      <c r="AA2572" s="259" t="e">
        <v>#N/A</v>
      </c>
      <c r="AB2572" s="259"/>
      <c r="AC2572" s="259"/>
      <c r="AD2572" s="259"/>
      <c r="AE2572" s="259"/>
    </row>
    <row r="2573" spans="1:31">
      <c r="A2573" s="259" t="s">
        <v>2356</v>
      </c>
      <c r="B2573" s="259" t="s">
        <v>116</v>
      </c>
      <c r="C2573" s="264"/>
      <c r="D2573" s="264"/>
      <c r="H2573" s="264"/>
      <c r="I2573" s="264"/>
      <c r="J2573" s="295">
        <v>0</v>
      </c>
      <c r="K2573" s="295">
        <v>0</v>
      </c>
      <c r="L2573" s="295">
        <v>0</v>
      </c>
      <c r="O2573" s="266"/>
      <c r="R2573" s="265"/>
      <c r="V2573" s="265">
        <v>0</v>
      </c>
      <c r="Y2573" s="259">
        <f t="shared" si="14"/>
        <v>1661</v>
      </c>
      <c r="AA2573" s="259" t="e">
        <v>#N/A</v>
      </c>
      <c r="AB2573" s="259"/>
      <c r="AC2573" s="259"/>
      <c r="AD2573" s="259"/>
      <c r="AE2573" s="259"/>
    </row>
    <row r="2574" spans="1:31">
      <c r="A2574" s="259">
        <v>91610111</v>
      </c>
      <c r="B2574" s="259" t="s">
        <v>116</v>
      </c>
      <c r="C2574" s="264" t="s">
        <v>7257</v>
      </c>
      <c r="D2574" s="264" t="s">
        <v>7869</v>
      </c>
      <c r="E2574" s="259" t="s">
        <v>7842</v>
      </c>
      <c r="H2574" s="264" t="s">
        <v>7869</v>
      </c>
      <c r="I2574" s="264" t="s">
        <v>7869</v>
      </c>
      <c r="J2574" s="295">
        <v>28.4</v>
      </c>
      <c r="K2574" s="295">
        <v>28.4</v>
      </c>
      <c r="L2574" s="295" t="s">
        <v>7240</v>
      </c>
      <c r="O2574" s="266">
        <v>0</v>
      </c>
      <c r="Q2574" s="266">
        <v>0</v>
      </c>
      <c r="R2574" s="265">
        <v>1.3779535000000001</v>
      </c>
      <c r="S2574" s="265">
        <v>1.3779535000000001</v>
      </c>
      <c r="V2574" s="265" t="s">
        <v>3028</v>
      </c>
      <c r="W2574" s="259" t="s">
        <v>3029</v>
      </c>
      <c r="X2574" s="264" t="s">
        <v>7259</v>
      </c>
      <c r="Y2574" s="259">
        <f t="shared" si="14"/>
        <v>1662</v>
      </c>
      <c r="AA2574" s="259" t="e">
        <v>#N/A</v>
      </c>
      <c r="AB2574" s="259"/>
      <c r="AC2574" s="259"/>
      <c r="AD2574" s="259"/>
      <c r="AE2574" s="259"/>
    </row>
    <row r="2575" spans="1:31">
      <c r="A2575" s="259">
        <v>91610112</v>
      </c>
      <c r="B2575" s="259" t="s">
        <v>116</v>
      </c>
      <c r="C2575" s="264" t="s">
        <v>7257</v>
      </c>
      <c r="D2575" s="264" t="s">
        <v>7870</v>
      </c>
      <c r="E2575" s="259" t="s">
        <v>7842</v>
      </c>
      <c r="H2575" s="264" t="s">
        <v>7870</v>
      </c>
      <c r="I2575" s="264" t="s">
        <v>7870</v>
      </c>
      <c r="J2575" s="295">
        <v>34.57</v>
      </c>
      <c r="K2575" s="295">
        <v>34.57</v>
      </c>
      <c r="L2575" s="295" t="s">
        <v>7240</v>
      </c>
      <c r="O2575" s="266">
        <v>0</v>
      </c>
      <c r="Q2575" s="266">
        <v>0</v>
      </c>
      <c r="R2575" s="265">
        <v>1.3779535000000001</v>
      </c>
      <c r="S2575" s="265">
        <v>1.3779535000000001</v>
      </c>
      <c r="V2575" s="265" t="s">
        <v>3028</v>
      </c>
      <c r="W2575" s="259" t="s">
        <v>3029</v>
      </c>
      <c r="X2575" s="264" t="s">
        <v>7259</v>
      </c>
      <c r="Y2575" s="259">
        <f t="shared" si="14"/>
        <v>1663</v>
      </c>
      <c r="AA2575" s="259" t="e">
        <v>#N/A</v>
      </c>
      <c r="AB2575" s="259"/>
      <c r="AC2575" s="259"/>
      <c r="AD2575" s="259"/>
      <c r="AE2575" s="259"/>
    </row>
    <row r="2576" spans="1:31">
      <c r="A2576" s="259">
        <v>91610113</v>
      </c>
      <c r="B2576" s="259" t="s">
        <v>116</v>
      </c>
      <c r="C2576" s="264" t="s">
        <v>7257</v>
      </c>
      <c r="D2576" s="264" t="s">
        <v>7871</v>
      </c>
      <c r="E2576" s="259" t="s">
        <v>7842</v>
      </c>
      <c r="H2576" s="264" t="s">
        <v>7871</v>
      </c>
      <c r="I2576" s="264" t="s">
        <v>7871</v>
      </c>
      <c r="J2576" s="295">
        <v>28.4</v>
      </c>
      <c r="K2576" s="295">
        <v>28.4</v>
      </c>
      <c r="L2576" s="295" t="s">
        <v>7240</v>
      </c>
      <c r="O2576" s="266">
        <v>0</v>
      </c>
      <c r="Q2576" s="266">
        <v>0</v>
      </c>
      <c r="R2576" s="265">
        <v>1.3779535000000001</v>
      </c>
      <c r="S2576" s="265">
        <v>1.3779535000000001</v>
      </c>
      <c r="V2576" s="265" t="s">
        <v>3028</v>
      </c>
      <c r="W2576" s="259" t="s">
        <v>3029</v>
      </c>
      <c r="X2576" s="264" t="s">
        <v>7259</v>
      </c>
      <c r="Y2576" s="259">
        <f t="shared" si="14"/>
        <v>1664</v>
      </c>
      <c r="AA2576" s="259" t="e">
        <v>#N/A</v>
      </c>
      <c r="AB2576" s="259"/>
      <c r="AC2576" s="259"/>
      <c r="AD2576" s="259"/>
      <c r="AE2576" s="259"/>
    </row>
    <row r="2577" spans="1:31">
      <c r="A2577" s="259">
        <v>91610114</v>
      </c>
      <c r="B2577" s="259" t="s">
        <v>116</v>
      </c>
      <c r="C2577" s="264" t="s">
        <v>7257</v>
      </c>
      <c r="D2577" s="264" t="s">
        <v>7872</v>
      </c>
      <c r="E2577" s="259" t="s">
        <v>7842</v>
      </c>
      <c r="H2577" s="264" t="s">
        <v>7872</v>
      </c>
      <c r="I2577" s="264" t="s">
        <v>7872</v>
      </c>
      <c r="J2577" s="295">
        <v>34.57</v>
      </c>
      <c r="K2577" s="295">
        <v>34.57</v>
      </c>
      <c r="L2577" s="295" t="s">
        <v>7240</v>
      </c>
      <c r="O2577" s="266">
        <v>0</v>
      </c>
      <c r="P2577" s="266">
        <v>5706681230013</v>
      </c>
      <c r="Q2577" s="266">
        <v>0</v>
      </c>
      <c r="R2577" s="265">
        <v>1.3779535000000001</v>
      </c>
      <c r="S2577" s="265">
        <v>1.3779535000000001</v>
      </c>
      <c r="V2577" s="265" t="s">
        <v>3028</v>
      </c>
      <c r="W2577" s="259" t="s">
        <v>3029</v>
      </c>
      <c r="X2577" s="264" t="s">
        <v>7259</v>
      </c>
      <c r="Y2577" s="259">
        <f t="shared" si="14"/>
        <v>1665</v>
      </c>
      <c r="AA2577" s="259" t="e">
        <v>#N/A</v>
      </c>
      <c r="AB2577" s="259"/>
      <c r="AC2577" s="259"/>
      <c r="AD2577" s="259"/>
      <c r="AE2577" s="259"/>
    </row>
    <row r="2578" spans="1:31">
      <c r="A2578" s="259">
        <v>91610115</v>
      </c>
      <c r="B2578" s="259" t="s">
        <v>116</v>
      </c>
      <c r="C2578" s="264" t="s">
        <v>7257</v>
      </c>
      <c r="D2578" s="264" t="s">
        <v>7873</v>
      </c>
      <c r="E2578" s="259" t="s">
        <v>7842</v>
      </c>
      <c r="H2578" s="264" t="s">
        <v>7873</v>
      </c>
      <c r="I2578" s="264" t="s">
        <v>7873</v>
      </c>
      <c r="J2578" s="295">
        <v>28.4</v>
      </c>
      <c r="K2578" s="295">
        <v>28.4</v>
      </c>
      <c r="L2578" s="295" t="s">
        <v>7240</v>
      </c>
      <c r="O2578" s="266">
        <v>0</v>
      </c>
      <c r="Q2578" s="266">
        <v>0</v>
      </c>
      <c r="R2578" s="265">
        <v>1.3779535000000001</v>
      </c>
      <c r="S2578" s="265">
        <v>1.3779535000000001</v>
      </c>
      <c r="V2578" s="265" t="s">
        <v>3028</v>
      </c>
      <c r="W2578" s="259" t="s">
        <v>3029</v>
      </c>
      <c r="X2578" s="264" t="s">
        <v>7259</v>
      </c>
      <c r="Y2578" s="259">
        <f t="shared" si="14"/>
        <v>1666</v>
      </c>
      <c r="AA2578" s="259" t="e">
        <v>#N/A</v>
      </c>
      <c r="AB2578" s="259"/>
      <c r="AC2578" s="259"/>
      <c r="AD2578" s="259"/>
      <c r="AE2578" s="259"/>
    </row>
    <row r="2579" spans="1:31">
      <c r="A2579" s="259">
        <v>91610116</v>
      </c>
      <c r="B2579" s="259" t="s">
        <v>116</v>
      </c>
      <c r="C2579" s="264" t="s">
        <v>7257</v>
      </c>
      <c r="D2579" s="264" t="s">
        <v>7874</v>
      </c>
      <c r="E2579" s="259" t="s">
        <v>7842</v>
      </c>
      <c r="H2579" s="264" t="s">
        <v>7874</v>
      </c>
      <c r="I2579" s="264" t="s">
        <v>7874</v>
      </c>
      <c r="J2579" s="295">
        <v>34.57</v>
      </c>
      <c r="K2579" s="295">
        <v>34.57</v>
      </c>
      <c r="L2579" s="295" t="s">
        <v>7240</v>
      </c>
      <c r="O2579" s="266">
        <v>0</v>
      </c>
      <c r="Q2579" s="266">
        <v>0</v>
      </c>
      <c r="R2579" s="265">
        <v>1.3779535000000001</v>
      </c>
      <c r="S2579" s="265">
        <v>1.3779535000000001</v>
      </c>
      <c r="V2579" s="265" t="s">
        <v>3028</v>
      </c>
      <c r="W2579" s="259" t="s">
        <v>3029</v>
      </c>
      <c r="X2579" s="264" t="s">
        <v>7259</v>
      </c>
      <c r="Y2579" s="259">
        <f t="shared" si="14"/>
        <v>1667</v>
      </c>
      <c r="AA2579" s="259" t="e">
        <v>#N/A</v>
      </c>
      <c r="AB2579" s="259"/>
      <c r="AC2579" s="259"/>
      <c r="AD2579" s="259"/>
      <c r="AE2579" s="259"/>
    </row>
    <row r="2580" spans="1:31">
      <c r="A2580" s="259">
        <v>91610117</v>
      </c>
      <c r="B2580" s="259" t="s">
        <v>116</v>
      </c>
      <c r="C2580" s="264" t="s">
        <v>7257</v>
      </c>
      <c r="D2580" s="264" t="s">
        <v>7875</v>
      </c>
      <c r="E2580" s="259" t="s">
        <v>7842</v>
      </c>
      <c r="H2580" s="264" t="s">
        <v>7875</v>
      </c>
      <c r="I2580" s="264" t="s">
        <v>7875</v>
      </c>
      <c r="J2580" s="295">
        <v>25.93</v>
      </c>
      <c r="K2580" s="295">
        <v>25.93</v>
      </c>
      <c r="L2580" s="295" t="s">
        <v>7240</v>
      </c>
      <c r="O2580" s="266">
        <v>0</v>
      </c>
      <c r="P2580" s="266">
        <v>5706681230044</v>
      </c>
      <c r="Q2580" s="266">
        <v>0</v>
      </c>
      <c r="R2580" s="265">
        <v>1.3779535000000001</v>
      </c>
      <c r="S2580" s="265">
        <v>1.3779535000000001</v>
      </c>
      <c r="V2580" s="265" t="s">
        <v>3028</v>
      </c>
      <c r="W2580" s="259" t="s">
        <v>3029</v>
      </c>
      <c r="X2580" s="264" t="s">
        <v>7259</v>
      </c>
      <c r="Y2580" s="259">
        <f t="shared" si="14"/>
        <v>1668</v>
      </c>
      <c r="AA2580" s="259" t="e">
        <v>#N/A</v>
      </c>
      <c r="AB2580" s="259"/>
      <c r="AC2580" s="259"/>
      <c r="AD2580" s="259"/>
      <c r="AE2580" s="259"/>
    </row>
    <row r="2581" spans="1:31">
      <c r="A2581" s="259">
        <v>91610118</v>
      </c>
      <c r="B2581" s="259" t="s">
        <v>116</v>
      </c>
      <c r="C2581" s="264" t="s">
        <v>7257</v>
      </c>
      <c r="D2581" s="264" t="s">
        <v>7876</v>
      </c>
      <c r="E2581" s="259" t="s">
        <v>7842</v>
      </c>
      <c r="H2581" s="264" t="s">
        <v>7876</v>
      </c>
      <c r="I2581" s="264" t="s">
        <v>7876</v>
      </c>
      <c r="J2581" s="295">
        <v>34.57</v>
      </c>
      <c r="K2581" s="295">
        <v>34.57</v>
      </c>
      <c r="L2581" s="295" t="s">
        <v>7240</v>
      </c>
      <c r="O2581" s="266">
        <v>0</v>
      </c>
      <c r="Q2581" s="266">
        <v>0</v>
      </c>
      <c r="R2581" s="265">
        <v>1.3779535000000001</v>
      </c>
      <c r="S2581" s="265">
        <v>1.3779535000000001</v>
      </c>
      <c r="V2581" s="265" t="s">
        <v>3028</v>
      </c>
      <c r="W2581" s="259" t="s">
        <v>3029</v>
      </c>
      <c r="X2581" s="264" t="s">
        <v>7259</v>
      </c>
      <c r="Y2581" s="259">
        <f t="shared" si="14"/>
        <v>1669</v>
      </c>
      <c r="AA2581" s="259" t="e">
        <v>#N/A</v>
      </c>
      <c r="AB2581" s="259"/>
      <c r="AC2581" s="259"/>
      <c r="AD2581" s="259"/>
      <c r="AE2581" s="259"/>
    </row>
    <row r="2582" spans="1:31">
      <c r="A2582" s="259">
        <v>91610119</v>
      </c>
      <c r="B2582" s="259" t="s">
        <v>116</v>
      </c>
      <c r="C2582" s="264" t="s">
        <v>7257</v>
      </c>
      <c r="D2582" s="264" t="s">
        <v>7877</v>
      </c>
      <c r="E2582" s="259" t="s">
        <v>7842</v>
      </c>
      <c r="H2582" s="264" t="s">
        <v>7877</v>
      </c>
      <c r="I2582" s="264" t="s">
        <v>7877</v>
      </c>
      <c r="J2582" s="295">
        <v>28.4</v>
      </c>
      <c r="K2582" s="295">
        <v>28.4</v>
      </c>
      <c r="L2582" s="295" t="s">
        <v>7240</v>
      </c>
      <c r="O2582" s="266">
        <v>0</v>
      </c>
      <c r="Q2582" s="266">
        <v>0</v>
      </c>
      <c r="R2582" s="265">
        <v>1.3779535000000001</v>
      </c>
      <c r="S2582" s="265">
        <v>1.3779535000000001</v>
      </c>
      <c r="V2582" s="265" t="s">
        <v>3028</v>
      </c>
      <c r="W2582" s="259" t="s">
        <v>3029</v>
      </c>
      <c r="X2582" s="264" t="s">
        <v>7259</v>
      </c>
      <c r="Y2582" s="259">
        <f t="shared" si="14"/>
        <v>1670</v>
      </c>
      <c r="AA2582" s="259" t="e">
        <v>#N/A</v>
      </c>
      <c r="AB2582" s="259"/>
      <c r="AC2582" s="259"/>
      <c r="AD2582" s="259"/>
      <c r="AE2582" s="259"/>
    </row>
    <row r="2583" spans="1:31">
      <c r="A2583" s="259">
        <v>91610120</v>
      </c>
      <c r="B2583" s="259" t="s">
        <v>116</v>
      </c>
      <c r="C2583" s="264" t="s">
        <v>7257</v>
      </c>
      <c r="D2583" s="264" t="s">
        <v>7878</v>
      </c>
      <c r="E2583" s="259" t="s">
        <v>7842</v>
      </c>
      <c r="H2583" s="264" t="s">
        <v>7878</v>
      </c>
      <c r="I2583" s="264" t="s">
        <v>7878</v>
      </c>
      <c r="J2583" s="295">
        <v>34.57</v>
      </c>
      <c r="K2583" s="295">
        <v>34.57</v>
      </c>
      <c r="L2583" s="295" t="s">
        <v>7240</v>
      </c>
      <c r="O2583" s="266">
        <v>0</v>
      </c>
      <c r="Q2583" s="266">
        <v>0</v>
      </c>
      <c r="R2583" s="265">
        <v>1.3779535000000001</v>
      </c>
      <c r="S2583" s="265">
        <v>1.3779535000000001</v>
      </c>
      <c r="V2583" s="265" t="s">
        <v>3028</v>
      </c>
      <c r="W2583" s="259" t="s">
        <v>3029</v>
      </c>
      <c r="X2583" s="264" t="s">
        <v>7259</v>
      </c>
      <c r="Y2583" s="259">
        <f t="shared" si="14"/>
        <v>1671</v>
      </c>
      <c r="AA2583" s="259" t="e">
        <v>#N/A</v>
      </c>
      <c r="AB2583" s="259"/>
      <c r="AC2583" s="259"/>
      <c r="AD2583" s="259"/>
      <c r="AE2583" s="259"/>
    </row>
    <row r="2584" spans="1:31">
      <c r="A2584" s="259">
        <v>91610121</v>
      </c>
      <c r="B2584" s="259" t="s">
        <v>116</v>
      </c>
      <c r="C2584" s="264" t="s">
        <v>7257</v>
      </c>
      <c r="D2584" s="264" t="s">
        <v>7879</v>
      </c>
      <c r="E2584" s="259" t="s">
        <v>7842</v>
      </c>
      <c r="H2584" s="264" t="s">
        <v>7879</v>
      </c>
      <c r="I2584" s="264" t="s">
        <v>7879</v>
      </c>
      <c r="J2584" s="295">
        <v>28.4</v>
      </c>
      <c r="K2584" s="295">
        <v>28.4</v>
      </c>
      <c r="L2584" s="295" t="s">
        <v>7240</v>
      </c>
      <c r="O2584" s="266">
        <v>0</v>
      </c>
      <c r="Q2584" s="266">
        <v>0</v>
      </c>
      <c r="R2584" s="265">
        <v>1.3779535000000001</v>
      </c>
      <c r="S2584" s="265">
        <v>1.3779535000000001</v>
      </c>
      <c r="V2584" s="265" t="s">
        <v>3028</v>
      </c>
      <c r="W2584" s="259" t="s">
        <v>3029</v>
      </c>
      <c r="X2584" s="264" t="s">
        <v>7259</v>
      </c>
      <c r="Y2584" s="259">
        <f t="shared" si="14"/>
        <v>1672</v>
      </c>
      <c r="AA2584" s="259" t="e">
        <v>#N/A</v>
      </c>
      <c r="AB2584" s="259"/>
      <c r="AC2584" s="259"/>
      <c r="AD2584" s="259"/>
      <c r="AE2584" s="259"/>
    </row>
    <row r="2585" spans="1:31">
      <c r="A2585" s="259">
        <v>91610122</v>
      </c>
      <c r="B2585" s="259" t="s">
        <v>116</v>
      </c>
      <c r="C2585" s="264" t="s">
        <v>7257</v>
      </c>
      <c r="D2585" s="264" t="s">
        <v>7880</v>
      </c>
      <c r="E2585" s="259" t="s">
        <v>7842</v>
      </c>
      <c r="H2585" s="264" t="s">
        <v>7880</v>
      </c>
      <c r="I2585" s="264" t="s">
        <v>7880</v>
      </c>
      <c r="J2585" s="295">
        <v>34.57</v>
      </c>
      <c r="K2585" s="295">
        <v>34.57</v>
      </c>
      <c r="L2585" s="295" t="s">
        <v>7240</v>
      </c>
      <c r="O2585" s="266">
        <v>0</v>
      </c>
      <c r="Q2585" s="266">
        <v>0</v>
      </c>
      <c r="R2585" s="265">
        <v>1.3779535000000001</v>
      </c>
      <c r="S2585" s="265">
        <v>1.3779535000000001</v>
      </c>
      <c r="V2585" s="265" t="s">
        <v>3028</v>
      </c>
      <c r="W2585" s="259" t="s">
        <v>3029</v>
      </c>
      <c r="X2585" s="264" t="s">
        <v>7259</v>
      </c>
      <c r="Y2585" s="259">
        <f t="shared" si="14"/>
        <v>1673</v>
      </c>
      <c r="AA2585" s="259" t="e">
        <v>#N/A</v>
      </c>
      <c r="AB2585" s="259"/>
      <c r="AC2585" s="259"/>
      <c r="AD2585" s="259"/>
      <c r="AE2585" s="259"/>
    </row>
    <row r="2586" spans="1:31">
      <c r="A2586" s="259">
        <v>91611630</v>
      </c>
      <c r="B2586" s="259" t="s">
        <v>116</v>
      </c>
      <c r="C2586" s="264" t="s">
        <v>7257</v>
      </c>
      <c r="D2586" s="264" t="s">
        <v>7881</v>
      </c>
      <c r="E2586" s="259" t="s">
        <v>7842</v>
      </c>
      <c r="H2586" s="264" t="s">
        <v>7881</v>
      </c>
      <c r="I2586" s="264" t="s">
        <v>7881</v>
      </c>
      <c r="J2586" s="295">
        <v>28.4</v>
      </c>
      <c r="K2586" s="295">
        <v>28.4</v>
      </c>
      <c r="L2586" s="295" t="s">
        <v>7240</v>
      </c>
      <c r="O2586" s="266">
        <v>0</v>
      </c>
      <c r="Q2586" s="266">
        <v>0</v>
      </c>
      <c r="R2586" s="265">
        <v>2.1653555</v>
      </c>
      <c r="S2586" s="265">
        <v>2.1653555</v>
      </c>
      <c r="V2586" s="265" t="s">
        <v>3028</v>
      </c>
      <c r="W2586" s="259" t="s">
        <v>3029</v>
      </c>
      <c r="X2586" s="264" t="s">
        <v>7259</v>
      </c>
      <c r="Y2586" s="259">
        <f t="shared" si="14"/>
        <v>1674</v>
      </c>
      <c r="AA2586" s="259" t="e">
        <v>#N/A</v>
      </c>
      <c r="AB2586" s="259"/>
      <c r="AC2586" s="259"/>
      <c r="AD2586" s="259"/>
      <c r="AE2586" s="259"/>
    </row>
    <row r="2587" spans="1:31">
      <c r="A2587" s="259">
        <v>91611640</v>
      </c>
      <c r="B2587" s="259" t="s">
        <v>116</v>
      </c>
      <c r="C2587" s="264" t="s">
        <v>7257</v>
      </c>
      <c r="D2587" s="264" t="s">
        <v>7882</v>
      </c>
      <c r="E2587" s="259" t="s">
        <v>7842</v>
      </c>
      <c r="H2587" s="264" t="s">
        <v>7882</v>
      </c>
      <c r="I2587" s="264" t="s">
        <v>7882</v>
      </c>
      <c r="J2587" s="295">
        <v>34.57</v>
      </c>
      <c r="K2587" s="295">
        <v>34.57</v>
      </c>
      <c r="L2587" s="295" t="s">
        <v>7240</v>
      </c>
      <c r="O2587" s="266">
        <v>0</v>
      </c>
      <c r="Q2587" s="266">
        <v>0</v>
      </c>
      <c r="R2587" s="265">
        <v>2.1653555</v>
      </c>
      <c r="S2587" s="265">
        <v>2.1653555</v>
      </c>
      <c r="V2587" s="265" t="s">
        <v>3028</v>
      </c>
      <c r="W2587" s="259" t="s">
        <v>3029</v>
      </c>
      <c r="X2587" s="264" t="s">
        <v>7259</v>
      </c>
      <c r="Y2587" s="259">
        <f t="shared" si="14"/>
        <v>1675</v>
      </c>
      <c r="AA2587" s="259" t="e">
        <v>#N/A</v>
      </c>
      <c r="AB2587" s="259"/>
      <c r="AC2587" s="259"/>
      <c r="AD2587" s="259"/>
      <c r="AE2587" s="259"/>
    </row>
    <row r="2588" spans="1:31">
      <c r="A2588" s="259">
        <v>91611650</v>
      </c>
      <c r="B2588" s="259" t="s">
        <v>116</v>
      </c>
      <c r="C2588" s="264" t="s">
        <v>7257</v>
      </c>
      <c r="D2588" s="264" t="s">
        <v>7883</v>
      </c>
      <c r="E2588" s="259" t="s">
        <v>7842</v>
      </c>
      <c r="H2588" s="264" t="s">
        <v>7883</v>
      </c>
      <c r="I2588" s="264" t="s">
        <v>7883</v>
      </c>
      <c r="J2588" s="295">
        <v>28.4</v>
      </c>
      <c r="K2588" s="295">
        <v>28.4</v>
      </c>
      <c r="L2588" s="295" t="s">
        <v>7240</v>
      </c>
      <c r="O2588" s="266">
        <v>0</v>
      </c>
      <c r="Q2588" s="266">
        <v>0</v>
      </c>
      <c r="R2588" s="265">
        <v>2.1653555</v>
      </c>
      <c r="S2588" s="265">
        <v>2.1653555</v>
      </c>
      <c r="V2588" s="265" t="s">
        <v>3028</v>
      </c>
      <c r="W2588" s="259" t="s">
        <v>3029</v>
      </c>
      <c r="X2588" s="264" t="s">
        <v>7259</v>
      </c>
      <c r="Y2588" s="259">
        <f t="shared" si="14"/>
        <v>1676</v>
      </c>
      <c r="AA2588" s="259" t="e">
        <v>#N/A</v>
      </c>
      <c r="AB2588" s="259"/>
      <c r="AC2588" s="259"/>
      <c r="AD2588" s="259"/>
      <c r="AE2588" s="259"/>
    </row>
    <row r="2589" spans="1:31">
      <c r="A2589" s="259">
        <v>91611660</v>
      </c>
      <c r="B2589" s="259" t="s">
        <v>116</v>
      </c>
      <c r="C2589" s="264" t="s">
        <v>7257</v>
      </c>
      <c r="D2589" s="264" t="s">
        <v>7884</v>
      </c>
      <c r="E2589" s="259" t="s">
        <v>7842</v>
      </c>
      <c r="H2589" s="264" t="s">
        <v>7884</v>
      </c>
      <c r="I2589" s="264" t="s">
        <v>7884</v>
      </c>
      <c r="J2589" s="295">
        <v>34.57</v>
      </c>
      <c r="K2589" s="295">
        <v>34.57</v>
      </c>
      <c r="L2589" s="295" t="s">
        <v>7240</v>
      </c>
      <c r="O2589" s="266">
        <v>0</v>
      </c>
      <c r="Q2589" s="266">
        <v>0</v>
      </c>
      <c r="R2589" s="265">
        <v>2.1653555</v>
      </c>
      <c r="S2589" s="265">
        <v>2.1653555</v>
      </c>
      <c r="V2589" s="265" t="s">
        <v>3028</v>
      </c>
      <c r="W2589" s="259" t="s">
        <v>3029</v>
      </c>
      <c r="X2589" s="264" t="s">
        <v>7259</v>
      </c>
      <c r="Y2589" s="259">
        <f t="shared" si="14"/>
        <v>1677</v>
      </c>
      <c r="AA2589" s="259" t="e">
        <v>#N/A</v>
      </c>
      <c r="AB2589" s="259"/>
      <c r="AC2589" s="259"/>
      <c r="AD2589" s="259"/>
      <c r="AE2589" s="259"/>
    </row>
    <row r="2590" spans="1:31">
      <c r="A2590" s="259">
        <v>91610126</v>
      </c>
      <c r="B2590" s="259" t="s">
        <v>116</v>
      </c>
      <c r="C2590" s="264" t="s">
        <v>7257</v>
      </c>
      <c r="D2590" s="264" t="s">
        <v>7885</v>
      </c>
      <c r="E2590" s="259" t="s">
        <v>7842</v>
      </c>
      <c r="H2590" s="264" t="s">
        <v>7885</v>
      </c>
      <c r="I2590" s="264" t="s">
        <v>7885</v>
      </c>
      <c r="J2590" s="295">
        <v>59.27</v>
      </c>
      <c r="K2590" s="295">
        <v>59.27</v>
      </c>
      <c r="L2590" s="295" t="s">
        <v>7240</v>
      </c>
      <c r="O2590" s="266">
        <v>0</v>
      </c>
      <c r="Q2590" s="266">
        <v>0</v>
      </c>
      <c r="R2590" s="265">
        <v>0</v>
      </c>
      <c r="S2590" s="265">
        <v>0</v>
      </c>
      <c r="V2590" s="265" t="s">
        <v>3028</v>
      </c>
      <c r="W2590" s="259" t="s">
        <v>3029</v>
      </c>
      <c r="X2590" s="264" t="s">
        <v>7259</v>
      </c>
      <c r="Y2590" s="259">
        <f t="shared" si="14"/>
        <v>1678</v>
      </c>
      <c r="AA2590" s="259" t="e">
        <v>#N/A</v>
      </c>
      <c r="AB2590" s="259"/>
      <c r="AC2590" s="259"/>
      <c r="AD2590" s="259"/>
      <c r="AE2590" s="259"/>
    </row>
    <row r="2591" spans="1:31">
      <c r="A2591" s="259">
        <v>91610127</v>
      </c>
      <c r="B2591" s="259" t="s">
        <v>116</v>
      </c>
      <c r="C2591" s="264" t="s">
        <v>7257</v>
      </c>
      <c r="D2591" s="264" t="s">
        <v>7886</v>
      </c>
      <c r="E2591" s="259" t="s">
        <v>7842</v>
      </c>
      <c r="H2591" s="264" t="s">
        <v>7886</v>
      </c>
      <c r="I2591" s="264" t="s">
        <v>7886</v>
      </c>
      <c r="J2591" s="295">
        <v>206.21</v>
      </c>
      <c r="K2591" s="295">
        <v>206.21</v>
      </c>
      <c r="L2591" s="295" t="s">
        <v>7240</v>
      </c>
      <c r="O2591" s="266">
        <v>0</v>
      </c>
      <c r="Q2591" s="266">
        <v>0</v>
      </c>
      <c r="R2591" s="265">
        <v>0</v>
      </c>
      <c r="S2591" s="265">
        <v>0</v>
      </c>
      <c r="V2591" s="265" t="s">
        <v>3028</v>
      </c>
      <c r="W2591" s="259" t="s">
        <v>3029</v>
      </c>
      <c r="X2591" s="264" t="s">
        <v>7259</v>
      </c>
      <c r="Y2591" s="259">
        <f t="shared" si="14"/>
        <v>1679</v>
      </c>
      <c r="AA2591" s="259" t="e">
        <v>#N/A</v>
      </c>
      <c r="AB2591" s="259"/>
      <c r="AC2591" s="259"/>
      <c r="AD2591" s="259"/>
      <c r="AE2591" s="259"/>
    </row>
    <row r="2592" spans="1:31">
      <c r="A2592" s="259">
        <v>91610128</v>
      </c>
      <c r="B2592" s="259" t="s">
        <v>116</v>
      </c>
      <c r="C2592" s="264" t="s">
        <v>7257</v>
      </c>
      <c r="D2592" s="264" t="s">
        <v>7887</v>
      </c>
      <c r="E2592" s="259" t="s">
        <v>7842</v>
      </c>
      <c r="H2592" s="264" t="s">
        <v>7887</v>
      </c>
      <c r="I2592" s="264" t="s">
        <v>7887</v>
      </c>
      <c r="J2592" s="295">
        <v>59.27</v>
      </c>
      <c r="K2592" s="295">
        <v>59.27</v>
      </c>
      <c r="L2592" s="295" t="s">
        <v>7240</v>
      </c>
      <c r="O2592" s="266">
        <v>0</v>
      </c>
      <c r="Q2592" s="266">
        <v>0</v>
      </c>
      <c r="R2592" s="265">
        <v>0</v>
      </c>
      <c r="S2592" s="265">
        <v>0</v>
      </c>
      <c r="V2592" s="265" t="s">
        <v>3028</v>
      </c>
      <c r="W2592" s="259" t="s">
        <v>3029</v>
      </c>
      <c r="X2592" s="264" t="s">
        <v>7259</v>
      </c>
      <c r="Y2592" s="259">
        <f t="shared" si="14"/>
        <v>1680</v>
      </c>
      <c r="AA2592" s="259" t="e">
        <v>#N/A</v>
      </c>
      <c r="AB2592" s="259"/>
      <c r="AC2592" s="259"/>
      <c r="AD2592" s="259"/>
      <c r="AE2592" s="259"/>
    </row>
    <row r="2593" spans="1:31">
      <c r="A2593" s="259">
        <v>91610129</v>
      </c>
      <c r="B2593" s="259" t="s">
        <v>116</v>
      </c>
      <c r="C2593" s="264" t="s">
        <v>7257</v>
      </c>
      <c r="D2593" s="264" t="s">
        <v>7888</v>
      </c>
      <c r="E2593" s="259" t="s">
        <v>7842</v>
      </c>
      <c r="H2593" s="264" t="s">
        <v>7888</v>
      </c>
      <c r="I2593" s="264" t="s">
        <v>7888</v>
      </c>
      <c r="J2593" s="295">
        <v>207.44</v>
      </c>
      <c r="K2593" s="295">
        <v>207.44</v>
      </c>
      <c r="L2593" s="295" t="s">
        <v>7240</v>
      </c>
      <c r="O2593" s="266">
        <v>0</v>
      </c>
      <c r="Q2593" s="266">
        <v>0</v>
      </c>
      <c r="R2593" s="265">
        <v>0</v>
      </c>
      <c r="S2593" s="265">
        <v>0</v>
      </c>
      <c r="V2593" s="265" t="s">
        <v>3028</v>
      </c>
      <c r="W2593" s="259" t="s">
        <v>3029</v>
      </c>
      <c r="X2593" s="264" t="s">
        <v>7259</v>
      </c>
      <c r="Y2593" s="259">
        <f t="shared" si="14"/>
        <v>1681</v>
      </c>
      <c r="AA2593" s="259" t="e">
        <v>#N/A</v>
      </c>
      <c r="AB2593" s="259"/>
      <c r="AC2593" s="259"/>
      <c r="AD2593" s="259"/>
      <c r="AE2593" s="259"/>
    </row>
    <row r="2594" spans="1:31">
      <c r="A2594" s="259">
        <v>91610130</v>
      </c>
      <c r="B2594" s="259" t="s">
        <v>116</v>
      </c>
      <c r="C2594" s="264" t="s">
        <v>7257</v>
      </c>
      <c r="D2594" s="264" t="s">
        <v>7889</v>
      </c>
      <c r="E2594" s="259" t="s">
        <v>7842</v>
      </c>
      <c r="H2594" s="264" t="s">
        <v>7889</v>
      </c>
      <c r="I2594" s="264" t="s">
        <v>7889</v>
      </c>
      <c r="J2594" s="295">
        <v>30.87</v>
      </c>
      <c r="K2594" s="295">
        <v>30.87</v>
      </c>
      <c r="L2594" s="295" t="s">
        <v>7240</v>
      </c>
      <c r="O2594" s="266">
        <v>0</v>
      </c>
      <c r="Q2594" s="266">
        <v>0</v>
      </c>
      <c r="R2594" s="265">
        <v>0</v>
      </c>
      <c r="S2594" s="265">
        <v>0</v>
      </c>
      <c r="V2594" s="265" t="s">
        <v>3028</v>
      </c>
      <c r="W2594" s="259" t="s">
        <v>3029</v>
      </c>
      <c r="X2594" s="264" t="s">
        <v>7259</v>
      </c>
      <c r="Y2594" s="259">
        <f t="shared" si="14"/>
        <v>1682</v>
      </c>
      <c r="AA2594" s="259" t="e">
        <v>#N/A</v>
      </c>
      <c r="AB2594" s="259"/>
      <c r="AC2594" s="259"/>
      <c r="AD2594" s="259"/>
      <c r="AE2594" s="259"/>
    </row>
    <row r="2595" spans="1:31">
      <c r="A2595" s="259">
        <v>91610131</v>
      </c>
      <c r="B2595" s="259" t="s">
        <v>116</v>
      </c>
      <c r="C2595" s="264" t="s">
        <v>7257</v>
      </c>
      <c r="D2595" s="264" t="s">
        <v>7890</v>
      </c>
      <c r="E2595" s="259" t="s">
        <v>7842</v>
      </c>
      <c r="H2595" s="264" t="s">
        <v>7890</v>
      </c>
      <c r="I2595" s="264" t="s">
        <v>7890</v>
      </c>
      <c r="J2595" s="295">
        <v>161.75</v>
      </c>
      <c r="K2595" s="295">
        <v>161.75</v>
      </c>
      <c r="L2595" s="295" t="s">
        <v>7240</v>
      </c>
      <c r="O2595" s="266">
        <v>0</v>
      </c>
      <c r="Q2595" s="266">
        <v>0</v>
      </c>
      <c r="R2595" s="265">
        <v>0</v>
      </c>
      <c r="S2595" s="265">
        <v>0</v>
      </c>
      <c r="V2595" s="265" t="s">
        <v>3028</v>
      </c>
      <c r="W2595" s="259" t="s">
        <v>3029</v>
      </c>
      <c r="X2595" s="264" t="s">
        <v>7865</v>
      </c>
      <c r="Y2595" s="259">
        <f t="shared" si="14"/>
        <v>1683</v>
      </c>
      <c r="AA2595" s="259" t="e">
        <v>#N/A</v>
      </c>
      <c r="AB2595" s="259"/>
      <c r="AC2595" s="259"/>
      <c r="AD2595" s="259"/>
      <c r="AE2595" s="259"/>
    </row>
    <row r="2596" spans="1:31">
      <c r="A2596" s="259">
        <v>91610132</v>
      </c>
      <c r="B2596" s="259" t="s">
        <v>116</v>
      </c>
      <c r="C2596" s="264" t="s">
        <v>7257</v>
      </c>
      <c r="D2596" s="264" t="s">
        <v>7891</v>
      </c>
      <c r="E2596" s="259" t="s">
        <v>7842</v>
      </c>
      <c r="H2596" s="264" t="s">
        <v>7891</v>
      </c>
      <c r="I2596" s="264" t="s">
        <v>7891</v>
      </c>
      <c r="J2596" s="295">
        <v>30.87</v>
      </c>
      <c r="K2596" s="295">
        <v>30.87</v>
      </c>
      <c r="L2596" s="295" t="s">
        <v>7240</v>
      </c>
      <c r="O2596" s="266">
        <v>0</v>
      </c>
      <c r="Q2596" s="266">
        <v>0</v>
      </c>
      <c r="R2596" s="265">
        <v>0</v>
      </c>
      <c r="S2596" s="265">
        <v>0</v>
      </c>
      <c r="V2596" s="265" t="s">
        <v>3028</v>
      </c>
      <c r="W2596" s="259" t="s">
        <v>3029</v>
      </c>
      <c r="X2596" s="264" t="s">
        <v>7259</v>
      </c>
      <c r="Y2596" s="259">
        <f t="shared" si="14"/>
        <v>1684</v>
      </c>
      <c r="AA2596" s="259" t="e">
        <v>#N/A</v>
      </c>
      <c r="AB2596" s="259"/>
      <c r="AC2596" s="259"/>
      <c r="AD2596" s="259"/>
      <c r="AE2596" s="259"/>
    </row>
    <row r="2597" spans="1:31">
      <c r="A2597" s="259">
        <v>91610133</v>
      </c>
      <c r="B2597" s="259" t="s">
        <v>116</v>
      </c>
      <c r="C2597" s="264" t="s">
        <v>7257</v>
      </c>
      <c r="D2597" s="264" t="s">
        <v>7892</v>
      </c>
      <c r="E2597" s="259" t="s">
        <v>7842</v>
      </c>
      <c r="H2597" s="264" t="s">
        <v>7892</v>
      </c>
      <c r="I2597" s="264" t="s">
        <v>7892</v>
      </c>
      <c r="J2597" s="295">
        <v>171.63</v>
      </c>
      <c r="K2597" s="295">
        <v>171.63</v>
      </c>
      <c r="L2597" s="295" t="s">
        <v>7240</v>
      </c>
      <c r="O2597" s="266">
        <v>0</v>
      </c>
      <c r="Q2597" s="266">
        <v>0</v>
      </c>
      <c r="R2597" s="265">
        <v>0</v>
      </c>
      <c r="S2597" s="265">
        <v>0</v>
      </c>
      <c r="V2597" s="265" t="s">
        <v>3028</v>
      </c>
      <c r="W2597" s="259" t="s">
        <v>3029</v>
      </c>
      <c r="X2597" s="264" t="s">
        <v>7259</v>
      </c>
      <c r="Y2597" s="259">
        <f t="shared" si="14"/>
        <v>1685</v>
      </c>
      <c r="AA2597" s="259" t="e">
        <v>#N/A</v>
      </c>
      <c r="AB2597" s="259"/>
      <c r="AC2597" s="259"/>
      <c r="AD2597" s="259"/>
      <c r="AE2597" s="259"/>
    </row>
    <row r="2598" spans="1:31">
      <c r="A2598" s="259">
        <v>91610134</v>
      </c>
      <c r="B2598" s="259" t="s">
        <v>116</v>
      </c>
      <c r="C2598" s="264" t="s">
        <v>7257</v>
      </c>
      <c r="D2598" s="264" t="s">
        <v>7893</v>
      </c>
      <c r="E2598" s="259" t="s">
        <v>7842</v>
      </c>
      <c r="H2598" s="264" t="s">
        <v>7893</v>
      </c>
      <c r="I2598" s="264" t="s">
        <v>7893</v>
      </c>
      <c r="J2598" s="295">
        <v>29.63</v>
      </c>
      <c r="K2598" s="295">
        <v>29.63</v>
      </c>
      <c r="L2598" s="295" t="s">
        <v>7240</v>
      </c>
      <c r="O2598" s="266">
        <v>0</v>
      </c>
      <c r="Q2598" s="266">
        <v>0</v>
      </c>
      <c r="R2598" s="265">
        <v>0</v>
      </c>
      <c r="S2598" s="265">
        <v>0</v>
      </c>
      <c r="V2598" s="265" t="s">
        <v>3028</v>
      </c>
      <c r="W2598" s="259" t="s">
        <v>3029</v>
      </c>
      <c r="X2598" s="264" t="s">
        <v>7259</v>
      </c>
      <c r="Y2598" s="259">
        <f t="shared" si="14"/>
        <v>1686</v>
      </c>
      <c r="AA2598" s="259" t="e">
        <v>#N/A</v>
      </c>
      <c r="AB2598" s="259"/>
      <c r="AC2598" s="259"/>
      <c r="AD2598" s="259"/>
      <c r="AE2598" s="259"/>
    </row>
    <row r="2599" spans="1:31">
      <c r="A2599" s="259">
        <v>91610135</v>
      </c>
      <c r="B2599" s="259" t="s">
        <v>116</v>
      </c>
      <c r="C2599" s="264" t="s">
        <v>7257</v>
      </c>
      <c r="D2599" s="264" t="s">
        <v>7894</v>
      </c>
      <c r="E2599" s="259" t="s">
        <v>7842</v>
      </c>
      <c r="H2599" s="264" t="s">
        <v>7894</v>
      </c>
      <c r="I2599" s="264" t="s">
        <v>7894</v>
      </c>
      <c r="J2599" s="295">
        <v>161.75</v>
      </c>
      <c r="K2599" s="295">
        <v>161.75</v>
      </c>
      <c r="L2599" s="295" t="s">
        <v>7240</v>
      </c>
      <c r="O2599" s="266">
        <v>0</v>
      </c>
      <c r="Q2599" s="266">
        <v>0</v>
      </c>
      <c r="R2599" s="265">
        <v>0</v>
      </c>
      <c r="S2599" s="265">
        <v>0</v>
      </c>
      <c r="V2599" s="265" t="s">
        <v>3028</v>
      </c>
      <c r="W2599" s="259" t="s">
        <v>3029</v>
      </c>
      <c r="X2599" s="264" t="s">
        <v>7259</v>
      </c>
      <c r="Y2599" s="259">
        <f t="shared" si="14"/>
        <v>1687</v>
      </c>
      <c r="AA2599" s="259" t="e">
        <v>#N/A</v>
      </c>
      <c r="AB2599" s="259"/>
      <c r="AC2599" s="259"/>
      <c r="AD2599" s="259"/>
      <c r="AE2599" s="259"/>
    </row>
    <row r="2600" spans="1:31">
      <c r="A2600" s="259">
        <v>91610136</v>
      </c>
      <c r="B2600" s="259" t="s">
        <v>116</v>
      </c>
      <c r="C2600" s="264" t="s">
        <v>7257</v>
      </c>
      <c r="D2600" s="264" t="s">
        <v>7895</v>
      </c>
      <c r="E2600" s="259" t="s">
        <v>7842</v>
      </c>
      <c r="H2600" s="264" t="s">
        <v>7895</v>
      </c>
      <c r="I2600" s="264" t="s">
        <v>7895</v>
      </c>
      <c r="J2600" s="295">
        <v>29.63</v>
      </c>
      <c r="K2600" s="295">
        <v>29.63</v>
      </c>
      <c r="L2600" s="295" t="s">
        <v>7240</v>
      </c>
      <c r="O2600" s="266">
        <v>0</v>
      </c>
      <c r="Q2600" s="266">
        <v>0</v>
      </c>
      <c r="R2600" s="265">
        <v>0</v>
      </c>
      <c r="S2600" s="265">
        <v>0</v>
      </c>
      <c r="V2600" s="265" t="s">
        <v>3028</v>
      </c>
      <c r="W2600" s="259" t="s">
        <v>3029</v>
      </c>
      <c r="X2600" s="264" t="s">
        <v>7259</v>
      </c>
      <c r="Y2600" s="259">
        <f t="shared" si="14"/>
        <v>1688</v>
      </c>
      <c r="AA2600" s="259" t="e">
        <v>#N/A</v>
      </c>
      <c r="AB2600" s="259"/>
      <c r="AC2600" s="259"/>
      <c r="AD2600" s="259"/>
      <c r="AE2600" s="259"/>
    </row>
    <row r="2601" spans="1:31">
      <c r="A2601" s="259">
        <v>91610137</v>
      </c>
      <c r="B2601" s="259" t="s">
        <v>116</v>
      </c>
      <c r="C2601" s="264" t="s">
        <v>7257</v>
      </c>
      <c r="D2601" s="264" t="s">
        <v>7896</v>
      </c>
      <c r="E2601" s="259" t="s">
        <v>7842</v>
      </c>
      <c r="H2601" s="264" t="s">
        <v>7896</v>
      </c>
      <c r="I2601" s="264" t="s">
        <v>7896</v>
      </c>
      <c r="J2601" s="295">
        <v>151.88</v>
      </c>
      <c r="K2601" s="295">
        <v>151.88</v>
      </c>
      <c r="L2601" s="295" t="s">
        <v>7240</v>
      </c>
      <c r="O2601" s="266">
        <v>0</v>
      </c>
      <c r="Q2601" s="266">
        <v>0</v>
      </c>
      <c r="R2601" s="265">
        <v>0</v>
      </c>
      <c r="S2601" s="265">
        <v>0</v>
      </c>
      <c r="V2601" s="265" t="s">
        <v>3028</v>
      </c>
      <c r="W2601" s="259" t="s">
        <v>3029</v>
      </c>
      <c r="X2601" s="264" t="s">
        <v>7259</v>
      </c>
      <c r="Y2601" s="259">
        <f t="shared" si="14"/>
        <v>1689</v>
      </c>
      <c r="AA2601" s="259" t="e">
        <v>#N/A</v>
      </c>
      <c r="AB2601" s="259"/>
      <c r="AC2601" s="259"/>
      <c r="AD2601" s="259"/>
      <c r="AE2601" s="259"/>
    </row>
    <row r="2602" spans="1:31">
      <c r="A2602" s="259">
        <v>91611670</v>
      </c>
      <c r="B2602" s="259" t="s">
        <v>116</v>
      </c>
      <c r="C2602" s="264" t="s">
        <v>7257</v>
      </c>
      <c r="D2602" s="264" t="s">
        <v>7897</v>
      </c>
      <c r="E2602" s="259" t="s">
        <v>7842</v>
      </c>
      <c r="H2602" s="264" t="s">
        <v>7897</v>
      </c>
      <c r="I2602" s="264" t="s">
        <v>7897</v>
      </c>
      <c r="J2602" s="295">
        <v>28.4</v>
      </c>
      <c r="K2602" s="295">
        <v>28.4</v>
      </c>
      <c r="L2602" s="295" t="s">
        <v>7240</v>
      </c>
      <c r="O2602" s="266">
        <v>0</v>
      </c>
      <c r="Q2602" s="266">
        <v>0</v>
      </c>
      <c r="R2602" s="265">
        <v>0</v>
      </c>
      <c r="V2602" s="265" t="s">
        <v>3028</v>
      </c>
      <c r="W2602" s="259" t="s">
        <v>3029</v>
      </c>
      <c r="X2602" s="264" t="s">
        <v>7259</v>
      </c>
      <c r="Y2602" s="259">
        <f t="shared" si="14"/>
        <v>1690</v>
      </c>
      <c r="AA2602" s="259" t="e">
        <v>#N/A</v>
      </c>
      <c r="AB2602" s="259"/>
      <c r="AC2602" s="259"/>
      <c r="AD2602" s="259"/>
      <c r="AE2602" s="259"/>
    </row>
    <row r="2603" spans="1:31">
      <c r="A2603" s="259">
        <v>91611680</v>
      </c>
      <c r="B2603" s="259" t="s">
        <v>116</v>
      </c>
      <c r="C2603" s="264"/>
      <c r="D2603" s="264" t="s">
        <v>7898</v>
      </c>
      <c r="E2603" s="259" t="s">
        <v>7842</v>
      </c>
      <c r="H2603" s="264" t="s">
        <v>7898</v>
      </c>
      <c r="I2603" s="264" t="s">
        <v>7898</v>
      </c>
      <c r="J2603" s="295">
        <v>62.97</v>
      </c>
      <c r="K2603" s="295">
        <v>62.97</v>
      </c>
      <c r="L2603" s="295" t="s">
        <v>7240</v>
      </c>
      <c r="O2603" s="266"/>
      <c r="R2603" s="265"/>
      <c r="V2603" s="265">
        <v>0</v>
      </c>
      <c r="Y2603" s="259">
        <f t="shared" si="14"/>
        <v>1691</v>
      </c>
      <c r="AA2603" s="259" t="e">
        <v>#N/A</v>
      </c>
      <c r="AB2603" s="259"/>
      <c r="AC2603" s="259"/>
      <c r="AD2603" s="259"/>
      <c r="AE2603" s="259"/>
    </row>
    <row r="2604" spans="1:31">
      <c r="A2604" s="259">
        <v>91610140</v>
      </c>
      <c r="B2604" s="259" t="s">
        <v>116</v>
      </c>
      <c r="C2604" s="264" t="s">
        <v>7257</v>
      </c>
      <c r="D2604" s="264" t="s">
        <v>7899</v>
      </c>
      <c r="E2604" s="259" t="s">
        <v>7842</v>
      </c>
      <c r="H2604" s="264" t="s">
        <v>7899</v>
      </c>
      <c r="I2604" s="264" t="s">
        <v>7899</v>
      </c>
      <c r="J2604" s="295">
        <v>55.56</v>
      </c>
      <c r="K2604" s="295">
        <v>55.56</v>
      </c>
      <c r="L2604" s="295" t="s">
        <v>7240</v>
      </c>
      <c r="O2604" s="266">
        <v>0</v>
      </c>
      <c r="Q2604" s="266">
        <v>0</v>
      </c>
      <c r="R2604" s="265">
        <v>0</v>
      </c>
      <c r="S2604" s="265">
        <v>0</v>
      </c>
      <c r="V2604" s="265" t="s">
        <v>3028</v>
      </c>
      <c r="W2604" s="259" t="s">
        <v>3029</v>
      </c>
      <c r="X2604" s="264" t="s">
        <v>7865</v>
      </c>
      <c r="Y2604" s="259">
        <f t="shared" si="14"/>
        <v>1692</v>
      </c>
      <c r="AA2604" s="259" t="e">
        <v>#N/A</v>
      </c>
      <c r="AB2604" s="259"/>
      <c r="AC2604" s="259"/>
      <c r="AD2604" s="259"/>
      <c r="AE2604" s="259"/>
    </row>
    <row r="2605" spans="1:31">
      <c r="A2605" s="259">
        <v>91610141</v>
      </c>
      <c r="B2605" s="259" t="s">
        <v>116</v>
      </c>
      <c r="C2605" s="264" t="s">
        <v>7257</v>
      </c>
      <c r="D2605" s="264" t="s">
        <v>7900</v>
      </c>
      <c r="E2605" s="259" t="s">
        <v>7842</v>
      </c>
      <c r="H2605" s="264" t="s">
        <v>7900</v>
      </c>
      <c r="I2605" s="264" t="s">
        <v>7900</v>
      </c>
      <c r="J2605" s="295">
        <v>158.05000000000001</v>
      </c>
      <c r="K2605" s="295">
        <v>158.05000000000001</v>
      </c>
      <c r="L2605" s="295" t="s">
        <v>7240</v>
      </c>
      <c r="O2605" s="266">
        <v>0</v>
      </c>
      <c r="Q2605" s="266">
        <v>0</v>
      </c>
      <c r="R2605" s="265">
        <v>0</v>
      </c>
      <c r="S2605" s="265">
        <v>0</v>
      </c>
      <c r="V2605" s="265" t="s">
        <v>3028</v>
      </c>
      <c r="W2605" s="259" t="s">
        <v>3029</v>
      </c>
      <c r="X2605" s="264" t="s">
        <v>7865</v>
      </c>
      <c r="Y2605" s="259">
        <f t="shared" si="14"/>
        <v>1693</v>
      </c>
      <c r="AA2605" s="259" t="e">
        <v>#N/A</v>
      </c>
      <c r="AB2605" s="259"/>
      <c r="AC2605" s="259"/>
      <c r="AD2605" s="259"/>
      <c r="AE2605" s="259"/>
    </row>
    <row r="2606" spans="1:31">
      <c r="A2606" s="259">
        <v>91610142</v>
      </c>
      <c r="B2606" s="259" t="s">
        <v>116</v>
      </c>
      <c r="C2606" s="264" t="s">
        <v>7257</v>
      </c>
      <c r="D2606" s="264" t="s">
        <v>7901</v>
      </c>
      <c r="E2606" s="259" t="s">
        <v>7842</v>
      </c>
      <c r="H2606" s="264" t="s">
        <v>7901</v>
      </c>
      <c r="I2606" s="264" t="s">
        <v>7901</v>
      </c>
      <c r="J2606" s="295">
        <v>39.51</v>
      </c>
      <c r="K2606" s="295">
        <v>39.51</v>
      </c>
      <c r="L2606" s="295" t="s">
        <v>7240</v>
      </c>
      <c r="O2606" s="266">
        <v>0</v>
      </c>
      <c r="Q2606" s="266">
        <v>0</v>
      </c>
      <c r="R2606" s="265">
        <v>0</v>
      </c>
      <c r="S2606" s="265">
        <v>0</v>
      </c>
      <c r="V2606" s="265" t="s">
        <v>3028</v>
      </c>
      <c r="W2606" s="259" t="s">
        <v>3029</v>
      </c>
      <c r="X2606" s="264" t="s">
        <v>7868</v>
      </c>
      <c r="Y2606" s="259">
        <f t="shared" si="14"/>
        <v>1694</v>
      </c>
      <c r="AA2606" s="259" t="e">
        <v>#N/A</v>
      </c>
      <c r="AB2606" s="259"/>
      <c r="AC2606" s="259"/>
      <c r="AD2606" s="259"/>
      <c r="AE2606" s="259"/>
    </row>
    <row r="2607" spans="1:31">
      <c r="A2607" s="259">
        <v>91610143</v>
      </c>
      <c r="B2607" s="259" t="s">
        <v>116</v>
      </c>
      <c r="C2607" s="264" t="s">
        <v>7257</v>
      </c>
      <c r="D2607" s="264" t="s">
        <v>7902</v>
      </c>
      <c r="E2607" s="259" t="s">
        <v>7842</v>
      </c>
      <c r="H2607" s="264" t="s">
        <v>7902</v>
      </c>
      <c r="I2607" s="264" t="s">
        <v>7902</v>
      </c>
      <c r="J2607" s="295">
        <v>113.6</v>
      </c>
      <c r="K2607" s="295">
        <v>113.6</v>
      </c>
      <c r="L2607" s="295" t="s">
        <v>7240</v>
      </c>
      <c r="O2607" s="266">
        <v>0</v>
      </c>
      <c r="Q2607" s="266">
        <v>0</v>
      </c>
      <c r="R2607" s="265">
        <v>0</v>
      </c>
      <c r="S2607" s="265">
        <v>0</v>
      </c>
      <c r="V2607" s="265" t="s">
        <v>3028</v>
      </c>
      <c r="W2607" s="259" t="s">
        <v>3029</v>
      </c>
      <c r="X2607" s="264" t="s">
        <v>7868</v>
      </c>
      <c r="Y2607" s="259">
        <f t="shared" si="14"/>
        <v>1695</v>
      </c>
      <c r="AA2607" s="259" t="e">
        <v>#N/A</v>
      </c>
      <c r="AB2607" s="259"/>
      <c r="AC2607" s="259"/>
      <c r="AD2607" s="259"/>
      <c r="AE2607" s="259"/>
    </row>
    <row r="2608" spans="1:31">
      <c r="A2608" s="259" t="s">
        <v>2357</v>
      </c>
      <c r="B2608" s="259" t="s">
        <v>116</v>
      </c>
      <c r="C2608" s="264"/>
      <c r="D2608" s="264"/>
      <c r="H2608" s="264"/>
      <c r="I2608" s="264"/>
      <c r="J2608" s="295">
        <v>0</v>
      </c>
      <c r="K2608" s="295">
        <v>0</v>
      </c>
      <c r="L2608" s="295">
        <v>0</v>
      </c>
      <c r="O2608" s="266"/>
      <c r="R2608" s="265"/>
      <c r="V2608" s="265">
        <v>0</v>
      </c>
      <c r="Y2608" s="259">
        <f t="shared" si="14"/>
        <v>1696</v>
      </c>
      <c r="AA2608" s="259" t="e">
        <v>#N/A</v>
      </c>
      <c r="AB2608" s="259"/>
      <c r="AC2608" s="259"/>
      <c r="AD2608" s="259"/>
      <c r="AE2608" s="259"/>
    </row>
    <row r="2609" spans="1:31">
      <c r="A2609" s="259">
        <v>91515030</v>
      </c>
      <c r="B2609" s="259" t="s">
        <v>116</v>
      </c>
      <c r="C2609" s="264" t="s">
        <v>7257</v>
      </c>
      <c r="D2609" s="264" t="s">
        <v>7903</v>
      </c>
      <c r="E2609" s="259" t="s">
        <v>7842</v>
      </c>
      <c r="H2609" s="264" t="s">
        <v>7903</v>
      </c>
      <c r="I2609" s="264" t="s">
        <v>7903</v>
      </c>
      <c r="J2609" s="295">
        <v>2086.75</v>
      </c>
      <c r="K2609" s="295">
        <v>2086.75</v>
      </c>
      <c r="L2609" s="295" t="s">
        <v>7240</v>
      </c>
      <c r="O2609" s="266">
        <v>0</v>
      </c>
      <c r="P2609" s="266">
        <v>5706681224548</v>
      </c>
      <c r="Q2609" s="266">
        <v>0</v>
      </c>
      <c r="R2609" s="265">
        <v>47.244120000000002</v>
      </c>
      <c r="S2609" s="265">
        <v>47.244120000000002</v>
      </c>
      <c r="V2609" s="265" t="s">
        <v>3574</v>
      </c>
      <c r="W2609" s="259">
        <v>0</v>
      </c>
      <c r="X2609" s="264" t="s">
        <v>7259</v>
      </c>
      <c r="Y2609" s="259">
        <f t="shared" si="14"/>
        <v>1697</v>
      </c>
      <c r="AA2609" s="259" t="e">
        <v>#N/A</v>
      </c>
      <c r="AB2609" s="259"/>
      <c r="AC2609" s="259"/>
      <c r="AD2609" s="259"/>
      <c r="AE2609" s="259"/>
    </row>
    <row r="2610" spans="1:31">
      <c r="A2610" s="259">
        <v>91515031</v>
      </c>
      <c r="B2610" s="259" t="s">
        <v>116</v>
      </c>
      <c r="C2610" s="264" t="s">
        <v>7257</v>
      </c>
      <c r="D2610" s="264" t="s">
        <v>7904</v>
      </c>
      <c r="E2610" s="259" t="s">
        <v>7842</v>
      </c>
      <c r="H2610" s="264" t="s">
        <v>7904</v>
      </c>
      <c r="I2610" s="264" t="s">
        <v>7904</v>
      </c>
      <c r="J2610" s="295">
        <v>1565.68</v>
      </c>
      <c r="K2610" s="295">
        <v>1565.68</v>
      </c>
      <c r="L2610" s="295" t="s">
        <v>7240</v>
      </c>
      <c r="O2610" s="266">
        <v>0</v>
      </c>
      <c r="P2610" s="266">
        <v>5706681224555</v>
      </c>
      <c r="Q2610" s="266">
        <v>0</v>
      </c>
      <c r="R2610" s="265">
        <v>47.244120000000002</v>
      </c>
      <c r="S2610" s="265">
        <v>47.244120000000002</v>
      </c>
      <c r="V2610" s="265" t="s">
        <v>3574</v>
      </c>
      <c r="W2610" s="259">
        <v>0</v>
      </c>
      <c r="X2610" s="264" t="s">
        <v>7259</v>
      </c>
      <c r="Y2610" s="259">
        <f t="shared" si="14"/>
        <v>1698</v>
      </c>
      <c r="AA2610" s="259" t="e">
        <v>#N/A</v>
      </c>
      <c r="AB2610" s="259"/>
      <c r="AC2610" s="259"/>
      <c r="AD2610" s="259"/>
      <c r="AE2610" s="259"/>
    </row>
    <row r="2611" spans="1:31">
      <c r="A2611" s="259" t="s">
        <v>2358</v>
      </c>
      <c r="B2611" s="259" t="s">
        <v>116</v>
      </c>
      <c r="C2611" s="264"/>
      <c r="D2611" s="264"/>
      <c r="H2611" s="264"/>
      <c r="I2611" s="264"/>
      <c r="J2611" s="295">
        <v>0</v>
      </c>
      <c r="K2611" s="295">
        <v>0</v>
      </c>
      <c r="L2611" s="295">
        <v>0</v>
      </c>
      <c r="O2611" s="266"/>
      <c r="R2611" s="265"/>
      <c r="V2611" s="265">
        <v>0</v>
      </c>
      <c r="Y2611" s="259">
        <f t="shared" ref="Y2611:Y2674" si="15">Y2610+1</f>
        <v>1699</v>
      </c>
      <c r="AA2611" s="259" t="e">
        <v>#N/A</v>
      </c>
      <c r="AB2611" s="259"/>
      <c r="AC2611" s="259"/>
      <c r="AD2611" s="259"/>
      <c r="AE2611" s="259"/>
    </row>
    <row r="2612" spans="1:31">
      <c r="A2612" s="259" t="s">
        <v>2359</v>
      </c>
      <c r="B2612" s="259" t="s">
        <v>116</v>
      </c>
      <c r="C2612" s="264"/>
      <c r="D2612" s="264"/>
      <c r="H2612" s="264"/>
      <c r="I2612" s="264"/>
      <c r="J2612" s="295">
        <v>0</v>
      </c>
      <c r="K2612" s="295">
        <v>0</v>
      </c>
      <c r="L2612" s="295">
        <v>0</v>
      </c>
      <c r="O2612" s="266"/>
      <c r="R2612" s="265"/>
      <c r="V2612" s="265">
        <v>0</v>
      </c>
      <c r="Y2612" s="259">
        <f t="shared" si="15"/>
        <v>1700</v>
      </c>
      <c r="AA2612" s="259" t="e">
        <v>#N/A</v>
      </c>
      <c r="AB2612" s="259"/>
      <c r="AC2612" s="259"/>
      <c r="AD2612" s="259"/>
      <c r="AE2612" s="259"/>
    </row>
    <row r="2613" spans="1:31">
      <c r="A2613" s="259" t="s">
        <v>2360</v>
      </c>
      <c r="B2613" s="259" t="s">
        <v>116</v>
      </c>
      <c r="C2613" s="264" t="s">
        <v>7257</v>
      </c>
      <c r="D2613" s="264" t="s">
        <v>7905</v>
      </c>
      <c r="E2613" s="259" t="s">
        <v>7842</v>
      </c>
      <c r="H2613" s="264" t="s">
        <v>7905</v>
      </c>
      <c r="I2613" s="264" t="s">
        <v>7905</v>
      </c>
      <c r="J2613" s="295">
        <v>1284.1500000000001</v>
      </c>
      <c r="K2613" s="295">
        <v>1284.1500000000001</v>
      </c>
      <c r="L2613" s="295" t="s">
        <v>7240</v>
      </c>
      <c r="O2613" s="266">
        <v>0</v>
      </c>
      <c r="P2613" s="266">
        <v>5706681236985</v>
      </c>
      <c r="Q2613" s="266">
        <v>0</v>
      </c>
      <c r="R2613" s="265">
        <v>0</v>
      </c>
      <c r="S2613" s="265">
        <v>0</v>
      </c>
      <c r="V2613" s="265" t="s">
        <v>3218</v>
      </c>
      <c r="W2613" s="259">
        <v>0</v>
      </c>
      <c r="Y2613" s="259">
        <f t="shared" si="15"/>
        <v>1701</v>
      </c>
      <c r="Z2613" s="259" t="s">
        <v>4325</v>
      </c>
      <c r="AA2613" s="259" t="e">
        <v>#N/A</v>
      </c>
      <c r="AB2613" s="259"/>
      <c r="AC2613" s="259"/>
      <c r="AD2613" s="259"/>
      <c r="AE2613" s="259"/>
    </row>
    <row r="2614" spans="1:31">
      <c r="A2614" s="259" t="s">
        <v>2361</v>
      </c>
      <c r="B2614" s="259" t="s">
        <v>116</v>
      </c>
      <c r="C2614" s="264" t="s">
        <v>7257</v>
      </c>
      <c r="D2614" s="264" t="s">
        <v>7906</v>
      </c>
      <c r="E2614" s="259" t="s">
        <v>7842</v>
      </c>
      <c r="H2614" s="264" t="s">
        <v>7906</v>
      </c>
      <c r="I2614" s="264" t="s">
        <v>7906</v>
      </c>
      <c r="J2614" s="295">
        <v>706.29</v>
      </c>
      <c r="K2614" s="295">
        <v>706.29</v>
      </c>
      <c r="L2614" s="295" t="s">
        <v>7240</v>
      </c>
      <c r="O2614" s="266">
        <v>0</v>
      </c>
      <c r="P2614" s="266">
        <v>5706681236978</v>
      </c>
      <c r="Q2614" s="266">
        <v>0</v>
      </c>
      <c r="R2614" s="265">
        <v>0</v>
      </c>
      <c r="S2614" s="265">
        <v>0</v>
      </c>
      <c r="V2614" s="265" t="s">
        <v>3218</v>
      </c>
      <c r="W2614" s="259">
        <v>0</v>
      </c>
      <c r="Y2614" s="259">
        <f t="shared" si="15"/>
        <v>1702</v>
      </c>
      <c r="Z2614" s="259" t="s">
        <v>4325</v>
      </c>
      <c r="AA2614" s="259" t="e">
        <v>#N/A</v>
      </c>
      <c r="AB2614" s="259"/>
      <c r="AC2614" s="259"/>
      <c r="AD2614" s="259"/>
      <c r="AE2614" s="259"/>
    </row>
    <row r="2615" spans="1:31">
      <c r="A2615" s="259" t="s">
        <v>2362</v>
      </c>
      <c r="B2615" s="259" t="s">
        <v>116</v>
      </c>
      <c r="C2615" s="264"/>
      <c r="D2615" s="264"/>
      <c r="H2615" s="264"/>
      <c r="I2615" s="264"/>
      <c r="J2615" s="295">
        <v>0</v>
      </c>
      <c r="K2615" s="295">
        <v>0</v>
      </c>
      <c r="L2615" s="295">
        <v>0</v>
      </c>
      <c r="O2615" s="266"/>
      <c r="R2615" s="265"/>
      <c r="V2615" s="265">
        <v>0</v>
      </c>
      <c r="Y2615" s="259">
        <f t="shared" si="15"/>
        <v>1703</v>
      </c>
      <c r="AA2615" s="259" t="e">
        <v>#N/A</v>
      </c>
      <c r="AB2615" s="259"/>
      <c r="AC2615" s="259"/>
      <c r="AD2615" s="259"/>
      <c r="AE2615" s="259"/>
    </row>
    <row r="2616" spans="1:31">
      <c r="A2616" s="259">
        <v>91611809</v>
      </c>
      <c r="B2616" s="259" t="s">
        <v>116</v>
      </c>
      <c r="C2616" s="264" t="s">
        <v>7257</v>
      </c>
      <c r="D2616" s="264" t="s">
        <v>7907</v>
      </c>
      <c r="E2616" s="259" t="s">
        <v>7842</v>
      </c>
      <c r="H2616" s="264" t="s">
        <v>7907</v>
      </c>
      <c r="I2616" s="264" t="s">
        <v>7907</v>
      </c>
      <c r="J2616" s="295">
        <v>34.57</v>
      </c>
      <c r="K2616" s="295">
        <v>34.57</v>
      </c>
      <c r="L2616" s="295" t="s">
        <v>7240</v>
      </c>
      <c r="O2616" s="266">
        <v>0</v>
      </c>
      <c r="Q2616" s="266">
        <v>0</v>
      </c>
      <c r="R2616" s="265">
        <v>0</v>
      </c>
      <c r="S2616" s="265">
        <v>0</v>
      </c>
      <c r="V2616" s="265" t="s">
        <v>3028</v>
      </c>
      <c r="W2616" s="259" t="s">
        <v>3029</v>
      </c>
      <c r="Y2616" s="259">
        <f t="shared" si="15"/>
        <v>1704</v>
      </c>
      <c r="AA2616" s="259" t="e">
        <v>#N/A</v>
      </c>
      <c r="AB2616" s="259"/>
      <c r="AC2616" s="259"/>
      <c r="AD2616" s="259"/>
      <c r="AE2616" s="259"/>
    </row>
    <row r="2617" spans="1:31">
      <c r="A2617" s="259">
        <v>91611810</v>
      </c>
      <c r="B2617" s="259" t="s">
        <v>116</v>
      </c>
      <c r="C2617" s="264" t="s">
        <v>7257</v>
      </c>
      <c r="D2617" s="264" t="s">
        <v>7908</v>
      </c>
      <c r="E2617" s="259" t="s">
        <v>7842</v>
      </c>
      <c r="H2617" s="264" t="s">
        <v>7908</v>
      </c>
      <c r="I2617" s="264" t="s">
        <v>7908</v>
      </c>
      <c r="J2617" s="295">
        <v>51.86</v>
      </c>
      <c r="K2617" s="295">
        <v>51.86</v>
      </c>
      <c r="L2617" s="295" t="s">
        <v>7240</v>
      </c>
      <c r="O2617" s="266">
        <v>0</v>
      </c>
      <c r="Q2617" s="266">
        <v>0</v>
      </c>
      <c r="R2617" s="265">
        <v>0</v>
      </c>
      <c r="S2617" s="265">
        <v>0</v>
      </c>
      <c r="V2617" s="265" t="s">
        <v>3028</v>
      </c>
      <c r="W2617" s="259" t="s">
        <v>3029</v>
      </c>
      <c r="Y2617" s="259">
        <f t="shared" si="15"/>
        <v>1705</v>
      </c>
      <c r="AA2617" s="259" t="e">
        <v>#N/A</v>
      </c>
      <c r="AB2617" s="259"/>
      <c r="AC2617" s="259"/>
      <c r="AD2617" s="259"/>
      <c r="AE2617" s="259"/>
    </row>
    <row r="2618" spans="1:31">
      <c r="A2618" s="259">
        <v>91611811</v>
      </c>
      <c r="B2618" s="259" t="s">
        <v>116</v>
      </c>
      <c r="C2618" s="264" t="s">
        <v>7257</v>
      </c>
      <c r="D2618" s="264" t="s">
        <v>7909</v>
      </c>
      <c r="E2618" s="259" t="s">
        <v>7842</v>
      </c>
      <c r="H2618" s="264" t="s">
        <v>7909</v>
      </c>
      <c r="I2618" s="264" t="s">
        <v>7909</v>
      </c>
      <c r="J2618" s="295">
        <v>34.57</v>
      </c>
      <c r="K2618" s="295">
        <v>34.57</v>
      </c>
      <c r="L2618" s="295" t="s">
        <v>7240</v>
      </c>
      <c r="O2618" s="266">
        <v>0</v>
      </c>
      <c r="Q2618" s="266">
        <v>0</v>
      </c>
      <c r="R2618" s="265">
        <v>0</v>
      </c>
      <c r="S2618" s="265">
        <v>0</v>
      </c>
      <c r="V2618" s="265" t="s">
        <v>3028</v>
      </c>
      <c r="W2618" s="259" t="s">
        <v>3029</v>
      </c>
      <c r="Y2618" s="259">
        <f t="shared" si="15"/>
        <v>1706</v>
      </c>
      <c r="AA2618" s="259" t="e">
        <v>#N/A</v>
      </c>
      <c r="AB2618" s="259"/>
      <c r="AC2618" s="259"/>
      <c r="AD2618" s="259"/>
      <c r="AE2618" s="259"/>
    </row>
    <row r="2619" spans="1:31">
      <c r="A2619" s="259">
        <v>91611812</v>
      </c>
      <c r="B2619" s="259" t="s">
        <v>116</v>
      </c>
      <c r="C2619" s="264" t="s">
        <v>7257</v>
      </c>
      <c r="D2619" s="264" t="s">
        <v>7910</v>
      </c>
      <c r="E2619" s="259" t="s">
        <v>7842</v>
      </c>
      <c r="H2619" s="264" t="s">
        <v>7910</v>
      </c>
      <c r="I2619" s="264" t="s">
        <v>7910</v>
      </c>
      <c r="J2619" s="295">
        <v>51.86</v>
      </c>
      <c r="K2619" s="295">
        <v>51.86</v>
      </c>
      <c r="L2619" s="295" t="s">
        <v>7240</v>
      </c>
      <c r="O2619" s="266">
        <v>0</v>
      </c>
      <c r="Q2619" s="266">
        <v>0</v>
      </c>
      <c r="R2619" s="265">
        <v>0</v>
      </c>
      <c r="S2619" s="265">
        <v>0</v>
      </c>
      <c r="V2619" s="265" t="s">
        <v>3028</v>
      </c>
      <c r="W2619" s="259" t="s">
        <v>3029</v>
      </c>
      <c r="Y2619" s="259">
        <f t="shared" si="15"/>
        <v>1707</v>
      </c>
      <c r="AA2619" s="259" t="e">
        <v>#N/A</v>
      </c>
      <c r="AB2619" s="259"/>
      <c r="AC2619" s="259"/>
      <c r="AD2619" s="259"/>
      <c r="AE2619" s="259"/>
    </row>
    <row r="2620" spans="1:31">
      <c r="A2620" s="259">
        <v>91611820</v>
      </c>
      <c r="B2620" s="259" t="s">
        <v>116</v>
      </c>
      <c r="C2620" s="264" t="s">
        <v>7257</v>
      </c>
      <c r="D2620" s="264" t="s">
        <v>7911</v>
      </c>
      <c r="E2620" s="259" t="s">
        <v>7842</v>
      </c>
      <c r="H2620" s="264" t="s">
        <v>7911</v>
      </c>
      <c r="I2620" s="264" t="s">
        <v>7911</v>
      </c>
      <c r="J2620" s="295">
        <v>49.39</v>
      </c>
      <c r="K2620" s="295">
        <v>49.39</v>
      </c>
      <c r="L2620" s="295" t="s">
        <v>7240</v>
      </c>
      <c r="O2620" s="266">
        <v>0</v>
      </c>
      <c r="Q2620" s="266">
        <v>0</v>
      </c>
      <c r="R2620" s="265">
        <v>0</v>
      </c>
      <c r="S2620" s="265">
        <v>0</v>
      </c>
      <c r="V2620" s="265" t="s">
        <v>3028</v>
      </c>
      <c r="W2620" s="259" t="s">
        <v>3029</v>
      </c>
      <c r="Y2620" s="259">
        <f t="shared" si="15"/>
        <v>1708</v>
      </c>
      <c r="AA2620" s="259" t="e">
        <v>#N/A</v>
      </c>
      <c r="AB2620" s="259"/>
      <c r="AC2620" s="259"/>
      <c r="AD2620" s="259"/>
      <c r="AE2620" s="259"/>
    </row>
    <row r="2621" spans="1:31">
      <c r="A2621" s="259">
        <v>91611819</v>
      </c>
      <c r="B2621" s="259" t="s">
        <v>116</v>
      </c>
      <c r="C2621" s="264" t="s">
        <v>7257</v>
      </c>
      <c r="D2621" s="264" t="s">
        <v>7912</v>
      </c>
      <c r="E2621" s="259" t="s">
        <v>7842</v>
      </c>
      <c r="H2621" s="264" t="s">
        <v>7912</v>
      </c>
      <c r="I2621" s="264" t="s">
        <v>7912</v>
      </c>
      <c r="J2621" s="295">
        <v>32.1</v>
      </c>
      <c r="K2621" s="295">
        <v>32.1</v>
      </c>
      <c r="L2621" s="295" t="s">
        <v>7240</v>
      </c>
      <c r="O2621" s="266">
        <v>0</v>
      </c>
      <c r="Q2621" s="266">
        <v>0</v>
      </c>
      <c r="R2621" s="265">
        <v>0</v>
      </c>
      <c r="S2621" s="265">
        <v>0</v>
      </c>
      <c r="V2621" s="265" t="s">
        <v>3028</v>
      </c>
      <c r="W2621" s="259" t="s">
        <v>3029</v>
      </c>
      <c r="Y2621" s="259">
        <f t="shared" si="15"/>
        <v>1709</v>
      </c>
      <c r="AA2621" s="259" t="e">
        <v>#N/A</v>
      </c>
      <c r="AB2621" s="259"/>
      <c r="AC2621" s="259"/>
      <c r="AD2621" s="259"/>
      <c r="AE2621" s="259"/>
    </row>
    <row r="2622" spans="1:31">
      <c r="A2622" s="259">
        <v>91611818</v>
      </c>
      <c r="B2622" s="259" t="s">
        <v>116</v>
      </c>
      <c r="C2622" s="264" t="s">
        <v>7257</v>
      </c>
      <c r="D2622" s="264" t="s">
        <v>7913</v>
      </c>
      <c r="E2622" s="259" t="s">
        <v>7842</v>
      </c>
      <c r="H2622" s="264" t="s">
        <v>7913</v>
      </c>
      <c r="I2622" s="264" t="s">
        <v>7913</v>
      </c>
      <c r="J2622" s="295">
        <v>49.39</v>
      </c>
      <c r="K2622" s="295">
        <v>49.39</v>
      </c>
      <c r="L2622" s="295" t="s">
        <v>7240</v>
      </c>
      <c r="O2622" s="266">
        <v>0</v>
      </c>
      <c r="Q2622" s="266">
        <v>0</v>
      </c>
      <c r="R2622" s="265">
        <v>0</v>
      </c>
      <c r="S2622" s="265">
        <v>0</v>
      </c>
      <c r="V2622" s="265" t="s">
        <v>3028</v>
      </c>
      <c r="W2622" s="259" t="s">
        <v>3029</v>
      </c>
      <c r="Y2622" s="259">
        <f t="shared" si="15"/>
        <v>1710</v>
      </c>
      <c r="AA2622" s="259" t="e">
        <v>#N/A</v>
      </c>
      <c r="AB2622" s="259"/>
      <c r="AC2622" s="259"/>
      <c r="AD2622" s="259"/>
      <c r="AE2622" s="259"/>
    </row>
    <row r="2623" spans="1:31">
      <c r="A2623" s="259">
        <v>91611817</v>
      </c>
      <c r="B2623" s="259" t="s">
        <v>116</v>
      </c>
      <c r="C2623" s="264" t="s">
        <v>7257</v>
      </c>
      <c r="D2623" s="264" t="s">
        <v>7914</v>
      </c>
      <c r="E2623" s="259" t="s">
        <v>7842</v>
      </c>
      <c r="H2623" s="264" t="s">
        <v>7914</v>
      </c>
      <c r="I2623" s="264" t="s">
        <v>7914</v>
      </c>
      <c r="J2623" s="295">
        <v>32.1</v>
      </c>
      <c r="K2623" s="295">
        <v>32.1</v>
      </c>
      <c r="L2623" s="295" t="s">
        <v>7240</v>
      </c>
      <c r="O2623" s="266">
        <v>0</v>
      </c>
      <c r="Q2623" s="266">
        <v>0</v>
      </c>
      <c r="R2623" s="265">
        <v>0</v>
      </c>
      <c r="S2623" s="265">
        <v>0</v>
      </c>
      <c r="V2623" s="265" t="s">
        <v>3028</v>
      </c>
      <c r="W2623" s="259" t="s">
        <v>3029</v>
      </c>
      <c r="Y2623" s="259">
        <f t="shared" si="15"/>
        <v>1711</v>
      </c>
      <c r="AA2623" s="259" t="e">
        <v>#N/A</v>
      </c>
      <c r="AB2623" s="259"/>
      <c r="AC2623" s="259"/>
      <c r="AD2623" s="259"/>
      <c r="AE2623" s="259"/>
    </row>
    <row r="2624" spans="1:31">
      <c r="A2624" s="259">
        <v>91611816</v>
      </c>
      <c r="B2624" s="259" t="s">
        <v>116</v>
      </c>
      <c r="C2624" s="264" t="s">
        <v>7257</v>
      </c>
      <c r="D2624" s="264" t="s">
        <v>7915</v>
      </c>
      <c r="E2624" s="259" t="s">
        <v>7842</v>
      </c>
      <c r="H2624" s="264" t="s">
        <v>7915</v>
      </c>
      <c r="I2624" s="264" t="s">
        <v>7915</v>
      </c>
      <c r="J2624" s="295">
        <v>49.39</v>
      </c>
      <c r="K2624" s="295">
        <v>49.39</v>
      </c>
      <c r="L2624" s="295" t="s">
        <v>7240</v>
      </c>
      <c r="O2624" s="266">
        <v>0</v>
      </c>
      <c r="Q2624" s="266">
        <v>0</v>
      </c>
      <c r="R2624" s="265">
        <v>0</v>
      </c>
      <c r="S2624" s="265">
        <v>0</v>
      </c>
      <c r="V2624" s="265" t="s">
        <v>3028</v>
      </c>
      <c r="W2624" s="259" t="s">
        <v>3029</v>
      </c>
      <c r="Y2624" s="259">
        <f t="shared" si="15"/>
        <v>1712</v>
      </c>
      <c r="AA2624" s="259" t="e">
        <v>#N/A</v>
      </c>
      <c r="AB2624" s="259"/>
      <c r="AC2624" s="259"/>
      <c r="AD2624" s="259"/>
      <c r="AE2624" s="259"/>
    </row>
    <row r="2625" spans="1:31">
      <c r="A2625" s="259">
        <v>91611815</v>
      </c>
      <c r="B2625" s="259" t="s">
        <v>116</v>
      </c>
      <c r="C2625" s="264" t="s">
        <v>7257</v>
      </c>
      <c r="D2625" s="264" t="s">
        <v>7916</v>
      </c>
      <c r="E2625" s="259" t="s">
        <v>7842</v>
      </c>
      <c r="H2625" s="264" t="s">
        <v>7916</v>
      </c>
      <c r="I2625" s="264" t="s">
        <v>7916</v>
      </c>
      <c r="J2625" s="295">
        <v>32.1</v>
      </c>
      <c r="K2625" s="295">
        <v>32.1</v>
      </c>
      <c r="L2625" s="295" t="s">
        <v>7240</v>
      </c>
      <c r="O2625" s="266">
        <v>0</v>
      </c>
      <c r="Q2625" s="266">
        <v>0</v>
      </c>
      <c r="R2625" s="265">
        <v>0</v>
      </c>
      <c r="S2625" s="265">
        <v>0</v>
      </c>
      <c r="V2625" s="265" t="s">
        <v>3028</v>
      </c>
      <c r="W2625" s="259" t="s">
        <v>3029</v>
      </c>
      <c r="Y2625" s="259">
        <f t="shared" si="15"/>
        <v>1713</v>
      </c>
      <c r="AA2625" s="259" t="e">
        <v>#N/A</v>
      </c>
      <c r="AB2625" s="259"/>
      <c r="AC2625" s="259"/>
      <c r="AD2625" s="259"/>
      <c r="AE2625" s="259"/>
    </row>
    <row r="2626" spans="1:31">
      <c r="A2626" s="259">
        <v>91611814</v>
      </c>
      <c r="B2626" s="259" t="s">
        <v>116</v>
      </c>
      <c r="C2626" s="264" t="s">
        <v>7257</v>
      </c>
      <c r="D2626" s="264" t="s">
        <v>7917</v>
      </c>
      <c r="E2626" s="259" t="s">
        <v>7842</v>
      </c>
      <c r="H2626" s="264" t="s">
        <v>7917</v>
      </c>
      <c r="I2626" s="264" t="s">
        <v>7917</v>
      </c>
      <c r="J2626" s="295">
        <v>49.39</v>
      </c>
      <c r="K2626" s="295">
        <v>49.39</v>
      </c>
      <c r="L2626" s="295" t="s">
        <v>7240</v>
      </c>
      <c r="O2626" s="266">
        <v>0</v>
      </c>
      <c r="Q2626" s="266">
        <v>0</v>
      </c>
      <c r="R2626" s="265">
        <v>0</v>
      </c>
      <c r="S2626" s="265">
        <v>0</v>
      </c>
      <c r="V2626" s="265" t="s">
        <v>3028</v>
      </c>
      <c r="W2626" s="259" t="s">
        <v>3029</v>
      </c>
      <c r="Y2626" s="259">
        <f t="shared" si="15"/>
        <v>1714</v>
      </c>
      <c r="AA2626" s="259" t="e">
        <v>#N/A</v>
      </c>
      <c r="AB2626" s="259"/>
      <c r="AC2626" s="259"/>
      <c r="AD2626" s="259"/>
      <c r="AE2626" s="259"/>
    </row>
    <row r="2627" spans="1:31">
      <c r="A2627" s="259">
        <v>91611813</v>
      </c>
      <c r="B2627" s="259" t="s">
        <v>116</v>
      </c>
      <c r="C2627" s="264" t="s">
        <v>7257</v>
      </c>
      <c r="D2627" s="264" t="s">
        <v>7918</v>
      </c>
      <c r="E2627" s="259" t="s">
        <v>7842</v>
      </c>
      <c r="H2627" s="264" t="s">
        <v>7918</v>
      </c>
      <c r="I2627" s="264" t="s">
        <v>7918</v>
      </c>
      <c r="J2627" s="295">
        <v>32.1</v>
      </c>
      <c r="K2627" s="295">
        <v>32.1</v>
      </c>
      <c r="L2627" s="295" t="s">
        <v>7240</v>
      </c>
      <c r="O2627" s="266">
        <v>0</v>
      </c>
      <c r="Q2627" s="266">
        <v>0</v>
      </c>
      <c r="R2627" s="265">
        <v>0</v>
      </c>
      <c r="S2627" s="265">
        <v>0</v>
      </c>
      <c r="V2627" s="265" t="s">
        <v>3028</v>
      </c>
      <c r="W2627" s="259" t="s">
        <v>3029</v>
      </c>
      <c r="Y2627" s="259">
        <f t="shared" si="15"/>
        <v>1715</v>
      </c>
      <c r="AA2627" s="259" t="e">
        <v>#N/A</v>
      </c>
      <c r="AB2627" s="259"/>
      <c r="AC2627" s="259"/>
      <c r="AD2627" s="259"/>
      <c r="AE2627" s="259"/>
    </row>
    <row r="2628" spans="1:31">
      <c r="A2628" s="259">
        <v>91611825</v>
      </c>
      <c r="B2628" s="259" t="s">
        <v>116</v>
      </c>
      <c r="C2628" s="264" t="s">
        <v>7257</v>
      </c>
      <c r="D2628" s="264" t="s">
        <v>7919</v>
      </c>
      <c r="E2628" s="259" t="s">
        <v>7842</v>
      </c>
      <c r="H2628" s="264" t="s">
        <v>7919</v>
      </c>
      <c r="I2628" s="264" t="s">
        <v>7919</v>
      </c>
      <c r="J2628" s="295">
        <v>145.69999999999999</v>
      </c>
      <c r="K2628" s="295">
        <v>145.69999999999999</v>
      </c>
      <c r="L2628" s="295" t="s">
        <v>7240</v>
      </c>
      <c r="O2628" s="266">
        <v>0</v>
      </c>
      <c r="Q2628" s="266">
        <v>0</v>
      </c>
      <c r="R2628" s="265">
        <v>0</v>
      </c>
      <c r="S2628" s="265">
        <v>0</v>
      </c>
      <c r="V2628" s="265" t="s">
        <v>3028</v>
      </c>
      <c r="W2628" s="259" t="s">
        <v>3029</v>
      </c>
      <c r="Y2628" s="259">
        <f t="shared" si="15"/>
        <v>1716</v>
      </c>
      <c r="AA2628" s="259" t="e">
        <v>#N/A</v>
      </c>
      <c r="AB2628" s="259"/>
      <c r="AC2628" s="259"/>
      <c r="AD2628" s="259"/>
      <c r="AE2628" s="259"/>
    </row>
    <row r="2629" spans="1:31">
      <c r="A2629" s="259">
        <v>91611826</v>
      </c>
      <c r="B2629" s="259" t="s">
        <v>116</v>
      </c>
      <c r="C2629" s="264" t="s">
        <v>7257</v>
      </c>
      <c r="D2629" s="264" t="s">
        <v>7920</v>
      </c>
      <c r="E2629" s="259" t="s">
        <v>7842</v>
      </c>
      <c r="H2629" s="264" t="s">
        <v>7920</v>
      </c>
      <c r="I2629" s="264" t="s">
        <v>7920</v>
      </c>
      <c r="J2629" s="295">
        <v>332.15</v>
      </c>
      <c r="K2629" s="295">
        <v>332.15</v>
      </c>
      <c r="L2629" s="295" t="s">
        <v>7240</v>
      </c>
      <c r="O2629" s="266">
        <v>0</v>
      </c>
      <c r="Q2629" s="266">
        <v>0</v>
      </c>
      <c r="R2629" s="265">
        <v>0</v>
      </c>
      <c r="S2629" s="265">
        <v>0</v>
      </c>
      <c r="V2629" s="265" t="s">
        <v>3028</v>
      </c>
      <c r="W2629" s="259" t="s">
        <v>3029</v>
      </c>
      <c r="Y2629" s="259">
        <f t="shared" si="15"/>
        <v>1717</v>
      </c>
      <c r="AA2629" s="259" t="e">
        <v>#N/A</v>
      </c>
      <c r="AB2629" s="259"/>
      <c r="AC2629" s="259"/>
      <c r="AD2629" s="259"/>
      <c r="AE2629" s="259"/>
    </row>
    <row r="2630" spans="1:31">
      <c r="A2630" s="259">
        <v>91611827</v>
      </c>
      <c r="B2630" s="259" t="s">
        <v>116</v>
      </c>
      <c r="C2630" s="264" t="s">
        <v>7257</v>
      </c>
      <c r="D2630" s="264" t="s">
        <v>7921</v>
      </c>
      <c r="E2630" s="259" t="s">
        <v>7842</v>
      </c>
      <c r="H2630" s="264" t="s">
        <v>7921</v>
      </c>
      <c r="I2630" s="264" t="s">
        <v>7921</v>
      </c>
      <c r="J2630" s="295">
        <v>145.69999999999999</v>
      </c>
      <c r="K2630" s="295">
        <v>145.69999999999999</v>
      </c>
      <c r="L2630" s="295" t="s">
        <v>7240</v>
      </c>
      <c r="O2630" s="266">
        <v>0</v>
      </c>
      <c r="Q2630" s="266">
        <v>0</v>
      </c>
      <c r="R2630" s="265">
        <v>0</v>
      </c>
      <c r="S2630" s="265">
        <v>0</v>
      </c>
      <c r="V2630" s="265" t="s">
        <v>3028</v>
      </c>
      <c r="W2630" s="259" t="s">
        <v>3029</v>
      </c>
      <c r="Y2630" s="259">
        <f t="shared" si="15"/>
        <v>1718</v>
      </c>
      <c r="AA2630" s="259" t="e">
        <v>#N/A</v>
      </c>
      <c r="AB2630" s="259"/>
      <c r="AC2630" s="259"/>
      <c r="AD2630" s="259"/>
      <c r="AE2630" s="259"/>
    </row>
    <row r="2631" spans="1:31">
      <c r="A2631" s="259">
        <v>91611828</v>
      </c>
      <c r="B2631" s="259" t="s">
        <v>116</v>
      </c>
      <c r="C2631" s="264" t="s">
        <v>7257</v>
      </c>
      <c r="D2631" s="264" t="s">
        <v>7922</v>
      </c>
      <c r="E2631" s="259" t="s">
        <v>7842</v>
      </c>
      <c r="H2631" s="264" t="s">
        <v>7922</v>
      </c>
      <c r="I2631" s="264" t="s">
        <v>7922</v>
      </c>
      <c r="J2631" s="295">
        <v>332.15</v>
      </c>
      <c r="K2631" s="295">
        <v>332.15</v>
      </c>
      <c r="L2631" s="295" t="s">
        <v>7240</v>
      </c>
      <c r="O2631" s="266">
        <v>0</v>
      </c>
      <c r="Q2631" s="266">
        <v>0</v>
      </c>
      <c r="R2631" s="265">
        <v>0</v>
      </c>
      <c r="S2631" s="265">
        <v>0</v>
      </c>
      <c r="V2631" s="265" t="s">
        <v>3028</v>
      </c>
      <c r="W2631" s="259" t="s">
        <v>3029</v>
      </c>
      <c r="Y2631" s="259">
        <f t="shared" si="15"/>
        <v>1719</v>
      </c>
      <c r="AA2631" s="259" t="e">
        <v>#N/A</v>
      </c>
      <c r="AB2631" s="259"/>
      <c r="AC2631" s="259"/>
      <c r="AD2631" s="259"/>
      <c r="AE2631" s="259"/>
    </row>
    <row r="2632" spans="1:31">
      <c r="A2632" s="259">
        <v>91611831</v>
      </c>
      <c r="B2632" s="259" t="s">
        <v>116</v>
      </c>
      <c r="C2632" s="264" t="s">
        <v>7257</v>
      </c>
      <c r="D2632" s="264" t="s">
        <v>7923</v>
      </c>
      <c r="E2632" s="259" t="s">
        <v>7842</v>
      </c>
      <c r="H2632" s="264" t="s">
        <v>7923</v>
      </c>
      <c r="I2632" s="264" t="s">
        <v>7923</v>
      </c>
      <c r="J2632" s="295">
        <v>182.75</v>
      </c>
      <c r="K2632" s="295">
        <v>182.75</v>
      </c>
      <c r="L2632" s="295" t="s">
        <v>7240</v>
      </c>
      <c r="O2632" s="266">
        <v>0</v>
      </c>
      <c r="Q2632" s="266">
        <v>0</v>
      </c>
      <c r="R2632" s="265">
        <v>0</v>
      </c>
      <c r="S2632" s="265">
        <v>0</v>
      </c>
      <c r="V2632" s="265" t="s">
        <v>3028</v>
      </c>
      <c r="W2632" s="259" t="s">
        <v>3029</v>
      </c>
      <c r="Y2632" s="259">
        <f t="shared" si="15"/>
        <v>1720</v>
      </c>
      <c r="AA2632" s="259" t="e">
        <v>#N/A</v>
      </c>
      <c r="AB2632" s="259"/>
      <c r="AC2632" s="259"/>
      <c r="AD2632" s="259"/>
      <c r="AE2632" s="259"/>
    </row>
    <row r="2633" spans="1:31">
      <c r="A2633" s="259">
        <v>91611832</v>
      </c>
      <c r="B2633" s="259" t="s">
        <v>116</v>
      </c>
      <c r="C2633" s="264" t="s">
        <v>7257</v>
      </c>
      <c r="D2633" s="264" t="s">
        <v>7924</v>
      </c>
      <c r="E2633" s="259" t="s">
        <v>7842</v>
      </c>
      <c r="H2633" s="264" t="s">
        <v>7924</v>
      </c>
      <c r="I2633" s="264" t="s">
        <v>7924</v>
      </c>
      <c r="J2633" s="295">
        <v>455.63</v>
      </c>
      <c r="K2633" s="295">
        <v>455.63</v>
      </c>
      <c r="L2633" s="295" t="s">
        <v>7240</v>
      </c>
      <c r="O2633" s="266">
        <v>0</v>
      </c>
      <c r="Q2633" s="266">
        <v>0</v>
      </c>
      <c r="R2633" s="265">
        <v>0</v>
      </c>
      <c r="S2633" s="265">
        <v>0</v>
      </c>
      <c r="V2633" s="265" t="s">
        <v>3028</v>
      </c>
      <c r="W2633" s="259">
        <v>0</v>
      </c>
      <c r="Y2633" s="259">
        <f t="shared" si="15"/>
        <v>1721</v>
      </c>
      <c r="AA2633" s="259" t="e">
        <v>#N/A</v>
      </c>
      <c r="AB2633" s="259"/>
      <c r="AC2633" s="259"/>
      <c r="AD2633" s="259"/>
      <c r="AE2633" s="259"/>
    </row>
    <row r="2634" spans="1:31">
      <c r="A2634" s="259" t="s">
        <v>2363</v>
      </c>
      <c r="B2634" s="259" t="s">
        <v>116</v>
      </c>
      <c r="C2634" s="264"/>
      <c r="D2634" s="264"/>
      <c r="H2634" s="264"/>
      <c r="I2634" s="264"/>
      <c r="J2634" s="295">
        <v>0</v>
      </c>
      <c r="K2634" s="295">
        <v>0</v>
      </c>
      <c r="L2634" s="295">
        <v>0</v>
      </c>
      <c r="O2634" s="266"/>
      <c r="R2634" s="265"/>
      <c r="V2634" s="265">
        <v>0</v>
      </c>
      <c r="Y2634" s="259">
        <f t="shared" si="15"/>
        <v>1722</v>
      </c>
      <c r="AA2634" s="259" t="e">
        <v>#N/A</v>
      </c>
      <c r="AB2634" s="259"/>
      <c r="AC2634" s="259"/>
      <c r="AD2634" s="259"/>
      <c r="AE2634" s="259"/>
    </row>
    <row r="2635" spans="1:31">
      <c r="A2635" s="259">
        <v>91515045</v>
      </c>
      <c r="B2635" s="259" t="s">
        <v>116</v>
      </c>
      <c r="C2635" s="264" t="s">
        <v>7257</v>
      </c>
      <c r="D2635" s="264" t="s">
        <v>7925</v>
      </c>
      <c r="E2635" s="259" t="s">
        <v>7842</v>
      </c>
      <c r="H2635" s="264" t="s">
        <v>7925</v>
      </c>
      <c r="I2635" s="264" t="s">
        <v>7925</v>
      </c>
      <c r="J2635" s="295">
        <v>1962.04</v>
      </c>
      <c r="K2635" s="295">
        <v>1962.04</v>
      </c>
      <c r="L2635" s="295" t="s">
        <v>7240</v>
      </c>
      <c r="O2635" s="266">
        <v>0</v>
      </c>
      <c r="P2635" s="266">
        <v>688705000800</v>
      </c>
      <c r="Q2635" s="266">
        <v>0</v>
      </c>
      <c r="R2635" s="265">
        <v>0</v>
      </c>
      <c r="S2635" s="265">
        <v>0</v>
      </c>
      <c r="V2635" s="265" t="s">
        <v>3574</v>
      </c>
      <c r="W2635" s="259">
        <v>0</v>
      </c>
      <c r="Y2635" s="259">
        <f t="shared" si="15"/>
        <v>1723</v>
      </c>
      <c r="AA2635" s="259" t="e">
        <v>#N/A</v>
      </c>
      <c r="AB2635" s="259"/>
      <c r="AC2635" s="259"/>
      <c r="AD2635" s="259"/>
      <c r="AE2635" s="259"/>
    </row>
    <row r="2636" spans="1:31">
      <c r="A2636" s="259">
        <v>91515046</v>
      </c>
      <c r="B2636" s="259" t="s">
        <v>116</v>
      </c>
      <c r="C2636" s="264" t="s">
        <v>7257</v>
      </c>
      <c r="D2636" s="264" t="s">
        <v>7926</v>
      </c>
      <c r="E2636" s="259" t="s">
        <v>7842</v>
      </c>
      <c r="H2636" s="264" t="s">
        <v>7926</v>
      </c>
      <c r="I2636" s="264" t="s">
        <v>7926</v>
      </c>
      <c r="J2636" s="295">
        <v>1471.84</v>
      </c>
      <c r="K2636" s="295">
        <v>1471.84</v>
      </c>
      <c r="L2636" s="295" t="s">
        <v>7240</v>
      </c>
      <c r="O2636" s="266">
        <v>0</v>
      </c>
      <c r="Q2636" s="266">
        <v>0</v>
      </c>
      <c r="R2636" s="265">
        <v>0</v>
      </c>
      <c r="S2636" s="265">
        <v>0</v>
      </c>
      <c r="V2636" s="265" t="s">
        <v>3574</v>
      </c>
      <c r="W2636" s="259">
        <v>0</v>
      </c>
      <c r="Y2636" s="259">
        <f t="shared" si="15"/>
        <v>1724</v>
      </c>
      <c r="AA2636" s="259" t="e">
        <v>#N/A</v>
      </c>
      <c r="AB2636" s="259"/>
      <c r="AC2636" s="259"/>
      <c r="AD2636" s="259"/>
      <c r="AE2636" s="259"/>
    </row>
    <row r="2637" spans="1:31">
      <c r="A2637" s="259" t="s">
        <v>2364</v>
      </c>
      <c r="B2637" s="259" t="s">
        <v>116</v>
      </c>
      <c r="C2637" s="264"/>
      <c r="D2637" s="264"/>
      <c r="H2637" s="264"/>
      <c r="I2637" s="264"/>
      <c r="J2637" s="295">
        <v>0</v>
      </c>
      <c r="K2637" s="295">
        <v>0</v>
      </c>
      <c r="L2637" s="295">
        <v>0</v>
      </c>
      <c r="O2637" s="266"/>
      <c r="R2637" s="265"/>
      <c r="V2637" s="265">
        <v>0</v>
      </c>
      <c r="Y2637" s="259">
        <f t="shared" si="15"/>
        <v>1725</v>
      </c>
      <c r="AA2637" s="259" t="e">
        <v>#N/A</v>
      </c>
      <c r="AB2637" s="259"/>
      <c r="AC2637" s="259"/>
      <c r="AD2637" s="259"/>
      <c r="AE2637" s="259"/>
    </row>
    <row r="2638" spans="1:31">
      <c r="A2638" s="259" t="s">
        <v>2365</v>
      </c>
      <c r="B2638" s="259" t="s">
        <v>116</v>
      </c>
      <c r="C2638" s="264"/>
      <c r="D2638" s="264"/>
      <c r="H2638" s="264"/>
      <c r="I2638" s="264"/>
      <c r="J2638" s="295">
        <v>0</v>
      </c>
      <c r="K2638" s="295">
        <v>0</v>
      </c>
      <c r="L2638" s="295">
        <v>0</v>
      </c>
      <c r="O2638" s="266">
        <v>0</v>
      </c>
      <c r="P2638" s="266">
        <v>0</v>
      </c>
      <c r="Q2638" s="266">
        <v>0</v>
      </c>
      <c r="R2638" s="265">
        <v>0</v>
      </c>
      <c r="S2638" s="265">
        <v>0</v>
      </c>
      <c r="V2638" s="265">
        <v>0</v>
      </c>
      <c r="W2638" s="259">
        <v>0</v>
      </c>
      <c r="Y2638" s="259">
        <f t="shared" si="15"/>
        <v>1726</v>
      </c>
      <c r="AA2638" s="259" t="e">
        <v>#N/A</v>
      </c>
      <c r="AB2638" s="259"/>
      <c r="AC2638" s="259"/>
      <c r="AD2638" s="259"/>
      <c r="AE2638" s="259"/>
    </row>
    <row r="2639" spans="1:31">
      <c r="A2639" s="259" t="s">
        <v>2366</v>
      </c>
      <c r="B2639" s="259" t="s">
        <v>116</v>
      </c>
      <c r="C2639" s="264" t="s">
        <v>7257</v>
      </c>
      <c r="D2639" s="264" t="s">
        <v>7927</v>
      </c>
      <c r="E2639" s="259" t="s">
        <v>7842</v>
      </c>
      <c r="H2639" s="264" t="s">
        <v>7927</v>
      </c>
      <c r="I2639" s="264" t="s">
        <v>7927</v>
      </c>
      <c r="J2639" s="295">
        <v>395.12</v>
      </c>
      <c r="K2639" s="295">
        <v>395.12</v>
      </c>
      <c r="L2639" s="295" t="s">
        <v>7240</v>
      </c>
      <c r="O2639" s="266">
        <v>0</v>
      </c>
      <c r="Q2639" s="266">
        <v>0</v>
      </c>
      <c r="R2639" s="265">
        <v>0</v>
      </c>
      <c r="S2639" s="265">
        <v>0</v>
      </c>
      <c r="V2639" s="265" t="s">
        <v>3218</v>
      </c>
      <c r="W2639" s="259" t="s">
        <v>3029</v>
      </c>
      <c r="Y2639" s="259">
        <f t="shared" si="15"/>
        <v>1727</v>
      </c>
      <c r="Z2639" s="259" t="s">
        <v>4325</v>
      </c>
      <c r="AA2639" s="259" t="e">
        <v>#N/A</v>
      </c>
      <c r="AB2639" s="259"/>
      <c r="AC2639" s="259"/>
      <c r="AD2639" s="259"/>
      <c r="AE2639" s="259"/>
    </row>
    <row r="2640" spans="1:31">
      <c r="A2640" s="259" t="s">
        <v>2367</v>
      </c>
      <c r="B2640" s="259" t="s">
        <v>116</v>
      </c>
      <c r="C2640" s="264"/>
      <c r="D2640" s="264"/>
      <c r="H2640" s="264"/>
      <c r="I2640" s="264"/>
      <c r="J2640" s="295">
        <v>0</v>
      </c>
      <c r="K2640" s="295">
        <v>0</v>
      </c>
      <c r="L2640" s="295">
        <v>0</v>
      </c>
      <c r="O2640" s="266"/>
      <c r="R2640" s="265"/>
      <c r="V2640" s="265">
        <v>0</v>
      </c>
      <c r="Y2640" s="259">
        <f t="shared" si="15"/>
        <v>1728</v>
      </c>
      <c r="AA2640" s="259" t="e">
        <v>#N/A</v>
      </c>
      <c r="AB2640" s="259"/>
      <c r="AC2640" s="259"/>
      <c r="AD2640" s="259"/>
      <c r="AE2640" s="259"/>
    </row>
    <row r="2641" spans="1:31">
      <c r="A2641" s="259">
        <v>91611808</v>
      </c>
      <c r="B2641" s="259" t="s">
        <v>116</v>
      </c>
      <c r="C2641" s="264" t="s">
        <v>7257</v>
      </c>
      <c r="D2641" s="264" t="s">
        <v>7928</v>
      </c>
      <c r="E2641" s="259" t="s">
        <v>7842</v>
      </c>
      <c r="H2641" s="264" t="s">
        <v>7928</v>
      </c>
      <c r="I2641" s="264" t="s">
        <v>7928</v>
      </c>
      <c r="J2641" s="295">
        <v>32.1</v>
      </c>
      <c r="K2641" s="295">
        <v>32.1</v>
      </c>
      <c r="L2641" s="295" t="s">
        <v>7240</v>
      </c>
      <c r="O2641" s="266">
        <v>0</v>
      </c>
      <c r="Q2641" s="266">
        <v>0</v>
      </c>
      <c r="R2641" s="265">
        <v>0</v>
      </c>
      <c r="S2641" s="265">
        <v>0</v>
      </c>
      <c r="V2641" s="265" t="s">
        <v>3028</v>
      </c>
      <c r="W2641" s="259" t="s">
        <v>3029</v>
      </c>
      <c r="Y2641" s="259">
        <f t="shared" si="15"/>
        <v>1729</v>
      </c>
      <c r="AA2641" s="259" t="e">
        <v>#N/A</v>
      </c>
      <c r="AB2641" s="259"/>
      <c r="AC2641" s="259"/>
      <c r="AD2641" s="259"/>
      <c r="AE2641" s="259"/>
    </row>
    <row r="2642" spans="1:31">
      <c r="A2642" s="259">
        <v>91611807</v>
      </c>
      <c r="B2642" s="259" t="s">
        <v>116</v>
      </c>
      <c r="C2642" s="264" t="s">
        <v>7257</v>
      </c>
      <c r="D2642" s="264" t="s">
        <v>7929</v>
      </c>
      <c r="E2642" s="259" t="s">
        <v>7842</v>
      </c>
      <c r="H2642" s="264" t="s">
        <v>7929</v>
      </c>
      <c r="I2642" s="264" t="s">
        <v>7929</v>
      </c>
      <c r="J2642" s="295">
        <v>4.9400000000000004</v>
      </c>
      <c r="K2642" s="295">
        <v>4.9400000000000004</v>
      </c>
      <c r="L2642" s="295" t="s">
        <v>7240</v>
      </c>
      <c r="O2642" s="266">
        <v>0</v>
      </c>
      <c r="Q2642" s="266">
        <v>0</v>
      </c>
      <c r="R2642" s="265">
        <v>0</v>
      </c>
      <c r="S2642" s="265">
        <v>0</v>
      </c>
      <c r="V2642" s="265" t="s">
        <v>3028</v>
      </c>
      <c r="W2642" s="259" t="s">
        <v>3029</v>
      </c>
      <c r="Y2642" s="259">
        <f t="shared" si="15"/>
        <v>1730</v>
      </c>
      <c r="AA2642" s="259" t="e">
        <v>#N/A</v>
      </c>
      <c r="AB2642" s="259"/>
      <c r="AC2642" s="259"/>
      <c r="AD2642" s="259"/>
      <c r="AE2642" s="259"/>
    </row>
    <row r="2643" spans="1:31">
      <c r="A2643" s="259">
        <v>91611806</v>
      </c>
      <c r="B2643" s="259" t="s">
        <v>116</v>
      </c>
      <c r="C2643" s="264" t="s">
        <v>7257</v>
      </c>
      <c r="D2643" s="264" t="s">
        <v>7930</v>
      </c>
      <c r="E2643" s="259" t="s">
        <v>7842</v>
      </c>
      <c r="H2643" s="264" t="s">
        <v>7930</v>
      </c>
      <c r="I2643" s="264" t="s">
        <v>7930</v>
      </c>
      <c r="J2643" s="295">
        <v>4.9400000000000004</v>
      </c>
      <c r="K2643" s="295">
        <v>4.9400000000000004</v>
      </c>
      <c r="L2643" s="295" t="s">
        <v>7240</v>
      </c>
      <c r="O2643" s="266">
        <v>0</v>
      </c>
      <c r="Q2643" s="266">
        <v>0</v>
      </c>
      <c r="R2643" s="265">
        <v>0</v>
      </c>
      <c r="S2643" s="265">
        <v>0</v>
      </c>
      <c r="V2643" s="265" t="s">
        <v>3028</v>
      </c>
      <c r="W2643" s="259" t="s">
        <v>3029</v>
      </c>
      <c r="Y2643" s="259">
        <f t="shared" si="15"/>
        <v>1731</v>
      </c>
      <c r="AA2643" s="259" t="e">
        <v>#N/A</v>
      </c>
      <c r="AB2643" s="259"/>
      <c r="AC2643" s="259"/>
      <c r="AD2643" s="259"/>
      <c r="AE2643" s="259"/>
    </row>
    <row r="2644" spans="1:31">
      <c r="A2644" s="259">
        <v>91611805</v>
      </c>
      <c r="B2644" s="259" t="s">
        <v>116</v>
      </c>
      <c r="C2644" s="264" t="s">
        <v>7257</v>
      </c>
      <c r="D2644" s="264" t="s">
        <v>7931</v>
      </c>
      <c r="E2644" s="259" t="s">
        <v>7842</v>
      </c>
      <c r="H2644" s="264" t="s">
        <v>7931</v>
      </c>
      <c r="I2644" s="264" t="s">
        <v>7931</v>
      </c>
      <c r="J2644" s="295">
        <v>4.9400000000000004</v>
      </c>
      <c r="K2644" s="295">
        <v>4.9400000000000004</v>
      </c>
      <c r="L2644" s="295" t="s">
        <v>7240</v>
      </c>
      <c r="O2644" s="266">
        <v>0</v>
      </c>
      <c r="Q2644" s="266">
        <v>0</v>
      </c>
      <c r="R2644" s="265">
        <v>0</v>
      </c>
      <c r="S2644" s="265">
        <v>0</v>
      </c>
      <c r="V2644" s="265" t="s">
        <v>3028</v>
      </c>
      <c r="W2644" s="259" t="s">
        <v>3029</v>
      </c>
      <c r="Y2644" s="259">
        <f t="shared" si="15"/>
        <v>1732</v>
      </c>
      <c r="AA2644" s="259" t="e">
        <v>#N/A</v>
      </c>
      <c r="AB2644" s="259"/>
      <c r="AC2644" s="259"/>
      <c r="AD2644" s="259"/>
      <c r="AE2644" s="259"/>
    </row>
    <row r="2645" spans="1:31">
      <c r="A2645" s="259">
        <v>91611804</v>
      </c>
      <c r="B2645" s="259" t="s">
        <v>116</v>
      </c>
      <c r="C2645" s="264" t="s">
        <v>7257</v>
      </c>
      <c r="D2645" s="264" t="s">
        <v>7932</v>
      </c>
      <c r="E2645" s="259" t="s">
        <v>7842</v>
      </c>
      <c r="H2645" s="264" t="s">
        <v>7932</v>
      </c>
      <c r="I2645" s="264" t="s">
        <v>7932</v>
      </c>
      <c r="J2645" s="295">
        <v>4.9400000000000004</v>
      </c>
      <c r="K2645" s="295">
        <v>4.9400000000000004</v>
      </c>
      <c r="L2645" s="295" t="s">
        <v>7240</v>
      </c>
      <c r="O2645" s="266">
        <v>0</v>
      </c>
      <c r="Q2645" s="266">
        <v>0</v>
      </c>
      <c r="R2645" s="265">
        <v>0</v>
      </c>
      <c r="S2645" s="265">
        <v>0</v>
      </c>
      <c r="V2645" s="265" t="s">
        <v>3028</v>
      </c>
      <c r="W2645" s="259" t="s">
        <v>3029</v>
      </c>
      <c r="Y2645" s="259">
        <f t="shared" si="15"/>
        <v>1733</v>
      </c>
      <c r="AA2645" s="259" t="e">
        <v>#N/A</v>
      </c>
      <c r="AB2645" s="259"/>
      <c r="AC2645" s="259"/>
      <c r="AD2645" s="259"/>
      <c r="AE2645" s="259"/>
    </row>
    <row r="2646" spans="1:31">
      <c r="A2646" s="259" t="s">
        <v>2368</v>
      </c>
      <c r="B2646" s="259" t="s">
        <v>116</v>
      </c>
      <c r="C2646" s="264"/>
      <c r="D2646" s="264"/>
      <c r="H2646" s="264"/>
      <c r="I2646" s="264"/>
      <c r="J2646" s="295">
        <v>0</v>
      </c>
      <c r="K2646" s="295">
        <v>0</v>
      </c>
      <c r="L2646" s="295">
        <v>0</v>
      </c>
      <c r="O2646" s="266"/>
      <c r="R2646" s="265"/>
      <c r="V2646" s="265">
        <v>0</v>
      </c>
      <c r="Y2646" s="259">
        <f t="shared" si="15"/>
        <v>1734</v>
      </c>
      <c r="AA2646" s="259" t="e">
        <v>#N/A</v>
      </c>
      <c r="AB2646" s="259"/>
      <c r="AC2646" s="259"/>
      <c r="AD2646" s="259"/>
      <c r="AE2646" s="259"/>
    </row>
    <row r="2647" spans="1:31">
      <c r="A2647" s="259">
        <v>91515043</v>
      </c>
      <c r="B2647" s="259" t="s">
        <v>116</v>
      </c>
      <c r="C2647" s="264"/>
      <c r="D2647" s="264" t="s">
        <v>7933</v>
      </c>
      <c r="E2647" s="259" t="s">
        <v>7842</v>
      </c>
      <c r="H2647" s="264" t="s">
        <v>7933</v>
      </c>
      <c r="I2647" s="264" t="s">
        <v>7933</v>
      </c>
      <c r="J2647" s="295">
        <v>1454.55</v>
      </c>
      <c r="K2647" s="295">
        <v>1454.55</v>
      </c>
      <c r="L2647" s="295" t="s">
        <v>7240</v>
      </c>
      <c r="O2647" s="266"/>
      <c r="P2647" s="266">
        <v>688705000794</v>
      </c>
      <c r="R2647" s="265"/>
      <c r="V2647" s="265">
        <v>0</v>
      </c>
      <c r="Y2647" s="259">
        <f t="shared" si="15"/>
        <v>1735</v>
      </c>
      <c r="AA2647" s="259" t="e">
        <v>#N/A</v>
      </c>
      <c r="AB2647" s="259"/>
      <c r="AC2647" s="259"/>
      <c r="AD2647" s="259"/>
      <c r="AE2647" s="259"/>
    </row>
    <row r="2648" spans="1:31">
      <c r="A2648" s="259">
        <v>91515044</v>
      </c>
      <c r="B2648" s="259" t="s">
        <v>116</v>
      </c>
      <c r="C2648" s="264" t="s">
        <v>7257</v>
      </c>
      <c r="D2648" s="264" t="s">
        <v>7934</v>
      </c>
      <c r="E2648" s="259" t="s">
        <v>7842</v>
      </c>
      <c r="H2648" s="264" t="s">
        <v>7934</v>
      </c>
      <c r="I2648" s="264" t="s">
        <v>7934</v>
      </c>
      <c r="J2648" s="295">
        <v>1045.8499999999999</v>
      </c>
      <c r="K2648" s="295">
        <v>1045.8499999999999</v>
      </c>
      <c r="L2648" s="295" t="s">
        <v>7240</v>
      </c>
      <c r="O2648" s="266">
        <v>0</v>
      </c>
      <c r="Q2648" s="266">
        <v>0</v>
      </c>
      <c r="R2648" s="265">
        <v>0</v>
      </c>
      <c r="S2648" s="265">
        <v>0</v>
      </c>
      <c r="V2648" s="265" t="s">
        <v>3574</v>
      </c>
      <c r="W2648" s="259">
        <v>0</v>
      </c>
      <c r="Y2648" s="259">
        <f t="shared" si="15"/>
        <v>1736</v>
      </c>
      <c r="AA2648" s="259" t="e">
        <v>#N/A</v>
      </c>
      <c r="AB2648" s="259"/>
      <c r="AC2648" s="259"/>
      <c r="AD2648" s="259"/>
      <c r="AE2648" s="259"/>
    </row>
    <row r="2649" spans="1:31">
      <c r="A2649" s="259" t="s">
        <v>2369</v>
      </c>
      <c r="B2649" s="259" t="s">
        <v>116</v>
      </c>
      <c r="C2649" s="264"/>
      <c r="D2649" s="264"/>
      <c r="H2649" s="264"/>
      <c r="I2649" s="264"/>
      <c r="J2649" s="295">
        <v>0</v>
      </c>
      <c r="K2649" s="295">
        <v>0</v>
      </c>
      <c r="L2649" s="295">
        <v>0</v>
      </c>
      <c r="O2649" s="266"/>
      <c r="R2649" s="265"/>
      <c r="V2649" s="265">
        <v>0</v>
      </c>
      <c r="Y2649" s="259">
        <f t="shared" si="15"/>
        <v>1737</v>
      </c>
      <c r="AA2649" s="259" t="e">
        <v>#N/A</v>
      </c>
      <c r="AB2649" s="259"/>
      <c r="AC2649" s="259"/>
      <c r="AD2649" s="259"/>
      <c r="AE2649" s="259"/>
    </row>
    <row r="2650" spans="1:31">
      <c r="A2650" s="259">
        <v>91610123</v>
      </c>
      <c r="B2650" s="259" t="s">
        <v>116</v>
      </c>
      <c r="C2650" s="264" t="s">
        <v>7257</v>
      </c>
      <c r="D2650" s="264" t="s">
        <v>7935</v>
      </c>
      <c r="E2650" s="259" t="s">
        <v>7842</v>
      </c>
      <c r="H2650" s="264" t="s">
        <v>7935</v>
      </c>
      <c r="I2650" s="264" t="s">
        <v>7935</v>
      </c>
      <c r="J2650" s="295">
        <v>217.32</v>
      </c>
      <c r="K2650" s="295">
        <v>217.32</v>
      </c>
      <c r="L2650" s="295" t="s">
        <v>7240</v>
      </c>
      <c r="O2650" s="266">
        <v>0</v>
      </c>
      <c r="Q2650" s="266">
        <v>0</v>
      </c>
      <c r="R2650" s="265">
        <v>7.8740199999999998</v>
      </c>
      <c r="S2650" s="265">
        <v>7.8740199999999998</v>
      </c>
      <c r="V2650" s="265" t="s">
        <v>3028</v>
      </c>
      <c r="W2650" s="259" t="s">
        <v>3029</v>
      </c>
      <c r="X2650" s="264" t="s">
        <v>7259</v>
      </c>
      <c r="Y2650" s="259">
        <f t="shared" si="15"/>
        <v>1738</v>
      </c>
      <c r="AA2650" s="259" t="e">
        <v>#N/A</v>
      </c>
      <c r="AB2650" s="259"/>
      <c r="AC2650" s="259"/>
      <c r="AD2650" s="259"/>
      <c r="AE2650" s="259"/>
    </row>
    <row r="2651" spans="1:31">
      <c r="A2651" s="259">
        <v>91611790</v>
      </c>
      <c r="B2651" s="259" t="s">
        <v>116</v>
      </c>
      <c r="C2651" s="264" t="s">
        <v>7257</v>
      </c>
      <c r="D2651" s="264" t="s">
        <v>7936</v>
      </c>
      <c r="E2651" s="259" t="s">
        <v>7842</v>
      </c>
      <c r="H2651" s="264" t="s">
        <v>7936</v>
      </c>
      <c r="I2651" s="264" t="s">
        <v>7936</v>
      </c>
      <c r="J2651" s="295">
        <v>43.22</v>
      </c>
      <c r="K2651" s="295">
        <v>43.22</v>
      </c>
      <c r="L2651" s="295" t="s">
        <v>7240</v>
      </c>
      <c r="O2651" s="266">
        <v>0</v>
      </c>
      <c r="Q2651" s="266">
        <v>0</v>
      </c>
      <c r="R2651" s="265">
        <v>0</v>
      </c>
      <c r="S2651" s="265">
        <v>0</v>
      </c>
      <c r="V2651" s="265" t="s">
        <v>7247</v>
      </c>
      <c r="W2651" s="259">
        <v>0</v>
      </c>
      <c r="X2651" s="264" t="s">
        <v>7259</v>
      </c>
      <c r="Y2651" s="259">
        <f t="shared" si="15"/>
        <v>1739</v>
      </c>
      <c r="AA2651" s="259" t="e">
        <v>#N/A</v>
      </c>
      <c r="AB2651" s="259"/>
      <c r="AC2651" s="259"/>
      <c r="AD2651" s="259"/>
      <c r="AE2651" s="259"/>
    </row>
    <row r="2652" spans="1:31">
      <c r="A2652" s="259">
        <v>91611791</v>
      </c>
      <c r="B2652" s="259" t="s">
        <v>116</v>
      </c>
      <c r="C2652" s="264" t="s">
        <v>7257</v>
      </c>
      <c r="D2652" s="264" t="s">
        <v>7937</v>
      </c>
      <c r="E2652" s="259" t="s">
        <v>7842</v>
      </c>
      <c r="H2652" s="264" t="s">
        <v>7937</v>
      </c>
      <c r="I2652" s="264" t="s">
        <v>7937</v>
      </c>
      <c r="J2652" s="295">
        <v>45.69</v>
      </c>
      <c r="K2652" s="295">
        <v>45.69</v>
      </c>
      <c r="L2652" s="295" t="s">
        <v>7240</v>
      </c>
      <c r="O2652" s="266">
        <v>0</v>
      </c>
      <c r="Q2652" s="266">
        <v>0</v>
      </c>
      <c r="R2652" s="265">
        <v>0</v>
      </c>
      <c r="S2652" s="265">
        <v>0</v>
      </c>
      <c r="V2652" s="265" t="s">
        <v>7247</v>
      </c>
      <c r="W2652" s="259">
        <v>0</v>
      </c>
      <c r="X2652" s="264" t="s">
        <v>7259</v>
      </c>
      <c r="Y2652" s="259">
        <f t="shared" si="15"/>
        <v>1740</v>
      </c>
      <c r="AA2652" s="259" t="e">
        <v>#N/A</v>
      </c>
      <c r="AB2652" s="259"/>
      <c r="AC2652" s="259"/>
      <c r="AD2652" s="259"/>
      <c r="AE2652" s="259"/>
    </row>
    <row r="2653" spans="1:31">
      <c r="A2653" s="259">
        <v>91611792</v>
      </c>
      <c r="B2653" s="259" t="s">
        <v>116</v>
      </c>
      <c r="C2653" s="264" t="s">
        <v>7257</v>
      </c>
      <c r="D2653" s="264" t="s">
        <v>7938</v>
      </c>
      <c r="E2653" s="259" t="s">
        <v>7842</v>
      </c>
      <c r="H2653" s="264" t="s">
        <v>7938</v>
      </c>
      <c r="I2653" s="264" t="s">
        <v>7938</v>
      </c>
      <c r="J2653" s="295">
        <v>62.97</v>
      </c>
      <c r="K2653" s="295">
        <v>62.97</v>
      </c>
      <c r="L2653" s="295" t="s">
        <v>7240</v>
      </c>
      <c r="O2653" s="266">
        <v>0</v>
      </c>
      <c r="Q2653" s="266">
        <v>0</v>
      </c>
      <c r="R2653" s="265">
        <v>0</v>
      </c>
      <c r="S2653" s="265">
        <v>0</v>
      </c>
      <c r="V2653" s="265" t="s">
        <v>7247</v>
      </c>
      <c r="W2653" s="259">
        <v>0</v>
      </c>
      <c r="X2653" s="264" t="s">
        <v>7259</v>
      </c>
      <c r="Y2653" s="259">
        <f t="shared" si="15"/>
        <v>1741</v>
      </c>
      <c r="AA2653" s="259" t="e">
        <v>#N/A</v>
      </c>
      <c r="AB2653" s="259"/>
      <c r="AC2653" s="259"/>
      <c r="AD2653" s="259"/>
      <c r="AE2653" s="259"/>
    </row>
    <row r="2654" spans="1:31">
      <c r="A2654" s="259">
        <v>91611793</v>
      </c>
      <c r="B2654" s="259" t="s">
        <v>116</v>
      </c>
      <c r="C2654" s="264" t="s">
        <v>7257</v>
      </c>
      <c r="D2654" s="264" t="s">
        <v>7939</v>
      </c>
      <c r="E2654" s="259" t="s">
        <v>7842</v>
      </c>
      <c r="H2654" s="264" t="s">
        <v>7939</v>
      </c>
      <c r="I2654" s="264" t="s">
        <v>7939</v>
      </c>
      <c r="J2654" s="295">
        <v>128.41999999999999</v>
      </c>
      <c r="K2654" s="295">
        <v>128.41999999999999</v>
      </c>
      <c r="L2654" s="295" t="s">
        <v>7240</v>
      </c>
      <c r="O2654" s="266">
        <v>0</v>
      </c>
      <c r="Q2654" s="266">
        <v>0</v>
      </c>
      <c r="R2654" s="265">
        <v>0</v>
      </c>
      <c r="S2654" s="265">
        <v>0</v>
      </c>
      <c r="V2654" s="265" t="s">
        <v>7247</v>
      </c>
      <c r="W2654" s="259">
        <v>0</v>
      </c>
      <c r="X2654" s="264" t="s">
        <v>7259</v>
      </c>
      <c r="Y2654" s="259">
        <f t="shared" si="15"/>
        <v>1742</v>
      </c>
      <c r="AA2654" s="259" t="e">
        <v>#N/A</v>
      </c>
      <c r="AB2654" s="259"/>
      <c r="AC2654" s="259"/>
      <c r="AD2654" s="259"/>
      <c r="AE2654" s="259"/>
    </row>
    <row r="2655" spans="1:31">
      <c r="A2655" s="259">
        <v>91610124</v>
      </c>
      <c r="B2655" s="259" t="s">
        <v>116</v>
      </c>
      <c r="C2655" s="264" t="s">
        <v>7257</v>
      </c>
      <c r="D2655" s="264" t="s">
        <v>7940</v>
      </c>
      <c r="E2655" s="259" t="s">
        <v>7842</v>
      </c>
      <c r="H2655" s="264" t="s">
        <v>7940</v>
      </c>
      <c r="I2655" s="264" t="s">
        <v>7940</v>
      </c>
      <c r="J2655" s="295">
        <v>217.32</v>
      </c>
      <c r="K2655" s="295">
        <v>217.32</v>
      </c>
      <c r="L2655" s="295" t="s">
        <v>7240</v>
      </c>
      <c r="O2655" s="266">
        <v>0</v>
      </c>
      <c r="Q2655" s="266">
        <v>0</v>
      </c>
      <c r="R2655" s="265">
        <v>0</v>
      </c>
      <c r="S2655" s="265">
        <v>0</v>
      </c>
      <c r="V2655" s="265" t="s">
        <v>3028</v>
      </c>
      <c r="W2655" s="259" t="s">
        <v>3029</v>
      </c>
      <c r="X2655" s="264" t="s">
        <v>7259</v>
      </c>
      <c r="Y2655" s="259">
        <f t="shared" si="15"/>
        <v>1743</v>
      </c>
      <c r="AA2655" s="259" t="e">
        <v>#N/A</v>
      </c>
      <c r="AB2655" s="259"/>
      <c r="AC2655" s="259"/>
      <c r="AD2655" s="259"/>
      <c r="AE2655" s="259"/>
    </row>
    <row r="2656" spans="1:31">
      <c r="A2656" s="259">
        <v>91610125</v>
      </c>
      <c r="B2656" s="259" t="s">
        <v>116</v>
      </c>
      <c r="C2656" s="264" t="s">
        <v>7257</v>
      </c>
      <c r="D2656" s="264" t="s">
        <v>7941</v>
      </c>
      <c r="E2656" s="259" t="s">
        <v>7842</v>
      </c>
      <c r="H2656" s="264" t="s">
        <v>7941</v>
      </c>
      <c r="I2656" s="264" t="s">
        <v>7941</v>
      </c>
      <c r="J2656" s="295">
        <v>204.97</v>
      </c>
      <c r="K2656" s="295">
        <v>204.97</v>
      </c>
      <c r="L2656" s="295" t="s">
        <v>7240</v>
      </c>
      <c r="O2656" s="266">
        <v>0</v>
      </c>
      <c r="Q2656" s="266">
        <v>0</v>
      </c>
      <c r="R2656" s="265">
        <v>0</v>
      </c>
      <c r="S2656" s="265">
        <v>0</v>
      </c>
      <c r="V2656" s="265" t="s">
        <v>3028</v>
      </c>
      <c r="W2656" s="259" t="s">
        <v>3029</v>
      </c>
      <c r="X2656" s="264" t="s">
        <v>7259</v>
      </c>
      <c r="Y2656" s="259">
        <f t="shared" si="15"/>
        <v>1744</v>
      </c>
      <c r="AA2656" s="259" t="e">
        <v>#N/A</v>
      </c>
      <c r="AB2656" s="259"/>
      <c r="AC2656" s="259"/>
      <c r="AD2656" s="259"/>
      <c r="AE2656" s="259"/>
    </row>
    <row r="2657" spans="1:31">
      <c r="A2657" s="259">
        <v>91610138</v>
      </c>
      <c r="B2657" s="259" t="s">
        <v>116</v>
      </c>
      <c r="C2657" s="264" t="s">
        <v>7257</v>
      </c>
      <c r="D2657" s="264" t="s">
        <v>7942</v>
      </c>
      <c r="E2657" s="259" t="s">
        <v>7842</v>
      </c>
      <c r="H2657" s="264" t="s">
        <v>7942</v>
      </c>
      <c r="I2657" s="264" t="s">
        <v>7942</v>
      </c>
      <c r="J2657" s="295">
        <v>217.32</v>
      </c>
      <c r="K2657" s="295">
        <v>217.32</v>
      </c>
      <c r="L2657" s="295" t="s">
        <v>7240</v>
      </c>
      <c r="O2657" s="266">
        <v>0</v>
      </c>
      <c r="P2657" s="266">
        <v>5706681230129</v>
      </c>
      <c r="Q2657" s="266">
        <v>0</v>
      </c>
      <c r="R2657" s="265">
        <v>0</v>
      </c>
      <c r="S2657" s="265">
        <v>0</v>
      </c>
      <c r="V2657" s="265" t="s">
        <v>3028</v>
      </c>
      <c r="W2657" s="259" t="s">
        <v>3029</v>
      </c>
      <c r="X2657" s="264" t="s">
        <v>7259</v>
      </c>
      <c r="Y2657" s="259">
        <f t="shared" si="15"/>
        <v>1745</v>
      </c>
      <c r="AA2657" s="259" t="e">
        <v>#N/A</v>
      </c>
      <c r="AB2657" s="259"/>
      <c r="AC2657" s="259"/>
      <c r="AD2657" s="259"/>
      <c r="AE2657" s="259"/>
    </row>
    <row r="2658" spans="1:31">
      <c r="A2658" s="259">
        <v>91611836</v>
      </c>
      <c r="B2658" s="259" t="s">
        <v>116</v>
      </c>
      <c r="C2658" s="264" t="s">
        <v>7257</v>
      </c>
      <c r="D2658" s="264" t="s">
        <v>7943</v>
      </c>
      <c r="E2658" s="259" t="s">
        <v>7842</v>
      </c>
      <c r="H2658" s="264" t="s">
        <v>7943</v>
      </c>
      <c r="I2658" s="264" t="s">
        <v>7943</v>
      </c>
      <c r="J2658" s="295">
        <v>51.86</v>
      </c>
      <c r="K2658" s="295">
        <v>51.86</v>
      </c>
      <c r="L2658" s="295" t="s">
        <v>7240</v>
      </c>
      <c r="O2658" s="266">
        <v>0</v>
      </c>
      <c r="Q2658" s="266">
        <v>0</v>
      </c>
      <c r="R2658" s="265">
        <v>0</v>
      </c>
      <c r="V2658" s="265" t="s">
        <v>3028</v>
      </c>
      <c r="W2658" s="259" t="s">
        <v>3029</v>
      </c>
      <c r="X2658" s="264" t="s">
        <v>7259</v>
      </c>
      <c r="Y2658" s="259">
        <f t="shared" si="15"/>
        <v>1746</v>
      </c>
      <c r="AA2658" s="259" t="e">
        <v>#N/A</v>
      </c>
      <c r="AB2658" s="259"/>
      <c r="AC2658" s="259"/>
      <c r="AD2658" s="259"/>
      <c r="AE2658" s="259"/>
    </row>
    <row r="2659" spans="1:31">
      <c r="A2659" s="259">
        <v>91611843</v>
      </c>
      <c r="B2659" s="259" t="s">
        <v>116</v>
      </c>
      <c r="C2659" s="264" t="s">
        <v>7257</v>
      </c>
      <c r="D2659" s="264" t="s">
        <v>7944</v>
      </c>
      <c r="E2659" s="259" t="s">
        <v>7842</v>
      </c>
      <c r="H2659" s="264" t="s">
        <v>7944</v>
      </c>
      <c r="I2659" s="264" t="s">
        <v>7944</v>
      </c>
      <c r="J2659" s="295">
        <v>41.98</v>
      </c>
      <c r="K2659" s="295">
        <v>41.98</v>
      </c>
      <c r="L2659" s="295" t="s">
        <v>7240</v>
      </c>
      <c r="O2659" s="266">
        <v>0</v>
      </c>
      <c r="Q2659" s="266">
        <v>0</v>
      </c>
      <c r="R2659" s="265">
        <v>0</v>
      </c>
      <c r="S2659" s="265">
        <v>0</v>
      </c>
      <c r="V2659" s="265" t="s">
        <v>7247</v>
      </c>
      <c r="W2659" s="259">
        <v>0</v>
      </c>
      <c r="X2659" s="264" t="s">
        <v>7865</v>
      </c>
      <c r="Y2659" s="259">
        <f t="shared" si="15"/>
        <v>1747</v>
      </c>
      <c r="AA2659" s="259" t="e">
        <v>#N/A</v>
      </c>
      <c r="AB2659" s="259"/>
      <c r="AC2659" s="259"/>
      <c r="AD2659" s="259"/>
      <c r="AE2659" s="259"/>
    </row>
    <row r="2660" spans="1:31">
      <c r="A2660" s="259">
        <v>91610164</v>
      </c>
      <c r="B2660" s="259" t="s">
        <v>116</v>
      </c>
      <c r="C2660" s="264" t="s">
        <v>7257</v>
      </c>
      <c r="D2660" s="264" t="s">
        <v>7945</v>
      </c>
      <c r="E2660" s="259" t="s">
        <v>7842</v>
      </c>
      <c r="H2660" s="264" t="s">
        <v>7945</v>
      </c>
      <c r="I2660" s="264" t="s">
        <v>7945</v>
      </c>
      <c r="J2660" s="295">
        <v>56.8</v>
      </c>
      <c r="K2660" s="295">
        <v>56.8</v>
      </c>
      <c r="L2660" s="295" t="s">
        <v>7240</v>
      </c>
      <c r="O2660" s="266">
        <v>0</v>
      </c>
      <c r="Q2660" s="266">
        <v>0</v>
      </c>
      <c r="R2660" s="265">
        <v>0</v>
      </c>
      <c r="S2660" s="265">
        <v>0</v>
      </c>
      <c r="V2660" s="265" t="s">
        <v>7247</v>
      </c>
      <c r="W2660" s="259">
        <v>0</v>
      </c>
      <c r="Y2660" s="259">
        <f t="shared" si="15"/>
        <v>1748</v>
      </c>
      <c r="AA2660" s="259" t="e">
        <v>#N/A</v>
      </c>
      <c r="AB2660" s="259"/>
      <c r="AC2660" s="259"/>
      <c r="AD2660" s="259"/>
      <c r="AE2660" s="259"/>
    </row>
    <row r="2661" spans="1:31">
      <c r="A2661" s="259">
        <v>91611803</v>
      </c>
      <c r="B2661" s="259" t="s">
        <v>116</v>
      </c>
      <c r="C2661" s="264" t="s">
        <v>7257</v>
      </c>
      <c r="D2661" s="264" t="s">
        <v>7946</v>
      </c>
      <c r="E2661" s="259" t="s">
        <v>7842</v>
      </c>
      <c r="H2661" s="264" t="s">
        <v>7946</v>
      </c>
      <c r="I2661" s="264" t="s">
        <v>7946</v>
      </c>
      <c r="J2661" s="295">
        <v>12.35</v>
      </c>
      <c r="K2661" s="295">
        <v>12.35</v>
      </c>
      <c r="L2661" s="295" t="s">
        <v>7240</v>
      </c>
      <c r="O2661" s="266">
        <v>0</v>
      </c>
      <c r="Q2661" s="266">
        <v>0</v>
      </c>
      <c r="R2661" s="265">
        <v>0</v>
      </c>
      <c r="V2661" s="265" t="s">
        <v>3028</v>
      </c>
      <c r="W2661" s="259" t="s">
        <v>3029</v>
      </c>
      <c r="Y2661" s="259">
        <f t="shared" si="15"/>
        <v>1749</v>
      </c>
      <c r="AA2661" s="259" t="e">
        <v>#N/A</v>
      </c>
      <c r="AB2661" s="259"/>
      <c r="AC2661" s="259"/>
      <c r="AD2661" s="259"/>
      <c r="AE2661" s="259"/>
    </row>
    <row r="2662" spans="1:31">
      <c r="A2662" s="259">
        <v>91611802</v>
      </c>
      <c r="B2662" s="259" t="s">
        <v>116</v>
      </c>
      <c r="C2662" s="264" t="s">
        <v>7257</v>
      </c>
      <c r="D2662" s="264" t="s">
        <v>7947</v>
      </c>
      <c r="E2662" s="259" t="s">
        <v>7842</v>
      </c>
      <c r="H2662" s="264" t="s">
        <v>7947</v>
      </c>
      <c r="I2662" s="264" t="s">
        <v>7947</v>
      </c>
      <c r="J2662" s="295">
        <v>39.51</v>
      </c>
      <c r="K2662" s="295">
        <v>39.51</v>
      </c>
      <c r="L2662" s="295" t="s">
        <v>7240</v>
      </c>
      <c r="O2662" s="266">
        <v>0</v>
      </c>
      <c r="Q2662" s="266">
        <v>0</v>
      </c>
      <c r="R2662" s="265">
        <v>0</v>
      </c>
      <c r="S2662" s="265">
        <v>0</v>
      </c>
      <c r="V2662" s="265" t="s">
        <v>7247</v>
      </c>
      <c r="W2662" s="259">
        <v>0</v>
      </c>
      <c r="Y2662" s="259">
        <f t="shared" si="15"/>
        <v>1750</v>
      </c>
      <c r="AA2662" s="259" t="e">
        <v>#N/A</v>
      </c>
      <c r="AB2662" s="259"/>
      <c r="AC2662" s="259"/>
      <c r="AD2662" s="259"/>
      <c r="AE2662" s="259"/>
    </row>
    <row r="2663" spans="1:31">
      <c r="A2663" s="259">
        <v>91616071</v>
      </c>
      <c r="B2663" s="259" t="s">
        <v>116</v>
      </c>
      <c r="C2663" s="264" t="s">
        <v>7257</v>
      </c>
      <c r="D2663" s="264" t="s">
        <v>7948</v>
      </c>
      <c r="E2663" s="259" t="s">
        <v>7842</v>
      </c>
      <c r="H2663" s="264" t="s">
        <v>7948</v>
      </c>
      <c r="I2663" s="264" t="s">
        <v>7948</v>
      </c>
      <c r="J2663" s="295">
        <v>40.75</v>
      </c>
      <c r="K2663" s="295">
        <v>40.75</v>
      </c>
      <c r="L2663" s="295" t="s">
        <v>7240</v>
      </c>
      <c r="O2663" s="266">
        <v>0</v>
      </c>
      <c r="Q2663" s="266">
        <v>0</v>
      </c>
      <c r="R2663" s="265">
        <v>0</v>
      </c>
      <c r="S2663" s="265">
        <v>0</v>
      </c>
      <c r="V2663" s="265" t="s">
        <v>7247</v>
      </c>
      <c r="W2663" s="259">
        <v>0</v>
      </c>
      <c r="Y2663" s="259">
        <f t="shared" si="15"/>
        <v>1751</v>
      </c>
      <c r="AA2663" s="259" t="e">
        <v>#N/A</v>
      </c>
      <c r="AB2663" s="259"/>
      <c r="AC2663" s="259"/>
      <c r="AD2663" s="259"/>
      <c r="AE2663" s="259"/>
    </row>
    <row r="2664" spans="1:31">
      <c r="A2664" s="259">
        <v>91616072</v>
      </c>
      <c r="B2664" s="259" t="s">
        <v>116</v>
      </c>
      <c r="C2664" s="264" t="s">
        <v>7257</v>
      </c>
      <c r="D2664" s="264" t="s">
        <v>7949</v>
      </c>
      <c r="E2664" s="259" t="s">
        <v>7842</v>
      </c>
      <c r="H2664" s="264" t="s">
        <v>7949</v>
      </c>
      <c r="I2664" s="264" t="s">
        <v>7949</v>
      </c>
      <c r="J2664" s="295">
        <v>114.83</v>
      </c>
      <c r="K2664" s="295">
        <v>114.83</v>
      </c>
      <c r="L2664" s="295" t="s">
        <v>7240</v>
      </c>
      <c r="O2664" s="266">
        <v>0</v>
      </c>
      <c r="Q2664" s="266">
        <v>0</v>
      </c>
      <c r="R2664" s="265">
        <v>0</v>
      </c>
      <c r="S2664" s="265">
        <v>0</v>
      </c>
      <c r="V2664" s="265" t="s">
        <v>7247</v>
      </c>
      <c r="W2664" s="259">
        <v>0</v>
      </c>
      <c r="Y2664" s="259">
        <f t="shared" si="15"/>
        <v>1752</v>
      </c>
      <c r="AA2664" s="259" t="e">
        <v>#N/A</v>
      </c>
      <c r="AB2664" s="259"/>
      <c r="AC2664" s="259"/>
      <c r="AD2664" s="259"/>
      <c r="AE2664" s="259"/>
    </row>
    <row r="2665" spans="1:31">
      <c r="A2665" s="259">
        <v>91616100</v>
      </c>
      <c r="B2665" s="259" t="s">
        <v>116</v>
      </c>
      <c r="C2665" s="264"/>
      <c r="D2665" s="264" t="s">
        <v>7950</v>
      </c>
      <c r="E2665" s="259" t="s">
        <v>7842</v>
      </c>
      <c r="H2665" s="264" t="s">
        <v>7950</v>
      </c>
      <c r="I2665" s="264" t="s">
        <v>7950</v>
      </c>
      <c r="J2665" s="295">
        <v>111.13</v>
      </c>
      <c r="K2665" s="295">
        <v>111.13</v>
      </c>
      <c r="L2665" s="295" t="s">
        <v>7240</v>
      </c>
      <c r="O2665" s="266"/>
      <c r="R2665" s="265"/>
      <c r="V2665" s="265">
        <v>0</v>
      </c>
      <c r="Y2665" s="259">
        <f t="shared" si="15"/>
        <v>1753</v>
      </c>
      <c r="AA2665" s="259" t="e">
        <v>#N/A</v>
      </c>
      <c r="AB2665" s="259"/>
      <c r="AC2665" s="259"/>
      <c r="AD2665" s="259"/>
      <c r="AE2665" s="259"/>
    </row>
    <row r="2666" spans="1:31">
      <c r="A2666" s="259" t="s">
        <v>2370</v>
      </c>
      <c r="B2666" s="259" t="s">
        <v>116</v>
      </c>
      <c r="C2666" s="264"/>
      <c r="D2666" s="264"/>
      <c r="H2666" s="264"/>
      <c r="I2666" s="264"/>
      <c r="J2666" s="295">
        <v>0</v>
      </c>
      <c r="K2666" s="295">
        <v>0</v>
      </c>
      <c r="L2666" s="295">
        <v>0</v>
      </c>
      <c r="O2666" s="266">
        <v>0</v>
      </c>
      <c r="P2666" s="266">
        <v>0</v>
      </c>
      <c r="Q2666" s="266">
        <v>0</v>
      </c>
      <c r="R2666" s="265">
        <v>0</v>
      </c>
      <c r="S2666" s="265">
        <v>0</v>
      </c>
      <c r="V2666" s="265">
        <v>0</v>
      </c>
      <c r="W2666" s="259">
        <v>0</v>
      </c>
      <c r="Y2666" s="259">
        <f t="shared" si="15"/>
        <v>1754</v>
      </c>
      <c r="AA2666" s="259" t="e">
        <v>#N/A</v>
      </c>
      <c r="AB2666" s="259"/>
      <c r="AC2666" s="259"/>
      <c r="AD2666" s="259"/>
      <c r="AE2666" s="259"/>
    </row>
    <row r="2667" spans="1:31">
      <c r="A2667" s="259" t="s">
        <v>2371</v>
      </c>
      <c r="B2667" s="259" t="s">
        <v>116</v>
      </c>
      <c r="C2667" s="264"/>
      <c r="D2667" s="264"/>
      <c r="H2667" s="264"/>
      <c r="I2667" s="264"/>
      <c r="J2667" s="295">
        <v>0</v>
      </c>
      <c r="K2667" s="295">
        <v>0</v>
      </c>
      <c r="L2667" s="295">
        <v>0</v>
      </c>
      <c r="O2667" s="266"/>
      <c r="R2667" s="265"/>
      <c r="V2667" s="265">
        <v>0</v>
      </c>
      <c r="Y2667" s="259">
        <f t="shared" si="15"/>
        <v>1755</v>
      </c>
      <c r="AA2667" s="259" t="e">
        <v>#N/A</v>
      </c>
      <c r="AB2667" s="259"/>
      <c r="AC2667" s="259"/>
      <c r="AD2667" s="259"/>
      <c r="AE2667" s="259"/>
    </row>
    <row r="2668" spans="1:31">
      <c r="A2668" s="259" t="s">
        <v>2372</v>
      </c>
      <c r="B2668" s="259" t="s">
        <v>116</v>
      </c>
      <c r="C2668" s="264"/>
      <c r="D2668" s="264"/>
      <c r="H2668" s="264"/>
      <c r="I2668" s="264"/>
      <c r="J2668" s="295">
        <v>0</v>
      </c>
      <c r="K2668" s="295">
        <v>0</v>
      </c>
      <c r="L2668" s="295">
        <v>0</v>
      </c>
      <c r="O2668" s="266"/>
      <c r="R2668" s="265"/>
      <c r="V2668" s="265">
        <v>0</v>
      </c>
      <c r="Y2668" s="259">
        <f t="shared" si="15"/>
        <v>1756</v>
      </c>
      <c r="AA2668" s="259" t="e">
        <v>#N/A</v>
      </c>
      <c r="AB2668" s="259"/>
      <c r="AC2668" s="259"/>
      <c r="AD2668" s="259"/>
      <c r="AE2668" s="259"/>
    </row>
    <row r="2669" spans="1:31">
      <c r="A2669" s="259">
        <v>91311001</v>
      </c>
      <c r="B2669" s="259" t="s">
        <v>116</v>
      </c>
      <c r="C2669" s="264" t="s">
        <v>2370</v>
      </c>
      <c r="D2669" s="264" t="s">
        <v>7951</v>
      </c>
      <c r="E2669" s="259" t="s">
        <v>7842</v>
      </c>
      <c r="G2669" s="259" t="s">
        <v>7357</v>
      </c>
      <c r="H2669" s="264" t="s">
        <v>7951</v>
      </c>
      <c r="I2669" s="264" t="s">
        <v>7951</v>
      </c>
      <c r="J2669" s="295">
        <v>3512.9</v>
      </c>
      <c r="K2669" s="295">
        <v>3512.9</v>
      </c>
      <c r="L2669" s="295" t="s">
        <v>7240</v>
      </c>
      <c r="O2669" s="266">
        <v>0</v>
      </c>
      <c r="P2669" s="266">
        <v>688705004198</v>
      </c>
      <c r="Q2669" s="266">
        <v>0</v>
      </c>
      <c r="R2669" s="265">
        <v>0</v>
      </c>
      <c r="S2669" s="265">
        <v>0</v>
      </c>
      <c r="V2669" s="265" t="s">
        <v>3028</v>
      </c>
      <c r="W2669" s="259" t="s">
        <v>3029</v>
      </c>
      <c r="Y2669" s="259">
        <f t="shared" si="15"/>
        <v>1757</v>
      </c>
      <c r="AA2669" s="259" t="e">
        <v>#N/A</v>
      </c>
      <c r="AB2669" s="259"/>
      <c r="AC2669" s="259"/>
      <c r="AD2669" s="259"/>
      <c r="AE2669" s="259"/>
    </row>
    <row r="2670" spans="1:31">
      <c r="A2670" s="259" t="s">
        <v>2373</v>
      </c>
      <c r="B2670" s="259" t="s">
        <v>116</v>
      </c>
      <c r="C2670" s="264"/>
      <c r="D2670" s="264"/>
      <c r="H2670" s="264"/>
      <c r="I2670" s="264"/>
      <c r="J2670" s="295">
        <v>0</v>
      </c>
      <c r="K2670" s="295">
        <v>0</v>
      </c>
      <c r="L2670" s="295">
        <v>0</v>
      </c>
      <c r="O2670" s="266"/>
      <c r="R2670" s="265"/>
      <c r="V2670" s="265">
        <v>0</v>
      </c>
      <c r="Y2670" s="259">
        <f t="shared" si="15"/>
        <v>1758</v>
      </c>
      <c r="AA2670" s="259" t="e">
        <v>#N/A</v>
      </c>
      <c r="AB2670" s="259"/>
      <c r="AC2670" s="259"/>
      <c r="AD2670" s="259"/>
      <c r="AE2670" s="259"/>
    </row>
    <row r="2671" spans="1:31">
      <c r="A2671" s="259">
        <v>91311244</v>
      </c>
      <c r="B2671" s="259" t="s">
        <v>116</v>
      </c>
      <c r="C2671" s="264" t="s">
        <v>2370</v>
      </c>
      <c r="D2671" s="264" t="s">
        <v>7952</v>
      </c>
      <c r="E2671" s="259" t="s">
        <v>7842</v>
      </c>
      <c r="G2671" s="259" t="s">
        <v>7357</v>
      </c>
      <c r="H2671" s="264" t="s">
        <v>7952</v>
      </c>
      <c r="I2671" s="264" t="s">
        <v>7952</v>
      </c>
      <c r="J2671" s="295">
        <v>5077.3500000000004</v>
      </c>
      <c r="K2671" s="295">
        <v>5077.3500000000004</v>
      </c>
      <c r="L2671" s="295" t="s">
        <v>7240</v>
      </c>
      <c r="O2671" s="266">
        <v>0</v>
      </c>
      <c r="Q2671" s="266">
        <v>0</v>
      </c>
      <c r="R2671" s="265">
        <v>0</v>
      </c>
      <c r="S2671" s="265">
        <v>0</v>
      </c>
      <c r="V2671" s="265" t="s">
        <v>3574</v>
      </c>
      <c r="W2671" s="259">
        <v>0</v>
      </c>
      <c r="Y2671" s="259">
        <f t="shared" si="15"/>
        <v>1759</v>
      </c>
      <c r="AA2671" s="259" t="e">
        <v>#N/A</v>
      </c>
      <c r="AB2671" s="259"/>
      <c r="AC2671" s="259"/>
      <c r="AD2671" s="259"/>
      <c r="AE2671" s="259"/>
    </row>
    <row r="2672" spans="1:31">
      <c r="A2672" s="259" t="s">
        <v>2374</v>
      </c>
      <c r="B2672" s="259" t="s">
        <v>116</v>
      </c>
      <c r="C2672" s="264"/>
      <c r="D2672" s="264"/>
      <c r="H2672" s="264"/>
      <c r="I2672" s="264"/>
      <c r="J2672" s="295">
        <v>0</v>
      </c>
      <c r="K2672" s="295">
        <v>0</v>
      </c>
      <c r="L2672" s="295">
        <v>0</v>
      </c>
      <c r="O2672" s="266"/>
      <c r="R2672" s="265"/>
      <c r="V2672" s="265">
        <v>0</v>
      </c>
      <c r="Y2672" s="259">
        <f t="shared" si="15"/>
        <v>1760</v>
      </c>
      <c r="AA2672" s="259" t="e">
        <v>#N/A</v>
      </c>
      <c r="AB2672" s="259"/>
      <c r="AC2672" s="259"/>
      <c r="AD2672" s="259"/>
      <c r="AE2672" s="259"/>
    </row>
    <row r="2673" spans="1:31">
      <c r="A2673" s="259">
        <v>91311245</v>
      </c>
      <c r="B2673" s="259" t="s">
        <v>116</v>
      </c>
      <c r="C2673" s="264" t="s">
        <v>2370</v>
      </c>
      <c r="D2673" s="264" t="s">
        <v>7953</v>
      </c>
      <c r="E2673" s="259" t="s">
        <v>7842</v>
      </c>
      <c r="G2673" s="259" t="s">
        <v>7357</v>
      </c>
      <c r="H2673" s="264" t="s">
        <v>7953</v>
      </c>
      <c r="I2673" s="264" t="s">
        <v>7953</v>
      </c>
      <c r="J2673" s="295">
        <v>5679.91</v>
      </c>
      <c r="K2673" s="295">
        <v>5679.91</v>
      </c>
      <c r="L2673" s="295" t="s">
        <v>7240</v>
      </c>
      <c r="O2673" s="266">
        <v>0</v>
      </c>
      <c r="Q2673" s="266">
        <v>0</v>
      </c>
      <c r="R2673" s="265">
        <v>0</v>
      </c>
      <c r="S2673" s="265">
        <v>0</v>
      </c>
      <c r="V2673" s="265" t="s">
        <v>3574</v>
      </c>
      <c r="W2673" s="259">
        <v>0</v>
      </c>
      <c r="Y2673" s="259">
        <f t="shared" si="15"/>
        <v>1761</v>
      </c>
      <c r="AA2673" s="259" t="e">
        <v>#N/A</v>
      </c>
      <c r="AB2673" s="259"/>
      <c r="AC2673" s="259"/>
      <c r="AD2673" s="259"/>
      <c r="AE2673" s="259"/>
    </row>
    <row r="2674" spans="1:31">
      <c r="A2674" s="259" t="s">
        <v>2375</v>
      </c>
      <c r="B2674" s="259" t="s">
        <v>116</v>
      </c>
      <c r="C2674" s="264"/>
      <c r="D2674" s="264"/>
      <c r="H2674" s="264"/>
      <c r="I2674" s="264"/>
      <c r="J2674" s="295">
        <v>0</v>
      </c>
      <c r="K2674" s="295">
        <v>0</v>
      </c>
      <c r="L2674" s="295">
        <v>0</v>
      </c>
      <c r="O2674" s="266"/>
      <c r="R2674" s="265"/>
      <c r="V2674" s="265">
        <v>0</v>
      </c>
      <c r="Y2674" s="259">
        <f t="shared" si="15"/>
        <v>1762</v>
      </c>
      <c r="AA2674" s="259" t="e">
        <v>#N/A</v>
      </c>
      <c r="AB2674" s="259"/>
      <c r="AC2674" s="259"/>
      <c r="AD2674" s="259"/>
      <c r="AE2674" s="259"/>
    </row>
    <row r="2675" spans="1:31">
      <c r="A2675" s="259" t="s">
        <v>2376</v>
      </c>
      <c r="B2675" s="259" t="s">
        <v>116</v>
      </c>
      <c r="C2675" s="264"/>
      <c r="D2675" s="264"/>
      <c r="H2675" s="264"/>
      <c r="I2675" s="264"/>
      <c r="J2675" s="295">
        <v>0</v>
      </c>
      <c r="K2675" s="295">
        <v>0</v>
      </c>
      <c r="L2675" s="295">
        <v>0</v>
      </c>
      <c r="O2675" s="266"/>
      <c r="R2675" s="265"/>
      <c r="V2675" s="265">
        <v>0</v>
      </c>
      <c r="Y2675" s="259">
        <f t="shared" ref="Y2675:Y2708" si="16">Y2674+1</f>
        <v>1763</v>
      </c>
      <c r="AA2675" s="259" t="e">
        <v>#N/A</v>
      </c>
      <c r="AB2675" s="259"/>
      <c r="AC2675" s="259"/>
      <c r="AD2675" s="259"/>
      <c r="AE2675" s="259"/>
    </row>
    <row r="2676" spans="1:31">
      <c r="A2676" s="259">
        <v>91311190</v>
      </c>
      <c r="B2676" s="259" t="s">
        <v>116</v>
      </c>
      <c r="C2676" s="264" t="s">
        <v>2370</v>
      </c>
      <c r="D2676" s="264" t="s">
        <v>7954</v>
      </c>
      <c r="E2676" s="259" t="s">
        <v>7767</v>
      </c>
      <c r="G2676" s="259" t="s">
        <v>7357</v>
      </c>
      <c r="H2676" s="264" t="s">
        <v>7954</v>
      </c>
      <c r="I2676" s="264" t="s">
        <v>7954</v>
      </c>
      <c r="J2676" s="295">
        <v>5432.96</v>
      </c>
      <c r="K2676" s="295">
        <v>5432.96</v>
      </c>
      <c r="L2676" s="295" t="s">
        <v>7240</v>
      </c>
      <c r="O2676" s="266">
        <v>0</v>
      </c>
      <c r="P2676" s="266">
        <v>5706681235940</v>
      </c>
      <c r="Q2676" s="266">
        <v>0</v>
      </c>
      <c r="R2676" s="265">
        <v>0</v>
      </c>
      <c r="S2676" s="265">
        <v>0</v>
      </c>
      <c r="V2676" s="265" t="s">
        <v>3574</v>
      </c>
      <c r="W2676" s="259">
        <v>0</v>
      </c>
      <c r="Y2676" s="259">
        <f t="shared" si="16"/>
        <v>1764</v>
      </c>
      <c r="AA2676" s="259" t="e">
        <v>#N/A</v>
      </c>
      <c r="AB2676" s="259"/>
      <c r="AC2676" s="259"/>
      <c r="AD2676" s="259"/>
      <c r="AE2676" s="259"/>
    </row>
    <row r="2677" spans="1:31">
      <c r="A2677" s="259" t="s">
        <v>2377</v>
      </c>
      <c r="B2677" s="259" t="s">
        <v>116</v>
      </c>
      <c r="C2677" s="264"/>
      <c r="D2677" s="264"/>
      <c r="H2677" s="264"/>
      <c r="I2677" s="264"/>
      <c r="J2677" s="295">
        <v>0</v>
      </c>
      <c r="K2677" s="295">
        <v>0</v>
      </c>
      <c r="L2677" s="295">
        <v>0</v>
      </c>
      <c r="O2677" s="266"/>
      <c r="R2677" s="265"/>
      <c r="V2677" s="265">
        <v>0</v>
      </c>
      <c r="Y2677" s="259">
        <f t="shared" si="16"/>
        <v>1765</v>
      </c>
      <c r="AA2677" s="259" t="e">
        <v>#N/A</v>
      </c>
      <c r="AB2677" s="259"/>
      <c r="AC2677" s="259"/>
      <c r="AD2677" s="259"/>
      <c r="AE2677" s="259"/>
    </row>
    <row r="2678" spans="1:31">
      <c r="A2678" s="259">
        <v>91311230</v>
      </c>
      <c r="B2678" s="259" t="s">
        <v>116</v>
      </c>
      <c r="C2678" s="264" t="s">
        <v>2370</v>
      </c>
      <c r="D2678" s="264" t="s">
        <v>7955</v>
      </c>
      <c r="E2678" s="259" t="s">
        <v>7767</v>
      </c>
      <c r="G2678" s="259" t="s">
        <v>7357</v>
      </c>
      <c r="H2678" s="264" t="s">
        <v>7955</v>
      </c>
      <c r="I2678" s="264" t="s">
        <v>7955</v>
      </c>
      <c r="J2678" s="295">
        <v>7285.11</v>
      </c>
      <c r="K2678" s="295">
        <v>7285.11</v>
      </c>
      <c r="L2678" s="295" t="s">
        <v>7240</v>
      </c>
      <c r="O2678" s="266">
        <v>0</v>
      </c>
      <c r="Q2678" s="266">
        <v>0</v>
      </c>
      <c r="R2678" s="265">
        <v>0</v>
      </c>
      <c r="S2678" s="265">
        <v>0</v>
      </c>
      <c r="V2678" s="265" t="s">
        <v>3574</v>
      </c>
      <c r="W2678" s="259">
        <v>0</v>
      </c>
      <c r="Y2678" s="259">
        <f t="shared" si="16"/>
        <v>1766</v>
      </c>
      <c r="AA2678" s="259" t="e">
        <v>#N/A</v>
      </c>
      <c r="AB2678" s="259"/>
      <c r="AC2678" s="259"/>
      <c r="AD2678" s="259"/>
      <c r="AE2678" s="259"/>
    </row>
    <row r="2679" spans="1:31">
      <c r="A2679" s="259" t="s">
        <v>2378</v>
      </c>
      <c r="B2679" s="259" t="s">
        <v>116</v>
      </c>
      <c r="C2679" s="264"/>
      <c r="D2679" s="264"/>
      <c r="H2679" s="264"/>
      <c r="I2679" s="264"/>
      <c r="J2679" s="295">
        <v>0</v>
      </c>
      <c r="K2679" s="295">
        <v>0</v>
      </c>
      <c r="L2679" s="295">
        <v>0</v>
      </c>
      <c r="O2679" s="266"/>
      <c r="R2679" s="265"/>
      <c r="V2679" s="265">
        <v>0</v>
      </c>
      <c r="Y2679" s="259">
        <f t="shared" si="16"/>
        <v>1767</v>
      </c>
      <c r="AA2679" s="259" t="e">
        <v>#N/A</v>
      </c>
      <c r="AB2679" s="259"/>
      <c r="AC2679" s="259"/>
      <c r="AD2679" s="259"/>
      <c r="AE2679" s="259"/>
    </row>
    <row r="2680" spans="1:31">
      <c r="A2680" s="259" t="s">
        <v>2379</v>
      </c>
      <c r="B2680" s="259" t="s">
        <v>116</v>
      </c>
      <c r="C2680" s="264"/>
      <c r="D2680" s="264"/>
      <c r="H2680" s="264"/>
      <c r="I2680" s="264"/>
      <c r="J2680" s="295">
        <v>0</v>
      </c>
      <c r="K2680" s="295">
        <v>0</v>
      </c>
      <c r="L2680" s="295">
        <v>0</v>
      </c>
      <c r="O2680" s="266"/>
      <c r="R2680" s="265"/>
      <c r="V2680" s="265">
        <v>0</v>
      </c>
      <c r="Y2680" s="259">
        <f t="shared" si="16"/>
        <v>1768</v>
      </c>
      <c r="AA2680" s="259" t="e">
        <v>#N/A</v>
      </c>
      <c r="AB2680" s="259"/>
      <c r="AC2680" s="259"/>
      <c r="AD2680" s="259"/>
      <c r="AE2680" s="259"/>
    </row>
    <row r="2681" spans="1:31">
      <c r="A2681" s="259">
        <v>91311220</v>
      </c>
      <c r="B2681" s="259" t="s">
        <v>116</v>
      </c>
      <c r="C2681" s="264" t="s">
        <v>2370</v>
      </c>
      <c r="D2681" s="264" t="s">
        <v>7956</v>
      </c>
      <c r="E2681" s="259" t="s">
        <v>7448</v>
      </c>
      <c r="G2681" s="259" t="s">
        <v>7357</v>
      </c>
      <c r="H2681" s="264" t="s">
        <v>7956</v>
      </c>
      <c r="I2681" s="264" t="s">
        <v>7956</v>
      </c>
      <c r="J2681" s="295">
        <v>11427.74</v>
      </c>
      <c r="K2681" s="295">
        <v>11427.74</v>
      </c>
      <c r="L2681" s="295" t="s">
        <v>7240</v>
      </c>
      <c r="O2681" s="266">
        <v>0</v>
      </c>
      <c r="P2681" s="266">
        <v>5706681230679</v>
      </c>
      <c r="Q2681" s="266">
        <v>0</v>
      </c>
      <c r="R2681" s="265">
        <v>0</v>
      </c>
      <c r="S2681" s="265">
        <v>0</v>
      </c>
      <c r="V2681" s="265" t="s">
        <v>3574</v>
      </c>
      <c r="W2681" s="259">
        <v>0</v>
      </c>
      <c r="Y2681" s="259">
        <f t="shared" si="16"/>
        <v>1769</v>
      </c>
      <c r="AA2681" s="259" t="e">
        <v>#N/A</v>
      </c>
      <c r="AB2681" s="259"/>
      <c r="AC2681" s="259"/>
      <c r="AD2681" s="259"/>
      <c r="AE2681" s="259"/>
    </row>
    <row r="2682" spans="1:31">
      <c r="A2682" s="259" t="s">
        <v>2380</v>
      </c>
      <c r="B2682" s="259" t="s">
        <v>116</v>
      </c>
      <c r="C2682" s="264"/>
      <c r="D2682" s="264"/>
      <c r="H2682" s="264"/>
      <c r="I2682" s="264"/>
      <c r="J2682" s="295">
        <v>0</v>
      </c>
      <c r="K2682" s="295">
        <v>0</v>
      </c>
      <c r="L2682" s="295">
        <v>0</v>
      </c>
      <c r="O2682" s="266"/>
      <c r="R2682" s="265"/>
      <c r="V2682" s="265">
        <v>0</v>
      </c>
      <c r="Y2682" s="259">
        <f t="shared" si="16"/>
        <v>1770</v>
      </c>
      <c r="AA2682" s="259" t="e">
        <v>#N/A</v>
      </c>
      <c r="AB2682" s="259"/>
      <c r="AC2682" s="259"/>
      <c r="AD2682" s="259"/>
      <c r="AE2682" s="259"/>
    </row>
    <row r="2683" spans="1:31">
      <c r="A2683" s="259">
        <v>91311246</v>
      </c>
      <c r="B2683" s="259" t="s">
        <v>116</v>
      </c>
      <c r="C2683" s="264" t="s">
        <v>2370</v>
      </c>
      <c r="D2683" s="264" t="s">
        <v>7957</v>
      </c>
      <c r="E2683" s="259" t="s">
        <v>7448</v>
      </c>
      <c r="G2683" s="259" t="s">
        <v>7357</v>
      </c>
      <c r="H2683" s="264" t="s">
        <v>7957</v>
      </c>
      <c r="I2683" s="264" t="s">
        <v>7957</v>
      </c>
      <c r="J2683" s="295">
        <v>9317.5300000000007</v>
      </c>
      <c r="K2683" s="295">
        <v>9317.5300000000007</v>
      </c>
      <c r="L2683" s="295" t="s">
        <v>7240</v>
      </c>
      <c r="O2683" s="266">
        <v>0</v>
      </c>
      <c r="P2683" s="266">
        <v>688705000732</v>
      </c>
      <c r="Q2683" s="266">
        <v>0</v>
      </c>
      <c r="R2683" s="265">
        <v>0</v>
      </c>
      <c r="S2683" s="265">
        <v>0</v>
      </c>
      <c r="V2683" s="265" t="s">
        <v>3574</v>
      </c>
      <c r="W2683" s="259">
        <v>0</v>
      </c>
      <c r="Y2683" s="259">
        <f t="shared" si="16"/>
        <v>1771</v>
      </c>
      <c r="AA2683" s="259" t="e">
        <v>#N/A</v>
      </c>
      <c r="AB2683" s="259"/>
      <c r="AC2683" s="259"/>
      <c r="AD2683" s="259"/>
      <c r="AE2683" s="259"/>
    </row>
    <row r="2684" spans="1:31">
      <c r="A2684" s="259" t="s">
        <v>2381</v>
      </c>
      <c r="B2684" s="259" t="s">
        <v>116</v>
      </c>
      <c r="C2684" s="264"/>
      <c r="D2684" s="264"/>
      <c r="H2684" s="264"/>
      <c r="I2684" s="264"/>
      <c r="J2684" s="295">
        <v>0</v>
      </c>
      <c r="K2684" s="295">
        <v>0</v>
      </c>
      <c r="L2684" s="295">
        <v>0</v>
      </c>
      <c r="O2684" s="266"/>
      <c r="R2684" s="265"/>
      <c r="V2684" s="265">
        <v>0</v>
      </c>
      <c r="Y2684" s="259">
        <f t="shared" si="16"/>
        <v>1772</v>
      </c>
      <c r="AA2684" s="259" t="e">
        <v>#N/A</v>
      </c>
      <c r="AB2684" s="259"/>
      <c r="AC2684" s="259"/>
      <c r="AD2684" s="259"/>
      <c r="AE2684" s="259"/>
    </row>
    <row r="2685" spans="1:31">
      <c r="A2685" s="259">
        <v>90310040</v>
      </c>
      <c r="B2685" s="259" t="s">
        <v>116</v>
      </c>
      <c r="C2685" s="264" t="s">
        <v>2370</v>
      </c>
      <c r="D2685" s="264" t="s">
        <v>7958</v>
      </c>
      <c r="E2685" s="259" t="s">
        <v>7460</v>
      </c>
      <c r="G2685" s="259" t="s">
        <v>7357</v>
      </c>
      <c r="H2685" s="264" t="s">
        <v>7958</v>
      </c>
      <c r="I2685" s="264" t="s">
        <v>7958</v>
      </c>
      <c r="J2685" s="295">
        <v>4148.8100000000004</v>
      </c>
      <c r="K2685" s="295">
        <v>4148.8100000000004</v>
      </c>
      <c r="L2685" s="295" t="s">
        <v>7240</v>
      </c>
      <c r="O2685" s="266">
        <v>0</v>
      </c>
      <c r="P2685" s="266">
        <v>688705000695</v>
      </c>
      <c r="Q2685" s="266">
        <v>0</v>
      </c>
      <c r="R2685" s="265">
        <v>0</v>
      </c>
      <c r="S2685" s="265">
        <v>0</v>
      </c>
      <c r="V2685" s="265" t="s">
        <v>3028</v>
      </c>
      <c r="W2685" s="259" t="s">
        <v>3029</v>
      </c>
      <c r="Y2685" s="259">
        <f t="shared" si="16"/>
        <v>1773</v>
      </c>
      <c r="AA2685" s="259" t="e">
        <v>#N/A</v>
      </c>
      <c r="AB2685" s="259"/>
      <c r="AC2685" s="259"/>
      <c r="AD2685" s="259"/>
      <c r="AE2685" s="259"/>
    </row>
    <row r="2686" spans="1:31">
      <c r="A2686" s="259">
        <v>90310041</v>
      </c>
      <c r="B2686" s="259" t="s">
        <v>116</v>
      </c>
      <c r="C2686" s="264" t="s">
        <v>2370</v>
      </c>
      <c r="D2686" s="264" t="s">
        <v>7959</v>
      </c>
      <c r="E2686" s="259" t="s">
        <v>7460</v>
      </c>
      <c r="G2686" s="259" t="s">
        <v>7357</v>
      </c>
      <c r="H2686" s="264" t="s">
        <v>7959</v>
      </c>
      <c r="I2686" s="264" t="s">
        <v>7959</v>
      </c>
      <c r="J2686" s="295">
        <v>4153.75</v>
      </c>
      <c r="K2686" s="295">
        <v>4153.75</v>
      </c>
      <c r="L2686" s="295" t="s">
        <v>7240</v>
      </c>
      <c r="O2686" s="266">
        <v>0</v>
      </c>
      <c r="Q2686" s="266">
        <v>0</v>
      </c>
      <c r="R2686" s="265">
        <v>0</v>
      </c>
      <c r="S2686" s="265">
        <v>0</v>
      </c>
      <c r="V2686" s="265" t="s">
        <v>3028</v>
      </c>
      <c r="W2686" s="259" t="s">
        <v>3029</v>
      </c>
      <c r="Y2686" s="259">
        <f t="shared" si="16"/>
        <v>1774</v>
      </c>
      <c r="AA2686" s="259" t="e">
        <v>#N/A</v>
      </c>
      <c r="AB2686" s="259"/>
      <c r="AC2686" s="259"/>
      <c r="AD2686" s="259"/>
      <c r="AE2686" s="259"/>
    </row>
    <row r="2687" spans="1:31">
      <c r="A2687" s="259">
        <v>90310053</v>
      </c>
      <c r="B2687" s="259" t="s">
        <v>116</v>
      </c>
      <c r="C2687" s="264" t="s">
        <v>2370</v>
      </c>
      <c r="D2687" s="264" t="s">
        <v>7960</v>
      </c>
      <c r="E2687" s="259" t="s">
        <v>7460</v>
      </c>
      <c r="G2687" s="259" t="s">
        <v>7357</v>
      </c>
      <c r="H2687" s="264" t="s">
        <v>7960</v>
      </c>
      <c r="I2687" s="264" t="s">
        <v>7960</v>
      </c>
      <c r="J2687" s="295">
        <v>4987.21</v>
      </c>
      <c r="K2687" s="295">
        <v>4987.21</v>
      </c>
      <c r="L2687" s="295" t="s">
        <v>7240</v>
      </c>
      <c r="O2687" s="266">
        <v>0</v>
      </c>
      <c r="P2687" s="266">
        <v>688705002149</v>
      </c>
      <c r="Q2687" s="266">
        <v>0</v>
      </c>
      <c r="R2687" s="265">
        <v>0</v>
      </c>
      <c r="S2687" s="265">
        <v>0</v>
      </c>
      <c r="V2687" s="265" t="s">
        <v>3028</v>
      </c>
      <c r="W2687" s="259" t="s">
        <v>3029</v>
      </c>
      <c r="Y2687" s="259">
        <f t="shared" si="16"/>
        <v>1775</v>
      </c>
      <c r="AA2687" s="259" t="e">
        <v>#N/A</v>
      </c>
      <c r="AB2687" s="259"/>
      <c r="AC2687" s="259"/>
      <c r="AD2687" s="259"/>
      <c r="AE2687" s="259"/>
    </row>
    <row r="2688" spans="1:31">
      <c r="A2688" s="259">
        <v>90310054</v>
      </c>
      <c r="B2688" s="259" t="s">
        <v>116</v>
      </c>
      <c r="C2688" s="264" t="s">
        <v>2370</v>
      </c>
      <c r="D2688" s="264" t="s">
        <v>7961</v>
      </c>
      <c r="E2688" s="259" t="s">
        <v>7460</v>
      </c>
      <c r="G2688" s="259" t="s">
        <v>7357</v>
      </c>
      <c r="H2688" s="264" t="s">
        <v>7961</v>
      </c>
      <c r="I2688" s="264" t="s">
        <v>7961</v>
      </c>
      <c r="J2688" s="295">
        <v>4987.21</v>
      </c>
      <c r="K2688" s="295">
        <v>4987.21</v>
      </c>
      <c r="L2688" s="295" t="s">
        <v>7240</v>
      </c>
      <c r="O2688" s="266">
        <v>0</v>
      </c>
      <c r="P2688" s="266">
        <v>688705002903</v>
      </c>
      <c r="Q2688" s="266">
        <v>0</v>
      </c>
      <c r="R2688" s="265">
        <v>0</v>
      </c>
      <c r="S2688" s="265">
        <v>0</v>
      </c>
      <c r="V2688" s="265" t="s">
        <v>3028</v>
      </c>
      <c r="W2688" s="259" t="s">
        <v>3029</v>
      </c>
      <c r="Y2688" s="259">
        <f t="shared" si="16"/>
        <v>1776</v>
      </c>
      <c r="AA2688" s="259" t="e">
        <v>#N/A</v>
      </c>
      <c r="AB2688" s="259"/>
      <c r="AC2688" s="259"/>
      <c r="AD2688" s="259"/>
      <c r="AE2688" s="259"/>
    </row>
    <row r="2689" spans="1:31">
      <c r="A2689" s="259" t="s">
        <v>2382</v>
      </c>
      <c r="B2689" s="259" t="s">
        <v>116</v>
      </c>
      <c r="C2689" s="264"/>
      <c r="D2689" s="264"/>
      <c r="H2689" s="264"/>
      <c r="I2689" s="264"/>
      <c r="J2689" s="295">
        <v>0</v>
      </c>
      <c r="K2689" s="295">
        <v>0</v>
      </c>
      <c r="L2689" s="295">
        <v>0</v>
      </c>
      <c r="O2689" s="266"/>
      <c r="R2689" s="265"/>
      <c r="V2689" s="265">
        <v>0</v>
      </c>
      <c r="Y2689" s="259">
        <f t="shared" si="16"/>
        <v>1777</v>
      </c>
      <c r="AA2689" s="259" t="e">
        <v>#N/A</v>
      </c>
      <c r="AB2689" s="259"/>
      <c r="AC2689" s="259"/>
      <c r="AD2689" s="259"/>
      <c r="AE2689" s="259"/>
    </row>
    <row r="2690" spans="1:31">
      <c r="A2690" s="259">
        <v>90310046</v>
      </c>
      <c r="B2690" s="259" t="s">
        <v>116</v>
      </c>
      <c r="C2690" s="264" t="s">
        <v>2370</v>
      </c>
      <c r="D2690" s="264" t="s">
        <v>7962</v>
      </c>
      <c r="E2690" s="259" t="s">
        <v>7580</v>
      </c>
      <c r="G2690" s="259" t="s">
        <v>7357</v>
      </c>
      <c r="H2690" s="264" t="s">
        <v>7962</v>
      </c>
      <c r="I2690" s="264" t="s">
        <v>7962</v>
      </c>
      <c r="J2690" s="295">
        <v>6931.97</v>
      </c>
      <c r="K2690" s="295">
        <v>6931.97</v>
      </c>
      <c r="L2690" s="295" t="s">
        <v>7240</v>
      </c>
      <c r="O2690" s="266">
        <v>0</v>
      </c>
      <c r="P2690" s="266">
        <v>688705001715</v>
      </c>
      <c r="Q2690" s="266">
        <v>0</v>
      </c>
      <c r="R2690" s="265">
        <v>0</v>
      </c>
      <c r="S2690" s="265">
        <v>0</v>
      </c>
      <c r="V2690" s="265" t="s">
        <v>3028</v>
      </c>
      <c r="W2690" s="259" t="s">
        <v>3029</v>
      </c>
      <c r="Y2690" s="259">
        <f t="shared" si="16"/>
        <v>1778</v>
      </c>
      <c r="AA2690" s="259" t="e">
        <v>#N/A</v>
      </c>
      <c r="AB2690" s="259"/>
      <c r="AC2690" s="259"/>
      <c r="AD2690" s="259"/>
      <c r="AE2690" s="259"/>
    </row>
    <row r="2691" spans="1:31">
      <c r="A2691" s="259">
        <v>90310000</v>
      </c>
      <c r="B2691" s="259" t="s">
        <v>116</v>
      </c>
      <c r="C2691" s="264" t="s">
        <v>2370</v>
      </c>
      <c r="D2691" s="264" t="s">
        <v>7963</v>
      </c>
      <c r="E2691" s="259" t="s">
        <v>7580</v>
      </c>
      <c r="G2691" s="259" t="s">
        <v>7357</v>
      </c>
      <c r="H2691" s="264" t="s">
        <v>7963</v>
      </c>
      <c r="I2691" s="264" t="s">
        <v>7963</v>
      </c>
      <c r="J2691" s="295">
        <v>6931.97</v>
      </c>
      <c r="K2691" s="295">
        <v>6931.97</v>
      </c>
      <c r="L2691" s="295" t="s">
        <v>7240</v>
      </c>
      <c r="O2691" s="266">
        <v>0</v>
      </c>
      <c r="P2691" s="266">
        <v>688705001951</v>
      </c>
      <c r="Q2691" s="266">
        <v>0</v>
      </c>
      <c r="R2691" s="265">
        <v>0</v>
      </c>
      <c r="S2691" s="265">
        <v>0</v>
      </c>
      <c r="V2691" s="265" t="s">
        <v>3028</v>
      </c>
      <c r="W2691" s="259" t="s">
        <v>3029</v>
      </c>
      <c r="Y2691" s="259">
        <f t="shared" si="16"/>
        <v>1779</v>
      </c>
      <c r="AA2691" s="259" t="e">
        <v>#N/A</v>
      </c>
      <c r="AB2691" s="259"/>
      <c r="AC2691" s="259"/>
      <c r="AD2691" s="259"/>
      <c r="AE2691" s="259"/>
    </row>
    <row r="2692" spans="1:31">
      <c r="A2692" s="259">
        <v>90310048</v>
      </c>
      <c r="B2692" s="259" t="s">
        <v>116</v>
      </c>
      <c r="C2692" s="264" t="s">
        <v>2370</v>
      </c>
      <c r="D2692" s="264" t="s">
        <v>7964</v>
      </c>
      <c r="E2692" s="259" t="s">
        <v>7580</v>
      </c>
      <c r="G2692" s="259" t="s">
        <v>7357</v>
      </c>
      <c r="H2692" s="264" t="s">
        <v>7964</v>
      </c>
      <c r="I2692" s="264" t="s">
        <v>7964</v>
      </c>
      <c r="J2692" s="295">
        <v>6931.97</v>
      </c>
      <c r="K2692" s="295">
        <v>6931.97</v>
      </c>
      <c r="L2692" s="295" t="s">
        <v>7240</v>
      </c>
      <c r="O2692" s="266">
        <v>0</v>
      </c>
      <c r="P2692" s="266">
        <v>688705001807</v>
      </c>
      <c r="Q2692" s="266">
        <v>0</v>
      </c>
      <c r="R2692" s="265">
        <v>0</v>
      </c>
      <c r="S2692" s="265">
        <v>0</v>
      </c>
      <c r="V2692" s="265" t="s">
        <v>3028</v>
      </c>
      <c r="W2692" s="259" t="s">
        <v>3029</v>
      </c>
      <c r="Y2692" s="259">
        <f t="shared" si="16"/>
        <v>1780</v>
      </c>
      <c r="AA2692" s="259" t="e">
        <v>#N/A</v>
      </c>
      <c r="AB2692" s="259"/>
      <c r="AC2692" s="259"/>
      <c r="AD2692" s="259"/>
      <c r="AE2692" s="259"/>
    </row>
    <row r="2693" spans="1:31">
      <c r="A2693" s="259">
        <v>90310001</v>
      </c>
      <c r="B2693" s="259" t="s">
        <v>116</v>
      </c>
      <c r="C2693" s="264" t="s">
        <v>2370</v>
      </c>
      <c r="D2693" s="264" t="s">
        <v>7965</v>
      </c>
      <c r="E2693" s="259" t="s">
        <v>7580</v>
      </c>
      <c r="G2693" s="259" t="s">
        <v>7357</v>
      </c>
      <c r="H2693" s="264" t="s">
        <v>7965</v>
      </c>
      <c r="I2693" s="264" t="s">
        <v>7965</v>
      </c>
      <c r="J2693" s="295">
        <v>6931.97</v>
      </c>
      <c r="K2693" s="295">
        <v>6931.97</v>
      </c>
      <c r="L2693" s="295" t="s">
        <v>7240</v>
      </c>
      <c r="O2693" s="266">
        <v>0</v>
      </c>
      <c r="P2693" s="266">
        <v>688705001968</v>
      </c>
      <c r="Q2693" s="266">
        <v>0</v>
      </c>
      <c r="R2693" s="265">
        <v>0</v>
      </c>
      <c r="S2693" s="265">
        <v>0</v>
      </c>
      <c r="V2693" s="265" t="s">
        <v>3028</v>
      </c>
      <c r="W2693" s="259" t="s">
        <v>3029</v>
      </c>
      <c r="Y2693" s="259">
        <f t="shared" si="16"/>
        <v>1781</v>
      </c>
      <c r="AA2693" s="259" t="e">
        <v>#N/A</v>
      </c>
      <c r="AB2693" s="259"/>
      <c r="AC2693" s="259"/>
      <c r="AD2693" s="259"/>
      <c r="AE2693" s="259"/>
    </row>
    <row r="2694" spans="1:31">
      <c r="A2694" s="259">
        <v>90310043</v>
      </c>
      <c r="B2694" s="259" t="s">
        <v>116</v>
      </c>
      <c r="C2694" s="264" t="s">
        <v>2370</v>
      </c>
      <c r="D2694" s="264" t="s">
        <v>7966</v>
      </c>
      <c r="E2694" s="259" t="s">
        <v>7580</v>
      </c>
      <c r="G2694" s="259" t="s">
        <v>7357</v>
      </c>
      <c r="H2694" s="264" t="s">
        <v>7966</v>
      </c>
      <c r="I2694" s="264" t="s">
        <v>7966</v>
      </c>
      <c r="J2694" s="295">
        <v>6931.97</v>
      </c>
      <c r="K2694" s="295">
        <v>6931.97</v>
      </c>
      <c r="L2694" s="295" t="s">
        <v>7240</v>
      </c>
      <c r="O2694" s="266">
        <v>0</v>
      </c>
      <c r="P2694" s="266">
        <v>688705001722</v>
      </c>
      <c r="Q2694" s="266">
        <v>0</v>
      </c>
      <c r="R2694" s="265">
        <v>0</v>
      </c>
      <c r="S2694" s="265">
        <v>0</v>
      </c>
      <c r="V2694" s="265" t="s">
        <v>3028</v>
      </c>
      <c r="W2694" s="259" t="s">
        <v>3029</v>
      </c>
      <c r="Y2694" s="259">
        <f t="shared" si="16"/>
        <v>1782</v>
      </c>
      <c r="AA2694" s="259" t="e">
        <v>#N/A</v>
      </c>
      <c r="AB2694" s="259"/>
      <c r="AC2694" s="259"/>
      <c r="AD2694" s="259"/>
      <c r="AE2694" s="259"/>
    </row>
    <row r="2695" spans="1:31">
      <c r="A2695" s="259">
        <v>90310002</v>
      </c>
      <c r="B2695" s="259" t="s">
        <v>116</v>
      </c>
      <c r="C2695" s="264" t="s">
        <v>2370</v>
      </c>
      <c r="D2695" s="264" t="s">
        <v>7967</v>
      </c>
      <c r="E2695" s="259" t="s">
        <v>7580</v>
      </c>
      <c r="G2695" s="259" t="s">
        <v>7357</v>
      </c>
      <c r="H2695" s="264" t="s">
        <v>7967</v>
      </c>
      <c r="I2695" s="264" t="s">
        <v>7967</v>
      </c>
      <c r="J2695" s="295">
        <v>6931.97</v>
      </c>
      <c r="K2695" s="295">
        <v>6931.97</v>
      </c>
      <c r="L2695" s="295" t="s">
        <v>7240</v>
      </c>
      <c r="O2695" s="266">
        <v>0</v>
      </c>
      <c r="P2695" s="266">
        <v>688705001975</v>
      </c>
      <c r="Q2695" s="266">
        <v>0</v>
      </c>
      <c r="R2695" s="265">
        <v>0</v>
      </c>
      <c r="S2695" s="265">
        <v>0</v>
      </c>
      <c r="V2695" s="265" t="s">
        <v>3028</v>
      </c>
      <c r="W2695" s="259" t="s">
        <v>3029</v>
      </c>
      <c r="Y2695" s="259">
        <f t="shared" si="16"/>
        <v>1783</v>
      </c>
      <c r="AA2695" s="259" t="e">
        <v>#N/A</v>
      </c>
      <c r="AB2695" s="259"/>
      <c r="AC2695" s="259"/>
      <c r="AD2695" s="259"/>
      <c r="AE2695" s="259"/>
    </row>
    <row r="2696" spans="1:31">
      <c r="A2696" s="259">
        <v>90310042</v>
      </c>
      <c r="B2696" s="259" t="s">
        <v>116</v>
      </c>
      <c r="C2696" s="264" t="s">
        <v>2370</v>
      </c>
      <c r="D2696" s="264" t="s">
        <v>7968</v>
      </c>
      <c r="E2696" s="259" t="s">
        <v>7580</v>
      </c>
      <c r="G2696" s="259" t="s">
        <v>7357</v>
      </c>
      <c r="H2696" s="264" t="s">
        <v>7968</v>
      </c>
      <c r="I2696" s="264" t="s">
        <v>7968</v>
      </c>
      <c r="J2696" s="295">
        <v>6931.97</v>
      </c>
      <c r="K2696" s="295">
        <v>6931.97</v>
      </c>
      <c r="L2696" s="295" t="s">
        <v>7240</v>
      </c>
      <c r="O2696" s="266">
        <v>0</v>
      </c>
      <c r="P2696" s="266">
        <v>688705000701</v>
      </c>
      <c r="Q2696" s="266">
        <v>0</v>
      </c>
      <c r="R2696" s="265">
        <v>0</v>
      </c>
      <c r="S2696" s="265">
        <v>0</v>
      </c>
      <c r="V2696" s="265" t="s">
        <v>3028</v>
      </c>
      <c r="W2696" s="259" t="s">
        <v>3029</v>
      </c>
      <c r="Y2696" s="259">
        <f t="shared" si="16"/>
        <v>1784</v>
      </c>
      <c r="AA2696" s="259" t="e">
        <v>#N/A</v>
      </c>
      <c r="AB2696" s="259"/>
      <c r="AC2696" s="259"/>
      <c r="AD2696" s="259"/>
      <c r="AE2696" s="259"/>
    </row>
    <row r="2697" spans="1:31">
      <c r="A2697" s="259">
        <v>90310003</v>
      </c>
      <c r="B2697" s="259" t="s">
        <v>116</v>
      </c>
      <c r="C2697" s="264" t="s">
        <v>2370</v>
      </c>
      <c r="D2697" s="264" t="s">
        <v>7969</v>
      </c>
      <c r="E2697" s="259" t="s">
        <v>7580</v>
      </c>
      <c r="G2697" s="259" t="s">
        <v>7357</v>
      </c>
      <c r="H2697" s="264" t="s">
        <v>7969</v>
      </c>
      <c r="I2697" s="264" t="s">
        <v>7969</v>
      </c>
      <c r="J2697" s="295">
        <v>6931.97</v>
      </c>
      <c r="K2697" s="295">
        <v>6931.97</v>
      </c>
      <c r="L2697" s="295" t="s">
        <v>7240</v>
      </c>
      <c r="O2697" s="266">
        <v>0</v>
      </c>
      <c r="P2697" s="266">
        <v>688705001982</v>
      </c>
      <c r="Q2697" s="266">
        <v>0</v>
      </c>
      <c r="R2697" s="265">
        <v>0</v>
      </c>
      <c r="S2697" s="265">
        <v>0</v>
      </c>
      <c r="V2697" s="265" t="s">
        <v>3028</v>
      </c>
      <c r="W2697" s="259" t="s">
        <v>3029</v>
      </c>
      <c r="Y2697" s="259">
        <f t="shared" si="16"/>
        <v>1785</v>
      </c>
      <c r="AA2697" s="259" t="e">
        <v>#N/A</v>
      </c>
      <c r="AB2697" s="259"/>
      <c r="AC2697" s="259"/>
      <c r="AD2697" s="259"/>
      <c r="AE2697" s="259"/>
    </row>
    <row r="2698" spans="1:31">
      <c r="A2698" s="259">
        <v>90310050</v>
      </c>
      <c r="B2698" s="259" t="s">
        <v>116</v>
      </c>
      <c r="C2698" s="264" t="s">
        <v>2370</v>
      </c>
      <c r="D2698" s="264" t="s">
        <v>7970</v>
      </c>
      <c r="E2698" s="259" t="s">
        <v>7580</v>
      </c>
      <c r="G2698" s="259" t="s">
        <v>7357</v>
      </c>
      <c r="H2698" s="264" t="s">
        <v>7970</v>
      </c>
      <c r="I2698" s="264" t="s">
        <v>7970</v>
      </c>
      <c r="J2698" s="295">
        <v>6931.97</v>
      </c>
      <c r="K2698" s="295">
        <v>6931.97</v>
      </c>
      <c r="L2698" s="295" t="s">
        <v>7240</v>
      </c>
      <c r="O2698" s="266">
        <v>0</v>
      </c>
      <c r="P2698" s="266">
        <v>688705001760</v>
      </c>
      <c r="Q2698" s="266">
        <v>0</v>
      </c>
      <c r="R2698" s="265">
        <v>0</v>
      </c>
      <c r="S2698" s="265">
        <v>0</v>
      </c>
      <c r="V2698" s="265" t="s">
        <v>3028</v>
      </c>
      <c r="W2698" s="259" t="s">
        <v>3029</v>
      </c>
      <c r="Y2698" s="259">
        <f t="shared" si="16"/>
        <v>1786</v>
      </c>
      <c r="AA2698" s="259" t="e">
        <v>#N/A</v>
      </c>
      <c r="AB2698" s="259"/>
      <c r="AC2698" s="259"/>
      <c r="AD2698" s="259"/>
      <c r="AE2698" s="259"/>
    </row>
    <row r="2699" spans="1:31">
      <c r="A2699" s="259">
        <v>90310004</v>
      </c>
      <c r="B2699" s="259" t="s">
        <v>116</v>
      </c>
      <c r="C2699" s="264" t="s">
        <v>2370</v>
      </c>
      <c r="D2699" s="264" t="s">
        <v>7971</v>
      </c>
      <c r="E2699" s="259" t="s">
        <v>7580</v>
      </c>
      <c r="G2699" s="259" t="s">
        <v>7357</v>
      </c>
      <c r="H2699" s="264" t="s">
        <v>7971</v>
      </c>
      <c r="I2699" s="264" t="s">
        <v>7971</v>
      </c>
      <c r="J2699" s="295">
        <v>6931.97</v>
      </c>
      <c r="K2699" s="295">
        <v>6931.97</v>
      </c>
      <c r="L2699" s="295" t="s">
        <v>7240</v>
      </c>
      <c r="O2699" s="266">
        <v>0</v>
      </c>
      <c r="P2699" s="266">
        <v>688705001999</v>
      </c>
      <c r="Q2699" s="266">
        <v>0</v>
      </c>
      <c r="R2699" s="265">
        <v>0</v>
      </c>
      <c r="S2699" s="265">
        <v>0</v>
      </c>
      <c r="V2699" s="265" t="s">
        <v>3028</v>
      </c>
      <c r="W2699" s="259" t="s">
        <v>3029</v>
      </c>
      <c r="Y2699" s="259">
        <f t="shared" si="16"/>
        <v>1787</v>
      </c>
      <c r="AA2699" s="259" t="e">
        <v>#N/A</v>
      </c>
      <c r="AB2699" s="259"/>
      <c r="AC2699" s="259"/>
      <c r="AD2699" s="259"/>
      <c r="AE2699" s="259"/>
    </row>
    <row r="2700" spans="1:31">
      <c r="A2700" s="259">
        <v>90310049</v>
      </c>
      <c r="B2700" s="259" t="s">
        <v>116</v>
      </c>
      <c r="C2700" s="264" t="s">
        <v>2370</v>
      </c>
      <c r="D2700" s="264" t="s">
        <v>7972</v>
      </c>
      <c r="E2700" s="259" t="s">
        <v>7580</v>
      </c>
      <c r="G2700" s="259" t="s">
        <v>7357</v>
      </c>
      <c r="H2700" s="264" t="s">
        <v>7972</v>
      </c>
      <c r="I2700" s="264" t="s">
        <v>7972</v>
      </c>
      <c r="J2700" s="295">
        <v>6931.97</v>
      </c>
      <c r="K2700" s="295">
        <v>6931.97</v>
      </c>
      <c r="L2700" s="295" t="s">
        <v>7240</v>
      </c>
      <c r="O2700" s="266">
        <v>0</v>
      </c>
      <c r="P2700" s="266">
        <v>688705001814</v>
      </c>
      <c r="Q2700" s="266">
        <v>0</v>
      </c>
      <c r="R2700" s="265">
        <v>0</v>
      </c>
      <c r="S2700" s="265">
        <v>0</v>
      </c>
      <c r="V2700" s="265" t="s">
        <v>3028</v>
      </c>
      <c r="W2700" s="259" t="s">
        <v>3029</v>
      </c>
      <c r="Y2700" s="259">
        <f t="shared" si="16"/>
        <v>1788</v>
      </c>
      <c r="AA2700" s="259" t="e">
        <v>#N/A</v>
      </c>
      <c r="AB2700" s="259"/>
      <c r="AC2700" s="259"/>
      <c r="AD2700" s="259"/>
      <c r="AE2700" s="259"/>
    </row>
    <row r="2701" spans="1:31">
      <c r="A2701" s="259">
        <v>90310005</v>
      </c>
      <c r="B2701" s="259" t="s">
        <v>116</v>
      </c>
      <c r="C2701" s="264" t="s">
        <v>2370</v>
      </c>
      <c r="D2701" s="264" t="s">
        <v>7973</v>
      </c>
      <c r="E2701" s="259" t="s">
        <v>7580</v>
      </c>
      <c r="G2701" s="259" t="s">
        <v>7357</v>
      </c>
      <c r="H2701" s="264" t="s">
        <v>7973</v>
      </c>
      <c r="I2701" s="264" t="s">
        <v>7973</v>
      </c>
      <c r="J2701" s="295">
        <v>6931.97</v>
      </c>
      <c r="K2701" s="295">
        <v>6931.97</v>
      </c>
      <c r="L2701" s="295" t="s">
        <v>7240</v>
      </c>
      <c r="O2701" s="266">
        <v>0</v>
      </c>
      <c r="P2701" s="266">
        <v>688705002125</v>
      </c>
      <c r="Q2701" s="266">
        <v>0</v>
      </c>
      <c r="R2701" s="265">
        <v>0</v>
      </c>
      <c r="S2701" s="265">
        <v>0</v>
      </c>
      <c r="V2701" s="265" t="s">
        <v>3028</v>
      </c>
      <c r="W2701" s="259" t="s">
        <v>3029</v>
      </c>
      <c r="Y2701" s="259">
        <f t="shared" si="16"/>
        <v>1789</v>
      </c>
      <c r="AA2701" s="259" t="e">
        <v>#N/A</v>
      </c>
      <c r="AB2701" s="259"/>
      <c r="AC2701" s="259"/>
      <c r="AD2701" s="259"/>
      <c r="AE2701" s="259"/>
    </row>
    <row r="2702" spans="1:31">
      <c r="A2702" s="259" t="s">
        <v>2383</v>
      </c>
      <c r="B2702" s="259" t="s">
        <v>116</v>
      </c>
      <c r="C2702" s="264"/>
      <c r="D2702" s="264"/>
      <c r="H2702" s="264"/>
      <c r="I2702" s="264"/>
      <c r="J2702" s="295">
        <v>0</v>
      </c>
      <c r="K2702" s="295">
        <v>0</v>
      </c>
      <c r="L2702" s="295">
        <v>0</v>
      </c>
      <c r="O2702" s="266"/>
      <c r="R2702" s="265"/>
      <c r="V2702" s="265">
        <v>0</v>
      </c>
      <c r="Y2702" s="259">
        <f t="shared" si="16"/>
        <v>1790</v>
      </c>
      <c r="AA2702" s="259" t="e">
        <v>#N/A</v>
      </c>
      <c r="AB2702" s="259"/>
      <c r="AC2702" s="259"/>
      <c r="AD2702" s="259"/>
      <c r="AE2702" s="259"/>
    </row>
    <row r="2703" spans="1:31">
      <c r="A2703" s="259" t="s">
        <v>2383</v>
      </c>
      <c r="B2703" s="259" t="s">
        <v>116</v>
      </c>
      <c r="C2703" s="264"/>
      <c r="D2703" s="264"/>
      <c r="H2703" s="264"/>
      <c r="I2703" s="264"/>
      <c r="J2703" s="295">
        <v>0</v>
      </c>
      <c r="K2703" s="295">
        <v>0</v>
      </c>
      <c r="L2703" s="295">
        <v>0</v>
      </c>
      <c r="O2703" s="266"/>
      <c r="R2703" s="265"/>
      <c r="V2703" s="265">
        <v>0</v>
      </c>
      <c r="Y2703" s="259">
        <f t="shared" si="16"/>
        <v>1791</v>
      </c>
      <c r="AA2703" s="259" t="e">
        <v>#N/A</v>
      </c>
      <c r="AB2703" s="259"/>
      <c r="AC2703" s="259"/>
      <c r="AD2703" s="259"/>
      <c r="AE2703" s="259"/>
    </row>
    <row r="2704" spans="1:31">
      <c r="A2704" s="259">
        <v>90310045</v>
      </c>
      <c r="B2704" s="259" t="s">
        <v>116</v>
      </c>
      <c r="C2704" s="264" t="s">
        <v>2370</v>
      </c>
      <c r="D2704" s="264" t="s">
        <v>7974</v>
      </c>
      <c r="E2704" s="259" t="s">
        <v>7554</v>
      </c>
      <c r="G2704" s="259" t="s">
        <v>7357</v>
      </c>
      <c r="H2704" s="264" t="s">
        <v>7974</v>
      </c>
      <c r="I2704" s="264" t="s">
        <v>7974</v>
      </c>
      <c r="J2704" s="295">
        <v>8056.84</v>
      </c>
      <c r="K2704" s="295">
        <v>8056.84</v>
      </c>
      <c r="L2704" s="295" t="s">
        <v>7240</v>
      </c>
      <c r="O2704" s="266">
        <v>0</v>
      </c>
      <c r="P2704" s="266">
        <v>688705000688</v>
      </c>
      <c r="Q2704" s="266">
        <v>0</v>
      </c>
      <c r="R2704" s="265">
        <v>0</v>
      </c>
      <c r="S2704" s="265">
        <v>0</v>
      </c>
      <c r="V2704" s="265" t="s">
        <v>3028</v>
      </c>
      <c r="W2704" s="259" t="s">
        <v>3029</v>
      </c>
      <c r="Y2704" s="259">
        <f t="shared" si="16"/>
        <v>1792</v>
      </c>
      <c r="AA2704" s="259" t="e">
        <v>#N/A</v>
      </c>
      <c r="AB2704" s="259"/>
      <c r="AC2704" s="259"/>
      <c r="AD2704" s="259"/>
      <c r="AE2704" s="259"/>
    </row>
    <row r="2705" spans="1:31">
      <c r="A2705" s="259">
        <v>90310044</v>
      </c>
      <c r="B2705" s="259" t="s">
        <v>116</v>
      </c>
      <c r="C2705" s="264" t="s">
        <v>2370</v>
      </c>
      <c r="D2705" s="264" t="s">
        <v>7975</v>
      </c>
      <c r="E2705" s="259" t="s">
        <v>7554</v>
      </c>
      <c r="G2705" s="259" t="s">
        <v>7357</v>
      </c>
      <c r="H2705" s="264" t="s">
        <v>7975</v>
      </c>
      <c r="I2705" s="264" t="s">
        <v>7975</v>
      </c>
      <c r="J2705" s="295">
        <v>8056.84</v>
      </c>
      <c r="K2705" s="295">
        <v>8056.84</v>
      </c>
      <c r="L2705" s="295" t="s">
        <v>7240</v>
      </c>
      <c r="O2705" s="266">
        <v>0</v>
      </c>
      <c r="Q2705" s="266">
        <v>0</v>
      </c>
      <c r="R2705" s="265">
        <v>0</v>
      </c>
      <c r="S2705" s="265">
        <v>0</v>
      </c>
      <c r="V2705" s="265" t="s">
        <v>3028</v>
      </c>
      <c r="W2705" s="259" t="s">
        <v>3029</v>
      </c>
      <c r="Y2705" s="259">
        <f t="shared" si="16"/>
        <v>1793</v>
      </c>
      <c r="AA2705" s="259" t="e">
        <v>#N/A</v>
      </c>
      <c r="AB2705" s="259"/>
      <c r="AC2705" s="259"/>
      <c r="AD2705" s="259"/>
      <c r="AE2705" s="259"/>
    </row>
    <row r="2706" spans="1:31">
      <c r="A2706" s="259">
        <v>90310051</v>
      </c>
      <c r="B2706" s="259" t="s">
        <v>116</v>
      </c>
      <c r="C2706" s="264" t="s">
        <v>2370</v>
      </c>
      <c r="D2706" s="264" t="s">
        <v>7976</v>
      </c>
      <c r="E2706" s="259" t="s">
        <v>7554</v>
      </c>
      <c r="G2706" s="259" t="s">
        <v>7357</v>
      </c>
      <c r="H2706" s="264" t="s">
        <v>7976</v>
      </c>
      <c r="I2706" s="264" t="s">
        <v>7976</v>
      </c>
      <c r="J2706" s="295">
        <v>22844.37</v>
      </c>
      <c r="K2706" s="295">
        <v>22844.37</v>
      </c>
      <c r="L2706" s="295" t="s">
        <v>7240</v>
      </c>
      <c r="O2706" s="266">
        <v>0</v>
      </c>
      <c r="P2706" s="266">
        <v>5706681237791</v>
      </c>
      <c r="Q2706" s="266">
        <v>0</v>
      </c>
      <c r="R2706" s="265">
        <v>0</v>
      </c>
      <c r="S2706" s="265">
        <v>0</v>
      </c>
      <c r="V2706" s="265" t="s">
        <v>3028</v>
      </c>
      <c r="W2706" s="259" t="s">
        <v>3029</v>
      </c>
      <c r="Y2706" s="259">
        <f t="shared" si="16"/>
        <v>1794</v>
      </c>
      <c r="AA2706" s="259" t="e">
        <v>#N/A</v>
      </c>
      <c r="AB2706" s="259"/>
      <c r="AC2706" s="259"/>
      <c r="AD2706" s="259"/>
      <c r="AE2706" s="259"/>
    </row>
    <row r="2707" spans="1:31">
      <c r="A2707" s="259">
        <v>90310052</v>
      </c>
      <c r="B2707" s="259" t="s">
        <v>116</v>
      </c>
      <c r="C2707" s="264"/>
      <c r="D2707" s="264" t="s">
        <v>2715</v>
      </c>
      <c r="E2707" s="259" t="s">
        <v>7554</v>
      </c>
      <c r="G2707" s="259" t="s">
        <v>7357</v>
      </c>
      <c r="H2707" s="264" t="s">
        <v>2715</v>
      </c>
      <c r="I2707" s="264" t="s">
        <v>2715</v>
      </c>
      <c r="J2707" s="295">
        <v>22844.37</v>
      </c>
      <c r="K2707" s="295">
        <v>22844.37</v>
      </c>
      <c r="L2707" s="295" t="s">
        <v>7240</v>
      </c>
      <c r="O2707" s="266"/>
      <c r="P2707" s="266">
        <v>5706681237807</v>
      </c>
      <c r="R2707" s="265"/>
      <c r="V2707" s="265">
        <v>0</v>
      </c>
      <c r="Y2707" s="259">
        <f t="shared" si="16"/>
        <v>1795</v>
      </c>
      <c r="AA2707" s="259" t="e">
        <v>#N/A</v>
      </c>
      <c r="AB2707" s="259"/>
      <c r="AC2707" s="259"/>
      <c r="AD2707" s="259"/>
      <c r="AE2707" s="259"/>
    </row>
    <row r="2708" spans="1:31">
      <c r="A2708" s="259" t="s">
        <v>2384</v>
      </c>
      <c r="B2708" s="259" t="s">
        <v>116</v>
      </c>
      <c r="C2708" s="264" t="s">
        <v>2370</v>
      </c>
      <c r="D2708" s="264" t="s">
        <v>7977</v>
      </c>
      <c r="E2708" s="259" t="s">
        <v>7554</v>
      </c>
      <c r="G2708" s="259" t="s">
        <v>7424</v>
      </c>
      <c r="H2708" s="264" t="s">
        <v>2923</v>
      </c>
      <c r="I2708" s="264" t="s">
        <v>2923</v>
      </c>
      <c r="J2708" s="295">
        <v>3950</v>
      </c>
      <c r="K2708" s="295">
        <v>3950</v>
      </c>
      <c r="L2708" s="295" t="s">
        <v>7240</v>
      </c>
      <c r="O2708" s="266">
        <v>0</v>
      </c>
      <c r="P2708" s="266">
        <v>688705008639</v>
      </c>
      <c r="Q2708" s="266">
        <v>0</v>
      </c>
      <c r="R2708" s="265">
        <v>0</v>
      </c>
      <c r="S2708" s="265">
        <v>0</v>
      </c>
      <c r="V2708" s="265" t="s">
        <v>3028</v>
      </c>
      <c r="W2708" s="259" t="s">
        <v>3029</v>
      </c>
      <c r="Y2708" s="259">
        <f t="shared" si="16"/>
        <v>1796</v>
      </c>
      <c r="Z2708" s="259" t="s">
        <v>7487</v>
      </c>
      <c r="AA2708" s="259" t="e">
        <v>#N/A</v>
      </c>
      <c r="AB2708" s="259"/>
      <c r="AC2708" s="259"/>
      <c r="AD2708" s="259"/>
      <c r="AE2708" s="259"/>
    </row>
    <row r="2709" spans="1:31">
      <c r="A2709" s="259" t="s">
        <v>2386</v>
      </c>
      <c r="B2709" s="259" t="s">
        <v>124</v>
      </c>
      <c r="C2709" s="264" t="s">
        <v>7978</v>
      </c>
      <c r="D2709" s="264" t="s">
        <v>7979</v>
      </c>
      <c r="E2709" s="259" t="s">
        <v>7980</v>
      </c>
      <c r="H2709" s="264" t="s">
        <v>7981</v>
      </c>
      <c r="I2709" s="264" t="s">
        <v>7981</v>
      </c>
      <c r="J2709" s="295">
        <v>163.56</v>
      </c>
      <c r="K2709" s="295">
        <v>129</v>
      </c>
      <c r="L2709" s="295">
        <v>99.34</v>
      </c>
      <c r="O2709" s="266"/>
      <c r="P2709" s="266">
        <v>688705006642</v>
      </c>
      <c r="R2709" s="265">
        <v>25</v>
      </c>
      <c r="S2709" s="265">
        <v>19</v>
      </c>
      <c r="T2709" s="265">
        <v>18</v>
      </c>
      <c r="U2709" s="265">
        <v>19</v>
      </c>
      <c r="V2709" s="259" t="s">
        <v>5046</v>
      </c>
      <c r="W2709" s="259" t="s">
        <v>3029</v>
      </c>
      <c r="Y2709" s="259">
        <v>1</v>
      </c>
      <c r="Z2709" s="259" t="s">
        <v>3030</v>
      </c>
      <c r="AA2709" s="259"/>
      <c r="AB2709" s="259"/>
      <c r="AC2709" s="259"/>
      <c r="AD2709" s="259"/>
      <c r="AE2709" s="259"/>
    </row>
    <row r="2710" spans="1:31">
      <c r="A2710" s="259" t="s">
        <v>2387</v>
      </c>
      <c r="B2710" s="259" t="s">
        <v>124</v>
      </c>
      <c r="C2710" s="264" t="s">
        <v>7978</v>
      </c>
      <c r="D2710" s="264" t="s">
        <v>7982</v>
      </c>
      <c r="E2710" s="259" t="s">
        <v>7980</v>
      </c>
      <c r="H2710" s="264" t="s">
        <v>7983</v>
      </c>
      <c r="I2710" s="264" t="s">
        <v>7983</v>
      </c>
      <c r="J2710" s="295">
        <v>223.59</v>
      </c>
      <c r="K2710" s="295">
        <v>185</v>
      </c>
      <c r="L2710" s="295">
        <v>129.74</v>
      </c>
      <c r="O2710" s="266"/>
      <c r="P2710" s="266">
        <v>688705006659</v>
      </c>
      <c r="R2710" s="265">
        <v>3</v>
      </c>
      <c r="S2710" s="265">
        <v>11</v>
      </c>
      <c r="T2710" s="265">
        <v>10</v>
      </c>
      <c r="U2710" s="265">
        <v>11</v>
      </c>
      <c r="V2710" s="259" t="s">
        <v>5046</v>
      </c>
      <c r="W2710" s="259" t="s">
        <v>3029</v>
      </c>
      <c r="Y2710" s="259">
        <v>2</v>
      </c>
      <c r="Z2710" s="259" t="s">
        <v>3030</v>
      </c>
      <c r="AA2710" s="259"/>
      <c r="AB2710" s="259"/>
      <c r="AC2710" s="259"/>
      <c r="AD2710" s="259"/>
      <c r="AE2710" s="259"/>
    </row>
    <row r="2711" spans="1:31">
      <c r="A2711" s="259" t="s">
        <v>2388</v>
      </c>
      <c r="B2711" s="259" t="s">
        <v>124</v>
      </c>
      <c r="C2711" s="264" t="s">
        <v>7978</v>
      </c>
      <c r="D2711" s="264" t="s">
        <v>7984</v>
      </c>
      <c r="E2711" s="259" t="s">
        <v>7980</v>
      </c>
      <c r="H2711" s="264" t="s">
        <v>7985</v>
      </c>
      <c r="I2711" s="264" t="s">
        <v>7985</v>
      </c>
      <c r="J2711" s="295">
        <v>238.59</v>
      </c>
      <c r="K2711" s="295">
        <v>216</v>
      </c>
      <c r="L2711" s="295">
        <v>160.19999999999999</v>
      </c>
      <c r="O2711" s="266"/>
      <c r="P2711" s="266">
        <v>688705006666</v>
      </c>
      <c r="R2711" s="265">
        <v>5</v>
      </c>
      <c r="S2711" s="265">
        <v>12</v>
      </c>
      <c r="T2711" s="265">
        <v>13</v>
      </c>
      <c r="U2711" s="265">
        <v>12</v>
      </c>
      <c r="V2711" s="259" t="s">
        <v>5046</v>
      </c>
      <c r="W2711" s="259" t="s">
        <v>3061</v>
      </c>
      <c r="Y2711" s="259">
        <v>3</v>
      </c>
      <c r="Z2711" s="259" t="s">
        <v>3030</v>
      </c>
      <c r="AA2711" s="259"/>
      <c r="AB2711" s="259"/>
      <c r="AC2711" s="259"/>
      <c r="AD2711" s="259"/>
      <c r="AE2711" s="259"/>
    </row>
    <row r="2712" spans="1:31">
      <c r="A2712" s="259" t="s">
        <v>2389</v>
      </c>
      <c r="B2712" s="259" t="s">
        <v>124</v>
      </c>
      <c r="C2712" s="264" t="s">
        <v>126</v>
      </c>
      <c r="D2712" s="264" t="s">
        <v>2389</v>
      </c>
      <c r="E2712" s="259" t="s">
        <v>7980</v>
      </c>
      <c r="H2712" s="264" t="s">
        <v>7986</v>
      </c>
      <c r="I2712" s="264" t="s">
        <v>7987</v>
      </c>
      <c r="J2712" s="295">
        <v>382.54</v>
      </c>
      <c r="K2712" s="295">
        <v>305</v>
      </c>
      <c r="L2712" s="295">
        <v>232.11</v>
      </c>
      <c r="O2712" s="266"/>
      <c r="R2712" s="265">
        <v>11.2</v>
      </c>
      <c r="S2712" s="265">
        <v>18.5</v>
      </c>
      <c r="T2712" s="265">
        <v>15</v>
      </c>
      <c r="U2712" s="265">
        <v>8</v>
      </c>
      <c r="V2712" s="259" t="s">
        <v>3028</v>
      </c>
      <c r="W2712" s="259" t="s">
        <v>3029</v>
      </c>
      <c r="X2712" s="264" t="s">
        <v>7988</v>
      </c>
      <c r="Y2712" s="259">
        <v>4</v>
      </c>
      <c r="Z2712" s="259" t="s">
        <v>3227</v>
      </c>
      <c r="AA2712" s="259"/>
      <c r="AB2712" s="259"/>
      <c r="AC2712" s="259"/>
      <c r="AD2712" s="259"/>
      <c r="AE2712" s="259"/>
    </row>
    <row r="2713" spans="1:31">
      <c r="A2713" s="259" t="s">
        <v>2390</v>
      </c>
      <c r="B2713" s="259" t="s">
        <v>124</v>
      </c>
      <c r="C2713" s="264" t="s">
        <v>126</v>
      </c>
      <c r="D2713" s="264" t="s">
        <v>2390</v>
      </c>
      <c r="E2713" s="259" t="s">
        <v>7980</v>
      </c>
      <c r="H2713" s="264" t="s">
        <v>7989</v>
      </c>
      <c r="I2713" s="264" t="s">
        <v>7989</v>
      </c>
      <c r="J2713" s="295">
        <v>428.63</v>
      </c>
      <c r="K2713" s="295">
        <v>339</v>
      </c>
      <c r="L2713" s="295">
        <v>261.83</v>
      </c>
      <c r="O2713" s="266"/>
      <c r="R2713" s="265">
        <v>15.9</v>
      </c>
      <c r="S2713" s="265">
        <v>18.5</v>
      </c>
      <c r="T2713" s="265">
        <v>18</v>
      </c>
      <c r="U2713" s="265">
        <v>8</v>
      </c>
      <c r="V2713" s="259" t="s">
        <v>3028</v>
      </c>
      <c r="W2713" s="259" t="s">
        <v>3029</v>
      </c>
      <c r="X2713" s="264" t="s">
        <v>7988</v>
      </c>
      <c r="Y2713" s="259">
        <v>5</v>
      </c>
      <c r="Z2713" s="259" t="s">
        <v>3227</v>
      </c>
      <c r="AA2713" s="259"/>
      <c r="AB2713" s="259"/>
      <c r="AC2713" s="259"/>
      <c r="AD2713" s="259"/>
      <c r="AE2713" s="259"/>
    </row>
    <row r="2714" spans="1:31">
      <c r="A2714" s="259" t="s">
        <v>2391</v>
      </c>
      <c r="B2714" s="259" t="s">
        <v>124</v>
      </c>
      <c r="C2714" s="264" t="s">
        <v>126</v>
      </c>
      <c r="D2714" s="264" t="s">
        <v>2391</v>
      </c>
      <c r="E2714" s="259" t="s">
        <v>7980</v>
      </c>
      <c r="H2714" s="264" t="s">
        <v>7990</v>
      </c>
      <c r="I2714" s="264" t="s">
        <v>7990</v>
      </c>
      <c r="J2714" s="295">
        <v>503.91</v>
      </c>
      <c r="K2714" s="295">
        <v>455</v>
      </c>
      <c r="L2714" s="295">
        <v>344.23</v>
      </c>
      <c r="O2714" s="266"/>
      <c r="R2714" s="265">
        <v>21.1</v>
      </c>
      <c r="S2714" s="265">
        <v>18.5</v>
      </c>
      <c r="T2714" s="265">
        <v>8</v>
      </c>
      <c r="U2714" s="265">
        <v>18</v>
      </c>
      <c r="V2714" s="259" t="s">
        <v>3028</v>
      </c>
      <c r="W2714" s="259" t="s">
        <v>3029</v>
      </c>
      <c r="X2714" s="264" t="s">
        <v>7988</v>
      </c>
      <c r="Y2714" s="259">
        <v>6</v>
      </c>
      <c r="Z2714" s="259" t="s">
        <v>3227</v>
      </c>
      <c r="AA2714" s="259"/>
      <c r="AB2714" s="259"/>
      <c r="AC2714" s="259"/>
      <c r="AD2714" s="259"/>
      <c r="AE2714" s="259"/>
    </row>
    <row r="2715" spans="1:31">
      <c r="A2715" s="60" t="s">
        <v>8431</v>
      </c>
      <c r="B2715" s="60" t="s">
        <v>124</v>
      </c>
      <c r="C2715" s="45" t="s">
        <v>126</v>
      </c>
      <c r="D2715" s="45" t="s">
        <v>2389</v>
      </c>
      <c r="E2715" s="60" t="s">
        <v>7980</v>
      </c>
      <c r="F2715" s="60"/>
      <c r="G2715" s="60"/>
      <c r="H2715" s="45" t="s">
        <v>7986</v>
      </c>
      <c r="I2715" s="45" t="s">
        <v>7987</v>
      </c>
      <c r="J2715" s="296">
        <v>382.54</v>
      </c>
      <c r="K2715" s="296">
        <v>305</v>
      </c>
      <c r="L2715" s="296">
        <v>232.11</v>
      </c>
      <c r="M2715" s="296"/>
      <c r="N2715" s="296"/>
      <c r="O2715" s="47"/>
      <c r="P2715" s="47"/>
      <c r="Q2715" s="47"/>
      <c r="R2715" s="265">
        <v>11.2</v>
      </c>
      <c r="S2715" s="265">
        <v>18.5</v>
      </c>
      <c r="T2715" s="265">
        <v>15</v>
      </c>
      <c r="U2715" s="265">
        <v>8</v>
      </c>
      <c r="V2715" s="63" t="s">
        <v>5046</v>
      </c>
      <c r="W2715" s="60" t="s">
        <v>3061</v>
      </c>
      <c r="X2715" s="45" t="s">
        <v>7988</v>
      </c>
      <c r="Y2715" s="60">
        <v>7</v>
      </c>
      <c r="Z2715" s="60"/>
      <c r="AA2715" s="45"/>
      <c r="AB2715" s="299"/>
      <c r="AC2715" s="300"/>
      <c r="AD2715" s="259"/>
      <c r="AE2715" s="259"/>
    </row>
    <row r="2716" spans="1:31">
      <c r="A2716" s="60" t="s">
        <v>8432</v>
      </c>
      <c r="B2716" s="60" t="s">
        <v>124</v>
      </c>
      <c r="C2716" s="45" t="s">
        <v>126</v>
      </c>
      <c r="D2716" s="45" t="s">
        <v>2390</v>
      </c>
      <c r="E2716" s="60" t="s">
        <v>7980</v>
      </c>
      <c r="F2716" s="60"/>
      <c r="G2716" s="60"/>
      <c r="H2716" s="45" t="s">
        <v>7989</v>
      </c>
      <c r="I2716" s="45" t="s">
        <v>7989</v>
      </c>
      <c r="J2716" s="296">
        <v>428.63</v>
      </c>
      <c r="K2716" s="296">
        <v>339</v>
      </c>
      <c r="L2716" s="296">
        <v>261.83</v>
      </c>
      <c r="M2716" s="296"/>
      <c r="N2716" s="296"/>
      <c r="O2716" s="47"/>
      <c r="P2716" s="47"/>
      <c r="Q2716" s="47"/>
      <c r="R2716" s="265">
        <v>15.9</v>
      </c>
      <c r="S2716" s="265">
        <v>18.5</v>
      </c>
      <c r="T2716" s="265">
        <v>18</v>
      </c>
      <c r="U2716" s="265">
        <v>8</v>
      </c>
      <c r="V2716" s="63" t="s">
        <v>5046</v>
      </c>
      <c r="W2716" s="60" t="s">
        <v>3061</v>
      </c>
      <c r="X2716" s="45" t="s">
        <v>7988</v>
      </c>
      <c r="Y2716" s="60">
        <v>8</v>
      </c>
      <c r="Z2716" s="60"/>
      <c r="AA2716" s="45"/>
      <c r="AB2716" s="299"/>
      <c r="AC2716" s="300"/>
      <c r="AD2716" s="259"/>
      <c r="AE2716" s="259"/>
    </row>
    <row r="2717" spans="1:31">
      <c r="A2717" s="60" t="s">
        <v>8433</v>
      </c>
      <c r="B2717" s="60" t="s">
        <v>124</v>
      </c>
      <c r="C2717" s="45" t="s">
        <v>126</v>
      </c>
      <c r="D2717" s="45" t="s">
        <v>2391</v>
      </c>
      <c r="E2717" s="60" t="s">
        <v>7980</v>
      </c>
      <c r="F2717" s="60"/>
      <c r="G2717" s="60"/>
      <c r="H2717" s="45" t="s">
        <v>7990</v>
      </c>
      <c r="I2717" s="45" t="s">
        <v>7990</v>
      </c>
      <c r="J2717" s="296">
        <v>503.91</v>
      </c>
      <c r="K2717" s="296">
        <v>455</v>
      </c>
      <c r="L2717" s="296">
        <v>344.23</v>
      </c>
      <c r="M2717" s="296"/>
      <c r="N2717" s="296"/>
      <c r="O2717" s="47"/>
      <c r="P2717" s="47"/>
      <c r="Q2717" s="47"/>
      <c r="R2717" s="265">
        <v>21.1</v>
      </c>
      <c r="S2717" s="265">
        <v>18.5</v>
      </c>
      <c r="T2717" s="265">
        <v>8</v>
      </c>
      <c r="U2717" s="265">
        <v>18</v>
      </c>
      <c r="V2717" s="63" t="s">
        <v>5046</v>
      </c>
      <c r="W2717" s="60" t="s">
        <v>3061</v>
      </c>
      <c r="X2717" s="45" t="s">
        <v>7988</v>
      </c>
      <c r="Y2717" s="60">
        <v>9</v>
      </c>
      <c r="Z2717" s="60"/>
      <c r="AA2717" s="45"/>
      <c r="AB2717" s="299"/>
      <c r="AC2717" s="300"/>
      <c r="AD2717" s="259"/>
      <c r="AE2717" s="259"/>
    </row>
    <row r="2718" spans="1:31">
      <c r="A2718" s="259" t="s">
        <v>2395</v>
      </c>
      <c r="B2718" s="259" t="s">
        <v>124</v>
      </c>
      <c r="C2718" s="264" t="s">
        <v>129</v>
      </c>
      <c r="D2718" s="264" t="s">
        <v>2395</v>
      </c>
      <c r="E2718" s="259" t="s">
        <v>7980</v>
      </c>
      <c r="H2718" s="264" t="s">
        <v>2905</v>
      </c>
      <c r="I2718" s="264" t="s">
        <v>2905</v>
      </c>
      <c r="J2718" s="295">
        <v>552.21</v>
      </c>
      <c r="K2718" s="295">
        <v>525</v>
      </c>
      <c r="L2718" s="295">
        <v>398.56</v>
      </c>
      <c r="O2718" s="266"/>
      <c r="R2718" s="265">
        <v>15.9</v>
      </c>
      <c r="S2718" s="265">
        <v>18.5</v>
      </c>
      <c r="T2718" s="265">
        <v>17.5</v>
      </c>
      <c r="U2718" s="265">
        <v>17.5</v>
      </c>
      <c r="V2718" s="259" t="s">
        <v>3028</v>
      </c>
      <c r="W2718" s="259" t="s">
        <v>3029</v>
      </c>
      <c r="X2718" s="264" t="s">
        <v>8000</v>
      </c>
      <c r="Y2718" s="259">
        <v>10</v>
      </c>
      <c r="Z2718" s="259" t="s">
        <v>3227</v>
      </c>
      <c r="AA2718" s="259"/>
      <c r="AB2718" s="259"/>
      <c r="AC2718" s="259"/>
      <c r="AD2718" s="259"/>
      <c r="AE2718" s="259"/>
    </row>
    <row r="2719" spans="1:31">
      <c r="A2719" s="259" t="s">
        <v>2392</v>
      </c>
      <c r="B2719" s="259" t="s">
        <v>124</v>
      </c>
      <c r="C2719" s="264" t="s">
        <v>7991</v>
      </c>
      <c r="D2719" s="264" t="s">
        <v>2392</v>
      </c>
      <c r="E2719" s="259" t="s">
        <v>7992</v>
      </c>
      <c r="H2719" s="264" t="s">
        <v>7993</v>
      </c>
      <c r="I2719" s="264" t="s">
        <v>7994</v>
      </c>
      <c r="J2719" s="295">
        <v>47.93</v>
      </c>
      <c r="K2719" s="295">
        <v>47.93</v>
      </c>
      <c r="L2719" s="295">
        <v>29.41</v>
      </c>
      <c r="O2719" s="266"/>
      <c r="P2719" s="266">
        <v>688705000466</v>
      </c>
      <c r="R2719" s="265">
        <v>4</v>
      </c>
      <c r="S2719" s="265">
        <v>10</v>
      </c>
      <c r="T2719" s="265">
        <v>10</v>
      </c>
      <c r="U2719" s="265">
        <v>2</v>
      </c>
      <c r="V2719" s="259" t="s">
        <v>3028</v>
      </c>
      <c r="W2719" s="259" t="s">
        <v>3029</v>
      </c>
      <c r="X2719" s="264" t="s">
        <v>7995</v>
      </c>
      <c r="Y2719" s="259">
        <v>11</v>
      </c>
      <c r="Z2719" s="259" t="s">
        <v>3030</v>
      </c>
      <c r="AA2719" s="259"/>
      <c r="AB2719" s="259"/>
      <c r="AC2719" s="259"/>
      <c r="AD2719" s="259"/>
      <c r="AE2719" s="259"/>
    </row>
    <row r="2720" spans="1:31">
      <c r="A2720" s="259" t="s">
        <v>2393</v>
      </c>
      <c r="B2720" s="259" t="s">
        <v>124</v>
      </c>
      <c r="C2720" s="264" t="s">
        <v>7991</v>
      </c>
      <c r="D2720" s="264" t="s">
        <v>2393</v>
      </c>
      <c r="E2720" s="259" t="s">
        <v>7992</v>
      </c>
      <c r="H2720" s="264" t="s">
        <v>7993</v>
      </c>
      <c r="I2720" s="264" t="s">
        <v>7996</v>
      </c>
      <c r="J2720" s="295">
        <v>54.08</v>
      </c>
      <c r="K2720" s="295">
        <v>54.08</v>
      </c>
      <c r="L2720" s="295">
        <v>33.18</v>
      </c>
      <c r="O2720" s="266"/>
      <c r="P2720" s="266">
        <v>688705000473</v>
      </c>
      <c r="R2720" s="265">
        <v>3</v>
      </c>
      <c r="S2720" s="265">
        <v>10</v>
      </c>
      <c r="T2720" s="265">
        <v>16</v>
      </c>
      <c r="U2720" s="265">
        <v>16</v>
      </c>
      <c r="V2720" s="259" t="s">
        <v>3028</v>
      </c>
      <c r="W2720" s="259" t="s">
        <v>3029</v>
      </c>
      <c r="X2720" s="264" t="s">
        <v>7997</v>
      </c>
      <c r="Y2720" s="259">
        <v>12</v>
      </c>
      <c r="Z2720" s="259" t="s">
        <v>3030</v>
      </c>
      <c r="AA2720" s="259"/>
      <c r="AB2720" s="259"/>
      <c r="AC2720" s="259"/>
      <c r="AD2720" s="259"/>
      <c r="AE2720" s="259"/>
    </row>
    <row r="2721" spans="1:31">
      <c r="A2721" s="259" t="s">
        <v>8002</v>
      </c>
      <c r="B2721" s="259" t="s">
        <v>124</v>
      </c>
      <c r="C2721" s="264" t="s">
        <v>129</v>
      </c>
      <c r="D2721" s="264" t="s">
        <v>2397</v>
      </c>
      <c r="E2721" s="259" t="s">
        <v>7980</v>
      </c>
      <c r="H2721" s="264" t="s">
        <v>8001</v>
      </c>
      <c r="I2721" s="264" t="s">
        <v>8001</v>
      </c>
      <c r="J2721" s="295">
        <v>779</v>
      </c>
      <c r="K2721" s="295">
        <v>625</v>
      </c>
      <c r="L2721" s="295">
        <v>469.82</v>
      </c>
      <c r="O2721" s="266"/>
      <c r="R2721" s="265">
        <v>21.1</v>
      </c>
      <c r="S2721" s="265">
        <v>18.5</v>
      </c>
      <c r="T2721" s="265">
        <v>21</v>
      </c>
      <c r="U2721" s="265">
        <v>8</v>
      </c>
      <c r="V2721" s="259" t="s">
        <v>3028</v>
      </c>
      <c r="W2721" s="259" t="s">
        <v>3029</v>
      </c>
      <c r="X2721" s="264" t="s">
        <v>8000</v>
      </c>
      <c r="Y2721" s="259">
        <v>13</v>
      </c>
      <c r="Z2721" s="259" t="s">
        <v>3227</v>
      </c>
      <c r="AA2721" s="259"/>
      <c r="AB2721" s="259"/>
      <c r="AC2721" s="259"/>
      <c r="AD2721" s="259"/>
      <c r="AE2721" s="259"/>
    </row>
    <row r="2722" spans="1:31">
      <c r="A2722" s="259" t="s">
        <v>2394</v>
      </c>
      <c r="B2722" s="259" t="s">
        <v>124</v>
      </c>
      <c r="C2722" s="264" t="s">
        <v>7991</v>
      </c>
      <c r="D2722" s="264" t="s">
        <v>2394</v>
      </c>
      <c r="E2722" s="259" t="s">
        <v>7992</v>
      </c>
      <c r="H2722" s="264" t="s">
        <v>7993</v>
      </c>
      <c r="I2722" s="264" t="s">
        <v>7998</v>
      </c>
      <c r="J2722" s="295">
        <v>34.409999999999997</v>
      </c>
      <c r="K2722" s="295">
        <v>34.409999999999997</v>
      </c>
      <c r="L2722" s="295">
        <v>20.99</v>
      </c>
      <c r="O2722" s="266"/>
      <c r="P2722" s="266">
        <v>688705000541</v>
      </c>
      <c r="R2722" s="265">
        <v>2</v>
      </c>
      <c r="S2722" s="265">
        <v>10</v>
      </c>
      <c r="T2722" s="265">
        <v>16</v>
      </c>
      <c r="U2722" s="265">
        <v>16</v>
      </c>
      <c r="V2722" s="259" t="s">
        <v>3028</v>
      </c>
      <c r="W2722" s="259" t="s">
        <v>3029</v>
      </c>
      <c r="X2722" s="264" t="s">
        <v>7999</v>
      </c>
      <c r="Y2722" s="259">
        <v>14</v>
      </c>
      <c r="Z2722" s="259" t="s">
        <v>3030</v>
      </c>
      <c r="AA2722" s="259"/>
      <c r="AB2722" s="259"/>
      <c r="AC2722" s="259"/>
      <c r="AD2722" s="259"/>
      <c r="AE2722" s="259"/>
    </row>
    <row r="2723" spans="1:31">
      <c r="A2723" s="259" t="s">
        <v>2398</v>
      </c>
      <c r="B2723" s="259" t="s">
        <v>124</v>
      </c>
      <c r="C2723" s="264" t="s">
        <v>8003</v>
      </c>
      <c r="D2723" s="264" t="s">
        <v>2398</v>
      </c>
      <c r="E2723" s="259" t="s">
        <v>7980</v>
      </c>
      <c r="H2723" s="264" t="s">
        <v>8004</v>
      </c>
      <c r="I2723" s="264" t="s">
        <v>8004</v>
      </c>
      <c r="J2723" s="295">
        <v>1122.43</v>
      </c>
      <c r="K2723" s="295">
        <v>1069</v>
      </c>
      <c r="L2723" s="295">
        <v>790.3</v>
      </c>
      <c r="O2723" s="266"/>
      <c r="R2723" s="265">
        <v>24.3</v>
      </c>
      <c r="S2723" s="265">
        <v>24.8</v>
      </c>
      <c r="T2723" s="265">
        <v>23</v>
      </c>
      <c r="U2723" s="265">
        <v>11</v>
      </c>
      <c r="V2723" s="259" t="s">
        <v>3028</v>
      </c>
      <c r="W2723" s="259" t="s">
        <v>3029</v>
      </c>
      <c r="X2723" s="264" t="s">
        <v>8005</v>
      </c>
      <c r="Y2723" s="259">
        <v>15</v>
      </c>
      <c r="Z2723" s="259" t="s">
        <v>3030</v>
      </c>
      <c r="AA2723" s="259"/>
      <c r="AB2723" s="259"/>
      <c r="AC2723" s="259"/>
      <c r="AD2723" s="259"/>
      <c r="AE2723" s="259"/>
    </row>
    <row r="2724" spans="1:31">
      <c r="A2724" s="259">
        <v>5049551</v>
      </c>
      <c r="B2724" s="259" t="s">
        <v>124</v>
      </c>
      <c r="C2724" s="264" t="s">
        <v>133</v>
      </c>
      <c r="D2724" s="264">
        <v>5049551</v>
      </c>
      <c r="E2724" s="259" t="s">
        <v>7980</v>
      </c>
      <c r="H2724" s="264" t="s">
        <v>8006</v>
      </c>
      <c r="I2724" s="264" t="s">
        <v>8007</v>
      </c>
      <c r="J2724" s="295">
        <v>509.04</v>
      </c>
      <c r="K2724" s="295">
        <v>409</v>
      </c>
      <c r="L2724" s="295">
        <v>304.17</v>
      </c>
      <c r="O2724" s="266"/>
      <c r="P2724" s="266">
        <v>688705001111</v>
      </c>
      <c r="R2724" s="265">
        <v>13.25</v>
      </c>
      <c r="S2724" s="265">
        <v>19.29</v>
      </c>
      <c r="T2724" s="265">
        <v>14.96</v>
      </c>
      <c r="U2724" s="265">
        <v>8.27</v>
      </c>
      <c r="V2724" s="259" t="s">
        <v>3028</v>
      </c>
      <c r="X2724" s="264" t="s">
        <v>8008</v>
      </c>
      <c r="Y2724" s="259">
        <v>16</v>
      </c>
      <c r="AA2724" s="259"/>
      <c r="AB2724" s="259"/>
      <c r="AC2724" s="259"/>
      <c r="AD2724" s="259"/>
      <c r="AE2724" s="259"/>
    </row>
    <row r="2725" spans="1:31">
      <c r="A2725" s="259">
        <v>5065069</v>
      </c>
      <c r="B2725" s="259" t="s">
        <v>124</v>
      </c>
      <c r="C2725" s="264" t="s">
        <v>8009</v>
      </c>
      <c r="D2725" s="264">
        <v>5065069</v>
      </c>
      <c r="E2725" s="259">
        <v>82300300</v>
      </c>
      <c r="H2725" s="264" t="s">
        <v>8010</v>
      </c>
      <c r="I2725" s="264" t="s">
        <v>8010</v>
      </c>
      <c r="J2725" s="295">
        <v>36.01</v>
      </c>
      <c r="K2725" s="295">
        <v>30</v>
      </c>
      <c r="L2725" s="295">
        <v>25.78</v>
      </c>
      <c r="O2725" s="266"/>
      <c r="R2725" s="265"/>
      <c r="V2725" s="259" t="s">
        <v>3028</v>
      </c>
      <c r="Y2725" s="259">
        <v>17</v>
      </c>
      <c r="AA2725" s="259"/>
      <c r="AB2725" s="259"/>
      <c r="AC2725" s="259"/>
      <c r="AD2725" s="259"/>
      <c r="AE2725" s="259"/>
    </row>
    <row r="2726" spans="1:31">
      <c r="A2726" s="259">
        <v>5049555</v>
      </c>
      <c r="B2726" s="259" t="s">
        <v>124</v>
      </c>
      <c r="C2726" s="264" t="s">
        <v>133</v>
      </c>
      <c r="D2726" s="264">
        <v>5049555</v>
      </c>
      <c r="E2726" s="259" t="s">
        <v>7980</v>
      </c>
      <c r="H2726" s="264" t="s">
        <v>8011</v>
      </c>
      <c r="I2726" s="264" t="s">
        <v>8012</v>
      </c>
      <c r="J2726" s="295">
        <v>598.39</v>
      </c>
      <c r="K2726" s="295">
        <v>479</v>
      </c>
      <c r="L2726" s="295">
        <v>351.01</v>
      </c>
      <c r="O2726" s="266"/>
      <c r="P2726" s="266">
        <v>688705001142</v>
      </c>
      <c r="R2726" s="265">
        <v>15.27</v>
      </c>
      <c r="S2726" s="265">
        <v>19.29</v>
      </c>
      <c r="T2726" s="265">
        <v>17.91</v>
      </c>
      <c r="U2726" s="265">
        <v>8.27</v>
      </c>
      <c r="V2726" s="259" t="s">
        <v>3028</v>
      </c>
      <c r="X2726" s="264" t="s">
        <v>8013</v>
      </c>
      <c r="Y2726" s="259">
        <v>18</v>
      </c>
      <c r="AA2726" s="259"/>
      <c r="AB2726" s="259"/>
      <c r="AC2726" s="259"/>
      <c r="AD2726" s="259"/>
      <c r="AE2726" s="259"/>
    </row>
    <row r="2727" spans="1:31">
      <c r="A2727" s="259">
        <v>5065070</v>
      </c>
      <c r="B2727" s="259" t="s">
        <v>124</v>
      </c>
      <c r="C2727" s="264" t="s">
        <v>8009</v>
      </c>
      <c r="D2727" s="264">
        <v>5065070</v>
      </c>
      <c r="E2727" s="259">
        <v>20110000</v>
      </c>
      <c r="H2727" s="264" t="s">
        <v>8014</v>
      </c>
      <c r="I2727" s="264" t="s">
        <v>8014</v>
      </c>
      <c r="J2727" s="295">
        <v>43.22</v>
      </c>
      <c r="K2727" s="295">
        <v>37</v>
      </c>
      <c r="L2727" s="295">
        <v>31.16</v>
      </c>
      <c r="O2727" s="266"/>
      <c r="R2727" s="265"/>
      <c r="V2727" s="259" t="s">
        <v>3028</v>
      </c>
      <c r="Y2727" s="259">
        <v>19</v>
      </c>
      <c r="AA2727" s="259"/>
      <c r="AB2727" s="259"/>
      <c r="AC2727" s="259"/>
      <c r="AD2727" s="259"/>
      <c r="AE2727" s="259"/>
    </row>
    <row r="2728" spans="1:31">
      <c r="A2728" s="259">
        <v>5065068</v>
      </c>
      <c r="B2728" s="259" t="s">
        <v>124</v>
      </c>
      <c r="C2728" s="264" t="s">
        <v>8015</v>
      </c>
      <c r="D2728" s="264">
        <v>5065068</v>
      </c>
      <c r="E2728" s="259">
        <v>20110000</v>
      </c>
      <c r="H2728" s="264" t="s">
        <v>8016</v>
      </c>
      <c r="I2728" s="264" t="s">
        <v>8016</v>
      </c>
      <c r="J2728" s="295">
        <v>43.22</v>
      </c>
      <c r="K2728" s="295">
        <v>37</v>
      </c>
      <c r="L2728" s="295">
        <v>31.16</v>
      </c>
      <c r="O2728" s="266"/>
      <c r="R2728" s="265"/>
      <c r="V2728" s="259" t="s">
        <v>3028</v>
      </c>
      <c r="Y2728" s="259">
        <v>20</v>
      </c>
      <c r="AA2728" s="259"/>
      <c r="AB2728" s="259"/>
      <c r="AC2728" s="259"/>
      <c r="AD2728" s="259"/>
      <c r="AE2728" s="259"/>
    </row>
    <row r="2729" spans="1:31">
      <c r="A2729" s="259">
        <v>5049559</v>
      </c>
      <c r="B2729" s="259" t="s">
        <v>124</v>
      </c>
      <c r="C2729" s="264" t="s">
        <v>133</v>
      </c>
      <c r="D2729" s="264">
        <v>5049559</v>
      </c>
      <c r="E2729" s="259" t="s">
        <v>7980</v>
      </c>
      <c r="H2729" s="264" t="s">
        <v>8017</v>
      </c>
      <c r="I2729" s="264" t="s">
        <v>8018</v>
      </c>
      <c r="J2729" s="295">
        <v>1004.22</v>
      </c>
      <c r="K2729" s="295">
        <v>805</v>
      </c>
      <c r="L2729" s="295">
        <v>604.29</v>
      </c>
      <c r="O2729" s="266"/>
      <c r="P2729" s="266">
        <v>688705001173</v>
      </c>
      <c r="R2729" s="265">
        <v>23.77</v>
      </c>
      <c r="S2729" s="265">
        <v>24.8</v>
      </c>
      <c r="T2729" s="265">
        <v>23.43</v>
      </c>
      <c r="U2729" s="265">
        <v>8.27</v>
      </c>
      <c r="V2729" s="259" t="s">
        <v>3028</v>
      </c>
      <c r="X2729" s="264" t="s">
        <v>8019</v>
      </c>
      <c r="Y2729" s="259">
        <v>21</v>
      </c>
      <c r="AA2729" s="259"/>
      <c r="AB2729" s="259"/>
      <c r="AC2729" s="259"/>
      <c r="AD2729" s="259"/>
      <c r="AE2729" s="259"/>
    </row>
    <row r="2730" spans="1:31">
      <c r="A2730" s="259">
        <v>5049562</v>
      </c>
      <c r="B2730" s="259" t="s">
        <v>124</v>
      </c>
      <c r="C2730" s="264" t="s">
        <v>133</v>
      </c>
      <c r="D2730" s="264">
        <v>5049562</v>
      </c>
      <c r="E2730" s="259" t="s">
        <v>7980</v>
      </c>
      <c r="H2730" s="264" t="s">
        <v>8020</v>
      </c>
      <c r="I2730" s="264" t="s">
        <v>8020</v>
      </c>
      <c r="J2730" s="295">
        <v>1199.31</v>
      </c>
      <c r="K2730" s="295">
        <v>959</v>
      </c>
      <c r="L2730" s="295">
        <v>717.85</v>
      </c>
      <c r="O2730" s="266"/>
      <c r="P2730" s="266">
        <v>688705001210</v>
      </c>
      <c r="R2730" s="265">
        <v>30.3</v>
      </c>
      <c r="S2730" s="265">
        <v>24.8</v>
      </c>
      <c r="T2730" s="265">
        <v>29.53</v>
      </c>
      <c r="U2730" s="265">
        <v>8.27</v>
      </c>
      <c r="V2730" s="259" t="s">
        <v>3028</v>
      </c>
      <c r="X2730" s="264" t="s">
        <v>8021</v>
      </c>
      <c r="Y2730" s="259">
        <v>22</v>
      </c>
      <c r="AA2730" s="259"/>
      <c r="AB2730" s="259"/>
      <c r="AC2730" s="259"/>
      <c r="AD2730" s="259"/>
      <c r="AE2730" s="259"/>
    </row>
    <row r="2731" spans="1:31">
      <c r="A2731" s="259">
        <v>5049557</v>
      </c>
      <c r="B2731" s="259" t="s">
        <v>124</v>
      </c>
      <c r="C2731" s="264" t="s">
        <v>136</v>
      </c>
      <c r="D2731" s="264">
        <v>5049557</v>
      </c>
      <c r="E2731" s="259" t="s">
        <v>7980</v>
      </c>
      <c r="H2731" s="264" t="s">
        <v>8022</v>
      </c>
      <c r="I2731" s="264" t="s">
        <v>8022</v>
      </c>
      <c r="J2731" s="295">
        <v>748.46</v>
      </c>
      <c r="K2731" s="295">
        <v>605</v>
      </c>
      <c r="L2731" s="295">
        <v>450.17</v>
      </c>
      <c r="O2731" s="266"/>
      <c r="P2731" s="266">
        <v>688705001159</v>
      </c>
      <c r="R2731" s="265">
        <v>15.7</v>
      </c>
      <c r="S2731" s="265">
        <v>19.29</v>
      </c>
      <c r="T2731" s="265">
        <v>17.91</v>
      </c>
      <c r="U2731" s="265">
        <v>8.27</v>
      </c>
      <c r="V2731" s="259" t="s">
        <v>3028</v>
      </c>
      <c r="X2731" s="264" t="s">
        <v>8023</v>
      </c>
      <c r="Y2731" s="259">
        <v>23</v>
      </c>
      <c r="AA2731" s="259"/>
      <c r="AB2731" s="259"/>
      <c r="AC2731" s="259"/>
      <c r="AD2731" s="259"/>
      <c r="AE2731" s="259"/>
    </row>
    <row r="2732" spans="1:31">
      <c r="A2732" s="259">
        <v>5049563</v>
      </c>
      <c r="B2732" s="259" t="s">
        <v>124</v>
      </c>
      <c r="C2732" s="264" t="s">
        <v>136</v>
      </c>
      <c r="D2732" s="264">
        <v>5049563</v>
      </c>
      <c r="E2732" s="259" t="s">
        <v>7980</v>
      </c>
      <c r="H2732" s="264" t="s">
        <v>8024</v>
      </c>
      <c r="I2732" s="264" t="s">
        <v>8024</v>
      </c>
      <c r="J2732" s="295">
        <v>1349.36</v>
      </c>
      <c r="K2732" s="295">
        <v>1089</v>
      </c>
      <c r="L2732" s="295">
        <v>801.04</v>
      </c>
      <c r="O2732" s="266"/>
      <c r="P2732" s="266">
        <v>688705001203</v>
      </c>
      <c r="R2732" s="265">
        <v>30.9</v>
      </c>
      <c r="S2732" s="265">
        <v>24.8</v>
      </c>
      <c r="T2732" s="265">
        <v>29.52</v>
      </c>
      <c r="U2732" s="265">
        <v>8.27</v>
      </c>
      <c r="V2732" s="259" t="s">
        <v>3028</v>
      </c>
      <c r="X2732" s="264" t="s">
        <v>8025</v>
      </c>
      <c r="Y2732" s="259">
        <v>24</v>
      </c>
      <c r="AA2732" s="259"/>
      <c r="AB2732" s="259"/>
      <c r="AC2732" s="259"/>
      <c r="AD2732" s="259"/>
      <c r="AE2732" s="259"/>
    </row>
    <row r="2733" spans="1:31">
      <c r="A2733" s="259" t="s">
        <v>2399</v>
      </c>
      <c r="B2733" s="259" t="s">
        <v>124</v>
      </c>
      <c r="C2733" s="264" t="s">
        <v>8027</v>
      </c>
      <c r="D2733" s="264" t="s">
        <v>2399</v>
      </c>
      <c r="E2733" s="259" t="s">
        <v>8028</v>
      </c>
      <c r="H2733" s="264" t="s">
        <v>8029</v>
      </c>
      <c r="I2733" s="264" t="s">
        <v>8029</v>
      </c>
      <c r="J2733" s="295">
        <v>1349.32</v>
      </c>
      <c r="K2733" s="295">
        <v>1329</v>
      </c>
      <c r="L2733" s="295">
        <v>984.72</v>
      </c>
      <c r="O2733" s="266"/>
      <c r="P2733" s="266">
        <v>688705008998</v>
      </c>
      <c r="R2733" s="265">
        <v>39.700000000000003</v>
      </c>
      <c r="S2733" s="265">
        <v>26</v>
      </c>
      <c r="T2733" s="265">
        <v>25</v>
      </c>
      <c r="U2733" s="265">
        <v>12</v>
      </c>
      <c r="V2733" s="259" t="s">
        <v>3028</v>
      </c>
      <c r="W2733" s="259" t="s">
        <v>3029</v>
      </c>
      <c r="X2733" s="264" t="s">
        <v>8030</v>
      </c>
      <c r="Y2733" s="259">
        <v>25</v>
      </c>
      <c r="Z2733" s="259" t="s">
        <v>3030</v>
      </c>
      <c r="AA2733" s="259"/>
      <c r="AB2733" s="259"/>
      <c r="AC2733" s="259"/>
      <c r="AD2733" s="259"/>
      <c r="AE2733" s="259"/>
    </row>
    <row r="2734" spans="1:31">
      <c r="A2734" s="259" t="s">
        <v>2400</v>
      </c>
      <c r="B2734" s="259" t="s">
        <v>124</v>
      </c>
      <c r="C2734" s="264" t="s">
        <v>8027</v>
      </c>
      <c r="D2734" s="264" t="s">
        <v>2400</v>
      </c>
      <c r="E2734" s="259" t="s">
        <v>8028</v>
      </c>
      <c r="H2734" s="264" t="s">
        <v>8031</v>
      </c>
      <c r="I2734" s="264" t="s">
        <v>8031</v>
      </c>
      <c r="J2734" s="295">
        <v>1799.5</v>
      </c>
      <c r="K2734" s="295">
        <v>1769</v>
      </c>
      <c r="L2734" s="295">
        <v>1306.6099999999999</v>
      </c>
      <c r="O2734" s="266"/>
      <c r="P2734" s="266">
        <v>688705009001</v>
      </c>
      <c r="R2734" s="265">
        <v>49.4</v>
      </c>
      <c r="S2734" s="265">
        <v>29.1</v>
      </c>
      <c r="T2734" s="265">
        <v>37</v>
      </c>
      <c r="U2734" s="265">
        <v>13</v>
      </c>
      <c r="V2734" s="259" t="s">
        <v>3028</v>
      </c>
      <c r="W2734" s="259" t="s">
        <v>3029</v>
      </c>
      <c r="X2734" s="264" t="s">
        <v>8030</v>
      </c>
      <c r="Y2734" s="259">
        <v>26</v>
      </c>
      <c r="Z2734" s="259" t="s">
        <v>3030</v>
      </c>
      <c r="AA2734" s="259"/>
      <c r="AB2734" s="259"/>
      <c r="AC2734" s="259"/>
      <c r="AD2734" s="259"/>
      <c r="AE2734" s="259"/>
    </row>
    <row r="2735" spans="1:31">
      <c r="A2735" s="259" t="s">
        <v>2401</v>
      </c>
      <c r="B2735" s="259" t="s">
        <v>124</v>
      </c>
      <c r="C2735" s="264" t="s">
        <v>8027</v>
      </c>
      <c r="D2735" s="264" t="s">
        <v>2401</v>
      </c>
      <c r="E2735" s="259" t="s">
        <v>8028</v>
      </c>
      <c r="H2735" s="264" t="s">
        <v>8032</v>
      </c>
      <c r="I2735" s="264" t="s">
        <v>8032</v>
      </c>
      <c r="J2735" s="295">
        <v>2099.61</v>
      </c>
      <c r="K2735" s="295">
        <v>2079</v>
      </c>
      <c r="L2735" s="295">
        <v>1534.87</v>
      </c>
      <c r="O2735" s="266"/>
      <c r="P2735" s="266">
        <v>688705009018</v>
      </c>
      <c r="R2735" s="265">
        <v>62.2</v>
      </c>
      <c r="S2735" s="265">
        <v>37</v>
      </c>
      <c r="T2735" s="265">
        <v>25</v>
      </c>
      <c r="U2735" s="265">
        <v>12</v>
      </c>
      <c r="V2735" s="259" t="s">
        <v>3028</v>
      </c>
      <c r="W2735" s="259" t="s">
        <v>3029</v>
      </c>
      <c r="X2735" s="264" t="s">
        <v>8030</v>
      </c>
      <c r="Y2735" s="259">
        <v>27</v>
      </c>
      <c r="Z2735" s="259" t="s">
        <v>3030</v>
      </c>
      <c r="AA2735" s="259"/>
      <c r="AB2735" s="259"/>
      <c r="AC2735" s="259"/>
      <c r="AD2735" s="259"/>
      <c r="AE2735" s="259"/>
    </row>
    <row r="2736" spans="1:31">
      <c r="A2736" s="259" t="s">
        <v>2402</v>
      </c>
      <c r="B2736" s="259" t="s">
        <v>124</v>
      </c>
      <c r="C2736" s="264" t="s">
        <v>8033</v>
      </c>
      <c r="D2736" s="264" t="s">
        <v>2402</v>
      </c>
      <c r="E2736" s="259">
        <v>10690000</v>
      </c>
      <c r="H2736" s="264" t="s">
        <v>8034</v>
      </c>
      <c r="I2736" s="264" t="s">
        <v>8034</v>
      </c>
      <c r="J2736" s="295">
        <v>66.03</v>
      </c>
      <c r="K2736" s="295">
        <v>66.03</v>
      </c>
      <c r="L2736" s="295">
        <v>40.409999999999997</v>
      </c>
      <c r="O2736" s="266"/>
      <c r="P2736" s="266">
        <v>688705000510</v>
      </c>
      <c r="R2736" s="265">
        <v>2</v>
      </c>
      <c r="S2736" s="265">
        <v>10</v>
      </c>
      <c r="T2736" s="265">
        <v>10</v>
      </c>
      <c r="U2736" s="265">
        <v>10</v>
      </c>
      <c r="V2736" s="259"/>
      <c r="W2736" s="259" t="s">
        <v>3029</v>
      </c>
      <c r="Y2736" s="259">
        <v>28</v>
      </c>
      <c r="AA2736" s="259"/>
      <c r="AB2736" s="259"/>
      <c r="AC2736" s="259"/>
      <c r="AD2736" s="259"/>
      <c r="AE2736" s="259"/>
    </row>
    <row r="2737" spans="1:31">
      <c r="A2737" s="259" t="s">
        <v>2403</v>
      </c>
      <c r="B2737" s="259" t="s">
        <v>124</v>
      </c>
      <c r="C2737" s="264" t="s">
        <v>8033</v>
      </c>
      <c r="D2737" s="264" t="s">
        <v>2403</v>
      </c>
      <c r="E2737" s="259">
        <v>10690000</v>
      </c>
      <c r="H2737" s="264" t="s">
        <v>8035</v>
      </c>
      <c r="I2737" s="264" t="s">
        <v>8035</v>
      </c>
      <c r="J2737" s="295">
        <v>72.03</v>
      </c>
      <c r="K2737" s="295">
        <v>72</v>
      </c>
      <c r="L2737" s="295">
        <v>44.08</v>
      </c>
      <c r="O2737" s="266"/>
      <c r="P2737" s="266">
        <v>688705000527</v>
      </c>
      <c r="R2737" s="265">
        <v>2</v>
      </c>
      <c r="S2737" s="265">
        <v>10</v>
      </c>
      <c r="T2737" s="265">
        <v>10</v>
      </c>
      <c r="U2737" s="265">
        <v>10</v>
      </c>
      <c r="V2737" s="259"/>
      <c r="W2737" s="259" t="s">
        <v>3029</v>
      </c>
      <c r="Y2737" s="259">
        <v>29</v>
      </c>
      <c r="Z2737" s="259" t="s">
        <v>3030</v>
      </c>
      <c r="AA2737" s="259"/>
      <c r="AB2737" s="259"/>
      <c r="AC2737" s="259"/>
      <c r="AD2737" s="259"/>
      <c r="AE2737" s="259"/>
    </row>
    <row r="2738" spans="1:31">
      <c r="A2738" s="259" t="s">
        <v>2404</v>
      </c>
      <c r="B2738" s="259" t="s">
        <v>124</v>
      </c>
      <c r="C2738" s="264" t="s">
        <v>8033</v>
      </c>
      <c r="D2738" s="264" t="s">
        <v>2404</v>
      </c>
      <c r="E2738" s="259">
        <v>10690000</v>
      </c>
      <c r="H2738" s="264" t="s">
        <v>8036</v>
      </c>
      <c r="I2738" s="264" t="s">
        <v>8036</v>
      </c>
      <c r="J2738" s="295">
        <v>78.03</v>
      </c>
      <c r="K2738" s="295">
        <v>78.03</v>
      </c>
      <c r="L2738" s="295">
        <v>47.75</v>
      </c>
      <c r="O2738" s="266"/>
      <c r="P2738" s="266">
        <v>688705000534</v>
      </c>
      <c r="R2738" s="265">
        <v>2</v>
      </c>
      <c r="S2738" s="265">
        <v>10</v>
      </c>
      <c r="T2738" s="265">
        <v>10</v>
      </c>
      <c r="U2738" s="265">
        <v>10</v>
      </c>
      <c r="V2738" s="259"/>
      <c r="W2738" s="259" t="s">
        <v>3029</v>
      </c>
      <c r="Y2738" s="259">
        <v>30</v>
      </c>
      <c r="Z2738" s="259" t="s">
        <v>3030</v>
      </c>
      <c r="AA2738" s="259"/>
      <c r="AB2738" s="259"/>
      <c r="AC2738" s="259"/>
      <c r="AD2738" s="259"/>
      <c r="AE2738" s="259"/>
    </row>
    <row r="2739" spans="1:31">
      <c r="A2739" s="259" t="s">
        <v>2405</v>
      </c>
      <c r="B2739" s="259" t="s">
        <v>124</v>
      </c>
      <c r="C2739" s="264" t="s">
        <v>127</v>
      </c>
      <c r="D2739" s="264" t="s">
        <v>2405</v>
      </c>
      <c r="E2739" s="259" t="s">
        <v>8028</v>
      </c>
      <c r="H2739" s="264" t="s">
        <v>8037</v>
      </c>
      <c r="I2739" s="264" t="s">
        <v>8037</v>
      </c>
      <c r="J2739" s="295">
        <v>1499.38</v>
      </c>
      <c r="K2739" s="295">
        <v>1417</v>
      </c>
      <c r="L2739" s="295">
        <v>1049.5999999999999</v>
      </c>
      <c r="O2739" s="266"/>
      <c r="P2739" s="266">
        <v>688705008936</v>
      </c>
      <c r="R2739" s="265">
        <v>35.299999999999997</v>
      </c>
      <c r="S2739" s="265">
        <v>26.4</v>
      </c>
      <c r="T2739" s="265">
        <v>27</v>
      </c>
      <c r="U2739" s="265">
        <v>12</v>
      </c>
      <c r="V2739" s="259" t="s">
        <v>3028</v>
      </c>
      <c r="W2739" s="259" t="s">
        <v>3029</v>
      </c>
      <c r="X2739" s="264" t="s">
        <v>8038</v>
      </c>
      <c r="Y2739" s="259">
        <v>31</v>
      </c>
      <c r="Z2739" s="259" t="s">
        <v>3030</v>
      </c>
      <c r="AA2739" s="259"/>
      <c r="AB2739" s="259"/>
      <c r="AC2739" s="259"/>
      <c r="AD2739" s="259"/>
      <c r="AE2739" s="259"/>
    </row>
    <row r="2740" spans="1:31">
      <c r="A2740" s="259" t="s">
        <v>2406</v>
      </c>
      <c r="B2740" s="259" t="s">
        <v>124</v>
      </c>
      <c r="C2740" s="264" t="s">
        <v>127</v>
      </c>
      <c r="D2740" s="264" t="s">
        <v>2406</v>
      </c>
      <c r="E2740" s="259" t="s">
        <v>8028</v>
      </c>
      <c r="H2740" s="264" t="s">
        <v>8039</v>
      </c>
      <c r="I2740" s="264" t="s">
        <v>8039</v>
      </c>
      <c r="J2740" s="295">
        <v>1780.05</v>
      </c>
      <c r="K2740" s="295">
        <v>1425</v>
      </c>
      <c r="L2740" s="295">
        <v>1053.3</v>
      </c>
      <c r="O2740" s="266"/>
      <c r="P2740" s="266">
        <v>688705008943</v>
      </c>
      <c r="R2740" s="265">
        <v>35.700000000000003</v>
      </c>
      <c r="S2740" s="265">
        <v>26.4</v>
      </c>
      <c r="T2740" s="265">
        <v>27</v>
      </c>
      <c r="U2740" s="265">
        <v>13</v>
      </c>
      <c r="V2740" s="259" t="s">
        <v>3028</v>
      </c>
      <c r="W2740" s="259" t="s">
        <v>3029</v>
      </c>
      <c r="X2740" s="264" t="s">
        <v>8038</v>
      </c>
      <c r="Y2740" s="259">
        <v>32</v>
      </c>
      <c r="Z2740" s="259" t="s">
        <v>3030</v>
      </c>
      <c r="AA2740" s="259"/>
      <c r="AB2740" s="259"/>
      <c r="AC2740" s="259"/>
      <c r="AD2740" s="259"/>
      <c r="AE2740" s="259"/>
    </row>
    <row r="2741" spans="1:31">
      <c r="A2741" s="259" t="s">
        <v>2407</v>
      </c>
      <c r="B2741" s="259" t="s">
        <v>124</v>
      </c>
      <c r="C2741" s="264" t="s">
        <v>127</v>
      </c>
      <c r="D2741" s="264" t="s">
        <v>2407</v>
      </c>
      <c r="E2741" s="259" t="s">
        <v>8028</v>
      </c>
      <c r="H2741" s="264" t="s">
        <v>8040</v>
      </c>
      <c r="I2741" s="264" t="s">
        <v>8040</v>
      </c>
      <c r="J2741" s="295">
        <v>1681.73</v>
      </c>
      <c r="K2741" s="295">
        <v>1681.73</v>
      </c>
      <c r="L2741" s="295">
        <v>1242.2</v>
      </c>
      <c r="O2741" s="266"/>
      <c r="P2741" s="266">
        <v>688705008912</v>
      </c>
      <c r="R2741" s="265">
        <v>57.3</v>
      </c>
      <c r="S2741" s="265">
        <v>35.4</v>
      </c>
      <c r="T2741" s="265">
        <v>36</v>
      </c>
      <c r="U2741" s="265">
        <v>12</v>
      </c>
      <c r="V2741" s="259" t="s">
        <v>3028</v>
      </c>
      <c r="W2741" s="259" t="s">
        <v>3029</v>
      </c>
      <c r="X2741" s="264" t="s">
        <v>8041</v>
      </c>
      <c r="Y2741" s="259">
        <v>33</v>
      </c>
      <c r="Z2741" s="259" t="s">
        <v>3030</v>
      </c>
      <c r="AA2741" s="259"/>
      <c r="AB2741" s="259"/>
      <c r="AC2741" s="259"/>
      <c r="AD2741" s="259"/>
      <c r="AE2741" s="259"/>
    </row>
    <row r="2742" spans="1:31">
      <c r="A2742" s="259" t="s">
        <v>2408</v>
      </c>
      <c r="B2742" s="259" t="s">
        <v>124</v>
      </c>
      <c r="C2742" s="264" t="s">
        <v>127</v>
      </c>
      <c r="D2742" s="264" t="s">
        <v>2408</v>
      </c>
      <c r="E2742" s="259" t="s">
        <v>8028</v>
      </c>
      <c r="H2742" s="264" t="s">
        <v>8042</v>
      </c>
      <c r="I2742" s="264" t="s">
        <v>8042</v>
      </c>
      <c r="J2742" s="295">
        <v>2935.5</v>
      </c>
      <c r="K2742" s="295">
        <v>2345</v>
      </c>
      <c r="L2742" s="295">
        <v>1736.31</v>
      </c>
      <c r="O2742" s="266"/>
      <c r="P2742" s="266">
        <v>688705210759</v>
      </c>
      <c r="R2742" s="265">
        <v>68.3</v>
      </c>
      <c r="S2742" s="265">
        <v>44.5</v>
      </c>
      <c r="T2742" s="265">
        <v>44</v>
      </c>
      <c r="U2742" s="265">
        <v>30.5</v>
      </c>
      <c r="V2742" s="259" t="s">
        <v>3028</v>
      </c>
      <c r="W2742" s="259" t="s">
        <v>3029</v>
      </c>
      <c r="X2742" s="264" t="s">
        <v>8041</v>
      </c>
      <c r="Y2742" s="259">
        <v>34</v>
      </c>
      <c r="Z2742" s="259" t="s">
        <v>3030</v>
      </c>
      <c r="AA2742" s="259"/>
      <c r="AB2742" s="259"/>
      <c r="AC2742" s="259"/>
      <c r="AD2742" s="259"/>
      <c r="AE2742" s="259"/>
    </row>
    <row r="2743" spans="1:31">
      <c r="A2743" s="259" t="s">
        <v>2409</v>
      </c>
      <c r="B2743" s="259" t="s">
        <v>124</v>
      </c>
      <c r="C2743" s="264" t="s">
        <v>127</v>
      </c>
      <c r="D2743" s="264" t="s">
        <v>2409</v>
      </c>
      <c r="E2743" s="259" t="s">
        <v>8028</v>
      </c>
      <c r="H2743" s="264" t="s">
        <v>8043</v>
      </c>
      <c r="I2743" s="264" t="s">
        <v>8043</v>
      </c>
      <c r="J2743" s="295">
        <v>3510.23</v>
      </c>
      <c r="K2743" s="295">
        <v>2819</v>
      </c>
      <c r="L2743" s="295">
        <v>2076.09</v>
      </c>
      <c r="O2743" s="266"/>
      <c r="P2743" s="266">
        <v>688705008929</v>
      </c>
      <c r="R2743" s="265">
        <v>83.8</v>
      </c>
      <c r="S2743" s="265">
        <v>53.5</v>
      </c>
      <c r="T2743" s="265">
        <v>32</v>
      </c>
      <c r="U2743" s="265">
        <v>54</v>
      </c>
      <c r="V2743" s="259" t="s">
        <v>3028</v>
      </c>
      <c r="W2743" s="259" t="s">
        <v>3029</v>
      </c>
      <c r="X2743" s="264" t="s">
        <v>8041</v>
      </c>
      <c r="Y2743" s="259">
        <v>35</v>
      </c>
      <c r="Z2743" s="259" t="s">
        <v>3030</v>
      </c>
      <c r="AA2743" s="259"/>
      <c r="AB2743" s="259"/>
      <c r="AC2743" s="259"/>
      <c r="AD2743" s="259"/>
      <c r="AE2743" s="259"/>
    </row>
    <row r="2744" spans="1:31">
      <c r="A2744" s="259" t="s">
        <v>2410</v>
      </c>
      <c r="B2744" s="259" t="s">
        <v>124</v>
      </c>
      <c r="C2744" s="264" t="s">
        <v>127</v>
      </c>
      <c r="D2744" s="264" t="s">
        <v>2410</v>
      </c>
      <c r="E2744" s="259" t="s">
        <v>8028</v>
      </c>
      <c r="H2744" s="264" t="s">
        <v>8044</v>
      </c>
      <c r="I2744" s="264" t="s">
        <v>8044</v>
      </c>
      <c r="J2744" s="295">
        <v>2099.61</v>
      </c>
      <c r="K2744" s="295">
        <v>2059</v>
      </c>
      <c r="L2744" s="295">
        <v>1552.13</v>
      </c>
      <c r="O2744" s="266"/>
      <c r="P2744" s="266">
        <v>688705209395</v>
      </c>
      <c r="R2744" s="265">
        <v>55.1</v>
      </c>
      <c r="S2744" s="265">
        <v>37.799999999999997</v>
      </c>
      <c r="T2744" s="265">
        <v>11</v>
      </c>
      <c r="U2744" s="265">
        <v>31</v>
      </c>
      <c r="V2744" s="259" t="s">
        <v>3028</v>
      </c>
      <c r="W2744" s="259" t="s">
        <v>3029</v>
      </c>
      <c r="X2744" s="264" t="s">
        <v>8045</v>
      </c>
      <c r="Y2744" s="259">
        <v>36</v>
      </c>
      <c r="Z2744" s="259" t="s">
        <v>3030</v>
      </c>
      <c r="AA2744" s="259"/>
      <c r="AB2744" s="259"/>
      <c r="AC2744" s="259"/>
      <c r="AD2744" s="259"/>
      <c r="AE2744" s="259"/>
    </row>
    <row r="2745" spans="1:31">
      <c r="A2745" s="259" t="s">
        <v>2411</v>
      </c>
      <c r="B2745" s="259" t="s">
        <v>124</v>
      </c>
      <c r="C2745" s="264" t="s">
        <v>127</v>
      </c>
      <c r="D2745" s="264" t="s">
        <v>2411</v>
      </c>
      <c r="E2745" s="259" t="s">
        <v>8028</v>
      </c>
      <c r="H2745" s="264" t="s">
        <v>8046</v>
      </c>
      <c r="I2745" s="264" t="s">
        <v>8046</v>
      </c>
      <c r="J2745" s="295">
        <v>2860.57</v>
      </c>
      <c r="K2745" s="295">
        <v>2860.57</v>
      </c>
      <c r="L2745" s="295">
        <v>2116.8000000000002</v>
      </c>
      <c r="O2745" s="266"/>
      <c r="P2745" s="266">
        <v>688705209418</v>
      </c>
      <c r="R2745" s="265">
        <v>68.3</v>
      </c>
      <c r="S2745" s="265">
        <v>47.2</v>
      </c>
      <c r="T2745" s="265">
        <v>31</v>
      </c>
      <c r="U2745" s="265">
        <v>11</v>
      </c>
      <c r="V2745" s="259" t="s">
        <v>3028</v>
      </c>
      <c r="W2745" s="259" t="s">
        <v>3029</v>
      </c>
      <c r="X2745" s="264" t="s">
        <v>8045</v>
      </c>
      <c r="Y2745" s="259">
        <v>37</v>
      </c>
      <c r="Z2745" s="259" t="s">
        <v>3030</v>
      </c>
      <c r="AA2745" s="259"/>
      <c r="AB2745" s="259"/>
      <c r="AC2745" s="259"/>
      <c r="AD2745" s="259"/>
      <c r="AE2745" s="259"/>
    </row>
    <row r="2746" spans="1:31">
      <c r="A2746" s="259" t="s">
        <v>2412</v>
      </c>
      <c r="B2746" s="259" t="s">
        <v>124</v>
      </c>
      <c r="C2746" s="264" t="s">
        <v>127</v>
      </c>
      <c r="D2746" s="264" t="s">
        <v>2412</v>
      </c>
      <c r="E2746" s="259" t="s">
        <v>8028</v>
      </c>
      <c r="H2746" s="264" t="s">
        <v>8047</v>
      </c>
      <c r="I2746" s="264" t="s">
        <v>8047</v>
      </c>
      <c r="J2746" s="295">
        <v>4383.58</v>
      </c>
      <c r="K2746" s="295">
        <v>3505</v>
      </c>
      <c r="L2746" s="295">
        <v>2592.6999999999998</v>
      </c>
      <c r="O2746" s="266"/>
      <c r="P2746" s="266">
        <v>688705008950</v>
      </c>
      <c r="R2746" s="265">
        <v>79.400000000000006</v>
      </c>
      <c r="S2746" s="265">
        <v>51.2</v>
      </c>
      <c r="T2746" s="265">
        <v>38</v>
      </c>
      <c r="U2746" s="265">
        <v>13</v>
      </c>
      <c r="V2746" s="259" t="s">
        <v>3028</v>
      </c>
      <c r="W2746" s="259" t="s">
        <v>3029</v>
      </c>
      <c r="X2746" s="264" t="s">
        <v>8045</v>
      </c>
      <c r="Y2746" s="259">
        <v>38</v>
      </c>
      <c r="Z2746" s="259" t="s">
        <v>3030</v>
      </c>
      <c r="AA2746" s="259"/>
      <c r="AB2746" s="259"/>
      <c r="AC2746" s="259"/>
      <c r="AD2746" s="259"/>
      <c r="AE2746" s="259"/>
    </row>
    <row r="2747" spans="1:31">
      <c r="A2747" s="259" t="s">
        <v>2413</v>
      </c>
      <c r="B2747" s="259" t="s">
        <v>124</v>
      </c>
      <c r="C2747" s="264" t="s">
        <v>127</v>
      </c>
      <c r="D2747" s="264" t="s">
        <v>2413</v>
      </c>
      <c r="E2747" s="259" t="s">
        <v>8028</v>
      </c>
      <c r="H2747" s="264" t="s">
        <v>8048</v>
      </c>
      <c r="I2747" s="264" t="s">
        <v>8048</v>
      </c>
      <c r="J2747" s="295">
        <v>5337.95</v>
      </c>
      <c r="K2747" s="295">
        <v>4270</v>
      </c>
      <c r="L2747" s="295">
        <v>3157.37</v>
      </c>
      <c r="O2747" s="266"/>
      <c r="P2747" s="266">
        <v>688705209456</v>
      </c>
      <c r="R2747" s="265">
        <v>90.4</v>
      </c>
      <c r="S2747" s="265">
        <v>55.1</v>
      </c>
      <c r="T2747" s="265">
        <v>12</v>
      </c>
      <c r="U2747" s="265">
        <v>21</v>
      </c>
      <c r="V2747" s="259" t="s">
        <v>3028</v>
      </c>
      <c r="W2747" s="259" t="s">
        <v>3029</v>
      </c>
      <c r="X2747" s="264" t="s">
        <v>8045</v>
      </c>
      <c r="Y2747" s="259">
        <v>39</v>
      </c>
      <c r="Z2747" s="259" t="s">
        <v>3030</v>
      </c>
      <c r="AA2747" s="259"/>
      <c r="AB2747" s="259"/>
      <c r="AC2747" s="259"/>
      <c r="AD2747" s="259"/>
      <c r="AE2747" s="259"/>
    </row>
    <row r="2748" spans="1:31">
      <c r="A2748" s="259" t="s">
        <v>2414</v>
      </c>
      <c r="B2748" s="259" t="s">
        <v>124</v>
      </c>
      <c r="C2748" s="264" t="s">
        <v>127</v>
      </c>
      <c r="D2748" s="264" t="s">
        <v>2414</v>
      </c>
      <c r="E2748" s="259" t="s">
        <v>8028</v>
      </c>
      <c r="H2748" s="264" t="s">
        <v>8049</v>
      </c>
      <c r="I2748" s="264" t="s">
        <v>8049</v>
      </c>
      <c r="J2748" s="295">
        <v>4050.37</v>
      </c>
      <c r="K2748" s="295">
        <v>4049</v>
      </c>
      <c r="L2748" s="295">
        <v>2994.42</v>
      </c>
      <c r="O2748" s="266"/>
      <c r="R2748" s="265">
        <v>70.5</v>
      </c>
      <c r="S2748" s="265">
        <v>47.2</v>
      </c>
      <c r="T2748" s="265">
        <v>55</v>
      </c>
      <c r="U2748" s="265">
        <v>12</v>
      </c>
      <c r="V2748" s="259" t="s">
        <v>3028</v>
      </c>
      <c r="W2748" s="259" t="s">
        <v>3029</v>
      </c>
      <c r="X2748" s="264" t="s">
        <v>8050</v>
      </c>
      <c r="Y2748" s="259">
        <v>40</v>
      </c>
      <c r="Z2748" s="259" t="s">
        <v>3030</v>
      </c>
      <c r="AA2748" s="259"/>
      <c r="AB2748" s="259"/>
      <c r="AC2748" s="259"/>
      <c r="AD2748" s="259"/>
      <c r="AE2748" s="259"/>
    </row>
    <row r="2749" spans="1:31">
      <c r="A2749" s="259" t="s">
        <v>2415</v>
      </c>
      <c r="B2749" s="259" t="s">
        <v>124</v>
      </c>
      <c r="C2749" s="264" t="s">
        <v>127</v>
      </c>
      <c r="D2749" s="264" t="s">
        <v>2415</v>
      </c>
      <c r="E2749" s="259" t="s">
        <v>8028</v>
      </c>
      <c r="H2749" s="264" t="s">
        <v>8051</v>
      </c>
      <c r="I2749" s="264" t="s">
        <v>8051</v>
      </c>
      <c r="J2749" s="295">
        <v>5791.13</v>
      </c>
      <c r="K2749" s="295">
        <v>4635</v>
      </c>
      <c r="L2749" s="295">
        <v>3425.52</v>
      </c>
      <c r="O2749" s="266"/>
      <c r="P2749" s="266">
        <v>688705008967</v>
      </c>
      <c r="R2749" s="265">
        <v>97.4</v>
      </c>
      <c r="S2749" s="265">
        <v>63.8</v>
      </c>
      <c r="T2749" s="265">
        <v>31</v>
      </c>
      <c r="U2749" s="265">
        <v>11</v>
      </c>
      <c r="V2749" s="259" t="s">
        <v>3028</v>
      </c>
      <c r="W2749" s="259" t="s">
        <v>3029</v>
      </c>
      <c r="X2749" s="264" t="s">
        <v>8050</v>
      </c>
      <c r="Y2749" s="259">
        <v>41</v>
      </c>
      <c r="Z2749" s="259" t="s">
        <v>3030</v>
      </c>
      <c r="AA2749" s="259"/>
      <c r="AB2749" s="259"/>
      <c r="AC2749" s="259"/>
      <c r="AD2749" s="259"/>
      <c r="AE2749" s="259"/>
    </row>
    <row r="2750" spans="1:31">
      <c r="A2750" s="259" t="s">
        <v>2416</v>
      </c>
      <c r="B2750" s="259" t="s">
        <v>124</v>
      </c>
      <c r="C2750" s="264" t="s">
        <v>127</v>
      </c>
      <c r="D2750" s="264" t="s">
        <v>2416</v>
      </c>
      <c r="E2750" s="259" t="s">
        <v>8028</v>
      </c>
      <c r="H2750" s="264" t="s">
        <v>8052</v>
      </c>
      <c r="I2750" s="264" t="s">
        <v>8052</v>
      </c>
      <c r="J2750" s="295">
        <v>7119.14</v>
      </c>
      <c r="K2750" s="295">
        <v>5695</v>
      </c>
      <c r="L2750" s="295">
        <v>4211.72</v>
      </c>
      <c r="O2750" s="266"/>
      <c r="P2750" s="266">
        <v>688705008974</v>
      </c>
      <c r="R2750" s="265">
        <v>112.4</v>
      </c>
      <c r="S2750" s="265">
        <v>72.8</v>
      </c>
      <c r="T2750" s="265">
        <v>72</v>
      </c>
      <c r="U2750" s="265">
        <v>12</v>
      </c>
      <c r="V2750" s="259" t="s">
        <v>3028</v>
      </c>
      <c r="W2750" s="259" t="s">
        <v>3029</v>
      </c>
      <c r="X2750" s="264" t="s">
        <v>8050</v>
      </c>
      <c r="Y2750" s="259">
        <v>42</v>
      </c>
      <c r="Z2750" s="259" t="s">
        <v>3030</v>
      </c>
      <c r="AA2750" s="259"/>
      <c r="AB2750" s="259"/>
      <c r="AC2750" s="259"/>
      <c r="AD2750" s="259"/>
      <c r="AE2750" s="259"/>
    </row>
    <row r="2751" spans="1:31">
      <c r="A2751" s="259" t="s">
        <v>2417</v>
      </c>
      <c r="B2751" s="259" t="s">
        <v>124</v>
      </c>
      <c r="C2751" s="264" t="s">
        <v>127</v>
      </c>
      <c r="D2751" s="264" t="s">
        <v>2417</v>
      </c>
      <c r="E2751" s="259" t="s">
        <v>8028</v>
      </c>
      <c r="H2751" s="264" t="s">
        <v>8053</v>
      </c>
      <c r="I2751" s="264" t="s">
        <v>8053</v>
      </c>
      <c r="J2751" s="295">
        <v>8298.6</v>
      </c>
      <c r="K2751" s="295">
        <v>6639</v>
      </c>
      <c r="L2751" s="295">
        <v>4909.1400000000003</v>
      </c>
      <c r="O2751" s="266"/>
      <c r="P2751" s="266">
        <v>688705008981</v>
      </c>
      <c r="R2751" s="265">
        <v>128.69999999999999</v>
      </c>
      <c r="S2751" s="265">
        <v>81.5</v>
      </c>
      <c r="T2751" s="265">
        <v>30</v>
      </c>
      <c r="U2751" s="265">
        <v>12</v>
      </c>
      <c r="V2751" s="259" t="s">
        <v>3028</v>
      </c>
      <c r="W2751" s="259" t="s">
        <v>3029</v>
      </c>
      <c r="X2751" s="264" t="s">
        <v>8050</v>
      </c>
      <c r="Y2751" s="259">
        <v>43</v>
      </c>
      <c r="Z2751" s="259" t="s">
        <v>3030</v>
      </c>
      <c r="AA2751" s="259"/>
      <c r="AB2751" s="259"/>
      <c r="AC2751" s="259"/>
      <c r="AD2751" s="259"/>
      <c r="AE2751" s="259"/>
    </row>
    <row r="2752" spans="1:31">
      <c r="A2752" s="259" t="s">
        <v>2418</v>
      </c>
      <c r="B2752" s="259" t="s">
        <v>124</v>
      </c>
      <c r="C2752" s="264" t="s">
        <v>2981</v>
      </c>
      <c r="D2752" s="264" t="s">
        <v>2418</v>
      </c>
      <c r="E2752" s="259" t="s">
        <v>7992</v>
      </c>
      <c r="H2752" s="264" t="s">
        <v>8054</v>
      </c>
      <c r="I2752" s="264" t="s">
        <v>8054</v>
      </c>
      <c r="J2752" s="295">
        <v>72.03</v>
      </c>
      <c r="K2752" s="295">
        <v>72</v>
      </c>
      <c r="L2752" s="295">
        <v>44.08</v>
      </c>
      <c r="O2752" s="266"/>
      <c r="R2752" s="265">
        <v>2</v>
      </c>
      <c r="S2752" s="265">
        <v>10</v>
      </c>
      <c r="T2752" s="265">
        <v>10</v>
      </c>
      <c r="U2752" s="265">
        <v>10</v>
      </c>
      <c r="V2752" s="259"/>
      <c r="W2752" s="259" t="s">
        <v>3029</v>
      </c>
      <c r="Y2752" s="259">
        <v>44</v>
      </c>
      <c r="AA2752" s="259"/>
      <c r="AB2752" s="259"/>
      <c r="AC2752" s="259"/>
      <c r="AD2752" s="259"/>
      <c r="AE2752" s="259"/>
    </row>
    <row r="2753" spans="1:31">
      <c r="A2753" s="259" t="s">
        <v>2419</v>
      </c>
      <c r="B2753" s="259" t="s">
        <v>124</v>
      </c>
      <c r="C2753" s="264" t="s">
        <v>2981</v>
      </c>
      <c r="D2753" s="264" t="s">
        <v>2419</v>
      </c>
      <c r="E2753" s="259" t="s">
        <v>7992</v>
      </c>
      <c r="H2753" s="264" t="s">
        <v>8055</v>
      </c>
      <c r="I2753" s="264" t="s">
        <v>8055</v>
      </c>
      <c r="J2753" s="295">
        <v>78.03</v>
      </c>
      <c r="K2753" s="295">
        <v>78</v>
      </c>
      <c r="L2753" s="295">
        <v>47.75</v>
      </c>
      <c r="O2753" s="266"/>
      <c r="R2753" s="265">
        <v>2</v>
      </c>
      <c r="S2753" s="265">
        <v>10</v>
      </c>
      <c r="T2753" s="265">
        <v>10</v>
      </c>
      <c r="U2753" s="265">
        <v>0.5</v>
      </c>
      <c r="V2753" s="259" t="s">
        <v>3028</v>
      </c>
      <c r="W2753" s="259" t="s">
        <v>3029</v>
      </c>
      <c r="Y2753" s="259">
        <v>45</v>
      </c>
      <c r="Z2753" s="259" t="s">
        <v>3030</v>
      </c>
      <c r="AA2753" s="259"/>
      <c r="AB2753" s="259"/>
      <c r="AC2753" s="259"/>
      <c r="AD2753" s="259"/>
      <c r="AE2753" s="259"/>
    </row>
    <row r="2754" spans="1:31">
      <c r="A2754" s="259" t="s">
        <v>2420</v>
      </c>
      <c r="B2754" s="259" t="s">
        <v>124</v>
      </c>
      <c r="C2754" s="264" t="s">
        <v>2981</v>
      </c>
      <c r="D2754" s="264" t="s">
        <v>2420</v>
      </c>
      <c r="E2754" s="259" t="s">
        <v>7992</v>
      </c>
      <c r="H2754" s="264" t="s">
        <v>8056</v>
      </c>
      <c r="I2754" s="264" t="s">
        <v>8056</v>
      </c>
      <c r="J2754" s="295">
        <v>90.03</v>
      </c>
      <c r="K2754" s="295">
        <v>90</v>
      </c>
      <c r="L2754" s="295">
        <v>55.1</v>
      </c>
      <c r="O2754" s="266"/>
      <c r="R2754" s="265">
        <v>2</v>
      </c>
      <c r="S2754" s="265">
        <v>10</v>
      </c>
      <c r="T2754" s="265">
        <v>10</v>
      </c>
      <c r="U2754" s="265">
        <v>10</v>
      </c>
      <c r="V2754" s="259"/>
      <c r="W2754" s="259" t="s">
        <v>3029</v>
      </c>
      <c r="Y2754" s="259">
        <v>46</v>
      </c>
      <c r="AA2754" s="259"/>
      <c r="AB2754" s="259"/>
      <c r="AC2754" s="259"/>
      <c r="AD2754" s="259"/>
      <c r="AE2754" s="259"/>
    </row>
    <row r="2755" spans="1:31">
      <c r="A2755" s="259" t="s">
        <v>2421</v>
      </c>
      <c r="B2755" s="259" t="s">
        <v>124</v>
      </c>
      <c r="C2755" s="264" t="s">
        <v>2981</v>
      </c>
      <c r="D2755" s="264" t="s">
        <v>2421</v>
      </c>
      <c r="E2755" s="259" t="s">
        <v>7992</v>
      </c>
      <c r="H2755" s="264" t="s">
        <v>8057</v>
      </c>
      <c r="I2755" s="264" t="s">
        <v>8057</v>
      </c>
      <c r="J2755" s="295">
        <v>72.03</v>
      </c>
      <c r="K2755" s="295">
        <v>72</v>
      </c>
      <c r="L2755" s="295">
        <v>44.08</v>
      </c>
      <c r="O2755" s="266"/>
      <c r="R2755" s="265">
        <v>2</v>
      </c>
      <c r="S2755" s="265">
        <v>10</v>
      </c>
      <c r="T2755" s="265">
        <v>10</v>
      </c>
      <c r="U2755" s="265">
        <v>10</v>
      </c>
      <c r="V2755" s="259"/>
      <c r="W2755" s="259" t="s">
        <v>3029</v>
      </c>
      <c r="Y2755" s="259">
        <v>47</v>
      </c>
      <c r="AA2755" s="259"/>
      <c r="AB2755" s="259"/>
      <c r="AC2755" s="259"/>
      <c r="AD2755" s="259"/>
      <c r="AE2755" s="259"/>
    </row>
    <row r="2756" spans="1:31">
      <c r="A2756" s="259" t="s">
        <v>2422</v>
      </c>
      <c r="B2756" s="259" t="s">
        <v>124</v>
      </c>
      <c r="C2756" s="264" t="s">
        <v>2981</v>
      </c>
      <c r="D2756" s="264" t="s">
        <v>2422</v>
      </c>
      <c r="E2756" s="259" t="s">
        <v>7992</v>
      </c>
      <c r="H2756" s="264" t="s">
        <v>8058</v>
      </c>
      <c r="I2756" s="264" t="s">
        <v>8058</v>
      </c>
      <c r="J2756" s="295">
        <v>78.03</v>
      </c>
      <c r="K2756" s="295">
        <v>78</v>
      </c>
      <c r="L2756" s="295">
        <v>47.75</v>
      </c>
      <c r="O2756" s="266"/>
      <c r="R2756" s="265">
        <v>2</v>
      </c>
      <c r="S2756" s="265">
        <v>10</v>
      </c>
      <c r="T2756" s="265">
        <v>10</v>
      </c>
      <c r="U2756" s="265">
        <v>10</v>
      </c>
      <c r="V2756" s="259"/>
      <c r="W2756" s="259" t="s">
        <v>3029</v>
      </c>
      <c r="Y2756" s="259">
        <v>48</v>
      </c>
      <c r="AA2756" s="259"/>
      <c r="AB2756" s="259"/>
      <c r="AC2756" s="259"/>
      <c r="AD2756" s="259"/>
      <c r="AE2756" s="259"/>
    </row>
    <row r="2757" spans="1:31">
      <c r="A2757" s="259" t="s">
        <v>2423</v>
      </c>
      <c r="B2757" s="259" t="s">
        <v>124</v>
      </c>
      <c r="C2757" s="264" t="s">
        <v>2981</v>
      </c>
      <c r="D2757" s="264" t="s">
        <v>2423</v>
      </c>
      <c r="E2757" s="259" t="s">
        <v>7992</v>
      </c>
      <c r="H2757" s="264" t="s">
        <v>8059</v>
      </c>
      <c r="I2757" s="264" t="s">
        <v>8059</v>
      </c>
      <c r="J2757" s="295">
        <v>84.03</v>
      </c>
      <c r="K2757" s="295">
        <v>84</v>
      </c>
      <c r="L2757" s="295">
        <v>51.43</v>
      </c>
      <c r="O2757" s="266"/>
      <c r="R2757" s="265">
        <v>2</v>
      </c>
      <c r="S2757" s="265">
        <v>10</v>
      </c>
      <c r="T2757" s="265">
        <v>10</v>
      </c>
      <c r="U2757" s="265">
        <v>10</v>
      </c>
      <c r="V2757" s="259"/>
      <c r="W2757" s="259" t="s">
        <v>3029</v>
      </c>
      <c r="Y2757" s="259">
        <v>49</v>
      </c>
      <c r="Z2757" s="259" t="s">
        <v>3030</v>
      </c>
      <c r="AA2757" s="259"/>
      <c r="AB2757" s="259"/>
      <c r="AC2757" s="259"/>
      <c r="AD2757" s="259"/>
      <c r="AE2757" s="259"/>
    </row>
    <row r="2758" spans="1:31">
      <c r="A2758" s="259" t="s">
        <v>2424</v>
      </c>
      <c r="B2758" s="259" t="s">
        <v>124</v>
      </c>
      <c r="C2758" s="264" t="s">
        <v>2981</v>
      </c>
      <c r="D2758" s="264" t="s">
        <v>2424</v>
      </c>
      <c r="E2758" s="259" t="s">
        <v>7992</v>
      </c>
      <c r="H2758" s="264" t="s">
        <v>8060</v>
      </c>
      <c r="I2758" s="264" t="s">
        <v>8060</v>
      </c>
      <c r="J2758" s="295">
        <v>90.03</v>
      </c>
      <c r="K2758" s="295">
        <v>90</v>
      </c>
      <c r="L2758" s="295">
        <v>55.1</v>
      </c>
      <c r="O2758" s="266"/>
      <c r="R2758" s="265">
        <v>2</v>
      </c>
      <c r="S2758" s="265">
        <v>10</v>
      </c>
      <c r="T2758" s="265">
        <v>10</v>
      </c>
      <c r="U2758" s="265">
        <v>10</v>
      </c>
      <c r="V2758" s="259"/>
      <c r="W2758" s="259" t="s">
        <v>3029</v>
      </c>
      <c r="Y2758" s="259">
        <v>50</v>
      </c>
      <c r="AA2758" s="259"/>
      <c r="AB2758" s="259"/>
      <c r="AC2758" s="259"/>
      <c r="AD2758" s="259"/>
      <c r="AE2758" s="259"/>
    </row>
    <row r="2759" spans="1:31">
      <c r="A2759" s="259" t="s">
        <v>2425</v>
      </c>
      <c r="B2759" s="259" t="s">
        <v>124</v>
      </c>
      <c r="C2759" s="264" t="s">
        <v>2981</v>
      </c>
      <c r="D2759" s="264" t="s">
        <v>2425</v>
      </c>
      <c r="E2759" s="259" t="s">
        <v>7992</v>
      </c>
      <c r="H2759" s="264" t="s">
        <v>8061</v>
      </c>
      <c r="I2759" s="264" t="s">
        <v>8061</v>
      </c>
      <c r="J2759" s="295">
        <v>84.03</v>
      </c>
      <c r="K2759" s="295">
        <v>84</v>
      </c>
      <c r="L2759" s="295">
        <v>51.43</v>
      </c>
      <c r="O2759" s="266"/>
      <c r="R2759" s="265">
        <v>2</v>
      </c>
      <c r="S2759" s="265">
        <v>10</v>
      </c>
      <c r="T2759" s="265">
        <v>10</v>
      </c>
      <c r="U2759" s="265">
        <v>10</v>
      </c>
      <c r="V2759" s="259"/>
      <c r="W2759" s="259" t="s">
        <v>3029</v>
      </c>
      <c r="Y2759" s="259">
        <v>51</v>
      </c>
      <c r="AA2759" s="259"/>
      <c r="AB2759" s="259"/>
      <c r="AC2759" s="259"/>
      <c r="AD2759" s="259"/>
      <c r="AE2759" s="259"/>
    </row>
    <row r="2760" spans="1:31">
      <c r="A2760" s="259" t="s">
        <v>2426</v>
      </c>
      <c r="B2760" s="259" t="s">
        <v>124</v>
      </c>
      <c r="C2760" s="264" t="s">
        <v>2981</v>
      </c>
      <c r="D2760" s="264" t="s">
        <v>2426</v>
      </c>
      <c r="E2760" s="259" t="s">
        <v>7992</v>
      </c>
      <c r="H2760" s="264" t="s">
        <v>8062</v>
      </c>
      <c r="I2760" s="264" t="s">
        <v>8062</v>
      </c>
      <c r="J2760" s="295">
        <v>96.04</v>
      </c>
      <c r="K2760" s="295">
        <v>96</v>
      </c>
      <c r="L2760" s="295">
        <v>58.77</v>
      </c>
      <c r="O2760" s="266"/>
      <c r="R2760" s="265">
        <v>2</v>
      </c>
      <c r="S2760" s="265">
        <v>10</v>
      </c>
      <c r="T2760" s="265">
        <v>10</v>
      </c>
      <c r="U2760" s="265">
        <v>10</v>
      </c>
      <c r="V2760" s="259"/>
      <c r="W2760" s="259" t="s">
        <v>3029</v>
      </c>
      <c r="Y2760" s="259">
        <v>52</v>
      </c>
      <c r="AA2760" s="259"/>
      <c r="AB2760" s="259"/>
      <c r="AC2760" s="259"/>
      <c r="AD2760" s="259"/>
      <c r="AE2760" s="259"/>
    </row>
    <row r="2761" spans="1:31">
      <c r="A2761" s="259" t="s">
        <v>2427</v>
      </c>
      <c r="B2761" s="259" t="s">
        <v>124</v>
      </c>
      <c r="C2761" s="264" t="s">
        <v>2981</v>
      </c>
      <c r="D2761" s="264" t="s">
        <v>2427</v>
      </c>
      <c r="E2761" s="259" t="s">
        <v>7992</v>
      </c>
      <c r="H2761" s="264" t="s">
        <v>8063</v>
      </c>
      <c r="I2761" s="264" t="s">
        <v>8063</v>
      </c>
      <c r="J2761" s="295">
        <v>102.04</v>
      </c>
      <c r="K2761" s="295">
        <v>102</v>
      </c>
      <c r="L2761" s="295">
        <v>62.45</v>
      </c>
      <c r="O2761" s="266"/>
      <c r="R2761" s="265">
        <v>2</v>
      </c>
      <c r="S2761" s="265">
        <v>10</v>
      </c>
      <c r="T2761" s="265">
        <v>10</v>
      </c>
      <c r="U2761" s="265">
        <v>10</v>
      </c>
      <c r="V2761" s="259"/>
      <c r="W2761" s="259" t="s">
        <v>3029</v>
      </c>
      <c r="Y2761" s="259">
        <v>53</v>
      </c>
      <c r="AA2761" s="259"/>
      <c r="AB2761" s="259"/>
      <c r="AC2761" s="259"/>
      <c r="AD2761" s="259"/>
      <c r="AE2761" s="259"/>
    </row>
    <row r="2762" spans="1:31">
      <c r="A2762" s="259" t="s">
        <v>2428</v>
      </c>
      <c r="B2762" s="259" t="s">
        <v>124</v>
      </c>
      <c r="C2762" s="264" t="s">
        <v>8064</v>
      </c>
      <c r="D2762" s="264" t="s">
        <v>2428</v>
      </c>
      <c r="E2762" s="259" t="s">
        <v>7992</v>
      </c>
      <c r="H2762" s="264" t="s">
        <v>8065</v>
      </c>
      <c r="I2762" s="264" t="s">
        <v>8066</v>
      </c>
      <c r="J2762" s="295">
        <v>979.58</v>
      </c>
      <c r="K2762" s="295">
        <v>785</v>
      </c>
      <c r="L2762" s="295">
        <v>599.5</v>
      </c>
      <c r="O2762" s="266"/>
      <c r="P2762" s="266">
        <v>688705216973</v>
      </c>
      <c r="R2762" s="265">
        <v>6</v>
      </c>
      <c r="S2762" s="265">
        <v>40</v>
      </c>
      <c r="T2762" s="265">
        <v>11.5</v>
      </c>
      <c r="U2762" s="265">
        <v>8.5</v>
      </c>
      <c r="V2762" s="259"/>
      <c r="W2762" s="259" t="s">
        <v>3061</v>
      </c>
      <c r="X2762" s="264" t="s">
        <v>8067</v>
      </c>
      <c r="Y2762" s="259">
        <v>54</v>
      </c>
      <c r="Z2762" s="259" t="s">
        <v>3227</v>
      </c>
      <c r="AA2762" s="259"/>
      <c r="AB2762" s="259"/>
      <c r="AC2762" s="259"/>
      <c r="AD2762" s="259"/>
      <c r="AE2762" s="259"/>
    </row>
    <row r="2763" spans="1:31">
      <c r="A2763" s="259" t="s">
        <v>2429</v>
      </c>
      <c r="B2763" s="259" t="s">
        <v>124</v>
      </c>
      <c r="C2763" s="264" t="s">
        <v>8064</v>
      </c>
      <c r="D2763" s="264" t="s">
        <v>2429</v>
      </c>
      <c r="E2763" s="259" t="s">
        <v>7992</v>
      </c>
      <c r="H2763" s="264" t="s">
        <v>8068</v>
      </c>
      <c r="I2763" s="264" t="s">
        <v>8068</v>
      </c>
      <c r="J2763" s="295">
        <v>6122.37</v>
      </c>
      <c r="K2763" s="295">
        <v>4897</v>
      </c>
      <c r="L2763" s="295">
        <v>3746.89</v>
      </c>
      <c r="O2763" s="266"/>
      <c r="P2763" s="266">
        <v>688705001432</v>
      </c>
      <c r="R2763" s="265">
        <v>35</v>
      </c>
      <c r="S2763" s="265">
        <v>45</v>
      </c>
      <c r="T2763" s="265">
        <v>11.5</v>
      </c>
      <c r="U2763" s="265">
        <v>24.7</v>
      </c>
      <c r="V2763" s="259"/>
      <c r="W2763" s="259" t="s">
        <v>3029</v>
      </c>
      <c r="Y2763" s="259">
        <v>55</v>
      </c>
      <c r="AA2763" s="259"/>
      <c r="AB2763" s="259"/>
      <c r="AC2763" s="259"/>
      <c r="AD2763" s="259"/>
      <c r="AE2763" s="259"/>
    </row>
    <row r="2764" spans="1:31">
      <c r="A2764" s="259" t="s">
        <v>2430</v>
      </c>
      <c r="B2764" s="259" t="s">
        <v>124</v>
      </c>
      <c r="C2764" s="264" t="s">
        <v>8064</v>
      </c>
      <c r="D2764" s="264" t="s">
        <v>2430</v>
      </c>
      <c r="E2764" s="259" t="s">
        <v>7980</v>
      </c>
      <c r="H2764" s="264" t="s">
        <v>8069</v>
      </c>
      <c r="I2764" s="264" t="s">
        <v>8070</v>
      </c>
      <c r="J2764" s="295">
        <v>1163.25</v>
      </c>
      <c r="K2764" s="295">
        <v>929</v>
      </c>
      <c r="L2764" s="295">
        <v>711.91</v>
      </c>
      <c r="O2764" s="266"/>
      <c r="P2764" s="266">
        <v>688705008899</v>
      </c>
      <c r="R2764" s="265">
        <v>35</v>
      </c>
      <c r="S2764" s="265">
        <v>45</v>
      </c>
      <c r="T2764" s="265">
        <v>0</v>
      </c>
      <c r="U2764" s="265">
        <v>20</v>
      </c>
      <c r="V2764" s="259"/>
      <c r="W2764" s="259" t="s">
        <v>3029</v>
      </c>
      <c r="Y2764" s="259">
        <v>56</v>
      </c>
      <c r="Z2764" s="259" t="s">
        <v>3264</v>
      </c>
      <c r="AA2764" s="259"/>
      <c r="AB2764" s="259"/>
      <c r="AC2764" s="259"/>
      <c r="AD2764" s="259"/>
      <c r="AE2764" s="259"/>
    </row>
    <row r="2765" spans="1:31">
      <c r="A2765" s="259" t="s">
        <v>2431</v>
      </c>
      <c r="B2765" s="259" t="s">
        <v>124</v>
      </c>
      <c r="C2765" s="264" t="s">
        <v>8064</v>
      </c>
      <c r="D2765" s="264" t="s">
        <v>2431</v>
      </c>
      <c r="E2765" s="259" t="s">
        <v>7980</v>
      </c>
      <c r="H2765" s="264" t="s">
        <v>8071</v>
      </c>
      <c r="I2765" s="264" t="s">
        <v>8072</v>
      </c>
      <c r="J2765" s="295">
        <v>1529.07</v>
      </c>
      <c r="K2765" s="295">
        <v>1220</v>
      </c>
      <c r="L2765" s="295">
        <v>927.31</v>
      </c>
      <c r="O2765" s="266"/>
      <c r="R2765" s="265">
        <v>35</v>
      </c>
      <c r="S2765" s="265">
        <v>45</v>
      </c>
      <c r="T2765" s="265">
        <v>12</v>
      </c>
      <c r="U2765" s="265">
        <v>10</v>
      </c>
      <c r="V2765" s="259" t="s">
        <v>3028</v>
      </c>
      <c r="W2765" s="259" t="s">
        <v>3029</v>
      </c>
      <c r="Y2765" s="259">
        <v>57</v>
      </c>
      <c r="Z2765" s="259" t="s">
        <v>3030</v>
      </c>
      <c r="AA2765" s="259"/>
      <c r="AB2765" s="259"/>
      <c r="AC2765" s="259"/>
      <c r="AD2765" s="259"/>
      <c r="AE2765" s="259"/>
    </row>
    <row r="2766" spans="1:31">
      <c r="A2766" s="259" t="s">
        <v>2432</v>
      </c>
      <c r="B2766" s="259" t="s">
        <v>124</v>
      </c>
      <c r="C2766" s="264" t="s">
        <v>8064</v>
      </c>
      <c r="D2766" s="264" t="s">
        <v>2432</v>
      </c>
      <c r="E2766" s="259" t="s">
        <v>7992</v>
      </c>
      <c r="H2766" s="264" t="s">
        <v>8073</v>
      </c>
      <c r="I2766" s="264" t="s">
        <v>8074</v>
      </c>
      <c r="J2766" s="295">
        <v>1800.7</v>
      </c>
      <c r="K2766" s="295">
        <v>1439</v>
      </c>
      <c r="L2766" s="295">
        <v>1102.03</v>
      </c>
      <c r="O2766" s="266"/>
      <c r="P2766" s="266">
        <v>688705217000</v>
      </c>
      <c r="R2766" s="265">
        <v>35</v>
      </c>
      <c r="S2766" s="265">
        <v>45</v>
      </c>
      <c r="T2766" s="265">
        <v>22</v>
      </c>
      <c r="U2766" s="265">
        <v>6</v>
      </c>
      <c r="V2766" s="259" t="s">
        <v>3028</v>
      </c>
      <c r="W2766" s="259" t="s">
        <v>3061</v>
      </c>
      <c r="Y2766" s="259">
        <v>58</v>
      </c>
      <c r="Z2766" s="259" t="s">
        <v>3037</v>
      </c>
      <c r="AA2766" s="259"/>
      <c r="AB2766" s="259"/>
      <c r="AC2766" s="259"/>
      <c r="AD2766" s="259"/>
      <c r="AE2766" s="259"/>
    </row>
    <row r="2767" spans="1:31">
      <c r="A2767" s="259" t="s">
        <v>2433</v>
      </c>
      <c r="B2767" s="259" t="s">
        <v>124</v>
      </c>
      <c r="C2767" s="264" t="s">
        <v>8064</v>
      </c>
      <c r="D2767" s="264" t="s">
        <v>2433</v>
      </c>
      <c r="E2767" s="259" t="s">
        <v>8075</v>
      </c>
      <c r="H2767" s="264" t="s">
        <v>8076</v>
      </c>
      <c r="I2767" s="264" t="s">
        <v>8077</v>
      </c>
      <c r="J2767" s="295">
        <v>230.2</v>
      </c>
      <c r="K2767" s="295">
        <v>181</v>
      </c>
      <c r="L2767" s="295">
        <v>140.88999999999999</v>
      </c>
      <c r="O2767" s="266"/>
      <c r="R2767" s="265">
        <v>35</v>
      </c>
      <c r="S2767" s="265">
        <v>45</v>
      </c>
      <c r="T2767" s="265">
        <v>0</v>
      </c>
      <c r="U2767" s="265">
        <v>20</v>
      </c>
      <c r="V2767" s="259"/>
      <c r="W2767" s="259" t="s">
        <v>3029</v>
      </c>
      <c r="Y2767" s="259">
        <v>59</v>
      </c>
      <c r="Z2767" s="259" t="s">
        <v>3030</v>
      </c>
      <c r="AA2767" s="259"/>
      <c r="AB2767" s="259"/>
      <c r="AC2767" s="259"/>
      <c r="AD2767" s="259"/>
      <c r="AE2767" s="259"/>
    </row>
    <row r="2768" spans="1:31">
      <c r="A2768" s="259" t="s">
        <v>2434</v>
      </c>
      <c r="B2768" s="259" t="s">
        <v>124</v>
      </c>
      <c r="C2768" s="264" t="s">
        <v>8064</v>
      </c>
      <c r="D2768" s="264" t="s">
        <v>2434</v>
      </c>
      <c r="E2768" s="259">
        <v>41300000</v>
      </c>
      <c r="H2768" s="264" t="s">
        <v>8078</v>
      </c>
      <c r="I2768" s="264" t="s">
        <v>8078</v>
      </c>
      <c r="J2768" s="295">
        <v>220.41</v>
      </c>
      <c r="K2768" s="295">
        <v>181</v>
      </c>
      <c r="L2768" s="295">
        <v>134.88999999999999</v>
      </c>
      <c r="O2768" s="266"/>
      <c r="R2768" s="265">
        <v>35</v>
      </c>
      <c r="S2768" s="265">
        <v>45</v>
      </c>
      <c r="T2768" s="265">
        <v>0</v>
      </c>
      <c r="U2768" s="265">
        <v>20</v>
      </c>
      <c r="V2768" s="259"/>
      <c r="W2768" s="259" t="s">
        <v>3029</v>
      </c>
      <c r="Y2768" s="259">
        <v>60</v>
      </c>
      <c r="Z2768" s="259" t="s">
        <v>3037</v>
      </c>
      <c r="AA2768" s="259"/>
      <c r="AB2768" s="259"/>
      <c r="AC2768" s="259"/>
      <c r="AD2768" s="259"/>
      <c r="AE2768" s="259"/>
    </row>
    <row r="2769" spans="1:31">
      <c r="A2769" s="259" t="s">
        <v>2435</v>
      </c>
      <c r="B2769" s="259" t="s">
        <v>124</v>
      </c>
      <c r="C2769" s="264" t="s">
        <v>8064</v>
      </c>
      <c r="D2769" s="264" t="s">
        <v>2435</v>
      </c>
      <c r="E2769" s="259" t="s">
        <v>8075</v>
      </c>
      <c r="H2769" s="264" t="s">
        <v>8079</v>
      </c>
      <c r="I2769" s="264" t="s">
        <v>8079</v>
      </c>
      <c r="J2769" s="295">
        <v>979.58</v>
      </c>
      <c r="K2769" s="295">
        <v>785</v>
      </c>
      <c r="L2769" s="295">
        <v>599.5</v>
      </c>
      <c r="O2769" s="266"/>
      <c r="R2769" s="265">
        <v>35</v>
      </c>
      <c r="S2769" s="265">
        <v>45</v>
      </c>
      <c r="T2769" s="265">
        <v>0</v>
      </c>
      <c r="U2769" s="265">
        <v>20</v>
      </c>
      <c r="V2769" s="259"/>
      <c r="W2769" s="259" t="s">
        <v>3029</v>
      </c>
      <c r="Y2769" s="259">
        <v>61</v>
      </c>
      <c r="Z2769" s="259" t="s">
        <v>3037</v>
      </c>
      <c r="AA2769" s="259"/>
      <c r="AB2769" s="259"/>
      <c r="AC2769" s="259"/>
      <c r="AD2769" s="259"/>
      <c r="AE2769" s="259"/>
    </row>
    <row r="2770" spans="1:31">
      <c r="A2770" s="259" t="s">
        <v>2436</v>
      </c>
      <c r="B2770" s="259" t="s">
        <v>124</v>
      </c>
      <c r="C2770" s="264" t="s">
        <v>8064</v>
      </c>
      <c r="D2770" s="264" t="s">
        <v>2436</v>
      </c>
      <c r="E2770" s="259" t="s">
        <v>8075</v>
      </c>
      <c r="H2770" s="264" t="s">
        <v>8080</v>
      </c>
      <c r="I2770" s="264" t="s">
        <v>8080</v>
      </c>
      <c r="J2770" s="295">
        <v>246.12</v>
      </c>
      <c r="K2770" s="295">
        <v>0</v>
      </c>
      <c r="L2770" s="295">
        <v>138.33000000000001</v>
      </c>
      <c r="O2770" s="266"/>
      <c r="R2770" s="265">
        <v>35</v>
      </c>
      <c r="S2770" s="265">
        <v>45</v>
      </c>
      <c r="T2770" s="265">
        <v>0</v>
      </c>
      <c r="U2770" s="265">
        <v>20</v>
      </c>
      <c r="V2770" s="259"/>
      <c r="W2770" s="259" t="s">
        <v>3029</v>
      </c>
      <c r="Y2770" s="259">
        <v>62</v>
      </c>
      <c r="AA2770" s="259"/>
      <c r="AB2770" s="259"/>
      <c r="AC2770" s="259"/>
      <c r="AD2770" s="259"/>
      <c r="AE2770" s="259"/>
    </row>
    <row r="2771" spans="1:31">
      <c r="A2771" s="259" t="s">
        <v>2437</v>
      </c>
      <c r="B2771" s="259" t="s">
        <v>124</v>
      </c>
      <c r="C2771" s="264" t="s">
        <v>8064</v>
      </c>
      <c r="D2771" s="264" t="s">
        <v>2437</v>
      </c>
      <c r="E2771" s="259" t="s">
        <v>8075</v>
      </c>
      <c r="H2771" s="264" t="s">
        <v>8081</v>
      </c>
      <c r="I2771" s="264" t="s">
        <v>8081</v>
      </c>
      <c r="J2771" s="295">
        <v>979.58</v>
      </c>
      <c r="K2771" s="295">
        <v>785</v>
      </c>
      <c r="L2771" s="295">
        <v>599.5</v>
      </c>
      <c r="O2771" s="266"/>
      <c r="R2771" s="265">
        <v>35</v>
      </c>
      <c r="S2771" s="265">
        <v>45</v>
      </c>
      <c r="T2771" s="265">
        <v>0</v>
      </c>
      <c r="U2771" s="265">
        <v>20</v>
      </c>
      <c r="V2771" s="259"/>
      <c r="W2771" s="259" t="s">
        <v>3061</v>
      </c>
      <c r="Y2771" s="259">
        <v>63</v>
      </c>
      <c r="AA2771" s="259"/>
      <c r="AB2771" s="259"/>
      <c r="AC2771" s="259"/>
      <c r="AD2771" s="259"/>
      <c r="AE2771" s="259"/>
    </row>
    <row r="2772" spans="1:31">
      <c r="A2772" s="259" t="s">
        <v>2438</v>
      </c>
      <c r="B2772" s="259" t="s">
        <v>124</v>
      </c>
      <c r="C2772" s="264" t="s">
        <v>8064</v>
      </c>
      <c r="D2772" s="264" t="s">
        <v>2438</v>
      </c>
      <c r="E2772" s="259" t="s">
        <v>8075</v>
      </c>
      <c r="F2772" s="259" t="s">
        <v>5021</v>
      </c>
      <c r="H2772" s="264" t="s">
        <v>8082</v>
      </c>
      <c r="I2772" s="264" t="s">
        <v>8082</v>
      </c>
      <c r="J2772" s="295">
        <v>53.88</v>
      </c>
      <c r="K2772" s="295">
        <v>41</v>
      </c>
      <c r="L2772" s="295">
        <v>32.979999999999997</v>
      </c>
      <c r="O2772" s="266"/>
      <c r="R2772" s="265">
        <v>35</v>
      </c>
      <c r="S2772" s="265">
        <v>45</v>
      </c>
      <c r="T2772" s="265">
        <v>2</v>
      </c>
      <c r="U2772" s="265">
        <v>2</v>
      </c>
      <c r="V2772" s="259" t="s">
        <v>3028</v>
      </c>
      <c r="W2772" s="259" t="s">
        <v>3061</v>
      </c>
      <c r="Y2772" s="259">
        <v>64</v>
      </c>
      <c r="Z2772" s="259" t="s">
        <v>3030</v>
      </c>
      <c r="AA2772" s="259"/>
      <c r="AB2772" s="259"/>
      <c r="AC2772" s="259"/>
      <c r="AD2772" s="259"/>
      <c r="AE2772" s="259"/>
    </row>
    <row r="2773" spans="1:31">
      <c r="A2773" s="259" t="s">
        <v>2439</v>
      </c>
      <c r="B2773" s="259" t="s">
        <v>124</v>
      </c>
      <c r="C2773" s="264" t="s">
        <v>8064</v>
      </c>
      <c r="D2773" s="264" t="s">
        <v>2439</v>
      </c>
      <c r="E2773" s="259" t="s">
        <v>8075</v>
      </c>
      <c r="H2773" s="264" t="s">
        <v>8083</v>
      </c>
      <c r="I2773" s="264" t="s">
        <v>8083</v>
      </c>
      <c r="J2773" s="295">
        <v>53.88</v>
      </c>
      <c r="K2773" s="295">
        <v>41</v>
      </c>
      <c r="L2773" s="295">
        <v>32.979999999999997</v>
      </c>
      <c r="O2773" s="266"/>
      <c r="R2773" s="265">
        <v>35</v>
      </c>
      <c r="S2773" s="265">
        <v>45</v>
      </c>
      <c r="T2773" s="265">
        <v>1</v>
      </c>
      <c r="U2773" s="265">
        <v>1</v>
      </c>
      <c r="V2773" s="259" t="s">
        <v>3028</v>
      </c>
      <c r="W2773" s="259" t="s">
        <v>3029</v>
      </c>
      <c r="Y2773" s="259">
        <v>65</v>
      </c>
      <c r="Z2773" s="259" t="s">
        <v>3030</v>
      </c>
      <c r="AA2773" s="259"/>
      <c r="AB2773" s="259"/>
      <c r="AC2773" s="259"/>
      <c r="AD2773" s="259"/>
      <c r="AE2773" s="259"/>
    </row>
    <row r="2774" spans="1:31">
      <c r="A2774" s="259" t="s">
        <v>2440</v>
      </c>
      <c r="B2774" s="259" t="s">
        <v>124</v>
      </c>
      <c r="C2774" s="264" t="s">
        <v>128</v>
      </c>
      <c r="D2774" s="264">
        <v>5056217</v>
      </c>
      <c r="E2774" s="259" t="s">
        <v>8084</v>
      </c>
      <c r="H2774" s="264" t="s">
        <v>8085</v>
      </c>
      <c r="I2774" s="264" t="s">
        <v>8086</v>
      </c>
      <c r="J2774" s="295">
        <v>627.84</v>
      </c>
      <c r="K2774" s="295">
        <v>409</v>
      </c>
      <c r="L2774" s="295">
        <v>331.24</v>
      </c>
      <c r="O2774" s="266"/>
      <c r="P2774" s="266">
        <v>688705006611</v>
      </c>
      <c r="R2774" s="265">
        <v>7.3</v>
      </c>
      <c r="S2774" s="265">
        <v>17.48</v>
      </c>
      <c r="T2774" s="265">
        <v>10.24</v>
      </c>
      <c r="U2774" s="265">
        <v>5.75</v>
      </c>
      <c r="V2774" s="259" t="s">
        <v>5046</v>
      </c>
      <c r="X2774" s="264" t="s">
        <v>8087</v>
      </c>
      <c r="Y2774" s="259">
        <v>66</v>
      </c>
      <c r="Z2774" s="259" t="s">
        <v>3030</v>
      </c>
      <c r="AA2774" s="259"/>
      <c r="AB2774" s="259"/>
      <c r="AC2774" s="259"/>
      <c r="AD2774" s="259"/>
      <c r="AE2774" s="259"/>
    </row>
    <row r="2775" spans="1:31">
      <c r="A2775" s="259" t="s">
        <v>2441</v>
      </c>
      <c r="B2775" s="259" t="s">
        <v>124</v>
      </c>
      <c r="C2775" s="264" t="s">
        <v>128</v>
      </c>
      <c r="D2775" s="264">
        <v>5056219</v>
      </c>
      <c r="E2775" s="259" t="s">
        <v>8084</v>
      </c>
      <c r="H2775" s="264" t="s">
        <v>8088</v>
      </c>
      <c r="I2775" s="264" t="s">
        <v>8089</v>
      </c>
      <c r="J2775" s="295">
        <v>926.71</v>
      </c>
      <c r="K2775" s="295">
        <v>549</v>
      </c>
      <c r="L2775" s="295">
        <v>442.25</v>
      </c>
      <c r="O2775" s="266"/>
      <c r="P2775" s="266">
        <v>688705006628</v>
      </c>
      <c r="R2775" s="265">
        <v>10.7</v>
      </c>
      <c r="S2775" s="265">
        <v>23.07</v>
      </c>
      <c r="T2775" s="265">
        <v>10.24</v>
      </c>
      <c r="U2775" s="265">
        <v>6.77</v>
      </c>
      <c r="V2775" s="259" t="s">
        <v>5046</v>
      </c>
      <c r="X2775" s="264" t="s">
        <v>8090</v>
      </c>
      <c r="Y2775" s="259">
        <v>67</v>
      </c>
      <c r="Z2775" s="259" t="s">
        <v>3030</v>
      </c>
      <c r="AA2775" s="259"/>
      <c r="AB2775" s="259"/>
      <c r="AC2775" s="259"/>
      <c r="AD2775" s="259"/>
      <c r="AE2775" s="259"/>
    </row>
    <row r="2776" spans="1:31">
      <c r="A2776" s="259" t="s">
        <v>2442</v>
      </c>
      <c r="B2776" s="259" t="s">
        <v>124</v>
      </c>
      <c r="C2776" s="264" t="s">
        <v>128</v>
      </c>
      <c r="D2776" s="264">
        <v>5076585</v>
      </c>
      <c r="E2776" s="259" t="s">
        <v>8084</v>
      </c>
      <c r="H2776" s="264" t="s">
        <v>8091</v>
      </c>
      <c r="I2776" s="264" t="s">
        <v>8092</v>
      </c>
      <c r="J2776" s="295">
        <v>1649.14</v>
      </c>
      <c r="K2776" s="295">
        <v>1319</v>
      </c>
      <c r="L2776" s="295">
        <v>988.76</v>
      </c>
      <c r="O2776" s="266"/>
      <c r="P2776" s="266">
        <v>688705006635</v>
      </c>
      <c r="R2776" s="265">
        <v>31</v>
      </c>
      <c r="S2776" s="265">
        <v>24</v>
      </c>
      <c r="T2776" s="265">
        <v>22</v>
      </c>
      <c r="U2776" s="265">
        <v>10</v>
      </c>
      <c r="V2776" s="259"/>
      <c r="X2776" s="264" t="s">
        <v>8093</v>
      </c>
      <c r="Y2776" s="259">
        <v>68</v>
      </c>
      <c r="Z2776" s="259" t="s">
        <v>3030</v>
      </c>
      <c r="AA2776" s="259"/>
      <c r="AB2776" s="259"/>
      <c r="AC2776" s="259"/>
      <c r="AD2776" s="259"/>
      <c r="AE2776" s="259"/>
    </row>
    <row r="2777" spans="1:31">
      <c r="A2777" s="259">
        <v>5056170</v>
      </c>
      <c r="B2777" s="259" t="s">
        <v>124</v>
      </c>
      <c r="C2777" s="264" t="s">
        <v>8094</v>
      </c>
      <c r="D2777" s="264">
        <v>5056170</v>
      </c>
      <c r="E2777" s="259" t="s">
        <v>8095</v>
      </c>
      <c r="H2777" s="264" t="s">
        <v>8096</v>
      </c>
      <c r="I2777" s="264" t="s">
        <v>8094</v>
      </c>
      <c r="J2777" s="295">
        <v>4858.17</v>
      </c>
      <c r="K2777" s="295">
        <v>3189</v>
      </c>
      <c r="L2777" s="295">
        <v>2526.0300000000002</v>
      </c>
      <c r="O2777" s="266"/>
      <c r="P2777" s="266">
        <v>688705001630</v>
      </c>
      <c r="R2777" s="265">
        <v>48.4</v>
      </c>
      <c r="S2777" s="265">
        <v>34</v>
      </c>
      <c r="T2777" s="265">
        <v>25.4</v>
      </c>
      <c r="U2777" s="265">
        <v>11.7</v>
      </c>
      <c r="V2777" s="259" t="s">
        <v>3028</v>
      </c>
      <c r="X2777" s="264" t="s">
        <v>8097</v>
      </c>
      <c r="Y2777" s="259">
        <v>69</v>
      </c>
      <c r="AA2777" s="259"/>
      <c r="AB2777" s="259"/>
      <c r="AC2777" s="259"/>
      <c r="AD2777" s="259"/>
      <c r="AE2777" s="259"/>
    </row>
    <row r="2778" spans="1:31">
      <c r="A2778" s="259" t="s">
        <v>2443</v>
      </c>
      <c r="B2778" s="259" t="s">
        <v>124</v>
      </c>
      <c r="C2778" s="264" t="s">
        <v>8094</v>
      </c>
      <c r="D2778" s="264">
        <v>5056170</v>
      </c>
      <c r="E2778" s="259" t="s">
        <v>8095</v>
      </c>
      <c r="H2778" s="264" t="s">
        <v>8096</v>
      </c>
      <c r="I2778" s="264" t="s">
        <v>8094</v>
      </c>
      <c r="J2778" s="295">
        <v>4858.17</v>
      </c>
      <c r="K2778" s="295">
        <v>3189</v>
      </c>
      <c r="L2778" s="295">
        <v>2526.0300000000002</v>
      </c>
      <c r="O2778" s="266"/>
      <c r="P2778" s="266">
        <v>688705001630</v>
      </c>
      <c r="R2778" s="265">
        <v>48.4</v>
      </c>
      <c r="S2778" s="265">
        <v>34</v>
      </c>
      <c r="T2778" s="265">
        <v>25.4</v>
      </c>
      <c r="U2778" s="265">
        <v>11.7</v>
      </c>
      <c r="V2778" s="259" t="s">
        <v>3028</v>
      </c>
      <c r="X2778" s="264" t="s">
        <v>8097</v>
      </c>
      <c r="Y2778" s="259">
        <v>70</v>
      </c>
      <c r="Z2778" s="259" t="s">
        <v>3030</v>
      </c>
      <c r="AA2778" s="259"/>
      <c r="AB2778" s="259"/>
      <c r="AC2778" s="259"/>
      <c r="AD2778" s="259"/>
      <c r="AE2778" s="259"/>
    </row>
    <row r="2779" spans="1:31">
      <c r="A2779" s="259">
        <v>5060295</v>
      </c>
      <c r="B2779" s="259" t="s">
        <v>124</v>
      </c>
      <c r="C2779" s="264" t="s">
        <v>8098</v>
      </c>
      <c r="D2779" s="264">
        <v>5060295</v>
      </c>
      <c r="E2779" s="259">
        <v>31100900</v>
      </c>
      <c r="H2779" s="264" t="s">
        <v>8099</v>
      </c>
      <c r="I2779" s="264" t="s">
        <v>8099</v>
      </c>
      <c r="J2779" s="295">
        <v>100.84</v>
      </c>
      <c r="K2779" s="295">
        <v>89</v>
      </c>
      <c r="L2779" s="295">
        <v>64.08</v>
      </c>
      <c r="O2779" s="266"/>
      <c r="P2779" s="266">
        <v>688705002538</v>
      </c>
      <c r="R2779" s="265"/>
      <c r="V2779" s="259" t="s">
        <v>3028</v>
      </c>
      <c r="Y2779" s="259">
        <v>71</v>
      </c>
      <c r="AA2779" s="259"/>
      <c r="AB2779" s="259"/>
      <c r="AC2779" s="259"/>
      <c r="AD2779" s="259"/>
      <c r="AE2779" s="259"/>
    </row>
    <row r="2780" spans="1:31">
      <c r="A2780" s="259" t="s">
        <v>2444</v>
      </c>
      <c r="B2780" s="259" t="s">
        <v>124</v>
      </c>
      <c r="C2780" s="264" t="s">
        <v>8100</v>
      </c>
      <c r="D2780" s="264">
        <v>5035677</v>
      </c>
      <c r="E2780" s="259" t="s">
        <v>8095</v>
      </c>
      <c r="H2780" s="264" t="s">
        <v>8101</v>
      </c>
      <c r="I2780" s="264" t="s">
        <v>8101</v>
      </c>
      <c r="J2780" s="295">
        <v>3839.65</v>
      </c>
      <c r="K2780" s="295">
        <v>3069</v>
      </c>
      <c r="L2780" s="295">
        <v>2302.7800000000002</v>
      </c>
      <c r="O2780" s="266"/>
      <c r="P2780" s="266">
        <v>688705000336</v>
      </c>
      <c r="R2780" s="265">
        <v>31</v>
      </c>
      <c r="S2780" s="265">
        <v>25</v>
      </c>
      <c r="T2780" s="265">
        <v>21.2</v>
      </c>
      <c r="U2780" s="265">
        <v>9.8000000000000007</v>
      </c>
      <c r="V2780" s="259" t="s">
        <v>3028</v>
      </c>
      <c r="X2780" s="264" t="s">
        <v>8102</v>
      </c>
      <c r="Y2780" s="259">
        <v>72</v>
      </c>
      <c r="Z2780" s="259" t="s">
        <v>3030</v>
      </c>
      <c r="AA2780" s="259"/>
      <c r="AB2780" s="259"/>
      <c r="AC2780" s="259"/>
      <c r="AD2780" s="259"/>
      <c r="AE2780" s="259"/>
    </row>
    <row r="2781" spans="1:31">
      <c r="A2781" s="259">
        <v>5035677</v>
      </c>
      <c r="B2781" s="259" t="s">
        <v>124</v>
      </c>
      <c r="C2781" s="264" t="s">
        <v>8100</v>
      </c>
      <c r="D2781" s="264">
        <v>5035677</v>
      </c>
      <c r="E2781" s="259" t="s">
        <v>8095</v>
      </c>
      <c r="H2781" s="264" t="s">
        <v>8101</v>
      </c>
      <c r="I2781" s="264" t="s">
        <v>8101</v>
      </c>
      <c r="J2781" s="295">
        <v>3839.65</v>
      </c>
      <c r="K2781" s="295">
        <v>3069</v>
      </c>
      <c r="L2781" s="295">
        <v>2302.7800000000002</v>
      </c>
      <c r="O2781" s="266"/>
      <c r="P2781" s="266">
        <v>688705000336</v>
      </c>
      <c r="R2781" s="265">
        <v>31</v>
      </c>
      <c r="S2781" s="265">
        <v>25</v>
      </c>
      <c r="T2781" s="265">
        <v>21.2</v>
      </c>
      <c r="U2781" s="265">
        <v>9.8000000000000007</v>
      </c>
      <c r="V2781" s="259" t="s">
        <v>3028</v>
      </c>
      <c r="X2781" s="264" t="s">
        <v>8102</v>
      </c>
      <c r="Y2781" s="259">
        <v>73</v>
      </c>
      <c r="AA2781" s="259"/>
      <c r="AB2781" s="259"/>
      <c r="AC2781" s="259"/>
      <c r="AD2781" s="259"/>
      <c r="AE2781" s="259"/>
    </row>
    <row r="2782" spans="1:31">
      <c r="A2782" s="259">
        <v>5035678</v>
      </c>
      <c r="B2782" s="259" t="s">
        <v>124</v>
      </c>
      <c r="C2782" s="264" t="s">
        <v>8100</v>
      </c>
      <c r="D2782" s="264">
        <v>5035678</v>
      </c>
      <c r="E2782" s="259" t="s">
        <v>8095</v>
      </c>
      <c r="H2782" s="264" t="s">
        <v>8103</v>
      </c>
      <c r="I2782" s="264" t="s">
        <v>8103</v>
      </c>
      <c r="J2782" s="295">
        <v>4455.57</v>
      </c>
      <c r="K2782" s="295">
        <v>3569</v>
      </c>
      <c r="L2782" s="295">
        <v>2672.66</v>
      </c>
      <c r="O2782" s="266"/>
      <c r="P2782" s="266">
        <v>688705000343</v>
      </c>
      <c r="R2782" s="265">
        <v>43.1</v>
      </c>
      <c r="S2782" s="265">
        <v>25</v>
      </c>
      <c r="T2782" s="265">
        <v>31.9</v>
      </c>
      <c r="U2782" s="265">
        <v>9.8000000000000007</v>
      </c>
      <c r="V2782" s="259" t="s">
        <v>3028</v>
      </c>
      <c r="X2782" s="264" t="s">
        <v>8104</v>
      </c>
      <c r="Y2782" s="259">
        <v>74</v>
      </c>
      <c r="AA2782" s="259"/>
      <c r="AB2782" s="259"/>
      <c r="AC2782" s="259"/>
      <c r="AD2782" s="259"/>
      <c r="AE2782" s="259"/>
    </row>
    <row r="2783" spans="1:31">
      <c r="A2783" s="259">
        <v>5035679</v>
      </c>
      <c r="B2783" s="259" t="s">
        <v>124</v>
      </c>
      <c r="C2783" s="264" t="s">
        <v>8100</v>
      </c>
      <c r="D2783" s="264">
        <v>5035679</v>
      </c>
      <c r="E2783" s="259" t="s">
        <v>8095</v>
      </c>
      <c r="H2783" s="264" t="s">
        <v>8105</v>
      </c>
      <c r="I2783" s="264" t="s">
        <v>8105</v>
      </c>
      <c r="J2783" s="295">
        <v>5445.95</v>
      </c>
      <c r="K2783" s="295">
        <v>4359</v>
      </c>
      <c r="L2783" s="295">
        <v>3268.02</v>
      </c>
      <c r="O2783" s="266"/>
      <c r="P2783" s="266">
        <v>688705000350</v>
      </c>
      <c r="R2783" s="265">
        <v>55.2</v>
      </c>
      <c r="S2783" s="265">
        <v>25</v>
      </c>
      <c r="T2783" s="265">
        <v>40.5</v>
      </c>
      <c r="U2783" s="265">
        <v>9.8000000000000007</v>
      </c>
      <c r="V2783" s="259" t="s">
        <v>3028</v>
      </c>
      <c r="X2783" s="264" t="s">
        <v>8106</v>
      </c>
      <c r="Y2783" s="259">
        <v>75</v>
      </c>
      <c r="AA2783" s="259"/>
      <c r="AB2783" s="259"/>
      <c r="AC2783" s="259"/>
      <c r="AD2783" s="259"/>
      <c r="AE2783" s="259"/>
    </row>
    <row r="2784" spans="1:31">
      <c r="A2784" s="259">
        <v>5001849</v>
      </c>
      <c r="B2784" s="259" t="s">
        <v>124</v>
      </c>
      <c r="C2784" s="264" t="s">
        <v>8107</v>
      </c>
      <c r="D2784" s="264">
        <v>5001849</v>
      </c>
      <c r="E2784" s="259" t="s">
        <v>8095</v>
      </c>
      <c r="H2784" s="264" t="s">
        <v>8108</v>
      </c>
      <c r="I2784" s="264" t="s">
        <v>8108</v>
      </c>
      <c r="J2784" s="295">
        <v>9947.35</v>
      </c>
      <c r="K2784" s="295">
        <v>7999</v>
      </c>
      <c r="L2784" s="295">
        <v>5969.07</v>
      </c>
      <c r="O2784" s="266"/>
      <c r="P2784" s="266">
        <v>688705000169</v>
      </c>
      <c r="R2784" s="265">
        <v>47.5</v>
      </c>
      <c r="S2784" s="265">
        <v>24</v>
      </c>
      <c r="T2784" s="265">
        <v>25</v>
      </c>
      <c r="U2784" s="265">
        <v>12.7</v>
      </c>
      <c r="V2784" s="259" t="s">
        <v>3028</v>
      </c>
      <c r="X2784" s="264" t="s">
        <v>8109</v>
      </c>
      <c r="Y2784" s="259">
        <v>76</v>
      </c>
      <c r="AA2784" s="259"/>
      <c r="AB2784" s="259"/>
      <c r="AC2784" s="259"/>
      <c r="AD2784" s="259"/>
      <c r="AE2784" s="259"/>
    </row>
    <row r="2785" spans="1:31">
      <c r="A2785" s="259">
        <v>5009535</v>
      </c>
      <c r="B2785" s="259" t="s">
        <v>124</v>
      </c>
      <c r="C2785" s="264" t="s">
        <v>8107</v>
      </c>
      <c r="D2785" s="264">
        <v>5009535</v>
      </c>
      <c r="E2785" s="259" t="s">
        <v>8095</v>
      </c>
      <c r="H2785" s="264" t="s">
        <v>8110</v>
      </c>
      <c r="I2785" s="264" t="s">
        <v>8110</v>
      </c>
      <c r="J2785" s="295">
        <v>7936.57</v>
      </c>
      <c r="K2785" s="295">
        <v>6349</v>
      </c>
      <c r="L2785" s="295">
        <v>4868.42</v>
      </c>
      <c r="O2785" s="266"/>
      <c r="P2785" s="266">
        <v>688705000152</v>
      </c>
      <c r="R2785" s="265">
        <v>37</v>
      </c>
      <c r="S2785" s="265">
        <v>24</v>
      </c>
      <c r="T2785" s="265">
        <v>25</v>
      </c>
      <c r="U2785" s="265">
        <v>12.7</v>
      </c>
      <c r="V2785" s="259" t="s">
        <v>3028</v>
      </c>
      <c r="X2785" s="264" t="s">
        <v>8111</v>
      </c>
      <c r="Y2785" s="259">
        <v>77</v>
      </c>
      <c r="AA2785" s="259"/>
      <c r="AB2785" s="259"/>
      <c r="AC2785" s="259"/>
      <c r="AD2785" s="259"/>
      <c r="AE2785" s="259"/>
    </row>
    <row r="2786" spans="1:31">
      <c r="A2786" s="259">
        <v>5039954</v>
      </c>
      <c r="B2786" s="259" t="s">
        <v>124</v>
      </c>
      <c r="C2786" s="264" t="s">
        <v>8107</v>
      </c>
      <c r="D2786" s="264">
        <v>5039954</v>
      </c>
      <c r="E2786" s="259" t="s">
        <v>8095</v>
      </c>
      <c r="H2786" s="264" t="s">
        <v>8112</v>
      </c>
      <c r="I2786" s="264" t="s">
        <v>8112</v>
      </c>
      <c r="J2786" s="295">
        <v>6270.93</v>
      </c>
      <c r="K2786" s="295">
        <v>5019</v>
      </c>
      <c r="L2786" s="295">
        <v>3843.58</v>
      </c>
      <c r="O2786" s="266"/>
      <c r="P2786" s="266">
        <v>688705000480</v>
      </c>
      <c r="R2786" s="265">
        <v>40</v>
      </c>
      <c r="S2786" s="265">
        <v>24</v>
      </c>
      <c r="T2786" s="265">
        <v>25</v>
      </c>
      <c r="U2786" s="265">
        <v>12.7</v>
      </c>
      <c r="V2786" s="259" t="s">
        <v>3028</v>
      </c>
      <c r="X2786" s="264" t="s">
        <v>8113</v>
      </c>
      <c r="Y2786" s="259">
        <v>78</v>
      </c>
      <c r="AA2786" s="259"/>
      <c r="AB2786" s="259"/>
      <c r="AC2786" s="259"/>
      <c r="AD2786" s="259"/>
      <c r="AE2786" s="259"/>
    </row>
    <row r="2787" spans="1:31">
      <c r="A2787" s="259" t="s">
        <v>2445</v>
      </c>
      <c r="B2787" s="259" t="s">
        <v>124</v>
      </c>
      <c r="C2787" s="264" t="s">
        <v>8114</v>
      </c>
      <c r="D2787" s="264" t="s">
        <v>2445</v>
      </c>
      <c r="E2787" s="259" t="s">
        <v>8075</v>
      </c>
      <c r="H2787" s="264" t="s">
        <v>8115</v>
      </c>
      <c r="I2787" s="264" t="s">
        <v>8115</v>
      </c>
      <c r="J2787" s="295">
        <v>120.05</v>
      </c>
      <c r="K2787" s="295">
        <v>99</v>
      </c>
      <c r="L2787" s="295">
        <v>73.47</v>
      </c>
      <c r="O2787" s="266"/>
      <c r="P2787" s="266">
        <v>688705000619</v>
      </c>
      <c r="R2787" s="265">
        <v>1</v>
      </c>
      <c r="S2787" s="265">
        <v>10</v>
      </c>
      <c r="T2787" s="265">
        <v>10</v>
      </c>
      <c r="U2787" s="265">
        <v>5</v>
      </c>
      <c r="V2787" s="259" t="s">
        <v>3028</v>
      </c>
      <c r="W2787" s="259" t="s">
        <v>3029</v>
      </c>
      <c r="Y2787" s="259">
        <v>79</v>
      </c>
      <c r="Z2787" s="259" t="s">
        <v>3227</v>
      </c>
      <c r="AA2787" s="259"/>
      <c r="AB2787" s="259"/>
      <c r="AC2787" s="259"/>
      <c r="AD2787" s="259"/>
      <c r="AE2787" s="259"/>
    </row>
    <row r="2788" spans="1:31">
      <c r="A2788" s="259" t="s">
        <v>2446</v>
      </c>
      <c r="B2788" s="259" t="s">
        <v>124</v>
      </c>
      <c r="C2788" s="264" t="s">
        <v>8114</v>
      </c>
      <c r="D2788" s="264" t="s">
        <v>2446</v>
      </c>
      <c r="E2788" s="259" t="s">
        <v>8075</v>
      </c>
      <c r="H2788" s="264" t="s">
        <v>8116</v>
      </c>
      <c r="I2788" s="264" t="s">
        <v>8116</v>
      </c>
      <c r="J2788" s="295">
        <v>138.05000000000001</v>
      </c>
      <c r="K2788" s="295">
        <v>119</v>
      </c>
      <c r="L2788" s="295">
        <v>89.06</v>
      </c>
      <c r="O2788" s="266"/>
      <c r="P2788" s="266">
        <v>688705000626</v>
      </c>
      <c r="R2788" s="265">
        <v>1</v>
      </c>
      <c r="S2788" s="265">
        <v>10</v>
      </c>
      <c r="T2788" s="265">
        <v>10</v>
      </c>
      <c r="U2788" s="265">
        <v>15</v>
      </c>
      <c r="V2788" s="259" t="s">
        <v>3028</v>
      </c>
      <c r="W2788" s="259" t="s">
        <v>3029</v>
      </c>
      <c r="Y2788" s="259">
        <v>80</v>
      </c>
      <c r="Z2788" s="259" t="s">
        <v>3030</v>
      </c>
      <c r="AA2788" s="259"/>
      <c r="AB2788" s="259"/>
      <c r="AC2788" s="259"/>
      <c r="AD2788" s="259"/>
      <c r="AE2788" s="259"/>
    </row>
    <row r="2789" spans="1:31">
      <c r="A2789" s="259" t="s">
        <v>2447</v>
      </c>
      <c r="B2789" s="259" t="s">
        <v>124</v>
      </c>
      <c r="C2789" s="264" t="s">
        <v>8114</v>
      </c>
      <c r="D2789" s="264" t="s">
        <v>2447</v>
      </c>
      <c r="E2789" s="259" t="s">
        <v>8075</v>
      </c>
      <c r="H2789" s="264" t="s">
        <v>8117</v>
      </c>
      <c r="I2789" s="264" t="s">
        <v>8117</v>
      </c>
      <c r="J2789" s="295">
        <v>192.07</v>
      </c>
      <c r="K2789" s="295">
        <v>170</v>
      </c>
      <c r="L2789" s="295">
        <v>131.5</v>
      </c>
      <c r="O2789" s="266"/>
      <c r="P2789" s="266">
        <v>688705000633</v>
      </c>
      <c r="R2789" s="265">
        <v>1</v>
      </c>
      <c r="S2789" s="265">
        <v>10</v>
      </c>
      <c r="T2789" s="265">
        <v>10</v>
      </c>
      <c r="U2789" s="265">
        <v>16</v>
      </c>
      <c r="V2789" s="259" t="s">
        <v>3028</v>
      </c>
      <c r="W2789" s="259" t="s">
        <v>3029</v>
      </c>
      <c r="Y2789" s="259">
        <v>81</v>
      </c>
      <c r="Z2789" s="259" t="s">
        <v>3030</v>
      </c>
      <c r="AA2789" s="259"/>
      <c r="AB2789" s="259"/>
      <c r="AC2789" s="259"/>
      <c r="AD2789" s="259"/>
      <c r="AE2789" s="259"/>
    </row>
    <row r="2790" spans="1:31">
      <c r="A2790" s="259">
        <v>5029646</v>
      </c>
      <c r="B2790" s="259" t="s">
        <v>124</v>
      </c>
      <c r="C2790" s="264" t="s">
        <v>8114</v>
      </c>
      <c r="D2790" s="264">
        <v>5029646</v>
      </c>
      <c r="E2790" s="259" t="s">
        <v>8075</v>
      </c>
      <c r="H2790" s="264" t="s">
        <v>8118</v>
      </c>
      <c r="I2790" s="264" t="s">
        <v>8118</v>
      </c>
      <c r="J2790" s="295">
        <v>834.32</v>
      </c>
      <c r="K2790" s="295">
        <v>665</v>
      </c>
      <c r="L2790" s="295">
        <v>510.61</v>
      </c>
      <c r="O2790" s="266"/>
      <c r="R2790" s="265">
        <v>35</v>
      </c>
      <c r="S2790" s="265">
        <v>45</v>
      </c>
      <c r="T2790" s="265">
        <v>45</v>
      </c>
      <c r="U2790" s="265">
        <v>20</v>
      </c>
      <c r="V2790" s="259" t="s">
        <v>3996</v>
      </c>
      <c r="Y2790" s="259">
        <v>82</v>
      </c>
      <c r="AA2790" s="259"/>
      <c r="AB2790" s="259"/>
      <c r="AC2790" s="259"/>
      <c r="AD2790" s="259"/>
      <c r="AE2790" s="259"/>
    </row>
    <row r="2791" spans="1:31">
      <c r="A2791" s="259">
        <v>5029647</v>
      </c>
      <c r="B2791" s="259" t="s">
        <v>124</v>
      </c>
      <c r="C2791" s="264" t="s">
        <v>8114</v>
      </c>
      <c r="D2791" s="264">
        <v>5029647</v>
      </c>
      <c r="E2791" s="259" t="s">
        <v>8075</v>
      </c>
      <c r="H2791" s="264" t="s">
        <v>8119</v>
      </c>
      <c r="I2791" s="264" t="s">
        <v>8119</v>
      </c>
      <c r="J2791" s="295">
        <v>954.37</v>
      </c>
      <c r="K2791" s="295">
        <v>765</v>
      </c>
      <c r="L2791" s="295">
        <v>585.66</v>
      </c>
      <c r="O2791" s="266"/>
      <c r="R2791" s="265">
        <v>35</v>
      </c>
      <c r="S2791" s="265">
        <v>45</v>
      </c>
      <c r="T2791" s="265">
        <v>45</v>
      </c>
      <c r="U2791" s="265">
        <v>20</v>
      </c>
      <c r="V2791" s="259" t="s">
        <v>3028</v>
      </c>
      <c r="Y2791" s="259">
        <v>83</v>
      </c>
      <c r="AA2791" s="259"/>
      <c r="AB2791" s="259"/>
      <c r="AC2791" s="259"/>
      <c r="AD2791" s="259"/>
      <c r="AE2791" s="259"/>
    </row>
    <row r="2792" spans="1:31">
      <c r="A2792" s="259" t="s">
        <v>2448</v>
      </c>
      <c r="B2792" s="259" t="s">
        <v>124</v>
      </c>
      <c r="C2792" s="264" t="s">
        <v>8120</v>
      </c>
      <c r="D2792" s="264" t="s">
        <v>2448</v>
      </c>
      <c r="E2792" s="259">
        <v>83100300</v>
      </c>
      <c r="H2792" s="264" t="s">
        <v>8121</v>
      </c>
      <c r="I2792" s="264" t="s">
        <v>8122</v>
      </c>
      <c r="J2792" s="295">
        <v>1112.75</v>
      </c>
      <c r="K2792" s="295">
        <v>895</v>
      </c>
      <c r="L2792" s="295">
        <v>681.46</v>
      </c>
      <c r="O2792" s="266"/>
      <c r="P2792" s="266">
        <v>688705003573</v>
      </c>
      <c r="R2792" s="265">
        <v>5</v>
      </c>
      <c r="S2792" s="265">
        <v>12</v>
      </c>
      <c r="T2792" s="265">
        <v>24</v>
      </c>
      <c r="U2792" s="265">
        <v>12</v>
      </c>
      <c r="V2792" s="259"/>
      <c r="W2792" s="259" t="s">
        <v>3061</v>
      </c>
      <c r="X2792" s="264" t="s">
        <v>8123</v>
      </c>
      <c r="Y2792" s="259">
        <v>84</v>
      </c>
      <c r="Z2792" s="259" t="s">
        <v>3030</v>
      </c>
      <c r="AA2792" s="259"/>
      <c r="AB2792" s="259"/>
      <c r="AC2792" s="259"/>
      <c r="AD2792" s="259"/>
      <c r="AE2792" s="259"/>
    </row>
    <row r="2793" spans="1:31">
      <c r="A2793" s="259" t="s">
        <v>2449</v>
      </c>
      <c r="B2793" s="259" t="s">
        <v>124</v>
      </c>
      <c r="C2793" s="264" t="s">
        <v>8120</v>
      </c>
      <c r="D2793" s="264" t="s">
        <v>2449</v>
      </c>
      <c r="E2793" s="259" t="s">
        <v>8075</v>
      </c>
      <c r="H2793" s="264" t="s">
        <v>8124</v>
      </c>
      <c r="I2793" s="264" t="s">
        <v>8125</v>
      </c>
      <c r="J2793" s="295">
        <v>1526.18</v>
      </c>
      <c r="K2793" s="295">
        <v>1225</v>
      </c>
      <c r="L2793" s="295">
        <v>1011.86</v>
      </c>
      <c r="O2793" s="266"/>
      <c r="P2793" s="266">
        <v>688705000398</v>
      </c>
      <c r="R2793" s="265">
        <v>1</v>
      </c>
      <c r="S2793" s="265">
        <v>14</v>
      </c>
      <c r="T2793" s="265">
        <v>8</v>
      </c>
      <c r="U2793" s="265">
        <v>14</v>
      </c>
      <c r="V2793" s="259" t="s">
        <v>3028</v>
      </c>
      <c r="W2793" s="259" t="s">
        <v>3061</v>
      </c>
      <c r="X2793" s="264" t="s">
        <v>8123</v>
      </c>
      <c r="Y2793" s="259">
        <v>85</v>
      </c>
      <c r="Z2793" s="259" t="s">
        <v>3030</v>
      </c>
      <c r="AA2793" s="259"/>
      <c r="AB2793" s="259"/>
      <c r="AC2793" s="259"/>
      <c r="AD2793" s="259"/>
      <c r="AE2793" s="259"/>
    </row>
    <row r="2794" spans="1:31">
      <c r="A2794" s="259" t="s">
        <v>2450</v>
      </c>
      <c r="B2794" s="259" t="s">
        <v>124</v>
      </c>
      <c r="C2794" s="264" t="s">
        <v>8120</v>
      </c>
      <c r="D2794" s="264" t="s">
        <v>2450</v>
      </c>
      <c r="E2794" s="259" t="s">
        <v>8095</v>
      </c>
      <c r="H2794" s="264" t="s">
        <v>8126</v>
      </c>
      <c r="I2794" s="264" t="s">
        <v>8127</v>
      </c>
      <c r="J2794" s="295">
        <v>448.97</v>
      </c>
      <c r="K2794" s="295">
        <v>399</v>
      </c>
      <c r="L2794" s="295">
        <v>303.02</v>
      </c>
      <c r="O2794" s="266"/>
      <c r="P2794" s="266">
        <v>688705001944</v>
      </c>
      <c r="R2794" s="265">
        <v>1</v>
      </c>
      <c r="S2794" s="265">
        <v>10</v>
      </c>
      <c r="T2794" s="265">
        <v>10</v>
      </c>
      <c r="U2794" s="265">
        <v>14.25</v>
      </c>
      <c r="V2794" s="259" t="s">
        <v>3028</v>
      </c>
      <c r="W2794" s="259" t="s">
        <v>3061</v>
      </c>
      <c r="X2794" s="264" t="s">
        <v>8123</v>
      </c>
      <c r="Y2794" s="259">
        <v>86</v>
      </c>
      <c r="Z2794" s="259" t="s">
        <v>3030</v>
      </c>
      <c r="AA2794" s="259"/>
      <c r="AB2794" s="259"/>
      <c r="AC2794" s="259"/>
      <c r="AD2794" s="259"/>
      <c r="AE2794" s="259"/>
    </row>
    <row r="2795" spans="1:31">
      <c r="A2795" s="259" t="s">
        <v>844</v>
      </c>
      <c r="B2795" s="259" t="s">
        <v>124</v>
      </c>
      <c r="C2795" s="264" t="s">
        <v>8120</v>
      </c>
      <c r="D2795" s="264" t="s">
        <v>5128</v>
      </c>
      <c r="E2795" s="259" t="s">
        <v>5026</v>
      </c>
      <c r="H2795" s="264" t="s">
        <v>1949</v>
      </c>
      <c r="I2795" s="264" t="s">
        <v>8128</v>
      </c>
      <c r="J2795" s="295">
        <v>749.09</v>
      </c>
      <c r="K2795" s="295">
        <v>605</v>
      </c>
      <c r="L2795" s="295">
        <v>459.13</v>
      </c>
      <c r="O2795" s="266"/>
      <c r="P2795" s="266">
        <v>691991013539</v>
      </c>
      <c r="R2795" s="265">
        <v>0</v>
      </c>
      <c r="S2795" s="265">
        <v>0</v>
      </c>
      <c r="T2795" s="265">
        <v>0</v>
      </c>
      <c r="U2795" s="265">
        <v>0</v>
      </c>
      <c r="V2795" s="259" t="s">
        <v>4159</v>
      </c>
      <c r="W2795" s="259" t="s">
        <v>3061</v>
      </c>
      <c r="X2795" s="264" t="s">
        <v>5131</v>
      </c>
      <c r="Y2795" s="259">
        <v>87</v>
      </c>
      <c r="Z2795" s="259" t="s">
        <v>3030</v>
      </c>
      <c r="AA2795" s="259"/>
      <c r="AB2795" s="259"/>
      <c r="AC2795" s="259"/>
      <c r="AD2795" s="259"/>
      <c r="AE2795" s="259"/>
    </row>
    <row r="2796" spans="1:31">
      <c r="A2796" s="259" t="s">
        <v>2451</v>
      </c>
      <c r="B2796" s="259" t="s">
        <v>124</v>
      </c>
      <c r="C2796" s="264" t="s">
        <v>8120</v>
      </c>
      <c r="D2796" s="264" t="s">
        <v>2451</v>
      </c>
      <c r="E2796" s="259" t="s">
        <v>8075</v>
      </c>
      <c r="H2796" s="264" t="s">
        <v>8129</v>
      </c>
      <c r="I2796" s="264" t="s">
        <v>8130</v>
      </c>
      <c r="J2796" s="295">
        <v>960.37</v>
      </c>
      <c r="K2796" s="295">
        <v>769</v>
      </c>
      <c r="L2796" s="295">
        <v>587.75</v>
      </c>
      <c r="O2796" s="266"/>
      <c r="P2796" s="266">
        <v>688705003580</v>
      </c>
      <c r="R2796" s="265">
        <v>1</v>
      </c>
      <c r="S2796" s="265">
        <v>15</v>
      </c>
      <c r="T2796" s="265">
        <v>8</v>
      </c>
      <c r="U2796" s="265">
        <v>4</v>
      </c>
      <c r="V2796" s="259" t="s">
        <v>3028</v>
      </c>
      <c r="W2796" s="259" t="s">
        <v>3061</v>
      </c>
      <c r="X2796" s="264" t="s">
        <v>8123</v>
      </c>
      <c r="Y2796" s="259">
        <v>88</v>
      </c>
      <c r="Z2796" s="259" t="s">
        <v>3030</v>
      </c>
      <c r="AA2796" s="259"/>
      <c r="AB2796" s="259"/>
      <c r="AC2796" s="259"/>
      <c r="AD2796" s="259"/>
      <c r="AE2796" s="259"/>
    </row>
    <row r="2797" spans="1:31">
      <c r="A2797" s="259" t="s">
        <v>2452</v>
      </c>
      <c r="B2797" s="259" t="s">
        <v>124</v>
      </c>
      <c r="C2797" s="264" t="s">
        <v>8120</v>
      </c>
      <c r="D2797" s="264" t="s">
        <v>2452</v>
      </c>
      <c r="E2797" s="259" t="s">
        <v>8075</v>
      </c>
      <c r="H2797" s="264" t="s">
        <v>8131</v>
      </c>
      <c r="I2797" s="264" t="s">
        <v>8131</v>
      </c>
      <c r="J2797" s="295">
        <v>808.15</v>
      </c>
      <c r="K2797" s="295">
        <v>649</v>
      </c>
      <c r="L2797" s="295">
        <v>535.80999999999995</v>
      </c>
      <c r="O2797" s="266"/>
      <c r="P2797" s="266">
        <v>688705001357</v>
      </c>
      <c r="R2797" s="265">
        <v>1</v>
      </c>
      <c r="S2797" s="265">
        <v>4.5</v>
      </c>
      <c r="T2797" s="265">
        <v>5</v>
      </c>
      <c r="U2797" s="265">
        <v>4.5</v>
      </c>
      <c r="V2797" s="259" t="s">
        <v>3028</v>
      </c>
      <c r="W2797" s="259" t="s">
        <v>3061</v>
      </c>
      <c r="X2797" s="264" t="s">
        <v>8123</v>
      </c>
      <c r="Y2797" s="259">
        <v>89</v>
      </c>
      <c r="Z2797" s="259" t="s">
        <v>3030</v>
      </c>
      <c r="AA2797" s="259"/>
      <c r="AB2797" s="259"/>
      <c r="AC2797" s="259"/>
      <c r="AD2797" s="259"/>
      <c r="AE2797" s="259"/>
    </row>
    <row r="2798" spans="1:31">
      <c r="A2798" s="259" t="s">
        <v>2453</v>
      </c>
      <c r="B2798" s="259" t="s">
        <v>124</v>
      </c>
      <c r="C2798" s="264" t="s">
        <v>8120</v>
      </c>
      <c r="D2798" s="264" t="s">
        <v>2453</v>
      </c>
      <c r="E2798" s="259" t="s">
        <v>8075</v>
      </c>
      <c r="H2798" s="264" t="s">
        <v>8132</v>
      </c>
      <c r="I2798" s="264" t="s">
        <v>8132</v>
      </c>
      <c r="J2798" s="295">
        <v>847.95</v>
      </c>
      <c r="K2798" s="295">
        <v>675</v>
      </c>
      <c r="L2798" s="295">
        <v>562.67999999999995</v>
      </c>
      <c r="O2798" s="266"/>
      <c r="P2798" s="266">
        <v>688705001364</v>
      </c>
      <c r="R2798" s="265">
        <v>1</v>
      </c>
      <c r="S2798" s="265">
        <v>14.5</v>
      </c>
      <c r="T2798" s="265">
        <v>7.5</v>
      </c>
      <c r="U2798" s="265">
        <v>4.5</v>
      </c>
      <c r="V2798" s="259"/>
      <c r="W2798" s="259" t="s">
        <v>3061</v>
      </c>
      <c r="X2798" s="264" t="s">
        <v>8123</v>
      </c>
      <c r="Y2798" s="259">
        <v>90</v>
      </c>
      <c r="Z2798" s="259" t="s">
        <v>3030</v>
      </c>
      <c r="AA2798" s="259"/>
      <c r="AB2798" s="259"/>
      <c r="AC2798" s="259"/>
      <c r="AD2798" s="259"/>
      <c r="AE2798" s="259"/>
    </row>
    <row r="2799" spans="1:31">
      <c r="A2799" s="259" t="s">
        <v>2454</v>
      </c>
      <c r="B2799" s="259" t="s">
        <v>124</v>
      </c>
      <c r="C2799" s="264" t="s">
        <v>8120</v>
      </c>
      <c r="D2799" s="264" t="s">
        <v>2454</v>
      </c>
      <c r="E2799" s="259" t="s">
        <v>8075</v>
      </c>
      <c r="H2799" s="264" t="s">
        <v>8133</v>
      </c>
      <c r="I2799" s="264" t="s">
        <v>8134</v>
      </c>
      <c r="J2799" s="295">
        <v>2075.48</v>
      </c>
      <c r="K2799" s="295">
        <v>1659</v>
      </c>
      <c r="L2799" s="295">
        <v>1375.63</v>
      </c>
      <c r="O2799" s="266"/>
      <c r="P2799" s="266">
        <v>688705001340</v>
      </c>
      <c r="R2799" s="265">
        <v>1</v>
      </c>
      <c r="S2799" s="265">
        <v>15</v>
      </c>
      <c r="T2799" s="265">
        <v>11</v>
      </c>
      <c r="U2799" s="265">
        <v>7.5</v>
      </c>
      <c r="V2799" s="259" t="s">
        <v>3028</v>
      </c>
      <c r="W2799" s="259" t="s">
        <v>3061</v>
      </c>
      <c r="X2799" s="264" t="s">
        <v>8123</v>
      </c>
      <c r="Y2799" s="259">
        <v>91</v>
      </c>
      <c r="Z2799" s="259" t="s">
        <v>3030</v>
      </c>
      <c r="AA2799" s="259"/>
      <c r="AB2799" s="259"/>
      <c r="AC2799" s="259"/>
      <c r="AD2799" s="259"/>
      <c r="AE2799" s="259"/>
    </row>
    <row r="2800" spans="1:31">
      <c r="A2800" s="259" t="s">
        <v>2455</v>
      </c>
      <c r="B2800" s="259" t="s">
        <v>124</v>
      </c>
      <c r="C2800" s="264" t="s">
        <v>8120</v>
      </c>
      <c r="D2800" s="264" t="s">
        <v>2455</v>
      </c>
      <c r="E2800" s="259" t="s">
        <v>8075</v>
      </c>
      <c r="H2800" s="264" t="s">
        <v>8135</v>
      </c>
      <c r="I2800" s="264" t="s">
        <v>8136</v>
      </c>
      <c r="J2800" s="295">
        <v>1063.9100000000001</v>
      </c>
      <c r="K2800" s="295">
        <v>850</v>
      </c>
      <c r="L2800" s="295">
        <v>651.63</v>
      </c>
      <c r="O2800" s="266"/>
      <c r="P2800" s="266">
        <v>688705001371</v>
      </c>
      <c r="R2800" s="265">
        <v>1</v>
      </c>
      <c r="S2800" s="265">
        <v>15</v>
      </c>
      <c r="T2800" s="265">
        <v>8</v>
      </c>
      <c r="U2800" s="265">
        <v>4</v>
      </c>
      <c r="V2800" s="259" t="s">
        <v>3028</v>
      </c>
      <c r="W2800" s="259" t="s">
        <v>3061</v>
      </c>
      <c r="X2800" s="264" t="s">
        <v>8123</v>
      </c>
      <c r="Y2800" s="259">
        <v>92</v>
      </c>
      <c r="Z2800" s="259" t="s">
        <v>3030</v>
      </c>
      <c r="AA2800" s="259"/>
      <c r="AB2800" s="259"/>
      <c r="AC2800" s="259"/>
      <c r="AD2800" s="259"/>
      <c r="AE2800" s="259"/>
    </row>
    <row r="2801" spans="1:31">
      <c r="A2801" s="259" t="s">
        <v>2456</v>
      </c>
      <c r="B2801" s="259" t="s">
        <v>124</v>
      </c>
      <c r="C2801" s="264" t="s">
        <v>8120</v>
      </c>
      <c r="D2801" s="264" t="s">
        <v>2456</v>
      </c>
      <c r="E2801" s="259" t="s">
        <v>8075</v>
      </c>
      <c r="H2801" s="264" t="s">
        <v>8137</v>
      </c>
      <c r="I2801" s="264" t="s">
        <v>8138</v>
      </c>
      <c r="J2801" s="295">
        <v>1544.1</v>
      </c>
      <c r="K2801" s="295">
        <v>1235</v>
      </c>
      <c r="L2801" s="295">
        <v>1025.19</v>
      </c>
      <c r="O2801" s="266"/>
      <c r="P2801" s="266">
        <v>688705001388</v>
      </c>
      <c r="R2801" s="265">
        <v>1</v>
      </c>
      <c r="S2801" s="265">
        <v>1</v>
      </c>
      <c r="T2801" s="265">
        <v>1</v>
      </c>
      <c r="U2801" s="265">
        <v>1</v>
      </c>
      <c r="V2801" s="259" t="s">
        <v>3028</v>
      </c>
      <c r="W2801" s="259" t="s">
        <v>3061</v>
      </c>
      <c r="X2801" s="264" t="s">
        <v>8123</v>
      </c>
      <c r="Y2801" s="259">
        <v>93</v>
      </c>
      <c r="Z2801" s="259" t="s">
        <v>3227</v>
      </c>
      <c r="AA2801" s="259"/>
      <c r="AB2801" s="259"/>
      <c r="AC2801" s="259"/>
      <c r="AD2801" s="259"/>
      <c r="AE2801" s="259"/>
    </row>
    <row r="2802" spans="1:31">
      <c r="A2802" s="259">
        <v>5044496</v>
      </c>
      <c r="B2802" s="259" t="s">
        <v>124</v>
      </c>
      <c r="C2802" s="264" t="s">
        <v>8139</v>
      </c>
      <c r="D2802" s="264">
        <v>5044496</v>
      </c>
      <c r="E2802" s="259" t="s">
        <v>8140</v>
      </c>
      <c r="H2802" s="264" t="s">
        <v>8141</v>
      </c>
      <c r="I2802" s="264" t="s">
        <v>8142</v>
      </c>
      <c r="J2802" s="295">
        <v>16630.810000000001</v>
      </c>
      <c r="K2802" s="295">
        <v>16630.810000000001</v>
      </c>
      <c r="L2802" s="295">
        <v>12057.14</v>
      </c>
      <c r="O2802" s="266"/>
      <c r="P2802" s="266">
        <v>688705000558</v>
      </c>
      <c r="R2802" s="265"/>
      <c r="V2802" s="259" t="s">
        <v>3028</v>
      </c>
      <c r="W2802" s="259" t="s">
        <v>3061</v>
      </c>
      <c r="Y2802" s="259">
        <v>94</v>
      </c>
      <c r="AA2802" s="259"/>
      <c r="AB2802" s="259"/>
      <c r="AC2802" s="259"/>
      <c r="AD2802" s="259"/>
      <c r="AE2802" s="259"/>
    </row>
    <row r="2803" spans="1:31">
      <c r="A2803" s="259" t="s">
        <v>2457</v>
      </c>
      <c r="B2803" s="259" t="s">
        <v>124</v>
      </c>
      <c r="C2803" s="264" t="s">
        <v>8139</v>
      </c>
      <c r="D2803" s="264" t="s">
        <v>2457</v>
      </c>
      <c r="E2803" s="259" t="s">
        <v>8140</v>
      </c>
      <c r="H2803" s="264" t="s">
        <v>8143</v>
      </c>
      <c r="I2803" s="264" t="s">
        <v>8144</v>
      </c>
      <c r="J2803" s="295">
        <v>17023.87</v>
      </c>
      <c r="K2803" s="295">
        <v>17023</v>
      </c>
      <c r="L2803" s="295">
        <v>12342.08</v>
      </c>
      <c r="O2803" s="266"/>
      <c r="P2803" s="266">
        <v>688705001593</v>
      </c>
      <c r="R2803" s="265"/>
      <c r="S2803" s="265">
        <v>37</v>
      </c>
      <c r="T2803" s="265">
        <v>48.5</v>
      </c>
      <c r="U2803" s="265">
        <v>21</v>
      </c>
      <c r="V2803" s="259" t="s">
        <v>3028</v>
      </c>
      <c r="W2803" s="259" t="s">
        <v>3061</v>
      </c>
      <c r="Y2803" s="259">
        <v>95</v>
      </c>
      <c r="Z2803" s="259" t="s">
        <v>3030</v>
      </c>
      <c r="AA2803" s="259"/>
      <c r="AB2803" s="259"/>
      <c r="AC2803" s="259"/>
      <c r="AD2803" s="259"/>
      <c r="AE2803" s="259"/>
    </row>
    <row r="2804" spans="1:31">
      <c r="A2804" s="259" t="s">
        <v>2458</v>
      </c>
      <c r="B2804" s="259" t="s">
        <v>124</v>
      </c>
      <c r="C2804" s="264" t="s">
        <v>8139</v>
      </c>
      <c r="D2804" s="264" t="s">
        <v>2458</v>
      </c>
      <c r="E2804" s="259" t="s">
        <v>8140</v>
      </c>
      <c r="F2804" s="259" t="s">
        <v>5021</v>
      </c>
      <c r="H2804" s="264" t="s">
        <v>8145</v>
      </c>
      <c r="I2804" s="264" t="s">
        <v>8146</v>
      </c>
      <c r="J2804" s="295">
        <v>1616.31</v>
      </c>
      <c r="K2804" s="295">
        <v>1616</v>
      </c>
      <c r="L2804" s="295">
        <v>808.15</v>
      </c>
      <c r="O2804" s="266"/>
      <c r="R2804" s="265"/>
      <c r="V2804" s="259"/>
      <c r="W2804" s="259" t="s">
        <v>3061</v>
      </c>
      <c r="Y2804" s="259">
        <v>96</v>
      </c>
      <c r="Z2804" s="259" t="s">
        <v>3030</v>
      </c>
      <c r="AA2804" s="259"/>
      <c r="AB2804" s="259"/>
      <c r="AC2804" s="259"/>
      <c r="AD2804" s="259"/>
      <c r="AE2804" s="259"/>
    </row>
    <row r="2805" spans="1:31">
      <c r="A2805" s="259" t="s">
        <v>2459</v>
      </c>
      <c r="B2805" s="259" t="s">
        <v>124</v>
      </c>
      <c r="C2805" s="264" t="s">
        <v>8139</v>
      </c>
      <c r="D2805" s="264" t="s">
        <v>2459</v>
      </c>
      <c r="E2805" s="259" t="s">
        <v>8140</v>
      </c>
      <c r="F2805" s="259" t="s">
        <v>5021</v>
      </c>
      <c r="H2805" s="264" t="s">
        <v>8147</v>
      </c>
      <c r="I2805" s="264" t="s">
        <v>8148</v>
      </c>
      <c r="J2805" s="295">
        <v>3820.36</v>
      </c>
      <c r="K2805" s="295">
        <v>3820</v>
      </c>
      <c r="L2805" s="295">
        <v>1910.18</v>
      </c>
      <c r="O2805" s="266"/>
      <c r="R2805" s="265">
        <v>130</v>
      </c>
      <c r="S2805" s="265">
        <v>45</v>
      </c>
      <c r="T2805" s="265">
        <v>39</v>
      </c>
      <c r="U2805" s="265">
        <v>21</v>
      </c>
      <c r="V2805" s="259" t="s">
        <v>3996</v>
      </c>
      <c r="W2805" s="259" t="s">
        <v>3061</v>
      </c>
      <c r="Y2805" s="259">
        <v>97</v>
      </c>
      <c r="Z2805" s="259" t="s">
        <v>3030</v>
      </c>
      <c r="AA2805" s="259"/>
      <c r="AB2805" s="259"/>
      <c r="AC2805" s="259"/>
      <c r="AD2805" s="259"/>
      <c r="AE2805" s="259"/>
    </row>
    <row r="2806" spans="1:31">
      <c r="A2806" s="259" t="s">
        <v>2460</v>
      </c>
      <c r="B2806" s="259" t="s">
        <v>124</v>
      </c>
      <c r="C2806" s="264" t="s">
        <v>8139</v>
      </c>
      <c r="D2806" s="264" t="s">
        <v>2460</v>
      </c>
      <c r="E2806" s="259" t="s">
        <v>8140</v>
      </c>
      <c r="F2806" s="259" t="s">
        <v>5021</v>
      </c>
      <c r="H2806" s="264" t="s">
        <v>8149</v>
      </c>
      <c r="I2806" s="264" t="s">
        <v>8150</v>
      </c>
      <c r="J2806" s="295">
        <v>148.4</v>
      </c>
      <c r="K2806" s="295">
        <v>148.4</v>
      </c>
      <c r="L2806" s="295">
        <v>74.2</v>
      </c>
      <c r="O2806" s="266"/>
      <c r="R2806" s="265"/>
      <c r="U2806" s="265">
        <v>0</v>
      </c>
      <c r="V2806" s="259"/>
      <c r="W2806" s="259" t="s">
        <v>3061</v>
      </c>
      <c r="Y2806" s="259">
        <v>98</v>
      </c>
      <c r="AA2806" s="259"/>
      <c r="AB2806" s="259"/>
      <c r="AC2806" s="259"/>
      <c r="AD2806" s="259"/>
      <c r="AE2806" s="259"/>
    </row>
    <row r="2807" spans="1:31">
      <c r="A2807" s="259">
        <v>5083487</v>
      </c>
      <c r="B2807" s="259" t="s">
        <v>124</v>
      </c>
      <c r="C2807" s="264" t="s">
        <v>8151</v>
      </c>
      <c r="D2807" s="264">
        <v>5083487</v>
      </c>
      <c r="E2807" s="259" t="s">
        <v>8140</v>
      </c>
      <c r="H2807" s="264" t="s">
        <v>8152</v>
      </c>
      <c r="I2807" s="264" t="s">
        <v>8152</v>
      </c>
      <c r="J2807" s="295">
        <v>24483.360000000001</v>
      </c>
      <c r="K2807" s="295">
        <v>24483</v>
      </c>
      <c r="L2807" s="295">
        <v>13574.09</v>
      </c>
      <c r="O2807" s="266"/>
      <c r="P2807" s="266">
        <v>688705003115</v>
      </c>
      <c r="R2807" s="265">
        <v>102</v>
      </c>
      <c r="S2807" s="265">
        <v>37.4</v>
      </c>
      <c r="T2807" s="265">
        <v>38.6</v>
      </c>
      <c r="U2807" s="265">
        <v>23.2</v>
      </c>
      <c r="V2807" s="259" t="s">
        <v>3028</v>
      </c>
      <c r="W2807" s="259" t="s">
        <v>3061</v>
      </c>
      <c r="Y2807" s="259">
        <v>99</v>
      </c>
      <c r="AA2807" s="259"/>
      <c r="AB2807" s="259"/>
      <c r="AC2807" s="259"/>
      <c r="AD2807" s="259"/>
      <c r="AE2807" s="259"/>
    </row>
    <row r="2808" spans="1:31">
      <c r="A2808" s="259" t="s">
        <v>2461</v>
      </c>
      <c r="B2808" s="259" t="s">
        <v>124</v>
      </c>
      <c r="C2808" s="264" t="s">
        <v>8151</v>
      </c>
      <c r="D2808" s="264" t="s">
        <v>2461</v>
      </c>
      <c r="E2808" s="259" t="s">
        <v>8140</v>
      </c>
      <c r="F2808" s="259" t="s">
        <v>5021</v>
      </c>
      <c r="H2808" s="264" t="s">
        <v>8153</v>
      </c>
      <c r="I2808" s="264" t="s">
        <v>8154</v>
      </c>
      <c r="J2808" s="295">
        <v>2602.0100000000002</v>
      </c>
      <c r="K2808" s="295">
        <v>2602</v>
      </c>
      <c r="L2808" s="295">
        <v>1301</v>
      </c>
      <c r="O2808" s="266"/>
      <c r="R2808" s="265"/>
      <c r="V2808" s="259" t="s">
        <v>3574</v>
      </c>
      <c r="W2808" s="259" t="s">
        <v>3061</v>
      </c>
      <c r="Y2808" s="259">
        <v>100</v>
      </c>
      <c r="AA2808" s="259"/>
      <c r="AB2808" s="259"/>
      <c r="AC2808" s="259"/>
      <c r="AD2808" s="259"/>
      <c r="AE2808" s="259"/>
    </row>
    <row r="2809" spans="1:31">
      <c r="A2809" s="259">
        <v>5056046</v>
      </c>
      <c r="B2809" s="259" t="s">
        <v>124</v>
      </c>
      <c r="C2809" s="264" t="s">
        <v>8155</v>
      </c>
      <c r="D2809" s="264">
        <v>5056046</v>
      </c>
      <c r="E2809" s="259" t="s">
        <v>8140</v>
      </c>
      <c r="H2809" s="264" t="s">
        <v>8156</v>
      </c>
      <c r="I2809" s="264" t="s">
        <v>8157</v>
      </c>
      <c r="J2809" s="295">
        <v>39060.730000000003</v>
      </c>
      <c r="K2809" s="295">
        <v>39060</v>
      </c>
      <c r="L2809" s="295">
        <v>21360.37</v>
      </c>
      <c r="O2809" s="266"/>
      <c r="P2809" s="266">
        <v>688705001623</v>
      </c>
      <c r="R2809" s="265"/>
      <c r="V2809" s="259" t="s">
        <v>3028</v>
      </c>
      <c r="W2809" s="259" t="s">
        <v>3061</v>
      </c>
      <c r="Y2809" s="259">
        <v>101</v>
      </c>
      <c r="AA2809" s="259"/>
      <c r="AB2809" s="259"/>
      <c r="AC2809" s="259"/>
      <c r="AD2809" s="259"/>
      <c r="AE2809" s="259"/>
    </row>
    <row r="2810" spans="1:31">
      <c r="A2810" s="259">
        <v>5042680</v>
      </c>
      <c r="B2810" s="259" t="s">
        <v>124</v>
      </c>
      <c r="C2810" s="264" t="s">
        <v>8158</v>
      </c>
      <c r="D2810" s="264">
        <v>5042680</v>
      </c>
      <c r="E2810" s="259" t="s">
        <v>8140</v>
      </c>
      <c r="H2810" s="264" t="s">
        <v>8159</v>
      </c>
      <c r="I2810" s="264" t="s">
        <v>8160</v>
      </c>
      <c r="J2810" s="295">
        <v>52244.23</v>
      </c>
      <c r="K2810" s="295">
        <v>52244</v>
      </c>
      <c r="L2810" s="295">
        <v>28914.21</v>
      </c>
      <c r="O2810" s="266"/>
      <c r="P2810" s="266">
        <v>688705000862</v>
      </c>
      <c r="R2810" s="265"/>
      <c r="V2810" s="259" t="s">
        <v>3028</v>
      </c>
      <c r="W2810" s="259" t="s">
        <v>3061</v>
      </c>
      <c r="Y2810" s="259">
        <v>102</v>
      </c>
      <c r="AA2810" s="259"/>
      <c r="AB2810" s="259"/>
      <c r="AC2810" s="259"/>
      <c r="AD2810" s="259"/>
      <c r="AE2810" s="259"/>
    </row>
    <row r="2811" spans="1:31">
      <c r="A2811" s="259">
        <v>5047551</v>
      </c>
      <c r="B2811" s="259" t="s">
        <v>124</v>
      </c>
      <c r="C2811" s="264" t="s">
        <v>8158</v>
      </c>
      <c r="D2811" s="264">
        <v>5047551</v>
      </c>
      <c r="E2811" s="259" t="s">
        <v>8140</v>
      </c>
      <c r="H2811" s="264" t="s">
        <v>8161</v>
      </c>
      <c r="I2811" s="264" t="s">
        <v>8162</v>
      </c>
      <c r="J2811" s="295">
        <v>3979.54</v>
      </c>
      <c r="K2811" s="295">
        <v>3979</v>
      </c>
      <c r="L2811" s="295">
        <v>1989.77</v>
      </c>
      <c r="O2811" s="266"/>
      <c r="P2811" s="266">
        <v>688705001036</v>
      </c>
      <c r="R2811" s="265"/>
      <c r="V2811" s="259" t="s">
        <v>7247</v>
      </c>
      <c r="W2811" s="259" t="s">
        <v>3061</v>
      </c>
      <c r="Y2811" s="259">
        <v>103</v>
      </c>
      <c r="AA2811" s="259"/>
      <c r="AB2811" s="259"/>
      <c r="AC2811" s="259"/>
      <c r="AD2811" s="259"/>
      <c r="AE2811" s="259"/>
    </row>
    <row r="2812" spans="1:31">
      <c r="A2812" s="259">
        <v>5047552</v>
      </c>
      <c r="B2812" s="259" t="s">
        <v>124</v>
      </c>
      <c r="C2812" s="264" t="s">
        <v>8158</v>
      </c>
      <c r="D2812" s="264">
        <v>5047552</v>
      </c>
      <c r="E2812" s="259" t="s">
        <v>8140</v>
      </c>
      <c r="H2812" s="264" t="s">
        <v>8163</v>
      </c>
      <c r="I2812" s="264" t="s">
        <v>8164</v>
      </c>
      <c r="J2812" s="295">
        <v>4653</v>
      </c>
      <c r="K2812" s="295">
        <v>4653</v>
      </c>
      <c r="L2812" s="295">
        <v>2326.5</v>
      </c>
      <c r="O2812" s="266"/>
      <c r="P2812" s="266">
        <v>688705001043</v>
      </c>
      <c r="R2812" s="265"/>
      <c r="V2812" s="259" t="s">
        <v>3028</v>
      </c>
      <c r="W2812" s="259" t="s">
        <v>3061</v>
      </c>
      <c r="Y2812" s="259">
        <v>104</v>
      </c>
      <c r="AA2812" s="259"/>
      <c r="AB2812" s="259"/>
      <c r="AC2812" s="259"/>
      <c r="AD2812" s="259"/>
      <c r="AE2812" s="259"/>
    </row>
    <row r="2813" spans="1:31">
      <c r="A2813" s="259">
        <v>5057291</v>
      </c>
      <c r="B2813" s="259" t="s">
        <v>124</v>
      </c>
      <c r="C2813" s="264" t="s">
        <v>8165</v>
      </c>
      <c r="D2813" s="264">
        <v>5057291</v>
      </c>
      <c r="E2813" s="259" t="s">
        <v>8140</v>
      </c>
      <c r="H2813" s="264" t="s">
        <v>8166</v>
      </c>
      <c r="I2813" s="264" t="s">
        <v>8167</v>
      </c>
      <c r="J2813" s="295">
        <v>46872.88</v>
      </c>
      <c r="K2813" s="295">
        <v>46872</v>
      </c>
      <c r="L2813" s="295">
        <v>26322.95</v>
      </c>
      <c r="O2813" s="266"/>
      <c r="P2813" s="266">
        <v>688705001784</v>
      </c>
      <c r="R2813" s="265"/>
      <c r="V2813" s="259" t="s">
        <v>3028</v>
      </c>
      <c r="W2813" s="259" t="s">
        <v>3061</v>
      </c>
      <c r="Y2813" s="259">
        <v>105</v>
      </c>
      <c r="AA2813" s="259"/>
      <c r="AB2813" s="259"/>
      <c r="AC2813" s="259"/>
      <c r="AD2813" s="259"/>
      <c r="AE2813" s="259"/>
    </row>
    <row r="2814" spans="1:31">
      <c r="A2814" s="259">
        <v>5057292</v>
      </c>
      <c r="B2814" s="259" t="s">
        <v>124</v>
      </c>
      <c r="C2814" s="264" t="s">
        <v>8165</v>
      </c>
      <c r="D2814" s="264">
        <v>5057292</v>
      </c>
      <c r="E2814" s="259" t="s">
        <v>8140</v>
      </c>
      <c r="H2814" s="264" t="s">
        <v>8168</v>
      </c>
      <c r="I2814" s="264" t="s">
        <v>8169</v>
      </c>
      <c r="J2814" s="295">
        <v>41191.32</v>
      </c>
      <c r="K2814" s="295">
        <v>41191</v>
      </c>
      <c r="L2814" s="295">
        <v>23112.74</v>
      </c>
      <c r="O2814" s="266"/>
      <c r="P2814" s="266">
        <v>688705001791</v>
      </c>
      <c r="R2814" s="265"/>
      <c r="V2814" s="259" t="s">
        <v>3028</v>
      </c>
      <c r="W2814" s="259" t="s">
        <v>3061</v>
      </c>
      <c r="Y2814" s="259">
        <v>106</v>
      </c>
      <c r="AA2814" s="259"/>
      <c r="AB2814" s="259"/>
      <c r="AC2814" s="259"/>
      <c r="AD2814" s="259"/>
      <c r="AE2814" s="259"/>
    </row>
    <row r="2815" spans="1:31">
      <c r="A2815" s="259" t="s">
        <v>2462</v>
      </c>
      <c r="B2815" s="259" t="s">
        <v>124</v>
      </c>
      <c r="C2815" s="264" t="s">
        <v>8165</v>
      </c>
      <c r="D2815" s="264" t="s">
        <v>2462</v>
      </c>
      <c r="E2815" s="259" t="s">
        <v>8140</v>
      </c>
      <c r="H2815" s="264" t="s">
        <v>8170</v>
      </c>
      <c r="I2815" s="264" t="s">
        <v>8171</v>
      </c>
      <c r="J2815" s="295">
        <v>74328.039999999994</v>
      </c>
      <c r="K2815" s="295">
        <v>74328</v>
      </c>
      <c r="L2815" s="295">
        <v>37164.019999999997</v>
      </c>
      <c r="O2815" s="266"/>
      <c r="P2815" s="266">
        <v>688705002385</v>
      </c>
      <c r="R2815" s="265"/>
      <c r="U2815" s="265">
        <v>0</v>
      </c>
      <c r="V2815" s="259" t="s">
        <v>3028</v>
      </c>
      <c r="W2815" s="259" t="s">
        <v>3061</v>
      </c>
      <c r="Y2815" s="259">
        <v>107</v>
      </c>
      <c r="Z2815" s="259" t="s">
        <v>3264</v>
      </c>
      <c r="AA2815" s="259"/>
      <c r="AB2815" s="259"/>
      <c r="AC2815" s="259"/>
      <c r="AD2815" s="259"/>
      <c r="AE2815" s="259"/>
    </row>
    <row r="2816" spans="1:31">
      <c r="A2816" s="259" t="s">
        <v>2463</v>
      </c>
      <c r="B2816" s="259" t="s">
        <v>124</v>
      </c>
      <c r="C2816" s="264" t="s">
        <v>8165</v>
      </c>
      <c r="D2816" s="264" t="s">
        <v>2463</v>
      </c>
      <c r="E2816" s="259" t="s">
        <v>8140</v>
      </c>
      <c r="H2816" s="264" t="s">
        <v>8172</v>
      </c>
      <c r="I2816" s="264" t="s">
        <v>8173</v>
      </c>
      <c r="J2816" s="295">
        <v>68898.720000000001</v>
      </c>
      <c r="K2816" s="295">
        <v>68898</v>
      </c>
      <c r="L2816" s="295">
        <v>38050.239999999998</v>
      </c>
      <c r="O2816" s="266"/>
      <c r="P2816" s="266">
        <v>688705002378</v>
      </c>
      <c r="R2816" s="265">
        <v>80</v>
      </c>
      <c r="S2816" s="265">
        <v>30.5</v>
      </c>
      <c r="T2816" s="265">
        <v>24</v>
      </c>
      <c r="U2816" s="265">
        <v>30.5</v>
      </c>
      <c r="V2816" s="259"/>
      <c r="W2816" s="259" t="s">
        <v>3061</v>
      </c>
      <c r="Y2816" s="259">
        <v>108</v>
      </c>
      <c r="Z2816" s="259" t="s">
        <v>3030</v>
      </c>
      <c r="AA2816" s="259"/>
      <c r="AB2816" s="259"/>
      <c r="AC2816" s="259"/>
      <c r="AD2816" s="259"/>
      <c r="AE2816" s="259"/>
    </row>
    <row r="2817" spans="1:31">
      <c r="A2817" s="259" t="s">
        <v>2464</v>
      </c>
      <c r="B2817" s="259" t="s">
        <v>124</v>
      </c>
      <c r="C2817" s="264" t="s">
        <v>8165</v>
      </c>
      <c r="D2817" s="264" t="s">
        <v>2464</v>
      </c>
      <c r="E2817" s="259" t="s">
        <v>8140</v>
      </c>
      <c r="H2817" s="264" t="s">
        <v>8174</v>
      </c>
      <c r="I2817" s="264" t="s">
        <v>8175</v>
      </c>
      <c r="J2817" s="295">
        <v>57814.78</v>
      </c>
      <c r="K2817" s="295">
        <v>57814</v>
      </c>
      <c r="L2817" s="295">
        <v>31959.200000000001</v>
      </c>
      <c r="O2817" s="266"/>
      <c r="P2817" s="266">
        <v>688705002361</v>
      </c>
      <c r="R2817" s="265">
        <v>81</v>
      </c>
      <c r="S2817" s="265">
        <v>30.5</v>
      </c>
      <c r="T2817" s="265">
        <v>24</v>
      </c>
      <c r="U2817" s="265">
        <v>30.5</v>
      </c>
      <c r="V2817" s="259" t="s">
        <v>3218</v>
      </c>
      <c r="W2817" s="259" t="s">
        <v>3061</v>
      </c>
      <c r="Y2817" s="259">
        <v>109</v>
      </c>
      <c r="Z2817" s="259" t="s">
        <v>3030</v>
      </c>
      <c r="AA2817" s="259"/>
      <c r="AB2817" s="259"/>
      <c r="AC2817" s="259"/>
      <c r="AD2817" s="259"/>
      <c r="AE2817" s="259"/>
    </row>
    <row r="2818" spans="1:31">
      <c r="A2818" s="259" t="s">
        <v>2465</v>
      </c>
      <c r="B2818" s="259" t="s">
        <v>124</v>
      </c>
      <c r="C2818" s="264" t="s">
        <v>8165</v>
      </c>
      <c r="D2818" s="264" t="s">
        <v>2465</v>
      </c>
      <c r="E2818" s="259" t="s">
        <v>8140</v>
      </c>
      <c r="H2818" s="264" t="s">
        <v>8176</v>
      </c>
      <c r="I2818" s="264" t="s">
        <v>8177</v>
      </c>
      <c r="J2818" s="295">
        <v>63337.16</v>
      </c>
      <c r="K2818" s="295">
        <v>63337</v>
      </c>
      <c r="L2818" s="295">
        <v>35081.32</v>
      </c>
      <c r="O2818" s="266"/>
      <c r="P2818" s="266">
        <v>688705002354</v>
      </c>
      <c r="R2818" s="265">
        <v>83</v>
      </c>
      <c r="S2818" s="265">
        <v>24</v>
      </c>
      <c r="T2818" s="265">
        <v>21</v>
      </c>
      <c r="U2818" s="265">
        <v>24</v>
      </c>
      <c r="V2818" s="259" t="s">
        <v>3218</v>
      </c>
      <c r="W2818" s="259" t="s">
        <v>3061</v>
      </c>
      <c r="Y2818" s="259">
        <v>110</v>
      </c>
      <c r="Z2818" s="259" t="s">
        <v>3030</v>
      </c>
      <c r="AA2818" s="259"/>
      <c r="AB2818" s="259"/>
      <c r="AC2818" s="259"/>
      <c r="AD2818" s="259"/>
      <c r="AE2818" s="259"/>
    </row>
    <row r="2819" spans="1:31">
      <c r="A2819" s="259" t="s">
        <v>2466</v>
      </c>
      <c r="B2819" s="259" t="s">
        <v>124</v>
      </c>
      <c r="C2819" s="264" t="s">
        <v>8165</v>
      </c>
      <c r="D2819" s="264" t="s">
        <v>2466</v>
      </c>
      <c r="E2819" s="259" t="s">
        <v>8140</v>
      </c>
      <c r="H2819" s="264" t="s">
        <v>8178</v>
      </c>
      <c r="I2819" s="264" t="s">
        <v>8179</v>
      </c>
      <c r="J2819" s="295">
        <v>74421.100000000006</v>
      </c>
      <c r="K2819" s="295">
        <v>74421</v>
      </c>
      <c r="L2819" s="295">
        <v>41231.870000000003</v>
      </c>
      <c r="O2819" s="266"/>
      <c r="P2819" s="266">
        <v>688705002347</v>
      </c>
      <c r="R2819" s="265">
        <v>60</v>
      </c>
      <c r="S2819" s="265">
        <v>30</v>
      </c>
      <c r="T2819" s="265">
        <v>25</v>
      </c>
      <c r="U2819" s="265">
        <v>30</v>
      </c>
      <c r="V2819" s="259"/>
      <c r="W2819" s="259" t="s">
        <v>3061</v>
      </c>
      <c r="Y2819" s="259">
        <v>111</v>
      </c>
      <c r="Z2819" s="259" t="s">
        <v>3030</v>
      </c>
      <c r="AA2819" s="259"/>
      <c r="AB2819" s="259"/>
      <c r="AC2819" s="259"/>
      <c r="AD2819" s="259"/>
      <c r="AE2819" s="259"/>
    </row>
    <row r="2820" spans="1:31">
      <c r="A2820" s="259">
        <v>5058483</v>
      </c>
      <c r="B2820" s="259" t="s">
        <v>124</v>
      </c>
      <c r="C2820" s="264" t="s">
        <v>8165</v>
      </c>
      <c r="D2820" s="264">
        <v>5058483</v>
      </c>
      <c r="E2820" s="259" t="s">
        <v>8140</v>
      </c>
      <c r="F2820" s="259" t="s">
        <v>5021</v>
      </c>
      <c r="H2820" s="264" t="s">
        <v>8180</v>
      </c>
      <c r="I2820" s="264" t="s">
        <v>8181</v>
      </c>
      <c r="J2820" s="295">
        <v>18465.07</v>
      </c>
      <c r="K2820" s="295">
        <v>18465</v>
      </c>
      <c r="L2820" s="295">
        <v>9232.5400000000009</v>
      </c>
      <c r="O2820" s="266"/>
      <c r="R2820" s="265"/>
      <c r="V2820" s="259"/>
      <c r="W2820" s="259" t="s">
        <v>3061</v>
      </c>
      <c r="Y2820" s="259">
        <v>112</v>
      </c>
      <c r="AA2820" s="259"/>
      <c r="AB2820" s="259"/>
      <c r="AC2820" s="259"/>
      <c r="AD2820" s="259"/>
      <c r="AE2820" s="259"/>
    </row>
    <row r="2821" spans="1:31">
      <c r="A2821" s="259">
        <v>5059570</v>
      </c>
      <c r="B2821" s="259" t="s">
        <v>124</v>
      </c>
      <c r="C2821" s="264" t="s">
        <v>8182</v>
      </c>
      <c r="D2821" s="264">
        <v>5059570</v>
      </c>
      <c r="E2821" s="259" t="s">
        <v>8140</v>
      </c>
      <c r="F2821" s="259" t="s">
        <v>5021</v>
      </c>
      <c r="H2821" s="264" t="s">
        <v>8183</v>
      </c>
      <c r="I2821" s="264" t="s">
        <v>8184</v>
      </c>
      <c r="J2821" s="295">
        <v>6178.7</v>
      </c>
      <c r="K2821" s="295">
        <v>6178</v>
      </c>
      <c r="L2821" s="295">
        <v>3089.35</v>
      </c>
      <c r="O2821" s="266"/>
      <c r="R2821" s="265"/>
      <c r="V2821" s="259" t="s">
        <v>7247</v>
      </c>
      <c r="W2821" s="259" t="s">
        <v>3061</v>
      </c>
      <c r="Y2821" s="259">
        <v>113</v>
      </c>
      <c r="AA2821" s="259"/>
      <c r="AB2821" s="259"/>
      <c r="AC2821" s="259"/>
      <c r="AD2821" s="259"/>
      <c r="AE2821" s="259"/>
    </row>
    <row r="2822" spans="1:31">
      <c r="A2822" s="259">
        <v>5059572</v>
      </c>
      <c r="B2822" s="259" t="s">
        <v>124</v>
      </c>
      <c r="C2822" s="264" t="s">
        <v>8182</v>
      </c>
      <c r="D2822" s="264">
        <v>5059572</v>
      </c>
      <c r="E2822" s="259" t="s">
        <v>8140</v>
      </c>
      <c r="F2822" s="259" t="s">
        <v>5021</v>
      </c>
      <c r="H2822" s="264" t="s">
        <v>8185</v>
      </c>
      <c r="I2822" s="264" t="s">
        <v>8186</v>
      </c>
      <c r="J2822" s="295">
        <v>6462.78</v>
      </c>
      <c r="K2822" s="295">
        <v>6462</v>
      </c>
      <c r="L2822" s="295">
        <v>3231.39</v>
      </c>
      <c r="O2822" s="266"/>
      <c r="R2822" s="265"/>
      <c r="V2822" s="259" t="s">
        <v>7247</v>
      </c>
      <c r="W2822" s="259" t="s">
        <v>3061</v>
      </c>
      <c r="Y2822" s="259">
        <v>114</v>
      </c>
      <c r="AA2822" s="259"/>
      <c r="AB2822" s="259"/>
      <c r="AC2822" s="259"/>
      <c r="AD2822" s="259"/>
      <c r="AE2822" s="259"/>
    </row>
    <row r="2823" spans="1:31">
      <c r="A2823" s="259" t="s">
        <v>2467</v>
      </c>
      <c r="B2823" s="259" t="s">
        <v>124</v>
      </c>
      <c r="C2823" s="264" t="s">
        <v>8182</v>
      </c>
      <c r="D2823" s="264" t="s">
        <v>2467</v>
      </c>
      <c r="E2823" s="259" t="s">
        <v>8140</v>
      </c>
      <c r="F2823" s="259" t="s">
        <v>5021</v>
      </c>
      <c r="H2823" s="264" t="s">
        <v>8187</v>
      </c>
      <c r="I2823" s="264" t="s">
        <v>8188</v>
      </c>
      <c r="J2823" s="295">
        <v>993.99</v>
      </c>
      <c r="K2823" s="295">
        <v>993</v>
      </c>
      <c r="L2823" s="295">
        <v>473.7</v>
      </c>
      <c r="O2823" s="266"/>
      <c r="R2823" s="265"/>
      <c r="T2823" s="265">
        <v>0</v>
      </c>
      <c r="V2823" s="259"/>
      <c r="W2823" s="259" t="s">
        <v>3061</v>
      </c>
      <c r="Y2823" s="259">
        <v>115</v>
      </c>
      <c r="Z2823" s="259" t="s">
        <v>3030</v>
      </c>
      <c r="AA2823" s="259"/>
      <c r="AB2823" s="259"/>
      <c r="AC2823" s="259"/>
      <c r="AD2823" s="259"/>
      <c r="AE2823" s="259"/>
    </row>
    <row r="2824" spans="1:31">
      <c r="A2824" s="259" t="s">
        <v>2468</v>
      </c>
      <c r="B2824" s="259" t="s">
        <v>124</v>
      </c>
      <c r="C2824" s="264" t="s">
        <v>8182</v>
      </c>
      <c r="D2824" s="264" t="s">
        <v>2468</v>
      </c>
      <c r="E2824" s="259" t="s">
        <v>8140</v>
      </c>
      <c r="F2824" s="259" t="s">
        <v>5021</v>
      </c>
      <c r="H2824" s="264" t="s">
        <v>8189</v>
      </c>
      <c r="I2824" s="264" t="s">
        <v>8190</v>
      </c>
      <c r="J2824" s="295">
        <v>993.99</v>
      </c>
      <c r="K2824" s="295">
        <v>993</v>
      </c>
      <c r="L2824" s="295">
        <v>473.7</v>
      </c>
      <c r="O2824" s="266"/>
      <c r="R2824" s="265"/>
      <c r="T2824" s="265">
        <v>0</v>
      </c>
      <c r="V2824" s="259"/>
      <c r="W2824" s="259" t="s">
        <v>3061</v>
      </c>
      <c r="Y2824" s="259">
        <v>116</v>
      </c>
      <c r="Z2824" s="259" t="s">
        <v>3037</v>
      </c>
      <c r="AA2824" s="259"/>
      <c r="AB2824" s="259"/>
      <c r="AC2824" s="259"/>
      <c r="AD2824" s="259"/>
      <c r="AE2824" s="259"/>
    </row>
    <row r="2825" spans="1:31">
      <c r="A2825" s="259">
        <v>5058757</v>
      </c>
      <c r="B2825" s="259" t="s">
        <v>124</v>
      </c>
      <c r="C2825" s="264" t="s">
        <v>8182</v>
      </c>
      <c r="D2825" s="264">
        <v>5058757</v>
      </c>
      <c r="E2825" s="259" t="s">
        <v>8140</v>
      </c>
      <c r="F2825" s="259" t="s">
        <v>5021</v>
      </c>
      <c r="H2825" s="264" t="s">
        <v>8191</v>
      </c>
      <c r="I2825" s="264" t="s">
        <v>8192</v>
      </c>
      <c r="J2825" s="295">
        <v>1420.39</v>
      </c>
      <c r="K2825" s="295">
        <v>1420</v>
      </c>
      <c r="L2825" s="295">
        <v>710.2</v>
      </c>
      <c r="O2825" s="266"/>
      <c r="R2825" s="265"/>
      <c r="V2825" s="259"/>
      <c r="W2825" s="259" t="s">
        <v>3061</v>
      </c>
      <c r="Y2825" s="259">
        <v>117</v>
      </c>
      <c r="AA2825" s="259"/>
      <c r="AB2825" s="259"/>
      <c r="AC2825" s="259"/>
      <c r="AD2825" s="259"/>
      <c r="AE2825" s="259"/>
    </row>
    <row r="2826" spans="1:31">
      <c r="A2826" s="259">
        <v>5056738</v>
      </c>
      <c r="B2826" s="259" t="s">
        <v>124</v>
      </c>
      <c r="C2826" s="264" t="s">
        <v>8182</v>
      </c>
      <c r="D2826" s="264">
        <v>5056738</v>
      </c>
      <c r="E2826" s="259" t="s">
        <v>8140</v>
      </c>
      <c r="F2826" s="259" t="s">
        <v>5021</v>
      </c>
      <c r="H2826" s="264" t="s">
        <v>8193</v>
      </c>
      <c r="I2826" s="264" t="s">
        <v>8194</v>
      </c>
      <c r="J2826" s="295">
        <v>4947.22</v>
      </c>
      <c r="K2826" s="295">
        <v>4947</v>
      </c>
      <c r="L2826" s="295">
        <v>2473.61</v>
      </c>
      <c r="O2826" s="266"/>
      <c r="R2826" s="265"/>
      <c r="V2826" s="259" t="s">
        <v>3028</v>
      </c>
      <c r="W2826" s="259" t="s">
        <v>3061</v>
      </c>
      <c r="Y2826" s="259">
        <v>118</v>
      </c>
      <c r="AA2826" s="259"/>
      <c r="AB2826" s="259"/>
      <c r="AC2826" s="259"/>
      <c r="AD2826" s="259"/>
      <c r="AE2826" s="259"/>
    </row>
    <row r="2827" spans="1:31">
      <c r="A2827" s="259">
        <v>5058847</v>
      </c>
      <c r="B2827" s="259" t="s">
        <v>124</v>
      </c>
      <c r="C2827" s="264" t="s">
        <v>8182</v>
      </c>
      <c r="D2827" s="264">
        <v>5058847</v>
      </c>
      <c r="E2827" s="259" t="s">
        <v>8140</v>
      </c>
      <c r="F2827" s="259" t="s">
        <v>5021</v>
      </c>
      <c r="H2827" s="264" t="s">
        <v>8195</v>
      </c>
      <c r="I2827" s="264" t="s">
        <v>8196</v>
      </c>
      <c r="J2827" s="295">
        <v>3156.11</v>
      </c>
      <c r="K2827" s="295">
        <v>3156</v>
      </c>
      <c r="L2827" s="295">
        <v>1578.05</v>
      </c>
      <c r="O2827" s="266"/>
      <c r="R2827" s="265"/>
      <c r="V2827" s="259"/>
      <c r="W2827" s="259" t="s">
        <v>3061</v>
      </c>
      <c r="Y2827" s="259">
        <v>119</v>
      </c>
      <c r="AA2827" s="259"/>
      <c r="AB2827" s="259"/>
      <c r="AC2827" s="259"/>
      <c r="AD2827" s="259"/>
      <c r="AE2827" s="259"/>
    </row>
    <row r="2828" spans="1:31">
      <c r="A2828" s="259" t="s">
        <v>2469</v>
      </c>
      <c r="B2828" s="259" t="s">
        <v>124</v>
      </c>
      <c r="C2828" s="264" t="s">
        <v>8197</v>
      </c>
      <c r="D2828" s="264" t="s">
        <v>2469</v>
      </c>
      <c r="E2828" s="259" t="s">
        <v>8140</v>
      </c>
      <c r="F2828" s="259" t="s">
        <v>5021</v>
      </c>
      <c r="H2828" s="264" t="s">
        <v>8198</v>
      </c>
      <c r="I2828" s="264" t="s">
        <v>8199</v>
      </c>
      <c r="J2828" s="295">
        <v>5699.93</v>
      </c>
      <c r="K2828" s="295">
        <v>5699</v>
      </c>
      <c r="L2828" s="295">
        <v>2938.74</v>
      </c>
      <c r="O2828" s="266"/>
      <c r="R2828" s="265"/>
      <c r="V2828" s="259"/>
      <c r="W2828" s="259" t="s">
        <v>3061</v>
      </c>
      <c r="Y2828" s="259">
        <v>120</v>
      </c>
      <c r="AA2828" s="259"/>
      <c r="AB2828" s="259"/>
      <c r="AC2828" s="259"/>
      <c r="AD2828" s="259"/>
      <c r="AE2828" s="259"/>
    </row>
    <row r="2829" spans="1:31">
      <c r="A2829" s="259" t="s">
        <v>2470</v>
      </c>
      <c r="B2829" s="259" t="s">
        <v>124</v>
      </c>
      <c r="C2829" s="264" t="s">
        <v>8197</v>
      </c>
      <c r="D2829" s="264" t="s">
        <v>2470</v>
      </c>
      <c r="E2829" s="259" t="s">
        <v>8140</v>
      </c>
      <c r="F2829" s="259" t="s">
        <v>5021</v>
      </c>
      <c r="H2829" s="264" t="s">
        <v>8200</v>
      </c>
      <c r="I2829" s="264" t="s">
        <v>8201</v>
      </c>
      <c r="J2829" s="295">
        <v>5699.93</v>
      </c>
      <c r="K2829" s="295">
        <v>5699</v>
      </c>
      <c r="L2829" s="295">
        <v>2938.74</v>
      </c>
      <c r="O2829" s="266"/>
      <c r="R2829" s="265">
        <v>4.5</v>
      </c>
      <c r="S2829" s="265">
        <v>20</v>
      </c>
      <c r="T2829" s="265">
        <v>19</v>
      </c>
      <c r="U2829" s="265">
        <v>20</v>
      </c>
      <c r="V2829" s="259" t="s">
        <v>3028</v>
      </c>
      <c r="W2829" s="259" t="s">
        <v>3061</v>
      </c>
      <c r="Y2829" s="259">
        <v>121</v>
      </c>
      <c r="Z2829" s="259" t="s">
        <v>3030</v>
      </c>
      <c r="AA2829" s="259"/>
      <c r="AB2829" s="259"/>
      <c r="AC2829" s="259"/>
      <c r="AD2829" s="259"/>
      <c r="AE2829" s="259"/>
    </row>
    <row r="2830" spans="1:31">
      <c r="A2830" s="259" t="s">
        <v>2471</v>
      </c>
      <c r="B2830" s="259" t="s">
        <v>124</v>
      </c>
      <c r="C2830" s="264" t="s">
        <v>8197</v>
      </c>
      <c r="D2830" s="264" t="s">
        <v>2471</v>
      </c>
      <c r="E2830" s="259" t="s">
        <v>8140</v>
      </c>
      <c r="F2830" s="259" t="s">
        <v>5021</v>
      </c>
      <c r="H2830" s="264" t="s">
        <v>8202</v>
      </c>
      <c r="I2830" s="264" t="s">
        <v>8203</v>
      </c>
      <c r="J2830" s="295">
        <v>5699.93</v>
      </c>
      <c r="K2830" s="295">
        <v>5699</v>
      </c>
      <c r="L2830" s="295">
        <v>2938.74</v>
      </c>
      <c r="O2830" s="266"/>
      <c r="R2830" s="265">
        <v>4.5</v>
      </c>
      <c r="S2830" s="265">
        <v>20</v>
      </c>
      <c r="T2830" s="265">
        <v>19</v>
      </c>
      <c r="U2830" s="265">
        <v>20</v>
      </c>
      <c r="V2830" s="259" t="s">
        <v>3028</v>
      </c>
      <c r="W2830" s="259" t="s">
        <v>3061</v>
      </c>
      <c r="Y2830" s="259">
        <v>122</v>
      </c>
      <c r="Z2830" s="259" t="s">
        <v>3030</v>
      </c>
      <c r="AA2830" s="259"/>
      <c r="AB2830" s="259"/>
      <c r="AC2830" s="259"/>
      <c r="AD2830" s="259"/>
      <c r="AE2830" s="259"/>
    </row>
    <row r="2831" spans="1:31">
      <c r="A2831" s="259">
        <v>5049655</v>
      </c>
      <c r="B2831" s="259" t="s">
        <v>124</v>
      </c>
      <c r="C2831" s="264" t="s">
        <v>8026</v>
      </c>
      <c r="D2831" s="264">
        <v>5049655</v>
      </c>
      <c r="E2831" s="259" t="s">
        <v>8095</v>
      </c>
      <c r="H2831" s="264" t="s">
        <v>8204</v>
      </c>
      <c r="I2831" s="264" t="s">
        <v>8205</v>
      </c>
      <c r="J2831" s="295">
        <v>1709.5</v>
      </c>
      <c r="K2831" s="295">
        <v>1368</v>
      </c>
      <c r="L2831" s="295">
        <v>1026.07</v>
      </c>
      <c r="O2831" s="266"/>
      <c r="P2831" s="266">
        <v>688705003535</v>
      </c>
      <c r="R2831" s="265">
        <v>15.5</v>
      </c>
      <c r="S2831" s="265">
        <v>22</v>
      </c>
      <c r="T2831" s="265">
        <v>17</v>
      </c>
      <c r="U2831" s="265">
        <v>9.8000000000000007</v>
      </c>
      <c r="V2831" s="259" t="s">
        <v>3028</v>
      </c>
      <c r="W2831" s="259" t="s">
        <v>3061</v>
      </c>
      <c r="Y2831" s="259">
        <v>123</v>
      </c>
      <c r="AA2831" s="259"/>
      <c r="AB2831" s="259"/>
      <c r="AC2831" s="259"/>
      <c r="AD2831" s="259"/>
      <c r="AE2831" s="259"/>
    </row>
    <row r="2832" spans="1:31">
      <c r="A2832" s="259">
        <v>5074417</v>
      </c>
      <c r="B2832" s="259" t="s">
        <v>124</v>
      </c>
      <c r="C2832" s="264" t="s">
        <v>8026</v>
      </c>
      <c r="D2832" s="264">
        <v>5074417</v>
      </c>
      <c r="E2832" s="259">
        <v>82200300</v>
      </c>
      <c r="H2832" s="264" t="s">
        <v>8206</v>
      </c>
      <c r="I2832" s="264" t="s">
        <v>8206</v>
      </c>
      <c r="J2832" s="295">
        <v>1330.09</v>
      </c>
      <c r="K2832" s="295">
        <v>1066</v>
      </c>
      <c r="L2832" s="295">
        <v>798.96</v>
      </c>
      <c r="O2832" s="266"/>
      <c r="P2832" s="266">
        <v>688705002637</v>
      </c>
      <c r="R2832" s="265"/>
      <c r="V2832" s="259" t="s">
        <v>3028</v>
      </c>
      <c r="W2832" s="259" t="s">
        <v>3061</v>
      </c>
      <c r="Y2832" s="259">
        <v>125</v>
      </c>
      <c r="AA2832" s="259"/>
      <c r="AB2832" s="259"/>
      <c r="AC2832" s="259"/>
      <c r="AD2832" s="259"/>
      <c r="AE2832" s="259"/>
    </row>
    <row r="2833" spans="1:31">
      <c r="A2833" s="259">
        <v>5074418</v>
      </c>
      <c r="B2833" s="259" t="s">
        <v>124</v>
      </c>
      <c r="C2833" s="264" t="s">
        <v>8026</v>
      </c>
      <c r="D2833" s="264">
        <v>5074418</v>
      </c>
      <c r="E2833" s="259">
        <v>82200300</v>
      </c>
      <c r="H2833" s="264" t="s">
        <v>8207</v>
      </c>
      <c r="I2833" s="264" t="s">
        <v>8207</v>
      </c>
      <c r="J2833" s="295">
        <v>2441.3000000000002</v>
      </c>
      <c r="K2833" s="295">
        <v>1951</v>
      </c>
      <c r="L2833" s="295">
        <v>1464.08</v>
      </c>
      <c r="O2833" s="266"/>
      <c r="P2833" s="266">
        <v>688705002620</v>
      </c>
      <c r="R2833" s="265"/>
      <c r="V2833" s="259" t="s">
        <v>3028</v>
      </c>
      <c r="W2833" s="259" t="s">
        <v>3061</v>
      </c>
      <c r="Y2833" s="259">
        <v>126</v>
      </c>
      <c r="AA2833" s="259"/>
      <c r="AB2833" s="259"/>
      <c r="AC2833" s="259"/>
      <c r="AD2833" s="259"/>
      <c r="AE2833" s="259"/>
    </row>
    <row r="2834" spans="1:31">
      <c r="A2834" s="259">
        <v>5049659</v>
      </c>
      <c r="B2834" s="259" t="s">
        <v>124</v>
      </c>
      <c r="C2834" s="264" t="s">
        <v>8026</v>
      </c>
      <c r="D2834" s="264">
        <v>5049659</v>
      </c>
      <c r="E2834" s="259" t="s">
        <v>8095</v>
      </c>
      <c r="H2834" s="264" t="s">
        <v>8208</v>
      </c>
      <c r="I2834" s="264" t="s">
        <v>8209</v>
      </c>
      <c r="J2834" s="295">
        <v>3270.09</v>
      </c>
      <c r="K2834" s="295">
        <v>2615</v>
      </c>
      <c r="L2834" s="295">
        <v>1962.11</v>
      </c>
      <c r="O2834" s="266"/>
      <c r="P2834" s="266">
        <v>688705003542</v>
      </c>
      <c r="R2834" s="265">
        <v>17.7</v>
      </c>
      <c r="S2834" s="265">
        <v>22</v>
      </c>
      <c r="T2834" s="265">
        <v>17</v>
      </c>
      <c r="U2834" s="265">
        <v>9.8000000000000007</v>
      </c>
      <c r="V2834" s="259" t="s">
        <v>3028</v>
      </c>
      <c r="W2834" s="259" t="s">
        <v>3061</v>
      </c>
      <c r="Y2834" s="259">
        <v>127</v>
      </c>
      <c r="AA2834" s="259"/>
      <c r="AB2834" s="259"/>
      <c r="AC2834" s="259"/>
      <c r="AD2834" s="259"/>
      <c r="AE2834" s="259"/>
    </row>
    <row r="2835" spans="1:31">
      <c r="A2835" s="259" t="s">
        <v>2472</v>
      </c>
      <c r="B2835" s="259" t="s">
        <v>124</v>
      </c>
      <c r="C2835" s="264" t="s">
        <v>8210</v>
      </c>
      <c r="D2835" s="264" t="s">
        <v>2472</v>
      </c>
      <c r="E2835" s="259" t="s">
        <v>8140</v>
      </c>
      <c r="H2835" s="264" t="s">
        <v>8211</v>
      </c>
      <c r="I2835" s="264" t="s">
        <v>8211</v>
      </c>
      <c r="J2835" s="295">
        <v>7346.85</v>
      </c>
      <c r="K2835" s="295">
        <v>5876</v>
      </c>
      <c r="L2835" s="295">
        <v>4255.6099999999997</v>
      </c>
      <c r="O2835" s="266"/>
      <c r="P2835" s="266">
        <v>688705002866</v>
      </c>
      <c r="R2835" s="265">
        <v>15</v>
      </c>
      <c r="S2835" s="265">
        <v>30</v>
      </c>
      <c r="T2835" s="265">
        <v>15</v>
      </c>
      <c r="U2835" s="265">
        <v>15</v>
      </c>
      <c r="V2835" s="259" t="s">
        <v>3028</v>
      </c>
      <c r="W2835" s="259" t="s">
        <v>3061</v>
      </c>
      <c r="Y2835" s="259">
        <v>128</v>
      </c>
      <c r="Z2835" s="259" t="s">
        <v>4325</v>
      </c>
      <c r="AA2835" s="259"/>
      <c r="AB2835" s="259"/>
      <c r="AC2835" s="259"/>
      <c r="AD2835" s="259"/>
      <c r="AE2835" s="259"/>
    </row>
    <row r="2836" spans="1:31">
      <c r="A2836" s="259" t="s">
        <v>2473</v>
      </c>
      <c r="B2836" s="259" t="s">
        <v>124</v>
      </c>
      <c r="C2836" s="264" t="s">
        <v>8210</v>
      </c>
      <c r="D2836" s="264" t="s">
        <v>2473</v>
      </c>
      <c r="E2836" s="259" t="s">
        <v>8140</v>
      </c>
      <c r="H2836" s="264" t="s">
        <v>8212</v>
      </c>
      <c r="I2836" s="264" t="s">
        <v>8212</v>
      </c>
      <c r="J2836" s="295">
        <v>7541.54</v>
      </c>
      <c r="K2836" s="295">
        <v>7541</v>
      </c>
      <c r="L2836" s="295">
        <v>4255.6099999999997</v>
      </c>
      <c r="O2836" s="266"/>
      <c r="P2836" s="266">
        <v>688705247816</v>
      </c>
      <c r="R2836" s="265">
        <v>15</v>
      </c>
      <c r="S2836" s="265">
        <v>30</v>
      </c>
      <c r="T2836" s="265">
        <v>22</v>
      </c>
      <c r="U2836" s="265">
        <v>14</v>
      </c>
      <c r="V2836" s="259" t="s">
        <v>3028</v>
      </c>
      <c r="W2836" s="259" t="s">
        <v>3061</v>
      </c>
      <c r="Y2836" s="259">
        <v>129</v>
      </c>
      <c r="Z2836" s="259" t="s">
        <v>3030</v>
      </c>
      <c r="AA2836" s="259"/>
      <c r="AB2836" s="259"/>
      <c r="AC2836" s="259"/>
      <c r="AD2836" s="259"/>
      <c r="AE2836" s="259"/>
    </row>
    <row r="2837" spans="1:31">
      <c r="A2837" s="259">
        <v>5031234</v>
      </c>
      <c r="B2837" s="259" t="s">
        <v>124</v>
      </c>
      <c r="C2837" s="264" t="s">
        <v>8210</v>
      </c>
      <c r="D2837" s="264">
        <v>5031234</v>
      </c>
      <c r="E2837" s="259" t="s">
        <v>8140</v>
      </c>
      <c r="H2837" s="264" t="s">
        <v>8213</v>
      </c>
      <c r="I2837" s="264" t="s">
        <v>8214</v>
      </c>
      <c r="J2837" s="295">
        <v>7346.85</v>
      </c>
      <c r="K2837" s="295">
        <v>5876</v>
      </c>
      <c r="L2837" s="295">
        <v>3277.72</v>
      </c>
      <c r="O2837" s="266"/>
      <c r="P2837" s="266">
        <v>688705002293</v>
      </c>
      <c r="R2837" s="265">
        <v>15</v>
      </c>
      <c r="S2837" s="265">
        <v>30</v>
      </c>
      <c r="T2837" s="265">
        <v>15</v>
      </c>
      <c r="U2837" s="265">
        <v>15</v>
      </c>
      <c r="V2837" s="259" t="s">
        <v>3028</v>
      </c>
      <c r="W2837" s="259" t="s">
        <v>3061</v>
      </c>
      <c r="Y2837" s="259">
        <v>130</v>
      </c>
      <c r="AA2837" s="259"/>
      <c r="AB2837" s="259"/>
      <c r="AC2837" s="259"/>
      <c r="AD2837" s="259"/>
      <c r="AE2837" s="259"/>
    </row>
    <row r="2838" spans="1:31">
      <c r="A2838" s="259" t="s">
        <v>2474</v>
      </c>
      <c r="B2838" s="259" t="s">
        <v>124</v>
      </c>
      <c r="C2838" s="264" t="s">
        <v>8210</v>
      </c>
      <c r="D2838" s="264" t="s">
        <v>2474</v>
      </c>
      <c r="E2838" s="259" t="s">
        <v>8140</v>
      </c>
      <c r="H2838" s="264" t="s">
        <v>8215</v>
      </c>
      <c r="I2838" s="264" t="s">
        <v>8215</v>
      </c>
      <c r="J2838" s="295">
        <v>16591.580000000002</v>
      </c>
      <c r="K2838" s="295">
        <v>16591</v>
      </c>
      <c r="L2838" s="295">
        <v>8976</v>
      </c>
      <c r="O2838" s="266"/>
      <c r="P2838" s="266">
        <v>688705002460</v>
      </c>
      <c r="R2838" s="265">
        <v>192</v>
      </c>
      <c r="T2838" s="265">
        <v>45</v>
      </c>
      <c r="U2838" s="265">
        <v>25</v>
      </c>
      <c r="V2838" s="259" t="s">
        <v>3218</v>
      </c>
      <c r="W2838" s="259" t="s">
        <v>3061</v>
      </c>
      <c r="Y2838" s="259">
        <v>131</v>
      </c>
      <c r="Z2838" s="259" t="s">
        <v>3030</v>
      </c>
      <c r="AA2838" s="259"/>
      <c r="AB2838" s="259"/>
      <c r="AC2838" s="259"/>
      <c r="AD2838" s="259"/>
      <c r="AE2838" s="259"/>
    </row>
    <row r="2839" spans="1:31">
      <c r="A2839" s="259" t="s">
        <v>2475</v>
      </c>
      <c r="B2839" s="259" t="s">
        <v>124</v>
      </c>
      <c r="C2839" s="264" t="s">
        <v>8210</v>
      </c>
      <c r="D2839" s="264" t="s">
        <v>2475</v>
      </c>
      <c r="E2839" s="259" t="s">
        <v>8140</v>
      </c>
      <c r="H2839" s="264" t="s">
        <v>8216</v>
      </c>
      <c r="I2839" s="264" t="s">
        <v>8217</v>
      </c>
      <c r="J2839" s="295">
        <v>18804.54</v>
      </c>
      <c r="K2839" s="295">
        <v>18804</v>
      </c>
      <c r="L2839" s="295">
        <v>10193.65</v>
      </c>
      <c r="O2839" s="266"/>
      <c r="P2839" s="266">
        <v>688705002453</v>
      </c>
      <c r="R2839" s="265">
        <v>60</v>
      </c>
      <c r="T2839" s="265">
        <v>21.5</v>
      </c>
      <c r="U2839" s="265">
        <v>21</v>
      </c>
      <c r="V2839" s="259" t="s">
        <v>3218</v>
      </c>
      <c r="W2839" s="259" t="s">
        <v>3061</v>
      </c>
      <c r="Y2839" s="259">
        <v>132</v>
      </c>
      <c r="Z2839" s="259" t="s">
        <v>3030</v>
      </c>
      <c r="AA2839" s="259"/>
      <c r="AB2839" s="259"/>
      <c r="AC2839" s="259"/>
      <c r="AD2839" s="259"/>
      <c r="AE2839" s="259"/>
    </row>
    <row r="2840" spans="1:31">
      <c r="A2840" s="259" t="s">
        <v>2476</v>
      </c>
      <c r="B2840" s="259" t="s">
        <v>124</v>
      </c>
      <c r="C2840" s="264" t="s">
        <v>8210</v>
      </c>
      <c r="D2840" s="264" t="s">
        <v>2476</v>
      </c>
      <c r="E2840" s="259" t="s">
        <v>8140</v>
      </c>
      <c r="F2840" s="259" t="s">
        <v>5021</v>
      </c>
      <c r="H2840" s="264" t="s">
        <v>8218</v>
      </c>
      <c r="I2840" s="264" t="s">
        <v>8219</v>
      </c>
      <c r="J2840" s="295">
        <v>11772.1</v>
      </c>
      <c r="K2840" s="295">
        <v>11772</v>
      </c>
      <c r="L2840" s="295">
        <v>8534.8799999999992</v>
      </c>
      <c r="O2840" s="266"/>
      <c r="R2840" s="265">
        <v>55</v>
      </c>
      <c r="T2840" s="265">
        <v>22.5</v>
      </c>
      <c r="U2840" s="265">
        <v>21.5</v>
      </c>
      <c r="V2840" s="259" t="s">
        <v>3218</v>
      </c>
      <c r="W2840" s="259" t="s">
        <v>3061</v>
      </c>
      <c r="Y2840" s="259">
        <v>133</v>
      </c>
      <c r="Z2840" s="259" t="s">
        <v>3030</v>
      </c>
      <c r="AA2840" s="259"/>
      <c r="AB2840" s="259"/>
      <c r="AC2840" s="259"/>
      <c r="AD2840" s="259"/>
      <c r="AE2840" s="259"/>
    </row>
    <row r="2841" spans="1:31">
      <c r="A2841" s="259" t="s">
        <v>2477</v>
      </c>
      <c r="B2841" s="259" t="s">
        <v>124</v>
      </c>
      <c r="C2841" s="264" t="s">
        <v>8220</v>
      </c>
      <c r="D2841" s="264" t="s">
        <v>2477</v>
      </c>
      <c r="E2841" s="259" t="s">
        <v>8140</v>
      </c>
      <c r="F2841" s="259" t="s">
        <v>5021</v>
      </c>
      <c r="H2841" s="264" t="s">
        <v>8221</v>
      </c>
      <c r="I2841" s="264" t="s">
        <v>8222</v>
      </c>
      <c r="J2841" s="295">
        <v>1346.92</v>
      </c>
      <c r="K2841" s="295">
        <v>1080</v>
      </c>
      <c r="L2841" s="295">
        <v>549.54</v>
      </c>
      <c r="O2841" s="266"/>
      <c r="R2841" s="265">
        <v>1</v>
      </c>
      <c r="S2841" s="265">
        <v>10</v>
      </c>
      <c r="T2841" s="265">
        <v>10</v>
      </c>
      <c r="U2841" s="265">
        <v>0</v>
      </c>
      <c r="V2841" s="259"/>
      <c r="W2841" s="259" t="s">
        <v>3061</v>
      </c>
      <c r="Y2841" s="259">
        <v>134</v>
      </c>
      <c r="Z2841" s="259" t="s">
        <v>3030</v>
      </c>
      <c r="AA2841" s="259"/>
      <c r="AB2841" s="259"/>
      <c r="AC2841" s="259"/>
      <c r="AD2841" s="259"/>
      <c r="AE2841" s="259"/>
    </row>
    <row r="2842" spans="1:31">
      <c r="A2842" s="259" t="s">
        <v>2478</v>
      </c>
      <c r="B2842" s="259" t="s">
        <v>124</v>
      </c>
      <c r="C2842" s="264" t="s">
        <v>8220</v>
      </c>
      <c r="D2842" s="264" t="s">
        <v>2478</v>
      </c>
      <c r="E2842" s="259" t="s">
        <v>8140</v>
      </c>
      <c r="F2842" s="259" t="s">
        <v>5021</v>
      </c>
      <c r="H2842" s="264" t="s">
        <v>8223</v>
      </c>
      <c r="I2842" s="264" t="s">
        <v>8223</v>
      </c>
      <c r="J2842" s="295">
        <v>1259.95</v>
      </c>
      <c r="K2842" s="295">
        <v>1259</v>
      </c>
      <c r="L2842" s="295">
        <v>629.42999999999995</v>
      </c>
      <c r="O2842" s="266"/>
      <c r="R2842" s="265"/>
      <c r="V2842" s="259"/>
      <c r="W2842" s="259" t="s">
        <v>3061</v>
      </c>
      <c r="Y2842" s="259">
        <v>135</v>
      </c>
      <c r="AA2842" s="259"/>
      <c r="AB2842" s="259"/>
      <c r="AC2842" s="259"/>
      <c r="AD2842" s="259"/>
      <c r="AE2842" s="259"/>
    </row>
    <row r="2843" spans="1:31">
      <c r="A2843" s="259" t="s">
        <v>2479</v>
      </c>
      <c r="B2843" s="259" t="s">
        <v>124</v>
      </c>
      <c r="C2843" s="264" t="s">
        <v>8220</v>
      </c>
      <c r="D2843" s="264" t="s">
        <v>2479</v>
      </c>
      <c r="E2843" s="259" t="s">
        <v>8140</v>
      </c>
      <c r="F2843" s="259" t="s">
        <v>5021</v>
      </c>
      <c r="H2843" s="264" t="s">
        <v>8224</v>
      </c>
      <c r="I2843" s="264" t="s">
        <v>8224</v>
      </c>
      <c r="J2843" s="295">
        <v>1174.05</v>
      </c>
      <c r="K2843" s="295">
        <v>0</v>
      </c>
      <c r="L2843" s="295">
        <v>480.2</v>
      </c>
      <c r="O2843" s="266"/>
      <c r="R2843" s="265"/>
      <c r="V2843" s="259" t="s">
        <v>3028</v>
      </c>
      <c r="W2843" s="259" t="s">
        <v>3061</v>
      </c>
      <c r="Y2843" s="259">
        <v>136</v>
      </c>
      <c r="AA2843" s="259"/>
      <c r="AB2843" s="259"/>
      <c r="AC2843" s="259"/>
      <c r="AD2843" s="259"/>
      <c r="AE2843" s="259"/>
    </row>
    <row r="2844" spans="1:31">
      <c r="A2844" s="259" t="s">
        <v>2480</v>
      </c>
      <c r="B2844" s="259" t="s">
        <v>124</v>
      </c>
      <c r="C2844" s="264" t="s">
        <v>8220</v>
      </c>
      <c r="D2844" s="264" t="s">
        <v>8225</v>
      </c>
      <c r="E2844" s="259" t="s">
        <v>8140</v>
      </c>
      <c r="F2844" s="259" t="s">
        <v>5021</v>
      </c>
      <c r="H2844" s="264" t="s">
        <v>8226</v>
      </c>
      <c r="I2844" s="264" t="s">
        <v>8226</v>
      </c>
      <c r="J2844" s="295">
        <v>1616.31</v>
      </c>
      <c r="K2844" s="295">
        <v>1292</v>
      </c>
      <c r="L2844" s="295">
        <v>659.45</v>
      </c>
      <c r="O2844" s="266"/>
      <c r="R2844" s="265">
        <v>1</v>
      </c>
      <c r="S2844" s="265">
        <v>10</v>
      </c>
      <c r="T2844" s="265">
        <v>10</v>
      </c>
      <c r="U2844" s="265">
        <v>0.5</v>
      </c>
      <c r="V2844" s="259" t="s">
        <v>3218</v>
      </c>
      <c r="W2844" s="259" t="s">
        <v>3061</v>
      </c>
      <c r="Y2844" s="259">
        <v>137</v>
      </c>
      <c r="Z2844" s="259" t="s">
        <v>3030</v>
      </c>
      <c r="AA2844" s="259"/>
      <c r="AB2844" s="259"/>
      <c r="AC2844" s="259"/>
      <c r="AD2844" s="259"/>
      <c r="AE2844" s="259"/>
    </row>
    <row r="2845" spans="1:31">
      <c r="A2845" s="259" t="s">
        <v>2481</v>
      </c>
      <c r="B2845" s="259" t="s">
        <v>124</v>
      </c>
      <c r="C2845" s="264" t="s">
        <v>8227</v>
      </c>
      <c r="D2845" s="264" t="s">
        <v>8228</v>
      </c>
      <c r="E2845" s="259" t="s">
        <v>8140</v>
      </c>
      <c r="F2845" s="259" t="s">
        <v>5021</v>
      </c>
      <c r="H2845" s="264" t="s">
        <v>8229</v>
      </c>
      <c r="I2845" s="264" t="s">
        <v>8230</v>
      </c>
      <c r="J2845" s="295">
        <v>524.53</v>
      </c>
      <c r="K2845" s="295">
        <v>524.53</v>
      </c>
      <c r="L2845" s="295">
        <v>261.85000000000002</v>
      </c>
      <c r="O2845" s="266"/>
      <c r="R2845" s="265"/>
      <c r="T2845" s="265">
        <v>0</v>
      </c>
      <c r="V2845" s="259"/>
      <c r="W2845" s="259" t="s">
        <v>3061</v>
      </c>
      <c r="Y2845" s="259">
        <v>138</v>
      </c>
      <c r="Z2845" s="259" t="s">
        <v>3030</v>
      </c>
      <c r="AA2845" s="259"/>
      <c r="AB2845" s="259"/>
      <c r="AC2845" s="259"/>
      <c r="AD2845" s="259"/>
      <c r="AE2845" s="259"/>
    </row>
    <row r="2846" spans="1:31">
      <c r="A2846" s="259" t="s">
        <v>2482</v>
      </c>
      <c r="B2846" s="259" t="s">
        <v>124</v>
      </c>
      <c r="C2846" s="264" t="s">
        <v>8227</v>
      </c>
      <c r="D2846" s="264" t="s">
        <v>2482</v>
      </c>
      <c r="E2846" s="259" t="s">
        <v>8140</v>
      </c>
      <c r="F2846" s="259" t="s">
        <v>5021</v>
      </c>
      <c r="H2846" s="264" t="s">
        <v>8231</v>
      </c>
      <c r="I2846" s="264" t="s">
        <v>8232</v>
      </c>
      <c r="J2846" s="295">
        <v>151.22</v>
      </c>
      <c r="K2846" s="295">
        <v>151.22</v>
      </c>
      <c r="L2846" s="295">
        <v>75.61</v>
      </c>
      <c r="O2846" s="266"/>
      <c r="R2846" s="265"/>
      <c r="T2846" s="265">
        <v>0</v>
      </c>
      <c r="V2846" s="259"/>
      <c r="W2846" s="259" t="s">
        <v>3061</v>
      </c>
      <c r="Y2846" s="259">
        <v>139</v>
      </c>
      <c r="AA2846" s="259"/>
      <c r="AB2846" s="259"/>
      <c r="AC2846" s="259"/>
      <c r="AD2846" s="259"/>
      <c r="AE2846" s="259"/>
    </row>
    <row r="2847" spans="1:31">
      <c r="A2847" s="259" t="s">
        <v>2483</v>
      </c>
      <c r="B2847" s="259" t="s">
        <v>124</v>
      </c>
      <c r="C2847" s="264" t="s">
        <v>8227</v>
      </c>
      <c r="D2847" s="264" t="s">
        <v>2483</v>
      </c>
      <c r="E2847" s="259" t="s">
        <v>8140</v>
      </c>
      <c r="H2847" s="264" t="s">
        <v>8233</v>
      </c>
      <c r="I2847" s="264" t="s">
        <v>8234</v>
      </c>
      <c r="J2847" s="295">
        <v>9003.49</v>
      </c>
      <c r="K2847" s="295">
        <v>8733</v>
      </c>
      <c r="L2847" s="295">
        <v>4367.3</v>
      </c>
      <c r="O2847" s="266"/>
      <c r="P2847" s="266">
        <v>688705001876</v>
      </c>
      <c r="R2847" s="265"/>
      <c r="V2847" s="259"/>
      <c r="W2847" s="259" t="s">
        <v>3061</v>
      </c>
      <c r="Y2847" s="259">
        <v>140</v>
      </c>
      <c r="Z2847" s="259" t="s">
        <v>3030</v>
      </c>
      <c r="AA2847" s="259"/>
      <c r="AB2847" s="259"/>
      <c r="AC2847" s="259"/>
      <c r="AD2847" s="259"/>
      <c r="AE2847" s="259"/>
    </row>
    <row r="2848" spans="1:31">
      <c r="A2848" s="259" t="s">
        <v>2484</v>
      </c>
      <c r="B2848" s="259" t="s">
        <v>124</v>
      </c>
      <c r="C2848" s="264" t="s">
        <v>8227</v>
      </c>
      <c r="D2848" s="264" t="s">
        <v>2484</v>
      </c>
      <c r="E2848" s="259" t="s">
        <v>8140</v>
      </c>
      <c r="F2848" s="259" t="s">
        <v>5021</v>
      </c>
      <c r="H2848" s="264" t="s">
        <v>8235</v>
      </c>
      <c r="I2848" s="264" t="s">
        <v>8236</v>
      </c>
      <c r="J2848" s="295">
        <v>2292.2199999999998</v>
      </c>
      <c r="K2848" s="295">
        <v>2292</v>
      </c>
      <c r="L2848" s="295">
        <v>1146.1099999999999</v>
      </c>
      <c r="O2848" s="266"/>
      <c r="R2848" s="265"/>
      <c r="T2848" s="265">
        <v>0</v>
      </c>
      <c r="V2848" s="259"/>
      <c r="W2848" s="259" t="s">
        <v>3061</v>
      </c>
      <c r="Y2848" s="259">
        <v>141</v>
      </c>
      <c r="AA2848" s="259"/>
      <c r="AB2848" s="259"/>
      <c r="AC2848" s="259"/>
      <c r="AD2848" s="259"/>
      <c r="AE2848" s="259"/>
    </row>
    <row r="2849" spans="1:31">
      <c r="A2849" s="259" t="s">
        <v>2485</v>
      </c>
      <c r="B2849" s="259" t="s">
        <v>124</v>
      </c>
      <c r="C2849" s="264" t="s">
        <v>8227</v>
      </c>
      <c r="D2849" s="264" t="s">
        <v>2485</v>
      </c>
      <c r="E2849" s="259" t="s">
        <v>7992</v>
      </c>
      <c r="H2849" s="264" t="s">
        <v>8237</v>
      </c>
      <c r="I2849" s="264" t="s">
        <v>8238</v>
      </c>
      <c r="J2849" s="295">
        <v>1743.35</v>
      </c>
      <c r="K2849" s="295">
        <v>1395</v>
      </c>
      <c r="L2849" s="295">
        <v>1061.17</v>
      </c>
      <c r="O2849" s="266"/>
      <c r="P2849" s="266">
        <v>688705005300</v>
      </c>
      <c r="R2849" s="265">
        <v>1</v>
      </c>
      <c r="S2849" s="265">
        <v>10</v>
      </c>
      <c r="T2849" s="265">
        <v>12</v>
      </c>
      <c r="U2849" s="265">
        <v>9</v>
      </c>
      <c r="V2849" s="259" t="s">
        <v>3028</v>
      </c>
      <c r="W2849" s="259" t="s">
        <v>3061</v>
      </c>
      <c r="Y2849" s="259">
        <v>142</v>
      </c>
      <c r="Z2849" s="259" t="s">
        <v>3030</v>
      </c>
      <c r="AA2849" s="259"/>
      <c r="AB2849" s="259"/>
      <c r="AC2849" s="259"/>
      <c r="AD2849" s="259"/>
      <c r="AE2849" s="259"/>
    </row>
    <row r="2850" spans="1:31">
      <c r="A2850" s="259" t="s">
        <v>2485</v>
      </c>
      <c r="B2850" s="259" t="s">
        <v>124</v>
      </c>
      <c r="C2850" s="264" t="s">
        <v>8227</v>
      </c>
      <c r="D2850" s="264" t="s">
        <v>2485</v>
      </c>
      <c r="E2850" s="259" t="s">
        <v>8140</v>
      </c>
      <c r="H2850" s="264" t="s">
        <v>8237</v>
      </c>
      <c r="I2850" s="264" t="s">
        <v>8238</v>
      </c>
      <c r="J2850" s="295">
        <v>1743.35</v>
      </c>
      <c r="K2850" s="295">
        <v>1395</v>
      </c>
      <c r="L2850" s="295">
        <v>1061.17</v>
      </c>
      <c r="O2850" s="266"/>
      <c r="P2850" s="266">
        <v>688705005300</v>
      </c>
      <c r="R2850" s="265">
        <v>1</v>
      </c>
      <c r="S2850" s="265">
        <v>10</v>
      </c>
      <c r="T2850" s="265">
        <v>12</v>
      </c>
      <c r="U2850" s="265">
        <v>9</v>
      </c>
      <c r="V2850" s="259" t="s">
        <v>3028</v>
      </c>
      <c r="W2850" s="259" t="s">
        <v>3061</v>
      </c>
      <c r="Y2850" s="259">
        <v>142</v>
      </c>
      <c r="Z2850" s="259" t="s">
        <v>3030</v>
      </c>
      <c r="AA2850" s="259"/>
      <c r="AB2850" s="259"/>
      <c r="AC2850" s="259"/>
      <c r="AD2850" s="259"/>
      <c r="AE2850" s="259"/>
    </row>
    <row r="2851" spans="1:31">
      <c r="A2851" s="259" t="s">
        <v>2486</v>
      </c>
      <c r="B2851" s="259" t="s">
        <v>124</v>
      </c>
      <c r="C2851" s="264" t="s">
        <v>8227</v>
      </c>
      <c r="D2851" s="264" t="s">
        <v>2486</v>
      </c>
      <c r="E2851" s="259" t="s">
        <v>8140</v>
      </c>
      <c r="F2851" s="259" t="s">
        <v>5021</v>
      </c>
      <c r="H2851" s="264" t="s">
        <v>8239</v>
      </c>
      <c r="I2851" s="264" t="s">
        <v>8240</v>
      </c>
      <c r="J2851" s="295">
        <v>6763.62</v>
      </c>
      <c r="K2851" s="295">
        <v>6763</v>
      </c>
      <c r="L2851" s="295">
        <v>3381.81</v>
      </c>
      <c r="O2851" s="266"/>
      <c r="R2851" s="265"/>
      <c r="T2851" s="265">
        <v>0</v>
      </c>
      <c r="V2851" s="259"/>
      <c r="W2851" s="259" t="s">
        <v>3061</v>
      </c>
      <c r="Y2851" s="259">
        <v>144</v>
      </c>
      <c r="AA2851" s="259"/>
      <c r="AB2851" s="259"/>
      <c r="AC2851" s="259"/>
      <c r="AD2851" s="259"/>
      <c r="AE2851" s="259"/>
    </row>
    <row r="2852" spans="1:31">
      <c r="A2852" s="259" t="s">
        <v>2487</v>
      </c>
      <c r="B2852" s="259" t="s">
        <v>124</v>
      </c>
      <c r="C2852" s="264" t="s">
        <v>8227</v>
      </c>
      <c r="D2852" s="264" t="s">
        <v>2487</v>
      </c>
      <c r="E2852" s="259" t="s">
        <v>8140</v>
      </c>
      <c r="F2852" s="259" t="s">
        <v>5021</v>
      </c>
      <c r="H2852" s="264" t="s">
        <v>8241</v>
      </c>
      <c r="I2852" s="264" t="s">
        <v>8242</v>
      </c>
      <c r="J2852" s="295">
        <v>5569.76</v>
      </c>
      <c r="K2852" s="295">
        <v>5569</v>
      </c>
      <c r="L2852" s="295">
        <v>2784.88</v>
      </c>
      <c r="O2852" s="266"/>
      <c r="R2852" s="265"/>
      <c r="T2852" s="265">
        <v>0</v>
      </c>
      <c r="V2852" s="259" t="s">
        <v>3028</v>
      </c>
      <c r="W2852" s="259" t="s">
        <v>3061</v>
      </c>
      <c r="Y2852" s="259">
        <v>145</v>
      </c>
      <c r="AA2852" s="259"/>
      <c r="AB2852" s="259"/>
      <c r="AC2852" s="259"/>
      <c r="AD2852" s="259"/>
      <c r="AE2852" s="259"/>
    </row>
    <row r="2853" spans="1:31">
      <c r="A2853" s="259" t="s">
        <v>2488</v>
      </c>
      <c r="B2853" s="259" t="s">
        <v>124</v>
      </c>
      <c r="C2853" s="264" t="s">
        <v>8227</v>
      </c>
      <c r="D2853" s="264" t="s">
        <v>2488</v>
      </c>
      <c r="E2853" s="259" t="s">
        <v>8140</v>
      </c>
      <c r="F2853" s="259" t="s">
        <v>5021</v>
      </c>
      <c r="H2853" s="264" t="s">
        <v>8243</v>
      </c>
      <c r="I2853" s="264" t="s">
        <v>8244</v>
      </c>
      <c r="J2853" s="295">
        <v>3102.45</v>
      </c>
      <c r="K2853" s="295">
        <v>3102</v>
      </c>
      <c r="L2853" s="295">
        <v>1551.23</v>
      </c>
      <c r="O2853" s="266"/>
      <c r="R2853" s="265"/>
      <c r="T2853" s="265">
        <v>0</v>
      </c>
      <c r="V2853" s="259"/>
      <c r="W2853" s="259" t="s">
        <v>3061</v>
      </c>
      <c r="Y2853" s="259">
        <v>146</v>
      </c>
      <c r="AA2853" s="259"/>
      <c r="AB2853" s="259"/>
      <c r="AC2853" s="259"/>
      <c r="AD2853" s="259"/>
      <c r="AE2853" s="259"/>
    </row>
    <row r="2854" spans="1:31">
      <c r="A2854" s="259" t="s">
        <v>2489</v>
      </c>
      <c r="B2854" s="259" t="s">
        <v>124</v>
      </c>
      <c r="C2854" s="264" t="s">
        <v>8227</v>
      </c>
      <c r="D2854" s="264" t="s">
        <v>2489</v>
      </c>
      <c r="E2854" s="259" t="s">
        <v>8140</v>
      </c>
      <c r="F2854" s="259" t="s">
        <v>5021</v>
      </c>
      <c r="H2854" s="264" t="s">
        <v>8245</v>
      </c>
      <c r="I2854" s="264" t="s">
        <v>8246</v>
      </c>
      <c r="J2854" s="295">
        <v>4773.8500000000004</v>
      </c>
      <c r="K2854" s="295">
        <v>4773</v>
      </c>
      <c r="L2854" s="295">
        <v>2386.9299999999998</v>
      </c>
      <c r="O2854" s="266"/>
      <c r="R2854" s="265"/>
      <c r="T2854" s="265">
        <v>0</v>
      </c>
      <c r="V2854" s="259"/>
      <c r="W2854" s="259" t="s">
        <v>3061</v>
      </c>
      <c r="Y2854" s="259">
        <v>147</v>
      </c>
      <c r="AA2854" s="259"/>
      <c r="AB2854" s="259"/>
      <c r="AC2854" s="259"/>
      <c r="AD2854" s="259"/>
      <c r="AE2854" s="259"/>
    </row>
    <row r="2855" spans="1:31">
      <c r="A2855" s="259" t="s">
        <v>2490</v>
      </c>
      <c r="B2855" s="259" t="s">
        <v>124</v>
      </c>
      <c r="C2855" s="264" t="s">
        <v>8247</v>
      </c>
      <c r="D2855" s="264">
        <v>5019847</v>
      </c>
      <c r="E2855" s="259" t="s">
        <v>8140</v>
      </c>
      <c r="F2855" s="259" t="s">
        <v>5021</v>
      </c>
      <c r="H2855" s="264" t="s">
        <v>8248</v>
      </c>
      <c r="I2855" s="264" t="s">
        <v>8249</v>
      </c>
      <c r="J2855" s="295">
        <v>1026.1099999999999</v>
      </c>
      <c r="K2855" s="295">
        <v>819</v>
      </c>
      <c r="L2855" s="295">
        <v>502.24</v>
      </c>
      <c r="O2855" s="266"/>
      <c r="R2855" s="265">
        <v>1</v>
      </c>
      <c r="S2855" s="265">
        <v>10</v>
      </c>
      <c r="T2855" s="265">
        <v>10</v>
      </c>
      <c r="U2855" s="265">
        <v>10</v>
      </c>
      <c r="V2855" s="259"/>
      <c r="W2855" s="259" t="s">
        <v>3061</v>
      </c>
      <c r="X2855" s="264" t="s">
        <v>8250</v>
      </c>
      <c r="Y2855" s="259">
        <v>148</v>
      </c>
      <c r="Z2855" s="259" t="s">
        <v>3030</v>
      </c>
      <c r="AA2855" s="259"/>
      <c r="AB2855" s="259"/>
      <c r="AC2855" s="259"/>
      <c r="AD2855" s="259"/>
      <c r="AE2855" s="259"/>
    </row>
    <row r="2856" spans="1:31">
      <c r="A2856" s="259" t="s">
        <v>2491</v>
      </c>
      <c r="B2856" s="259" t="s">
        <v>124</v>
      </c>
      <c r="C2856" s="264" t="s">
        <v>8247</v>
      </c>
      <c r="D2856" s="264" t="s">
        <v>2491</v>
      </c>
      <c r="E2856" s="259" t="s">
        <v>8140</v>
      </c>
      <c r="H2856" s="264" t="s">
        <v>8251</v>
      </c>
      <c r="I2856" s="264" t="s">
        <v>8252</v>
      </c>
      <c r="J2856" s="295">
        <v>702.85</v>
      </c>
      <c r="K2856" s="295">
        <v>702.85</v>
      </c>
      <c r="L2856" s="295">
        <v>571.36</v>
      </c>
      <c r="O2856" s="266"/>
      <c r="P2856" s="266">
        <v>688705001579</v>
      </c>
      <c r="R2856" s="265">
        <v>3</v>
      </c>
      <c r="S2856" s="265">
        <v>28</v>
      </c>
      <c r="T2856" s="265">
        <v>10</v>
      </c>
      <c r="U2856" s="265">
        <v>4</v>
      </c>
      <c r="V2856" s="259" t="s">
        <v>3028</v>
      </c>
      <c r="W2856" s="259" t="s">
        <v>3061</v>
      </c>
      <c r="Y2856" s="259">
        <v>149</v>
      </c>
      <c r="Z2856" s="259" t="s">
        <v>3030</v>
      </c>
      <c r="AA2856" s="259"/>
      <c r="AB2856" s="259"/>
      <c r="AC2856" s="259"/>
      <c r="AD2856" s="259"/>
      <c r="AE2856" s="259"/>
    </row>
    <row r="2857" spans="1:31">
      <c r="A2857" s="259" t="s">
        <v>2492</v>
      </c>
      <c r="B2857" s="259" t="s">
        <v>124</v>
      </c>
      <c r="C2857" s="264" t="s">
        <v>8247</v>
      </c>
      <c r="D2857" s="264" t="s">
        <v>2492</v>
      </c>
      <c r="E2857" s="259" t="s">
        <v>8140</v>
      </c>
      <c r="H2857" s="264" t="s">
        <v>8253</v>
      </c>
      <c r="I2857" s="264" t="s">
        <v>8254</v>
      </c>
      <c r="J2857" s="295">
        <v>1410.59</v>
      </c>
      <c r="K2857" s="295">
        <v>1410</v>
      </c>
      <c r="L2857" s="295">
        <v>705.3</v>
      </c>
      <c r="O2857" s="266"/>
      <c r="P2857" s="266">
        <v>688705000992</v>
      </c>
      <c r="R2857" s="265"/>
      <c r="V2857" s="259" t="s">
        <v>3028</v>
      </c>
      <c r="W2857" s="259" t="s">
        <v>3061</v>
      </c>
      <c r="Y2857" s="259">
        <v>150</v>
      </c>
      <c r="Z2857" s="259" t="s">
        <v>3030</v>
      </c>
      <c r="AA2857" s="259"/>
      <c r="AB2857" s="259"/>
      <c r="AC2857" s="259"/>
      <c r="AD2857" s="259"/>
      <c r="AE2857" s="259"/>
    </row>
    <row r="2858" spans="1:31">
      <c r="A2858" s="259" t="s">
        <v>2493</v>
      </c>
      <c r="B2858" s="259" t="s">
        <v>124</v>
      </c>
      <c r="C2858" s="264" t="s">
        <v>8247</v>
      </c>
      <c r="D2858" s="264">
        <v>5042297</v>
      </c>
      <c r="E2858" s="259" t="s">
        <v>8140</v>
      </c>
      <c r="H2858" s="264" t="s">
        <v>8255</v>
      </c>
      <c r="I2858" s="264" t="s">
        <v>8255</v>
      </c>
      <c r="J2858" s="295">
        <v>1410.59</v>
      </c>
      <c r="K2858" s="295">
        <v>1410</v>
      </c>
      <c r="L2858" s="295">
        <v>705.3</v>
      </c>
      <c r="O2858" s="266"/>
      <c r="P2858" s="266">
        <v>688705000930</v>
      </c>
      <c r="R2858" s="265"/>
      <c r="V2858" s="259"/>
      <c r="W2858" s="259" t="s">
        <v>3061</v>
      </c>
      <c r="Y2858" s="259">
        <v>151</v>
      </c>
      <c r="Z2858" s="259" t="s">
        <v>3037</v>
      </c>
      <c r="AA2858" s="259"/>
      <c r="AB2858" s="259"/>
      <c r="AC2858" s="259"/>
      <c r="AD2858" s="259"/>
      <c r="AE2858" s="259"/>
    </row>
    <row r="2859" spans="1:31">
      <c r="A2859" s="259">
        <v>5036208</v>
      </c>
      <c r="B2859" s="259" t="s">
        <v>124</v>
      </c>
      <c r="C2859" s="264" t="s">
        <v>8247</v>
      </c>
      <c r="D2859" s="264">
        <v>5036208</v>
      </c>
      <c r="E2859" s="259" t="s">
        <v>8140</v>
      </c>
      <c r="F2859" s="259" t="s">
        <v>5021</v>
      </c>
      <c r="H2859" s="264" t="s">
        <v>8256</v>
      </c>
      <c r="I2859" s="264" t="s">
        <v>8257</v>
      </c>
      <c r="J2859" s="295">
        <v>690.6</v>
      </c>
      <c r="K2859" s="295">
        <v>690.6</v>
      </c>
      <c r="L2859" s="295">
        <v>560.74</v>
      </c>
      <c r="O2859" s="266"/>
      <c r="R2859" s="265"/>
      <c r="V2859" s="259"/>
      <c r="W2859" s="259" t="s">
        <v>3061</v>
      </c>
      <c r="Y2859" s="259">
        <v>152</v>
      </c>
      <c r="AA2859" s="259"/>
      <c r="AB2859" s="259"/>
      <c r="AC2859" s="259"/>
      <c r="AD2859" s="259"/>
      <c r="AE2859" s="259"/>
    </row>
    <row r="2860" spans="1:31">
      <c r="A2860" s="259" t="s">
        <v>2494</v>
      </c>
      <c r="B2860" s="259" t="s">
        <v>124</v>
      </c>
      <c r="C2860" s="264" t="s">
        <v>8247</v>
      </c>
      <c r="D2860" s="264" t="s">
        <v>2494</v>
      </c>
      <c r="E2860" s="259" t="s">
        <v>8140</v>
      </c>
      <c r="H2860" s="264" t="s">
        <v>8258</v>
      </c>
      <c r="I2860" s="264" t="s">
        <v>8259</v>
      </c>
      <c r="J2860" s="295">
        <v>576.73</v>
      </c>
      <c r="K2860" s="295">
        <v>576.73</v>
      </c>
      <c r="L2860" s="295">
        <v>468.73</v>
      </c>
      <c r="O2860" s="266"/>
      <c r="P2860" s="266">
        <v>688705001555</v>
      </c>
      <c r="R2860" s="265">
        <v>5</v>
      </c>
      <c r="S2860" s="265">
        <v>23</v>
      </c>
      <c r="T2860" s="265">
        <v>15.5</v>
      </c>
      <c r="U2860" s="265">
        <v>16</v>
      </c>
      <c r="V2860" s="259" t="s">
        <v>3028</v>
      </c>
      <c r="W2860" s="259" t="s">
        <v>3061</v>
      </c>
      <c r="Y2860" s="259">
        <v>153</v>
      </c>
      <c r="Z2860" s="259" t="s">
        <v>3030</v>
      </c>
      <c r="AA2860" s="259"/>
      <c r="AB2860" s="259"/>
      <c r="AC2860" s="259"/>
      <c r="AD2860" s="259"/>
      <c r="AE2860" s="259"/>
    </row>
    <row r="2861" spans="1:31">
      <c r="A2861" s="259" t="s">
        <v>2495</v>
      </c>
      <c r="B2861" s="259" t="s">
        <v>124</v>
      </c>
      <c r="C2861" s="264" t="s">
        <v>8247</v>
      </c>
      <c r="D2861" s="264" t="s">
        <v>2495</v>
      </c>
      <c r="E2861" s="259" t="s">
        <v>8140</v>
      </c>
      <c r="H2861" s="264" t="s">
        <v>8260</v>
      </c>
      <c r="I2861" s="264" t="s">
        <v>8261</v>
      </c>
      <c r="J2861" s="295">
        <v>576.73</v>
      </c>
      <c r="K2861" s="295">
        <v>576.73</v>
      </c>
      <c r="L2861" s="295">
        <v>468.73</v>
      </c>
      <c r="O2861" s="266"/>
      <c r="P2861" s="266">
        <v>688705001562</v>
      </c>
      <c r="R2861" s="265">
        <v>5</v>
      </c>
      <c r="S2861" s="265">
        <v>23</v>
      </c>
      <c r="T2861" s="265">
        <v>15.5</v>
      </c>
      <c r="U2861" s="265">
        <v>16</v>
      </c>
      <c r="V2861" s="259"/>
      <c r="W2861" s="259" t="s">
        <v>3061</v>
      </c>
      <c r="Y2861" s="259">
        <v>154</v>
      </c>
      <c r="Z2861" s="259" t="s">
        <v>3329</v>
      </c>
      <c r="AA2861" s="259"/>
      <c r="AB2861" s="259"/>
      <c r="AC2861" s="259"/>
      <c r="AD2861" s="259"/>
      <c r="AE2861" s="259"/>
    </row>
    <row r="2862" spans="1:31">
      <c r="A2862" s="259" t="s">
        <v>2496</v>
      </c>
      <c r="B2862" s="259" t="s">
        <v>124</v>
      </c>
      <c r="C2862" s="264" t="s">
        <v>8247</v>
      </c>
      <c r="D2862" s="264" t="s">
        <v>2496</v>
      </c>
      <c r="E2862" s="259" t="s">
        <v>8140</v>
      </c>
      <c r="H2862" s="264" t="s">
        <v>8262</v>
      </c>
      <c r="I2862" s="264" t="s">
        <v>8263</v>
      </c>
      <c r="J2862" s="295">
        <v>579.17999999999995</v>
      </c>
      <c r="K2862" s="295">
        <v>579.17999999999995</v>
      </c>
      <c r="L2862" s="295">
        <v>470.09</v>
      </c>
      <c r="O2862" s="266"/>
      <c r="P2862" s="266">
        <v>688705001548</v>
      </c>
      <c r="R2862" s="265"/>
      <c r="V2862" s="259" t="s">
        <v>3028</v>
      </c>
      <c r="W2862" s="259" t="s">
        <v>3061</v>
      </c>
      <c r="Y2862" s="259">
        <v>155</v>
      </c>
      <c r="Z2862" s="259" t="s">
        <v>3329</v>
      </c>
      <c r="AA2862" s="259"/>
      <c r="AB2862" s="259"/>
      <c r="AC2862" s="259"/>
      <c r="AD2862" s="259"/>
      <c r="AE2862" s="259"/>
    </row>
    <row r="2863" spans="1:31">
      <c r="A2863" s="259" t="s">
        <v>2497</v>
      </c>
      <c r="B2863" s="259" t="s">
        <v>124</v>
      </c>
      <c r="C2863" s="264" t="s">
        <v>8264</v>
      </c>
      <c r="D2863" s="264" t="s">
        <v>2497</v>
      </c>
      <c r="E2863" s="259" t="s">
        <v>8140</v>
      </c>
      <c r="F2863" s="259" t="s">
        <v>5021</v>
      </c>
      <c r="H2863" s="264" t="s">
        <v>8265</v>
      </c>
      <c r="I2863" s="264" t="s">
        <v>8266</v>
      </c>
      <c r="J2863" s="295">
        <v>1578.06</v>
      </c>
      <c r="K2863" s="295">
        <v>1578</v>
      </c>
      <c r="L2863" s="295">
        <v>789.03</v>
      </c>
      <c r="O2863" s="266"/>
      <c r="R2863" s="265">
        <v>3</v>
      </c>
      <c r="S2863" s="265">
        <v>13.5</v>
      </c>
      <c r="T2863" s="265">
        <v>10.5</v>
      </c>
      <c r="U2863" s="265">
        <v>13.5</v>
      </c>
      <c r="V2863" s="259" t="s">
        <v>3028</v>
      </c>
      <c r="W2863" s="259" t="s">
        <v>3061</v>
      </c>
      <c r="Y2863" s="259">
        <v>156</v>
      </c>
      <c r="Z2863" s="259" t="s">
        <v>3030</v>
      </c>
      <c r="AA2863" s="259"/>
      <c r="AB2863" s="259"/>
      <c r="AC2863" s="259"/>
      <c r="AD2863" s="259"/>
      <c r="AE2863" s="259"/>
    </row>
    <row r="2864" spans="1:31">
      <c r="A2864" s="259" t="s">
        <v>2498</v>
      </c>
      <c r="B2864" s="259" t="s">
        <v>124</v>
      </c>
      <c r="C2864" s="264" t="s">
        <v>8264</v>
      </c>
      <c r="D2864" s="264" t="s">
        <v>2498</v>
      </c>
      <c r="E2864" s="259" t="s">
        <v>8140</v>
      </c>
      <c r="F2864" s="259" t="s">
        <v>5021</v>
      </c>
      <c r="H2864" s="264" t="s">
        <v>8267</v>
      </c>
      <c r="I2864" s="264" t="s">
        <v>8268</v>
      </c>
      <c r="J2864" s="295">
        <v>1904.06</v>
      </c>
      <c r="K2864" s="295">
        <v>1904</v>
      </c>
      <c r="L2864" s="295">
        <v>1244.5999999999999</v>
      </c>
      <c r="O2864" s="266"/>
      <c r="R2864" s="265"/>
      <c r="V2864" s="259" t="s">
        <v>3218</v>
      </c>
      <c r="W2864" s="259" t="s">
        <v>3061</v>
      </c>
      <c r="Y2864" s="259">
        <v>157</v>
      </c>
      <c r="Z2864" s="259" t="s">
        <v>3030</v>
      </c>
      <c r="AA2864" s="259"/>
      <c r="AB2864" s="259"/>
      <c r="AC2864" s="259"/>
      <c r="AD2864" s="259"/>
      <c r="AE2864" s="259"/>
    </row>
    <row r="2865" spans="1:31">
      <c r="A2865" s="259" t="s">
        <v>2499</v>
      </c>
      <c r="B2865" s="259" t="s">
        <v>124</v>
      </c>
      <c r="C2865" s="264" t="s">
        <v>8264</v>
      </c>
      <c r="D2865" s="264" t="s">
        <v>2499</v>
      </c>
      <c r="E2865" s="259" t="s">
        <v>8140</v>
      </c>
      <c r="H2865" s="264" t="s">
        <v>8269</v>
      </c>
      <c r="I2865" s="264" t="s">
        <v>8269</v>
      </c>
      <c r="J2865" s="295">
        <v>1578.06</v>
      </c>
      <c r="K2865" s="295">
        <v>1578</v>
      </c>
      <c r="L2865" s="295">
        <v>789.03</v>
      </c>
      <c r="O2865" s="266"/>
      <c r="P2865" s="266">
        <v>688705001296</v>
      </c>
      <c r="R2865" s="265">
        <v>3</v>
      </c>
      <c r="S2865" s="265">
        <v>13.5</v>
      </c>
      <c r="T2865" s="265">
        <v>10.5</v>
      </c>
      <c r="U2865" s="265">
        <v>13.5</v>
      </c>
      <c r="V2865" s="259"/>
      <c r="W2865" s="259" t="s">
        <v>3061</v>
      </c>
      <c r="Y2865" s="259">
        <v>158</v>
      </c>
      <c r="Z2865" s="259" t="s">
        <v>3227</v>
      </c>
      <c r="AA2865" s="259"/>
      <c r="AB2865" s="259"/>
      <c r="AC2865" s="259"/>
      <c r="AD2865" s="259"/>
      <c r="AE2865" s="259"/>
    </row>
    <row r="2866" spans="1:31">
      <c r="A2866" s="259" t="s">
        <v>2500</v>
      </c>
      <c r="B2866" s="259" t="s">
        <v>124</v>
      </c>
      <c r="C2866" s="264" t="s">
        <v>8264</v>
      </c>
      <c r="D2866" s="264" t="s">
        <v>2500</v>
      </c>
      <c r="E2866" s="259" t="s">
        <v>8140</v>
      </c>
      <c r="F2866" s="259" t="s">
        <v>5021</v>
      </c>
      <c r="H2866" s="264" t="s">
        <v>8270</v>
      </c>
      <c r="I2866" s="264" t="s">
        <v>8271</v>
      </c>
      <c r="J2866" s="295">
        <v>982.64</v>
      </c>
      <c r="K2866" s="295">
        <v>982</v>
      </c>
      <c r="L2866" s="295">
        <v>491.32</v>
      </c>
      <c r="O2866" s="266"/>
      <c r="R2866" s="265"/>
      <c r="V2866" s="259"/>
      <c r="W2866" s="259" t="s">
        <v>3061</v>
      </c>
      <c r="Y2866" s="259">
        <v>159</v>
      </c>
      <c r="Z2866" s="259" t="s">
        <v>3030</v>
      </c>
      <c r="AA2866" s="259"/>
      <c r="AB2866" s="259"/>
      <c r="AC2866" s="259"/>
      <c r="AD2866" s="259"/>
      <c r="AE2866" s="259"/>
    </row>
    <row r="2867" spans="1:31">
      <c r="A2867" s="259" t="s">
        <v>2501</v>
      </c>
      <c r="B2867" s="259" t="s">
        <v>124</v>
      </c>
      <c r="C2867" s="264" t="s">
        <v>8264</v>
      </c>
      <c r="D2867" s="264" t="s">
        <v>2501</v>
      </c>
      <c r="E2867" s="259" t="s">
        <v>8140</v>
      </c>
      <c r="F2867" s="259" t="s">
        <v>5021</v>
      </c>
      <c r="H2867" s="264" t="s">
        <v>8272</v>
      </c>
      <c r="I2867" s="264" t="s">
        <v>8273</v>
      </c>
      <c r="J2867" s="295">
        <v>789.73</v>
      </c>
      <c r="K2867" s="295">
        <v>789</v>
      </c>
      <c r="L2867" s="295">
        <v>394.87</v>
      </c>
      <c r="O2867" s="266"/>
      <c r="R2867" s="265">
        <v>1.5</v>
      </c>
      <c r="S2867" s="265">
        <v>14.5</v>
      </c>
      <c r="T2867" s="265">
        <v>7.5</v>
      </c>
      <c r="U2867" s="265">
        <v>3.5</v>
      </c>
      <c r="V2867" s="259" t="s">
        <v>3028</v>
      </c>
      <c r="W2867" s="259" t="s">
        <v>3061</v>
      </c>
      <c r="Y2867" s="259">
        <v>160</v>
      </c>
      <c r="Z2867" s="259" t="s">
        <v>3030</v>
      </c>
      <c r="AA2867" s="259"/>
      <c r="AB2867" s="259"/>
      <c r="AC2867" s="259"/>
      <c r="AD2867" s="259"/>
      <c r="AE2867" s="259"/>
    </row>
    <row r="2868" spans="1:31">
      <c r="A2868" s="259" t="s">
        <v>2502</v>
      </c>
      <c r="B2868" s="259" t="s">
        <v>124</v>
      </c>
      <c r="C2868" s="264" t="s">
        <v>8264</v>
      </c>
      <c r="D2868" s="264" t="s">
        <v>2502</v>
      </c>
      <c r="E2868" s="259" t="s">
        <v>8140</v>
      </c>
      <c r="F2868" s="259" t="s">
        <v>5021</v>
      </c>
      <c r="H2868" s="264" t="s">
        <v>8274</v>
      </c>
      <c r="I2868" s="264" t="s">
        <v>8275</v>
      </c>
      <c r="J2868" s="295">
        <v>1105.06</v>
      </c>
      <c r="K2868" s="295">
        <v>1105</v>
      </c>
      <c r="L2868" s="295">
        <v>552.53</v>
      </c>
      <c r="O2868" s="266"/>
      <c r="R2868" s="265">
        <v>4</v>
      </c>
      <c r="S2868" s="265">
        <v>4</v>
      </c>
      <c r="T2868" s="265">
        <v>8</v>
      </c>
      <c r="U2868" s="265">
        <v>14</v>
      </c>
      <c r="V2868" s="259" t="s">
        <v>3028</v>
      </c>
      <c r="W2868" s="259" t="s">
        <v>3061</v>
      </c>
      <c r="Y2868" s="259">
        <v>161</v>
      </c>
      <c r="Z2868" s="259" t="s">
        <v>3030</v>
      </c>
      <c r="AA2868" s="259"/>
      <c r="AB2868" s="259"/>
      <c r="AC2868" s="259"/>
      <c r="AD2868" s="259"/>
      <c r="AE2868" s="259"/>
    </row>
    <row r="2869" spans="1:31">
      <c r="A2869" s="259" t="s">
        <v>2503</v>
      </c>
      <c r="B2869" s="259" t="s">
        <v>124</v>
      </c>
      <c r="C2869" s="264" t="s">
        <v>8264</v>
      </c>
      <c r="D2869" s="264" t="s">
        <v>2503</v>
      </c>
      <c r="E2869" s="259" t="s">
        <v>8140</v>
      </c>
      <c r="F2869" s="259" t="s">
        <v>5021</v>
      </c>
      <c r="H2869" s="264" t="s">
        <v>8276</v>
      </c>
      <c r="I2869" s="264" t="s">
        <v>8277</v>
      </c>
      <c r="J2869" s="295">
        <v>1105.06</v>
      </c>
      <c r="K2869" s="295">
        <v>1105</v>
      </c>
      <c r="L2869" s="295">
        <v>552.53</v>
      </c>
      <c r="O2869" s="266"/>
      <c r="R2869" s="265"/>
      <c r="T2869" s="265">
        <v>0</v>
      </c>
      <c r="U2869" s="265">
        <v>0</v>
      </c>
      <c r="V2869" s="259" t="s">
        <v>3218</v>
      </c>
      <c r="W2869" s="259" t="s">
        <v>3061</v>
      </c>
      <c r="Y2869" s="259">
        <v>162</v>
      </c>
      <c r="Z2869" s="259" t="s">
        <v>3037</v>
      </c>
      <c r="AA2869" s="259"/>
      <c r="AB2869" s="259"/>
      <c r="AC2869" s="259"/>
      <c r="AD2869" s="259"/>
      <c r="AE2869" s="259"/>
    </row>
    <row r="2870" spans="1:31">
      <c r="A2870" s="259" t="s">
        <v>2504</v>
      </c>
      <c r="B2870" s="259" t="s">
        <v>124</v>
      </c>
      <c r="C2870" s="264" t="s">
        <v>8264</v>
      </c>
      <c r="D2870" s="264" t="s">
        <v>2504</v>
      </c>
      <c r="E2870" s="259" t="s">
        <v>8140</v>
      </c>
      <c r="F2870" s="259" t="s">
        <v>5021</v>
      </c>
      <c r="H2870" s="264" t="s">
        <v>8278</v>
      </c>
      <c r="I2870" s="264" t="s">
        <v>8279</v>
      </c>
      <c r="J2870" s="295">
        <v>789.73</v>
      </c>
      <c r="K2870" s="295">
        <v>789</v>
      </c>
      <c r="L2870" s="295">
        <v>394.87</v>
      </c>
      <c r="O2870" s="266"/>
      <c r="R2870" s="265">
        <v>1.5</v>
      </c>
      <c r="S2870" s="265">
        <v>14.5</v>
      </c>
      <c r="T2870" s="265">
        <v>7.5</v>
      </c>
      <c r="U2870" s="265">
        <v>3.5</v>
      </c>
      <c r="V2870" s="259" t="s">
        <v>3028</v>
      </c>
      <c r="W2870" s="259" t="s">
        <v>3061</v>
      </c>
      <c r="Y2870" s="259">
        <v>163</v>
      </c>
      <c r="Z2870" s="259" t="s">
        <v>3030</v>
      </c>
      <c r="AA2870" s="259"/>
      <c r="AB2870" s="259"/>
      <c r="AC2870" s="259"/>
      <c r="AD2870" s="259"/>
      <c r="AE2870" s="259"/>
    </row>
    <row r="2871" spans="1:31">
      <c r="A2871" s="259" t="s">
        <v>2505</v>
      </c>
      <c r="B2871" s="259" t="s">
        <v>124</v>
      </c>
      <c r="C2871" s="264" t="s">
        <v>8264</v>
      </c>
      <c r="D2871" s="264" t="s">
        <v>8280</v>
      </c>
      <c r="E2871" s="259" t="s">
        <v>8140</v>
      </c>
      <c r="F2871" s="259" t="s">
        <v>5021</v>
      </c>
      <c r="H2871" s="264" t="s">
        <v>8281</v>
      </c>
      <c r="I2871" s="264" t="s">
        <v>8282</v>
      </c>
      <c r="J2871" s="295">
        <v>1105.06</v>
      </c>
      <c r="K2871" s="295">
        <v>1105</v>
      </c>
      <c r="L2871" s="295">
        <v>552.53</v>
      </c>
      <c r="O2871" s="266"/>
      <c r="R2871" s="265">
        <v>1</v>
      </c>
      <c r="S2871" s="265">
        <v>14</v>
      </c>
      <c r="T2871" s="265">
        <v>8</v>
      </c>
      <c r="U2871" s="265">
        <v>4</v>
      </c>
      <c r="V2871" s="259" t="s">
        <v>3028</v>
      </c>
      <c r="W2871" s="259" t="s">
        <v>3061</v>
      </c>
      <c r="Y2871" s="259">
        <v>164</v>
      </c>
      <c r="Z2871" s="259" t="s">
        <v>3030</v>
      </c>
      <c r="AA2871" s="259"/>
      <c r="AB2871" s="259"/>
      <c r="AC2871" s="259"/>
      <c r="AD2871" s="259"/>
      <c r="AE2871" s="259"/>
    </row>
    <row r="2872" spans="1:31">
      <c r="A2872" s="259" t="s">
        <v>2506</v>
      </c>
      <c r="B2872" s="259" t="s">
        <v>124</v>
      </c>
      <c r="C2872" s="264" t="s">
        <v>8264</v>
      </c>
      <c r="D2872" s="264" t="s">
        <v>2506</v>
      </c>
      <c r="E2872" s="259" t="s">
        <v>8140</v>
      </c>
      <c r="F2872" s="259" t="s">
        <v>5021</v>
      </c>
      <c r="H2872" s="264" t="s">
        <v>8283</v>
      </c>
      <c r="I2872" s="264" t="s">
        <v>8284</v>
      </c>
      <c r="J2872" s="295">
        <v>1105.06</v>
      </c>
      <c r="K2872" s="295">
        <v>1105</v>
      </c>
      <c r="L2872" s="295">
        <v>552.53</v>
      </c>
      <c r="O2872" s="266"/>
      <c r="R2872" s="265">
        <v>15</v>
      </c>
      <c r="S2872" s="265">
        <v>20</v>
      </c>
      <c r="T2872" s="265">
        <v>15</v>
      </c>
      <c r="U2872" s="265">
        <v>7</v>
      </c>
      <c r="V2872" s="259" t="s">
        <v>3028</v>
      </c>
      <c r="W2872" s="259" t="s">
        <v>3061</v>
      </c>
      <c r="Y2872" s="259">
        <v>165</v>
      </c>
      <c r="Z2872" s="259" t="s">
        <v>3030</v>
      </c>
      <c r="AA2872" s="259"/>
      <c r="AB2872" s="259"/>
      <c r="AC2872" s="259"/>
      <c r="AD2872" s="259"/>
      <c r="AE2872" s="259"/>
    </row>
    <row r="2873" spans="1:31">
      <c r="A2873" s="259" t="s">
        <v>2507</v>
      </c>
      <c r="B2873" s="259" t="s">
        <v>124</v>
      </c>
      <c r="C2873" s="264" t="s">
        <v>8264</v>
      </c>
      <c r="D2873" s="264" t="s">
        <v>2507</v>
      </c>
      <c r="E2873" s="259" t="s">
        <v>8140</v>
      </c>
      <c r="F2873" s="259" t="s">
        <v>5021</v>
      </c>
      <c r="H2873" s="264" t="s">
        <v>8285</v>
      </c>
      <c r="I2873" s="264" t="s">
        <v>8286</v>
      </c>
      <c r="J2873" s="295">
        <v>2367.79</v>
      </c>
      <c r="K2873" s="295">
        <v>2367</v>
      </c>
      <c r="L2873" s="295">
        <v>1183.9000000000001</v>
      </c>
      <c r="O2873" s="266"/>
      <c r="R2873" s="265"/>
      <c r="S2873" s="265">
        <v>0</v>
      </c>
      <c r="T2873" s="265">
        <v>0</v>
      </c>
      <c r="U2873" s="265">
        <v>0</v>
      </c>
      <c r="V2873" s="259"/>
      <c r="W2873" s="259" t="s">
        <v>3061</v>
      </c>
      <c r="Y2873" s="259">
        <v>166</v>
      </c>
      <c r="Z2873" s="259" t="s">
        <v>3030</v>
      </c>
      <c r="AA2873" s="259"/>
      <c r="AB2873" s="259"/>
      <c r="AC2873" s="259"/>
      <c r="AD2873" s="259"/>
      <c r="AE2873" s="259"/>
    </row>
    <row r="2874" spans="1:31">
      <c r="A2874" s="259" t="s">
        <v>2508</v>
      </c>
      <c r="B2874" s="259" t="s">
        <v>124</v>
      </c>
      <c r="C2874" s="264" t="s">
        <v>8264</v>
      </c>
      <c r="D2874" s="264" t="s">
        <v>2508</v>
      </c>
      <c r="E2874" s="259" t="s">
        <v>8140</v>
      </c>
      <c r="F2874" s="259" t="s">
        <v>5021</v>
      </c>
      <c r="H2874" s="264" t="s">
        <v>8287</v>
      </c>
      <c r="I2874" s="264" t="s">
        <v>8288</v>
      </c>
      <c r="J2874" s="295">
        <v>6312.21</v>
      </c>
      <c r="K2874" s="295">
        <v>6312</v>
      </c>
      <c r="L2874" s="295">
        <v>3156.11</v>
      </c>
      <c r="O2874" s="266"/>
      <c r="R2874" s="265">
        <v>5</v>
      </c>
      <c r="S2874" s="265">
        <v>1</v>
      </c>
      <c r="T2874" s="265">
        <v>3</v>
      </c>
      <c r="U2874" s="265">
        <v>4</v>
      </c>
      <c r="V2874" s="259" t="s">
        <v>3028</v>
      </c>
      <c r="W2874" s="259" t="s">
        <v>3061</v>
      </c>
      <c r="Y2874" s="259">
        <v>167</v>
      </c>
      <c r="Z2874" s="259" t="s">
        <v>3030</v>
      </c>
      <c r="AA2874" s="259"/>
      <c r="AB2874" s="259"/>
      <c r="AC2874" s="259"/>
      <c r="AD2874" s="259"/>
      <c r="AE2874" s="259"/>
    </row>
    <row r="2875" spans="1:31">
      <c r="A2875" s="259" t="s">
        <v>2509</v>
      </c>
      <c r="B2875" s="259" t="s">
        <v>124</v>
      </c>
      <c r="C2875" s="264" t="s">
        <v>8264</v>
      </c>
      <c r="D2875" s="264" t="s">
        <v>2509</v>
      </c>
      <c r="E2875" s="259" t="s">
        <v>8140</v>
      </c>
      <c r="F2875" s="259" t="s">
        <v>5021</v>
      </c>
      <c r="H2875" s="264" t="s">
        <v>8289</v>
      </c>
      <c r="I2875" s="264" t="s">
        <v>8290</v>
      </c>
      <c r="J2875" s="295">
        <v>2208.71</v>
      </c>
      <c r="K2875" s="295">
        <v>2208</v>
      </c>
      <c r="L2875" s="295">
        <v>1104.3499999999999</v>
      </c>
      <c r="O2875" s="266"/>
      <c r="R2875" s="265"/>
      <c r="T2875" s="265">
        <v>0</v>
      </c>
      <c r="V2875" s="259" t="s">
        <v>3028</v>
      </c>
      <c r="W2875" s="259" t="s">
        <v>3061</v>
      </c>
      <c r="Y2875" s="259">
        <v>168</v>
      </c>
      <c r="Z2875" s="259" t="s">
        <v>3030</v>
      </c>
      <c r="AA2875" s="259"/>
      <c r="AB2875" s="259"/>
      <c r="AC2875" s="259"/>
      <c r="AD2875" s="259"/>
      <c r="AE2875" s="259"/>
    </row>
    <row r="2876" spans="1:31">
      <c r="A2876" s="259" t="s">
        <v>2510</v>
      </c>
      <c r="B2876" s="259" t="s">
        <v>124</v>
      </c>
      <c r="C2876" s="264" t="s">
        <v>8264</v>
      </c>
      <c r="D2876" s="264" t="s">
        <v>2510</v>
      </c>
      <c r="E2876" s="259" t="s">
        <v>8140</v>
      </c>
      <c r="F2876" s="259" t="s">
        <v>5021</v>
      </c>
      <c r="H2876" s="264" t="s">
        <v>8291</v>
      </c>
      <c r="I2876" s="264" t="s">
        <v>8292</v>
      </c>
      <c r="J2876" s="295">
        <v>1893.04</v>
      </c>
      <c r="K2876" s="295">
        <v>1893</v>
      </c>
      <c r="L2876" s="295">
        <v>1372.36</v>
      </c>
      <c r="O2876" s="266"/>
      <c r="R2876" s="265">
        <v>0.5</v>
      </c>
      <c r="T2876" s="265">
        <v>8</v>
      </c>
      <c r="U2876" s="265">
        <v>4</v>
      </c>
      <c r="V2876" s="259" t="s">
        <v>3028</v>
      </c>
      <c r="W2876" s="259" t="s">
        <v>3061</v>
      </c>
      <c r="Y2876" s="259">
        <v>169</v>
      </c>
      <c r="Z2876" s="259" t="s">
        <v>3227</v>
      </c>
      <c r="AA2876" s="259"/>
      <c r="AB2876" s="259"/>
      <c r="AC2876" s="259"/>
    </row>
    <row r="2877" spans="1:31">
      <c r="A2877" s="259" t="s">
        <v>2511</v>
      </c>
      <c r="B2877" s="259" t="s">
        <v>124</v>
      </c>
      <c r="C2877" s="264" t="s">
        <v>8264</v>
      </c>
      <c r="D2877" s="264" t="s">
        <v>2511</v>
      </c>
      <c r="E2877" s="259" t="s">
        <v>8140</v>
      </c>
      <c r="F2877" s="259" t="s">
        <v>5021</v>
      </c>
      <c r="H2877" s="264" t="s">
        <v>8293</v>
      </c>
      <c r="I2877" s="264" t="s">
        <v>8294</v>
      </c>
      <c r="J2877" s="295">
        <v>1262.72</v>
      </c>
      <c r="K2877" s="295">
        <v>1262</v>
      </c>
      <c r="L2877" s="295">
        <v>631.36</v>
      </c>
      <c r="O2877" s="266"/>
      <c r="R2877" s="265">
        <v>1</v>
      </c>
      <c r="T2877" s="265">
        <v>3</v>
      </c>
      <c r="U2877" s="265">
        <v>4</v>
      </c>
      <c r="V2877" s="259"/>
      <c r="W2877" s="259" t="s">
        <v>3061</v>
      </c>
      <c r="Y2877" s="259">
        <v>170</v>
      </c>
      <c r="Z2877" s="259" t="s">
        <v>3030</v>
      </c>
      <c r="AA2877" s="259"/>
      <c r="AB2877" s="259"/>
      <c r="AC2877" s="259"/>
    </row>
    <row r="2878" spans="1:31">
      <c r="A2878" s="259" t="s">
        <v>2512</v>
      </c>
      <c r="B2878" s="259" t="s">
        <v>124</v>
      </c>
      <c r="C2878" s="264" t="s">
        <v>8264</v>
      </c>
      <c r="D2878" s="264" t="s">
        <v>2512</v>
      </c>
      <c r="E2878" s="259" t="s">
        <v>8140</v>
      </c>
      <c r="F2878" s="259" t="s">
        <v>5021</v>
      </c>
      <c r="H2878" s="264" t="s">
        <v>8295</v>
      </c>
      <c r="I2878" s="264" t="s">
        <v>8296</v>
      </c>
      <c r="J2878" s="295">
        <v>1105.06</v>
      </c>
      <c r="K2878" s="295">
        <v>1105</v>
      </c>
      <c r="L2878" s="295">
        <v>552.53</v>
      </c>
      <c r="O2878" s="266"/>
      <c r="R2878" s="265"/>
      <c r="T2878" s="265">
        <v>0</v>
      </c>
      <c r="V2878" s="259"/>
      <c r="W2878" s="259" t="s">
        <v>3061</v>
      </c>
      <c r="Y2878" s="259">
        <v>171</v>
      </c>
      <c r="Z2878" s="259" t="s">
        <v>3037</v>
      </c>
      <c r="AA2878" s="259"/>
      <c r="AB2878" s="259"/>
      <c r="AC2878" s="259"/>
    </row>
    <row r="2879" spans="1:31">
      <c r="A2879" s="259" t="s">
        <v>2513</v>
      </c>
      <c r="B2879" s="259" t="s">
        <v>124</v>
      </c>
      <c r="C2879" s="264" t="s">
        <v>8264</v>
      </c>
      <c r="D2879" s="264" t="s">
        <v>2513</v>
      </c>
      <c r="E2879" s="259" t="s">
        <v>8140</v>
      </c>
      <c r="F2879" s="259" t="s">
        <v>5021</v>
      </c>
      <c r="H2879" s="264" t="s">
        <v>8297</v>
      </c>
      <c r="I2879" s="264" t="s">
        <v>8298</v>
      </c>
      <c r="J2879" s="295">
        <v>1105.06</v>
      </c>
      <c r="K2879" s="295">
        <v>1105</v>
      </c>
      <c r="L2879" s="295">
        <v>552.53</v>
      </c>
      <c r="O2879" s="266"/>
      <c r="R2879" s="265">
        <v>1.5</v>
      </c>
      <c r="S2879" s="265">
        <v>14.5</v>
      </c>
      <c r="T2879" s="265">
        <v>7.5</v>
      </c>
      <c r="U2879" s="265">
        <v>4</v>
      </c>
      <c r="V2879" s="259"/>
      <c r="W2879" s="259" t="s">
        <v>3061</v>
      </c>
      <c r="Y2879" s="259">
        <v>172</v>
      </c>
      <c r="Z2879" s="259" t="s">
        <v>3030</v>
      </c>
      <c r="AA2879" s="259"/>
      <c r="AB2879" s="259"/>
      <c r="AC2879" s="259"/>
    </row>
    <row r="2880" spans="1:31">
      <c r="A2880" s="259" t="s">
        <v>2514</v>
      </c>
      <c r="B2880" s="259" t="s">
        <v>124</v>
      </c>
      <c r="C2880" s="264" t="s">
        <v>8264</v>
      </c>
      <c r="D2880" s="264" t="s">
        <v>2514</v>
      </c>
      <c r="E2880" s="259" t="s">
        <v>8140</v>
      </c>
      <c r="F2880" s="259" t="s">
        <v>5021</v>
      </c>
      <c r="H2880" s="264" t="s">
        <v>8299</v>
      </c>
      <c r="I2880" s="264" t="s">
        <v>8300</v>
      </c>
      <c r="J2880" s="295">
        <v>3788.18</v>
      </c>
      <c r="K2880" s="295">
        <v>3788</v>
      </c>
      <c r="L2880" s="295">
        <v>1894.09</v>
      </c>
      <c r="O2880" s="266"/>
      <c r="R2880" s="265">
        <v>4</v>
      </c>
      <c r="S2880" s="265">
        <v>8</v>
      </c>
      <c r="T2880" s="265">
        <v>14</v>
      </c>
      <c r="U2880" s="265">
        <v>4</v>
      </c>
      <c r="V2880" s="259" t="s">
        <v>3028</v>
      </c>
      <c r="W2880" s="259" t="s">
        <v>3061</v>
      </c>
      <c r="Y2880" s="259">
        <v>173</v>
      </c>
      <c r="Z2880" s="259" t="s">
        <v>3030</v>
      </c>
      <c r="AA2880" s="259"/>
      <c r="AB2880" s="259"/>
      <c r="AC2880" s="259"/>
    </row>
    <row r="2881" spans="1:29">
      <c r="A2881" s="259" t="s">
        <v>2515</v>
      </c>
      <c r="B2881" s="259" t="s">
        <v>124</v>
      </c>
      <c r="C2881" s="264" t="s">
        <v>8264</v>
      </c>
      <c r="D2881" s="264" t="s">
        <v>2515</v>
      </c>
      <c r="E2881" s="259" t="s">
        <v>8140</v>
      </c>
      <c r="H2881" s="264" t="s">
        <v>8301</v>
      </c>
      <c r="I2881" s="264" t="s">
        <v>8267</v>
      </c>
      <c r="J2881" s="295">
        <v>1904.06</v>
      </c>
      <c r="K2881" s="295">
        <v>1904</v>
      </c>
      <c r="L2881" s="295">
        <v>1244.5999999999999</v>
      </c>
      <c r="O2881" s="266"/>
      <c r="P2881" s="266">
        <v>688705006444</v>
      </c>
      <c r="R2881" s="265"/>
      <c r="V2881" s="259" t="s">
        <v>3028</v>
      </c>
      <c r="W2881" s="259" t="s">
        <v>3061</v>
      </c>
      <c r="Y2881" s="259">
        <v>174</v>
      </c>
      <c r="Z2881" s="259" t="s">
        <v>3030</v>
      </c>
      <c r="AA2881" s="259"/>
      <c r="AB2881" s="259"/>
      <c r="AC2881" s="259"/>
    </row>
    <row r="2882" spans="1:29">
      <c r="A2882" s="259" t="s">
        <v>2516</v>
      </c>
      <c r="B2882" s="259" t="s">
        <v>124</v>
      </c>
      <c r="C2882" s="264" t="s">
        <v>8264</v>
      </c>
      <c r="D2882" s="264" t="s">
        <v>2516</v>
      </c>
      <c r="E2882" s="259" t="s">
        <v>8140</v>
      </c>
      <c r="H2882" s="264" t="s">
        <v>8302</v>
      </c>
      <c r="I2882" s="264" t="s">
        <v>8303</v>
      </c>
      <c r="J2882" s="295">
        <v>3001.16</v>
      </c>
      <c r="K2882" s="295">
        <v>3001</v>
      </c>
      <c r="L2882" s="295">
        <v>1578.05</v>
      </c>
      <c r="O2882" s="266"/>
      <c r="P2882" s="266">
        <v>688705001883</v>
      </c>
      <c r="R2882" s="265"/>
      <c r="T2882" s="265">
        <v>0</v>
      </c>
      <c r="V2882" s="259"/>
      <c r="W2882" s="259" t="s">
        <v>3061</v>
      </c>
      <c r="Y2882" s="259">
        <v>175</v>
      </c>
      <c r="Z2882" s="259" t="s">
        <v>3264</v>
      </c>
      <c r="AA2882" s="259"/>
      <c r="AB2882" s="259"/>
      <c r="AC2882" s="259"/>
    </row>
    <row r="2883" spans="1:29">
      <c r="A2883" s="259" t="s">
        <v>2517</v>
      </c>
      <c r="B2883" s="259" t="s">
        <v>124</v>
      </c>
      <c r="C2883" s="264" t="s">
        <v>8264</v>
      </c>
      <c r="D2883" s="264" t="s">
        <v>2517</v>
      </c>
      <c r="E2883" s="259" t="s">
        <v>8140</v>
      </c>
      <c r="F2883" s="259" t="s">
        <v>5021</v>
      </c>
      <c r="H2883" s="264" t="s">
        <v>8304</v>
      </c>
      <c r="I2883" s="264" t="s">
        <v>8305</v>
      </c>
      <c r="J2883" s="295">
        <v>31.25</v>
      </c>
      <c r="K2883" s="295">
        <v>31.25</v>
      </c>
      <c r="L2883" s="295">
        <v>15.62</v>
      </c>
      <c r="O2883" s="266"/>
      <c r="R2883" s="265"/>
      <c r="V2883" s="259"/>
      <c r="W2883" s="259" t="s">
        <v>3061</v>
      </c>
      <c r="Y2883" s="259">
        <v>176</v>
      </c>
      <c r="AA2883" s="259"/>
      <c r="AB2883" s="259"/>
      <c r="AC2883" s="259"/>
    </row>
    <row r="2884" spans="1:29">
      <c r="A2884" s="259" t="s">
        <v>2518</v>
      </c>
      <c r="B2884" s="259" t="s">
        <v>124</v>
      </c>
      <c r="C2884" s="264" t="s">
        <v>8264</v>
      </c>
      <c r="D2884" s="264" t="s">
        <v>8306</v>
      </c>
      <c r="E2884" s="259" t="s">
        <v>8140</v>
      </c>
      <c r="H2884" s="264" t="s">
        <v>8307</v>
      </c>
      <c r="I2884" s="264" t="s">
        <v>8307</v>
      </c>
      <c r="J2884" s="295">
        <v>17050.810000000001</v>
      </c>
      <c r="K2884" s="295">
        <v>17050</v>
      </c>
      <c r="L2884" s="295">
        <v>7976.06</v>
      </c>
      <c r="O2884" s="266"/>
      <c r="P2884" s="266">
        <v>688705003566</v>
      </c>
      <c r="R2884" s="265"/>
      <c r="V2884" s="259"/>
      <c r="W2884" s="259" t="s">
        <v>3061</v>
      </c>
      <c r="Y2884" s="259">
        <v>177</v>
      </c>
      <c r="Z2884" s="259" t="s">
        <v>3037</v>
      </c>
      <c r="AA2884" s="259"/>
      <c r="AB2884" s="259"/>
      <c r="AC2884" s="259"/>
    </row>
    <row r="2885" spans="1:29">
      <c r="A2885" s="259" t="s">
        <v>2519</v>
      </c>
      <c r="B2885" s="259" t="s">
        <v>124</v>
      </c>
      <c r="C2885" s="264" t="s">
        <v>8308</v>
      </c>
      <c r="D2885" s="264" t="s">
        <v>2519</v>
      </c>
      <c r="E2885" s="259" t="s">
        <v>8140</v>
      </c>
      <c r="F2885" s="259" t="s">
        <v>5021</v>
      </c>
      <c r="H2885" s="264" t="s">
        <v>8309</v>
      </c>
      <c r="I2885" s="264" t="s">
        <v>8310</v>
      </c>
      <c r="J2885" s="295">
        <v>1056.77</v>
      </c>
      <c r="K2885" s="295">
        <v>1056</v>
      </c>
      <c r="L2885" s="295">
        <v>528.39</v>
      </c>
      <c r="O2885" s="266"/>
      <c r="R2885" s="265"/>
      <c r="T2885" s="265">
        <v>0</v>
      </c>
      <c r="U2885" s="265">
        <v>0</v>
      </c>
      <c r="V2885" s="259" t="s">
        <v>3028</v>
      </c>
      <c r="W2885" s="259" t="s">
        <v>3061</v>
      </c>
      <c r="Y2885" s="259">
        <v>178</v>
      </c>
      <c r="Z2885" s="259" t="s">
        <v>3030</v>
      </c>
      <c r="AA2885" s="259"/>
      <c r="AB2885" s="259"/>
      <c r="AC2885" s="259"/>
    </row>
    <row r="2886" spans="1:29">
      <c r="A2886" s="259" t="s">
        <v>2520</v>
      </c>
      <c r="B2886" s="259" t="s">
        <v>124</v>
      </c>
      <c r="C2886" s="264" t="s">
        <v>8308</v>
      </c>
      <c r="D2886" s="264" t="s">
        <v>2520</v>
      </c>
      <c r="E2886" s="259" t="s">
        <v>8140</v>
      </c>
      <c r="F2886" s="259" t="s">
        <v>5021</v>
      </c>
      <c r="H2886" s="264" t="s">
        <v>8311</v>
      </c>
      <c r="I2886" s="264" t="s">
        <v>8312</v>
      </c>
      <c r="J2886" s="295">
        <v>632.67999999999995</v>
      </c>
      <c r="K2886" s="295">
        <v>632.67999999999995</v>
      </c>
      <c r="L2886" s="295">
        <v>315.33</v>
      </c>
      <c r="O2886" s="266"/>
      <c r="R2886" s="265">
        <v>2</v>
      </c>
      <c r="S2886" s="265">
        <v>15</v>
      </c>
      <c r="T2886" s="265">
        <v>13</v>
      </c>
      <c r="U2886" s="265">
        <v>4</v>
      </c>
      <c r="V2886" s="259" t="s">
        <v>3028</v>
      </c>
      <c r="W2886" s="259" t="s">
        <v>3061</v>
      </c>
      <c r="Y2886" s="259">
        <v>179</v>
      </c>
      <c r="Z2886" s="259" t="s">
        <v>3030</v>
      </c>
      <c r="AA2886" s="259"/>
      <c r="AB2886" s="259"/>
      <c r="AC2886" s="259"/>
    </row>
    <row r="2887" spans="1:29">
      <c r="A2887" s="259" t="s">
        <v>2521</v>
      </c>
      <c r="B2887" s="259" t="s">
        <v>124</v>
      </c>
      <c r="C2887" s="264" t="s">
        <v>8308</v>
      </c>
      <c r="D2887" s="264" t="s">
        <v>2521</v>
      </c>
      <c r="E2887" s="259" t="s">
        <v>8140</v>
      </c>
      <c r="F2887" s="259" t="s">
        <v>5021</v>
      </c>
      <c r="H2887" s="264" t="s">
        <v>8313</v>
      </c>
      <c r="I2887" s="264" t="s">
        <v>8314</v>
      </c>
      <c r="J2887" s="295">
        <v>1515.55</v>
      </c>
      <c r="K2887" s="295">
        <v>1515</v>
      </c>
      <c r="L2887" s="295">
        <v>757.78</v>
      </c>
      <c r="O2887" s="266"/>
      <c r="R2887" s="265"/>
      <c r="V2887" s="259"/>
      <c r="W2887" s="259" t="s">
        <v>3061</v>
      </c>
      <c r="Y2887" s="259">
        <v>180</v>
      </c>
      <c r="Z2887" s="259" t="s">
        <v>3030</v>
      </c>
      <c r="AA2887" s="259"/>
      <c r="AB2887" s="259"/>
      <c r="AC2887" s="259"/>
    </row>
    <row r="2888" spans="1:29">
      <c r="A2888" s="259" t="s">
        <v>2522</v>
      </c>
      <c r="B2888" s="259" t="s">
        <v>124</v>
      </c>
      <c r="C2888" s="264" t="s">
        <v>8308</v>
      </c>
      <c r="D2888" s="264" t="s">
        <v>2522</v>
      </c>
      <c r="E2888" s="259" t="s">
        <v>8140</v>
      </c>
      <c r="F2888" s="259" t="s">
        <v>5021</v>
      </c>
      <c r="H2888" s="264" t="s">
        <v>8315</v>
      </c>
      <c r="I2888" s="264" t="s">
        <v>8316</v>
      </c>
      <c r="J2888" s="295">
        <v>1735.72</v>
      </c>
      <c r="K2888" s="295">
        <v>1735</v>
      </c>
      <c r="L2888" s="295">
        <v>867.86</v>
      </c>
      <c r="O2888" s="266"/>
      <c r="R2888" s="265"/>
      <c r="T2888" s="265">
        <v>0</v>
      </c>
      <c r="V2888" s="259" t="s">
        <v>3028</v>
      </c>
      <c r="W2888" s="259" t="s">
        <v>3061</v>
      </c>
      <c r="Y2888" s="259">
        <v>181</v>
      </c>
      <c r="Z2888" s="259" t="s">
        <v>3030</v>
      </c>
      <c r="AA2888" s="259"/>
      <c r="AB2888" s="259"/>
      <c r="AC2888" s="259"/>
    </row>
    <row r="2889" spans="1:29">
      <c r="A2889" s="259" t="s">
        <v>2523</v>
      </c>
      <c r="B2889" s="259" t="s">
        <v>124</v>
      </c>
      <c r="C2889" s="264" t="s">
        <v>8308</v>
      </c>
      <c r="D2889" s="264" t="s">
        <v>2523</v>
      </c>
      <c r="E2889" s="259" t="s">
        <v>8140</v>
      </c>
      <c r="H2889" s="264" t="s">
        <v>8223</v>
      </c>
      <c r="I2889" s="264" t="s">
        <v>8223</v>
      </c>
      <c r="J2889" s="295">
        <v>1259.95</v>
      </c>
      <c r="K2889" s="295">
        <v>1259</v>
      </c>
      <c r="L2889" s="295">
        <v>629.42999999999995</v>
      </c>
      <c r="O2889" s="266"/>
      <c r="R2889" s="265"/>
      <c r="V2889" s="259" t="s">
        <v>3028</v>
      </c>
      <c r="W2889" s="259" t="s">
        <v>3061</v>
      </c>
      <c r="Y2889" s="259">
        <v>182</v>
      </c>
      <c r="Z2889" s="259" t="s">
        <v>3030</v>
      </c>
      <c r="AA2889" s="259"/>
      <c r="AB2889" s="259"/>
      <c r="AC2889" s="259"/>
    </row>
    <row r="2890" spans="1:29">
      <c r="A2890" s="259" t="s">
        <v>2524</v>
      </c>
      <c r="B2890" s="259" t="s">
        <v>124</v>
      </c>
      <c r="C2890" s="264" t="s">
        <v>8308</v>
      </c>
      <c r="D2890" s="264" t="s">
        <v>2524</v>
      </c>
      <c r="E2890" s="259" t="s">
        <v>8140</v>
      </c>
      <c r="F2890" s="259" t="s">
        <v>5021</v>
      </c>
      <c r="H2890" s="264" t="s">
        <v>8317</v>
      </c>
      <c r="I2890" s="264" t="s">
        <v>8318</v>
      </c>
      <c r="J2890" s="295">
        <v>947.39</v>
      </c>
      <c r="K2890" s="295">
        <v>947</v>
      </c>
      <c r="L2890" s="295">
        <v>473.7</v>
      </c>
      <c r="O2890" s="266"/>
      <c r="R2890" s="265"/>
      <c r="S2890" s="265">
        <v>0</v>
      </c>
      <c r="T2890" s="265">
        <v>0</v>
      </c>
      <c r="U2890" s="265">
        <v>0</v>
      </c>
      <c r="V2890" s="259"/>
      <c r="W2890" s="259" t="s">
        <v>3061</v>
      </c>
      <c r="Y2890" s="259">
        <v>183</v>
      </c>
      <c r="Z2890" s="259" t="s">
        <v>3030</v>
      </c>
      <c r="AA2890" s="259"/>
      <c r="AB2890" s="259"/>
      <c r="AC2890" s="259"/>
    </row>
    <row r="2891" spans="1:29">
      <c r="A2891" s="259" t="s">
        <v>2525</v>
      </c>
      <c r="B2891" s="259" t="s">
        <v>124</v>
      </c>
      <c r="C2891" s="264" t="s">
        <v>8308</v>
      </c>
      <c r="D2891" s="264" t="s">
        <v>2525</v>
      </c>
      <c r="E2891" s="259" t="s">
        <v>8140</v>
      </c>
      <c r="F2891" s="259" t="s">
        <v>5021</v>
      </c>
      <c r="H2891" s="264" t="s">
        <v>8319</v>
      </c>
      <c r="I2891" s="264" t="s">
        <v>8320</v>
      </c>
      <c r="J2891" s="295">
        <v>789.74</v>
      </c>
      <c r="K2891" s="295">
        <v>789</v>
      </c>
      <c r="L2891" s="295">
        <v>394.87</v>
      </c>
      <c r="O2891" s="266"/>
      <c r="R2891" s="265">
        <v>2</v>
      </c>
      <c r="S2891" s="265">
        <v>15</v>
      </c>
      <c r="T2891" s="265">
        <v>13</v>
      </c>
      <c r="U2891" s="265">
        <v>4</v>
      </c>
      <c r="V2891" s="259" t="s">
        <v>3028</v>
      </c>
      <c r="W2891" s="259" t="s">
        <v>3061</v>
      </c>
      <c r="Y2891" s="259">
        <v>184</v>
      </c>
      <c r="Z2891" s="259" t="s">
        <v>3030</v>
      </c>
      <c r="AA2891" s="259"/>
      <c r="AB2891" s="259"/>
      <c r="AC2891" s="259"/>
    </row>
    <row r="2892" spans="1:29">
      <c r="A2892" s="259" t="s">
        <v>2526</v>
      </c>
      <c r="B2892" s="259" t="s">
        <v>124</v>
      </c>
      <c r="C2892" s="264" t="s">
        <v>8308</v>
      </c>
      <c r="D2892" s="264" t="s">
        <v>2526</v>
      </c>
      <c r="E2892" s="259" t="s">
        <v>8140</v>
      </c>
      <c r="F2892" s="259" t="s">
        <v>5021</v>
      </c>
      <c r="H2892" s="264" t="s">
        <v>8321</v>
      </c>
      <c r="I2892" s="264" t="s">
        <v>8322</v>
      </c>
      <c r="J2892" s="295">
        <v>2683.11</v>
      </c>
      <c r="K2892" s="295">
        <v>2683</v>
      </c>
      <c r="L2892" s="295">
        <v>1341.56</v>
      </c>
      <c r="O2892" s="266"/>
      <c r="R2892" s="265"/>
      <c r="T2892" s="265">
        <v>0</v>
      </c>
      <c r="V2892" s="259"/>
      <c r="W2892" s="259" t="s">
        <v>3061</v>
      </c>
      <c r="Y2892" s="259">
        <v>185</v>
      </c>
      <c r="Z2892" s="259" t="s">
        <v>3030</v>
      </c>
      <c r="AA2892" s="259"/>
      <c r="AB2892" s="259"/>
      <c r="AC2892" s="259"/>
    </row>
    <row r="2893" spans="1:29">
      <c r="A2893" s="259" t="s">
        <v>2527</v>
      </c>
      <c r="B2893" s="259" t="s">
        <v>124</v>
      </c>
      <c r="C2893" s="264" t="s">
        <v>8308</v>
      </c>
      <c r="D2893" s="264" t="s">
        <v>2527</v>
      </c>
      <c r="E2893" s="259" t="s">
        <v>8140</v>
      </c>
      <c r="F2893" s="259" t="s">
        <v>5021</v>
      </c>
      <c r="H2893" s="264" t="s">
        <v>8323</v>
      </c>
      <c r="I2893" s="264" t="s">
        <v>8324</v>
      </c>
      <c r="J2893" s="295">
        <v>157.66999999999999</v>
      </c>
      <c r="K2893" s="295">
        <v>157.66999999999999</v>
      </c>
      <c r="L2893" s="295">
        <v>78.83</v>
      </c>
      <c r="O2893" s="266"/>
      <c r="R2893" s="265"/>
      <c r="T2893" s="265">
        <v>0</v>
      </c>
      <c r="V2893" s="259" t="s">
        <v>3028</v>
      </c>
      <c r="W2893" s="259" t="s">
        <v>3061</v>
      </c>
      <c r="Y2893" s="259">
        <v>186</v>
      </c>
      <c r="Z2893" s="259" t="s">
        <v>3030</v>
      </c>
      <c r="AA2893" s="259"/>
      <c r="AB2893" s="259"/>
      <c r="AC2893" s="259"/>
    </row>
    <row r="2894" spans="1:29">
      <c r="A2894" s="259" t="s">
        <v>2528</v>
      </c>
      <c r="B2894" s="259" t="s">
        <v>124</v>
      </c>
      <c r="C2894" s="264" t="s">
        <v>8308</v>
      </c>
      <c r="D2894" s="264" t="s">
        <v>2528</v>
      </c>
      <c r="E2894" s="259" t="s">
        <v>8140</v>
      </c>
      <c r="F2894" s="259" t="s">
        <v>5021</v>
      </c>
      <c r="H2894" s="264" t="s">
        <v>8325</v>
      </c>
      <c r="I2894" s="264" t="s">
        <v>8326</v>
      </c>
      <c r="J2894" s="295">
        <v>724.4</v>
      </c>
      <c r="K2894" s="295">
        <v>724</v>
      </c>
      <c r="L2894" s="295">
        <v>362.2</v>
      </c>
      <c r="O2894" s="266"/>
      <c r="R2894" s="265"/>
      <c r="T2894" s="265">
        <v>0</v>
      </c>
      <c r="V2894" s="259"/>
      <c r="W2894" s="259" t="s">
        <v>3061</v>
      </c>
      <c r="Y2894" s="259">
        <v>187</v>
      </c>
      <c r="Z2894" s="259" t="s">
        <v>3030</v>
      </c>
      <c r="AA2894" s="259"/>
      <c r="AB2894" s="259"/>
      <c r="AC2894" s="259"/>
    </row>
    <row r="2895" spans="1:29">
      <c r="A2895" s="259" t="s">
        <v>2529</v>
      </c>
      <c r="B2895" s="259" t="s">
        <v>124</v>
      </c>
      <c r="C2895" s="264" t="s">
        <v>8308</v>
      </c>
      <c r="D2895" s="264" t="s">
        <v>2529</v>
      </c>
      <c r="E2895" s="259" t="s">
        <v>8140</v>
      </c>
      <c r="F2895" s="259" t="s">
        <v>5021</v>
      </c>
      <c r="H2895" s="264" t="s">
        <v>8327</v>
      </c>
      <c r="I2895" s="264" t="s">
        <v>8328</v>
      </c>
      <c r="J2895" s="295">
        <v>2524.04</v>
      </c>
      <c r="K2895" s="295">
        <v>2524</v>
      </c>
      <c r="L2895" s="295">
        <v>1262.02</v>
      </c>
      <c r="O2895" s="266"/>
      <c r="R2895" s="265"/>
      <c r="T2895" s="265">
        <v>0</v>
      </c>
      <c r="V2895" s="259"/>
      <c r="W2895" s="259" t="s">
        <v>3061</v>
      </c>
      <c r="Y2895" s="259">
        <v>188</v>
      </c>
      <c r="Z2895" s="259" t="s">
        <v>3030</v>
      </c>
      <c r="AA2895" s="259"/>
      <c r="AB2895" s="259"/>
      <c r="AC2895" s="259"/>
    </row>
    <row r="2896" spans="1:29">
      <c r="A2896" s="259" t="s">
        <v>2530</v>
      </c>
      <c r="B2896" s="259" t="s">
        <v>124</v>
      </c>
      <c r="C2896" s="264" t="s">
        <v>8308</v>
      </c>
      <c r="D2896" s="264" t="s">
        <v>2530</v>
      </c>
      <c r="E2896" s="259" t="s">
        <v>8140</v>
      </c>
      <c r="F2896" s="259" t="s">
        <v>5021</v>
      </c>
      <c r="H2896" s="264" t="s">
        <v>8329</v>
      </c>
      <c r="I2896" s="264" t="s">
        <v>8330</v>
      </c>
      <c r="J2896" s="295">
        <v>1879.57</v>
      </c>
      <c r="K2896" s="295">
        <v>1879</v>
      </c>
      <c r="L2896" s="295">
        <v>1362.49</v>
      </c>
      <c r="O2896" s="266"/>
      <c r="R2896" s="265">
        <v>1</v>
      </c>
      <c r="T2896" s="265">
        <v>9.5</v>
      </c>
      <c r="U2896" s="265">
        <v>1.5</v>
      </c>
      <c r="V2896" s="259" t="s">
        <v>3028</v>
      </c>
      <c r="W2896" s="259" t="s">
        <v>3061</v>
      </c>
      <c r="Y2896" s="259">
        <v>189</v>
      </c>
      <c r="Z2896" s="259" t="s">
        <v>3030</v>
      </c>
      <c r="AA2896" s="259"/>
      <c r="AB2896" s="259"/>
      <c r="AC2896" s="259"/>
    </row>
    <row r="2897" spans="1:29">
      <c r="A2897" s="259" t="s">
        <v>2531</v>
      </c>
      <c r="B2897" s="259" t="s">
        <v>124</v>
      </c>
      <c r="C2897" s="264" t="s">
        <v>8308</v>
      </c>
      <c r="D2897" s="264" t="s">
        <v>2531</v>
      </c>
      <c r="E2897" s="259" t="s">
        <v>8140</v>
      </c>
      <c r="F2897" s="259" t="s">
        <v>5021</v>
      </c>
      <c r="H2897" s="264" t="s">
        <v>8331</v>
      </c>
      <c r="I2897" s="264" t="s">
        <v>8332</v>
      </c>
      <c r="J2897" s="295">
        <v>1360.39</v>
      </c>
      <c r="K2897" s="295">
        <v>1086</v>
      </c>
      <c r="L2897" s="295">
        <v>756.67</v>
      </c>
      <c r="O2897" s="266"/>
      <c r="R2897" s="265"/>
      <c r="V2897" s="259"/>
      <c r="W2897" s="259" t="s">
        <v>3061</v>
      </c>
      <c r="Y2897" s="259">
        <v>190</v>
      </c>
      <c r="Z2897" s="259" t="s">
        <v>3030</v>
      </c>
      <c r="AA2897" s="259"/>
      <c r="AB2897" s="259"/>
      <c r="AC2897" s="259"/>
    </row>
    <row r="2898" spans="1:29">
      <c r="A2898" s="259" t="s">
        <v>2532</v>
      </c>
      <c r="B2898" s="259" t="s">
        <v>124</v>
      </c>
      <c r="C2898" s="264" t="s">
        <v>8308</v>
      </c>
      <c r="D2898" s="264" t="s">
        <v>2532</v>
      </c>
      <c r="E2898" s="259" t="s">
        <v>8140</v>
      </c>
      <c r="F2898" s="259" t="s">
        <v>5021</v>
      </c>
      <c r="H2898" s="264" t="s">
        <v>8333</v>
      </c>
      <c r="I2898" s="264" t="s">
        <v>8333</v>
      </c>
      <c r="J2898" s="295">
        <v>1904.06</v>
      </c>
      <c r="K2898" s="295">
        <v>1523</v>
      </c>
      <c r="L2898" s="295">
        <v>998.21</v>
      </c>
      <c r="O2898" s="266"/>
      <c r="R2898" s="265"/>
      <c r="V2898" s="259" t="s">
        <v>3028</v>
      </c>
      <c r="W2898" s="259" t="s">
        <v>3061</v>
      </c>
      <c r="Y2898" s="259">
        <v>191</v>
      </c>
      <c r="Z2898" s="259" t="s">
        <v>3030</v>
      </c>
      <c r="AA2898" s="259"/>
      <c r="AB2898" s="259"/>
      <c r="AC2898" s="259"/>
    </row>
    <row r="2899" spans="1:29">
      <c r="A2899" s="259" t="s">
        <v>2533</v>
      </c>
      <c r="B2899" s="259" t="s">
        <v>124</v>
      </c>
      <c r="C2899" s="264" t="s">
        <v>8334</v>
      </c>
      <c r="D2899" s="264" t="s">
        <v>2533</v>
      </c>
      <c r="E2899" s="259" t="s">
        <v>8140</v>
      </c>
      <c r="F2899" s="259" t="s">
        <v>5021</v>
      </c>
      <c r="H2899" s="264" t="s">
        <v>8335</v>
      </c>
      <c r="I2899" s="264" t="s">
        <v>8335</v>
      </c>
      <c r="J2899" s="295">
        <v>632.67999999999995</v>
      </c>
      <c r="K2899" s="295">
        <v>632.67999999999995</v>
      </c>
      <c r="L2899" s="295">
        <v>315.33</v>
      </c>
      <c r="O2899" s="266"/>
      <c r="R2899" s="265">
        <v>4</v>
      </c>
      <c r="S2899" s="265">
        <v>14.5</v>
      </c>
      <c r="T2899" s="265">
        <v>7.5</v>
      </c>
      <c r="U2899" s="265">
        <v>3.5</v>
      </c>
      <c r="V2899" s="259" t="s">
        <v>3028</v>
      </c>
      <c r="W2899" s="259" t="s">
        <v>3061</v>
      </c>
      <c r="Y2899" s="259">
        <v>192</v>
      </c>
      <c r="Z2899" s="259" t="s">
        <v>3030</v>
      </c>
      <c r="AA2899" s="259"/>
      <c r="AB2899" s="259"/>
      <c r="AC2899" s="259"/>
    </row>
    <row r="2900" spans="1:29">
      <c r="A2900" s="259" t="s">
        <v>2534</v>
      </c>
      <c r="B2900" s="259" t="s">
        <v>124</v>
      </c>
      <c r="C2900" s="264" t="s">
        <v>8334</v>
      </c>
      <c r="D2900" s="264" t="s">
        <v>2534</v>
      </c>
      <c r="E2900" s="259" t="s">
        <v>8140</v>
      </c>
      <c r="F2900" s="259" t="s">
        <v>5021</v>
      </c>
      <c r="H2900" s="264" t="s">
        <v>8336</v>
      </c>
      <c r="I2900" s="264" t="s">
        <v>8337</v>
      </c>
      <c r="J2900" s="295">
        <v>2902</v>
      </c>
      <c r="K2900" s="295">
        <v>2902</v>
      </c>
      <c r="L2900" s="295">
        <v>1451</v>
      </c>
      <c r="O2900" s="266"/>
      <c r="R2900" s="265">
        <v>94</v>
      </c>
      <c r="S2900" s="265">
        <v>32</v>
      </c>
      <c r="T2900" s="265">
        <v>22.5</v>
      </c>
      <c r="U2900" s="265">
        <v>25.5</v>
      </c>
      <c r="V2900" s="259" t="s">
        <v>3028</v>
      </c>
      <c r="W2900" s="259" t="s">
        <v>3061</v>
      </c>
      <c r="Y2900" s="259">
        <v>193</v>
      </c>
      <c r="Z2900" s="259" t="s">
        <v>3030</v>
      </c>
      <c r="AA2900" s="259"/>
      <c r="AB2900" s="259"/>
      <c r="AC2900" s="259"/>
    </row>
    <row r="2901" spans="1:29">
      <c r="A2901" s="259">
        <v>5058848</v>
      </c>
      <c r="B2901" s="259" t="s">
        <v>124</v>
      </c>
      <c r="C2901" s="264" t="s">
        <v>8334</v>
      </c>
      <c r="D2901" s="264">
        <v>5058848</v>
      </c>
      <c r="E2901" s="259" t="s">
        <v>8140</v>
      </c>
      <c r="F2901" s="259" t="s">
        <v>5021</v>
      </c>
      <c r="H2901" s="264" t="s">
        <v>8338</v>
      </c>
      <c r="I2901" s="264" t="s">
        <v>8339</v>
      </c>
      <c r="J2901" s="295">
        <v>6312.21</v>
      </c>
      <c r="K2901" s="295">
        <v>6312</v>
      </c>
      <c r="L2901" s="295">
        <v>3156.11</v>
      </c>
      <c r="O2901" s="266"/>
      <c r="R2901" s="265"/>
      <c r="V2901" s="259"/>
      <c r="W2901" s="259" t="s">
        <v>3061</v>
      </c>
      <c r="Y2901" s="259">
        <v>194</v>
      </c>
      <c r="AA2901" s="259"/>
      <c r="AB2901" s="259"/>
      <c r="AC2901" s="259"/>
    </row>
    <row r="2902" spans="1:29">
      <c r="A2902" s="259" t="s">
        <v>2535</v>
      </c>
      <c r="B2902" s="259" t="s">
        <v>124</v>
      </c>
      <c r="C2902" s="264" t="s">
        <v>8334</v>
      </c>
      <c r="D2902" s="264" t="s">
        <v>2535</v>
      </c>
      <c r="E2902" s="259" t="s">
        <v>8140</v>
      </c>
      <c r="F2902" s="259" t="s">
        <v>5021</v>
      </c>
      <c r="H2902" s="264" t="s">
        <v>8340</v>
      </c>
      <c r="I2902" s="264" t="s">
        <v>8341</v>
      </c>
      <c r="J2902" s="295">
        <v>1431.04</v>
      </c>
      <c r="K2902" s="295">
        <v>1431</v>
      </c>
      <c r="L2902" s="295">
        <v>715.52</v>
      </c>
      <c r="O2902" s="266"/>
      <c r="R2902" s="265"/>
      <c r="V2902" s="259" t="s">
        <v>7247</v>
      </c>
      <c r="W2902" s="259" t="s">
        <v>3061</v>
      </c>
      <c r="Y2902" s="259">
        <v>195</v>
      </c>
      <c r="AA2902" s="259"/>
      <c r="AB2902" s="259"/>
      <c r="AC2902" s="259"/>
    </row>
    <row r="2903" spans="1:29">
      <c r="A2903" s="305" t="s">
        <v>2536</v>
      </c>
      <c r="B2903" s="259" t="s">
        <v>124</v>
      </c>
      <c r="C2903" s="264" t="s">
        <v>8334</v>
      </c>
      <c r="D2903" s="264" t="s">
        <v>2536</v>
      </c>
      <c r="E2903" s="259" t="s">
        <v>8140</v>
      </c>
      <c r="F2903" s="259" t="s">
        <v>5021</v>
      </c>
      <c r="H2903" s="264" t="s">
        <v>8342</v>
      </c>
      <c r="I2903" s="264" t="s">
        <v>8342</v>
      </c>
      <c r="J2903" s="295">
        <v>2938.74</v>
      </c>
      <c r="K2903" s="295">
        <v>2938</v>
      </c>
      <c r="L2903" s="295">
        <v>1469.37</v>
      </c>
      <c r="O2903" s="266"/>
      <c r="R2903" s="265">
        <v>30</v>
      </c>
      <c r="T2903" s="265">
        <v>34</v>
      </c>
      <c r="U2903" s="265">
        <v>7</v>
      </c>
      <c r="V2903" s="259"/>
      <c r="W2903" s="259" t="s">
        <v>3061</v>
      </c>
      <c r="Y2903" s="259">
        <v>196</v>
      </c>
      <c r="Z2903" s="259" t="s">
        <v>3030</v>
      </c>
      <c r="AA2903" s="259"/>
      <c r="AB2903" s="259"/>
      <c r="AC2903" s="259"/>
    </row>
    <row r="2904" spans="1:29">
      <c r="A2904" s="305">
        <v>5080890</v>
      </c>
      <c r="B2904" s="259" t="s">
        <v>124</v>
      </c>
      <c r="C2904" s="264" t="s">
        <v>8343</v>
      </c>
      <c r="D2904" s="264">
        <v>5080890</v>
      </c>
      <c r="E2904" s="259">
        <v>0</v>
      </c>
      <c r="G2904" s="259" t="s">
        <v>3378</v>
      </c>
      <c r="H2904" s="264" t="s">
        <v>8344</v>
      </c>
      <c r="I2904" s="264" t="s">
        <v>8344</v>
      </c>
      <c r="J2904" s="295">
        <v>7410.41</v>
      </c>
      <c r="K2904" s="295">
        <v>7410</v>
      </c>
      <c r="L2904" s="295">
        <v>3306.08</v>
      </c>
      <c r="O2904" s="266"/>
      <c r="P2904" s="266">
        <v>688705002828</v>
      </c>
      <c r="R2904" s="265"/>
      <c r="V2904" s="259" t="s">
        <v>3028</v>
      </c>
      <c r="W2904" s="259" t="s">
        <v>3061</v>
      </c>
      <c r="Y2904" s="259">
        <v>197</v>
      </c>
      <c r="AA2904" s="259"/>
      <c r="AB2904" s="259"/>
      <c r="AC2904" s="259"/>
    </row>
    <row r="2905" spans="1:29">
      <c r="A2905" s="305">
        <v>5076585</v>
      </c>
      <c r="B2905" s="259" t="s">
        <v>124</v>
      </c>
      <c r="C2905" s="264" t="s">
        <v>128</v>
      </c>
      <c r="D2905" s="264">
        <v>5076585</v>
      </c>
      <c r="E2905" s="259" t="s">
        <v>8084</v>
      </c>
      <c r="H2905" s="264" t="s">
        <v>8091</v>
      </c>
      <c r="I2905" s="264" t="s">
        <v>8092</v>
      </c>
      <c r="J2905" s="295">
        <v>1649.14</v>
      </c>
      <c r="K2905" s="295">
        <v>1319</v>
      </c>
      <c r="L2905" s="295">
        <v>988.76</v>
      </c>
      <c r="M2905" s="296"/>
      <c r="N2905" s="296"/>
      <c r="O2905" s="47"/>
      <c r="Q2905" s="47"/>
      <c r="R2905" s="265">
        <v>31</v>
      </c>
      <c r="S2905" s="265">
        <v>24</v>
      </c>
      <c r="T2905" s="265">
        <v>22</v>
      </c>
      <c r="U2905" s="265">
        <v>10</v>
      </c>
      <c r="V2905" s="63"/>
      <c r="W2905" s="60"/>
      <c r="X2905" s="264" t="s">
        <v>8093</v>
      </c>
      <c r="Y2905" s="60" t="e">
        <v>#N/A</v>
      </c>
      <c r="Z2905" s="60"/>
      <c r="AA2905" s="45"/>
      <c r="AB2905" s="45"/>
      <c r="AC2905" s="45"/>
    </row>
  </sheetData>
  <sheetProtection algorithmName="SHA-512" hashValue="hMO6fzlbjvKCIJwYjU9maX4h/DHc3Wpv7aRtwF6XRm+4h/QGju8QP7gQJY3LcKCzizuFwUFGkBL2aPczJ/Yeug==" saltValue="jsAcMf/YMTcy9DMINWV7Fw==" spinCount="100000" sheet="1" sort="0" autoFilter="0"/>
  <phoneticPr fontId="69" type="noConversion"/>
  <conditionalFormatting sqref="A2:A2905">
    <cfRule type="duplicateValues" dxfId="10" priority="53"/>
  </conditionalFormatting>
  <conditionalFormatting sqref="A2891:A2902">
    <cfRule type="duplicateValues" dxfId="9" priority="8"/>
  </conditionalFormatting>
  <conditionalFormatting sqref="A2903">
    <cfRule type="duplicateValues" dxfId="8" priority="5"/>
    <cfRule type="duplicateValues" dxfId="7" priority="6"/>
  </conditionalFormatting>
  <conditionalFormatting sqref="A2904">
    <cfRule type="duplicateValues" dxfId="6" priority="3"/>
    <cfRule type="duplicateValues" dxfId="5" priority="4"/>
  </conditionalFormatting>
  <conditionalFormatting sqref="A2905">
    <cfRule type="duplicateValues" dxfId="4" priority="1"/>
    <cfRule type="duplicateValues" dxfId="3" priority="2"/>
  </conditionalFormatting>
  <conditionalFormatting sqref="A2906:A1048576 A1:A2902">
    <cfRule type="duplicateValues" dxfId="2" priority="7"/>
  </conditionalFormatting>
  <conditionalFormatting sqref="C705">
    <cfRule type="cellIs" dxfId="1" priority="9" operator="equal">
      <formula>0</formula>
    </cfRule>
    <cfRule type="duplicateValues" dxfId="0" priority="10"/>
  </conditionalFormatting>
  <hyperlinks>
    <hyperlink ref="X9" r:id="rId1" xr:uid="{42F3AC89-B5E3-49B7-9231-E5968D066670}"/>
    <hyperlink ref="X10" r:id="rId2" xr:uid="{79200528-B57D-428D-8BE3-63CDD6F86869}"/>
    <hyperlink ref="X11" r:id="rId3" xr:uid="{BDD9F5E0-E7EE-4B8C-A40E-C600C66541B9}"/>
    <hyperlink ref="X12" r:id="rId4" xr:uid="{A823CBBD-61E1-4C6C-BF91-6F93BEDCEBE5}"/>
    <hyperlink ref="X13" r:id="rId5" xr:uid="{2D253C42-27D7-4744-AF5A-CA57B20D4ACC}"/>
    <hyperlink ref="X15" r:id="rId6" xr:uid="{C0E913AE-4F8D-492B-8FF0-A4550A4769AC}"/>
    <hyperlink ref="X16" r:id="rId7" xr:uid="{62A6444D-D1F9-446D-BBFC-05BD05ABE8C0}"/>
    <hyperlink ref="X17" r:id="rId8" xr:uid="{2D76E468-FB53-4560-BD50-2FCCE3A7BA0B}"/>
    <hyperlink ref="X18" r:id="rId9" xr:uid="{FDF3C990-D239-484B-B615-08DF763ED0E3}"/>
    <hyperlink ref="X19" r:id="rId10" xr:uid="{8E053995-58C4-41F7-8BA8-4EBB80D902A3}"/>
    <hyperlink ref="X20" r:id="rId11" xr:uid="{9FD3212E-743F-4FA0-8BC6-00C9D2854A87}"/>
    <hyperlink ref="X21" r:id="rId12" xr:uid="{BB695BF2-14CE-41F4-A7B2-FADA2F76ED0E}"/>
    <hyperlink ref="X22" r:id="rId13" xr:uid="{98D6A873-244E-47B4-8E5C-4CC2F41E7A67}"/>
    <hyperlink ref="X23" r:id="rId14" xr:uid="{A92971DF-3682-47D4-AEE5-5A4D420FC8E8}"/>
    <hyperlink ref="X24" r:id="rId15" xr:uid="{C6FEF15E-14E6-4BBD-BE95-815BE88EA5A4}"/>
    <hyperlink ref="X25" r:id="rId16" xr:uid="{900B6B87-4042-470D-8EFD-802716FB7A05}"/>
    <hyperlink ref="X26" r:id="rId17" xr:uid="{2FF85BF2-1711-419B-B134-05B06ABB4CFC}"/>
    <hyperlink ref="X27" r:id="rId18" xr:uid="{AE3A8B24-F178-4C41-A142-A60BC9E7CA22}"/>
    <hyperlink ref="X30" r:id="rId19" xr:uid="{54FDEC93-EF57-4C83-AC77-D93A87B8BF0C}"/>
    <hyperlink ref="X31" r:id="rId20" xr:uid="{9B2D3914-C7DA-4215-BA98-69188F224769}"/>
    <hyperlink ref="X32" r:id="rId21" xr:uid="{851854BF-09CF-4945-A70C-15AF83FFB665}"/>
    <hyperlink ref="X33" r:id="rId22" xr:uid="{2A2DA631-DD0A-46FB-818B-4AEF9F936AAB}"/>
    <hyperlink ref="X34" r:id="rId23" xr:uid="{3E105A13-1BA3-4C7B-90CB-19FEF2164CAC}"/>
    <hyperlink ref="X35" r:id="rId24" xr:uid="{48CE3218-4A42-48A1-9D39-E798E2B54495}"/>
    <hyperlink ref="X36" r:id="rId25" xr:uid="{3254B802-5FEB-4BC5-95CE-70D708331C80}"/>
    <hyperlink ref="X37" r:id="rId26" xr:uid="{98710B7F-723B-4157-84BD-03F58FD23D45}"/>
    <hyperlink ref="X38" r:id="rId27" xr:uid="{099C4CE2-1428-4A08-BEBC-42AD727DE934}"/>
    <hyperlink ref="X39" r:id="rId28" xr:uid="{955660F8-2397-4AE2-A168-4D583A6E9547}"/>
    <hyperlink ref="X40" r:id="rId29" xr:uid="{8A3E330D-2719-4A90-9D91-86F47B60F022}"/>
    <hyperlink ref="X42" r:id="rId30" xr:uid="{2F947568-918A-464F-BB9D-E24D7EC1735E}"/>
    <hyperlink ref="X43" r:id="rId31" xr:uid="{C59D5F57-D88D-427C-9002-91F54DE1E5FD}"/>
    <hyperlink ref="X44" r:id="rId32" xr:uid="{E3F7D108-04B3-4E19-AD78-92C9E14496FB}"/>
    <hyperlink ref="X45" r:id="rId33" xr:uid="{DB2FA94C-1013-45B6-B311-732288D4AF67}"/>
    <hyperlink ref="X46" r:id="rId34" xr:uid="{42CC8CDF-0603-4471-9DF6-F3DE6B9DDC23}"/>
    <hyperlink ref="X47" r:id="rId35" xr:uid="{5BB62D8D-1677-453C-9444-49BBB8680ABB}"/>
    <hyperlink ref="X48" r:id="rId36" xr:uid="{3E6C129F-5A97-4A3E-B870-974FA89D594D}"/>
    <hyperlink ref="X49" r:id="rId37" xr:uid="{7E21B217-64CA-4257-BFF2-5D362EC9430F}"/>
    <hyperlink ref="X50" r:id="rId38" xr:uid="{BA3791B5-460A-487D-A554-30ABCFA7FD2D}"/>
    <hyperlink ref="X51" r:id="rId39" xr:uid="{F6FD47C9-48F0-4C76-B87B-5EC34AD32C87}"/>
    <hyperlink ref="X52" r:id="rId40" xr:uid="{871A1D4C-8656-4E7B-B3CF-0D2C62DC1514}"/>
    <hyperlink ref="X53" r:id="rId41" xr:uid="{6F45D4C5-14EC-428C-A91B-408A7951EF5C}"/>
    <hyperlink ref="X54" r:id="rId42" xr:uid="{B5832FE7-1992-4A4A-9268-E64A60247D04}"/>
    <hyperlink ref="X55" r:id="rId43" xr:uid="{20D1E1FF-A406-46EF-B557-8528927B6F27}"/>
    <hyperlink ref="X56" r:id="rId44" xr:uid="{E3B5E9D9-D38B-4915-A9D1-320AF23726C7}"/>
    <hyperlink ref="X57" r:id="rId45" xr:uid="{A1242F8A-BD6C-4CEC-91EF-A784C399D795}"/>
    <hyperlink ref="X58" r:id="rId46" xr:uid="{4FDFE8B1-33B2-4571-A923-50283E86E187}"/>
    <hyperlink ref="X60" r:id="rId47" xr:uid="{091F1D5F-803B-4ED2-AAC3-4A1ABDC684FE}"/>
    <hyperlink ref="X61" r:id="rId48" xr:uid="{1FC4340B-03C1-4EDA-8BE9-CC18EDB297AA}"/>
    <hyperlink ref="X62" r:id="rId49" xr:uid="{3B97DB17-048B-46F5-AE9E-635AE2E14305}"/>
    <hyperlink ref="X63" r:id="rId50" xr:uid="{8C38D915-03F5-4299-95D7-D29AB3D64701}"/>
    <hyperlink ref="X64" r:id="rId51" xr:uid="{34DA9284-3AA4-4EA3-89C1-838B2AA62E52}"/>
    <hyperlink ref="X65" r:id="rId52" xr:uid="{C7BF549A-80E3-4116-B34B-F7612E651FA0}"/>
    <hyperlink ref="X66" r:id="rId53" xr:uid="{B32D07C9-8A75-4379-B12F-8D6FB8F29ED8}"/>
    <hyperlink ref="X68" r:id="rId54" xr:uid="{06665B76-014C-48AD-B516-09A55653CE4E}"/>
    <hyperlink ref="X69" r:id="rId55" xr:uid="{FBA434E6-A46C-4DE9-A87A-40B5EB767F3C}"/>
    <hyperlink ref="X70" r:id="rId56" xr:uid="{5DFF317B-A504-4727-9462-F699ACC3C08C}"/>
    <hyperlink ref="X71" r:id="rId57" xr:uid="{E8C3F307-18A7-4270-88AB-D0D7D4C3711C}"/>
    <hyperlink ref="X72" r:id="rId58" xr:uid="{6C635C92-16D9-4827-BD51-985381190CE5}"/>
    <hyperlink ref="X73" r:id="rId59" xr:uid="{6970E5A4-431D-4AC9-B03D-A892861F4D48}"/>
    <hyperlink ref="X74" r:id="rId60" xr:uid="{393D7071-0DBC-49D5-A5A7-2EE14D640E36}"/>
    <hyperlink ref="X75" r:id="rId61" location="q=lc81md&amp;simplesearch=Go&amp;start=1" xr:uid="{953CFC5A-383C-415E-A35F-60FFCAC18C1A}"/>
    <hyperlink ref="X76" r:id="rId62" location="q=lc81md&amp;simplesearch=Go&amp;start=1" xr:uid="{E4CBC16E-B5EC-4AFE-B497-4E713B08B7F9}"/>
    <hyperlink ref="X77" r:id="rId63" location="q=lc81md&amp;simplesearch=Go&amp;start=1" xr:uid="{4B1CBE51-3912-41FE-9B2D-4C12A8AD68EA}"/>
    <hyperlink ref="X78" r:id="rId64" xr:uid="{38771AFE-BF51-4F83-BF3F-00EE47E02CCC}"/>
    <hyperlink ref="X79" r:id="rId65" xr:uid="{CD4CD447-C2E0-44E5-B543-AAAEA9E45E72}"/>
    <hyperlink ref="X82" r:id="rId66" display="https://au.akg.com/speech-spoken-word-microphones/6000H51010.html" xr:uid="{A2B32654-E5B9-4974-9B8D-D227637CE198}"/>
    <hyperlink ref="X83" r:id="rId67" display="https://au.akg.com/speech-spoken-word-microphones/6000H51020.html" xr:uid="{1C386129-5569-4EEC-8279-828717A4F3DA}"/>
    <hyperlink ref="X84" r:id="rId68" display="https://au.akg.com/speech-spoken-word-microphones/6000H51030.html" xr:uid="{0C720401-0CAE-453C-83EA-83F7CDBB0291}"/>
    <hyperlink ref="X85" r:id="rId69" display="https://au.akg.com/modular-microphones-components/2765H00010.html" xr:uid="{7D5CB31D-8902-4B4B-BD90-93292AD218E5}"/>
    <hyperlink ref="X86" r:id="rId70" display="https://au.akg.com/modular-microphones-components/2765H00450.html" xr:uid="{12751B0C-7851-42FD-88BB-E89DDA3A7FBD}"/>
    <hyperlink ref="X87" r:id="rId71" display="https://au.akg.com/modular-microphones-components/2765H00020.html" xr:uid="{F42E295E-ADB8-4CFB-B531-C76926568FC8}"/>
    <hyperlink ref="X88" r:id="rId72" display="https://au.akg.com/modular-microphones-components/3165H00080.html" xr:uid="{979D2225-2231-4ED6-AB7C-BDE6A8078C0D}"/>
    <hyperlink ref="X89" r:id="rId73" display="https://au.akg.com/modular-microphones-components/2765H00400.html" xr:uid="{C6AB89E6-28F5-44F4-93E6-CE75455BCDC6}"/>
    <hyperlink ref="X90" r:id="rId74" display="https://au.akg.com/modular-microphones-components/GN30.html?dwvar_GN30_color=Grey-GLOBAL-Current" xr:uid="{F6CEAB9F-ABC2-4CCA-A3DB-66A2C9AD4008}"/>
    <hyperlink ref="X91" r:id="rId75" display="https://au.akg.com/modular-microphones-components/3165H00090.html" xr:uid="{7F7C5965-8F4A-4645-B5DC-81C06C4DE219}"/>
    <hyperlink ref="X92" r:id="rId76" display="https://au.akg.com/modular-microphones-components/2765H00460.html" xr:uid="{D95AF43C-E72C-4664-B2D8-B5A5241EA28F}"/>
    <hyperlink ref="X93" r:id="rId77" display="https://au.akg.com/modular-microphones-components/2765H00030.html" xr:uid="{6B588DA8-0DF5-42C2-B54B-20FFCCBE8CA7}"/>
    <hyperlink ref="X94" r:id="rId78" display="https://au.akg.com/modular-microphones-components/2765H00040.html" xr:uid="{044718A0-D642-400E-9FF6-7E93028447A1}"/>
    <hyperlink ref="X95" r:id="rId79" display="https://au.akg.com/modular-microphones-components/2765H00080.html" xr:uid="{DD871617-AF26-4618-A216-27CDDFB41D73}"/>
    <hyperlink ref="X96" r:id="rId80" display="https://au.akg.com/modular-microphones-components/2765H00090.html" xr:uid="{CA53AD63-3E2B-4075-A681-0651C190B8A3}"/>
    <hyperlink ref="X97" r:id="rId81" display="https://au.akg.com/modular-microphones-components/GN50.html?dwvar_GN50_color=Grey-GLOBAL-Current" xr:uid="{64A57F08-7F2A-414D-A6DC-7B998B3F9A5E}"/>
    <hyperlink ref="X98" r:id="rId82" display="https://au.akg.com/modular-microphones-components/2765H00410.html" xr:uid="{294205EE-FCDA-44CA-86D8-8024D3D2E576}"/>
    <hyperlink ref="X99" r:id="rId83" display="https://au.akg.com/modular-microphones-components/2765H00470.html" xr:uid="{61113BB3-8590-4C65-A2C6-A41B6DD47B5F}"/>
    <hyperlink ref="X100" r:id="rId84" display="https://au.akg.com/modular-microphones-components/3165H00100.html" xr:uid="{AE2B5A92-5B98-48AA-A554-B6FB73BDDC23}"/>
    <hyperlink ref="X101" r:id="rId85" xr:uid="{76D28879-4CB5-4214-8F91-99EBF7FDB653}"/>
    <hyperlink ref="X102" r:id="rId86" xr:uid="{1AA1CF96-1751-4AF4-8DDA-6AB846E6C54A}"/>
    <hyperlink ref="X103" r:id="rId87" xr:uid="{09D6F25C-D15F-470C-8638-C6B19AD84ABB}"/>
    <hyperlink ref="X104" r:id="rId88" xr:uid="{AD04B781-62B2-4D86-94EE-72A18666E0DD}"/>
    <hyperlink ref="X105" r:id="rId89" xr:uid="{F1C82529-24AF-4AA5-8D72-2DF8E23AA4F5}"/>
    <hyperlink ref="X106" r:id="rId90" xr:uid="{550D979A-DF5B-4B25-8D50-9237ECB24FC6}"/>
    <hyperlink ref="X107" r:id="rId91" xr:uid="{8F14C949-5520-4BCC-8D89-14A4572D653A}"/>
    <hyperlink ref="X108" r:id="rId92" xr:uid="{F440AC0B-B978-4AA9-A0E2-94151D002C47}"/>
    <hyperlink ref="X109" r:id="rId93" xr:uid="{A3A7ECE7-8183-4425-B13F-90AFAFAB1A9E}"/>
    <hyperlink ref="X110" r:id="rId94" xr:uid="{F714C5ED-5EB4-4BD4-9A3D-C6238CD306CE}"/>
    <hyperlink ref="X111" r:id="rId95" xr:uid="{78D8B354-E58C-4D3D-931D-05143197A978}"/>
    <hyperlink ref="X112" r:id="rId96" xr:uid="{8E0EF0B9-FAC0-4724-8CFD-67183AA15AE5}"/>
    <hyperlink ref="X113" r:id="rId97" xr:uid="{38032C89-70ED-4F40-8A91-85D17FAC4CED}"/>
    <hyperlink ref="X114" r:id="rId98" xr:uid="{AA2D6EB3-0F91-4680-B8DE-1CC728F29840}"/>
    <hyperlink ref="X115" r:id="rId99" xr:uid="{E03FEAE9-332B-4238-9CFF-29EE07AA0C74}"/>
    <hyperlink ref="X116" r:id="rId100" xr:uid="{B5F1C655-E576-4EB2-8ED8-978B13889626}"/>
    <hyperlink ref="X117" r:id="rId101" xr:uid="{2332BABD-5EC2-46DE-B8F3-04DED5F8A27B}"/>
    <hyperlink ref="X118" r:id="rId102" xr:uid="{67F09B22-4C5A-4E78-8EB7-C21B572D1E42}"/>
    <hyperlink ref="X119" r:id="rId103" location="prod=W82group" xr:uid="{AEF32FDD-61FB-4C1C-87C0-1FAE5ED12D83}"/>
    <hyperlink ref="X120" r:id="rId104" xr:uid="{3401C3B5-56A0-4D22-A741-68A35780B8DA}"/>
    <hyperlink ref="X121" r:id="rId105" xr:uid="{EDB7F90B-BC7A-4F08-9EF7-82CAD95A1A50}"/>
    <hyperlink ref="X122" r:id="rId106" xr:uid="{EC61BE79-B311-4B2A-A524-08C2203C0A39}"/>
    <hyperlink ref="X123" r:id="rId107" xr:uid="{9AC5DC05-E33D-4EC7-A1E4-FB30ACAFE489}"/>
    <hyperlink ref="X124" r:id="rId108" xr:uid="{1208A7AB-4B69-4AF5-9599-ED16D30E1813}"/>
    <hyperlink ref="X125" r:id="rId109" xr:uid="{0BE59E8B-3F84-477E-BE84-CE193D401B5E}"/>
    <hyperlink ref="X126" r:id="rId110" location="q=cs3&amp;simplesearch=Go&amp;start=1" xr:uid="{09E21341-486F-4A4C-9834-55EC52E9BB9F}"/>
    <hyperlink ref="X128" r:id="rId111" xr:uid="{7C22A219-3C72-478D-9425-86225651B95B}"/>
    <hyperlink ref="X129" r:id="rId112" xr:uid="{03DDE2B7-27ED-418D-813D-55C2292CF2AA}"/>
    <hyperlink ref="X131" r:id="rId113" xr:uid="{E43C1CA8-E13E-4A9F-806D-7F2CD504BA46}"/>
    <hyperlink ref="X132" r:id="rId114" xr:uid="{BCFDBD52-CE46-4AA2-826A-195961827069}"/>
    <hyperlink ref="X133" r:id="rId115" xr:uid="{E16C1222-0D56-4AC5-96B6-AEBE3359DE11}"/>
    <hyperlink ref="X134" r:id="rId116" xr:uid="{801D2EE9-2269-4E70-835D-A56B9F604D2B}"/>
    <hyperlink ref="X135" r:id="rId117" location="q=5095184-00&amp;start=1" xr:uid="{13D0A4F0-8135-45D3-94C1-EAA2BDB9C2E9}"/>
    <hyperlink ref="X136" r:id="rId118" xr:uid="{AA255593-44B7-41E9-A1F0-BDA257EC91B5}"/>
    <hyperlink ref="X137" r:id="rId119" xr:uid="{F805B1C8-CBF2-4060-A1DD-B1296B705C04}"/>
    <hyperlink ref="X138" r:id="rId120" xr:uid="{50363F1B-82F4-49DF-94F1-2091F09CEE8C}"/>
    <hyperlink ref="X139" r:id="rId121" xr:uid="{FDBB08E8-BDC8-4FAE-9EAB-1FE503F4CFDA}"/>
    <hyperlink ref="X140" r:id="rId122" xr:uid="{2BA4DDBD-DFB2-41E0-8BAC-59607945FC60}"/>
    <hyperlink ref="X141" r:id="rId123" xr:uid="{CDBF9676-EFC6-478B-97F7-6A8D4B974990}"/>
    <hyperlink ref="X142" r:id="rId124" xr:uid="{77209DF0-07D4-436D-8CD2-C067F31A8780}"/>
    <hyperlink ref="X143" r:id="rId125" xr:uid="{F9D80CB2-2C22-45D1-9EEF-CDB32E203320}"/>
    <hyperlink ref="X144" r:id="rId126" xr:uid="{84B1944C-C9BE-4ED7-B006-5D9F9C32503F}"/>
    <hyperlink ref="X145" r:id="rId127" xr:uid="{1FC50F52-18D4-4D0A-A638-15096285E968}"/>
    <hyperlink ref="X146" r:id="rId128" xr:uid="{BB342F5E-45B3-47D8-9B7A-97E2DC20C40A}"/>
    <hyperlink ref="X147" r:id="rId129" xr:uid="{A76CB327-4FD1-4FF9-B4E5-3934F272EB25}"/>
    <hyperlink ref="X148" r:id="rId130" xr:uid="{73000557-F920-4F7F-A46C-093BB4A1CFB1}"/>
    <hyperlink ref="X150" r:id="rId131" xr:uid="{8D71CE3E-8889-424A-A7AA-1D1F595D13A7}"/>
    <hyperlink ref="X151" r:id="rId132" xr:uid="{33A5D49E-E14E-44D8-AB45-426215047E35}"/>
    <hyperlink ref="X152" r:id="rId133" xr:uid="{7710BDD4-E60C-4751-9251-A09A913B8CEF}"/>
    <hyperlink ref="X153" r:id="rId134" xr:uid="{3BF32C71-E3E0-4CED-85B8-3930BBDAE919}"/>
    <hyperlink ref="X154" r:id="rId135" xr:uid="{E974F0E5-0F23-4CCE-ACAA-1AACF58E4FF4}"/>
    <hyperlink ref="X155" r:id="rId136" xr:uid="{4D9B291F-CD0B-4D92-A492-F113C7624730}"/>
    <hyperlink ref="X157" r:id="rId137" xr:uid="{815F1177-913C-4A11-9BE8-E2C64F5293BC}"/>
    <hyperlink ref="X158" r:id="rId138" location="q=cs3&amp;simplesearch=Go&amp;start=1" xr:uid="{ED787C08-1D0F-4C75-B415-781790476C3A}"/>
    <hyperlink ref="X159" r:id="rId139" xr:uid="{DA2508F0-5052-4FD6-84AD-263C8DA960F4}"/>
    <hyperlink ref="X160" r:id="rId140" location="q=cs3&amp;simplesearch=Go&amp;start=1" xr:uid="{DF927926-6CCD-4846-A5FF-623A24D866E5}"/>
    <hyperlink ref="X161" r:id="rId141" location="q=cs3&amp;simplesearch=Go&amp;start=1" xr:uid="{455600FA-A8CE-4E3E-A2E9-BB4D01277C1D}"/>
    <hyperlink ref="X162" r:id="rId142" location="q=cs3&amp;simplesearch=Go&amp;start=1" xr:uid="{D5CC8292-E5A3-4545-8DA0-58BB197205B7}"/>
    <hyperlink ref="X163" r:id="rId143" location="q=cs3&amp;simplesearch=Go&amp;start=1" xr:uid="{DAD39779-746D-4294-AAAC-39240433381E}"/>
    <hyperlink ref="X164" r:id="rId144" location="q=cs3&amp;simplesearch=Go&amp;start=1" xr:uid="{8856E772-59D5-4F7B-AE0D-CE8D7622815F}"/>
    <hyperlink ref="X165" r:id="rId145" location="q=cs3&amp;simplesearch=Go&amp;start=1" xr:uid="{2A314ABF-ECAA-41C6-B6A8-E9ED56F3669C}"/>
    <hyperlink ref="X166" r:id="rId146" xr:uid="{0EB4FED9-8ABC-4373-BFDD-03273395B0FC}"/>
    <hyperlink ref="X167" r:id="rId147" xr:uid="{AA4D4946-C399-4BC1-BC6F-DDC327FBCDB0}"/>
    <hyperlink ref="X168" r:id="rId148" xr:uid="{97C8A517-52C2-4BF5-A9A3-D34B7913890C}"/>
    <hyperlink ref="X169" r:id="rId149" xr:uid="{CDC17A2B-4FE2-45FE-BA2E-33101D41A918}"/>
    <hyperlink ref="X170" r:id="rId150" xr:uid="{B5084CCE-6261-42CA-AB22-FEAA3686DAFB}"/>
    <hyperlink ref="X171" r:id="rId151" xr:uid="{2E99A80B-86E2-4F04-87C4-2DD92D990675}"/>
    <hyperlink ref="X172" r:id="rId152" xr:uid="{F248507E-94DF-46C1-8178-E838AF739F89}"/>
    <hyperlink ref="X173" r:id="rId153" xr:uid="{0F5D380B-45C7-43FD-9645-2D16B2F70B7F}"/>
    <hyperlink ref="X175" r:id="rId154" xr:uid="{06DCD165-1611-49C3-9948-3901324CBB38}"/>
    <hyperlink ref="X176" r:id="rId155" xr:uid="{31D3E710-5705-4A1D-886E-596B5FB40F79}"/>
    <hyperlink ref="X177" r:id="rId156" xr:uid="{6FF9C11E-E595-40C5-8E5D-62BA7B6245C8}"/>
    <hyperlink ref="X178" r:id="rId157" xr:uid="{7E33F388-2650-489B-89EC-2A72A8B58C15}"/>
    <hyperlink ref="X179" r:id="rId158" xr:uid="{2BB2BD95-BCE5-4E61-9A53-BC9915519DC0}"/>
    <hyperlink ref="X180" r:id="rId159" xr:uid="{A2422FC1-4E27-4E77-BE96-D65F543BC9D0}"/>
    <hyperlink ref="X182" r:id="rId160" xr:uid="{ED16244B-C699-4D70-9439-5EDC57B261E9}"/>
    <hyperlink ref="X183" r:id="rId161" xr:uid="{3BE59074-944E-41F2-9D67-EFF3FE5A715A}"/>
    <hyperlink ref="X184" r:id="rId162" xr:uid="{B3DC3763-E76C-433E-A529-D9CF7C15216B}"/>
    <hyperlink ref="X185" r:id="rId163" xr:uid="{4E6F4E93-849A-40D9-ACB1-608CC7CDAF99}"/>
    <hyperlink ref="X186" r:id="rId164" xr:uid="{8589017C-06EA-44FC-BB1B-AE21CF84316D}"/>
    <hyperlink ref="X187" r:id="rId165" xr:uid="{495518A3-242B-4DB3-820A-602E0FC4D30B}"/>
    <hyperlink ref="X189" r:id="rId166" location="q=7615H06050&amp;start=1" xr:uid="{0D9CA403-1BA3-4FDC-AB2C-2939ED6C01D2}"/>
    <hyperlink ref="X190" r:id="rId167" xr:uid="{F595EE9A-08FF-4AB8-A0C4-425A3CBC6DCE}"/>
    <hyperlink ref="X191" r:id="rId168" xr:uid="{B252E864-0436-43E0-A181-26A6D83C0EAE}"/>
    <hyperlink ref="X192" r:id="rId169" xr:uid="{ABF66A6A-DD2F-4DDB-AFAB-45E983F77CD7}"/>
    <hyperlink ref="X193" r:id="rId170" xr:uid="{5B7A1121-49E5-4AA1-A5E8-B1E65E78EC61}"/>
    <hyperlink ref="X188" r:id="rId171" xr:uid="{7FA7331E-EE57-4869-A2B3-A2EFD0638958}"/>
    <hyperlink ref="X194" r:id="rId172" xr:uid="{599D4866-DF6C-4AA7-99B6-C5500F03D79E}"/>
    <hyperlink ref="X195" r:id="rId173" location="prod=W81group" xr:uid="{D338F318-05CD-47C3-91DE-DD5658C9849A}"/>
    <hyperlink ref="X196" r:id="rId174" xr:uid="{3B2A6E32-5278-4C40-A0F8-7AF110C2FE08}"/>
    <hyperlink ref="X197" r:id="rId175" xr:uid="{740D5B57-B692-46F7-B60B-F01F9B667C09}"/>
    <hyperlink ref="X198" r:id="rId176" location="prod=WM81group" xr:uid="{059616F4-4B63-44DB-A3A7-7DA6081199D3}"/>
    <hyperlink ref="X199" r:id="rId177" xr:uid="{EC401E71-FF0E-4E11-A951-CAA87F579BB9}"/>
    <hyperlink ref="X200" r:id="rId178" xr:uid="{5DED003C-6749-4CBA-9F2A-2B858B03D1BB}"/>
    <hyperlink ref="X201" r:id="rId179" xr:uid="{CE9D6478-7365-476B-BD8C-BEC00D2FFAB2}"/>
    <hyperlink ref="X202" r:id="rId180" xr:uid="{AA978B45-DA5E-4E78-B7FD-CAF7D5FEF931}"/>
    <hyperlink ref="X203" r:id="rId181" xr:uid="{CDBD49EF-01C2-42E7-8FB1-D50CBB1F5A3C}"/>
    <hyperlink ref="X204" r:id="rId182" xr:uid="{D1E6206F-200F-44FB-A16D-0A93EF004888}"/>
    <hyperlink ref="X207" r:id="rId183" xr:uid="{511CB330-5F29-4AC8-AC3E-7E6D3983B169}"/>
    <hyperlink ref="X208" r:id="rId184" xr:uid="{8C5813CC-00E9-4142-A690-10A7F8F2A9C1}"/>
    <hyperlink ref="X209" r:id="rId185" xr:uid="{E8A24256-0CBB-4EF1-AF0C-AB01F370CCE3}"/>
    <hyperlink ref="X210" r:id="rId186" xr:uid="{A0EF7E8F-567D-4A88-BBB6-3F2BE33946C5}"/>
    <hyperlink ref="X211" r:id="rId187" xr:uid="{CE72A680-237B-4048-B261-FF6CA9DED796}"/>
    <hyperlink ref="X212" r:id="rId188" xr:uid="{280384C7-0B55-4E44-BB38-6C52F09420F0}"/>
    <hyperlink ref="X213" r:id="rId189" xr:uid="{7E9DF701-4BEF-4825-8780-11327D5F0C27}"/>
    <hyperlink ref="X215" r:id="rId190" xr:uid="{CBB053BE-ED2B-42C2-B69C-93F51421CB4C}"/>
    <hyperlink ref="X216" r:id="rId191" xr:uid="{ECAFA4A5-5E17-401E-A884-4F33B687773C}"/>
    <hyperlink ref="X217" r:id="rId192" xr:uid="{5FA8543A-7902-4233-AD0C-08530B069978}"/>
    <hyperlink ref="X218" r:id="rId193" xr:uid="{272B8D11-3CE9-4CC1-BE7A-39B7F2752150}"/>
    <hyperlink ref="X219" r:id="rId194" xr:uid="{3C5DB9E3-AA86-4808-A595-264D9E5F100E}"/>
    <hyperlink ref="X220" r:id="rId195" xr:uid="{41E11D9B-FDF7-48D0-A42B-7855607827D9}"/>
    <hyperlink ref="X221" r:id="rId196" xr:uid="{31389C24-1521-4609-AE28-686AF3112709}"/>
    <hyperlink ref="X222" r:id="rId197" xr:uid="{59962ECD-F2DA-4363-9F4E-8C18E16FFDB8}"/>
    <hyperlink ref="X223" r:id="rId198" xr:uid="{A07E38C5-EE62-4651-9AF6-B5E12AD0007D}"/>
    <hyperlink ref="X224" r:id="rId199" xr:uid="{3AFC9DFA-F011-440E-AD16-7944AD6FC462}"/>
    <hyperlink ref="X225" r:id="rId200" xr:uid="{D66D2E41-95CF-4E60-95DD-527AE060C8EA}"/>
    <hyperlink ref="X226" r:id="rId201" xr:uid="{CD7F0F84-D5FD-4190-8397-B6F661877195}"/>
    <hyperlink ref="X227" r:id="rId202" xr:uid="{AA253BD4-B0D3-4074-836E-54CCE0DBA048}"/>
    <hyperlink ref="X228" r:id="rId203" xr:uid="{A5A4F3BC-180F-4BA4-BD34-D0C25C286473}"/>
    <hyperlink ref="X230" r:id="rId204" xr:uid="{68C64FB3-EA46-4F80-93C4-BB6ADBDC994B}"/>
    <hyperlink ref="X231" r:id="rId205" xr:uid="{10770EA5-94AA-4E1B-B81D-17F59F9EB5BF}"/>
    <hyperlink ref="X232" r:id="rId206" xr:uid="{711C4252-D2A3-4293-8476-33A0BF4128E8}"/>
    <hyperlink ref="X233" r:id="rId207" xr:uid="{522FC177-AECA-4F5D-A9AC-5281DAD17E55}"/>
    <hyperlink ref="X234" r:id="rId208" xr:uid="{73E157B6-EDD2-4B4B-B47A-8A782D406DF4}"/>
    <hyperlink ref="X235" r:id="rId209" xr:uid="{CC50FED3-0FBA-4D77-8EBE-6D5EEDA6B708}"/>
    <hyperlink ref="X237" r:id="rId210" xr:uid="{03061090-A5B1-4729-938F-09047C0E3488}"/>
    <hyperlink ref="X238" r:id="rId211" xr:uid="{6E633FE1-B84A-4C87-849C-967A15BED11B}"/>
    <hyperlink ref="X239" r:id="rId212" xr:uid="{A77ABCE7-579D-4742-A3CA-34479A82C7A7}"/>
    <hyperlink ref="X240" r:id="rId213" xr:uid="{B1D5D95E-B6B5-4B57-963D-5EA615C87E63}"/>
    <hyperlink ref="X241" r:id="rId214" xr:uid="{0A6DD9CD-E369-4A6A-AF37-C0D499DC60B1}"/>
    <hyperlink ref="X242" r:id="rId215" xr:uid="{8B0738F7-92CD-4F2E-BAF3-7B22AEB62F90}"/>
    <hyperlink ref="X243" r:id="rId216" xr:uid="{9C96531E-74A3-4FDF-80E4-8DABC2EAB93F}"/>
    <hyperlink ref="X244" r:id="rId217" xr:uid="{763FC929-A1BF-40DC-B877-510F8E1373AB}"/>
    <hyperlink ref="X245" r:id="rId218" xr:uid="{77393B0A-67E6-467B-8D41-942A99512963}"/>
    <hyperlink ref="X246" r:id="rId219" xr:uid="{54E78E8D-D408-4DA8-BC54-02C3FB8D0995}"/>
    <hyperlink ref="X247" r:id="rId220" xr:uid="{1C124724-1A2E-401D-8D5B-8966FD5C2060}"/>
    <hyperlink ref="X248" r:id="rId221" xr:uid="{45DB4011-0619-4172-A41F-095CCCD7C1C9}"/>
    <hyperlink ref="X249" r:id="rId222" xr:uid="{8719BD85-B5E4-4927-9BEE-8A1DD231C588}"/>
    <hyperlink ref="X250" r:id="rId223" xr:uid="{7B5DBDF9-1F98-48D5-A640-AA64BC589620}"/>
    <hyperlink ref="X251" r:id="rId224" xr:uid="{E56D6C83-6DD4-4E70-9391-FF7585CFBAD1}"/>
    <hyperlink ref="X252" r:id="rId225" xr:uid="{44D089A7-2871-4F78-AF19-93EDCE6E4E98}"/>
    <hyperlink ref="X253" r:id="rId226" xr:uid="{FDDC7809-471E-4A87-8F77-AC30C578B4C0}"/>
    <hyperlink ref="X254" r:id="rId227" xr:uid="{19F3832B-6E5A-4E9E-9E1C-E0ABE3B16799}"/>
    <hyperlink ref="X256" r:id="rId228" xr:uid="{0FB172A4-BD83-428F-A7A7-7BBF9C0CD51B}"/>
    <hyperlink ref="X257" r:id="rId229" xr:uid="{621345D2-5CC7-40D7-986B-97ED47378415}"/>
    <hyperlink ref="X258" r:id="rId230" xr:uid="{900D0A4C-159F-4B09-B112-5EB93A6AF4F7}"/>
    <hyperlink ref="X259" r:id="rId231" xr:uid="{5BAB932F-8D99-4183-A90F-BCDB2025AD9E}"/>
    <hyperlink ref="X260" r:id="rId232" xr:uid="{5C77034D-B182-45EB-81EB-D4FD093ED205}"/>
    <hyperlink ref="X262" r:id="rId233" xr:uid="{E784370A-39C5-4396-A18E-0FC3F7B49285}"/>
    <hyperlink ref="X263" r:id="rId234" xr:uid="{06A9545B-9BF4-4467-A145-FEFCAC9A2564}"/>
    <hyperlink ref="X264" r:id="rId235" xr:uid="{EEFA08ED-6FAF-4683-8883-5A42715DDC85}"/>
    <hyperlink ref="X265" r:id="rId236" xr:uid="{1EB7D98D-BB41-4CBC-8224-9CF73F5845DF}"/>
    <hyperlink ref="X267" r:id="rId237" xr:uid="{47F8D293-33E0-439D-8870-D5348347F4CC}"/>
    <hyperlink ref="X268" r:id="rId238" xr:uid="{159601B1-9B64-41EC-90EB-FD0BA2ADF0D2}"/>
    <hyperlink ref="X269" r:id="rId239" xr:uid="{5B7ADC42-9A97-43AA-895B-8376E796FF39}"/>
    <hyperlink ref="X270" r:id="rId240" xr:uid="{85D903FE-1432-4311-AE93-6935D2E881A3}"/>
    <hyperlink ref="X271" r:id="rId241" xr:uid="{3B238338-2F00-43E3-9371-54A97D81A9B6}"/>
    <hyperlink ref="X272" r:id="rId242" location="prod=WM82group" xr:uid="{CDED024D-1D7B-4C97-9B97-94164C950BAC}"/>
    <hyperlink ref="X273" r:id="rId243" xr:uid="{37FF7488-0CAB-46BD-94BA-E56FE2A46BF1}"/>
    <hyperlink ref="X275" r:id="rId244" xr:uid="{3C865B68-67C4-4C16-8BC4-FB07BF62DECB}"/>
    <hyperlink ref="X276" r:id="rId245" xr:uid="{CB360BEB-D216-45B0-ACF9-D1A262B720AF}"/>
    <hyperlink ref="X277" r:id="rId246" xr:uid="{8EF600BF-5F04-4296-B89B-FCDB8E2CD7F8}"/>
    <hyperlink ref="X280" r:id="rId247" xr:uid="{A42E6183-7261-412B-B61A-502C6BDBB98F}"/>
    <hyperlink ref="X281" r:id="rId248" xr:uid="{470892EE-F8A8-4FB3-B7DF-5E8D47EC5EC8}"/>
    <hyperlink ref="X282" r:id="rId249" xr:uid="{AE0F7BAE-F5F4-449C-BB98-05696381D46D}"/>
    <hyperlink ref="X283" r:id="rId250" xr:uid="{BEF1F695-B7E8-4F7C-AFC6-6F7FA801A1DA}"/>
    <hyperlink ref="X284" r:id="rId251" xr:uid="{A65ED0CB-2F30-4622-A2E6-E5295D342013}"/>
    <hyperlink ref="X285" r:id="rId252" xr:uid="{112D421F-228E-4BEC-BD03-B6273889D329}"/>
    <hyperlink ref="X286" r:id="rId253" xr:uid="{273170C4-9632-4F97-AC21-B89A9BDB1EE6}"/>
    <hyperlink ref="X287" r:id="rId254" xr:uid="{F7FE2083-0292-4F45-954C-D9F7EA5FCFEB}"/>
    <hyperlink ref="X288" r:id="rId255" xr:uid="{074C2CB0-C89F-44B2-BF93-9CC4E83F84DE}"/>
    <hyperlink ref="X289" r:id="rId256" xr:uid="{76C6EFE7-92F3-49D6-A2D1-1F995F6705FB}"/>
    <hyperlink ref="X290" r:id="rId257" xr:uid="{406DDDAD-284F-4CA2-8CAD-1C4C2E57055A}"/>
    <hyperlink ref="X291" r:id="rId258" location="q=SRA2&amp;simplesearch=Go&amp;start=1" xr:uid="{941CF089-7138-4672-ABCC-7BABD4C33F69}"/>
    <hyperlink ref="X1158" r:id="rId259" xr:uid="{1025A0A3-5EF9-4BE8-B55B-C8215BC6AC22}"/>
    <hyperlink ref="X1159" r:id="rId260" xr:uid="{381D1AEE-50E3-42D4-9CAE-17C2C490042D}"/>
    <hyperlink ref="X1156" r:id="rId261" xr:uid="{C8778218-0B0B-41E4-84EB-E39670CA870D}"/>
    <hyperlink ref="X1157" r:id="rId262" xr:uid="{48663CB0-AB8D-4D0F-8139-0AADA926DFFD}"/>
    <hyperlink ref="X292" r:id="rId263" xr:uid="{59D49D30-7D3C-4380-9861-8442A74748D5}"/>
    <hyperlink ref="X294" r:id="rId264" xr:uid="{2ED741E4-150F-41D2-B8FB-16BB9A33005A}"/>
    <hyperlink ref="X295" r:id="rId265" xr:uid="{9F891966-DAF2-4DBB-9801-20C1A84A19CD}"/>
    <hyperlink ref="X296" r:id="rId266" xr:uid="{FBBCC10F-9A14-4B41-85A6-30DCD0FDB04C}"/>
    <hyperlink ref="X297" r:id="rId267" xr:uid="{1702E04A-41BE-40D6-8A48-2CF7F2235C90}"/>
    <hyperlink ref="X298" r:id="rId268" xr:uid="{047AAF11-2F19-4A50-91FB-0DE0D0C47BE8}"/>
    <hyperlink ref="X299" r:id="rId269" xr:uid="{3664CA1E-3B43-4DD9-AC10-940BF7B087E7}"/>
    <hyperlink ref="X300" r:id="rId270" xr:uid="{36B0A1FE-253D-41B9-A4D6-1227FC5E2090}"/>
    <hyperlink ref="X301" r:id="rId271" xr:uid="{1842E425-8D72-4ED9-A885-967EC6B7C990}"/>
    <hyperlink ref="X302" r:id="rId272" xr:uid="{8DE5FFDC-3190-4EF7-B508-2B4C4DDF2EF0}"/>
    <hyperlink ref="X960" r:id="rId273" xr:uid="{A442D480-F5CF-42AE-8722-218E7B6405AA}"/>
    <hyperlink ref="X1145" r:id="rId274" xr:uid="{A9321967-B068-4DE9-8C32-A9CC2ED02124}"/>
  </hyperlinks>
  <pageMargins left="0.7" right="0.7" top="0.75" bottom="0.75" header="0.3" footer="0.3"/>
  <pageSetup orientation="portrait" r:id="rId275"/>
  <tableParts count="1">
    <tablePart r:id="rId27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1428CA-8902-4B0C-8C32-5E25F75EF007}">
  <dimension ref="A1:U539"/>
  <sheetViews>
    <sheetView zoomScale="75" zoomScaleNormal="75" workbookViewId="0">
      <pane xSplit="1" ySplit="2" topLeftCell="H131" activePane="bottomRight" state="frozen"/>
      <selection pane="topRight" activeCell="D35" sqref="D35"/>
      <selection pane="bottomLeft" activeCell="D35" sqref="D35"/>
      <selection pane="bottomRight" activeCell="K1" sqref="K1:K1048576"/>
    </sheetView>
  </sheetViews>
  <sheetFormatPr defaultColWidth="8.85546875" defaultRowHeight="15"/>
  <cols>
    <col min="1" max="1" width="38" style="48" bestFit="1" customWidth="1"/>
    <col min="2" max="2" width="27.5703125" style="52" customWidth="1"/>
    <col min="3" max="3" width="25.85546875" style="60" customWidth="1"/>
    <col min="4" max="4" width="20.85546875" style="60" customWidth="1"/>
    <col min="5" max="5" width="19.42578125" style="60" customWidth="1"/>
    <col min="6" max="6" width="16.5703125" style="48" customWidth="1"/>
    <col min="7" max="7" width="39.42578125" style="52" customWidth="1"/>
    <col min="8" max="8" width="113" style="53" customWidth="1"/>
    <col min="9" max="9" width="12.85546875" style="58" customWidth="1"/>
    <col min="10" max="10" width="12.5703125" style="58" customWidth="1"/>
    <col min="11" max="11" width="15" style="125" customWidth="1"/>
    <col min="12" max="12" width="16.85546875" style="124" customWidth="1"/>
    <col min="13" max="13" width="16.85546875" style="128" customWidth="1"/>
    <col min="14" max="14" width="22.28515625" style="45" customWidth="1"/>
    <col min="15" max="15" width="16.28515625" style="45" customWidth="1"/>
    <col min="16" max="16" width="17.28515625" style="45" customWidth="1"/>
    <col min="17" max="17" width="16.7109375" style="52" customWidth="1"/>
    <col min="18" max="18" width="18.42578125" style="52" customWidth="1"/>
    <col min="19" max="19" width="20.5703125" style="52" customWidth="1"/>
    <col min="20" max="20" width="47.28515625" style="207" customWidth="1"/>
    <col min="21" max="21" width="15.140625" style="149" bestFit="1" customWidth="1"/>
    <col min="22" max="16384" width="8.85546875" style="52"/>
  </cols>
  <sheetData>
    <row r="1" spans="1:21" s="67" customFormat="1" ht="61.5" customHeight="1">
      <c r="A1" s="92"/>
      <c r="B1" s="66"/>
      <c r="C1" s="65"/>
      <c r="D1" s="65"/>
      <c r="E1" s="65"/>
      <c r="F1" s="92"/>
      <c r="G1" s="85"/>
      <c r="H1" s="106"/>
      <c r="I1" s="140"/>
      <c r="J1" s="140"/>
      <c r="K1" s="121"/>
      <c r="L1" s="122"/>
      <c r="M1" s="123"/>
      <c r="N1" s="66"/>
      <c r="O1" s="66"/>
      <c r="P1" s="66"/>
      <c r="T1" s="208"/>
      <c r="U1" s="152"/>
    </row>
    <row r="2" spans="1:21" s="68" customFormat="1" ht="34.5" customHeight="1">
      <c r="A2" s="100" t="s">
        <v>138</v>
      </c>
      <c r="B2" s="75" t="s">
        <v>139</v>
      </c>
      <c r="C2" s="75" t="s">
        <v>140</v>
      </c>
      <c r="D2" s="75" t="s">
        <v>141</v>
      </c>
      <c r="E2" s="75" t="s">
        <v>142</v>
      </c>
      <c r="F2" s="75" t="s">
        <v>143</v>
      </c>
      <c r="G2" s="75" t="s">
        <v>144</v>
      </c>
      <c r="H2" s="75" t="s">
        <v>145</v>
      </c>
      <c r="I2" s="87" t="s">
        <v>146</v>
      </c>
      <c r="J2" s="87" t="s">
        <v>147</v>
      </c>
      <c r="K2" s="75" t="s">
        <v>149</v>
      </c>
      <c r="L2" s="88" t="s">
        <v>150</v>
      </c>
      <c r="M2" s="75" t="s">
        <v>151</v>
      </c>
      <c r="N2" s="145" t="s">
        <v>152</v>
      </c>
      <c r="O2" s="145" t="s">
        <v>153</v>
      </c>
      <c r="P2" s="145" t="s">
        <v>154</v>
      </c>
      <c r="Q2" s="145" t="s">
        <v>155</v>
      </c>
      <c r="R2" s="75" t="s">
        <v>156</v>
      </c>
      <c r="S2" s="75" t="s">
        <v>157</v>
      </c>
      <c r="T2" s="75" t="s">
        <v>158</v>
      </c>
      <c r="U2" s="153" t="s">
        <v>159</v>
      </c>
    </row>
    <row r="3" spans="1:21" ht="15" hidden="1" customHeight="1">
      <c r="A3" s="50" t="s">
        <v>160</v>
      </c>
      <c r="B3" s="52">
        <f>(IF((VLOOKUP(Table1[[#This Row],[SKU]],'All Skus'!$A:$AC,2,FALSE))="AKG",(VLOOKUP(Table1[[#This Row],[SKU]],'All Skus'!$A:$AC,3,FALSE)), ""))</f>
        <v>0</v>
      </c>
      <c r="C3" s="60">
        <f>(IF((VLOOKUP(Table1[[#This Row],[SKU]],'All Skus'!$A:$AC,2,FALSE))="AKG",(VLOOKUP(Table1[[#This Row],[SKU]],'All Skus'!$A:$AC,4,FALSE)),""))</f>
        <v>0</v>
      </c>
      <c r="D3" s="60">
        <f>(IF((VLOOKUP(Table1[[#This Row],[SKU]],'All Skus'!$A:$AC,2,FALSE))="AKG",(VLOOKUP(Table1[[#This Row],[SKU]],'All Skus'!$A:$AC,5,FALSE)),""))</f>
        <v>0</v>
      </c>
      <c r="E3" s="60">
        <f>(IF((VLOOKUP(Table1[[#This Row],[SKU]],'All Skus'!$A:$AC,2,FALSE))="AKG",(VLOOKUP(Table1[[#This Row],[SKU]],'All Skus'!$A:$AC,6,FALSE)),""))</f>
        <v>0</v>
      </c>
      <c r="F3" s="60">
        <f>(IF((VLOOKUP(Table1[[#This Row],[SKU]],'All Skus'!$A:$AC,2,FALSE))="AKG",(VLOOKUP(Table1[[#This Row],[SKU]],'All Skus'!$A:$AC,7,FALSE)),""))</f>
        <v>0</v>
      </c>
      <c r="G3" s="45">
        <f>(IF((VLOOKUP(Table1[[#This Row],[SKU]],'All Skus'!$A:$AC,2,FALSE))="AKG",(VLOOKUP(Table1[[#This Row],[SKU]],'All Skus'!$A:$AC,8,FALSE)),""))</f>
        <v>0</v>
      </c>
      <c r="H3" s="45">
        <f>(IF((VLOOKUP(Table1[[#This Row],[SKU]],'All Skus'!$A:$AC,2,FALSE))="AKG",(VLOOKUP(Table1[[#This Row],[SKU]],'All Skus'!$A:$AC,9,FALSE)),""))</f>
        <v>0</v>
      </c>
      <c r="I3" s="141">
        <f>(IF((VLOOKUP(Table1[[#This Row],[SKU]],'All Skus'!$A:$AC,2,FALSE))="AKG",(VLOOKUP(Table1[[#This Row],[SKU]],'All Skus'!$A:$AC,10,FALSE)),""))</f>
        <v>0</v>
      </c>
      <c r="J3" s="141">
        <f>(IF((VLOOKUP(Table1[[#This Row],[SKU]],'All Skus'!$A:$AC,2,FALSE))="AKG",(VLOOKUP(Table1[[#This Row],[SKU]],'All Skus'!$A:$AC,11,FALSE)),""))</f>
        <v>0</v>
      </c>
      <c r="K3" s="125">
        <f>(IF((VLOOKUP(Table1[[#This Row],[SKU]],'All Skus'!$A:$AC,2,FALSE))="AKG",(VLOOKUP(Table1[[#This Row],[SKU]],'All Skus'!$A:$AC,15,FALSE)),""))</f>
        <v>0</v>
      </c>
      <c r="L3" s="124">
        <f>(IF((VLOOKUP(Table1[[#This Row],[SKU]],'All Skus'!$A:$AC,2,FALSE))="AKG",(VLOOKUP(Table1[[#This Row],[SKU]],'All Skus'!$A:$AC,16,FALSE)),""))</f>
        <v>0</v>
      </c>
      <c r="M3" s="124">
        <f>(IF((VLOOKUP(Table1[[#This Row],[SKU]],'All Skus'!$A:$AC,2,FALSE))="AKG",(VLOOKUP(Table1[[#This Row],[SKU]],'All Skus'!$A:$AC,17,FALSE)),""))</f>
        <v>0</v>
      </c>
      <c r="N3" s="64">
        <f>(IF((VLOOKUP(Table1[[#This Row],[SKU]],'All Skus'!$A:$AC,2,FALSE))="AKG",(VLOOKUP(Table1[[#This Row],[SKU]],'All Skus'!$A:$AC,18,FALSE)),""))</f>
        <v>0</v>
      </c>
      <c r="O3" s="64">
        <f>(IF((VLOOKUP(Table1[[#This Row],[SKU]],'All Skus'!$A:$AC,2,FALSE))="AKG",(VLOOKUP(Table1[[#This Row],[SKU]],'All Skus'!$A:$AC,19,FALSE)),""))</f>
        <v>0</v>
      </c>
      <c r="P3" s="64">
        <f>(IF((VLOOKUP(Table1[[#This Row],[SKU]],'All Skus'!$A:$AC,2,FALSE))="AKG",(VLOOKUP(Table1[[#This Row],[SKU]],'All Skus'!$A:$AC,20,FALSE)),""))</f>
        <v>0</v>
      </c>
      <c r="Q3" s="64">
        <f>(IF((VLOOKUP(Table1[[#This Row],[SKU]],'All Skus'!$A:$AC,2,FALSE))="AKG",(VLOOKUP(Table1[[#This Row],[SKU]],'All Skus'!$A:$AC,21,FALSE)),""))</f>
        <v>0</v>
      </c>
      <c r="R3" s="64">
        <f>(IF((VLOOKUP(Table1[[#This Row],[SKU]],'All Skus'!$A:$AC,2,FALSE))="AKG",(VLOOKUP(Table1[[#This Row],[SKU]],'All Skus'!$A:$AC,22,FALSE)),""))</f>
        <v>0</v>
      </c>
      <c r="S3" s="64">
        <f>(IF((VLOOKUP(Table1[[#This Row],[SKU]],'All Skus'!$A:$AC,2,FALSE))="AKG",(VLOOKUP(Table1[[#This Row],[SKU]],'All Skus'!$A:$AC,23,FALSE)),""))</f>
        <v>0</v>
      </c>
      <c r="T3" s="210" t="str">
        <f>HYPERLINK((IF((VLOOKUP(Table1[[#This Row],[SKU]],'All Skus'!$A:$AC,2,FALSE))="AKG",(VLOOKUP(Table1[[#This Row],[SKU]],'All Skus'!$A:$AC,24,FALSE)),"")))</f>
        <v/>
      </c>
      <c r="U3" s="151">
        <v>1</v>
      </c>
    </row>
    <row r="4" spans="1:21" ht="15" hidden="1" customHeight="1">
      <c r="A4" s="126" t="s">
        <v>161</v>
      </c>
      <c r="B4" s="52">
        <f>(IF((VLOOKUP(Table1[[#This Row],[SKU]],'All Skus'!$A:$AC,2,FALSE))="AKG",(VLOOKUP(Table1[[#This Row],[SKU]],'All Skus'!$A:$AC,3,FALSE)), ""))</f>
        <v>0</v>
      </c>
      <c r="C4" s="60">
        <f>(IF((VLOOKUP(Table1[[#This Row],[SKU]],'All Skus'!$A:$AC,2,FALSE))="AKG",(VLOOKUP(Table1[[#This Row],[SKU]],'All Skus'!$A:$AC,4,FALSE)),""))</f>
        <v>0</v>
      </c>
      <c r="D4" s="60">
        <f>(IF((VLOOKUP(Table1[[#This Row],[SKU]],'All Skus'!$A:$AC,2,FALSE))="AKG",(VLOOKUP(Table1[[#This Row],[SKU]],'All Skus'!$A:$AC,5,FALSE)),""))</f>
        <v>0</v>
      </c>
      <c r="E4" s="60">
        <f>(IF((VLOOKUP(Table1[[#This Row],[SKU]],'All Skus'!$A:$AC,2,FALSE))="AKG",(VLOOKUP(Table1[[#This Row],[SKU]],'All Skus'!$A:$AC,6,FALSE)),""))</f>
        <v>0</v>
      </c>
      <c r="F4" s="60">
        <f>(IF((VLOOKUP(Table1[[#This Row],[SKU]],'All Skus'!$A:$AC,2,FALSE))="AKG",(VLOOKUP(Table1[[#This Row],[SKU]],'All Skus'!$A:$AC,7,FALSE)),""))</f>
        <v>0</v>
      </c>
      <c r="G4" s="45">
        <f>(IF((VLOOKUP(Table1[[#This Row],[SKU]],'All Skus'!$A:$AC,2,FALSE))="AKG",(VLOOKUP(Table1[[#This Row],[SKU]],'All Skus'!$A:$AC,8,FALSE)),""))</f>
        <v>0</v>
      </c>
      <c r="H4" s="45">
        <f>(IF((VLOOKUP(Table1[[#This Row],[SKU]],'All Skus'!$A:$AC,2,FALSE))="AKG",(VLOOKUP(Table1[[#This Row],[SKU]],'All Skus'!$A:$AC,9,FALSE)),""))</f>
        <v>0</v>
      </c>
      <c r="I4" s="141">
        <f>(IF((VLOOKUP(Table1[[#This Row],[SKU]],'All Skus'!$A:$AC,2,FALSE))="AKG",(VLOOKUP(Table1[[#This Row],[SKU]],'All Skus'!$A:$AC,10,FALSE)),""))</f>
        <v>0</v>
      </c>
      <c r="J4" s="141">
        <f>(IF((VLOOKUP(Table1[[#This Row],[SKU]],'All Skus'!$A:$AC,2,FALSE))="AKG",(VLOOKUP(Table1[[#This Row],[SKU]],'All Skus'!$A:$AC,11,FALSE)),""))</f>
        <v>0</v>
      </c>
      <c r="K4" s="125">
        <f>(IF((VLOOKUP(Table1[[#This Row],[SKU]],'All Skus'!$A:$AC,2,FALSE))="AKG",(VLOOKUP(Table1[[#This Row],[SKU]],'All Skus'!$A:$AC,15,FALSE)),""))</f>
        <v>0</v>
      </c>
      <c r="L4" s="124">
        <f>(IF((VLOOKUP(Table1[[#This Row],[SKU]],'All Skus'!$A:$AC,2,FALSE))="AKG",(VLOOKUP(Table1[[#This Row],[SKU]],'All Skus'!$A:$AC,16,FALSE)),""))</f>
        <v>0</v>
      </c>
      <c r="M4" s="124">
        <f>(IF((VLOOKUP(Table1[[#This Row],[SKU]],'All Skus'!$A:$AC,2,FALSE))="AKG",(VLOOKUP(Table1[[#This Row],[SKU]],'All Skus'!$A:$AC,17,FALSE)),""))</f>
        <v>0</v>
      </c>
      <c r="N4" s="64">
        <f>(IF((VLOOKUP(Table1[[#This Row],[SKU]],'All Skus'!$A:$AC,2,FALSE))="AKG",(VLOOKUP(Table1[[#This Row],[SKU]],'All Skus'!$A:$AC,18,FALSE)),""))</f>
        <v>0</v>
      </c>
      <c r="O4" s="64">
        <f>(IF((VLOOKUP(Table1[[#This Row],[SKU]],'All Skus'!$A:$AC,2,FALSE))="AKG",(VLOOKUP(Table1[[#This Row],[SKU]],'All Skus'!$A:$AC,19,FALSE)),""))</f>
        <v>0</v>
      </c>
      <c r="P4" s="64">
        <f>(IF((VLOOKUP(Table1[[#This Row],[SKU]],'All Skus'!$A:$AC,2,FALSE))="AKG",(VLOOKUP(Table1[[#This Row],[SKU]],'All Skus'!$A:$AC,20,FALSE)),""))</f>
        <v>0</v>
      </c>
      <c r="Q4" s="64">
        <f>(IF((VLOOKUP(Table1[[#This Row],[SKU]],'All Skus'!$A:$AC,2,FALSE))="AKG",(VLOOKUP(Table1[[#This Row],[SKU]],'All Skus'!$A:$AC,21,FALSE)),""))</f>
        <v>0</v>
      </c>
      <c r="R4" s="64">
        <f>(IF((VLOOKUP(Table1[[#This Row],[SKU]],'All Skus'!$A:$AC,2,FALSE))="AKG",(VLOOKUP(Table1[[#This Row],[SKU]],'All Skus'!$A:$AC,22,FALSE)),""))</f>
        <v>0</v>
      </c>
      <c r="S4" s="64">
        <f>(IF((VLOOKUP(Table1[[#This Row],[SKU]],'All Skus'!$A:$AC,2,FALSE))="AKG",(VLOOKUP(Table1[[#This Row],[SKU]],'All Skus'!$A:$AC,23,FALSE)),""))</f>
        <v>0</v>
      </c>
      <c r="T4" s="210" t="str">
        <f>HYPERLINK((IF((VLOOKUP(Table1[[#This Row],[SKU]],'All Skus'!$A:$AC,2,FALSE))="AKG",(VLOOKUP(Table1[[#This Row],[SKU]],'All Skus'!$A:$AC,24,FALSE)),"")))</f>
        <v/>
      </c>
      <c r="U4" s="151">
        <v>2</v>
      </c>
    </row>
    <row r="5" spans="1:21" ht="15" hidden="1" customHeight="1">
      <c r="A5" s="50" t="s">
        <v>162</v>
      </c>
      <c r="B5" s="52" t="str">
        <f>(IF((VLOOKUP(Table1[[#This Row],[SKU]],'All Skus'!$A:$AC,2,FALSE))="AKG",(VLOOKUP(Table1[[#This Row],[SKU]],'All Skus'!$A:$AC,3,FALSE)), ""))</f>
        <v>Wired Mics</v>
      </c>
      <c r="C5" s="60" t="str">
        <f>(IF((VLOOKUP(Table1[[#This Row],[SKU]],'All Skus'!$A:$AC,2,FALSE))="AKG",(VLOOKUP(Table1[[#This Row],[SKU]],'All Skus'!$A:$AC,4,FALSE)),""))</f>
        <v>C44-USB</v>
      </c>
      <c r="D5" s="60">
        <f>(IF((VLOOKUP(Table1[[#This Row],[SKU]],'All Skus'!$A:$AC,2,FALSE))="AKG",(VLOOKUP(Table1[[#This Row],[SKU]],'All Skus'!$A:$AC,5,FALSE)),""))</f>
        <v>82200200</v>
      </c>
      <c r="E5" s="60">
        <f>(IF((VLOOKUP(Table1[[#This Row],[SKU]],'All Skus'!$A:$AC,2,FALSE))="AKG",(VLOOKUP(Table1[[#This Row],[SKU]],'All Skus'!$A:$AC,6,FALSE)),""))</f>
        <v>0</v>
      </c>
      <c r="F5" s="60">
        <f>(IF((VLOOKUP(Table1[[#This Row],[SKU]],'All Skus'!$A:$AC,2,FALSE))="AKG",(VLOOKUP(Table1[[#This Row],[SKU]],'All Skus'!$A:$AC,7,FALSE)),""))</f>
        <v>0</v>
      </c>
      <c r="G5" s="45" t="str">
        <f>(IF((VLOOKUP(Table1[[#This Row],[SKU]],'All Skus'!$A:$AC,2,FALSE))="AKG",(VLOOKUP(Table1[[#This Row],[SKU]],'All Skus'!$A:$AC,8,FALSE)),""))</f>
        <v>Lyra USB Microphone</v>
      </c>
      <c r="H5" s="45" t="str">
        <f>(IF((VLOOKUP(Table1[[#This Row],[SKU]],'All Skus'!$A:$AC,2,FALSE))="AKG",(VLOOKUP(Table1[[#This Row],[SKU]],'All Skus'!$A:$AC,9,FALSE)),""))</f>
        <v>Lyra USB Microphone</v>
      </c>
      <c r="I5" s="141">
        <f>(IF((VLOOKUP(Table1[[#This Row],[SKU]],'All Skus'!$A:$AC,2,FALSE))="AKG",(VLOOKUP(Table1[[#This Row],[SKU]],'All Skus'!$A:$AC,10,FALSE)),""))</f>
        <v>212.94</v>
      </c>
      <c r="J5" s="141">
        <f>(IF((VLOOKUP(Table1[[#This Row],[SKU]],'All Skus'!$A:$AC,2,FALSE))="AKG",(VLOOKUP(Table1[[#This Row],[SKU]],'All Skus'!$A:$AC,11,FALSE)),""))</f>
        <v>155</v>
      </c>
      <c r="K5" s="125">
        <f>(IF((VLOOKUP(Table1[[#This Row],[SKU]],'All Skus'!$A:$AC,2,FALSE))="AKG",(VLOOKUP(Table1[[#This Row],[SKU]],'All Skus'!$A:$AC,15,FALSE)),""))</f>
        <v>0</v>
      </c>
      <c r="L5" s="124">
        <f>(IF((VLOOKUP(Table1[[#This Row],[SKU]],'All Skus'!$A:$AC,2,FALSE))="AKG",(VLOOKUP(Table1[[#This Row],[SKU]],'All Skus'!$A:$AC,16,FALSE)),""))</f>
        <v>885038040804</v>
      </c>
      <c r="M5" s="124">
        <f>(IF((VLOOKUP(Table1[[#This Row],[SKU]],'All Skus'!$A:$AC,2,FALSE))="AKG",(VLOOKUP(Table1[[#This Row],[SKU]],'All Skus'!$A:$AC,17,FALSE)),""))</f>
        <v>9002761048308</v>
      </c>
      <c r="N5" s="64">
        <f>(IF((VLOOKUP(Table1[[#This Row],[SKU]],'All Skus'!$A:$AC,2,FALSE))="AKG",(VLOOKUP(Table1[[#This Row],[SKU]],'All Skus'!$A:$AC,18,FALSE)),""))</f>
        <v>2.0299999999999998</v>
      </c>
      <c r="O5" s="64">
        <f>(IF((VLOOKUP(Table1[[#This Row],[SKU]],'All Skus'!$A:$AC,2,FALSE))="AKG",(VLOOKUP(Table1[[#This Row],[SKU]],'All Skus'!$A:$AC,19,FALSE)),""))</f>
        <v>4.25</v>
      </c>
      <c r="P5" s="64">
        <f>(IF((VLOOKUP(Table1[[#This Row],[SKU]],'All Skus'!$A:$AC,2,FALSE))="AKG",(VLOOKUP(Table1[[#This Row],[SKU]],'All Skus'!$A:$AC,20,FALSE)),""))</f>
        <v>4.79</v>
      </c>
      <c r="Q5" s="64">
        <f>(IF((VLOOKUP(Table1[[#This Row],[SKU]],'All Skus'!$A:$AC,2,FALSE))="AKG",(VLOOKUP(Table1[[#This Row],[SKU]],'All Skus'!$A:$AC,21,FALSE)),""))</f>
        <v>9.7200000000000006</v>
      </c>
      <c r="R5" s="64" t="str">
        <f>(IF((VLOOKUP(Table1[[#This Row],[SKU]],'All Skus'!$A:$AC,2,FALSE))="AKG",(VLOOKUP(Table1[[#This Row],[SKU]],'All Skus'!$A:$AC,22,FALSE)),""))</f>
        <v>CN</v>
      </c>
      <c r="S5" s="64" t="str">
        <f>(IF((VLOOKUP(Table1[[#This Row],[SKU]],'All Skus'!$A:$AC,2,FALSE))="AKG",(VLOOKUP(Table1[[#This Row],[SKU]],'All Skus'!$A:$AC,23,FALSE)),""))</f>
        <v>Non Compliant</v>
      </c>
      <c r="T5" s="210" t="str">
        <f>HYPERLINK((IF((VLOOKUP(Table1[[#This Row],[SKU]],'All Skus'!$A:$AC,2,FALSE))="AKG",(VLOOKUP(Table1[[#This Row],[SKU]],'All Skus'!$A:$AC,24,FALSE)),"")))</f>
        <v/>
      </c>
      <c r="U5" s="151">
        <v>3</v>
      </c>
    </row>
    <row r="6" spans="1:21" ht="15" hidden="1" customHeight="1">
      <c r="A6" s="50" t="s">
        <v>163</v>
      </c>
      <c r="B6" s="52" t="str">
        <f>(IF((VLOOKUP(Table1[[#This Row],[SKU]],'All Skus'!$A:$AC,2,FALSE))="AKG",(VLOOKUP(Table1[[#This Row],[SKU]],'All Skus'!$A:$AC,3,FALSE)), ""))</f>
        <v>Wired Mics</v>
      </c>
      <c r="C6" s="60" t="str">
        <f>(IF((VLOOKUP(Table1[[#This Row],[SKU]],'All Skus'!$A:$AC,2,FALSE))="AKG",(VLOOKUP(Table1[[#This Row],[SKU]],'All Skus'!$A:$AC,4,FALSE)),""))</f>
        <v>AKG-C22-USB</v>
      </c>
      <c r="D6" s="60">
        <f>(IF((VLOOKUP(Table1[[#This Row],[SKU]],'All Skus'!$A:$AC,2,FALSE))="AKG",(VLOOKUP(Table1[[#This Row],[SKU]],'All Skus'!$A:$AC,5,FALSE)),""))</f>
        <v>82200200</v>
      </c>
      <c r="E6" s="60">
        <f>(IF((VLOOKUP(Table1[[#This Row],[SKU]],'All Skus'!$A:$AC,2,FALSE))="AKG",(VLOOKUP(Table1[[#This Row],[SKU]],'All Skus'!$A:$AC,6,FALSE)),""))</f>
        <v>0</v>
      </c>
      <c r="F6" s="60">
        <f>(IF((VLOOKUP(Table1[[#This Row],[SKU]],'All Skus'!$A:$AC,2,FALSE))="AKG",(VLOOKUP(Table1[[#This Row],[SKU]],'All Skus'!$A:$AC,7,FALSE)),""))</f>
        <v>0</v>
      </c>
      <c r="G6" s="45" t="str">
        <f>(IF((VLOOKUP(Table1[[#This Row],[SKU]],'All Skus'!$A:$AC,2,FALSE))="AKG",(VLOOKUP(Table1[[#This Row],[SKU]],'All Skus'!$A:$AC,8,FALSE)),""))</f>
        <v>ARA USB Microphone</v>
      </c>
      <c r="H6" s="45" t="str">
        <f>(IF((VLOOKUP(Table1[[#This Row],[SKU]],'All Skus'!$A:$AC,2,FALSE))="AKG",(VLOOKUP(Table1[[#This Row],[SKU]],'All Skus'!$A:$AC,9,FALSE)),""))</f>
        <v>ARA USB Microphone</v>
      </c>
      <c r="I6" s="141">
        <f>(IF((VLOOKUP(Table1[[#This Row],[SKU]],'All Skus'!$A:$AC,2,FALSE))="AKG",(VLOOKUP(Table1[[#This Row],[SKU]],'All Skus'!$A:$AC,10,FALSE)),""))</f>
        <v>144.19999999999999</v>
      </c>
      <c r="J6" s="141">
        <f>(IF((VLOOKUP(Table1[[#This Row],[SKU]],'All Skus'!$A:$AC,2,FALSE))="AKG",(VLOOKUP(Table1[[#This Row],[SKU]],'All Skus'!$A:$AC,11,FALSE)),""))</f>
        <v>105</v>
      </c>
      <c r="K6" s="125">
        <f>(IF((VLOOKUP(Table1[[#This Row],[SKU]],'All Skus'!$A:$AC,2,FALSE))="AKG",(VLOOKUP(Table1[[#This Row],[SKU]],'All Skus'!$A:$AC,15,FALSE)),""))</f>
        <v>0</v>
      </c>
      <c r="L6" s="124">
        <f>(IF((VLOOKUP(Table1[[#This Row],[SKU]],'All Skus'!$A:$AC,2,FALSE))="AKG",(VLOOKUP(Table1[[#This Row],[SKU]],'All Skus'!$A:$AC,16,FALSE)),""))</f>
        <v>885038048442</v>
      </c>
      <c r="M6" s="124">
        <f>(IF((VLOOKUP(Table1[[#This Row],[SKU]],'All Skus'!$A:$AC,2,FALSE))="AKG",(VLOOKUP(Table1[[#This Row],[SKU]],'All Skus'!$A:$AC,17,FALSE)),""))</f>
        <v>9002761048452</v>
      </c>
      <c r="N6" s="64">
        <f>(IF((VLOOKUP(Table1[[#This Row],[SKU]],'All Skus'!$A:$AC,2,FALSE))="AKG",(VLOOKUP(Table1[[#This Row],[SKU]],'All Skus'!$A:$AC,18,FALSE)),""))</f>
        <v>2.13</v>
      </c>
      <c r="O6" s="64">
        <f>(IF((VLOOKUP(Table1[[#This Row],[SKU]],'All Skus'!$A:$AC,2,FALSE))="AKG",(VLOOKUP(Table1[[#This Row],[SKU]],'All Skus'!$A:$AC,19,FALSE)),""))</f>
        <v>7.165</v>
      </c>
      <c r="P6" s="64">
        <f>(IF((VLOOKUP(Table1[[#This Row],[SKU]],'All Skus'!$A:$AC,2,FALSE))="AKG",(VLOOKUP(Table1[[#This Row],[SKU]],'All Skus'!$A:$AC,20,FALSE)),""))</f>
        <v>4.4800000000000004</v>
      </c>
      <c r="Q6" s="64">
        <f>(IF((VLOOKUP(Table1[[#This Row],[SKU]],'All Skus'!$A:$AC,2,FALSE))="AKG",(VLOOKUP(Table1[[#This Row],[SKU]],'All Skus'!$A:$AC,21,FALSE)),""))</f>
        <v>8.6999999999999993</v>
      </c>
      <c r="R6" s="64" t="str">
        <f>(IF((VLOOKUP(Table1[[#This Row],[SKU]],'All Skus'!$A:$AC,2,FALSE))="AKG",(VLOOKUP(Table1[[#This Row],[SKU]],'All Skus'!$A:$AC,22,FALSE)),""))</f>
        <v>CN</v>
      </c>
      <c r="S6" s="64" t="str">
        <f>(IF((VLOOKUP(Table1[[#This Row],[SKU]],'All Skus'!$A:$AC,2,FALSE))="AKG",(VLOOKUP(Table1[[#This Row],[SKU]],'All Skus'!$A:$AC,23,FALSE)),""))</f>
        <v>Non Compliant</v>
      </c>
      <c r="T6" s="210" t="str">
        <f>HYPERLINK((IF((VLOOKUP(Table1[[#This Row],[SKU]],'All Skus'!$A:$AC,2,FALSE))="AKG",(VLOOKUP(Table1[[#This Row],[SKU]],'All Skus'!$A:$AC,24,FALSE)),"")))</f>
        <v/>
      </c>
      <c r="U6" s="151">
        <v>4</v>
      </c>
    </row>
    <row r="7" spans="1:21" ht="15" hidden="1" customHeight="1">
      <c r="A7" s="50" t="s">
        <v>164</v>
      </c>
      <c r="B7" s="52" t="str">
        <f>(IF((VLOOKUP(Table1[[#This Row],[SKU]],'All Skus'!$A:$AC,2,FALSE))="AKG",(VLOOKUP(Table1[[#This Row],[SKU]],'All Skus'!$A:$AC,3,FALSE)), ""))</f>
        <v>Bundle</v>
      </c>
      <c r="C7" s="60" t="str">
        <f>(IF((VLOOKUP(Table1[[#This Row],[SKU]],'All Skus'!$A:$AC,2,FALSE))="AKG",(VLOOKUP(Table1[[#This Row],[SKU]],'All Skus'!$A:$AC,4,FALSE)),""))</f>
        <v>PODCASTER ESSENTIALS</v>
      </c>
      <c r="D7" s="60" t="str">
        <f>(IF((VLOOKUP(Table1[[#This Row],[SKU]],'All Skus'!$A:$AC,2,FALSE))="AKG",(VLOOKUP(Table1[[#This Row],[SKU]],'All Skus'!$A:$AC,5,FALSE)),""))</f>
        <v>AKG160</v>
      </c>
      <c r="E7" s="60">
        <f>(IF((VLOOKUP(Table1[[#This Row],[SKU]],'All Skus'!$A:$AC,2,FALSE))="AKG",(VLOOKUP(Table1[[#This Row],[SKU]],'All Skus'!$A:$AC,6,FALSE)),""))</f>
        <v>0</v>
      </c>
      <c r="F7" s="60">
        <f>(IF((VLOOKUP(Table1[[#This Row],[SKU]],'All Skus'!$A:$AC,2,FALSE))="AKG",(VLOOKUP(Table1[[#This Row],[SKU]],'All Skus'!$A:$AC,7,FALSE)),""))</f>
        <v>0</v>
      </c>
      <c r="G7" s="45" t="str">
        <f>(IF((VLOOKUP(Table1[[#This Row],[SKU]],'All Skus'!$A:$AC,2,FALSE))="AKG",(VLOOKUP(Table1[[#This Row],[SKU]],'All Skus'!$A:$AC,8,FALSE)),""))</f>
        <v>Lyra USB Microphone, K371 Professional Headphone With Stereo Headphone Adaptor, Ableton Live 10 Lite (Mac/PC) production software,and Berklee online course</v>
      </c>
      <c r="H7" s="45" t="str">
        <f>(IF((VLOOKUP(Table1[[#This Row],[SKU]],'All Skus'!$A:$AC,2,FALSE))="AKG",(VLOOKUP(Table1[[#This Row],[SKU]],'All Skus'!$A:$AC,9,FALSE)),""))</f>
        <v>AUDIO PRODUCTION TOOLKIT: AKG LYRA USB MICROPHONE AND AKG K371 HEADPHONES   Must be ordered in pairs</v>
      </c>
      <c r="I7" s="141">
        <f>(IF((VLOOKUP(Table1[[#This Row],[SKU]],'All Skus'!$A:$AC,2,FALSE))="AKG",(VLOOKUP(Table1[[#This Row],[SKU]],'All Skus'!$A:$AC,10,FALSE)),""))</f>
        <v>400.16</v>
      </c>
      <c r="J7" s="141">
        <f>(IF((VLOOKUP(Table1[[#This Row],[SKU]],'All Skus'!$A:$AC,2,FALSE))="AKG",(VLOOKUP(Table1[[#This Row],[SKU]],'All Skus'!$A:$AC,11,FALSE)),""))</f>
        <v>285</v>
      </c>
      <c r="K7" s="125">
        <f>(IF((VLOOKUP(Table1[[#This Row],[SKU]],'All Skus'!$A:$AC,2,FALSE))="AKG",(VLOOKUP(Table1[[#This Row],[SKU]],'All Skus'!$A:$AC,15,FALSE)),""))</f>
        <v>4</v>
      </c>
      <c r="L7" s="124">
        <f>(IF((VLOOKUP(Table1[[#This Row],[SKU]],'All Skus'!$A:$AC,2,FALSE))="AKG",(VLOOKUP(Table1[[#This Row],[SKU]],'All Skus'!$A:$AC,16,FALSE)),""))</f>
        <v>885038040811</v>
      </c>
      <c r="M7" s="124">
        <f>(IF((VLOOKUP(Table1[[#This Row],[SKU]],'All Skus'!$A:$AC,2,FALSE))="AKG",(VLOOKUP(Table1[[#This Row],[SKU]],'All Skus'!$A:$AC,17,FALSE)),""))</f>
        <v>9002761040814</v>
      </c>
      <c r="N7" s="64">
        <f>(IF((VLOOKUP(Table1[[#This Row],[SKU]],'All Skus'!$A:$AC,2,FALSE))="AKG",(VLOOKUP(Table1[[#This Row],[SKU]],'All Skus'!$A:$AC,18,FALSE)),""))</f>
        <v>5.18</v>
      </c>
      <c r="O7" s="64">
        <f>(IF((VLOOKUP(Table1[[#This Row],[SKU]],'All Skus'!$A:$AC,2,FALSE))="AKG",(VLOOKUP(Table1[[#This Row],[SKU]],'All Skus'!$A:$AC,19,FALSE)),""))</f>
        <v>10.51</v>
      </c>
      <c r="P7" s="64">
        <f>(IF((VLOOKUP(Table1[[#This Row],[SKU]],'All Skus'!$A:$AC,2,FALSE))="AKG",(VLOOKUP(Table1[[#This Row],[SKU]],'All Skus'!$A:$AC,20,FALSE)),""))</f>
        <v>9.06</v>
      </c>
      <c r="Q7" s="64">
        <f>(IF((VLOOKUP(Table1[[#This Row],[SKU]],'All Skus'!$A:$AC,2,FALSE))="AKG",(VLOOKUP(Table1[[#This Row],[SKU]],'All Skus'!$A:$AC,21,FALSE)),""))</f>
        <v>10.24</v>
      </c>
      <c r="R7" s="64" t="str">
        <f>(IF((VLOOKUP(Table1[[#This Row],[SKU]],'All Skus'!$A:$AC,2,FALSE))="AKG",(VLOOKUP(Table1[[#This Row],[SKU]],'All Skus'!$A:$AC,22,FALSE)),""))</f>
        <v>CN</v>
      </c>
      <c r="S7" s="64" t="str">
        <f>(IF((VLOOKUP(Table1[[#This Row],[SKU]],'All Skus'!$A:$AC,2,FALSE))="AKG",(VLOOKUP(Table1[[#This Row],[SKU]],'All Skus'!$A:$AC,23,FALSE)),""))</f>
        <v>Non Compliant</v>
      </c>
      <c r="T7" s="210" t="str">
        <f>HYPERLINK((IF((VLOOKUP(Table1[[#This Row],[SKU]],'All Skus'!$A:$AC,2,FALSE))="AKG",(VLOOKUP(Table1[[#This Row],[SKU]],'All Skus'!$A:$AC,24,FALSE)),"")))</f>
        <v/>
      </c>
      <c r="U7" s="151">
        <v>5</v>
      </c>
    </row>
    <row r="8" spans="1:21" ht="15" hidden="1" customHeight="1">
      <c r="A8" s="126" t="s">
        <v>165</v>
      </c>
      <c r="B8" s="52">
        <f>(IF((VLOOKUP(Table1[[#This Row],[SKU]],'All Skus'!$A:$AC,2,FALSE))="AKG",(VLOOKUP(Table1[[#This Row],[SKU]],'All Skus'!$A:$AC,3,FALSE)), ""))</f>
        <v>0</v>
      </c>
      <c r="C8" s="60">
        <f>(IF((VLOOKUP(Table1[[#This Row],[SKU]],'All Skus'!$A:$AC,2,FALSE))="AKG",(VLOOKUP(Table1[[#This Row],[SKU]],'All Skus'!$A:$AC,4,FALSE)),""))</f>
        <v>0</v>
      </c>
      <c r="D8" s="60">
        <f>(IF((VLOOKUP(Table1[[#This Row],[SKU]],'All Skus'!$A:$AC,2,FALSE))="AKG",(VLOOKUP(Table1[[#This Row],[SKU]],'All Skus'!$A:$AC,5,FALSE)),""))</f>
        <v>0</v>
      </c>
      <c r="E8" s="60">
        <f>(IF((VLOOKUP(Table1[[#This Row],[SKU]],'All Skus'!$A:$AC,2,FALSE))="AKG",(VLOOKUP(Table1[[#This Row],[SKU]],'All Skus'!$A:$AC,6,FALSE)),""))</f>
        <v>0</v>
      </c>
      <c r="F8" s="60">
        <f>(IF((VLOOKUP(Table1[[#This Row],[SKU]],'All Skus'!$A:$AC,2,FALSE))="AKG",(VLOOKUP(Table1[[#This Row],[SKU]],'All Skus'!$A:$AC,7,FALSE)),""))</f>
        <v>0</v>
      </c>
      <c r="G8" s="45">
        <f>(IF((VLOOKUP(Table1[[#This Row],[SKU]],'All Skus'!$A:$AC,2,FALSE))="AKG",(VLOOKUP(Table1[[#This Row],[SKU]],'All Skus'!$A:$AC,8,FALSE)),""))</f>
        <v>0</v>
      </c>
      <c r="H8" s="45">
        <f>(IF((VLOOKUP(Table1[[#This Row],[SKU]],'All Skus'!$A:$AC,2,FALSE))="AKG",(VLOOKUP(Table1[[#This Row],[SKU]],'All Skus'!$A:$AC,9,FALSE)),""))</f>
        <v>0</v>
      </c>
      <c r="I8" s="141">
        <f>(IF((VLOOKUP(Table1[[#This Row],[SKU]],'All Skus'!$A:$AC,2,FALSE))="AKG",(VLOOKUP(Table1[[#This Row],[SKU]],'All Skus'!$A:$AC,10,FALSE)),""))</f>
        <v>0</v>
      </c>
      <c r="J8" s="141">
        <f>(IF((VLOOKUP(Table1[[#This Row],[SKU]],'All Skus'!$A:$AC,2,FALSE))="AKG",(VLOOKUP(Table1[[#This Row],[SKU]],'All Skus'!$A:$AC,11,FALSE)),""))</f>
        <v>0</v>
      </c>
      <c r="K8" s="125">
        <f>(IF((VLOOKUP(Table1[[#This Row],[SKU]],'All Skus'!$A:$AC,2,FALSE))="AKG",(VLOOKUP(Table1[[#This Row],[SKU]],'All Skus'!$A:$AC,15,FALSE)),""))</f>
        <v>0</v>
      </c>
      <c r="L8" s="124">
        <f>(IF((VLOOKUP(Table1[[#This Row],[SKU]],'All Skus'!$A:$AC,2,FALSE))="AKG",(VLOOKUP(Table1[[#This Row],[SKU]],'All Skus'!$A:$AC,16,FALSE)),""))</f>
        <v>0</v>
      </c>
      <c r="M8" s="124">
        <f>(IF((VLOOKUP(Table1[[#This Row],[SKU]],'All Skus'!$A:$AC,2,FALSE))="AKG",(VLOOKUP(Table1[[#This Row],[SKU]],'All Skus'!$A:$AC,17,FALSE)),""))</f>
        <v>0</v>
      </c>
      <c r="N8" s="64">
        <f>(IF((VLOOKUP(Table1[[#This Row],[SKU]],'All Skus'!$A:$AC,2,FALSE))="AKG",(VLOOKUP(Table1[[#This Row],[SKU]],'All Skus'!$A:$AC,18,FALSE)),""))</f>
        <v>0</v>
      </c>
      <c r="O8" s="64">
        <f>(IF((VLOOKUP(Table1[[#This Row],[SKU]],'All Skus'!$A:$AC,2,FALSE))="AKG",(VLOOKUP(Table1[[#This Row],[SKU]],'All Skus'!$A:$AC,19,FALSE)),""))</f>
        <v>0</v>
      </c>
      <c r="P8" s="64">
        <f>(IF((VLOOKUP(Table1[[#This Row],[SKU]],'All Skus'!$A:$AC,2,FALSE))="AKG",(VLOOKUP(Table1[[#This Row],[SKU]],'All Skus'!$A:$AC,20,FALSE)),""))</f>
        <v>0</v>
      </c>
      <c r="Q8" s="64">
        <f>(IF((VLOOKUP(Table1[[#This Row],[SKU]],'All Skus'!$A:$AC,2,FALSE))="AKG",(VLOOKUP(Table1[[#This Row],[SKU]],'All Skus'!$A:$AC,21,FALSE)),""))</f>
        <v>0</v>
      </c>
      <c r="R8" s="64">
        <f>(IF((VLOOKUP(Table1[[#This Row],[SKU]],'All Skus'!$A:$AC,2,FALSE))="AKG",(VLOOKUP(Table1[[#This Row],[SKU]],'All Skus'!$A:$AC,22,FALSE)),""))</f>
        <v>0</v>
      </c>
      <c r="S8" s="64">
        <f>(IF((VLOOKUP(Table1[[#This Row],[SKU]],'All Skus'!$A:$AC,2,FALSE))="AKG",(VLOOKUP(Table1[[#This Row],[SKU]],'All Skus'!$A:$AC,23,FALSE)),""))</f>
        <v>0</v>
      </c>
      <c r="T8" s="210" t="str">
        <f>HYPERLINK((IF((VLOOKUP(Table1[[#This Row],[SKU]],'All Skus'!$A:$AC,2,FALSE))="AKG",(VLOOKUP(Table1[[#This Row],[SKU]],'All Skus'!$A:$AC,24,FALSE)),"")))</f>
        <v/>
      </c>
      <c r="U8" s="151">
        <v>6</v>
      </c>
    </row>
    <row r="9" spans="1:21" ht="15" hidden="1" customHeight="1">
      <c r="A9" s="50" t="s">
        <v>166</v>
      </c>
      <c r="B9" s="52" t="str">
        <f>(IF((VLOOKUP(Table1[[#This Row],[SKU]],'All Skus'!$A:$AC,2,FALSE))="AKG",(VLOOKUP(Table1[[#This Row],[SKU]],'All Skus'!$A:$AC,3,FALSE)), ""))</f>
        <v>Wired Mics</v>
      </c>
      <c r="C9" s="60" t="str">
        <f>(IF((VLOOKUP(Table1[[#This Row],[SKU]],'All Skus'!$A:$AC,2,FALSE))="AKG",(VLOOKUP(Table1[[#This Row],[SKU]],'All Skus'!$A:$AC,4,FALSE)),""))</f>
        <v>P120</v>
      </c>
      <c r="D9" s="60" t="str">
        <f>(IF((VLOOKUP(Table1[[#This Row],[SKU]],'All Skus'!$A:$AC,2,FALSE))="AKG",(VLOOKUP(Table1[[#This Row],[SKU]],'All Skus'!$A:$AC,5,FALSE)),""))</f>
        <v>AT210010</v>
      </c>
      <c r="E9" s="60">
        <f>(IF((VLOOKUP(Table1[[#This Row],[SKU]],'All Skus'!$A:$AC,2,FALSE))="AKG",(VLOOKUP(Table1[[#This Row],[SKU]],'All Skus'!$A:$AC,6,FALSE)),""))</f>
        <v>0</v>
      </c>
      <c r="F9" s="60">
        <f>(IF((VLOOKUP(Table1[[#This Row],[SKU]],'All Skus'!$A:$AC,2,FALSE))="AKG",(VLOOKUP(Table1[[#This Row],[SKU]],'All Skus'!$A:$AC,7,FALSE)),""))</f>
        <v>0</v>
      </c>
      <c r="G9" s="45" t="str">
        <f>(IF((VLOOKUP(Table1[[#This Row],[SKU]],'All Skus'!$A:$AC,2,FALSE))="AKG",(VLOOKUP(Table1[[#This Row],[SKU]],'All Skus'!$A:$AC,8,FALSE)),""))</f>
        <v>Studio Condenser Microphone</v>
      </c>
      <c r="H9" s="45" t="str">
        <f>(IF((VLOOKUP(Table1[[#This Row],[SKU]],'All Skus'!$A:$AC,2,FALSE))="AKG",(VLOOKUP(Table1[[#This Row],[SKU]],'All Skus'!$A:$AC,9,FALSE)),""))</f>
        <v xml:space="preserve">Professional studio microphone for general purpose. </v>
      </c>
      <c r="I9" s="141">
        <f>(IF((VLOOKUP(Table1[[#This Row],[SKU]],'All Skus'!$A:$AC,2,FALSE))="AKG",(VLOOKUP(Table1[[#This Row],[SKU]],'All Skus'!$A:$AC,10,FALSE)),""))</f>
        <v>150.35</v>
      </c>
      <c r="J9" s="141">
        <f>(IF((VLOOKUP(Table1[[#This Row],[SKU]],'All Skus'!$A:$AC,2,FALSE))="AKG",(VLOOKUP(Table1[[#This Row],[SKU]],'All Skus'!$A:$AC,11,FALSE)),""))</f>
        <v>99</v>
      </c>
      <c r="K9" s="125">
        <f>(IF((VLOOKUP(Table1[[#This Row],[SKU]],'All Skus'!$A:$AC,2,FALSE))="AKG",(VLOOKUP(Table1[[#This Row],[SKU]],'All Skus'!$A:$AC,15,FALSE)),""))</f>
        <v>8</v>
      </c>
      <c r="L9" s="124">
        <f>(IF((VLOOKUP(Table1[[#This Row],[SKU]],'All Skus'!$A:$AC,2,FALSE))="AKG",(VLOOKUP(Table1[[#This Row],[SKU]],'All Skus'!$A:$AC,16,FALSE)),""))</f>
        <v>885038037033</v>
      </c>
      <c r="M9" s="124">
        <f>(IF((VLOOKUP(Table1[[#This Row],[SKU]],'All Skus'!$A:$AC,2,FALSE))="AKG",(VLOOKUP(Table1[[#This Row],[SKU]],'All Skus'!$A:$AC,17,FALSE)),""))</f>
        <v>9002761037036</v>
      </c>
      <c r="N9" s="64">
        <f>(IF((VLOOKUP(Table1[[#This Row],[SKU]],'All Skus'!$A:$AC,2,FALSE))="AKG",(VLOOKUP(Table1[[#This Row],[SKU]],'All Skus'!$A:$AC,18,FALSE)),""))</f>
        <v>9.5</v>
      </c>
      <c r="O9" s="64">
        <f>(IF((VLOOKUP(Table1[[#This Row],[SKU]],'All Skus'!$A:$AC,2,FALSE))="AKG",(VLOOKUP(Table1[[#This Row],[SKU]],'All Skus'!$A:$AC,19,FALSE)),""))</f>
        <v>3</v>
      </c>
      <c r="P9" s="64">
        <f>(IF((VLOOKUP(Table1[[#This Row],[SKU]],'All Skus'!$A:$AC,2,FALSE))="AKG",(VLOOKUP(Table1[[#This Row],[SKU]],'All Skus'!$A:$AC,20,FALSE)),""))</f>
        <v>7.5</v>
      </c>
      <c r="Q9" s="64">
        <f>(IF((VLOOKUP(Table1[[#This Row],[SKU]],'All Skus'!$A:$AC,2,FALSE))="AKG",(VLOOKUP(Table1[[#This Row],[SKU]],'All Skus'!$A:$AC,21,FALSE)),""))</f>
        <v>3.5</v>
      </c>
      <c r="R9" s="64" t="str">
        <f>(IF((VLOOKUP(Table1[[#This Row],[SKU]],'All Skus'!$A:$AC,2,FALSE))="AKG",(VLOOKUP(Table1[[#This Row],[SKU]],'All Skus'!$A:$AC,22,FALSE)),""))</f>
        <v>CN</v>
      </c>
      <c r="S9" s="64" t="str">
        <f>(IF((VLOOKUP(Table1[[#This Row],[SKU]],'All Skus'!$A:$AC,2,FALSE))="AKG",(VLOOKUP(Table1[[#This Row],[SKU]],'All Skus'!$A:$AC,23,FALSE)),""))</f>
        <v>Non Compliant</v>
      </c>
      <c r="T9" s="210" t="str">
        <f>HYPERLINK((IF((VLOOKUP(Table1[[#This Row],[SKU]],'All Skus'!$A:$AC,2,FALSE))="AKG",(VLOOKUP(Table1[[#This Row],[SKU]],'All Skus'!$A:$AC,24,FALSE)),"")))</f>
        <v>https://www.akg.com/Microphones/Condenser%20Microphones/P120-.html</v>
      </c>
      <c r="U9" s="151">
        <v>7</v>
      </c>
    </row>
    <row r="10" spans="1:21" ht="15" hidden="1" customHeight="1">
      <c r="A10" s="50" t="s">
        <v>167</v>
      </c>
      <c r="B10" s="52" t="str">
        <f>(IF((VLOOKUP(Table1[[#This Row],[SKU]],'All Skus'!$A:$AC,2,FALSE))="AKG",(VLOOKUP(Table1[[#This Row],[SKU]],'All Skus'!$A:$AC,3,FALSE)), ""))</f>
        <v>Wired Mics</v>
      </c>
      <c r="C10" s="60" t="str">
        <f>(IF((VLOOKUP(Table1[[#This Row],[SKU]],'All Skus'!$A:$AC,2,FALSE))="AKG",(VLOOKUP(Table1[[#This Row],[SKU]],'All Skus'!$A:$AC,4,FALSE)),""))</f>
        <v>P170</v>
      </c>
      <c r="D10" s="60" t="str">
        <f>(IF((VLOOKUP(Table1[[#This Row],[SKU]],'All Skus'!$A:$AC,2,FALSE))="AKG",(VLOOKUP(Table1[[#This Row],[SKU]],'All Skus'!$A:$AC,5,FALSE)),""))</f>
        <v>AT210010</v>
      </c>
      <c r="E10" s="60">
        <f>(IF((VLOOKUP(Table1[[#This Row],[SKU]],'All Skus'!$A:$AC,2,FALSE))="AKG",(VLOOKUP(Table1[[#This Row],[SKU]],'All Skus'!$A:$AC,6,FALSE)),""))</f>
        <v>0</v>
      </c>
      <c r="F10" s="60">
        <f>(IF((VLOOKUP(Table1[[#This Row],[SKU]],'All Skus'!$A:$AC,2,FALSE))="AKG",(VLOOKUP(Table1[[#This Row],[SKU]],'All Skus'!$A:$AC,7,FALSE)),""))</f>
        <v>0</v>
      </c>
      <c r="G10" s="45" t="str">
        <f>(IF((VLOOKUP(Table1[[#This Row],[SKU]],'All Skus'!$A:$AC,2,FALSE))="AKG",(VLOOKUP(Table1[[#This Row],[SKU]],'All Skus'!$A:$AC,8,FALSE)),""))</f>
        <v>Studio Condenser Microphone</v>
      </c>
      <c r="H10" s="45" t="str">
        <f>(IF((VLOOKUP(Table1[[#This Row],[SKU]],'All Skus'!$A:$AC,2,FALSE))="AKG",(VLOOKUP(Table1[[#This Row],[SKU]],'All Skus'!$A:$AC,9,FALSE)),""))</f>
        <v>Professional instrumental microphone with small diaphragm-true condenser transducer, package includes a stand adapter.</v>
      </c>
      <c r="I10" s="141">
        <f>(IF((VLOOKUP(Table1[[#This Row],[SKU]],'All Skus'!$A:$AC,2,FALSE))="AKG",(VLOOKUP(Table1[[#This Row],[SKU]],'All Skus'!$A:$AC,10,FALSE)),""))</f>
        <v>150.35</v>
      </c>
      <c r="J10" s="141">
        <f>(IF((VLOOKUP(Table1[[#This Row],[SKU]],'All Skus'!$A:$AC,2,FALSE))="AKG",(VLOOKUP(Table1[[#This Row],[SKU]],'All Skus'!$A:$AC,11,FALSE)),""))</f>
        <v>99</v>
      </c>
      <c r="K10" s="125">
        <f>(IF((VLOOKUP(Table1[[#This Row],[SKU]],'All Skus'!$A:$AC,2,FALSE))="AKG",(VLOOKUP(Table1[[#This Row],[SKU]],'All Skus'!$A:$AC,15,FALSE)),""))</f>
        <v>8</v>
      </c>
      <c r="L10" s="124">
        <f>(IF((VLOOKUP(Table1[[#This Row],[SKU]],'All Skus'!$A:$AC,2,FALSE))="AKG",(VLOOKUP(Table1[[#This Row],[SKU]],'All Skus'!$A:$AC,16,FALSE)),""))</f>
        <v>885038037040</v>
      </c>
      <c r="M10" s="124">
        <f>(IF((VLOOKUP(Table1[[#This Row],[SKU]],'All Skus'!$A:$AC,2,FALSE))="AKG",(VLOOKUP(Table1[[#This Row],[SKU]],'All Skus'!$A:$AC,17,FALSE)),""))</f>
        <v>9002761037043</v>
      </c>
      <c r="N10" s="64">
        <f>(IF((VLOOKUP(Table1[[#This Row],[SKU]],'All Skus'!$A:$AC,2,FALSE))="AKG",(VLOOKUP(Table1[[#This Row],[SKU]],'All Skus'!$A:$AC,18,FALSE)),""))</f>
        <v>9.5</v>
      </c>
      <c r="O10" s="64">
        <f>(IF((VLOOKUP(Table1[[#This Row],[SKU]],'All Skus'!$A:$AC,2,FALSE))="AKG",(VLOOKUP(Table1[[#This Row],[SKU]],'All Skus'!$A:$AC,19,FALSE)),""))</f>
        <v>3</v>
      </c>
      <c r="P10" s="64">
        <f>(IF((VLOOKUP(Table1[[#This Row],[SKU]],'All Skus'!$A:$AC,2,FALSE))="AKG",(VLOOKUP(Table1[[#This Row],[SKU]],'All Skus'!$A:$AC,20,FALSE)),""))</f>
        <v>7.5</v>
      </c>
      <c r="Q10" s="64">
        <f>(IF((VLOOKUP(Table1[[#This Row],[SKU]],'All Skus'!$A:$AC,2,FALSE))="AKG",(VLOOKUP(Table1[[#This Row],[SKU]],'All Skus'!$A:$AC,21,FALSE)),""))</f>
        <v>3.5</v>
      </c>
      <c r="R10" s="64" t="str">
        <f>(IF((VLOOKUP(Table1[[#This Row],[SKU]],'All Skus'!$A:$AC,2,FALSE))="AKG",(VLOOKUP(Table1[[#This Row],[SKU]],'All Skus'!$A:$AC,22,FALSE)),""))</f>
        <v>CN</v>
      </c>
      <c r="S10" s="64" t="str">
        <f>(IF((VLOOKUP(Table1[[#This Row],[SKU]],'All Skus'!$A:$AC,2,FALSE))="AKG",(VLOOKUP(Table1[[#This Row],[SKU]],'All Skus'!$A:$AC,23,FALSE)),""))</f>
        <v>Non Compliant</v>
      </c>
      <c r="T10" s="210" t="str">
        <f>HYPERLINK((IF((VLOOKUP(Table1[[#This Row],[SKU]],'All Skus'!$A:$AC,2,FALSE))="AKG",(VLOOKUP(Table1[[#This Row],[SKU]],'All Skus'!$A:$AC,24,FALSE)),"")))</f>
        <v>https://www.akg.com/Microphones/Condenser%20Microphones/P170.html</v>
      </c>
      <c r="U10" s="151">
        <v>8</v>
      </c>
    </row>
    <row r="11" spans="1:21" ht="15" hidden="1" customHeight="1">
      <c r="A11" s="50" t="s">
        <v>168</v>
      </c>
      <c r="B11" s="52" t="str">
        <f>(IF((VLOOKUP(Table1[[#This Row],[SKU]],'All Skus'!$A:$AC,2,FALSE))="AKG",(VLOOKUP(Table1[[#This Row],[SKU]],'All Skus'!$A:$AC,3,FALSE)), ""))</f>
        <v>Wired Mics</v>
      </c>
      <c r="C11" s="60" t="str">
        <f>(IF((VLOOKUP(Table1[[#This Row],[SKU]],'All Skus'!$A:$AC,2,FALSE))="AKG",(VLOOKUP(Table1[[#This Row],[SKU]],'All Skus'!$A:$AC,4,FALSE)),""))</f>
        <v>P220</v>
      </c>
      <c r="D11" s="60" t="str">
        <f>(IF((VLOOKUP(Table1[[#This Row],[SKU]],'All Skus'!$A:$AC,2,FALSE))="AKG",(VLOOKUP(Table1[[#This Row],[SKU]],'All Skus'!$A:$AC,5,FALSE)),""))</f>
        <v>AT210010</v>
      </c>
      <c r="E11" s="60">
        <f>(IF((VLOOKUP(Table1[[#This Row],[SKU]],'All Skus'!$A:$AC,2,FALSE))="AKG",(VLOOKUP(Table1[[#This Row],[SKU]],'All Skus'!$A:$AC,6,FALSE)),""))</f>
        <v>0</v>
      </c>
      <c r="F11" s="60">
        <f>(IF((VLOOKUP(Table1[[#This Row],[SKU]],'All Skus'!$A:$AC,2,FALSE))="AKG",(VLOOKUP(Table1[[#This Row],[SKU]],'All Skus'!$A:$AC,7,FALSE)),""))</f>
        <v>0</v>
      </c>
      <c r="G11" s="45" t="str">
        <f>(IF((VLOOKUP(Table1[[#This Row],[SKU]],'All Skus'!$A:$AC,2,FALSE))="AKG",(VLOOKUP(Table1[[#This Row],[SKU]],'All Skus'!$A:$AC,8,FALSE)),""))</f>
        <v>Studio Condenser Microphone</v>
      </c>
      <c r="H11" s="45" t="str">
        <f>(IF((VLOOKUP(Table1[[#This Row],[SKU]],'All Skus'!$A:$AC,2,FALSE))="AKG",(VLOOKUP(Table1[[#This Row],[SKU]],'All Skus'!$A:$AC,9,FALSE)),""))</f>
        <v>as Perception 120 with one inch true condenser large diaphragm capsule.</v>
      </c>
      <c r="I11" s="141">
        <f>(IF((VLOOKUP(Table1[[#This Row],[SKU]],'All Skus'!$A:$AC,2,FALSE))="AKG",(VLOOKUP(Table1[[#This Row],[SKU]],'All Skus'!$A:$AC,10,FALSE)),""))</f>
        <v>266.89999999999998</v>
      </c>
      <c r="J11" s="141">
        <f>(IF((VLOOKUP(Table1[[#This Row],[SKU]],'All Skus'!$A:$AC,2,FALSE))="AKG",(VLOOKUP(Table1[[#This Row],[SKU]],'All Skus'!$A:$AC,11,FALSE)),""))</f>
        <v>159</v>
      </c>
      <c r="K11" s="125">
        <f>(IF((VLOOKUP(Table1[[#This Row],[SKU]],'All Skus'!$A:$AC,2,FALSE))="AKG",(VLOOKUP(Table1[[#This Row],[SKU]],'All Skus'!$A:$AC,15,FALSE)),""))</f>
        <v>8</v>
      </c>
      <c r="L11" s="124">
        <f>(IF((VLOOKUP(Table1[[#This Row],[SKU]],'All Skus'!$A:$AC,2,FALSE))="AKG",(VLOOKUP(Table1[[#This Row],[SKU]],'All Skus'!$A:$AC,16,FALSE)),""))</f>
        <v>885038037057</v>
      </c>
      <c r="M11" s="124">
        <f>(IF((VLOOKUP(Table1[[#This Row],[SKU]],'All Skus'!$A:$AC,2,FALSE))="AKG",(VLOOKUP(Table1[[#This Row],[SKU]],'All Skus'!$A:$AC,17,FALSE)),""))</f>
        <v>9002761037050</v>
      </c>
      <c r="N11" s="64">
        <f>(IF((VLOOKUP(Table1[[#This Row],[SKU]],'All Skus'!$A:$AC,2,FALSE))="AKG",(VLOOKUP(Table1[[#This Row],[SKU]],'All Skus'!$A:$AC,18,FALSE)),""))</f>
        <v>9</v>
      </c>
      <c r="O11" s="64">
        <f>(IF((VLOOKUP(Table1[[#This Row],[SKU]],'All Skus'!$A:$AC,2,FALSE))="AKG",(VLOOKUP(Table1[[#This Row],[SKU]],'All Skus'!$A:$AC,19,FALSE)),""))</f>
        <v>5</v>
      </c>
      <c r="P11" s="64">
        <f>(IF((VLOOKUP(Table1[[#This Row],[SKU]],'All Skus'!$A:$AC,2,FALSE))="AKG",(VLOOKUP(Table1[[#This Row],[SKU]],'All Skus'!$A:$AC,20,FALSE)),""))</f>
        <v>8.5</v>
      </c>
      <c r="Q11" s="64">
        <f>(IF((VLOOKUP(Table1[[#This Row],[SKU]],'All Skus'!$A:$AC,2,FALSE))="AKG",(VLOOKUP(Table1[[#This Row],[SKU]],'All Skus'!$A:$AC,21,FALSE)),""))</f>
        <v>5.5</v>
      </c>
      <c r="R11" s="64" t="str">
        <f>(IF((VLOOKUP(Table1[[#This Row],[SKU]],'All Skus'!$A:$AC,2,FALSE))="AKG",(VLOOKUP(Table1[[#This Row],[SKU]],'All Skus'!$A:$AC,22,FALSE)),""))</f>
        <v>CN</v>
      </c>
      <c r="S11" s="64" t="str">
        <f>(IF((VLOOKUP(Table1[[#This Row],[SKU]],'All Skus'!$A:$AC,2,FALSE))="AKG",(VLOOKUP(Table1[[#This Row],[SKU]],'All Skus'!$A:$AC,23,FALSE)),""))</f>
        <v>Non Compliant</v>
      </c>
      <c r="T11" s="210" t="str">
        <f>HYPERLINK((IF((VLOOKUP(Table1[[#This Row],[SKU]],'All Skus'!$A:$AC,2,FALSE))="AKG",(VLOOKUP(Table1[[#This Row],[SKU]],'All Skus'!$A:$AC,24,FALSE)),"")))</f>
        <v>https://www.akg.com/Microphones/Condenser%20Microphones/P220.html</v>
      </c>
      <c r="U11" s="151">
        <v>9</v>
      </c>
    </row>
    <row r="12" spans="1:21" ht="15" hidden="1" customHeight="1">
      <c r="A12" s="50" t="s">
        <v>169</v>
      </c>
      <c r="B12" s="52" t="str">
        <f>(IF((VLOOKUP(Table1[[#This Row],[SKU]],'All Skus'!$A:$AC,2,FALSE))="AKG",(VLOOKUP(Table1[[#This Row],[SKU]],'All Skus'!$A:$AC,3,FALSE)), ""))</f>
        <v>Wired Mics</v>
      </c>
      <c r="C12" s="60" t="str">
        <f>(IF((VLOOKUP(Table1[[#This Row],[SKU]],'All Skus'!$A:$AC,2,FALSE))="AKG",(VLOOKUP(Table1[[#This Row],[SKU]],'All Skus'!$A:$AC,4,FALSE)),""))</f>
        <v>P420</v>
      </c>
      <c r="D12" s="60" t="str">
        <f>(IF((VLOOKUP(Table1[[#This Row],[SKU]],'All Skus'!$A:$AC,2,FALSE))="AKG",(VLOOKUP(Table1[[#This Row],[SKU]],'All Skus'!$A:$AC,5,FALSE)),""))</f>
        <v>AT210010</v>
      </c>
      <c r="E12" s="60">
        <f>(IF((VLOOKUP(Table1[[#This Row],[SKU]],'All Skus'!$A:$AC,2,FALSE))="AKG",(VLOOKUP(Table1[[#This Row],[SKU]],'All Skus'!$A:$AC,6,FALSE)),""))</f>
        <v>0</v>
      </c>
      <c r="F12" s="60">
        <f>(IF((VLOOKUP(Table1[[#This Row],[SKU]],'All Skus'!$A:$AC,2,FALSE))="AKG",(VLOOKUP(Table1[[#This Row],[SKU]],'All Skus'!$A:$AC,7,FALSE)),""))</f>
        <v>0</v>
      </c>
      <c r="G12" s="45" t="str">
        <f>(IF((VLOOKUP(Table1[[#This Row],[SKU]],'All Skus'!$A:$AC,2,FALSE))="AKG",(VLOOKUP(Table1[[#This Row],[SKU]],'All Skus'!$A:$AC,8,FALSE)),""))</f>
        <v>Studio Condenser Microphone</v>
      </c>
      <c r="H12" s="45" t="str">
        <f>(IF((VLOOKUP(Table1[[#This Row],[SKU]],'All Skus'!$A:$AC,2,FALSE))="AKG",(VLOOKUP(Table1[[#This Row],[SKU]],'All Skus'!$A:$AC,9,FALSE)),""))</f>
        <v>Professional large-dual-diaphragm true-condenser microphone with switchable polar patterns.</v>
      </c>
      <c r="I12" s="141">
        <f>(IF((VLOOKUP(Table1[[#This Row],[SKU]],'All Skus'!$A:$AC,2,FALSE))="AKG",(VLOOKUP(Table1[[#This Row],[SKU]],'All Skus'!$A:$AC,10,FALSE)),""))</f>
        <v>371.79</v>
      </c>
      <c r="J12" s="141">
        <f>(IF((VLOOKUP(Table1[[#This Row],[SKU]],'All Skus'!$A:$AC,2,FALSE))="AKG",(VLOOKUP(Table1[[#This Row],[SKU]],'All Skus'!$A:$AC,11,FALSE)),""))</f>
        <v>199</v>
      </c>
      <c r="K12" s="125">
        <f>(IF((VLOOKUP(Table1[[#This Row],[SKU]],'All Skus'!$A:$AC,2,FALSE))="AKG",(VLOOKUP(Table1[[#This Row],[SKU]],'All Skus'!$A:$AC,15,FALSE)),""))</f>
        <v>8</v>
      </c>
      <c r="L12" s="124">
        <f>(IF((VLOOKUP(Table1[[#This Row],[SKU]],'All Skus'!$A:$AC,2,FALSE))="AKG",(VLOOKUP(Table1[[#This Row],[SKU]],'All Skus'!$A:$AC,16,FALSE)),""))</f>
        <v>885038037064</v>
      </c>
      <c r="M12" s="124">
        <f>(IF((VLOOKUP(Table1[[#This Row],[SKU]],'All Skus'!$A:$AC,2,FALSE))="AKG",(VLOOKUP(Table1[[#This Row],[SKU]],'All Skus'!$A:$AC,17,FALSE)),""))</f>
        <v>9002761037067</v>
      </c>
      <c r="N12" s="64">
        <f>(IF((VLOOKUP(Table1[[#This Row],[SKU]],'All Skus'!$A:$AC,2,FALSE))="AKG",(VLOOKUP(Table1[[#This Row],[SKU]],'All Skus'!$A:$AC,18,FALSE)),""))</f>
        <v>13.5</v>
      </c>
      <c r="O12" s="64">
        <f>(IF((VLOOKUP(Table1[[#This Row],[SKU]],'All Skus'!$A:$AC,2,FALSE))="AKG",(VLOOKUP(Table1[[#This Row],[SKU]],'All Skus'!$A:$AC,19,FALSE)),""))</f>
        <v>21</v>
      </c>
      <c r="P12" s="64">
        <f>(IF((VLOOKUP(Table1[[#This Row],[SKU]],'All Skus'!$A:$AC,2,FALSE))="AKG",(VLOOKUP(Table1[[#This Row],[SKU]],'All Skus'!$A:$AC,20,FALSE)),""))</f>
        <v>20</v>
      </c>
      <c r="Q12" s="64">
        <f>(IF((VLOOKUP(Table1[[#This Row],[SKU]],'All Skus'!$A:$AC,2,FALSE))="AKG",(VLOOKUP(Table1[[#This Row],[SKU]],'All Skus'!$A:$AC,21,FALSE)),""))</f>
        <v>5.5</v>
      </c>
      <c r="R12" s="64" t="str">
        <f>(IF((VLOOKUP(Table1[[#This Row],[SKU]],'All Skus'!$A:$AC,2,FALSE))="AKG",(VLOOKUP(Table1[[#This Row],[SKU]],'All Skus'!$A:$AC,22,FALSE)),""))</f>
        <v>CN</v>
      </c>
      <c r="S12" s="64" t="str">
        <f>(IF((VLOOKUP(Table1[[#This Row],[SKU]],'All Skus'!$A:$AC,2,FALSE))="AKG",(VLOOKUP(Table1[[#This Row],[SKU]],'All Skus'!$A:$AC,23,FALSE)),""))</f>
        <v>Non Compliant</v>
      </c>
      <c r="T12" s="210" t="str">
        <f>HYPERLINK((IF((VLOOKUP(Table1[[#This Row],[SKU]],'All Skus'!$A:$AC,2,FALSE))="AKG",(VLOOKUP(Table1[[#This Row],[SKU]],'All Skus'!$A:$AC,24,FALSE)),"")))</f>
        <v>https://www.akg.com/Microphones/Condenser%20Microphones/P420.html</v>
      </c>
      <c r="U12" s="151">
        <v>10</v>
      </c>
    </row>
    <row r="13" spans="1:21" ht="15" hidden="1" customHeight="1">
      <c r="A13" s="50" t="s">
        <v>170</v>
      </c>
      <c r="B13" s="52" t="str">
        <f>(IF((VLOOKUP(Table1[[#This Row],[SKU]],'All Skus'!$A:$AC,2,FALSE))="AKG",(VLOOKUP(Table1[[#This Row],[SKU]],'All Skus'!$A:$AC,3,FALSE)), ""))</f>
        <v>Wired Mics</v>
      </c>
      <c r="C13" s="60" t="str">
        <f>(IF((VLOOKUP(Table1[[#This Row],[SKU]],'All Skus'!$A:$AC,2,FALSE))="AKG",(VLOOKUP(Table1[[#This Row],[SKU]],'All Skus'!$A:$AC,4,FALSE)),""))</f>
        <v>P820 TUBE</v>
      </c>
      <c r="D13" s="60" t="str">
        <f>(IF((VLOOKUP(Table1[[#This Row],[SKU]],'All Skus'!$A:$AC,2,FALSE))="AKG",(VLOOKUP(Table1[[#This Row],[SKU]],'All Skus'!$A:$AC,5,FALSE)),""))</f>
        <v>AT210010</v>
      </c>
      <c r="E13" s="60">
        <f>(IF((VLOOKUP(Table1[[#This Row],[SKU]],'All Skus'!$A:$AC,2,FALSE))="AKG",(VLOOKUP(Table1[[#This Row],[SKU]],'All Skus'!$A:$AC,6,FALSE)),""))</f>
        <v>0</v>
      </c>
      <c r="F13" s="60">
        <f>(IF((VLOOKUP(Table1[[#This Row],[SKU]],'All Skus'!$A:$AC,2,FALSE))="AKG",(VLOOKUP(Table1[[#This Row],[SKU]],'All Skus'!$A:$AC,7,FALSE)),""))</f>
        <v>0</v>
      </c>
      <c r="G13" s="45" t="str">
        <f>(IF((VLOOKUP(Table1[[#This Row],[SKU]],'All Skus'!$A:$AC,2,FALSE))="AKG",(VLOOKUP(Table1[[#This Row],[SKU]],'All Skus'!$A:$AC,8,FALSE)),""))</f>
        <v>Studio Condenser Microphone</v>
      </c>
      <c r="H13" s="45" t="str">
        <f>(IF((VLOOKUP(Table1[[#This Row],[SKU]],'All Skus'!$A:$AC,2,FALSE))="AKG",(VLOOKUP(Table1[[#This Row],[SKU]],'All Skus'!$A:$AC,9,FALSE)),""))</f>
        <v>Professional multi-pattern tube microphone with remote control unit.</v>
      </c>
      <c r="I13" s="141">
        <f>(IF((VLOOKUP(Table1[[#This Row],[SKU]],'All Skus'!$A:$AC,2,FALSE))="AKG",(VLOOKUP(Table1[[#This Row],[SKU]],'All Skus'!$A:$AC,10,FALSE)),""))</f>
        <v>1055.21</v>
      </c>
      <c r="J13" s="141">
        <f>(IF((VLOOKUP(Table1[[#This Row],[SKU]],'All Skus'!$A:$AC,2,FALSE))="AKG",(VLOOKUP(Table1[[#This Row],[SKU]],'All Skus'!$A:$AC,11,FALSE)),""))</f>
        <v>840</v>
      </c>
      <c r="K13" s="125">
        <f>(IF((VLOOKUP(Table1[[#This Row],[SKU]],'All Skus'!$A:$AC,2,FALSE))="AKG",(VLOOKUP(Table1[[#This Row],[SKU]],'All Skus'!$A:$AC,15,FALSE)),""))</f>
        <v>2</v>
      </c>
      <c r="L13" s="124">
        <f>(IF((VLOOKUP(Table1[[#This Row],[SKU]],'All Skus'!$A:$AC,2,FALSE))="AKG",(VLOOKUP(Table1[[#This Row],[SKU]],'All Skus'!$A:$AC,16,FALSE)),""))</f>
        <v>885038037071</v>
      </c>
      <c r="M13" s="124">
        <f>(IF((VLOOKUP(Table1[[#This Row],[SKU]],'All Skus'!$A:$AC,2,FALSE))="AKG",(VLOOKUP(Table1[[#This Row],[SKU]],'All Skus'!$A:$AC,17,FALSE)),""))</f>
        <v>9002761037074</v>
      </c>
      <c r="N13" s="64">
        <f>(IF((VLOOKUP(Table1[[#This Row],[SKU]],'All Skus'!$A:$AC,2,FALSE))="AKG",(VLOOKUP(Table1[[#This Row],[SKU]],'All Skus'!$A:$AC,18,FALSE)),""))</f>
        <v>15.5</v>
      </c>
      <c r="O13" s="64">
        <f>(IF((VLOOKUP(Table1[[#This Row],[SKU]],'All Skus'!$A:$AC,2,FALSE))="AKG",(VLOOKUP(Table1[[#This Row],[SKU]],'All Skus'!$A:$AC,19,FALSE)),""))</f>
        <v>18</v>
      </c>
      <c r="P13" s="64">
        <f>(IF((VLOOKUP(Table1[[#This Row],[SKU]],'All Skus'!$A:$AC,2,FALSE))="AKG",(VLOOKUP(Table1[[#This Row],[SKU]],'All Skus'!$A:$AC,20,FALSE)),""))</f>
        <v>7.25</v>
      </c>
      <c r="Q13" s="64">
        <f>(IF((VLOOKUP(Table1[[#This Row],[SKU]],'All Skus'!$A:$AC,2,FALSE))="AKG",(VLOOKUP(Table1[[#This Row],[SKU]],'All Skus'!$A:$AC,21,FALSE)),""))</f>
        <v>5.9</v>
      </c>
      <c r="R13" s="64" t="str">
        <f>(IF((VLOOKUP(Table1[[#This Row],[SKU]],'All Skus'!$A:$AC,2,FALSE))="AKG",(VLOOKUP(Table1[[#This Row],[SKU]],'All Skus'!$A:$AC,22,FALSE)),""))</f>
        <v>CN</v>
      </c>
      <c r="S13" s="64" t="str">
        <f>(IF((VLOOKUP(Table1[[#This Row],[SKU]],'All Skus'!$A:$AC,2,FALSE))="AKG",(VLOOKUP(Table1[[#This Row],[SKU]],'All Skus'!$A:$AC,23,FALSE)),""))</f>
        <v>Non Compliant</v>
      </c>
      <c r="T13" s="210" t="str">
        <f>HYPERLINK((IF((VLOOKUP(Table1[[#This Row],[SKU]],'All Skus'!$A:$AC,2,FALSE))="AKG",(VLOOKUP(Table1[[#This Row],[SKU]],'All Skus'!$A:$AC,24,FALSE)),"")))</f>
        <v>https://www.akg.com/Microphones/Tube%20Microphones/P820tube.html</v>
      </c>
      <c r="U13" s="151">
        <v>11</v>
      </c>
    </row>
    <row r="14" spans="1:21" ht="15" hidden="1" customHeight="1">
      <c r="A14" s="126" t="s">
        <v>171</v>
      </c>
      <c r="B14" s="52">
        <f>(IF((VLOOKUP(Table1[[#This Row],[SKU]],'All Skus'!$A:$AC,2,FALSE))="AKG",(VLOOKUP(Table1[[#This Row],[SKU]],'All Skus'!$A:$AC,3,FALSE)), ""))</f>
        <v>0</v>
      </c>
      <c r="C14" s="60">
        <f>(IF((VLOOKUP(Table1[[#This Row],[SKU]],'All Skus'!$A:$AC,2,FALSE))="AKG",(VLOOKUP(Table1[[#This Row],[SKU]],'All Skus'!$A:$AC,4,FALSE)),""))</f>
        <v>0</v>
      </c>
      <c r="D14" s="60">
        <f>(IF((VLOOKUP(Table1[[#This Row],[SKU]],'All Skus'!$A:$AC,2,FALSE))="AKG",(VLOOKUP(Table1[[#This Row],[SKU]],'All Skus'!$A:$AC,5,FALSE)),""))</f>
        <v>0</v>
      </c>
      <c r="E14" s="60">
        <f>(IF((VLOOKUP(Table1[[#This Row],[SKU]],'All Skus'!$A:$AC,2,FALSE))="AKG",(VLOOKUP(Table1[[#This Row],[SKU]],'All Skus'!$A:$AC,6,FALSE)),""))</f>
        <v>0</v>
      </c>
      <c r="F14" s="60">
        <f>(IF((VLOOKUP(Table1[[#This Row],[SKU]],'All Skus'!$A:$AC,2,FALSE))="AKG",(VLOOKUP(Table1[[#This Row],[SKU]],'All Skus'!$A:$AC,7,FALSE)),""))</f>
        <v>0</v>
      </c>
      <c r="G14" s="45">
        <f>(IF((VLOOKUP(Table1[[#This Row],[SKU]],'All Skus'!$A:$AC,2,FALSE))="AKG",(VLOOKUP(Table1[[#This Row],[SKU]],'All Skus'!$A:$AC,8,FALSE)),""))</f>
        <v>0</v>
      </c>
      <c r="H14" s="45">
        <f>(IF((VLOOKUP(Table1[[#This Row],[SKU]],'All Skus'!$A:$AC,2,FALSE))="AKG",(VLOOKUP(Table1[[#This Row],[SKU]],'All Skus'!$A:$AC,9,FALSE)),""))</f>
        <v>0</v>
      </c>
      <c r="I14" s="141">
        <f>(IF((VLOOKUP(Table1[[#This Row],[SKU]],'All Skus'!$A:$AC,2,FALSE))="AKG",(VLOOKUP(Table1[[#This Row],[SKU]],'All Skus'!$A:$AC,10,FALSE)),""))</f>
        <v>0</v>
      </c>
      <c r="J14" s="141">
        <f>(IF((VLOOKUP(Table1[[#This Row],[SKU]],'All Skus'!$A:$AC,2,FALSE))="AKG",(VLOOKUP(Table1[[#This Row],[SKU]],'All Skus'!$A:$AC,11,FALSE)),""))</f>
        <v>0</v>
      </c>
      <c r="K14" s="125">
        <f>(IF((VLOOKUP(Table1[[#This Row],[SKU]],'All Skus'!$A:$AC,2,FALSE))="AKG",(VLOOKUP(Table1[[#This Row],[SKU]],'All Skus'!$A:$AC,15,FALSE)),""))</f>
        <v>0</v>
      </c>
      <c r="L14" s="124">
        <f>(IF((VLOOKUP(Table1[[#This Row],[SKU]],'All Skus'!$A:$AC,2,FALSE))="AKG",(VLOOKUP(Table1[[#This Row],[SKU]],'All Skus'!$A:$AC,16,FALSE)),""))</f>
        <v>0</v>
      </c>
      <c r="M14" s="124">
        <f>(IF((VLOOKUP(Table1[[#This Row],[SKU]],'All Skus'!$A:$AC,2,FALSE))="AKG",(VLOOKUP(Table1[[#This Row],[SKU]],'All Skus'!$A:$AC,17,FALSE)),""))</f>
        <v>0</v>
      </c>
      <c r="N14" s="64">
        <f>(IF((VLOOKUP(Table1[[#This Row],[SKU]],'All Skus'!$A:$AC,2,FALSE))="AKG",(VLOOKUP(Table1[[#This Row],[SKU]],'All Skus'!$A:$AC,18,FALSE)),""))</f>
        <v>0</v>
      </c>
      <c r="O14" s="64">
        <f>(IF((VLOOKUP(Table1[[#This Row],[SKU]],'All Skus'!$A:$AC,2,FALSE))="AKG",(VLOOKUP(Table1[[#This Row],[SKU]],'All Skus'!$A:$AC,19,FALSE)),""))</f>
        <v>0</v>
      </c>
      <c r="P14" s="64">
        <f>(IF((VLOOKUP(Table1[[#This Row],[SKU]],'All Skus'!$A:$AC,2,FALSE))="AKG",(VLOOKUP(Table1[[#This Row],[SKU]],'All Skus'!$A:$AC,20,FALSE)),""))</f>
        <v>0</v>
      </c>
      <c r="Q14" s="64">
        <f>(IF((VLOOKUP(Table1[[#This Row],[SKU]],'All Skus'!$A:$AC,2,FALSE))="AKG",(VLOOKUP(Table1[[#This Row],[SKU]],'All Skus'!$A:$AC,21,FALSE)),""))</f>
        <v>0</v>
      </c>
      <c r="R14" s="64">
        <f>(IF((VLOOKUP(Table1[[#This Row],[SKU]],'All Skus'!$A:$AC,2,FALSE))="AKG",(VLOOKUP(Table1[[#This Row],[SKU]],'All Skus'!$A:$AC,22,FALSE)),""))</f>
        <v>0</v>
      </c>
      <c r="S14" s="64">
        <f>(IF((VLOOKUP(Table1[[#This Row],[SKU]],'All Skus'!$A:$AC,2,FALSE))="AKG",(VLOOKUP(Table1[[#This Row],[SKU]],'All Skus'!$A:$AC,23,FALSE)),""))</f>
        <v>0</v>
      </c>
      <c r="T14" s="210" t="str">
        <f>HYPERLINK((IF((VLOOKUP(Table1[[#This Row],[SKU]],'All Skus'!$A:$AC,2,FALSE))="AKG",(VLOOKUP(Table1[[#This Row],[SKU]],'All Skus'!$A:$AC,24,FALSE)),"")))</f>
        <v/>
      </c>
      <c r="U14" s="151">
        <v>12</v>
      </c>
    </row>
    <row r="15" spans="1:21" ht="15" hidden="1" customHeight="1">
      <c r="A15" s="50" t="s">
        <v>172</v>
      </c>
      <c r="B15" s="52" t="str">
        <f>(IF((VLOOKUP(Table1[[#This Row],[SKU]],'All Skus'!$A:$AC,2,FALSE))="AKG",(VLOOKUP(Table1[[#This Row],[SKU]],'All Skus'!$A:$AC,3,FALSE)), ""))</f>
        <v>Wired Mics</v>
      </c>
      <c r="C15" s="60" t="str">
        <f>(IF((VLOOKUP(Table1[[#This Row],[SKU]],'All Skus'!$A:$AC,2,FALSE))="AKG",(VLOOKUP(Table1[[#This Row],[SKU]],'All Skus'!$A:$AC,4,FALSE)),""))</f>
        <v>C1000S</v>
      </c>
      <c r="D15" s="60" t="str">
        <f>(IF((VLOOKUP(Table1[[#This Row],[SKU]],'All Skus'!$A:$AC,2,FALSE))="AKG",(VLOOKUP(Table1[[#This Row],[SKU]],'All Skus'!$A:$AC,5,FALSE)),""))</f>
        <v>AT410010</v>
      </c>
      <c r="E15" s="60">
        <f>(IF((VLOOKUP(Table1[[#This Row],[SKU]],'All Skus'!$A:$AC,2,FALSE))="AKG",(VLOOKUP(Table1[[#This Row],[SKU]],'All Skus'!$A:$AC,6,FALSE)),""))</f>
        <v>0</v>
      </c>
      <c r="F15" s="60">
        <f>(IF((VLOOKUP(Table1[[#This Row],[SKU]],'All Skus'!$A:$AC,2,FALSE))="AKG",(VLOOKUP(Table1[[#This Row],[SKU]],'All Skus'!$A:$AC,7,FALSE)),""))</f>
        <v>0</v>
      </c>
      <c r="G15" s="45" t="str">
        <f>(IF((VLOOKUP(Table1[[#This Row],[SKU]],'All Skus'!$A:$AC,2,FALSE))="AKG",(VLOOKUP(Table1[[#This Row],[SKU]],'All Skus'!$A:$AC,8,FALSE)),""))</f>
        <v>Studio Condenser Microphone</v>
      </c>
      <c r="H15" s="45" t="str">
        <f>(IF((VLOOKUP(Table1[[#This Row],[SKU]],'All Skus'!$A:$AC,2,FALSE))="AKG",(VLOOKUP(Table1[[#This Row],[SKU]],'All Skus'!$A:$AC,9,FALSE)),""))</f>
        <v>Multipurpose condenser microphone</v>
      </c>
      <c r="I15" s="141">
        <f>(IF((VLOOKUP(Table1[[#This Row],[SKU]],'All Skus'!$A:$AC,2,FALSE))="AKG",(VLOOKUP(Table1[[#This Row],[SKU]],'All Skus'!$A:$AC,10,FALSE)),""))</f>
        <v>363.46</v>
      </c>
      <c r="J15" s="141">
        <f>(IF((VLOOKUP(Table1[[#This Row],[SKU]],'All Skus'!$A:$AC,2,FALSE))="AKG",(VLOOKUP(Table1[[#This Row],[SKU]],'All Skus'!$A:$AC,11,FALSE)),""))</f>
        <v>249</v>
      </c>
      <c r="K15" s="125">
        <f>(IF((VLOOKUP(Table1[[#This Row],[SKU]],'All Skus'!$A:$AC,2,FALSE))="AKG",(VLOOKUP(Table1[[#This Row],[SKU]],'All Skus'!$A:$AC,15,FALSE)),""))</f>
        <v>12</v>
      </c>
      <c r="L15" s="124">
        <f>(IF((VLOOKUP(Table1[[#This Row],[SKU]],'All Skus'!$A:$AC,2,FALSE))="AKG",(VLOOKUP(Table1[[#This Row],[SKU]],'All Skus'!$A:$AC,16,FALSE)),""))</f>
        <v>885038034605</v>
      </c>
      <c r="M15" s="124">
        <f>(IF((VLOOKUP(Table1[[#This Row],[SKU]],'All Skus'!$A:$AC,2,FALSE))="AKG",(VLOOKUP(Table1[[#This Row],[SKU]],'All Skus'!$A:$AC,17,FALSE)),""))</f>
        <v>9002761034608</v>
      </c>
      <c r="N15" s="64">
        <f>(IF((VLOOKUP(Table1[[#This Row],[SKU]],'All Skus'!$A:$AC,2,FALSE))="AKG",(VLOOKUP(Table1[[#This Row],[SKU]],'All Skus'!$A:$AC,18,FALSE)),""))</f>
        <v>3.5</v>
      </c>
      <c r="O15" s="64">
        <f>(IF((VLOOKUP(Table1[[#This Row],[SKU]],'All Skus'!$A:$AC,2,FALSE))="AKG",(VLOOKUP(Table1[[#This Row],[SKU]],'All Skus'!$A:$AC,19,FALSE)),""))</f>
        <v>11</v>
      </c>
      <c r="P15" s="64">
        <f>(IF((VLOOKUP(Table1[[#This Row],[SKU]],'All Skus'!$A:$AC,2,FALSE))="AKG",(VLOOKUP(Table1[[#This Row],[SKU]],'All Skus'!$A:$AC,20,FALSE)),""))</f>
        <v>8</v>
      </c>
      <c r="Q15" s="64">
        <f>(IF((VLOOKUP(Table1[[#This Row],[SKU]],'All Skus'!$A:$AC,2,FALSE))="AKG",(VLOOKUP(Table1[[#This Row],[SKU]],'All Skus'!$A:$AC,21,FALSE)),""))</f>
        <v>3.4</v>
      </c>
      <c r="R15" s="64" t="str">
        <f>(IF((VLOOKUP(Table1[[#This Row],[SKU]],'All Skus'!$A:$AC,2,FALSE))="AKG",(VLOOKUP(Table1[[#This Row],[SKU]],'All Skus'!$A:$AC,22,FALSE)),""))</f>
        <v>CN</v>
      </c>
      <c r="S15" s="64" t="str">
        <f>(IF((VLOOKUP(Table1[[#This Row],[SKU]],'All Skus'!$A:$AC,2,FALSE))="AKG",(VLOOKUP(Table1[[#This Row],[SKU]],'All Skus'!$A:$AC,23,FALSE)),""))</f>
        <v>Non Compliant</v>
      </c>
      <c r="T15" s="210" t="str">
        <f>HYPERLINK((IF((VLOOKUP(Table1[[#This Row],[SKU]],'All Skus'!$A:$AC,2,FALSE))="AKG",(VLOOKUP(Table1[[#This Row],[SKU]],'All Skus'!$A:$AC,24,FALSE)),"")))</f>
        <v>https://www.akg.com/Microphones/Condenser%20Microphones/C1000_S.html</v>
      </c>
      <c r="U15" s="151">
        <v>13</v>
      </c>
    </row>
    <row r="16" spans="1:21" ht="15" hidden="1" customHeight="1">
      <c r="A16" s="50" t="s">
        <v>173</v>
      </c>
      <c r="B16" s="52" t="str">
        <f>(IF((VLOOKUP(Table1[[#This Row],[SKU]],'All Skus'!$A:$AC,2,FALSE))="AKG",(VLOOKUP(Table1[[#This Row],[SKU]],'All Skus'!$A:$AC,3,FALSE)), ""))</f>
        <v>Wired Mics</v>
      </c>
      <c r="C16" s="60" t="str">
        <f>(IF((VLOOKUP(Table1[[#This Row],[SKU]],'All Skus'!$A:$AC,2,FALSE))="AKG",(VLOOKUP(Table1[[#This Row],[SKU]],'All Skus'!$A:$AC,4,FALSE)),""))</f>
        <v>C3000</v>
      </c>
      <c r="D16" s="60">
        <f>(IF((VLOOKUP(Table1[[#This Row],[SKU]],'All Skus'!$A:$AC,2,FALSE))="AKG",(VLOOKUP(Table1[[#This Row],[SKU]],'All Skus'!$A:$AC,5,FALSE)),""))</f>
        <v>82200200</v>
      </c>
      <c r="E16" s="60">
        <f>(IF((VLOOKUP(Table1[[#This Row],[SKU]],'All Skus'!$A:$AC,2,FALSE))="AKG",(VLOOKUP(Table1[[#This Row],[SKU]],'All Skus'!$A:$AC,6,FALSE)),""))</f>
        <v>0</v>
      </c>
      <c r="F16" s="60">
        <f>(IF((VLOOKUP(Table1[[#This Row],[SKU]],'All Skus'!$A:$AC,2,FALSE))="AKG",(VLOOKUP(Table1[[#This Row],[SKU]],'All Skus'!$A:$AC,7,FALSE)),""))</f>
        <v>0</v>
      </c>
      <c r="G16" s="45" t="str">
        <f>(IF((VLOOKUP(Table1[[#This Row],[SKU]],'All Skus'!$A:$AC,2,FALSE))="AKG",(VLOOKUP(Table1[[#This Row],[SKU]],'All Skus'!$A:$AC,8,FALSE)),""))</f>
        <v>Studio Condenser Microphone</v>
      </c>
      <c r="H16" s="45" t="str">
        <f>(IF((VLOOKUP(Table1[[#This Row],[SKU]],'All Skus'!$A:$AC,2,FALSE))="AKG",(VLOOKUP(Table1[[#This Row],[SKU]],'All Skus'!$A:$AC,9,FALSE)),""))</f>
        <v>Large diaphragm microphone for vocal &amp; instrument applications</v>
      </c>
      <c r="I16" s="141">
        <f>(IF((VLOOKUP(Table1[[#This Row],[SKU]],'All Skus'!$A:$AC,2,FALSE))="AKG",(VLOOKUP(Table1[[#This Row],[SKU]],'All Skus'!$A:$AC,10,FALSE)),""))</f>
        <v>438.91</v>
      </c>
      <c r="J16" s="141">
        <f>(IF((VLOOKUP(Table1[[#This Row],[SKU]],'All Skus'!$A:$AC,2,FALSE))="AKG",(VLOOKUP(Table1[[#This Row],[SKU]],'All Skus'!$A:$AC,11,FALSE)),""))</f>
        <v>350</v>
      </c>
      <c r="K16" s="125">
        <f>(IF((VLOOKUP(Table1[[#This Row],[SKU]],'All Skus'!$A:$AC,2,FALSE))="AKG",(VLOOKUP(Table1[[#This Row],[SKU]],'All Skus'!$A:$AC,15,FALSE)),""))</f>
        <v>12</v>
      </c>
      <c r="L16" s="124">
        <f>(IF((VLOOKUP(Table1[[#This Row],[SKU]],'All Skus'!$A:$AC,2,FALSE))="AKG",(VLOOKUP(Table1[[#This Row],[SKU]],'All Skus'!$A:$AC,16,FALSE)),""))</f>
        <v>885038028758</v>
      </c>
      <c r="M16" s="124">
        <f>(IF((VLOOKUP(Table1[[#This Row],[SKU]],'All Skus'!$A:$AC,2,FALSE))="AKG",(VLOOKUP(Table1[[#This Row],[SKU]],'All Skus'!$A:$AC,17,FALSE)),""))</f>
        <v>9002761028751</v>
      </c>
      <c r="N16" s="64">
        <f>(IF((VLOOKUP(Table1[[#This Row],[SKU]],'All Skus'!$A:$AC,2,FALSE))="AKG",(VLOOKUP(Table1[[#This Row],[SKU]],'All Skus'!$A:$AC,18,FALSE)),""))</f>
        <v>8</v>
      </c>
      <c r="O16" s="64">
        <f>(IF((VLOOKUP(Table1[[#This Row],[SKU]],'All Skus'!$A:$AC,2,FALSE))="AKG",(VLOOKUP(Table1[[#This Row],[SKU]],'All Skus'!$A:$AC,19,FALSE)),""))</f>
        <v>3.5</v>
      </c>
      <c r="P16" s="64">
        <f>(IF((VLOOKUP(Table1[[#This Row],[SKU]],'All Skus'!$A:$AC,2,FALSE))="AKG",(VLOOKUP(Table1[[#This Row],[SKU]],'All Skus'!$A:$AC,20,FALSE)),""))</f>
        <v>11</v>
      </c>
      <c r="Q16" s="64">
        <f>(IF((VLOOKUP(Table1[[#This Row],[SKU]],'All Skus'!$A:$AC,2,FALSE))="AKG",(VLOOKUP(Table1[[#This Row],[SKU]],'All Skus'!$A:$AC,21,FALSE)),""))</f>
        <v>3.35</v>
      </c>
      <c r="R16" s="64" t="str">
        <f>(IF((VLOOKUP(Table1[[#This Row],[SKU]],'All Skus'!$A:$AC,2,FALSE))="AKG",(VLOOKUP(Table1[[#This Row],[SKU]],'All Skus'!$A:$AC,22,FALSE)),""))</f>
        <v>CN</v>
      </c>
      <c r="S16" s="64" t="str">
        <f>(IF((VLOOKUP(Table1[[#This Row],[SKU]],'All Skus'!$A:$AC,2,FALSE))="AKG",(VLOOKUP(Table1[[#This Row],[SKU]],'All Skus'!$A:$AC,23,FALSE)),""))</f>
        <v>Non Compliant</v>
      </c>
      <c r="T16" s="210" t="str">
        <f>HYPERLINK((IF((VLOOKUP(Table1[[#This Row],[SKU]],'All Skus'!$A:$AC,2,FALSE))="AKG",(VLOOKUP(Table1[[#This Row],[SKU]],'All Skus'!$A:$AC,24,FALSE)),"")))</f>
        <v>https://www.akg.com/Microphones/Condenser%20Microphones/C3000.html</v>
      </c>
      <c r="U16" s="151">
        <v>14</v>
      </c>
    </row>
    <row r="17" spans="1:21" ht="15" hidden="1" customHeight="1">
      <c r="A17" s="50" t="s">
        <v>174</v>
      </c>
      <c r="B17" s="52" t="str">
        <f>(IF((VLOOKUP(Table1[[#This Row],[SKU]],'All Skus'!$A:$AC,2,FALSE))="AKG",(VLOOKUP(Table1[[#This Row],[SKU]],'All Skus'!$A:$AC,3,FALSE)), ""))</f>
        <v>Wired Mics</v>
      </c>
      <c r="C17" s="60" t="str">
        <f>(IF((VLOOKUP(Table1[[#This Row],[SKU]],'All Skus'!$A:$AC,2,FALSE))="AKG",(VLOOKUP(Table1[[#This Row],[SKU]],'All Skus'!$A:$AC,4,FALSE)),""))</f>
        <v>C214</v>
      </c>
      <c r="D17" s="60" t="str">
        <f>(IF((VLOOKUP(Table1[[#This Row],[SKU]],'All Skus'!$A:$AC,2,FALSE))="AKG",(VLOOKUP(Table1[[#This Row],[SKU]],'All Skus'!$A:$AC,5,FALSE)),""))</f>
        <v>AT210010</v>
      </c>
      <c r="E17" s="60">
        <f>(IF((VLOOKUP(Table1[[#This Row],[SKU]],'All Skus'!$A:$AC,2,FALSE))="AKG",(VLOOKUP(Table1[[#This Row],[SKU]],'All Skus'!$A:$AC,6,FALSE)),""))</f>
        <v>0</v>
      </c>
      <c r="F17" s="60">
        <f>(IF((VLOOKUP(Table1[[#This Row],[SKU]],'All Skus'!$A:$AC,2,FALSE))="AKG",(VLOOKUP(Table1[[#This Row],[SKU]],'All Skus'!$A:$AC,7,FALSE)),""))</f>
        <v>0</v>
      </c>
      <c r="G17" s="45" t="str">
        <f>(IF((VLOOKUP(Table1[[#This Row],[SKU]],'All Skus'!$A:$AC,2,FALSE))="AKG",(VLOOKUP(Table1[[#This Row],[SKU]],'All Skus'!$A:$AC,8,FALSE)),""))</f>
        <v>Studio Condenser Microphone</v>
      </c>
      <c r="H17" s="45" t="str">
        <f>(IF((VLOOKUP(Table1[[#This Row],[SKU]],'All Skus'!$A:$AC,2,FALSE))="AKG",(VLOOKUP(Table1[[#This Row],[SKU]],'All Skus'!$A:$AC,9,FALSE)),""))</f>
        <v>Large diaphragm studio microphone based on C414 capsule. Cardioid only.</v>
      </c>
      <c r="I17" s="141">
        <f>(IF((VLOOKUP(Table1[[#This Row],[SKU]],'All Skus'!$A:$AC,2,FALSE))="AKG",(VLOOKUP(Table1[[#This Row],[SKU]],'All Skus'!$A:$AC,10,FALSE)),""))</f>
        <v>599.03</v>
      </c>
      <c r="J17" s="141">
        <f>(IF((VLOOKUP(Table1[[#This Row],[SKU]],'All Skus'!$A:$AC,2,FALSE))="AKG",(VLOOKUP(Table1[[#This Row],[SKU]],'All Skus'!$A:$AC,11,FALSE)),""))</f>
        <v>479</v>
      </c>
      <c r="K17" s="125">
        <f>(IF((VLOOKUP(Table1[[#This Row],[SKU]],'All Skus'!$A:$AC,2,FALSE))="AKG",(VLOOKUP(Table1[[#This Row],[SKU]],'All Skus'!$A:$AC,15,FALSE)),""))</f>
        <v>0</v>
      </c>
      <c r="L17" s="124">
        <f>(IF((VLOOKUP(Table1[[#This Row],[SKU]],'All Skus'!$A:$AC,2,FALSE))="AKG",(VLOOKUP(Table1[[#This Row],[SKU]],'All Skus'!$A:$AC,16,FALSE)),""))</f>
        <v>885038021117</v>
      </c>
      <c r="M17" s="124">
        <f>(IF((VLOOKUP(Table1[[#This Row],[SKU]],'All Skus'!$A:$AC,2,FALSE))="AKG",(VLOOKUP(Table1[[#This Row],[SKU]],'All Skus'!$A:$AC,17,FALSE)),""))</f>
        <v>9002761021110</v>
      </c>
      <c r="N17" s="64">
        <f>(IF((VLOOKUP(Table1[[#This Row],[SKU]],'All Skus'!$A:$AC,2,FALSE))="AKG",(VLOOKUP(Table1[[#This Row],[SKU]],'All Skus'!$A:$AC,18,FALSE)),""))</f>
        <v>8.5</v>
      </c>
      <c r="O17" s="64">
        <f>(IF((VLOOKUP(Table1[[#This Row],[SKU]],'All Skus'!$A:$AC,2,FALSE))="AKG",(VLOOKUP(Table1[[#This Row],[SKU]],'All Skus'!$A:$AC,19,FALSE)),""))</f>
        <v>11</v>
      </c>
      <c r="P17" s="64">
        <f>(IF((VLOOKUP(Table1[[#This Row],[SKU]],'All Skus'!$A:$AC,2,FALSE))="AKG",(VLOOKUP(Table1[[#This Row],[SKU]],'All Skus'!$A:$AC,20,FALSE)),""))</f>
        <v>4</v>
      </c>
      <c r="Q17" s="64">
        <f>(IF((VLOOKUP(Table1[[#This Row],[SKU]],'All Skus'!$A:$AC,2,FALSE))="AKG",(VLOOKUP(Table1[[#This Row],[SKU]],'All Skus'!$A:$AC,21,FALSE)),""))</f>
        <v>4</v>
      </c>
      <c r="R17" s="64" t="str">
        <f>(IF((VLOOKUP(Table1[[#This Row],[SKU]],'All Skus'!$A:$AC,2,FALSE))="AKG",(VLOOKUP(Table1[[#This Row],[SKU]],'All Skus'!$A:$AC,22,FALSE)),""))</f>
        <v>AT</v>
      </c>
      <c r="S17" s="64" t="str">
        <f>(IF((VLOOKUP(Table1[[#This Row],[SKU]],'All Skus'!$A:$AC,2,FALSE))="AKG",(VLOOKUP(Table1[[#This Row],[SKU]],'All Skus'!$A:$AC,23,FALSE)),""))</f>
        <v>Compliant</v>
      </c>
      <c r="T17" s="210" t="str">
        <f>HYPERLINK((IF((VLOOKUP(Table1[[#This Row],[SKU]],'All Skus'!$A:$AC,2,FALSE))="AKG",(VLOOKUP(Table1[[#This Row],[SKU]],'All Skus'!$A:$AC,24,FALSE)),"")))</f>
        <v>https://www.akg.com/Microphones/Condenser%20Microphones/C214.html</v>
      </c>
      <c r="U17" s="151">
        <v>15</v>
      </c>
    </row>
    <row r="18" spans="1:21" ht="15" hidden="1" customHeight="1">
      <c r="A18" s="50" t="s">
        <v>175</v>
      </c>
      <c r="B18" s="52" t="str">
        <f>(IF((VLOOKUP(Table1[[#This Row],[SKU]],'All Skus'!$A:$AC,2,FALSE))="AKG",(VLOOKUP(Table1[[#This Row],[SKU]],'All Skus'!$A:$AC,3,FALSE)), ""))</f>
        <v>Wired Mics</v>
      </c>
      <c r="C18" s="60" t="str">
        <f>(IF((VLOOKUP(Table1[[#This Row],[SKU]],'All Skus'!$A:$AC,2,FALSE))="AKG",(VLOOKUP(Table1[[#This Row],[SKU]],'All Skus'!$A:$AC,4,FALSE)),""))</f>
        <v>C314</v>
      </c>
      <c r="D18" s="60" t="str">
        <f>(IF((VLOOKUP(Table1[[#This Row],[SKU]],'All Skus'!$A:$AC,2,FALSE))="AKG",(VLOOKUP(Table1[[#This Row],[SKU]],'All Skus'!$A:$AC,5,FALSE)),""))</f>
        <v>AT210010</v>
      </c>
      <c r="E18" s="60">
        <f>(IF((VLOOKUP(Table1[[#This Row],[SKU]],'All Skus'!$A:$AC,2,FALSE))="AKG",(VLOOKUP(Table1[[#This Row],[SKU]],'All Skus'!$A:$AC,6,FALSE)),""))</f>
        <v>0</v>
      </c>
      <c r="F18" s="60">
        <f>(IF((VLOOKUP(Table1[[#This Row],[SKU]],'All Skus'!$A:$AC,2,FALSE))="AKG",(VLOOKUP(Table1[[#This Row],[SKU]],'All Skus'!$A:$AC,7,FALSE)),""))</f>
        <v>0</v>
      </c>
      <c r="G18" s="45" t="str">
        <f>(IF((VLOOKUP(Table1[[#This Row],[SKU]],'All Skus'!$A:$AC,2,FALSE))="AKG",(VLOOKUP(Table1[[#This Row],[SKU]],'All Skus'!$A:$AC,8,FALSE)),""))</f>
        <v>Studio Condenser Microphone</v>
      </c>
      <c r="H18" s="45" t="str">
        <f>(IF((VLOOKUP(Table1[[#This Row],[SKU]],'All Skus'!$A:$AC,2,FALSE))="AKG",(VLOOKUP(Table1[[#This Row],[SKU]],'All Skus'!$A:$AC,9,FALSE)),""))</f>
        <v>Professional multi-pattern condenser microphone</v>
      </c>
      <c r="I18" s="141">
        <f>(IF((VLOOKUP(Table1[[#This Row],[SKU]],'All Skus'!$A:$AC,2,FALSE))="AKG",(VLOOKUP(Table1[[#This Row],[SKU]],'All Skus'!$A:$AC,10,FALSE)),""))</f>
        <v>1055.21</v>
      </c>
      <c r="J18" s="141">
        <f>(IF((VLOOKUP(Table1[[#This Row],[SKU]],'All Skus'!$A:$AC,2,FALSE))="AKG",(VLOOKUP(Table1[[#This Row],[SKU]],'All Skus'!$A:$AC,11,FALSE)),""))</f>
        <v>840</v>
      </c>
      <c r="K18" s="125">
        <f>(IF((VLOOKUP(Table1[[#This Row],[SKU]],'All Skus'!$A:$AC,2,FALSE))="AKG",(VLOOKUP(Table1[[#This Row],[SKU]],'All Skus'!$A:$AC,15,FALSE)),""))</f>
        <v>0</v>
      </c>
      <c r="L18" s="124">
        <f>(IF((VLOOKUP(Table1[[#This Row],[SKU]],'All Skus'!$A:$AC,2,FALSE))="AKG",(VLOOKUP(Table1[[#This Row],[SKU]],'All Skus'!$A:$AC,16,FALSE)),""))</f>
        <v>885038038252</v>
      </c>
      <c r="M18" s="124">
        <f>(IF((VLOOKUP(Table1[[#This Row],[SKU]],'All Skus'!$A:$AC,2,FALSE))="AKG",(VLOOKUP(Table1[[#This Row],[SKU]],'All Skus'!$A:$AC,17,FALSE)),""))</f>
        <v>9002761038255</v>
      </c>
      <c r="N18" s="64">
        <f>(IF((VLOOKUP(Table1[[#This Row],[SKU]],'All Skus'!$A:$AC,2,FALSE))="AKG",(VLOOKUP(Table1[[#This Row],[SKU]],'All Skus'!$A:$AC,18,FALSE)),""))</f>
        <v>4</v>
      </c>
      <c r="O18" s="64">
        <f>(IF((VLOOKUP(Table1[[#This Row],[SKU]],'All Skus'!$A:$AC,2,FALSE))="AKG",(VLOOKUP(Table1[[#This Row],[SKU]],'All Skus'!$A:$AC,19,FALSE)),""))</f>
        <v>11.25</v>
      </c>
      <c r="P18" s="64">
        <f>(IF((VLOOKUP(Table1[[#This Row],[SKU]],'All Skus'!$A:$AC,2,FALSE))="AKG",(VLOOKUP(Table1[[#This Row],[SKU]],'All Skus'!$A:$AC,20,FALSE)),""))</f>
        <v>8.5</v>
      </c>
      <c r="Q18" s="64">
        <f>(IF((VLOOKUP(Table1[[#This Row],[SKU]],'All Skus'!$A:$AC,2,FALSE))="AKG",(VLOOKUP(Table1[[#This Row],[SKU]],'All Skus'!$A:$AC,21,FALSE)),""))</f>
        <v>3.9</v>
      </c>
      <c r="R18" s="64" t="str">
        <f>(IF((VLOOKUP(Table1[[#This Row],[SKU]],'All Skus'!$A:$AC,2,FALSE))="AKG",(VLOOKUP(Table1[[#This Row],[SKU]],'All Skus'!$A:$AC,22,FALSE)),""))</f>
        <v>AT</v>
      </c>
      <c r="S18" s="64" t="str">
        <f>(IF((VLOOKUP(Table1[[#This Row],[SKU]],'All Skus'!$A:$AC,2,FALSE))="AKG",(VLOOKUP(Table1[[#This Row],[SKU]],'All Skus'!$A:$AC,23,FALSE)),""))</f>
        <v>Compliant</v>
      </c>
      <c r="T18" s="210" t="str">
        <f>HYPERLINK((IF((VLOOKUP(Table1[[#This Row],[SKU]],'All Skus'!$A:$AC,2,FALSE))="AKG",(VLOOKUP(Table1[[#This Row],[SKU]],'All Skus'!$A:$AC,24,FALSE)),"")))</f>
        <v>https://www.akg.com/Microphones/Condenser%20Microphones/C314.html</v>
      </c>
      <c r="U18" s="151">
        <v>16</v>
      </c>
    </row>
    <row r="19" spans="1:21" ht="15" hidden="1" customHeight="1">
      <c r="A19" s="50" t="s">
        <v>176</v>
      </c>
      <c r="B19" s="52" t="str">
        <f>(IF((VLOOKUP(Table1[[#This Row],[SKU]],'All Skus'!$A:$AC,2,FALSE))="AKG",(VLOOKUP(Table1[[#This Row],[SKU]],'All Skus'!$A:$AC,3,FALSE)), ""))</f>
        <v>Wired Mics</v>
      </c>
      <c r="C19" s="60" t="str">
        <f>(IF((VLOOKUP(Table1[[#This Row],[SKU]],'All Skus'!$A:$AC,2,FALSE))="AKG",(VLOOKUP(Table1[[#This Row],[SKU]],'All Skus'!$A:$AC,4,FALSE)),""))</f>
        <v>C414 XLS</v>
      </c>
      <c r="D19" s="60" t="str">
        <f>(IF((VLOOKUP(Table1[[#This Row],[SKU]],'All Skus'!$A:$AC,2,FALSE))="AKG",(VLOOKUP(Table1[[#This Row],[SKU]],'All Skus'!$A:$AC,5,FALSE)),""))</f>
        <v>AT210010</v>
      </c>
      <c r="E19" s="60">
        <f>(IF((VLOOKUP(Table1[[#This Row],[SKU]],'All Skus'!$A:$AC,2,FALSE))="AKG",(VLOOKUP(Table1[[#This Row],[SKU]],'All Skus'!$A:$AC,6,FALSE)),""))</f>
        <v>0</v>
      </c>
      <c r="F19" s="60">
        <f>(IF((VLOOKUP(Table1[[#This Row],[SKU]],'All Skus'!$A:$AC,2,FALSE))="AKG",(VLOOKUP(Table1[[#This Row],[SKU]],'All Skus'!$A:$AC,7,FALSE)),""))</f>
        <v>0</v>
      </c>
      <c r="G19" s="45" t="str">
        <f>(IF((VLOOKUP(Table1[[#This Row],[SKU]],'All Skus'!$A:$AC,2,FALSE))="AKG",(VLOOKUP(Table1[[#This Row],[SKU]],'All Skus'!$A:$AC,8,FALSE)),""))</f>
        <v>Studio Condenser Microphone</v>
      </c>
      <c r="H19" s="45" t="str">
        <f>(IF((VLOOKUP(Table1[[#This Row],[SKU]],'All Skus'!$A:$AC,2,FALSE))="AKG",(VLOOKUP(Table1[[#This Row],[SKU]],'All Skus'!$A:$AC,9,FALSE)),""))</f>
        <v>Large diaphragm studio microphone for universal applications</v>
      </c>
      <c r="I19" s="141">
        <f>(IF((VLOOKUP(Table1[[#This Row],[SKU]],'All Skus'!$A:$AC,2,FALSE))="AKG",(VLOOKUP(Table1[[#This Row],[SKU]],'All Skus'!$A:$AC,10,FALSE)),""))</f>
        <v>1655.44</v>
      </c>
      <c r="J19" s="141">
        <f>(IF((VLOOKUP(Table1[[#This Row],[SKU]],'All Skus'!$A:$AC,2,FALSE))="AKG",(VLOOKUP(Table1[[#This Row],[SKU]],'All Skus'!$A:$AC,11,FALSE)),""))</f>
        <v>1319</v>
      </c>
      <c r="K19" s="125">
        <f>(IF((VLOOKUP(Table1[[#This Row],[SKU]],'All Skus'!$A:$AC,2,FALSE))="AKG",(VLOOKUP(Table1[[#This Row],[SKU]],'All Skus'!$A:$AC,15,FALSE)),""))</f>
        <v>0</v>
      </c>
      <c r="L19" s="124">
        <f>(IF((VLOOKUP(Table1[[#This Row],[SKU]],'All Skus'!$A:$AC,2,FALSE))="AKG",(VLOOKUP(Table1[[#This Row],[SKU]],'All Skus'!$A:$AC,16,FALSE)),""))</f>
        <v>885038025917</v>
      </c>
      <c r="M19" s="124">
        <f>(IF((VLOOKUP(Table1[[#This Row],[SKU]],'All Skus'!$A:$AC,2,FALSE))="AKG",(VLOOKUP(Table1[[#This Row],[SKU]],'All Skus'!$A:$AC,17,FALSE)),""))</f>
        <v>9002761025910</v>
      </c>
      <c r="N19" s="64">
        <f>(IF((VLOOKUP(Table1[[#This Row],[SKU]],'All Skus'!$A:$AC,2,FALSE))="AKG",(VLOOKUP(Table1[[#This Row],[SKU]],'All Skus'!$A:$AC,18,FALSE)),""))</f>
        <v>10</v>
      </c>
      <c r="O19" s="64">
        <f>(IF((VLOOKUP(Table1[[#This Row],[SKU]],'All Skus'!$A:$AC,2,FALSE))="AKG",(VLOOKUP(Table1[[#This Row],[SKU]],'All Skus'!$A:$AC,19,FALSE)),""))</f>
        <v>11</v>
      </c>
      <c r="P19" s="64">
        <f>(IF((VLOOKUP(Table1[[#This Row],[SKU]],'All Skus'!$A:$AC,2,FALSE))="AKG",(VLOOKUP(Table1[[#This Row],[SKU]],'All Skus'!$A:$AC,20,FALSE)),""))</f>
        <v>2.5</v>
      </c>
      <c r="Q19" s="64">
        <f>(IF((VLOOKUP(Table1[[#This Row],[SKU]],'All Skus'!$A:$AC,2,FALSE))="AKG",(VLOOKUP(Table1[[#This Row],[SKU]],'All Skus'!$A:$AC,21,FALSE)),""))</f>
        <v>5.6</v>
      </c>
      <c r="R19" s="64" t="str">
        <f>(IF((VLOOKUP(Table1[[#This Row],[SKU]],'All Skus'!$A:$AC,2,FALSE))="AKG",(VLOOKUP(Table1[[#This Row],[SKU]],'All Skus'!$A:$AC,22,FALSE)),""))</f>
        <v>AT</v>
      </c>
      <c r="S19" s="64" t="str">
        <f>(IF((VLOOKUP(Table1[[#This Row],[SKU]],'All Skus'!$A:$AC,2,FALSE))="AKG",(VLOOKUP(Table1[[#This Row],[SKU]],'All Skus'!$A:$AC,23,FALSE)),""))</f>
        <v>Compliant</v>
      </c>
      <c r="T19" s="210" t="str">
        <f>HYPERLINK((IF((VLOOKUP(Table1[[#This Row],[SKU]],'All Skus'!$A:$AC,2,FALSE))="AKG",(VLOOKUP(Table1[[#This Row],[SKU]],'All Skus'!$A:$AC,24,FALSE)),"")))</f>
        <v>https://www.akg.com/Microphones/Condenser%20Microphones/C414XLS.html</v>
      </c>
      <c r="U19" s="151">
        <v>17</v>
      </c>
    </row>
    <row r="20" spans="1:21" ht="15" hidden="1" customHeight="1">
      <c r="A20" s="50" t="s">
        <v>177</v>
      </c>
      <c r="B20" s="52" t="str">
        <f>(IF((VLOOKUP(Table1[[#This Row],[SKU]],'All Skus'!$A:$AC,2,FALSE))="AKG",(VLOOKUP(Table1[[#This Row],[SKU]],'All Skus'!$A:$AC,3,FALSE)), ""))</f>
        <v>Wired Mics</v>
      </c>
      <c r="C20" s="60" t="str">
        <f>(IF((VLOOKUP(Table1[[#This Row],[SKU]],'All Skus'!$A:$AC,2,FALSE))="AKG",(VLOOKUP(Table1[[#This Row],[SKU]],'All Skus'!$A:$AC,4,FALSE)),""))</f>
        <v>C414 XLII</v>
      </c>
      <c r="D20" s="60" t="str">
        <f>(IF((VLOOKUP(Table1[[#This Row],[SKU]],'All Skus'!$A:$AC,2,FALSE))="AKG",(VLOOKUP(Table1[[#This Row],[SKU]],'All Skus'!$A:$AC,5,FALSE)),""))</f>
        <v>AT210010</v>
      </c>
      <c r="E20" s="60">
        <f>(IF((VLOOKUP(Table1[[#This Row],[SKU]],'All Skus'!$A:$AC,2,FALSE))="AKG",(VLOOKUP(Table1[[#This Row],[SKU]],'All Skus'!$A:$AC,6,FALSE)),""))</f>
        <v>0</v>
      </c>
      <c r="F20" s="60">
        <f>(IF((VLOOKUP(Table1[[#This Row],[SKU]],'All Skus'!$A:$AC,2,FALSE))="AKG",(VLOOKUP(Table1[[#This Row],[SKU]],'All Skus'!$A:$AC,7,FALSE)),""))</f>
        <v>0</v>
      </c>
      <c r="G20" s="45" t="str">
        <f>(IF((VLOOKUP(Table1[[#This Row],[SKU]],'All Skus'!$A:$AC,2,FALSE))="AKG",(VLOOKUP(Table1[[#This Row],[SKU]],'All Skus'!$A:$AC,8,FALSE)),""))</f>
        <v>Studio Condenser Microphone</v>
      </c>
      <c r="H20" s="45" t="str">
        <f>(IF((VLOOKUP(Table1[[#This Row],[SKU]],'All Skus'!$A:$AC,2,FALSE))="AKG",(VLOOKUP(Table1[[#This Row],[SKU]],'All Skus'!$A:$AC,9,FALSE)),""))</f>
        <v>Large diaphragm studio microphone for solo vocals &amp; solo instruments</v>
      </c>
      <c r="I20" s="141">
        <f>(IF((VLOOKUP(Table1[[#This Row],[SKU]],'All Skus'!$A:$AC,2,FALSE))="AKG",(VLOOKUP(Table1[[#This Row],[SKU]],'All Skus'!$A:$AC,10,FALSE)),""))</f>
        <v>1655.44</v>
      </c>
      <c r="J20" s="141">
        <f>(IF((VLOOKUP(Table1[[#This Row],[SKU]],'All Skus'!$A:$AC,2,FALSE))="AKG",(VLOOKUP(Table1[[#This Row],[SKU]],'All Skus'!$A:$AC,11,FALSE)),""))</f>
        <v>1319</v>
      </c>
      <c r="K20" s="125">
        <f>(IF((VLOOKUP(Table1[[#This Row],[SKU]],'All Skus'!$A:$AC,2,FALSE))="AKG",(VLOOKUP(Table1[[#This Row],[SKU]],'All Skus'!$A:$AC,15,FALSE)),""))</f>
        <v>0</v>
      </c>
      <c r="L20" s="124">
        <f>(IF((VLOOKUP(Table1[[#This Row],[SKU]],'All Skus'!$A:$AC,2,FALSE))="AKG",(VLOOKUP(Table1[[#This Row],[SKU]],'All Skus'!$A:$AC,16,FALSE)),""))</f>
        <v>885038025924</v>
      </c>
      <c r="M20" s="124">
        <f>(IF((VLOOKUP(Table1[[#This Row],[SKU]],'All Skus'!$A:$AC,2,FALSE))="AKG",(VLOOKUP(Table1[[#This Row],[SKU]],'All Skus'!$A:$AC,17,FALSE)),""))</f>
        <v>9002761025927</v>
      </c>
      <c r="N20" s="64">
        <f>(IF((VLOOKUP(Table1[[#This Row],[SKU]],'All Skus'!$A:$AC,2,FALSE))="AKG",(VLOOKUP(Table1[[#This Row],[SKU]],'All Skus'!$A:$AC,18,FALSE)),""))</f>
        <v>8.5</v>
      </c>
      <c r="O20" s="64">
        <f>(IF((VLOOKUP(Table1[[#This Row],[SKU]],'All Skus'!$A:$AC,2,FALSE))="AKG",(VLOOKUP(Table1[[#This Row],[SKU]],'All Skus'!$A:$AC,19,FALSE)),""))</f>
        <v>11.5</v>
      </c>
      <c r="P20" s="64">
        <f>(IF((VLOOKUP(Table1[[#This Row],[SKU]],'All Skus'!$A:$AC,2,FALSE))="AKG",(VLOOKUP(Table1[[#This Row],[SKU]],'All Skus'!$A:$AC,20,FALSE)),""))</f>
        <v>3</v>
      </c>
      <c r="Q20" s="64">
        <f>(IF((VLOOKUP(Table1[[#This Row],[SKU]],'All Skus'!$A:$AC,2,FALSE))="AKG",(VLOOKUP(Table1[[#This Row],[SKU]],'All Skus'!$A:$AC,21,FALSE)),""))</f>
        <v>5.6</v>
      </c>
      <c r="R20" s="64" t="str">
        <f>(IF((VLOOKUP(Table1[[#This Row],[SKU]],'All Skus'!$A:$AC,2,FALSE))="AKG",(VLOOKUP(Table1[[#This Row],[SKU]],'All Skus'!$A:$AC,22,FALSE)),""))</f>
        <v>AT</v>
      </c>
      <c r="S20" s="64" t="str">
        <f>(IF((VLOOKUP(Table1[[#This Row],[SKU]],'All Skus'!$A:$AC,2,FALSE))="AKG",(VLOOKUP(Table1[[#This Row],[SKU]],'All Skus'!$A:$AC,23,FALSE)),""))</f>
        <v>Compliant</v>
      </c>
      <c r="T20" s="210" t="str">
        <f>HYPERLINK((IF((VLOOKUP(Table1[[#This Row],[SKU]],'All Skus'!$A:$AC,2,FALSE))="AKG",(VLOOKUP(Table1[[#This Row],[SKU]],'All Skus'!$A:$AC,24,FALSE)),"")))</f>
        <v>https://www.akg.com/Microphones/Condenser%20Microphones/C414+XLII.html</v>
      </c>
      <c r="U20" s="151">
        <v>18</v>
      </c>
    </row>
    <row r="21" spans="1:21" ht="15" hidden="1" customHeight="1">
      <c r="A21" s="50" t="s">
        <v>178</v>
      </c>
      <c r="B21" s="52" t="str">
        <f>(IF((VLOOKUP(Table1[[#This Row],[SKU]],'All Skus'!$A:$AC,2,FALSE))="AKG",(VLOOKUP(Table1[[#This Row],[SKU]],'All Skus'!$A:$AC,3,FALSE)), ""))</f>
        <v>Wired Mics</v>
      </c>
      <c r="C21" s="60" t="str">
        <f>(IF((VLOOKUP(Table1[[#This Row],[SKU]],'All Skus'!$A:$AC,2,FALSE))="AKG",(VLOOKUP(Table1[[#This Row],[SKU]],'All Skus'!$A:$AC,4,FALSE)),""))</f>
        <v>C451 B</v>
      </c>
      <c r="D21" s="60" t="str">
        <f>(IF((VLOOKUP(Table1[[#This Row],[SKU]],'All Skus'!$A:$AC,2,FALSE))="AKG",(VLOOKUP(Table1[[#This Row],[SKU]],'All Skus'!$A:$AC,5,FALSE)),""))</f>
        <v>AT210010</v>
      </c>
      <c r="E21" s="60">
        <f>(IF((VLOOKUP(Table1[[#This Row],[SKU]],'All Skus'!$A:$AC,2,FALSE))="AKG",(VLOOKUP(Table1[[#This Row],[SKU]],'All Skus'!$A:$AC,6,FALSE)),""))</f>
        <v>0</v>
      </c>
      <c r="F21" s="60">
        <f>(IF((VLOOKUP(Table1[[#This Row],[SKU]],'All Skus'!$A:$AC,2,FALSE))="AKG",(VLOOKUP(Table1[[#This Row],[SKU]],'All Skus'!$A:$AC,7,FALSE)),""))</f>
        <v>0</v>
      </c>
      <c r="G21" s="45" t="str">
        <f>(IF((VLOOKUP(Table1[[#This Row],[SKU]],'All Skus'!$A:$AC,2,FALSE))="AKG",(VLOOKUP(Table1[[#This Row],[SKU]],'All Skus'!$A:$AC,8,FALSE)),""))</f>
        <v>Studio Condenser Microphone</v>
      </c>
      <c r="H21" s="45" t="str">
        <f>(IF((VLOOKUP(Table1[[#This Row],[SKU]],'All Skus'!$A:$AC,2,FALSE))="AKG",(VLOOKUP(Table1[[#This Row],[SKU]],'All Skus'!$A:$AC,9,FALSE)),""))</f>
        <v>Microphone for drums, percussion, acoustic guitars &amp; overhead</v>
      </c>
      <c r="I21" s="141">
        <f>(IF((VLOOKUP(Table1[[#This Row],[SKU]],'All Skus'!$A:$AC,2,FALSE))="AKG",(VLOOKUP(Table1[[#This Row],[SKU]],'All Skus'!$A:$AC,10,FALSE)),""))</f>
        <v>827.12</v>
      </c>
      <c r="J21" s="141">
        <f>(IF((VLOOKUP(Table1[[#This Row],[SKU]],'All Skus'!$A:$AC,2,FALSE))="AKG",(VLOOKUP(Table1[[#This Row],[SKU]],'All Skus'!$A:$AC,11,FALSE)),""))</f>
        <v>659</v>
      </c>
      <c r="K21" s="125">
        <f>(IF((VLOOKUP(Table1[[#This Row],[SKU]],'All Skus'!$A:$AC,2,FALSE))="AKG",(VLOOKUP(Table1[[#This Row],[SKU]],'All Skus'!$A:$AC,15,FALSE)),""))</f>
        <v>1.7619047619047619</v>
      </c>
      <c r="L21" s="124">
        <f>(IF((VLOOKUP(Table1[[#This Row],[SKU]],'All Skus'!$A:$AC,2,FALSE))="AKG",(VLOOKUP(Table1[[#This Row],[SKU]],'All Skus'!$A:$AC,16,FALSE)),""))</f>
        <v>885038006077</v>
      </c>
      <c r="M21" s="124">
        <f>(IF((VLOOKUP(Table1[[#This Row],[SKU]],'All Skus'!$A:$AC,2,FALSE))="AKG",(VLOOKUP(Table1[[#This Row],[SKU]],'All Skus'!$A:$AC,17,FALSE)),""))</f>
        <v>9002761006070</v>
      </c>
      <c r="N21" s="64">
        <f>(IF((VLOOKUP(Table1[[#This Row],[SKU]],'All Skus'!$A:$AC,2,FALSE))="AKG",(VLOOKUP(Table1[[#This Row],[SKU]],'All Skus'!$A:$AC,18,FALSE)),""))</f>
        <v>12</v>
      </c>
      <c r="O21" s="64">
        <f>(IF((VLOOKUP(Table1[[#This Row],[SKU]],'All Skus'!$A:$AC,2,FALSE))="AKG",(VLOOKUP(Table1[[#This Row],[SKU]],'All Skus'!$A:$AC,19,FALSE)),""))</f>
        <v>3.5</v>
      </c>
      <c r="P21" s="64">
        <f>(IF((VLOOKUP(Table1[[#This Row],[SKU]],'All Skus'!$A:$AC,2,FALSE))="AKG",(VLOOKUP(Table1[[#This Row],[SKU]],'All Skus'!$A:$AC,20,FALSE)),""))</f>
        <v>6</v>
      </c>
      <c r="Q21" s="64">
        <f>(IF((VLOOKUP(Table1[[#This Row],[SKU]],'All Skus'!$A:$AC,2,FALSE))="AKG",(VLOOKUP(Table1[[#This Row],[SKU]],'All Skus'!$A:$AC,21,FALSE)),""))</f>
        <v>3.6</v>
      </c>
      <c r="R21" s="64" t="str">
        <f>(IF((VLOOKUP(Table1[[#This Row],[SKU]],'All Skus'!$A:$AC,2,FALSE))="AKG",(VLOOKUP(Table1[[#This Row],[SKU]],'All Skus'!$A:$AC,22,FALSE)),""))</f>
        <v>AT</v>
      </c>
      <c r="S21" s="64" t="str">
        <f>(IF((VLOOKUP(Table1[[#This Row],[SKU]],'All Skus'!$A:$AC,2,FALSE))="AKG",(VLOOKUP(Table1[[#This Row],[SKU]],'All Skus'!$A:$AC,23,FALSE)),""))</f>
        <v>Compliant</v>
      </c>
      <c r="T21" s="210" t="str">
        <f>HYPERLINK((IF((VLOOKUP(Table1[[#This Row],[SKU]],'All Skus'!$A:$AC,2,FALSE))="AKG",(VLOOKUP(Table1[[#This Row],[SKU]],'All Skus'!$A:$AC,24,FALSE)),"")))</f>
        <v>https://www.akg.com/Microphones/Condenser%20Microphones/C451B.html</v>
      </c>
      <c r="U21" s="151">
        <v>19</v>
      </c>
    </row>
    <row r="22" spans="1:21" ht="15" hidden="1" customHeight="1">
      <c r="A22" s="50" t="s">
        <v>179</v>
      </c>
      <c r="B22" s="52" t="str">
        <f>(IF((VLOOKUP(Table1[[#This Row],[SKU]],'All Skus'!$A:$AC,2,FALSE))="AKG",(VLOOKUP(Table1[[#This Row],[SKU]],'All Skus'!$A:$AC,3,FALSE)), ""))</f>
        <v>Wired Mics</v>
      </c>
      <c r="C22" s="60" t="str">
        <f>(IF((VLOOKUP(Table1[[#This Row],[SKU]],'All Skus'!$A:$AC,2,FALSE))="AKG",(VLOOKUP(Table1[[#This Row],[SKU]],'All Skus'!$A:$AC,4,FALSE)),""))</f>
        <v>C12 VR</v>
      </c>
      <c r="D22" s="60" t="str">
        <f>(IF((VLOOKUP(Table1[[#This Row],[SKU]],'All Skus'!$A:$AC,2,FALSE))="AKG",(VLOOKUP(Table1[[#This Row],[SKU]],'All Skus'!$A:$AC,5,FALSE)),""))</f>
        <v>AT210010</v>
      </c>
      <c r="E22" s="60">
        <f>(IF((VLOOKUP(Table1[[#This Row],[SKU]],'All Skus'!$A:$AC,2,FALSE))="AKG",(VLOOKUP(Table1[[#This Row],[SKU]],'All Skus'!$A:$AC,6,FALSE)),""))</f>
        <v>0</v>
      </c>
      <c r="F22" s="60">
        <f>(IF((VLOOKUP(Table1[[#This Row],[SKU]],'All Skus'!$A:$AC,2,FALSE))="AKG",(VLOOKUP(Table1[[#This Row],[SKU]],'All Skus'!$A:$AC,7,FALSE)),""))</f>
        <v>0</v>
      </c>
      <c r="G22" s="45" t="str">
        <f>(IF((VLOOKUP(Table1[[#This Row],[SKU]],'All Skus'!$A:$AC,2,FALSE))="AKG",(VLOOKUP(Table1[[#This Row],[SKU]],'All Skus'!$A:$AC,8,FALSE)),""))</f>
        <v>Studio Condenser Microphone</v>
      </c>
      <c r="H22" s="45" t="str">
        <f>(IF((VLOOKUP(Table1[[#This Row],[SKU]],'All Skus'!$A:$AC,2,FALSE))="AKG",(VLOOKUP(Table1[[#This Row],[SKU]],'All Skus'!$A:$AC,9,FALSE)),""))</f>
        <v xml:space="preserve">Tube "Vintage Revival" microphone     </v>
      </c>
      <c r="I22" s="141">
        <f>(IF((VLOOKUP(Table1[[#This Row],[SKU]],'All Skus'!$A:$AC,2,FALSE))="AKG",(VLOOKUP(Table1[[#This Row],[SKU]],'All Skus'!$A:$AC,10,FALSE)),""))</f>
        <v>9002.2900000000009</v>
      </c>
      <c r="J22" s="141">
        <f>(IF((VLOOKUP(Table1[[#This Row],[SKU]],'All Skus'!$A:$AC,2,FALSE))="AKG",(VLOOKUP(Table1[[#This Row],[SKU]],'All Skus'!$A:$AC,11,FALSE)),""))</f>
        <v>7199</v>
      </c>
      <c r="K22" s="125">
        <f>(IF((VLOOKUP(Table1[[#This Row],[SKU]],'All Skus'!$A:$AC,2,FALSE))="AKG",(VLOOKUP(Table1[[#This Row],[SKU]],'All Skus'!$A:$AC,15,FALSE)),""))</f>
        <v>0</v>
      </c>
      <c r="L22" s="124">
        <f>(IF((VLOOKUP(Table1[[#This Row],[SKU]],'All Skus'!$A:$AC,2,FALSE))="AKG",(VLOOKUP(Table1[[#This Row],[SKU]],'All Skus'!$A:$AC,16,FALSE)),""))</f>
        <v>885038002482</v>
      </c>
      <c r="M22" s="124">
        <f>(IF((VLOOKUP(Table1[[#This Row],[SKU]],'All Skus'!$A:$AC,2,FALSE))="AKG",(VLOOKUP(Table1[[#This Row],[SKU]],'All Skus'!$A:$AC,17,FALSE)),""))</f>
        <v>9002761002485</v>
      </c>
      <c r="N22" s="64">
        <f>(IF((VLOOKUP(Table1[[#This Row],[SKU]],'All Skus'!$A:$AC,2,FALSE))="AKG",(VLOOKUP(Table1[[#This Row],[SKU]],'All Skus'!$A:$AC,18,FALSE)),""))</f>
        <v>16.5</v>
      </c>
      <c r="O22" s="64">
        <f>(IF((VLOOKUP(Table1[[#This Row],[SKU]],'All Skus'!$A:$AC,2,FALSE))="AKG",(VLOOKUP(Table1[[#This Row],[SKU]],'All Skus'!$A:$AC,19,FALSE)),""))</f>
        <v>19</v>
      </c>
      <c r="P22" s="64">
        <f>(IF((VLOOKUP(Table1[[#This Row],[SKU]],'All Skus'!$A:$AC,2,FALSE))="AKG",(VLOOKUP(Table1[[#This Row],[SKU]],'All Skus'!$A:$AC,20,FALSE)),""))</f>
        <v>16.5</v>
      </c>
      <c r="Q22" s="64">
        <f>(IF((VLOOKUP(Table1[[#This Row],[SKU]],'All Skus'!$A:$AC,2,FALSE))="AKG",(VLOOKUP(Table1[[#This Row],[SKU]],'All Skus'!$A:$AC,21,FALSE)),""))</f>
        <v>10.8</v>
      </c>
      <c r="R22" s="64" t="str">
        <f>(IF((VLOOKUP(Table1[[#This Row],[SKU]],'All Skus'!$A:$AC,2,FALSE))="AKG",(VLOOKUP(Table1[[#This Row],[SKU]],'All Skus'!$A:$AC,22,FALSE)),""))</f>
        <v>AT</v>
      </c>
      <c r="S22" s="64" t="str">
        <f>(IF((VLOOKUP(Table1[[#This Row],[SKU]],'All Skus'!$A:$AC,2,FALSE))="AKG",(VLOOKUP(Table1[[#This Row],[SKU]],'All Skus'!$A:$AC,23,FALSE)),""))</f>
        <v>Compliant</v>
      </c>
      <c r="T22" s="210" t="str">
        <f>HYPERLINK((IF((VLOOKUP(Table1[[#This Row],[SKU]],'All Skus'!$A:$AC,2,FALSE))="AKG",(VLOOKUP(Table1[[#This Row],[SKU]],'All Skus'!$A:$AC,24,FALSE)),"")))</f>
        <v>https://www.akg.com/Microphones/Tube%20Microphones/C12VR.html</v>
      </c>
      <c r="U22" s="151">
        <v>20</v>
      </c>
    </row>
    <row r="23" spans="1:21" ht="15" hidden="1" customHeight="1">
      <c r="A23" s="50" t="s">
        <v>180</v>
      </c>
      <c r="B23" s="52" t="str">
        <f>(IF((VLOOKUP(Table1[[#This Row],[SKU]],'All Skus'!$A:$AC,2,FALSE))="AKG",(VLOOKUP(Table1[[#This Row],[SKU]],'All Skus'!$A:$AC,3,FALSE)), ""))</f>
        <v>Wired Mics</v>
      </c>
      <c r="C23" s="60" t="str">
        <f>(IF((VLOOKUP(Table1[[#This Row],[SKU]],'All Skus'!$A:$AC,2,FALSE))="AKG",(VLOOKUP(Table1[[#This Row],[SKU]],'All Skus'!$A:$AC,4,FALSE)),""))</f>
        <v>C214 MATCHED PAIR</v>
      </c>
      <c r="D23" s="60" t="str">
        <f>(IF((VLOOKUP(Table1[[#This Row],[SKU]],'All Skus'!$A:$AC,2,FALSE))="AKG",(VLOOKUP(Table1[[#This Row],[SKU]],'All Skus'!$A:$AC,5,FALSE)),""))</f>
        <v>AT210010</v>
      </c>
      <c r="E23" s="60">
        <f>(IF((VLOOKUP(Table1[[#This Row],[SKU]],'All Skus'!$A:$AC,2,FALSE))="AKG",(VLOOKUP(Table1[[#This Row],[SKU]],'All Skus'!$A:$AC,6,FALSE)),""))</f>
        <v>0</v>
      </c>
      <c r="F23" s="60">
        <f>(IF((VLOOKUP(Table1[[#This Row],[SKU]],'All Skus'!$A:$AC,2,FALSE))="AKG",(VLOOKUP(Table1[[#This Row],[SKU]],'All Skus'!$A:$AC,7,FALSE)),""))</f>
        <v>0</v>
      </c>
      <c r="G23" s="45" t="str">
        <f>(IF((VLOOKUP(Table1[[#This Row],[SKU]],'All Skus'!$A:$AC,2,FALSE))="AKG",(VLOOKUP(Table1[[#This Row],[SKU]],'All Skus'!$A:$AC,8,FALSE)),""))</f>
        <v>Studio Condenser Microphone</v>
      </c>
      <c r="H23" s="45" t="str">
        <f>(IF((VLOOKUP(Table1[[#This Row],[SKU]],'All Skus'!$A:$AC,2,FALSE))="AKG",(VLOOKUP(Table1[[#This Row],[SKU]],'All Skus'!$A:$AC,9,FALSE)),""))</f>
        <v xml:space="preserve">Computer-matched stereo pair </v>
      </c>
      <c r="I23" s="141">
        <f>(IF((VLOOKUP(Table1[[#This Row],[SKU]],'All Skus'!$A:$AC,2,FALSE))="AKG",(VLOOKUP(Table1[[#This Row],[SKU]],'All Skus'!$A:$AC,10,FALSE)),""))</f>
        <v>1355.32</v>
      </c>
      <c r="J23" s="141">
        <f>(IF((VLOOKUP(Table1[[#This Row],[SKU]],'All Skus'!$A:$AC,2,FALSE))="AKG",(VLOOKUP(Table1[[#This Row],[SKU]],'All Skus'!$A:$AC,11,FALSE)),""))</f>
        <v>1085</v>
      </c>
      <c r="K23" s="125">
        <f>(IF((VLOOKUP(Table1[[#This Row],[SKU]],'All Skus'!$A:$AC,2,FALSE))="AKG",(VLOOKUP(Table1[[#This Row],[SKU]],'All Skus'!$A:$AC,15,FALSE)),""))</f>
        <v>0</v>
      </c>
      <c r="L23" s="124">
        <f>(IF((VLOOKUP(Table1[[#This Row],[SKU]],'All Skus'!$A:$AC,2,FALSE))="AKG",(VLOOKUP(Table1[[#This Row],[SKU]],'All Skus'!$A:$AC,16,FALSE)),""))</f>
        <v>885038025849</v>
      </c>
      <c r="M23" s="124">
        <f>(IF((VLOOKUP(Table1[[#This Row],[SKU]],'All Skus'!$A:$AC,2,FALSE))="AKG",(VLOOKUP(Table1[[#This Row],[SKU]],'All Skus'!$A:$AC,17,FALSE)),""))</f>
        <v>9002761025842</v>
      </c>
      <c r="N23" s="64">
        <f>(IF((VLOOKUP(Table1[[#This Row],[SKU]],'All Skus'!$A:$AC,2,FALSE))="AKG",(VLOOKUP(Table1[[#This Row],[SKU]],'All Skus'!$A:$AC,18,FALSE)),""))</f>
        <v>15</v>
      </c>
      <c r="O23" s="64">
        <f>(IF((VLOOKUP(Table1[[#This Row],[SKU]],'All Skus'!$A:$AC,2,FALSE))="AKG",(VLOOKUP(Table1[[#This Row],[SKU]],'All Skus'!$A:$AC,19,FALSE)),""))</f>
        <v>12</v>
      </c>
      <c r="P23" s="64">
        <f>(IF((VLOOKUP(Table1[[#This Row],[SKU]],'All Skus'!$A:$AC,2,FALSE))="AKG",(VLOOKUP(Table1[[#This Row],[SKU]],'All Skus'!$A:$AC,20,FALSE)),""))</f>
        <v>4</v>
      </c>
      <c r="Q23" s="64">
        <f>(IF((VLOOKUP(Table1[[#This Row],[SKU]],'All Skus'!$A:$AC,2,FALSE))="AKG",(VLOOKUP(Table1[[#This Row],[SKU]],'All Skus'!$A:$AC,21,FALSE)),""))</f>
        <v>4</v>
      </c>
      <c r="R23" s="64" t="str">
        <f>(IF((VLOOKUP(Table1[[#This Row],[SKU]],'All Skus'!$A:$AC,2,FALSE))="AKG",(VLOOKUP(Table1[[#This Row],[SKU]],'All Skus'!$A:$AC,22,FALSE)),""))</f>
        <v>AT</v>
      </c>
      <c r="S23" s="64" t="str">
        <f>(IF((VLOOKUP(Table1[[#This Row],[SKU]],'All Skus'!$A:$AC,2,FALSE))="AKG",(VLOOKUP(Table1[[#This Row],[SKU]],'All Skus'!$A:$AC,23,FALSE)),""))</f>
        <v>Compliant</v>
      </c>
      <c r="T23" s="210" t="str">
        <f>HYPERLINK((IF((VLOOKUP(Table1[[#This Row],[SKU]],'All Skus'!$A:$AC,2,FALSE))="AKG",(VLOOKUP(Table1[[#This Row],[SKU]],'All Skus'!$A:$AC,24,FALSE)),"")))</f>
        <v>https://www.akg.com/Microphones/Drum%20Microphone%20Bundles/C214MatPair.html</v>
      </c>
      <c r="U23" s="151">
        <v>21</v>
      </c>
    </row>
    <row r="24" spans="1:21" ht="15" hidden="1" customHeight="1">
      <c r="A24" s="50" t="s">
        <v>181</v>
      </c>
      <c r="B24" s="52" t="str">
        <f>(IF((VLOOKUP(Table1[[#This Row],[SKU]],'All Skus'!$A:$AC,2,FALSE))="AKG",(VLOOKUP(Table1[[#This Row],[SKU]],'All Skus'!$A:$AC,3,FALSE)), ""))</f>
        <v>Microphone</v>
      </c>
      <c r="C24" s="60" t="str">
        <f>(IF((VLOOKUP(Table1[[#This Row],[SKU]],'All Skus'!$A:$AC,2,FALSE))="AKG",(VLOOKUP(Table1[[#This Row],[SKU]],'All Skus'!$A:$AC,4,FALSE)),""))</f>
        <v>C314 MATCHED PAIR</v>
      </c>
      <c r="D24" s="60" t="str">
        <f>(IF((VLOOKUP(Table1[[#This Row],[SKU]],'All Skus'!$A:$AC,2,FALSE))="AKG",(VLOOKUP(Table1[[#This Row],[SKU]],'All Skus'!$A:$AC,5,FALSE)),""))</f>
        <v>AT210010</v>
      </c>
      <c r="E24" s="60">
        <f>(IF((VLOOKUP(Table1[[#This Row],[SKU]],'All Skus'!$A:$AC,2,FALSE))="AKG",(VLOOKUP(Table1[[#This Row],[SKU]],'All Skus'!$A:$AC,6,FALSE)),""))</f>
        <v>0</v>
      </c>
      <c r="F24" s="60">
        <f>(IF((VLOOKUP(Table1[[#This Row],[SKU]],'All Skus'!$A:$AC,2,FALSE))="AKG",(VLOOKUP(Table1[[#This Row],[SKU]],'All Skus'!$A:$AC,7,FALSE)),""))</f>
        <v>0</v>
      </c>
      <c r="G24" s="45" t="str">
        <f>(IF((VLOOKUP(Table1[[#This Row],[SKU]],'All Skus'!$A:$AC,2,FALSE))="AKG",(VLOOKUP(Table1[[#This Row],[SKU]],'All Skus'!$A:$AC,8,FALSE)),""))</f>
        <v>Studio Condenser Microphone</v>
      </c>
      <c r="H24" s="45" t="str">
        <f>(IF((VLOOKUP(Table1[[#This Row],[SKU]],'All Skus'!$A:$AC,2,FALSE))="AKG",(VLOOKUP(Table1[[#This Row],[SKU]],'All Skus'!$A:$AC,9,FALSE)),""))</f>
        <v>Computer-matched stereo pair</v>
      </c>
      <c r="I24" s="141">
        <f>(IF((VLOOKUP(Table1[[#This Row],[SKU]],'All Skus'!$A:$AC,2,FALSE))="AKG",(VLOOKUP(Table1[[#This Row],[SKU]],'All Skus'!$A:$AC,10,FALSE)),""))</f>
        <v>2419.08</v>
      </c>
      <c r="J24" s="141">
        <f>(IF((VLOOKUP(Table1[[#This Row],[SKU]],'All Skus'!$A:$AC,2,FALSE))="AKG",(VLOOKUP(Table1[[#This Row],[SKU]],'All Skus'!$A:$AC,11,FALSE)),""))</f>
        <v>1870</v>
      </c>
      <c r="K24" s="125">
        <f>(IF((VLOOKUP(Table1[[#This Row],[SKU]],'All Skus'!$A:$AC,2,FALSE))="AKG",(VLOOKUP(Table1[[#This Row],[SKU]],'All Skus'!$A:$AC,15,FALSE)),""))</f>
        <v>0</v>
      </c>
      <c r="L24" s="124">
        <f>(IF((VLOOKUP(Table1[[#This Row],[SKU]],'All Skus'!$A:$AC,2,FALSE))="AKG",(VLOOKUP(Table1[[#This Row],[SKU]],'All Skus'!$A:$AC,16,FALSE)),""))</f>
        <v>885038038269</v>
      </c>
      <c r="M24" s="124">
        <f>(IF((VLOOKUP(Table1[[#This Row],[SKU]],'All Skus'!$A:$AC,2,FALSE))="AKG",(VLOOKUP(Table1[[#This Row],[SKU]],'All Skus'!$A:$AC,17,FALSE)),""))</f>
        <v>0</v>
      </c>
      <c r="N24" s="64">
        <f>(IF((VLOOKUP(Table1[[#This Row],[SKU]],'All Skus'!$A:$AC,2,FALSE))="AKG",(VLOOKUP(Table1[[#This Row],[SKU]],'All Skus'!$A:$AC,18,FALSE)),""))</f>
        <v>0</v>
      </c>
      <c r="O24" s="64">
        <f>(IF((VLOOKUP(Table1[[#This Row],[SKU]],'All Skus'!$A:$AC,2,FALSE))="AKG",(VLOOKUP(Table1[[#This Row],[SKU]],'All Skus'!$A:$AC,19,FALSE)),""))</f>
        <v>0</v>
      </c>
      <c r="P24" s="64">
        <f>(IF((VLOOKUP(Table1[[#This Row],[SKU]],'All Skus'!$A:$AC,2,FALSE))="AKG",(VLOOKUP(Table1[[#This Row],[SKU]],'All Skus'!$A:$AC,20,FALSE)),""))</f>
        <v>0</v>
      </c>
      <c r="Q24" s="64">
        <f>(IF((VLOOKUP(Table1[[#This Row],[SKU]],'All Skus'!$A:$AC,2,FALSE))="AKG",(VLOOKUP(Table1[[#This Row],[SKU]],'All Skus'!$A:$AC,21,FALSE)),""))</f>
        <v>0</v>
      </c>
      <c r="R24" s="64" t="str">
        <f>(IF((VLOOKUP(Table1[[#This Row],[SKU]],'All Skus'!$A:$AC,2,FALSE))="AKG",(VLOOKUP(Table1[[#This Row],[SKU]],'All Skus'!$A:$AC,22,FALSE)),""))</f>
        <v>CN</v>
      </c>
      <c r="S24" s="64" t="str">
        <f>(IF((VLOOKUP(Table1[[#This Row],[SKU]],'All Skus'!$A:$AC,2,FALSE))="AKG",(VLOOKUP(Table1[[#This Row],[SKU]],'All Skus'!$A:$AC,23,FALSE)),""))</f>
        <v>Non Compliant</v>
      </c>
      <c r="T24" s="210" t="str">
        <f>HYPERLINK((IF((VLOOKUP(Table1[[#This Row],[SKU]],'All Skus'!$A:$AC,2,FALSE))="AKG",(VLOOKUP(Table1[[#This Row],[SKU]],'All Skus'!$A:$AC,24,FALSE)),"")))</f>
        <v>https://www.akg.com/Microphones/Drum%20Microphone%20Bundles/C314MatPair.html</v>
      </c>
      <c r="U24" s="151">
        <v>22</v>
      </c>
    </row>
    <row r="25" spans="1:21" ht="15" hidden="1" customHeight="1">
      <c r="A25" s="50" t="s">
        <v>182</v>
      </c>
      <c r="B25" s="52" t="str">
        <f>(IF((VLOOKUP(Table1[[#This Row],[SKU]],'All Skus'!$A:$AC,2,FALSE))="AKG",(VLOOKUP(Table1[[#This Row],[SKU]],'All Skus'!$A:$AC,3,FALSE)), ""))</f>
        <v>Wired Mics</v>
      </c>
      <c r="C25" s="60" t="str">
        <f>(IF((VLOOKUP(Table1[[#This Row],[SKU]],'All Skus'!$A:$AC,2,FALSE))="AKG",(VLOOKUP(Table1[[#This Row],[SKU]],'All Skus'!$A:$AC,4,FALSE)),""))</f>
        <v>C414 XLS MATCHED PAIR</v>
      </c>
      <c r="D25" s="60" t="str">
        <f>(IF((VLOOKUP(Table1[[#This Row],[SKU]],'All Skus'!$A:$AC,2,FALSE))="AKG",(VLOOKUP(Table1[[#This Row],[SKU]],'All Skus'!$A:$AC,5,FALSE)),""))</f>
        <v>AT210010</v>
      </c>
      <c r="E25" s="60">
        <f>(IF((VLOOKUP(Table1[[#This Row],[SKU]],'All Skus'!$A:$AC,2,FALSE))="AKG",(VLOOKUP(Table1[[#This Row],[SKU]],'All Skus'!$A:$AC,6,FALSE)),""))</f>
        <v>0</v>
      </c>
      <c r="F25" s="60">
        <f>(IF((VLOOKUP(Table1[[#This Row],[SKU]],'All Skus'!$A:$AC,2,FALSE))="AKG",(VLOOKUP(Table1[[#This Row],[SKU]],'All Skus'!$A:$AC,7,FALSE)),""))</f>
        <v>0</v>
      </c>
      <c r="G25" s="45" t="str">
        <f>(IF((VLOOKUP(Table1[[#This Row],[SKU]],'All Skus'!$A:$AC,2,FALSE))="AKG",(VLOOKUP(Table1[[#This Row],[SKU]],'All Skus'!$A:$AC,8,FALSE)),""))</f>
        <v>Studio Condenser Microphone</v>
      </c>
      <c r="H25" s="45" t="str">
        <f>(IF((VLOOKUP(Table1[[#This Row],[SKU]],'All Skus'!$A:$AC,2,FALSE))="AKG",(VLOOKUP(Table1[[#This Row],[SKU]],'All Skus'!$A:$AC,9,FALSE)),""))</f>
        <v>Computer-matched stereo pair</v>
      </c>
      <c r="I25" s="141">
        <f>(IF((VLOOKUP(Table1[[#This Row],[SKU]],'All Skus'!$A:$AC,2,FALSE))="AKG",(VLOOKUP(Table1[[#This Row],[SKU]],'All Skus'!$A:$AC,10,FALSE)),""))</f>
        <v>3600.19</v>
      </c>
      <c r="J25" s="141">
        <f>(IF((VLOOKUP(Table1[[#This Row],[SKU]],'All Skus'!$A:$AC,2,FALSE))="AKG",(VLOOKUP(Table1[[#This Row],[SKU]],'All Skus'!$A:$AC,11,FALSE)),""))</f>
        <v>2825</v>
      </c>
      <c r="K25" s="125">
        <f>(IF((VLOOKUP(Table1[[#This Row],[SKU]],'All Skus'!$A:$AC,2,FALSE))="AKG",(VLOOKUP(Table1[[#This Row],[SKU]],'All Skus'!$A:$AC,15,FALSE)),""))</f>
        <v>0</v>
      </c>
      <c r="L25" s="124">
        <f>(IF((VLOOKUP(Table1[[#This Row],[SKU]],'All Skus'!$A:$AC,2,FALSE))="AKG",(VLOOKUP(Table1[[#This Row],[SKU]],'All Skus'!$A:$AC,16,FALSE)),""))</f>
        <v>885038025931</v>
      </c>
      <c r="M25" s="124">
        <f>(IF((VLOOKUP(Table1[[#This Row],[SKU]],'All Skus'!$A:$AC,2,FALSE))="AKG",(VLOOKUP(Table1[[#This Row],[SKU]],'All Skus'!$A:$AC,17,FALSE)),""))</f>
        <v>9002761025934</v>
      </c>
      <c r="N25" s="64">
        <f>(IF((VLOOKUP(Table1[[#This Row],[SKU]],'All Skus'!$A:$AC,2,FALSE))="AKG",(VLOOKUP(Table1[[#This Row],[SKU]],'All Skus'!$A:$AC,18,FALSE)),""))</f>
        <v>13</v>
      </c>
      <c r="O25" s="64">
        <f>(IF((VLOOKUP(Table1[[#This Row],[SKU]],'All Skus'!$A:$AC,2,FALSE))="AKG",(VLOOKUP(Table1[[#This Row],[SKU]],'All Skus'!$A:$AC,19,FALSE)),""))</f>
        <v>16</v>
      </c>
      <c r="P25" s="64">
        <f>(IF((VLOOKUP(Table1[[#This Row],[SKU]],'All Skus'!$A:$AC,2,FALSE))="AKG",(VLOOKUP(Table1[[#This Row],[SKU]],'All Skus'!$A:$AC,20,FALSE)),""))</f>
        <v>16</v>
      </c>
      <c r="Q25" s="64">
        <f>(IF((VLOOKUP(Table1[[#This Row],[SKU]],'All Skus'!$A:$AC,2,FALSE))="AKG",(VLOOKUP(Table1[[#This Row],[SKU]],'All Skus'!$A:$AC,21,FALSE)),""))</f>
        <v>4</v>
      </c>
      <c r="R25" s="64" t="str">
        <f>(IF((VLOOKUP(Table1[[#This Row],[SKU]],'All Skus'!$A:$AC,2,FALSE))="AKG",(VLOOKUP(Table1[[#This Row],[SKU]],'All Skus'!$A:$AC,22,FALSE)),""))</f>
        <v>AT</v>
      </c>
      <c r="S25" s="64" t="str">
        <f>(IF((VLOOKUP(Table1[[#This Row],[SKU]],'All Skus'!$A:$AC,2,FALSE))="AKG",(VLOOKUP(Table1[[#This Row],[SKU]],'All Skus'!$A:$AC,23,FALSE)),""))</f>
        <v>Compliant</v>
      </c>
      <c r="T25" s="210" t="str">
        <f>HYPERLINK((IF((VLOOKUP(Table1[[#This Row],[SKU]],'All Skus'!$A:$AC,2,FALSE))="AKG",(VLOOKUP(Table1[[#This Row],[SKU]],'All Skus'!$A:$AC,24,FALSE)),"")))</f>
        <v>https://www.akg.com/Microphones/Drum%20Microphone%20Bundles/C414XLSMatPair.html</v>
      </c>
      <c r="U25" s="151">
        <v>23</v>
      </c>
    </row>
    <row r="26" spans="1:21" ht="15" hidden="1" customHeight="1">
      <c r="A26" s="50" t="s">
        <v>183</v>
      </c>
      <c r="B26" s="52" t="str">
        <f>(IF((VLOOKUP(Table1[[#This Row],[SKU]],'All Skus'!$A:$AC,2,FALSE))="AKG",(VLOOKUP(Table1[[#This Row],[SKU]],'All Skus'!$A:$AC,3,FALSE)), ""))</f>
        <v>Wired Mics</v>
      </c>
      <c r="C26" s="60" t="str">
        <f>(IF((VLOOKUP(Table1[[#This Row],[SKU]],'All Skus'!$A:$AC,2,FALSE))="AKG",(VLOOKUP(Table1[[#This Row],[SKU]],'All Skus'!$A:$AC,4,FALSE)),""))</f>
        <v>C414 XLII MATCHED PAIR</v>
      </c>
      <c r="D26" s="60" t="str">
        <f>(IF((VLOOKUP(Table1[[#This Row],[SKU]],'All Skus'!$A:$AC,2,FALSE))="AKG",(VLOOKUP(Table1[[#This Row],[SKU]],'All Skus'!$A:$AC,5,FALSE)),""))</f>
        <v>AT210010</v>
      </c>
      <c r="E26" s="60">
        <f>(IF((VLOOKUP(Table1[[#This Row],[SKU]],'All Skus'!$A:$AC,2,FALSE))="AKG",(VLOOKUP(Table1[[#This Row],[SKU]],'All Skus'!$A:$AC,6,FALSE)),""))</f>
        <v>0</v>
      </c>
      <c r="F26" s="60">
        <f>(IF((VLOOKUP(Table1[[#This Row],[SKU]],'All Skus'!$A:$AC,2,FALSE))="AKG",(VLOOKUP(Table1[[#This Row],[SKU]],'All Skus'!$A:$AC,7,FALSE)),""))</f>
        <v>0</v>
      </c>
      <c r="G26" s="45" t="str">
        <f>(IF((VLOOKUP(Table1[[#This Row],[SKU]],'All Skus'!$A:$AC,2,FALSE))="AKG",(VLOOKUP(Table1[[#This Row],[SKU]],'All Skus'!$A:$AC,8,FALSE)),""))</f>
        <v>Studio Condenser Microphone</v>
      </c>
      <c r="H26" s="45" t="str">
        <f>(IF((VLOOKUP(Table1[[#This Row],[SKU]],'All Skus'!$A:$AC,2,FALSE))="AKG",(VLOOKUP(Table1[[#This Row],[SKU]],'All Skus'!$A:$AC,9,FALSE)),""))</f>
        <v>Computer-matched stereo pair</v>
      </c>
      <c r="I26" s="141">
        <f>(IF((VLOOKUP(Table1[[#This Row],[SKU]],'All Skus'!$A:$AC,2,FALSE))="AKG",(VLOOKUP(Table1[[#This Row],[SKU]],'All Skus'!$A:$AC,10,FALSE)),""))</f>
        <v>3600.19</v>
      </c>
      <c r="J26" s="141">
        <f>(IF((VLOOKUP(Table1[[#This Row],[SKU]],'All Skus'!$A:$AC,2,FALSE))="AKG",(VLOOKUP(Table1[[#This Row],[SKU]],'All Skus'!$A:$AC,11,FALSE)),""))</f>
        <v>2825</v>
      </c>
      <c r="K26" s="125">
        <f>(IF((VLOOKUP(Table1[[#This Row],[SKU]],'All Skus'!$A:$AC,2,FALSE))="AKG",(VLOOKUP(Table1[[#This Row],[SKU]],'All Skus'!$A:$AC,15,FALSE)),""))</f>
        <v>0</v>
      </c>
      <c r="L26" s="124">
        <f>(IF((VLOOKUP(Table1[[#This Row],[SKU]],'All Skus'!$A:$AC,2,FALSE))="AKG",(VLOOKUP(Table1[[#This Row],[SKU]],'All Skus'!$A:$AC,16,FALSE)),""))</f>
        <v>885038025948</v>
      </c>
      <c r="M26" s="124">
        <f>(IF((VLOOKUP(Table1[[#This Row],[SKU]],'All Skus'!$A:$AC,2,FALSE))="AKG",(VLOOKUP(Table1[[#This Row],[SKU]],'All Skus'!$A:$AC,17,FALSE)),""))</f>
        <v>9002761025941</v>
      </c>
      <c r="N26" s="64">
        <f>(IF((VLOOKUP(Table1[[#This Row],[SKU]],'All Skus'!$A:$AC,2,FALSE))="AKG",(VLOOKUP(Table1[[#This Row],[SKU]],'All Skus'!$A:$AC,18,FALSE)),""))</f>
        <v>2.5</v>
      </c>
      <c r="O26" s="64">
        <f>(IF((VLOOKUP(Table1[[#This Row],[SKU]],'All Skus'!$A:$AC,2,FALSE))="AKG",(VLOOKUP(Table1[[#This Row],[SKU]],'All Skus'!$A:$AC,19,FALSE)),""))</f>
        <v>23</v>
      </c>
      <c r="P26" s="64">
        <f>(IF((VLOOKUP(Table1[[#This Row],[SKU]],'All Skus'!$A:$AC,2,FALSE))="AKG",(VLOOKUP(Table1[[#This Row],[SKU]],'All Skus'!$A:$AC,20,FALSE)),""))</f>
        <v>15</v>
      </c>
      <c r="Q26" s="64">
        <f>(IF((VLOOKUP(Table1[[#This Row],[SKU]],'All Skus'!$A:$AC,2,FALSE))="AKG",(VLOOKUP(Table1[[#This Row],[SKU]],'All Skus'!$A:$AC,21,FALSE)),""))</f>
        <v>4</v>
      </c>
      <c r="R26" s="64" t="str">
        <f>(IF((VLOOKUP(Table1[[#This Row],[SKU]],'All Skus'!$A:$AC,2,FALSE))="AKG",(VLOOKUP(Table1[[#This Row],[SKU]],'All Skus'!$A:$AC,22,FALSE)),""))</f>
        <v>AT</v>
      </c>
      <c r="S26" s="64" t="str">
        <f>(IF((VLOOKUP(Table1[[#This Row],[SKU]],'All Skus'!$A:$AC,2,FALSE))="AKG",(VLOOKUP(Table1[[#This Row],[SKU]],'All Skus'!$A:$AC,23,FALSE)),""))</f>
        <v>Compliant</v>
      </c>
      <c r="T26" s="210" t="str">
        <f>HYPERLINK((IF((VLOOKUP(Table1[[#This Row],[SKU]],'All Skus'!$A:$AC,2,FALSE))="AKG",(VLOOKUP(Table1[[#This Row],[SKU]],'All Skus'!$A:$AC,24,FALSE)),"")))</f>
        <v>https://www.akg.com/Microphones/Drum%20Microphone%20Bundles/C414XLIIMatPair.html</v>
      </c>
      <c r="U26" s="151">
        <v>24</v>
      </c>
    </row>
    <row r="27" spans="1:21" ht="15" hidden="1" customHeight="1">
      <c r="A27" s="50" t="s">
        <v>184</v>
      </c>
      <c r="B27" s="52" t="str">
        <f>(IF((VLOOKUP(Table1[[#This Row],[SKU]],'All Skus'!$A:$AC,2,FALSE))="AKG",(VLOOKUP(Table1[[#This Row],[SKU]],'All Skus'!$A:$AC,3,FALSE)), ""))</f>
        <v>Wired Mics</v>
      </c>
      <c r="C27" s="60" t="str">
        <f>(IF((VLOOKUP(Table1[[#This Row],[SKU]],'All Skus'!$A:$AC,2,FALSE))="AKG",(VLOOKUP(Table1[[#This Row],[SKU]],'All Skus'!$A:$AC,4,FALSE)),""))</f>
        <v>C451 B MATCHED PAIR</v>
      </c>
      <c r="D27" s="60" t="str">
        <f>(IF((VLOOKUP(Table1[[#This Row],[SKU]],'All Skus'!$A:$AC,2,FALSE))="AKG",(VLOOKUP(Table1[[#This Row],[SKU]],'All Skus'!$A:$AC,5,FALSE)),""))</f>
        <v>AT210010</v>
      </c>
      <c r="E27" s="60">
        <f>(IF((VLOOKUP(Table1[[#This Row],[SKU]],'All Skus'!$A:$AC,2,FALSE))="AKG",(VLOOKUP(Table1[[#This Row],[SKU]],'All Skus'!$A:$AC,6,FALSE)),""))</f>
        <v>0</v>
      </c>
      <c r="F27" s="60">
        <f>(IF((VLOOKUP(Table1[[#This Row],[SKU]],'All Skus'!$A:$AC,2,FALSE))="AKG",(VLOOKUP(Table1[[#This Row],[SKU]],'All Skus'!$A:$AC,7,FALSE)),""))</f>
        <v>0</v>
      </c>
      <c r="G27" s="45" t="str">
        <f>(IF((VLOOKUP(Table1[[#This Row],[SKU]],'All Skus'!$A:$AC,2,FALSE))="AKG",(VLOOKUP(Table1[[#This Row],[SKU]],'All Skus'!$A:$AC,8,FALSE)),""))</f>
        <v>Studio Condenser Microphone</v>
      </c>
      <c r="H27" s="45" t="str">
        <f>(IF((VLOOKUP(Table1[[#This Row],[SKU]],'All Skus'!$A:$AC,2,FALSE))="AKG",(VLOOKUP(Table1[[#This Row],[SKU]],'All Skus'!$A:$AC,9,FALSE)),""))</f>
        <v>Computer-matched stereo pair</v>
      </c>
      <c r="I27" s="141">
        <f>(IF((VLOOKUP(Table1[[#This Row],[SKU]],'All Skus'!$A:$AC,2,FALSE))="AKG",(VLOOKUP(Table1[[#This Row],[SKU]],'All Skus'!$A:$AC,10,FALSE)),""))</f>
        <v>1799.5</v>
      </c>
      <c r="J27" s="141">
        <f>(IF((VLOOKUP(Table1[[#This Row],[SKU]],'All Skus'!$A:$AC,2,FALSE))="AKG",(VLOOKUP(Table1[[#This Row],[SKU]],'All Skus'!$A:$AC,11,FALSE)),""))</f>
        <v>1439</v>
      </c>
      <c r="K27" s="125">
        <f>(IF((VLOOKUP(Table1[[#This Row],[SKU]],'All Skus'!$A:$AC,2,FALSE))="AKG",(VLOOKUP(Table1[[#This Row],[SKU]],'All Skus'!$A:$AC,15,FALSE)),""))</f>
        <v>1.6899509803921569</v>
      </c>
      <c r="L27" s="124">
        <f>(IF((VLOOKUP(Table1[[#This Row],[SKU]],'All Skus'!$A:$AC,2,FALSE))="AKG",(VLOOKUP(Table1[[#This Row],[SKU]],'All Skus'!$A:$AC,16,FALSE)),""))</f>
        <v>885038007968</v>
      </c>
      <c r="M27" s="124">
        <f>(IF((VLOOKUP(Table1[[#This Row],[SKU]],'All Skus'!$A:$AC,2,FALSE))="AKG",(VLOOKUP(Table1[[#This Row],[SKU]],'All Skus'!$A:$AC,17,FALSE)),""))</f>
        <v>9002761007961</v>
      </c>
      <c r="N27" s="64">
        <f>(IF((VLOOKUP(Table1[[#This Row],[SKU]],'All Skus'!$A:$AC,2,FALSE))="AKG",(VLOOKUP(Table1[[#This Row],[SKU]],'All Skus'!$A:$AC,18,FALSE)),""))</f>
        <v>4</v>
      </c>
      <c r="O27" s="64">
        <f>(IF((VLOOKUP(Table1[[#This Row],[SKU]],'All Skus'!$A:$AC,2,FALSE))="AKG",(VLOOKUP(Table1[[#This Row],[SKU]],'All Skus'!$A:$AC,19,FALSE)),""))</f>
        <v>11.5</v>
      </c>
      <c r="P27" s="64">
        <f>(IF((VLOOKUP(Table1[[#This Row],[SKU]],'All Skus'!$A:$AC,2,FALSE))="AKG",(VLOOKUP(Table1[[#This Row],[SKU]],'All Skus'!$A:$AC,20,FALSE)),""))</f>
        <v>9</v>
      </c>
      <c r="Q27" s="64">
        <f>(IF((VLOOKUP(Table1[[#This Row],[SKU]],'All Skus'!$A:$AC,2,FALSE))="AKG",(VLOOKUP(Table1[[#This Row],[SKU]],'All Skus'!$A:$AC,21,FALSE)),""))</f>
        <v>4</v>
      </c>
      <c r="R27" s="64" t="str">
        <f>(IF((VLOOKUP(Table1[[#This Row],[SKU]],'All Skus'!$A:$AC,2,FALSE))="AKG",(VLOOKUP(Table1[[#This Row],[SKU]],'All Skus'!$A:$AC,22,FALSE)),""))</f>
        <v>AT</v>
      </c>
      <c r="S27" s="64" t="str">
        <f>(IF((VLOOKUP(Table1[[#This Row],[SKU]],'All Skus'!$A:$AC,2,FALSE))="AKG",(VLOOKUP(Table1[[#This Row],[SKU]],'All Skus'!$A:$AC,23,FALSE)),""))</f>
        <v>Compliant</v>
      </c>
      <c r="T27" s="210" t="str">
        <f>HYPERLINK((IF((VLOOKUP(Table1[[#This Row],[SKU]],'All Skus'!$A:$AC,2,FALSE))="AKG",(VLOOKUP(Table1[[#This Row],[SKU]],'All Skus'!$A:$AC,24,FALSE)),"")))</f>
        <v>https://www.akg.com/Microphones/Drum%20Microphone%20Bundles/C451BMatPair.html</v>
      </c>
      <c r="U27" s="151">
        <v>25</v>
      </c>
    </row>
    <row r="28" spans="1:21" ht="15" hidden="1" customHeight="1">
      <c r="A28" s="126" t="s">
        <v>185</v>
      </c>
      <c r="B28" s="52">
        <f>(IF((VLOOKUP(Table1[[#This Row],[SKU]],'All Skus'!$A:$AC,2,FALSE))="AKG",(VLOOKUP(Table1[[#This Row],[SKU]],'All Skus'!$A:$AC,3,FALSE)), ""))</f>
        <v>0</v>
      </c>
      <c r="C28" s="60">
        <f>(IF((VLOOKUP(Table1[[#This Row],[SKU]],'All Skus'!$A:$AC,2,FALSE))="AKG",(VLOOKUP(Table1[[#This Row],[SKU]],'All Skus'!$A:$AC,4,FALSE)),""))</f>
        <v>0</v>
      </c>
      <c r="D28" s="60">
        <f>(IF((VLOOKUP(Table1[[#This Row],[SKU]],'All Skus'!$A:$AC,2,FALSE))="AKG",(VLOOKUP(Table1[[#This Row],[SKU]],'All Skus'!$A:$AC,5,FALSE)),""))</f>
        <v>0</v>
      </c>
      <c r="E28" s="60">
        <f>(IF((VLOOKUP(Table1[[#This Row],[SKU]],'All Skus'!$A:$AC,2,FALSE))="AKG",(VLOOKUP(Table1[[#This Row],[SKU]],'All Skus'!$A:$AC,6,FALSE)),""))</f>
        <v>0</v>
      </c>
      <c r="F28" s="60">
        <f>(IF((VLOOKUP(Table1[[#This Row],[SKU]],'All Skus'!$A:$AC,2,FALSE))="AKG",(VLOOKUP(Table1[[#This Row],[SKU]],'All Skus'!$A:$AC,7,FALSE)),""))</f>
        <v>0</v>
      </c>
      <c r="G28" s="45">
        <f>(IF((VLOOKUP(Table1[[#This Row],[SKU]],'All Skus'!$A:$AC,2,FALSE))="AKG",(VLOOKUP(Table1[[#This Row],[SKU]],'All Skus'!$A:$AC,8,FALSE)),""))</f>
        <v>0</v>
      </c>
      <c r="H28" s="45">
        <f>(IF((VLOOKUP(Table1[[#This Row],[SKU]],'All Skus'!$A:$AC,2,FALSE))="AKG",(VLOOKUP(Table1[[#This Row],[SKU]],'All Skus'!$A:$AC,9,FALSE)),""))</f>
        <v>0</v>
      </c>
      <c r="I28" s="141">
        <f>(IF((VLOOKUP(Table1[[#This Row],[SKU]],'All Skus'!$A:$AC,2,FALSE))="AKG",(VLOOKUP(Table1[[#This Row],[SKU]],'All Skus'!$A:$AC,10,FALSE)),""))</f>
        <v>0</v>
      </c>
      <c r="J28" s="141">
        <f>(IF((VLOOKUP(Table1[[#This Row],[SKU]],'All Skus'!$A:$AC,2,FALSE))="AKG",(VLOOKUP(Table1[[#This Row],[SKU]],'All Skus'!$A:$AC,11,FALSE)),""))</f>
        <v>0</v>
      </c>
      <c r="K28" s="125">
        <f>(IF((VLOOKUP(Table1[[#This Row],[SKU]],'All Skus'!$A:$AC,2,FALSE))="AKG",(VLOOKUP(Table1[[#This Row],[SKU]],'All Skus'!$A:$AC,15,FALSE)),""))</f>
        <v>0</v>
      </c>
      <c r="L28" s="124">
        <f>(IF((VLOOKUP(Table1[[#This Row],[SKU]],'All Skus'!$A:$AC,2,FALSE))="AKG",(VLOOKUP(Table1[[#This Row],[SKU]],'All Skus'!$A:$AC,16,FALSE)),""))</f>
        <v>0</v>
      </c>
      <c r="M28" s="124">
        <f>(IF((VLOOKUP(Table1[[#This Row],[SKU]],'All Skus'!$A:$AC,2,FALSE))="AKG",(VLOOKUP(Table1[[#This Row],[SKU]],'All Skus'!$A:$AC,17,FALSE)),""))</f>
        <v>0</v>
      </c>
      <c r="N28" s="64">
        <f>(IF((VLOOKUP(Table1[[#This Row],[SKU]],'All Skus'!$A:$AC,2,FALSE))="AKG",(VLOOKUP(Table1[[#This Row],[SKU]],'All Skus'!$A:$AC,18,FALSE)),""))</f>
        <v>0</v>
      </c>
      <c r="O28" s="64">
        <f>(IF((VLOOKUP(Table1[[#This Row],[SKU]],'All Skus'!$A:$AC,2,FALSE))="AKG",(VLOOKUP(Table1[[#This Row],[SKU]],'All Skus'!$A:$AC,19,FALSE)),""))</f>
        <v>0</v>
      </c>
      <c r="P28" s="64">
        <f>(IF((VLOOKUP(Table1[[#This Row],[SKU]],'All Skus'!$A:$AC,2,FALSE))="AKG",(VLOOKUP(Table1[[#This Row],[SKU]],'All Skus'!$A:$AC,20,FALSE)),""))</f>
        <v>0</v>
      </c>
      <c r="Q28" s="64">
        <f>(IF((VLOOKUP(Table1[[#This Row],[SKU]],'All Skus'!$A:$AC,2,FALSE))="AKG",(VLOOKUP(Table1[[#This Row],[SKU]],'All Skus'!$A:$AC,21,FALSE)),""))</f>
        <v>0</v>
      </c>
      <c r="R28" s="64">
        <f>(IF((VLOOKUP(Table1[[#This Row],[SKU]],'All Skus'!$A:$AC,2,FALSE))="AKG",(VLOOKUP(Table1[[#This Row],[SKU]],'All Skus'!$A:$AC,22,FALSE)),""))</f>
        <v>0</v>
      </c>
      <c r="S28" s="64">
        <f>(IF((VLOOKUP(Table1[[#This Row],[SKU]],'All Skus'!$A:$AC,2,FALSE))="AKG",(VLOOKUP(Table1[[#This Row],[SKU]],'All Skus'!$A:$AC,23,FALSE)),""))</f>
        <v>0</v>
      </c>
      <c r="T28" s="210" t="str">
        <f>HYPERLINK((IF((VLOOKUP(Table1[[#This Row],[SKU]],'All Skus'!$A:$AC,2,FALSE))="AKG",(VLOOKUP(Table1[[#This Row],[SKU]],'All Skus'!$A:$AC,24,FALSE)),"")))</f>
        <v/>
      </c>
      <c r="U28" s="151">
        <v>26</v>
      </c>
    </row>
    <row r="29" spans="1:21" ht="15" hidden="1" customHeight="1">
      <c r="A29" s="126" t="s">
        <v>186</v>
      </c>
      <c r="B29" s="52">
        <f>(IF((VLOOKUP(Table1[[#This Row],[SKU]],'All Skus'!$A:$AC,2,FALSE))="AKG",(VLOOKUP(Table1[[#This Row],[SKU]],'All Skus'!$A:$AC,3,FALSE)), ""))</f>
        <v>0</v>
      </c>
      <c r="C29" s="60">
        <f>(IF((VLOOKUP(Table1[[#This Row],[SKU]],'All Skus'!$A:$AC,2,FALSE))="AKG",(VLOOKUP(Table1[[#This Row],[SKU]],'All Skus'!$A:$AC,4,FALSE)),""))</f>
        <v>0</v>
      </c>
      <c r="D29" s="60">
        <f>(IF((VLOOKUP(Table1[[#This Row],[SKU]],'All Skus'!$A:$AC,2,FALSE))="AKG",(VLOOKUP(Table1[[#This Row],[SKU]],'All Skus'!$A:$AC,5,FALSE)),""))</f>
        <v>0</v>
      </c>
      <c r="E29" s="60">
        <f>(IF((VLOOKUP(Table1[[#This Row],[SKU]],'All Skus'!$A:$AC,2,FALSE))="AKG",(VLOOKUP(Table1[[#This Row],[SKU]],'All Skus'!$A:$AC,6,FALSE)),""))</f>
        <v>0</v>
      </c>
      <c r="F29" s="60">
        <f>(IF((VLOOKUP(Table1[[#This Row],[SKU]],'All Skus'!$A:$AC,2,FALSE))="AKG",(VLOOKUP(Table1[[#This Row],[SKU]],'All Skus'!$A:$AC,7,FALSE)),""))</f>
        <v>0</v>
      </c>
      <c r="G29" s="45">
        <f>(IF((VLOOKUP(Table1[[#This Row],[SKU]],'All Skus'!$A:$AC,2,FALSE))="AKG",(VLOOKUP(Table1[[#This Row],[SKU]],'All Skus'!$A:$AC,8,FALSE)),""))</f>
        <v>0</v>
      </c>
      <c r="H29" s="45">
        <f>(IF((VLOOKUP(Table1[[#This Row],[SKU]],'All Skus'!$A:$AC,2,FALSE))="AKG",(VLOOKUP(Table1[[#This Row],[SKU]],'All Skus'!$A:$AC,9,FALSE)),""))</f>
        <v>0</v>
      </c>
      <c r="I29" s="141">
        <f>(IF((VLOOKUP(Table1[[#This Row],[SKU]],'All Skus'!$A:$AC,2,FALSE))="AKG",(VLOOKUP(Table1[[#This Row],[SKU]],'All Skus'!$A:$AC,10,FALSE)),""))</f>
        <v>0</v>
      </c>
      <c r="J29" s="141">
        <f>(IF((VLOOKUP(Table1[[#This Row],[SKU]],'All Skus'!$A:$AC,2,FALSE))="AKG",(VLOOKUP(Table1[[#This Row],[SKU]],'All Skus'!$A:$AC,11,FALSE)),""))</f>
        <v>0</v>
      </c>
      <c r="K29" s="125">
        <f>(IF((VLOOKUP(Table1[[#This Row],[SKU]],'All Skus'!$A:$AC,2,FALSE))="AKG",(VLOOKUP(Table1[[#This Row],[SKU]],'All Skus'!$A:$AC,15,FALSE)),""))</f>
        <v>0</v>
      </c>
      <c r="L29" s="124">
        <f>(IF((VLOOKUP(Table1[[#This Row],[SKU]],'All Skus'!$A:$AC,2,FALSE))="AKG",(VLOOKUP(Table1[[#This Row],[SKU]],'All Skus'!$A:$AC,16,FALSE)),""))</f>
        <v>0</v>
      </c>
      <c r="M29" s="124">
        <f>(IF((VLOOKUP(Table1[[#This Row],[SKU]],'All Skus'!$A:$AC,2,FALSE))="AKG",(VLOOKUP(Table1[[#This Row],[SKU]],'All Skus'!$A:$AC,17,FALSE)),""))</f>
        <v>0</v>
      </c>
      <c r="N29" s="64">
        <f>(IF((VLOOKUP(Table1[[#This Row],[SKU]],'All Skus'!$A:$AC,2,FALSE))="AKG",(VLOOKUP(Table1[[#This Row],[SKU]],'All Skus'!$A:$AC,18,FALSE)),""))</f>
        <v>0</v>
      </c>
      <c r="O29" s="64">
        <f>(IF((VLOOKUP(Table1[[#This Row],[SKU]],'All Skus'!$A:$AC,2,FALSE))="AKG",(VLOOKUP(Table1[[#This Row],[SKU]],'All Skus'!$A:$AC,19,FALSE)),""))</f>
        <v>0</v>
      </c>
      <c r="P29" s="64">
        <f>(IF((VLOOKUP(Table1[[#This Row],[SKU]],'All Skus'!$A:$AC,2,FALSE))="AKG",(VLOOKUP(Table1[[#This Row],[SKU]],'All Skus'!$A:$AC,20,FALSE)),""))</f>
        <v>0</v>
      </c>
      <c r="Q29" s="64">
        <f>(IF((VLOOKUP(Table1[[#This Row],[SKU]],'All Skus'!$A:$AC,2,FALSE))="AKG",(VLOOKUP(Table1[[#This Row],[SKU]],'All Skus'!$A:$AC,21,FALSE)),""))</f>
        <v>0</v>
      </c>
      <c r="R29" s="64">
        <f>(IF((VLOOKUP(Table1[[#This Row],[SKU]],'All Skus'!$A:$AC,2,FALSE))="AKG",(VLOOKUP(Table1[[#This Row],[SKU]],'All Skus'!$A:$AC,22,FALSE)),""))</f>
        <v>0</v>
      </c>
      <c r="S29" s="64">
        <f>(IF((VLOOKUP(Table1[[#This Row],[SKU]],'All Skus'!$A:$AC,2,FALSE))="AKG",(VLOOKUP(Table1[[#This Row],[SKU]],'All Skus'!$A:$AC,23,FALSE)),""))</f>
        <v>0</v>
      </c>
      <c r="T29" s="210" t="str">
        <f>HYPERLINK((IF((VLOOKUP(Table1[[#This Row],[SKU]],'All Skus'!$A:$AC,2,FALSE))="AKG",(VLOOKUP(Table1[[#This Row],[SKU]],'All Skus'!$A:$AC,24,FALSE)),"")))</f>
        <v/>
      </c>
      <c r="U29" s="151">
        <v>27</v>
      </c>
    </row>
    <row r="30" spans="1:21" ht="15" hidden="1" customHeight="1">
      <c r="A30" s="50" t="s">
        <v>187</v>
      </c>
      <c r="B30" s="52" t="str">
        <f>(IF((VLOOKUP(Table1[[#This Row],[SKU]],'All Skus'!$A:$AC,2,FALSE))="AKG",(VLOOKUP(Table1[[#This Row],[SKU]],'All Skus'!$A:$AC,3,FALSE)), ""))</f>
        <v>Wired Mics</v>
      </c>
      <c r="C30" s="60" t="str">
        <f>(IF((VLOOKUP(Table1[[#This Row],[SKU]],'All Skus'!$A:$AC,2,FALSE))="AKG",(VLOOKUP(Table1[[#This Row],[SKU]],'All Skus'!$A:$AC,4,FALSE)),""))</f>
        <v>P3 S</v>
      </c>
      <c r="D30" s="60" t="str">
        <f>(IF((VLOOKUP(Table1[[#This Row],[SKU]],'All Skus'!$A:$AC,2,FALSE))="AKG",(VLOOKUP(Table1[[#This Row],[SKU]],'All Skus'!$A:$AC,5,FALSE)),""))</f>
        <v>AT410020</v>
      </c>
      <c r="E30" s="60">
        <f>(IF((VLOOKUP(Table1[[#This Row],[SKU]],'All Skus'!$A:$AC,2,FALSE))="AKG",(VLOOKUP(Table1[[#This Row],[SKU]],'All Skus'!$A:$AC,6,FALSE)),""))</f>
        <v>0</v>
      </c>
      <c r="F30" s="60">
        <f>(IF((VLOOKUP(Table1[[#This Row],[SKU]],'All Skus'!$A:$AC,2,FALSE))="AKG",(VLOOKUP(Table1[[#This Row],[SKU]],'All Skus'!$A:$AC,7,FALSE)),""))</f>
        <v>0</v>
      </c>
      <c r="G30" s="45" t="str">
        <f>(IF((VLOOKUP(Table1[[#This Row],[SKU]],'All Skus'!$A:$AC,2,FALSE))="AKG",(VLOOKUP(Table1[[#This Row],[SKU]],'All Skus'!$A:$AC,8,FALSE)),""))</f>
        <v>Handheld Vocal Microphone</v>
      </c>
      <c r="H30" s="45" t="str">
        <f>(IF((VLOOKUP(Table1[[#This Row],[SKU]],'All Skus'!$A:$AC,2,FALSE))="AKG",(VLOOKUP(Table1[[#This Row],[SKU]],'All Skus'!$A:$AC,9,FALSE)),""))</f>
        <v>Rugged performance microphone designed for backing vocals and instruments, with on/off switch</v>
      </c>
      <c r="I30" s="141">
        <f>(IF((VLOOKUP(Table1[[#This Row],[SKU]],'All Skus'!$A:$AC,2,FALSE))="AKG",(VLOOKUP(Table1[[#This Row],[SKU]],'All Skus'!$A:$AC,10,FALSE)),""))</f>
        <v>90.03</v>
      </c>
      <c r="J30" s="141">
        <f>(IF((VLOOKUP(Table1[[#This Row],[SKU]],'All Skus'!$A:$AC,2,FALSE))="AKG",(VLOOKUP(Table1[[#This Row],[SKU]],'All Skus'!$A:$AC,11,FALSE)),""))</f>
        <v>75</v>
      </c>
      <c r="K30" s="125">
        <f>(IF((VLOOKUP(Table1[[#This Row],[SKU]],'All Skus'!$A:$AC,2,FALSE))="AKG",(VLOOKUP(Table1[[#This Row],[SKU]],'All Skus'!$A:$AC,15,FALSE)),""))</f>
        <v>20</v>
      </c>
      <c r="L30" s="124">
        <f>(IF((VLOOKUP(Table1[[#This Row],[SKU]],'All Skus'!$A:$AC,2,FALSE))="AKG",(VLOOKUP(Table1[[#This Row],[SKU]],'All Skus'!$A:$AC,16,FALSE)),""))</f>
        <v>885038026969</v>
      </c>
      <c r="M30" s="124">
        <f>(IF((VLOOKUP(Table1[[#This Row],[SKU]],'All Skus'!$A:$AC,2,FALSE))="AKG",(VLOOKUP(Table1[[#This Row],[SKU]],'All Skus'!$A:$AC,17,FALSE)),""))</f>
        <v>9002761026962</v>
      </c>
      <c r="N30" s="64">
        <f>(IF((VLOOKUP(Table1[[#This Row],[SKU]],'All Skus'!$A:$AC,2,FALSE))="AKG",(VLOOKUP(Table1[[#This Row],[SKU]],'All Skus'!$A:$AC,18,FALSE)),""))</f>
        <v>3</v>
      </c>
      <c r="O30" s="64">
        <f>(IF((VLOOKUP(Table1[[#This Row],[SKU]],'All Skus'!$A:$AC,2,FALSE))="AKG",(VLOOKUP(Table1[[#This Row],[SKU]],'All Skus'!$A:$AC,19,FALSE)),""))</f>
        <v>6</v>
      </c>
      <c r="P30" s="64">
        <f>(IF((VLOOKUP(Table1[[#This Row],[SKU]],'All Skus'!$A:$AC,2,FALSE))="AKG",(VLOOKUP(Table1[[#This Row],[SKU]],'All Skus'!$A:$AC,20,FALSE)),""))</f>
        <v>8</v>
      </c>
      <c r="Q30" s="64">
        <f>(IF((VLOOKUP(Table1[[#This Row],[SKU]],'All Skus'!$A:$AC,2,FALSE))="AKG",(VLOOKUP(Table1[[#This Row],[SKU]],'All Skus'!$A:$AC,21,FALSE)),""))</f>
        <v>8.4</v>
      </c>
      <c r="R30" s="64" t="str">
        <f>(IF((VLOOKUP(Table1[[#This Row],[SKU]],'All Skus'!$A:$AC,2,FALSE))="AKG",(VLOOKUP(Table1[[#This Row],[SKU]],'All Skus'!$A:$AC,22,FALSE)),""))</f>
        <v>CN</v>
      </c>
      <c r="S30" s="64" t="str">
        <f>(IF((VLOOKUP(Table1[[#This Row],[SKU]],'All Skus'!$A:$AC,2,FALSE))="AKG",(VLOOKUP(Table1[[#This Row],[SKU]],'All Skus'!$A:$AC,23,FALSE)),""))</f>
        <v>Non Compliant</v>
      </c>
      <c r="T30" s="210" t="str">
        <f>HYPERLINK((IF((VLOOKUP(Table1[[#This Row],[SKU]],'All Skus'!$A:$AC,2,FALSE))="AKG",(VLOOKUP(Table1[[#This Row],[SKU]],'All Skus'!$A:$AC,24,FALSE)),"")))</f>
        <v>https://www.akg.com/Microphones/Dynamic%20Microphones/P3.html</v>
      </c>
      <c r="U30" s="151">
        <v>28</v>
      </c>
    </row>
    <row r="31" spans="1:21" ht="15" hidden="1" customHeight="1">
      <c r="A31" s="48" t="s">
        <v>188</v>
      </c>
      <c r="B31" s="52" t="str">
        <f>(IF((VLOOKUP(Table1[[#This Row],[SKU]],'All Skus'!$A:$AC,2,FALSE))="AKG",(VLOOKUP(Table1[[#This Row],[SKU]],'All Skus'!$A:$AC,3,FALSE)), ""))</f>
        <v>Wired Mics</v>
      </c>
      <c r="C31" s="60" t="str">
        <f>(IF((VLOOKUP(Table1[[#This Row],[SKU]],'All Skus'!$A:$AC,2,FALSE))="AKG",(VLOOKUP(Table1[[#This Row],[SKU]],'All Skus'!$A:$AC,4,FALSE)),""))</f>
        <v>P5 S</v>
      </c>
      <c r="D31" s="60" t="str">
        <f>(IF((VLOOKUP(Table1[[#This Row],[SKU]],'All Skus'!$A:$AC,2,FALSE))="AKG",(VLOOKUP(Table1[[#This Row],[SKU]],'All Skus'!$A:$AC,5,FALSE)),""))</f>
        <v>AT410020</v>
      </c>
      <c r="E31" s="60">
        <f>(IF((VLOOKUP(Table1[[#This Row],[SKU]],'All Skus'!$A:$AC,2,FALSE))="AKG",(VLOOKUP(Table1[[#This Row],[SKU]],'All Skus'!$A:$AC,6,FALSE)),""))</f>
        <v>0</v>
      </c>
      <c r="F31" s="60">
        <f>(IF((VLOOKUP(Table1[[#This Row],[SKU]],'All Skus'!$A:$AC,2,FALSE))="AKG",(VLOOKUP(Table1[[#This Row],[SKU]],'All Skus'!$A:$AC,7,FALSE)),""))</f>
        <v>0</v>
      </c>
      <c r="G31" s="45" t="str">
        <f>(IF((VLOOKUP(Table1[[#This Row],[SKU]],'All Skus'!$A:$AC,2,FALSE))="AKG",(VLOOKUP(Table1[[#This Row],[SKU]],'All Skus'!$A:$AC,8,FALSE)),""))</f>
        <v>Handheld Vocal Microphone</v>
      </c>
      <c r="H31" s="45" t="str">
        <f>(IF((VLOOKUP(Table1[[#This Row],[SKU]],'All Skus'!$A:$AC,2,FALSE))="AKG",(VLOOKUP(Table1[[#This Row],[SKU]],'All Skus'!$A:$AC,9,FALSE)),""))</f>
        <v xml:space="preserve">Rugged performance microphone designed  for lead vocals with on/off switch
</v>
      </c>
      <c r="I31" s="141">
        <f>(IF((VLOOKUP(Table1[[#This Row],[SKU]],'All Skus'!$A:$AC,2,FALSE))="AKG",(VLOOKUP(Table1[[#This Row],[SKU]],'All Skus'!$A:$AC,10,FALSE)),""))</f>
        <v>114.04</v>
      </c>
      <c r="J31" s="141">
        <f>(IF((VLOOKUP(Table1[[#This Row],[SKU]],'All Skus'!$A:$AC,2,FALSE))="AKG",(VLOOKUP(Table1[[#This Row],[SKU]],'All Skus'!$A:$AC,11,FALSE)),""))</f>
        <v>89</v>
      </c>
      <c r="K31" s="125">
        <f>(IF((VLOOKUP(Table1[[#This Row],[SKU]],'All Skus'!$A:$AC,2,FALSE))="AKG",(VLOOKUP(Table1[[#This Row],[SKU]],'All Skus'!$A:$AC,15,FALSE)),""))</f>
        <v>20</v>
      </c>
      <c r="L31" s="124">
        <f>(IF((VLOOKUP(Table1[[#This Row],[SKU]],'All Skus'!$A:$AC,2,FALSE))="AKG",(VLOOKUP(Table1[[#This Row],[SKU]],'All Skus'!$A:$AC,16,FALSE)),""))</f>
        <v>885038026945</v>
      </c>
      <c r="M31" s="124">
        <f>(IF((VLOOKUP(Table1[[#This Row],[SKU]],'All Skus'!$A:$AC,2,FALSE))="AKG",(VLOOKUP(Table1[[#This Row],[SKU]],'All Skus'!$A:$AC,17,FALSE)),""))</f>
        <v>9002761026948</v>
      </c>
      <c r="N31" s="64">
        <f>(IF((VLOOKUP(Table1[[#This Row],[SKU]],'All Skus'!$A:$AC,2,FALSE))="AKG",(VLOOKUP(Table1[[#This Row],[SKU]],'All Skus'!$A:$AC,18,FALSE)),""))</f>
        <v>3</v>
      </c>
      <c r="O31" s="64">
        <f>(IF((VLOOKUP(Table1[[#This Row],[SKU]],'All Skus'!$A:$AC,2,FALSE))="AKG",(VLOOKUP(Table1[[#This Row],[SKU]],'All Skus'!$A:$AC,19,FALSE)),""))</f>
        <v>8</v>
      </c>
      <c r="P31" s="64">
        <f>(IF((VLOOKUP(Table1[[#This Row],[SKU]],'All Skus'!$A:$AC,2,FALSE))="AKG",(VLOOKUP(Table1[[#This Row],[SKU]],'All Skus'!$A:$AC,20,FALSE)),""))</f>
        <v>6</v>
      </c>
      <c r="Q31" s="64">
        <f>(IF((VLOOKUP(Table1[[#This Row],[SKU]],'All Skus'!$A:$AC,2,FALSE))="AKG",(VLOOKUP(Table1[[#This Row],[SKU]],'All Skus'!$A:$AC,21,FALSE)),""))</f>
        <v>8.4</v>
      </c>
      <c r="R31" s="64" t="str">
        <f>(IF((VLOOKUP(Table1[[#This Row],[SKU]],'All Skus'!$A:$AC,2,FALSE))="AKG",(VLOOKUP(Table1[[#This Row],[SKU]],'All Skus'!$A:$AC,22,FALSE)),""))</f>
        <v>CN</v>
      </c>
      <c r="S31" s="64" t="str">
        <f>(IF((VLOOKUP(Table1[[#This Row],[SKU]],'All Skus'!$A:$AC,2,FALSE))="AKG",(VLOOKUP(Table1[[#This Row],[SKU]],'All Skus'!$A:$AC,23,FALSE)),""))</f>
        <v>Non Compliant</v>
      </c>
      <c r="T31" s="210" t="str">
        <f>HYPERLINK((IF((VLOOKUP(Table1[[#This Row],[SKU]],'All Skus'!$A:$AC,2,FALSE))="AKG",(VLOOKUP(Table1[[#This Row],[SKU]],'All Skus'!$A:$AC,24,FALSE)),"")))</f>
        <v>https://www.akg.com/professionalemployeesale/3100H00120.html</v>
      </c>
      <c r="U31" s="151">
        <v>29</v>
      </c>
    </row>
    <row r="32" spans="1:21" ht="15" hidden="1" customHeight="1">
      <c r="A32" s="50" t="s">
        <v>189</v>
      </c>
      <c r="B32" s="52" t="str">
        <f>(IF((VLOOKUP(Table1[[#This Row],[SKU]],'All Skus'!$A:$AC,2,FALSE))="AKG",(VLOOKUP(Table1[[#This Row],[SKU]],'All Skus'!$A:$AC,3,FALSE)), ""))</f>
        <v>Wired Mics</v>
      </c>
      <c r="C32" s="60" t="str">
        <f>(IF((VLOOKUP(Table1[[#This Row],[SKU]],'All Skus'!$A:$AC,2,FALSE))="AKG",(VLOOKUP(Table1[[#This Row],[SKU]],'All Skus'!$A:$AC,4,FALSE)),""))</f>
        <v>C5</v>
      </c>
      <c r="D32" s="60" t="str">
        <f>(IF((VLOOKUP(Table1[[#This Row],[SKU]],'All Skus'!$A:$AC,2,FALSE))="AKG",(VLOOKUP(Table1[[#This Row],[SKU]],'All Skus'!$A:$AC,5,FALSE)),""))</f>
        <v>AT410010</v>
      </c>
      <c r="E32" s="60">
        <f>(IF((VLOOKUP(Table1[[#This Row],[SKU]],'All Skus'!$A:$AC,2,FALSE))="AKG",(VLOOKUP(Table1[[#This Row],[SKU]],'All Skus'!$A:$AC,6,FALSE)),""))</f>
        <v>0</v>
      </c>
      <c r="F32" s="60">
        <f>(IF((VLOOKUP(Table1[[#This Row],[SKU]],'All Skus'!$A:$AC,2,FALSE))="AKG",(VLOOKUP(Table1[[#This Row],[SKU]],'All Skus'!$A:$AC,7,FALSE)),""))</f>
        <v>0</v>
      </c>
      <c r="G32" s="45" t="str">
        <f>(IF((VLOOKUP(Table1[[#This Row],[SKU]],'All Skus'!$A:$AC,2,FALSE))="AKG",(VLOOKUP(Table1[[#This Row],[SKU]],'All Skus'!$A:$AC,8,FALSE)),""))</f>
        <v>Handheld Vocal Microphone</v>
      </c>
      <c r="H32" s="45" t="str">
        <f>(IF((VLOOKUP(Table1[[#This Row],[SKU]],'All Skus'!$A:$AC,2,FALSE))="AKG",(VLOOKUP(Table1[[#This Row],[SKU]],'All Skus'!$A:$AC,9,FALSE)),""))</f>
        <v>Professional condenser mic for lead &amp; backing vocals on stage.</v>
      </c>
      <c r="I32" s="141">
        <f>(IF((VLOOKUP(Table1[[#This Row],[SKU]],'All Skus'!$A:$AC,2,FALSE))="AKG",(VLOOKUP(Table1[[#This Row],[SKU]],'All Skus'!$A:$AC,10,FALSE)),""))</f>
        <v>274.91000000000003</v>
      </c>
      <c r="J32" s="141">
        <f>(IF((VLOOKUP(Table1[[#This Row],[SKU]],'All Skus'!$A:$AC,2,FALSE))="AKG",(VLOOKUP(Table1[[#This Row],[SKU]],'All Skus'!$A:$AC,11,FALSE)),""))</f>
        <v>216</v>
      </c>
      <c r="K32" s="125">
        <f>(IF((VLOOKUP(Table1[[#This Row],[SKU]],'All Skus'!$A:$AC,2,FALSE))="AKG",(VLOOKUP(Table1[[#This Row],[SKU]],'All Skus'!$A:$AC,15,FALSE)),""))</f>
        <v>0</v>
      </c>
      <c r="L32" s="124">
        <f>(IF((VLOOKUP(Table1[[#This Row],[SKU]],'All Skus'!$A:$AC,2,FALSE))="AKG",(VLOOKUP(Table1[[#This Row],[SKU]],'All Skus'!$A:$AC,16,FALSE)),""))</f>
        <v>885038018599</v>
      </c>
      <c r="M32" s="124">
        <f>(IF((VLOOKUP(Table1[[#This Row],[SKU]],'All Skus'!$A:$AC,2,FALSE))="AKG",(VLOOKUP(Table1[[#This Row],[SKU]],'All Skus'!$A:$AC,17,FALSE)),""))</f>
        <v>9002761018592</v>
      </c>
      <c r="N32" s="64">
        <f>(IF((VLOOKUP(Table1[[#This Row],[SKU]],'All Skus'!$A:$AC,2,FALSE))="AKG",(VLOOKUP(Table1[[#This Row],[SKU]],'All Skus'!$A:$AC,18,FALSE)),""))</f>
        <v>7</v>
      </c>
      <c r="O32" s="64">
        <f>(IF((VLOOKUP(Table1[[#This Row],[SKU]],'All Skus'!$A:$AC,2,FALSE))="AKG",(VLOOKUP(Table1[[#This Row],[SKU]],'All Skus'!$A:$AC,19,FALSE)),""))</f>
        <v>3</v>
      </c>
      <c r="P32" s="64">
        <f>(IF((VLOOKUP(Table1[[#This Row],[SKU]],'All Skus'!$A:$AC,2,FALSE))="AKG",(VLOOKUP(Table1[[#This Row],[SKU]],'All Skus'!$A:$AC,20,FALSE)),""))</f>
        <v>5</v>
      </c>
      <c r="Q32" s="64" t="str">
        <f>(IF((VLOOKUP(Table1[[#This Row],[SKU]],'All Skus'!$A:$AC,2,FALSE))="AKG",(VLOOKUP(Table1[[#This Row],[SKU]],'All Skus'!$A:$AC,21,FALSE)),""))</f>
        <v>n/a</v>
      </c>
      <c r="R32" s="64" t="str">
        <f>(IF((VLOOKUP(Table1[[#This Row],[SKU]],'All Skus'!$A:$AC,2,FALSE))="AKG",(VLOOKUP(Table1[[#This Row],[SKU]],'All Skus'!$A:$AC,22,FALSE)),""))</f>
        <v>CN</v>
      </c>
      <c r="S32" s="64" t="str">
        <f>(IF((VLOOKUP(Table1[[#This Row],[SKU]],'All Skus'!$A:$AC,2,FALSE))="AKG",(VLOOKUP(Table1[[#This Row],[SKU]],'All Skus'!$A:$AC,23,FALSE)),""))</f>
        <v>Non Compliant</v>
      </c>
      <c r="T32" s="210" t="str">
        <f>HYPERLINK((IF((VLOOKUP(Table1[[#This Row],[SKU]],'All Skus'!$A:$AC,2,FALSE))="AKG",(VLOOKUP(Table1[[#This Row],[SKU]],'All Skus'!$A:$AC,24,FALSE)),"")))</f>
        <v>https://www.akg.com/Microphones/Condenser%20Microphones/C5.html</v>
      </c>
      <c r="U32" s="151">
        <v>30</v>
      </c>
    </row>
    <row r="33" spans="1:21" ht="15" hidden="1" customHeight="1">
      <c r="A33" s="50" t="s">
        <v>190</v>
      </c>
      <c r="B33" s="52" t="str">
        <f>(IF((VLOOKUP(Table1[[#This Row],[SKU]],'All Skus'!$A:$AC,2,FALSE))="AKG",(VLOOKUP(Table1[[#This Row],[SKU]],'All Skus'!$A:$AC,3,FALSE)), ""))</f>
        <v>Wired Mics</v>
      </c>
      <c r="C33" s="60" t="str">
        <f>(IF((VLOOKUP(Table1[[#This Row],[SKU]],'All Skus'!$A:$AC,2,FALSE))="AKG",(VLOOKUP(Table1[[#This Row],[SKU]],'All Skus'!$A:$AC,4,FALSE)),""))</f>
        <v>C7</v>
      </c>
      <c r="D33" s="60" t="str">
        <f>(IF((VLOOKUP(Table1[[#This Row],[SKU]],'All Skus'!$A:$AC,2,FALSE))="AKG",(VLOOKUP(Table1[[#This Row],[SKU]],'All Skus'!$A:$AC,5,FALSE)),""))</f>
        <v>AT410010</v>
      </c>
      <c r="E33" s="60">
        <f>(IF((VLOOKUP(Table1[[#This Row],[SKU]],'All Skus'!$A:$AC,2,FALSE))="AKG",(VLOOKUP(Table1[[#This Row],[SKU]],'All Skus'!$A:$AC,6,FALSE)),""))</f>
        <v>0</v>
      </c>
      <c r="F33" s="60">
        <f>(IF((VLOOKUP(Table1[[#This Row],[SKU]],'All Skus'!$A:$AC,2,FALSE))="AKG",(VLOOKUP(Table1[[#This Row],[SKU]],'All Skus'!$A:$AC,7,FALSE)),""))</f>
        <v>0</v>
      </c>
      <c r="G33" s="45" t="str">
        <f>(IF((VLOOKUP(Table1[[#This Row],[SKU]],'All Skus'!$A:$AC,2,FALSE))="AKG",(VLOOKUP(Table1[[#This Row],[SKU]],'All Skus'!$A:$AC,8,FALSE)),""))</f>
        <v>Handheld Vocal Microphone</v>
      </c>
      <c r="H33" s="45" t="str">
        <f>(IF((VLOOKUP(Table1[[#This Row],[SKU]],'All Skus'!$A:$AC,2,FALSE))="AKG",(VLOOKUP(Table1[[#This Row],[SKU]],'All Skus'!$A:$AC,9,FALSE)),""))</f>
        <v>Handheld condenser microphone with 24-karat gold-plated capsule, mechano-pneumatic shock absorber, rugged zinc alloy housing and spring steel grill.</v>
      </c>
      <c r="I33" s="141">
        <f>(IF((VLOOKUP(Table1[[#This Row],[SKU]],'All Skus'!$A:$AC,2,FALSE))="AKG",(VLOOKUP(Table1[[#This Row],[SKU]],'All Skus'!$A:$AC,10,FALSE)),""))</f>
        <v>373.34</v>
      </c>
      <c r="J33" s="141">
        <f>(IF((VLOOKUP(Table1[[#This Row],[SKU]],'All Skus'!$A:$AC,2,FALSE))="AKG",(VLOOKUP(Table1[[#This Row],[SKU]],'All Skus'!$A:$AC,11,FALSE)),""))</f>
        <v>299</v>
      </c>
      <c r="K33" s="125">
        <f>(IF((VLOOKUP(Table1[[#This Row],[SKU]],'All Skus'!$A:$AC,2,FALSE))="AKG",(VLOOKUP(Table1[[#This Row],[SKU]],'All Skus'!$A:$AC,15,FALSE)),""))</f>
        <v>20</v>
      </c>
      <c r="L33" s="124">
        <f>(IF((VLOOKUP(Table1[[#This Row],[SKU]],'All Skus'!$A:$AC,2,FALSE))="AKG",(VLOOKUP(Table1[[#This Row],[SKU]],'All Skus'!$A:$AC,16,FALSE)),""))</f>
        <v>885038039419</v>
      </c>
      <c r="M33" s="124">
        <f>(IF((VLOOKUP(Table1[[#This Row],[SKU]],'All Skus'!$A:$AC,2,FALSE))="AKG",(VLOOKUP(Table1[[#This Row],[SKU]],'All Skus'!$A:$AC,17,FALSE)),""))</f>
        <v>9002761039702</v>
      </c>
      <c r="N33" s="64">
        <f>(IF((VLOOKUP(Table1[[#This Row],[SKU]],'All Skus'!$A:$AC,2,FALSE))="AKG",(VLOOKUP(Table1[[#This Row],[SKU]],'All Skus'!$A:$AC,18,FALSE)),""))</f>
        <v>8</v>
      </c>
      <c r="O33" s="64">
        <f>(IF((VLOOKUP(Table1[[#This Row],[SKU]],'All Skus'!$A:$AC,2,FALSE))="AKG",(VLOOKUP(Table1[[#This Row],[SKU]],'All Skus'!$A:$AC,19,FALSE)),""))</f>
        <v>2.5</v>
      </c>
      <c r="P33" s="64">
        <f>(IF((VLOOKUP(Table1[[#This Row],[SKU]],'All Skus'!$A:$AC,2,FALSE))="AKG",(VLOOKUP(Table1[[#This Row],[SKU]],'All Skus'!$A:$AC,20,FALSE)),""))</f>
        <v>5.5</v>
      </c>
      <c r="Q33" s="64">
        <f>(IF((VLOOKUP(Table1[[#This Row],[SKU]],'All Skus'!$A:$AC,2,FALSE))="AKG",(VLOOKUP(Table1[[#This Row],[SKU]],'All Skus'!$A:$AC,21,FALSE)),""))</f>
        <v>2.5499999999999998</v>
      </c>
      <c r="R33" s="64" t="str">
        <f>(IF((VLOOKUP(Table1[[#This Row],[SKU]],'All Skus'!$A:$AC,2,FALSE))="AKG",(VLOOKUP(Table1[[#This Row],[SKU]],'All Skus'!$A:$AC,22,FALSE)),""))</f>
        <v>CN</v>
      </c>
      <c r="S33" s="64" t="str">
        <f>(IF((VLOOKUP(Table1[[#This Row],[SKU]],'All Skus'!$A:$AC,2,FALSE))="AKG",(VLOOKUP(Table1[[#This Row],[SKU]],'All Skus'!$A:$AC,23,FALSE)),""))</f>
        <v>Non Compliant</v>
      </c>
      <c r="T33" s="210" t="str">
        <f>HYPERLINK((IF((VLOOKUP(Table1[[#This Row],[SKU]],'All Skus'!$A:$AC,2,FALSE))="AKG",(VLOOKUP(Table1[[#This Row],[SKU]],'All Skus'!$A:$AC,24,FALSE)),"")))</f>
        <v>https://www.akg.com/Microphones/Condenser%20Microphones/C7.html</v>
      </c>
      <c r="U33" s="151">
        <v>31</v>
      </c>
    </row>
    <row r="34" spans="1:21" ht="15" hidden="1" customHeight="1">
      <c r="A34" s="48" t="s">
        <v>191</v>
      </c>
      <c r="B34" s="52" t="str">
        <f>(IF((VLOOKUP(Table1[[#This Row],[SKU]],'All Skus'!$A:$AC,2,FALSE))="AKG",(VLOOKUP(Table1[[#This Row],[SKU]],'All Skus'!$A:$AC,3,FALSE)), ""))</f>
        <v>Handheld Vocal Microphone</v>
      </c>
      <c r="C34" s="60" t="str">
        <f>(IF((VLOOKUP(Table1[[#This Row],[SKU]],'All Skus'!$A:$AC,2,FALSE))="AKG",(VLOOKUP(Table1[[#This Row],[SKU]],'All Skus'!$A:$AC,4,FALSE)),""))</f>
        <v>C636 BLK</v>
      </c>
      <c r="D34" s="60" t="str">
        <f>(IF((VLOOKUP(Table1[[#This Row],[SKU]],'All Skus'!$A:$AC,2,FALSE))="AKG",(VLOOKUP(Table1[[#This Row],[SKU]],'All Skus'!$A:$AC,5,FALSE)),""))</f>
        <v>AT410010</v>
      </c>
      <c r="E34" s="60">
        <f>(IF((VLOOKUP(Table1[[#This Row],[SKU]],'All Skus'!$A:$AC,2,FALSE))="AKG",(VLOOKUP(Table1[[#This Row],[SKU]],'All Skus'!$A:$AC,6,FALSE)),""))</f>
        <v>0</v>
      </c>
      <c r="F34" s="60">
        <f>(IF((VLOOKUP(Table1[[#This Row],[SKU]],'All Skus'!$A:$AC,2,FALSE))="AKG",(VLOOKUP(Table1[[#This Row],[SKU]],'All Skus'!$A:$AC,7,FALSE)),""))</f>
        <v>0</v>
      </c>
      <c r="G34" s="45" t="str">
        <f>(IF((VLOOKUP(Table1[[#This Row],[SKU]],'All Skus'!$A:$AC,2,FALSE))="AKG",(VLOOKUP(Table1[[#This Row],[SKU]],'All Skus'!$A:$AC,8,FALSE)),""))</f>
        <v>Handheld Vocal Microphone</v>
      </c>
      <c r="H34" s="45" t="str">
        <f>(IF((VLOOKUP(Table1[[#This Row],[SKU]],'All Skus'!$A:$AC,2,FALSE))="AKG",(VLOOKUP(Table1[[#This Row],[SKU]],'All Skus'!$A:$AC,9,FALSE)),""))</f>
        <v>Black colored  C636</v>
      </c>
      <c r="I34" s="141">
        <f>(IF((VLOOKUP(Table1[[#This Row],[SKU]],'All Skus'!$A:$AC,2,FALSE))="AKG",(VLOOKUP(Table1[[#This Row],[SKU]],'All Skus'!$A:$AC,10,FALSE)),""))</f>
        <v>778.47</v>
      </c>
      <c r="J34" s="141">
        <f>(IF((VLOOKUP(Table1[[#This Row],[SKU]],'All Skus'!$A:$AC,2,FALSE))="AKG",(VLOOKUP(Table1[[#This Row],[SKU]],'All Skus'!$A:$AC,11,FALSE)),""))</f>
        <v>629</v>
      </c>
      <c r="K34" s="125">
        <f>(IF((VLOOKUP(Table1[[#This Row],[SKU]],'All Skus'!$A:$AC,2,FALSE))="AKG",(VLOOKUP(Table1[[#This Row],[SKU]],'All Skus'!$A:$AC,15,FALSE)),""))</f>
        <v>0</v>
      </c>
      <c r="L34" s="124">
        <f>(IF((VLOOKUP(Table1[[#This Row],[SKU]],'All Skus'!$A:$AC,2,FALSE))="AKG",(VLOOKUP(Table1[[#This Row],[SKU]],'All Skus'!$A:$AC,16,FALSE)),""))</f>
        <v>885038040125</v>
      </c>
      <c r="M34" s="124">
        <f>(IF((VLOOKUP(Table1[[#This Row],[SKU]],'All Skus'!$A:$AC,2,FALSE))="AKG",(VLOOKUP(Table1[[#This Row],[SKU]],'All Skus'!$A:$AC,17,FALSE)),""))</f>
        <v>9002761040128</v>
      </c>
      <c r="N34" s="64">
        <f>(IF((VLOOKUP(Table1[[#This Row],[SKU]],'All Skus'!$A:$AC,2,FALSE))="AKG",(VLOOKUP(Table1[[#This Row],[SKU]],'All Skus'!$A:$AC,18,FALSE)),""))</f>
        <v>0</v>
      </c>
      <c r="O34" s="64">
        <f>(IF((VLOOKUP(Table1[[#This Row],[SKU]],'All Skus'!$A:$AC,2,FALSE))="AKG",(VLOOKUP(Table1[[#This Row],[SKU]],'All Skus'!$A:$AC,19,FALSE)),""))</f>
        <v>0</v>
      </c>
      <c r="P34" s="64">
        <f>(IF((VLOOKUP(Table1[[#This Row],[SKU]],'All Skus'!$A:$AC,2,FALSE))="AKG",(VLOOKUP(Table1[[#This Row],[SKU]],'All Skus'!$A:$AC,20,FALSE)),""))</f>
        <v>0</v>
      </c>
      <c r="Q34" s="64">
        <f>(IF((VLOOKUP(Table1[[#This Row],[SKU]],'All Skus'!$A:$AC,2,FALSE))="AKG",(VLOOKUP(Table1[[#This Row],[SKU]],'All Skus'!$A:$AC,21,FALSE)),""))</f>
        <v>3.2</v>
      </c>
      <c r="R34" s="64" t="str">
        <f>(IF((VLOOKUP(Table1[[#This Row],[SKU]],'All Skus'!$A:$AC,2,FALSE))="AKG",(VLOOKUP(Table1[[#This Row],[SKU]],'All Skus'!$A:$AC,22,FALSE)),""))</f>
        <v>CN</v>
      </c>
      <c r="S34" s="64" t="str">
        <f>(IF((VLOOKUP(Table1[[#This Row],[SKU]],'All Skus'!$A:$AC,2,FALSE))="AKG",(VLOOKUP(Table1[[#This Row],[SKU]],'All Skus'!$A:$AC,23,FALSE)),""))</f>
        <v>Non Compliant</v>
      </c>
      <c r="T34" s="210" t="str">
        <f>HYPERLINK((IF((VLOOKUP(Table1[[#This Row],[SKU]],'All Skus'!$A:$AC,2,FALSE))="AKG",(VLOOKUP(Table1[[#This Row],[SKU]],'All Skus'!$A:$AC,24,FALSE)),"")))</f>
        <v>https://www.akg.com/Microphones/Condenser%20Microphones/3439X00020.html</v>
      </c>
      <c r="U34" s="151">
        <v>32</v>
      </c>
    </row>
    <row r="35" spans="1:21" ht="15" hidden="1" customHeight="1">
      <c r="A35" s="50" t="s">
        <v>192</v>
      </c>
      <c r="B35" s="52" t="str">
        <f>(IF((VLOOKUP(Table1[[#This Row],[SKU]],'All Skus'!$A:$AC,2,FALSE))="AKG",(VLOOKUP(Table1[[#This Row],[SKU]],'All Skus'!$A:$AC,3,FALSE)), ""))</f>
        <v>Wired Mics</v>
      </c>
      <c r="C35" s="60" t="str">
        <f>(IF((VLOOKUP(Table1[[#This Row],[SKU]],'All Skus'!$A:$AC,2,FALSE))="AKG",(VLOOKUP(Table1[[#This Row],[SKU]],'All Skus'!$A:$AC,4,FALSE)),""))</f>
        <v>D5</v>
      </c>
      <c r="D35" s="60" t="str">
        <f>(IF((VLOOKUP(Table1[[#This Row],[SKU]],'All Skus'!$A:$AC,2,FALSE))="AKG",(VLOOKUP(Table1[[#This Row],[SKU]],'All Skus'!$A:$AC,5,FALSE)),""))</f>
        <v>AT410020</v>
      </c>
      <c r="E35" s="60">
        <f>(IF((VLOOKUP(Table1[[#This Row],[SKU]],'All Skus'!$A:$AC,2,FALSE))="AKG",(VLOOKUP(Table1[[#This Row],[SKU]],'All Skus'!$A:$AC,6,FALSE)),""))</f>
        <v>0</v>
      </c>
      <c r="F35" s="60">
        <f>(IF((VLOOKUP(Table1[[#This Row],[SKU]],'All Skus'!$A:$AC,2,FALSE))="AKG",(VLOOKUP(Table1[[#This Row],[SKU]],'All Skus'!$A:$AC,7,FALSE)),""))</f>
        <v>0</v>
      </c>
      <c r="G35" s="45" t="str">
        <f>(IF((VLOOKUP(Table1[[#This Row],[SKU]],'All Skus'!$A:$AC,2,FALSE))="AKG",(VLOOKUP(Table1[[#This Row],[SKU]],'All Skus'!$A:$AC,8,FALSE)),""))</f>
        <v>Handheld Vocal Microphone</v>
      </c>
      <c r="H35" s="45" t="str">
        <f>(IF((VLOOKUP(Table1[[#This Row],[SKU]],'All Skus'!$A:$AC,2,FALSE))="AKG",(VLOOKUP(Table1[[#This Row],[SKU]],'All Skus'!$A:$AC,9,FALSE)),""))</f>
        <v>Professional dynamic mic for lead &amp; backing vocals on stage</v>
      </c>
      <c r="I35" s="141">
        <f>(IF((VLOOKUP(Table1[[#This Row],[SKU]],'All Skus'!$A:$AC,2,FALSE))="AKG",(VLOOKUP(Table1[[#This Row],[SKU]],'All Skus'!$A:$AC,10,FALSE)),""))</f>
        <v>154.86000000000001</v>
      </c>
      <c r="J35" s="141">
        <f>(IF((VLOOKUP(Table1[[#This Row],[SKU]],'All Skus'!$A:$AC,2,FALSE))="AKG",(VLOOKUP(Table1[[#This Row],[SKU]],'All Skus'!$A:$AC,11,FALSE)),""))</f>
        <v>119</v>
      </c>
      <c r="K35" s="125">
        <f>(IF((VLOOKUP(Table1[[#This Row],[SKU]],'All Skus'!$A:$AC,2,FALSE))="AKG",(VLOOKUP(Table1[[#This Row],[SKU]],'All Skus'!$A:$AC,15,FALSE)),""))</f>
        <v>12</v>
      </c>
      <c r="L35" s="124">
        <f>(IF((VLOOKUP(Table1[[#This Row],[SKU]],'All Skus'!$A:$AC,2,FALSE))="AKG",(VLOOKUP(Table1[[#This Row],[SKU]],'All Skus'!$A:$AC,16,FALSE)),""))</f>
        <v>885038018575</v>
      </c>
      <c r="M35" s="124">
        <f>(IF((VLOOKUP(Table1[[#This Row],[SKU]],'All Skus'!$A:$AC,2,FALSE))="AKG",(VLOOKUP(Table1[[#This Row],[SKU]],'All Skus'!$A:$AC,17,FALSE)),""))</f>
        <v>9002761018578</v>
      </c>
      <c r="N35" s="64">
        <f>(IF((VLOOKUP(Table1[[#This Row],[SKU]],'All Skus'!$A:$AC,2,FALSE))="AKG",(VLOOKUP(Table1[[#This Row],[SKU]],'All Skus'!$A:$AC,18,FALSE)),""))</f>
        <v>5.5</v>
      </c>
      <c r="O35" s="64">
        <f>(IF((VLOOKUP(Table1[[#This Row],[SKU]],'All Skus'!$A:$AC,2,FALSE))="AKG",(VLOOKUP(Table1[[#This Row],[SKU]],'All Skus'!$A:$AC,19,FALSE)),""))</f>
        <v>2.75</v>
      </c>
      <c r="P35" s="64">
        <f>(IF((VLOOKUP(Table1[[#This Row],[SKU]],'All Skus'!$A:$AC,2,FALSE))="AKG",(VLOOKUP(Table1[[#This Row],[SKU]],'All Skus'!$A:$AC,20,FALSE)),""))</f>
        <v>8</v>
      </c>
      <c r="Q35" s="64">
        <f>(IF((VLOOKUP(Table1[[#This Row],[SKU]],'All Skus'!$A:$AC,2,FALSE))="AKG",(VLOOKUP(Table1[[#This Row],[SKU]],'All Skus'!$A:$AC,21,FALSE)),""))</f>
        <v>2.8</v>
      </c>
      <c r="R35" s="64" t="str">
        <f>(IF((VLOOKUP(Table1[[#This Row],[SKU]],'All Skus'!$A:$AC,2,FALSE))="AKG",(VLOOKUP(Table1[[#This Row],[SKU]],'All Skus'!$A:$AC,22,FALSE)),""))</f>
        <v>CN</v>
      </c>
      <c r="S35" s="64" t="str">
        <f>(IF((VLOOKUP(Table1[[#This Row],[SKU]],'All Skus'!$A:$AC,2,FALSE))="AKG",(VLOOKUP(Table1[[#This Row],[SKU]],'All Skus'!$A:$AC,23,FALSE)),""))</f>
        <v>Non Compliant</v>
      </c>
      <c r="T35" s="210" t="str">
        <f>HYPERLINK((IF((VLOOKUP(Table1[[#This Row],[SKU]],'All Skus'!$A:$AC,2,FALSE))="AKG",(VLOOKUP(Table1[[#This Row],[SKU]],'All Skus'!$A:$AC,24,FALSE)),"")))</f>
        <v>https://www.akg.com/Wireless/Wireless%20Accessories/D5WL1.html</v>
      </c>
      <c r="U35" s="151">
        <v>33</v>
      </c>
    </row>
    <row r="36" spans="1:21" ht="15" hidden="1" customHeight="1">
      <c r="A36" s="50" t="s">
        <v>193</v>
      </c>
      <c r="B36" s="52" t="str">
        <f>(IF((VLOOKUP(Table1[[#This Row],[SKU]],'All Skus'!$A:$AC,2,FALSE))="AKG",(VLOOKUP(Table1[[#This Row],[SKU]],'All Skus'!$A:$AC,3,FALSE)), ""))</f>
        <v>Wired Mics</v>
      </c>
      <c r="C36" s="60" t="str">
        <f>(IF((VLOOKUP(Table1[[#This Row],[SKU]],'All Skus'!$A:$AC,2,FALSE))="AKG",(VLOOKUP(Table1[[#This Row],[SKU]],'All Skus'!$A:$AC,4,FALSE)),""))</f>
        <v>D5S</v>
      </c>
      <c r="D36" s="60" t="str">
        <f>(IF((VLOOKUP(Table1[[#This Row],[SKU]],'All Skus'!$A:$AC,2,FALSE))="AKG",(VLOOKUP(Table1[[#This Row],[SKU]],'All Skus'!$A:$AC,5,FALSE)),""))</f>
        <v>AT410020</v>
      </c>
      <c r="E36" s="60">
        <f>(IF((VLOOKUP(Table1[[#This Row],[SKU]],'All Skus'!$A:$AC,2,FALSE))="AKG",(VLOOKUP(Table1[[#This Row],[SKU]],'All Skus'!$A:$AC,6,FALSE)),""))</f>
        <v>0</v>
      </c>
      <c r="F36" s="60">
        <f>(IF((VLOOKUP(Table1[[#This Row],[SKU]],'All Skus'!$A:$AC,2,FALSE))="AKG",(VLOOKUP(Table1[[#This Row],[SKU]],'All Skus'!$A:$AC,7,FALSE)),""))</f>
        <v>0</v>
      </c>
      <c r="G36" s="45" t="str">
        <f>(IF((VLOOKUP(Table1[[#This Row],[SKU]],'All Skus'!$A:$AC,2,FALSE))="AKG",(VLOOKUP(Table1[[#This Row],[SKU]],'All Skus'!$A:$AC,8,FALSE)),""))</f>
        <v>Handheld Vocal Microphone</v>
      </c>
      <c r="H36" s="45" t="str">
        <f>(IF((VLOOKUP(Table1[[#This Row],[SKU]],'All Skus'!$A:$AC,2,FALSE))="AKG",(VLOOKUP(Table1[[#This Row],[SKU]],'All Skus'!$A:$AC,9,FALSE)),""))</f>
        <v>D5 with on/off switch</v>
      </c>
      <c r="I36" s="141">
        <f>(IF((VLOOKUP(Table1[[#This Row],[SKU]],'All Skus'!$A:$AC,2,FALSE))="AKG",(VLOOKUP(Table1[[#This Row],[SKU]],'All Skus'!$A:$AC,10,FALSE)),""))</f>
        <v>166.86</v>
      </c>
      <c r="J36" s="141">
        <f>(IF((VLOOKUP(Table1[[#This Row],[SKU]],'All Skus'!$A:$AC,2,FALSE))="AKG",(VLOOKUP(Table1[[#This Row],[SKU]],'All Skus'!$A:$AC,11,FALSE)),""))</f>
        <v>129</v>
      </c>
      <c r="K36" s="125">
        <f>(IF((VLOOKUP(Table1[[#This Row],[SKU]],'All Skus'!$A:$AC,2,FALSE))="AKG",(VLOOKUP(Table1[[#This Row],[SKU]],'All Skus'!$A:$AC,15,FALSE)),""))</f>
        <v>12</v>
      </c>
      <c r="L36" s="124">
        <f>(IF((VLOOKUP(Table1[[#This Row],[SKU]],'All Skus'!$A:$AC,2,FALSE))="AKG",(VLOOKUP(Table1[[#This Row],[SKU]],'All Skus'!$A:$AC,16,FALSE)),""))</f>
        <v>885038018582</v>
      </c>
      <c r="M36" s="124">
        <f>(IF((VLOOKUP(Table1[[#This Row],[SKU]],'All Skus'!$A:$AC,2,FALSE))="AKG",(VLOOKUP(Table1[[#This Row],[SKU]],'All Skus'!$A:$AC,17,FALSE)),""))</f>
        <v>9002761018585</v>
      </c>
      <c r="N36" s="64">
        <f>(IF((VLOOKUP(Table1[[#This Row],[SKU]],'All Skus'!$A:$AC,2,FALSE))="AKG",(VLOOKUP(Table1[[#This Row],[SKU]],'All Skus'!$A:$AC,18,FALSE)),""))</f>
        <v>5.5</v>
      </c>
      <c r="O36" s="64">
        <f>(IF((VLOOKUP(Table1[[#This Row],[SKU]],'All Skus'!$A:$AC,2,FALSE))="AKG",(VLOOKUP(Table1[[#This Row],[SKU]],'All Skus'!$A:$AC,19,FALSE)),""))</f>
        <v>2.75</v>
      </c>
      <c r="P36" s="64">
        <f>(IF((VLOOKUP(Table1[[#This Row],[SKU]],'All Skus'!$A:$AC,2,FALSE))="AKG",(VLOOKUP(Table1[[#This Row],[SKU]],'All Skus'!$A:$AC,20,FALSE)),""))</f>
        <v>5</v>
      </c>
      <c r="Q36" s="64">
        <f>(IF((VLOOKUP(Table1[[#This Row],[SKU]],'All Skus'!$A:$AC,2,FALSE))="AKG",(VLOOKUP(Table1[[#This Row],[SKU]],'All Skus'!$A:$AC,21,FALSE)),""))</f>
        <v>1.2</v>
      </c>
      <c r="R36" s="64" t="str">
        <f>(IF((VLOOKUP(Table1[[#This Row],[SKU]],'All Skus'!$A:$AC,2,FALSE))="AKG",(VLOOKUP(Table1[[#This Row],[SKU]],'All Skus'!$A:$AC,22,FALSE)),""))</f>
        <v>CN</v>
      </c>
      <c r="S36" s="64" t="str">
        <f>(IF((VLOOKUP(Table1[[#This Row],[SKU]],'All Skus'!$A:$AC,2,FALSE))="AKG",(VLOOKUP(Table1[[#This Row],[SKU]],'All Skus'!$A:$AC,23,FALSE)),""))</f>
        <v>Non Compliant</v>
      </c>
      <c r="T36" s="210" t="str">
        <f>HYPERLINK((IF((VLOOKUP(Table1[[#This Row],[SKU]],'All Skus'!$A:$AC,2,FALSE))="AKG",(VLOOKUP(Table1[[#This Row],[SKU]],'All Skus'!$A:$AC,24,FALSE)),"")))</f>
        <v>https://www.akg.com/Microphones/Dynamic%20Microphones/D5S.html</v>
      </c>
      <c r="U36" s="151">
        <v>34</v>
      </c>
    </row>
    <row r="37" spans="1:21" ht="15" hidden="1" customHeight="1">
      <c r="A37" s="50" t="s">
        <v>194</v>
      </c>
      <c r="B37" s="52" t="str">
        <f>(IF((VLOOKUP(Table1[[#This Row],[SKU]],'All Skus'!$A:$AC,2,FALSE))="AKG",(VLOOKUP(Table1[[#This Row],[SKU]],'All Skus'!$A:$AC,3,FALSE)), ""))</f>
        <v>Wired Mics</v>
      </c>
      <c r="C37" s="60" t="str">
        <f>(IF((VLOOKUP(Table1[[#This Row],[SKU]],'All Skus'!$A:$AC,2,FALSE))="AKG",(VLOOKUP(Table1[[#This Row],[SKU]],'All Skus'!$A:$AC,4,FALSE)),""))</f>
        <v>D5C</v>
      </c>
      <c r="D37" s="60" t="str">
        <f>(IF((VLOOKUP(Table1[[#This Row],[SKU]],'All Skus'!$A:$AC,2,FALSE))="AKG",(VLOOKUP(Table1[[#This Row],[SKU]],'All Skus'!$A:$AC,5,FALSE)),""))</f>
        <v>AT410020</v>
      </c>
      <c r="E37" s="60">
        <f>(IF((VLOOKUP(Table1[[#This Row],[SKU]],'All Skus'!$A:$AC,2,FALSE))="AKG",(VLOOKUP(Table1[[#This Row],[SKU]],'All Skus'!$A:$AC,6,FALSE)),""))</f>
        <v>0</v>
      </c>
      <c r="F37" s="60">
        <f>(IF((VLOOKUP(Table1[[#This Row],[SKU]],'All Skus'!$A:$AC,2,FALSE))="AKG",(VLOOKUP(Table1[[#This Row],[SKU]],'All Skus'!$A:$AC,7,FALSE)),""))</f>
        <v>0</v>
      </c>
      <c r="G37" s="45" t="str">
        <f>(IF((VLOOKUP(Table1[[#This Row],[SKU]],'All Skus'!$A:$AC,2,FALSE))="AKG",(VLOOKUP(Table1[[#This Row],[SKU]],'All Skus'!$A:$AC,8,FALSE)),""))</f>
        <v>Handheld Vocal Microphone</v>
      </c>
      <c r="H37" s="45" t="str">
        <f>(IF((VLOOKUP(Table1[[#This Row],[SKU]],'All Skus'!$A:$AC,2,FALSE))="AKG",(VLOOKUP(Table1[[#This Row],[SKU]],'All Skus'!$A:$AC,9,FALSE)),""))</f>
        <v>Professional dynamic vocal microphone</v>
      </c>
      <c r="I37" s="141">
        <f>(IF((VLOOKUP(Table1[[#This Row],[SKU]],'All Skus'!$A:$AC,2,FALSE))="AKG",(VLOOKUP(Table1[[#This Row],[SKU]],'All Skus'!$A:$AC,10,FALSE)),""))</f>
        <v>154.86000000000001</v>
      </c>
      <c r="J37" s="141">
        <f>(IF((VLOOKUP(Table1[[#This Row],[SKU]],'All Skus'!$A:$AC,2,FALSE))="AKG",(VLOOKUP(Table1[[#This Row],[SKU]],'All Skus'!$A:$AC,11,FALSE)),""))</f>
        <v>119</v>
      </c>
      <c r="K37" s="125">
        <f>(IF((VLOOKUP(Table1[[#This Row],[SKU]],'All Skus'!$A:$AC,2,FALSE))="AKG",(VLOOKUP(Table1[[#This Row],[SKU]],'All Skus'!$A:$AC,15,FALSE)),""))</f>
        <v>12</v>
      </c>
      <c r="L37" s="124">
        <f>(IF((VLOOKUP(Table1[[#This Row],[SKU]],'All Skus'!$A:$AC,2,FALSE))="AKG",(VLOOKUP(Table1[[#This Row],[SKU]],'All Skus'!$A:$AC,16,FALSE)),""))</f>
        <v>885038038566</v>
      </c>
      <c r="M37" s="124">
        <f>(IF((VLOOKUP(Table1[[#This Row],[SKU]],'All Skus'!$A:$AC,2,FALSE))="AKG",(VLOOKUP(Table1[[#This Row],[SKU]],'All Skus'!$A:$AC,17,FALSE)),""))</f>
        <v>9002761038569</v>
      </c>
      <c r="N37" s="64">
        <f>(IF((VLOOKUP(Table1[[#This Row],[SKU]],'All Skus'!$A:$AC,2,FALSE))="AKG",(VLOOKUP(Table1[[#This Row],[SKU]],'All Skus'!$A:$AC,18,FALSE)),""))</f>
        <v>15</v>
      </c>
      <c r="O37" s="64">
        <f>(IF((VLOOKUP(Table1[[#This Row],[SKU]],'All Skus'!$A:$AC,2,FALSE))="AKG",(VLOOKUP(Table1[[#This Row],[SKU]],'All Skus'!$A:$AC,19,FALSE)),""))</f>
        <v>22</v>
      </c>
      <c r="P37" s="64">
        <f>(IF((VLOOKUP(Table1[[#This Row],[SKU]],'All Skus'!$A:$AC,2,FALSE))="AKG",(VLOOKUP(Table1[[#This Row],[SKU]],'All Skus'!$A:$AC,20,FALSE)),""))</f>
        <v>25</v>
      </c>
      <c r="Q37" s="64">
        <f>(IF((VLOOKUP(Table1[[#This Row],[SKU]],'All Skus'!$A:$AC,2,FALSE))="AKG",(VLOOKUP(Table1[[#This Row],[SKU]],'All Skus'!$A:$AC,21,FALSE)),""))</f>
        <v>2.6</v>
      </c>
      <c r="R37" s="64" t="str">
        <f>(IF((VLOOKUP(Table1[[#This Row],[SKU]],'All Skus'!$A:$AC,2,FALSE))="AKG",(VLOOKUP(Table1[[#This Row],[SKU]],'All Skus'!$A:$AC,22,FALSE)),""))</f>
        <v>CN</v>
      </c>
      <c r="S37" s="64" t="str">
        <f>(IF((VLOOKUP(Table1[[#This Row],[SKU]],'All Skus'!$A:$AC,2,FALSE))="AKG",(VLOOKUP(Table1[[#This Row],[SKU]],'All Skus'!$A:$AC,23,FALSE)),""))</f>
        <v>Non Compliant</v>
      </c>
      <c r="T37" s="210" t="str">
        <f>HYPERLINK((IF((VLOOKUP(Table1[[#This Row],[SKU]],'All Skus'!$A:$AC,2,FALSE))="AKG",(VLOOKUP(Table1[[#This Row],[SKU]],'All Skus'!$A:$AC,24,FALSE)),"")))</f>
        <v>https://www.akg.com/Microphones/Dynamic%20Microphones/3138X00340.html</v>
      </c>
      <c r="U37" s="151">
        <v>35</v>
      </c>
    </row>
    <row r="38" spans="1:21" ht="15" hidden="1" customHeight="1">
      <c r="A38" s="48" t="s">
        <v>195</v>
      </c>
      <c r="B38" s="52" t="str">
        <f>(IF((VLOOKUP(Table1[[#This Row],[SKU]],'All Skus'!$A:$AC,2,FALSE))="AKG",(VLOOKUP(Table1[[#This Row],[SKU]],'All Skus'!$A:$AC,3,FALSE)), ""))</f>
        <v>Wired Mics</v>
      </c>
      <c r="C38" s="60" t="str">
        <f>(IF((VLOOKUP(Table1[[#This Row],[SKU]],'All Skus'!$A:$AC,2,FALSE))="AKG",(VLOOKUP(Table1[[#This Row],[SKU]],'All Skus'!$A:$AC,4,FALSE)),""))</f>
        <v xml:space="preserve">D5CS </v>
      </c>
      <c r="D38" s="60" t="str">
        <f>(IF((VLOOKUP(Table1[[#This Row],[SKU]],'All Skus'!$A:$AC,2,FALSE))="AKG",(VLOOKUP(Table1[[#This Row],[SKU]],'All Skus'!$A:$AC,5,FALSE)),""))</f>
        <v>AT410020</v>
      </c>
      <c r="E38" s="60">
        <f>(IF((VLOOKUP(Table1[[#This Row],[SKU]],'All Skus'!$A:$AC,2,FALSE))="AKG",(VLOOKUP(Table1[[#This Row],[SKU]],'All Skus'!$A:$AC,6,FALSE)),""))</f>
        <v>0</v>
      </c>
      <c r="F38" s="60">
        <f>(IF((VLOOKUP(Table1[[#This Row],[SKU]],'All Skus'!$A:$AC,2,FALSE))="AKG",(VLOOKUP(Table1[[#This Row],[SKU]],'All Skus'!$A:$AC,7,FALSE)),""))</f>
        <v>0</v>
      </c>
      <c r="G38" s="45" t="str">
        <f>(IF((VLOOKUP(Table1[[#This Row],[SKU]],'All Skus'!$A:$AC,2,FALSE))="AKG",(VLOOKUP(Table1[[#This Row],[SKU]],'All Skus'!$A:$AC,8,FALSE)),""))</f>
        <v>Handheld Vocal Microphone</v>
      </c>
      <c r="H38" s="45" t="str">
        <f>(IF((VLOOKUP(Table1[[#This Row],[SKU]],'All Skus'!$A:$AC,2,FALSE))="AKG",(VLOOKUP(Table1[[#This Row],[SKU]],'All Skus'!$A:$AC,9,FALSE)),""))</f>
        <v>D5C with on/off switch</v>
      </c>
      <c r="I38" s="141">
        <f>(IF((VLOOKUP(Table1[[#This Row],[SKU]],'All Skus'!$A:$AC,2,FALSE))="AKG",(VLOOKUP(Table1[[#This Row],[SKU]],'All Skus'!$A:$AC,10,FALSE)),""))</f>
        <v>166.86</v>
      </c>
      <c r="J38" s="141">
        <f>(IF((VLOOKUP(Table1[[#This Row],[SKU]],'All Skus'!$A:$AC,2,FALSE))="AKG",(VLOOKUP(Table1[[#This Row],[SKU]],'All Skus'!$A:$AC,11,FALSE)),""))</f>
        <v>129</v>
      </c>
      <c r="K38" s="125">
        <f>(IF((VLOOKUP(Table1[[#This Row],[SKU]],'All Skus'!$A:$AC,2,FALSE))="AKG",(VLOOKUP(Table1[[#This Row],[SKU]],'All Skus'!$A:$AC,15,FALSE)),""))</f>
        <v>12</v>
      </c>
      <c r="L38" s="124">
        <f>(IF((VLOOKUP(Table1[[#This Row],[SKU]],'All Skus'!$A:$AC,2,FALSE))="AKG",(VLOOKUP(Table1[[#This Row],[SKU]],'All Skus'!$A:$AC,16,FALSE)),""))</f>
        <v>885038038573</v>
      </c>
      <c r="M38" s="124">
        <f>(IF((VLOOKUP(Table1[[#This Row],[SKU]],'All Skus'!$A:$AC,2,FALSE))="AKG",(VLOOKUP(Table1[[#This Row],[SKU]],'All Skus'!$A:$AC,17,FALSE)),""))</f>
        <v>9002761038576</v>
      </c>
      <c r="N38" s="64">
        <f>(IF((VLOOKUP(Table1[[#This Row],[SKU]],'All Skus'!$A:$AC,2,FALSE))="AKG",(VLOOKUP(Table1[[#This Row],[SKU]],'All Skus'!$A:$AC,18,FALSE)),""))</f>
        <v>2</v>
      </c>
      <c r="O38" s="64">
        <f>(IF((VLOOKUP(Table1[[#This Row],[SKU]],'All Skus'!$A:$AC,2,FALSE))="AKG",(VLOOKUP(Table1[[#This Row],[SKU]],'All Skus'!$A:$AC,19,FALSE)),""))</f>
        <v>5</v>
      </c>
      <c r="P38" s="64">
        <f>(IF((VLOOKUP(Table1[[#This Row],[SKU]],'All Skus'!$A:$AC,2,FALSE))="AKG",(VLOOKUP(Table1[[#This Row],[SKU]],'All Skus'!$A:$AC,20,FALSE)),""))</f>
        <v>4</v>
      </c>
      <c r="Q38" s="64">
        <f>(IF((VLOOKUP(Table1[[#This Row],[SKU]],'All Skus'!$A:$AC,2,FALSE))="AKG",(VLOOKUP(Table1[[#This Row],[SKU]],'All Skus'!$A:$AC,21,FALSE)),""))</f>
        <v>2.6</v>
      </c>
      <c r="R38" s="64" t="str">
        <f>(IF((VLOOKUP(Table1[[#This Row],[SKU]],'All Skus'!$A:$AC,2,FALSE))="AKG",(VLOOKUP(Table1[[#This Row],[SKU]],'All Skus'!$A:$AC,22,FALSE)),""))</f>
        <v>CN</v>
      </c>
      <c r="S38" s="64" t="str">
        <f>(IF((VLOOKUP(Table1[[#This Row],[SKU]],'All Skus'!$A:$AC,2,FALSE))="AKG",(VLOOKUP(Table1[[#This Row],[SKU]],'All Skus'!$A:$AC,23,FALSE)),""))</f>
        <v>Non Compliant</v>
      </c>
      <c r="T38" s="210" t="str">
        <f>HYPERLINK((IF((VLOOKUP(Table1[[#This Row],[SKU]],'All Skus'!$A:$AC,2,FALSE))="AKG",(VLOOKUP(Table1[[#This Row],[SKU]],'All Skus'!$A:$AC,24,FALSE)),"")))</f>
        <v>https://www.akg.com/Microphones/Dynamic%20Microphones/3138X00340.html</v>
      </c>
      <c r="U38" s="151">
        <v>36</v>
      </c>
    </row>
    <row r="39" spans="1:21" ht="15" hidden="1" customHeight="1">
      <c r="A39" s="50" t="s">
        <v>196</v>
      </c>
      <c r="B39" s="52" t="str">
        <f>(IF((VLOOKUP(Table1[[#This Row],[SKU]],'All Skus'!$A:$AC,2,FALSE))="AKG",(VLOOKUP(Table1[[#This Row],[SKU]],'All Skus'!$A:$AC,3,FALSE)), ""))</f>
        <v>Wired Mics</v>
      </c>
      <c r="C39" s="60" t="str">
        <f>(IF((VLOOKUP(Table1[[#This Row],[SKU]],'All Skus'!$A:$AC,2,FALSE))="AKG",(VLOOKUP(Table1[[#This Row],[SKU]],'All Skus'!$A:$AC,4,FALSE)),""))</f>
        <v>D7</v>
      </c>
      <c r="D39" s="60" t="str">
        <f>(IF((VLOOKUP(Table1[[#This Row],[SKU]],'All Skus'!$A:$AC,2,FALSE))="AKG",(VLOOKUP(Table1[[#This Row],[SKU]],'All Skus'!$A:$AC,5,FALSE)),""))</f>
        <v>AT410020</v>
      </c>
      <c r="E39" s="60">
        <f>(IF((VLOOKUP(Table1[[#This Row],[SKU]],'All Skus'!$A:$AC,2,FALSE))="AKG",(VLOOKUP(Table1[[#This Row],[SKU]],'All Skus'!$A:$AC,6,FALSE)),""))</f>
        <v>0</v>
      </c>
      <c r="F39" s="60">
        <f>(IF((VLOOKUP(Table1[[#This Row],[SKU]],'All Skus'!$A:$AC,2,FALSE))="AKG",(VLOOKUP(Table1[[#This Row],[SKU]],'All Skus'!$A:$AC,7,FALSE)),""))</f>
        <v>0</v>
      </c>
      <c r="G39" s="45" t="str">
        <f>(IF((VLOOKUP(Table1[[#This Row],[SKU]],'All Skus'!$A:$AC,2,FALSE))="AKG",(VLOOKUP(Table1[[#This Row],[SKU]],'All Skus'!$A:$AC,8,FALSE)),""))</f>
        <v>Handheld Vocal Microphone</v>
      </c>
      <c r="H39" s="45" t="str">
        <f>(IF((VLOOKUP(Table1[[#This Row],[SKU]],'All Skus'!$A:$AC,2,FALSE))="AKG",(VLOOKUP(Table1[[#This Row],[SKU]],'All Skus'!$A:$AC,9,FALSE)),""))</f>
        <v>Reference dynamic vocal microphone, highest audio performance for stage and studio.</v>
      </c>
      <c r="I39" s="141">
        <f>(IF((VLOOKUP(Table1[[#This Row],[SKU]],'All Skus'!$A:$AC,2,FALSE))="AKG",(VLOOKUP(Table1[[#This Row],[SKU]],'All Skus'!$A:$AC,10,FALSE)),""))</f>
        <v>274.91000000000003</v>
      </c>
      <c r="J39" s="141">
        <f>(IF((VLOOKUP(Table1[[#This Row],[SKU]],'All Skus'!$A:$AC,2,FALSE))="AKG",(VLOOKUP(Table1[[#This Row],[SKU]],'All Skus'!$A:$AC,11,FALSE)),""))</f>
        <v>219</v>
      </c>
      <c r="K39" s="125">
        <f>(IF((VLOOKUP(Table1[[#This Row],[SKU]],'All Skus'!$A:$AC,2,FALSE))="AKG",(VLOOKUP(Table1[[#This Row],[SKU]],'All Skus'!$A:$AC,15,FALSE)),""))</f>
        <v>20</v>
      </c>
      <c r="L39" s="124">
        <f>(IF((VLOOKUP(Table1[[#This Row],[SKU]],'All Skus'!$A:$AC,2,FALSE))="AKG",(VLOOKUP(Table1[[#This Row],[SKU]],'All Skus'!$A:$AC,16,FALSE)),""))</f>
        <v>885038021414</v>
      </c>
      <c r="M39" s="124">
        <f>(IF((VLOOKUP(Table1[[#This Row],[SKU]],'All Skus'!$A:$AC,2,FALSE))="AKG",(VLOOKUP(Table1[[#This Row],[SKU]],'All Skus'!$A:$AC,17,FALSE)),""))</f>
        <v>9002761021417</v>
      </c>
      <c r="N39" s="64">
        <f>(IF((VLOOKUP(Table1[[#This Row],[SKU]],'All Skus'!$A:$AC,2,FALSE))="AKG",(VLOOKUP(Table1[[#This Row],[SKU]],'All Skus'!$A:$AC,18,FALSE)),""))</f>
        <v>3</v>
      </c>
      <c r="O39" s="64">
        <f>(IF((VLOOKUP(Table1[[#This Row],[SKU]],'All Skus'!$A:$AC,2,FALSE))="AKG",(VLOOKUP(Table1[[#This Row],[SKU]],'All Skus'!$A:$AC,19,FALSE)),""))</f>
        <v>6</v>
      </c>
      <c r="P39" s="64">
        <f>(IF((VLOOKUP(Table1[[#This Row],[SKU]],'All Skus'!$A:$AC,2,FALSE))="AKG",(VLOOKUP(Table1[[#This Row],[SKU]],'All Skus'!$A:$AC,20,FALSE)),""))</f>
        <v>8</v>
      </c>
      <c r="Q39" s="64">
        <f>(IF((VLOOKUP(Table1[[#This Row],[SKU]],'All Skus'!$A:$AC,2,FALSE))="AKG",(VLOOKUP(Table1[[#This Row],[SKU]],'All Skus'!$A:$AC,21,FALSE)),""))</f>
        <v>4</v>
      </c>
      <c r="R39" s="64" t="str">
        <f>(IF((VLOOKUP(Table1[[#This Row],[SKU]],'All Skus'!$A:$AC,2,FALSE))="AKG",(VLOOKUP(Table1[[#This Row],[SKU]],'All Skus'!$A:$AC,22,FALSE)),""))</f>
        <v>CN</v>
      </c>
      <c r="S39" s="64" t="str">
        <f>(IF((VLOOKUP(Table1[[#This Row],[SKU]],'All Skus'!$A:$AC,2,FALSE))="AKG",(VLOOKUP(Table1[[#This Row],[SKU]],'All Skus'!$A:$AC,23,FALSE)),""))</f>
        <v>Non Compliant</v>
      </c>
      <c r="T39" s="210" t="str">
        <f>HYPERLINK((IF((VLOOKUP(Table1[[#This Row],[SKU]],'All Skus'!$A:$AC,2,FALSE))="AKG",(VLOOKUP(Table1[[#This Row],[SKU]],'All Skus'!$A:$AC,24,FALSE)),"")))</f>
        <v>https://www.akg.com/Wireless/Wireless%20Accessories/D7WL1.html</v>
      </c>
      <c r="U39" s="151">
        <v>37</v>
      </c>
    </row>
    <row r="40" spans="1:21" ht="15" hidden="1" customHeight="1">
      <c r="A40" s="50" t="s">
        <v>197</v>
      </c>
      <c r="B40" s="52" t="str">
        <f>(IF((VLOOKUP(Table1[[#This Row],[SKU]],'All Skus'!$A:$AC,2,FALSE))="AKG",(VLOOKUP(Table1[[#This Row],[SKU]],'All Skus'!$A:$AC,3,FALSE)), ""))</f>
        <v>Wired Mics</v>
      </c>
      <c r="C40" s="60" t="str">
        <f>(IF((VLOOKUP(Table1[[#This Row],[SKU]],'All Skus'!$A:$AC,2,FALSE))="AKG",(VLOOKUP(Table1[[#This Row],[SKU]],'All Skus'!$A:$AC,4,FALSE)),""))</f>
        <v>D7S</v>
      </c>
      <c r="D40" s="60" t="str">
        <f>(IF((VLOOKUP(Table1[[#This Row],[SKU]],'All Skus'!$A:$AC,2,FALSE))="AKG",(VLOOKUP(Table1[[#This Row],[SKU]],'All Skus'!$A:$AC,5,FALSE)),""))</f>
        <v>AT410020</v>
      </c>
      <c r="E40" s="60">
        <f>(IF((VLOOKUP(Table1[[#This Row],[SKU]],'All Skus'!$A:$AC,2,FALSE))="AKG",(VLOOKUP(Table1[[#This Row],[SKU]],'All Skus'!$A:$AC,6,FALSE)),""))</f>
        <v>0</v>
      </c>
      <c r="F40" s="60">
        <f>(IF((VLOOKUP(Table1[[#This Row],[SKU]],'All Skus'!$A:$AC,2,FALSE))="AKG",(VLOOKUP(Table1[[#This Row],[SKU]],'All Skus'!$A:$AC,7,FALSE)),""))</f>
        <v>0</v>
      </c>
      <c r="G40" s="45" t="str">
        <f>(IF((VLOOKUP(Table1[[#This Row],[SKU]],'All Skus'!$A:$AC,2,FALSE))="AKG",(VLOOKUP(Table1[[#This Row],[SKU]],'All Skus'!$A:$AC,8,FALSE)),""))</f>
        <v>Handheld Vocal Microphone</v>
      </c>
      <c r="H40" s="45" t="str">
        <f>(IF((VLOOKUP(Table1[[#This Row],[SKU]],'All Skus'!$A:$AC,2,FALSE))="AKG",(VLOOKUP(Table1[[#This Row],[SKU]],'All Skus'!$A:$AC,9,FALSE)),""))</f>
        <v>D7 with on/off switch</v>
      </c>
      <c r="I40" s="141">
        <f>(IF((VLOOKUP(Table1[[#This Row],[SKU]],'All Skus'!$A:$AC,2,FALSE))="AKG",(VLOOKUP(Table1[[#This Row],[SKU]],'All Skus'!$A:$AC,10,FALSE)),""))</f>
        <v>286.91000000000003</v>
      </c>
      <c r="J40" s="141">
        <f>(IF((VLOOKUP(Table1[[#This Row],[SKU]],'All Skus'!$A:$AC,2,FALSE))="AKG",(VLOOKUP(Table1[[#This Row],[SKU]],'All Skus'!$A:$AC,11,FALSE)),""))</f>
        <v>226</v>
      </c>
      <c r="K40" s="125">
        <f>(IF((VLOOKUP(Table1[[#This Row],[SKU]],'All Skus'!$A:$AC,2,FALSE))="AKG",(VLOOKUP(Table1[[#This Row],[SKU]],'All Skus'!$A:$AC,15,FALSE)),""))</f>
        <v>20</v>
      </c>
      <c r="L40" s="124">
        <f>(IF((VLOOKUP(Table1[[#This Row],[SKU]],'All Skus'!$A:$AC,2,FALSE))="AKG",(VLOOKUP(Table1[[#This Row],[SKU]],'All Skus'!$A:$AC,16,FALSE)),""))</f>
        <v>885038021421</v>
      </c>
      <c r="M40" s="124">
        <f>(IF((VLOOKUP(Table1[[#This Row],[SKU]],'All Skus'!$A:$AC,2,FALSE))="AKG",(VLOOKUP(Table1[[#This Row],[SKU]],'All Skus'!$A:$AC,17,FALSE)),""))</f>
        <v>9002761021424</v>
      </c>
      <c r="N40" s="64">
        <f>(IF((VLOOKUP(Table1[[#This Row],[SKU]],'All Skus'!$A:$AC,2,FALSE))="AKG",(VLOOKUP(Table1[[#This Row],[SKU]],'All Skus'!$A:$AC,18,FALSE)),""))</f>
        <v>15</v>
      </c>
      <c r="O40" s="64">
        <f>(IF((VLOOKUP(Table1[[#This Row],[SKU]],'All Skus'!$A:$AC,2,FALSE))="AKG",(VLOOKUP(Table1[[#This Row],[SKU]],'All Skus'!$A:$AC,19,FALSE)),""))</f>
        <v>17</v>
      </c>
      <c r="P40" s="64">
        <f>(IF((VLOOKUP(Table1[[#This Row],[SKU]],'All Skus'!$A:$AC,2,FALSE))="AKG",(VLOOKUP(Table1[[#This Row],[SKU]],'All Skus'!$A:$AC,20,FALSE)),""))</f>
        <v>12</v>
      </c>
      <c r="Q40" s="64">
        <f>(IF((VLOOKUP(Table1[[#This Row],[SKU]],'All Skus'!$A:$AC,2,FALSE))="AKG",(VLOOKUP(Table1[[#This Row],[SKU]],'All Skus'!$A:$AC,21,FALSE)),""))</f>
        <v>4</v>
      </c>
      <c r="R40" s="64" t="str">
        <f>(IF((VLOOKUP(Table1[[#This Row],[SKU]],'All Skus'!$A:$AC,2,FALSE))="AKG",(VLOOKUP(Table1[[#This Row],[SKU]],'All Skus'!$A:$AC,22,FALSE)),""))</f>
        <v>CN</v>
      </c>
      <c r="S40" s="64" t="str">
        <f>(IF((VLOOKUP(Table1[[#This Row],[SKU]],'All Skus'!$A:$AC,2,FALSE))="AKG",(VLOOKUP(Table1[[#This Row],[SKU]],'All Skus'!$A:$AC,23,FALSE)),""))</f>
        <v>Non Compliant</v>
      </c>
      <c r="T40" s="210" t="str">
        <f>HYPERLINK((IF((VLOOKUP(Table1[[#This Row],[SKU]],'All Skus'!$A:$AC,2,FALSE))="AKG",(VLOOKUP(Table1[[#This Row],[SKU]],'All Skus'!$A:$AC,24,FALSE)),"")))</f>
        <v>https://www.akg.com/Microphones/Dynamic%20Microphones/3139X00020.html</v>
      </c>
      <c r="U40" s="151">
        <v>38</v>
      </c>
    </row>
    <row r="41" spans="1:21" ht="15" hidden="1" customHeight="1">
      <c r="A41" s="126" t="s">
        <v>198</v>
      </c>
      <c r="B41" s="52">
        <f>(IF((VLOOKUP(Table1[[#This Row],[SKU]],'All Skus'!$A:$AC,2,FALSE))="AKG",(VLOOKUP(Table1[[#This Row],[SKU]],'All Skus'!$A:$AC,3,FALSE)), ""))</f>
        <v>0</v>
      </c>
      <c r="C41" s="60">
        <f>(IF((VLOOKUP(Table1[[#This Row],[SKU]],'All Skus'!$A:$AC,2,FALSE))="AKG",(VLOOKUP(Table1[[#This Row],[SKU]],'All Skus'!$A:$AC,4,FALSE)),""))</f>
        <v>0</v>
      </c>
      <c r="D41" s="60">
        <f>(IF((VLOOKUP(Table1[[#This Row],[SKU]],'All Skus'!$A:$AC,2,FALSE))="AKG",(VLOOKUP(Table1[[#This Row],[SKU]],'All Skus'!$A:$AC,5,FALSE)),""))</f>
        <v>0</v>
      </c>
      <c r="E41" s="60">
        <f>(IF((VLOOKUP(Table1[[#This Row],[SKU]],'All Skus'!$A:$AC,2,FALSE))="AKG",(VLOOKUP(Table1[[#This Row],[SKU]],'All Skus'!$A:$AC,6,FALSE)),""))</f>
        <v>0</v>
      </c>
      <c r="F41" s="60">
        <f>(IF((VLOOKUP(Table1[[#This Row],[SKU]],'All Skus'!$A:$AC,2,FALSE))="AKG",(VLOOKUP(Table1[[#This Row],[SKU]],'All Skus'!$A:$AC,7,FALSE)),""))</f>
        <v>0</v>
      </c>
      <c r="G41" s="45">
        <f>(IF((VLOOKUP(Table1[[#This Row],[SKU]],'All Skus'!$A:$AC,2,FALSE))="AKG",(VLOOKUP(Table1[[#This Row],[SKU]],'All Skus'!$A:$AC,8,FALSE)),""))</f>
        <v>0</v>
      </c>
      <c r="H41" s="45">
        <f>(IF((VLOOKUP(Table1[[#This Row],[SKU]],'All Skus'!$A:$AC,2,FALSE))="AKG",(VLOOKUP(Table1[[#This Row],[SKU]],'All Skus'!$A:$AC,9,FALSE)),""))</f>
        <v>0</v>
      </c>
      <c r="I41" s="141">
        <f>(IF((VLOOKUP(Table1[[#This Row],[SKU]],'All Skus'!$A:$AC,2,FALSE))="AKG",(VLOOKUP(Table1[[#This Row],[SKU]],'All Skus'!$A:$AC,10,FALSE)),""))</f>
        <v>0</v>
      </c>
      <c r="J41" s="141">
        <f>(IF((VLOOKUP(Table1[[#This Row],[SKU]],'All Skus'!$A:$AC,2,FALSE))="AKG",(VLOOKUP(Table1[[#This Row],[SKU]],'All Skus'!$A:$AC,11,FALSE)),""))</f>
        <v>0</v>
      </c>
      <c r="K41" s="125">
        <f>(IF((VLOOKUP(Table1[[#This Row],[SKU]],'All Skus'!$A:$AC,2,FALSE))="AKG",(VLOOKUP(Table1[[#This Row],[SKU]],'All Skus'!$A:$AC,15,FALSE)),""))</f>
        <v>0</v>
      </c>
      <c r="L41" s="124">
        <f>(IF((VLOOKUP(Table1[[#This Row],[SKU]],'All Skus'!$A:$AC,2,FALSE))="AKG",(VLOOKUP(Table1[[#This Row],[SKU]],'All Skus'!$A:$AC,16,FALSE)),""))</f>
        <v>0</v>
      </c>
      <c r="M41" s="124">
        <f>(IF((VLOOKUP(Table1[[#This Row],[SKU]],'All Skus'!$A:$AC,2,FALSE))="AKG",(VLOOKUP(Table1[[#This Row],[SKU]],'All Skus'!$A:$AC,17,FALSE)),""))</f>
        <v>0</v>
      </c>
      <c r="N41" s="64">
        <f>(IF((VLOOKUP(Table1[[#This Row],[SKU]],'All Skus'!$A:$AC,2,FALSE))="AKG",(VLOOKUP(Table1[[#This Row],[SKU]],'All Skus'!$A:$AC,18,FALSE)),""))</f>
        <v>0</v>
      </c>
      <c r="O41" s="64">
        <f>(IF((VLOOKUP(Table1[[#This Row],[SKU]],'All Skus'!$A:$AC,2,FALSE))="AKG",(VLOOKUP(Table1[[#This Row],[SKU]],'All Skus'!$A:$AC,19,FALSE)),""))</f>
        <v>0</v>
      </c>
      <c r="P41" s="64">
        <f>(IF((VLOOKUP(Table1[[#This Row],[SKU]],'All Skus'!$A:$AC,2,FALSE))="AKG",(VLOOKUP(Table1[[#This Row],[SKU]],'All Skus'!$A:$AC,20,FALSE)),""))</f>
        <v>0</v>
      </c>
      <c r="Q41" s="64">
        <f>(IF((VLOOKUP(Table1[[#This Row],[SKU]],'All Skus'!$A:$AC,2,FALSE))="AKG",(VLOOKUP(Table1[[#This Row],[SKU]],'All Skus'!$A:$AC,21,FALSE)),""))</f>
        <v>0</v>
      </c>
      <c r="R41" s="64">
        <f>(IF((VLOOKUP(Table1[[#This Row],[SKU]],'All Skus'!$A:$AC,2,FALSE))="AKG",(VLOOKUP(Table1[[#This Row],[SKU]],'All Skus'!$A:$AC,22,FALSE)),""))</f>
        <v>0</v>
      </c>
      <c r="S41" s="64">
        <f>(IF((VLOOKUP(Table1[[#This Row],[SKU]],'All Skus'!$A:$AC,2,FALSE))="AKG",(VLOOKUP(Table1[[#This Row],[SKU]],'All Skus'!$A:$AC,23,FALSE)),""))</f>
        <v>0</v>
      </c>
      <c r="T41" s="210" t="str">
        <f>HYPERLINK((IF((VLOOKUP(Table1[[#This Row],[SKU]],'All Skus'!$A:$AC,2,FALSE))="AKG",(VLOOKUP(Table1[[#This Row],[SKU]],'All Skus'!$A:$AC,24,FALSE)),"")))</f>
        <v/>
      </c>
      <c r="U41" s="151">
        <v>39</v>
      </c>
    </row>
    <row r="42" spans="1:21" ht="15" hidden="1" customHeight="1">
      <c r="A42" s="50" t="s">
        <v>199</v>
      </c>
      <c r="B42" s="52" t="str">
        <f>(IF((VLOOKUP(Table1[[#This Row],[SKU]],'All Skus'!$A:$AC,2,FALSE))="AKG",(VLOOKUP(Table1[[#This Row],[SKU]],'All Skus'!$A:$AC,3,FALSE)), ""))</f>
        <v>Wired Mics</v>
      </c>
      <c r="C42" s="60" t="str">
        <f>(IF((VLOOKUP(Table1[[#This Row],[SKU]],'All Skus'!$A:$AC,2,FALSE))="AKG",(VLOOKUP(Table1[[#This Row],[SKU]],'All Skus'!$A:$AC,4,FALSE)),""))</f>
        <v>P2</v>
      </c>
      <c r="D42" s="60" t="str">
        <f>(IF((VLOOKUP(Table1[[#This Row],[SKU]],'All Skus'!$A:$AC,2,FALSE))="AKG",(VLOOKUP(Table1[[#This Row],[SKU]],'All Skus'!$A:$AC,5,FALSE)),""))</f>
        <v>AT410020</v>
      </c>
      <c r="E42" s="60">
        <f>(IF((VLOOKUP(Table1[[#This Row],[SKU]],'All Skus'!$A:$AC,2,FALSE))="AKG",(VLOOKUP(Table1[[#This Row],[SKU]],'All Skus'!$A:$AC,6,FALSE)),""))</f>
        <v>0</v>
      </c>
      <c r="F42" s="60">
        <f>(IF((VLOOKUP(Table1[[#This Row],[SKU]],'All Skus'!$A:$AC,2,FALSE))="AKG",(VLOOKUP(Table1[[#This Row],[SKU]],'All Skus'!$A:$AC,7,FALSE)),""))</f>
        <v>0</v>
      </c>
      <c r="G42" s="45" t="str">
        <f>(IF((VLOOKUP(Table1[[#This Row],[SKU]],'All Skus'!$A:$AC,2,FALSE))="AKG",(VLOOKUP(Table1[[#This Row],[SKU]],'All Skus'!$A:$AC,8,FALSE)),""))</f>
        <v>Instrument Microphone</v>
      </c>
      <c r="H42" s="45" t="str">
        <f>(IF((VLOOKUP(Table1[[#This Row],[SKU]],'All Skus'!$A:$AC,2,FALSE))="AKG",(VLOOKUP(Table1[[#This Row],[SKU]],'All Skus'!$A:$AC,9,FALSE)),""))</f>
        <v>Dynamic microphone designed for low-pitched instruments</v>
      </c>
      <c r="I42" s="141">
        <f>(IF((VLOOKUP(Table1[[#This Row],[SKU]],'All Skus'!$A:$AC,2,FALSE))="AKG",(VLOOKUP(Table1[[#This Row],[SKU]],'All Skus'!$A:$AC,10,FALSE)),""))</f>
        <v>154.86000000000001</v>
      </c>
      <c r="J42" s="141">
        <f>(IF((VLOOKUP(Table1[[#This Row],[SKU]],'All Skus'!$A:$AC,2,FALSE))="AKG",(VLOOKUP(Table1[[#This Row],[SKU]],'All Skus'!$A:$AC,11,FALSE)),""))</f>
        <v>119</v>
      </c>
      <c r="K42" s="125">
        <f>(IF((VLOOKUP(Table1[[#This Row],[SKU]],'All Skus'!$A:$AC,2,FALSE))="AKG",(VLOOKUP(Table1[[#This Row],[SKU]],'All Skus'!$A:$AC,15,FALSE)),""))</f>
        <v>20</v>
      </c>
      <c r="L42" s="124">
        <f>(IF((VLOOKUP(Table1[[#This Row],[SKU]],'All Skus'!$A:$AC,2,FALSE))="AKG",(VLOOKUP(Table1[[#This Row],[SKU]],'All Skus'!$A:$AC,16,FALSE)),""))</f>
        <v>885038026976</v>
      </c>
      <c r="M42" s="124">
        <f>(IF((VLOOKUP(Table1[[#This Row],[SKU]],'All Skus'!$A:$AC,2,FALSE))="AKG",(VLOOKUP(Table1[[#This Row],[SKU]],'All Skus'!$A:$AC,17,FALSE)),""))</f>
        <v>9002761026979</v>
      </c>
      <c r="N42" s="64">
        <f>(IF((VLOOKUP(Table1[[#This Row],[SKU]],'All Skus'!$A:$AC,2,FALSE))="AKG",(VLOOKUP(Table1[[#This Row],[SKU]],'All Skus'!$A:$AC,18,FALSE)),""))</f>
        <v>3</v>
      </c>
      <c r="O42" s="64">
        <f>(IF((VLOOKUP(Table1[[#This Row],[SKU]],'All Skus'!$A:$AC,2,FALSE))="AKG",(VLOOKUP(Table1[[#This Row],[SKU]],'All Skus'!$A:$AC,19,FALSE)),""))</f>
        <v>8</v>
      </c>
      <c r="P42" s="64">
        <f>(IF((VLOOKUP(Table1[[#This Row],[SKU]],'All Skus'!$A:$AC,2,FALSE))="AKG",(VLOOKUP(Table1[[#This Row],[SKU]],'All Skus'!$A:$AC,20,FALSE)),""))</f>
        <v>6</v>
      </c>
      <c r="Q42" s="64">
        <f>(IF((VLOOKUP(Table1[[#This Row],[SKU]],'All Skus'!$A:$AC,2,FALSE))="AKG",(VLOOKUP(Table1[[#This Row],[SKU]],'All Skus'!$A:$AC,21,FALSE)),""))</f>
        <v>3.6</v>
      </c>
      <c r="R42" s="64" t="str">
        <f>(IF((VLOOKUP(Table1[[#This Row],[SKU]],'All Skus'!$A:$AC,2,FALSE))="AKG",(VLOOKUP(Table1[[#This Row],[SKU]],'All Skus'!$A:$AC,22,FALSE)),""))</f>
        <v>CN</v>
      </c>
      <c r="S42" s="64" t="str">
        <f>(IF((VLOOKUP(Table1[[#This Row],[SKU]],'All Skus'!$A:$AC,2,FALSE))="AKG",(VLOOKUP(Table1[[#This Row],[SKU]],'All Skus'!$A:$AC,23,FALSE)),""))</f>
        <v>Non Compliant</v>
      </c>
      <c r="T42" s="210" t="str">
        <f>HYPERLINK((IF((VLOOKUP(Table1[[#This Row],[SKU]],'All Skus'!$A:$AC,2,FALSE))="AKG",(VLOOKUP(Table1[[#This Row],[SKU]],'All Skus'!$A:$AC,24,FALSE)),"")))</f>
        <v>https://www.akg.com/Microphones/Dynamic%20Microphones/P2.html</v>
      </c>
      <c r="U42" s="151">
        <v>40</v>
      </c>
    </row>
    <row r="43" spans="1:21" ht="15" hidden="1" customHeight="1">
      <c r="A43" s="50" t="s">
        <v>200</v>
      </c>
      <c r="B43" s="52" t="str">
        <f>(IF((VLOOKUP(Table1[[#This Row],[SKU]],'All Skus'!$A:$AC,2,FALSE))="AKG",(VLOOKUP(Table1[[#This Row],[SKU]],'All Skus'!$A:$AC,3,FALSE)), ""))</f>
        <v>Wired Mics</v>
      </c>
      <c r="C43" s="60" t="str">
        <f>(IF((VLOOKUP(Table1[[#This Row],[SKU]],'All Skus'!$A:$AC,2,FALSE))="AKG",(VLOOKUP(Table1[[#This Row],[SKU]],'All Skus'!$A:$AC,4,FALSE)),""))</f>
        <v>P4</v>
      </c>
      <c r="D43" s="60" t="str">
        <f>(IF((VLOOKUP(Table1[[#This Row],[SKU]],'All Skus'!$A:$AC,2,FALSE))="AKG",(VLOOKUP(Table1[[#This Row],[SKU]],'All Skus'!$A:$AC,5,FALSE)),""))</f>
        <v>AT410020</v>
      </c>
      <c r="E43" s="60">
        <f>(IF((VLOOKUP(Table1[[#This Row],[SKU]],'All Skus'!$A:$AC,2,FALSE))="AKG",(VLOOKUP(Table1[[#This Row],[SKU]],'All Skus'!$A:$AC,6,FALSE)),""))</f>
        <v>0</v>
      </c>
      <c r="F43" s="60">
        <f>(IF((VLOOKUP(Table1[[#This Row],[SKU]],'All Skus'!$A:$AC,2,FALSE))="AKG",(VLOOKUP(Table1[[#This Row],[SKU]],'All Skus'!$A:$AC,7,FALSE)),""))</f>
        <v>0</v>
      </c>
      <c r="G43" s="45" t="str">
        <f>(IF((VLOOKUP(Table1[[#This Row],[SKU]],'All Skus'!$A:$AC,2,FALSE))="AKG",(VLOOKUP(Table1[[#This Row],[SKU]],'All Skus'!$A:$AC,8,FALSE)),""))</f>
        <v>Instrument Microphone</v>
      </c>
      <c r="H43" s="45" t="str">
        <f>(IF((VLOOKUP(Table1[[#This Row],[SKU]],'All Skus'!$A:$AC,2,FALSE))="AKG",(VLOOKUP(Table1[[#This Row],[SKU]],'All Skus'!$A:$AC,9,FALSE)),""))</f>
        <v>Dynamic microphone designed for drums and percussions, wind instruments and guitar amps</v>
      </c>
      <c r="I43" s="141">
        <f>(IF((VLOOKUP(Table1[[#This Row],[SKU]],'All Skus'!$A:$AC,2,FALSE))="AKG",(VLOOKUP(Table1[[#This Row],[SKU]],'All Skus'!$A:$AC,10,FALSE)),""))</f>
        <v>106.84</v>
      </c>
      <c r="J43" s="141">
        <f>(IF((VLOOKUP(Table1[[#This Row],[SKU]],'All Skus'!$A:$AC,2,FALSE))="AKG",(VLOOKUP(Table1[[#This Row],[SKU]],'All Skus'!$A:$AC,11,FALSE)),""))</f>
        <v>82</v>
      </c>
      <c r="K43" s="125">
        <f>(IF((VLOOKUP(Table1[[#This Row],[SKU]],'All Skus'!$A:$AC,2,FALSE))="AKG",(VLOOKUP(Table1[[#This Row],[SKU]],'All Skus'!$A:$AC,15,FALSE)),""))</f>
        <v>30</v>
      </c>
      <c r="L43" s="124">
        <f>(IF((VLOOKUP(Table1[[#This Row],[SKU]],'All Skus'!$A:$AC,2,FALSE))="AKG",(VLOOKUP(Table1[[#This Row],[SKU]],'All Skus'!$A:$AC,16,FALSE)),""))</f>
        <v>885038026952</v>
      </c>
      <c r="M43" s="124">
        <f>(IF((VLOOKUP(Table1[[#This Row],[SKU]],'All Skus'!$A:$AC,2,FALSE))="AKG",(VLOOKUP(Table1[[#This Row],[SKU]],'All Skus'!$A:$AC,17,FALSE)),""))</f>
        <v>9002761026955</v>
      </c>
      <c r="N43" s="64">
        <f>(IF((VLOOKUP(Table1[[#This Row],[SKU]],'All Skus'!$A:$AC,2,FALSE))="AKG",(VLOOKUP(Table1[[#This Row],[SKU]],'All Skus'!$A:$AC,18,FALSE)),""))</f>
        <v>3</v>
      </c>
      <c r="O43" s="64">
        <f>(IF((VLOOKUP(Table1[[#This Row],[SKU]],'All Skus'!$A:$AC,2,FALSE))="AKG",(VLOOKUP(Table1[[#This Row],[SKU]],'All Skus'!$A:$AC,19,FALSE)),""))</f>
        <v>7</v>
      </c>
      <c r="P43" s="64">
        <f>(IF((VLOOKUP(Table1[[#This Row],[SKU]],'All Skus'!$A:$AC,2,FALSE))="AKG",(VLOOKUP(Table1[[#This Row],[SKU]],'All Skus'!$A:$AC,20,FALSE)),""))</f>
        <v>5</v>
      </c>
      <c r="Q43" s="64">
        <f>(IF((VLOOKUP(Table1[[#This Row],[SKU]],'All Skus'!$A:$AC,2,FALSE))="AKG",(VLOOKUP(Table1[[#This Row],[SKU]],'All Skus'!$A:$AC,21,FALSE)),""))</f>
        <v>2.4</v>
      </c>
      <c r="R43" s="64" t="str">
        <f>(IF((VLOOKUP(Table1[[#This Row],[SKU]],'All Skus'!$A:$AC,2,FALSE))="AKG",(VLOOKUP(Table1[[#This Row],[SKU]],'All Skus'!$A:$AC,22,FALSE)),""))</f>
        <v>CN</v>
      </c>
      <c r="S43" s="64" t="str">
        <f>(IF((VLOOKUP(Table1[[#This Row],[SKU]],'All Skus'!$A:$AC,2,FALSE))="AKG",(VLOOKUP(Table1[[#This Row],[SKU]],'All Skus'!$A:$AC,23,FALSE)),""))</f>
        <v>Non Compliant</v>
      </c>
      <c r="T43" s="210" t="str">
        <f>HYPERLINK((IF((VLOOKUP(Table1[[#This Row],[SKU]],'All Skus'!$A:$AC,2,FALSE))="AKG",(VLOOKUP(Table1[[#This Row],[SKU]],'All Skus'!$A:$AC,24,FALSE)),"")))</f>
        <v>https://www.akg.com/Microphones/Dynamic%20Microphones/P4.html</v>
      </c>
      <c r="U43" s="151">
        <v>41</v>
      </c>
    </row>
    <row r="44" spans="1:21" ht="15" hidden="1" customHeight="1">
      <c r="A44" s="50" t="s">
        <v>201</v>
      </c>
      <c r="B44" s="52" t="str">
        <f>(IF((VLOOKUP(Table1[[#This Row],[SKU]],'All Skus'!$A:$AC,2,FALSE))="AKG",(VLOOKUP(Table1[[#This Row],[SKU]],'All Skus'!$A:$AC,3,FALSE)), ""))</f>
        <v>Wired Mics</v>
      </c>
      <c r="C44" s="60" t="str">
        <f>(IF((VLOOKUP(Table1[[#This Row],[SKU]],'All Skus'!$A:$AC,2,FALSE))="AKG",(VLOOKUP(Table1[[#This Row],[SKU]],'All Skus'!$A:$AC,4,FALSE)),""))</f>
        <v>C411 PP</v>
      </c>
      <c r="D44" s="60" t="str">
        <f>(IF((VLOOKUP(Table1[[#This Row],[SKU]],'All Skus'!$A:$AC,2,FALSE))="AKG",(VLOOKUP(Table1[[#This Row],[SKU]],'All Skus'!$A:$AC,5,FALSE)),""))</f>
        <v>AT410010</v>
      </c>
      <c r="E44" s="60">
        <f>(IF((VLOOKUP(Table1[[#This Row],[SKU]],'All Skus'!$A:$AC,2,FALSE))="AKG",(VLOOKUP(Table1[[#This Row],[SKU]],'All Skus'!$A:$AC,6,FALSE)),""))</f>
        <v>0</v>
      </c>
      <c r="F44" s="60">
        <f>(IF((VLOOKUP(Table1[[#This Row],[SKU]],'All Skus'!$A:$AC,2,FALSE))="AKG",(VLOOKUP(Table1[[#This Row],[SKU]],'All Skus'!$A:$AC,7,FALSE)),""))</f>
        <v>0</v>
      </c>
      <c r="G44" s="45" t="str">
        <f>(IF((VLOOKUP(Table1[[#This Row],[SKU]],'All Skus'!$A:$AC,2,FALSE))="AKG",(VLOOKUP(Table1[[#This Row],[SKU]],'All Skus'!$A:$AC,8,FALSE)),""))</f>
        <v>Instrument Microphone</v>
      </c>
      <c r="H44" s="45" t="str">
        <f>(IF((VLOOKUP(Table1[[#This Row],[SKU]],'All Skus'!$A:$AC,2,FALSE))="AKG",(VLOOKUP(Table1[[#This Row],[SKU]],'All Skus'!$A:$AC,9,FALSE)),""))</f>
        <v>For hardwire applications, with standard XLR connector for phantom powering.</v>
      </c>
      <c r="I44" s="141">
        <f>(IF((VLOOKUP(Table1[[#This Row],[SKU]],'All Skus'!$A:$AC,2,FALSE))="AKG",(VLOOKUP(Table1[[#This Row],[SKU]],'All Skus'!$A:$AC,10,FALSE)),""))</f>
        <v>250.9</v>
      </c>
      <c r="J44" s="141">
        <f>(IF((VLOOKUP(Table1[[#This Row],[SKU]],'All Skus'!$A:$AC,2,FALSE))="AKG",(VLOOKUP(Table1[[#This Row],[SKU]],'All Skus'!$A:$AC,11,FALSE)),""))</f>
        <v>205</v>
      </c>
      <c r="K44" s="125">
        <f>(IF((VLOOKUP(Table1[[#This Row],[SKU]],'All Skus'!$A:$AC,2,FALSE))="AKG",(VLOOKUP(Table1[[#This Row],[SKU]],'All Skus'!$A:$AC,15,FALSE)),""))</f>
        <v>5</v>
      </c>
      <c r="L44" s="124">
        <f>(IF((VLOOKUP(Table1[[#This Row],[SKU]],'All Skus'!$A:$AC,2,FALSE))="AKG",(VLOOKUP(Table1[[#This Row],[SKU]],'All Skus'!$A:$AC,16,FALSE)),""))</f>
        <v>885038006251</v>
      </c>
      <c r="M44" s="124">
        <f>(IF((VLOOKUP(Table1[[#This Row],[SKU]],'All Skus'!$A:$AC,2,FALSE))="AKG",(VLOOKUP(Table1[[#This Row],[SKU]],'All Skus'!$A:$AC,17,FALSE)),""))</f>
        <v>9002761006254</v>
      </c>
      <c r="N44" s="64">
        <f>(IF((VLOOKUP(Table1[[#This Row],[SKU]],'All Skus'!$A:$AC,2,FALSE))="AKG",(VLOOKUP(Table1[[#This Row],[SKU]],'All Skus'!$A:$AC,18,FALSE)),""))</f>
        <v>6.5</v>
      </c>
      <c r="O44" s="64">
        <f>(IF((VLOOKUP(Table1[[#This Row],[SKU]],'All Skus'!$A:$AC,2,FALSE))="AKG",(VLOOKUP(Table1[[#This Row],[SKU]],'All Skus'!$A:$AC,19,FALSE)),""))</f>
        <v>10.5</v>
      </c>
      <c r="P44" s="64">
        <f>(IF((VLOOKUP(Table1[[#This Row],[SKU]],'All Skus'!$A:$AC,2,FALSE))="AKG",(VLOOKUP(Table1[[#This Row],[SKU]],'All Skus'!$A:$AC,20,FALSE)),""))</f>
        <v>2.5</v>
      </c>
      <c r="Q44" s="64">
        <f>(IF((VLOOKUP(Table1[[#This Row],[SKU]],'All Skus'!$A:$AC,2,FALSE))="AKG",(VLOOKUP(Table1[[#This Row],[SKU]],'All Skus'!$A:$AC,21,FALSE)),""))</f>
        <v>2.4</v>
      </c>
      <c r="R44" s="64" t="str">
        <f>(IF((VLOOKUP(Table1[[#This Row],[SKU]],'All Skus'!$A:$AC,2,FALSE))="AKG",(VLOOKUP(Table1[[#This Row],[SKU]],'All Skus'!$A:$AC,22,FALSE)),""))</f>
        <v>AT</v>
      </c>
      <c r="S44" s="64" t="str">
        <f>(IF((VLOOKUP(Table1[[#This Row],[SKU]],'All Skus'!$A:$AC,2,FALSE))="AKG",(VLOOKUP(Table1[[#This Row],[SKU]],'All Skus'!$A:$AC,23,FALSE)),""))</f>
        <v>Compliant</v>
      </c>
      <c r="T44" s="210" t="str">
        <f>HYPERLINK((IF((VLOOKUP(Table1[[#This Row],[SKU]],'All Skus'!$A:$AC,2,FALSE))="AKG",(VLOOKUP(Table1[[#This Row],[SKU]],'All Skus'!$A:$AC,24,FALSE)),"")))</f>
        <v>https://www.akg.com/Microphones/Condenser%20Microphones/C411PP.html</v>
      </c>
      <c r="U44" s="151">
        <v>42</v>
      </c>
    </row>
    <row r="45" spans="1:21" ht="15" hidden="1" customHeight="1">
      <c r="A45" s="50" t="s">
        <v>202</v>
      </c>
      <c r="B45" s="52" t="str">
        <f>(IF((VLOOKUP(Table1[[#This Row],[SKU]],'All Skus'!$A:$AC,2,FALSE))="AKG",(VLOOKUP(Table1[[#This Row],[SKU]],'All Skus'!$A:$AC,3,FALSE)), ""))</f>
        <v>Wired Mics</v>
      </c>
      <c r="C45" s="60" t="str">
        <f>(IF((VLOOKUP(Table1[[#This Row],[SKU]],'All Skus'!$A:$AC,2,FALSE))="AKG",(VLOOKUP(Table1[[#This Row],[SKU]],'All Skus'!$A:$AC,4,FALSE)),""))</f>
        <v>C411 L</v>
      </c>
      <c r="D45" s="60" t="str">
        <f>(IF((VLOOKUP(Table1[[#This Row],[SKU]],'All Skus'!$A:$AC,2,FALSE))="AKG",(VLOOKUP(Table1[[#This Row],[SKU]],'All Skus'!$A:$AC,5,FALSE)),""))</f>
        <v>AT410010</v>
      </c>
      <c r="E45" s="60">
        <f>(IF((VLOOKUP(Table1[[#This Row],[SKU]],'All Skus'!$A:$AC,2,FALSE))="AKG",(VLOOKUP(Table1[[#This Row],[SKU]],'All Skus'!$A:$AC,6,FALSE)),""))</f>
        <v>0</v>
      </c>
      <c r="F45" s="60">
        <f>(IF((VLOOKUP(Table1[[#This Row],[SKU]],'All Skus'!$A:$AC,2,FALSE))="AKG",(VLOOKUP(Table1[[#This Row],[SKU]],'All Skus'!$A:$AC,7,FALSE)),""))</f>
        <v>0</v>
      </c>
      <c r="G45" s="45" t="str">
        <f>(IF((VLOOKUP(Table1[[#This Row],[SKU]],'All Skus'!$A:$AC,2,FALSE))="AKG",(VLOOKUP(Table1[[#This Row],[SKU]],'All Skus'!$A:$AC,8,FALSE)),""))</f>
        <v>Instrument Microphone</v>
      </c>
      <c r="H45" s="45" t="str">
        <f>(IF((VLOOKUP(Table1[[#This Row],[SKU]],'All Skus'!$A:$AC,2,FALSE))="AKG",(VLOOKUP(Table1[[#This Row],[SKU]],'All Skus'!$A:$AC,9,FALSE)),""))</f>
        <v>Ultra-light vibration pickup with mini XLR connector for use with B29 L battery operated power supply or AKG WMS bodypack transmitters.</v>
      </c>
      <c r="I45" s="141">
        <f>(IF((VLOOKUP(Table1[[#This Row],[SKU]],'All Skus'!$A:$AC,2,FALSE))="AKG",(VLOOKUP(Table1[[#This Row],[SKU]],'All Skus'!$A:$AC,10,FALSE)),""))</f>
        <v>190.87</v>
      </c>
      <c r="J45" s="141">
        <f>(IF((VLOOKUP(Table1[[#This Row],[SKU]],'All Skus'!$A:$AC,2,FALSE))="AKG",(VLOOKUP(Table1[[#This Row],[SKU]],'All Skus'!$A:$AC,11,FALSE)),""))</f>
        <v>154</v>
      </c>
      <c r="K45" s="125">
        <f>(IF((VLOOKUP(Table1[[#This Row],[SKU]],'All Skus'!$A:$AC,2,FALSE))="AKG",(VLOOKUP(Table1[[#This Row],[SKU]],'All Skus'!$A:$AC,15,FALSE)),""))</f>
        <v>10</v>
      </c>
      <c r="L45" s="124">
        <f>(IF((VLOOKUP(Table1[[#This Row],[SKU]],'All Skus'!$A:$AC,2,FALSE))="AKG",(VLOOKUP(Table1[[#This Row],[SKU]],'All Skus'!$A:$AC,16,FALSE)),""))</f>
        <v>885038003809</v>
      </c>
      <c r="M45" s="124">
        <f>(IF((VLOOKUP(Table1[[#This Row],[SKU]],'All Skus'!$A:$AC,2,FALSE))="AKG",(VLOOKUP(Table1[[#This Row],[SKU]],'All Skus'!$A:$AC,17,FALSE)),""))</f>
        <v>9002761003802</v>
      </c>
      <c r="N45" s="64">
        <f>(IF((VLOOKUP(Table1[[#This Row],[SKU]],'All Skus'!$A:$AC,2,FALSE))="AKG",(VLOOKUP(Table1[[#This Row],[SKU]],'All Skus'!$A:$AC,18,FALSE)),""))</f>
        <v>6.8112000000000004</v>
      </c>
      <c r="O45" s="64">
        <f>(IF((VLOOKUP(Table1[[#This Row],[SKU]],'All Skus'!$A:$AC,2,FALSE))="AKG",(VLOOKUP(Table1[[#This Row],[SKU]],'All Skus'!$A:$AC,19,FALSE)),""))</f>
        <v>11.6</v>
      </c>
      <c r="P45" s="64">
        <f>(IF((VLOOKUP(Table1[[#This Row],[SKU]],'All Skus'!$A:$AC,2,FALSE))="AKG",(VLOOKUP(Table1[[#This Row],[SKU]],'All Skus'!$A:$AC,20,FALSE)),""))</f>
        <v>8.4</v>
      </c>
      <c r="Q45" s="64">
        <f>(IF((VLOOKUP(Table1[[#This Row],[SKU]],'All Skus'!$A:$AC,2,FALSE))="AKG",(VLOOKUP(Table1[[#This Row],[SKU]],'All Skus'!$A:$AC,21,FALSE)),""))</f>
        <v>8.4</v>
      </c>
      <c r="R45" s="64" t="str">
        <f>(IF((VLOOKUP(Table1[[#This Row],[SKU]],'All Skus'!$A:$AC,2,FALSE))="AKG",(VLOOKUP(Table1[[#This Row],[SKU]],'All Skus'!$A:$AC,22,FALSE)),""))</f>
        <v>AT</v>
      </c>
      <c r="S45" s="64" t="str">
        <f>(IF((VLOOKUP(Table1[[#This Row],[SKU]],'All Skus'!$A:$AC,2,FALSE))="AKG",(VLOOKUP(Table1[[#This Row],[SKU]],'All Skus'!$A:$AC,23,FALSE)),""))</f>
        <v>Compliant</v>
      </c>
      <c r="T45" s="210" t="str">
        <f>HYPERLINK((IF((VLOOKUP(Table1[[#This Row],[SKU]],'All Skus'!$A:$AC,2,FALSE))="AKG",(VLOOKUP(Table1[[#This Row],[SKU]],'All Skus'!$A:$AC,24,FALSE)),"")))</f>
        <v>https://www.akg.com/Microphones/Condenser%20Microphones/C411L.html</v>
      </c>
      <c r="U45" s="151">
        <v>43</v>
      </c>
    </row>
    <row r="46" spans="1:21" ht="15" hidden="1" customHeight="1">
      <c r="A46" s="50" t="s">
        <v>203</v>
      </c>
      <c r="B46" s="52" t="str">
        <f>(IF((VLOOKUP(Table1[[#This Row],[SKU]],'All Skus'!$A:$AC,2,FALSE))="AKG",(VLOOKUP(Table1[[#This Row],[SKU]],'All Skus'!$A:$AC,3,FALSE)), ""))</f>
        <v>Wired Mics</v>
      </c>
      <c r="C46" s="60" t="str">
        <f>(IF((VLOOKUP(Table1[[#This Row],[SKU]],'All Skus'!$A:$AC,2,FALSE))="AKG",(VLOOKUP(Table1[[#This Row],[SKU]],'All Skus'!$A:$AC,4,FALSE)),""))</f>
        <v>C430</v>
      </c>
      <c r="D46" s="60" t="str">
        <f>(IF((VLOOKUP(Table1[[#This Row],[SKU]],'All Skus'!$A:$AC,2,FALSE))="AKG",(VLOOKUP(Table1[[#This Row],[SKU]],'All Skus'!$A:$AC,5,FALSE)),""))</f>
        <v>AT410010</v>
      </c>
      <c r="E46" s="60">
        <f>(IF((VLOOKUP(Table1[[#This Row],[SKU]],'All Skus'!$A:$AC,2,FALSE))="AKG",(VLOOKUP(Table1[[#This Row],[SKU]],'All Skus'!$A:$AC,6,FALSE)),""))</f>
        <v>0</v>
      </c>
      <c r="F46" s="60">
        <f>(IF((VLOOKUP(Table1[[#This Row],[SKU]],'All Skus'!$A:$AC,2,FALSE))="AKG",(VLOOKUP(Table1[[#This Row],[SKU]],'All Skus'!$A:$AC,7,FALSE)),""))</f>
        <v>0</v>
      </c>
      <c r="G46" s="45" t="str">
        <f>(IF((VLOOKUP(Table1[[#This Row],[SKU]],'All Skus'!$A:$AC,2,FALSE))="AKG",(VLOOKUP(Table1[[#This Row],[SKU]],'All Skus'!$A:$AC,8,FALSE)),""))</f>
        <v>Instrument Microphone</v>
      </c>
      <c r="H46" s="45" t="str">
        <f>(IF((VLOOKUP(Table1[[#This Row],[SKU]],'All Skus'!$A:$AC,2,FALSE))="AKG",(VLOOKUP(Table1[[#This Row],[SKU]],'All Skus'!$A:$AC,9,FALSE)),""))</f>
        <v xml:space="preserve">Overhead mic for hardwire applications, with standard XLR connector for phantom powering.
</v>
      </c>
      <c r="I46" s="141">
        <f>(IF((VLOOKUP(Table1[[#This Row],[SKU]],'All Skus'!$A:$AC,2,FALSE))="AKG",(VLOOKUP(Table1[[#This Row],[SKU]],'All Skus'!$A:$AC,10,FALSE)),""))</f>
        <v>298.92</v>
      </c>
      <c r="J46" s="141">
        <f>(IF((VLOOKUP(Table1[[#This Row],[SKU]],'All Skus'!$A:$AC,2,FALSE))="AKG",(VLOOKUP(Table1[[#This Row],[SKU]],'All Skus'!$A:$AC,11,FALSE)),""))</f>
        <v>236</v>
      </c>
      <c r="K46" s="125">
        <f>(IF((VLOOKUP(Table1[[#This Row],[SKU]],'All Skus'!$A:$AC,2,FALSE))="AKG",(VLOOKUP(Table1[[#This Row],[SKU]],'All Skus'!$A:$AC,15,FALSE)),""))</f>
        <v>30</v>
      </c>
      <c r="L46" s="124">
        <f>(IF((VLOOKUP(Table1[[#This Row],[SKU]],'All Skus'!$A:$AC,2,FALSE))="AKG",(VLOOKUP(Table1[[#This Row],[SKU]],'All Skus'!$A:$AC,16,FALSE)),""))</f>
        <v>885038039365</v>
      </c>
      <c r="M46" s="124">
        <f>(IF((VLOOKUP(Table1[[#This Row],[SKU]],'All Skus'!$A:$AC,2,FALSE))="AKG",(VLOOKUP(Table1[[#This Row],[SKU]],'All Skus'!$A:$AC,17,FALSE)),""))</f>
        <v>9002761005936</v>
      </c>
      <c r="N46" s="64">
        <f>(IF((VLOOKUP(Table1[[#This Row],[SKU]],'All Skus'!$A:$AC,2,FALSE))="AKG",(VLOOKUP(Table1[[#This Row],[SKU]],'All Skus'!$A:$AC,18,FALSE)),""))</f>
        <v>6.5</v>
      </c>
      <c r="O46" s="64">
        <f>(IF((VLOOKUP(Table1[[#This Row],[SKU]],'All Skus'!$A:$AC,2,FALSE))="AKG",(VLOOKUP(Table1[[#This Row],[SKU]],'All Skus'!$A:$AC,19,FALSE)),""))</f>
        <v>2.5</v>
      </c>
      <c r="P46" s="64">
        <f>(IF((VLOOKUP(Table1[[#This Row],[SKU]],'All Skus'!$A:$AC,2,FALSE))="AKG",(VLOOKUP(Table1[[#This Row],[SKU]],'All Skus'!$A:$AC,20,FALSE)),""))</f>
        <v>5</v>
      </c>
      <c r="Q46" s="64">
        <f>(IF((VLOOKUP(Table1[[#This Row],[SKU]],'All Skus'!$A:$AC,2,FALSE))="AKG",(VLOOKUP(Table1[[#This Row],[SKU]],'All Skus'!$A:$AC,21,FALSE)),""))</f>
        <v>2.4</v>
      </c>
      <c r="R46" s="64" t="str">
        <f>(IF((VLOOKUP(Table1[[#This Row],[SKU]],'All Skus'!$A:$AC,2,FALSE))="AKG",(VLOOKUP(Table1[[#This Row],[SKU]],'All Skus'!$A:$AC,22,FALSE)),""))</f>
        <v>CN</v>
      </c>
      <c r="S46" s="64" t="str">
        <f>(IF((VLOOKUP(Table1[[#This Row],[SKU]],'All Skus'!$A:$AC,2,FALSE))="AKG",(VLOOKUP(Table1[[#This Row],[SKU]],'All Skus'!$A:$AC,23,FALSE)),""))</f>
        <v>Non Compliant</v>
      </c>
      <c r="T46" s="210" t="str">
        <f>HYPERLINK((IF((VLOOKUP(Table1[[#This Row],[SKU]],'All Skus'!$A:$AC,2,FALSE))="AKG",(VLOOKUP(Table1[[#This Row],[SKU]],'All Skus'!$A:$AC,24,FALSE)),"")))</f>
        <v>https://www.akg.com/Microphones/Condenser%20Microphones/C430.html</v>
      </c>
      <c r="U46" s="151">
        <v>44</v>
      </c>
    </row>
    <row r="47" spans="1:21" ht="15" hidden="1" customHeight="1">
      <c r="A47" s="50" t="s">
        <v>204</v>
      </c>
      <c r="B47" s="52" t="str">
        <f>(IF((VLOOKUP(Table1[[#This Row],[SKU]],'All Skus'!$A:$AC,2,FALSE))="AKG",(VLOOKUP(Table1[[#This Row],[SKU]],'All Skus'!$A:$AC,3,FALSE)), ""))</f>
        <v>Wired Mics</v>
      </c>
      <c r="C47" s="60" t="str">
        <f>(IF((VLOOKUP(Table1[[#This Row],[SKU]],'All Skus'!$A:$AC,2,FALSE))="AKG",(VLOOKUP(Table1[[#This Row],[SKU]],'All Skus'!$A:$AC,4,FALSE)),""))</f>
        <v>C516 ML</v>
      </c>
      <c r="D47" s="60" t="str">
        <f>(IF((VLOOKUP(Table1[[#This Row],[SKU]],'All Skus'!$A:$AC,2,FALSE))="AKG",(VLOOKUP(Table1[[#This Row],[SKU]],'All Skus'!$A:$AC,5,FALSE)),""))</f>
        <v>AT410010</v>
      </c>
      <c r="E47" s="60">
        <f>(IF((VLOOKUP(Table1[[#This Row],[SKU]],'All Skus'!$A:$AC,2,FALSE))="AKG",(VLOOKUP(Table1[[#This Row],[SKU]],'All Skus'!$A:$AC,6,FALSE)),""))</f>
        <v>0</v>
      </c>
      <c r="F47" s="60">
        <f>(IF((VLOOKUP(Table1[[#This Row],[SKU]],'All Skus'!$A:$AC,2,FALSE))="AKG",(VLOOKUP(Table1[[#This Row],[SKU]],'All Skus'!$A:$AC,7,FALSE)),""))</f>
        <v>0</v>
      </c>
      <c r="G47" s="45" t="str">
        <f>(IF((VLOOKUP(Table1[[#This Row],[SKU]],'All Skus'!$A:$AC,2,FALSE))="AKG",(VLOOKUP(Table1[[#This Row],[SKU]],'All Skus'!$A:$AC,8,FALSE)),""))</f>
        <v>Instrument Microphone</v>
      </c>
      <c r="H47" s="45" t="str">
        <f>(IF((VLOOKUP(Table1[[#This Row],[SKU]],'All Skus'!$A:$AC,2,FALSE))="AKG",(VLOOKUP(Table1[[#This Row],[SKU]],'All Skus'!$A:$AC,9,FALSE)),""))</f>
        <v>Ultra-light hypercardioid instrumental miniature mic for accordeon and speakers with mini XLR connector for use with B29 L battery operated power supply, MPA V L external phantom power adapter, or AKG WMS bodypack transmitters.</v>
      </c>
      <c r="I47" s="141">
        <f>(IF((VLOOKUP(Table1[[#This Row],[SKU]],'All Skus'!$A:$AC,2,FALSE))="AKG",(VLOOKUP(Table1[[#This Row],[SKU]],'All Skus'!$A:$AC,10,FALSE)),""))</f>
        <v>286.91000000000003</v>
      </c>
      <c r="J47" s="141">
        <f>(IF((VLOOKUP(Table1[[#This Row],[SKU]],'All Skus'!$A:$AC,2,FALSE))="AKG",(VLOOKUP(Table1[[#This Row],[SKU]],'All Skus'!$A:$AC,11,FALSE)),""))</f>
        <v>226</v>
      </c>
      <c r="K47" s="125">
        <f>(IF((VLOOKUP(Table1[[#This Row],[SKU]],'All Skus'!$A:$AC,2,FALSE))="AKG",(VLOOKUP(Table1[[#This Row],[SKU]],'All Skus'!$A:$AC,15,FALSE)),""))</f>
        <v>12</v>
      </c>
      <c r="L47" s="124">
        <f>(IF((VLOOKUP(Table1[[#This Row],[SKU]],'All Skus'!$A:$AC,2,FALSE))="AKG",(VLOOKUP(Table1[[#This Row],[SKU]],'All Skus'!$A:$AC,16,FALSE)),""))</f>
        <v>885038018605</v>
      </c>
      <c r="M47" s="124">
        <f>(IF((VLOOKUP(Table1[[#This Row],[SKU]],'All Skus'!$A:$AC,2,FALSE))="AKG",(VLOOKUP(Table1[[#This Row],[SKU]],'All Skus'!$A:$AC,17,FALSE)),""))</f>
        <v>9002761018608</v>
      </c>
      <c r="N47" s="64">
        <f>(IF((VLOOKUP(Table1[[#This Row],[SKU]],'All Skus'!$A:$AC,2,FALSE))="AKG",(VLOOKUP(Table1[[#This Row],[SKU]],'All Skus'!$A:$AC,18,FALSE)),""))</f>
        <v>7</v>
      </c>
      <c r="O47" s="64">
        <f>(IF((VLOOKUP(Table1[[#This Row],[SKU]],'All Skus'!$A:$AC,2,FALSE))="AKG",(VLOOKUP(Table1[[#This Row],[SKU]],'All Skus'!$A:$AC,19,FALSE)),""))</f>
        <v>3</v>
      </c>
      <c r="P47" s="64">
        <f>(IF((VLOOKUP(Table1[[#This Row],[SKU]],'All Skus'!$A:$AC,2,FALSE))="AKG",(VLOOKUP(Table1[[#This Row],[SKU]],'All Skus'!$A:$AC,20,FALSE)),""))</f>
        <v>6</v>
      </c>
      <c r="Q47" s="64">
        <f>(IF((VLOOKUP(Table1[[#This Row],[SKU]],'All Skus'!$A:$AC,2,FALSE))="AKG",(VLOOKUP(Table1[[#This Row],[SKU]],'All Skus'!$A:$AC,21,FALSE)),""))</f>
        <v>2.8</v>
      </c>
      <c r="R47" s="64" t="str">
        <f>(IF((VLOOKUP(Table1[[#This Row],[SKU]],'All Skus'!$A:$AC,2,FALSE))="AKG",(VLOOKUP(Table1[[#This Row],[SKU]],'All Skus'!$A:$AC,22,FALSE)),""))</f>
        <v>CN</v>
      </c>
      <c r="S47" s="64" t="str">
        <f>(IF((VLOOKUP(Table1[[#This Row],[SKU]],'All Skus'!$A:$AC,2,FALSE))="AKG",(VLOOKUP(Table1[[#This Row],[SKU]],'All Skus'!$A:$AC,23,FALSE)),""))</f>
        <v>Non Compliant</v>
      </c>
      <c r="T47" s="210" t="str">
        <f>HYPERLINK((IF((VLOOKUP(Table1[[#This Row],[SKU]],'All Skus'!$A:$AC,2,FALSE))="AKG",(VLOOKUP(Table1[[#This Row],[SKU]],'All Skus'!$A:$AC,24,FALSE)),"")))</f>
        <v>https://www.akg.com/Microphones/Condenser%20Microphones/C516ML.html</v>
      </c>
      <c r="U47" s="151">
        <v>45</v>
      </c>
    </row>
    <row r="48" spans="1:21" ht="15" hidden="1" customHeight="1">
      <c r="A48" s="50" t="s">
        <v>205</v>
      </c>
      <c r="B48" s="52" t="str">
        <f>(IF((VLOOKUP(Table1[[#This Row],[SKU]],'All Skus'!$A:$AC,2,FALSE))="AKG",(VLOOKUP(Table1[[#This Row],[SKU]],'All Skus'!$A:$AC,3,FALSE)), ""))</f>
        <v>Wired Mics</v>
      </c>
      <c r="C48" s="60" t="str">
        <f>(IF((VLOOKUP(Table1[[#This Row],[SKU]],'All Skus'!$A:$AC,2,FALSE))="AKG",(VLOOKUP(Table1[[#This Row],[SKU]],'All Skus'!$A:$AC,4,FALSE)),""))</f>
        <v xml:space="preserve">C518 M </v>
      </c>
      <c r="D48" s="60" t="str">
        <f>(IF((VLOOKUP(Table1[[#This Row],[SKU]],'All Skus'!$A:$AC,2,FALSE))="AKG",(VLOOKUP(Table1[[#This Row],[SKU]],'All Skus'!$A:$AC,5,FALSE)),""))</f>
        <v>AT410010</v>
      </c>
      <c r="E48" s="60">
        <f>(IF((VLOOKUP(Table1[[#This Row],[SKU]],'All Skus'!$A:$AC,2,FALSE))="AKG",(VLOOKUP(Table1[[#This Row],[SKU]],'All Skus'!$A:$AC,6,FALSE)),""))</f>
        <v>0</v>
      </c>
      <c r="F48" s="60">
        <f>(IF((VLOOKUP(Table1[[#This Row],[SKU]],'All Skus'!$A:$AC,2,FALSE))="AKG",(VLOOKUP(Table1[[#This Row],[SKU]],'All Skus'!$A:$AC,7,FALSE)),""))</f>
        <v>0</v>
      </c>
      <c r="G48" s="45" t="str">
        <f>(IF((VLOOKUP(Table1[[#This Row],[SKU]],'All Skus'!$A:$AC,2,FALSE))="AKG",(VLOOKUP(Table1[[#This Row],[SKU]],'All Skus'!$A:$AC,8,FALSE)),""))</f>
        <v>Instrument Microphone</v>
      </c>
      <c r="H48" s="45" t="str">
        <f>(IF((VLOOKUP(Table1[[#This Row],[SKU]],'All Skus'!$A:$AC,2,FALSE))="AKG",(VLOOKUP(Table1[[#This Row],[SKU]],'All Skus'!$A:$AC,9,FALSE)),""))</f>
        <v xml:space="preserve">Miniature clip-on mic for drums &amp; percussion for hardwire applications, with standard XLR connector for phantom powering.
</v>
      </c>
      <c r="I48" s="141">
        <f>(IF((VLOOKUP(Table1[[#This Row],[SKU]],'All Skus'!$A:$AC,2,FALSE))="AKG",(VLOOKUP(Table1[[#This Row],[SKU]],'All Skus'!$A:$AC,10,FALSE)),""))</f>
        <v>382.95</v>
      </c>
      <c r="J48" s="141">
        <f>(IF((VLOOKUP(Table1[[#This Row],[SKU]],'All Skus'!$A:$AC,2,FALSE))="AKG",(VLOOKUP(Table1[[#This Row],[SKU]],'All Skus'!$A:$AC,11,FALSE)),""))</f>
        <v>298</v>
      </c>
      <c r="K48" s="125">
        <f>(IF((VLOOKUP(Table1[[#This Row],[SKU]],'All Skus'!$A:$AC,2,FALSE))="AKG",(VLOOKUP(Table1[[#This Row],[SKU]],'All Skus'!$A:$AC,15,FALSE)),""))</f>
        <v>12</v>
      </c>
      <c r="L48" s="124">
        <f>(IF((VLOOKUP(Table1[[#This Row],[SKU]],'All Skus'!$A:$AC,2,FALSE))="AKG",(VLOOKUP(Table1[[#This Row],[SKU]],'All Skus'!$A:$AC,16,FALSE)),""))</f>
        <v>885038018612</v>
      </c>
      <c r="M48" s="124">
        <f>(IF((VLOOKUP(Table1[[#This Row],[SKU]],'All Skus'!$A:$AC,2,FALSE))="AKG",(VLOOKUP(Table1[[#This Row],[SKU]],'All Skus'!$A:$AC,17,FALSE)),""))</f>
        <v>9002761018615</v>
      </c>
      <c r="N48" s="64">
        <f>(IF((VLOOKUP(Table1[[#This Row],[SKU]],'All Skus'!$A:$AC,2,FALSE))="AKG",(VLOOKUP(Table1[[#This Row],[SKU]],'All Skus'!$A:$AC,18,FALSE)),""))</f>
        <v>7</v>
      </c>
      <c r="O48" s="64">
        <f>(IF((VLOOKUP(Table1[[#This Row],[SKU]],'All Skus'!$A:$AC,2,FALSE))="AKG",(VLOOKUP(Table1[[#This Row],[SKU]],'All Skus'!$A:$AC,19,FALSE)),""))</f>
        <v>3</v>
      </c>
      <c r="P48" s="64">
        <f>(IF((VLOOKUP(Table1[[#This Row],[SKU]],'All Skus'!$A:$AC,2,FALSE))="AKG",(VLOOKUP(Table1[[#This Row],[SKU]],'All Skus'!$A:$AC,20,FALSE)),""))</f>
        <v>6</v>
      </c>
      <c r="Q48" s="64">
        <f>(IF((VLOOKUP(Table1[[#This Row],[SKU]],'All Skus'!$A:$AC,2,FALSE))="AKG",(VLOOKUP(Table1[[#This Row],[SKU]],'All Skus'!$A:$AC,21,FALSE)),""))</f>
        <v>2.8</v>
      </c>
      <c r="R48" s="64" t="str">
        <f>(IF((VLOOKUP(Table1[[#This Row],[SKU]],'All Skus'!$A:$AC,2,FALSE))="AKG",(VLOOKUP(Table1[[#This Row],[SKU]],'All Skus'!$A:$AC,22,FALSE)),""))</f>
        <v>CN</v>
      </c>
      <c r="S48" s="64" t="str">
        <f>(IF((VLOOKUP(Table1[[#This Row],[SKU]],'All Skus'!$A:$AC,2,FALSE))="AKG",(VLOOKUP(Table1[[#This Row],[SKU]],'All Skus'!$A:$AC,23,FALSE)),""))</f>
        <v>Non Compliant</v>
      </c>
      <c r="T48" s="210" t="str">
        <f>HYPERLINK((IF((VLOOKUP(Table1[[#This Row],[SKU]],'All Skus'!$A:$AC,2,FALSE))="AKG",(VLOOKUP(Table1[[#This Row],[SKU]],'All Skus'!$A:$AC,24,FALSE)),"")))</f>
        <v>https://www.akg.com/Microphones/Condenser%20Microphones/3064X00010.html</v>
      </c>
      <c r="U48" s="151">
        <v>46</v>
      </c>
    </row>
    <row r="49" spans="1:21" ht="15" hidden="1" customHeight="1">
      <c r="A49" s="50" t="s">
        <v>206</v>
      </c>
      <c r="B49" s="52" t="str">
        <f>(IF((VLOOKUP(Table1[[#This Row],[SKU]],'All Skus'!$A:$AC,2,FALSE))="AKG",(VLOOKUP(Table1[[#This Row],[SKU]],'All Skus'!$A:$AC,3,FALSE)), ""))</f>
        <v>Wired Mics</v>
      </c>
      <c r="C49" s="60" t="str">
        <f>(IF((VLOOKUP(Table1[[#This Row],[SKU]],'All Skus'!$A:$AC,2,FALSE))="AKG",(VLOOKUP(Table1[[#This Row],[SKU]],'All Skus'!$A:$AC,4,FALSE)),""))</f>
        <v>C518 ML</v>
      </c>
      <c r="D49" s="60" t="str">
        <f>(IF((VLOOKUP(Table1[[#This Row],[SKU]],'All Skus'!$A:$AC,2,FALSE))="AKG",(VLOOKUP(Table1[[#This Row],[SKU]],'All Skus'!$A:$AC,5,FALSE)),""))</f>
        <v>AT410010</v>
      </c>
      <c r="E49" s="60">
        <f>(IF((VLOOKUP(Table1[[#This Row],[SKU]],'All Skus'!$A:$AC,2,FALSE))="AKG",(VLOOKUP(Table1[[#This Row],[SKU]],'All Skus'!$A:$AC,6,FALSE)),""))</f>
        <v>0</v>
      </c>
      <c r="F49" s="60">
        <f>(IF((VLOOKUP(Table1[[#This Row],[SKU]],'All Skus'!$A:$AC,2,FALSE))="AKG",(VLOOKUP(Table1[[#This Row],[SKU]],'All Skus'!$A:$AC,7,FALSE)),""))</f>
        <v>0</v>
      </c>
      <c r="G49" s="45" t="str">
        <f>(IF((VLOOKUP(Table1[[#This Row],[SKU]],'All Skus'!$A:$AC,2,FALSE))="AKG",(VLOOKUP(Table1[[#This Row],[SKU]],'All Skus'!$A:$AC,8,FALSE)),""))</f>
        <v>Instrument Microphone</v>
      </c>
      <c r="H49" s="45" t="str">
        <f>(IF((VLOOKUP(Table1[[#This Row],[SKU]],'All Skus'!$A:$AC,2,FALSE))="AKG",(VLOOKUP(Table1[[#This Row],[SKU]],'All Skus'!$A:$AC,9,FALSE)),""))</f>
        <v>Miniature clip-on mic for drums &amp; percussion with mini XLR connector for use with B29 L battery operated power supply, MPA V L external phantom power adapter, or AKG WMS bodypack transmitters.</v>
      </c>
      <c r="I49" s="141">
        <f>(IF((VLOOKUP(Table1[[#This Row],[SKU]],'All Skus'!$A:$AC,2,FALSE))="AKG",(VLOOKUP(Table1[[#This Row],[SKU]],'All Skus'!$A:$AC,10,FALSE)),""))</f>
        <v>286.91000000000003</v>
      </c>
      <c r="J49" s="141">
        <f>(IF((VLOOKUP(Table1[[#This Row],[SKU]],'All Skus'!$A:$AC,2,FALSE))="AKG",(VLOOKUP(Table1[[#This Row],[SKU]],'All Skus'!$A:$AC,11,FALSE)),""))</f>
        <v>226</v>
      </c>
      <c r="K49" s="125">
        <f>(IF((VLOOKUP(Table1[[#This Row],[SKU]],'All Skus'!$A:$AC,2,FALSE))="AKG",(VLOOKUP(Table1[[#This Row],[SKU]],'All Skus'!$A:$AC,15,FALSE)),""))</f>
        <v>12</v>
      </c>
      <c r="L49" s="124">
        <f>(IF((VLOOKUP(Table1[[#This Row],[SKU]],'All Skus'!$A:$AC,2,FALSE))="AKG",(VLOOKUP(Table1[[#This Row],[SKU]],'All Skus'!$A:$AC,16,FALSE)),""))</f>
        <v>885038018629</v>
      </c>
      <c r="M49" s="124">
        <f>(IF((VLOOKUP(Table1[[#This Row],[SKU]],'All Skus'!$A:$AC,2,FALSE))="AKG",(VLOOKUP(Table1[[#This Row],[SKU]],'All Skus'!$A:$AC,17,FALSE)),""))</f>
        <v>9002761018622</v>
      </c>
      <c r="N49" s="64">
        <f>(IF((VLOOKUP(Table1[[#This Row],[SKU]],'All Skus'!$A:$AC,2,FALSE))="AKG",(VLOOKUP(Table1[[#This Row],[SKU]],'All Skus'!$A:$AC,18,FALSE)),""))</f>
        <v>7</v>
      </c>
      <c r="O49" s="64">
        <f>(IF((VLOOKUP(Table1[[#This Row],[SKU]],'All Skus'!$A:$AC,2,FALSE))="AKG",(VLOOKUP(Table1[[#This Row],[SKU]],'All Skus'!$A:$AC,19,FALSE)),""))</f>
        <v>3</v>
      </c>
      <c r="P49" s="64">
        <f>(IF((VLOOKUP(Table1[[#This Row],[SKU]],'All Skus'!$A:$AC,2,FALSE))="AKG",(VLOOKUP(Table1[[#This Row],[SKU]],'All Skus'!$A:$AC,20,FALSE)),""))</f>
        <v>6</v>
      </c>
      <c r="Q49" s="64">
        <f>(IF((VLOOKUP(Table1[[#This Row],[SKU]],'All Skus'!$A:$AC,2,FALSE))="AKG",(VLOOKUP(Table1[[#This Row],[SKU]],'All Skus'!$A:$AC,21,FALSE)),""))</f>
        <v>2.8</v>
      </c>
      <c r="R49" s="64" t="str">
        <f>(IF((VLOOKUP(Table1[[#This Row],[SKU]],'All Skus'!$A:$AC,2,FALSE))="AKG",(VLOOKUP(Table1[[#This Row],[SKU]],'All Skus'!$A:$AC,22,FALSE)),""))</f>
        <v>CN</v>
      </c>
      <c r="S49" s="64" t="str">
        <f>(IF((VLOOKUP(Table1[[#This Row],[SKU]],'All Skus'!$A:$AC,2,FALSE))="AKG",(VLOOKUP(Table1[[#This Row],[SKU]],'All Skus'!$A:$AC,23,FALSE)),""))</f>
        <v>Non Compliant</v>
      </c>
      <c r="T49" s="210" t="str">
        <f>HYPERLINK((IF((VLOOKUP(Table1[[#This Row],[SKU]],'All Skus'!$A:$AC,2,FALSE))="AKG",(VLOOKUP(Table1[[#This Row],[SKU]],'All Skus'!$A:$AC,24,FALSE)),"")))</f>
        <v>https://www.akg.com/Microphones/Condenser%20Microphones/3064X00020.html</v>
      </c>
      <c r="U49" s="151">
        <v>47</v>
      </c>
    </row>
    <row r="50" spans="1:21" ht="15" hidden="1" customHeight="1">
      <c r="A50" s="50" t="s">
        <v>207</v>
      </c>
      <c r="B50" s="52" t="str">
        <f>(IF((VLOOKUP(Table1[[#This Row],[SKU]],'All Skus'!$A:$AC,2,FALSE))="AKG",(VLOOKUP(Table1[[#This Row],[SKU]],'All Skus'!$A:$AC,3,FALSE)), ""))</f>
        <v>Wired Mics</v>
      </c>
      <c r="C50" s="60" t="str">
        <f>(IF((VLOOKUP(Table1[[#This Row],[SKU]],'All Skus'!$A:$AC,2,FALSE))="AKG",(VLOOKUP(Table1[[#This Row],[SKU]],'All Skus'!$A:$AC,4,FALSE)),""))</f>
        <v xml:space="preserve">C519 M </v>
      </c>
      <c r="D50" s="60" t="str">
        <f>(IF((VLOOKUP(Table1[[#This Row],[SKU]],'All Skus'!$A:$AC,2,FALSE))="AKG",(VLOOKUP(Table1[[#This Row],[SKU]],'All Skus'!$A:$AC,5,FALSE)),""))</f>
        <v>AT410010</v>
      </c>
      <c r="E50" s="60">
        <f>(IF((VLOOKUP(Table1[[#This Row],[SKU]],'All Skus'!$A:$AC,2,FALSE))="AKG",(VLOOKUP(Table1[[#This Row],[SKU]],'All Skus'!$A:$AC,6,FALSE)),""))</f>
        <v>0</v>
      </c>
      <c r="F50" s="60">
        <f>(IF((VLOOKUP(Table1[[#This Row],[SKU]],'All Skus'!$A:$AC,2,FALSE))="AKG",(VLOOKUP(Table1[[#This Row],[SKU]],'All Skus'!$A:$AC,7,FALSE)),""))</f>
        <v>0</v>
      </c>
      <c r="G50" s="45" t="str">
        <f>(IF((VLOOKUP(Table1[[#This Row],[SKU]],'All Skus'!$A:$AC,2,FALSE))="AKG",(VLOOKUP(Table1[[#This Row],[SKU]],'All Skus'!$A:$AC,8,FALSE)),""))</f>
        <v>Instrument Microphone</v>
      </c>
      <c r="H50" s="45" t="str">
        <f>(IF((VLOOKUP(Table1[[#This Row],[SKU]],'All Skus'!$A:$AC,2,FALSE))="AKG",(VLOOKUP(Table1[[#This Row],[SKU]],'All Skus'!$A:$AC,9,FALSE)),""))</f>
        <v xml:space="preserve">Clip-on mic with miniature gooseneck for wind instruments for hardwire applications, with standard XLR connector for phantom powering.
</v>
      </c>
      <c r="I50" s="141">
        <f>(IF((VLOOKUP(Table1[[#This Row],[SKU]],'All Skus'!$A:$AC,2,FALSE))="AKG",(VLOOKUP(Table1[[#This Row],[SKU]],'All Skus'!$A:$AC,10,FALSE)),""))</f>
        <v>370.94</v>
      </c>
      <c r="J50" s="141">
        <f>(IF((VLOOKUP(Table1[[#This Row],[SKU]],'All Skus'!$A:$AC,2,FALSE))="AKG",(VLOOKUP(Table1[[#This Row],[SKU]],'All Skus'!$A:$AC,11,FALSE)),""))</f>
        <v>298</v>
      </c>
      <c r="K50" s="125">
        <f>(IF((VLOOKUP(Table1[[#This Row],[SKU]],'All Skus'!$A:$AC,2,FALSE))="AKG",(VLOOKUP(Table1[[#This Row],[SKU]],'All Skus'!$A:$AC,15,FALSE)),""))</f>
        <v>12</v>
      </c>
      <c r="L50" s="124">
        <f>(IF((VLOOKUP(Table1[[#This Row],[SKU]],'All Skus'!$A:$AC,2,FALSE))="AKG",(VLOOKUP(Table1[[#This Row],[SKU]],'All Skus'!$A:$AC,16,FALSE)),""))</f>
        <v>885038018636</v>
      </c>
      <c r="M50" s="124">
        <f>(IF((VLOOKUP(Table1[[#This Row],[SKU]],'All Skus'!$A:$AC,2,FALSE))="AKG",(VLOOKUP(Table1[[#This Row],[SKU]],'All Skus'!$A:$AC,17,FALSE)),""))</f>
        <v>9002761018639</v>
      </c>
      <c r="N50" s="64">
        <f>(IF((VLOOKUP(Table1[[#This Row],[SKU]],'All Skus'!$A:$AC,2,FALSE))="AKG",(VLOOKUP(Table1[[#This Row],[SKU]],'All Skus'!$A:$AC,18,FALSE)),""))</f>
        <v>9</v>
      </c>
      <c r="O50" s="64">
        <f>(IF((VLOOKUP(Table1[[#This Row],[SKU]],'All Skus'!$A:$AC,2,FALSE))="AKG",(VLOOKUP(Table1[[#This Row],[SKU]],'All Skus'!$A:$AC,19,FALSE)),""))</f>
        <v>9</v>
      </c>
      <c r="P50" s="64">
        <f>(IF((VLOOKUP(Table1[[#This Row],[SKU]],'All Skus'!$A:$AC,2,FALSE))="AKG",(VLOOKUP(Table1[[#This Row],[SKU]],'All Skus'!$A:$AC,20,FALSE)),""))</f>
        <v>12</v>
      </c>
      <c r="Q50" s="64">
        <f>(IF((VLOOKUP(Table1[[#This Row],[SKU]],'All Skus'!$A:$AC,2,FALSE))="AKG",(VLOOKUP(Table1[[#This Row],[SKU]],'All Skus'!$A:$AC,21,FALSE)),""))</f>
        <v>2.8</v>
      </c>
      <c r="R50" s="64" t="str">
        <f>(IF((VLOOKUP(Table1[[#This Row],[SKU]],'All Skus'!$A:$AC,2,FALSE))="AKG",(VLOOKUP(Table1[[#This Row],[SKU]],'All Skus'!$A:$AC,22,FALSE)),""))</f>
        <v>CN</v>
      </c>
      <c r="S50" s="64" t="str">
        <f>(IF((VLOOKUP(Table1[[#This Row],[SKU]],'All Skus'!$A:$AC,2,FALSE))="AKG",(VLOOKUP(Table1[[#This Row],[SKU]],'All Skus'!$A:$AC,23,FALSE)),""))</f>
        <v>Non Compliant</v>
      </c>
      <c r="T50" s="210" t="str">
        <f>HYPERLINK((IF((VLOOKUP(Table1[[#This Row],[SKU]],'All Skus'!$A:$AC,2,FALSE))="AKG",(VLOOKUP(Table1[[#This Row],[SKU]],'All Skus'!$A:$AC,24,FALSE)),"")))</f>
        <v>https://www.akg.com/Microphones/Condenser%20Microphones/3065X00010.html</v>
      </c>
      <c r="U50" s="151">
        <v>48</v>
      </c>
    </row>
    <row r="51" spans="1:21" ht="15" hidden="1" customHeight="1">
      <c r="A51" s="50" t="s">
        <v>208</v>
      </c>
      <c r="B51" s="52" t="str">
        <f>(IF((VLOOKUP(Table1[[#This Row],[SKU]],'All Skus'!$A:$AC,2,FALSE))="AKG",(VLOOKUP(Table1[[#This Row],[SKU]],'All Skus'!$A:$AC,3,FALSE)), ""))</f>
        <v>Wired Mics</v>
      </c>
      <c r="C51" s="60" t="str">
        <f>(IF((VLOOKUP(Table1[[#This Row],[SKU]],'All Skus'!$A:$AC,2,FALSE))="AKG",(VLOOKUP(Table1[[#This Row],[SKU]],'All Skus'!$A:$AC,4,FALSE)),""))</f>
        <v>C519 ML</v>
      </c>
      <c r="D51" s="60" t="str">
        <f>(IF((VLOOKUP(Table1[[#This Row],[SKU]],'All Skus'!$A:$AC,2,FALSE))="AKG",(VLOOKUP(Table1[[#This Row],[SKU]],'All Skus'!$A:$AC,5,FALSE)),""))</f>
        <v>AT410010</v>
      </c>
      <c r="E51" s="60">
        <f>(IF((VLOOKUP(Table1[[#This Row],[SKU]],'All Skus'!$A:$AC,2,FALSE))="AKG",(VLOOKUP(Table1[[#This Row],[SKU]],'All Skus'!$A:$AC,6,FALSE)),""))</f>
        <v>0</v>
      </c>
      <c r="F51" s="60">
        <f>(IF((VLOOKUP(Table1[[#This Row],[SKU]],'All Skus'!$A:$AC,2,FALSE))="AKG",(VLOOKUP(Table1[[#This Row],[SKU]],'All Skus'!$A:$AC,7,FALSE)),""))</f>
        <v>0</v>
      </c>
      <c r="G51" s="45" t="str">
        <f>(IF((VLOOKUP(Table1[[#This Row],[SKU]],'All Skus'!$A:$AC,2,FALSE))="AKG",(VLOOKUP(Table1[[#This Row],[SKU]],'All Skus'!$A:$AC,8,FALSE)),""))</f>
        <v>Instrument Microphone</v>
      </c>
      <c r="H51" s="45" t="str">
        <f>(IF((VLOOKUP(Table1[[#This Row],[SKU]],'All Skus'!$A:$AC,2,FALSE))="AKG",(VLOOKUP(Table1[[#This Row],[SKU]],'All Skus'!$A:$AC,9,FALSE)),""))</f>
        <v>Clip-on mic with miniature gooseneck for wind instruments with mini XLR connector for use with B29 L battery operated power supply, MPA V L external phantom power adapter, or AKG WMS bodypack transmitters.</v>
      </c>
      <c r="I51" s="141">
        <f>(IF((VLOOKUP(Table1[[#This Row],[SKU]],'All Skus'!$A:$AC,2,FALSE))="AKG",(VLOOKUP(Table1[[#This Row],[SKU]],'All Skus'!$A:$AC,10,FALSE)),""))</f>
        <v>286.91000000000003</v>
      </c>
      <c r="J51" s="141">
        <f>(IF((VLOOKUP(Table1[[#This Row],[SKU]],'All Skus'!$A:$AC,2,FALSE))="AKG",(VLOOKUP(Table1[[#This Row],[SKU]],'All Skus'!$A:$AC,11,FALSE)),""))</f>
        <v>226</v>
      </c>
      <c r="K51" s="125">
        <f>(IF((VLOOKUP(Table1[[#This Row],[SKU]],'All Skus'!$A:$AC,2,FALSE))="AKG",(VLOOKUP(Table1[[#This Row],[SKU]],'All Skus'!$A:$AC,15,FALSE)),""))</f>
        <v>12</v>
      </c>
      <c r="L51" s="124">
        <f>(IF((VLOOKUP(Table1[[#This Row],[SKU]],'All Skus'!$A:$AC,2,FALSE))="AKG",(VLOOKUP(Table1[[#This Row],[SKU]],'All Skus'!$A:$AC,16,FALSE)),""))</f>
        <v>885038018643</v>
      </c>
      <c r="M51" s="124">
        <f>(IF((VLOOKUP(Table1[[#This Row],[SKU]],'All Skus'!$A:$AC,2,FALSE))="AKG",(VLOOKUP(Table1[[#This Row],[SKU]],'All Skus'!$A:$AC,17,FALSE)),""))</f>
        <v>9002761018646</v>
      </c>
      <c r="N51" s="64">
        <f>(IF((VLOOKUP(Table1[[#This Row],[SKU]],'All Skus'!$A:$AC,2,FALSE))="AKG",(VLOOKUP(Table1[[#This Row],[SKU]],'All Skus'!$A:$AC,18,FALSE)),""))</f>
        <v>3</v>
      </c>
      <c r="O51" s="64">
        <f>(IF((VLOOKUP(Table1[[#This Row],[SKU]],'All Skus'!$A:$AC,2,FALSE))="AKG",(VLOOKUP(Table1[[#This Row],[SKU]],'All Skus'!$A:$AC,19,FALSE)),""))</f>
        <v>6</v>
      </c>
      <c r="P51" s="64">
        <f>(IF((VLOOKUP(Table1[[#This Row],[SKU]],'All Skus'!$A:$AC,2,FALSE))="AKG",(VLOOKUP(Table1[[#This Row],[SKU]],'All Skus'!$A:$AC,20,FALSE)),""))</f>
        <v>8</v>
      </c>
      <c r="Q51" s="64">
        <f>(IF((VLOOKUP(Table1[[#This Row],[SKU]],'All Skus'!$A:$AC,2,FALSE))="AKG",(VLOOKUP(Table1[[#This Row],[SKU]],'All Skus'!$A:$AC,21,FALSE)),""))</f>
        <v>2.8</v>
      </c>
      <c r="R51" s="64" t="str">
        <f>(IF((VLOOKUP(Table1[[#This Row],[SKU]],'All Skus'!$A:$AC,2,FALSE))="AKG",(VLOOKUP(Table1[[#This Row],[SKU]],'All Skus'!$A:$AC,22,FALSE)),""))</f>
        <v>CN</v>
      </c>
      <c r="S51" s="64" t="str">
        <f>(IF((VLOOKUP(Table1[[#This Row],[SKU]],'All Skus'!$A:$AC,2,FALSE))="AKG",(VLOOKUP(Table1[[#This Row],[SKU]],'All Skus'!$A:$AC,23,FALSE)),""))</f>
        <v>Non Compliant</v>
      </c>
      <c r="T51" s="210" t="str">
        <f>HYPERLINK((IF((VLOOKUP(Table1[[#This Row],[SKU]],'All Skus'!$A:$AC,2,FALSE))="AKG",(VLOOKUP(Table1[[#This Row],[SKU]],'All Skus'!$A:$AC,24,FALSE)),"")))</f>
        <v>https://www.akg.com/Microphones/Condenser%20Microphones/3065X00020.html</v>
      </c>
      <c r="U51" s="151">
        <v>49</v>
      </c>
    </row>
    <row r="52" spans="1:21" ht="15" hidden="1" customHeight="1">
      <c r="A52" s="50" t="s">
        <v>209</v>
      </c>
      <c r="B52" s="52" t="str">
        <f>(IF((VLOOKUP(Table1[[#This Row],[SKU]],'All Skus'!$A:$AC,2,FALSE))="AKG",(VLOOKUP(Table1[[#This Row],[SKU]],'All Skus'!$A:$AC,3,FALSE)), ""))</f>
        <v>Wired Mics</v>
      </c>
      <c r="C52" s="60" t="str">
        <f>(IF((VLOOKUP(Table1[[#This Row],[SKU]],'All Skus'!$A:$AC,2,FALSE))="AKG",(VLOOKUP(Table1[[#This Row],[SKU]],'All Skus'!$A:$AC,4,FALSE)),""))</f>
        <v>C747 V11</v>
      </c>
      <c r="D52" s="60">
        <f>(IF((VLOOKUP(Table1[[#This Row],[SKU]],'All Skus'!$A:$AC,2,FALSE))="AKG",(VLOOKUP(Table1[[#This Row],[SKU]],'All Skus'!$A:$AC,5,FALSE)),""))</f>
        <v>81200200</v>
      </c>
      <c r="E52" s="60">
        <f>(IF((VLOOKUP(Table1[[#This Row],[SKU]],'All Skus'!$A:$AC,2,FALSE))="AKG",(VLOOKUP(Table1[[#This Row],[SKU]],'All Skus'!$A:$AC,6,FALSE)),""))</f>
        <v>0</v>
      </c>
      <c r="F52" s="60">
        <f>(IF((VLOOKUP(Table1[[#This Row],[SKU]],'All Skus'!$A:$AC,2,FALSE))="AKG",(VLOOKUP(Table1[[#This Row],[SKU]],'All Skus'!$A:$AC,7,FALSE)),""))</f>
        <v>0</v>
      </c>
      <c r="G52" s="45" t="str">
        <f>(IF((VLOOKUP(Table1[[#This Row],[SKU]],'All Skus'!$A:$AC,2,FALSE))="AKG",(VLOOKUP(Table1[[#This Row],[SKU]],'All Skus'!$A:$AC,8,FALSE)),""))</f>
        <v>Instrument Microphone</v>
      </c>
      <c r="H52" s="45" t="str">
        <f>(IF((VLOOKUP(Table1[[#This Row],[SKU]],'All Skus'!$A:$AC,2,FALSE))="AKG",(VLOOKUP(Table1[[#This Row],[SKU]],'All Skus'!$A:$AC,9,FALSE)),""))</f>
        <v>Slim, high quality directional shotgun mic. Lots of accessories included. Including the new RFI shield technology. 3m cable, XLR connector, H47, MSH70, SA47, SA80, SHZ80 and windscreen included.</v>
      </c>
      <c r="I52" s="141">
        <f>(IF((VLOOKUP(Table1[[#This Row],[SKU]],'All Skus'!$A:$AC,2,FALSE))="AKG",(VLOOKUP(Table1[[#This Row],[SKU]],'All Skus'!$A:$AC,10,FALSE)),""))</f>
        <v>1055.21</v>
      </c>
      <c r="J52" s="141">
        <f>(IF((VLOOKUP(Table1[[#This Row],[SKU]],'All Skus'!$A:$AC,2,FALSE))="AKG",(VLOOKUP(Table1[[#This Row],[SKU]],'All Skus'!$A:$AC,11,FALSE)),""))</f>
        <v>840</v>
      </c>
      <c r="K52" s="125">
        <f>(IF((VLOOKUP(Table1[[#This Row],[SKU]],'All Skus'!$A:$AC,2,FALSE))="AKG",(VLOOKUP(Table1[[#This Row],[SKU]],'All Skus'!$A:$AC,15,FALSE)),""))</f>
        <v>0</v>
      </c>
      <c r="L52" s="124">
        <f>(IF((VLOOKUP(Table1[[#This Row],[SKU]],'All Skus'!$A:$AC,2,FALSE))="AKG",(VLOOKUP(Table1[[#This Row],[SKU]],'All Skus'!$A:$AC,16,FALSE)),""))</f>
        <v>885038019473</v>
      </c>
      <c r="M52" s="124">
        <f>(IF((VLOOKUP(Table1[[#This Row],[SKU]],'All Skus'!$A:$AC,2,FALSE))="AKG",(VLOOKUP(Table1[[#This Row],[SKU]],'All Skus'!$A:$AC,17,FALSE)),""))</f>
        <v>9002761019476</v>
      </c>
      <c r="N52" s="64">
        <f>(IF((VLOOKUP(Table1[[#This Row],[SKU]],'All Skus'!$A:$AC,2,FALSE))="AKG",(VLOOKUP(Table1[[#This Row],[SKU]],'All Skus'!$A:$AC,18,FALSE)),""))</f>
        <v>3.5</v>
      </c>
      <c r="O52" s="64">
        <f>(IF((VLOOKUP(Table1[[#This Row],[SKU]],'All Skus'!$A:$AC,2,FALSE))="AKG",(VLOOKUP(Table1[[#This Row],[SKU]],'All Skus'!$A:$AC,19,FALSE)),""))</f>
        <v>11.5</v>
      </c>
      <c r="P52" s="64">
        <f>(IF((VLOOKUP(Table1[[#This Row],[SKU]],'All Skus'!$A:$AC,2,FALSE))="AKG",(VLOOKUP(Table1[[#This Row],[SKU]],'All Skus'!$A:$AC,20,FALSE)),""))</f>
        <v>3.5</v>
      </c>
      <c r="Q52" s="64">
        <f>(IF((VLOOKUP(Table1[[#This Row],[SKU]],'All Skus'!$A:$AC,2,FALSE))="AKG",(VLOOKUP(Table1[[#This Row],[SKU]],'All Skus'!$A:$AC,21,FALSE)),""))</f>
        <v>3</v>
      </c>
      <c r="R52" s="64" t="str">
        <f>(IF((VLOOKUP(Table1[[#This Row],[SKU]],'All Skus'!$A:$AC,2,FALSE))="AKG",(VLOOKUP(Table1[[#This Row],[SKU]],'All Skus'!$A:$AC,22,FALSE)),""))</f>
        <v>AT</v>
      </c>
      <c r="S52" s="64" t="str">
        <f>(IF((VLOOKUP(Table1[[#This Row],[SKU]],'All Skus'!$A:$AC,2,FALSE))="AKG",(VLOOKUP(Table1[[#This Row],[SKU]],'All Skus'!$A:$AC,23,FALSE)),""))</f>
        <v>Compliant</v>
      </c>
      <c r="T52" s="210" t="str">
        <f>HYPERLINK((IF((VLOOKUP(Table1[[#This Row],[SKU]],'All Skus'!$A:$AC,2,FALSE))="AKG",(VLOOKUP(Table1[[#This Row],[SKU]],'All Skus'!$A:$AC,24,FALSE)),"")))</f>
        <v>https://www.akg.com/Microphones/Condenser%20Microphones/C7.html</v>
      </c>
      <c r="U52" s="151">
        <v>50</v>
      </c>
    </row>
    <row r="53" spans="1:21" ht="15" hidden="1" customHeight="1">
      <c r="A53" s="50" t="s">
        <v>210</v>
      </c>
      <c r="B53" s="52" t="str">
        <f>(IF((VLOOKUP(Table1[[#This Row],[SKU]],'All Skus'!$A:$AC,2,FALSE))="AKG",(VLOOKUP(Table1[[#This Row],[SKU]],'All Skus'!$A:$AC,3,FALSE)), ""))</f>
        <v>Wired Mics</v>
      </c>
      <c r="C53" s="60" t="str">
        <f>(IF((VLOOKUP(Table1[[#This Row],[SKU]],'All Skus'!$A:$AC,2,FALSE))="AKG",(VLOOKUP(Table1[[#This Row],[SKU]],'All Skus'!$A:$AC,4,FALSE)),""))</f>
        <v>D40</v>
      </c>
      <c r="D53" s="60" t="str">
        <f>(IF((VLOOKUP(Table1[[#This Row],[SKU]],'All Skus'!$A:$AC,2,FALSE))="AKG",(VLOOKUP(Table1[[#This Row],[SKU]],'All Skus'!$A:$AC,5,FALSE)),""))</f>
        <v>AT410020</v>
      </c>
      <c r="E53" s="60">
        <f>(IF((VLOOKUP(Table1[[#This Row],[SKU]],'All Skus'!$A:$AC,2,FALSE))="AKG",(VLOOKUP(Table1[[#This Row],[SKU]],'All Skus'!$A:$AC,6,FALSE)),""))</f>
        <v>0</v>
      </c>
      <c r="F53" s="60">
        <f>(IF((VLOOKUP(Table1[[#This Row],[SKU]],'All Skus'!$A:$AC,2,FALSE))="AKG",(VLOOKUP(Table1[[#This Row],[SKU]],'All Skus'!$A:$AC,7,FALSE)),""))</f>
        <v>0</v>
      </c>
      <c r="G53" s="45" t="str">
        <f>(IF((VLOOKUP(Table1[[#This Row],[SKU]],'All Skus'!$A:$AC,2,FALSE))="AKG",(VLOOKUP(Table1[[#This Row],[SKU]],'All Skus'!$A:$AC,8,FALSE)),""))</f>
        <v>Instrument Microphone</v>
      </c>
      <c r="H53" s="45" t="str">
        <f>(IF((VLOOKUP(Table1[[#This Row],[SKU]],'All Skus'!$A:$AC,2,FALSE))="AKG",(VLOOKUP(Table1[[#This Row],[SKU]],'All Skus'!$A:$AC,9,FALSE)),""))</f>
        <v>Dynamic instrument microphone designed for drums and percussions, for wind instruments and guitar amps.</v>
      </c>
      <c r="I53" s="141">
        <f>(IF((VLOOKUP(Table1[[#This Row],[SKU]],'All Skus'!$A:$AC,2,FALSE))="AKG",(VLOOKUP(Table1[[#This Row],[SKU]],'All Skus'!$A:$AC,10,FALSE)),""))</f>
        <v>154.86000000000001</v>
      </c>
      <c r="J53" s="141">
        <f>(IF((VLOOKUP(Table1[[#This Row],[SKU]],'All Skus'!$A:$AC,2,FALSE))="AKG",(VLOOKUP(Table1[[#This Row],[SKU]],'All Skus'!$A:$AC,11,FALSE)),""))</f>
        <v>119</v>
      </c>
      <c r="K53" s="125">
        <f>(IF((VLOOKUP(Table1[[#This Row],[SKU]],'All Skus'!$A:$AC,2,FALSE))="AKG",(VLOOKUP(Table1[[#This Row],[SKU]],'All Skus'!$A:$AC,15,FALSE)),""))</f>
        <v>30</v>
      </c>
      <c r="L53" s="124">
        <f>(IF((VLOOKUP(Table1[[#This Row],[SKU]],'All Skus'!$A:$AC,2,FALSE))="AKG",(VLOOKUP(Table1[[#This Row],[SKU]],'All Skus'!$A:$AC,16,FALSE)),""))</f>
        <v>885038023937</v>
      </c>
      <c r="M53" s="124">
        <f>(IF((VLOOKUP(Table1[[#This Row],[SKU]],'All Skus'!$A:$AC,2,FALSE))="AKG",(VLOOKUP(Table1[[#This Row],[SKU]],'All Skus'!$A:$AC,17,FALSE)),""))</f>
        <v>9002761023930</v>
      </c>
      <c r="N53" s="64">
        <f>(IF((VLOOKUP(Table1[[#This Row],[SKU]],'All Skus'!$A:$AC,2,FALSE))="AKG",(VLOOKUP(Table1[[#This Row],[SKU]],'All Skus'!$A:$AC,18,FALSE)),""))</f>
        <v>7</v>
      </c>
      <c r="O53" s="64">
        <f>(IF((VLOOKUP(Table1[[#This Row],[SKU]],'All Skus'!$A:$AC,2,FALSE))="AKG",(VLOOKUP(Table1[[#This Row],[SKU]],'All Skus'!$A:$AC,19,FALSE)),""))</f>
        <v>3</v>
      </c>
      <c r="P53" s="64">
        <f>(IF((VLOOKUP(Table1[[#This Row],[SKU]],'All Skus'!$A:$AC,2,FALSE))="AKG",(VLOOKUP(Table1[[#This Row],[SKU]],'All Skus'!$A:$AC,20,FALSE)),""))</f>
        <v>5</v>
      </c>
      <c r="Q53" s="64">
        <f>(IF((VLOOKUP(Table1[[#This Row],[SKU]],'All Skus'!$A:$AC,2,FALSE))="AKG",(VLOOKUP(Table1[[#This Row],[SKU]],'All Skus'!$A:$AC,21,FALSE)),""))</f>
        <v>3.2</v>
      </c>
      <c r="R53" s="64" t="str">
        <f>(IF((VLOOKUP(Table1[[#This Row],[SKU]],'All Skus'!$A:$AC,2,FALSE))="AKG",(VLOOKUP(Table1[[#This Row],[SKU]],'All Skus'!$A:$AC,22,FALSE)),""))</f>
        <v>CN</v>
      </c>
      <c r="S53" s="64" t="str">
        <f>(IF((VLOOKUP(Table1[[#This Row],[SKU]],'All Skus'!$A:$AC,2,FALSE))="AKG",(VLOOKUP(Table1[[#This Row],[SKU]],'All Skus'!$A:$AC,23,FALSE)),""))</f>
        <v>Non Compliant</v>
      </c>
      <c r="T53" s="210" t="str">
        <f>HYPERLINK((IF((VLOOKUP(Table1[[#This Row],[SKU]],'All Skus'!$A:$AC,2,FALSE))="AKG",(VLOOKUP(Table1[[#This Row],[SKU]],'All Skus'!$A:$AC,24,FALSE)),"")))</f>
        <v>https://www.akg.com/Microphones/Dynamic%20Microphones/D40.html</v>
      </c>
      <c r="U53" s="151">
        <v>51</v>
      </c>
    </row>
    <row r="54" spans="1:21" ht="15" hidden="1" customHeight="1">
      <c r="A54" s="50" t="s">
        <v>211</v>
      </c>
      <c r="B54" s="52" t="str">
        <f>(IF((VLOOKUP(Table1[[#This Row],[SKU]],'All Skus'!$A:$AC,2,FALSE))="AKG",(VLOOKUP(Table1[[#This Row],[SKU]],'All Skus'!$A:$AC,3,FALSE)), ""))</f>
        <v>Wired Mics</v>
      </c>
      <c r="C54" s="60" t="str">
        <f>(IF((VLOOKUP(Table1[[#This Row],[SKU]],'All Skus'!$A:$AC,2,FALSE))="AKG",(VLOOKUP(Table1[[#This Row],[SKU]],'All Skus'!$A:$AC,4,FALSE)),""))</f>
        <v>D112 MKII</v>
      </c>
      <c r="D54" s="60" t="str">
        <f>(IF((VLOOKUP(Table1[[#This Row],[SKU]],'All Skus'!$A:$AC,2,FALSE))="AKG",(VLOOKUP(Table1[[#This Row],[SKU]],'All Skus'!$A:$AC,5,FALSE)),""))</f>
        <v>AT410020</v>
      </c>
      <c r="E54" s="60">
        <f>(IF((VLOOKUP(Table1[[#This Row],[SKU]],'All Skus'!$A:$AC,2,FALSE))="AKG",(VLOOKUP(Table1[[#This Row],[SKU]],'All Skus'!$A:$AC,6,FALSE)),""))</f>
        <v>0</v>
      </c>
      <c r="F54" s="60">
        <f>(IF((VLOOKUP(Table1[[#This Row],[SKU]],'All Skus'!$A:$AC,2,FALSE))="AKG",(VLOOKUP(Table1[[#This Row],[SKU]],'All Skus'!$A:$AC,7,FALSE)),""))</f>
        <v>0</v>
      </c>
      <c r="G54" s="45" t="str">
        <f>(IF((VLOOKUP(Table1[[#This Row],[SKU]],'All Skus'!$A:$AC,2,FALSE))="AKG",(VLOOKUP(Table1[[#This Row],[SKU]],'All Skus'!$A:$AC,8,FALSE)),""))</f>
        <v>Instrument Microphone</v>
      </c>
      <c r="H54" s="45" t="str">
        <f>(IF((VLOOKUP(Table1[[#This Row],[SKU]],'All Skus'!$A:$AC,2,FALSE))="AKG",(VLOOKUP(Table1[[#This Row],[SKU]],'All Skus'!$A:$AC,9,FALSE)),""))</f>
        <v>THE FABULOUS EGG for bass drum and bass guitar on stage and in the studio</v>
      </c>
      <c r="I54" s="141">
        <f>(IF((VLOOKUP(Table1[[#This Row],[SKU]],'All Skus'!$A:$AC,2,FALSE))="AKG",(VLOOKUP(Table1[[#This Row],[SKU]],'All Skus'!$A:$AC,10,FALSE)),""))</f>
        <v>298.92</v>
      </c>
      <c r="J54" s="141">
        <f>(IF((VLOOKUP(Table1[[#This Row],[SKU]],'All Skus'!$A:$AC,2,FALSE))="AKG",(VLOOKUP(Table1[[#This Row],[SKU]],'All Skus'!$A:$AC,11,FALSE)),""))</f>
        <v>236</v>
      </c>
      <c r="K54" s="125">
        <f>(IF((VLOOKUP(Table1[[#This Row],[SKU]],'All Skus'!$A:$AC,2,FALSE))="AKG",(VLOOKUP(Table1[[#This Row],[SKU]],'All Skus'!$A:$AC,15,FALSE)),""))</f>
        <v>8</v>
      </c>
      <c r="L54" s="124">
        <f>(IF((VLOOKUP(Table1[[#This Row],[SKU]],'All Skus'!$A:$AC,2,FALSE))="AKG",(VLOOKUP(Table1[[#This Row],[SKU]],'All Skus'!$A:$AC,16,FALSE)),""))</f>
        <v>885038038207</v>
      </c>
      <c r="M54" s="124">
        <f>(IF((VLOOKUP(Table1[[#This Row],[SKU]],'All Skus'!$A:$AC,2,FALSE))="AKG",(VLOOKUP(Table1[[#This Row],[SKU]],'All Skus'!$A:$AC,17,FALSE)),""))</f>
        <v>9002761038200</v>
      </c>
      <c r="N54" s="64">
        <f>(IF((VLOOKUP(Table1[[#This Row],[SKU]],'All Skus'!$A:$AC,2,FALSE))="AKG",(VLOOKUP(Table1[[#This Row],[SKU]],'All Skus'!$A:$AC,18,FALSE)),""))</f>
        <v>4.5</v>
      </c>
      <c r="O54" s="64">
        <f>(IF((VLOOKUP(Table1[[#This Row],[SKU]],'All Skus'!$A:$AC,2,FALSE))="AKG",(VLOOKUP(Table1[[#This Row],[SKU]],'All Skus'!$A:$AC,19,FALSE)),""))</f>
        <v>3</v>
      </c>
      <c r="P54" s="64">
        <f>(IF((VLOOKUP(Table1[[#This Row],[SKU]],'All Skus'!$A:$AC,2,FALSE))="AKG",(VLOOKUP(Table1[[#This Row],[SKU]],'All Skus'!$A:$AC,20,FALSE)),""))</f>
        <v>3</v>
      </c>
      <c r="Q54" s="64">
        <f>(IF((VLOOKUP(Table1[[#This Row],[SKU]],'All Skus'!$A:$AC,2,FALSE))="AKG",(VLOOKUP(Table1[[#This Row],[SKU]],'All Skus'!$A:$AC,21,FALSE)),""))</f>
        <v>3.92</v>
      </c>
      <c r="R54" s="64" t="str">
        <f>(IF((VLOOKUP(Table1[[#This Row],[SKU]],'All Skus'!$A:$AC,2,FALSE))="AKG",(VLOOKUP(Table1[[#This Row],[SKU]],'All Skus'!$A:$AC,22,FALSE)),""))</f>
        <v>CN</v>
      </c>
      <c r="S54" s="64" t="str">
        <f>(IF((VLOOKUP(Table1[[#This Row],[SKU]],'All Skus'!$A:$AC,2,FALSE))="AKG",(VLOOKUP(Table1[[#This Row],[SKU]],'All Skus'!$A:$AC,23,FALSE)),""))</f>
        <v>Non Compliant</v>
      </c>
      <c r="T54" s="210" t="str">
        <f>HYPERLINK((IF((VLOOKUP(Table1[[#This Row],[SKU]],'All Skus'!$A:$AC,2,FALSE))="AKG",(VLOOKUP(Table1[[#This Row],[SKU]],'All Skus'!$A:$AC,24,FALSE)),"")))</f>
        <v>https://www.akg.com/Microphones/Dynamic%20Microphones/D112MkII.html</v>
      </c>
      <c r="U54" s="151">
        <v>52</v>
      </c>
    </row>
    <row r="55" spans="1:21" ht="15" hidden="1" customHeight="1">
      <c r="A55" s="50" t="s">
        <v>212</v>
      </c>
      <c r="B55" s="52" t="str">
        <f>(IF((VLOOKUP(Table1[[#This Row],[SKU]],'All Skus'!$A:$AC,2,FALSE))="AKG",(VLOOKUP(Table1[[#This Row],[SKU]],'All Skus'!$A:$AC,3,FALSE)), ""))</f>
        <v>Wired Mics</v>
      </c>
      <c r="C55" s="60" t="str">
        <f>(IF((VLOOKUP(Table1[[#This Row],[SKU]],'All Skus'!$A:$AC,2,FALSE))="AKG",(VLOOKUP(Table1[[#This Row],[SKU]],'All Skus'!$A:$AC,4,FALSE)),""))</f>
        <v>D12 VR</v>
      </c>
      <c r="D55" s="60" t="str">
        <f>(IF((VLOOKUP(Table1[[#This Row],[SKU]],'All Skus'!$A:$AC,2,FALSE))="AKG",(VLOOKUP(Table1[[#This Row],[SKU]],'All Skus'!$A:$AC,5,FALSE)),""))</f>
        <v>AT410020</v>
      </c>
      <c r="E55" s="60">
        <f>(IF((VLOOKUP(Table1[[#This Row],[SKU]],'All Skus'!$A:$AC,2,FALSE))="AKG",(VLOOKUP(Table1[[#This Row],[SKU]],'All Skus'!$A:$AC,6,FALSE)),""))</f>
        <v>0</v>
      </c>
      <c r="F55" s="60">
        <f>(IF((VLOOKUP(Table1[[#This Row],[SKU]],'All Skus'!$A:$AC,2,FALSE))="AKG",(VLOOKUP(Table1[[#This Row],[SKU]],'All Skus'!$A:$AC,7,FALSE)),""))</f>
        <v>0</v>
      </c>
      <c r="G55" s="45" t="str">
        <f>(IF((VLOOKUP(Table1[[#This Row],[SKU]],'All Skus'!$A:$AC,2,FALSE))="AKG",(VLOOKUP(Table1[[#This Row],[SKU]],'All Skus'!$A:$AC,8,FALSE)),""))</f>
        <v>Instrument Microphone</v>
      </c>
      <c r="H55" s="45" t="str">
        <f>(IF((VLOOKUP(Table1[[#This Row],[SKU]],'All Skus'!$A:$AC,2,FALSE))="AKG",(VLOOKUP(Table1[[#This Row],[SKU]],'All Skus'!$A:$AC,9,FALSE)),""))</f>
        <v>Dynamic kick drum microphone with four different sound shapes.</v>
      </c>
      <c r="I55" s="141">
        <f>(IF((VLOOKUP(Table1[[#This Row],[SKU]],'All Skus'!$A:$AC,2,FALSE))="AKG",(VLOOKUP(Table1[[#This Row],[SKU]],'All Skus'!$A:$AC,10,FALSE)),""))</f>
        <v>755.09</v>
      </c>
      <c r="J55" s="141">
        <f>(IF((VLOOKUP(Table1[[#This Row],[SKU]],'All Skus'!$A:$AC,2,FALSE))="AKG",(VLOOKUP(Table1[[#This Row],[SKU]],'All Skus'!$A:$AC,11,FALSE)),""))</f>
        <v>603</v>
      </c>
      <c r="K55" s="125">
        <f>(IF((VLOOKUP(Table1[[#This Row],[SKU]],'All Skus'!$A:$AC,2,FALSE))="AKG",(VLOOKUP(Table1[[#This Row],[SKU]],'All Skus'!$A:$AC,15,FALSE)),""))</f>
        <v>0</v>
      </c>
      <c r="L55" s="124">
        <f>(IF((VLOOKUP(Table1[[#This Row],[SKU]],'All Skus'!$A:$AC,2,FALSE))="AKG",(VLOOKUP(Table1[[#This Row],[SKU]],'All Skus'!$A:$AC,16,FALSE)),""))</f>
        <v>885038033196</v>
      </c>
      <c r="M55" s="124">
        <f>(IF((VLOOKUP(Table1[[#This Row],[SKU]],'All Skus'!$A:$AC,2,FALSE))="AKG",(VLOOKUP(Table1[[#This Row],[SKU]],'All Skus'!$A:$AC,17,FALSE)),""))</f>
        <v>9002761033199</v>
      </c>
      <c r="N55" s="64">
        <f>(IF((VLOOKUP(Table1[[#This Row],[SKU]],'All Skus'!$A:$AC,2,FALSE))="AKG",(VLOOKUP(Table1[[#This Row],[SKU]],'All Skus'!$A:$AC,18,FALSE)),""))</f>
        <v>4</v>
      </c>
      <c r="O55" s="64">
        <f>(IF((VLOOKUP(Table1[[#This Row],[SKU]],'All Skus'!$A:$AC,2,FALSE))="AKG",(VLOOKUP(Table1[[#This Row],[SKU]],'All Skus'!$A:$AC,19,FALSE)),""))</f>
        <v>8</v>
      </c>
      <c r="P55" s="64">
        <f>(IF((VLOOKUP(Table1[[#This Row],[SKU]],'All Skus'!$A:$AC,2,FALSE))="AKG",(VLOOKUP(Table1[[#This Row],[SKU]],'All Skus'!$A:$AC,20,FALSE)),""))</f>
        <v>9</v>
      </c>
      <c r="Q55" s="64">
        <f>(IF((VLOOKUP(Table1[[#This Row],[SKU]],'All Skus'!$A:$AC,2,FALSE))="AKG",(VLOOKUP(Table1[[#This Row],[SKU]],'All Skus'!$A:$AC,21,FALSE)),""))</f>
        <v>4</v>
      </c>
      <c r="R55" s="64" t="str">
        <f>(IF((VLOOKUP(Table1[[#This Row],[SKU]],'All Skus'!$A:$AC,2,FALSE))="AKG",(VLOOKUP(Table1[[#This Row],[SKU]],'All Skus'!$A:$AC,22,FALSE)),""))</f>
        <v>AT</v>
      </c>
      <c r="S55" s="64" t="str">
        <f>(IF((VLOOKUP(Table1[[#This Row],[SKU]],'All Skus'!$A:$AC,2,FALSE))="AKG",(VLOOKUP(Table1[[#This Row],[SKU]],'All Skus'!$A:$AC,23,FALSE)),""))</f>
        <v>Compliant</v>
      </c>
      <c r="T55" s="210" t="str">
        <f>HYPERLINK((IF((VLOOKUP(Table1[[#This Row],[SKU]],'All Skus'!$A:$AC,2,FALSE))="AKG",(VLOOKUP(Table1[[#This Row],[SKU]],'All Skus'!$A:$AC,24,FALSE)),"")))</f>
        <v>https://www.akg.com/Microphones/Dynamic%20Microphones/D12VR.html</v>
      </c>
      <c r="U55" s="151">
        <v>53</v>
      </c>
    </row>
    <row r="56" spans="1:21" ht="15" hidden="1" customHeight="1">
      <c r="A56" s="50" t="s">
        <v>213</v>
      </c>
      <c r="B56" s="52" t="str">
        <f>(IF((VLOOKUP(Table1[[#This Row],[SKU]],'All Skus'!$A:$AC,2,FALSE))="AKG",(VLOOKUP(Table1[[#This Row],[SKU]],'All Skus'!$A:$AC,3,FALSE)), ""))</f>
        <v>Wired Mics</v>
      </c>
      <c r="C56" s="60" t="str">
        <f>(IF((VLOOKUP(Table1[[#This Row],[SKU]],'All Skus'!$A:$AC,2,FALSE))="AKG",(VLOOKUP(Table1[[#This Row],[SKU]],'All Skus'!$A:$AC,4,FALSE)),""))</f>
        <v>DRUMSET SESSION 1</v>
      </c>
      <c r="D56" s="60" t="str">
        <f>(IF((VLOOKUP(Table1[[#This Row],[SKU]],'All Skus'!$A:$AC,2,FALSE))="AKG",(VLOOKUP(Table1[[#This Row],[SKU]],'All Skus'!$A:$AC,5,FALSE)),""))</f>
        <v>AT410020</v>
      </c>
      <c r="E56" s="60">
        <f>(IF((VLOOKUP(Table1[[#This Row],[SKU]],'All Skus'!$A:$AC,2,FALSE))="AKG",(VLOOKUP(Table1[[#This Row],[SKU]],'All Skus'!$A:$AC,6,FALSE)),""))</f>
        <v>0</v>
      </c>
      <c r="F56" s="60">
        <f>(IF((VLOOKUP(Table1[[#This Row],[SKU]],'All Skus'!$A:$AC,2,FALSE))="AKG",(VLOOKUP(Table1[[#This Row],[SKU]],'All Skus'!$A:$AC,7,FALSE)),""))</f>
        <v>0</v>
      </c>
      <c r="G56" s="45" t="str">
        <f>(IF((VLOOKUP(Table1[[#This Row],[SKU]],'All Skus'!$A:$AC,2,FALSE))="AKG",(VLOOKUP(Table1[[#This Row],[SKU]],'All Skus'!$A:$AC,8,FALSE)),""))</f>
        <v>Instrument Microphone</v>
      </c>
      <c r="H56" s="45" t="str">
        <f>(IF((VLOOKUP(Table1[[#This Row],[SKU]],'All Skus'!$A:$AC,2,FALSE))="AKG",(VLOOKUP(Table1[[#This Row],[SKU]],'All Skus'!$A:$AC,9,FALSE)),""))</f>
        <v>High-Performance Drum Microphone Set, contains: 1x P2, 2x P17, 4x P4 (the P17 is technically identical to the P170 and is not available as a single unit)</v>
      </c>
      <c r="I56" s="141">
        <f>(IF((VLOOKUP(Table1[[#This Row],[SKU]],'All Skus'!$A:$AC,2,FALSE))="AKG",(VLOOKUP(Table1[[#This Row],[SKU]],'All Skus'!$A:$AC,10,FALSE)),""))</f>
        <v>599.03</v>
      </c>
      <c r="J56" s="141">
        <f>(IF((VLOOKUP(Table1[[#This Row],[SKU]],'All Skus'!$A:$AC,2,FALSE))="AKG",(VLOOKUP(Table1[[#This Row],[SKU]],'All Skus'!$A:$AC,11,FALSE)),""))</f>
        <v>484</v>
      </c>
      <c r="K56" s="125">
        <f>(IF((VLOOKUP(Table1[[#This Row],[SKU]],'All Skus'!$A:$AC,2,FALSE))="AKG",(VLOOKUP(Table1[[#This Row],[SKU]],'All Skus'!$A:$AC,15,FALSE)),""))</f>
        <v>0</v>
      </c>
      <c r="L56" s="124">
        <f>(IF((VLOOKUP(Table1[[#This Row],[SKU]],'All Skus'!$A:$AC,2,FALSE))="AKG",(VLOOKUP(Table1[[#This Row],[SKU]],'All Skus'!$A:$AC,16,FALSE)),""))</f>
        <v>885038038023</v>
      </c>
      <c r="M56" s="124">
        <f>(IF((VLOOKUP(Table1[[#This Row],[SKU]],'All Skus'!$A:$AC,2,FALSE))="AKG",(VLOOKUP(Table1[[#This Row],[SKU]],'All Skus'!$A:$AC,17,FALSE)),""))</f>
        <v>9002761038026</v>
      </c>
      <c r="N56" s="64">
        <f>(IF((VLOOKUP(Table1[[#This Row],[SKU]],'All Skus'!$A:$AC,2,FALSE))="AKG",(VLOOKUP(Table1[[#This Row],[SKU]],'All Skus'!$A:$AC,18,FALSE)),""))</f>
        <v>10</v>
      </c>
      <c r="O56" s="64">
        <f>(IF((VLOOKUP(Table1[[#This Row],[SKU]],'All Skus'!$A:$AC,2,FALSE))="AKG",(VLOOKUP(Table1[[#This Row],[SKU]],'All Skus'!$A:$AC,19,FALSE)),""))</f>
        <v>15</v>
      </c>
      <c r="P56" s="64">
        <f>(IF((VLOOKUP(Table1[[#This Row],[SKU]],'All Skus'!$A:$AC,2,FALSE))="AKG",(VLOOKUP(Table1[[#This Row],[SKU]],'All Skus'!$A:$AC,20,FALSE)),""))</f>
        <v>15</v>
      </c>
      <c r="Q56" s="64">
        <f>(IF((VLOOKUP(Table1[[#This Row],[SKU]],'All Skus'!$A:$AC,2,FALSE))="AKG",(VLOOKUP(Table1[[#This Row],[SKU]],'All Skus'!$A:$AC,21,FALSE)),""))</f>
        <v>4</v>
      </c>
      <c r="R56" s="64" t="str">
        <f>(IF((VLOOKUP(Table1[[#This Row],[SKU]],'All Skus'!$A:$AC,2,FALSE))="AKG",(VLOOKUP(Table1[[#This Row],[SKU]],'All Skus'!$A:$AC,22,FALSE)),""))</f>
        <v>CN</v>
      </c>
      <c r="S56" s="64" t="str">
        <f>(IF((VLOOKUP(Table1[[#This Row],[SKU]],'All Skus'!$A:$AC,2,FALSE))="AKG",(VLOOKUP(Table1[[#This Row],[SKU]],'All Skus'!$A:$AC,23,FALSE)),""))</f>
        <v>Non Compliant</v>
      </c>
      <c r="T56" s="210" t="str">
        <f>HYPERLINK((IF((VLOOKUP(Table1[[#This Row],[SKU]],'All Skus'!$A:$AC,2,FALSE))="AKG",(VLOOKUP(Table1[[#This Row],[SKU]],'All Skus'!$A:$AC,24,FALSE)),"")))</f>
        <v>https://www.akg.com/Microphones/Drum%20Microphone%20Bundles/DrumsetSessionI.html</v>
      </c>
      <c r="U56" s="151">
        <v>54</v>
      </c>
    </row>
    <row r="57" spans="1:21" ht="15" hidden="1" customHeight="1">
      <c r="A57" s="50" t="s">
        <v>214</v>
      </c>
      <c r="B57" s="52" t="str">
        <f>(IF((VLOOKUP(Table1[[#This Row],[SKU]],'All Skus'!$A:$AC,2,FALSE))="AKG",(VLOOKUP(Table1[[#This Row],[SKU]],'All Skus'!$A:$AC,3,FALSE)), ""))</f>
        <v>Wired Mics</v>
      </c>
      <c r="C57" s="60" t="str">
        <f>(IF((VLOOKUP(Table1[[#This Row],[SKU]],'All Skus'!$A:$AC,2,FALSE))="AKG",(VLOOKUP(Table1[[#This Row],[SKU]],'All Skus'!$A:$AC,4,FALSE)),""))</f>
        <v xml:space="preserve">DRUMSET CONCERT 1 </v>
      </c>
      <c r="D57" s="60" t="str">
        <f>(IF((VLOOKUP(Table1[[#This Row],[SKU]],'All Skus'!$A:$AC,2,FALSE))="AKG",(VLOOKUP(Table1[[#This Row],[SKU]],'All Skus'!$A:$AC,5,FALSE)),""))</f>
        <v>AT410020</v>
      </c>
      <c r="E57" s="60">
        <f>(IF((VLOOKUP(Table1[[#This Row],[SKU]],'All Skus'!$A:$AC,2,FALSE))="AKG",(VLOOKUP(Table1[[#This Row],[SKU]],'All Skus'!$A:$AC,6,FALSE)),""))</f>
        <v>0</v>
      </c>
      <c r="F57" s="60">
        <f>(IF((VLOOKUP(Table1[[#This Row],[SKU]],'All Skus'!$A:$AC,2,FALSE))="AKG",(VLOOKUP(Table1[[#This Row],[SKU]],'All Skus'!$A:$AC,7,FALSE)),""))</f>
        <v>0</v>
      </c>
      <c r="G57" s="45" t="str">
        <f>(IF((VLOOKUP(Table1[[#This Row],[SKU]],'All Skus'!$A:$AC,2,FALSE))="AKG",(VLOOKUP(Table1[[#This Row],[SKU]],'All Skus'!$A:$AC,8,FALSE)),""))</f>
        <v>Instrument Microphone</v>
      </c>
      <c r="H57" s="45" t="str">
        <f>(IF((VLOOKUP(Table1[[#This Row],[SKU]],'All Skus'!$A:$AC,2,FALSE))="AKG",(VLOOKUP(Table1[[#This Row],[SKU]],'All Skus'!$A:$AC,9,FALSE)),""))</f>
        <v>High-Performance Drum Microphone Set, contains: 1x D112 MKII, 2x C430, 4x D40, plus all neccessary stand adapters and clamps</v>
      </c>
      <c r="I57" s="141">
        <f>(IF((VLOOKUP(Table1[[#This Row],[SKU]],'All Skus'!$A:$AC,2,FALSE))="AKG",(VLOOKUP(Table1[[#This Row],[SKU]],'All Skus'!$A:$AC,10,FALSE)),""))</f>
        <v>1342.12</v>
      </c>
      <c r="J57" s="141">
        <f>(IF((VLOOKUP(Table1[[#This Row],[SKU]],'All Skus'!$A:$AC,2,FALSE))="AKG",(VLOOKUP(Table1[[#This Row],[SKU]],'All Skus'!$A:$AC,11,FALSE)),""))</f>
        <v>957</v>
      </c>
      <c r="K57" s="125">
        <f>(IF((VLOOKUP(Table1[[#This Row],[SKU]],'All Skus'!$A:$AC,2,FALSE))="AKG",(VLOOKUP(Table1[[#This Row],[SKU]],'All Skus'!$A:$AC,15,FALSE)),""))</f>
        <v>0</v>
      </c>
      <c r="L57" s="124">
        <f>(IF((VLOOKUP(Table1[[#This Row],[SKU]],'All Skus'!$A:$AC,2,FALSE))="AKG",(VLOOKUP(Table1[[#This Row],[SKU]],'All Skus'!$A:$AC,16,FALSE)),""))</f>
        <v>885038039013</v>
      </c>
      <c r="M57" s="124">
        <f>(IF((VLOOKUP(Table1[[#This Row],[SKU]],'All Skus'!$A:$AC,2,FALSE))="AKG",(VLOOKUP(Table1[[#This Row],[SKU]],'All Skus'!$A:$AC,17,FALSE)),""))</f>
        <v>9002761039016</v>
      </c>
      <c r="N57" s="64">
        <f>(IF((VLOOKUP(Table1[[#This Row],[SKU]],'All Skus'!$A:$AC,2,FALSE))="AKG",(VLOOKUP(Table1[[#This Row],[SKU]],'All Skus'!$A:$AC,18,FALSE)),""))</f>
        <v>14</v>
      </c>
      <c r="O57" s="64">
        <f>(IF((VLOOKUP(Table1[[#This Row],[SKU]],'All Skus'!$A:$AC,2,FALSE))="AKG",(VLOOKUP(Table1[[#This Row],[SKU]],'All Skus'!$A:$AC,19,FALSE)),""))</f>
        <v>19</v>
      </c>
      <c r="P57" s="64">
        <f>(IF((VLOOKUP(Table1[[#This Row],[SKU]],'All Skus'!$A:$AC,2,FALSE))="AKG",(VLOOKUP(Table1[[#This Row],[SKU]],'All Skus'!$A:$AC,20,FALSE)),""))</f>
        <v>16</v>
      </c>
      <c r="Q57" s="64">
        <f>(IF((VLOOKUP(Table1[[#This Row],[SKU]],'All Skus'!$A:$AC,2,FALSE))="AKG",(VLOOKUP(Table1[[#This Row],[SKU]],'All Skus'!$A:$AC,21,FALSE)),""))</f>
        <v>12.6</v>
      </c>
      <c r="R57" s="64" t="str">
        <f>(IF((VLOOKUP(Table1[[#This Row],[SKU]],'All Skus'!$A:$AC,2,FALSE))="AKG",(VLOOKUP(Table1[[#This Row],[SKU]],'All Skus'!$A:$AC,22,FALSE)),""))</f>
        <v>CN</v>
      </c>
      <c r="S57" s="64" t="str">
        <f>(IF((VLOOKUP(Table1[[#This Row],[SKU]],'All Skus'!$A:$AC,2,FALSE))="AKG",(VLOOKUP(Table1[[#This Row],[SKU]],'All Skus'!$A:$AC,23,FALSE)),""))</f>
        <v>Non Compliant</v>
      </c>
      <c r="T57" s="210" t="str">
        <f>HYPERLINK((IF((VLOOKUP(Table1[[#This Row],[SKU]],'All Skus'!$A:$AC,2,FALSE))="AKG",(VLOOKUP(Table1[[#This Row],[SKU]],'All Skus'!$A:$AC,24,FALSE)),"")))</f>
        <v>https://www.akg.com/Microphones/Drum%20Microphone%20Bundles/2581H00160.html</v>
      </c>
      <c r="U57" s="151">
        <v>55</v>
      </c>
    </row>
    <row r="58" spans="1:21" ht="15" hidden="1" customHeight="1">
      <c r="A58" s="50" t="s">
        <v>215</v>
      </c>
      <c r="B58" s="52" t="str">
        <f>(IF((VLOOKUP(Table1[[#This Row],[SKU]],'All Skus'!$A:$AC,2,FALSE))="AKG",(VLOOKUP(Table1[[#This Row],[SKU]],'All Skus'!$A:$AC,3,FALSE)), ""))</f>
        <v>Wired Mics</v>
      </c>
      <c r="C58" s="60" t="str">
        <f>(IF((VLOOKUP(Table1[[#This Row],[SKU]],'All Skus'!$A:$AC,2,FALSE))="AKG",(VLOOKUP(Table1[[#This Row],[SKU]],'All Skus'!$A:$AC,4,FALSE)),""))</f>
        <v>DRUMSET PREMIUM</v>
      </c>
      <c r="D58" s="60">
        <f>(IF((VLOOKUP(Table1[[#This Row],[SKU]],'All Skus'!$A:$AC,2,FALSE))="AKG",(VLOOKUP(Table1[[#This Row],[SKU]],'All Skus'!$A:$AC,5,FALSE)),""))</f>
        <v>83200201</v>
      </c>
      <c r="E58" s="60">
        <f>(IF((VLOOKUP(Table1[[#This Row],[SKU]],'All Skus'!$A:$AC,2,FALSE))="AKG",(VLOOKUP(Table1[[#This Row],[SKU]],'All Skus'!$A:$AC,6,FALSE)),""))</f>
        <v>0</v>
      </c>
      <c r="F58" s="60">
        <f>(IF((VLOOKUP(Table1[[#This Row],[SKU]],'All Skus'!$A:$AC,2,FALSE))="AKG",(VLOOKUP(Table1[[#This Row],[SKU]],'All Skus'!$A:$AC,7,FALSE)),""))</f>
        <v>0</v>
      </c>
      <c r="G58" s="45" t="str">
        <f>(IF((VLOOKUP(Table1[[#This Row],[SKU]],'All Skus'!$A:$AC,2,FALSE))="AKG",(VLOOKUP(Table1[[#This Row],[SKU]],'All Skus'!$A:$AC,8,FALSE)),""))</f>
        <v>Instrument Microphone</v>
      </c>
      <c r="H58" s="45" t="str">
        <f>(IF((VLOOKUP(Table1[[#This Row],[SKU]],'All Skus'!$A:$AC,2,FALSE))="AKG",(VLOOKUP(Table1[[#This Row],[SKU]],'All Skus'!$A:$AC,9,FALSE)),""))</f>
        <v>incl. 1x D12VR, 2x C214, 1x C451, 4x D40</v>
      </c>
      <c r="I58" s="141">
        <f>(IF((VLOOKUP(Table1[[#This Row],[SKU]],'All Skus'!$A:$AC,2,FALSE))="AKG",(VLOOKUP(Table1[[#This Row],[SKU]],'All Skus'!$A:$AC,10,FALSE)),""))</f>
        <v>2999.96</v>
      </c>
      <c r="J58" s="141">
        <f>(IF((VLOOKUP(Table1[[#This Row],[SKU]],'All Skus'!$A:$AC,2,FALSE))="AKG",(VLOOKUP(Table1[[#This Row],[SKU]],'All Skus'!$A:$AC,11,FALSE)),""))</f>
        <v>2399</v>
      </c>
      <c r="K58" s="125">
        <f>(IF((VLOOKUP(Table1[[#This Row],[SKU]],'All Skus'!$A:$AC,2,FALSE))="AKG",(VLOOKUP(Table1[[#This Row],[SKU]],'All Skus'!$A:$AC,15,FALSE)),""))</f>
        <v>0</v>
      </c>
      <c r="L58" s="124">
        <f>(IF((VLOOKUP(Table1[[#This Row],[SKU]],'All Skus'!$A:$AC,2,FALSE))="AKG",(VLOOKUP(Table1[[#This Row],[SKU]],'All Skus'!$A:$AC,16,FALSE)),""))</f>
        <v>885038035343</v>
      </c>
      <c r="M58" s="124">
        <f>(IF((VLOOKUP(Table1[[#This Row],[SKU]],'All Skus'!$A:$AC,2,FALSE))="AKG",(VLOOKUP(Table1[[#This Row],[SKU]],'All Skus'!$A:$AC,17,FALSE)),""))</f>
        <v>9002761035346</v>
      </c>
      <c r="N58" s="64">
        <f>(IF((VLOOKUP(Table1[[#This Row],[SKU]],'All Skus'!$A:$AC,2,FALSE))="AKG",(VLOOKUP(Table1[[#This Row],[SKU]],'All Skus'!$A:$AC,18,FALSE)),""))</f>
        <v>11</v>
      </c>
      <c r="O58" s="64">
        <f>(IF((VLOOKUP(Table1[[#This Row],[SKU]],'All Skus'!$A:$AC,2,FALSE))="AKG",(VLOOKUP(Table1[[#This Row],[SKU]],'All Skus'!$A:$AC,19,FALSE)),""))</f>
        <v>9</v>
      </c>
      <c r="P58" s="64">
        <f>(IF((VLOOKUP(Table1[[#This Row],[SKU]],'All Skus'!$A:$AC,2,FALSE))="AKG",(VLOOKUP(Table1[[#This Row],[SKU]],'All Skus'!$A:$AC,20,FALSE)),""))</f>
        <v>15</v>
      </c>
      <c r="Q58" s="64">
        <f>(IF((VLOOKUP(Table1[[#This Row],[SKU]],'All Skus'!$A:$AC,2,FALSE))="AKG",(VLOOKUP(Table1[[#This Row],[SKU]],'All Skus'!$A:$AC,21,FALSE)),""))</f>
        <v>5.6</v>
      </c>
      <c r="R58" s="64" t="str">
        <f>(IF((VLOOKUP(Table1[[#This Row],[SKU]],'All Skus'!$A:$AC,2,FALSE))="AKG",(VLOOKUP(Table1[[#This Row],[SKU]],'All Skus'!$A:$AC,22,FALSE)),""))</f>
        <v>AT</v>
      </c>
      <c r="S58" s="64" t="str">
        <f>(IF((VLOOKUP(Table1[[#This Row],[SKU]],'All Skus'!$A:$AC,2,FALSE))="AKG",(VLOOKUP(Table1[[#This Row],[SKU]],'All Skus'!$A:$AC,23,FALSE)),""))</f>
        <v>Compliant</v>
      </c>
      <c r="T58" s="210" t="str">
        <f>HYPERLINK((IF((VLOOKUP(Table1[[#This Row],[SKU]],'All Skus'!$A:$AC,2,FALSE))="AKG",(VLOOKUP(Table1[[#This Row],[SKU]],'All Skus'!$A:$AC,24,FALSE)),"")))</f>
        <v>https://www.akg.com/Microphones/Drum%20Microphone%20Bundles/DrumsetPremium.html</v>
      </c>
      <c r="U58" s="151">
        <v>56</v>
      </c>
    </row>
    <row r="59" spans="1:21" ht="15" hidden="1" customHeight="1">
      <c r="A59" s="126" t="s">
        <v>216</v>
      </c>
      <c r="B59" s="52">
        <f>(IF((VLOOKUP(Table1[[#This Row],[SKU]],'All Skus'!$A:$AC,2,FALSE))="AKG",(VLOOKUP(Table1[[#This Row],[SKU]],'All Skus'!$A:$AC,3,FALSE)), ""))</f>
        <v>0</v>
      </c>
      <c r="C59" s="60">
        <f>(IF((VLOOKUP(Table1[[#This Row],[SKU]],'All Skus'!$A:$AC,2,FALSE))="AKG",(VLOOKUP(Table1[[#This Row],[SKU]],'All Skus'!$A:$AC,4,FALSE)),""))</f>
        <v>0</v>
      </c>
      <c r="D59" s="60">
        <f>(IF((VLOOKUP(Table1[[#This Row],[SKU]],'All Skus'!$A:$AC,2,FALSE))="AKG",(VLOOKUP(Table1[[#This Row],[SKU]],'All Skus'!$A:$AC,5,FALSE)),""))</f>
        <v>0</v>
      </c>
      <c r="E59" s="60">
        <f>(IF((VLOOKUP(Table1[[#This Row],[SKU]],'All Skus'!$A:$AC,2,FALSE))="AKG",(VLOOKUP(Table1[[#This Row],[SKU]],'All Skus'!$A:$AC,6,FALSE)),""))</f>
        <v>0</v>
      </c>
      <c r="F59" s="60">
        <f>(IF((VLOOKUP(Table1[[#This Row],[SKU]],'All Skus'!$A:$AC,2,FALSE))="AKG",(VLOOKUP(Table1[[#This Row],[SKU]],'All Skus'!$A:$AC,7,FALSE)),""))</f>
        <v>0</v>
      </c>
      <c r="G59" s="45">
        <f>(IF((VLOOKUP(Table1[[#This Row],[SKU]],'All Skus'!$A:$AC,2,FALSE))="AKG",(VLOOKUP(Table1[[#This Row],[SKU]],'All Skus'!$A:$AC,8,FALSE)),""))</f>
        <v>0</v>
      </c>
      <c r="H59" s="45">
        <f>(IF((VLOOKUP(Table1[[#This Row],[SKU]],'All Skus'!$A:$AC,2,FALSE))="AKG",(VLOOKUP(Table1[[#This Row],[SKU]],'All Skus'!$A:$AC,9,FALSE)),""))</f>
        <v>0</v>
      </c>
      <c r="I59" s="141">
        <f>(IF((VLOOKUP(Table1[[#This Row],[SKU]],'All Skus'!$A:$AC,2,FALSE))="AKG",(VLOOKUP(Table1[[#This Row],[SKU]],'All Skus'!$A:$AC,10,FALSE)),""))</f>
        <v>0</v>
      </c>
      <c r="J59" s="141">
        <f>(IF((VLOOKUP(Table1[[#This Row],[SKU]],'All Skus'!$A:$AC,2,FALSE))="AKG",(VLOOKUP(Table1[[#This Row],[SKU]],'All Skus'!$A:$AC,11,FALSE)),""))</f>
        <v>0</v>
      </c>
      <c r="K59" s="125">
        <f>(IF((VLOOKUP(Table1[[#This Row],[SKU]],'All Skus'!$A:$AC,2,FALSE))="AKG",(VLOOKUP(Table1[[#This Row],[SKU]],'All Skus'!$A:$AC,15,FALSE)),""))</f>
        <v>0</v>
      </c>
      <c r="L59" s="124">
        <f>(IF((VLOOKUP(Table1[[#This Row],[SKU]],'All Skus'!$A:$AC,2,FALSE))="AKG",(VLOOKUP(Table1[[#This Row],[SKU]],'All Skus'!$A:$AC,16,FALSE)),""))</f>
        <v>0</v>
      </c>
      <c r="M59" s="124">
        <f>(IF((VLOOKUP(Table1[[#This Row],[SKU]],'All Skus'!$A:$AC,2,FALSE))="AKG",(VLOOKUP(Table1[[#This Row],[SKU]],'All Skus'!$A:$AC,17,FALSE)),""))</f>
        <v>0</v>
      </c>
      <c r="N59" s="64">
        <f>(IF((VLOOKUP(Table1[[#This Row],[SKU]],'All Skus'!$A:$AC,2,FALSE))="AKG",(VLOOKUP(Table1[[#This Row],[SKU]],'All Skus'!$A:$AC,18,FALSE)),""))</f>
        <v>0</v>
      </c>
      <c r="O59" s="64">
        <f>(IF((VLOOKUP(Table1[[#This Row],[SKU]],'All Skus'!$A:$AC,2,FALSE))="AKG",(VLOOKUP(Table1[[#This Row],[SKU]],'All Skus'!$A:$AC,19,FALSE)),""))</f>
        <v>0</v>
      </c>
      <c r="P59" s="64">
        <f>(IF((VLOOKUP(Table1[[#This Row],[SKU]],'All Skus'!$A:$AC,2,FALSE))="AKG",(VLOOKUP(Table1[[#This Row],[SKU]],'All Skus'!$A:$AC,20,FALSE)),""))</f>
        <v>0</v>
      </c>
      <c r="Q59" s="64">
        <f>(IF((VLOOKUP(Table1[[#This Row],[SKU]],'All Skus'!$A:$AC,2,FALSE))="AKG",(VLOOKUP(Table1[[#This Row],[SKU]],'All Skus'!$A:$AC,21,FALSE)),""))</f>
        <v>0</v>
      </c>
      <c r="R59" s="64">
        <f>(IF((VLOOKUP(Table1[[#This Row],[SKU]],'All Skus'!$A:$AC,2,FALSE))="AKG",(VLOOKUP(Table1[[#This Row],[SKU]],'All Skus'!$A:$AC,22,FALSE)),""))</f>
        <v>0</v>
      </c>
      <c r="S59" s="64">
        <f>(IF((VLOOKUP(Table1[[#This Row],[SKU]],'All Skus'!$A:$AC,2,FALSE))="AKG",(VLOOKUP(Table1[[#This Row],[SKU]],'All Skus'!$A:$AC,23,FALSE)),""))</f>
        <v>0</v>
      </c>
      <c r="T59" s="210" t="str">
        <f>HYPERLINK((IF((VLOOKUP(Table1[[#This Row],[SKU]],'All Skus'!$A:$AC,2,FALSE))="AKG",(VLOOKUP(Table1[[#This Row],[SKU]],'All Skus'!$A:$AC,24,FALSE)),"")))</f>
        <v/>
      </c>
      <c r="U59" s="151">
        <v>57</v>
      </c>
    </row>
    <row r="60" spans="1:21" ht="15" hidden="1" customHeight="1">
      <c r="A60" s="50" t="s">
        <v>217</v>
      </c>
      <c r="B60" s="52" t="str">
        <f>(IF((VLOOKUP(Table1[[#This Row],[SKU]],'All Skus'!$A:$AC,2,FALSE))="AKG",(VLOOKUP(Table1[[#This Row],[SKU]],'All Skus'!$A:$AC,3,FALSE)), ""))</f>
        <v>Wired Mics</v>
      </c>
      <c r="C60" s="60" t="str">
        <f>(IF((VLOOKUP(Table1[[#This Row],[SKU]],'All Skus'!$A:$AC,2,FALSE))="AKG",(VLOOKUP(Table1[[#This Row],[SKU]],'All Skus'!$A:$AC,4,FALSE)),""))</f>
        <v>CM311 XLR - NON ROHS, not for EUROPE</v>
      </c>
      <c r="D60" s="60" t="str">
        <f>(IF((VLOOKUP(Table1[[#This Row],[SKU]],'All Skus'!$A:$AC,2,FALSE))="AKG",(VLOOKUP(Table1[[#This Row],[SKU]],'All Skus'!$A:$AC,5,FALSE)),""))</f>
        <v>AT410010</v>
      </c>
      <c r="E60" s="60">
        <f>(IF((VLOOKUP(Table1[[#This Row],[SKU]],'All Skus'!$A:$AC,2,FALSE))="AKG",(VLOOKUP(Table1[[#This Row],[SKU]],'All Skus'!$A:$AC,6,FALSE)),""))</f>
        <v>0</v>
      </c>
      <c r="F60" s="60">
        <f>(IF((VLOOKUP(Table1[[#This Row],[SKU]],'All Skus'!$A:$AC,2,FALSE))="AKG",(VLOOKUP(Table1[[#This Row],[SKU]],'All Skus'!$A:$AC,7,FALSE)),""))</f>
        <v>0</v>
      </c>
      <c r="G60" s="45" t="str">
        <f>(IF((VLOOKUP(Table1[[#This Row],[SKU]],'All Skus'!$A:$AC,2,FALSE))="AKG",(VLOOKUP(Table1[[#This Row],[SKU]],'All Skus'!$A:$AC,8,FALSE)),""))</f>
        <v>Head-Worn Vocal Microphone</v>
      </c>
      <c r="H60" s="45" t="str">
        <f>(IF((VLOOKUP(Table1[[#This Row],[SKU]],'All Skus'!$A:$AC,2,FALSE))="AKG",(VLOOKUP(Table1[[#This Row],[SKU]],'All Skus'!$A:$AC,9,FALSE)),""))</f>
        <v>Light, rugged head-worn mic for presenters with XLR connector</v>
      </c>
      <c r="I60" s="141">
        <f>(IF((VLOOKUP(Table1[[#This Row],[SKU]],'All Skus'!$A:$AC,2,FALSE))="AKG",(VLOOKUP(Table1[[#This Row],[SKU]],'All Skus'!$A:$AC,10,FALSE)),""))</f>
        <v>671.06</v>
      </c>
      <c r="J60" s="141">
        <f>(IF((VLOOKUP(Table1[[#This Row],[SKU]],'All Skus'!$A:$AC,2,FALSE))="AKG",(VLOOKUP(Table1[[#This Row],[SKU]],'All Skus'!$A:$AC,11,FALSE)),""))</f>
        <v>541</v>
      </c>
      <c r="K60" s="125">
        <f>(IF((VLOOKUP(Table1[[#This Row],[SKU]],'All Skus'!$A:$AC,2,FALSE))="AKG",(VLOOKUP(Table1[[#This Row],[SKU]],'All Skus'!$A:$AC,15,FALSE)),""))</f>
        <v>0</v>
      </c>
      <c r="L60" s="124">
        <f>(IF((VLOOKUP(Table1[[#This Row],[SKU]],'All Skus'!$A:$AC,2,FALSE))="AKG",(VLOOKUP(Table1[[#This Row],[SKU]],'All Skus'!$A:$AC,16,FALSE)),""))</f>
        <v>885038024965</v>
      </c>
      <c r="M60" s="124">
        <f>(IF((VLOOKUP(Table1[[#This Row],[SKU]],'All Skus'!$A:$AC,2,FALSE))="AKG",(VLOOKUP(Table1[[#This Row],[SKU]],'All Skus'!$A:$AC,17,FALSE)),""))</f>
        <v>9002761024968</v>
      </c>
      <c r="N60" s="64">
        <f>(IF((VLOOKUP(Table1[[#This Row],[SKU]],'All Skus'!$A:$AC,2,FALSE))="AKG",(VLOOKUP(Table1[[#This Row],[SKU]],'All Skus'!$A:$AC,18,FALSE)),""))</f>
        <v>4</v>
      </c>
      <c r="O60" s="64">
        <f>(IF((VLOOKUP(Table1[[#This Row],[SKU]],'All Skus'!$A:$AC,2,FALSE))="AKG",(VLOOKUP(Table1[[#This Row],[SKU]],'All Skus'!$A:$AC,19,FALSE)),""))</f>
        <v>12</v>
      </c>
      <c r="P60" s="64">
        <f>(IF((VLOOKUP(Table1[[#This Row],[SKU]],'All Skus'!$A:$AC,2,FALSE))="AKG",(VLOOKUP(Table1[[#This Row],[SKU]],'All Skus'!$A:$AC,20,FALSE)),""))</f>
        <v>8</v>
      </c>
      <c r="Q60" s="64">
        <f>(IF((VLOOKUP(Table1[[#This Row],[SKU]],'All Skus'!$A:$AC,2,FALSE))="AKG",(VLOOKUP(Table1[[#This Row],[SKU]],'All Skus'!$A:$AC,21,FALSE)),""))</f>
        <v>3.048</v>
      </c>
      <c r="R60" s="64" t="str">
        <f>(IF((VLOOKUP(Table1[[#This Row],[SKU]],'All Skus'!$A:$AC,2,FALSE))="AKG",(VLOOKUP(Table1[[#This Row],[SKU]],'All Skus'!$A:$AC,22,FALSE)),""))</f>
        <v>CN</v>
      </c>
      <c r="S60" s="64" t="str">
        <f>(IF((VLOOKUP(Table1[[#This Row],[SKU]],'All Skus'!$A:$AC,2,FALSE))="AKG",(VLOOKUP(Table1[[#This Row],[SKU]],'All Skus'!$A:$AC,23,FALSE)),""))</f>
        <v>Non Compliant</v>
      </c>
      <c r="T60" s="210" t="str">
        <f>HYPERLINK((IF((VLOOKUP(Table1[[#This Row],[SKU]],'All Skus'!$A:$AC,2,FALSE))="AKG",(VLOOKUP(Table1[[#This Row],[SKU]],'All Skus'!$A:$AC,24,FALSE)),"")))</f>
        <v>https://www.akg.com/Microphones/Headset%20Microphones/6000H50930.html</v>
      </c>
      <c r="U60" s="151">
        <v>58</v>
      </c>
    </row>
    <row r="61" spans="1:21" ht="15" hidden="1" customHeight="1">
      <c r="A61" s="50" t="s">
        <v>218</v>
      </c>
      <c r="B61" s="52" t="str">
        <f>(IF((VLOOKUP(Table1[[#This Row],[SKU]],'All Skus'!$A:$AC,2,FALSE))="AKG",(VLOOKUP(Table1[[#This Row],[SKU]],'All Skus'!$A:$AC,3,FALSE)), ""))</f>
        <v>Wired Mics</v>
      </c>
      <c r="C61" s="60" t="str">
        <f>(IF((VLOOKUP(Table1[[#This Row],[SKU]],'All Skus'!$A:$AC,2,FALSE))="AKG",(VLOOKUP(Table1[[#This Row],[SKU]],'All Skus'!$A:$AC,4,FALSE)),""))</f>
        <v>CM311 MINI XLR - NON ROHS, not for EUROPE</v>
      </c>
      <c r="D61" s="60" t="str">
        <f>(IF((VLOOKUP(Table1[[#This Row],[SKU]],'All Skus'!$A:$AC,2,FALSE))="AKG",(VLOOKUP(Table1[[#This Row],[SKU]],'All Skus'!$A:$AC,5,FALSE)),""))</f>
        <v>AT410010</v>
      </c>
      <c r="E61" s="60">
        <f>(IF((VLOOKUP(Table1[[#This Row],[SKU]],'All Skus'!$A:$AC,2,FALSE))="AKG",(VLOOKUP(Table1[[#This Row],[SKU]],'All Skus'!$A:$AC,6,FALSE)),""))</f>
        <v>0</v>
      </c>
      <c r="F61" s="60">
        <f>(IF((VLOOKUP(Table1[[#This Row],[SKU]],'All Skus'!$A:$AC,2,FALSE))="AKG",(VLOOKUP(Table1[[#This Row],[SKU]],'All Skus'!$A:$AC,7,FALSE)),""))</f>
        <v>0</v>
      </c>
      <c r="G61" s="45" t="str">
        <f>(IF((VLOOKUP(Table1[[#This Row],[SKU]],'All Skus'!$A:$AC,2,FALSE))="AKG",(VLOOKUP(Table1[[#This Row],[SKU]],'All Skus'!$A:$AC,8,FALSE)),""))</f>
        <v>Head-Worn Vocal Microphone</v>
      </c>
      <c r="H61" s="45" t="str">
        <f>(IF((VLOOKUP(Table1[[#This Row],[SKU]],'All Skus'!$A:$AC,2,FALSE))="AKG",(VLOOKUP(Table1[[#This Row],[SKU]],'All Skus'!$A:$AC,9,FALSE)),""))</f>
        <v>Light, rugged head-worn mic for presenters, with Mini XLR Connector for AKG PT´s</v>
      </c>
      <c r="I61" s="141">
        <f>(IF((VLOOKUP(Table1[[#This Row],[SKU]],'All Skus'!$A:$AC,2,FALSE))="AKG",(VLOOKUP(Table1[[#This Row],[SKU]],'All Skus'!$A:$AC,10,FALSE)),""))</f>
        <v>635.04999999999995</v>
      </c>
      <c r="J61" s="141">
        <f>(IF((VLOOKUP(Table1[[#This Row],[SKU]],'All Skus'!$A:$AC,2,FALSE))="AKG",(VLOOKUP(Table1[[#This Row],[SKU]],'All Skus'!$A:$AC,11,FALSE)),""))</f>
        <v>504</v>
      </c>
      <c r="K61" s="125">
        <f>(IF((VLOOKUP(Table1[[#This Row],[SKU]],'All Skus'!$A:$AC,2,FALSE))="AKG",(VLOOKUP(Table1[[#This Row],[SKU]],'All Skus'!$A:$AC,15,FALSE)),""))</f>
        <v>0</v>
      </c>
      <c r="L61" s="124">
        <f>(IF((VLOOKUP(Table1[[#This Row],[SKU]],'All Skus'!$A:$AC,2,FALSE))="AKG",(VLOOKUP(Table1[[#This Row],[SKU]],'All Skus'!$A:$AC,16,FALSE)),""))</f>
        <v>885038024972</v>
      </c>
      <c r="M61" s="124">
        <f>(IF((VLOOKUP(Table1[[#This Row],[SKU]],'All Skus'!$A:$AC,2,FALSE))="AKG",(VLOOKUP(Table1[[#This Row],[SKU]],'All Skus'!$A:$AC,17,FALSE)),""))</f>
        <v>9002761024975</v>
      </c>
      <c r="N61" s="64">
        <f>(IF((VLOOKUP(Table1[[#This Row],[SKU]],'All Skus'!$A:$AC,2,FALSE))="AKG",(VLOOKUP(Table1[[#This Row],[SKU]],'All Skus'!$A:$AC,18,FALSE)),""))</f>
        <v>5</v>
      </c>
      <c r="O61" s="64">
        <f>(IF((VLOOKUP(Table1[[#This Row],[SKU]],'All Skus'!$A:$AC,2,FALSE))="AKG",(VLOOKUP(Table1[[#This Row],[SKU]],'All Skus'!$A:$AC,19,FALSE)),""))</f>
        <v>9</v>
      </c>
      <c r="P61" s="64">
        <f>(IF((VLOOKUP(Table1[[#This Row],[SKU]],'All Skus'!$A:$AC,2,FALSE))="AKG",(VLOOKUP(Table1[[#This Row],[SKU]],'All Skus'!$A:$AC,20,FALSE)),""))</f>
        <v>13</v>
      </c>
      <c r="Q61" s="64">
        <f>(IF((VLOOKUP(Table1[[#This Row],[SKU]],'All Skus'!$A:$AC,2,FALSE))="AKG",(VLOOKUP(Table1[[#This Row],[SKU]],'All Skus'!$A:$AC,21,FALSE)),""))</f>
        <v>3.048</v>
      </c>
      <c r="R61" s="64" t="str">
        <f>(IF((VLOOKUP(Table1[[#This Row],[SKU]],'All Skus'!$A:$AC,2,FALSE))="AKG",(VLOOKUP(Table1[[#This Row],[SKU]],'All Skus'!$A:$AC,22,FALSE)),""))</f>
        <v>CN</v>
      </c>
      <c r="S61" s="64" t="str">
        <f>(IF((VLOOKUP(Table1[[#This Row],[SKU]],'All Skus'!$A:$AC,2,FALSE))="AKG",(VLOOKUP(Table1[[#This Row],[SKU]],'All Skus'!$A:$AC,23,FALSE)),""))</f>
        <v>Non Compliant</v>
      </c>
      <c r="T61" s="210" t="str">
        <f>HYPERLINK((IF((VLOOKUP(Table1[[#This Row],[SKU]],'All Skus'!$A:$AC,2,FALSE))="AKG",(VLOOKUP(Table1[[#This Row],[SKU]],'All Skus'!$A:$AC,24,FALSE)),"")))</f>
        <v>https://www.akg.com/Microphones/Headset%20Microphones/6000H50940.html</v>
      </c>
      <c r="U61" s="151">
        <v>59</v>
      </c>
    </row>
    <row r="62" spans="1:21" ht="15" hidden="1" customHeight="1">
      <c r="A62" s="50" t="s">
        <v>219</v>
      </c>
      <c r="B62" s="52" t="str">
        <f>(IF((VLOOKUP(Table1[[#This Row],[SKU]],'All Skus'!$A:$AC,2,FALSE))="AKG",(VLOOKUP(Table1[[#This Row],[SKU]],'All Skus'!$A:$AC,3,FALSE)), ""))</f>
        <v>Wired Mics</v>
      </c>
      <c r="C62" s="60" t="str">
        <f>(IF((VLOOKUP(Table1[[#This Row],[SKU]],'All Skus'!$A:$AC,2,FALSE))="AKG",(VLOOKUP(Table1[[#This Row],[SKU]],'All Skus'!$A:$AC,4,FALSE)),""))</f>
        <v>CM311 W/TA4F - NON ROHS, not for EUROPE</v>
      </c>
      <c r="D62" s="60" t="str">
        <f>(IF((VLOOKUP(Table1[[#This Row],[SKU]],'All Skus'!$A:$AC,2,FALSE))="AKG",(VLOOKUP(Table1[[#This Row],[SKU]],'All Skus'!$A:$AC,5,FALSE)),""))</f>
        <v>AT410010</v>
      </c>
      <c r="E62" s="60">
        <f>(IF((VLOOKUP(Table1[[#This Row],[SKU]],'All Skus'!$A:$AC,2,FALSE))="AKG",(VLOOKUP(Table1[[#This Row],[SKU]],'All Skus'!$A:$AC,6,FALSE)),""))</f>
        <v>0</v>
      </c>
      <c r="F62" s="60">
        <f>(IF((VLOOKUP(Table1[[#This Row],[SKU]],'All Skus'!$A:$AC,2,FALSE))="AKG",(VLOOKUP(Table1[[#This Row],[SKU]],'All Skus'!$A:$AC,7,FALSE)),""))</f>
        <v>0</v>
      </c>
      <c r="G62" s="45" t="str">
        <f>(IF((VLOOKUP(Table1[[#This Row],[SKU]],'All Skus'!$A:$AC,2,FALSE))="AKG",(VLOOKUP(Table1[[#This Row],[SKU]],'All Skus'!$A:$AC,8,FALSE)),""))</f>
        <v>Head-Worn Vocal Microphone</v>
      </c>
      <c r="H62" s="45" t="str">
        <f>(IF((VLOOKUP(Table1[[#This Row],[SKU]],'All Skus'!$A:$AC,2,FALSE))="AKG",(VLOOKUP(Table1[[#This Row],[SKU]],'All Skus'!$A:$AC,9,FALSE)),""))</f>
        <v>Light, rugged head-worn mic for presenters with connector for use Shure bodypack transmitters.</v>
      </c>
      <c r="I62" s="141">
        <f>(IF((VLOOKUP(Table1[[#This Row],[SKU]],'All Skus'!$A:$AC,2,FALSE))="AKG",(VLOOKUP(Table1[[#This Row],[SKU]],'All Skus'!$A:$AC,10,FALSE)),""))</f>
        <v>502.99</v>
      </c>
      <c r="J62" s="141">
        <f>(IF((VLOOKUP(Table1[[#This Row],[SKU]],'All Skus'!$A:$AC,2,FALSE))="AKG",(VLOOKUP(Table1[[#This Row],[SKU]],'All Skus'!$A:$AC,11,FALSE)),""))</f>
        <v>502.99</v>
      </c>
      <c r="K62" s="125">
        <f>(IF((VLOOKUP(Table1[[#This Row],[SKU]],'All Skus'!$A:$AC,2,FALSE))="AKG",(VLOOKUP(Table1[[#This Row],[SKU]],'All Skus'!$A:$AC,15,FALSE)),""))</f>
        <v>0</v>
      </c>
      <c r="L62" s="124">
        <f>(IF((VLOOKUP(Table1[[#This Row],[SKU]],'All Skus'!$A:$AC,2,FALSE))="AKG",(VLOOKUP(Table1[[#This Row],[SKU]],'All Skus'!$A:$AC,16,FALSE)),""))</f>
        <v>885038025306</v>
      </c>
      <c r="M62" s="124">
        <f>(IF((VLOOKUP(Table1[[#This Row],[SKU]],'All Skus'!$A:$AC,2,FALSE))="AKG",(VLOOKUP(Table1[[#This Row],[SKU]],'All Skus'!$A:$AC,17,FALSE)),""))</f>
        <v>9002761025309</v>
      </c>
      <c r="N62" s="64">
        <f>(IF((VLOOKUP(Table1[[#This Row],[SKU]],'All Skus'!$A:$AC,2,FALSE))="AKG",(VLOOKUP(Table1[[#This Row],[SKU]],'All Skus'!$A:$AC,18,FALSE)),""))</f>
        <v>6</v>
      </c>
      <c r="O62" s="64">
        <f>(IF((VLOOKUP(Table1[[#This Row],[SKU]],'All Skus'!$A:$AC,2,FALSE))="AKG",(VLOOKUP(Table1[[#This Row],[SKU]],'All Skus'!$A:$AC,19,FALSE)),""))</f>
        <v>8</v>
      </c>
      <c r="P62" s="64">
        <f>(IF((VLOOKUP(Table1[[#This Row],[SKU]],'All Skus'!$A:$AC,2,FALSE))="AKG",(VLOOKUP(Table1[[#This Row],[SKU]],'All Skus'!$A:$AC,20,FALSE)),""))</f>
        <v>11</v>
      </c>
      <c r="Q62" s="64">
        <f>(IF((VLOOKUP(Table1[[#This Row],[SKU]],'All Skus'!$A:$AC,2,FALSE))="AKG",(VLOOKUP(Table1[[#This Row],[SKU]],'All Skus'!$A:$AC,21,FALSE)),""))</f>
        <v>3.048</v>
      </c>
      <c r="R62" s="64" t="str">
        <f>(IF((VLOOKUP(Table1[[#This Row],[SKU]],'All Skus'!$A:$AC,2,FALSE))="AKG",(VLOOKUP(Table1[[#This Row],[SKU]],'All Skus'!$A:$AC,22,FALSE)),""))</f>
        <v>CN</v>
      </c>
      <c r="S62" s="64" t="str">
        <f>(IF((VLOOKUP(Table1[[#This Row],[SKU]],'All Skus'!$A:$AC,2,FALSE))="AKG",(VLOOKUP(Table1[[#This Row],[SKU]],'All Skus'!$A:$AC,23,FALSE)),""))</f>
        <v>Non Compliant</v>
      </c>
      <c r="T62" s="210" t="str">
        <f>HYPERLINK((IF((VLOOKUP(Table1[[#This Row],[SKU]],'All Skus'!$A:$AC,2,FALSE))="AKG",(VLOOKUP(Table1[[#This Row],[SKU]],'All Skus'!$A:$AC,24,FALSE)),"")))</f>
        <v>https://www.akg.com/Microphones/Headset%20Microphones/6000H50950.html</v>
      </c>
      <c r="U62" s="151">
        <v>60</v>
      </c>
    </row>
    <row r="63" spans="1:21" ht="15" hidden="1" customHeight="1">
      <c r="A63" s="48" t="s">
        <v>220</v>
      </c>
      <c r="B63" s="52" t="str">
        <f>(IF((VLOOKUP(Table1[[#This Row],[SKU]],'All Skus'!$A:$AC,2,FALSE))="AKG",(VLOOKUP(Table1[[#This Row],[SKU]],'All Skus'!$A:$AC,3,FALSE)), ""))</f>
        <v>Wired Mics</v>
      </c>
      <c r="C63" s="60" t="str">
        <f>(IF((VLOOKUP(Table1[[#This Row],[SKU]],'All Skus'!$A:$AC,2,FALSE))="AKG",(VLOOKUP(Table1[[#This Row],[SKU]],'All Skus'!$A:$AC,4,FALSE)),""))</f>
        <v>C520</v>
      </c>
      <c r="D63" s="60" t="str">
        <f>(IF((VLOOKUP(Table1[[#This Row],[SKU]],'All Skus'!$A:$AC,2,FALSE))="AKG",(VLOOKUP(Table1[[#This Row],[SKU]],'All Skus'!$A:$AC,5,FALSE)),""))</f>
        <v>AT410010</v>
      </c>
      <c r="E63" s="60">
        <f>(IF((VLOOKUP(Table1[[#This Row],[SKU]],'All Skus'!$A:$AC,2,FALSE))="AKG",(VLOOKUP(Table1[[#This Row],[SKU]],'All Skus'!$A:$AC,6,FALSE)),""))</f>
        <v>0</v>
      </c>
      <c r="F63" s="60">
        <f>(IF((VLOOKUP(Table1[[#This Row],[SKU]],'All Skus'!$A:$AC,2,FALSE))="AKG",(VLOOKUP(Table1[[#This Row],[SKU]],'All Skus'!$A:$AC,7,FALSE)),""))</f>
        <v>0</v>
      </c>
      <c r="G63" s="45" t="str">
        <f>(IF((VLOOKUP(Table1[[#This Row],[SKU]],'All Skus'!$A:$AC,2,FALSE))="AKG",(VLOOKUP(Table1[[#This Row],[SKU]],'All Skus'!$A:$AC,8,FALSE)),""))</f>
        <v>Head-Worn Vocal Microphone</v>
      </c>
      <c r="H63" s="45" t="str">
        <f>(IF((VLOOKUP(Table1[[#This Row],[SKU]],'All Skus'!$A:$AC,2,FALSE))="AKG",(VLOOKUP(Table1[[#This Row],[SKU]],'All Skus'!$A:$AC,9,FALSE)),""))</f>
        <v>Headworn mic for vocals with XLR connector for phantom powering</v>
      </c>
      <c r="I63" s="141">
        <f>(IF((VLOOKUP(Table1[[#This Row],[SKU]],'All Skus'!$A:$AC,2,FALSE))="AKG",(VLOOKUP(Table1[[#This Row],[SKU]],'All Skus'!$A:$AC,10,FALSE)),""))</f>
        <v>334.93</v>
      </c>
      <c r="J63" s="141">
        <f>(IF((VLOOKUP(Table1[[#This Row],[SKU]],'All Skus'!$A:$AC,2,FALSE))="AKG",(VLOOKUP(Table1[[#This Row],[SKU]],'All Skus'!$A:$AC,11,FALSE)),""))</f>
        <v>263</v>
      </c>
      <c r="K63" s="125">
        <f>(IF((VLOOKUP(Table1[[#This Row],[SKU]],'All Skus'!$A:$AC,2,FALSE))="AKG",(VLOOKUP(Table1[[#This Row],[SKU]],'All Skus'!$A:$AC,15,FALSE)),""))</f>
        <v>12</v>
      </c>
      <c r="L63" s="124">
        <f>(IF((VLOOKUP(Table1[[#This Row],[SKU]],'All Skus'!$A:$AC,2,FALSE))="AKG",(VLOOKUP(Table1[[#This Row],[SKU]],'All Skus'!$A:$AC,16,FALSE)),""))</f>
        <v>885038018650</v>
      </c>
      <c r="M63" s="124">
        <f>(IF((VLOOKUP(Table1[[#This Row],[SKU]],'All Skus'!$A:$AC,2,FALSE))="AKG",(VLOOKUP(Table1[[#This Row],[SKU]],'All Skus'!$A:$AC,17,FALSE)),""))</f>
        <v>9002761018653</v>
      </c>
      <c r="N63" s="64">
        <f>(IF((VLOOKUP(Table1[[#This Row],[SKU]],'All Skus'!$A:$AC,2,FALSE))="AKG",(VLOOKUP(Table1[[#This Row],[SKU]],'All Skus'!$A:$AC,18,FALSE)),""))</f>
        <v>3</v>
      </c>
      <c r="O63" s="64">
        <f>(IF((VLOOKUP(Table1[[#This Row],[SKU]],'All Skus'!$A:$AC,2,FALSE))="AKG",(VLOOKUP(Table1[[#This Row],[SKU]],'All Skus'!$A:$AC,19,FALSE)),""))</f>
        <v>6</v>
      </c>
      <c r="P63" s="64">
        <f>(IF((VLOOKUP(Table1[[#This Row],[SKU]],'All Skus'!$A:$AC,2,FALSE))="AKG",(VLOOKUP(Table1[[#This Row],[SKU]],'All Skus'!$A:$AC,20,FALSE)),""))</f>
        <v>8</v>
      </c>
      <c r="Q63" s="64">
        <f>(IF((VLOOKUP(Table1[[#This Row],[SKU]],'All Skus'!$A:$AC,2,FALSE))="AKG",(VLOOKUP(Table1[[#This Row],[SKU]],'All Skus'!$A:$AC,21,FALSE)),""))</f>
        <v>2.8</v>
      </c>
      <c r="R63" s="64" t="str">
        <f>(IF((VLOOKUP(Table1[[#This Row],[SKU]],'All Skus'!$A:$AC,2,FALSE))="AKG",(VLOOKUP(Table1[[#This Row],[SKU]],'All Skus'!$A:$AC,22,FALSE)),""))</f>
        <v>CN</v>
      </c>
      <c r="S63" s="64" t="str">
        <f>(IF((VLOOKUP(Table1[[#This Row],[SKU]],'All Skus'!$A:$AC,2,FALSE))="AKG",(VLOOKUP(Table1[[#This Row],[SKU]],'All Skus'!$A:$AC,23,FALSE)),""))</f>
        <v>Non Compliant</v>
      </c>
      <c r="T63" s="210" t="str">
        <f>HYPERLINK((IF((VLOOKUP(Table1[[#This Row],[SKU]],'All Skus'!$A:$AC,2,FALSE))="AKG",(VLOOKUP(Table1[[#This Row],[SKU]],'All Skus'!$A:$AC,24,FALSE)),"")))</f>
        <v>https://www.akg.com/Microphones/Headset%20Microphones/3066X00010.html</v>
      </c>
      <c r="U63" s="151">
        <v>61</v>
      </c>
    </row>
    <row r="64" spans="1:21" ht="15" hidden="1" customHeight="1">
      <c r="A64" s="50" t="s">
        <v>221</v>
      </c>
      <c r="B64" s="52" t="str">
        <f>(IF((VLOOKUP(Table1[[#This Row],[SKU]],'All Skus'!$A:$AC,2,FALSE))="AKG",(VLOOKUP(Table1[[#This Row],[SKU]],'All Skus'!$A:$AC,3,FALSE)), ""))</f>
        <v>Wired Mics</v>
      </c>
      <c r="C64" s="60" t="str">
        <f>(IF((VLOOKUP(Table1[[#This Row],[SKU]],'All Skus'!$A:$AC,2,FALSE))="AKG",(VLOOKUP(Table1[[#This Row],[SKU]],'All Skus'!$A:$AC,4,FALSE)),""))</f>
        <v>C520 L</v>
      </c>
      <c r="D64" s="60" t="str">
        <f>(IF((VLOOKUP(Table1[[#This Row],[SKU]],'All Skus'!$A:$AC,2,FALSE))="AKG",(VLOOKUP(Table1[[#This Row],[SKU]],'All Skus'!$A:$AC,5,FALSE)),""))</f>
        <v>AT410010</v>
      </c>
      <c r="E64" s="60">
        <f>(IF((VLOOKUP(Table1[[#This Row],[SKU]],'All Skus'!$A:$AC,2,FALSE))="AKG",(VLOOKUP(Table1[[#This Row],[SKU]],'All Skus'!$A:$AC,6,FALSE)),""))</f>
        <v>0</v>
      </c>
      <c r="F64" s="60">
        <f>(IF((VLOOKUP(Table1[[#This Row],[SKU]],'All Skus'!$A:$AC,2,FALSE))="AKG",(VLOOKUP(Table1[[#This Row],[SKU]],'All Skus'!$A:$AC,7,FALSE)),""))</f>
        <v>0</v>
      </c>
      <c r="G64" s="45" t="str">
        <f>(IF((VLOOKUP(Table1[[#This Row],[SKU]],'All Skus'!$A:$AC,2,FALSE))="AKG",(VLOOKUP(Table1[[#This Row],[SKU]],'All Skus'!$A:$AC,8,FALSE)),""))</f>
        <v>Head-Worn Vocal Microphone</v>
      </c>
      <c r="H64" s="45" t="str">
        <f>(IF((VLOOKUP(Table1[[#This Row],[SKU]],'All Skus'!$A:$AC,2,FALSE))="AKG",(VLOOKUP(Table1[[#This Row],[SKU]],'All Skus'!$A:$AC,9,FALSE)),""))</f>
        <v>Headworn mic for vocals with mini XLR connector for use with B29 L battery operated power supply, MPA V L external phantom power adapter, or AKG WMS bodypack transmitters.</v>
      </c>
      <c r="I64" s="141">
        <f>(IF((VLOOKUP(Table1[[#This Row],[SKU]],'All Skus'!$A:$AC,2,FALSE))="AKG",(VLOOKUP(Table1[[#This Row],[SKU]],'All Skus'!$A:$AC,10,FALSE)),""))</f>
        <v>274.91000000000003</v>
      </c>
      <c r="J64" s="141">
        <f>(IF((VLOOKUP(Table1[[#This Row],[SKU]],'All Skus'!$A:$AC,2,FALSE))="AKG",(VLOOKUP(Table1[[#This Row],[SKU]],'All Skus'!$A:$AC,11,FALSE)),""))</f>
        <v>216</v>
      </c>
      <c r="K64" s="125">
        <f>(IF((VLOOKUP(Table1[[#This Row],[SKU]],'All Skus'!$A:$AC,2,FALSE))="AKG",(VLOOKUP(Table1[[#This Row],[SKU]],'All Skus'!$A:$AC,15,FALSE)),""))</f>
        <v>12</v>
      </c>
      <c r="L64" s="124">
        <f>(IF((VLOOKUP(Table1[[#This Row],[SKU]],'All Skus'!$A:$AC,2,FALSE))="AKG",(VLOOKUP(Table1[[#This Row],[SKU]],'All Skus'!$A:$AC,16,FALSE)),""))</f>
        <v>885038018667</v>
      </c>
      <c r="M64" s="124">
        <f>(IF((VLOOKUP(Table1[[#This Row],[SKU]],'All Skus'!$A:$AC,2,FALSE))="AKG",(VLOOKUP(Table1[[#This Row],[SKU]],'All Skus'!$A:$AC,17,FALSE)),""))</f>
        <v>9002761018660</v>
      </c>
      <c r="N64" s="64">
        <f>(IF((VLOOKUP(Table1[[#This Row],[SKU]],'All Skus'!$A:$AC,2,FALSE))="AKG",(VLOOKUP(Table1[[#This Row],[SKU]],'All Skus'!$A:$AC,18,FALSE)),""))</f>
        <v>3</v>
      </c>
      <c r="O64" s="64">
        <f>(IF((VLOOKUP(Table1[[#This Row],[SKU]],'All Skus'!$A:$AC,2,FALSE))="AKG",(VLOOKUP(Table1[[#This Row],[SKU]],'All Skus'!$A:$AC,19,FALSE)),""))</f>
        <v>6</v>
      </c>
      <c r="P64" s="64">
        <f>(IF((VLOOKUP(Table1[[#This Row],[SKU]],'All Skus'!$A:$AC,2,FALSE))="AKG",(VLOOKUP(Table1[[#This Row],[SKU]],'All Skus'!$A:$AC,20,FALSE)),""))</f>
        <v>8</v>
      </c>
      <c r="Q64" s="64">
        <f>(IF((VLOOKUP(Table1[[#This Row],[SKU]],'All Skus'!$A:$AC,2,FALSE))="AKG",(VLOOKUP(Table1[[#This Row],[SKU]],'All Skus'!$A:$AC,21,FALSE)),""))</f>
        <v>2.8</v>
      </c>
      <c r="R64" s="64" t="str">
        <f>(IF((VLOOKUP(Table1[[#This Row],[SKU]],'All Skus'!$A:$AC,2,FALSE))="AKG",(VLOOKUP(Table1[[#This Row],[SKU]],'All Skus'!$A:$AC,22,FALSE)),""))</f>
        <v>CN</v>
      </c>
      <c r="S64" s="64" t="str">
        <f>(IF((VLOOKUP(Table1[[#This Row],[SKU]],'All Skus'!$A:$AC,2,FALSE))="AKG",(VLOOKUP(Table1[[#This Row],[SKU]],'All Skus'!$A:$AC,23,FALSE)),""))</f>
        <v>Non Compliant</v>
      </c>
      <c r="T64" s="210" t="str">
        <f>HYPERLINK((IF((VLOOKUP(Table1[[#This Row],[SKU]],'All Skus'!$A:$AC,2,FALSE))="AKG",(VLOOKUP(Table1[[#This Row],[SKU]],'All Skus'!$A:$AC,24,FALSE)),"")))</f>
        <v>https://www.akg.com/Microphones/Headset%20Microphones/3066X00020.html</v>
      </c>
      <c r="U64" s="151">
        <v>62</v>
      </c>
    </row>
    <row r="65" spans="1:21" ht="15" hidden="1" customHeight="1">
      <c r="A65" s="50" t="s">
        <v>222</v>
      </c>
      <c r="B65" s="52" t="str">
        <f>(IF((VLOOKUP(Table1[[#This Row],[SKU]],'All Skus'!$A:$AC,2,FALSE))="AKG",(VLOOKUP(Table1[[#This Row],[SKU]],'All Skus'!$A:$AC,3,FALSE)), ""))</f>
        <v>Installed</v>
      </c>
      <c r="C65" s="60" t="str">
        <f>(IF((VLOOKUP(Table1[[#This Row],[SKU]],'All Skus'!$A:$AC,2,FALSE))="AKG",(VLOOKUP(Table1[[#This Row],[SKU]],'All Skus'!$A:$AC,4,FALSE)),""))</f>
        <v>C544 L</v>
      </c>
      <c r="D65" s="60" t="str">
        <f>(IF((VLOOKUP(Table1[[#This Row],[SKU]],'All Skus'!$A:$AC,2,FALSE))="AKG",(VLOOKUP(Table1[[#This Row],[SKU]],'All Skus'!$A:$AC,5,FALSE)),""))</f>
        <v>AT510000</v>
      </c>
      <c r="E65" s="60">
        <f>(IF((VLOOKUP(Table1[[#This Row],[SKU]],'All Skus'!$A:$AC,2,FALSE))="AKG",(VLOOKUP(Table1[[#This Row],[SKU]],'All Skus'!$A:$AC,6,FALSE)),""))</f>
        <v>0</v>
      </c>
      <c r="F65" s="60">
        <f>(IF((VLOOKUP(Table1[[#This Row],[SKU]],'All Skus'!$A:$AC,2,FALSE))="AKG",(VLOOKUP(Table1[[#This Row],[SKU]],'All Skus'!$A:$AC,7,FALSE)),""))</f>
        <v>0</v>
      </c>
      <c r="G65" s="45" t="str">
        <f>(IF((VLOOKUP(Table1[[#This Row],[SKU]],'All Skus'!$A:$AC,2,FALSE))="AKG",(VLOOKUP(Table1[[#This Row],[SKU]],'All Skus'!$A:$AC,8,FALSE)),""))</f>
        <v>Headset</v>
      </c>
      <c r="H65" s="45" t="str">
        <f>(IF((VLOOKUP(Table1[[#This Row],[SKU]],'All Skus'!$A:$AC,2,FALSE))="AKG",(VLOOKUP(Table1[[#This Row],[SKU]],'All Skus'!$A:$AC,9,FALSE)),""))</f>
        <v>Rugged headworn mic for sports use with mini XLR connector for use with B29 L battery operated power supply, MPA V L external phantom power adapter, or AKG WMS bodypack transmitters.</v>
      </c>
      <c r="I65" s="141">
        <f>(IF((VLOOKUP(Table1[[#This Row],[SKU]],'All Skus'!$A:$AC,2,FALSE))="AKG",(VLOOKUP(Table1[[#This Row],[SKU]],'All Skus'!$A:$AC,10,FALSE)),""))</f>
        <v>221.33</v>
      </c>
      <c r="J65" s="141">
        <f>(IF((VLOOKUP(Table1[[#This Row],[SKU]],'All Skus'!$A:$AC,2,FALSE))="AKG",(VLOOKUP(Table1[[#This Row],[SKU]],'All Skus'!$A:$AC,11,FALSE)),""))</f>
        <v>170</v>
      </c>
      <c r="K65" s="125">
        <f>(IF((VLOOKUP(Table1[[#This Row],[SKU]],'All Skus'!$A:$AC,2,FALSE))="AKG",(VLOOKUP(Table1[[#This Row],[SKU]],'All Skus'!$A:$AC,15,FALSE)),""))</f>
        <v>20</v>
      </c>
      <c r="L65" s="124">
        <f>(IF((VLOOKUP(Table1[[#This Row],[SKU]],'All Skus'!$A:$AC,2,FALSE))="AKG",(VLOOKUP(Table1[[#This Row],[SKU]],'All Skus'!$A:$AC,16,FALSE)),""))</f>
        <v>885038030720</v>
      </c>
      <c r="M65" s="124">
        <f>(IF((VLOOKUP(Table1[[#This Row],[SKU]],'All Skus'!$A:$AC,2,FALSE))="AKG",(VLOOKUP(Table1[[#This Row],[SKU]],'All Skus'!$A:$AC,17,FALSE)),""))</f>
        <v>9002761030723</v>
      </c>
      <c r="N65" s="64">
        <f>(IF((VLOOKUP(Table1[[#This Row],[SKU]],'All Skus'!$A:$AC,2,FALSE))="AKG",(VLOOKUP(Table1[[#This Row],[SKU]],'All Skus'!$A:$AC,18,FALSE)),""))</f>
        <v>8</v>
      </c>
      <c r="O65" s="64">
        <f>(IF((VLOOKUP(Table1[[#This Row],[SKU]],'All Skus'!$A:$AC,2,FALSE))="AKG",(VLOOKUP(Table1[[#This Row],[SKU]],'All Skus'!$A:$AC,19,FALSE)),""))</f>
        <v>3</v>
      </c>
      <c r="P65" s="64">
        <f>(IF((VLOOKUP(Table1[[#This Row],[SKU]],'All Skus'!$A:$AC,2,FALSE))="AKG",(VLOOKUP(Table1[[#This Row],[SKU]],'All Skus'!$A:$AC,20,FALSE)),""))</f>
        <v>6</v>
      </c>
      <c r="Q65" s="64">
        <f>(IF((VLOOKUP(Table1[[#This Row],[SKU]],'All Skus'!$A:$AC,2,FALSE))="AKG",(VLOOKUP(Table1[[#This Row],[SKU]],'All Skus'!$A:$AC,21,FALSE)),""))</f>
        <v>2.8</v>
      </c>
      <c r="R65" s="64" t="str">
        <f>(IF((VLOOKUP(Table1[[#This Row],[SKU]],'All Skus'!$A:$AC,2,FALSE))="AKG",(VLOOKUP(Table1[[#This Row],[SKU]],'All Skus'!$A:$AC,22,FALSE)),""))</f>
        <v>CN</v>
      </c>
      <c r="S65" s="64" t="str">
        <f>(IF((VLOOKUP(Table1[[#This Row],[SKU]],'All Skus'!$A:$AC,2,FALSE))="AKG",(VLOOKUP(Table1[[#This Row],[SKU]],'All Skus'!$A:$AC,23,FALSE)),""))</f>
        <v>Non Compliant</v>
      </c>
      <c r="T65" s="210" t="str">
        <f>HYPERLINK((IF((VLOOKUP(Table1[[#This Row],[SKU]],'All Skus'!$A:$AC,2,FALSE))="AKG",(VLOOKUP(Table1[[#This Row],[SKU]],'All Skus'!$A:$AC,24,FALSE)),"")))</f>
        <v>https://www.akg.com/Microphones/Headset%20Microphones/2793H00060.html</v>
      </c>
      <c r="U65" s="151">
        <v>63</v>
      </c>
    </row>
    <row r="66" spans="1:21" ht="15" hidden="1" customHeight="1">
      <c r="A66" s="50" t="s">
        <v>223</v>
      </c>
      <c r="B66" s="52" t="str">
        <f>(IF((VLOOKUP(Table1[[#This Row],[SKU]],'All Skus'!$A:$AC,2,FALSE))="AKG",(VLOOKUP(Table1[[#This Row],[SKU]],'All Skus'!$A:$AC,3,FALSE)), ""))</f>
        <v>Wired Mics</v>
      </c>
      <c r="C66" s="60" t="str">
        <f>(IF((VLOOKUP(Table1[[#This Row],[SKU]],'All Skus'!$A:$AC,2,FALSE))="AKG",(VLOOKUP(Table1[[#This Row],[SKU]],'All Skus'!$A:$AC,4,FALSE)),""))</f>
        <v>C555 L</v>
      </c>
      <c r="D66" s="60" t="str">
        <f>(IF((VLOOKUP(Table1[[#This Row],[SKU]],'All Skus'!$A:$AC,2,FALSE))="AKG",(VLOOKUP(Table1[[#This Row],[SKU]],'All Skus'!$A:$AC,5,FALSE)),""))</f>
        <v>AT510000</v>
      </c>
      <c r="E66" s="60">
        <f>(IF((VLOOKUP(Table1[[#This Row],[SKU]],'All Skus'!$A:$AC,2,FALSE))="AKG",(VLOOKUP(Table1[[#This Row],[SKU]],'All Skus'!$A:$AC,6,FALSE)),""))</f>
        <v>0</v>
      </c>
      <c r="F66" s="60">
        <f>(IF((VLOOKUP(Table1[[#This Row],[SKU]],'All Skus'!$A:$AC,2,FALSE))="AKG",(VLOOKUP(Table1[[#This Row],[SKU]],'All Skus'!$A:$AC,7,FALSE)),""))</f>
        <v>0</v>
      </c>
      <c r="G66" s="45" t="str">
        <f>(IF((VLOOKUP(Table1[[#This Row],[SKU]],'All Skus'!$A:$AC,2,FALSE))="AKG",(VLOOKUP(Table1[[#This Row],[SKU]],'All Skus'!$A:$AC,8,FALSE)),""))</f>
        <v>Head-Worn Vocal Microphone</v>
      </c>
      <c r="H66" s="45" t="str">
        <f>(IF((VLOOKUP(Table1[[#This Row],[SKU]],'All Skus'!$A:$AC,2,FALSE))="AKG",(VLOOKUP(Table1[[#This Row],[SKU]],'All Skus'!$A:$AC,9,FALSE)),""))</f>
        <v>Light, rugged head-worn mic for presenters with mini XLR connector for use with B29 L battery operated power supply, MPA V L external phantom power adapter, or AKG WMS bodypack transmitters.</v>
      </c>
      <c r="I66" s="141">
        <f>(IF((VLOOKUP(Table1[[#This Row],[SKU]],'All Skus'!$A:$AC,2,FALSE))="AKG",(VLOOKUP(Table1[[#This Row],[SKU]],'All Skus'!$A:$AC,10,FALSE)),""))</f>
        <v>214.88</v>
      </c>
      <c r="J66" s="141">
        <f>(IF((VLOOKUP(Table1[[#This Row],[SKU]],'All Skus'!$A:$AC,2,FALSE))="AKG",(VLOOKUP(Table1[[#This Row],[SKU]],'All Skus'!$A:$AC,11,FALSE)),""))</f>
        <v>170</v>
      </c>
      <c r="K66" s="125">
        <f>(IF((VLOOKUP(Table1[[#This Row],[SKU]],'All Skus'!$A:$AC,2,FALSE))="AKG",(VLOOKUP(Table1[[#This Row],[SKU]],'All Skus'!$A:$AC,15,FALSE)),""))</f>
        <v>12</v>
      </c>
      <c r="L66" s="124">
        <f>(IF((VLOOKUP(Table1[[#This Row],[SKU]],'All Skus'!$A:$AC,2,FALSE))="AKG",(VLOOKUP(Table1[[#This Row],[SKU]],'All Skus'!$A:$AC,16,FALSE)),""))</f>
        <v>885038018674</v>
      </c>
      <c r="M66" s="124">
        <f>(IF((VLOOKUP(Table1[[#This Row],[SKU]],'All Skus'!$A:$AC,2,FALSE))="AKG",(VLOOKUP(Table1[[#This Row],[SKU]],'All Skus'!$A:$AC,17,FALSE)),""))</f>
        <v>9002761018677</v>
      </c>
      <c r="N66" s="64">
        <f>(IF((VLOOKUP(Table1[[#This Row],[SKU]],'All Skus'!$A:$AC,2,FALSE))="AKG",(VLOOKUP(Table1[[#This Row],[SKU]],'All Skus'!$A:$AC,18,FALSE)),""))</f>
        <v>3</v>
      </c>
      <c r="O66" s="64">
        <f>(IF((VLOOKUP(Table1[[#This Row],[SKU]],'All Skus'!$A:$AC,2,FALSE))="AKG",(VLOOKUP(Table1[[#This Row],[SKU]],'All Skus'!$A:$AC,19,FALSE)),""))</f>
        <v>8</v>
      </c>
      <c r="P66" s="64">
        <f>(IF((VLOOKUP(Table1[[#This Row],[SKU]],'All Skus'!$A:$AC,2,FALSE))="AKG",(VLOOKUP(Table1[[#This Row],[SKU]],'All Skus'!$A:$AC,20,FALSE)),""))</f>
        <v>6</v>
      </c>
      <c r="Q66" s="64">
        <f>(IF((VLOOKUP(Table1[[#This Row],[SKU]],'All Skus'!$A:$AC,2,FALSE))="AKG",(VLOOKUP(Table1[[#This Row],[SKU]],'All Skus'!$A:$AC,21,FALSE)),""))</f>
        <v>2.8</v>
      </c>
      <c r="R66" s="64" t="str">
        <f>(IF((VLOOKUP(Table1[[#This Row],[SKU]],'All Skus'!$A:$AC,2,FALSE))="AKG",(VLOOKUP(Table1[[#This Row],[SKU]],'All Skus'!$A:$AC,22,FALSE)),""))</f>
        <v>CN</v>
      </c>
      <c r="S66" s="64" t="str">
        <f>(IF((VLOOKUP(Table1[[#This Row],[SKU]],'All Skus'!$A:$AC,2,FALSE))="AKG",(VLOOKUP(Table1[[#This Row],[SKU]],'All Skus'!$A:$AC,23,FALSE)),""))</f>
        <v>Non Compliant</v>
      </c>
      <c r="T66" s="210" t="str">
        <f>HYPERLINK((IF((VLOOKUP(Table1[[#This Row],[SKU]],'All Skus'!$A:$AC,2,FALSE))="AKG",(VLOOKUP(Table1[[#This Row],[SKU]],'All Skus'!$A:$AC,24,FALSE)),"")))</f>
        <v>https://www.akg.com/Microphones/Headset%20Microphones/3066H00100.html</v>
      </c>
      <c r="U66" s="151">
        <v>64</v>
      </c>
    </row>
    <row r="67" spans="1:21" ht="15" hidden="1" customHeight="1">
      <c r="A67" s="126" t="s">
        <v>224</v>
      </c>
      <c r="B67" s="52">
        <f>(IF((VLOOKUP(Table1[[#This Row],[SKU]],'All Skus'!$A:$AC,2,FALSE))="AKG",(VLOOKUP(Table1[[#This Row],[SKU]],'All Skus'!$A:$AC,3,FALSE)), ""))</f>
        <v>0</v>
      </c>
      <c r="C67" s="60">
        <f>(IF((VLOOKUP(Table1[[#This Row],[SKU]],'All Skus'!$A:$AC,2,FALSE))="AKG",(VLOOKUP(Table1[[#This Row],[SKU]],'All Skus'!$A:$AC,4,FALSE)),""))</f>
        <v>0</v>
      </c>
      <c r="D67" s="60">
        <f>(IF((VLOOKUP(Table1[[#This Row],[SKU]],'All Skus'!$A:$AC,2,FALSE))="AKG",(VLOOKUP(Table1[[#This Row],[SKU]],'All Skus'!$A:$AC,5,FALSE)),""))</f>
        <v>0</v>
      </c>
      <c r="E67" s="60">
        <f>(IF((VLOOKUP(Table1[[#This Row],[SKU]],'All Skus'!$A:$AC,2,FALSE))="AKG",(VLOOKUP(Table1[[#This Row],[SKU]],'All Skus'!$A:$AC,6,FALSE)),""))</f>
        <v>0</v>
      </c>
      <c r="F67" s="60">
        <f>(IF((VLOOKUP(Table1[[#This Row],[SKU]],'All Skus'!$A:$AC,2,FALSE))="AKG",(VLOOKUP(Table1[[#This Row],[SKU]],'All Skus'!$A:$AC,7,FALSE)),""))</f>
        <v>0</v>
      </c>
      <c r="G67" s="45">
        <f>(IF((VLOOKUP(Table1[[#This Row],[SKU]],'All Skus'!$A:$AC,2,FALSE))="AKG",(VLOOKUP(Table1[[#This Row],[SKU]],'All Skus'!$A:$AC,8,FALSE)),""))</f>
        <v>0</v>
      </c>
      <c r="H67" s="45">
        <f>(IF((VLOOKUP(Table1[[#This Row],[SKU]],'All Skus'!$A:$AC,2,FALSE))="AKG",(VLOOKUP(Table1[[#This Row],[SKU]],'All Skus'!$A:$AC,9,FALSE)),""))</f>
        <v>0</v>
      </c>
      <c r="I67" s="141">
        <f>(IF((VLOOKUP(Table1[[#This Row],[SKU]],'All Skus'!$A:$AC,2,FALSE))="AKG",(VLOOKUP(Table1[[#This Row],[SKU]],'All Skus'!$A:$AC,10,FALSE)),""))</f>
        <v>0</v>
      </c>
      <c r="J67" s="141">
        <f>(IF((VLOOKUP(Table1[[#This Row],[SKU]],'All Skus'!$A:$AC,2,FALSE))="AKG",(VLOOKUP(Table1[[#This Row],[SKU]],'All Skus'!$A:$AC,11,FALSE)),""))</f>
        <v>0</v>
      </c>
      <c r="K67" s="125">
        <f>(IF((VLOOKUP(Table1[[#This Row],[SKU]],'All Skus'!$A:$AC,2,FALSE))="AKG",(VLOOKUP(Table1[[#This Row],[SKU]],'All Skus'!$A:$AC,15,FALSE)),""))</f>
        <v>0</v>
      </c>
      <c r="L67" s="124">
        <f>(IF((VLOOKUP(Table1[[#This Row],[SKU]],'All Skus'!$A:$AC,2,FALSE))="AKG",(VLOOKUP(Table1[[#This Row],[SKU]],'All Skus'!$A:$AC,16,FALSE)),""))</f>
        <v>0</v>
      </c>
      <c r="M67" s="124">
        <f>(IF((VLOOKUP(Table1[[#This Row],[SKU]],'All Skus'!$A:$AC,2,FALSE))="AKG",(VLOOKUP(Table1[[#This Row],[SKU]],'All Skus'!$A:$AC,17,FALSE)),""))</f>
        <v>0</v>
      </c>
      <c r="N67" s="64">
        <f>(IF((VLOOKUP(Table1[[#This Row],[SKU]],'All Skus'!$A:$AC,2,FALSE))="AKG",(VLOOKUP(Table1[[#This Row],[SKU]],'All Skus'!$A:$AC,18,FALSE)),""))</f>
        <v>0</v>
      </c>
      <c r="O67" s="64">
        <f>(IF((VLOOKUP(Table1[[#This Row],[SKU]],'All Skus'!$A:$AC,2,FALSE))="AKG",(VLOOKUP(Table1[[#This Row],[SKU]],'All Skus'!$A:$AC,19,FALSE)),""))</f>
        <v>0</v>
      </c>
      <c r="P67" s="64">
        <f>(IF((VLOOKUP(Table1[[#This Row],[SKU]],'All Skus'!$A:$AC,2,FALSE))="AKG",(VLOOKUP(Table1[[#This Row],[SKU]],'All Skus'!$A:$AC,20,FALSE)),""))</f>
        <v>0</v>
      </c>
      <c r="Q67" s="64">
        <f>(IF((VLOOKUP(Table1[[#This Row],[SKU]],'All Skus'!$A:$AC,2,FALSE))="AKG",(VLOOKUP(Table1[[#This Row],[SKU]],'All Skus'!$A:$AC,21,FALSE)),""))</f>
        <v>0</v>
      </c>
      <c r="R67" s="64">
        <f>(IF((VLOOKUP(Table1[[#This Row],[SKU]],'All Skus'!$A:$AC,2,FALSE))="AKG",(VLOOKUP(Table1[[#This Row],[SKU]],'All Skus'!$A:$AC,22,FALSE)),""))</f>
        <v>0</v>
      </c>
      <c r="S67" s="64">
        <f>(IF((VLOOKUP(Table1[[#This Row],[SKU]],'All Skus'!$A:$AC,2,FALSE))="AKG",(VLOOKUP(Table1[[#This Row],[SKU]],'All Skus'!$A:$AC,23,FALSE)),""))</f>
        <v>0</v>
      </c>
      <c r="T67" s="210" t="str">
        <f>HYPERLINK((IF((VLOOKUP(Table1[[#This Row],[SKU]],'All Skus'!$A:$AC,2,FALSE))="AKG",(VLOOKUP(Table1[[#This Row],[SKU]],'All Skus'!$A:$AC,24,FALSE)),"")))</f>
        <v/>
      </c>
      <c r="U67" s="151">
        <v>65</v>
      </c>
    </row>
    <row r="68" spans="1:21" ht="15" hidden="1" customHeight="1">
      <c r="A68" s="50" t="s">
        <v>225</v>
      </c>
      <c r="B68" s="52" t="str">
        <f>(IF((VLOOKUP(Table1[[#This Row],[SKU]],'All Skus'!$A:$AC,2,FALSE))="AKG",(VLOOKUP(Table1[[#This Row],[SKU]],'All Skus'!$A:$AC,3,FALSE)), ""))</f>
        <v>Installed</v>
      </c>
      <c r="C68" s="60" t="str">
        <f>(IF((VLOOKUP(Table1[[#This Row],[SKU]],'All Skus'!$A:$AC,2,FALSE))="AKG",(VLOOKUP(Table1[[#This Row],[SKU]],'All Skus'!$A:$AC,4,FALSE)),""))</f>
        <v>C417 L</v>
      </c>
      <c r="D68" s="60" t="str">
        <f>(IF((VLOOKUP(Table1[[#This Row],[SKU]],'All Skus'!$A:$AC,2,FALSE))="AKG",(VLOOKUP(Table1[[#This Row],[SKU]],'All Skus'!$A:$AC,5,FALSE)),""))</f>
        <v>AT510000</v>
      </c>
      <c r="E68" s="60">
        <f>(IF((VLOOKUP(Table1[[#This Row],[SKU]],'All Skus'!$A:$AC,2,FALSE))="AKG",(VLOOKUP(Table1[[#This Row],[SKU]],'All Skus'!$A:$AC,6,FALSE)),""))</f>
        <v>0</v>
      </c>
      <c r="F68" s="60">
        <f>(IF((VLOOKUP(Table1[[#This Row],[SKU]],'All Skus'!$A:$AC,2,FALSE))="AKG",(VLOOKUP(Table1[[#This Row],[SKU]],'All Skus'!$A:$AC,7,FALSE)),""))</f>
        <v>0</v>
      </c>
      <c r="G68" s="45" t="str">
        <f>(IF((VLOOKUP(Table1[[#This Row],[SKU]],'All Skus'!$A:$AC,2,FALSE))="AKG",(VLOOKUP(Table1[[#This Row],[SKU]],'All Skus'!$A:$AC,8,FALSE)),""))</f>
        <v>Lavalier Microphone</v>
      </c>
      <c r="H68" s="45" t="str">
        <f>(IF((VLOOKUP(Table1[[#This Row],[SKU]],'All Skus'!$A:$AC,2,FALSE))="AKG",(VLOOKUP(Table1[[#This Row],[SKU]],'All Skus'!$A:$AC,9,FALSE)),""))</f>
        <v>Extremely light, inconspicuous mic, mini XLR-version</v>
      </c>
      <c r="I68" s="141">
        <f>(IF((VLOOKUP(Table1[[#This Row],[SKU]],'All Skus'!$A:$AC,2,FALSE))="AKG",(VLOOKUP(Table1[[#This Row],[SKU]],'All Skus'!$A:$AC,10,FALSE)),""))</f>
        <v>159.51</v>
      </c>
      <c r="J68" s="141">
        <f>(IF((VLOOKUP(Table1[[#This Row],[SKU]],'All Skus'!$A:$AC,2,FALSE))="AKG",(VLOOKUP(Table1[[#This Row],[SKU]],'All Skus'!$A:$AC,11,FALSE)),""))</f>
        <v>125</v>
      </c>
      <c r="K68" s="125">
        <f>(IF((VLOOKUP(Table1[[#This Row],[SKU]],'All Skus'!$A:$AC,2,FALSE))="AKG",(VLOOKUP(Table1[[#This Row],[SKU]],'All Skus'!$A:$AC,15,FALSE)),""))</f>
        <v>30</v>
      </c>
      <c r="L68" s="124">
        <f>(IF((VLOOKUP(Table1[[#This Row],[SKU]],'All Skus'!$A:$AC,2,FALSE))="AKG",(VLOOKUP(Table1[[#This Row],[SKU]],'All Skus'!$A:$AC,16,FALSE)),""))</f>
        <v>885038019589</v>
      </c>
      <c r="M68" s="124">
        <f>(IF((VLOOKUP(Table1[[#This Row],[SKU]],'All Skus'!$A:$AC,2,FALSE))="AKG",(VLOOKUP(Table1[[#This Row],[SKU]],'All Skus'!$A:$AC,17,FALSE)),""))</f>
        <v>9002761019582</v>
      </c>
      <c r="N68" s="64">
        <f>(IF((VLOOKUP(Table1[[#This Row],[SKU]],'All Skus'!$A:$AC,2,FALSE))="AKG",(VLOOKUP(Table1[[#This Row],[SKU]],'All Skus'!$A:$AC,18,FALSE)),""))</f>
        <v>3</v>
      </c>
      <c r="O68" s="64">
        <f>(IF((VLOOKUP(Table1[[#This Row],[SKU]],'All Skus'!$A:$AC,2,FALSE))="AKG",(VLOOKUP(Table1[[#This Row],[SKU]],'All Skus'!$A:$AC,19,FALSE)),""))</f>
        <v>7</v>
      </c>
      <c r="P68" s="64">
        <f>(IF((VLOOKUP(Table1[[#This Row],[SKU]],'All Skus'!$A:$AC,2,FALSE))="AKG",(VLOOKUP(Table1[[#This Row],[SKU]],'All Skus'!$A:$AC,20,FALSE)),""))</f>
        <v>5</v>
      </c>
      <c r="Q68" s="64">
        <f>(IF((VLOOKUP(Table1[[#This Row],[SKU]],'All Skus'!$A:$AC,2,FALSE))="AKG",(VLOOKUP(Table1[[#This Row],[SKU]],'All Skus'!$A:$AC,21,FALSE)),""))</f>
        <v>2</v>
      </c>
      <c r="R68" s="64" t="str">
        <f>(IF((VLOOKUP(Table1[[#This Row],[SKU]],'All Skus'!$A:$AC,2,FALSE))="AKG",(VLOOKUP(Table1[[#This Row],[SKU]],'All Skus'!$A:$AC,22,FALSE)),""))</f>
        <v>CN</v>
      </c>
      <c r="S68" s="64" t="str">
        <f>(IF((VLOOKUP(Table1[[#This Row],[SKU]],'All Skus'!$A:$AC,2,FALSE))="AKG",(VLOOKUP(Table1[[#This Row],[SKU]],'All Skus'!$A:$AC,23,FALSE)),""))</f>
        <v>Non Compliant</v>
      </c>
      <c r="T68" s="210" t="str">
        <f>HYPERLINK((IF((VLOOKUP(Table1[[#This Row],[SKU]],'All Skus'!$A:$AC,2,FALSE))="AKG",(VLOOKUP(Table1[[#This Row],[SKU]],'All Skus'!$A:$AC,24,FALSE)),"")))</f>
        <v>https://www.akg.com/Microphones/Speech%20%2F%20Spoken%20Word%20Microphones/2577X00080.html</v>
      </c>
      <c r="U68" s="151">
        <v>66</v>
      </c>
    </row>
    <row r="69" spans="1:21" ht="15" hidden="1" customHeight="1">
      <c r="A69" s="50" t="s">
        <v>226</v>
      </c>
      <c r="B69" s="52" t="str">
        <f>(IF((VLOOKUP(Table1[[#This Row],[SKU]],'All Skus'!$A:$AC,2,FALSE))="AKG",(VLOOKUP(Table1[[#This Row],[SKU]],'All Skus'!$A:$AC,3,FALSE)), ""))</f>
        <v>Installed</v>
      </c>
      <c r="C69" s="60" t="str">
        <f>(IF((VLOOKUP(Table1[[#This Row],[SKU]],'All Skus'!$A:$AC,2,FALSE))="AKG",(VLOOKUP(Table1[[#This Row],[SKU]],'All Skus'!$A:$AC,4,FALSE)),""))</f>
        <v>C417 PP</v>
      </c>
      <c r="D69" s="60" t="str">
        <f>(IF((VLOOKUP(Table1[[#This Row],[SKU]],'All Skus'!$A:$AC,2,FALSE))="AKG",(VLOOKUP(Table1[[#This Row],[SKU]],'All Skus'!$A:$AC,5,FALSE)),""))</f>
        <v>AT510000</v>
      </c>
      <c r="E69" s="60">
        <f>(IF((VLOOKUP(Table1[[#This Row],[SKU]],'All Skus'!$A:$AC,2,FALSE))="AKG",(VLOOKUP(Table1[[#This Row],[SKU]],'All Skus'!$A:$AC,6,FALSE)),""))</f>
        <v>0</v>
      </c>
      <c r="F69" s="60">
        <f>(IF((VLOOKUP(Table1[[#This Row],[SKU]],'All Skus'!$A:$AC,2,FALSE))="AKG",(VLOOKUP(Table1[[#This Row],[SKU]],'All Skus'!$A:$AC,7,FALSE)),""))</f>
        <v>0</v>
      </c>
      <c r="G69" s="45" t="str">
        <f>(IF((VLOOKUP(Table1[[#This Row],[SKU]],'All Skus'!$A:$AC,2,FALSE))="AKG",(VLOOKUP(Table1[[#This Row],[SKU]],'All Skus'!$A:$AC,8,FALSE)),""))</f>
        <v>Lavalier Microphone</v>
      </c>
      <c r="H69" s="45" t="str">
        <f>(IF((VLOOKUP(Table1[[#This Row],[SKU]],'All Skus'!$A:$AC,2,FALSE))="AKG",(VLOOKUP(Table1[[#This Row],[SKU]],'All Skus'!$A:$AC,9,FALSE)),""))</f>
        <v>Extremely light, inconspicuous mic with XLR connector for phantom powering</v>
      </c>
      <c r="I69" s="141">
        <f>(IF((VLOOKUP(Table1[[#This Row],[SKU]],'All Skus'!$A:$AC,2,FALSE))="AKG",(VLOOKUP(Table1[[#This Row],[SKU]],'All Skus'!$A:$AC,10,FALSE)),""))</f>
        <v>204.02</v>
      </c>
      <c r="J69" s="141">
        <f>(IF((VLOOKUP(Table1[[#This Row],[SKU]],'All Skus'!$A:$AC,2,FALSE))="AKG",(VLOOKUP(Table1[[#This Row],[SKU]],'All Skus'!$A:$AC,11,FALSE)),""))</f>
        <v>155</v>
      </c>
      <c r="K69" s="125">
        <f>(IF((VLOOKUP(Table1[[#This Row],[SKU]],'All Skus'!$A:$AC,2,FALSE))="AKG",(VLOOKUP(Table1[[#This Row],[SKU]],'All Skus'!$A:$AC,15,FALSE)),""))</f>
        <v>30</v>
      </c>
      <c r="L69" s="124">
        <f>(IF((VLOOKUP(Table1[[#This Row],[SKU]],'All Skus'!$A:$AC,2,FALSE))="AKG",(VLOOKUP(Table1[[#This Row],[SKU]],'All Skus'!$A:$AC,16,FALSE)),""))</f>
        <v>885038006220</v>
      </c>
      <c r="M69" s="124">
        <f>(IF((VLOOKUP(Table1[[#This Row],[SKU]],'All Skus'!$A:$AC,2,FALSE))="AKG",(VLOOKUP(Table1[[#This Row],[SKU]],'All Skus'!$A:$AC,17,FALSE)),""))</f>
        <v>9002761006223</v>
      </c>
      <c r="N69" s="64">
        <f>(IF((VLOOKUP(Table1[[#This Row],[SKU]],'All Skus'!$A:$AC,2,FALSE))="AKG",(VLOOKUP(Table1[[#This Row],[SKU]],'All Skus'!$A:$AC,18,FALSE)),""))</f>
        <v>3</v>
      </c>
      <c r="O69" s="64">
        <f>(IF((VLOOKUP(Table1[[#This Row],[SKU]],'All Skus'!$A:$AC,2,FALSE))="AKG",(VLOOKUP(Table1[[#This Row],[SKU]],'All Skus'!$A:$AC,19,FALSE)),""))</f>
        <v>7</v>
      </c>
      <c r="P69" s="64">
        <f>(IF((VLOOKUP(Table1[[#This Row],[SKU]],'All Skus'!$A:$AC,2,FALSE))="AKG",(VLOOKUP(Table1[[#This Row],[SKU]],'All Skus'!$A:$AC,20,FALSE)),""))</f>
        <v>5</v>
      </c>
      <c r="Q69" s="64">
        <f>(IF((VLOOKUP(Table1[[#This Row],[SKU]],'All Skus'!$A:$AC,2,FALSE))="AKG",(VLOOKUP(Table1[[#This Row],[SKU]],'All Skus'!$A:$AC,21,FALSE)),""))</f>
        <v>2</v>
      </c>
      <c r="R69" s="64" t="str">
        <f>(IF((VLOOKUP(Table1[[#This Row],[SKU]],'All Skus'!$A:$AC,2,FALSE))="AKG",(VLOOKUP(Table1[[#This Row],[SKU]],'All Skus'!$A:$AC,22,FALSE)),""))</f>
        <v>CN</v>
      </c>
      <c r="S69" s="64" t="str">
        <f>(IF((VLOOKUP(Table1[[#This Row],[SKU]],'All Skus'!$A:$AC,2,FALSE))="AKG",(VLOOKUP(Table1[[#This Row],[SKU]],'All Skus'!$A:$AC,23,FALSE)),""))</f>
        <v>Non Compliant</v>
      </c>
      <c r="T69" s="210" t="str">
        <f>HYPERLINK((IF((VLOOKUP(Table1[[#This Row],[SKU]],'All Skus'!$A:$AC,2,FALSE))="AKG",(VLOOKUP(Table1[[#This Row],[SKU]],'All Skus'!$A:$AC,24,FALSE)),"")))</f>
        <v>https://www.akg.com/Microphones/Speech%20%2F%20Spoken%20Word%20Microphones/2577X00120.html</v>
      </c>
      <c r="U69" s="151">
        <v>67</v>
      </c>
    </row>
    <row r="70" spans="1:21" hidden="1">
      <c r="A70" s="50" t="s">
        <v>227</v>
      </c>
      <c r="B70" s="52" t="str">
        <f>(IF((VLOOKUP(Table1[[#This Row],[SKU]],'All Skus'!$A:$AC,2,FALSE))="AKG",(VLOOKUP(Table1[[#This Row],[SKU]],'All Skus'!$A:$AC,3,FALSE)), ""))</f>
        <v>Installed</v>
      </c>
      <c r="C70" s="60" t="str">
        <f>(IF((VLOOKUP(Table1[[#This Row],[SKU]],'All Skus'!$A:$AC,2,FALSE))="AKG",(VLOOKUP(Table1[[#This Row],[SKU]],'All Skus'!$A:$AC,4,FALSE)),""))</f>
        <v>CK99 L</v>
      </c>
      <c r="D70" s="60" t="str">
        <f>(IF((VLOOKUP(Table1[[#This Row],[SKU]],'All Skus'!$A:$AC,2,FALSE))="AKG",(VLOOKUP(Table1[[#This Row],[SKU]],'All Skus'!$A:$AC,5,FALSE)),""))</f>
        <v>AT510000</v>
      </c>
      <c r="E70" s="60">
        <f>(IF((VLOOKUP(Table1[[#This Row],[SKU]],'All Skus'!$A:$AC,2,FALSE))="AKG",(VLOOKUP(Table1[[#This Row],[SKU]],'All Skus'!$A:$AC,6,FALSE)),""))</f>
        <v>0</v>
      </c>
      <c r="F70" s="60">
        <f>(IF((VLOOKUP(Table1[[#This Row],[SKU]],'All Skus'!$A:$AC,2,FALSE))="AKG",(VLOOKUP(Table1[[#This Row],[SKU]],'All Skus'!$A:$AC,7,FALSE)),""))</f>
        <v>0</v>
      </c>
      <c r="G70" s="45" t="str">
        <f>(IF((VLOOKUP(Table1[[#This Row],[SKU]],'All Skus'!$A:$AC,2,FALSE))="AKG",(VLOOKUP(Table1[[#This Row],[SKU]],'All Skus'!$A:$AC,8,FALSE)),""))</f>
        <v>Lavalier Microphone</v>
      </c>
      <c r="H70" s="45" t="str">
        <f>(IF((VLOOKUP(Table1[[#This Row],[SKU]],'All Skus'!$A:$AC,2,FALSE))="AKG",(VLOOKUP(Table1[[#This Row],[SKU]],'All Skus'!$A:$AC,9,FALSE)),""))</f>
        <v>Inconspicuous cardioid clip-on microphone with mini XLR connector. Rugged metal housing.</v>
      </c>
      <c r="I70" s="141">
        <f>(IF((VLOOKUP(Table1[[#This Row],[SKU]],'All Skus'!$A:$AC,2,FALSE))="AKG",(VLOOKUP(Table1[[#This Row],[SKU]],'All Skus'!$A:$AC,10,FALSE)),""))</f>
        <v>233.69</v>
      </c>
      <c r="J70" s="141">
        <f>(IF((VLOOKUP(Table1[[#This Row],[SKU]],'All Skus'!$A:$AC,2,FALSE))="AKG",(VLOOKUP(Table1[[#This Row],[SKU]],'All Skus'!$A:$AC,11,FALSE)),""))</f>
        <v>185</v>
      </c>
      <c r="K70" s="125">
        <f>(IF((VLOOKUP(Table1[[#This Row],[SKU]],'All Skus'!$A:$AC,2,FALSE))="AKG",(VLOOKUP(Table1[[#This Row],[SKU]],'All Skus'!$A:$AC,15,FALSE)),""))</f>
        <v>0</v>
      </c>
      <c r="L70" s="124">
        <f>(IF((VLOOKUP(Table1[[#This Row],[SKU]],'All Skus'!$A:$AC,2,FALSE))="AKG",(VLOOKUP(Table1[[#This Row],[SKU]],'All Skus'!$A:$AC,16,FALSE)),""))</f>
        <v>885038028437</v>
      </c>
      <c r="M70" s="124">
        <f>(IF((VLOOKUP(Table1[[#This Row],[SKU]],'All Skus'!$A:$AC,2,FALSE))="AKG",(VLOOKUP(Table1[[#This Row],[SKU]],'All Skus'!$A:$AC,17,FALSE)),""))</f>
        <v>9002761028430</v>
      </c>
      <c r="N70" s="64">
        <f>(IF((VLOOKUP(Table1[[#This Row],[SKU]],'All Skus'!$A:$AC,2,FALSE))="AKG",(VLOOKUP(Table1[[#This Row],[SKU]],'All Skus'!$A:$AC,18,FALSE)),""))</f>
        <v>3</v>
      </c>
      <c r="O70" s="64">
        <f>(IF((VLOOKUP(Table1[[#This Row],[SKU]],'All Skus'!$A:$AC,2,FALSE))="AKG",(VLOOKUP(Table1[[#This Row],[SKU]],'All Skus'!$A:$AC,19,FALSE)),""))</f>
        <v>3</v>
      </c>
      <c r="P70" s="64">
        <f>(IF((VLOOKUP(Table1[[#This Row],[SKU]],'All Skus'!$A:$AC,2,FALSE))="AKG",(VLOOKUP(Table1[[#This Row],[SKU]],'All Skus'!$A:$AC,20,FALSE)),""))</f>
        <v>3</v>
      </c>
      <c r="Q70" s="64">
        <f>(IF((VLOOKUP(Table1[[#This Row],[SKU]],'All Skus'!$A:$AC,2,FALSE))="AKG",(VLOOKUP(Table1[[#This Row],[SKU]],'All Skus'!$A:$AC,21,FALSE)),""))</f>
        <v>2.4</v>
      </c>
      <c r="R70" s="64" t="str">
        <f>(IF((VLOOKUP(Table1[[#This Row],[SKU]],'All Skus'!$A:$AC,2,FALSE))="AKG",(VLOOKUP(Table1[[#This Row],[SKU]],'All Skus'!$A:$AC,22,FALSE)),""))</f>
        <v>CN</v>
      </c>
      <c r="S70" s="64" t="str">
        <f>(IF((VLOOKUP(Table1[[#This Row],[SKU]],'All Skus'!$A:$AC,2,FALSE))="AKG",(VLOOKUP(Table1[[#This Row],[SKU]],'All Skus'!$A:$AC,23,FALSE)),""))</f>
        <v>Non Compliant</v>
      </c>
      <c r="T70" s="210" t="str">
        <f>HYPERLINK((IF((VLOOKUP(Table1[[#This Row],[SKU]],'All Skus'!$A:$AC,2,FALSE))="AKG",(VLOOKUP(Table1[[#This Row],[SKU]],'All Skus'!$A:$AC,24,FALSE)),"")))</f>
        <v>https://www.akg.com/Microphones/Speech%20%2F%20Spoken%20Word%20Microphones/6000H51040.html</v>
      </c>
      <c r="U70" s="151">
        <v>68</v>
      </c>
    </row>
    <row r="71" spans="1:21" hidden="1">
      <c r="A71" s="50" t="s">
        <v>228</v>
      </c>
      <c r="B71" s="52" t="str">
        <f>(IF((VLOOKUP(Table1[[#This Row],[SKU]],'All Skus'!$A:$AC,2,FALSE))="AKG",(VLOOKUP(Table1[[#This Row],[SKU]],'All Skus'!$A:$AC,3,FALSE)), ""))</f>
        <v>Accessories</v>
      </c>
      <c r="C71" s="60" t="str">
        <f>(IF((VLOOKUP(Table1[[#This Row],[SKU]],'All Skus'!$A:$AC,2,FALSE))="AKG",(VLOOKUP(Table1[[#This Row],[SKU]],'All Skus'!$A:$AC,4,FALSE)),""))</f>
        <v>H85</v>
      </c>
      <c r="D71" s="60">
        <f>(IF((VLOOKUP(Table1[[#This Row],[SKU]],'All Skus'!$A:$AC,2,FALSE))="AKG",(VLOOKUP(Table1[[#This Row],[SKU]],'All Skus'!$A:$AC,5,FALSE)),""))</f>
        <v>20010200</v>
      </c>
      <c r="E71" s="60">
        <f>(IF((VLOOKUP(Table1[[#This Row],[SKU]],'All Skus'!$A:$AC,2,FALSE))="AKG",(VLOOKUP(Table1[[#This Row],[SKU]],'All Skus'!$A:$AC,6,FALSE)),""))</f>
        <v>0</v>
      </c>
      <c r="F71" s="60">
        <f>(IF((VLOOKUP(Table1[[#This Row],[SKU]],'All Skus'!$A:$AC,2,FALSE))="AKG",(VLOOKUP(Table1[[#This Row],[SKU]],'All Skus'!$A:$AC,7,FALSE)),""))</f>
        <v>0</v>
      </c>
      <c r="G71" s="45" t="str">
        <f>(IF((VLOOKUP(Table1[[#This Row],[SKU]],'All Skus'!$A:$AC,2,FALSE))="AKG",(VLOOKUP(Table1[[#This Row],[SKU]],'All Skus'!$A:$AC,8,FALSE)),""))</f>
        <v>Accessories</v>
      </c>
      <c r="H71" s="45" t="str">
        <f>(IF((VLOOKUP(Table1[[#This Row],[SKU]],'All Skus'!$A:$AC,2,FALSE))="AKG",(VLOOKUP(Table1[[#This Row],[SKU]],'All Skus'!$A:$AC,9,FALSE)),""))</f>
        <v>Spider suspension</v>
      </c>
      <c r="I71" s="141">
        <f>(IF((VLOOKUP(Table1[[#This Row],[SKU]],'All Skus'!$A:$AC,2,FALSE))="AKG",(VLOOKUP(Table1[[#This Row],[SKU]],'All Skus'!$A:$AC,10,FALSE)),""))</f>
        <v>180.07</v>
      </c>
      <c r="J71" s="141">
        <f>(IF((VLOOKUP(Table1[[#This Row],[SKU]],'All Skus'!$A:$AC,2,FALSE))="AKG",(VLOOKUP(Table1[[#This Row],[SKU]],'All Skus'!$A:$AC,11,FALSE)),""))</f>
        <v>145</v>
      </c>
      <c r="K71" s="125">
        <f>(IF((VLOOKUP(Table1[[#This Row],[SKU]],'All Skus'!$A:$AC,2,FALSE))="AKG",(VLOOKUP(Table1[[#This Row],[SKU]],'All Skus'!$A:$AC,15,FALSE)),""))</f>
        <v>0</v>
      </c>
      <c r="L71" s="124">
        <f>(IF((VLOOKUP(Table1[[#This Row],[SKU]],'All Skus'!$A:$AC,2,FALSE))="AKG",(VLOOKUP(Table1[[#This Row],[SKU]],'All Skus'!$A:$AC,16,FALSE)),""))</f>
        <v>885038039648</v>
      </c>
      <c r="M71" s="124">
        <f>(IF((VLOOKUP(Table1[[#This Row],[SKU]],'All Skus'!$A:$AC,2,FALSE))="AKG",(VLOOKUP(Table1[[#This Row],[SKU]],'All Skus'!$A:$AC,17,FALSE)),""))</f>
        <v>9002761011074</v>
      </c>
      <c r="N71" s="64">
        <f>(IF((VLOOKUP(Table1[[#This Row],[SKU]],'All Skus'!$A:$AC,2,FALSE))="AKG",(VLOOKUP(Table1[[#This Row],[SKU]],'All Skus'!$A:$AC,18,FALSE)),""))</f>
        <v>3</v>
      </c>
      <c r="O71" s="64">
        <f>(IF((VLOOKUP(Table1[[#This Row],[SKU]],'All Skus'!$A:$AC,2,FALSE))="AKG",(VLOOKUP(Table1[[#This Row],[SKU]],'All Skus'!$A:$AC,19,FALSE)),""))</f>
        <v>9</v>
      </c>
      <c r="P71" s="64">
        <f>(IF((VLOOKUP(Table1[[#This Row],[SKU]],'All Skus'!$A:$AC,2,FALSE))="AKG",(VLOOKUP(Table1[[#This Row],[SKU]],'All Skus'!$A:$AC,20,FALSE)),""))</f>
        <v>6</v>
      </c>
      <c r="Q71" s="64">
        <f>(IF((VLOOKUP(Table1[[#This Row],[SKU]],'All Skus'!$A:$AC,2,FALSE))="AKG",(VLOOKUP(Table1[[#This Row],[SKU]],'All Skus'!$A:$AC,21,FALSE)),""))</f>
        <v>3.2</v>
      </c>
      <c r="R71" s="64" t="str">
        <f>(IF((VLOOKUP(Table1[[#This Row],[SKU]],'All Skus'!$A:$AC,2,FALSE))="AKG",(VLOOKUP(Table1[[#This Row],[SKU]],'All Skus'!$A:$AC,22,FALSE)),""))</f>
        <v>AT</v>
      </c>
      <c r="S71" s="64" t="str">
        <f>(IF((VLOOKUP(Table1[[#This Row],[SKU]],'All Skus'!$A:$AC,2,FALSE))="AKG",(VLOOKUP(Table1[[#This Row],[SKU]],'All Skus'!$A:$AC,23,FALSE)),""))</f>
        <v>Compliant</v>
      </c>
      <c r="T71" s="210" t="str">
        <f>HYPERLINK((IF((VLOOKUP(Table1[[#This Row],[SKU]],'All Skus'!$A:$AC,2,FALSE))="AKG",(VLOOKUP(Table1[[#This Row],[SKU]],'All Skus'!$A:$AC,24,FALSE)),"")))</f>
        <v>https://www.akg.com/Microphones/Microphone%20Accessories/2803H00080.html</v>
      </c>
      <c r="U71" s="151">
        <v>69</v>
      </c>
    </row>
    <row r="72" spans="1:21" ht="15" hidden="1" customHeight="1">
      <c r="A72" s="50" t="s">
        <v>229</v>
      </c>
      <c r="B72" s="52" t="str">
        <f>(IF((VLOOKUP(Table1[[#This Row],[SKU]],'All Skus'!$A:$AC,2,FALSE))="AKG",(VLOOKUP(Table1[[#This Row],[SKU]],'All Skus'!$A:$AC,3,FALSE)), ""))</f>
        <v>Wireless Mics</v>
      </c>
      <c r="C72" s="60" t="str">
        <f>(IF((VLOOKUP(Table1[[#This Row],[SKU]],'All Skus'!$A:$AC,2,FALSE))="AKG",(VLOOKUP(Table1[[#This Row],[SKU]],'All Skus'!$A:$AC,4,FALSE)),""))</f>
        <v>HC644 MD</v>
      </c>
      <c r="D72" s="60" t="str">
        <f>(IF((VLOOKUP(Table1[[#This Row],[SKU]],'All Skus'!$A:$AC,2,FALSE))="AKG",(VLOOKUP(Table1[[#This Row],[SKU]],'All Skus'!$A:$AC,5,FALSE)),""))</f>
        <v>AT510000</v>
      </c>
      <c r="E72" s="60">
        <f>(IF((VLOOKUP(Table1[[#This Row],[SKU]],'All Skus'!$A:$AC,2,FALSE))="AKG",(VLOOKUP(Table1[[#This Row],[SKU]],'All Skus'!$A:$AC,6,FALSE)),""))</f>
        <v>0</v>
      </c>
      <c r="F72" s="60">
        <f>(IF((VLOOKUP(Table1[[#This Row],[SKU]],'All Skus'!$A:$AC,2,FALSE))="AKG",(VLOOKUP(Table1[[#This Row],[SKU]],'All Skus'!$A:$AC,7,FALSE)),""))</f>
        <v>0</v>
      </c>
      <c r="G72" s="45" t="str">
        <f>(IF((VLOOKUP(Table1[[#This Row],[SKU]],'All Skus'!$A:$AC,2,FALSE))="AKG",(VLOOKUP(Table1[[#This Row],[SKU]],'All Skus'!$A:$AC,8,FALSE)),""))</f>
        <v>Lapel Microphone</v>
      </c>
      <c r="H72" s="45">
        <f>(IF((VLOOKUP(Table1[[#This Row],[SKU]],'All Skus'!$A:$AC,2,FALSE))="AKG",(VLOOKUP(Table1[[#This Row],[SKU]],'All Skus'!$A:$AC,9,FALSE)),""))</f>
        <v>0</v>
      </c>
      <c r="I72" s="141">
        <f>(IF((VLOOKUP(Table1[[#This Row],[SKU]],'All Skus'!$A:$AC,2,FALSE))="AKG",(VLOOKUP(Table1[[#This Row],[SKU]],'All Skus'!$A:$AC,10,FALSE)),""))</f>
        <v>369.14</v>
      </c>
      <c r="J72" s="141">
        <f>(IF((VLOOKUP(Table1[[#This Row],[SKU]],'All Skus'!$A:$AC,2,FALSE))="AKG",(VLOOKUP(Table1[[#This Row],[SKU]],'All Skus'!$A:$AC,11,FALSE)),""))</f>
        <v>309</v>
      </c>
      <c r="K72" s="125">
        <f>(IF((VLOOKUP(Table1[[#This Row],[SKU]],'All Skus'!$A:$AC,2,FALSE))="AKG",(VLOOKUP(Table1[[#This Row],[SKU]],'All Skus'!$A:$AC,15,FALSE)),""))</f>
        <v>0</v>
      </c>
      <c r="L72" s="124">
        <f>(IF((VLOOKUP(Table1[[#This Row],[SKU]],'All Skus'!$A:$AC,2,FALSE))="AKG",(VLOOKUP(Table1[[#This Row],[SKU]],'All Skus'!$A:$AC,16,FALSE)),""))</f>
        <v>885038039044</v>
      </c>
      <c r="M72" s="124">
        <f>(IF((VLOOKUP(Table1[[#This Row],[SKU]],'All Skus'!$A:$AC,2,FALSE))="AKG",(VLOOKUP(Table1[[#This Row],[SKU]],'All Skus'!$A:$AC,17,FALSE)),""))</f>
        <v>0</v>
      </c>
      <c r="N72" s="64">
        <f>(IF((VLOOKUP(Table1[[#This Row],[SKU]],'All Skus'!$A:$AC,2,FALSE))="AKG",(VLOOKUP(Table1[[#This Row],[SKU]],'All Skus'!$A:$AC,18,FALSE)),""))</f>
        <v>0</v>
      </c>
      <c r="O72" s="64">
        <f>(IF((VLOOKUP(Table1[[#This Row],[SKU]],'All Skus'!$A:$AC,2,FALSE))="AKG",(VLOOKUP(Table1[[#This Row],[SKU]],'All Skus'!$A:$AC,19,FALSE)),""))</f>
        <v>0</v>
      </c>
      <c r="P72" s="64">
        <f>(IF((VLOOKUP(Table1[[#This Row],[SKU]],'All Skus'!$A:$AC,2,FALSE))="AKG",(VLOOKUP(Table1[[#This Row],[SKU]],'All Skus'!$A:$AC,20,FALSE)),""))</f>
        <v>0</v>
      </c>
      <c r="Q72" s="64">
        <f>(IF((VLOOKUP(Table1[[#This Row],[SKU]],'All Skus'!$A:$AC,2,FALSE))="AKG",(VLOOKUP(Table1[[#This Row],[SKU]],'All Skus'!$A:$AC,21,FALSE)),""))</f>
        <v>0</v>
      </c>
      <c r="R72" s="64" t="str">
        <f>(IF((VLOOKUP(Table1[[#This Row],[SKU]],'All Skus'!$A:$AC,2,FALSE))="AKG",(VLOOKUP(Table1[[#This Row],[SKU]],'All Skus'!$A:$AC,22,FALSE)),""))</f>
        <v>HU</v>
      </c>
      <c r="S72" s="64" t="str">
        <f>(IF((VLOOKUP(Table1[[#This Row],[SKU]],'All Skus'!$A:$AC,2,FALSE))="AKG",(VLOOKUP(Table1[[#This Row],[SKU]],'All Skus'!$A:$AC,23,FALSE)),""))</f>
        <v>Compliant</v>
      </c>
      <c r="T72" s="210" t="str">
        <f>HYPERLINK((IF((VLOOKUP(Table1[[#This Row],[SKU]],'All Skus'!$A:$AC,2,FALSE))="AKG",(VLOOKUP(Table1[[#This Row],[SKU]],'All Skus'!$A:$AC,24,FALSE)),"")))</f>
        <v>https://www.akg.com/Microphones/Headset%20Microphones/2793H00100.html</v>
      </c>
      <c r="U72" s="151">
        <v>70</v>
      </c>
    </row>
    <row r="73" spans="1:21" ht="15" hidden="1" customHeight="1">
      <c r="A73" s="48" t="s">
        <v>230</v>
      </c>
      <c r="B73" s="52" t="str">
        <f>(IF((VLOOKUP(Table1[[#This Row],[SKU]],'All Skus'!$A:$AC,2,FALSE))="AKG",(VLOOKUP(Table1[[#This Row],[SKU]],'All Skus'!$A:$AC,3,FALSE)), ""))</f>
        <v>Wireless Mics</v>
      </c>
      <c r="C73" s="60" t="str">
        <f>(IF((VLOOKUP(Table1[[#This Row],[SKU]],'All Skus'!$A:$AC,2,FALSE))="AKG",(VLOOKUP(Table1[[#This Row],[SKU]],'All Skus'!$A:$AC,4,FALSE)),""))</f>
        <v>LC617 MD BEIGE LAVALIER MICROPHONE</v>
      </c>
      <c r="D73" s="60" t="str">
        <f>(IF((VLOOKUP(Table1[[#This Row],[SKU]],'All Skus'!$A:$AC,2,FALSE))="AKG",(VLOOKUP(Table1[[#This Row],[SKU]],'All Skus'!$A:$AC,5,FALSE)),""))</f>
        <v>AT510000</v>
      </c>
      <c r="E73" s="60">
        <f>(IF((VLOOKUP(Table1[[#This Row],[SKU]],'All Skus'!$A:$AC,2,FALSE))="AKG",(VLOOKUP(Table1[[#This Row],[SKU]],'All Skus'!$A:$AC,6,FALSE)),""))</f>
        <v>0</v>
      </c>
      <c r="F73" s="60">
        <f>(IF((VLOOKUP(Table1[[#This Row],[SKU]],'All Skus'!$A:$AC,2,FALSE))="AKG",(VLOOKUP(Table1[[#This Row],[SKU]],'All Skus'!$A:$AC,7,FALSE)),""))</f>
        <v>0</v>
      </c>
      <c r="G73" s="45" t="str">
        <f>(IF((VLOOKUP(Table1[[#This Row],[SKU]],'All Skus'!$A:$AC,2,FALSE))="AKG",(VLOOKUP(Table1[[#This Row],[SKU]],'All Skus'!$A:$AC,8,FALSE)),""))</f>
        <v>Lapel Microphone</v>
      </c>
      <c r="H73" s="45" t="str">
        <f>(IF((VLOOKUP(Table1[[#This Row],[SKU]],'All Skus'!$A:$AC,2,FALSE))="AKG",(VLOOKUP(Table1[[#This Row],[SKU]],'All Skus'!$A:$AC,9,FALSE)),""))</f>
        <v>LC617 BLK</v>
      </c>
      <c r="I73" s="141">
        <f>(IF((VLOOKUP(Table1[[#This Row],[SKU]],'All Skus'!$A:$AC,2,FALSE))="AKG",(VLOOKUP(Table1[[#This Row],[SKU]],'All Skus'!$A:$AC,10,FALSE)),""))</f>
        <v>154.63999999999999</v>
      </c>
      <c r="J73" s="141">
        <f>(IF((VLOOKUP(Table1[[#This Row],[SKU]],'All Skus'!$A:$AC,2,FALSE))="AKG",(VLOOKUP(Table1[[#This Row],[SKU]],'All Skus'!$A:$AC,11,FALSE)),""))</f>
        <v>0</v>
      </c>
      <c r="K73" s="125">
        <f>(IF((VLOOKUP(Table1[[#This Row],[SKU]],'All Skus'!$A:$AC,2,FALSE))="AKG",(VLOOKUP(Table1[[#This Row],[SKU]],'All Skus'!$A:$AC,15,FALSE)),""))</f>
        <v>0</v>
      </c>
      <c r="L73" s="124">
        <f>(IF((VLOOKUP(Table1[[#This Row],[SKU]],'All Skus'!$A:$AC,2,FALSE))="AKG",(VLOOKUP(Table1[[#This Row],[SKU]],'All Skus'!$A:$AC,16,FALSE)),""))</f>
        <v>885038039037</v>
      </c>
      <c r="M73" s="124">
        <f>(IF((VLOOKUP(Table1[[#This Row],[SKU]],'All Skus'!$A:$AC,2,FALSE))="AKG",(VLOOKUP(Table1[[#This Row],[SKU]],'All Skus'!$A:$AC,17,FALSE)),""))</f>
        <v>0</v>
      </c>
      <c r="N73" s="64">
        <f>(IF((VLOOKUP(Table1[[#This Row],[SKU]],'All Skus'!$A:$AC,2,FALSE))="AKG",(VLOOKUP(Table1[[#This Row],[SKU]],'All Skus'!$A:$AC,18,FALSE)),""))</f>
        <v>0</v>
      </c>
      <c r="O73" s="64">
        <f>(IF((VLOOKUP(Table1[[#This Row],[SKU]],'All Skus'!$A:$AC,2,FALSE))="AKG",(VLOOKUP(Table1[[#This Row],[SKU]],'All Skus'!$A:$AC,19,FALSE)),""))</f>
        <v>0</v>
      </c>
      <c r="P73" s="64">
        <f>(IF((VLOOKUP(Table1[[#This Row],[SKU]],'All Skus'!$A:$AC,2,FALSE))="AKG",(VLOOKUP(Table1[[#This Row],[SKU]],'All Skus'!$A:$AC,20,FALSE)),""))</f>
        <v>0</v>
      </c>
      <c r="Q73" s="64">
        <f>(IF((VLOOKUP(Table1[[#This Row],[SKU]],'All Skus'!$A:$AC,2,FALSE))="AKG",(VLOOKUP(Table1[[#This Row],[SKU]],'All Skus'!$A:$AC,21,FALSE)),""))</f>
        <v>0</v>
      </c>
      <c r="R73" s="64" t="str">
        <f>(IF((VLOOKUP(Table1[[#This Row],[SKU]],'All Skus'!$A:$AC,2,FALSE))="AKG",(VLOOKUP(Table1[[#This Row],[SKU]],'All Skus'!$A:$AC,22,FALSE)),""))</f>
        <v>HU</v>
      </c>
      <c r="S73" s="64">
        <f>(IF((VLOOKUP(Table1[[#This Row],[SKU]],'All Skus'!$A:$AC,2,FALSE))="AKG",(VLOOKUP(Table1[[#This Row],[SKU]],'All Skus'!$A:$AC,23,FALSE)),""))</f>
        <v>0</v>
      </c>
      <c r="T73" s="210" t="str">
        <f>HYPERLINK((IF((VLOOKUP(Table1[[#This Row],[SKU]],'All Skus'!$A:$AC,2,FALSE))="AKG",(VLOOKUP(Table1[[#This Row],[SKU]],'All Skus'!$A:$AC,24,FALSE)),"")))</f>
        <v>https://www.akg.com/Microphones/Speech%20%2F%20Spoken%20Word%20Microphones/2577X00210.html</v>
      </c>
      <c r="U73" s="151">
        <v>71</v>
      </c>
    </row>
    <row r="74" spans="1:21" ht="15" hidden="1" customHeight="1">
      <c r="A74" s="50" t="s">
        <v>231</v>
      </c>
      <c r="B74" s="52" t="str">
        <f>(IF((VLOOKUP(Table1[[#This Row],[SKU]],'All Skus'!$A:$AC,2,FALSE))="AKG",(VLOOKUP(Table1[[#This Row],[SKU]],'All Skus'!$A:$AC,3,FALSE)), ""))</f>
        <v>Wireless Mics</v>
      </c>
      <c r="C74" s="60" t="str">
        <f>(IF((VLOOKUP(Table1[[#This Row],[SKU]],'All Skus'!$A:$AC,2,FALSE))="AKG",(VLOOKUP(Table1[[#This Row],[SKU]],'All Skus'!$A:$AC,4,FALSE)),""))</f>
        <v>LC617 MD</v>
      </c>
      <c r="D74" s="60" t="str">
        <f>(IF((VLOOKUP(Table1[[#This Row],[SKU]],'All Skus'!$A:$AC,2,FALSE))="AKG",(VLOOKUP(Table1[[#This Row],[SKU]],'All Skus'!$A:$AC,5,FALSE)),""))</f>
        <v>AT510000</v>
      </c>
      <c r="E74" s="60">
        <f>(IF((VLOOKUP(Table1[[#This Row],[SKU]],'All Skus'!$A:$AC,2,FALSE))="AKG",(VLOOKUP(Table1[[#This Row],[SKU]],'All Skus'!$A:$AC,6,FALSE)),""))</f>
        <v>0</v>
      </c>
      <c r="F74" s="60">
        <f>(IF((VLOOKUP(Table1[[#This Row],[SKU]],'All Skus'!$A:$AC,2,FALSE))="AKG",(VLOOKUP(Table1[[#This Row],[SKU]],'All Skus'!$A:$AC,7,FALSE)),""))</f>
        <v>0</v>
      </c>
      <c r="G74" s="45" t="str">
        <f>(IF((VLOOKUP(Table1[[#This Row],[SKU]],'All Skus'!$A:$AC,2,FALSE))="AKG",(VLOOKUP(Table1[[#This Row],[SKU]],'All Skus'!$A:$AC,8,FALSE)),""))</f>
        <v>Lapel Microphone</v>
      </c>
      <c r="H74" s="45" t="str">
        <f>(IF((VLOOKUP(Table1[[#This Row],[SKU]],'All Skus'!$A:$AC,2,FALSE))="AKG",(VLOOKUP(Table1[[#This Row],[SKU]],'All Skus'!$A:$AC,9,FALSE)),""))</f>
        <v>LC617 MD</v>
      </c>
      <c r="I74" s="141">
        <f>(IF((VLOOKUP(Table1[[#This Row],[SKU]],'All Skus'!$A:$AC,2,FALSE))="AKG",(VLOOKUP(Table1[[#This Row],[SKU]],'All Skus'!$A:$AC,10,FALSE)),""))</f>
        <v>154.63999999999999</v>
      </c>
      <c r="J74" s="141">
        <f>(IF((VLOOKUP(Table1[[#This Row],[SKU]],'All Skus'!$A:$AC,2,FALSE))="AKG",(VLOOKUP(Table1[[#This Row],[SKU]],'All Skus'!$A:$AC,11,FALSE)),""))</f>
        <v>0</v>
      </c>
      <c r="K74" s="125">
        <f>(IF((VLOOKUP(Table1[[#This Row],[SKU]],'All Skus'!$A:$AC,2,FALSE))="AKG",(VLOOKUP(Table1[[#This Row],[SKU]],'All Skus'!$A:$AC,15,FALSE)),""))</f>
        <v>0</v>
      </c>
      <c r="L74" s="124">
        <f>(IF((VLOOKUP(Table1[[#This Row],[SKU]],'All Skus'!$A:$AC,2,FALSE))="AKG",(VLOOKUP(Table1[[#This Row],[SKU]],'All Skus'!$A:$AC,16,FALSE)),""))</f>
        <v>885038039020</v>
      </c>
      <c r="M74" s="124">
        <f>(IF((VLOOKUP(Table1[[#This Row],[SKU]],'All Skus'!$A:$AC,2,FALSE))="AKG",(VLOOKUP(Table1[[#This Row],[SKU]],'All Skus'!$A:$AC,17,FALSE)),""))</f>
        <v>0</v>
      </c>
      <c r="N74" s="64">
        <f>(IF((VLOOKUP(Table1[[#This Row],[SKU]],'All Skus'!$A:$AC,2,FALSE))="AKG",(VLOOKUP(Table1[[#This Row],[SKU]],'All Skus'!$A:$AC,18,FALSE)),""))</f>
        <v>0</v>
      </c>
      <c r="O74" s="64">
        <f>(IF((VLOOKUP(Table1[[#This Row],[SKU]],'All Skus'!$A:$AC,2,FALSE))="AKG",(VLOOKUP(Table1[[#This Row],[SKU]],'All Skus'!$A:$AC,19,FALSE)),""))</f>
        <v>0</v>
      </c>
      <c r="P74" s="64">
        <f>(IF((VLOOKUP(Table1[[#This Row],[SKU]],'All Skus'!$A:$AC,2,FALSE))="AKG",(VLOOKUP(Table1[[#This Row],[SKU]],'All Skus'!$A:$AC,20,FALSE)),""))</f>
        <v>0</v>
      </c>
      <c r="Q74" s="64">
        <f>(IF((VLOOKUP(Table1[[#This Row],[SKU]],'All Skus'!$A:$AC,2,FALSE))="AKG",(VLOOKUP(Table1[[#This Row],[SKU]],'All Skus'!$A:$AC,21,FALSE)),""))</f>
        <v>0</v>
      </c>
      <c r="R74" s="64" t="str">
        <f>(IF((VLOOKUP(Table1[[#This Row],[SKU]],'All Skus'!$A:$AC,2,FALSE))="AKG",(VLOOKUP(Table1[[#This Row],[SKU]],'All Skus'!$A:$AC,22,FALSE)),""))</f>
        <v>HU</v>
      </c>
      <c r="S74" s="64" t="str">
        <f>(IF((VLOOKUP(Table1[[#This Row],[SKU]],'All Skus'!$A:$AC,2,FALSE))="AKG",(VLOOKUP(Table1[[#This Row],[SKU]],'All Skus'!$A:$AC,23,FALSE)),""))</f>
        <v>Compliant</v>
      </c>
      <c r="T74" s="210" t="str">
        <f>HYPERLINK((IF((VLOOKUP(Table1[[#This Row],[SKU]],'All Skus'!$A:$AC,2,FALSE))="AKG",(VLOOKUP(Table1[[#This Row],[SKU]],'All Skus'!$A:$AC,24,FALSE)),"")))</f>
        <v>https://www.akg.com/Microphones/Speech%20%2F%20Spoken%20Word%20Microphones/2577X00200.html</v>
      </c>
      <c r="U74" s="151">
        <v>72</v>
      </c>
    </row>
    <row r="75" spans="1:21" ht="15" hidden="1" customHeight="1">
      <c r="A75" s="50" t="s">
        <v>232</v>
      </c>
      <c r="B75" s="52" t="str">
        <f>(IF((VLOOKUP(Table1[[#This Row],[SKU]],'All Skus'!$A:$AC,2,FALSE))="AKG",(VLOOKUP(Table1[[#This Row],[SKU]],'All Skus'!$A:$AC,3,FALSE)), ""))</f>
        <v>Wired Mics</v>
      </c>
      <c r="C75" s="60" t="str">
        <f>(IF((VLOOKUP(Table1[[#This Row],[SKU]],'All Skus'!$A:$AC,2,FALSE))="AKG",(VLOOKUP(Table1[[#This Row],[SKU]],'All Skus'!$A:$AC,4,FALSE)),""))</f>
        <v>LC81MD white</v>
      </c>
      <c r="D75" s="60" t="str">
        <f>(IF((VLOOKUP(Table1[[#This Row],[SKU]],'All Skus'!$A:$AC,2,FALSE))="AKG",(VLOOKUP(Table1[[#This Row],[SKU]],'All Skus'!$A:$AC,5,FALSE)),""))</f>
        <v>AT510000</v>
      </c>
      <c r="E75" s="60">
        <f>(IF((VLOOKUP(Table1[[#This Row],[SKU]],'All Skus'!$A:$AC,2,FALSE))="AKG",(VLOOKUP(Table1[[#This Row],[SKU]],'All Skus'!$A:$AC,6,FALSE)),""))</f>
        <v>0</v>
      </c>
      <c r="F75" s="60">
        <f>(IF((VLOOKUP(Table1[[#This Row],[SKU]],'All Skus'!$A:$AC,2,FALSE))="AKG",(VLOOKUP(Table1[[#This Row],[SKU]],'All Skus'!$A:$AC,7,FALSE)),""))</f>
        <v>0</v>
      </c>
      <c r="G75" s="45" t="str">
        <f>(IF((VLOOKUP(Table1[[#This Row],[SKU]],'All Skus'!$A:$AC,2,FALSE))="AKG",(VLOOKUP(Table1[[#This Row],[SKU]],'All Skus'!$A:$AC,8,FALSE)),""))</f>
        <v>LC81MD white</v>
      </c>
      <c r="H75" s="45" t="str">
        <f>(IF((VLOOKUP(Table1[[#This Row],[SKU]],'All Skus'!$A:$AC,2,FALSE))="AKG",(VLOOKUP(Table1[[#This Row],[SKU]],'All Skus'!$A:$AC,9,FALSE)),""))</f>
        <v>LC81MD white</v>
      </c>
      <c r="I75" s="141">
        <f>(IF((VLOOKUP(Table1[[#This Row],[SKU]],'All Skus'!$A:$AC,2,FALSE))="AKG",(VLOOKUP(Table1[[#This Row],[SKU]],'All Skus'!$A:$AC,10,FALSE)),""))</f>
        <v>253.06</v>
      </c>
      <c r="J75" s="141">
        <f>(IF((VLOOKUP(Table1[[#This Row],[SKU]],'All Skus'!$A:$AC,2,FALSE))="AKG",(VLOOKUP(Table1[[#This Row],[SKU]],'All Skus'!$A:$AC,11,FALSE)),""))</f>
        <v>195</v>
      </c>
      <c r="K75" s="125">
        <f>(IF((VLOOKUP(Table1[[#This Row],[SKU]],'All Skus'!$A:$AC,2,FALSE))="AKG",(VLOOKUP(Table1[[#This Row],[SKU]],'All Skus'!$A:$AC,15,FALSE)),""))</f>
        <v>0</v>
      </c>
      <c r="L75" s="124">
        <f>(IF((VLOOKUP(Table1[[#This Row],[SKU]],'All Skus'!$A:$AC,2,FALSE))="AKG",(VLOOKUP(Table1[[#This Row],[SKU]],'All Skus'!$A:$AC,16,FALSE)),""))</f>
        <v>885038038436</v>
      </c>
      <c r="M75" s="124">
        <f>(IF((VLOOKUP(Table1[[#This Row],[SKU]],'All Skus'!$A:$AC,2,FALSE))="AKG",(VLOOKUP(Table1[[#This Row],[SKU]],'All Skus'!$A:$AC,17,FALSE)),""))</f>
        <v>0</v>
      </c>
      <c r="N75" s="64">
        <f>(IF((VLOOKUP(Table1[[#This Row],[SKU]],'All Skus'!$A:$AC,2,FALSE))="AKG",(VLOOKUP(Table1[[#This Row],[SKU]],'All Skus'!$A:$AC,18,FALSE)),""))</f>
        <v>0</v>
      </c>
      <c r="O75" s="64">
        <f>(IF((VLOOKUP(Table1[[#This Row],[SKU]],'All Skus'!$A:$AC,2,FALSE))="AKG",(VLOOKUP(Table1[[#This Row],[SKU]],'All Skus'!$A:$AC,19,FALSE)),""))</f>
        <v>0</v>
      </c>
      <c r="P75" s="64">
        <f>(IF((VLOOKUP(Table1[[#This Row],[SKU]],'All Skus'!$A:$AC,2,FALSE))="AKG",(VLOOKUP(Table1[[#This Row],[SKU]],'All Skus'!$A:$AC,20,FALSE)),""))</f>
        <v>0</v>
      </c>
      <c r="Q75" s="64">
        <f>(IF((VLOOKUP(Table1[[#This Row],[SKU]],'All Skus'!$A:$AC,2,FALSE))="AKG",(VLOOKUP(Table1[[#This Row],[SKU]],'All Skus'!$A:$AC,21,FALSE)),""))</f>
        <v>0</v>
      </c>
      <c r="R75" s="64">
        <f>(IF((VLOOKUP(Table1[[#This Row],[SKU]],'All Skus'!$A:$AC,2,FALSE))="AKG",(VLOOKUP(Table1[[#This Row],[SKU]],'All Skus'!$A:$AC,22,FALSE)),""))</f>
        <v>0</v>
      </c>
      <c r="S75" s="64">
        <f>(IF((VLOOKUP(Table1[[#This Row],[SKU]],'All Skus'!$A:$AC,2,FALSE))="AKG",(VLOOKUP(Table1[[#This Row],[SKU]],'All Skus'!$A:$AC,23,FALSE)),""))</f>
        <v>0</v>
      </c>
      <c r="T75" s="210" t="str">
        <f>HYPERLINK((IF((VLOOKUP(Table1[[#This Row],[SKU]],'All Skus'!$A:$AC,2,FALSE))="AKG",(VLOOKUP(Table1[[#This Row],[SKU]],'All Skus'!$A:$AC,24,FALSE)),"")))</f>
        <v>https://www.akg.com/Microphones/Speech%20%2F%20Spoken%20Word%20Microphones/LC81MDgroup.html?dwvar_LC81MDgroup_color=Black-GLOBAL-Current#q=lc81md&amp;simplesearch=Go&amp;start=1</v>
      </c>
      <c r="U75" s="151">
        <v>73</v>
      </c>
    </row>
    <row r="76" spans="1:21" ht="15" hidden="1" customHeight="1">
      <c r="A76" s="50" t="s">
        <v>233</v>
      </c>
      <c r="B76" s="52" t="str">
        <f>(IF((VLOOKUP(Table1[[#This Row],[SKU]],'All Skus'!$A:$AC,2,FALSE))="AKG",(VLOOKUP(Table1[[#This Row],[SKU]],'All Skus'!$A:$AC,3,FALSE)), ""))</f>
        <v>Wired Mics</v>
      </c>
      <c r="C76" s="60" t="str">
        <f>(IF((VLOOKUP(Table1[[#This Row],[SKU]],'All Skus'!$A:$AC,2,FALSE))="AKG",(VLOOKUP(Table1[[#This Row],[SKU]],'All Skus'!$A:$AC,4,FALSE)),""))</f>
        <v>LC81MD black</v>
      </c>
      <c r="D76" s="60" t="str">
        <f>(IF((VLOOKUP(Table1[[#This Row],[SKU]],'All Skus'!$A:$AC,2,FALSE))="AKG",(VLOOKUP(Table1[[#This Row],[SKU]],'All Skus'!$A:$AC,5,FALSE)),""))</f>
        <v>AT510000</v>
      </c>
      <c r="E76" s="60">
        <f>(IF((VLOOKUP(Table1[[#This Row],[SKU]],'All Skus'!$A:$AC,2,FALSE))="AKG",(VLOOKUP(Table1[[#This Row],[SKU]],'All Skus'!$A:$AC,6,FALSE)),""))</f>
        <v>0</v>
      </c>
      <c r="F76" s="60">
        <f>(IF((VLOOKUP(Table1[[#This Row],[SKU]],'All Skus'!$A:$AC,2,FALSE))="AKG",(VLOOKUP(Table1[[#This Row],[SKU]],'All Skus'!$A:$AC,7,FALSE)),""))</f>
        <v>0</v>
      </c>
      <c r="G76" s="45" t="str">
        <f>(IF((VLOOKUP(Table1[[#This Row],[SKU]],'All Skus'!$A:$AC,2,FALSE))="AKG",(VLOOKUP(Table1[[#This Row],[SKU]],'All Skus'!$A:$AC,8,FALSE)),""))</f>
        <v>LC81MD black</v>
      </c>
      <c r="H76" s="45" t="str">
        <f>(IF((VLOOKUP(Table1[[#This Row],[SKU]],'All Skus'!$A:$AC,2,FALSE))="AKG",(VLOOKUP(Table1[[#This Row],[SKU]],'All Skus'!$A:$AC,9,FALSE)),""))</f>
        <v>LC81MD black</v>
      </c>
      <c r="I76" s="141">
        <f>(IF((VLOOKUP(Table1[[#This Row],[SKU]],'All Skus'!$A:$AC,2,FALSE))="AKG",(VLOOKUP(Table1[[#This Row],[SKU]],'All Skus'!$A:$AC,10,FALSE)),""))</f>
        <v>253.06</v>
      </c>
      <c r="J76" s="141">
        <f>(IF((VLOOKUP(Table1[[#This Row],[SKU]],'All Skus'!$A:$AC,2,FALSE))="AKG",(VLOOKUP(Table1[[#This Row],[SKU]],'All Skus'!$A:$AC,11,FALSE)),""))</f>
        <v>0</v>
      </c>
      <c r="K76" s="125">
        <f>(IF((VLOOKUP(Table1[[#This Row],[SKU]],'All Skus'!$A:$AC,2,FALSE))="AKG",(VLOOKUP(Table1[[#This Row],[SKU]],'All Skus'!$A:$AC,15,FALSE)),""))</f>
        <v>0</v>
      </c>
      <c r="L76" s="124">
        <f>(IF((VLOOKUP(Table1[[#This Row],[SKU]],'All Skus'!$A:$AC,2,FALSE))="AKG",(VLOOKUP(Table1[[#This Row],[SKU]],'All Skus'!$A:$AC,16,FALSE)),""))</f>
        <v>885038038412</v>
      </c>
      <c r="M76" s="124">
        <f>(IF((VLOOKUP(Table1[[#This Row],[SKU]],'All Skus'!$A:$AC,2,FALSE))="AKG",(VLOOKUP(Table1[[#This Row],[SKU]],'All Skus'!$A:$AC,17,FALSE)),""))</f>
        <v>0</v>
      </c>
      <c r="N76" s="64">
        <f>(IF((VLOOKUP(Table1[[#This Row],[SKU]],'All Skus'!$A:$AC,2,FALSE))="AKG",(VLOOKUP(Table1[[#This Row],[SKU]],'All Skus'!$A:$AC,18,FALSE)),""))</f>
        <v>0</v>
      </c>
      <c r="O76" s="64">
        <f>(IF((VLOOKUP(Table1[[#This Row],[SKU]],'All Skus'!$A:$AC,2,FALSE))="AKG",(VLOOKUP(Table1[[#This Row],[SKU]],'All Skus'!$A:$AC,19,FALSE)),""))</f>
        <v>0</v>
      </c>
      <c r="P76" s="64">
        <f>(IF((VLOOKUP(Table1[[#This Row],[SKU]],'All Skus'!$A:$AC,2,FALSE))="AKG",(VLOOKUP(Table1[[#This Row],[SKU]],'All Skus'!$A:$AC,20,FALSE)),""))</f>
        <v>0</v>
      </c>
      <c r="Q76" s="64">
        <f>(IF((VLOOKUP(Table1[[#This Row],[SKU]],'All Skus'!$A:$AC,2,FALSE))="AKG",(VLOOKUP(Table1[[#This Row],[SKU]],'All Skus'!$A:$AC,21,FALSE)),""))</f>
        <v>0</v>
      </c>
      <c r="R76" s="64" t="str">
        <f>(IF((VLOOKUP(Table1[[#This Row],[SKU]],'All Skus'!$A:$AC,2,FALSE))="AKG",(VLOOKUP(Table1[[#This Row],[SKU]],'All Skus'!$A:$AC,22,FALSE)),""))</f>
        <v>HU</v>
      </c>
      <c r="S76" s="64">
        <f>(IF((VLOOKUP(Table1[[#This Row],[SKU]],'All Skus'!$A:$AC,2,FALSE))="AKG",(VLOOKUP(Table1[[#This Row],[SKU]],'All Skus'!$A:$AC,23,FALSE)),""))</f>
        <v>0</v>
      </c>
      <c r="T76" s="210" t="str">
        <f>HYPERLINK((IF((VLOOKUP(Table1[[#This Row],[SKU]],'All Skus'!$A:$AC,2,FALSE))="AKG",(VLOOKUP(Table1[[#This Row],[SKU]],'All Skus'!$A:$AC,24,FALSE)),"")))</f>
        <v>https://www.akg.com/Microphones/Speech%20%2F%20Spoken%20Word%20Microphones/LC81MDgroup.html?dwvar_LC81MDgroup_color=Black-GLOBAL-Current#q=lc81md&amp;simplesearch=Go&amp;start=1</v>
      </c>
      <c r="U76" s="151">
        <v>74</v>
      </c>
    </row>
    <row r="77" spans="1:21" ht="15" hidden="1" customHeight="1">
      <c r="A77" s="50" t="s">
        <v>234</v>
      </c>
      <c r="B77" s="52" t="str">
        <f>(IF((VLOOKUP(Table1[[#This Row],[SKU]],'All Skus'!$A:$AC,2,FALSE))="AKG",(VLOOKUP(Table1[[#This Row],[SKU]],'All Skus'!$A:$AC,3,FALSE)), ""))</f>
        <v>Wired Mics</v>
      </c>
      <c r="C77" s="60" t="str">
        <f>(IF((VLOOKUP(Table1[[#This Row],[SKU]],'All Skus'!$A:$AC,2,FALSE))="AKG",(VLOOKUP(Table1[[#This Row],[SKU]],'All Skus'!$A:$AC,4,FALSE)),""))</f>
        <v>LC81MD beige</v>
      </c>
      <c r="D77" s="60" t="str">
        <f>(IF((VLOOKUP(Table1[[#This Row],[SKU]],'All Skus'!$A:$AC,2,FALSE))="AKG",(VLOOKUP(Table1[[#This Row],[SKU]],'All Skus'!$A:$AC,5,FALSE)),""))</f>
        <v>AT510000</v>
      </c>
      <c r="E77" s="60">
        <f>(IF((VLOOKUP(Table1[[#This Row],[SKU]],'All Skus'!$A:$AC,2,FALSE))="AKG",(VLOOKUP(Table1[[#This Row],[SKU]],'All Skus'!$A:$AC,6,FALSE)),""))</f>
        <v>0</v>
      </c>
      <c r="F77" s="60">
        <f>(IF((VLOOKUP(Table1[[#This Row],[SKU]],'All Skus'!$A:$AC,2,FALSE))="AKG",(VLOOKUP(Table1[[#This Row],[SKU]],'All Skus'!$A:$AC,7,FALSE)),""))</f>
        <v>0</v>
      </c>
      <c r="G77" s="45" t="str">
        <f>(IF((VLOOKUP(Table1[[#This Row],[SKU]],'All Skus'!$A:$AC,2,FALSE))="AKG",(VLOOKUP(Table1[[#This Row],[SKU]],'All Skus'!$A:$AC,8,FALSE)),""))</f>
        <v>LC81MD beige</v>
      </c>
      <c r="H77" s="45" t="str">
        <f>(IF((VLOOKUP(Table1[[#This Row],[SKU]],'All Skus'!$A:$AC,2,FALSE))="AKG",(VLOOKUP(Table1[[#This Row],[SKU]],'All Skus'!$A:$AC,9,FALSE)),""))</f>
        <v>LC81MD beige</v>
      </c>
      <c r="I77" s="141">
        <f>(IF((VLOOKUP(Table1[[#This Row],[SKU]],'All Skus'!$A:$AC,2,FALSE))="AKG",(VLOOKUP(Table1[[#This Row],[SKU]],'All Skus'!$A:$AC,10,FALSE)),""))</f>
        <v>253.06</v>
      </c>
      <c r="J77" s="141">
        <f>(IF((VLOOKUP(Table1[[#This Row],[SKU]],'All Skus'!$A:$AC,2,FALSE))="AKG",(VLOOKUP(Table1[[#This Row],[SKU]],'All Skus'!$A:$AC,11,FALSE)),""))</f>
        <v>0</v>
      </c>
      <c r="K77" s="125">
        <f>(IF((VLOOKUP(Table1[[#This Row],[SKU]],'All Skus'!$A:$AC,2,FALSE))="AKG",(VLOOKUP(Table1[[#This Row],[SKU]],'All Skus'!$A:$AC,15,FALSE)),""))</f>
        <v>0</v>
      </c>
      <c r="L77" s="124">
        <f>(IF((VLOOKUP(Table1[[#This Row],[SKU]],'All Skus'!$A:$AC,2,FALSE))="AKG",(VLOOKUP(Table1[[#This Row],[SKU]],'All Skus'!$A:$AC,16,FALSE)),""))</f>
        <v>885038038405</v>
      </c>
      <c r="M77" s="124">
        <f>(IF((VLOOKUP(Table1[[#This Row],[SKU]],'All Skus'!$A:$AC,2,FALSE))="AKG",(VLOOKUP(Table1[[#This Row],[SKU]],'All Skus'!$A:$AC,17,FALSE)),""))</f>
        <v>0</v>
      </c>
      <c r="N77" s="64">
        <f>(IF((VLOOKUP(Table1[[#This Row],[SKU]],'All Skus'!$A:$AC,2,FALSE))="AKG",(VLOOKUP(Table1[[#This Row],[SKU]],'All Skus'!$A:$AC,18,FALSE)),""))</f>
        <v>7</v>
      </c>
      <c r="O77" s="64">
        <f>(IF((VLOOKUP(Table1[[#This Row],[SKU]],'All Skus'!$A:$AC,2,FALSE))="AKG",(VLOOKUP(Table1[[#This Row],[SKU]],'All Skus'!$A:$AC,19,FALSE)),""))</f>
        <v>6.5</v>
      </c>
      <c r="P77" s="64">
        <f>(IF((VLOOKUP(Table1[[#This Row],[SKU]],'All Skus'!$A:$AC,2,FALSE))="AKG",(VLOOKUP(Table1[[#This Row],[SKU]],'All Skus'!$A:$AC,20,FALSE)),""))</f>
        <v>2.5</v>
      </c>
      <c r="Q77" s="64">
        <f>(IF((VLOOKUP(Table1[[#This Row],[SKU]],'All Skus'!$A:$AC,2,FALSE))="AKG",(VLOOKUP(Table1[[#This Row],[SKU]],'All Skus'!$A:$AC,21,FALSE)),""))</f>
        <v>0</v>
      </c>
      <c r="R77" s="64" t="str">
        <f>(IF((VLOOKUP(Table1[[#This Row],[SKU]],'All Skus'!$A:$AC,2,FALSE))="AKG",(VLOOKUP(Table1[[#This Row],[SKU]],'All Skus'!$A:$AC,22,FALSE)),""))</f>
        <v>HU</v>
      </c>
      <c r="S77" s="64" t="str">
        <f>(IF((VLOOKUP(Table1[[#This Row],[SKU]],'All Skus'!$A:$AC,2,FALSE))="AKG",(VLOOKUP(Table1[[#This Row],[SKU]],'All Skus'!$A:$AC,23,FALSE)),""))</f>
        <v>Compliant</v>
      </c>
      <c r="T77" s="210" t="str">
        <f>HYPERLINK((IF((VLOOKUP(Table1[[#This Row],[SKU]],'All Skus'!$A:$AC,2,FALSE))="AKG",(VLOOKUP(Table1[[#This Row],[SKU]],'All Skus'!$A:$AC,24,FALSE)),"")))</f>
        <v>https://www.akg.com/Microphones/Speech%20%2F%20Spoken%20Word%20Microphones/LC81MDgroup.html?dwvar_LC81MDgroup_color=Black-GLOBAL-Current#q=lc81md&amp;simplesearch=Go&amp;start=1</v>
      </c>
      <c r="U77" s="151">
        <v>75</v>
      </c>
    </row>
    <row r="78" spans="1:21" ht="15" hidden="1" customHeight="1">
      <c r="A78" s="50" t="s">
        <v>235</v>
      </c>
      <c r="B78" s="52" t="str">
        <f>(IF((VLOOKUP(Table1[[#This Row],[SKU]],'All Skus'!$A:$AC,2,FALSE))="AKG",(VLOOKUP(Table1[[#This Row],[SKU]],'All Skus'!$A:$AC,3,FALSE)), ""))</f>
        <v>Wired Mics</v>
      </c>
      <c r="C78" s="60" t="str">
        <f>(IF((VLOOKUP(Table1[[#This Row],[SKU]],'All Skus'!$A:$AC,2,FALSE))="AKG",(VLOOKUP(Table1[[#This Row],[SKU]],'All Skus'!$A:$AC,4,FALSE)),""))</f>
        <v>EC82MD beige</v>
      </c>
      <c r="D78" s="60" t="str">
        <f>(IF((VLOOKUP(Table1[[#This Row],[SKU]],'All Skus'!$A:$AC,2,FALSE))="AKG",(VLOOKUP(Table1[[#This Row],[SKU]],'All Skus'!$A:$AC,5,FALSE)),""))</f>
        <v>AT510000</v>
      </c>
      <c r="E78" s="60">
        <f>(IF((VLOOKUP(Table1[[#This Row],[SKU]],'All Skus'!$A:$AC,2,FALSE))="AKG",(VLOOKUP(Table1[[#This Row],[SKU]],'All Skus'!$A:$AC,6,FALSE)),""))</f>
        <v>0</v>
      </c>
      <c r="F78" s="60">
        <f>(IF((VLOOKUP(Table1[[#This Row],[SKU]],'All Skus'!$A:$AC,2,FALSE))="AKG",(VLOOKUP(Table1[[#This Row],[SKU]],'All Skus'!$A:$AC,7,FALSE)),""))</f>
        <v>0</v>
      </c>
      <c r="G78" s="45" t="str">
        <f>(IF((VLOOKUP(Table1[[#This Row],[SKU]],'All Skus'!$A:$AC,2,FALSE))="AKG",(VLOOKUP(Table1[[#This Row],[SKU]],'All Skus'!$A:$AC,8,FALSE)),""))</f>
        <v>Microlite Microphones</v>
      </c>
      <c r="H78" s="45" t="str">
        <f>(IF((VLOOKUP(Table1[[#This Row],[SKU]],'All Skus'!$A:$AC,2,FALSE))="AKG",(VLOOKUP(Table1[[#This Row],[SKU]],'All Skus'!$A:$AC,9,FALSE)),""))</f>
        <v>Microlite Microphones</v>
      </c>
      <c r="I78" s="141">
        <f>(IF((VLOOKUP(Table1[[#This Row],[SKU]],'All Skus'!$A:$AC,2,FALSE))="AKG",(VLOOKUP(Table1[[#This Row],[SKU]],'All Skus'!$A:$AC,10,FALSE)),""))</f>
        <v>503.32</v>
      </c>
      <c r="J78" s="141">
        <f>(IF((VLOOKUP(Table1[[#This Row],[SKU]],'All Skus'!$A:$AC,2,FALSE))="AKG",(VLOOKUP(Table1[[#This Row],[SKU]],'All Skus'!$A:$AC,11,FALSE)),""))</f>
        <v>0</v>
      </c>
      <c r="K78" s="125">
        <f>(IF((VLOOKUP(Table1[[#This Row],[SKU]],'All Skus'!$A:$AC,2,FALSE))="AKG",(VLOOKUP(Table1[[#This Row],[SKU]],'All Skus'!$A:$AC,15,FALSE)),""))</f>
        <v>0</v>
      </c>
      <c r="L78" s="124">
        <f>(IF((VLOOKUP(Table1[[#This Row],[SKU]],'All Skus'!$A:$AC,2,FALSE))="AKG",(VLOOKUP(Table1[[#This Row],[SKU]],'All Skus'!$A:$AC,16,FALSE)),""))</f>
        <v>885038033899</v>
      </c>
      <c r="M78" s="124">
        <f>(IF((VLOOKUP(Table1[[#This Row],[SKU]],'All Skus'!$A:$AC,2,FALSE))="AKG",(VLOOKUP(Table1[[#This Row],[SKU]],'All Skus'!$A:$AC,17,FALSE)),""))</f>
        <v>0</v>
      </c>
      <c r="N78" s="64">
        <f>(IF((VLOOKUP(Table1[[#This Row],[SKU]],'All Skus'!$A:$AC,2,FALSE))="AKG",(VLOOKUP(Table1[[#This Row],[SKU]],'All Skus'!$A:$AC,18,FALSE)),""))</f>
        <v>0</v>
      </c>
      <c r="O78" s="64">
        <f>(IF((VLOOKUP(Table1[[#This Row],[SKU]],'All Skus'!$A:$AC,2,FALSE))="AKG",(VLOOKUP(Table1[[#This Row],[SKU]],'All Skus'!$A:$AC,19,FALSE)),""))</f>
        <v>0</v>
      </c>
      <c r="P78" s="64">
        <f>(IF((VLOOKUP(Table1[[#This Row],[SKU]],'All Skus'!$A:$AC,2,FALSE))="AKG",(VLOOKUP(Table1[[#This Row],[SKU]],'All Skus'!$A:$AC,20,FALSE)),""))</f>
        <v>0</v>
      </c>
      <c r="Q78" s="64">
        <f>(IF((VLOOKUP(Table1[[#This Row],[SKU]],'All Skus'!$A:$AC,2,FALSE))="AKG",(VLOOKUP(Table1[[#This Row],[SKU]],'All Skus'!$A:$AC,21,FALSE)),""))</f>
        <v>0</v>
      </c>
      <c r="R78" s="64" t="str">
        <f>(IF((VLOOKUP(Table1[[#This Row],[SKU]],'All Skus'!$A:$AC,2,FALSE))="AKG",(VLOOKUP(Table1[[#This Row],[SKU]],'All Skus'!$A:$AC,22,FALSE)),""))</f>
        <v>HU</v>
      </c>
      <c r="S78" s="64">
        <f>(IF((VLOOKUP(Table1[[#This Row],[SKU]],'All Skus'!$A:$AC,2,FALSE))="AKG",(VLOOKUP(Table1[[#This Row],[SKU]],'All Skus'!$A:$AC,23,FALSE)),""))</f>
        <v>0</v>
      </c>
      <c r="T78" s="210" t="str">
        <f>HYPERLINK((IF((VLOOKUP(Table1[[#This Row],[SKU]],'All Skus'!$A:$AC,2,FALSE))="AKG",(VLOOKUP(Table1[[#This Row],[SKU]],'All Skus'!$A:$AC,24,FALSE)),"")))</f>
        <v>https://www.akg.com/Microphones/Headset%20Microphones/3242H00030.html</v>
      </c>
      <c r="U78" s="151">
        <v>76</v>
      </c>
    </row>
    <row r="79" spans="1:21" ht="15" hidden="1" customHeight="1">
      <c r="A79" s="50" t="s">
        <v>236</v>
      </c>
      <c r="B79" s="52" t="str">
        <f>(IF((VLOOKUP(Table1[[#This Row],[SKU]],'All Skus'!$A:$AC,2,FALSE))="AKG",(VLOOKUP(Table1[[#This Row],[SKU]],'All Skus'!$A:$AC,3,FALSE)), ""))</f>
        <v>Wired Mics</v>
      </c>
      <c r="C79" s="60" t="str">
        <f>(IF((VLOOKUP(Table1[[#This Row],[SKU]],'All Skus'!$A:$AC,2,FALSE))="AKG",(VLOOKUP(Table1[[#This Row],[SKU]],'All Skus'!$A:$AC,4,FALSE)),""))</f>
        <v>EC82MD cocoa</v>
      </c>
      <c r="D79" s="60" t="str">
        <f>(IF((VLOOKUP(Table1[[#This Row],[SKU]],'All Skus'!$A:$AC,2,FALSE))="AKG",(VLOOKUP(Table1[[#This Row],[SKU]],'All Skus'!$A:$AC,5,FALSE)),""))</f>
        <v>AT510000</v>
      </c>
      <c r="E79" s="60">
        <f>(IF((VLOOKUP(Table1[[#This Row],[SKU]],'All Skus'!$A:$AC,2,FALSE))="AKG",(VLOOKUP(Table1[[#This Row],[SKU]],'All Skus'!$A:$AC,6,FALSE)),""))</f>
        <v>0</v>
      </c>
      <c r="F79" s="60">
        <f>(IF((VLOOKUP(Table1[[#This Row],[SKU]],'All Skus'!$A:$AC,2,FALSE))="AKG",(VLOOKUP(Table1[[#This Row],[SKU]],'All Skus'!$A:$AC,7,FALSE)),""))</f>
        <v>0</v>
      </c>
      <c r="G79" s="45" t="str">
        <f>(IF((VLOOKUP(Table1[[#This Row],[SKU]],'All Skus'!$A:$AC,2,FALSE))="AKG",(VLOOKUP(Table1[[#This Row],[SKU]],'All Skus'!$A:$AC,8,FALSE)),""))</f>
        <v>Microlite Microphones</v>
      </c>
      <c r="H79" s="45" t="str">
        <f>(IF((VLOOKUP(Table1[[#This Row],[SKU]],'All Skus'!$A:$AC,2,FALSE))="AKG",(VLOOKUP(Table1[[#This Row],[SKU]],'All Skus'!$A:$AC,9,FALSE)),""))</f>
        <v>Microlite Microphones</v>
      </c>
      <c r="I79" s="141">
        <f>(IF((VLOOKUP(Table1[[#This Row],[SKU]],'All Skus'!$A:$AC,2,FALSE))="AKG",(VLOOKUP(Table1[[#This Row],[SKU]],'All Skus'!$A:$AC,10,FALSE)),""))</f>
        <v>503.32</v>
      </c>
      <c r="J79" s="141">
        <f>(IF((VLOOKUP(Table1[[#This Row],[SKU]],'All Skus'!$A:$AC,2,FALSE))="AKG",(VLOOKUP(Table1[[#This Row],[SKU]],'All Skus'!$A:$AC,11,FALSE)),""))</f>
        <v>0</v>
      </c>
      <c r="K79" s="125">
        <f>(IF((VLOOKUP(Table1[[#This Row],[SKU]],'All Skus'!$A:$AC,2,FALSE))="AKG",(VLOOKUP(Table1[[#This Row],[SKU]],'All Skus'!$A:$AC,15,FALSE)),""))</f>
        <v>0</v>
      </c>
      <c r="L79" s="124">
        <f>(IF((VLOOKUP(Table1[[#This Row],[SKU]],'All Skus'!$A:$AC,2,FALSE))="AKG",(VLOOKUP(Table1[[#This Row],[SKU]],'All Skus'!$A:$AC,16,FALSE)),""))</f>
        <v>885038033905</v>
      </c>
      <c r="M79" s="124">
        <f>(IF((VLOOKUP(Table1[[#This Row],[SKU]],'All Skus'!$A:$AC,2,FALSE))="AKG",(VLOOKUP(Table1[[#This Row],[SKU]],'All Skus'!$A:$AC,17,FALSE)),""))</f>
        <v>0</v>
      </c>
      <c r="N79" s="64">
        <f>(IF((VLOOKUP(Table1[[#This Row],[SKU]],'All Skus'!$A:$AC,2,FALSE))="AKG",(VLOOKUP(Table1[[#This Row],[SKU]],'All Skus'!$A:$AC,18,FALSE)),""))</f>
        <v>0</v>
      </c>
      <c r="O79" s="64">
        <f>(IF((VLOOKUP(Table1[[#This Row],[SKU]],'All Skus'!$A:$AC,2,FALSE))="AKG",(VLOOKUP(Table1[[#This Row],[SKU]],'All Skus'!$A:$AC,19,FALSE)),""))</f>
        <v>0</v>
      </c>
      <c r="P79" s="64">
        <f>(IF((VLOOKUP(Table1[[#This Row],[SKU]],'All Skus'!$A:$AC,2,FALSE))="AKG",(VLOOKUP(Table1[[#This Row],[SKU]],'All Skus'!$A:$AC,20,FALSE)),""))</f>
        <v>0</v>
      </c>
      <c r="Q79" s="64">
        <f>(IF((VLOOKUP(Table1[[#This Row],[SKU]],'All Skus'!$A:$AC,2,FALSE))="AKG",(VLOOKUP(Table1[[#This Row],[SKU]],'All Skus'!$A:$AC,21,FALSE)),""))</f>
        <v>0</v>
      </c>
      <c r="R79" s="64" t="str">
        <f>(IF((VLOOKUP(Table1[[#This Row],[SKU]],'All Skus'!$A:$AC,2,FALSE))="AKG",(VLOOKUP(Table1[[#This Row],[SKU]],'All Skus'!$A:$AC,22,FALSE)),""))</f>
        <v>HU</v>
      </c>
      <c r="S79" s="64">
        <f>(IF((VLOOKUP(Table1[[#This Row],[SKU]],'All Skus'!$A:$AC,2,FALSE))="AKG",(VLOOKUP(Table1[[#This Row],[SKU]],'All Skus'!$A:$AC,23,FALSE)),""))</f>
        <v>0</v>
      </c>
      <c r="T79" s="210" t="str">
        <f>HYPERLINK((IF((VLOOKUP(Table1[[#This Row],[SKU]],'All Skus'!$A:$AC,2,FALSE))="AKG",(VLOOKUP(Table1[[#This Row],[SKU]],'All Skus'!$A:$AC,24,FALSE)),"")))</f>
        <v>https://www.akg.com/Microphones/Headset%20Microphones/3242H00040.html</v>
      </c>
      <c r="U79" s="151">
        <v>77</v>
      </c>
    </row>
    <row r="80" spans="1:21" ht="15" hidden="1" customHeight="1">
      <c r="A80" s="126" t="s">
        <v>237</v>
      </c>
      <c r="B80" s="52">
        <f>(IF((VLOOKUP(Table1[[#This Row],[SKU]],'All Skus'!$A:$AC,2,FALSE))="AKG",(VLOOKUP(Table1[[#This Row],[SKU]],'All Skus'!$A:$AC,3,FALSE)), ""))</f>
        <v>0</v>
      </c>
      <c r="C80" s="60">
        <f>(IF((VLOOKUP(Table1[[#This Row],[SKU]],'All Skus'!$A:$AC,2,FALSE))="AKG",(VLOOKUP(Table1[[#This Row],[SKU]],'All Skus'!$A:$AC,4,FALSE)),""))</f>
        <v>0</v>
      </c>
      <c r="D80" s="60">
        <f>(IF((VLOOKUP(Table1[[#This Row],[SKU]],'All Skus'!$A:$AC,2,FALSE))="AKG",(VLOOKUP(Table1[[#This Row],[SKU]],'All Skus'!$A:$AC,5,FALSE)),""))</f>
        <v>0</v>
      </c>
      <c r="E80" s="60">
        <f>(IF((VLOOKUP(Table1[[#This Row],[SKU]],'All Skus'!$A:$AC,2,FALSE))="AKG",(VLOOKUP(Table1[[#This Row],[SKU]],'All Skus'!$A:$AC,6,FALSE)),""))</f>
        <v>0</v>
      </c>
      <c r="F80" s="60">
        <f>(IF((VLOOKUP(Table1[[#This Row],[SKU]],'All Skus'!$A:$AC,2,FALSE))="AKG",(VLOOKUP(Table1[[#This Row],[SKU]],'All Skus'!$A:$AC,7,FALSE)),""))</f>
        <v>0</v>
      </c>
      <c r="G80" s="45">
        <f>(IF((VLOOKUP(Table1[[#This Row],[SKU]],'All Skus'!$A:$AC,2,FALSE))="AKG",(VLOOKUP(Table1[[#This Row],[SKU]],'All Skus'!$A:$AC,8,FALSE)),""))</f>
        <v>0</v>
      </c>
      <c r="H80" s="45">
        <f>(IF((VLOOKUP(Table1[[#This Row],[SKU]],'All Skus'!$A:$AC,2,FALSE))="AKG",(VLOOKUP(Table1[[#This Row],[SKU]],'All Skus'!$A:$AC,9,FALSE)),""))</f>
        <v>0</v>
      </c>
      <c r="I80" s="141">
        <f>(IF((VLOOKUP(Table1[[#This Row],[SKU]],'All Skus'!$A:$AC,2,FALSE))="AKG",(VLOOKUP(Table1[[#This Row],[SKU]],'All Skus'!$A:$AC,10,FALSE)),""))</f>
        <v>0</v>
      </c>
      <c r="J80" s="141">
        <f>(IF((VLOOKUP(Table1[[#This Row],[SKU]],'All Skus'!$A:$AC,2,FALSE))="AKG",(VLOOKUP(Table1[[#This Row],[SKU]],'All Skus'!$A:$AC,11,FALSE)),""))</f>
        <v>0</v>
      </c>
      <c r="K80" s="125">
        <f>(IF((VLOOKUP(Table1[[#This Row],[SKU]],'All Skus'!$A:$AC,2,FALSE))="AKG",(VLOOKUP(Table1[[#This Row],[SKU]],'All Skus'!$A:$AC,15,FALSE)),""))</f>
        <v>0</v>
      </c>
      <c r="L80" s="124">
        <f>(IF((VLOOKUP(Table1[[#This Row],[SKU]],'All Skus'!$A:$AC,2,FALSE))="AKG",(VLOOKUP(Table1[[#This Row],[SKU]],'All Skus'!$A:$AC,16,FALSE)),""))</f>
        <v>0</v>
      </c>
      <c r="M80" s="124">
        <f>(IF((VLOOKUP(Table1[[#This Row],[SKU]],'All Skus'!$A:$AC,2,FALSE))="AKG",(VLOOKUP(Table1[[#This Row],[SKU]],'All Skus'!$A:$AC,17,FALSE)),""))</f>
        <v>0</v>
      </c>
      <c r="N80" s="64">
        <f>(IF((VLOOKUP(Table1[[#This Row],[SKU]],'All Skus'!$A:$AC,2,FALSE))="AKG",(VLOOKUP(Table1[[#This Row],[SKU]],'All Skus'!$A:$AC,18,FALSE)),""))</f>
        <v>0</v>
      </c>
      <c r="O80" s="64">
        <f>(IF((VLOOKUP(Table1[[#This Row],[SKU]],'All Skus'!$A:$AC,2,FALSE))="AKG",(VLOOKUP(Table1[[#This Row],[SKU]],'All Skus'!$A:$AC,19,FALSE)),""))</f>
        <v>0</v>
      </c>
      <c r="P80" s="64">
        <f>(IF((VLOOKUP(Table1[[#This Row],[SKU]],'All Skus'!$A:$AC,2,FALSE))="AKG",(VLOOKUP(Table1[[#This Row],[SKU]],'All Skus'!$A:$AC,20,FALSE)),""))</f>
        <v>0</v>
      </c>
      <c r="Q80" s="64">
        <f>(IF((VLOOKUP(Table1[[#This Row],[SKU]],'All Skus'!$A:$AC,2,FALSE))="AKG",(VLOOKUP(Table1[[#This Row],[SKU]],'All Skus'!$A:$AC,21,FALSE)),""))</f>
        <v>0</v>
      </c>
      <c r="R80" s="64">
        <f>(IF((VLOOKUP(Table1[[#This Row],[SKU]],'All Skus'!$A:$AC,2,FALSE))="AKG",(VLOOKUP(Table1[[#This Row],[SKU]],'All Skus'!$A:$AC,22,FALSE)),""))</f>
        <v>0</v>
      </c>
      <c r="S80" s="64">
        <f>(IF((VLOOKUP(Table1[[#This Row],[SKU]],'All Skus'!$A:$AC,2,FALSE))="AKG",(VLOOKUP(Table1[[#This Row],[SKU]],'All Skus'!$A:$AC,23,FALSE)),""))</f>
        <v>0</v>
      </c>
      <c r="T80" s="210" t="str">
        <f>HYPERLINK((IF((VLOOKUP(Table1[[#This Row],[SKU]],'All Skus'!$A:$AC,2,FALSE))="AKG",(VLOOKUP(Table1[[#This Row],[SKU]],'All Skus'!$A:$AC,24,FALSE)),"")))</f>
        <v/>
      </c>
      <c r="U80" s="151">
        <v>78</v>
      </c>
    </row>
    <row r="81" spans="1:21" ht="15" hidden="1" customHeight="1">
      <c r="A81" s="126" t="s">
        <v>238</v>
      </c>
      <c r="B81" s="52">
        <f>(IF((VLOOKUP(Table1[[#This Row],[SKU]],'All Skus'!$A:$AC,2,FALSE))="AKG",(VLOOKUP(Table1[[#This Row],[SKU]],'All Skus'!$A:$AC,3,FALSE)), ""))</f>
        <v>0</v>
      </c>
      <c r="C81" s="60">
        <f>(IF((VLOOKUP(Table1[[#This Row],[SKU]],'All Skus'!$A:$AC,2,FALSE))="AKG",(VLOOKUP(Table1[[#This Row],[SKU]],'All Skus'!$A:$AC,4,FALSE)),""))</f>
        <v>0</v>
      </c>
      <c r="D81" s="60">
        <f>(IF((VLOOKUP(Table1[[#This Row],[SKU]],'All Skus'!$A:$AC,2,FALSE))="AKG",(VLOOKUP(Table1[[#This Row],[SKU]],'All Skus'!$A:$AC,5,FALSE)),""))</f>
        <v>0</v>
      </c>
      <c r="E81" s="60">
        <f>(IF((VLOOKUP(Table1[[#This Row],[SKU]],'All Skus'!$A:$AC,2,FALSE))="AKG",(VLOOKUP(Table1[[#This Row],[SKU]],'All Skus'!$A:$AC,6,FALSE)),""))</f>
        <v>0</v>
      </c>
      <c r="F81" s="60">
        <f>(IF((VLOOKUP(Table1[[#This Row],[SKU]],'All Skus'!$A:$AC,2,FALSE))="AKG",(VLOOKUP(Table1[[#This Row],[SKU]],'All Skus'!$A:$AC,7,FALSE)),""))</f>
        <v>0</v>
      </c>
      <c r="G81" s="45">
        <f>(IF((VLOOKUP(Table1[[#This Row],[SKU]],'All Skus'!$A:$AC,2,FALSE))="AKG",(VLOOKUP(Table1[[#This Row],[SKU]],'All Skus'!$A:$AC,8,FALSE)),""))</f>
        <v>0</v>
      </c>
      <c r="H81" s="45">
        <f>(IF((VLOOKUP(Table1[[#This Row],[SKU]],'All Skus'!$A:$AC,2,FALSE))="AKG",(VLOOKUP(Table1[[#This Row],[SKU]],'All Skus'!$A:$AC,9,FALSE)),""))</f>
        <v>0</v>
      </c>
      <c r="I81" s="141">
        <f>(IF((VLOOKUP(Table1[[#This Row],[SKU]],'All Skus'!$A:$AC,2,FALSE))="AKG",(VLOOKUP(Table1[[#This Row],[SKU]],'All Skus'!$A:$AC,10,FALSE)),""))</f>
        <v>0</v>
      </c>
      <c r="J81" s="141">
        <f>(IF((VLOOKUP(Table1[[#This Row],[SKU]],'All Skus'!$A:$AC,2,FALSE))="AKG",(VLOOKUP(Table1[[#This Row],[SKU]],'All Skus'!$A:$AC,11,FALSE)),""))</f>
        <v>0</v>
      </c>
      <c r="K81" s="125">
        <f>(IF((VLOOKUP(Table1[[#This Row],[SKU]],'All Skus'!$A:$AC,2,FALSE))="AKG",(VLOOKUP(Table1[[#This Row],[SKU]],'All Skus'!$A:$AC,15,FALSE)),""))</f>
        <v>0</v>
      </c>
      <c r="L81" s="124">
        <f>(IF((VLOOKUP(Table1[[#This Row],[SKU]],'All Skus'!$A:$AC,2,FALSE))="AKG",(VLOOKUP(Table1[[#This Row],[SKU]],'All Skus'!$A:$AC,16,FALSE)),""))</f>
        <v>0</v>
      </c>
      <c r="M81" s="124">
        <f>(IF((VLOOKUP(Table1[[#This Row],[SKU]],'All Skus'!$A:$AC,2,FALSE))="AKG",(VLOOKUP(Table1[[#This Row],[SKU]],'All Skus'!$A:$AC,17,FALSE)),""))</f>
        <v>0</v>
      </c>
      <c r="N81" s="64">
        <f>(IF((VLOOKUP(Table1[[#This Row],[SKU]],'All Skus'!$A:$AC,2,FALSE))="AKG",(VLOOKUP(Table1[[#This Row],[SKU]],'All Skus'!$A:$AC,18,FALSE)),""))</f>
        <v>0</v>
      </c>
      <c r="O81" s="64">
        <f>(IF((VLOOKUP(Table1[[#This Row],[SKU]],'All Skus'!$A:$AC,2,FALSE))="AKG",(VLOOKUP(Table1[[#This Row],[SKU]],'All Skus'!$A:$AC,19,FALSE)),""))</f>
        <v>0</v>
      </c>
      <c r="P81" s="64">
        <f>(IF((VLOOKUP(Table1[[#This Row],[SKU]],'All Skus'!$A:$AC,2,FALSE))="AKG",(VLOOKUP(Table1[[#This Row],[SKU]],'All Skus'!$A:$AC,20,FALSE)),""))</f>
        <v>0</v>
      </c>
      <c r="Q81" s="64">
        <f>(IF((VLOOKUP(Table1[[#This Row],[SKU]],'All Skus'!$A:$AC,2,FALSE))="AKG",(VLOOKUP(Table1[[#This Row],[SKU]],'All Skus'!$A:$AC,21,FALSE)),""))</f>
        <v>0</v>
      </c>
      <c r="R81" s="64">
        <f>(IF((VLOOKUP(Table1[[#This Row],[SKU]],'All Skus'!$A:$AC,2,FALSE))="AKG",(VLOOKUP(Table1[[#This Row],[SKU]],'All Skus'!$A:$AC,22,FALSE)),""))</f>
        <v>0</v>
      </c>
      <c r="S81" s="64">
        <f>(IF((VLOOKUP(Table1[[#This Row],[SKU]],'All Skus'!$A:$AC,2,FALSE))="AKG",(VLOOKUP(Table1[[#This Row],[SKU]],'All Skus'!$A:$AC,23,FALSE)),""))</f>
        <v>0</v>
      </c>
      <c r="T81" s="210" t="str">
        <f>HYPERLINK((IF((VLOOKUP(Table1[[#This Row],[SKU]],'All Skus'!$A:$AC,2,FALSE))="AKG",(VLOOKUP(Table1[[#This Row],[SKU]],'All Skus'!$A:$AC,24,FALSE)),"")))</f>
        <v/>
      </c>
      <c r="U81" s="151">
        <v>79</v>
      </c>
    </row>
    <row r="82" spans="1:21" ht="15" hidden="1" customHeight="1">
      <c r="A82" s="50" t="s">
        <v>239</v>
      </c>
      <c r="B82" s="52" t="str">
        <f>(IF((VLOOKUP(Table1[[#This Row],[SKU]],'All Skus'!$A:$AC,2,FALSE))="AKG",(VLOOKUP(Table1[[#This Row],[SKU]],'All Skus'!$A:$AC,3,FALSE)), ""))</f>
        <v>Installed</v>
      </c>
      <c r="C82" s="60" t="str">
        <f>(IF((VLOOKUP(Table1[[#This Row],[SKU]],'All Skus'!$A:$AC,2,FALSE))="AKG",(VLOOKUP(Table1[[#This Row],[SKU]],'All Skus'!$A:$AC,4,FALSE)),""))</f>
        <v>DGN99</v>
      </c>
      <c r="D82" s="60" t="str">
        <f>(IF((VLOOKUP(Table1[[#This Row],[SKU]],'All Skus'!$A:$AC,2,FALSE))="AKG",(VLOOKUP(Table1[[#This Row],[SKU]],'All Skus'!$A:$AC,5,FALSE)),""))</f>
        <v>AT510000</v>
      </c>
      <c r="E82" s="60">
        <f>(IF((VLOOKUP(Table1[[#This Row],[SKU]],'All Skus'!$A:$AC,2,FALSE))="AKG",(VLOOKUP(Table1[[#This Row],[SKU]],'All Skus'!$A:$AC,6,FALSE)),""))</f>
        <v>0</v>
      </c>
      <c r="F82" s="60">
        <f>(IF((VLOOKUP(Table1[[#This Row],[SKU]],'All Skus'!$A:$AC,2,FALSE))="AKG",(VLOOKUP(Table1[[#This Row],[SKU]],'All Skus'!$A:$AC,7,FALSE)),""))</f>
        <v>0</v>
      </c>
      <c r="G82" s="45" t="str">
        <f>(IF((VLOOKUP(Table1[[#This Row],[SKU]],'All Skus'!$A:$AC,2,FALSE))="AKG",(VLOOKUP(Table1[[#This Row],[SKU]],'All Skus'!$A:$AC,8,FALSE)),""))</f>
        <v>Gooseneck Microphone</v>
      </c>
      <c r="H82" s="45" t="str">
        <f>(IF((VLOOKUP(Table1[[#This Row],[SKU]],'All Skus'!$A:$AC,2,FALSE))="AKG",(VLOOKUP(Table1[[#This Row],[SKU]],'All Skus'!$A:$AC,9,FALSE)),""))</f>
        <v>PA/Paging gooseneck mic with rugged, all-metal body. No phantom power needed. 3m cable</v>
      </c>
      <c r="I82" s="141">
        <f>(IF((VLOOKUP(Table1[[#This Row],[SKU]],'All Skus'!$A:$AC,2,FALSE))="AKG",(VLOOKUP(Table1[[#This Row],[SKU]],'All Skus'!$A:$AC,10,FALSE)),""))</f>
        <v>233.69</v>
      </c>
      <c r="J82" s="141">
        <f>(IF((VLOOKUP(Table1[[#This Row],[SKU]],'All Skus'!$A:$AC,2,FALSE))="AKG",(VLOOKUP(Table1[[#This Row],[SKU]],'All Skus'!$A:$AC,11,FALSE)),""))</f>
        <v>181</v>
      </c>
      <c r="K82" s="125">
        <f>(IF((VLOOKUP(Table1[[#This Row],[SKU]],'All Skus'!$A:$AC,2,FALSE))="AKG",(VLOOKUP(Table1[[#This Row],[SKU]],'All Skus'!$A:$AC,15,FALSE)),""))</f>
        <v>20</v>
      </c>
      <c r="L82" s="124">
        <f>(IF((VLOOKUP(Table1[[#This Row],[SKU]],'All Skus'!$A:$AC,2,FALSE))="AKG",(VLOOKUP(Table1[[#This Row],[SKU]],'All Skus'!$A:$AC,16,FALSE)),""))</f>
        <v>885038028390</v>
      </c>
      <c r="M82" s="124">
        <f>(IF((VLOOKUP(Table1[[#This Row],[SKU]],'All Skus'!$A:$AC,2,FALSE))="AKG",(VLOOKUP(Table1[[#This Row],[SKU]],'All Skus'!$A:$AC,17,FALSE)),""))</f>
        <v>9002761028393</v>
      </c>
      <c r="N82" s="64">
        <f>(IF((VLOOKUP(Table1[[#This Row],[SKU]],'All Skus'!$A:$AC,2,FALSE))="AKG",(VLOOKUP(Table1[[#This Row],[SKU]],'All Skus'!$A:$AC,18,FALSE)),""))</f>
        <v>3</v>
      </c>
      <c r="O82" s="64">
        <f>(IF((VLOOKUP(Table1[[#This Row],[SKU]],'All Skus'!$A:$AC,2,FALSE))="AKG",(VLOOKUP(Table1[[#This Row],[SKU]],'All Skus'!$A:$AC,19,FALSE)),""))</f>
        <v>3</v>
      </c>
      <c r="P82" s="64">
        <f>(IF((VLOOKUP(Table1[[#This Row],[SKU]],'All Skus'!$A:$AC,2,FALSE))="AKG",(VLOOKUP(Table1[[#This Row],[SKU]],'All Skus'!$A:$AC,20,FALSE)),""))</f>
        <v>18</v>
      </c>
      <c r="Q82" s="64">
        <f>(IF((VLOOKUP(Table1[[#This Row],[SKU]],'All Skus'!$A:$AC,2,FALSE))="AKG",(VLOOKUP(Table1[[#This Row],[SKU]],'All Skus'!$A:$AC,21,FALSE)),""))</f>
        <v>2</v>
      </c>
      <c r="R82" s="64" t="str">
        <f>(IF((VLOOKUP(Table1[[#This Row],[SKU]],'All Skus'!$A:$AC,2,FALSE))="AKG",(VLOOKUP(Table1[[#This Row],[SKU]],'All Skus'!$A:$AC,22,FALSE)),""))</f>
        <v>CN</v>
      </c>
      <c r="S82" s="64" t="str">
        <f>(IF((VLOOKUP(Table1[[#This Row],[SKU]],'All Skus'!$A:$AC,2,FALSE))="AKG",(VLOOKUP(Table1[[#This Row],[SKU]],'All Skus'!$A:$AC,23,FALSE)),""))</f>
        <v>Non Compliant</v>
      </c>
      <c r="T82" s="210" t="str">
        <f>HYPERLINK((IF((VLOOKUP(Table1[[#This Row],[SKU]],'All Skus'!$A:$AC,2,FALSE))="AKG",(VLOOKUP(Table1[[#This Row],[SKU]],'All Skus'!$A:$AC,24,FALSE)),"")))</f>
        <v>https://www.akg.com/speech-spoken-word-microphones/6000H51010.html</v>
      </c>
      <c r="U82" s="151">
        <v>80</v>
      </c>
    </row>
    <row r="83" spans="1:21" ht="15" hidden="1" customHeight="1">
      <c r="A83" s="50" t="s">
        <v>240</v>
      </c>
      <c r="B83" s="52" t="str">
        <f>(IF((VLOOKUP(Table1[[#This Row],[SKU]],'All Skus'!$A:$AC,2,FALSE))="AKG",(VLOOKUP(Table1[[#This Row],[SKU]],'All Skus'!$A:$AC,3,FALSE)), ""))</f>
        <v>Installed</v>
      </c>
      <c r="C83" s="60" t="str">
        <f>(IF((VLOOKUP(Table1[[#This Row],[SKU]],'All Skus'!$A:$AC,2,FALSE))="AKG",(VLOOKUP(Table1[[#This Row],[SKU]],'All Skus'!$A:$AC,4,FALSE)),""))</f>
        <v>DGN99 E</v>
      </c>
      <c r="D83" s="60" t="str">
        <f>(IF((VLOOKUP(Table1[[#This Row],[SKU]],'All Skus'!$A:$AC,2,FALSE))="AKG",(VLOOKUP(Table1[[#This Row],[SKU]],'All Skus'!$A:$AC,5,FALSE)),""))</f>
        <v>AT510000</v>
      </c>
      <c r="E83" s="60">
        <f>(IF((VLOOKUP(Table1[[#This Row],[SKU]],'All Skus'!$A:$AC,2,FALSE))="AKG",(VLOOKUP(Table1[[#This Row],[SKU]],'All Skus'!$A:$AC,6,FALSE)),""))</f>
        <v>0</v>
      </c>
      <c r="F83" s="60">
        <f>(IF((VLOOKUP(Table1[[#This Row],[SKU]],'All Skus'!$A:$AC,2,FALSE))="AKG",(VLOOKUP(Table1[[#This Row],[SKU]],'All Skus'!$A:$AC,7,FALSE)),""))</f>
        <v>0</v>
      </c>
      <c r="G83" s="45" t="str">
        <f>(IF((VLOOKUP(Table1[[#This Row],[SKU]],'All Skus'!$A:$AC,2,FALSE))="AKG",(VLOOKUP(Table1[[#This Row],[SKU]],'All Skus'!$A:$AC,8,FALSE)),""))</f>
        <v>Gooseneck Microphone</v>
      </c>
      <c r="H83" s="45" t="str">
        <f>(IF((VLOOKUP(Table1[[#This Row],[SKU]],'All Skus'!$A:$AC,2,FALSE))="AKG",(VLOOKUP(Table1[[#This Row],[SKU]],'All Skus'!$A:$AC,9,FALSE)),""))</f>
        <v>PA/Paging gooseneck mic with rugged, all-metal body, XLR connector. No phantom power needed.</v>
      </c>
      <c r="I83" s="141">
        <f>(IF((VLOOKUP(Table1[[#This Row],[SKU]],'All Skus'!$A:$AC,2,FALSE))="AKG",(VLOOKUP(Table1[[#This Row],[SKU]],'All Skus'!$A:$AC,10,FALSE)),""))</f>
        <v>233.69</v>
      </c>
      <c r="J83" s="141">
        <f>(IF((VLOOKUP(Table1[[#This Row],[SKU]],'All Skus'!$A:$AC,2,FALSE))="AKG",(VLOOKUP(Table1[[#This Row],[SKU]],'All Skus'!$A:$AC,11,FALSE)),""))</f>
        <v>181</v>
      </c>
      <c r="K83" s="125">
        <f>(IF((VLOOKUP(Table1[[#This Row],[SKU]],'All Skus'!$A:$AC,2,FALSE))="AKG",(VLOOKUP(Table1[[#This Row],[SKU]],'All Skus'!$A:$AC,15,FALSE)),""))</f>
        <v>0</v>
      </c>
      <c r="L83" s="124">
        <f>(IF((VLOOKUP(Table1[[#This Row],[SKU]],'All Skus'!$A:$AC,2,FALSE))="AKG",(VLOOKUP(Table1[[#This Row],[SKU]],'All Skus'!$A:$AC,16,FALSE)),""))</f>
        <v>885038028406</v>
      </c>
      <c r="M83" s="124">
        <f>(IF((VLOOKUP(Table1[[#This Row],[SKU]],'All Skus'!$A:$AC,2,FALSE))="AKG",(VLOOKUP(Table1[[#This Row],[SKU]],'All Skus'!$A:$AC,17,FALSE)),""))</f>
        <v>9002761028409</v>
      </c>
      <c r="N83" s="64">
        <f>(IF((VLOOKUP(Table1[[#This Row],[SKU]],'All Skus'!$A:$AC,2,FALSE))="AKG",(VLOOKUP(Table1[[#This Row],[SKU]],'All Skus'!$A:$AC,18,FALSE)),""))</f>
        <v>5</v>
      </c>
      <c r="O83" s="64">
        <f>(IF((VLOOKUP(Table1[[#This Row],[SKU]],'All Skus'!$A:$AC,2,FALSE))="AKG",(VLOOKUP(Table1[[#This Row],[SKU]],'All Skus'!$A:$AC,19,FALSE)),""))</f>
        <v>22</v>
      </c>
      <c r="P83" s="64">
        <f>(IF((VLOOKUP(Table1[[#This Row],[SKU]],'All Skus'!$A:$AC,2,FALSE))="AKG",(VLOOKUP(Table1[[#This Row],[SKU]],'All Skus'!$A:$AC,20,FALSE)),""))</f>
        <v>11</v>
      </c>
      <c r="Q83" s="64">
        <f>(IF((VLOOKUP(Table1[[#This Row],[SKU]],'All Skus'!$A:$AC,2,FALSE))="AKG",(VLOOKUP(Table1[[#This Row],[SKU]],'All Skus'!$A:$AC,21,FALSE)),""))</f>
        <v>2.8</v>
      </c>
      <c r="R83" s="64" t="str">
        <f>(IF((VLOOKUP(Table1[[#This Row],[SKU]],'All Skus'!$A:$AC,2,FALSE))="AKG",(VLOOKUP(Table1[[#This Row],[SKU]],'All Skus'!$A:$AC,22,FALSE)),""))</f>
        <v>CN</v>
      </c>
      <c r="S83" s="64" t="str">
        <f>(IF((VLOOKUP(Table1[[#This Row],[SKU]],'All Skus'!$A:$AC,2,FALSE))="AKG",(VLOOKUP(Table1[[#This Row],[SKU]],'All Skus'!$A:$AC,23,FALSE)),""))</f>
        <v>Non Compliant</v>
      </c>
      <c r="T83" s="210" t="str">
        <f>HYPERLINK((IF((VLOOKUP(Table1[[#This Row],[SKU]],'All Skus'!$A:$AC,2,FALSE))="AKG",(VLOOKUP(Table1[[#This Row],[SKU]],'All Skus'!$A:$AC,24,FALSE)),"")))</f>
        <v>https://www.akg.com/speech-spoken-word-microphones/6000H51020.html</v>
      </c>
      <c r="U83" s="151">
        <v>81</v>
      </c>
    </row>
    <row r="84" spans="1:21" ht="15" hidden="1" customHeight="1">
      <c r="A84" s="50" t="s">
        <v>241</v>
      </c>
      <c r="B84" s="52" t="str">
        <f>(IF((VLOOKUP(Table1[[#This Row],[SKU]],'All Skus'!$A:$AC,2,FALSE))="AKG",(VLOOKUP(Table1[[#This Row],[SKU]],'All Skus'!$A:$AC,3,FALSE)), ""))</f>
        <v>Installed</v>
      </c>
      <c r="C84" s="60" t="str">
        <f>(IF((VLOOKUP(Table1[[#This Row],[SKU]],'All Skus'!$A:$AC,2,FALSE))="AKG",(VLOOKUP(Table1[[#This Row],[SKU]],'All Skus'!$A:$AC,4,FALSE)),""))</f>
        <v>DST99 S</v>
      </c>
      <c r="D84" s="60" t="str">
        <f>(IF((VLOOKUP(Table1[[#This Row],[SKU]],'All Skus'!$A:$AC,2,FALSE))="AKG",(VLOOKUP(Table1[[#This Row],[SKU]],'All Skus'!$A:$AC,5,FALSE)),""))</f>
        <v>AT510000</v>
      </c>
      <c r="E84" s="60">
        <f>(IF((VLOOKUP(Table1[[#This Row],[SKU]],'All Skus'!$A:$AC,2,FALSE))="AKG",(VLOOKUP(Table1[[#This Row],[SKU]],'All Skus'!$A:$AC,6,FALSE)),""))</f>
        <v>0</v>
      </c>
      <c r="F84" s="60">
        <f>(IF((VLOOKUP(Table1[[#This Row],[SKU]],'All Skus'!$A:$AC,2,FALSE))="AKG",(VLOOKUP(Table1[[#This Row],[SKU]],'All Skus'!$A:$AC,7,FALSE)),""))</f>
        <v>0</v>
      </c>
      <c r="G84" s="45" t="str">
        <f>(IF((VLOOKUP(Table1[[#This Row],[SKU]],'All Skus'!$A:$AC,2,FALSE))="AKG",(VLOOKUP(Table1[[#This Row],[SKU]],'All Skus'!$A:$AC,8,FALSE)),""))</f>
        <v>Dynamic Microphone</v>
      </c>
      <c r="H84" s="45" t="str">
        <f>(IF((VLOOKUP(Table1[[#This Row],[SKU]],'All Skus'!$A:$AC,2,FALSE))="AKG",(VLOOKUP(Table1[[#This Row],[SKU]],'All Skus'!$A:$AC,9,FALSE)),""))</f>
        <v>Table stand mic with on/off switch, coiled  cable with 3-pin XLR connector. No phantom power needed.</v>
      </c>
      <c r="I84" s="141">
        <f>(IF((VLOOKUP(Table1[[#This Row],[SKU]],'All Skus'!$A:$AC,2,FALSE))="AKG",(VLOOKUP(Table1[[#This Row],[SKU]],'All Skus'!$A:$AC,10,FALSE)),""))</f>
        <v>233.69</v>
      </c>
      <c r="J84" s="141">
        <f>(IF((VLOOKUP(Table1[[#This Row],[SKU]],'All Skus'!$A:$AC,2,FALSE))="AKG",(VLOOKUP(Table1[[#This Row],[SKU]],'All Skus'!$A:$AC,11,FALSE)),""))</f>
        <v>181</v>
      </c>
      <c r="K84" s="125">
        <f>(IF((VLOOKUP(Table1[[#This Row],[SKU]],'All Skus'!$A:$AC,2,FALSE))="AKG",(VLOOKUP(Table1[[#This Row],[SKU]],'All Skus'!$A:$AC,15,FALSE)),""))</f>
        <v>10</v>
      </c>
      <c r="L84" s="124">
        <f>(IF((VLOOKUP(Table1[[#This Row],[SKU]],'All Skus'!$A:$AC,2,FALSE))="AKG",(VLOOKUP(Table1[[#This Row],[SKU]],'All Skus'!$A:$AC,16,FALSE)),""))</f>
        <v>885038028413</v>
      </c>
      <c r="M84" s="124">
        <f>(IF((VLOOKUP(Table1[[#This Row],[SKU]],'All Skus'!$A:$AC,2,FALSE))="AKG",(VLOOKUP(Table1[[#This Row],[SKU]],'All Skus'!$A:$AC,17,FALSE)),""))</f>
        <v>9002761028416</v>
      </c>
      <c r="N84" s="64">
        <f>(IF((VLOOKUP(Table1[[#This Row],[SKU]],'All Skus'!$A:$AC,2,FALSE))="AKG",(VLOOKUP(Table1[[#This Row],[SKU]],'All Skus'!$A:$AC,18,FALSE)),""))</f>
        <v>6</v>
      </c>
      <c r="O84" s="64">
        <f>(IF((VLOOKUP(Table1[[#This Row],[SKU]],'All Skus'!$A:$AC,2,FALSE))="AKG",(VLOOKUP(Table1[[#This Row],[SKU]],'All Skus'!$A:$AC,19,FALSE)),""))</f>
        <v>8</v>
      </c>
      <c r="P84" s="64">
        <f>(IF((VLOOKUP(Table1[[#This Row],[SKU]],'All Skus'!$A:$AC,2,FALSE))="AKG",(VLOOKUP(Table1[[#This Row],[SKU]],'All Skus'!$A:$AC,20,FALSE)),""))</f>
        <v>11</v>
      </c>
      <c r="Q84" s="64">
        <f>(IF((VLOOKUP(Table1[[#This Row],[SKU]],'All Skus'!$A:$AC,2,FALSE))="AKG",(VLOOKUP(Table1[[#This Row],[SKU]],'All Skus'!$A:$AC,21,FALSE)),""))</f>
        <v>5.2</v>
      </c>
      <c r="R84" s="64" t="str">
        <f>(IF((VLOOKUP(Table1[[#This Row],[SKU]],'All Skus'!$A:$AC,2,FALSE))="AKG",(VLOOKUP(Table1[[#This Row],[SKU]],'All Skus'!$A:$AC,22,FALSE)),""))</f>
        <v>CN</v>
      </c>
      <c r="S84" s="64" t="str">
        <f>(IF((VLOOKUP(Table1[[#This Row],[SKU]],'All Skus'!$A:$AC,2,FALSE))="AKG",(VLOOKUP(Table1[[#This Row],[SKU]],'All Skus'!$A:$AC,23,FALSE)),""))</f>
        <v>Non Compliant</v>
      </c>
      <c r="T84" s="210" t="str">
        <f>HYPERLINK((IF((VLOOKUP(Table1[[#This Row],[SKU]],'All Skus'!$A:$AC,2,FALSE))="AKG",(VLOOKUP(Table1[[#This Row],[SKU]],'All Skus'!$A:$AC,24,FALSE)),"")))</f>
        <v>https://www.akg.com/speech-spoken-word-microphones/6000H51030.html</v>
      </c>
      <c r="U84" s="151">
        <v>82</v>
      </c>
    </row>
    <row r="85" spans="1:21" ht="15" hidden="1" customHeight="1">
      <c r="A85" s="50" t="s">
        <v>242</v>
      </c>
      <c r="B85" s="52" t="str">
        <f>(IF((VLOOKUP(Table1[[#This Row],[SKU]],'All Skus'!$A:$AC,2,FALSE))="AKG",(VLOOKUP(Table1[[#This Row],[SKU]],'All Skus'!$A:$AC,3,FALSE)), ""))</f>
        <v>Installed</v>
      </c>
      <c r="C85" s="60" t="str">
        <f>(IF((VLOOKUP(Table1[[#This Row],[SKU]],'All Skus'!$A:$AC,2,FALSE))="AKG",(VLOOKUP(Table1[[#This Row],[SKU]],'All Skus'!$A:$AC,4,FALSE)),""))</f>
        <v>GN15 incl. DPA, screw set</v>
      </c>
      <c r="D85" s="60" t="str">
        <f>(IF((VLOOKUP(Table1[[#This Row],[SKU]],'All Skus'!$A:$AC,2,FALSE))="AKG",(VLOOKUP(Table1[[#This Row],[SKU]],'All Skus'!$A:$AC,5,FALSE)),""))</f>
        <v>AT510000</v>
      </c>
      <c r="E85" s="60">
        <f>(IF((VLOOKUP(Table1[[#This Row],[SKU]],'All Skus'!$A:$AC,2,FALSE))="AKG",(VLOOKUP(Table1[[#This Row],[SKU]],'All Skus'!$A:$AC,6,FALSE)),""))</f>
        <v>0</v>
      </c>
      <c r="F85" s="60">
        <f>(IF((VLOOKUP(Table1[[#This Row],[SKU]],'All Skus'!$A:$AC,2,FALSE))="AKG",(VLOOKUP(Table1[[#This Row],[SKU]],'All Skus'!$A:$AC,7,FALSE)),""))</f>
        <v>0</v>
      </c>
      <c r="G85" s="45" t="str">
        <f>(IF((VLOOKUP(Table1[[#This Row],[SKU]],'All Skus'!$A:$AC,2,FALSE))="AKG",(VLOOKUP(Table1[[#This Row],[SKU]],'All Skus'!$A:$AC,8,FALSE)),""))</f>
        <v>Gooseneck Microphone</v>
      </c>
      <c r="H85" s="45" t="str">
        <f>(IF((VLOOKUP(Table1[[#This Row],[SKU]],'All Skus'!$A:$AC,2,FALSE))="AKG",(VLOOKUP(Table1[[#This Row],[SKU]],'All Skus'!$A:$AC,9,FALSE)),""))</f>
        <v>Rugged 15 cm gooseneck for permanent screw-on installation, phantom powering module with XLR connector included</v>
      </c>
      <c r="I85" s="141">
        <f>(IF((VLOOKUP(Table1[[#This Row],[SKU]],'All Skus'!$A:$AC,2,FALSE))="AKG",(VLOOKUP(Table1[[#This Row],[SKU]],'All Skus'!$A:$AC,10,FALSE)),""))</f>
        <v>283.14999999999998</v>
      </c>
      <c r="J85" s="141">
        <f>(IF((VLOOKUP(Table1[[#This Row],[SKU]],'All Skus'!$A:$AC,2,FALSE))="AKG",(VLOOKUP(Table1[[#This Row],[SKU]],'All Skus'!$A:$AC,11,FALSE)),""))</f>
        <v>222</v>
      </c>
      <c r="K85" s="125">
        <f>(IF((VLOOKUP(Table1[[#This Row],[SKU]],'All Skus'!$A:$AC,2,FALSE))="AKG",(VLOOKUP(Table1[[#This Row],[SKU]],'All Skus'!$A:$AC,15,FALSE)),""))</f>
        <v>40</v>
      </c>
      <c r="L85" s="124">
        <f>(IF((VLOOKUP(Table1[[#This Row],[SKU]],'All Skus'!$A:$AC,2,FALSE))="AKG",(VLOOKUP(Table1[[#This Row],[SKU]],'All Skus'!$A:$AC,16,FALSE)),""))</f>
        <v>885038003069</v>
      </c>
      <c r="M85" s="124">
        <f>(IF((VLOOKUP(Table1[[#This Row],[SKU]],'All Skus'!$A:$AC,2,FALSE))="AKG",(VLOOKUP(Table1[[#This Row],[SKU]],'All Skus'!$A:$AC,17,FALSE)),""))</f>
        <v>9002761003062</v>
      </c>
      <c r="N85" s="64">
        <f>(IF((VLOOKUP(Table1[[#This Row],[SKU]],'All Skus'!$A:$AC,2,FALSE))="AKG",(VLOOKUP(Table1[[#This Row],[SKU]],'All Skus'!$A:$AC,18,FALSE)),""))</f>
        <v>3</v>
      </c>
      <c r="O85" s="64">
        <f>(IF((VLOOKUP(Table1[[#This Row],[SKU]],'All Skus'!$A:$AC,2,FALSE))="AKG",(VLOOKUP(Table1[[#This Row],[SKU]],'All Skus'!$A:$AC,19,FALSE)),""))</f>
        <v>11</v>
      </c>
      <c r="P85" s="64">
        <f>(IF((VLOOKUP(Table1[[#This Row],[SKU]],'All Skus'!$A:$AC,2,FALSE))="AKG",(VLOOKUP(Table1[[#This Row],[SKU]],'All Skus'!$A:$AC,20,FALSE)),""))</f>
        <v>5</v>
      </c>
      <c r="Q85" s="64">
        <f>(IF((VLOOKUP(Table1[[#This Row],[SKU]],'All Skus'!$A:$AC,2,FALSE))="AKG",(VLOOKUP(Table1[[#This Row],[SKU]],'All Skus'!$A:$AC,21,FALSE)),""))</f>
        <v>3.2</v>
      </c>
      <c r="R85" s="64" t="str">
        <f>(IF((VLOOKUP(Table1[[#This Row],[SKU]],'All Skus'!$A:$AC,2,FALSE))="AKG",(VLOOKUP(Table1[[#This Row],[SKU]],'All Skus'!$A:$AC,22,FALSE)),""))</f>
        <v>TW</v>
      </c>
      <c r="S85" s="64" t="str">
        <f>(IF((VLOOKUP(Table1[[#This Row],[SKU]],'All Skus'!$A:$AC,2,FALSE))="AKG",(VLOOKUP(Table1[[#This Row],[SKU]],'All Skus'!$A:$AC,23,FALSE)),""))</f>
        <v>Compliant</v>
      </c>
      <c r="T85" s="210" t="str">
        <f>HYPERLINK((IF((VLOOKUP(Table1[[#This Row],[SKU]],'All Skus'!$A:$AC,2,FALSE))="AKG",(VLOOKUP(Table1[[#This Row],[SKU]],'All Skus'!$A:$AC,24,FALSE)),"")))</f>
        <v>https://www.akg.com/modular-microphones-components/2765H00010.html</v>
      </c>
      <c r="U85" s="151">
        <v>83</v>
      </c>
    </row>
    <row r="86" spans="1:21" ht="15" hidden="1" customHeight="1">
      <c r="A86" s="50" t="s">
        <v>243</v>
      </c>
      <c r="B86" s="52" t="str">
        <f>(IF((VLOOKUP(Table1[[#This Row],[SKU]],'All Skus'!$A:$AC,2,FALSE))="AKG",(VLOOKUP(Table1[[#This Row],[SKU]],'All Skus'!$A:$AC,3,FALSE)), ""))</f>
        <v>Installed</v>
      </c>
      <c r="C86" s="60" t="str">
        <f>(IF((VLOOKUP(Table1[[#This Row],[SKU]],'All Skus'!$A:$AC,2,FALSE))="AKG",(VLOOKUP(Table1[[#This Row],[SKU]],'All Skus'!$A:$AC,4,FALSE)),""))</f>
        <v>GN15 ESP incl. windscreen</v>
      </c>
      <c r="D86" s="60" t="str">
        <f>(IF((VLOOKUP(Table1[[#This Row],[SKU]],'All Skus'!$A:$AC,2,FALSE))="AKG",(VLOOKUP(Table1[[#This Row],[SKU]],'All Skus'!$A:$AC,5,FALSE)),""))</f>
        <v>AT510000</v>
      </c>
      <c r="E86" s="60">
        <f>(IF((VLOOKUP(Table1[[#This Row],[SKU]],'All Skus'!$A:$AC,2,FALSE))="AKG",(VLOOKUP(Table1[[#This Row],[SKU]],'All Skus'!$A:$AC,6,FALSE)),""))</f>
        <v>0</v>
      </c>
      <c r="F86" s="60">
        <f>(IF((VLOOKUP(Table1[[#This Row],[SKU]],'All Skus'!$A:$AC,2,FALSE))="AKG",(VLOOKUP(Table1[[#This Row],[SKU]],'All Skus'!$A:$AC,7,FALSE)),""))</f>
        <v>0</v>
      </c>
      <c r="G86" s="45" t="str">
        <f>(IF((VLOOKUP(Table1[[#This Row],[SKU]],'All Skus'!$A:$AC,2,FALSE))="AKG",(VLOOKUP(Table1[[#This Row],[SKU]],'All Skus'!$A:$AC,8,FALSE)),""))</f>
        <v>Gooseneck Microphone</v>
      </c>
      <c r="H86" s="45" t="str">
        <f>(IF((VLOOKUP(Table1[[#This Row],[SKU]],'All Skus'!$A:$AC,2,FALSE))="AKG",(VLOOKUP(Table1[[#This Row],[SKU]],'All Skus'!$A:$AC,9,FALSE)),""))</f>
        <v>Rugged 15 cm gooseneck module with programmable mute switch (on/off, push-to-talk, push-to-mute), high RFI immunity, LED ring, XLR connector</v>
      </c>
      <c r="I86" s="141">
        <f>(IF((VLOOKUP(Table1[[#This Row],[SKU]],'All Skus'!$A:$AC,2,FALSE))="AKG",(VLOOKUP(Table1[[#This Row],[SKU]],'All Skus'!$A:$AC,10,FALSE)),""))</f>
        <v>394.44</v>
      </c>
      <c r="J86" s="141">
        <f>(IF((VLOOKUP(Table1[[#This Row],[SKU]],'All Skus'!$A:$AC,2,FALSE))="AKG",(VLOOKUP(Table1[[#This Row],[SKU]],'All Skus'!$A:$AC,11,FALSE)),""))</f>
        <v>308</v>
      </c>
      <c r="K86" s="125">
        <f>(IF((VLOOKUP(Table1[[#This Row],[SKU]],'All Skus'!$A:$AC,2,FALSE))="AKG",(VLOOKUP(Table1[[#This Row],[SKU]],'All Skus'!$A:$AC,15,FALSE)),""))</f>
        <v>40</v>
      </c>
      <c r="L86" s="124">
        <f>(IF((VLOOKUP(Table1[[#This Row],[SKU]],'All Skus'!$A:$AC,2,FALSE))="AKG",(VLOOKUP(Table1[[#This Row],[SKU]],'All Skus'!$A:$AC,16,FALSE)),""))</f>
        <v>885038016373</v>
      </c>
      <c r="M86" s="124">
        <f>(IF((VLOOKUP(Table1[[#This Row],[SKU]],'All Skus'!$A:$AC,2,FALSE))="AKG",(VLOOKUP(Table1[[#This Row],[SKU]],'All Skus'!$A:$AC,17,FALSE)),""))</f>
        <v>9002761016376</v>
      </c>
      <c r="N86" s="64">
        <f>(IF((VLOOKUP(Table1[[#This Row],[SKU]],'All Skus'!$A:$AC,2,FALSE))="AKG",(VLOOKUP(Table1[[#This Row],[SKU]],'All Skus'!$A:$AC,18,FALSE)),""))</f>
        <v>4</v>
      </c>
      <c r="O86" s="64">
        <f>(IF((VLOOKUP(Table1[[#This Row],[SKU]],'All Skus'!$A:$AC,2,FALSE))="AKG",(VLOOKUP(Table1[[#This Row],[SKU]],'All Skus'!$A:$AC,19,FALSE)),""))</f>
        <v>6</v>
      </c>
      <c r="P86" s="64">
        <f>(IF((VLOOKUP(Table1[[#This Row],[SKU]],'All Skus'!$A:$AC,2,FALSE))="AKG",(VLOOKUP(Table1[[#This Row],[SKU]],'All Skus'!$A:$AC,20,FALSE)),""))</f>
        <v>12</v>
      </c>
      <c r="Q86" s="64">
        <f>(IF((VLOOKUP(Table1[[#This Row],[SKU]],'All Skus'!$A:$AC,2,FALSE))="AKG",(VLOOKUP(Table1[[#This Row],[SKU]],'All Skus'!$A:$AC,21,FALSE)),""))</f>
        <v>3.2</v>
      </c>
      <c r="R86" s="64" t="str">
        <f>(IF((VLOOKUP(Table1[[#This Row],[SKU]],'All Skus'!$A:$AC,2,FALSE))="AKG",(VLOOKUP(Table1[[#This Row],[SKU]],'All Skus'!$A:$AC,22,FALSE)),""))</f>
        <v>TW</v>
      </c>
      <c r="S86" s="64" t="str">
        <f>(IF((VLOOKUP(Table1[[#This Row],[SKU]],'All Skus'!$A:$AC,2,FALSE))="AKG",(VLOOKUP(Table1[[#This Row],[SKU]],'All Skus'!$A:$AC,23,FALSE)),""))</f>
        <v>Compliant</v>
      </c>
      <c r="T86" s="210" t="str">
        <f>HYPERLINK((IF((VLOOKUP(Table1[[#This Row],[SKU]],'All Skus'!$A:$AC,2,FALSE))="AKG",(VLOOKUP(Table1[[#This Row],[SKU]],'All Skus'!$A:$AC,24,FALSE)),"")))</f>
        <v>https://www.akg.com/modular-microphones-components/2765H00450.html</v>
      </c>
      <c r="U86" s="151">
        <v>84</v>
      </c>
    </row>
    <row r="87" spans="1:21" ht="15" hidden="1" customHeight="1">
      <c r="A87" s="50" t="s">
        <v>244</v>
      </c>
      <c r="B87" s="52" t="str">
        <f>(IF((VLOOKUP(Table1[[#This Row],[SKU]],'All Skus'!$A:$AC,2,FALSE))="AKG",(VLOOKUP(Table1[[#This Row],[SKU]],'All Skus'!$A:$AC,3,FALSE)), ""))</f>
        <v>Installed</v>
      </c>
      <c r="C87" s="60" t="str">
        <f>(IF((VLOOKUP(Table1[[#This Row],[SKU]],'All Skus'!$A:$AC,2,FALSE))="AKG",(VLOOKUP(Table1[[#This Row],[SKU]],'All Skus'!$A:$AC,4,FALSE)),""))</f>
        <v>GN15 E incl. DPA</v>
      </c>
      <c r="D87" s="60" t="str">
        <f>(IF((VLOOKUP(Table1[[#This Row],[SKU]],'All Skus'!$A:$AC,2,FALSE))="AKG",(VLOOKUP(Table1[[#This Row],[SKU]],'All Skus'!$A:$AC,5,FALSE)),""))</f>
        <v>AT510000</v>
      </c>
      <c r="E87" s="60">
        <f>(IF((VLOOKUP(Table1[[#This Row],[SKU]],'All Skus'!$A:$AC,2,FALSE))="AKG",(VLOOKUP(Table1[[#This Row],[SKU]],'All Skus'!$A:$AC,6,FALSE)),""))</f>
        <v>0</v>
      </c>
      <c r="F87" s="60">
        <f>(IF((VLOOKUP(Table1[[#This Row],[SKU]],'All Skus'!$A:$AC,2,FALSE))="AKG",(VLOOKUP(Table1[[#This Row],[SKU]],'All Skus'!$A:$AC,7,FALSE)),""))</f>
        <v>0</v>
      </c>
      <c r="G87" s="45" t="str">
        <f>(IF((VLOOKUP(Table1[[#This Row],[SKU]],'All Skus'!$A:$AC,2,FALSE))="AKG",(VLOOKUP(Table1[[#This Row],[SKU]],'All Skus'!$A:$AC,8,FALSE)),""))</f>
        <v>Gooseneck Microphone</v>
      </c>
      <c r="H87" s="45" t="str">
        <f>(IF((VLOOKUP(Table1[[#This Row],[SKU]],'All Skus'!$A:$AC,2,FALSE))="AKG",(VLOOKUP(Table1[[#This Row],[SKU]],'All Skus'!$A:$AC,9,FALSE)),""))</f>
        <v>Rugged 15 cm gooseneck with integrated XLR connector</v>
      </c>
      <c r="I87" s="141">
        <f>(IF((VLOOKUP(Table1[[#This Row],[SKU]],'All Skus'!$A:$AC,2,FALSE))="AKG",(VLOOKUP(Table1[[#This Row],[SKU]],'All Skus'!$A:$AC,10,FALSE)),""))</f>
        <v>283.14999999999998</v>
      </c>
      <c r="J87" s="141">
        <f>(IF((VLOOKUP(Table1[[#This Row],[SKU]],'All Skus'!$A:$AC,2,FALSE))="AKG",(VLOOKUP(Table1[[#This Row],[SKU]],'All Skus'!$A:$AC,11,FALSE)),""))</f>
        <v>222</v>
      </c>
      <c r="K87" s="125">
        <f>(IF((VLOOKUP(Table1[[#This Row],[SKU]],'All Skus'!$A:$AC,2,FALSE))="AKG",(VLOOKUP(Table1[[#This Row],[SKU]],'All Skus'!$A:$AC,15,FALSE)),""))</f>
        <v>40</v>
      </c>
      <c r="L87" s="124">
        <f>(IF((VLOOKUP(Table1[[#This Row],[SKU]],'All Skus'!$A:$AC,2,FALSE))="AKG",(VLOOKUP(Table1[[#This Row],[SKU]],'All Skus'!$A:$AC,16,FALSE)),""))</f>
        <v>885038003076</v>
      </c>
      <c r="M87" s="124">
        <f>(IF((VLOOKUP(Table1[[#This Row],[SKU]],'All Skus'!$A:$AC,2,FALSE))="AKG",(VLOOKUP(Table1[[#This Row],[SKU]],'All Skus'!$A:$AC,17,FALSE)),""))</f>
        <v>9002761003079</v>
      </c>
      <c r="N87" s="64">
        <f>(IF((VLOOKUP(Table1[[#This Row],[SKU]],'All Skus'!$A:$AC,2,FALSE))="AKG",(VLOOKUP(Table1[[#This Row],[SKU]],'All Skus'!$A:$AC,18,FALSE)),""))</f>
        <v>3.5</v>
      </c>
      <c r="O87" s="64">
        <f>(IF((VLOOKUP(Table1[[#This Row],[SKU]],'All Skus'!$A:$AC,2,FALSE))="AKG",(VLOOKUP(Table1[[#This Row],[SKU]],'All Skus'!$A:$AC,19,FALSE)),""))</f>
        <v>11.5</v>
      </c>
      <c r="P87" s="64">
        <f>(IF((VLOOKUP(Table1[[#This Row],[SKU]],'All Skus'!$A:$AC,2,FALSE))="AKG",(VLOOKUP(Table1[[#This Row],[SKU]],'All Skus'!$A:$AC,20,FALSE)),""))</f>
        <v>5</v>
      </c>
      <c r="Q87" s="64">
        <f>(IF((VLOOKUP(Table1[[#This Row],[SKU]],'All Skus'!$A:$AC,2,FALSE))="AKG",(VLOOKUP(Table1[[#This Row],[SKU]],'All Skus'!$A:$AC,21,FALSE)),""))</f>
        <v>3.6</v>
      </c>
      <c r="R87" s="64" t="str">
        <f>(IF((VLOOKUP(Table1[[#This Row],[SKU]],'All Skus'!$A:$AC,2,FALSE))="AKG",(VLOOKUP(Table1[[#This Row],[SKU]],'All Skus'!$A:$AC,22,FALSE)),""))</f>
        <v>TW</v>
      </c>
      <c r="S87" s="64" t="str">
        <f>(IF((VLOOKUP(Table1[[#This Row],[SKU]],'All Skus'!$A:$AC,2,FALSE))="AKG",(VLOOKUP(Table1[[#This Row],[SKU]],'All Skus'!$A:$AC,23,FALSE)),""))</f>
        <v>Compliant</v>
      </c>
      <c r="T87" s="210" t="str">
        <f>HYPERLINK((IF((VLOOKUP(Table1[[#This Row],[SKU]],'All Skus'!$A:$AC,2,FALSE))="AKG",(VLOOKUP(Table1[[#This Row],[SKU]],'All Skus'!$A:$AC,24,FALSE)),"")))</f>
        <v>https://www.akg.com/modular-microphones-components/2765H00020.html</v>
      </c>
      <c r="U87" s="151">
        <v>85</v>
      </c>
    </row>
    <row r="88" spans="1:21" ht="15" hidden="1" customHeight="1">
      <c r="A88" s="50" t="s">
        <v>245</v>
      </c>
      <c r="B88" s="52" t="str">
        <f>(IF((VLOOKUP(Table1[[#This Row],[SKU]],'All Skus'!$A:$AC,2,FALSE))="AKG",(VLOOKUP(Table1[[#This Row],[SKU]],'All Skus'!$A:$AC,3,FALSE)), ""))</f>
        <v>Installed</v>
      </c>
      <c r="C88" s="60" t="str">
        <f>(IF((VLOOKUP(Table1[[#This Row],[SKU]],'All Skus'!$A:$AC,2,FALSE))="AKG",(VLOOKUP(Table1[[#This Row],[SKU]],'All Skus'!$A:$AC,4,FALSE)),""))</f>
        <v>GN15 M</v>
      </c>
      <c r="D88" s="60" t="str">
        <f>(IF((VLOOKUP(Table1[[#This Row],[SKU]],'All Skus'!$A:$AC,2,FALSE))="AKG",(VLOOKUP(Table1[[#This Row],[SKU]],'All Skus'!$A:$AC,5,FALSE)),""))</f>
        <v>AT510000</v>
      </c>
      <c r="E88" s="60">
        <f>(IF((VLOOKUP(Table1[[#This Row],[SKU]],'All Skus'!$A:$AC,2,FALSE))="AKG",(VLOOKUP(Table1[[#This Row],[SKU]],'All Skus'!$A:$AC,6,FALSE)),""))</f>
        <v>0</v>
      </c>
      <c r="F88" s="60">
        <f>(IF((VLOOKUP(Table1[[#This Row],[SKU]],'All Skus'!$A:$AC,2,FALSE))="AKG",(VLOOKUP(Table1[[#This Row],[SKU]],'All Skus'!$A:$AC,7,FALSE)),""))</f>
        <v>0</v>
      </c>
      <c r="G88" s="45" t="str">
        <f>(IF((VLOOKUP(Table1[[#This Row],[SKU]],'All Skus'!$A:$AC,2,FALSE))="AKG",(VLOOKUP(Table1[[#This Row],[SKU]],'All Skus'!$A:$AC,8,FALSE)),""))</f>
        <v>Gooseneck Microphone</v>
      </c>
      <c r="H88" s="45" t="str">
        <f>(IF((VLOOKUP(Table1[[#This Row],[SKU]],'All Skus'!$A:$AC,2,FALSE))="AKG",(VLOOKUP(Table1[[#This Row],[SKU]],'All Skus'!$A:$AC,9,FALSE)),""))</f>
        <v>15cm gooseneck module; does not include capsule or powering module.</v>
      </c>
      <c r="I88" s="141">
        <f>(IF((VLOOKUP(Table1[[#This Row],[SKU]],'All Skus'!$A:$AC,2,FALSE))="AKG",(VLOOKUP(Table1[[#This Row],[SKU]],'All Skus'!$A:$AC,10,FALSE)),""))</f>
        <v>159.51</v>
      </c>
      <c r="J88" s="141">
        <f>(IF((VLOOKUP(Table1[[#This Row],[SKU]],'All Skus'!$A:$AC,2,FALSE))="AKG",(VLOOKUP(Table1[[#This Row],[SKU]],'All Skus'!$A:$AC,11,FALSE)),""))</f>
        <v>123</v>
      </c>
      <c r="K88" s="125">
        <f>(IF((VLOOKUP(Table1[[#This Row],[SKU]],'All Skus'!$A:$AC,2,FALSE))="AKG",(VLOOKUP(Table1[[#This Row],[SKU]],'All Skus'!$A:$AC,15,FALSE)),""))</f>
        <v>0</v>
      </c>
      <c r="L88" s="124">
        <f>(IF((VLOOKUP(Table1[[#This Row],[SKU]],'All Skus'!$A:$AC,2,FALSE))="AKG",(VLOOKUP(Table1[[#This Row],[SKU]],'All Skus'!$A:$AC,16,FALSE)),""))</f>
        <v>885038030645</v>
      </c>
      <c r="M88" s="124">
        <f>(IF((VLOOKUP(Table1[[#This Row],[SKU]],'All Skus'!$A:$AC,2,FALSE))="AKG",(VLOOKUP(Table1[[#This Row],[SKU]],'All Skus'!$A:$AC,17,FALSE)),""))</f>
        <v>9002761030648</v>
      </c>
      <c r="N88" s="64">
        <f>(IF((VLOOKUP(Table1[[#This Row],[SKU]],'All Skus'!$A:$AC,2,FALSE))="AKG",(VLOOKUP(Table1[[#This Row],[SKU]],'All Skus'!$A:$AC,18,FALSE)),""))</f>
        <v>3</v>
      </c>
      <c r="O88" s="64">
        <f>(IF((VLOOKUP(Table1[[#This Row],[SKU]],'All Skus'!$A:$AC,2,FALSE))="AKG",(VLOOKUP(Table1[[#This Row],[SKU]],'All Skus'!$A:$AC,19,FALSE)),""))</f>
        <v>48</v>
      </c>
      <c r="P88" s="64">
        <f>(IF((VLOOKUP(Table1[[#This Row],[SKU]],'All Skus'!$A:$AC,2,FALSE))="AKG",(VLOOKUP(Table1[[#This Row],[SKU]],'All Skus'!$A:$AC,20,FALSE)),""))</f>
        <v>16</v>
      </c>
      <c r="Q88" s="64">
        <f>(IF((VLOOKUP(Table1[[#This Row],[SKU]],'All Skus'!$A:$AC,2,FALSE))="AKG",(VLOOKUP(Table1[[#This Row],[SKU]],'All Skus'!$A:$AC,21,FALSE)),""))</f>
        <v>1.28</v>
      </c>
      <c r="R88" s="64" t="str">
        <f>(IF((VLOOKUP(Table1[[#This Row],[SKU]],'All Skus'!$A:$AC,2,FALSE))="AKG",(VLOOKUP(Table1[[#This Row],[SKU]],'All Skus'!$A:$AC,22,FALSE)),""))</f>
        <v>TW</v>
      </c>
      <c r="S88" s="64" t="str">
        <f>(IF((VLOOKUP(Table1[[#This Row],[SKU]],'All Skus'!$A:$AC,2,FALSE))="AKG",(VLOOKUP(Table1[[#This Row],[SKU]],'All Skus'!$A:$AC,23,FALSE)),""))</f>
        <v>Compliant</v>
      </c>
      <c r="T88" s="210" t="str">
        <f>HYPERLINK((IF((VLOOKUP(Table1[[#This Row],[SKU]],'All Skus'!$A:$AC,2,FALSE))="AKG",(VLOOKUP(Table1[[#This Row],[SKU]],'All Skus'!$A:$AC,24,FALSE)),"")))</f>
        <v>https://www.akg.com/modular-microphones-components/3165H00080.html</v>
      </c>
      <c r="U88" s="151">
        <v>86</v>
      </c>
    </row>
    <row r="89" spans="1:21" ht="15" hidden="1" customHeight="1">
      <c r="A89" s="50" t="s">
        <v>246</v>
      </c>
      <c r="B89" s="52" t="str">
        <f>(IF((VLOOKUP(Table1[[#This Row],[SKU]],'All Skus'!$A:$AC,2,FALSE))="AKG",(VLOOKUP(Table1[[#This Row],[SKU]],'All Skus'!$A:$AC,3,FALSE)), ""))</f>
        <v>Installed</v>
      </c>
      <c r="C89" s="60" t="str">
        <f>(IF((VLOOKUP(Table1[[#This Row],[SKU]],'All Skus'!$A:$AC,2,FALSE))="AKG",(VLOOKUP(Table1[[#This Row],[SKU]],'All Skus'!$A:$AC,4,FALSE)),""))</f>
        <v xml:space="preserve">GN30 E 5-pin     </v>
      </c>
      <c r="D89" s="60" t="str">
        <f>(IF((VLOOKUP(Table1[[#This Row],[SKU]],'All Skus'!$A:$AC,2,FALSE))="AKG",(VLOOKUP(Table1[[#This Row],[SKU]],'All Skus'!$A:$AC,5,FALSE)),""))</f>
        <v>AT510000</v>
      </c>
      <c r="E89" s="60">
        <f>(IF((VLOOKUP(Table1[[#This Row],[SKU]],'All Skus'!$A:$AC,2,FALSE))="AKG",(VLOOKUP(Table1[[#This Row],[SKU]],'All Skus'!$A:$AC,6,FALSE)),""))</f>
        <v>0</v>
      </c>
      <c r="F89" s="60">
        <f>(IF((VLOOKUP(Table1[[#This Row],[SKU]],'All Skus'!$A:$AC,2,FALSE))="AKG",(VLOOKUP(Table1[[#This Row],[SKU]],'All Skus'!$A:$AC,7,FALSE)),""))</f>
        <v>0</v>
      </c>
      <c r="G89" s="45" t="str">
        <f>(IF((VLOOKUP(Table1[[#This Row],[SKU]],'All Skus'!$A:$AC,2,FALSE))="AKG",(VLOOKUP(Table1[[#This Row],[SKU]],'All Skus'!$A:$AC,8,FALSE)),""))</f>
        <v>Gooseneck Microphone</v>
      </c>
      <c r="H89" s="45" t="str">
        <f>(IF((VLOOKUP(Table1[[#This Row],[SKU]],'All Skus'!$A:$AC,2,FALSE))="AKG",(VLOOKUP(Table1[[#This Row],[SKU]],'All Skus'!$A:$AC,9,FALSE)),""))</f>
        <v>Rugged 30 cm gooseneck with integrated 5-pin XLR connector &amp; phantom power adapter, provides 2 additional pins for LED control</v>
      </c>
      <c r="I89" s="141">
        <f>(IF((VLOOKUP(Table1[[#This Row],[SKU]],'All Skus'!$A:$AC,2,FALSE))="AKG",(VLOOKUP(Table1[[#This Row],[SKU]],'All Skus'!$A:$AC,10,FALSE)),""))</f>
        <v>307.88</v>
      </c>
      <c r="J89" s="141">
        <f>(IF((VLOOKUP(Table1[[#This Row],[SKU]],'All Skus'!$A:$AC,2,FALSE))="AKG",(VLOOKUP(Table1[[#This Row],[SKU]],'All Skus'!$A:$AC,11,FALSE)),""))</f>
        <v>247</v>
      </c>
      <c r="K89" s="125">
        <f>(IF((VLOOKUP(Table1[[#This Row],[SKU]],'All Skus'!$A:$AC,2,FALSE))="AKG",(VLOOKUP(Table1[[#This Row],[SKU]],'All Skus'!$A:$AC,15,FALSE)),""))</f>
        <v>25</v>
      </c>
      <c r="L89" s="124">
        <f>(IF((VLOOKUP(Table1[[#This Row],[SKU]],'All Skus'!$A:$AC,2,FALSE))="AKG",(VLOOKUP(Table1[[#This Row],[SKU]],'All Skus'!$A:$AC,16,FALSE)),""))</f>
        <v>885038008477</v>
      </c>
      <c r="M89" s="124">
        <f>(IF((VLOOKUP(Table1[[#This Row],[SKU]],'All Skus'!$A:$AC,2,FALSE))="AKG",(VLOOKUP(Table1[[#This Row],[SKU]],'All Skus'!$A:$AC,17,FALSE)),""))</f>
        <v>9002761008470</v>
      </c>
      <c r="N89" s="64">
        <f>(IF((VLOOKUP(Table1[[#This Row],[SKU]],'All Skus'!$A:$AC,2,FALSE))="AKG",(VLOOKUP(Table1[[#This Row],[SKU]],'All Skus'!$A:$AC,18,FALSE)),""))</f>
        <v>3</v>
      </c>
      <c r="O89" s="64">
        <f>(IF((VLOOKUP(Table1[[#This Row],[SKU]],'All Skus'!$A:$AC,2,FALSE))="AKG",(VLOOKUP(Table1[[#This Row],[SKU]],'All Skus'!$A:$AC,19,FALSE)),""))</f>
        <v>4</v>
      </c>
      <c r="P89" s="64">
        <f>(IF((VLOOKUP(Table1[[#This Row],[SKU]],'All Skus'!$A:$AC,2,FALSE))="AKG",(VLOOKUP(Table1[[#This Row],[SKU]],'All Skus'!$A:$AC,20,FALSE)),""))</f>
        <v>20</v>
      </c>
      <c r="Q89" s="64">
        <f>(IF((VLOOKUP(Table1[[#This Row],[SKU]],'All Skus'!$A:$AC,2,FALSE))="AKG",(VLOOKUP(Table1[[#This Row],[SKU]],'All Skus'!$A:$AC,21,FALSE)),""))</f>
        <v>3</v>
      </c>
      <c r="R89" s="64" t="str">
        <f>(IF((VLOOKUP(Table1[[#This Row],[SKU]],'All Skus'!$A:$AC,2,FALSE))="AKG",(VLOOKUP(Table1[[#This Row],[SKU]],'All Skus'!$A:$AC,22,FALSE)),""))</f>
        <v>TW</v>
      </c>
      <c r="S89" s="64" t="str">
        <f>(IF((VLOOKUP(Table1[[#This Row],[SKU]],'All Skus'!$A:$AC,2,FALSE))="AKG",(VLOOKUP(Table1[[#This Row],[SKU]],'All Skus'!$A:$AC,23,FALSE)),""))</f>
        <v>Compliant</v>
      </c>
      <c r="T89" s="210" t="str">
        <f>HYPERLINK((IF((VLOOKUP(Table1[[#This Row],[SKU]],'All Skus'!$A:$AC,2,FALSE))="AKG",(VLOOKUP(Table1[[#This Row],[SKU]],'All Skus'!$A:$AC,24,FALSE)),"")))</f>
        <v>https://www.akg.com/modular-microphones-components/2765H00400.html</v>
      </c>
      <c r="U89" s="151">
        <v>87</v>
      </c>
    </row>
    <row r="90" spans="1:21" ht="15" hidden="1" customHeight="1">
      <c r="A90" s="50" t="s">
        <v>247</v>
      </c>
      <c r="B90" s="52" t="str">
        <f>(IF((VLOOKUP(Table1[[#This Row],[SKU]],'All Skus'!$A:$AC,2,FALSE))="AKG",(VLOOKUP(Table1[[#This Row],[SKU]],'All Skus'!$A:$AC,3,FALSE)), ""))</f>
        <v>Installed</v>
      </c>
      <c r="C90" s="60" t="str">
        <f>(IF((VLOOKUP(Table1[[#This Row],[SKU]],'All Skus'!$A:$AC,2,FALSE))="AKG",(VLOOKUP(Table1[[#This Row],[SKU]],'All Skus'!$A:$AC,4,FALSE)),""))</f>
        <v>GN30 CS</v>
      </c>
      <c r="D90" s="60" t="str">
        <f>(IF((VLOOKUP(Table1[[#This Row],[SKU]],'All Skus'!$A:$AC,2,FALSE))="AKG",(VLOOKUP(Table1[[#This Row],[SKU]],'All Skus'!$A:$AC,5,FALSE)),""))</f>
        <v>AT510000</v>
      </c>
      <c r="E90" s="60">
        <f>(IF((VLOOKUP(Table1[[#This Row],[SKU]],'All Skus'!$A:$AC,2,FALSE))="AKG",(VLOOKUP(Table1[[#This Row],[SKU]],'All Skus'!$A:$AC,6,FALSE)),""))</f>
        <v>0</v>
      </c>
      <c r="F90" s="60">
        <f>(IF((VLOOKUP(Table1[[#This Row],[SKU]],'All Skus'!$A:$AC,2,FALSE))="AKG",(VLOOKUP(Table1[[#This Row],[SKU]],'All Skus'!$A:$AC,7,FALSE)),""))</f>
        <v>0</v>
      </c>
      <c r="G90" s="45" t="str">
        <f>(IF((VLOOKUP(Table1[[#This Row],[SKU]],'All Skus'!$A:$AC,2,FALSE))="AKG",(VLOOKUP(Table1[[#This Row],[SKU]],'All Skus'!$A:$AC,8,FALSE)),""))</f>
        <v>Gooseneck Microphone</v>
      </c>
      <c r="H90" s="45" t="str">
        <f>(IF((VLOOKUP(Table1[[#This Row],[SKU]],'All Skus'!$A:$AC,2,FALSE))="AKG",(VLOOKUP(Table1[[#This Row],[SKU]],'All Skus'!$A:$AC,9,FALSE)),""))</f>
        <v>Gooseneck module - 30 cm; for use with CS5 conferencing systems</v>
      </c>
      <c r="I90" s="141">
        <f>(IF((VLOOKUP(Table1[[#This Row],[SKU]],'All Skus'!$A:$AC,2,FALSE))="AKG",(VLOOKUP(Table1[[#This Row],[SKU]],'All Skus'!$A:$AC,10,FALSE)),""))</f>
        <v>246.06</v>
      </c>
      <c r="J90" s="141">
        <f>(IF((VLOOKUP(Table1[[#This Row],[SKU]],'All Skus'!$A:$AC,2,FALSE))="AKG",(VLOOKUP(Table1[[#This Row],[SKU]],'All Skus'!$A:$AC,11,FALSE)),""))</f>
        <v>195</v>
      </c>
      <c r="K90" s="125">
        <f>(IF((VLOOKUP(Table1[[#This Row],[SKU]],'All Skus'!$A:$AC,2,FALSE))="AKG",(VLOOKUP(Table1[[#This Row],[SKU]],'All Skus'!$A:$AC,15,FALSE)),""))</f>
        <v>25</v>
      </c>
      <c r="L90" s="124">
        <f>(IF((VLOOKUP(Table1[[#This Row],[SKU]],'All Skus'!$A:$AC,2,FALSE))="AKG",(VLOOKUP(Table1[[#This Row],[SKU]],'All Skus'!$A:$AC,16,FALSE)),""))</f>
        <v>885038005704</v>
      </c>
      <c r="M90" s="124">
        <f>(IF((VLOOKUP(Table1[[#This Row],[SKU]],'All Skus'!$A:$AC,2,FALSE))="AKG",(VLOOKUP(Table1[[#This Row],[SKU]],'All Skus'!$A:$AC,17,FALSE)),""))</f>
        <v>9002761005707</v>
      </c>
      <c r="N90" s="64">
        <f>(IF((VLOOKUP(Table1[[#This Row],[SKU]],'All Skus'!$A:$AC,2,FALSE))="AKG",(VLOOKUP(Table1[[#This Row],[SKU]],'All Skus'!$A:$AC,18,FALSE)),""))</f>
        <v>3</v>
      </c>
      <c r="O90" s="64">
        <f>(IF((VLOOKUP(Table1[[#This Row],[SKU]],'All Skus'!$A:$AC,2,FALSE))="AKG",(VLOOKUP(Table1[[#This Row],[SKU]],'All Skus'!$A:$AC,19,FALSE)),""))</f>
        <v>3</v>
      </c>
      <c r="P90" s="64">
        <f>(IF((VLOOKUP(Table1[[#This Row],[SKU]],'All Skus'!$A:$AC,2,FALSE))="AKG",(VLOOKUP(Table1[[#This Row],[SKU]],'All Skus'!$A:$AC,20,FALSE)),""))</f>
        <v>18</v>
      </c>
      <c r="Q90" s="64">
        <f>(IF((VLOOKUP(Table1[[#This Row],[SKU]],'All Skus'!$A:$AC,2,FALSE))="AKG",(VLOOKUP(Table1[[#This Row],[SKU]],'All Skus'!$A:$AC,21,FALSE)),""))</f>
        <v>2.8</v>
      </c>
      <c r="R90" s="64" t="str">
        <f>(IF((VLOOKUP(Table1[[#This Row],[SKU]],'All Skus'!$A:$AC,2,FALSE))="AKG",(VLOOKUP(Table1[[#This Row],[SKU]],'All Skus'!$A:$AC,22,FALSE)),""))</f>
        <v>TW</v>
      </c>
      <c r="S90" s="64" t="str">
        <f>(IF((VLOOKUP(Table1[[#This Row],[SKU]],'All Skus'!$A:$AC,2,FALSE))="AKG",(VLOOKUP(Table1[[#This Row],[SKU]],'All Skus'!$A:$AC,23,FALSE)),""))</f>
        <v>Compliant</v>
      </c>
      <c r="T90" s="210" t="str">
        <f>HYPERLINK((IF((VLOOKUP(Table1[[#This Row],[SKU]],'All Skus'!$A:$AC,2,FALSE))="AKG",(VLOOKUP(Table1[[#This Row],[SKU]],'All Skus'!$A:$AC,24,FALSE)),"")))</f>
        <v>https://www.akg.com/modular-microphones-components/GN30.html?dwvar_GN30_color=Grey-GLOBAL-Current</v>
      </c>
      <c r="U90" s="151">
        <v>88</v>
      </c>
    </row>
    <row r="91" spans="1:21" ht="15" hidden="1" customHeight="1">
      <c r="A91" s="50" t="s">
        <v>248</v>
      </c>
      <c r="B91" s="52" t="str">
        <f>(IF((VLOOKUP(Table1[[#This Row],[SKU]],'All Skus'!$A:$AC,2,FALSE))="AKG",(VLOOKUP(Table1[[#This Row],[SKU]],'All Skus'!$A:$AC,3,FALSE)), ""))</f>
        <v>Installed</v>
      </c>
      <c r="C91" s="60" t="str">
        <f>(IF((VLOOKUP(Table1[[#This Row],[SKU]],'All Skus'!$A:$AC,2,FALSE))="AKG",(VLOOKUP(Table1[[#This Row],[SKU]],'All Skus'!$A:$AC,4,FALSE)),""))</f>
        <v>GN30 M</v>
      </c>
      <c r="D91" s="60" t="str">
        <f>(IF((VLOOKUP(Table1[[#This Row],[SKU]],'All Skus'!$A:$AC,2,FALSE))="AKG",(VLOOKUP(Table1[[#This Row],[SKU]],'All Skus'!$A:$AC,5,FALSE)),""))</f>
        <v>AT510000</v>
      </c>
      <c r="E91" s="60">
        <f>(IF((VLOOKUP(Table1[[#This Row],[SKU]],'All Skus'!$A:$AC,2,FALSE))="AKG",(VLOOKUP(Table1[[#This Row],[SKU]],'All Skus'!$A:$AC,6,FALSE)),""))</f>
        <v>0</v>
      </c>
      <c r="F91" s="60">
        <f>(IF((VLOOKUP(Table1[[#This Row],[SKU]],'All Skus'!$A:$AC,2,FALSE))="AKG",(VLOOKUP(Table1[[#This Row],[SKU]],'All Skus'!$A:$AC,7,FALSE)),""))</f>
        <v>0</v>
      </c>
      <c r="G91" s="45" t="str">
        <f>(IF((VLOOKUP(Table1[[#This Row],[SKU]],'All Skus'!$A:$AC,2,FALSE))="AKG",(VLOOKUP(Table1[[#This Row],[SKU]],'All Skus'!$A:$AC,8,FALSE)),""))</f>
        <v>Gooseneck Microphone</v>
      </c>
      <c r="H91" s="45" t="str">
        <f>(IF((VLOOKUP(Table1[[#This Row],[SKU]],'All Skus'!$A:$AC,2,FALSE))="AKG",(VLOOKUP(Table1[[#This Row],[SKU]],'All Skus'!$A:$AC,9,FALSE)),""))</f>
        <v>30cm gooseneck module; does not include capsule or powering module.</v>
      </c>
      <c r="I91" s="141">
        <f>(IF((VLOOKUP(Table1[[#This Row],[SKU]],'All Skus'!$A:$AC,2,FALSE))="AKG",(VLOOKUP(Table1[[#This Row],[SKU]],'All Skus'!$A:$AC,10,FALSE)),""))</f>
        <v>159.51</v>
      </c>
      <c r="J91" s="141">
        <f>(IF((VLOOKUP(Table1[[#This Row],[SKU]],'All Skus'!$A:$AC,2,FALSE))="AKG",(VLOOKUP(Table1[[#This Row],[SKU]],'All Skus'!$A:$AC,11,FALSE)),""))</f>
        <v>123</v>
      </c>
      <c r="K91" s="125">
        <f>(IF((VLOOKUP(Table1[[#This Row],[SKU]],'All Skus'!$A:$AC,2,FALSE))="AKG",(VLOOKUP(Table1[[#This Row],[SKU]],'All Skus'!$A:$AC,15,FALSE)),""))</f>
        <v>0</v>
      </c>
      <c r="L91" s="124">
        <f>(IF((VLOOKUP(Table1[[#This Row],[SKU]],'All Skus'!$A:$AC,2,FALSE))="AKG",(VLOOKUP(Table1[[#This Row],[SKU]],'All Skus'!$A:$AC,16,FALSE)),""))</f>
        <v>885038030652</v>
      </c>
      <c r="M91" s="124">
        <f>(IF((VLOOKUP(Table1[[#This Row],[SKU]],'All Skus'!$A:$AC,2,FALSE))="AKG",(VLOOKUP(Table1[[#This Row],[SKU]],'All Skus'!$A:$AC,17,FALSE)),""))</f>
        <v>9002761030655</v>
      </c>
      <c r="N91" s="64">
        <f>(IF((VLOOKUP(Table1[[#This Row],[SKU]],'All Skus'!$A:$AC,2,FALSE))="AKG",(VLOOKUP(Table1[[#This Row],[SKU]],'All Skus'!$A:$AC,18,FALSE)),""))</f>
        <v>1</v>
      </c>
      <c r="O91" s="64">
        <f>(IF((VLOOKUP(Table1[[#This Row],[SKU]],'All Skus'!$A:$AC,2,FALSE))="AKG",(VLOOKUP(Table1[[#This Row],[SKU]],'All Skus'!$A:$AC,19,FALSE)),""))</f>
        <v>13.5</v>
      </c>
      <c r="P91" s="64">
        <f>(IF((VLOOKUP(Table1[[#This Row],[SKU]],'All Skus'!$A:$AC,2,FALSE))="AKG",(VLOOKUP(Table1[[#This Row],[SKU]],'All Skus'!$A:$AC,20,FALSE)),""))</f>
        <v>1.5</v>
      </c>
      <c r="Q91" s="64">
        <f>(IF((VLOOKUP(Table1[[#This Row],[SKU]],'All Skus'!$A:$AC,2,FALSE))="AKG",(VLOOKUP(Table1[[#This Row],[SKU]],'All Skus'!$A:$AC,21,FALSE)),""))</f>
        <v>1.28</v>
      </c>
      <c r="R91" s="64" t="str">
        <f>(IF((VLOOKUP(Table1[[#This Row],[SKU]],'All Skus'!$A:$AC,2,FALSE))="AKG",(VLOOKUP(Table1[[#This Row],[SKU]],'All Skus'!$A:$AC,22,FALSE)),""))</f>
        <v>TW</v>
      </c>
      <c r="S91" s="64" t="str">
        <f>(IF((VLOOKUP(Table1[[#This Row],[SKU]],'All Skus'!$A:$AC,2,FALSE))="AKG",(VLOOKUP(Table1[[#This Row],[SKU]],'All Skus'!$A:$AC,23,FALSE)),""))</f>
        <v>Compliant</v>
      </c>
      <c r="T91" s="210" t="str">
        <f>HYPERLINK((IF((VLOOKUP(Table1[[#This Row],[SKU]],'All Skus'!$A:$AC,2,FALSE))="AKG",(VLOOKUP(Table1[[#This Row],[SKU]],'All Skus'!$A:$AC,24,FALSE)),"")))</f>
        <v>https://www.akg.com/modular-microphones-components/3165H00090.html</v>
      </c>
      <c r="U91" s="151">
        <v>89</v>
      </c>
    </row>
    <row r="92" spans="1:21" ht="15" hidden="1" customHeight="1">
      <c r="A92" s="50" t="s">
        <v>249</v>
      </c>
      <c r="B92" s="52" t="str">
        <f>(IF((VLOOKUP(Table1[[#This Row],[SKU]],'All Skus'!$A:$AC,2,FALSE))="AKG",(VLOOKUP(Table1[[#This Row],[SKU]],'All Skus'!$A:$AC,3,FALSE)), ""))</f>
        <v>Installed</v>
      </c>
      <c r="C92" s="60" t="str">
        <f>(IF((VLOOKUP(Table1[[#This Row],[SKU]],'All Skus'!$A:$AC,2,FALSE))="AKG",(VLOOKUP(Table1[[#This Row],[SKU]],'All Skus'!$A:$AC,4,FALSE)),""))</f>
        <v>GN30 ESP incl. windscreen</v>
      </c>
      <c r="D92" s="60" t="str">
        <f>(IF((VLOOKUP(Table1[[#This Row],[SKU]],'All Skus'!$A:$AC,2,FALSE))="AKG",(VLOOKUP(Table1[[#This Row],[SKU]],'All Skus'!$A:$AC,5,FALSE)),""))</f>
        <v>AT510000</v>
      </c>
      <c r="E92" s="60">
        <f>(IF((VLOOKUP(Table1[[#This Row],[SKU]],'All Skus'!$A:$AC,2,FALSE))="AKG",(VLOOKUP(Table1[[#This Row],[SKU]],'All Skus'!$A:$AC,6,FALSE)),""))</f>
        <v>0</v>
      </c>
      <c r="F92" s="60">
        <f>(IF((VLOOKUP(Table1[[#This Row],[SKU]],'All Skus'!$A:$AC,2,FALSE))="AKG",(VLOOKUP(Table1[[#This Row],[SKU]],'All Skus'!$A:$AC,7,FALSE)),""))</f>
        <v>0</v>
      </c>
      <c r="G92" s="45" t="str">
        <f>(IF((VLOOKUP(Table1[[#This Row],[SKU]],'All Skus'!$A:$AC,2,FALSE))="AKG",(VLOOKUP(Table1[[#This Row],[SKU]],'All Skus'!$A:$AC,8,FALSE)),""))</f>
        <v>Gooseneck Microphone</v>
      </c>
      <c r="H92" s="45" t="str">
        <f>(IF((VLOOKUP(Table1[[#This Row],[SKU]],'All Skus'!$A:$AC,2,FALSE))="AKG",(VLOOKUP(Table1[[#This Row],[SKU]],'All Skus'!$A:$AC,9,FALSE)),""))</f>
        <v>Rugged 30 cm gooseneck module, programmable mute switch (on/off, push-to-talk, push-to-mute), high RFI immunity, LED ring, XLR connector</v>
      </c>
      <c r="I92" s="141">
        <f>(IF((VLOOKUP(Table1[[#This Row],[SKU]],'All Skus'!$A:$AC,2,FALSE))="AKG",(VLOOKUP(Table1[[#This Row],[SKU]],'All Skus'!$A:$AC,10,FALSE)),""))</f>
        <v>357.34</v>
      </c>
      <c r="J92" s="141">
        <f>(IF((VLOOKUP(Table1[[#This Row],[SKU]],'All Skus'!$A:$AC,2,FALSE))="AKG",(VLOOKUP(Table1[[#This Row],[SKU]],'All Skus'!$A:$AC,11,FALSE)),""))</f>
        <v>278</v>
      </c>
      <c r="K92" s="125">
        <f>(IF((VLOOKUP(Table1[[#This Row],[SKU]],'All Skus'!$A:$AC,2,FALSE))="AKG",(VLOOKUP(Table1[[#This Row],[SKU]],'All Skus'!$A:$AC,15,FALSE)),""))</f>
        <v>25</v>
      </c>
      <c r="L92" s="124">
        <f>(IF((VLOOKUP(Table1[[#This Row],[SKU]],'All Skus'!$A:$AC,2,FALSE))="AKG",(VLOOKUP(Table1[[#This Row],[SKU]],'All Skus'!$A:$AC,16,FALSE)),""))</f>
        <v>885038016380</v>
      </c>
      <c r="M92" s="124">
        <f>(IF((VLOOKUP(Table1[[#This Row],[SKU]],'All Skus'!$A:$AC,2,FALSE))="AKG",(VLOOKUP(Table1[[#This Row],[SKU]],'All Skus'!$A:$AC,17,FALSE)),""))</f>
        <v>9002761016383</v>
      </c>
      <c r="N92" s="64">
        <f>(IF((VLOOKUP(Table1[[#This Row],[SKU]],'All Skus'!$A:$AC,2,FALSE))="AKG",(VLOOKUP(Table1[[#This Row],[SKU]],'All Skus'!$A:$AC,18,FALSE)),""))</f>
        <v>3</v>
      </c>
      <c r="O92" s="64">
        <f>(IF((VLOOKUP(Table1[[#This Row],[SKU]],'All Skus'!$A:$AC,2,FALSE))="AKG",(VLOOKUP(Table1[[#This Row],[SKU]],'All Skus'!$A:$AC,19,FALSE)),""))</f>
        <v>5</v>
      </c>
      <c r="P92" s="64">
        <f>(IF((VLOOKUP(Table1[[#This Row],[SKU]],'All Skus'!$A:$AC,2,FALSE))="AKG",(VLOOKUP(Table1[[#This Row],[SKU]],'All Skus'!$A:$AC,20,FALSE)),""))</f>
        <v>21</v>
      </c>
      <c r="Q92" s="64">
        <f>(IF((VLOOKUP(Table1[[#This Row],[SKU]],'All Skus'!$A:$AC,2,FALSE))="AKG",(VLOOKUP(Table1[[#This Row],[SKU]],'All Skus'!$A:$AC,21,FALSE)),""))</f>
        <v>2.8</v>
      </c>
      <c r="R92" s="64" t="str">
        <f>(IF((VLOOKUP(Table1[[#This Row],[SKU]],'All Skus'!$A:$AC,2,FALSE))="AKG",(VLOOKUP(Table1[[#This Row],[SKU]],'All Skus'!$A:$AC,22,FALSE)),""))</f>
        <v>TW</v>
      </c>
      <c r="S92" s="64" t="str">
        <f>(IF((VLOOKUP(Table1[[#This Row],[SKU]],'All Skus'!$A:$AC,2,FALSE))="AKG",(VLOOKUP(Table1[[#This Row],[SKU]],'All Skus'!$A:$AC,23,FALSE)),""))</f>
        <v>Compliant</v>
      </c>
      <c r="T92" s="210" t="str">
        <f>HYPERLINK((IF((VLOOKUP(Table1[[#This Row],[SKU]],'All Skus'!$A:$AC,2,FALSE))="AKG",(VLOOKUP(Table1[[#This Row],[SKU]],'All Skus'!$A:$AC,24,FALSE)),"")))</f>
        <v>https://www.akg.com/modular-microphones-components/2765H00460.html</v>
      </c>
      <c r="U92" s="151">
        <v>90</v>
      </c>
    </row>
    <row r="93" spans="1:21" ht="15" hidden="1" customHeight="1">
      <c r="A93" s="50" t="s">
        <v>250</v>
      </c>
      <c r="B93" s="52" t="str">
        <f>(IF((VLOOKUP(Table1[[#This Row],[SKU]],'All Skus'!$A:$AC,2,FALSE))="AKG",(VLOOKUP(Table1[[#This Row],[SKU]],'All Skus'!$A:$AC,3,FALSE)), ""))</f>
        <v>Installed</v>
      </c>
      <c r="C93" s="60" t="str">
        <f>(IF((VLOOKUP(Table1[[#This Row],[SKU]],'All Skus'!$A:$AC,2,FALSE))="AKG",(VLOOKUP(Table1[[#This Row],[SKU]],'All Skus'!$A:$AC,4,FALSE)),""))</f>
        <v>GN30 incl. DPA,  screw set</v>
      </c>
      <c r="D93" s="60" t="str">
        <f>(IF((VLOOKUP(Table1[[#This Row],[SKU]],'All Skus'!$A:$AC,2,FALSE))="AKG",(VLOOKUP(Table1[[#This Row],[SKU]],'All Skus'!$A:$AC,5,FALSE)),""))</f>
        <v>AT510000</v>
      </c>
      <c r="E93" s="60">
        <f>(IF((VLOOKUP(Table1[[#This Row],[SKU]],'All Skus'!$A:$AC,2,FALSE))="AKG",(VLOOKUP(Table1[[#This Row],[SKU]],'All Skus'!$A:$AC,6,FALSE)),""))</f>
        <v>0</v>
      </c>
      <c r="F93" s="60">
        <f>(IF((VLOOKUP(Table1[[#This Row],[SKU]],'All Skus'!$A:$AC,2,FALSE))="AKG",(VLOOKUP(Table1[[#This Row],[SKU]],'All Skus'!$A:$AC,7,FALSE)),""))</f>
        <v>0</v>
      </c>
      <c r="G93" s="45" t="str">
        <f>(IF((VLOOKUP(Table1[[#This Row],[SKU]],'All Skus'!$A:$AC,2,FALSE))="AKG",(VLOOKUP(Table1[[#This Row],[SKU]],'All Skus'!$A:$AC,8,FALSE)),""))</f>
        <v>Gooseneck Microphone</v>
      </c>
      <c r="H93" s="45" t="str">
        <f>(IF((VLOOKUP(Table1[[#This Row],[SKU]],'All Skus'!$A:$AC,2,FALSE))="AKG",(VLOOKUP(Table1[[#This Row],[SKU]],'All Skus'!$A:$AC,9,FALSE)),""))</f>
        <v>Rugged 30 cm gooseneck for permanent screw-on installation, phantom powering module with XLR connector included</v>
      </c>
      <c r="I93" s="141">
        <f>(IF((VLOOKUP(Table1[[#This Row],[SKU]],'All Skus'!$A:$AC,2,FALSE))="AKG",(VLOOKUP(Table1[[#This Row],[SKU]],'All Skus'!$A:$AC,10,FALSE)),""))</f>
        <v>307.88</v>
      </c>
      <c r="J93" s="141">
        <f>(IF((VLOOKUP(Table1[[#This Row],[SKU]],'All Skus'!$A:$AC,2,FALSE))="AKG",(VLOOKUP(Table1[[#This Row],[SKU]],'All Skus'!$A:$AC,11,FALSE)),""))</f>
        <v>247</v>
      </c>
      <c r="K93" s="125">
        <f>(IF((VLOOKUP(Table1[[#This Row],[SKU]],'All Skus'!$A:$AC,2,FALSE))="AKG",(VLOOKUP(Table1[[#This Row],[SKU]],'All Skus'!$A:$AC,15,FALSE)),""))</f>
        <v>25</v>
      </c>
      <c r="L93" s="124">
        <f>(IF((VLOOKUP(Table1[[#This Row],[SKU]],'All Skus'!$A:$AC,2,FALSE))="AKG",(VLOOKUP(Table1[[#This Row],[SKU]],'All Skus'!$A:$AC,16,FALSE)),""))</f>
        <v>885038003090</v>
      </c>
      <c r="M93" s="124">
        <f>(IF((VLOOKUP(Table1[[#This Row],[SKU]],'All Skus'!$A:$AC,2,FALSE))="AKG",(VLOOKUP(Table1[[#This Row],[SKU]],'All Skus'!$A:$AC,17,FALSE)),""))</f>
        <v>9002761003093</v>
      </c>
      <c r="N93" s="64">
        <f>(IF((VLOOKUP(Table1[[#This Row],[SKU]],'All Skus'!$A:$AC,2,FALSE))="AKG",(VLOOKUP(Table1[[#This Row],[SKU]],'All Skus'!$A:$AC,18,FALSE)),""))</f>
        <v>5</v>
      </c>
      <c r="O93" s="64">
        <f>(IF((VLOOKUP(Table1[[#This Row],[SKU]],'All Skus'!$A:$AC,2,FALSE))="AKG",(VLOOKUP(Table1[[#This Row],[SKU]],'All Skus'!$A:$AC,19,FALSE)),""))</f>
        <v>11</v>
      </c>
      <c r="P93" s="64">
        <f>(IF((VLOOKUP(Table1[[#This Row],[SKU]],'All Skus'!$A:$AC,2,FALSE))="AKG",(VLOOKUP(Table1[[#This Row],[SKU]],'All Skus'!$A:$AC,20,FALSE)),""))</f>
        <v>22</v>
      </c>
      <c r="Q93" s="64">
        <f>(IF((VLOOKUP(Table1[[#This Row],[SKU]],'All Skus'!$A:$AC,2,FALSE))="AKG",(VLOOKUP(Table1[[#This Row],[SKU]],'All Skus'!$A:$AC,21,FALSE)),""))</f>
        <v>3.2</v>
      </c>
      <c r="R93" s="64" t="str">
        <f>(IF((VLOOKUP(Table1[[#This Row],[SKU]],'All Skus'!$A:$AC,2,FALSE))="AKG",(VLOOKUP(Table1[[#This Row],[SKU]],'All Skus'!$A:$AC,22,FALSE)),""))</f>
        <v>TW</v>
      </c>
      <c r="S93" s="64" t="str">
        <f>(IF((VLOOKUP(Table1[[#This Row],[SKU]],'All Skus'!$A:$AC,2,FALSE))="AKG",(VLOOKUP(Table1[[#This Row],[SKU]],'All Skus'!$A:$AC,23,FALSE)),""))</f>
        <v>Compliant</v>
      </c>
      <c r="T93" s="210" t="str">
        <f>HYPERLINK((IF((VLOOKUP(Table1[[#This Row],[SKU]],'All Skus'!$A:$AC,2,FALSE))="AKG",(VLOOKUP(Table1[[#This Row],[SKU]],'All Skus'!$A:$AC,24,FALSE)),"")))</f>
        <v>https://www.akg.com/modular-microphones-components/2765H00030.html</v>
      </c>
      <c r="U93" s="151">
        <v>91</v>
      </c>
    </row>
    <row r="94" spans="1:21" ht="15" hidden="1" customHeight="1">
      <c r="A94" s="50" t="s">
        <v>251</v>
      </c>
      <c r="B94" s="52" t="str">
        <f>(IF((VLOOKUP(Table1[[#This Row],[SKU]],'All Skus'!$A:$AC,2,FALSE))="AKG",(VLOOKUP(Table1[[#This Row],[SKU]],'All Skus'!$A:$AC,3,FALSE)), ""))</f>
        <v>Installed</v>
      </c>
      <c r="C94" s="60" t="str">
        <f>(IF((VLOOKUP(Table1[[#This Row],[SKU]],'All Skus'!$A:$AC,2,FALSE))="AKG",(VLOOKUP(Table1[[#This Row],[SKU]],'All Skus'!$A:$AC,4,FALSE)),""))</f>
        <v>GN30 E incl. DPA</v>
      </c>
      <c r="D94" s="60" t="str">
        <f>(IF((VLOOKUP(Table1[[#This Row],[SKU]],'All Skus'!$A:$AC,2,FALSE))="AKG",(VLOOKUP(Table1[[#This Row],[SKU]],'All Skus'!$A:$AC,5,FALSE)),""))</f>
        <v>AT510000</v>
      </c>
      <c r="E94" s="60">
        <f>(IF((VLOOKUP(Table1[[#This Row],[SKU]],'All Skus'!$A:$AC,2,FALSE))="AKG",(VLOOKUP(Table1[[#This Row],[SKU]],'All Skus'!$A:$AC,6,FALSE)),""))</f>
        <v>0</v>
      </c>
      <c r="F94" s="60">
        <f>(IF((VLOOKUP(Table1[[#This Row],[SKU]],'All Skus'!$A:$AC,2,FALSE))="AKG",(VLOOKUP(Table1[[#This Row],[SKU]],'All Skus'!$A:$AC,7,FALSE)),""))</f>
        <v>0</v>
      </c>
      <c r="G94" s="45" t="str">
        <f>(IF((VLOOKUP(Table1[[#This Row],[SKU]],'All Skus'!$A:$AC,2,FALSE))="AKG",(VLOOKUP(Table1[[#This Row],[SKU]],'All Skus'!$A:$AC,8,FALSE)),""))</f>
        <v>Gooseneck Microphone</v>
      </c>
      <c r="H94" s="45" t="str">
        <f>(IF((VLOOKUP(Table1[[#This Row],[SKU]],'All Skus'!$A:$AC,2,FALSE))="AKG",(VLOOKUP(Table1[[#This Row],[SKU]],'All Skus'!$A:$AC,9,FALSE)),""))</f>
        <v>Rugged 30 cm gooseneck with integrated XLR  connector</v>
      </c>
      <c r="I94" s="141">
        <f>(IF((VLOOKUP(Table1[[#This Row],[SKU]],'All Skus'!$A:$AC,2,FALSE))="AKG",(VLOOKUP(Table1[[#This Row],[SKU]],'All Skus'!$A:$AC,10,FALSE)),""))</f>
        <v>307.88</v>
      </c>
      <c r="J94" s="141">
        <f>(IF((VLOOKUP(Table1[[#This Row],[SKU]],'All Skus'!$A:$AC,2,FALSE))="AKG",(VLOOKUP(Table1[[#This Row],[SKU]],'All Skus'!$A:$AC,11,FALSE)),""))</f>
        <v>247</v>
      </c>
      <c r="K94" s="125">
        <f>(IF((VLOOKUP(Table1[[#This Row],[SKU]],'All Skus'!$A:$AC,2,FALSE))="AKG",(VLOOKUP(Table1[[#This Row],[SKU]],'All Skus'!$A:$AC,15,FALSE)),""))</f>
        <v>25</v>
      </c>
      <c r="L94" s="124">
        <f>(IF((VLOOKUP(Table1[[#This Row],[SKU]],'All Skus'!$A:$AC,2,FALSE))="AKG",(VLOOKUP(Table1[[#This Row],[SKU]],'All Skus'!$A:$AC,16,FALSE)),""))</f>
        <v>885038003106</v>
      </c>
      <c r="M94" s="124">
        <f>(IF((VLOOKUP(Table1[[#This Row],[SKU]],'All Skus'!$A:$AC,2,FALSE))="AKG",(VLOOKUP(Table1[[#This Row],[SKU]],'All Skus'!$A:$AC,17,FALSE)),""))</f>
        <v>9002761003109</v>
      </c>
      <c r="N94" s="64">
        <f>(IF((VLOOKUP(Table1[[#This Row],[SKU]],'All Skus'!$A:$AC,2,FALSE))="AKG",(VLOOKUP(Table1[[#This Row],[SKU]],'All Skus'!$A:$AC,18,FALSE)),""))</f>
        <v>3</v>
      </c>
      <c r="O94" s="64">
        <f>(IF((VLOOKUP(Table1[[#This Row],[SKU]],'All Skus'!$A:$AC,2,FALSE))="AKG",(VLOOKUP(Table1[[#This Row],[SKU]],'All Skus'!$A:$AC,19,FALSE)),""))</f>
        <v>5</v>
      </c>
      <c r="P94" s="64">
        <f>(IF((VLOOKUP(Table1[[#This Row],[SKU]],'All Skus'!$A:$AC,2,FALSE))="AKG",(VLOOKUP(Table1[[#This Row],[SKU]],'All Skus'!$A:$AC,20,FALSE)),""))</f>
        <v>20</v>
      </c>
      <c r="Q94" s="64">
        <f>(IF((VLOOKUP(Table1[[#This Row],[SKU]],'All Skus'!$A:$AC,2,FALSE))="AKG",(VLOOKUP(Table1[[#This Row],[SKU]],'All Skus'!$A:$AC,21,FALSE)),""))</f>
        <v>3.2</v>
      </c>
      <c r="R94" s="64" t="str">
        <f>(IF((VLOOKUP(Table1[[#This Row],[SKU]],'All Skus'!$A:$AC,2,FALSE))="AKG",(VLOOKUP(Table1[[#This Row],[SKU]],'All Skus'!$A:$AC,22,FALSE)),""))</f>
        <v>TW</v>
      </c>
      <c r="S94" s="64" t="str">
        <f>(IF((VLOOKUP(Table1[[#This Row],[SKU]],'All Skus'!$A:$AC,2,FALSE))="AKG",(VLOOKUP(Table1[[#This Row],[SKU]],'All Skus'!$A:$AC,23,FALSE)),""))</f>
        <v>Compliant</v>
      </c>
      <c r="T94" s="210" t="str">
        <f>HYPERLINK((IF((VLOOKUP(Table1[[#This Row],[SKU]],'All Skus'!$A:$AC,2,FALSE))="AKG",(VLOOKUP(Table1[[#This Row],[SKU]],'All Skus'!$A:$AC,24,FALSE)),"")))</f>
        <v>https://www.akg.com/modular-microphones-components/2765H00040.html</v>
      </c>
      <c r="U94" s="151">
        <v>92</v>
      </c>
    </row>
    <row r="95" spans="1:21" ht="15" hidden="1" customHeight="1">
      <c r="A95" s="50" t="s">
        <v>252</v>
      </c>
      <c r="B95" s="52" t="str">
        <f>(IF((VLOOKUP(Table1[[#This Row],[SKU]],'All Skus'!$A:$AC,2,FALSE))="AKG",(VLOOKUP(Table1[[#This Row],[SKU]],'All Skus'!$A:$AC,3,FALSE)), ""))</f>
        <v>Installed</v>
      </c>
      <c r="C95" s="60" t="str">
        <f>(IF((VLOOKUP(Table1[[#This Row],[SKU]],'All Skus'!$A:$AC,2,FALSE))="AKG",(VLOOKUP(Table1[[#This Row],[SKU]],'All Skus'!$A:$AC,4,FALSE)),""))</f>
        <v>GN50 incl. DPA, screw set</v>
      </c>
      <c r="D95" s="60" t="str">
        <f>(IF((VLOOKUP(Table1[[#This Row],[SKU]],'All Skus'!$A:$AC,2,FALSE))="AKG",(VLOOKUP(Table1[[#This Row],[SKU]],'All Skus'!$A:$AC,5,FALSE)),""))</f>
        <v>AT510000</v>
      </c>
      <c r="E95" s="60">
        <f>(IF((VLOOKUP(Table1[[#This Row],[SKU]],'All Skus'!$A:$AC,2,FALSE))="AKG",(VLOOKUP(Table1[[#This Row],[SKU]],'All Skus'!$A:$AC,6,FALSE)),""))</f>
        <v>0</v>
      </c>
      <c r="F95" s="60">
        <f>(IF((VLOOKUP(Table1[[#This Row],[SKU]],'All Skus'!$A:$AC,2,FALSE))="AKG",(VLOOKUP(Table1[[#This Row],[SKU]],'All Skus'!$A:$AC,7,FALSE)),""))</f>
        <v>0</v>
      </c>
      <c r="G95" s="45" t="str">
        <f>(IF((VLOOKUP(Table1[[#This Row],[SKU]],'All Skus'!$A:$AC,2,FALSE))="AKG",(VLOOKUP(Table1[[#This Row],[SKU]],'All Skus'!$A:$AC,8,FALSE)),""))</f>
        <v>Gooseneck Microphone</v>
      </c>
      <c r="H95" s="45" t="str">
        <f>(IF((VLOOKUP(Table1[[#This Row],[SKU]],'All Skus'!$A:$AC,2,FALSE))="AKG",(VLOOKUP(Table1[[#This Row],[SKU]],'All Skus'!$A:$AC,9,FALSE)),""))</f>
        <v>Rugged 50 cm gooseneck for permanent screw-on installation, phantom powering module with XLR connector included</v>
      </c>
      <c r="I95" s="141">
        <f>(IF((VLOOKUP(Table1[[#This Row],[SKU]],'All Skus'!$A:$AC,2,FALSE))="AKG",(VLOOKUP(Table1[[#This Row],[SKU]],'All Skus'!$A:$AC,10,FALSE)),""))</f>
        <v>307.88</v>
      </c>
      <c r="J95" s="141">
        <f>(IF((VLOOKUP(Table1[[#This Row],[SKU]],'All Skus'!$A:$AC,2,FALSE))="AKG",(VLOOKUP(Table1[[#This Row],[SKU]],'All Skus'!$A:$AC,11,FALSE)),""))</f>
        <v>247</v>
      </c>
      <c r="K95" s="125">
        <f>(IF((VLOOKUP(Table1[[#This Row],[SKU]],'All Skus'!$A:$AC,2,FALSE))="AKG",(VLOOKUP(Table1[[#This Row],[SKU]],'All Skus'!$A:$AC,15,FALSE)),""))</f>
        <v>25</v>
      </c>
      <c r="L95" s="124">
        <f>(IF((VLOOKUP(Table1[[#This Row],[SKU]],'All Skus'!$A:$AC,2,FALSE))="AKG",(VLOOKUP(Table1[[#This Row],[SKU]],'All Skus'!$A:$AC,16,FALSE)),""))</f>
        <v>885038004578</v>
      </c>
      <c r="M95" s="124">
        <f>(IF((VLOOKUP(Table1[[#This Row],[SKU]],'All Skus'!$A:$AC,2,FALSE))="AKG",(VLOOKUP(Table1[[#This Row],[SKU]],'All Skus'!$A:$AC,17,FALSE)),""))</f>
        <v>9002761004571</v>
      </c>
      <c r="N95" s="64">
        <f>(IF((VLOOKUP(Table1[[#This Row],[SKU]],'All Skus'!$A:$AC,2,FALSE))="AKG",(VLOOKUP(Table1[[#This Row],[SKU]],'All Skus'!$A:$AC,18,FALSE)),""))</f>
        <v>3</v>
      </c>
      <c r="O95" s="64">
        <f>(IF((VLOOKUP(Table1[[#This Row],[SKU]],'All Skus'!$A:$AC,2,FALSE))="AKG",(VLOOKUP(Table1[[#This Row],[SKU]],'All Skus'!$A:$AC,19,FALSE)),""))</f>
        <v>26</v>
      </c>
      <c r="P95" s="64">
        <f>(IF((VLOOKUP(Table1[[#This Row],[SKU]],'All Skus'!$A:$AC,2,FALSE))="AKG",(VLOOKUP(Table1[[#This Row],[SKU]],'All Skus'!$A:$AC,20,FALSE)),""))</f>
        <v>5</v>
      </c>
      <c r="Q95" s="64">
        <f>(IF((VLOOKUP(Table1[[#This Row],[SKU]],'All Skus'!$A:$AC,2,FALSE))="AKG",(VLOOKUP(Table1[[#This Row],[SKU]],'All Skus'!$A:$AC,21,FALSE)),""))</f>
        <v>3.2</v>
      </c>
      <c r="R95" s="64" t="str">
        <f>(IF((VLOOKUP(Table1[[#This Row],[SKU]],'All Skus'!$A:$AC,2,FALSE))="AKG",(VLOOKUP(Table1[[#This Row],[SKU]],'All Skus'!$A:$AC,22,FALSE)),""))</f>
        <v>TW</v>
      </c>
      <c r="S95" s="64" t="str">
        <f>(IF((VLOOKUP(Table1[[#This Row],[SKU]],'All Skus'!$A:$AC,2,FALSE))="AKG",(VLOOKUP(Table1[[#This Row],[SKU]],'All Skus'!$A:$AC,23,FALSE)),""))</f>
        <v>Compliant</v>
      </c>
      <c r="T95" s="210" t="str">
        <f>HYPERLINK((IF((VLOOKUP(Table1[[#This Row],[SKU]],'All Skus'!$A:$AC,2,FALSE))="AKG",(VLOOKUP(Table1[[#This Row],[SKU]],'All Skus'!$A:$AC,24,FALSE)),"")))</f>
        <v>https://www.akg.com/modular-microphones-components/2765H00080.html</v>
      </c>
      <c r="U95" s="151">
        <v>93</v>
      </c>
    </row>
    <row r="96" spans="1:21" ht="15" hidden="1" customHeight="1">
      <c r="A96" s="50" t="s">
        <v>253</v>
      </c>
      <c r="B96" s="52" t="str">
        <f>(IF((VLOOKUP(Table1[[#This Row],[SKU]],'All Skus'!$A:$AC,2,FALSE))="AKG",(VLOOKUP(Table1[[#This Row],[SKU]],'All Skus'!$A:$AC,3,FALSE)), ""))</f>
        <v>Installed</v>
      </c>
      <c r="C96" s="60" t="str">
        <f>(IF((VLOOKUP(Table1[[#This Row],[SKU]],'All Skus'!$A:$AC,2,FALSE))="AKG",(VLOOKUP(Table1[[#This Row],[SKU]],'All Skus'!$A:$AC,4,FALSE)),""))</f>
        <v>GN50 E incl. DPA</v>
      </c>
      <c r="D96" s="60" t="str">
        <f>(IF((VLOOKUP(Table1[[#This Row],[SKU]],'All Skus'!$A:$AC,2,FALSE))="AKG",(VLOOKUP(Table1[[#This Row],[SKU]],'All Skus'!$A:$AC,5,FALSE)),""))</f>
        <v>AT510000</v>
      </c>
      <c r="E96" s="60">
        <f>(IF((VLOOKUP(Table1[[#This Row],[SKU]],'All Skus'!$A:$AC,2,FALSE))="AKG",(VLOOKUP(Table1[[#This Row],[SKU]],'All Skus'!$A:$AC,6,FALSE)),""))</f>
        <v>0</v>
      </c>
      <c r="F96" s="60">
        <f>(IF((VLOOKUP(Table1[[#This Row],[SKU]],'All Skus'!$A:$AC,2,FALSE))="AKG",(VLOOKUP(Table1[[#This Row],[SKU]],'All Skus'!$A:$AC,7,FALSE)),""))</f>
        <v>0</v>
      </c>
      <c r="G96" s="45" t="str">
        <f>(IF((VLOOKUP(Table1[[#This Row],[SKU]],'All Skus'!$A:$AC,2,FALSE))="AKG",(VLOOKUP(Table1[[#This Row],[SKU]],'All Skus'!$A:$AC,8,FALSE)),""))</f>
        <v>Gooseneck Microphone</v>
      </c>
      <c r="H96" s="45" t="str">
        <f>(IF((VLOOKUP(Table1[[#This Row],[SKU]],'All Skus'!$A:$AC,2,FALSE))="AKG",(VLOOKUP(Table1[[#This Row],[SKU]],'All Skus'!$A:$AC,9,FALSE)),""))</f>
        <v>Rugged 50 cm gooseneck with integrated XLR connector</v>
      </c>
      <c r="I96" s="141">
        <f>(IF((VLOOKUP(Table1[[#This Row],[SKU]],'All Skus'!$A:$AC,2,FALSE))="AKG",(VLOOKUP(Table1[[#This Row],[SKU]],'All Skus'!$A:$AC,10,FALSE)),""))</f>
        <v>307.88</v>
      </c>
      <c r="J96" s="141">
        <f>(IF((VLOOKUP(Table1[[#This Row],[SKU]],'All Skus'!$A:$AC,2,FALSE))="AKG",(VLOOKUP(Table1[[#This Row],[SKU]],'All Skus'!$A:$AC,11,FALSE)),""))</f>
        <v>247</v>
      </c>
      <c r="K96" s="125">
        <f>(IF((VLOOKUP(Table1[[#This Row],[SKU]],'All Skus'!$A:$AC,2,FALSE))="AKG",(VLOOKUP(Table1[[#This Row],[SKU]],'All Skus'!$A:$AC,15,FALSE)),""))</f>
        <v>25</v>
      </c>
      <c r="L96" s="124">
        <f>(IF((VLOOKUP(Table1[[#This Row],[SKU]],'All Skus'!$A:$AC,2,FALSE))="AKG",(VLOOKUP(Table1[[#This Row],[SKU]],'All Skus'!$A:$AC,16,FALSE)),""))</f>
        <v>885038004585</v>
      </c>
      <c r="M96" s="124">
        <f>(IF((VLOOKUP(Table1[[#This Row],[SKU]],'All Skus'!$A:$AC,2,FALSE))="AKG",(VLOOKUP(Table1[[#This Row],[SKU]],'All Skus'!$A:$AC,17,FALSE)),""))</f>
        <v>9002761004588</v>
      </c>
      <c r="N96" s="64">
        <f>(IF((VLOOKUP(Table1[[#This Row],[SKU]],'All Skus'!$A:$AC,2,FALSE))="AKG",(VLOOKUP(Table1[[#This Row],[SKU]],'All Skus'!$A:$AC,18,FALSE)),""))</f>
        <v>5</v>
      </c>
      <c r="O96" s="64">
        <f>(IF((VLOOKUP(Table1[[#This Row],[SKU]],'All Skus'!$A:$AC,2,FALSE))="AKG",(VLOOKUP(Table1[[#This Row],[SKU]],'All Skus'!$A:$AC,19,FALSE)),""))</f>
        <v>5</v>
      </c>
      <c r="P96" s="64">
        <f>(IF((VLOOKUP(Table1[[#This Row],[SKU]],'All Skus'!$A:$AC,2,FALSE))="AKG",(VLOOKUP(Table1[[#This Row],[SKU]],'All Skus'!$A:$AC,20,FALSE)),""))</f>
        <v>27</v>
      </c>
      <c r="Q96" s="64">
        <f>(IF((VLOOKUP(Table1[[#This Row],[SKU]],'All Skus'!$A:$AC,2,FALSE))="AKG",(VLOOKUP(Table1[[#This Row],[SKU]],'All Skus'!$A:$AC,21,FALSE)),""))</f>
        <v>3.2</v>
      </c>
      <c r="R96" s="64" t="str">
        <f>(IF((VLOOKUP(Table1[[#This Row],[SKU]],'All Skus'!$A:$AC,2,FALSE))="AKG",(VLOOKUP(Table1[[#This Row],[SKU]],'All Skus'!$A:$AC,22,FALSE)),""))</f>
        <v>TW</v>
      </c>
      <c r="S96" s="64" t="str">
        <f>(IF((VLOOKUP(Table1[[#This Row],[SKU]],'All Skus'!$A:$AC,2,FALSE))="AKG",(VLOOKUP(Table1[[#This Row],[SKU]],'All Skus'!$A:$AC,23,FALSE)),""))</f>
        <v>Compliant</v>
      </c>
      <c r="T96" s="210" t="str">
        <f>HYPERLINK((IF((VLOOKUP(Table1[[#This Row],[SKU]],'All Skus'!$A:$AC,2,FALSE))="AKG",(VLOOKUP(Table1[[#This Row],[SKU]],'All Skus'!$A:$AC,24,FALSE)),"")))</f>
        <v>https://www.akg.com/modular-microphones-components/2765H00090.html</v>
      </c>
      <c r="U96" s="151">
        <v>94</v>
      </c>
    </row>
    <row r="97" spans="1:21" ht="15" hidden="1" customHeight="1">
      <c r="A97" s="50" t="s">
        <v>254</v>
      </c>
      <c r="B97" s="52" t="str">
        <f>(IF((VLOOKUP(Table1[[#This Row],[SKU]],'All Skus'!$A:$AC,2,FALSE))="AKG",(VLOOKUP(Table1[[#This Row],[SKU]],'All Skus'!$A:$AC,3,FALSE)), ""))</f>
        <v>Installed</v>
      </c>
      <c r="C97" s="60" t="str">
        <f>(IF((VLOOKUP(Table1[[#This Row],[SKU]],'All Skus'!$A:$AC,2,FALSE))="AKG",(VLOOKUP(Table1[[#This Row],[SKU]],'All Skus'!$A:$AC,4,FALSE)),""))</f>
        <v>GN50 CS</v>
      </c>
      <c r="D97" s="60" t="str">
        <f>(IF((VLOOKUP(Table1[[#This Row],[SKU]],'All Skus'!$A:$AC,2,FALSE))="AKG",(VLOOKUP(Table1[[#This Row],[SKU]],'All Skus'!$A:$AC,5,FALSE)),""))</f>
        <v>AT510000</v>
      </c>
      <c r="E97" s="60">
        <f>(IF((VLOOKUP(Table1[[#This Row],[SKU]],'All Skus'!$A:$AC,2,FALSE))="AKG",(VLOOKUP(Table1[[#This Row],[SKU]],'All Skus'!$A:$AC,6,FALSE)),""))</f>
        <v>0</v>
      </c>
      <c r="F97" s="60">
        <f>(IF((VLOOKUP(Table1[[#This Row],[SKU]],'All Skus'!$A:$AC,2,FALSE))="AKG",(VLOOKUP(Table1[[#This Row],[SKU]],'All Skus'!$A:$AC,7,FALSE)),""))</f>
        <v>0</v>
      </c>
      <c r="G97" s="45" t="str">
        <f>(IF((VLOOKUP(Table1[[#This Row],[SKU]],'All Skus'!$A:$AC,2,FALSE))="AKG",(VLOOKUP(Table1[[#This Row],[SKU]],'All Skus'!$A:$AC,8,FALSE)),""))</f>
        <v>Gooseneck Microphone</v>
      </c>
      <c r="H97" s="45" t="str">
        <f>(IF((VLOOKUP(Table1[[#This Row],[SKU]],'All Skus'!$A:$AC,2,FALSE))="AKG",(VLOOKUP(Table1[[#This Row],[SKU]],'All Skus'!$A:$AC,9,FALSE)),""))</f>
        <v>Gooseneck module - 50 cm; for use with CS5 conferencing systems</v>
      </c>
      <c r="I97" s="141">
        <f>(IF((VLOOKUP(Table1[[#This Row],[SKU]],'All Skus'!$A:$AC,2,FALSE))="AKG",(VLOOKUP(Table1[[#This Row],[SKU]],'All Skus'!$A:$AC,10,FALSE)),""))</f>
        <v>246.06</v>
      </c>
      <c r="J97" s="141">
        <f>(IF((VLOOKUP(Table1[[#This Row],[SKU]],'All Skus'!$A:$AC,2,FALSE))="AKG",(VLOOKUP(Table1[[#This Row],[SKU]],'All Skus'!$A:$AC,11,FALSE)),""))</f>
        <v>195</v>
      </c>
      <c r="K97" s="125">
        <f>(IF((VLOOKUP(Table1[[#This Row],[SKU]],'All Skus'!$A:$AC,2,FALSE))="AKG",(VLOOKUP(Table1[[#This Row],[SKU]],'All Skus'!$A:$AC,15,FALSE)),""))</f>
        <v>25</v>
      </c>
      <c r="L97" s="124">
        <f>(IF((VLOOKUP(Table1[[#This Row],[SKU]],'All Skus'!$A:$AC,2,FALSE))="AKG",(VLOOKUP(Table1[[#This Row],[SKU]],'All Skus'!$A:$AC,16,FALSE)),""))</f>
        <v>885038005711</v>
      </c>
      <c r="M97" s="124">
        <f>(IF((VLOOKUP(Table1[[#This Row],[SKU]],'All Skus'!$A:$AC,2,FALSE))="AKG",(VLOOKUP(Table1[[#This Row],[SKU]],'All Skus'!$A:$AC,17,FALSE)),""))</f>
        <v>9002761005714</v>
      </c>
      <c r="N97" s="64">
        <f>(IF((VLOOKUP(Table1[[#This Row],[SKU]],'All Skus'!$A:$AC,2,FALSE))="AKG",(VLOOKUP(Table1[[#This Row],[SKU]],'All Skus'!$A:$AC,18,FALSE)),""))</f>
        <v>3</v>
      </c>
      <c r="O97" s="64">
        <f>(IF((VLOOKUP(Table1[[#This Row],[SKU]],'All Skus'!$A:$AC,2,FALSE))="AKG",(VLOOKUP(Table1[[#This Row],[SKU]],'All Skus'!$A:$AC,19,FALSE)),""))</f>
        <v>26</v>
      </c>
      <c r="P97" s="64">
        <f>(IF((VLOOKUP(Table1[[#This Row],[SKU]],'All Skus'!$A:$AC,2,FALSE))="AKG",(VLOOKUP(Table1[[#This Row],[SKU]],'All Skus'!$A:$AC,20,FALSE)),""))</f>
        <v>3</v>
      </c>
      <c r="Q97" s="64">
        <f>(IF((VLOOKUP(Table1[[#This Row],[SKU]],'All Skus'!$A:$AC,2,FALSE))="AKG",(VLOOKUP(Table1[[#This Row],[SKU]],'All Skus'!$A:$AC,21,FALSE)),""))</f>
        <v>2.8</v>
      </c>
      <c r="R97" s="64" t="str">
        <f>(IF((VLOOKUP(Table1[[#This Row],[SKU]],'All Skus'!$A:$AC,2,FALSE))="AKG",(VLOOKUP(Table1[[#This Row],[SKU]],'All Skus'!$A:$AC,22,FALSE)),""))</f>
        <v>TW</v>
      </c>
      <c r="S97" s="64" t="str">
        <f>(IF((VLOOKUP(Table1[[#This Row],[SKU]],'All Skus'!$A:$AC,2,FALSE))="AKG",(VLOOKUP(Table1[[#This Row],[SKU]],'All Skus'!$A:$AC,23,FALSE)),""))</f>
        <v>Compliant</v>
      </c>
      <c r="T97" s="210" t="str">
        <f>HYPERLINK((IF((VLOOKUP(Table1[[#This Row],[SKU]],'All Skus'!$A:$AC,2,FALSE))="AKG",(VLOOKUP(Table1[[#This Row],[SKU]],'All Skus'!$A:$AC,24,FALSE)),"")))</f>
        <v>https://www.akg.com/modular-microphones-components/GN50.html?dwvar_GN50_color=Grey-GLOBAL-Current</v>
      </c>
      <c r="U97" s="151">
        <v>95</v>
      </c>
    </row>
    <row r="98" spans="1:21" ht="15" hidden="1" customHeight="1">
      <c r="A98" s="48" t="s">
        <v>255</v>
      </c>
      <c r="B98" s="52" t="str">
        <f>(IF((VLOOKUP(Table1[[#This Row],[SKU]],'All Skus'!$A:$AC,2,FALSE))="AKG",(VLOOKUP(Table1[[#This Row],[SKU]],'All Skus'!$A:$AC,3,FALSE)), ""))</f>
        <v>Installed</v>
      </c>
      <c r="C98" s="60" t="str">
        <f>(IF((VLOOKUP(Table1[[#This Row],[SKU]],'All Skus'!$A:$AC,2,FALSE))="AKG",(VLOOKUP(Table1[[#This Row],[SKU]],'All Skus'!$A:$AC,4,FALSE)),""))</f>
        <v xml:space="preserve">GN50 E 5-pin     </v>
      </c>
      <c r="D98" s="60" t="str">
        <f>(IF((VLOOKUP(Table1[[#This Row],[SKU]],'All Skus'!$A:$AC,2,FALSE))="AKG",(VLOOKUP(Table1[[#This Row],[SKU]],'All Skus'!$A:$AC,5,FALSE)),""))</f>
        <v>AT510000</v>
      </c>
      <c r="E98" s="60">
        <f>(IF((VLOOKUP(Table1[[#This Row],[SKU]],'All Skus'!$A:$AC,2,FALSE))="AKG",(VLOOKUP(Table1[[#This Row],[SKU]],'All Skus'!$A:$AC,6,FALSE)),""))</f>
        <v>0</v>
      </c>
      <c r="F98" s="60">
        <f>(IF((VLOOKUP(Table1[[#This Row],[SKU]],'All Skus'!$A:$AC,2,FALSE))="AKG",(VLOOKUP(Table1[[#This Row],[SKU]],'All Skus'!$A:$AC,7,FALSE)),""))</f>
        <v>0</v>
      </c>
      <c r="G98" s="45" t="str">
        <f>(IF((VLOOKUP(Table1[[#This Row],[SKU]],'All Skus'!$A:$AC,2,FALSE))="AKG",(VLOOKUP(Table1[[#This Row],[SKU]],'All Skus'!$A:$AC,8,FALSE)),""))</f>
        <v>Gooseneck Microphone</v>
      </c>
      <c r="H98" s="45" t="str">
        <f>(IF((VLOOKUP(Table1[[#This Row],[SKU]],'All Skus'!$A:$AC,2,FALSE))="AKG",(VLOOKUP(Table1[[#This Row],[SKU]],'All Skus'!$A:$AC,9,FALSE)),""))</f>
        <v>Rugged 50 cm gooseneck with integrated 5-pin XLR connector &amp; phantom power adapter, provides 2 additional pins for LED control</v>
      </c>
      <c r="I98" s="141">
        <f>(IF((VLOOKUP(Table1[[#This Row],[SKU]],'All Skus'!$A:$AC,2,FALSE))="AKG",(VLOOKUP(Table1[[#This Row],[SKU]],'All Skus'!$A:$AC,10,FALSE)),""))</f>
        <v>307.88</v>
      </c>
      <c r="J98" s="141">
        <f>(IF((VLOOKUP(Table1[[#This Row],[SKU]],'All Skus'!$A:$AC,2,FALSE))="AKG",(VLOOKUP(Table1[[#This Row],[SKU]],'All Skus'!$A:$AC,11,FALSE)),""))</f>
        <v>247</v>
      </c>
      <c r="K98" s="125">
        <f>(IF((VLOOKUP(Table1[[#This Row],[SKU]],'All Skus'!$A:$AC,2,FALSE))="AKG",(VLOOKUP(Table1[[#This Row],[SKU]],'All Skus'!$A:$AC,15,FALSE)),""))</f>
        <v>25</v>
      </c>
      <c r="L98" s="124">
        <f>(IF((VLOOKUP(Table1[[#This Row],[SKU]],'All Skus'!$A:$AC,2,FALSE))="AKG",(VLOOKUP(Table1[[#This Row],[SKU]],'All Skus'!$A:$AC,16,FALSE)),""))</f>
        <v>885038008484</v>
      </c>
      <c r="M98" s="124">
        <f>(IF((VLOOKUP(Table1[[#This Row],[SKU]],'All Skus'!$A:$AC,2,FALSE))="AKG",(VLOOKUP(Table1[[#This Row],[SKU]],'All Skus'!$A:$AC,17,FALSE)),""))</f>
        <v>9002761008487</v>
      </c>
      <c r="N98" s="64">
        <f>(IF((VLOOKUP(Table1[[#This Row],[SKU]],'All Skus'!$A:$AC,2,FALSE))="AKG",(VLOOKUP(Table1[[#This Row],[SKU]],'All Skus'!$A:$AC,18,FALSE)),""))</f>
        <v>3</v>
      </c>
      <c r="O98" s="64">
        <f>(IF((VLOOKUP(Table1[[#This Row],[SKU]],'All Skus'!$A:$AC,2,FALSE))="AKG",(VLOOKUP(Table1[[#This Row],[SKU]],'All Skus'!$A:$AC,19,FALSE)),""))</f>
        <v>4</v>
      </c>
      <c r="P98" s="64">
        <f>(IF((VLOOKUP(Table1[[#This Row],[SKU]],'All Skus'!$A:$AC,2,FALSE))="AKG",(VLOOKUP(Table1[[#This Row],[SKU]],'All Skus'!$A:$AC,20,FALSE)),""))</f>
        <v>27</v>
      </c>
      <c r="Q98" s="64">
        <f>(IF((VLOOKUP(Table1[[#This Row],[SKU]],'All Skus'!$A:$AC,2,FALSE))="AKG",(VLOOKUP(Table1[[#This Row],[SKU]],'All Skus'!$A:$AC,21,FALSE)),""))</f>
        <v>3</v>
      </c>
      <c r="R98" s="64" t="str">
        <f>(IF((VLOOKUP(Table1[[#This Row],[SKU]],'All Skus'!$A:$AC,2,FALSE))="AKG",(VLOOKUP(Table1[[#This Row],[SKU]],'All Skus'!$A:$AC,22,FALSE)),""))</f>
        <v>TW</v>
      </c>
      <c r="S98" s="64" t="str">
        <f>(IF((VLOOKUP(Table1[[#This Row],[SKU]],'All Skus'!$A:$AC,2,FALSE))="AKG",(VLOOKUP(Table1[[#This Row],[SKU]],'All Skus'!$A:$AC,23,FALSE)),""))</f>
        <v>Compliant</v>
      </c>
      <c r="T98" s="210" t="str">
        <f>HYPERLINK((IF((VLOOKUP(Table1[[#This Row],[SKU]],'All Skus'!$A:$AC,2,FALSE))="AKG",(VLOOKUP(Table1[[#This Row],[SKU]],'All Skus'!$A:$AC,24,FALSE)),"")))</f>
        <v>https://www.akg.com/modular-microphones-components/2765H00410.html</v>
      </c>
      <c r="U98" s="151">
        <v>96</v>
      </c>
    </row>
    <row r="99" spans="1:21" ht="15" hidden="1" customHeight="1">
      <c r="A99" s="48" t="s">
        <v>256</v>
      </c>
      <c r="B99" s="52" t="str">
        <f>(IF((VLOOKUP(Table1[[#This Row],[SKU]],'All Skus'!$A:$AC,2,FALSE))="AKG",(VLOOKUP(Table1[[#This Row],[SKU]],'All Skus'!$A:$AC,3,FALSE)), ""))</f>
        <v>Installed</v>
      </c>
      <c r="C99" s="60" t="str">
        <f>(IF((VLOOKUP(Table1[[#This Row],[SKU]],'All Skus'!$A:$AC,2,FALSE))="AKG",(VLOOKUP(Table1[[#This Row],[SKU]],'All Skus'!$A:$AC,4,FALSE)),""))</f>
        <v>GN50 ESP incl. windscreen</v>
      </c>
      <c r="D99" s="60" t="str">
        <f>(IF((VLOOKUP(Table1[[#This Row],[SKU]],'All Skus'!$A:$AC,2,FALSE))="AKG",(VLOOKUP(Table1[[#This Row],[SKU]],'All Skus'!$A:$AC,5,FALSE)),""))</f>
        <v>AT510000</v>
      </c>
      <c r="E99" s="60">
        <f>(IF((VLOOKUP(Table1[[#This Row],[SKU]],'All Skus'!$A:$AC,2,FALSE))="AKG",(VLOOKUP(Table1[[#This Row],[SKU]],'All Skus'!$A:$AC,6,FALSE)),""))</f>
        <v>0</v>
      </c>
      <c r="F99" s="60">
        <f>(IF((VLOOKUP(Table1[[#This Row],[SKU]],'All Skus'!$A:$AC,2,FALSE))="AKG",(VLOOKUP(Table1[[#This Row],[SKU]],'All Skus'!$A:$AC,7,FALSE)),""))</f>
        <v>0</v>
      </c>
      <c r="G99" s="45" t="str">
        <f>(IF((VLOOKUP(Table1[[#This Row],[SKU]],'All Skus'!$A:$AC,2,FALSE))="AKG",(VLOOKUP(Table1[[#This Row],[SKU]],'All Skus'!$A:$AC,8,FALSE)),""))</f>
        <v>Gooseneck Microphone</v>
      </c>
      <c r="H99" s="45" t="str">
        <f>(IF((VLOOKUP(Table1[[#This Row],[SKU]],'All Skus'!$A:$AC,2,FALSE))="AKG",(VLOOKUP(Table1[[#This Row],[SKU]],'All Skus'!$A:$AC,9,FALSE)),""))</f>
        <v>Rugged 50 cm gooseneck module, programmable mute switch (on/off, push-to-talk, push-to-mute),high RFI immunity, LED ring, XLR connector</v>
      </c>
      <c r="I99" s="141">
        <f>(IF((VLOOKUP(Table1[[#This Row],[SKU]],'All Skus'!$A:$AC,2,FALSE))="AKG",(VLOOKUP(Table1[[#This Row],[SKU]],'All Skus'!$A:$AC,10,FALSE)),""))</f>
        <v>431.53</v>
      </c>
      <c r="J99" s="141">
        <f>(IF((VLOOKUP(Table1[[#This Row],[SKU]],'All Skus'!$A:$AC,2,FALSE))="AKG",(VLOOKUP(Table1[[#This Row],[SKU]],'All Skus'!$A:$AC,11,FALSE)),""))</f>
        <v>346</v>
      </c>
      <c r="K99" s="125">
        <f>(IF((VLOOKUP(Table1[[#This Row],[SKU]],'All Skus'!$A:$AC,2,FALSE))="AKG",(VLOOKUP(Table1[[#This Row],[SKU]],'All Skus'!$A:$AC,15,FALSE)),""))</f>
        <v>25</v>
      </c>
      <c r="L99" s="124">
        <f>(IF((VLOOKUP(Table1[[#This Row],[SKU]],'All Skus'!$A:$AC,2,FALSE))="AKG",(VLOOKUP(Table1[[#This Row],[SKU]],'All Skus'!$A:$AC,16,FALSE)),""))</f>
        <v>885038016397</v>
      </c>
      <c r="M99" s="124">
        <f>(IF((VLOOKUP(Table1[[#This Row],[SKU]],'All Skus'!$A:$AC,2,FALSE))="AKG",(VLOOKUP(Table1[[#This Row],[SKU]],'All Skus'!$A:$AC,17,FALSE)),""))</f>
        <v>9002761016390</v>
      </c>
      <c r="N99" s="64">
        <f>(IF((VLOOKUP(Table1[[#This Row],[SKU]],'All Skus'!$A:$AC,2,FALSE))="AKG",(VLOOKUP(Table1[[#This Row],[SKU]],'All Skus'!$A:$AC,18,FALSE)),""))</f>
        <v>26</v>
      </c>
      <c r="O99" s="64">
        <f>(IF((VLOOKUP(Table1[[#This Row],[SKU]],'All Skus'!$A:$AC,2,FALSE))="AKG",(VLOOKUP(Table1[[#This Row],[SKU]],'All Skus'!$A:$AC,19,FALSE)),""))</f>
        <v>3</v>
      </c>
      <c r="P99" s="64">
        <f>(IF((VLOOKUP(Table1[[#This Row],[SKU]],'All Skus'!$A:$AC,2,FALSE))="AKG",(VLOOKUP(Table1[[#This Row],[SKU]],'All Skus'!$A:$AC,20,FALSE)),""))</f>
        <v>5</v>
      </c>
      <c r="Q99" s="64">
        <f>(IF((VLOOKUP(Table1[[#This Row],[SKU]],'All Skus'!$A:$AC,2,FALSE))="AKG",(VLOOKUP(Table1[[#This Row],[SKU]],'All Skus'!$A:$AC,21,FALSE)),""))</f>
        <v>3</v>
      </c>
      <c r="R99" s="64" t="str">
        <f>(IF((VLOOKUP(Table1[[#This Row],[SKU]],'All Skus'!$A:$AC,2,FALSE))="AKG",(VLOOKUP(Table1[[#This Row],[SKU]],'All Skus'!$A:$AC,22,FALSE)),""))</f>
        <v>TW</v>
      </c>
      <c r="S99" s="64" t="str">
        <f>(IF((VLOOKUP(Table1[[#This Row],[SKU]],'All Skus'!$A:$AC,2,FALSE))="AKG",(VLOOKUP(Table1[[#This Row],[SKU]],'All Skus'!$A:$AC,23,FALSE)),""))</f>
        <v>Compliant</v>
      </c>
      <c r="T99" s="210" t="str">
        <f>HYPERLINK((IF((VLOOKUP(Table1[[#This Row],[SKU]],'All Skus'!$A:$AC,2,FALSE))="AKG",(VLOOKUP(Table1[[#This Row],[SKU]],'All Skus'!$A:$AC,24,FALSE)),"")))</f>
        <v>https://www.akg.com/modular-microphones-components/2765H00470.html</v>
      </c>
      <c r="U99" s="151">
        <v>97</v>
      </c>
    </row>
    <row r="100" spans="1:21" ht="15" hidden="1" customHeight="1">
      <c r="A100" s="48" t="s">
        <v>257</v>
      </c>
      <c r="B100" s="52" t="str">
        <f>(IF((VLOOKUP(Table1[[#This Row],[SKU]],'All Skus'!$A:$AC,2,FALSE))="AKG",(VLOOKUP(Table1[[#This Row],[SKU]],'All Skus'!$A:$AC,3,FALSE)), ""))</f>
        <v>Installed</v>
      </c>
      <c r="C100" s="60" t="str">
        <f>(IF((VLOOKUP(Table1[[#This Row],[SKU]],'All Skus'!$A:$AC,2,FALSE))="AKG",(VLOOKUP(Table1[[#This Row],[SKU]],'All Skus'!$A:$AC,4,FALSE)),""))</f>
        <v>GN50 M</v>
      </c>
      <c r="D100" s="60" t="str">
        <f>(IF((VLOOKUP(Table1[[#This Row],[SKU]],'All Skus'!$A:$AC,2,FALSE))="AKG",(VLOOKUP(Table1[[#This Row],[SKU]],'All Skus'!$A:$AC,5,FALSE)),""))</f>
        <v>AT510000</v>
      </c>
      <c r="E100" s="60">
        <f>(IF((VLOOKUP(Table1[[#This Row],[SKU]],'All Skus'!$A:$AC,2,FALSE))="AKG",(VLOOKUP(Table1[[#This Row],[SKU]],'All Skus'!$A:$AC,6,FALSE)),""))</f>
        <v>0</v>
      </c>
      <c r="F100" s="60">
        <f>(IF((VLOOKUP(Table1[[#This Row],[SKU]],'All Skus'!$A:$AC,2,FALSE))="AKG",(VLOOKUP(Table1[[#This Row],[SKU]],'All Skus'!$A:$AC,7,FALSE)),""))</f>
        <v>0</v>
      </c>
      <c r="G100" s="45" t="str">
        <f>(IF((VLOOKUP(Table1[[#This Row],[SKU]],'All Skus'!$A:$AC,2,FALSE))="AKG",(VLOOKUP(Table1[[#This Row],[SKU]],'All Skus'!$A:$AC,8,FALSE)),""))</f>
        <v>Gooseneck Microphone</v>
      </c>
      <c r="H100" s="45" t="str">
        <f>(IF((VLOOKUP(Table1[[#This Row],[SKU]],'All Skus'!$A:$AC,2,FALSE))="AKG",(VLOOKUP(Table1[[#This Row],[SKU]],'All Skus'!$A:$AC,9,FALSE)),""))</f>
        <v>50cm gooseneck module; does not include capsule or powering module.</v>
      </c>
      <c r="I100" s="141">
        <f>(IF((VLOOKUP(Table1[[#This Row],[SKU]],'All Skus'!$A:$AC,2,FALSE))="AKG",(VLOOKUP(Table1[[#This Row],[SKU]],'All Skus'!$A:$AC,10,FALSE)),""))</f>
        <v>246.06</v>
      </c>
      <c r="J100" s="141">
        <f>(IF((VLOOKUP(Table1[[#This Row],[SKU]],'All Skus'!$A:$AC,2,FALSE))="AKG",(VLOOKUP(Table1[[#This Row],[SKU]],'All Skus'!$A:$AC,11,FALSE)),""))</f>
        <v>195</v>
      </c>
      <c r="K100" s="125">
        <f>(IF((VLOOKUP(Table1[[#This Row],[SKU]],'All Skus'!$A:$AC,2,FALSE))="AKG",(VLOOKUP(Table1[[#This Row],[SKU]],'All Skus'!$A:$AC,15,FALSE)),""))</f>
        <v>0</v>
      </c>
      <c r="L100" s="124">
        <f>(IF((VLOOKUP(Table1[[#This Row],[SKU]],'All Skus'!$A:$AC,2,FALSE))="AKG",(VLOOKUP(Table1[[#This Row],[SKU]],'All Skus'!$A:$AC,16,FALSE)),""))</f>
        <v>885038030669</v>
      </c>
      <c r="M100" s="124">
        <f>(IF((VLOOKUP(Table1[[#This Row],[SKU]],'All Skus'!$A:$AC,2,FALSE))="AKG",(VLOOKUP(Table1[[#This Row],[SKU]],'All Skus'!$A:$AC,17,FALSE)),""))</f>
        <v>9002761030662</v>
      </c>
      <c r="N100" s="64">
        <f>(IF((VLOOKUP(Table1[[#This Row],[SKU]],'All Skus'!$A:$AC,2,FALSE))="AKG",(VLOOKUP(Table1[[#This Row],[SKU]],'All Skus'!$A:$AC,18,FALSE)),""))</f>
        <v>1.5</v>
      </c>
      <c r="O100" s="64">
        <f>(IF((VLOOKUP(Table1[[#This Row],[SKU]],'All Skus'!$A:$AC,2,FALSE))="AKG",(VLOOKUP(Table1[[#This Row],[SKU]],'All Skus'!$A:$AC,19,FALSE)),""))</f>
        <v>21</v>
      </c>
      <c r="P100" s="64">
        <f>(IF((VLOOKUP(Table1[[#This Row],[SKU]],'All Skus'!$A:$AC,2,FALSE))="AKG",(VLOOKUP(Table1[[#This Row],[SKU]],'All Skus'!$A:$AC,20,FALSE)),""))</f>
        <v>1.5</v>
      </c>
      <c r="Q100" s="64">
        <f>(IF((VLOOKUP(Table1[[#This Row],[SKU]],'All Skus'!$A:$AC,2,FALSE))="AKG",(VLOOKUP(Table1[[#This Row],[SKU]],'All Skus'!$A:$AC,21,FALSE)),""))</f>
        <v>1.28</v>
      </c>
      <c r="R100" s="64" t="str">
        <f>(IF((VLOOKUP(Table1[[#This Row],[SKU]],'All Skus'!$A:$AC,2,FALSE))="AKG",(VLOOKUP(Table1[[#This Row],[SKU]],'All Skus'!$A:$AC,22,FALSE)),""))</f>
        <v>TW</v>
      </c>
      <c r="S100" s="64" t="str">
        <f>(IF((VLOOKUP(Table1[[#This Row],[SKU]],'All Skus'!$A:$AC,2,FALSE))="AKG",(VLOOKUP(Table1[[#This Row],[SKU]],'All Skus'!$A:$AC,23,FALSE)),""))</f>
        <v>Compliant</v>
      </c>
      <c r="T100" s="210" t="str">
        <f>HYPERLINK((IF((VLOOKUP(Table1[[#This Row],[SKU]],'All Skus'!$A:$AC,2,FALSE))="AKG",(VLOOKUP(Table1[[#This Row],[SKU]],'All Skus'!$A:$AC,24,FALSE)),"")))</f>
        <v>https://www.akg.com/modular-microphones-components/3165H00100.html</v>
      </c>
      <c r="U100" s="151">
        <v>98</v>
      </c>
    </row>
    <row r="101" spans="1:21" ht="15" hidden="1" customHeight="1">
      <c r="A101" s="48" t="s">
        <v>258</v>
      </c>
      <c r="B101" s="52" t="str">
        <f>(IF((VLOOKUP(Table1[[#This Row],[SKU]],'All Skus'!$A:$AC,2,FALSE))="AKG",(VLOOKUP(Table1[[#This Row],[SKU]],'All Skus'!$A:$AC,3,FALSE)), ""))</f>
        <v>Installed</v>
      </c>
      <c r="C101" s="60" t="str">
        <f>(IF((VLOOKUP(Table1[[#This Row],[SKU]],'All Skus'!$A:$AC,2,FALSE))="AKG",(VLOOKUP(Table1[[#This Row],[SKU]],'All Skus'!$A:$AC,4,FALSE)),""))</f>
        <v>CGN99 C/S</v>
      </c>
      <c r="D101" s="60" t="str">
        <f>(IF((VLOOKUP(Table1[[#This Row],[SKU]],'All Skus'!$A:$AC,2,FALSE))="AKG",(VLOOKUP(Table1[[#This Row],[SKU]],'All Skus'!$A:$AC,5,FALSE)),""))</f>
        <v>AT510000</v>
      </c>
      <c r="E101" s="60">
        <f>(IF((VLOOKUP(Table1[[#This Row],[SKU]],'All Skus'!$A:$AC,2,FALSE))="AKG",(VLOOKUP(Table1[[#This Row],[SKU]],'All Skus'!$A:$AC,6,FALSE)),""))</f>
        <v>0</v>
      </c>
      <c r="F101" s="60">
        <f>(IF((VLOOKUP(Table1[[#This Row],[SKU]],'All Skus'!$A:$AC,2,FALSE))="AKG",(VLOOKUP(Table1[[#This Row],[SKU]],'All Skus'!$A:$AC,7,FALSE)),""))</f>
        <v>0</v>
      </c>
      <c r="G101" s="45" t="str">
        <f>(IF((VLOOKUP(Table1[[#This Row],[SKU]],'All Skus'!$A:$AC,2,FALSE))="AKG",(VLOOKUP(Table1[[#This Row],[SKU]],'All Skus'!$A:$AC,8,FALSE)),""))</f>
        <v>Gooseneck Microphone</v>
      </c>
      <c r="H101" s="45" t="str">
        <f>(IF((VLOOKUP(Table1[[#This Row],[SKU]],'All Skus'!$A:$AC,2,FALSE))="AKG",(VLOOKUP(Table1[[#This Row],[SKU]],'All Skus'!$A:$AC,9,FALSE)),""))</f>
        <v>Cardioid condenser microphone on 30cm Gooseneck, phantom powering module with XLR connector included</v>
      </c>
      <c r="I101" s="141">
        <f>(IF((VLOOKUP(Table1[[#This Row],[SKU]],'All Skus'!$A:$AC,2,FALSE))="AKG",(VLOOKUP(Table1[[#This Row],[SKU]],'All Skus'!$A:$AC,10,FALSE)),""))</f>
        <v>233.69</v>
      </c>
      <c r="J101" s="141">
        <f>(IF((VLOOKUP(Table1[[#This Row],[SKU]],'All Skus'!$A:$AC,2,FALSE))="AKG",(VLOOKUP(Table1[[#This Row],[SKU]],'All Skus'!$A:$AC,11,FALSE)),""))</f>
        <v>181</v>
      </c>
      <c r="K101" s="125">
        <f>(IF((VLOOKUP(Table1[[#This Row],[SKU]],'All Skus'!$A:$AC,2,FALSE))="AKG",(VLOOKUP(Table1[[#This Row],[SKU]],'All Skus'!$A:$AC,15,FALSE)),""))</f>
        <v>20</v>
      </c>
      <c r="L101" s="124">
        <f>(IF((VLOOKUP(Table1[[#This Row],[SKU]],'All Skus'!$A:$AC,2,FALSE))="AKG",(VLOOKUP(Table1[[#This Row],[SKU]],'All Skus'!$A:$AC,16,FALSE)),""))</f>
        <v>885038028345</v>
      </c>
      <c r="M101" s="124">
        <f>(IF((VLOOKUP(Table1[[#This Row],[SKU]],'All Skus'!$A:$AC,2,FALSE))="AKG",(VLOOKUP(Table1[[#This Row],[SKU]],'All Skus'!$A:$AC,17,FALSE)),""))</f>
        <v>9002761028348</v>
      </c>
      <c r="N101" s="64">
        <f>(IF((VLOOKUP(Table1[[#This Row],[SKU]],'All Skus'!$A:$AC,2,FALSE))="AKG",(VLOOKUP(Table1[[#This Row],[SKU]],'All Skus'!$A:$AC,18,FALSE)),""))</f>
        <v>3</v>
      </c>
      <c r="O101" s="64">
        <f>(IF((VLOOKUP(Table1[[#This Row],[SKU]],'All Skus'!$A:$AC,2,FALSE))="AKG",(VLOOKUP(Table1[[#This Row],[SKU]],'All Skus'!$A:$AC,19,FALSE)),""))</f>
        <v>25</v>
      </c>
      <c r="P101" s="64">
        <f>(IF((VLOOKUP(Table1[[#This Row],[SKU]],'All Skus'!$A:$AC,2,FALSE))="AKG",(VLOOKUP(Table1[[#This Row],[SKU]],'All Skus'!$A:$AC,20,FALSE)),""))</f>
        <v>3</v>
      </c>
      <c r="Q101" s="64">
        <f>(IF((VLOOKUP(Table1[[#This Row],[SKU]],'All Skus'!$A:$AC,2,FALSE))="AKG",(VLOOKUP(Table1[[#This Row],[SKU]],'All Skus'!$A:$AC,21,FALSE)),""))</f>
        <v>3.6</v>
      </c>
      <c r="R101" s="64" t="str">
        <f>(IF((VLOOKUP(Table1[[#This Row],[SKU]],'All Skus'!$A:$AC,2,FALSE))="AKG",(VLOOKUP(Table1[[#This Row],[SKU]],'All Skus'!$A:$AC,22,FALSE)),""))</f>
        <v>CN</v>
      </c>
      <c r="S101" s="64" t="str">
        <f>(IF((VLOOKUP(Table1[[#This Row],[SKU]],'All Skus'!$A:$AC,2,FALSE))="AKG",(VLOOKUP(Table1[[#This Row],[SKU]],'All Skus'!$A:$AC,23,FALSE)),""))</f>
        <v>Non Compliant</v>
      </c>
      <c r="T101" s="210" t="str">
        <f>HYPERLINK((IF((VLOOKUP(Table1[[#This Row],[SKU]],'All Skus'!$A:$AC,2,FALSE))="AKG",(VLOOKUP(Table1[[#This Row],[SKU]],'All Skus'!$A:$AC,24,FALSE)),"")))</f>
        <v>https://www.akg.com/Microphones/modular-microphones-components/2965H00110.html</v>
      </c>
      <c r="U101" s="151">
        <v>99</v>
      </c>
    </row>
    <row r="102" spans="1:21" ht="15" hidden="1" customHeight="1">
      <c r="A102" s="50" t="s">
        <v>259</v>
      </c>
      <c r="B102" s="52" t="str">
        <f>(IF((VLOOKUP(Table1[[#This Row],[SKU]],'All Skus'!$A:$AC,2,FALSE))="AKG",(VLOOKUP(Table1[[#This Row],[SKU]],'All Skus'!$A:$AC,3,FALSE)), ""))</f>
        <v>Installed</v>
      </c>
      <c r="C102" s="60" t="str">
        <f>(IF((VLOOKUP(Table1[[#This Row],[SKU]],'All Skus'!$A:$AC,2,FALSE))="AKG",(VLOOKUP(Table1[[#This Row],[SKU]],'All Skus'!$A:$AC,4,FALSE)),""))</f>
        <v>CGN99 C/L</v>
      </c>
      <c r="D102" s="60" t="str">
        <f>(IF((VLOOKUP(Table1[[#This Row],[SKU]],'All Skus'!$A:$AC,2,FALSE))="AKG",(VLOOKUP(Table1[[#This Row],[SKU]],'All Skus'!$A:$AC,5,FALSE)),""))</f>
        <v>AT510000</v>
      </c>
      <c r="E102" s="60">
        <f>(IF((VLOOKUP(Table1[[#This Row],[SKU]],'All Skus'!$A:$AC,2,FALSE))="AKG",(VLOOKUP(Table1[[#This Row],[SKU]],'All Skus'!$A:$AC,6,FALSE)),""))</f>
        <v>0</v>
      </c>
      <c r="F102" s="60">
        <f>(IF((VLOOKUP(Table1[[#This Row],[SKU]],'All Skus'!$A:$AC,2,FALSE))="AKG",(VLOOKUP(Table1[[#This Row],[SKU]],'All Skus'!$A:$AC,7,FALSE)),""))</f>
        <v>0</v>
      </c>
      <c r="G102" s="45" t="str">
        <f>(IF((VLOOKUP(Table1[[#This Row],[SKU]],'All Skus'!$A:$AC,2,FALSE))="AKG",(VLOOKUP(Table1[[#This Row],[SKU]],'All Skus'!$A:$AC,8,FALSE)),""))</f>
        <v>Gooseneck Microphone</v>
      </c>
      <c r="H102" s="45" t="str">
        <f>(IF((VLOOKUP(Table1[[#This Row],[SKU]],'All Skus'!$A:$AC,2,FALSE))="AKG",(VLOOKUP(Table1[[#This Row],[SKU]],'All Skus'!$A:$AC,9,FALSE)),""))</f>
        <v>Cardioid condensermicrophone on 50cm Gooseneck, phantom powering module with XLR connector included</v>
      </c>
      <c r="I102" s="141">
        <f>(IF((VLOOKUP(Table1[[#This Row],[SKU]],'All Skus'!$A:$AC,2,FALSE))="AKG",(VLOOKUP(Table1[[#This Row],[SKU]],'All Skus'!$A:$AC,10,FALSE)),""))</f>
        <v>233.69</v>
      </c>
      <c r="J102" s="141">
        <f>(IF((VLOOKUP(Table1[[#This Row],[SKU]],'All Skus'!$A:$AC,2,FALSE))="AKG",(VLOOKUP(Table1[[#This Row],[SKU]],'All Skus'!$A:$AC,11,FALSE)),""))</f>
        <v>181</v>
      </c>
      <c r="K102" s="125">
        <f>(IF((VLOOKUP(Table1[[#This Row],[SKU]],'All Skus'!$A:$AC,2,FALSE))="AKG",(VLOOKUP(Table1[[#This Row],[SKU]],'All Skus'!$A:$AC,15,FALSE)),""))</f>
        <v>20</v>
      </c>
      <c r="L102" s="124">
        <f>(IF((VLOOKUP(Table1[[#This Row],[SKU]],'All Skus'!$A:$AC,2,FALSE))="AKG",(VLOOKUP(Table1[[#This Row],[SKU]],'All Skus'!$A:$AC,16,FALSE)),""))</f>
        <v>885038028369</v>
      </c>
      <c r="M102" s="124">
        <f>(IF((VLOOKUP(Table1[[#This Row],[SKU]],'All Skus'!$A:$AC,2,FALSE))="AKG",(VLOOKUP(Table1[[#This Row],[SKU]],'All Skus'!$A:$AC,17,FALSE)),""))</f>
        <v>9002761028362</v>
      </c>
      <c r="N102" s="64">
        <f>(IF((VLOOKUP(Table1[[#This Row],[SKU]],'All Skus'!$A:$AC,2,FALSE))="AKG",(VLOOKUP(Table1[[#This Row],[SKU]],'All Skus'!$A:$AC,18,FALSE)),""))</f>
        <v>3</v>
      </c>
      <c r="O102" s="64">
        <f>(IF((VLOOKUP(Table1[[#This Row],[SKU]],'All Skus'!$A:$AC,2,FALSE))="AKG",(VLOOKUP(Table1[[#This Row],[SKU]],'All Skus'!$A:$AC,19,FALSE)),""))</f>
        <v>25</v>
      </c>
      <c r="P102" s="64">
        <f>(IF((VLOOKUP(Table1[[#This Row],[SKU]],'All Skus'!$A:$AC,2,FALSE))="AKG",(VLOOKUP(Table1[[#This Row],[SKU]],'All Skus'!$A:$AC,20,FALSE)),""))</f>
        <v>3</v>
      </c>
      <c r="Q102" s="64">
        <f>(IF((VLOOKUP(Table1[[#This Row],[SKU]],'All Skus'!$A:$AC,2,FALSE))="AKG",(VLOOKUP(Table1[[#This Row],[SKU]],'All Skus'!$A:$AC,21,FALSE)),""))</f>
        <v>3</v>
      </c>
      <c r="R102" s="64" t="str">
        <f>(IF((VLOOKUP(Table1[[#This Row],[SKU]],'All Skus'!$A:$AC,2,FALSE))="AKG",(VLOOKUP(Table1[[#This Row],[SKU]],'All Skus'!$A:$AC,22,FALSE)),""))</f>
        <v>CN</v>
      </c>
      <c r="S102" s="64" t="str">
        <f>(IF((VLOOKUP(Table1[[#This Row],[SKU]],'All Skus'!$A:$AC,2,FALSE))="AKG",(VLOOKUP(Table1[[#This Row],[SKU]],'All Skus'!$A:$AC,23,FALSE)),""))</f>
        <v>Non Compliant</v>
      </c>
      <c r="T102" s="210" t="str">
        <f>HYPERLINK((IF((VLOOKUP(Table1[[#This Row],[SKU]],'All Skus'!$A:$AC,2,FALSE))="AKG",(VLOOKUP(Table1[[#This Row],[SKU]],'All Skus'!$A:$AC,24,FALSE)),"")))</f>
        <v>https://www.akg.com/Microphones/modular-microphones-components/2965H00130.html</v>
      </c>
      <c r="U102" s="151">
        <v>100</v>
      </c>
    </row>
    <row r="103" spans="1:21" ht="15" hidden="1" customHeight="1">
      <c r="A103" s="50" t="s">
        <v>260</v>
      </c>
      <c r="B103" s="52" t="str">
        <f>(IF((VLOOKUP(Table1[[#This Row],[SKU]],'All Skus'!$A:$AC,2,FALSE))="AKG",(VLOOKUP(Table1[[#This Row],[SKU]],'All Skus'!$A:$AC,3,FALSE)), ""))</f>
        <v>Installed</v>
      </c>
      <c r="C103" s="60" t="str">
        <f>(IF((VLOOKUP(Table1[[#This Row],[SKU]],'All Skus'!$A:$AC,2,FALSE))="AKG",(VLOOKUP(Table1[[#This Row],[SKU]],'All Skus'!$A:$AC,4,FALSE)),""))</f>
        <v>CGN99 H/S</v>
      </c>
      <c r="D103" s="60" t="str">
        <f>(IF((VLOOKUP(Table1[[#This Row],[SKU]],'All Skus'!$A:$AC,2,FALSE))="AKG",(VLOOKUP(Table1[[#This Row],[SKU]],'All Skus'!$A:$AC,5,FALSE)),""))</f>
        <v>AT510000</v>
      </c>
      <c r="E103" s="60">
        <f>(IF((VLOOKUP(Table1[[#This Row],[SKU]],'All Skus'!$A:$AC,2,FALSE))="AKG",(VLOOKUP(Table1[[#This Row],[SKU]],'All Skus'!$A:$AC,6,FALSE)),""))</f>
        <v>0</v>
      </c>
      <c r="F103" s="60">
        <f>(IF((VLOOKUP(Table1[[#This Row],[SKU]],'All Skus'!$A:$AC,2,FALSE))="AKG",(VLOOKUP(Table1[[#This Row],[SKU]],'All Skus'!$A:$AC,7,FALSE)),""))</f>
        <v>0</v>
      </c>
      <c r="G103" s="45" t="str">
        <f>(IF((VLOOKUP(Table1[[#This Row],[SKU]],'All Skus'!$A:$AC,2,FALSE))="AKG",(VLOOKUP(Table1[[#This Row],[SKU]],'All Skus'!$A:$AC,8,FALSE)),""))</f>
        <v>Gooseneck Microphone</v>
      </c>
      <c r="H103" s="45" t="str">
        <f>(IF((VLOOKUP(Table1[[#This Row],[SKU]],'All Skus'!$A:$AC,2,FALSE))="AKG",(VLOOKUP(Table1[[#This Row],[SKU]],'All Skus'!$A:$AC,9,FALSE)),""))</f>
        <v>Hypercardioid condenser microphone on 30cm gooseneck, phantom powering module with XLR connector included</v>
      </c>
      <c r="I103" s="141">
        <f>(IF((VLOOKUP(Table1[[#This Row],[SKU]],'All Skus'!$A:$AC,2,FALSE))="AKG",(VLOOKUP(Table1[[#This Row],[SKU]],'All Skus'!$A:$AC,10,FALSE)),""))</f>
        <v>233.69</v>
      </c>
      <c r="J103" s="141">
        <f>(IF((VLOOKUP(Table1[[#This Row],[SKU]],'All Skus'!$A:$AC,2,FALSE))="AKG",(VLOOKUP(Table1[[#This Row],[SKU]],'All Skus'!$A:$AC,11,FALSE)),""))</f>
        <v>181</v>
      </c>
      <c r="K103" s="125">
        <f>(IF((VLOOKUP(Table1[[#This Row],[SKU]],'All Skus'!$A:$AC,2,FALSE))="AKG",(VLOOKUP(Table1[[#This Row],[SKU]],'All Skus'!$A:$AC,15,FALSE)),""))</f>
        <v>20</v>
      </c>
      <c r="L103" s="124">
        <f>(IF((VLOOKUP(Table1[[#This Row],[SKU]],'All Skus'!$A:$AC,2,FALSE))="AKG",(VLOOKUP(Table1[[#This Row],[SKU]],'All Skus'!$A:$AC,16,FALSE)),""))</f>
        <v>885038028352</v>
      </c>
      <c r="M103" s="124">
        <f>(IF((VLOOKUP(Table1[[#This Row],[SKU]],'All Skus'!$A:$AC,2,FALSE))="AKG",(VLOOKUP(Table1[[#This Row],[SKU]],'All Skus'!$A:$AC,17,FALSE)),""))</f>
        <v>9002761028355</v>
      </c>
      <c r="N103" s="64">
        <f>(IF((VLOOKUP(Table1[[#This Row],[SKU]],'All Skus'!$A:$AC,2,FALSE))="AKG",(VLOOKUP(Table1[[#This Row],[SKU]],'All Skus'!$A:$AC,18,FALSE)),""))</f>
        <v>2.5</v>
      </c>
      <c r="O103" s="64">
        <f>(IF((VLOOKUP(Table1[[#This Row],[SKU]],'All Skus'!$A:$AC,2,FALSE))="AKG",(VLOOKUP(Table1[[#This Row],[SKU]],'All Skus'!$A:$AC,19,FALSE)),""))</f>
        <v>13.5</v>
      </c>
      <c r="P103" s="64">
        <f>(IF((VLOOKUP(Table1[[#This Row],[SKU]],'All Skus'!$A:$AC,2,FALSE))="AKG",(VLOOKUP(Table1[[#This Row],[SKU]],'All Skus'!$A:$AC,20,FALSE)),""))</f>
        <v>3</v>
      </c>
      <c r="Q103" s="64">
        <f>(IF((VLOOKUP(Table1[[#This Row],[SKU]],'All Skus'!$A:$AC,2,FALSE))="AKG",(VLOOKUP(Table1[[#This Row],[SKU]],'All Skus'!$A:$AC,21,FALSE)),""))</f>
        <v>2.8</v>
      </c>
      <c r="R103" s="64" t="str">
        <f>(IF((VLOOKUP(Table1[[#This Row],[SKU]],'All Skus'!$A:$AC,2,FALSE))="AKG",(VLOOKUP(Table1[[#This Row],[SKU]],'All Skus'!$A:$AC,22,FALSE)),""))</f>
        <v>CN</v>
      </c>
      <c r="S103" s="64" t="str">
        <f>(IF((VLOOKUP(Table1[[#This Row],[SKU]],'All Skus'!$A:$AC,2,FALSE))="AKG",(VLOOKUP(Table1[[#This Row],[SKU]],'All Skus'!$A:$AC,23,FALSE)),""))</f>
        <v>Non Compliant</v>
      </c>
      <c r="T103" s="210" t="str">
        <f>HYPERLINK((IF((VLOOKUP(Table1[[#This Row],[SKU]],'All Skus'!$A:$AC,2,FALSE))="AKG",(VLOOKUP(Table1[[#This Row],[SKU]],'All Skus'!$A:$AC,24,FALSE)),"")))</f>
        <v>https://www.akg.com/Microphones/modular-microphones-components/2965X00120.html</v>
      </c>
      <c r="U103" s="151">
        <v>101</v>
      </c>
    </row>
    <row r="104" spans="1:21" ht="15" hidden="1" customHeight="1">
      <c r="A104" s="155" t="s">
        <v>261</v>
      </c>
      <c r="B104" s="52" t="str">
        <f>(IF((VLOOKUP(Table1[[#This Row],[SKU]],'All Skus'!$A:$AC,2,FALSE))="AKG",(VLOOKUP(Table1[[#This Row],[SKU]],'All Skus'!$A:$AC,3,FALSE)), ""))</f>
        <v>Installed</v>
      </c>
      <c r="C104" s="60" t="str">
        <f>(IF((VLOOKUP(Table1[[#This Row],[SKU]],'All Skus'!$A:$AC,2,FALSE))="AKG",(VLOOKUP(Table1[[#This Row],[SKU]],'All Skus'!$A:$AC,4,FALSE)),""))</f>
        <v>CGN99 H/L</v>
      </c>
      <c r="D104" s="60" t="str">
        <f>(IF((VLOOKUP(Table1[[#This Row],[SKU]],'All Skus'!$A:$AC,2,FALSE))="AKG",(VLOOKUP(Table1[[#This Row],[SKU]],'All Skus'!$A:$AC,5,FALSE)),""))</f>
        <v>AT510000</v>
      </c>
      <c r="E104" s="60">
        <f>(IF((VLOOKUP(Table1[[#This Row],[SKU]],'All Skus'!$A:$AC,2,FALSE))="AKG",(VLOOKUP(Table1[[#This Row],[SKU]],'All Skus'!$A:$AC,6,FALSE)),""))</f>
        <v>0</v>
      </c>
      <c r="F104" s="60">
        <f>(IF((VLOOKUP(Table1[[#This Row],[SKU]],'All Skus'!$A:$AC,2,FALSE))="AKG",(VLOOKUP(Table1[[#This Row],[SKU]],'All Skus'!$A:$AC,7,FALSE)),""))</f>
        <v>0</v>
      </c>
      <c r="G104" s="45" t="str">
        <f>(IF((VLOOKUP(Table1[[#This Row],[SKU]],'All Skus'!$A:$AC,2,FALSE))="AKG",(VLOOKUP(Table1[[#This Row],[SKU]],'All Skus'!$A:$AC,8,FALSE)),""))</f>
        <v>Gooseneck Microphone</v>
      </c>
      <c r="H104" s="45" t="str">
        <f>(IF((VLOOKUP(Table1[[#This Row],[SKU]],'All Skus'!$A:$AC,2,FALSE))="AKG",(VLOOKUP(Table1[[#This Row],[SKU]],'All Skus'!$A:$AC,9,FALSE)),""))</f>
        <v>Hypercardioid condenser microphone on 50cm gooseneck, phantom powering module with XLR connector included</v>
      </c>
      <c r="I104" s="141">
        <f>(IF((VLOOKUP(Table1[[#This Row],[SKU]],'All Skus'!$A:$AC,2,FALSE))="AKG",(VLOOKUP(Table1[[#This Row],[SKU]],'All Skus'!$A:$AC,10,FALSE)),""))</f>
        <v>233.69</v>
      </c>
      <c r="J104" s="141">
        <f>(IF((VLOOKUP(Table1[[#This Row],[SKU]],'All Skus'!$A:$AC,2,FALSE))="AKG",(VLOOKUP(Table1[[#This Row],[SKU]],'All Skus'!$A:$AC,11,FALSE)),""))</f>
        <v>181</v>
      </c>
      <c r="K104" s="125">
        <f>(IF((VLOOKUP(Table1[[#This Row],[SKU]],'All Skus'!$A:$AC,2,FALSE))="AKG",(VLOOKUP(Table1[[#This Row],[SKU]],'All Skus'!$A:$AC,15,FALSE)),""))</f>
        <v>20</v>
      </c>
      <c r="L104" s="124">
        <f>(IF((VLOOKUP(Table1[[#This Row],[SKU]],'All Skus'!$A:$AC,2,FALSE))="AKG",(VLOOKUP(Table1[[#This Row],[SKU]],'All Skus'!$A:$AC,16,FALSE)),""))</f>
        <v>885038028376</v>
      </c>
      <c r="M104" s="124">
        <f>(IF((VLOOKUP(Table1[[#This Row],[SKU]],'All Skus'!$A:$AC,2,FALSE))="AKG",(VLOOKUP(Table1[[#This Row],[SKU]],'All Skus'!$A:$AC,17,FALSE)),""))</f>
        <v>9002761028379</v>
      </c>
      <c r="N104" s="64">
        <f>(IF((VLOOKUP(Table1[[#This Row],[SKU]],'All Skus'!$A:$AC,2,FALSE))="AKG",(VLOOKUP(Table1[[#This Row],[SKU]],'All Skus'!$A:$AC,18,FALSE)),""))</f>
        <v>2.5</v>
      </c>
      <c r="O104" s="64">
        <f>(IF((VLOOKUP(Table1[[#This Row],[SKU]],'All Skus'!$A:$AC,2,FALSE))="AKG",(VLOOKUP(Table1[[#This Row],[SKU]],'All Skus'!$A:$AC,19,FALSE)),""))</f>
        <v>13.5</v>
      </c>
      <c r="P104" s="64">
        <f>(IF((VLOOKUP(Table1[[#This Row],[SKU]],'All Skus'!$A:$AC,2,FALSE))="AKG",(VLOOKUP(Table1[[#This Row],[SKU]],'All Skus'!$A:$AC,20,FALSE)),""))</f>
        <v>3</v>
      </c>
      <c r="Q104" s="64">
        <f>(IF((VLOOKUP(Table1[[#This Row],[SKU]],'All Skus'!$A:$AC,2,FALSE))="AKG",(VLOOKUP(Table1[[#This Row],[SKU]],'All Skus'!$A:$AC,21,FALSE)),""))</f>
        <v>3</v>
      </c>
      <c r="R104" s="64" t="str">
        <f>(IF((VLOOKUP(Table1[[#This Row],[SKU]],'All Skus'!$A:$AC,2,FALSE))="AKG",(VLOOKUP(Table1[[#This Row],[SKU]],'All Skus'!$A:$AC,22,FALSE)),""))</f>
        <v>CN</v>
      </c>
      <c r="S104" s="64" t="str">
        <f>(IF((VLOOKUP(Table1[[#This Row],[SKU]],'All Skus'!$A:$AC,2,FALSE))="AKG",(VLOOKUP(Table1[[#This Row],[SKU]],'All Skus'!$A:$AC,23,FALSE)),""))</f>
        <v>Non Compliant</v>
      </c>
      <c r="T104" s="210" t="str">
        <f>HYPERLINK((IF((VLOOKUP(Table1[[#This Row],[SKU]],'All Skus'!$A:$AC,2,FALSE))="AKG",(VLOOKUP(Table1[[#This Row],[SKU]],'All Skus'!$A:$AC,24,FALSE)),"")))</f>
        <v>https://www.akg.com/Microphones/modular-microphones-components/2965X00140.html</v>
      </c>
      <c r="U104" s="151">
        <v>102</v>
      </c>
    </row>
    <row r="105" spans="1:21" ht="15" hidden="1" customHeight="1">
      <c r="A105" s="50" t="s">
        <v>262</v>
      </c>
      <c r="B105" s="52" t="str">
        <f>(IF((VLOOKUP(Table1[[#This Row],[SKU]],'All Skus'!$A:$AC,2,FALSE))="AKG",(VLOOKUP(Table1[[#This Row],[SKU]],'All Skus'!$A:$AC,3,FALSE)), ""))</f>
        <v>Installed</v>
      </c>
      <c r="C105" s="60" t="str">
        <f>(IF((VLOOKUP(Table1[[#This Row],[SKU]],'All Skus'!$A:$AC,2,FALSE))="AKG",(VLOOKUP(Table1[[#This Row],[SKU]],'All Skus'!$A:$AC,4,FALSE)),""))</f>
        <v>GN155 Set</v>
      </c>
      <c r="D105" s="60" t="str">
        <f>(IF((VLOOKUP(Table1[[#This Row],[SKU]],'All Skus'!$A:$AC,2,FALSE))="AKG",(VLOOKUP(Table1[[#This Row],[SKU]],'All Skus'!$A:$AC,5,FALSE)),""))</f>
        <v>AT510000</v>
      </c>
      <c r="E105" s="60">
        <f>(IF((VLOOKUP(Table1[[#This Row],[SKU]],'All Skus'!$A:$AC,2,FALSE))="AKG",(VLOOKUP(Table1[[#This Row],[SKU]],'All Skus'!$A:$AC,6,FALSE)),""))</f>
        <v>0</v>
      </c>
      <c r="F105" s="60">
        <f>(IF((VLOOKUP(Table1[[#This Row],[SKU]],'All Skus'!$A:$AC,2,FALSE))="AKG",(VLOOKUP(Table1[[#This Row],[SKU]],'All Skus'!$A:$AC,7,FALSE)),""))</f>
        <v>0</v>
      </c>
      <c r="G105" s="45" t="str">
        <f>(IF((VLOOKUP(Table1[[#This Row],[SKU]],'All Skus'!$A:$AC,2,FALSE))="AKG",(VLOOKUP(Table1[[#This Row],[SKU]],'All Skus'!$A:$AC,8,FALSE)),""))</f>
        <v>Gooseneck Microphone</v>
      </c>
      <c r="H105" s="45" t="str">
        <f>(IF((VLOOKUP(Table1[[#This Row],[SKU]],'All Skus'!$A:$AC,2,FALSE))="AKG",(VLOOKUP(Table1[[#This Row],[SKU]],'All Skus'!$A:$AC,9,FALSE)),""))</f>
        <v>Elegant floor stand, rugged all-metal gooseneck module, XLR connector on a 10m cable</v>
      </c>
      <c r="I105" s="141">
        <f>(IF((VLOOKUP(Table1[[#This Row],[SKU]],'All Skus'!$A:$AC,2,FALSE))="AKG",(VLOOKUP(Table1[[#This Row],[SKU]],'All Skus'!$A:$AC,10,FALSE)),""))</f>
        <v>728.29</v>
      </c>
      <c r="J105" s="141">
        <f>(IF((VLOOKUP(Table1[[#This Row],[SKU]],'All Skus'!$A:$AC,2,FALSE))="AKG",(VLOOKUP(Table1[[#This Row],[SKU]],'All Skus'!$A:$AC,11,FALSE)),""))</f>
        <v>576</v>
      </c>
      <c r="K105" s="125">
        <f>(IF((VLOOKUP(Table1[[#This Row],[SKU]],'All Skus'!$A:$AC,2,FALSE))="AKG",(VLOOKUP(Table1[[#This Row],[SKU]],'All Skus'!$A:$AC,15,FALSE)),""))</f>
        <v>3</v>
      </c>
      <c r="L105" s="124">
        <f>(IF((VLOOKUP(Table1[[#This Row],[SKU]],'All Skus'!$A:$AC,2,FALSE))="AKG",(VLOOKUP(Table1[[#This Row],[SKU]],'All Skus'!$A:$AC,16,FALSE)),""))</f>
        <v>885038005698</v>
      </c>
      <c r="M105" s="124">
        <f>(IF((VLOOKUP(Table1[[#This Row],[SKU]],'All Skus'!$A:$AC,2,FALSE))="AKG",(VLOOKUP(Table1[[#This Row],[SKU]],'All Skus'!$A:$AC,17,FALSE)),""))</f>
        <v>9002761005691</v>
      </c>
      <c r="N105" s="64">
        <f>(IF((VLOOKUP(Table1[[#This Row],[SKU]],'All Skus'!$A:$AC,2,FALSE))="AKG",(VLOOKUP(Table1[[#This Row],[SKU]],'All Skus'!$A:$AC,18,FALSE)),""))</f>
        <v>2</v>
      </c>
      <c r="O105" s="64">
        <f>(IF((VLOOKUP(Table1[[#This Row],[SKU]],'All Skus'!$A:$AC,2,FALSE))="AKG",(VLOOKUP(Table1[[#This Row],[SKU]],'All Skus'!$A:$AC,19,FALSE)),""))</f>
        <v>17</v>
      </c>
      <c r="P105" s="64">
        <f>(IF((VLOOKUP(Table1[[#This Row],[SKU]],'All Skus'!$A:$AC,2,FALSE))="AKG",(VLOOKUP(Table1[[#This Row],[SKU]],'All Skus'!$A:$AC,20,FALSE)),""))</f>
        <v>47</v>
      </c>
      <c r="Q105" s="64">
        <f>(IF((VLOOKUP(Table1[[#This Row],[SKU]],'All Skus'!$A:$AC,2,FALSE))="AKG",(VLOOKUP(Table1[[#This Row],[SKU]],'All Skus'!$A:$AC,21,FALSE)),""))</f>
        <v>2.88</v>
      </c>
      <c r="R105" s="64" t="str">
        <f>(IF((VLOOKUP(Table1[[#This Row],[SKU]],'All Skus'!$A:$AC,2,FALSE))="AKG",(VLOOKUP(Table1[[#This Row],[SKU]],'All Skus'!$A:$AC,22,FALSE)),""))</f>
        <v>TW</v>
      </c>
      <c r="S105" s="64" t="str">
        <f>(IF((VLOOKUP(Table1[[#This Row],[SKU]],'All Skus'!$A:$AC,2,FALSE))="AKG",(VLOOKUP(Table1[[#This Row],[SKU]],'All Skus'!$A:$AC,23,FALSE)),""))</f>
        <v>Compliant</v>
      </c>
      <c r="T105" s="210" t="str">
        <f>HYPERLINK((IF((VLOOKUP(Table1[[#This Row],[SKU]],'All Skus'!$A:$AC,2,FALSE))="AKG",(VLOOKUP(Table1[[#This Row],[SKU]],'All Skus'!$A:$AC,24,FALSE)),"")))</f>
        <v>https://www.akg.com/Microphones/modular-microphones-components/2765H00180.html</v>
      </c>
      <c r="U105" s="151">
        <v>103</v>
      </c>
    </row>
    <row r="106" spans="1:21" ht="15" hidden="1" customHeight="1">
      <c r="A106" s="48" t="s">
        <v>263</v>
      </c>
      <c r="B106" s="52" t="str">
        <f>(IF((VLOOKUP(Table1[[#This Row],[SKU]],'All Skus'!$A:$AC,2,FALSE))="AKG",(VLOOKUP(Table1[[#This Row],[SKU]],'All Skus'!$A:$AC,3,FALSE)), ""))</f>
        <v>Installed</v>
      </c>
      <c r="C106" s="60" t="str">
        <f>(IF((VLOOKUP(Table1[[#This Row],[SKU]],'All Skus'!$A:$AC,2,FALSE))="AKG",(VLOOKUP(Table1[[#This Row],[SKU]],'All Skus'!$A:$AC,4,FALSE)),""))</f>
        <v>CGN331E</v>
      </c>
      <c r="D106" s="60" t="str">
        <f>(IF((VLOOKUP(Table1[[#This Row],[SKU]],'All Skus'!$A:$AC,2,FALSE))="AKG",(VLOOKUP(Table1[[#This Row],[SKU]],'All Skus'!$A:$AC,5,FALSE)),""))</f>
        <v>AT510000</v>
      </c>
      <c r="E106" s="60">
        <f>(IF((VLOOKUP(Table1[[#This Row],[SKU]],'All Skus'!$A:$AC,2,FALSE))="AKG",(VLOOKUP(Table1[[#This Row],[SKU]],'All Skus'!$A:$AC,6,FALSE)),""))</f>
        <v>0</v>
      </c>
      <c r="F106" s="60">
        <f>(IF((VLOOKUP(Table1[[#This Row],[SKU]],'All Skus'!$A:$AC,2,FALSE))="AKG",(VLOOKUP(Table1[[#This Row],[SKU]],'All Skus'!$A:$AC,7,FALSE)),""))</f>
        <v>0</v>
      </c>
      <c r="G106" s="45" t="str">
        <f>(IF((VLOOKUP(Table1[[#This Row],[SKU]],'All Skus'!$A:$AC,2,FALSE))="AKG",(VLOOKUP(Table1[[#This Row],[SKU]],'All Skus'!$A:$AC,8,FALSE)),""))</f>
        <v>Gooseneck Microphone</v>
      </c>
      <c r="H106" s="45" t="str">
        <f>(IF((VLOOKUP(Table1[[#This Row],[SKU]],'All Skus'!$A:$AC,2,FALSE))="AKG",(VLOOKUP(Table1[[#This Row],[SKU]],'All Skus'!$A:$AC,9,FALSE)),""))</f>
        <v>DAM Set, consisting of CK31, W30, GN30E</v>
      </c>
      <c r="I106" s="141">
        <f>(IF((VLOOKUP(Table1[[#This Row],[SKU]],'All Skus'!$A:$AC,2,FALSE))="AKG",(VLOOKUP(Table1[[#This Row],[SKU]],'All Skus'!$A:$AC,10,FALSE)),""))</f>
        <v>357.34</v>
      </c>
      <c r="J106" s="141">
        <f>(IF((VLOOKUP(Table1[[#This Row],[SKU]],'All Skus'!$A:$AC,2,FALSE))="AKG",(VLOOKUP(Table1[[#This Row],[SKU]],'All Skus'!$A:$AC,11,FALSE)),""))</f>
        <v>278</v>
      </c>
      <c r="K106" s="125">
        <f>(IF((VLOOKUP(Table1[[#This Row],[SKU]],'All Skus'!$A:$AC,2,FALSE))="AKG",(VLOOKUP(Table1[[#This Row],[SKU]],'All Skus'!$A:$AC,15,FALSE)),""))</f>
        <v>0</v>
      </c>
      <c r="L106" s="124">
        <f>(IF((VLOOKUP(Table1[[#This Row],[SKU]],'All Skus'!$A:$AC,2,FALSE))="AKG",(VLOOKUP(Table1[[#This Row],[SKU]],'All Skus'!$A:$AC,16,FALSE)),""))</f>
        <v>885038037774</v>
      </c>
      <c r="M106" s="124">
        <f>(IF((VLOOKUP(Table1[[#This Row],[SKU]],'All Skus'!$A:$AC,2,FALSE))="AKG",(VLOOKUP(Table1[[#This Row],[SKU]],'All Skus'!$A:$AC,17,FALSE)),""))</f>
        <v>9002761037777</v>
      </c>
      <c r="N106" s="64">
        <f>(IF((VLOOKUP(Table1[[#This Row],[SKU]],'All Skus'!$A:$AC,2,FALSE))="AKG",(VLOOKUP(Table1[[#This Row],[SKU]],'All Skus'!$A:$AC,18,FALSE)),""))</f>
        <v>4</v>
      </c>
      <c r="O106" s="64">
        <f>(IF((VLOOKUP(Table1[[#This Row],[SKU]],'All Skus'!$A:$AC,2,FALSE))="AKG",(VLOOKUP(Table1[[#This Row],[SKU]],'All Skus'!$A:$AC,19,FALSE)),""))</f>
        <v>17</v>
      </c>
      <c r="P106" s="64">
        <f>(IF((VLOOKUP(Table1[[#This Row],[SKU]],'All Skus'!$A:$AC,2,FALSE))="AKG",(VLOOKUP(Table1[[#This Row],[SKU]],'All Skus'!$A:$AC,20,FALSE)),""))</f>
        <v>14</v>
      </c>
      <c r="Q106" s="64">
        <f>(IF((VLOOKUP(Table1[[#This Row],[SKU]],'All Skus'!$A:$AC,2,FALSE))="AKG",(VLOOKUP(Table1[[#This Row],[SKU]],'All Skus'!$A:$AC,21,FALSE)),""))</f>
        <v>2</v>
      </c>
      <c r="R106" s="64" t="str">
        <f>(IF((VLOOKUP(Table1[[#This Row],[SKU]],'All Skus'!$A:$AC,2,FALSE))="AKG",(VLOOKUP(Table1[[#This Row],[SKU]],'All Skus'!$A:$AC,22,FALSE)),""))</f>
        <v>TW</v>
      </c>
      <c r="S106" s="64" t="str">
        <f>(IF((VLOOKUP(Table1[[#This Row],[SKU]],'All Skus'!$A:$AC,2,FALSE))="AKG",(VLOOKUP(Table1[[#This Row],[SKU]],'All Skus'!$A:$AC,23,FALSE)),""))</f>
        <v>Compliant</v>
      </c>
      <c r="T106" s="210" t="str">
        <f>HYPERLINK((IF((VLOOKUP(Table1[[#This Row],[SKU]],'All Skus'!$A:$AC,2,FALSE))="AKG",(VLOOKUP(Table1[[#This Row],[SKU]],'All Skus'!$A:$AC,24,FALSE)),"")))</f>
        <v>https://www.akg.com/Microphones/Speech%20%2F%20Spoken%20Word%20Microphones/2765H00500.html</v>
      </c>
      <c r="U106" s="151">
        <v>104</v>
      </c>
    </row>
    <row r="107" spans="1:21" ht="15" hidden="1" customHeight="1">
      <c r="A107" s="48" t="s">
        <v>264</v>
      </c>
      <c r="B107" s="52" t="str">
        <f>(IF((VLOOKUP(Table1[[#This Row],[SKU]],'All Skus'!$A:$AC,2,FALSE))="AKG",(VLOOKUP(Table1[[#This Row],[SKU]],'All Skus'!$A:$AC,3,FALSE)), ""))</f>
        <v>Installed</v>
      </c>
      <c r="C107" s="60" t="str">
        <f>(IF((VLOOKUP(Table1[[#This Row],[SKU]],'All Skus'!$A:$AC,2,FALSE))="AKG",(VLOOKUP(Table1[[#This Row],[SKU]],'All Skus'!$A:$AC,4,FALSE)),""))</f>
        <v>CGN341E DAM+ SET</v>
      </c>
      <c r="D107" s="60" t="str">
        <f>(IF((VLOOKUP(Table1[[#This Row],[SKU]],'All Skus'!$A:$AC,2,FALSE))="AKG",(VLOOKUP(Table1[[#This Row],[SKU]],'All Skus'!$A:$AC,5,FALSE)),""))</f>
        <v>AT510000</v>
      </c>
      <c r="E107" s="60">
        <f>(IF((VLOOKUP(Table1[[#This Row],[SKU]],'All Skus'!$A:$AC,2,FALSE))="AKG",(VLOOKUP(Table1[[#This Row],[SKU]],'All Skus'!$A:$AC,6,FALSE)),""))</f>
        <v>0</v>
      </c>
      <c r="F107" s="60">
        <f>(IF((VLOOKUP(Table1[[#This Row],[SKU]],'All Skus'!$A:$AC,2,FALSE))="AKG",(VLOOKUP(Table1[[#This Row],[SKU]],'All Skus'!$A:$AC,7,FALSE)),""))</f>
        <v>0</v>
      </c>
      <c r="G107" s="45" t="str">
        <f>(IF((VLOOKUP(Table1[[#This Row],[SKU]],'All Skus'!$A:$AC,2,FALSE))="AKG",(VLOOKUP(Table1[[#This Row],[SKU]],'All Skus'!$A:$AC,8,FALSE)),""))</f>
        <v>Gooseneck Microphone</v>
      </c>
      <c r="H107" s="45" t="str">
        <f>(IF((VLOOKUP(Table1[[#This Row],[SKU]],'All Skus'!$A:$AC,2,FALSE))="AKG",(VLOOKUP(Table1[[#This Row],[SKU]],'All Skus'!$A:$AC,9,FALSE)),""))</f>
        <v>DAM+ Set, consisting of CK41, W40M, GN30M, PAEM</v>
      </c>
      <c r="I107" s="141">
        <f>(IF((VLOOKUP(Table1[[#This Row],[SKU]],'All Skus'!$A:$AC,2,FALSE))="AKG",(VLOOKUP(Table1[[#This Row],[SKU]],'All Skus'!$A:$AC,10,FALSE)),""))</f>
        <v>468.63</v>
      </c>
      <c r="J107" s="141">
        <f>(IF((VLOOKUP(Table1[[#This Row],[SKU]],'All Skus'!$A:$AC,2,FALSE))="AKG",(VLOOKUP(Table1[[#This Row],[SKU]],'All Skus'!$A:$AC,11,FALSE)),""))</f>
        <v>366</v>
      </c>
      <c r="K107" s="125">
        <f>(IF((VLOOKUP(Table1[[#This Row],[SKU]],'All Skus'!$A:$AC,2,FALSE))="AKG",(VLOOKUP(Table1[[#This Row],[SKU]],'All Skus'!$A:$AC,15,FALSE)),""))</f>
        <v>0</v>
      </c>
      <c r="L107" s="124">
        <f>(IF((VLOOKUP(Table1[[#This Row],[SKU]],'All Skus'!$A:$AC,2,FALSE))="AKG",(VLOOKUP(Table1[[#This Row],[SKU]],'All Skus'!$A:$AC,16,FALSE)),""))</f>
        <v>885038037781</v>
      </c>
      <c r="M107" s="124">
        <f>(IF((VLOOKUP(Table1[[#This Row],[SKU]],'All Skus'!$A:$AC,2,FALSE))="AKG",(VLOOKUP(Table1[[#This Row],[SKU]],'All Skus'!$A:$AC,17,FALSE)),""))</f>
        <v>9002761037784</v>
      </c>
      <c r="N107" s="64">
        <f>(IF((VLOOKUP(Table1[[#This Row],[SKU]],'All Skus'!$A:$AC,2,FALSE))="AKG",(VLOOKUP(Table1[[#This Row],[SKU]],'All Skus'!$A:$AC,18,FALSE)),""))</f>
        <v>4</v>
      </c>
      <c r="O107" s="64">
        <f>(IF((VLOOKUP(Table1[[#This Row],[SKU]],'All Skus'!$A:$AC,2,FALSE))="AKG",(VLOOKUP(Table1[[#This Row],[SKU]],'All Skus'!$A:$AC,19,FALSE)),""))</f>
        <v>17</v>
      </c>
      <c r="P107" s="64">
        <f>(IF((VLOOKUP(Table1[[#This Row],[SKU]],'All Skus'!$A:$AC,2,FALSE))="AKG",(VLOOKUP(Table1[[#This Row],[SKU]],'All Skus'!$A:$AC,20,FALSE)),""))</f>
        <v>14</v>
      </c>
      <c r="Q107" s="64">
        <f>(IF((VLOOKUP(Table1[[#This Row],[SKU]],'All Skus'!$A:$AC,2,FALSE))="AKG",(VLOOKUP(Table1[[#This Row],[SKU]],'All Skus'!$A:$AC,21,FALSE)),""))</f>
        <v>2</v>
      </c>
      <c r="R107" s="64" t="str">
        <f>(IF((VLOOKUP(Table1[[#This Row],[SKU]],'All Skus'!$A:$AC,2,FALSE))="AKG",(VLOOKUP(Table1[[#This Row],[SKU]],'All Skus'!$A:$AC,22,FALSE)),""))</f>
        <v>TW</v>
      </c>
      <c r="S107" s="64" t="str">
        <f>(IF((VLOOKUP(Table1[[#This Row],[SKU]],'All Skus'!$A:$AC,2,FALSE))="AKG",(VLOOKUP(Table1[[#This Row],[SKU]],'All Skus'!$A:$AC,23,FALSE)),""))</f>
        <v>Compliant</v>
      </c>
      <c r="T107" s="210" t="str">
        <f>HYPERLINK((IF((VLOOKUP(Table1[[#This Row],[SKU]],'All Skus'!$A:$AC,2,FALSE))="AKG",(VLOOKUP(Table1[[#This Row],[SKU]],'All Skus'!$A:$AC,24,FALSE)),"")))</f>
        <v>https://www.akg.com/Microphones/Speech%20%2F%20Spoken%20Word%20Microphones/3165H00500.html</v>
      </c>
      <c r="U107" s="151">
        <v>105</v>
      </c>
    </row>
    <row r="108" spans="1:21" ht="15" hidden="1" customHeight="1">
      <c r="A108" s="48" t="s">
        <v>265</v>
      </c>
      <c r="B108" s="52" t="str">
        <f>(IF((VLOOKUP(Table1[[#This Row],[SKU]],'All Skus'!$A:$AC,2,FALSE))="AKG",(VLOOKUP(Table1[[#This Row],[SKU]],'All Skus'!$A:$AC,3,FALSE)), ""))</f>
        <v>Installed</v>
      </c>
      <c r="C108" s="60" t="str">
        <f>(IF((VLOOKUP(Table1[[#This Row],[SKU]],'All Skus'!$A:$AC,2,FALSE))="AKG",(VLOOKUP(Table1[[#This Row],[SKU]],'All Skus'!$A:$AC,4,FALSE)),""))</f>
        <v>CGN321STS</v>
      </c>
      <c r="D108" s="60" t="str">
        <f>(IF((VLOOKUP(Table1[[#This Row],[SKU]],'All Skus'!$A:$AC,2,FALSE))="AKG",(VLOOKUP(Table1[[#This Row],[SKU]],'All Skus'!$A:$AC,5,FALSE)),""))</f>
        <v>AT510000</v>
      </c>
      <c r="E108" s="60">
        <f>(IF((VLOOKUP(Table1[[#This Row],[SKU]],'All Skus'!$A:$AC,2,FALSE))="AKG",(VLOOKUP(Table1[[#This Row],[SKU]],'All Skus'!$A:$AC,6,FALSE)),""))</f>
        <v>0</v>
      </c>
      <c r="F108" s="60">
        <f>(IF((VLOOKUP(Table1[[#This Row],[SKU]],'All Skus'!$A:$AC,2,FALSE))="AKG",(VLOOKUP(Table1[[#This Row],[SKU]],'All Skus'!$A:$AC,7,FALSE)),""))</f>
        <v>0</v>
      </c>
      <c r="G108" s="45" t="str">
        <f>(IF((VLOOKUP(Table1[[#This Row],[SKU]],'All Skus'!$A:$AC,2,FALSE))="AKG",(VLOOKUP(Table1[[#This Row],[SKU]],'All Skus'!$A:$AC,8,FALSE)),""))</f>
        <v>Tabletop</v>
      </c>
      <c r="H108" s="45" t="str">
        <f>(IF((VLOOKUP(Table1[[#This Row],[SKU]],'All Skus'!$A:$AC,2,FALSE))="AKG",(VLOOKUP(Table1[[#This Row],[SKU]],'All Skus'!$A:$AC,9,FALSE)),""))</f>
        <v>Professional tabletop microphone set</v>
      </c>
      <c r="I108" s="141">
        <f>(IF((VLOOKUP(Table1[[#This Row],[SKU]],'All Skus'!$A:$AC,2,FALSE))="AKG",(VLOOKUP(Table1[[#This Row],[SKU]],'All Skus'!$A:$AC,10,FALSE)),""))</f>
        <v>394.44</v>
      </c>
      <c r="J108" s="141">
        <f>(IF((VLOOKUP(Table1[[#This Row],[SKU]],'All Skus'!$A:$AC,2,FALSE))="AKG",(VLOOKUP(Table1[[#This Row],[SKU]],'All Skus'!$A:$AC,11,FALSE)),""))</f>
        <v>308</v>
      </c>
      <c r="K108" s="125">
        <f>(IF((VLOOKUP(Table1[[#This Row],[SKU]],'All Skus'!$A:$AC,2,FALSE))="AKG",(VLOOKUP(Table1[[#This Row],[SKU]],'All Skus'!$A:$AC,15,FALSE)),""))</f>
        <v>0</v>
      </c>
      <c r="L108" s="124">
        <f>(IF((VLOOKUP(Table1[[#This Row],[SKU]],'All Skus'!$A:$AC,2,FALSE))="AKG",(VLOOKUP(Table1[[#This Row],[SKU]],'All Skus'!$A:$AC,16,FALSE)),""))</f>
        <v>885038034087</v>
      </c>
      <c r="M108" s="124">
        <f>(IF((VLOOKUP(Table1[[#This Row],[SKU]],'All Skus'!$A:$AC,2,FALSE))="AKG",(VLOOKUP(Table1[[#This Row],[SKU]],'All Skus'!$A:$AC,17,FALSE)),""))</f>
        <v>9002761034080</v>
      </c>
      <c r="N108" s="64">
        <f>(IF((VLOOKUP(Table1[[#This Row],[SKU]],'All Skus'!$A:$AC,2,FALSE))="AKG",(VLOOKUP(Table1[[#This Row],[SKU]],'All Skus'!$A:$AC,18,FALSE)),""))</f>
        <v>14</v>
      </c>
      <c r="O108" s="64">
        <f>(IF((VLOOKUP(Table1[[#This Row],[SKU]],'All Skus'!$A:$AC,2,FALSE))="AKG",(VLOOKUP(Table1[[#This Row],[SKU]],'All Skus'!$A:$AC,19,FALSE)),""))</f>
        <v>24</v>
      </c>
      <c r="P108" s="64">
        <f>(IF((VLOOKUP(Table1[[#This Row],[SKU]],'All Skus'!$A:$AC,2,FALSE))="AKG",(VLOOKUP(Table1[[#This Row],[SKU]],'All Skus'!$A:$AC,20,FALSE)),""))</f>
        <v>23</v>
      </c>
      <c r="Q108" s="64">
        <f>(IF((VLOOKUP(Table1[[#This Row],[SKU]],'All Skus'!$A:$AC,2,FALSE))="AKG",(VLOOKUP(Table1[[#This Row],[SKU]],'All Skus'!$A:$AC,21,FALSE)),""))</f>
        <v>6</v>
      </c>
      <c r="R108" s="64" t="str">
        <f>(IF((VLOOKUP(Table1[[#This Row],[SKU]],'All Skus'!$A:$AC,2,FALSE))="AKG",(VLOOKUP(Table1[[#This Row],[SKU]],'All Skus'!$A:$AC,22,FALSE)),""))</f>
        <v>PH</v>
      </c>
      <c r="S108" s="64" t="str">
        <f>(IF((VLOOKUP(Table1[[#This Row],[SKU]],'All Skus'!$A:$AC,2,FALSE))="AKG",(VLOOKUP(Table1[[#This Row],[SKU]],'All Skus'!$A:$AC,23,FALSE)),""))</f>
        <v>Non Compliant</v>
      </c>
      <c r="T108" s="210" t="str">
        <f>HYPERLINK((IF((VLOOKUP(Table1[[#This Row],[SKU]],'All Skus'!$A:$AC,2,FALSE))="AKG",(VLOOKUP(Table1[[#This Row],[SKU]],'All Skus'!$A:$AC,24,FALSE)),"")))</f>
        <v>https://www.akg.com/Microphones/Speech%20%2F%20Spoken%20Word%20Microphones/2966H00010.html</v>
      </c>
      <c r="U108" s="151">
        <v>106</v>
      </c>
    </row>
    <row r="109" spans="1:21" ht="15" hidden="1" customHeight="1">
      <c r="A109" s="48" t="s">
        <v>266</v>
      </c>
      <c r="B109" s="52" t="str">
        <f>(IF((VLOOKUP(Table1[[#This Row],[SKU]],'All Skus'!$A:$AC,2,FALSE))="AKG",(VLOOKUP(Table1[[#This Row],[SKU]],'All Skus'!$A:$AC,3,FALSE)), ""))</f>
        <v>Installed</v>
      </c>
      <c r="C109" s="60" t="str">
        <f>(IF((VLOOKUP(Table1[[#This Row],[SKU]],'All Skus'!$A:$AC,2,FALSE))="AKG",(VLOOKUP(Table1[[#This Row],[SKU]],'All Skus'!$A:$AC,4,FALSE)),""))</f>
        <v>CGN521STS</v>
      </c>
      <c r="D109" s="60" t="str">
        <f>(IF((VLOOKUP(Table1[[#This Row],[SKU]],'All Skus'!$A:$AC,2,FALSE))="AKG",(VLOOKUP(Table1[[#This Row],[SKU]],'All Skus'!$A:$AC,5,FALSE)),""))</f>
        <v>AT510000</v>
      </c>
      <c r="E109" s="60">
        <f>(IF((VLOOKUP(Table1[[#This Row],[SKU]],'All Skus'!$A:$AC,2,FALSE))="AKG",(VLOOKUP(Table1[[#This Row],[SKU]],'All Skus'!$A:$AC,6,FALSE)),""))</f>
        <v>0</v>
      </c>
      <c r="F109" s="60">
        <f>(IF((VLOOKUP(Table1[[#This Row],[SKU]],'All Skus'!$A:$AC,2,FALSE))="AKG",(VLOOKUP(Table1[[#This Row],[SKU]],'All Skus'!$A:$AC,7,FALSE)),""))</f>
        <v>0</v>
      </c>
      <c r="G109" s="45" t="str">
        <f>(IF((VLOOKUP(Table1[[#This Row],[SKU]],'All Skus'!$A:$AC,2,FALSE))="AKG",(VLOOKUP(Table1[[#This Row],[SKU]],'All Skus'!$A:$AC,8,FALSE)),""))</f>
        <v>Tabletop</v>
      </c>
      <c r="H109" s="45" t="str">
        <f>(IF((VLOOKUP(Table1[[#This Row],[SKU]],'All Skus'!$A:$AC,2,FALSE))="AKG",(VLOOKUP(Table1[[#This Row],[SKU]],'All Skus'!$A:$AC,9,FALSE)),""))</f>
        <v>Professional tabletop microphone set</v>
      </c>
      <c r="I109" s="141">
        <f>(IF((VLOOKUP(Table1[[#This Row],[SKU]],'All Skus'!$A:$AC,2,FALSE))="AKG",(VLOOKUP(Table1[[#This Row],[SKU]],'All Skus'!$A:$AC,10,FALSE)),""))</f>
        <v>419.17</v>
      </c>
      <c r="J109" s="141">
        <f>(IF((VLOOKUP(Table1[[#This Row],[SKU]],'All Skus'!$A:$AC,2,FALSE))="AKG",(VLOOKUP(Table1[[#This Row],[SKU]],'All Skus'!$A:$AC,11,FALSE)),""))</f>
        <v>335</v>
      </c>
      <c r="K109" s="125">
        <f>(IF((VLOOKUP(Table1[[#This Row],[SKU]],'All Skus'!$A:$AC,2,FALSE))="AKG",(VLOOKUP(Table1[[#This Row],[SKU]],'All Skus'!$A:$AC,15,FALSE)),""))</f>
        <v>0</v>
      </c>
      <c r="L109" s="124">
        <f>(IF((VLOOKUP(Table1[[#This Row],[SKU]],'All Skus'!$A:$AC,2,FALSE))="AKG",(VLOOKUP(Table1[[#This Row],[SKU]],'All Skus'!$A:$AC,16,FALSE)),""))</f>
        <v>885038034094</v>
      </c>
      <c r="M109" s="124">
        <f>(IF((VLOOKUP(Table1[[#This Row],[SKU]],'All Skus'!$A:$AC,2,FALSE))="AKG",(VLOOKUP(Table1[[#This Row],[SKU]],'All Skus'!$A:$AC,17,FALSE)),""))</f>
        <v>9002761034097</v>
      </c>
      <c r="N109" s="64">
        <f>(IF((VLOOKUP(Table1[[#This Row],[SKU]],'All Skus'!$A:$AC,2,FALSE))="AKG",(VLOOKUP(Table1[[#This Row],[SKU]],'All Skus'!$A:$AC,18,FALSE)),""))</f>
        <v>4</v>
      </c>
      <c r="O109" s="64">
        <f>(IF((VLOOKUP(Table1[[#This Row],[SKU]],'All Skus'!$A:$AC,2,FALSE))="AKG",(VLOOKUP(Table1[[#This Row],[SKU]],'All Skus'!$A:$AC,19,FALSE)),""))</f>
        <v>21.5</v>
      </c>
      <c r="P109" s="64">
        <f>(IF((VLOOKUP(Table1[[#This Row],[SKU]],'All Skus'!$A:$AC,2,FALSE))="AKG",(VLOOKUP(Table1[[#This Row],[SKU]],'All Skus'!$A:$AC,20,FALSE)),""))</f>
        <v>6</v>
      </c>
      <c r="Q109" s="64">
        <f>(IF((VLOOKUP(Table1[[#This Row],[SKU]],'All Skus'!$A:$AC,2,FALSE))="AKG",(VLOOKUP(Table1[[#This Row],[SKU]],'All Skus'!$A:$AC,21,FALSE)),""))</f>
        <v>0</v>
      </c>
      <c r="R109" s="64" t="str">
        <f>(IF((VLOOKUP(Table1[[#This Row],[SKU]],'All Skus'!$A:$AC,2,FALSE))="AKG",(VLOOKUP(Table1[[#This Row],[SKU]],'All Skus'!$A:$AC,22,FALSE)),""))</f>
        <v>PH</v>
      </c>
      <c r="S109" s="64" t="str">
        <f>(IF((VLOOKUP(Table1[[#This Row],[SKU]],'All Skus'!$A:$AC,2,FALSE))="AKG",(VLOOKUP(Table1[[#This Row],[SKU]],'All Skus'!$A:$AC,23,FALSE)),""))</f>
        <v>Non Compliant</v>
      </c>
      <c r="T109" s="210" t="str">
        <f>HYPERLINK((IF((VLOOKUP(Table1[[#This Row],[SKU]],'All Skus'!$A:$AC,2,FALSE))="AKG",(VLOOKUP(Table1[[#This Row],[SKU]],'All Skus'!$A:$AC,24,FALSE)),"")))</f>
        <v>https://www.akg.com/Microphones/Speech%20%2F%20Spoken%20Word%20Microphones/2966H00020.html</v>
      </c>
      <c r="U109" s="151">
        <v>107</v>
      </c>
    </row>
    <row r="110" spans="1:21" ht="15" hidden="1" customHeight="1">
      <c r="A110" s="50" t="s">
        <v>267</v>
      </c>
      <c r="B110" s="52" t="str">
        <f>(IF((VLOOKUP(Table1[[#This Row],[SKU]],'All Skus'!$A:$AC,2,FALSE))="AKG",(VLOOKUP(Table1[[#This Row],[SKU]],'All Skus'!$A:$AC,3,FALSE)), ""))</f>
        <v>Installed</v>
      </c>
      <c r="C110" s="60" t="str">
        <f>(IF((VLOOKUP(Table1[[#This Row],[SKU]],'All Skus'!$A:$AC,2,FALSE))="AKG",(VLOOKUP(Table1[[#This Row],[SKU]],'All Skus'!$A:$AC,4,FALSE)),""))</f>
        <v>STS DAM+</v>
      </c>
      <c r="D110" s="60" t="str">
        <f>(IF((VLOOKUP(Table1[[#This Row],[SKU]],'All Skus'!$A:$AC,2,FALSE))="AKG",(VLOOKUP(Table1[[#This Row],[SKU]],'All Skus'!$A:$AC,5,FALSE)),""))</f>
        <v>AT510000</v>
      </c>
      <c r="E110" s="60">
        <f>(IF((VLOOKUP(Table1[[#This Row],[SKU]],'All Skus'!$A:$AC,2,FALSE))="AKG",(VLOOKUP(Table1[[#This Row],[SKU]],'All Skus'!$A:$AC,6,FALSE)),""))</f>
        <v>0</v>
      </c>
      <c r="F110" s="60">
        <f>(IF((VLOOKUP(Table1[[#This Row],[SKU]],'All Skus'!$A:$AC,2,FALSE))="AKG",(VLOOKUP(Table1[[#This Row],[SKU]],'All Skus'!$A:$AC,7,FALSE)),""))</f>
        <v>0</v>
      </c>
      <c r="G110" s="45" t="str">
        <f>(IF((VLOOKUP(Table1[[#This Row],[SKU]],'All Skus'!$A:$AC,2,FALSE))="AKG",(VLOOKUP(Table1[[#This Row],[SKU]],'All Skus'!$A:$AC,8,FALSE)),""))</f>
        <v>Tabletop</v>
      </c>
      <c r="H110" s="45" t="str">
        <f>(IF((VLOOKUP(Table1[[#This Row],[SKU]],'All Skus'!$A:$AC,2,FALSE))="AKG",(VLOOKUP(Table1[[#This Row],[SKU]],'All Skus'!$A:$AC,9,FALSE)),""))</f>
        <v>Professional Tabletop Stand for use with DAM+ modules and derivates; for use with GN15/30/50 M goosenecks only.</v>
      </c>
      <c r="I110" s="141">
        <f>(IF((VLOOKUP(Table1[[#This Row],[SKU]],'All Skus'!$A:$AC,2,FALSE))="AKG",(VLOOKUP(Table1[[#This Row],[SKU]],'All Skus'!$A:$AC,10,FALSE)),""))</f>
        <v>394.44</v>
      </c>
      <c r="J110" s="141">
        <f>(IF((VLOOKUP(Table1[[#This Row],[SKU]],'All Skus'!$A:$AC,2,FALSE))="AKG",(VLOOKUP(Table1[[#This Row],[SKU]],'All Skus'!$A:$AC,11,FALSE)),""))</f>
        <v>308</v>
      </c>
      <c r="K110" s="125">
        <f>(IF((VLOOKUP(Table1[[#This Row],[SKU]],'All Skus'!$A:$AC,2,FALSE))="AKG",(VLOOKUP(Table1[[#This Row],[SKU]],'All Skus'!$A:$AC,15,FALSE)),""))</f>
        <v>0</v>
      </c>
      <c r="L110" s="124">
        <f>(IF((VLOOKUP(Table1[[#This Row],[SKU]],'All Skus'!$A:$AC,2,FALSE))="AKG",(VLOOKUP(Table1[[#This Row],[SKU]],'All Skus'!$A:$AC,16,FALSE)),""))</f>
        <v>885038034100</v>
      </c>
      <c r="M110" s="124">
        <f>(IF((VLOOKUP(Table1[[#This Row],[SKU]],'All Skus'!$A:$AC,2,FALSE))="AKG",(VLOOKUP(Table1[[#This Row],[SKU]],'All Skus'!$A:$AC,17,FALSE)),""))</f>
        <v>9002761034103</v>
      </c>
      <c r="N110" s="64">
        <f>(IF((VLOOKUP(Table1[[#This Row],[SKU]],'All Skus'!$A:$AC,2,FALSE))="AKG",(VLOOKUP(Table1[[#This Row],[SKU]],'All Skus'!$A:$AC,18,FALSE)),""))</f>
        <v>3</v>
      </c>
      <c r="O110" s="64">
        <f>(IF((VLOOKUP(Table1[[#This Row],[SKU]],'All Skus'!$A:$AC,2,FALSE))="AKG",(VLOOKUP(Table1[[#This Row],[SKU]],'All Skus'!$A:$AC,19,FALSE)),""))</f>
        <v>4</v>
      </c>
      <c r="P110" s="64">
        <f>(IF((VLOOKUP(Table1[[#This Row],[SKU]],'All Skus'!$A:$AC,2,FALSE))="AKG",(VLOOKUP(Table1[[#This Row],[SKU]],'All Skus'!$A:$AC,20,FALSE)),""))</f>
        <v>6</v>
      </c>
      <c r="Q110" s="64">
        <f>(IF((VLOOKUP(Table1[[#This Row],[SKU]],'All Skus'!$A:$AC,2,FALSE))="AKG",(VLOOKUP(Table1[[#This Row],[SKU]],'All Skus'!$A:$AC,21,FALSE)),""))</f>
        <v>13.5</v>
      </c>
      <c r="R110" s="64" t="str">
        <f>(IF((VLOOKUP(Table1[[#This Row],[SKU]],'All Skus'!$A:$AC,2,FALSE))="AKG",(VLOOKUP(Table1[[#This Row],[SKU]],'All Skus'!$A:$AC,22,FALSE)),""))</f>
        <v>PH</v>
      </c>
      <c r="S110" s="64" t="str">
        <f>(IF((VLOOKUP(Table1[[#This Row],[SKU]],'All Skus'!$A:$AC,2,FALSE))="AKG",(VLOOKUP(Table1[[#This Row],[SKU]],'All Skus'!$A:$AC,23,FALSE)),""))</f>
        <v>Non Compliant</v>
      </c>
      <c r="T110" s="210" t="str">
        <f>HYPERLINK((IF((VLOOKUP(Table1[[#This Row],[SKU]],'All Skus'!$A:$AC,2,FALSE))="AKG",(VLOOKUP(Table1[[#This Row],[SKU]],'All Skus'!$A:$AC,24,FALSE)),"")))</f>
        <v>https://www.akg.com/Microphones/Microphone%20Accessories/2966H00030.html</v>
      </c>
      <c r="U110" s="151">
        <v>108</v>
      </c>
    </row>
    <row r="111" spans="1:21" ht="15" hidden="1" customHeight="1">
      <c r="A111" s="50" t="s">
        <v>268</v>
      </c>
      <c r="B111" s="52" t="str">
        <f>(IF((VLOOKUP(Table1[[#This Row],[SKU]],'All Skus'!$A:$AC,2,FALSE))="AKG",(VLOOKUP(Table1[[#This Row],[SKU]],'All Skus'!$A:$AC,3,FALSE)), ""))</f>
        <v xml:space="preserve">OS OEM FG MIC </v>
      </c>
      <c r="C111" s="60" t="str">
        <f>(IF((VLOOKUP(Table1[[#This Row],[SKU]],'All Skus'!$A:$AC,2,FALSE))="AKG",(VLOOKUP(Table1[[#This Row],[SKU]],'All Skus'!$A:$AC,4,FALSE)),""))</f>
        <v>STS DAM+ WL</v>
      </c>
      <c r="D111" s="60" t="str">
        <f>(IF((VLOOKUP(Table1[[#This Row],[SKU]],'All Skus'!$A:$AC,2,FALSE))="AKG",(VLOOKUP(Table1[[#This Row],[SKU]],'All Skus'!$A:$AC,5,FALSE)),""))</f>
        <v>AT510000</v>
      </c>
      <c r="E111" s="60">
        <f>(IF((VLOOKUP(Table1[[#This Row],[SKU]],'All Skus'!$A:$AC,2,FALSE))="AKG",(VLOOKUP(Table1[[#This Row],[SKU]],'All Skus'!$A:$AC,6,FALSE)),""))</f>
        <v>0</v>
      </c>
      <c r="F111" s="60">
        <f>(IF((VLOOKUP(Table1[[#This Row],[SKU]],'All Skus'!$A:$AC,2,FALSE))="AKG",(VLOOKUP(Table1[[#This Row],[SKU]],'All Skus'!$A:$AC,7,FALSE)),""))</f>
        <v>0</v>
      </c>
      <c r="G111" s="45" t="str">
        <f>(IF((VLOOKUP(Table1[[#This Row],[SKU]],'All Skus'!$A:$AC,2,FALSE))="AKG",(VLOOKUP(Table1[[#This Row],[SKU]],'All Skus'!$A:$AC,8,FALSE)),""))</f>
        <v>Accessories</v>
      </c>
      <c r="H111" s="45" t="str">
        <f>(IF((VLOOKUP(Table1[[#This Row],[SKU]],'All Skus'!$A:$AC,2,FALSE))="AKG",(VLOOKUP(Table1[[#This Row],[SKU]],'All Skus'!$A:$AC,9,FALSE)),""))</f>
        <v xml:space="preserve">OS OEM FG MIC </v>
      </c>
      <c r="I111" s="141">
        <f>(IF((VLOOKUP(Table1[[#This Row],[SKU]],'All Skus'!$A:$AC,2,FALSE))="AKG",(VLOOKUP(Table1[[#This Row],[SKU]],'All Skus'!$A:$AC,10,FALSE)),""))</f>
        <v>480.99</v>
      </c>
      <c r="J111" s="141">
        <f>(IF((VLOOKUP(Table1[[#This Row],[SKU]],'All Skus'!$A:$AC,2,FALSE))="AKG",(VLOOKUP(Table1[[#This Row],[SKU]],'All Skus'!$A:$AC,11,FALSE)),""))</f>
        <v>480.99</v>
      </c>
      <c r="K111" s="125">
        <f>(IF((VLOOKUP(Table1[[#This Row],[SKU]],'All Skus'!$A:$AC,2,FALSE))="AKG",(VLOOKUP(Table1[[#This Row],[SKU]],'All Skus'!$A:$AC,15,FALSE)),""))</f>
        <v>0</v>
      </c>
      <c r="L111" s="124">
        <f>(IF((VLOOKUP(Table1[[#This Row],[SKU]],'All Skus'!$A:$AC,2,FALSE))="AKG",(VLOOKUP(Table1[[#This Row],[SKU]],'All Skus'!$A:$AC,16,FALSE)),""))</f>
        <v>9002761035858</v>
      </c>
      <c r="M111" s="124">
        <f>(IF((VLOOKUP(Table1[[#This Row],[SKU]],'All Skus'!$A:$AC,2,FALSE))="AKG",(VLOOKUP(Table1[[#This Row],[SKU]],'All Skus'!$A:$AC,17,FALSE)),""))</f>
        <v>9002761035858</v>
      </c>
      <c r="N111" s="64">
        <f>(IF((VLOOKUP(Table1[[#This Row],[SKU]],'All Skus'!$A:$AC,2,FALSE))="AKG",(VLOOKUP(Table1[[#This Row],[SKU]],'All Skus'!$A:$AC,18,FALSE)),""))</f>
        <v>1.7</v>
      </c>
      <c r="O111" s="64">
        <f>(IF((VLOOKUP(Table1[[#This Row],[SKU]],'All Skus'!$A:$AC,2,FALSE))="AKG",(VLOOKUP(Table1[[#This Row],[SKU]],'All Skus'!$A:$AC,19,FALSE)),""))</f>
        <v>20</v>
      </c>
      <c r="P111" s="64">
        <f>(IF((VLOOKUP(Table1[[#This Row],[SKU]],'All Skus'!$A:$AC,2,FALSE))="AKG",(VLOOKUP(Table1[[#This Row],[SKU]],'All Skus'!$A:$AC,20,FALSE)),""))</f>
        <v>10</v>
      </c>
      <c r="Q111" s="64">
        <f>(IF((VLOOKUP(Table1[[#This Row],[SKU]],'All Skus'!$A:$AC,2,FALSE))="AKG",(VLOOKUP(Table1[[#This Row],[SKU]],'All Skus'!$A:$AC,21,FALSE)),""))</f>
        <v>7</v>
      </c>
      <c r="R111" s="64" t="str">
        <f>(IF((VLOOKUP(Table1[[#This Row],[SKU]],'All Skus'!$A:$AC,2,FALSE))="AKG",(VLOOKUP(Table1[[#This Row],[SKU]],'All Skus'!$A:$AC,22,FALSE)),""))</f>
        <v>CN</v>
      </c>
      <c r="S111" s="64" t="str">
        <f>(IF((VLOOKUP(Table1[[#This Row],[SKU]],'All Skus'!$A:$AC,2,FALSE))="AKG",(VLOOKUP(Table1[[#This Row],[SKU]],'All Skus'!$A:$AC,23,FALSE)),""))</f>
        <v>Non Compliant</v>
      </c>
      <c r="T111" s="210" t="str">
        <f>HYPERLINK((IF((VLOOKUP(Table1[[#This Row],[SKU]],'All Skus'!$A:$AC,2,FALSE))="AKG",(VLOOKUP(Table1[[#This Row],[SKU]],'All Skus'!$A:$AC,24,FALSE)),"")))</f>
        <v>https://www.akg.com/Microphones/Microphone%20Accessories/2967H00020.html</v>
      </c>
      <c r="U111" s="151">
        <v>109</v>
      </c>
    </row>
    <row r="112" spans="1:21" ht="15" hidden="1" customHeight="1">
      <c r="A112" s="50" t="s">
        <v>269</v>
      </c>
      <c r="B112" s="52" t="str">
        <f>(IF((VLOOKUP(Table1[[#This Row],[SKU]],'All Skus'!$A:$AC,2,FALSE))="AKG",(VLOOKUP(Table1[[#This Row],[SKU]],'All Skus'!$A:$AC,3,FALSE)), ""))</f>
        <v>Installed</v>
      </c>
      <c r="C112" s="60" t="str">
        <f>(IF((VLOOKUP(Table1[[#This Row],[SKU]],'All Skus'!$A:$AC,2,FALSE))="AKG",(VLOOKUP(Table1[[#This Row],[SKU]],'All Skus'!$A:$AC,4,FALSE)),""))</f>
        <v>ST6</v>
      </c>
      <c r="D112" s="60" t="str">
        <f>(IF((VLOOKUP(Table1[[#This Row],[SKU]],'All Skus'!$A:$AC,2,FALSE))="AKG",(VLOOKUP(Table1[[#This Row],[SKU]],'All Skus'!$A:$AC,5,FALSE)),""))</f>
        <v>AT510000</v>
      </c>
      <c r="E112" s="60">
        <f>(IF((VLOOKUP(Table1[[#This Row],[SKU]],'All Skus'!$A:$AC,2,FALSE))="AKG",(VLOOKUP(Table1[[#This Row],[SKU]],'All Skus'!$A:$AC,6,FALSE)),""))</f>
        <v>0</v>
      </c>
      <c r="F112" s="60">
        <f>(IF((VLOOKUP(Table1[[#This Row],[SKU]],'All Skus'!$A:$AC,2,FALSE))="AKG",(VLOOKUP(Table1[[#This Row],[SKU]],'All Skus'!$A:$AC,7,FALSE)),""))</f>
        <v>0</v>
      </c>
      <c r="G112" s="45" t="str">
        <f>(IF((VLOOKUP(Table1[[#This Row],[SKU]],'All Skus'!$A:$AC,2,FALSE))="AKG",(VLOOKUP(Table1[[#This Row],[SKU]],'All Skus'!$A:$AC,8,FALSE)),""))</f>
        <v>Tabletop</v>
      </c>
      <c r="H112" s="45" t="str">
        <f>(IF((VLOOKUP(Table1[[#This Row],[SKU]],'All Skus'!$A:$AC,2,FALSE))="AKG",(VLOOKUP(Table1[[#This Row],[SKU]],'All Skus'!$A:$AC,9,FALSE)),""))</f>
        <v>Professional Tabletop Stand for use with all 3 pin XLR microphones</v>
      </c>
      <c r="I112" s="141">
        <f>(IF((VLOOKUP(Table1[[#This Row],[SKU]],'All Skus'!$A:$AC,2,FALSE))="AKG",(VLOOKUP(Table1[[#This Row],[SKU]],'All Skus'!$A:$AC,10,FALSE)),""))</f>
        <v>159.51</v>
      </c>
      <c r="J112" s="141">
        <f>(IF((VLOOKUP(Table1[[#This Row],[SKU]],'All Skus'!$A:$AC,2,FALSE))="AKG",(VLOOKUP(Table1[[#This Row],[SKU]],'All Skus'!$A:$AC,11,FALSE)),""))</f>
        <v>123</v>
      </c>
      <c r="K112" s="125">
        <f>(IF((VLOOKUP(Table1[[#This Row],[SKU]],'All Skus'!$A:$AC,2,FALSE))="AKG",(VLOOKUP(Table1[[#This Row],[SKU]],'All Skus'!$A:$AC,15,FALSE)),""))</f>
        <v>0</v>
      </c>
      <c r="L112" s="124">
        <f>(IF((VLOOKUP(Table1[[#This Row],[SKU]],'All Skus'!$A:$AC,2,FALSE))="AKG",(VLOOKUP(Table1[[#This Row],[SKU]],'All Skus'!$A:$AC,16,FALSE)),""))</f>
        <v>885038034117</v>
      </c>
      <c r="M112" s="124">
        <f>(IF((VLOOKUP(Table1[[#This Row],[SKU]],'All Skus'!$A:$AC,2,FALSE))="AKG",(VLOOKUP(Table1[[#This Row],[SKU]],'All Skus'!$A:$AC,17,FALSE)),""))</f>
        <v>9002761034110</v>
      </c>
      <c r="N112" s="64">
        <f>(IF((VLOOKUP(Table1[[#This Row],[SKU]],'All Skus'!$A:$AC,2,FALSE))="AKG",(VLOOKUP(Table1[[#This Row],[SKU]],'All Skus'!$A:$AC,18,FALSE)),""))</f>
        <v>2</v>
      </c>
      <c r="O112" s="64">
        <f>(IF((VLOOKUP(Table1[[#This Row],[SKU]],'All Skus'!$A:$AC,2,FALSE))="AKG",(VLOOKUP(Table1[[#This Row],[SKU]],'All Skus'!$A:$AC,19,FALSE)),""))</f>
        <v>4</v>
      </c>
      <c r="P112" s="64">
        <f>(IF((VLOOKUP(Table1[[#This Row],[SKU]],'All Skus'!$A:$AC,2,FALSE))="AKG",(VLOOKUP(Table1[[#This Row],[SKU]],'All Skus'!$A:$AC,20,FALSE)),""))</f>
        <v>6</v>
      </c>
      <c r="Q112" s="64">
        <f>(IF((VLOOKUP(Table1[[#This Row],[SKU]],'All Skus'!$A:$AC,2,FALSE))="AKG",(VLOOKUP(Table1[[#This Row],[SKU]],'All Skus'!$A:$AC,21,FALSE)),""))</f>
        <v>13.5</v>
      </c>
      <c r="R112" s="64" t="str">
        <f>(IF((VLOOKUP(Table1[[#This Row],[SKU]],'All Skus'!$A:$AC,2,FALSE))="AKG",(VLOOKUP(Table1[[#This Row],[SKU]],'All Skus'!$A:$AC,22,FALSE)),""))</f>
        <v>PH</v>
      </c>
      <c r="S112" s="64" t="str">
        <f>(IF((VLOOKUP(Table1[[#This Row],[SKU]],'All Skus'!$A:$AC,2,FALSE))="AKG",(VLOOKUP(Table1[[#This Row],[SKU]],'All Skus'!$A:$AC,23,FALSE)),""))</f>
        <v>Non Compliant</v>
      </c>
      <c r="T112" s="210" t="str">
        <f>HYPERLINK((IF((VLOOKUP(Table1[[#This Row],[SKU]],'All Skus'!$A:$AC,2,FALSE))="AKG",(VLOOKUP(Table1[[#This Row],[SKU]],'All Skus'!$A:$AC,24,FALSE)),"")))</f>
        <v>https://www.akg.com/Microphones/Microphone%20Accessories/2966H00040.html</v>
      </c>
      <c r="U112" s="151">
        <v>110</v>
      </c>
    </row>
    <row r="113" spans="1:21" ht="15" hidden="1" customHeight="1">
      <c r="A113" s="50" t="s">
        <v>270</v>
      </c>
      <c r="B113" s="52" t="str">
        <f>(IF((VLOOKUP(Table1[[#This Row],[SKU]],'All Skus'!$A:$AC,2,FALSE))="AKG",(VLOOKUP(Table1[[#This Row],[SKU]],'All Skus'!$A:$AC,3,FALSE)), ""))</f>
        <v>Installed</v>
      </c>
      <c r="C113" s="60" t="str">
        <f>(IF((VLOOKUP(Table1[[#This Row],[SKU]],'All Skus'!$A:$AC,2,FALSE))="AKG",(VLOOKUP(Table1[[#This Row],[SKU]],'All Skus'!$A:$AC,4,FALSE)),""))</f>
        <v>CK31</v>
      </c>
      <c r="D113" s="60" t="str">
        <f>(IF((VLOOKUP(Table1[[#This Row],[SKU]],'All Skus'!$A:$AC,2,FALSE))="AKG",(VLOOKUP(Table1[[#This Row],[SKU]],'All Skus'!$A:$AC,5,FALSE)),""))</f>
        <v>AT510000</v>
      </c>
      <c r="E113" s="60">
        <f>(IF((VLOOKUP(Table1[[#This Row],[SKU]],'All Skus'!$A:$AC,2,FALSE))="AKG",(VLOOKUP(Table1[[#This Row],[SKU]],'All Skus'!$A:$AC,6,FALSE)),""))</f>
        <v>0</v>
      </c>
      <c r="F113" s="60">
        <f>(IF((VLOOKUP(Table1[[#This Row],[SKU]],'All Skus'!$A:$AC,2,FALSE))="AKG",(VLOOKUP(Table1[[#This Row],[SKU]],'All Skus'!$A:$AC,7,FALSE)),""))</f>
        <v>0</v>
      </c>
      <c r="G113" s="45" t="str">
        <f>(IF((VLOOKUP(Table1[[#This Row],[SKU]],'All Skus'!$A:$AC,2,FALSE))="AKG",(VLOOKUP(Table1[[#This Row],[SKU]],'All Skus'!$A:$AC,8,FALSE)),""))</f>
        <v>Capsule</v>
      </c>
      <c r="H113" s="45" t="str">
        <f>(IF((VLOOKUP(Table1[[#This Row],[SKU]],'All Skus'!$A:$AC,2,FALSE))="AKG",(VLOOKUP(Table1[[#This Row],[SKU]],'All Skus'!$A:$AC,9,FALSE)),""))</f>
        <v>Screw-on cardioid microphone capsule module, only for GN / HM modules, W30 windscreen included</v>
      </c>
      <c r="I113" s="141">
        <f>(IF((VLOOKUP(Table1[[#This Row],[SKU]],'All Skus'!$A:$AC,2,FALSE))="AKG",(VLOOKUP(Table1[[#This Row],[SKU]],'All Skus'!$A:$AC,10,FALSE)),""))</f>
        <v>158.16999999999999</v>
      </c>
      <c r="J113" s="141">
        <f>(IF((VLOOKUP(Table1[[#This Row],[SKU]],'All Skus'!$A:$AC,2,FALSE))="AKG",(VLOOKUP(Table1[[#This Row],[SKU]],'All Skus'!$A:$AC,11,FALSE)),""))</f>
        <v>123</v>
      </c>
      <c r="K113" s="125">
        <f>(IF((VLOOKUP(Table1[[#This Row],[SKU]],'All Skus'!$A:$AC,2,FALSE))="AKG",(VLOOKUP(Table1[[#This Row],[SKU]],'All Skus'!$A:$AC,15,FALSE)),""))</f>
        <v>30</v>
      </c>
      <c r="L113" s="124">
        <f>(IF((VLOOKUP(Table1[[#This Row],[SKU]],'All Skus'!$A:$AC,2,FALSE))="AKG",(VLOOKUP(Table1[[#This Row],[SKU]],'All Skus'!$A:$AC,16,FALSE)),""))</f>
        <v>885038003021</v>
      </c>
      <c r="M113" s="124">
        <f>(IF((VLOOKUP(Table1[[#This Row],[SKU]],'All Skus'!$A:$AC,2,FALSE))="AKG",(VLOOKUP(Table1[[#This Row],[SKU]],'All Skus'!$A:$AC,17,FALSE)),""))</f>
        <v>9002761003024</v>
      </c>
      <c r="N113" s="64">
        <f>(IF((VLOOKUP(Table1[[#This Row],[SKU]],'All Skus'!$A:$AC,2,FALSE))="AKG",(VLOOKUP(Table1[[#This Row],[SKU]],'All Skus'!$A:$AC,18,FALSE)),""))</f>
        <v>3</v>
      </c>
      <c r="O113" s="64">
        <f>(IF((VLOOKUP(Table1[[#This Row],[SKU]],'All Skus'!$A:$AC,2,FALSE))="AKG",(VLOOKUP(Table1[[#This Row],[SKU]],'All Skus'!$A:$AC,19,FALSE)),""))</f>
        <v>7</v>
      </c>
      <c r="P113" s="64">
        <f>(IF((VLOOKUP(Table1[[#This Row],[SKU]],'All Skus'!$A:$AC,2,FALSE))="AKG",(VLOOKUP(Table1[[#This Row],[SKU]],'All Skus'!$A:$AC,20,FALSE)),""))</f>
        <v>5</v>
      </c>
      <c r="Q113" s="64">
        <f>(IF((VLOOKUP(Table1[[#This Row],[SKU]],'All Skus'!$A:$AC,2,FALSE))="AKG",(VLOOKUP(Table1[[#This Row],[SKU]],'All Skus'!$A:$AC,21,FALSE)),""))</f>
        <v>2</v>
      </c>
      <c r="R113" s="64" t="str">
        <f>(IF((VLOOKUP(Table1[[#This Row],[SKU]],'All Skus'!$A:$AC,2,FALSE))="AKG",(VLOOKUP(Table1[[#This Row],[SKU]],'All Skus'!$A:$AC,22,FALSE)),""))</f>
        <v>CN</v>
      </c>
      <c r="S113" s="64" t="str">
        <f>(IF((VLOOKUP(Table1[[#This Row],[SKU]],'All Skus'!$A:$AC,2,FALSE))="AKG",(VLOOKUP(Table1[[#This Row],[SKU]],'All Skus'!$A:$AC,23,FALSE)),""))</f>
        <v>Non Compliant</v>
      </c>
      <c r="T113" s="210" t="str">
        <f>HYPERLINK((IF((VLOOKUP(Table1[[#This Row],[SKU]],'All Skus'!$A:$AC,2,FALSE))="AKG",(VLOOKUP(Table1[[#This Row],[SKU]],'All Skus'!$A:$AC,24,FALSE)),"")))</f>
        <v>https://www.akg.com/Microphones/Microphone%20Accessories/2765H00200.html</v>
      </c>
      <c r="U113" s="151">
        <v>111</v>
      </c>
    </row>
    <row r="114" spans="1:21" ht="15" hidden="1" customHeight="1">
      <c r="A114" s="50" t="s">
        <v>271</v>
      </c>
      <c r="B114" s="52" t="str">
        <f>(IF((VLOOKUP(Table1[[#This Row],[SKU]],'All Skus'!$A:$AC,2,FALSE))="AKG",(VLOOKUP(Table1[[#This Row],[SKU]],'All Skus'!$A:$AC,3,FALSE)), ""))</f>
        <v>Installed</v>
      </c>
      <c r="C114" s="60" t="str">
        <f>(IF((VLOOKUP(Table1[[#This Row],[SKU]],'All Skus'!$A:$AC,2,FALSE))="AKG",(VLOOKUP(Table1[[#This Row],[SKU]],'All Skus'!$A:$AC,4,FALSE)),""))</f>
        <v>CK33</v>
      </c>
      <c r="D114" s="60" t="str">
        <f>(IF((VLOOKUP(Table1[[#This Row],[SKU]],'All Skus'!$A:$AC,2,FALSE))="AKG",(VLOOKUP(Table1[[#This Row],[SKU]],'All Skus'!$A:$AC,5,FALSE)),""))</f>
        <v>AT510000</v>
      </c>
      <c r="E114" s="60">
        <f>(IF((VLOOKUP(Table1[[#This Row],[SKU]],'All Skus'!$A:$AC,2,FALSE))="AKG",(VLOOKUP(Table1[[#This Row],[SKU]],'All Skus'!$A:$AC,6,FALSE)),""))</f>
        <v>0</v>
      </c>
      <c r="F114" s="60">
        <f>(IF((VLOOKUP(Table1[[#This Row],[SKU]],'All Skus'!$A:$AC,2,FALSE))="AKG",(VLOOKUP(Table1[[#This Row],[SKU]],'All Skus'!$A:$AC,7,FALSE)),""))</f>
        <v>0</v>
      </c>
      <c r="G114" s="45" t="str">
        <f>(IF((VLOOKUP(Table1[[#This Row],[SKU]],'All Skus'!$A:$AC,2,FALSE))="AKG",(VLOOKUP(Table1[[#This Row],[SKU]],'All Skus'!$A:$AC,8,FALSE)),""))</f>
        <v>Capsule</v>
      </c>
      <c r="H114" s="45" t="str">
        <f>(IF((VLOOKUP(Table1[[#This Row],[SKU]],'All Skus'!$A:$AC,2,FALSE))="AKG",(VLOOKUP(Table1[[#This Row],[SKU]],'All Skus'!$A:$AC,9,FALSE)),""))</f>
        <v>Screw-on hypercardioid microphone capsule module, only for GN / HM modules, W30 windscreen included</v>
      </c>
      <c r="I114" s="141">
        <f>(IF((VLOOKUP(Table1[[#This Row],[SKU]],'All Skus'!$A:$AC,2,FALSE))="AKG",(VLOOKUP(Table1[[#This Row],[SKU]],'All Skus'!$A:$AC,10,FALSE)),""))</f>
        <v>246.06</v>
      </c>
      <c r="J114" s="141">
        <f>(IF((VLOOKUP(Table1[[#This Row],[SKU]],'All Skus'!$A:$AC,2,FALSE))="AKG",(VLOOKUP(Table1[[#This Row],[SKU]],'All Skus'!$A:$AC,11,FALSE)),""))</f>
        <v>195</v>
      </c>
      <c r="K114" s="125">
        <f>(IF((VLOOKUP(Table1[[#This Row],[SKU]],'All Skus'!$A:$AC,2,FALSE))="AKG",(VLOOKUP(Table1[[#This Row],[SKU]],'All Skus'!$A:$AC,15,FALSE)),""))</f>
        <v>40</v>
      </c>
      <c r="L114" s="124">
        <f>(IF((VLOOKUP(Table1[[#This Row],[SKU]],'All Skus'!$A:$AC,2,FALSE))="AKG",(VLOOKUP(Table1[[#This Row],[SKU]],'All Skus'!$A:$AC,16,FALSE)),""))</f>
        <v>885038003045</v>
      </c>
      <c r="M114" s="124">
        <f>(IF((VLOOKUP(Table1[[#This Row],[SKU]],'All Skus'!$A:$AC,2,FALSE))="AKG",(VLOOKUP(Table1[[#This Row],[SKU]],'All Skus'!$A:$AC,17,FALSE)),""))</f>
        <v>9002761003048</v>
      </c>
      <c r="N114" s="64">
        <f>(IF((VLOOKUP(Table1[[#This Row],[SKU]],'All Skus'!$A:$AC,2,FALSE))="AKG",(VLOOKUP(Table1[[#This Row],[SKU]],'All Skus'!$A:$AC,18,FALSE)),""))</f>
        <v>7</v>
      </c>
      <c r="O114" s="64">
        <f>(IF((VLOOKUP(Table1[[#This Row],[SKU]],'All Skus'!$A:$AC,2,FALSE))="AKG",(VLOOKUP(Table1[[#This Row],[SKU]],'All Skus'!$A:$AC,19,FALSE)),""))</f>
        <v>3</v>
      </c>
      <c r="P114" s="64">
        <f>(IF((VLOOKUP(Table1[[#This Row],[SKU]],'All Skus'!$A:$AC,2,FALSE))="AKG",(VLOOKUP(Table1[[#This Row],[SKU]],'All Skus'!$A:$AC,20,FALSE)),""))</f>
        <v>5</v>
      </c>
      <c r="Q114" s="64">
        <f>(IF((VLOOKUP(Table1[[#This Row],[SKU]],'All Skus'!$A:$AC,2,FALSE))="AKG",(VLOOKUP(Table1[[#This Row],[SKU]],'All Skus'!$A:$AC,21,FALSE)),""))</f>
        <v>2</v>
      </c>
      <c r="R114" s="64" t="str">
        <f>(IF((VLOOKUP(Table1[[#This Row],[SKU]],'All Skus'!$A:$AC,2,FALSE))="AKG",(VLOOKUP(Table1[[#This Row],[SKU]],'All Skus'!$A:$AC,22,FALSE)),""))</f>
        <v>CN</v>
      </c>
      <c r="S114" s="64" t="str">
        <f>(IF((VLOOKUP(Table1[[#This Row],[SKU]],'All Skus'!$A:$AC,2,FALSE))="AKG",(VLOOKUP(Table1[[#This Row],[SKU]],'All Skus'!$A:$AC,23,FALSE)),""))</f>
        <v>Non Compliant</v>
      </c>
      <c r="T114" s="210" t="str">
        <f>HYPERLINK((IF((VLOOKUP(Table1[[#This Row],[SKU]],'All Skus'!$A:$AC,2,FALSE))="AKG",(VLOOKUP(Table1[[#This Row],[SKU]],'All Skus'!$A:$AC,24,FALSE)),"")))</f>
        <v>https://www.akg.com/Microphones/Microphone%20Accessories/2765X00220.html</v>
      </c>
      <c r="U114" s="151">
        <v>112</v>
      </c>
    </row>
    <row r="115" spans="1:21" ht="15" hidden="1" customHeight="1">
      <c r="A115" s="50" t="s">
        <v>272</v>
      </c>
      <c r="B115" s="52" t="str">
        <f>(IF((VLOOKUP(Table1[[#This Row],[SKU]],'All Skus'!$A:$AC,2,FALSE))="AKG",(VLOOKUP(Table1[[#This Row],[SKU]],'All Skus'!$A:$AC,3,FALSE)), ""))</f>
        <v>Installed</v>
      </c>
      <c r="C115" s="60" t="str">
        <f>(IF((VLOOKUP(Table1[[#This Row],[SKU]],'All Skus'!$A:$AC,2,FALSE))="AKG",(VLOOKUP(Table1[[#This Row],[SKU]],'All Skus'!$A:$AC,4,FALSE)),""))</f>
        <v>CK80</v>
      </c>
      <c r="D115" s="60" t="str">
        <f>(IF((VLOOKUP(Table1[[#This Row],[SKU]],'All Skus'!$A:$AC,2,FALSE))="AKG",(VLOOKUP(Table1[[#This Row],[SKU]],'All Skus'!$A:$AC,5,FALSE)),""))</f>
        <v>AT510000</v>
      </c>
      <c r="E115" s="60">
        <f>(IF((VLOOKUP(Table1[[#This Row],[SKU]],'All Skus'!$A:$AC,2,FALSE))="AKG",(VLOOKUP(Table1[[#This Row],[SKU]],'All Skus'!$A:$AC,6,FALSE)),""))</f>
        <v>0</v>
      </c>
      <c r="F115" s="60">
        <f>(IF((VLOOKUP(Table1[[#This Row],[SKU]],'All Skus'!$A:$AC,2,FALSE))="AKG",(VLOOKUP(Table1[[#This Row],[SKU]],'All Skus'!$A:$AC,7,FALSE)),""))</f>
        <v>0</v>
      </c>
      <c r="G115" s="45" t="str">
        <f>(IF((VLOOKUP(Table1[[#This Row],[SKU]],'All Skus'!$A:$AC,2,FALSE))="AKG",(VLOOKUP(Table1[[#This Row],[SKU]],'All Skus'!$A:$AC,8,FALSE)),""))</f>
        <v>Capsule</v>
      </c>
      <c r="H115" s="45" t="str">
        <f>(IF((VLOOKUP(Table1[[#This Row],[SKU]],'All Skus'!$A:$AC,2,FALSE))="AKG",(VLOOKUP(Table1[[#This Row],[SKU]],'All Skus'!$A:$AC,9,FALSE)),""))</f>
        <v>Screw-on hypercardioid shotgun microphone capsule module, speech optimized, only for GN / HM modules, W80 windscreen included</v>
      </c>
      <c r="I115" s="141">
        <f>(IF((VLOOKUP(Table1[[#This Row],[SKU]],'All Skus'!$A:$AC,2,FALSE))="AKG",(VLOOKUP(Table1[[#This Row],[SKU]],'All Skus'!$A:$AC,10,FALSE)),""))</f>
        <v>159.51</v>
      </c>
      <c r="J115" s="141">
        <f>(IF((VLOOKUP(Table1[[#This Row],[SKU]],'All Skus'!$A:$AC,2,FALSE))="AKG",(VLOOKUP(Table1[[#This Row],[SKU]],'All Skus'!$A:$AC,11,FALSE)),""))</f>
        <v>123</v>
      </c>
      <c r="K115" s="125">
        <f>(IF((VLOOKUP(Table1[[#This Row],[SKU]],'All Skus'!$A:$AC,2,FALSE))="AKG",(VLOOKUP(Table1[[#This Row],[SKU]],'All Skus'!$A:$AC,15,FALSE)),""))</f>
        <v>0</v>
      </c>
      <c r="L115" s="124">
        <f>(IF((VLOOKUP(Table1[[#This Row],[SKU]],'All Skus'!$A:$AC,2,FALSE))="AKG",(VLOOKUP(Table1[[#This Row],[SKU]],'All Skus'!$A:$AC,16,FALSE)),""))</f>
        <v>885038003946</v>
      </c>
      <c r="M115" s="124">
        <f>(IF((VLOOKUP(Table1[[#This Row],[SKU]],'All Skus'!$A:$AC,2,FALSE))="AKG",(VLOOKUP(Table1[[#This Row],[SKU]],'All Skus'!$A:$AC,17,FALSE)),""))</f>
        <v>9002761003949</v>
      </c>
      <c r="N115" s="64">
        <f>(IF((VLOOKUP(Table1[[#This Row],[SKU]],'All Skus'!$A:$AC,2,FALSE))="AKG",(VLOOKUP(Table1[[#This Row],[SKU]],'All Skus'!$A:$AC,18,FALSE)),""))</f>
        <v>8</v>
      </c>
      <c r="O115" s="64">
        <f>(IF((VLOOKUP(Table1[[#This Row],[SKU]],'All Skus'!$A:$AC,2,FALSE))="AKG",(VLOOKUP(Table1[[#This Row],[SKU]],'All Skus'!$A:$AC,19,FALSE)),""))</f>
        <v>3</v>
      </c>
      <c r="P115" s="64">
        <f>(IF((VLOOKUP(Table1[[#This Row],[SKU]],'All Skus'!$A:$AC,2,FALSE))="AKG",(VLOOKUP(Table1[[#This Row],[SKU]],'All Skus'!$A:$AC,20,FALSE)),""))</f>
        <v>6</v>
      </c>
      <c r="Q115" s="64">
        <f>(IF((VLOOKUP(Table1[[#This Row],[SKU]],'All Skus'!$A:$AC,2,FALSE))="AKG",(VLOOKUP(Table1[[#This Row],[SKU]],'All Skus'!$A:$AC,21,FALSE)),""))</f>
        <v>2.8</v>
      </c>
      <c r="R115" s="64" t="str">
        <f>(IF((VLOOKUP(Table1[[#This Row],[SKU]],'All Skus'!$A:$AC,2,FALSE))="AKG",(VLOOKUP(Table1[[#This Row],[SKU]],'All Skus'!$A:$AC,22,FALSE)),""))</f>
        <v>SK</v>
      </c>
      <c r="S115" s="64" t="str">
        <f>(IF((VLOOKUP(Table1[[#This Row],[SKU]],'All Skus'!$A:$AC,2,FALSE))="AKG",(VLOOKUP(Table1[[#This Row],[SKU]],'All Skus'!$A:$AC,23,FALSE)),""))</f>
        <v>Compliant</v>
      </c>
      <c r="T115" s="210" t="str">
        <f>HYPERLINK((IF((VLOOKUP(Table1[[#This Row],[SKU]],'All Skus'!$A:$AC,2,FALSE))="AKG",(VLOOKUP(Table1[[#This Row],[SKU]],'All Skus'!$A:$AC,24,FALSE)),"")))</f>
        <v>https://www.akg.com/Microphones/Microphone%20Accessories/2765Z00240.html</v>
      </c>
      <c r="U115" s="151">
        <v>113</v>
      </c>
    </row>
    <row r="116" spans="1:21" ht="15" hidden="1" customHeight="1">
      <c r="A116" s="50" t="s">
        <v>273</v>
      </c>
      <c r="B116" s="52" t="str">
        <f>(IF((VLOOKUP(Table1[[#This Row],[SKU]],'All Skus'!$A:$AC,2,FALSE))="AKG",(VLOOKUP(Table1[[#This Row],[SKU]],'All Skus'!$A:$AC,3,FALSE)), ""))</f>
        <v>Installed</v>
      </c>
      <c r="C116" s="60" t="str">
        <f>(IF((VLOOKUP(Table1[[#This Row],[SKU]],'All Skus'!$A:$AC,2,FALSE))="AKG",(VLOOKUP(Table1[[#This Row],[SKU]],'All Skus'!$A:$AC,4,FALSE)),""))</f>
        <v>CK41</v>
      </c>
      <c r="D116" s="60" t="str">
        <f>(IF((VLOOKUP(Table1[[#This Row],[SKU]],'All Skus'!$A:$AC,2,FALSE))="AKG",(VLOOKUP(Table1[[#This Row],[SKU]],'All Skus'!$A:$AC,5,FALSE)),""))</f>
        <v>AT510000</v>
      </c>
      <c r="E116" s="60">
        <f>(IF((VLOOKUP(Table1[[#This Row],[SKU]],'All Skus'!$A:$AC,2,FALSE))="AKG",(VLOOKUP(Table1[[#This Row],[SKU]],'All Skus'!$A:$AC,6,FALSE)),""))</f>
        <v>0</v>
      </c>
      <c r="F116" s="60">
        <f>(IF((VLOOKUP(Table1[[#This Row],[SKU]],'All Skus'!$A:$AC,2,FALSE))="AKG",(VLOOKUP(Table1[[#This Row],[SKU]],'All Skus'!$A:$AC,7,FALSE)),""))</f>
        <v>0</v>
      </c>
      <c r="G116" s="45" t="str">
        <f>(IF((VLOOKUP(Table1[[#This Row],[SKU]],'All Skus'!$A:$AC,2,FALSE))="AKG",(VLOOKUP(Table1[[#This Row],[SKU]],'All Skus'!$A:$AC,8,FALSE)),""))</f>
        <v>Capsule</v>
      </c>
      <c r="H116" s="45" t="str">
        <f>(IF((VLOOKUP(Table1[[#This Row],[SKU]],'All Skus'!$A:$AC,2,FALSE))="AKG",(VLOOKUP(Table1[[#This Row],[SKU]],'All Skus'!$A:$AC,9,FALSE)),""))</f>
        <v>Cardioid Capsule with foam windscreen W40</v>
      </c>
      <c r="I116" s="141">
        <f>(IF((VLOOKUP(Table1[[#This Row],[SKU]],'All Skus'!$A:$AC,2,FALSE))="AKG",(VLOOKUP(Table1[[#This Row],[SKU]],'All Skus'!$A:$AC,10,FALSE)),""))</f>
        <v>246.06</v>
      </c>
      <c r="J116" s="141">
        <f>(IF((VLOOKUP(Table1[[#This Row],[SKU]],'All Skus'!$A:$AC,2,FALSE))="AKG",(VLOOKUP(Table1[[#This Row],[SKU]],'All Skus'!$A:$AC,11,FALSE)),""))</f>
        <v>195</v>
      </c>
      <c r="K116" s="125">
        <f>(IF((VLOOKUP(Table1[[#This Row],[SKU]],'All Skus'!$A:$AC,2,FALSE))="AKG",(VLOOKUP(Table1[[#This Row],[SKU]],'All Skus'!$A:$AC,15,FALSE)),""))</f>
        <v>0</v>
      </c>
      <c r="L116" s="124">
        <f>(IF((VLOOKUP(Table1[[#This Row],[SKU]],'All Skus'!$A:$AC,2,FALSE))="AKG",(VLOOKUP(Table1[[#This Row],[SKU]],'All Skus'!$A:$AC,16,FALSE)),""))</f>
        <v>885038030607</v>
      </c>
      <c r="M116" s="124">
        <f>(IF((VLOOKUP(Table1[[#This Row],[SKU]],'All Skus'!$A:$AC,2,FALSE))="AKG",(VLOOKUP(Table1[[#This Row],[SKU]],'All Skus'!$A:$AC,17,FALSE)),""))</f>
        <v>9002761030600</v>
      </c>
      <c r="N116" s="64">
        <f>(IF((VLOOKUP(Table1[[#This Row],[SKU]],'All Skus'!$A:$AC,2,FALSE))="AKG",(VLOOKUP(Table1[[#This Row],[SKU]],'All Skus'!$A:$AC,18,FALSE)),""))</f>
        <v>5</v>
      </c>
      <c r="O116" s="64">
        <f>(IF((VLOOKUP(Table1[[#This Row],[SKU]],'All Skus'!$A:$AC,2,FALSE))="AKG",(VLOOKUP(Table1[[#This Row],[SKU]],'All Skus'!$A:$AC,19,FALSE)),""))</f>
        <v>8.5</v>
      </c>
      <c r="P116" s="64">
        <f>(IF((VLOOKUP(Table1[[#This Row],[SKU]],'All Skus'!$A:$AC,2,FALSE))="AKG",(VLOOKUP(Table1[[#This Row],[SKU]],'All Skus'!$A:$AC,20,FALSE)),""))</f>
        <v>7</v>
      </c>
      <c r="Q116" s="64">
        <f>(IF((VLOOKUP(Table1[[#This Row],[SKU]],'All Skus'!$A:$AC,2,FALSE))="AKG",(VLOOKUP(Table1[[#This Row],[SKU]],'All Skus'!$A:$AC,21,FALSE)),""))</f>
        <v>1.28</v>
      </c>
      <c r="R116" s="64" t="str">
        <f>(IF((VLOOKUP(Table1[[#This Row],[SKU]],'All Skus'!$A:$AC,2,FALSE))="AKG",(VLOOKUP(Table1[[#This Row],[SKU]],'All Skus'!$A:$AC,22,FALSE)),""))</f>
        <v>AT</v>
      </c>
      <c r="S116" s="64" t="str">
        <f>(IF((VLOOKUP(Table1[[#This Row],[SKU]],'All Skus'!$A:$AC,2,FALSE))="AKG",(VLOOKUP(Table1[[#This Row],[SKU]],'All Skus'!$A:$AC,23,FALSE)),""))</f>
        <v>Compliant</v>
      </c>
      <c r="T116" s="210" t="str">
        <f>HYPERLINK((IF((VLOOKUP(Table1[[#This Row],[SKU]],'All Skus'!$A:$AC,2,FALSE))="AKG",(VLOOKUP(Table1[[#This Row],[SKU]],'All Skus'!$A:$AC,24,FALSE)),"")))</f>
        <v>https://www.akg.com/Microphones/Microphone%20Accessories/3165H00010.html</v>
      </c>
      <c r="U116" s="151">
        <v>114</v>
      </c>
    </row>
    <row r="117" spans="1:21" ht="15" hidden="1" customHeight="1">
      <c r="A117" s="50" t="s">
        <v>274</v>
      </c>
      <c r="B117" s="52" t="str">
        <f>(IF((VLOOKUP(Table1[[#This Row],[SKU]],'All Skus'!$A:$AC,2,FALSE))="AKG",(VLOOKUP(Table1[[#This Row],[SKU]],'All Skus'!$A:$AC,3,FALSE)), ""))</f>
        <v>Accessories</v>
      </c>
      <c r="C117" s="60" t="str">
        <f>(IF((VLOOKUP(Table1[[#This Row],[SKU]],'All Skus'!$A:$AC,2,FALSE))="AKG",(VLOOKUP(Table1[[#This Row],[SKU]],'All Skus'!$A:$AC,4,FALSE)),""))</f>
        <v xml:space="preserve">CK49 </v>
      </c>
      <c r="D117" s="60" t="str">
        <f>(IF((VLOOKUP(Table1[[#This Row],[SKU]],'All Skus'!$A:$AC,2,FALSE))="AKG",(VLOOKUP(Table1[[#This Row],[SKU]],'All Skus'!$A:$AC,5,FALSE)),""))</f>
        <v>AT510000</v>
      </c>
      <c r="E117" s="60">
        <f>(IF((VLOOKUP(Table1[[#This Row],[SKU]],'All Skus'!$A:$AC,2,FALSE))="AKG",(VLOOKUP(Table1[[#This Row],[SKU]],'All Skus'!$A:$AC,6,FALSE)),""))</f>
        <v>0</v>
      </c>
      <c r="F117" s="60">
        <f>(IF((VLOOKUP(Table1[[#This Row],[SKU]],'All Skus'!$A:$AC,2,FALSE))="AKG",(VLOOKUP(Table1[[#This Row],[SKU]],'All Skus'!$A:$AC,7,FALSE)),""))</f>
        <v>0</v>
      </c>
      <c r="G117" s="45" t="str">
        <f>(IF((VLOOKUP(Table1[[#This Row],[SKU]],'All Skus'!$A:$AC,2,FALSE))="AKG",(VLOOKUP(Table1[[#This Row],[SKU]],'All Skus'!$A:$AC,8,FALSE)),""))</f>
        <v>Capsule</v>
      </c>
      <c r="H117" s="45" t="str">
        <f>(IF((VLOOKUP(Table1[[#This Row],[SKU]],'All Skus'!$A:$AC,2,FALSE))="AKG",(VLOOKUP(Table1[[#This Row],[SKU]],'All Skus'!$A:$AC,9,FALSE)),""))</f>
        <v>CK49 HYPERCARDIOID CAPSULE</v>
      </c>
      <c r="I117" s="141">
        <f>(IF((VLOOKUP(Table1[[#This Row],[SKU]],'All Skus'!$A:$AC,2,FALSE))="AKG",(VLOOKUP(Table1[[#This Row],[SKU]],'All Skus'!$A:$AC,10,FALSE)),""))</f>
        <v>406.96</v>
      </c>
      <c r="J117" s="141">
        <f>(IF((VLOOKUP(Table1[[#This Row],[SKU]],'All Skus'!$A:$AC,2,FALSE))="AKG",(VLOOKUP(Table1[[#This Row],[SKU]],'All Skus'!$A:$AC,11,FALSE)),""))</f>
        <v>325</v>
      </c>
      <c r="K117" s="125">
        <f>(IF((VLOOKUP(Table1[[#This Row],[SKU]],'All Skus'!$A:$AC,2,FALSE))="AKG",(VLOOKUP(Table1[[#This Row],[SKU]],'All Skus'!$A:$AC,15,FALSE)),""))</f>
        <v>0</v>
      </c>
      <c r="L117" s="124">
        <f>(IF((VLOOKUP(Table1[[#This Row],[SKU]],'All Skus'!$A:$AC,2,FALSE))="AKG",(VLOOKUP(Table1[[#This Row],[SKU]],'All Skus'!$A:$AC,16,FALSE)),""))</f>
        <v>885038030621</v>
      </c>
      <c r="M117" s="124">
        <f>(IF((VLOOKUP(Table1[[#This Row],[SKU]],'All Skus'!$A:$AC,2,FALSE))="AKG",(VLOOKUP(Table1[[#This Row],[SKU]],'All Skus'!$A:$AC,17,FALSE)),""))</f>
        <v>0</v>
      </c>
      <c r="N117" s="64">
        <f>(IF((VLOOKUP(Table1[[#This Row],[SKU]],'All Skus'!$A:$AC,2,FALSE))="AKG",(VLOOKUP(Table1[[#This Row],[SKU]],'All Skus'!$A:$AC,18,FALSE)),""))</f>
        <v>1.5</v>
      </c>
      <c r="O117" s="64">
        <f>(IF((VLOOKUP(Table1[[#This Row],[SKU]],'All Skus'!$A:$AC,2,FALSE))="AKG",(VLOOKUP(Table1[[#This Row],[SKU]],'All Skus'!$A:$AC,19,FALSE)),""))</f>
        <v>8</v>
      </c>
      <c r="P117" s="64">
        <f>(IF((VLOOKUP(Table1[[#This Row],[SKU]],'All Skus'!$A:$AC,2,FALSE))="AKG",(VLOOKUP(Table1[[#This Row],[SKU]],'All Skus'!$A:$AC,20,FALSE)),""))</f>
        <v>1.5</v>
      </c>
      <c r="Q117" s="64">
        <f>(IF((VLOOKUP(Table1[[#This Row],[SKU]],'All Skus'!$A:$AC,2,FALSE))="AKG",(VLOOKUP(Table1[[#This Row],[SKU]],'All Skus'!$A:$AC,21,FALSE)),""))</f>
        <v>0</v>
      </c>
      <c r="R117" s="64" t="str">
        <f>(IF((VLOOKUP(Table1[[#This Row],[SKU]],'All Skus'!$A:$AC,2,FALSE))="AKG",(VLOOKUP(Table1[[#This Row],[SKU]],'All Skus'!$A:$AC,22,FALSE)),""))</f>
        <v>HU</v>
      </c>
      <c r="S117" s="64" t="str">
        <f>(IF((VLOOKUP(Table1[[#This Row],[SKU]],'All Skus'!$A:$AC,2,FALSE))="AKG",(VLOOKUP(Table1[[#This Row],[SKU]],'All Skus'!$A:$AC,23,FALSE)),""))</f>
        <v>Compliant</v>
      </c>
      <c r="T117" s="210" t="str">
        <f>HYPERLINK((IF((VLOOKUP(Table1[[#This Row],[SKU]],'All Skus'!$A:$AC,2,FALSE))="AKG",(VLOOKUP(Table1[[#This Row],[SKU]],'All Skus'!$A:$AC,24,FALSE)),"")))</f>
        <v>https://www.akg.com/Microphones/Microphone%20Accessories/3165H00030.html</v>
      </c>
      <c r="U117" s="151">
        <v>115</v>
      </c>
    </row>
    <row r="118" spans="1:21" ht="15" hidden="1" customHeight="1">
      <c r="A118" s="50" t="s">
        <v>275</v>
      </c>
      <c r="B118" s="52" t="str">
        <f>(IF((VLOOKUP(Table1[[#This Row],[SKU]],'All Skus'!$A:$AC,2,FALSE))="AKG",(VLOOKUP(Table1[[#This Row],[SKU]],'All Skus'!$A:$AC,3,FALSE)), ""))</f>
        <v>Accessories</v>
      </c>
      <c r="C118" s="60" t="str">
        <f>(IF((VLOOKUP(Table1[[#This Row],[SKU]],'All Skus'!$A:$AC,2,FALSE))="AKG",(VLOOKUP(Table1[[#This Row],[SKU]],'All Skus'!$A:$AC,4,FALSE)),""))</f>
        <v>W30</v>
      </c>
      <c r="D118" s="60">
        <f>(IF((VLOOKUP(Table1[[#This Row],[SKU]],'All Skus'!$A:$AC,2,FALSE))="AKG",(VLOOKUP(Table1[[#This Row],[SKU]],'All Skus'!$A:$AC,5,FALSE)),""))</f>
        <v>20260000</v>
      </c>
      <c r="E118" s="60">
        <f>(IF((VLOOKUP(Table1[[#This Row],[SKU]],'All Skus'!$A:$AC,2,FALSE))="AKG",(VLOOKUP(Table1[[#This Row],[SKU]],'All Skus'!$A:$AC,6,FALSE)),""))</f>
        <v>0</v>
      </c>
      <c r="F118" s="60">
        <f>(IF((VLOOKUP(Table1[[#This Row],[SKU]],'All Skus'!$A:$AC,2,FALSE))="AKG",(VLOOKUP(Table1[[#This Row],[SKU]],'All Skus'!$A:$AC,7,FALSE)),""))</f>
        <v>0</v>
      </c>
      <c r="G118" s="45" t="str">
        <f>(IF((VLOOKUP(Table1[[#This Row],[SKU]],'All Skus'!$A:$AC,2,FALSE))="AKG",(VLOOKUP(Table1[[#This Row],[SKU]],'All Skus'!$A:$AC,8,FALSE)),""))</f>
        <v>Accessories</v>
      </c>
      <c r="H118" s="45" t="str">
        <f>(IF((VLOOKUP(Table1[[#This Row],[SKU]],'All Skus'!$A:$AC,2,FALSE))="AKG",(VLOOKUP(Table1[[#This Row],[SKU]],'All Skus'!$A:$AC,9,FALSE)),""))</f>
        <v>Foam windscreen for CK31, CK32, CK33</v>
      </c>
      <c r="I118" s="141">
        <f>(IF((VLOOKUP(Table1[[#This Row],[SKU]],'All Skus'!$A:$AC,2,FALSE))="AKG",(VLOOKUP(Table1[[#This Row],[SKU]],'All Skus'!$A:$AC,10,FALSE)),""))</f>
        <v>10.32</v>
      </c>
      <c r="J118" s="141">
        <f>(IF((VLOOKUP(Table1[[#This Row],[SKU]],'All Skus'!$A:$AC,2,FALSE))="AKG",(VLOOKUP(Table1[[#This Row],[SKU]],'All Skus'!$A:$AC,11,FALSE)),""))</f>
        <v>10.32</v>
      </c>
      <c r="K118" s="125">
        <f>(IF((VLOOKUP(Table1[[#This Row],[SKU]],'All Skus'!$A:$AC,2,FALSE))="AKG",(VLOOKUP(Table1[[#This Row],[SKU]],'All Skus'!$A:$AC,15,FALSE)),""))</f>
        <v>0</v>
      </c>
      <c r="L118" s="124">
        <f>(IF((VLOOKUP(Table1[[#This Row],[SKU]],'All Skus'!$A:$AC,2,FALSE))="AKG",(VLOOKUP(Table1[[#This Row],[SKU]],'All Skus'!$A:$AC,16,FALSE)),""))</f>
        <v>885038026839</v>
      </c>
      <c r="M118" s="124">
        <f>(IF((VLOOKUP(Table1[[#This Row],[SKU]],'All Skus'!$A:$AC,2,FALSE))="AKG",(VLOOKUP(Table1[[#This Row],[SKU]],'All Skus'!$A:$AC,17,FALSE)),""))</f>
        <v>9002761026832</v>
      </c>
      <c r="N118" s="64">
        <f>(IF((VLOOKUP(Table1[[#This Row],[SKU]],'All Skus'!$A:$AC,2,FALSE))="AKG",(VLOOKUP(Table1[[#This Row],[SKU]],'All Skus'!$A:$AC,18,FALSE)),""))</f>
        <v>1</v>
      </c>
      <c r="O118" s="64">
        <f>(IF((VLOOKUP(Table1[[#This Row],[SKU]],'All Skus'!$A:$AC,2,FALSE))="AKG",(VLOOKUP(Table1[[#This Row],[SKU]],'All Skus'!$A:$AC,19,FALSE)),""))</f>
        <v>1</v>
      </c>
      <c r="P118" s="64">
        <f>(IF((VLOOKUP(Table1[[#This Row],[SKU]],'All Skus'!$A:$AC,2,FALSE))="AKG",(VLOOKUP(Table1[[#This Row],[SKU]],'All Skus'!$A:$AC,20,FALSE)),""))</f>
        <v>3</v>
      </c>
      <c r="Q118" s="64">
        <f>(IF((VLOOKUP(Table1[[#This Row],[SKU]],'All Skus'!$A:$AC,2,FALSE))="AKG",(VLOOKUP(Table1[[#This Row],[SKU]],'All Skus'!$A:$AC,21,FALSE)),""))</f>
        <v>0</v>
      </c>
      <c r="R118" s="64" t="str">
        <f>(IF((VLOOKUP(Table1[[#This Row],[SKU]],'All Skus'!$A:$AC,2,FALSE))="AKG",(VLOOKUP(Table1[[#This Row],[SKU]],'All Skus'!$A:$AC,22,FALSE)),""))</f>
        <v>JP</v>
      </c>
      <c r="S118" s="64" t="str">
        <f>(IF((VLOOKUP(Table1[[#This Row],[SKU]],'All Skus'!$A:$AC,2,FALSE))="AKG",(VLOOKUP(Table1[[#This Row],[SKU]],'All Skus'!$A:$AC,23,FALSE)),""))</f>
        <v>Compliant</v>
      </c>
      <c r="T118" s="210" t="str">
        <f>HYPERLINK((IF((VLOOKUP(Table1[[#This Row],[SKU]],'All Skus'!$A:$AC,2,FALSE))="AKG",(VLOOKUP(Table1[[#This Row],[SKU]],'All Skus'!$A:$AC,24,FALSE)),"")))</f>
        <v>https://www.akg.com/Microphones/Microphone%20Accessories/2765H00300.html</v>
      </c>
      <c r="U118" s="151">
        <v>116</v>
      </c>
    </row>
    <row r="119" spans="1:21" ht="15" hidden="1" customHeight="1">
      <c r="A119" s="50" t="s">
        <v>276</v>
      </c>
      <c r="B119" s="52" t="str">
        <f>(IF((VLOOKUP(Table1[[#This Row],[SKU]],'All Skus'!$A:$AC,2,FALSE))="AKG",(VLOOKUP(Table1[[#This Row],[SKU]],'All Skus'!$A:$AC,3,FALSE)), ""))</f>
        <v>Installed</v>
      </c>
      <c r="C119" s="60" t="str">
        <f>(IF((VLOOKUP(Table1[[#This Row],[SKU]],'All Skus'!$A:$AC,2,FALSE))="AKG",(VLOOKUP(Table1[[#This Row],[SKU]],'All Skus'!$A:$AC,4,FALSE)),""))</f>
        <v xml:space="preserve">W82 black foam 10pack </v>
      </c>
      <c r="D119" s="60" t="str">
        <f>(IF((VLOOKUP(Table1[[#This Row],[SKU]],'All Skus'!$A:$AC,2,FALSE))="AKG",(VLOOKUP(Table1[[#This Row],[SKU]],'All Skus'!$A:$AC,5,FALSE)),""))</f>
        <v>AT510000</v>
      </c>
      <c r="E119" s="60">
        <f>(IF((VLOOKUP(Table1[[#This Row],[SKU]],'All Skus'!$A:$AC,2,FALSE))="AKG",(VLOOKUP(Table1[[#This Row],[SKU]],'All Skus'!$A:$AC,6,FALSE)),""))</f>
        <v>0</v>
      </c>
      <c r="F119" s="60">
        <f>(IF((VLOOKUP(Table1[[#This Row],[SKU]],'All Skus'!$A:$AC,2,FALSE))="AKG",(VLOOKUP(Table1[[#This Row],[SKU]],'All Skus'!$A:$AC,7,FALSE)),""))</f>
        <v>0</v>
      </c>
      <c r="G119" s="45" t="str">
        <f>(IF((VLOOKUP(Table1[[#This Row],[SKU]],'All Skus'!$A:$AC,2,FALSE))="AKG",(VLOOKUP(Table1[[#This Row],[SKU]],'All Skus'!$A:$AC,8,FALSE)),""))</f>
        <v>Microlite Accessories</v>
      </c>
      <c r="H119" s="45" t="str">
        <f>(IF((VLOOKUP(Table1[[#This Row],[SKU]],'All Skus'!$A:$AC,2,FALSE))="AKG",(VLOOKUP(Table1[[#This Row],[SKU]],'All Skus'!$A:$AC,9,FALSE)),""))</f>
        <v>foam windscreen 10 pack</v>
      </c>
      <c r="I119" s="141">
        <f>(IF((VLOOKUP(Table1[[#This Row],[SKU]],'All Skus'!$A:$AC,2,FALSE))="AKG",(VLOOKUP(Table1[[#This Row],[SKU]],'All Skus'!$A:$AC,10,FALSE)),""))</f>
        <v>48.22</v>
      </c>
      <c r="J119" s="141">
        <f>(IF((VLOOKUP(Table1[[#This Row],[SKU]],'All Skus'!$A:$AC,2,FALSE))="AKG",(VLOOKUP(Table1[[#This Row],[SKU]],'All Skus'!$A:$AC,11,FALSE)),""))</f>
        <v>37</v>
      </c>
      <c r="K119" s="125">
        <f>(IF((VLOOKUP(Table1[[#This Row],[SKU]],'All Skus'!$A:$AC,2,FALSE))="AKG",(VLOOKUP(Table1[[#This Row],[SKU]],'All Skus'!$A:$AC,15,FALSE)),""))</f>
        <v>0</v>
      </c>
      <c r="L119" s="124">
        <f>(IF((VLOOKUP(Table1[[#This Row],[SKU]],'All Skus'!$A:$AC,2,FALSE))="AKG",(VLOOKUP(Table1[[#This Row],[SKU]],'All Skus'!$A:$AC,16,FALSE)),""))</f>
        <v>885038039181</v>
      </c>
      <c r="M119" s="124">
        <f>(IF((VLOOKUP(Table1[[#This Row],[SKU]],'All Skus'!$A:$AC,2,FALSE))="AKG",(VLOOKUP(Table1[[#This Row],[SKU]],'All Skus'!$A:$AC,17,FALSE)),""))</f>
        <v>9002761039184</v>
      </c>
      <c r="N119" s="64">
        <f>(IF((VLOOKUP(Table1[[#This Row],[SKU]],'All Skus'!$A:$AC,2,FALSE))="AKG",(VLOOKUP(Table1[[#This Row],[SKU]],'All Skus'!$A:$AC,18,FALSE)),""))</f>
        <v>1</v>
      </c>
      <c r="O119" s="64">
        <f>(IF((VLOOKUP(Table1[[#This Row],[SKU]],'All Skus'!$A:$AC,2,FALSE))="AKG",(VLOOKUP(Table1[[#This Row],[SKU]],'All Skus'!$A:$AC,19,FALSE)),""))</f>
        <v>4</v>
      </c>
      <c r="P119" s="64">
        <f>(IF((VLOOKUP(Table1[[#This Row],[SKU]],'All Skus'!$A:$AC,2,FALSE))="AKG",(VLOOKUP(Table1[[#This Row],[SKU]],'All Skus'!$A:$AC,20,FALSE)),""))</f>
        <v>2.5</v>
      </c>
      <c r="Q119" s="64" t="str">
        <f>(IF((VLOOKUP(Table1[[#This Row],[SKU]],'All Skus'!$A:$AC,2,FALSE))="AKG",(VLOOKUP(Table1[[#This Row],[SKU]],'All Skus'!$A:$AC,21,FALSE)),""))</f>
        <v>n/a</v>
      </c>
      <c r="R119" s="64" t="str">
        <f>(IF((VLOOKUP(Table1[[#This Row],[SKU]],'All Skus'!$A:$AC,2,FALSE))="AKG",(VLOOKUP(Table1[[#This Row],[SKU]],'All Skus'!$A:$AC,22,FALSE)),""))</f>
        <v>TW</v>
      </c>
      <c r="S119" s="64" t="str">
        <f>(IF((VLOOKUP(Table1[[#This Row],[SKU]],'All Skus'!$A:$AC,2,FALSE))="AKG",(VLOOKUP(Table1[[#This Row],[SKU]],'All Skus'!$A:$AC,23,FALSE)),""))</f>
        <v>Compliant</v>
      </c>
      <c r="T119" s="210" t="str">
        <f>HYPERLINK((IF((VLOOKUP(Table1[[#This Row],[SKU]],'All Skus'!$A:$AC,2,FALSE))="AKG",(VLOOKUP(Table1[[#This Row],[SKU]],'All Skus'!$A:$AC,24,FALSE)),"")))</f>
        <v>https://www.akg.com/support-product-detail.html#prod=W82group</v>
      </c>
      <c r="U119" s="151">
        <v>117</v>
      </c>
    </row>
    <row r="120" spans="1:21" ht="15" hidden="1" customHeight="1">
      <c r="A120" s="50" t="s">
        <v>277</v>
      </c>
      <c r="B120" s="52" t="str">
        <f>(IF((VLOOKUP(Table1[[#This Row],[SKU]],'All Skus'!$A:$AC,2,FALSE))="AKG",(VLOOKUP(Table1[[#This Row],[SKU]],'All Skus'!$A:$AC,3,FALSE)), ""))</f>
        <v>Installed</v>
      </c>
      <c r="C120" s="60" t="str">
        <f>(IF((VLOOKUP(Table1[[#This Row],[SKU]],'All Skus'!$A:$AC,2,FALSE))="AKG",(VLOOKUP(Table1[[#This Row],[SKU]],'All Skus'!$A:$AC,4,FALSE)),""))</f>
        <v>W40 M</v>
      </c>
      <c r="D120" s="60" t="str">
        <f>(IF((VLOOKUP(Table1[[#This Row],[SKU]],'All Skus'!$A:$AC,2,FALSE))="AKG",(VLOOKUP(Table1[[#This Row],[SKU]],'All Skus'!$A:$AC,5,FALSE)),""))</f>
        <v>AT510000</v>
      </c>
      <c r="E120" s="60">
        <f>(IF((VLOOKUP(Table1[[#This Row],[SKU]],'All Skus'!$A:$AC,2,FALSE))="AKG",(VLOOKUP(Table1[[#This Row],[SKU]],'All Skus'!$A:$AC,6,FALSE)),""))</f>
        <v>0</v>
      </c>
      <c r="F120" s="60">
        <f>(IF((VLOOKUP(Table1[[#This Row],[SKU]],'All Skus'!$A:$AC,2,FALSE))="AKG",(VLOOKUP(Table1[[#This Row],[SKU]],'All Skus'!$A:$AC,7,FALSE)),""))</f>
        <v>0</v>
      </c>
      <c r="G120" s="45" t="str">
        <f>(IF((VLOOKUP(Table1[[#This Row],[SKU]],'All Skus'!$A:$AC,2,FALSE))="AKG",(VLOOKUP(Table1[[#This Row],[SKU]],'All Skus'!$A:$AC,8,FALSE)),""))</f>
        <v>Installed Accessories</v>
      </c>
      <c r="H120" s="45" t="str">
        <f>(IF((VLOOKUP(Table1[[#This Row],[SKU]],'All Skus'!$A:$AC,2,FALSE))="AKG",(VLOOKUP(Table1[[#This Row],[SKU]],'All Skus'!$A:$AC,9,FALSE)),""))</f>
        <v>Dual layer wiremesh windscreen for CK41 and CK43</v>
      </c>
      <c r="I120" s="141">
        <f>(IF((VLOOKUP(Table1[[#This Row],[SKU]],'All Skus'!$A:$AC,2,FALSE))="AKG",(VLOOKUP(Table1[[#This Row],[SKU]],'All Skus'!$A:$AC,10,FALSE)),""))</f>
        <v>92.74</v>
      </c>
      <c r="J120" s="141">
        <f>(IF((VLOOKUP(Table1[[#This Row],[SKU]],'All Skus'!$A:$AC,2,FALSE))="AKG",(VLOOKUP(Table1[[#This Row],[SKU]],'All Skus'!$A:$AC,11,FALSE)),""))</f>
        <v>72</v>
      </c>
      <c r="K120" s="125">
        <f>(IF((VLOOKUP(Table1[[#This Row],[SKU]],'All Skus'!$A:$AC,2,FALSE))="AKG",(VLOOKUP(Table1[[#This Row],[SKU]],'All Skus'!$A:$AC,15,FALSE)),""))</f>
        <v>0</v>
      </c>
      <c r="L120" s="124">
        <f>(IF((VLOOKUP(Table1[[#This Row],[SKU]],'All Skus'!$A:$AC,2,FALSE))="AKG",(VLOOKUP(Table1[[#This Row],[SKU]],'All Skus'!$A:$AC,16,FALSE)),""))</f>
        <v>885038031048</v>
      </c>
      <c r="M120" s="124">
        <f>(IF((VLOOKUP(Table1[[#This Row],[SKU]],'All Skus'!$A:$AC,2,FALSE))="AKG",(VLOOKUP(Table1[[#This Row],[SKU]],'All Skus'!$A:$AC,17,FALSE)),""))</f>
        <v>9002761031041</v>
      </c>
      <c r="N120" s="64">
        <f>(IF((VLOOKUP(Table1[[#This Row],[SKU]],'All Skus'!$A:$AC,2,FALSE))="AKG",(VLOOKUP(Table1[[#This Row],[SKU]],'All Skus'!$A:$AC,18,FALSE)),""))</f>
        <v>2</v>
      </c>
      <c r="O120" s="64">
        <f>(IF((VLOOKUP(Table1[[#This Row],[SKU]],'All Skus'!$A:$AC,2,FALSE))="AKG",(VLOOKUP(Table1[[#This Row],[SKU]],'All Skus'!$A:$AC,19,FALSE)),""))</f>
        <v>5</v>
      </c>
      <c r="P120" s="64">
        <f>(IF((VLOOKUP(Table1[[#This Row],[SKU]],'All Skus'!$A:$AC,2,FALSE))="AKG",(VLOOKUP(Table1[[#This Row],[SKU]],'All Skus'!$A:$AC,20,FALSE)),""))</f>
        <v>3</v>
      </c>
      <c r="Q120" s="64">
        <f>(IF((VLOOKUP(Table1[[#This Row],[SKU]],'All Skus'!$A:$AC,2,FALSE))="AKG",(VLOOKUP(Table1[[#This Row],[SKU]],'All Skus'!$A:$AC,21,FALSE)),""))</f>
        <v>2.2000000000000002</v>
      </c>
      <c r="R120" s="64" t="str">
        <f>(IF((VLOOKUP(Table1[[#This Row],[SKU]],'All Skus'!$A:$AC,2,FALSE))="AKG",(VLOOKUP(Table1[[#This Row],[SKU]],'All Skus'!$A:$AC,22,FALSE)),""))</f>
        <v>TW</v>
      </c>
      <c r="S120" s="64" t="str">
        <f>(IF((VLOOKUP(Table1[[#This Row],[SKU]],'All Skus'!$A:$AC,2,FALSE))="AKG",(VLOOKUP(Table1[[#This Row],[SKU]],'All Skus'!$A:$AC,23,FALSE)),""))</f>
        <v>Compliant</v>
      </c>
      <c r="T120" s="210" t="str">
        <f>HYPERLINK((IF((VLOOKUP(Table1[[#This Row],[SKU]],'All Skus'!$A:$AC,2,FALSE))="AKG",(VLOOKUP(Table1[[#This Row],[SKU]],'All Skus'!$A:$AC,24,FALSE)),"")))</f>
        <v>https://www.akg.com/Microphones/Microphone%20Accessories/3165H00290.html</v>
      </c>
      <c r="U120" s="151">
        <v>118</v>
      </c>
    </row>
    <row r="121" spans="1:21" ht="15" hidden="1" customHeight="1">
      <c r="A121" s="50" t="s">
        <v>278</v>
      </c>
      <c r="B121" s="52" t="str">
        <f>(IF((VLOOKUP(Table1[[#This Row],[SKU]],'All Skus'!$A:$AC,2,FALSE))="AKG",(VLOOKUP(Table1[[#This Row],[SKU]],'All Skus'!$A:$AC,3,FALSE)), ""))</f>
        <v>Installed</v>
      </c>
      <c r="C121" s="60" t="str">
        <f>(IF((VLOOKUP(Table1[[#This Row],[SKU]],'All Skus'!$A:$AC,2,FALSE))="AKG",(VLOOKUP(Table1[[#This Row],[SKU]],'All Skus'!$A:$AC,4,FALSE)),""))</f>
        <v>MF M</v>
      </c>
      <c r="D121" s="60" t="str">
        <f>(IF((VLOOKUP(Table1[[#This Row],[SKU]],'All Skus'!$A:$AC,2,FALSE))="AKG",(VLOOKUP(Table1[[#This Row],[SKU]],'All Skus'!$A:$AC,5,FALSE)),""))</f>
        <v>AT510000</v>
      </c>
      <c r="E121" s="60">
        <f>(IF((VLOOKUP(Table1[[#This Row],[SKU]],'All Skus'!$A:$AC,2,FALSE))="AKG",(VLOOKUP(Table1[[#This Row],[SKU]],'All Skus'!$A:$AC,6,FALSE)),""))</f>
        <v>0</v>
      </c>
      <c r="F121" s="60">
        <f>(IF((VLOOKUP(Table1[[#This Row],[SKU]],'All Skus'!$A:$AC,2,FALSE))="AKG",(VLOOKUP(Table1[[#This Row],[SKU]],'All Skus'!$A:$AC,7,FALSE)),""))</f>
        <v>0</v>
      </c>
      <c r="G121" s="45" t="str">
        <f>(IF((VLOOKUP(Table1[[#This Row],[SKU]],'All Skus'!$A:$AC,2,FALSE))="AKG",(VLOOKUP(Table1[[#This Row],[SKU]],'All Skus'!$A:$AC,8,FALSE)),""))</f>
        <v>Installed Accessories</v>
      </c>
      <c r="H121" s="45" t="str">
        <f>(IF((VLOOKUP(Table1[[#This Row],[SKU]],'All Skus'!$A:$AC,2,FALSE))="AKG",(VLOOKUP(Table1[[#This Row],[SKU]],'All Skus'!$A:$AC,9,FALSE)),""))</f>
        <v>Flush Mount Module with cover; for DAM+ PAE powering module</v>
      </c>
      <c r="I121" s="141">
        <f>(IF((VLOOKUP(Table1[[#This Row],[SKU]],'All Skus'!$A:$AC,2,FALSE))="AKG",(VLOOKUP(Table1[[#This Row],[SKU]],'All Skus'!$A:$AC,10,FALSE)),""))</f>
        <v>92.74</v>
      </c>
      <c r="J121" s="141">
        <f>(IF((VLOOKUP(Table1[[#This Row],[SKU]],'All Skus'!$A:$AC,2,FALSE))="AKG",(VLOOKUP(Table1[[#This Row],[SKU]],'All Skus'!$A:$AC,11,FALSE)),""))</f>
        <v>72</v>
      </c>
      <c r="K121" s="125">
        <f>(IF((VLOOKUP(Table1[[#This Row],[SKU]],'All Skus'!$A:$AC,2,FALSE))="AKG",(VLOOKUP(Table1[[#This Row],[SKU]],'All Skus'!$A:$AC,15,FALSE)),""))</f>
        <v>0</v>
      </c>
      <c r="L121" s="124">
        <f>(IF((VLOOKUP(Table1[[#This Row],[SKU]],'All Skus'!$A:$AC,2,FALSE))="AKG",(VLOOKUP(Table1[[#This Row],[SKU]],'All Skus'!$A:$AC,16,FALSE)),""))</f>
        <v>885038037006</v>
      </c>
      <c r="M121" s="124">
        <f>(IF((VLOOKUP(Table1[[#This Row],[SKU]],'All Skus'!$A:$AC,2,FALSE))="AKG",(VLOOKUP(Table1[[#This Row],[SKU]],'All Skus'!$A:$AC,17,FALSE)),""))</f>
        <v>9002761030709</v>
      </c>
      <c r="N121" s="64">
        <f>(IF((VLOOKUP(Table1[[#This Row],[SKU]],'All Skus'!$A:$AC,2,FALSE))="AKG",(VLOOKUP(Table1[[#This Row],[SKU]],'All Skus'!$A:$AC,18,FALSE)),""))</f>
        <v>3</v>
      </c>
      <c r="O121" s="64">
        <f>(IF((VLOOKUP(Table1[[#This Row],[SKU]],'All Skus'!$A:$AC,2,FALSE))="AKG",(VLOOKUP(Table1[[#This Row],[SKU]],'All Skus'!$A:$AC,19,FALSE)),""))</f>
        <v>5</v>
      </c>
      <c r="P121" s="64">
        <f>(IF((VLOOKUP(Table1[[#This Row],[SKU]],'All Skus'!$A:$AC,2,FALSE))="AKG",(VLOOKUP(Table1[[#This Row],[SKU]],'All Skus'!$A:$AC,20,FALSE)),""))</f>
        <v>3</v>
      </c>
      <c r="Q121" s="64">
        <f>(IF((VLOOKUP(Table1[[#This Row],[SKU]],'All Skus'!$A:$AC,2,FALSE))="AKG",(VLOOKUP(Table1[[#This Row],[SKU]],'All Skus'!$A:$AC,21,FALSE)),""))</f>
        <v>2.2000000000000002</v>
      </c>
      <c r="R121" s="64" t="str">
        <f>(IF((VLOOKUP(Table1[[#This Row],[SKU]],'All Skus'!$A:$AC,2,FALSE))="AKG",(VLOOKUP(Table1[[#This Row],[SKU]],'All Skus'!$A:$AC,22,FALSE)),""))</f>
        <v>TW</v>
      </c>
      <c r="S121" s="64" t="str">
        <f>(IF((VLOOKUP(Table1[[#This Row],[SKU]],'All Skus'!$A:$AC,2,FALSE))="AKG",(VLOOKUP(Table1[[#This Row],[SKU]],'All Skus'!$A:$AC,23,FALSE)),""))</f>
        <v>Compliant</v>
      </c>
      <c r="T121" s="210" t="str">
        <f>HYPERLINK((IF((VLOOKUP(Table1[[#This Row],[SKU]],'All Skus'!$A:$AC,2,FALSE))="AKG",(VLOOKUP(Table1[[#This Row],[SKU]],'All Skus'!$A:$AC,24,FALSE)),"")))</f>
        <v>http://www.akg.com/pro/p/mfmcatalog</v>
      </c>
      <c r="U121" s="151">
        <v>119</v>
      </c>
    </row>
    <row r="122" spans="1:21" ht="15" hidden="1" customHeight="1">
      <c r="A122" s="50" t="s">
        <v>279</v>
      </c>
      <c r="B122" s="52" t="str">
        <f>(IF((VLOOKUP(Table1[[#This Row],[SKU]],'All Skus'!$A:$AC,2,FALSE))="AKG",(VLOOKUP(Table1[[#This Row],[SKU]],'All Skus'!$A:$AC,3,FALSE)), ""))</f>
        <v>Accessories</v>
      </c>
      <c r="C122" s="60" t="str">
        <f>(IF((VLOOKUP(Table1[[#This Row],[SKU]],'All Skus'!$A:$AC,2,FALSE))="AKG",(VLOOKUP(Table1[[#This Row],[SKU]],'All Skus'!$A:$AC,4,FALSE)),""))</f>
        <v>H600</v>
      </c>
      <c r="D122" s="60" t="str">
        <f>(IF((VLOOKUP(Table1[[#This Row],[SKU]],'All Skus'!$A:$AC,2,FALSE))="AKG",(VLOOKUP(Table1[[#This Row],[SKU]],'All Skus'!$A:$AC,5,FALSE)),""))</f>
        <v>AT510000</v>
      </c>
      <c r="E122" s="60">
        <f>(IF((VLOOKUP(Table1[[#This Row],[SKU]],'All Skus'!$A:$AC,2,FALSE))="AKG",(VLOOKUP(Table1[[#This Row],[SKU]],'All Skus'!$A:$AC,6,FALSE)),""))</f>
        <v>0</v>
      </c>
      <c r="F122" s="60">
        <f>(IF((VLOOKUP(Table1[[#This Row],[SKU]],'All Skus'!$A:$AC,2,FALSE))="AKG",(VLOOKUP(Table1[[#This Row],[SKU]],'All Skus'!$A:$AC,7,FALSE)),""))</f>
        <v>0</v>
      </c>
      <c r="G122" s="45" t="str">
        <f>(IF((VLOOKUP(Table1[[#This Row],[SKU]],'All Skus'!$A:$AC,2,FALSE))="AKG",(VLOOKUP(Table1[[#This Row],[SKU]],'All Skus'!$A:$AC,8,FALSE)),""))</f>
        <v>Accessories</v>
      </c>
      <c r="H122" s="45" t="str">
        <f>(IF((VLOOKUP(Table1[[#This Row],[SKU]],'All Skus'!$A:$AC,2,FALSE))="AKG",(VLOOKUP(Table1[[#This Row],[SKU]],'All Skus'!$A:$AC,9,FALSE)),""))</f>
        <v>Elastic shock mount unit for all Discreet Acoustics GN modules</v>
      </c>
      <c r="I122" s="141">
        <f>(IF((VLOOKUP(Table1[[#This Row],[SKU]],'All Skus'!$A:$AC,2,FALSE))="AKG",(VLOOKUP(Table1[[#This Row],[SKU]],'All Skus'!$A:$AC,10,FALSE)),""))</f>
        <v>193.27</v>
      </c>
      <c r="J122" s="141">
        <f>(IF((VLOOKUP(Table1[[#This Row],[SKU]],'All Skus'!$A:$AC,2,FALSE))="AKG",(VLOOKUP(Table1[[#This Row],[SKU]],'All Skus'!$A:$AC,11,FALSE)),""))</f>
        <v>170</v>
      </c>
      <c r="K122" s="125">
        <f>(IF((VLOOKUP(Table1[[#This Row],[SKU]],'All Skus'!$A:$AC,2,FALSE))="AKG",(VLOOKUP(Table1[[#This Row],[SKU]],'All Skus'!$A:$AC,15,FALSE)),""))</f>
        <v>0</v>
      </c>
      <c r="L122" s="124">
        <f>(IF((VLOOKUP(Table1[[#This Row],[SKU]],'All Skus'!$A:$AC,2,FALSE))="AKG",(VLOOKUP(Table1[[#This Row],[SKU]],'All Skus'!$A:$AC,16,FALSE)),""))</f>
        <v>885038002086</v>
      </c>
      <c r="M122" s="124">
        <f>(IF((VLOOKUP(Table1[[#This Row],[SKU]],'All Skus'!$A:$AC,2,FALSE))="AKG",(VLOOKUP(Table1[[#This Row],[SKU]],'All Skus'!$A:$AC,17,FALSE)),""))</f>
        <v>9002761002089</v>
      </c>
      <c r="N122" s="64">
        <f>(IF((VLOOKUP(Table1[[#This Row],[SKU]],'All Skus'!$A:$AC,2,FALSE))="AKG",(VLOOKUP(Table1[[#This Row],[SKU]],'All Skus'!$A:$AC,18,FALSE)),""))</f>
        <v>3</v>
      </c>
      <c r="O122" s="64">
        <f>(IF((VLOOKUP(Table1[[#This Row],[SKU]],'All Skus'!$A:$AC,2,FALSE))="AKG",(VLOOKUP(Table1[[#This Row],[SKU]],'All Skus'!$A:$AC,19,FALSE)),""))</f>
        <v>3</v>
      </c>
      <c r="P122" s="64">
        <f>(IF((VLOOKUP(Table1[[#This Row],[SKU]],'All Skus'!$A:$AC,2,FALSE))="AKG",(VLOOKUP(Table1[[#This Row],[SKU]],'All Skus'!$A:$AC,20,FALSE)),""))</f>
        <v>3</v>
      </c>
      <c r="Q122" s="64">
        <f>(IF((VLOOKUP(Table1[[#This Row],[SKU]],'All Skus'!$A:$AC,2,FALSE))="AKG",(VLOOKUP(Table1[[#This Row],[SKU]],'All Skus'!$A:$AC,21,FALSE)),""))</f>
        <v>2</v>
      </c>
      <c r="R122" s="64" t="str">
        <f>(IF((VLOOKUP(Table1[[#This Row],[SKU]],'All Skus'!$A:$AC,2,FALSE))="AKG",(VLOOKUP(Table1[[#This Row],[SKU]],'All Skus'!$A:$AC,22,FALSE)),""))</f>
        <v>TW</v>
      </c>
      <c r="S122" s="64" t="str">
        <f>(IF((VLOOKUP(Table1[[#This Row],[SKU]],'All Skus'!$A:$AC,2,FALSE))="AKG",(VLOOKUP(Table1[[#This Row],[SKU]],'All Skus'!$A:$AC,23,FALSE)),""))</f>
        <v>Compliant</v>
      </c>
      <c r="T122" s="210" t="str">
        <f>HYPERLINK((IF((VLOOKUP(Table1[[#This Row],[SKU]],'All Skus'!$A:$AC,2,FALSE))="AKG",(VLOOKUP(Table1[[#This Row],[SKU]],'All Skus'!$A:$AC,24,FALSE)),"")))</f>
        <v>https://www.akg.com/Microphones/Microphone%20Accessories/2426X00030.html</v>
      </c>
      <c r="U122" s="151">
        <v>120</v>
      </c>
    </row>
    <row r="123" spans="1:21" ht="15" hidden="1" customHeight="1">
      <c r="A123" s="50" t="s">
        <v>280</v>
      </c>
      <c r="B123" s="52" t="str">
        <f>(IF((VLOOKUP(Table1[[#This Row],[SKU]],'All Skus'!$A:$AC,2,FALSE))="AKG",(VLOOKUP(Table1[[#This Row],[SKU]],'All Skus'!$A:$AC,3,FALSE)), ""))</f>
        <v>Installed</v>
      </c>
      <c r="C123" s="60" t="str">
        <f>(IF((VLOOKUP(Table1[[#This Row],[SKU]],'All Skus'!$A:$AC,2,FALSE))="AKG",(VLOOKUP(Table1[[#This Row],[SKU]],'All Skus'!$A:$AC,4,FALSE)),""))</f>
        <v>PAE M</v>
      </c>
      <c r="D123" s="60" t="str">
        <f>(IF((VLOOKUP(Table1[[#This Row],[SKU]],'All Skus'!$A:$AC,2,FALSE))="AKG",(VLOOKUP(Table1[[#This Row],[SKU]],'All Skus'!$A:$AC,5,FALSE)),""))</f>
        <v>AT510000</v>
      </c>
      <c r="E123" s="60">
        <f>(IF((VLOOKUP(Table1[[#This Row],[SKU]],'All Skus'!$A:$AC,2,FALSE))="AKG",(VLOOKUP(Table1[[#This Row],[SKU]],'All Skus'!$A:$AC,6,FALSE)),""))</f>
        <v>0</v>
      </c>
      <c r="F123" s="60">
        <f>(IF((VLOOKUP(Table1[[#This Row],[SKU]],'All Skus'!$A:$AC,2,FALSE))="AKG",(VLOOKUP(Table1[[#This Row],[SKU]],'All Skus'!$A:$AC,7,FALSE)),""))</f>
        <v>0</v>
      </c>
      <c r="G123" s="45" t="str">
        <f>(IF((VLOOKUP(Table1[[#This Row],[SKU]],'All Skus'!$A:$AC,2,FALSE))="AKG",(VLOOKUP(Table1[[#This Row],[SKU]],'All Skus'!$A:$AC,8,FALSE)),""))</f>
        <v>Installed Accessories</v>
      </c>
      <c r="H123" s="45" t="str">
        <f>(IF((VLOOKUP(Table1[[#This Row],[SKU]],'All Skus'!$A:$AC,2,FALSE))="AKG",(VLOOKUP(Table1[[#This Row],[SKU]],'All Skus'!$A:$AC,9,FALSE)),""))</f>
        <v>Phantompower adapter - 3pinXLR</v>
      </c>
      <c r="I123" s="141">
        <f>(IF((VLOOKUP(Table1[[#This Row],[SKU]],'All Skus'!$A:$AC,2,FALSE))="AKG",(VLOOKUP(Table1[[#This Row],[SKU]],'All Skus'!$A:$AC,10,FALSE)),""))</f>
        <v>92.74</v>
      </c>
      <c r="J123" s="141">
        <f>(IF((VLOOKUP(Table1[[#This Row],[SKU]],'All Skus'!$A:$AC,2,FALSE))="AKG",(VLOOKUP(Table1[[#This Row],[SKU]],'All Skus'!$A:$AC,11,FALSE)),""))</f>
        <v>72</v>
      </c>
      <c r="K123" s="125">
        <f>(IF((VLOOKUP(Table1[[#This Row],[SKU]],'All Skus'!$A:$AC,2,FALSE))="AKG",(VLOOKUP(Table1[[#This Row],[SKU]],'All Skus'!$A:$AC,15,FALSE)),""))</f>
        <v>0</v>
      </c>
      <c r="L123" s="124">
        <f>(IF((VLOOKUP(Table1[[#This Row],[SKU]],'All Skus'!$A:$AC,2,FALSE))="AKG",(VLOOKUP(Table1[[#This Row],[SKU]],'All Skus'!$A:$AC,16,FALSE)),""))</f>
        <v>885038030676</v>
      </c>
      <c r="M123" s="124">
        <f>(IF((VLOOKUP(Table1[[#This Row],[SKU]],'All Skus'!$A:$AC,2,FALSE))="AKG",(VLOOKUP(Table1[[#This Row],[SKU]],'All Skus'!$A:$AC,17,FALSE)),""))</f>
        <v>9002761030679</v>
      </c>
      <c r="N123" s="64">
        <f>(IF((VLOOKUP(Table1[[#This Row],[SKU]],'All Skus'!$A:$AC,2,FALSE))="AKG",(VLOOKUP(Table1[[#This Row],[SKU]],'All Skus'!$A:$AC,18,FALSE)),""))</f>
        <v>2</v>
      </c>
      <c r="O123" s="64">
        <f>(IF((VLOOKUP(Table1[[#This Row],[SKU]],'All Skus'!$A:$AC,2,FALSE))="AKG",(VLOOKUP(Table1[[#This Row],[SKU]],'All Skus'!$A:$AC,19,FALSE)),""))</f>
        <v>3</v>
      </c>
      <c r="P123" s="64">
        <f>(IF((VLOOKUP(Table1[[#This Row],[SKU]],'All Skus'!$A:$AC,2,FALSE))="AKG",(VLOOKUP(Table1[[#This Row],[SKU]],'All Skus'!$A:$AC,20,FALSE)),""))</f>
        <v>4</v>
      </c>
      <c r="Q123" s="64">
        <f>(IF((VLOOKUP(Table1[[#This Row],[SKU]],'All Skus'!$A:$AC,2,FALSE))="AKG",(VLOOKUP(Table1[[#This Row],[SKU]],'All Skus'!$A:$AC,21,FALSE)),""))</f>
        <v>22</v>
      </c>
      <c r="R123" s="64" t="str">
        <f>(IF((VLOOKUP(Table1[[#This Row],[SKU]],'All Skus'!$A:$AC,2,FALSE))="AKG",(VLOOKUP(Table1[[#This Row],[SKU]],'All Skus'!$A:$AC,22,FALSE)),""))</f>
        <v>TW</v>
      </c>
      <c r="S123" s="64" t="str">
        <f>(IF((VLOOKUP(Table1[[#This Row],[SKU]],'All Skus'!$A:$AC,2,FALSE))="AKG",(VLOOKUP(Table1[[#This Row],[SKU]],'All Skus'!$A:$AC,23,FALSE)),""))</f>
        <v>Compliant</v>
      </c>
      <c r="T123" s="210" t="str">
        <f>HYPERLINK((IF((VLOOKUP(Table1[[#This Row],[SKU]],'All Skus'!$A:$AC,2,FALSE))="AKG",(VLOOKUP(Table1[[#This Row],[SKU]],'All Skus'!$A:$AC,24,FALSE)),"")))</f>
        <v>https://www.akg.com/Microphones/Microphone%20Accessories/3165H00150.html</v>
      </c>
      <c r="U123" s="151">
        <v>121</v>
      </c>
    </row>
    <row r="124" spans="1:21" ht="15" hidden="1" customHeight="1">
      <c r="A124" s="50" t="s">
        <v>281</v>
      </c>
      <c r="B124" s="52" t="str">
        <f>(IF((VLOOKUP(Table1[[#This Row],[SKU]],'All Skus'!$A:$AC,2,FALSE))="AKG",(VLOOKUP(Table1[[#This Row],[SKU]],'All Skus'!$A:$AC,3,FALSE)), ""))</f>
        <v>Installed</v>
      </c>
      <c r="C124" s="60" t="str">
        <f>(IF((VLOOKUP(Table1[[#This Row],[SKU]],'All Skus'!$A:$AC,2,FALSE))="AKG",(VLOOKUP(Table1[[#This Row],[SKU]],'All Skus'!$A:$AC,4,FALSE)),""))</f>
        <v>PAE5 M</v>
      </c>
      <c r="D124" s="60" t="str">
        <f>(IF((VLOOKUP(Table1[[#This Row],[SKU]],'All Skus'!$A:$AC,2,FALSE))="AKG",(VLOOKUP(Table1[[#This Row],[SKU]],'All Skus'!$A:$AC,5,FALSE)),""))</f>
        <v>AT510000</v>
      </c>
      <c r="E124" s="60">
        <f>(IF((VLOOKUP(Table1[[#This Row],[SKU]],'All Skus'!$A:$AC,2,FALSE))="AKG",(VLOOKUP(Table1[[#This Row],[SKU]],'All Skus'!$A:$AC,6,FALSE)),""))</f>
        <v>0</v>
      </c>
      <c r="F124" s="60">
        <f>(IF((VLOOKUP(Table1[[#This Row],[SKU]],'All Skus'!$A:$AC,2,FALSE))="AKG",(VLOOKUP(Table1[[#This Row],[SKU]],'All Skus'!$A:$AC,7,FALSE)),""))</f>
        <v>0</v>
      </c>
      <c r="G124" s="45" t="str">
        <f>(IF((VLOOKUP(Table1[[#This Row],[SKU]],'All Skus'!$A:$AC,2,FALSE))="AKG",(VLOOKUP(Table1[[#This Row],[SKU]],'All Skus'!$A:$AC,8,FALSE)),""))</f>
        <v>Installed Accessories</v>
      </c>
      <c r="H124" s="45" t="str">
        <f>(IF((VLOOKUP(Table1[[#This Row],[SKU]],'All Skus'!$A:$AC,2,FALSE))="AKG",(VLOOKUP(Table1[[#This Row],[SKU]],'All Skus'!$A:$AC,9,FALSE)),""))</f>
        <v>Phantompower adapter - 5pinXLR</v>
      </c>
      <c r="I124" s="141">
        <f>(IF((VLOOKUP(Table1[[#This Row],[SKU]],'All Skus'!$A:$AC,2,FALSE))="AKG",(VLOOKUP(Table1[[#This Row],[SKU]],'All Skus'!$A:$AC,10,FALSE)),""))</f>
        <v>117.47</v>
      </c>
      <c r="J124" s="141">
        <f>(IF((VLOOKUP(Table1[[#This Row],[SKU]],'All Skus'!$A:$AC,2,FALSE))="AKG",(VLOOKUP(Table1[[#This Row],[SKU]],'All Skus'!$A:$AC,11,FALSE)),""))</f>
        <v>92</v>
      </c>
      <c r="K124" s="125">
        <f>(IF((VLOOKUP(Table1[[#This Row],[SKU]],'All Skus'!$A:$AC,2,FALSE))="AKG",(VLOOKUP(Table1[[#This Row],[SKU]],'All Skus'!$A:$AC,15,FALSE)),""))</f>
        <v>0</v>
      </c>
      <c r="L124" s="124">
        <f>(IF((VLOOKUP(Table1[[#This Row],[SKU]],'All Skus'!$A:$AC,2,FALSE))="AKG",(VLOOKUP(Table1[[#This Row],[SKU]],'All Skus'!$A:$AC,16,FALSE)),""))</f>
        <v>885038030683</v>
      </c>
      <c r="M124" s="124">
        <f>(IF((VLOOKUP(Table1[[#This Row],[SKU]],'All Skus'!$A:$AC,2,FALSE))="AKG",(VLOOKUP(Table1[[#This Row],[SKU]],'All Skus'!$A:$AC,17,FALSE)),""))</f>
        <v>9002761030686</v>
      </c>
      <c r="N124" s="64">
        <f>(IF((VLOOKUP(Table1[[#This Row],[SKU]],'All Skus'!$A:$AC,2,FALSE))="AKG",(VLOOKUP(Table1[[#This Row],[SKU]],'All Skus'!$A:$AC,18,FALSE)),""))</f>
        <v>13</v>
      </c>
      <c r="O124" s="64">
        <f>(IF((VLOOKUP(Table1[[#This Row],[SKU]],'All Skus'!$A:$AC,2,FALSE))="AKG",(VLOOKUP(Table1[[#This Row],[SKU]],'All Skus'!$A:$AC,19,FALSE)),""))</f>
        <v>18</v>
      </c>
      <c r="P124" s="64">
        <f>(IF((VLOOKUP(Table1[[#This Row],[SKU]],'All Skus'!$A:$AC,2,FALSE))="AKG",(VLOOKUP(Table1[[#This Row],[SKU]],'All Skus'!$A:$AC,20,FALSE)),""))</f>
        <v>17</v>
      </c>
      <c r="Q124" s="64">
        <f>(IF((VLOOKUP(Table1[[#This Row],[SKU]],'All Skus'!$A:$AC,2,FALSE))="AKG",(VLOOKUP(Table1[[#This Row],[SKU]],'All Skus'!$A:$AC,21,FALSE)),""))</f>
        <v>2.2000000000000002</v>
      </c>
      <c r="R124" s="64" t="str">
        <f>(IF((VLOOKUP(Table1[[#This Row],[SKU]],'All Skus'!$A:$AC,2,FALSE))="AKG",(VLOOKUP(Table1[[#This Row],[SKU]],'All Skus'!$A:$AC,22,FALSE)),""))</f>
        <v>TW</v>
      </c>
      <c r="S124" s="64" t="str">
        <f>(IF((VLOOKUP(Table1[[#This Row],[SKU]],'All Skus'!$A:$AC,2,FALSE))="AKG",(VLOOKUP(Table1[[#This Row],[SKU]],'All Skus'!$A:$AC,23,FALSE)),""))</f>
        <v>Compliant</v>
      </c>
      <c r="T124" s="210" t="str">
        <f>HYPERLINK((IF((VLOOKUP(Table1[[#This Row],[SKU]],'All Skus'!$A:$AC,2,FALSE))="AKG",(VLOOKUP(Table1[[#This Row],[SKU]],'All Skus'!$A:$AC,24,FALSE)),"")))</f>
        <v>https://www.akg.com/Microphones/Microphone%20Accessories/3165H00160.html</v>
      </c>
      <c r="U124" s="151">
        <v>122</v>
      </c>
    </row>
    <row r="125" spans="1:21" ht="15" hidden="1" customHeight="1">
      <c r="A125" s="50" t="s">
        <v>282</v>
      </c>
      <c r="B125" s="52" t="str">
        <f>(IF((VLOOKUP(Table1[[#This Row],[SKU]],'All Skus'!$A:$AC,2,FALSE))="AKG",(VLOOKUP(Table1[[#This Row],[SKU]],'All Skus'!$A:$AC,3,FALSE)), ""))</f>
        <v>Installed</v>
      </c>
      <c r="C125" s="60" t="str">
        <f>(IF((VLOOKUP(Table1[[#This Row],[SKU]],'All Skus'!$A:$AC,2,FALSE))="AKG",(VLOOKUP(Table1[[#This Row],[SKU]],'All Skus'!$A:$AC,4,FALSE)),""))</f>
        <v>PAESP M</v>
      </c>
      <c r="D125" s="60" t="str">
        <f>(IF((VLOOKUP(Table1[[#This Row],[SKU]],'All Skus'!$A:$AC,2,FALSE))="AKG",(VLOOKUP(Table1[[#This Row],[SKU]],'All Skus'!$A:$AC,5,FALSE)),""))</f>
        <v>AT510000</v>
      </c>
      <c r="E125" s="60">
        <f>(IF((VLOOKUP(Table1[[#This Row],[SKU]],'All Skus'!$A:$AC,2,FALSE))="AKG",(VLOOKUP(Table1[[#This Row],[SKU]],'All Skus'!$A:$AC,6,FALSE)),""))</f>
        <v>0</v>
      </c>
      <c r="F125" s="60">
        <f>(IF((VLOOKUP(Table1[[#This Row],[SKU]],'All Skus'!$A:$AC,2,FALSE))="AKG",(VLOOKUP(Table1[[#This Row],[SKU]],'All Skus'!$A:$AC,7,FALSE)),""))</f>
        <v>0</v>
      </c>
      <c r="G125" s="45" t="str">
        <f>(IF((VLOOKUP(Table1[[#This Row],[SKU]],'All Skus'!$A:$AC,2,FALSE))="AKG",(VLOOKUP(Table1[[#This Row],[SKU]],'All Skus'!$A:$AC,8,FALSE)),""))</f>
        <v>Installed Accessories</v>
      </c>
      <c r="H125" s="45" t="str">
        <f>(IF((VLOOKUP(Table1[[#This Row],[SKU]],'All Skus'!$A:$AC,2,FALSE))="AKG",(VLOOKUP(Table1[[#This Row],[SKU]],'All Skus'!$A:$AC,9,FALSE)),""))</f>
        <v>Phantompower adapter - programmable switch 3pinXLR</v>
      </c>
      <c r="I125" s="141">
        <f>(IF((VLOOKUP(Table1[[#This Row],[SKU]],'All Skus'!$A:$AC,2,FALSE))="AKG",(VLOOKUP(Table1[[#This Row],[SKU]],'All Skus'!$A:$AC,10,FALSE)),""))</f>
        <v>246.06</v>
      </c>
      <c r="J125" s="141">
        <f>(IF((VLOOKUP(Table1[[#This Row],[SKU]],'All Skus'!$A:$AC,2,FALSE))="AKG",(VLOOKUP(Table1[[#This Row],[SKU]],'All Skus'!$A:$AC,11,FALSE)),""))</f>
        <v>195</v>
      </c>
      <c r="K125" s="125">
        <f>(IF((VLOOKUP(Table1[[#This Row],[SKU]],'All Skus'!$A:$AC,2,FALSE))="AKG",(VLOOKUP(Table1[[#This Row],[SKU]],'All Skus'!$A:$AC,15,FALSE)),""))</f>
        <v>0</v>
      </c>
      <c r="L125" s="124">
        <f>(IF((VLOOKUP(Table1[[#This Row],[SKU]],'All Skus'!$A:$AC,2,FALSE))="AKG",(VLOOKUP(Table1[[#This Row],[SKU]],'All Skus'!$A:$AC,16,FALSE)),""))</f>
        <v>885038030690</v>
      </c>
      <c r="M125" s="124">
        <f>(IF((VLOOKUP(Table1[[#This Row],[SKU]],'All Skus'!$A:$AC,2,FALSE))="AKG",(VLOOKUP(Table1[[#This Row],[SKU]],'All Skus'!$A:$AC,17,FALSE)),""))</f>
        <v>9002761030693</v>
      </c>
      <c r="N125" s="64">
        <f>(IF((VLOOKUP(Table1[[#This Row],[SKU]],'All Skus'!$A:$AC,2,FALSE))="AKG",(VLOOKUP(Table1[[#This Row],[SKU]],'All Skus'!$A:$AC,18,FALSE)),""))</f>
        <v>2</v>
      </c>
      <c r="O125" s="64">
        <f>(IF((VLOOKUP(Table1[[#This Row],[SKU]],'All Skus'!$A:$AC,2,FALSE))="AKG",(VLOOKUP(Table1[[#This Row],[SKU]],'All Skus'!$A:$AC,19,FALSE)),""))</f>
        <v>4</v>
      </c>
      <c r="P125" s="64">
        <f>(IF((VLOOKUP(Table1[[#This Row],[SKU]],'All Skus'!$A:$AC,2,FALSE))="AKG",(VLOOKUP(Table1[[#This Row],[SKU]],'All Skus'!$A:$AC,20,FALSE)),""))</f>
        <v>3</v>
      </c>
      <c r="Q125" s="64">
        <f>(IF((VLOOKUP(Table1[[#This Row],[SKU]],'All Skus'!$A:$AC,2,FALSE))="AKG",(VLOOKUP(Table1[[#This Row],[SKU]],'All Skus'!$A:$AC,21,FALSE)),""))</f>
        <v>2.2000000000000002</v>
      </c>
      <c r="R125" s="64" t="str">
        <f>(IF((VLOOKUP(Table1[[#This Row],[SKU]],'All Skus'!$A:$AC,2,FALSE))="AKG",(VLOOKUP(Table1[[#This Row],[SKU]],'All Skus'!$A:$AC,22,FALSE)),""))</f>
        <v>TW</v>
      </c>
      <c r="S125" s="64" t="str">
        <f>(IF((VLOOKUP(Table1[[#This Row],[SKU]],'All Skus'!$A:$AC,2,FALSE))="AKG",(VLOOKUP(Table1[[#This Row],[SKU]],'All Skus'!$A:$AC,23,FALSE)),""))</f>
        <v>Compliant</v>
      </c>
      <c r="T125" s="210" t="str">
        <f>HYPERLINK((IF((VLOOKUP(Table1[[#This Row],[SKU]],'All Skus'!$A:$AC,2,FALSE))="AKG",(VLOOKUP(Table1[[#This Row],[SKU]],'All Skus'!$A:$AC,24,FALSE)),"")))</f>
        <v>https://www.akg.com/Microphones/Microphone%20Accessories/3165H00170.html</v>
      </c>
      <c r="U125" s="151">
        <v>123</v>
      </c>
    </row>
    <row r="126" spans="1:21" ht="15" hidden="1" customHeight="1">
      <c r="A126" s="50" t="s">
        <v>283</v>
      </c>
      <c r="B126" s="52" t="str">
        <f>(IF((VLOOKUP(Table1[[#This Row],[SKU]],'All Skus'!$A:$AC,2,FALSE))="AKG",(VLOOKUP(Table1[[#This Row],[SKU]],'All Skus'!$A:$AC,3,FALSE)), ""))</f>
        <v>Installed</v>
      </c>
      <c r="C126" s="60" t="str">
        <f>(IF((VLOOKUP(Table1[[#This Row],[SKU]],'All Skus'!$A:$AC,2,FALSE))="AKG",(VLOOKUP(Table1[[#This Row],[SKU]],'All Skus'!$A:$AC,4,FALSE)),""))</f>
        <v>CS3EC002</v>
      </c>
      <c r="D126" s="60" t="str">
        <f>(IF((VLOOKUP(Table1[[#This Row],[SKU]],'All Skus'!$A:$AC,2,FALSE))="AKG",(VLOOKUP(Table1[[#This Row],[SKU]],'All Skus'!$A:$AC,5,FALSE)),""))</f>
        <v>AT510060</v>
      </c>
      <c r="E126" s="60">
        <f>(IF((VLOOKUP(Table1[[#This Row],[SKU]],'All Skus'!$A:$AC,2,FALSE))="AKG",(VLOOKUP(Table1[[#This Row],[SKU]],'All Skus'!$A:$AC,6,FALSE)),""))</f>
        <v>0</v>
      </c>
      <c r="F126" s="60" t="str">
        <f>(IF((VLOOKUP(Table1[[#This Row],[SKU]],'All Skus'!$A:$AC,2,FALSE))="AKG",(VLOOKUP(Table1[[#This Row],[SKU]],'All Skus'!$A:$AC,7,FALSE)),""))</f>
        <v>Limited Quantity</v>
      </c>
      <c r="G126" s="45" t="str">
        <f>(IF((VLOOKUP(Table1[[#This Row],[SKU]],'All Skus'!$A:$AC,2,FALSE))="AKG",(VLOOKUP(Table1[[#This Row],[SKU]],'All Skus'!$A:$AC,8,FALSE)),""))</f>
        <v>Conference System Equipment</v>
      </c>
      <c r="H126" s="45" t="str">
        <f>(IF((VLOOKUP(Table1[[#This Row],[SKU]],'All Skus'!$A:$AC,2,FALSE))="AKG",(VLOOKUP(Table1[[#This Row],[SKU]],'All Skus'!$A:$AC,9,FALSE)),""))</f>
        <v>CS3 2 meter cable</v>
      </c>
      <c r="I126" s="141">
        <f>(IF((VLOOKUP(Table1[[#This Row],[SKU]],'All Skus'!$A:$AC,2,FALSE))="AKG",(VLOOKUP(Table1[[#This Row],[SKU]],'All Skus'!$A:$AC,10,FALSE)),""))</f>
        <v>51.93</v>
      </c>
      <c r="J126" s="141">
        <f>(IF((VLOOKUP(Table1[[#This Row],[SKU]],'All Skus'!$A:$AC,2,FALSE))="AKG",(VLOOKUP(Table1[[#This Row],[SKU]],'All Skus'!$A:$AC,11,FALSE)),""))</f>
        <v>37</v>
      </c>
      <c r="K126" s="125">
        <f>(IF((VLOOKUP(Table1[[#This Row],[SKU]],'All Skus'!$A:$AC,2,FALSE))="AKG",(VLOOKUP(Table1[[#This Row],[SKU]],'All Skus'!$A:$AC,15,FALSE)),""))</f>
        <v>0</v>
      </c>
      <c r="L126" s="124">
        <f>(IF((VLOOKUP(Table1[[#This Row],[SKU]],'All Skus'!$A:$AC,2,FALSE))="AKG",(VLOOKUP(Table1[[#This Row],[SKU]],'All Skus'!$A:$AC,16,FALSE)),""))</f>
        <v>885038034957</v>
      </c>
      <c r="M126" s="124">
        <f>(IF((VLOOKUP(Table1[[#This Row],[SKU]],'All Skus'!$A:$AC,2,FALSE))="AKG",(VLOOKUP(Table1[[#This Row],[SKU]],'All Skus'!$A:$AC,17,FALSE)),""))</f>
        <v>9002761034950</v>
      </c>
      <c r="N126" s="64">
        <f>(IF((VLOOKUP(Table1[[#This Row],[SKU]],'All Skus'!$A:$AC,2,FALSE))="AKG",(VLOOKUP(Table1[[#This Row],[SKU]],'All Skus'!$A:$AC,18,FALSE)),""))</f>
        <v>2</v>
      </c>
      <c r="O126" s="64">
        <f>(IF((VLOOKUP(Table1[[#This Row],[SKU]],'All Skus'!$A:$AC,2,FALSE))="AKG",(VLOOKUP(Table1[[#This Row],[SKU]],'All Skus'!$A:$AC,19,FALSE)),""))</f>
        <v>13.5</v>
      </c>
      <c r="P126" s="64">
        <f>(IF((VLOOKUP(Table1[[#This Row],[SKU]],'All Skus'!$A:$AC,2,FALSE))="AKG",(VLOOKUP(Table1[[#This Row],[SKU]],'All Skus'!$A:$AC,20,FALSE)),""))</f>
        <v>9</v>
      </c>
      <c r="Q126" s="64">
        <f>(IF((VLOOKUP(Table1[[#This Row],[SKU]],'All Skus'!$A:$AC,2,FALSE))="AKG",(VLOOKUP(Table1[[#This Row],[SKU]],'All Skus'!$A:$AC,21,FALSE)),""))</f>
        <v>1.6</v>
      </c>
      <c r="R126" s="64" t="str">
        <f>(IF((VLOOKUP(Table1[[#This Row],[SKU]],'All Skus'!$A:$AC,2,FALSE))="AKG",(VLOOKUP(Table1[[#This Row],[SKU]],'All Skus'!$A:$AC,22,FALSE)),""))</f>
        <v>CN</v>
      </c>
      <c r="S126" s="64" t="str">
        <f>(IF((VLOOKUP(Table1[[#This Row],[SKU]],'All Skus'!$A:$AC,2,FALSE))="AKG",(VLOOKUP(Table1[[#This Row],[SKU]],'All Skus'!$A:$AC,23,FALSE)),""))</f>
        <v>Non Compliant</v>
      </c>
      <c r="T126" s="210" t="str">
        <f>HYPERLINK((IF((VLOOKUP(Table1[[#This Row],[SKU]],'All Skus'!$A:$AC,2,FALSE))="AKG",(VLOOKUP(Table1[[#This Row],[SKU]],'All Skus'!$A:$AC,24,FALSE)),"")))</f>
        <v>https://www.akg.com/cs3-system.html?dwvar_CS3System_color=Black-GLOBAL-Current#q=cs3&amp;simplesearch=Go&amp;start=1</v>
      </c>
      <c r="U126" s="151">
        <v>124</v>
      </c>
    </row>
    <row r="127" spans="1:21" ht="15" hidden="1" customHeight="1">
      <c r="A127" s="50" t="s">
        <v>284</v>
      </c>
      <c r="B127" s="52" t="str">
        <f>(IF((VLOOKUP(Table1[[#This Row],[SKU]],'All Skus'!$A:$AC,2,FALSE))="AKG",(VLOOKUP(Table1[[#This Row],[SKU]],'All Skus'!$A:$AC,3,FALSE)), ""))</f>
        <v>Accessories</v>
      </c>
      <c r="C127" s="60" t="str">
        <f>(IF((VLOOKUP(Table1[[#This Row],[SKU]],'All Skus'!$A:$AC,2,FALSE))="AKG",(VLOOKUP(Table1[[#This Row],[SKU]],'All Skus'!$A:$AC,4,FALSE)),""))</f>
        <v>PS 3 F-LOCK</v>
      </c>
      <c r="D127" s="60" t="str">
        <f>(IF((VLOOKUP(Table1[[#This Row],[SKU]],'All Skus'!$A:$AC,2,FALSE))="AKG",(VLOOKUP(Table1[[#This Row],[SKU]],'All Skus'!$A:$AC,5,FALSE)),""))</f>
        <v>AT510000</v>
      </c>
      <c r="E127" s="60">
        <f>(IF((VLOOKUP(Table1[[#This Row],[SKU]],'All Skus'!$A:$AC,2,FALSE))="AKG",(VLOOKUP(Table1[[#This Row],[SKU]],'All Skus'!$A:$AC,6,FALSE)),""))</f>
        <v>0</v>
      </c>
      <c r="F127" s="60">
        <f>(IF((VLOOKUP(Table1[[#This Row],[SKU]],'All Skus'!$A:$AC,2,FALSE))="AKG",(VLOOKUP(Table1[[#This Row],[SKU]],'All Skus'!$A:$AC,7,FALSE)),""))</f>
        <v>0</v>
      </c>
      <c r="G127" s="45" t="str">
        <f>(IF((VLOOKUP(Table1[[#This Row],[SKU]],'All Skus'!$A:$AC,2,FALSE))="AKG",(VLOOKUP(Table1[[#This Row],[SKU]],'All Skus'!$A:$AC,8,FALSE)),""))</f>
        <v>Spare parts</v>
      </c>
      <c r="H127" s="45" t="str">
        <f>(IF((VLOOKUP(Table1[[#This Row],[SKU]],'All Skus'!$A:$AC,2,FALSE))="AKG",(VLOOKUP(Table1[[#This Row],[SKU]],'All Skus'!$A:$AC,9,FALSE)),""))</f>
        <v>Lockable panel-mount XLR connector for goosenecks with integrated 3-pin XLR connector</v>
      </c>
      <c r="I127" s="141">
        <f>(IF((VLOOKUP(Table1[[#This Row],[SKU]],'All Skus'!$A:$AC,2,FALSE))="AKG",(VLOOKUP(Table1[[#This Row],[SKU]],'All Skus'!$A:$AC,10,FALSE)),""))</f>
        <v>0</v>
      </c>
      <c r="J127" s="141">
        <f>(IF((VLOOKUP(Table1[[#This Row],[SKU]],'All Skus'!$A:$AC,2,FALSE))="AKG",(VLOOKUP(Table1[[#This Row],[SKU]],'All Skus'!$A:$AC,11,FALSE)),""))</f>
        <v>0</v>
      </c>
      <c r="K127" s="125">
        <f>(IF((VLOOKUP(Table1[[#This Row],[SKU]],'All Skus'!$A:$AC,2,FALSE))="AKG",(VLOOKUP(Table1[[#This Row],[SKU]],'All Skus'!$A:$AC,15,FALSE)),""))</f>
        <v>0</v>
      </c>
      <c r="L127" s="124">
        <f>(IF((VLOOKUP(Table1[[#This Row],[SKU]],'All Skus'!$A:$AC,2,FALSE))="AKG",(VLOOKUP(Table1[[#This Row],[SKU]],'All Skus'!$A:$AC,16,FALSE)),""))</f>
        <v>885038028499</v>
      </c>
      <c r="M127" s="124">
        <f>(IF((VLOOKUP(Table1[[#This Row],[SKU]],'All Skus'!$A:$AC,2,FALSE))="AKG",(VLOOKUP(Table1[[#This Row],[SKU]],'All Skus'!$A:$AC,17,FALSE)),""))</f>
        <v>9002761039511</v>
      </c>
      <c r="N127" s="64">
        <f>(IF((VLOOKUP(Table1[[#This Row],[SKU]],'All Skus'!$A:$AC,2,FALSE))="AKG",(VLOOKUP(Table1[[#This Row],[SKU]],'All Skus'!$A:$AC,18,FALSE)),""))</f>
        <v>0</v>
      </c>
      <c r="O127" s="64">
        <f>(IF((VLOOKUP(Table1[[#This Row],[SKU]],'All Skus'!$A:$AC,2,FALSE))="AKG",(VLOOKUP(Table1[[#This Row],[SKU]],'All Skus'!$A:$AC,19,FALSE)),""))</f>
        <v>0</v>
      </c>
      <c r="P127" s="64">
        <f>(IF((VLOOKUP(Table1[[#This Row],[SKU]],'All Skus'!$A:$AC,2,FALSE))="AKG",(VLOOKUP(Table1[[#This Row],[SKU]],'All Skus'!$A:$AC,20,FALSE)),""))</f>
        <v>0</v>
      </c>
      <c r="Q127" s="64" t="str">
        <f>(IF((VLOOKUP(Table1[[#This Row],[SKU]],'All Skus'!$A:$AC,2,FALSE))="AKG",(VLOOKUP(Table1[[#This Row],[SKU]],'All Skus'!$A:$AC,21,FALSE)),""))</f>
        <v>n/a</v>
      </c>
      <c r="R127" s="64" t="str">
        <f>(IF((VLOOKUP(Table1[[#This Row],[SKU]],'All Skus'!$A:$AC,2,FALSE))="AKG",(VLOOKUP(Table1[[#This Row],[SKU]],'All Skus'!$A:$AC,22,FALSE)),""))</f>
        <v>AT</v>
      </c>
      <c r="S127" s="64" t="str">
        <f>(IF((VLOOKUP(Table1[[#This Row],[SKU]],'All Skus'!$A:$AC,2,FALSE))="AKG",(VLOOKUP(Table1[[#This Row],[SKU]],'All Skus'!$A:$AC,23,FALSE)),""))</f>
        <v>Compliant</v>
      </c>
      <c r="T127" s="210" t="str">
        <f>HYPERLINK((IF((VLOOKUP(Table1[[#This Row],[SKU]],'All Skus'!$A:$AC,2,FALSE))="AKG",(VLOOKUP(Table1[[#This Row],[SKU]],'All Skus'!$A:$AC,24,FALSE)),"")))</f>
        <v/>
      </c>
      <c r="U127" s="151">
        <v>125</v>
      </c>
    </row>
    <row r="128" spans="1:21" ht="15" hidden="1" customHeight="1">
      <c r="A128" s="50" t="s">
        <v>285</v>
      </c>
      <c r="B128" s="52" t="str">
        <f>(IF((VLOOKUP(Table1[[#This Row],[SKU]],'All Skus'!$A:$AC,2,FALSE))="AKG",(VLOOKUP(Table1[[#This Row],[SKU]],'All Skus'!$A:$AC,3,FALSE)), ""))</f>
        <v>Installed</v>
      </c>
      <c r="C128" s="60" t="str">
        <f>(IF((VLOOKUP(Table1[[#This Row],[SKU]],'All Skus'!$A:$AC,2,FALSE))="AKG",(VLOOKUP(Table1[[#This Row],[SKU]],'All Skus'!$A:$AC,4,FALSE)),""))</f>
        <v>HM1000</v>
      </c>
      <c r="D128" s="60" t="str">
        <f>(IF((VLOOKUP(Table1[[#This Row],[SKU]],'All Skus'!$A:$AC,2,FALSE))="AKG",(VLOOKUP(Table1[[#This Row],[SKU]],'All Skus'!$A:$AC,5,FALSE)),""))</f>
        <v>AT510000</v>
      </c>
      <c r="E128" s="60">
        <f>(IF((VLOOKUP(Table1[[#This Row],[SKU]],'All Skus'!$A:$AC,2,FALSE))="AKG",(VLOOKUP(Table1[[#This Row],[SKU]],'All Skus'!$A:$AC,6,FALSE)),""))</f>
        <v>0</v>
      </c>
      <c r="F128" s="60">
        <f>(IF((VLOOKUP(Table1[[#This Row],[SKU]],'All Skus'!$A:$AC,2,FALSE))="AKG",(VLOOKUP(Table1[[#This Row],[SKU]],'All Skus'!$A:$AC,7,FALSE)),""))</f>
        <v>0</v>
      </c>
      <c r="G128" s="45" t="str">
        <f>(IF((VLOOKUP(Table1[[#This Row],[SKU]],'All Skus'!$A:$AC,2,FALSE))="AKG",(VLOOKUP(Table1[[#This Row],[SKU]],'All Skus'!$A:$AC,8,FALSE)),""))</f>
        <v>Installed Accessories</v>
      </c>
      <c r="H128" s="45" t="str">
        <f>(IF((VLOOKUP(Table1[[#This Row],[SKU]],'All Skus'!$A:$AC,2,FALSE))="AKG",(VLOOKUP(Table1[[#This Row],[SKU]],'All Skus'!$A:$AC,9,FALSE)),""))</f>
        <v>Hanging module with 10 m non twisting cable and inline phantom power adapter, hanging clamp included</v>
      </c>
      <c r="I128" s="141">
        <f>(IF((VLOOKUP(Table1[[#This Row],[SKU]],'All Skus'!$A:$AC,2,FALSE))="AKG",(VLOOKUP(Table1[[#This Row],[SKU]],'All Skus'!$A:$AC,10,FALSE)),""))</f>
        <v>265.83999999999997</v>
      </c>
      <c r="J128" s="141">
        <f>(IF((VLOOKUP(Table1[[#This Row],[SKU]],'All Skus'!$A:$AC,2,FALSE))="AKG",(VLOOKUP(Table1[[#This Row],[SKU]],'All Skus'!$A:$AC,11,FALSE)),""))</f>
        <v>212</v>
      </c>
      <c r="K128" s="125">
        <f>(IF((VLOOKUP(Table1[[#This Row],[SKU]],'All Skus'!$A:$AC,2,FALSE))="AKG",(VLOOKUP(Table1[[#This Row],[SKU]],'All Skus'!$A:$AC,15,FALSE)),""))</f>
        <v>40</v>
      </c>
      <c r="L128" s="124">
        <f>(IF((VLOOKUP(Table1[[#This Row],[SKU]],'All Skus'!$A:$AC,2,FALSE))="AKG",(VLOOKUP(Table1[[#This Row],[SKU]],'All Skus'!$A:$AC,16,FALSE)),""))</f>
        <v>885038003113</v>
      </c>
      <c r="M128" s="124">
        <f>(IF((VLOOKUP(Table1[[#This Row],[SKU]],'All Skus'!$A:$AC,2,FALSE))="AKG",(VLOOKUP(Table1[[#This Row],[SKU]],'All Skus'!$A:$AC,17,FALSE)),""))</f>
        <v>9002761003116</v>
      </c>
      <c r="N128" s="64">
        <f>(IF((VLOOKUP(Table1[[#This Row],[SKU]],'All Skus'!$A:$AC,2,FALSE))="AKG",(VLOOKUP(Table1[[#This Row],[SKU]],'All Skus'!$A:$AC,18,FALSE)),""))</f>
        <v>4</v>
      </c>
      <c r="O128" s="64">
        <f>(IF((VLOOKUP(Table1[[#This Row],[SKU]],'All Skus'!$A:$AC,2,FALSE))="AKG",(VLOOKUP(Table1[[#This Row],[SKU]],'All Skus'!$A:$AC,19,FALSE)),""))</f>
        <v>5</v>
      </c>
      <c r="P128" s="64">
        <f>(IF((VLOOKUP(Table1[[#This Row],[SKU]],'All Skus'!$A:$AC,2,FALSE))="AKG",(VLOOKUP(Table1[[#This Row],[SKU]],'All Skus'!$A:$AC,20,FALSE)),""))</f>
        <v>12</v>
      </c>
      <c r="Q128" s="64">
        <f>(IF((VLOOKUP(Table1[[#This Row],[SKU]],'All Skus'!$A:$AC,2,FALSE))="AKG",(VLOOKUP(Table1[[#This Row],[SKU]],'All Skus'!$A:$AC,21,FALSE)),""))</f>
        <v>3.6</v>
      </c>
      <c r="R128" s="64" t="str">
        <f>(IF((VLOOKUP(Table1[[#This Row],[SKU]],'All Skus'!$A:$AC,2,FALSE))="AKG",(VLOOKUP(Table1[[#This Row],[SKU]],'All Skus'!$A:$AC,22,FALSE)),""))</f>
        <v>TW</v>
      </c>
      <c r="S128" s="64" t="str">
        <f>(IF((VLOOKUP(Table1[[#This Row],[SKU]],'All Skus'!$A:$AC,2,FALSE))="AKG",(VLOOKUP(Table1[[#This Row],[SKU]],'All Skus'!$A:$AC,23,FALSE)),""))</f>
        <v>Compliant</v>
      </c>
      <c r="T128" s="210" t="str">
        <f>HYPERLINK((IF((VLOOKUP(Table1[[#This Row],[SKU]],'All Skus'!$A:$AC,2,FALSE))="AKG",(VLOOKUP(Table1[[#This Row],[SKU]],'All Skus'!$A:$AC,24,FALSE)),"")))</f>
        <v>https://www.akg.com/Microphones/modular-microphones-components/2765H00100.html</v>
      </c>
      <c r="U128" s="151">
        <v>126</v>
      </c>
    </row>
    <row r="129" spans="1:21" ht="15" hidden="1" customHeight="1">
      <c r="A129" s="50" t="s">
        <v>286</v>
      </c>
      <c r="B129" s="52" t="str">
        <f>(IF((VLOOKUP(Table1[[#This Row],[SKU]],'All Skus'!$A:$AC,2,FALSE))="AKG",(VLOOKUP(Table1[[#This Row],[SKU]],'All Skus'!$A:$AC,3,FALSE)), ""))</f>
        <v>Installed</v>
      </c>
      <c r="C129" s="60" t="str">
        <f>(IF((VLOOKUP(Table1[[#This Row],[SKU]],'All Skus'!$A:$AC,2,FALSE))="AKG",(VLOOKUP(Table1[[#This Row],[SKU]],'All Skus'!$A:$AC,4,FALSE)),""))</f>
        <v>HM1000 M</v>
      </c>
      <c r="D129" s="60" t="str">
        <f>(IF((VLOOKUP(Table1[[#This Row],[SKU]],'All Skus'!$A:$AC,2,FALSE))="AKG",(VLOOKUP(Table1[[#This Row],[SKU]],'All Skus'!$A:$AC,5,FALSE)),""))</f>
        <v>AT510000</v>
      </c>
      <c r="E129" s="60">
        <f>(IF((VLOOKUP(Table1[[#This Row],[SKU]],'All Skus'!$A:$AC,2,FALSE))="AKG",(VLOOKUP(Table1[[#This Row],[SKU]],'All Skus'!$A:$AC,6,FALSE)),""))</f>
        <v>0</v>
      </c>
      <c r="F129" s="60">
        <f>(IF((VLOOKUP(Table1[[#This Row],[SKU]],'All Skus'!$A:$AC,2,FALSE))="AKG",(VLOOKUP(Table1[[#This Row],[SKU]],'All Skus'!$A:$AC,7,FALSE)),""))</f>
        <v>0</v>
      </c>
      <c r="G129" s="45" t="str">
        <f>(IF((VLOOKUP(Table1[[#This Row],[SKU]],'All Skus'!$A:$AC,2,FALSE))="AKG",(VLOOKUP(Table1[[#This Row],[SKU]],'All Skus'!$A:$AC,8,FALSE)),""))</f>
        <v>Installed Accessories</v>
      </c>
      <c r="H129" s="45" t="str">
        <f>(IF((VLOOKUP(Table1[[#This Row],[SKU]],'All Skus'!$A:$AC,2,FALSE))="AKG",(VLOOKUP(Table1[[#This Row],[SKU]],'All Skus'!$A:$AC,9,FALSE)),""))</f>
        <v>Hanging module with 10m system cable; does not include capsule or powering module.</v>
      </c>
      <c r="I129" s="141">
        <f>(IF((VLOOKUP(Table1[[#This Row],[SKU]],'All Skus'!$A:$AC,2,FALSE))="AKG",(VLOOKUP(Table1[[#This Row],[SKU]],'All Skus'!$A:$AC,10,FALSE)),""))</f>
        <v>159.51</v>
      </c>
      <c r="J129" s="141">
        <f>(IF((VLOOKUP(Table1[[#This Row],[SKU]],'All Skus'!$A:$AC,2,FALSE))="AKG",(VLOOKUP(Table1[[#This Row],[SKU]],'All Skus'!$A:$AC,11,FALSE)),""))</f>
        <v>123</v>
      </c>
      <c r="K129" s="125">
        <f>(IF((VLOOKUP(Table1[[#This Row],[SKU]],'All Skus'!$A:$AC,2,FALSE))="AKG",(VLOOKUP(Table1[[#This Row],[SKU]],'All Skus'!$A:$AC,15,FALSE)),""))</f>
        <v>0</v>
      </c>
      <c r="L129" s="124">
        <f>(IF((VLOOKUP(Table1[[#This Row],[SKU]],'All Skus'!$A:$AC,2,FALSE))="AKG",(VLOOKUP(Table1[[#This Row],[SKU]],'All Skus'!$A:$AC,16,FALSE)),""))</f>
        <v>885038031000</v>
      </c>
      <c r="M129" s="124">
        <f>(IF((VLOOKUP(Table1[[#This Row],[SKU]],'All Skus'!$A:$AC,2,FALSE))="AKG",(VLOOKUP(Table1[[#This Row],[SKU]],'All Skus'!$A:$AC,17,FALSE)),""))</f>
        <v>9002761031003</v>
      </c>
      <c r="N129" s="64">
        <f>(IF((VLOOKUP(Table1[[#This Row],[SKU]],'All Skus'!$A:$AC,2,FALSE))="AKG",(VLOOKUP(Table1[[#This Row],[SKU]],'All Skus'!$A:$AC,18,FALSE)),""))</f>
        <v>2</v>
      </c>
      <c r="O129" s="64">
        <f>(IF((VLOOKUP(Table1[[#This Row],[SKU]],'All Skus'!$A:$AC,2,FALSE))="AKG",(VLOOKUP(Table1[[#This Row],[SKU]],'All Skus'!$A:$AC,19,FALSE)),""))</f>
        <v>3</v>
      </c>
      <c r="P129" s="64">
        <f>(IF((VLOOKUP(Table1[[#This Row],[SKU]],'All Skus'!$A:$AC,2,FALSE))="AKG",(VLOOKUP(Table1[[#This Row],[SKU]],'All Skus'!$A:$AC,20,FALSE)),""))</f>
        <v>5</v>
      </c>
      <c r="Q129" s="64">
        <f>(IF((VLOOKUP(Table1[[#This Row],[SKU]],'All Skus'!$A:$AC,2,FALSE))="AKG",(VLOOKUP(Table1[[#This Row],[SKU]],'All Skus'!$A:$AC,21,FALSE)),""))</f>
        <v>2.4</v>
      </c>
      <c r="R129" s="64" t="str">
        <f>(IF((VLOOKUP(Table1[[#This Row],[SKU]],'All Skus'!$A:$AC,2,FALSE))="AKG",(VLOOKUP(Table1[[#This Row],[SKU]],'All Skus'!$A:$AC,22,FALSE)),""))</f>
        <v>TW</v>
      </c>
      <c r="S129" s="64" t="str">
        <f>(IF((VLOOKUP(Table1[[#This Row],[SKU]],'All Skus'!$A:$AC,2,FALSE))="AKG",(VLOOKUP(Table1[[#This Row],[SKU]],'All Skus'!$A:$AC,23,FALSE)),""))</f>
        <v>Compliant</v>
      </c>
      <c r="T129" s="210" t="str">
        <f>HYPERLINK((IF((VLOOKUP(Table1[[#This Row],[SKU]],'All Skus'!$A:$AC,2,FALSE))="AKG",(VLOOKUP(Table1[[#This Row],[SKU]],'All Skus'!$A:$AC,24,FALSE)),"")))</f>
        <v>https://www.akg.com/Microphones/modular-microphones-components/3165H00250.html</v>
      </c>
      <c r="U129" s="151">
        <v>127</v>
      </c>
    </row>
    <row r="130" spans="1:21" ht="15" hidden="1" customHeight="1">
      <c r="A130" s="126" t="s">
        <v>287</v>
      </c>
      <c r="B130" s="52">
        <f>(IF((VLOOKUP(Table1[[#This Row],[SKU]],'All Skus'!$A:$AC,2,FALSE))="AKG",(VLOOKUP(Table1[[#This Row],[SKU]],'All Skus'!$A:$AC,3,FALSE)), ""))</f>
        <v>0</v>
      </c>
      <c r="C130" s="60">
        <f>(IF((VLOOKUP(Table1[[#This Row],[SKU]],'All Skus'!$A:$AC,2,FALSE))="AKG",(VLOOKUP(Table1[[#This Row],[SKU]],'All Skus'!$A:$AC,4,FALSE)),""))</f>
        <v>0</v>
      </c>
      <c r="D130" s="60">
        <f>(IF((VLOOKUP(Table1[[#This Row],[SKU]],'All Skus'!$A:$AC,2,FALSE))="AKG",(VLOOKUP(Table1[[#This Row],[SKU]],'All Skus'!$A:$AC,5,FALSE)),""))</f>
        <v>0</v>
      </c>
      <c r="E130" s="60">
        <f>(IF((VLOOKUP(Table1[[#This Row],[SKU]],'All Skus'!$A:$AC,2,FALSE))="AKG",(VLOOKUP(Table1[[#This Row],[SKU]],'All Skus'!$A:$AC,6,FALSE)),""))</f>
        <v>0</v>
      </c>
      <c r="F130" s="60">
        <f>(IF((VLOOKUP(Table1[[#This Row],[SKU]],'All Skus'!$A:$AC,2,FALSE))="AKG",(VLOOKUP(Table1[[#This Row],[SKU]],'All Skus'!$A:$AC,7,FALSE)),""))</f>
        <v>0</v>
      </c>
      <c r="G130" s="45">
        <f>(IF((VLOOKUP(Table1[[#This Row],[SKU]],'All Skus'!$A:$AC,2,FALSE))="AKG",(VLOOKUP(Table1[[#This Row],[SKU]],'All Skus'!$A:$AC,8,FALSE)),""))</f>
        <v>0</v>
      </c>
      <c r="H130" s="45">
        <f>(IF((VLOOKUP(Table1[[#This Row],[SKU]],'All Skus'!$A:$AC,2,FALSE))="AKG",(VLOOKUP(Table1[[#This Row],[SKU]],'All Skus'!$A:$AC,9,FALSE)),""))</f>
        <v>0</v>
      </c>
      <c r="I130" s="141">
        <f>(IF((VLOOKUP(Table1[[#This Row],[SKU]],'All Skus'!$A:$AC,2,FALSE))="AKG",(VLOOKUP(Table1[[#This Row],[SKU]],'All Skus'!$A:$AC,10,FALSE)),""))</f>
        <v>0</v>
      </c>
      <c r="J130" s="141">
        <f>(IF((VLOOKUP(Table1[[#This Row],[SKU]],'All Skus'!$A:$AC,2,FALSE))="AKG",(VLOOKUP(Table1[[#This Row],[SKU]],'All Skus'!$A:$AC,11,FALSE)),""))</f>
        <v>0</v>
      </c>
      <c r="K130" s="125">
        <f>(IF((VLOOKUP(Table1[[#This Row],[SKU]],'All Skus'!$A:$AC,2,FALSE))="AKG",(VLOOKUP(Table1[[#This Row],[SKU]],'All Skus'!$A:$AC,15,FALSE)),""))</f>
        <v>0</v>
      </c>
      <c r="L130" s="124">
        <f>(IF((VLOOKUP(Table1[[#This Row],[SKU]],'All Skus'!$A:$AC,2,FALSE))="AKG",(VLOOKUP(Table1[[#This Row],[SKU]],'All Skus'!$A:$AC,16,FALSE)),""))</f>
        <v>0</v>
      </c>
      <c r="M130" s="124">
        <f>(IF((VLOOKUP(Table1[[#This Row],[SKU]],'All Skus'!$A:$AC,2,FALSE))="AKG",(VLOOKUP(Table1[[#This Row],[SKU]],'All Skus'!$A:$AC,17,FALSE)),""))</f>
        <v>0</v>
      </c>
      <c r="N130" s="64">
        <f>(IF((VLOOKUP(Table1[[#This Row],[SKU]],'All Skus'!$A:$AC,2,FALSE))="AKG",(VLOOKUP(Table1[[#This Row],[SKU]],'All Skus'!$A:$AC,18,FALSE)),""))</f>
        <v>0</v>
      </c>
      <c r="O130" s="64">
        <f>(IF((VLOOKUP(Table1[[#This Row],[SKU]],'All Skus'!$A:$AC,2,FALSE))="AKG",(VLOOKUP(Table1[[#This Row],[SKU]],'All Skus'!$A:$AC,19,FALSE)),""))</f>
        <v>0</v>
      </c>
      <c r="P130" s="64">
        <f>(IF((VLOOKUP(Table1[[#This Row],[SKU]],'All Skus'!$A:$AC,2,FALSE))="AKG",(VLOOKUP(Table1[[#This Row],[SKU]],'All Skus'!$A:$AC,20,FALSE)),""))</f>
        <v>0</v>
      </c>
      <c r="Q130" s="64">
        <f>(IF((VLOOKUP(Table1[[#This Row],[SKU]],'All Skus'!$A:$AC,2,FALSE))="AKG",(VLOOKUP(Table1[[#This Row],[SKU]],'All Skus'!$A:$AC,21,FALSE)),""))</f>
        <v>0</v>
      </c>
      <c r="R130" s="64">
        <f>(IF((VLOOKUP(Table1[[#This Row],[SKU]],'All Skus'!$A:$AC,2,FALSE))="AKG",(VLOOKUP(Table1[[#This Row],[SKU]],'All Skus'!$A:$AC,22,FALSE)),""))</f>
        <v>0</v>
      </c>
      <c r="S130" s="64">
        <f>(IF((VLOOKUP(Table1[[#This Row],[SKU]],'All Skus'!$A:$AC,2,FALSE))="AKG",(VLOOKUP(Table1[[#This Row],[SKU]],'All Skus'!$A:$AC,23,FALSE)),""))</f>
        <v>0</v>
      </c>
      <c r="T130" s="210" t="str">
        <f>HYPERLINK((IF((VLOOKUP(Table1[[#This Row],[SKU]],'All Skus'!$A:$AC,2,FALSE))="AKG",(VLOOKUP(Table1[[#This Row],[SKU]],'All Skus'!$A:$AC,24,FALSE)),"")))</f>
        <v/>
      </c>
      <c r="U130" s="151">
        <v>128</v>
      </c>
    </row>
    <row r="131" spans="1:21" ht="15" hidden="1" customHeight="1">
      <c r="A131" s="50" t="s">
        <v>288</v>
      </c>
      <c r="B131" s="52" t="str">
        <f>(IF((VLOOKUP(Table1[[#This Row],[SKU]],'All Skus'!$A:$AC,2,FALSE))="AKG",(VLOOKUP(Table1[[#This Row],[SKU]],'All Skus'!$A:$AC,3,FALSE)), ""))</f>
        <v>Installed</v>
      </c>
      <c r="C131" s="60" t="str">
        <f>(IF((VLOOKUP(Table1[[#This Row],[SKU]],'All Skus'!$A:$AC,2,FALSE))="AKG",(VLOOKUP(Table1[[#This Row],[SKU]],'All Skus'!$A:$AC,4,FALSE)),""))</f>
        <v>C562 CM</v>
      </c>
      <c r="D131" s="60" t="str">
        <f>(IF((VLOOKUP(Table1[[#This Row],[SKU]],'All Skus'!$A:$AC,2,FALSE))="AKG",(VLOOKUP(Table1[[#This Row],[SKU]],'All Skus'!$A:$AC,5,FALSE)),""))</f>
        <v>AT510000</v>
      </c>
      <c r="E131" s="60">
        <f>(IF((VLOOKUP(Table1[[#This Row],[SKU]],'All Skus'!$A:$AC,2,FALSE))="AKG",(VLOOKUP(Table1[[#This Row],[SKU]],'All Skus'!$A:$AC,6,FALSE)),""))</f>
        <v>0</v>
      </c>
      <c r="F131" s="60">
        <f>(IF((VLOOKUP(Table1[[#This Row],[SKU]],'All Skus'!$A:$AC,2,FALSE))="AKG",(VLOOKUP(Table1[[#This Row],[SKU]],'All Skus'!$A:$AC,7,FALSE)),""))</f>
        <v>0</v>
      </c>
      <c r="G131" s="45" t="str">
        <f>(IF((VLOOKUP(Table1[[#This Row],[SKU]],'All Skus'!$A:$AC,2,FALSE))="AKG",(VLOOKUP(Table1[[#This Row],[SKU]],'All Skus'!$A:$AC,8,FALSE)),""))</f>
        <v>Boundary Layer Microphone</v>
      </c>
      <c r="H131" s="45" t="str">
        <f>(IF((VLOOKUP(Table1[[#This Row],[SKU]],'All Skus'!$A:$AC,2,FALSE))="AKG",(VLOOKUP(Table1[[#This Row],[SKU]],'All Skus'!$A:$AC,9,FALSE)),""))</f>
        <v>Small, low-profile mic, for surveillance or recording, XLR connector</v>
      </c>
      <c r="I131" s="141">
        <f>(IF((VLOOKUP(Table1[[#This Row],[SKU]],'All Skus'!$A:$AC,2,FALSE))="AKG",(VLOOKUP(Table1[[#This Row],[SKU]],'All Skus'!$A:$AC,10,FALSE)),""))</f>
        <v>468.63</v>
      </c>
      <c r="J131" s="141">
        <f>(IF((VLOOKUP(Table1[[#This Row],[SKU]],'All Skus'!$A:$AC,2,FALSE))="AKG",(VLOOKUP(Table1[[#This Row],[SKU]],'All Skus'!$A:$AC,11,FALSE)),""))</f>
        <v>366</v>
      </c>
      <c r="K131" s="125">
        <f>(IF((VLOOKUP(Table1[[#This Row],[SKU]],'All Skus'!$A:$AC,2,FALSE))="AKG",(VLOOKUP(Table1[[#This Row],[SKU]],'All Skus'!$A:$AC,15,FALSE)),""))</f>
        <v>30</v>
      </c>
      <c r="L131" s="124">
        <f>(IF((VLOOKUP(Table1[[#This Row],[SKU]],'All Skus'!$A:$AC,2,FALSE))="AKG",(VLOOKUP(Table1[[#This Row],[SKU]],'All Skus'!$A:$AC,16,FALSE)),""))</f>
        <v>885038003977</v>
      </c>
      <c r="M131" s="124">
        <f>(IF((VLOOKUP(Table1[[#This Row],[SKU]],'All Skus'!$A:$AC,2,FALSE))="AKG",(VLOOKUP(Table1[[#This Row],[SKU]],'All Skus'!$A:$AC,17,FALSE)),""))</f>
        <v>9002761003970</v>
      </c>
      <c r="N131" s="64">
        <f>(IF((VLOOKUP(Table1[[#This Row],[SKU]],'All Skus'!$A:$AC,2,FALSE))="AKG",(VLOOKUP(Table1[[#This Row],[SKU]],'All Skus'!$A:$AC,18,FALSE)),""))</f>
        <v>7</v>
      </c>
      <c r="O131" s="64">
        <f>(IF((VLOOKUP(Table1[[#This Row],[SKU]],'All Skus'!$A:$AC,2,FALSE))="AKG",(VLOOKUP(Table1[[#This Row],[SKU]],'All Skus'!$A:$AC,19,FALSE)),""))</f>
        <v>3</v>
      </c>
      <c r="P131" s="64">
        <f>(IF((VLOOKUP(Table1[[#This Row],[SKU]],'All Skus'!$A:$AC,2,FALSE))="AKG",(VLOOKUP(Table1[[#This Row],[SKU]],'All Skus'!$A:$AC,20,FALSE)),""))</f>
        <v>5</v>
      </c>
      <c r="Q131" s="64">
        <f>(IF((VLOOKUP(Table1[[#This Row],[SKU]],'All Skus'!$A:$AC,2,FALSE))="AKG",(VLOOKUP(Table1[[#This Row],[SKU]],'All Skus'!$A:$AC,21,FALSE)),""))</f>
        <v>2.4</v>
      </c>
      <c r="R131" s="64" t="str">
        <f>(IF((VLOOKUP(Table1[[#This Row],[SKU]],'All Skus'!$A:$AC,2,FALSE))="AKG",(VLOOKUP(Table1[[#This Row],[SKU]],'All Skus'!$A:$AC,22,FALSE)),""))</f>
        <v>CN</v>
      </c>
      <c r="S131" s="64" t="str">
        <f>(IF((VLOOKUP(Table1[[#This Row],[SKU]],'All Skus'!$A:$AC,2,FALSE))="AKG",(VLOOKUP(Table1[[#This Row],[SKU]],'All Skus'!$A:$AC,23,FALSE)),""))</f>
        <v>Non Compliant</v>
      </c>
      <c r="T131" s="210" t="str">
        <f>HYPERLINK((IF((VLOOKUP(Table1[[#This Row],[SKU]],'All Skus'!$A:$AC,2,FALSE))="AKG",(VLOOKUP(Table1[[#This Row],[SKU]],'All Skus'!$A:$AC,24,FALSE)),"")))</f>
        <v>https://www.akg.com/Microphones/Boundary%20Layer%20Microphones/2262X00030.html</v>
      </c>
      <c r="U131" s="151">
        <v>129</v>
      </c>
    </row>
    <row r="132" spans="1:21" ht="15" hidden="1" customHeight="1">
      <c r="A132" s="50" t="s">
        <v>289</v>
      </c>
      <c r="B132" s="52" t="str">
        <f>(IF((VLOOKUP(Table1[[#This Row],[SKU]],'All Skus'!$A:$AC,2,FALSE))="AKG",(VLOOKUP(Table1[[#This Row],[SKU]],'All Skus'!$A:$AC,3,FALSE)), ""))</f>
        <v>Installed</v>
      </c>
      <c r="C132" s="60" t="str">
        <f>(IF((VLOOKUP(Table1[[#This Row],[SKU]],'All Skus'!$A:$AC,2,FALSE))="AKG",(VLOOKUP(Table1[[#This Row],[SKU]],'All Skus'!$A:$AC,4,FALSE)),""))</f>
        <v>CBL410 PCC black</v>
      </c>
      <c r="D132" s="60" t="str">
        <f>(IF((VLOOKUP(Table1[[#This Row],[SKU]],'All Skus'!$A:$AC,2,FALSE))="AKG",(VLOOKUP(Table1[[#This Row],[SKU]],'All Skus'!$A:$AC,5,FALSE)),""))</f>
        <v>AT510000</v>
      </c>
      <c r="E132" s="60">
        <f>(IF((VLOOKUP(Table1[[#This Row],[SKU]],'All Skus'!$A:$AC,2,FALSE))="AKG",(VLOOKUP(Table1[[#This Row],[SKU]],'All Skus'!$A:$AC,6,FALSE)),""))</f>
        <v>0</v>
      </c>
      <c r="F132" s="60">
        <f>(IF((VLOOKUP(Table1[[#This Row],[SKU]],'All Skus'!$A:$AC,2,FALSE))="AKG",(VLOOKUP(Table1[[#This Row],[SKU]],'All Skus'!$A:$AC,7,FALSE)),""))</f>
        <v>0</v>
      </c>
      <c r="G132" s="45" t="str">
        <f>(IF((VLOOKUP(Table1[[#This Row],[SKU]],'All Skus'!$A:$AC,2,FALSE))="AKG",(VLOOKUP(Table1[[#This Row],[SKU]],'All Skus'!$A:$AC,8,FALSE)),""))</f>
        <v>Boundary Layer Microphone</v>
      </c>
      <c r="H132" s="45" t="str">
        <f>(IF((VLOOKUP(Table1[[#This Row],[SKU]],'All Skus'!$A:$AC,2,FALSE))="AKG",(VLOOKUP(Table1[[#This Row],[SKU]],'All Skus'!$A:$AC,9,FALSE)),""))</f>
        <v>Plug and play desktop microphone for use with PC or laptop. For conferences via VOIP. Cascadable. Colour: black</v>
      </c>
      <c r="I132" s="141">
        <f>(IF((VLOOKUP(Table1[[#This Row],[SKU]],'All Skus'!$A:$AC,2,FALSE))="AKG",(VLOOKUP(Table1[[#This Row],[SKU]],'All Skus'!$A:$AC,10,FALSE)),""))</f>
        <v>159.51</v>
      </c>
      <c r="J132" s="141">
        <f>(IF((VLOOKUP(Table1[[#This Row],[SKU]],'All Skus'!$A:$AC,2,FALSE))="AKG",(VLOOKUP(Table1[[#This Row],[SKU]],'All Skus'!$A:$AC,11,FALSE)),""))</f>
        <v>123</v>
      </c>
      <c r="K132" s="125">
        <f>(IF((VLOOKUP(Table1[[#This Row],[SKU]],'All Skus'!$A:$AC,2,FALSE))="AKG",(VLOOKUP(Table1[[#This Row],[SKU]],'All Skus'!$A:$AC,15,FALSE)),""))</f>
        <v>0</v>
      </c>
      <c r="L132" s="124">
        <f>(IF((VLOOKUP(Table1[[#This Row],[SKU]],'All Skus'!$A:$AC,2,FALSE))="AKG",(VLOOKUP(Table1[[#This Row],[SKU]],'All Skus'!$A:$AC,16,FALSE)),""))</f>
        <v>885038031062</v>
      </c>
      <c r="M132" s="124">
        <f>(IF((VLOOKUP(Table1[[#This Row],[SKU]],'All Skus'!$A:$AC,2,FALSE))="AKG",(VLOOKUP(Table1[[#This Row],[SKU]],'All Skus'!$A:$AC,17,FALSE)),""))</f>
        <v>9002761031065</v>
      </c>
      <c r="N132" s="64">
        <f>(IF((VLOOKUP(Table1[[#This Row],[SKU]],'All Skus'!$A:$AC,2,FALSE))="AKG",(VLOOKUP(Table1[[#This Row],[SKU]],'All Skus'!$A:$AC,18,FALSE)),""))</f>
        <v>5</v>
      </c>
      <c r="O132" s="64">
        <f>(IF((VLOOKUP(Table1[[#This Row],[SKU]],'All Skus'!$A:$AC,2,FALSE))="AKG",(VLOOKUP(Table1[[#This Row],[SKU]],'All Skus'!$A:$AC,19,FALSE)),""))</f>
        <v>12</v>
      </c>
      <c r="P132" s="64">
        <f>(IF((VLOOKUP(Table1[[#This Row],[SKU]],'All Skus'!$A:$AC,2,FALSE))="AKG",(VLOOKUP(Table1[[#This Row],[SKU]],'All Skus'!$A:$AC,20,FALSE)),""))</f>
        <v>10</v>
      </c>
      <c r="Q132" s="64">
        <f>(IF((VLOOKUP(Table1[[#This Row],[SKU]],'All Skus'!$A:$AC,2,FALSE))="AKG",(VLOOKUP(Table1[[#This Row],[SKU]],'All Skus'!$A:$AC,21,FALSE)),""))</f>
        <v>1.69</v>
      </c>
      <c r="R132" s="64" t="str">
        <f>(IF((VLOOKUP(Table1[[#This Row],[SKU]],'All Skus'!$A:$AC,2,FALSE))="AKG",(VLOOKUP(Table1[[#This Row],[SKU]],'All Skus'!$A:$AC,22,FALSE)),""))</f>
        <v>PH</v>
      </c>
      <c r="S132" s="64" t="str">
        <f>(IF((VLOOKUP(Table1[[#This Row],[SKU]],'All Skus'!$A:$AC,2,FALSE))="AKG",(VLOOKUP(Table1[[#This Row],[SKU]],'All Skus'!$A:$AC,23,FALSE)),""))</f>
        <v>Non Compliant</v>
      </c>
      <c r="T132" s="210" t="str">
        <f>HYPERLINK((IF((VLOOKUP(Table1[[#This Row],[SKU]],'All Skus'!$A:$AC,2,FALSE))="AKG",(VLOOKUP(Table1[[#This Row],[SKU]],'All Skus'!$A:$AC,24,FALSE)),"")))</f>
        <v>https://www.akg.com/Microphones/Boundary%20Layer%20Microphones/3177H00010.html</v>
      </c>
      <c r="U132" s="151">
        <v>130</v>
      </c>
    </row>
    <row r="133" spans="1:21" ht="15" hidden="1" customHeight="1">
      <c r="A133" s="50" t="s">
        <v>290</v>
      </c>
      <c r="B133" s="52" t="str">
        <f>(IF((VLOOKUP(Table1[[#This Row],[SKU]],'All Skus'!$A:$AC,2,FALSE))="AKG",(VLOOKUP(Table1[[#This Row],[SKU]],'All Skus'!$A:$AC,3,FALSE)), ""))</f>
        <v>Installed</v>
      </c>
      <c r="C133" s="60" t="str">
        <f>(IF((VLOOKUP(Table1[[#This Row],[SKU]],'All Skus'!$A:$AC,2,FALSE))="AKG",(VLOOKUP(Table1[[#This Row],[SKU]],'All Skus'!$A:$AC,4,FALSE)),""))</f>
        <v>CBL410 PCC white</v>
      </c>
      <c r="D133" s="60" t="str">
        <f>(IF((VLOOKUP(Table1[[#This Row],[SKU]],'All Skus'!$A:$AC,2,FALSE))="AKG",(VLOOKUP(Table1[[#This Row],[SKU]],'All Skus'!$A:$AC,5,FALSE)),""))</f>
        <v>AT510000</v>
      </c>
      <c r="E133" s="60">
        <f>(IF((VLOOKUP(Table1[[#This Row],[SKU]],'All Skus'!$A:$AC,2,FALSE))="AKG",(VLOOKUP(Table1[[#This Row],[SKU]],'All Skus'!$A:$AC,6,FALSE)),""))</f>
        <v>0</v>
      </c>
      <c r="F133" s="60">
        <f>(IF((VLOOKUP(Table1[[#This Row],[SKU]],'All Skus'!$A:$AC,2,FALSE))="AKG",(VLOOKUP(Table1[[#This Row],[SKU]],'All Skus'!$A:$AC,7,FALSE)),""))</f>
        <v>0</v>
      </c>
      <c r="G133" s="45" t="str">
        <f>(IF((VLOOKUP(Table1[[#This Row],[SKU]],'All Skus'!$A:$AC,2,FALSE))="AKG",(VLOOKUP(Table1[[#This Row],[SKU]],'All Skus'!$A:$AC,8,FALSE)),""))</f>
        <v>Boundary Layer Microphone</v>
      </c>
      <c r="H133" s="45" t="str">
        <f>(IF((VLOOKUP(Table1[[#This Row],[SKU]],'All Skus'!$A:$AC,2,FALSE))="AKG",(VLOOKUP(Table1[[#This Row],[SKU]],'All Skus'!$A:$AC,9,FALSE)),""))</f>
        <v>Plug and play desktop microphone for use with PC or laptop. For conferences via VOIP. Cascadable. Colour: white</v>
      </c>
      <c r="I133" s="141">
        <f>(IF((VLOOKUP(Table1[[#This Row],[SKU]],'All Skus'!$A:$AC,2,FALSE))="AKG",(VLOOKUP(Table1[[#This Row],[SKU]],'All Skus'!$A:$AC,10,FALSE)),""))</f>
        <v>159.51</v>
      </c>
      <c r="J133" s="141">
        <f>(IF((VLOOKUP(Table1[[#This Row],[SKU]],'All Skus'!$A:$AC,2,FALSE))="AKG",(VLOOKUP(Table1[[#This Row],[SKU]],'All Skus'!$A:$AC,11,FALSE)),""))</f>
        <v>123</v>
      </c>
      <c r="K133" s="125">
        <f>(IF((VLOOKUP(Table1[[#This Row],[SKU]],'All Skus'!$A:$AC,2,FALSE))="AKG",(VLOOKUP(Table1[[#This Row],[SKU]],'All Skus'!$A:$AC,15,FALSE)),""))</f>
        <v>0</v>
      </c>
      <c r="L133" s="124">
        <f>(IF((VLOOKUP(Table1[[#This Row],[SKU]],'All Skus'!$A:$AC,2,FALSE))="AKG",(VLOOKUP(Table1[[#This Row],[SKU]],'All Skus'!$A:$AC,16,FALSE)),""))</f>
        <v>885038031079</v>
      </c>
      <c r="M133" s="124">
        <f>(IF((VLOOKUP(Table1[[#This Row],[SKU]],'All Skus'!$A:$AC,2,FALSE))="AKG",(VLOOKUP(Table1[[#This Row],[SKU]],'All Skus'!$A:$AC,17,FALSE)),""))</f>
        <v>9002761031072</v>
      </c>
      <c r="N133" s="64">
        <f>(IF((VLOOKUP(Table1[[#This Row],[SKU]],'All Skus'!$A:$AC,2,FALSE))="AKG",(VLOOKUP(Table1[[#This Row],[SKU]],'All Skus'!$A:$AC,18,FALSE)),""))</f>
        <v>5</v>
      </c>
      <c r="O133" s="64">
        <f>(IF((VLOOKUP(Table1[[#This Row],[SKU]],'All Skus'!$A:$AC,2,FALSE))="AKG",(VLOOKUP(Table1[[#This Row],[SKU]],'All Skus'!$A:$AC,19,FALSE)),""))</f>
        <v>12</v>
      </c>
      <c r="P133" s="64">
        <f>(IF((VLOOKUP(Table1[[#This Row],[SKU]],'All Skus'!$A:$AC,2,FALSE))="AKG",(VLOOKUP(Table1[[#This Row],[SKU]],'All Skus'!$A:$AC,20,FALSE)),""))</f>
        <v>10</v>
      </c>
      <c r="Q133" s="64">
        <f>(IF((VLOOKUP(Table1[[#This Row],[SKU]],'All Skus'!$A:$AC,2,FALSE))="AKG",(VLOOKUP(Table1[[#This Row],[SKU]],'All Skus'!$A:$AC,21,FALSE)),""))</f>
        <v>1.69</v>
      </c>
      <c r="R133" s="64" t="str">
        <f>(IF((VLOOKUP(Table1[[#This Row],[SKU]],'All Skus'!$A:$AC,2,FALSE))="AKG",(VLOOKUP(Table1[[#This Row],[SKU]],'All Skus'!$A:$AC,22,FALSE)),""))</f>
        <v>PH</v>
      </c>
      <c r="S133" s="64" t="str">
        <f>(IF((VLOOKUP(Table1[[#This Row],[SKU]],'All Skus'!$A:$AC,2,FALSE))="AKG",(VLOOKUP(Table1[[#This Row],[SKU]],'All Skus'!$A:$AC,23,FALSE)),""))</f>
        <v>Non Compliant</v>
      </c>
      <c r="T133" s="210" t="str">
        <f>HYPERLINK((IF((VLOOKUP(Table1[[#This Row],[SKU]],'All Skus'!$A:$AC,2,FALSE))="AKG",(VLOOKUP(Table1[[#This Row],[SKU]],'All Skus'!$A:$AC,24,FALSE)),"")))</f>
        <v>https://www.akg.com/Microphones/Boundary%20Layer%20Microphones/3177H00020.html</v>
      </c>
      <c r="U133" s="151">
        <v>131</v>
      </c>
    </row>
    <row r="134" spans="1:21" ht="15" hidden="1" customHeight="1">
      <c r="A134" s="50" t="s">
        <v>291</v>
      </c>
      <c r="B134" s="52" t="str">
        <f>(IF((VLOOKUP(Table1[[#This Row],[SKU]],'All Skus'!$A:$AC,2,FALSE))="AKG",(VLOOKUP(Table1[[#This Row],[SKU]],'All Skus'!$A:$AC,3,FALSE)), ""))</f>
        <v>Microphone</v>
      </c>
      <c r="C134" s="60" t="str">
        <f>(IF((VLOOKUP(Table1[[#This Row],[SKU]],'All Skus'!$A:$AC,2,FALSE))="AKG",(VLOOKUP(Table1[[#This Row],[SKU]],'All Skus'!$A:$AC,4,FALSE)),""))</f>
        <v xml:space="preserve">CBL301B </v>
      </c>
      <c r="D134" s="60">
        <f>(IF((VLOOKUP(Table1[[#This Row],[SKU]],'All Skus'!$A:$AC,2,FALSE))="AKG",(VLOOKUP(Table1[[#This Row],[SKU]],'All Skus'!$A:$AC,5,FALSE)),""))</f>
        <v>83300200</v>
      </c>
      <c r="E134" s="60">
        <f>(IF((VLOOKUP(Table1[[#This Row],[SKU]],'All Skus'!$A:$AC,2,FALSE))="AKG",(VLOOKUP(Table1[[#This Row],[SKU]],'All Skus'!$A:$AC,6,FALSE)),""))</f>
        <v>0</v>
      </c>
      <c r="F134" s="60">
        <f>(IF((VLOOKUP(Table1[[#This Row],[SKU]],'All Skus'!$A:$AC,2,FALSE))="AKG",(VLOOKUP(Table1[[#This Row],[SKU]],'All Skus'!$A:$AC,7,FALSE)),""))</f>
        <v>0</v>
      </c>
      <c r="G134" s="45" t="str">
        <f>(IF((VLOOKUP(Table1[[#This Row],[SKU]],'All Skus'!$A:$AC,2,FALSE))="AKG",(VLOOKUP(Table1[[#This Row],[SKU]],'All Skus'!$A:$AC,8,FALSE)),""))</f>
        <v>Boundary Layer Microphone</v>
      </c>
      <c r="H134" s="45" t="str">
        <f>(IF((VLOOKUP(Table1[[#This Row],[SKU]],'All Skus'!$A:$AC,2,FALSE))="AKG",(VLOOKUP(Table1[[#This Row],[SKU]],'All Skus'!$A:$AC,9,FALSE)),""))</f>
        <v>Triple element boundary layer microphone for conferencing applications</v>
      </c>
      <c r="I134" s="141">
        <f>(IF((VLOOKUP(Table1[[#This Row],[SKU]],'All Skus'!$A:$AC,2,FALSE))="AKG",(VLOOKUP(Table1[[#This Row],[SKU]],'All Skus'!$A:$AC,10,FALSE)),""))</f>
        <v>815.12</v>
      </c>
      <c r="J134" s="141">
        <f>(IF((VLOOKUP(Table1[[#This Row],[SKU]],'All Skus'!$A:$AC,2,FALSE))="AKG",(VLOOKUP(Table1[[#This Row],[SKU]],'All Skus'!$A:$AC,11,FALSE)),""))</f>
        <v>562</v>
      </c>
      <c r="K134" s="125">
        <f>(IF((VLOOKUP(Table1[[#This Row],[SKU]],'All Skus'!$A:$AC,2,FALSE))="AKG",(VLOOKUP(Table1[[#This Row],[SKU]],'All Skus'!$A:$AC,15,FALSE)),""))</f>
        <v>0</v>
      </c>
      <c r="L134" s="124">
        <f>(IF((VLOOKUP(Table1[[#This Row],[SKU]],'All Skus'!$A:$AC,2,FALSE))="AKG",(VLOOKUP(Table1[[#This Row],[SKU]],'All Skus'!$A:$AC,16,FALSE)),""))</f>
        <v>885038040514</v>
      </c>
      <c r="M134" s="124">
        <f>(IF((VLOOKUP(Table1[[#This Row],[SKU]],'All Skus'!$A:$AC,2,FALSE))="AKG",(VLOOKUP(Table1[[#This Row],[SKU]],'All Skus'!$A:$AC,17,FALSE)),""))</f>
        <v>0</v>
      </c>
      <c r="N134" s="64">
        <f>(IF((VLOOKUP(Table1[[#This Row],[SKU]],'All Skus'!$A:$AC,2,FALSE))="AKG",(VLOOKUP(Table1[[#This Row],[SKU]],'All Skus'!$A:$AC,18,FALSE)),""))</f>
        <v>0</v>
      </c>
      <c r="O134" s="64">
        <f>(IF((VLOOKUP(Table1[[#This Row],[SKU]],'All Skus'!$A:$AC,2,FALSE))="AKG",(VLOOKUP(Table1[[#This Row],[SKU]],'All Skus'!$A:$AC,19,FALSE)),""))</f>
        <v>0</v>
      </c>
      <c r="P134" s="64">
        <f>(IF((VLOOKUP(Table1[[#This Row],[SKU]],'All Skus'!$A:$AC,2,FALSE))="AKG",(VLOOKUP(Table1[[#This Row],[SKU]],'All Skus'!$A:$AC,20,FALSE)),""))</f>
        <v>0</v>
      </c>
      <c r="Q134" s="64">
        <f>(IF((VLOOKUP(Table1[[#This Row],[SKU]],'All Skus'!$A:$AC,2,FALSE))="AKG",(VLOOKUP(Table1[[#This Row],[SKU]],'All Skus'!$A:$AC,21,FALSE)),""))</f>
        <v>0</v>
      </c>
      <c r="R134" s="64" t="str">
        <f>(IF((VLOOKUP(Table1[[#This Row],[SKU]],'All Skus'!$A:$AC,2,FALSE))="AKG",(VLOOKUP(Table1[[#This Row],[SKU]],'All Skus'!$A:$AC,22,FALSE)),""))</f>
        <v>CN</v>
      </c>
      <c r="S134" s="64" t="str">
        <f>(IF((VLOOKUP(Table1[[#This Row],[SKU]],'All Skus'!$A:$AC,2,FALSE))="AKG",(VLOOKUP(Table1[[#This Row],[SKU]],'All Skus'!$A:$AC,23,FALSE)),""))</f>
        <v>Non Compliant</v>
      </c>
      <c r="T134" s="210" t="str">
        <f>HYPERLINK((IF((VLOOKUP(Table1[[#This Row],[SKU]],'All Skus'!$A:$AC,2,FALSE))="AKG",(VLOOKUP(Table1[[#This Row],[SKU]],'All Skus'!$A:$AC,24,FALSE)),"")))</f>
        <v>https://www.akg.com/Microphones/Boundary%20Layer%20Microphones/5095183-00-LS.html</v>
      </c>
      <c r="U134" s="151">
        <v>132</v>
      </c>
    </row>
    <row r="135" spans="1:21" ht="15" hidden="1" customHeight="1">
      <c r="A135" s="50" t="s">
        <v>292</v>
      </c>
      <c r="B135" s="52" t="str">
        <f>(IF((VLOOKUP(Table1[[#This Row],[SKU]],'All Skus'!$A:$AC,2,FALSE))="AKG",(VLOOKUP(Table1[[#This Row],[SKU]],'All Skus'!$A:$AC,3,FALSE)), ""))</f>
        <v>Microphone</v>
      </c>
      <c r="C135" s="60" t="str">
        <f>(IF((VLOOKUP(Table1[[#This Row],[SKU]],'All Skus'!$A:$AC,2,FALSE))="AKG",(VLOOKUP(Table1[[#This Row],[SKU]],'All Skus'!$A:$AC,4,FALSE)),""))</f>
        <v xml:space="preserve">CBL201B </v>
      </c>
      <c r="D135" s="60">
        <f>(IF((VLOOKUP(Table1[[#This Row],[SKU]],'All Skus'!$A:$AC,2,FALSE))="AKG",(VLOOKUP(Table1[[#This Row],[SKU]],'All Skus'!$A:$AC,5,FALSE)),""))</f>
        <v>83200201</v>
      </c>
      <c r="E135" s="60">
        <f>(IF((VLOOKUP(Table1[[#This Row],[SKU]],'All Skus'!$A:$AC,2,FALSE))="AKG",(VLOOKUP(Table1[[#This Row],[SKU]],'All Skus'!$A:$AC,6,FALSE)),""))</f>
        <v>0</v>
      </c>
      <c r="F135" s="60">
        <f>(IF((VLOOKUP(Table1[[#This Row],[SKU]],'All Skus'!$A:$AC,2,FALSE))="AKG",(VLOOKUP(Table1[[#This Row],[SKU]],'All Skus'!$A:$AC,7,FALSE)),""))</f>
        <v>0</v>
      </c>
      <c r="G135" s="45" t="str">
        <f>(IF((VLOOKUP(Table1[[#This Row],[SKU]],'All Skus'!$A:$AC,2,FALSE))="AKG",(VLOOKUP(Table1[[#This Row],[SKU]],'All Skus'!$A:$AC,8,FALSE)),""))</f>
        <v>Boundary Layer Microphone</v>
      </c>
      <c r="H135" s="45" t="str">
        <f>(IF((VLOOKUP(Table1[[#This Row],[SKU]],'All Skus'!$A:$AC,2,FALSE))="AKG",(VLOOKUP(Table1[[#This Row],[SKU]],'All Skus'!$A:$AC,9,FALSE)),""))</f>
        <v>Dual element boundary layer microphone for conferencing applications</v>
      </c>
      <c r="I135" s="141">
        <f>(IF((VLOOKUP(Table1[[#This Row],[SKU]],'All Skus'!$A:$AC,2,FALSE))="AKG",(VLOOKUP(Table1[[#This Row],[SKU]],'All Skus'!$A:$AC,10,FALSE)),""))</f>
        <v>659.06</v>
      </c>
      <c r="J135" s="141">
        <f>(IF((VLOOKUP(Table1[[#This Row],[SKU]],'All Skus'!$A:$AC,2,FALSE))="AKG",(VLOOKUP(Table1[[#This Row],[SKU]],'All Skus'!$A:$AC,11,FALSE)),""))</f>
        <v>453</v>
      </c>
      <c r="K135" s="125">
        <f>(IF((VLOOKUP(Table1[[#This Row],[SKU]],'All Skus'!$A:$AC,2,FALSE))="AKG",(VLOOKUP(Table1[[#This Row],[SKU]],'All Skus'!$A:$AC,15,FALSE)),""))</f>
        <v>0</v>
      </c>
      <c r="L135" s="124">
        <f>(IF((VLOOKUP(Table1[[#This Row],[SKU]],'All Skus'!$A:$AC,2,FALSE))="AKG",(VLOOKUP(Table1[[#This Row],[SKU]],'All Skus'!$A:$AC,16,FALSE)),""))</f>
        <v>885038040507</v>
      </c>
      <c r="M135" s="124">
        <f>(IF((VLOOKUP(Table1[[#This Row],[SKU]],'All Skus'!$A:$AC,2,FALSE))="AKG",(VLOOKUP(Table1[[#This Row],[SKU]],'All Skus'!$A:$AC,17,FALSE)),""))</f>
        <v>0</v>
      </c>
      <c r="N135" s="64">
        <f>(IF((VLOOKUP(Table1[[#This Row],[SKU]],'All Skus'!$A:$AC,2,FALSE))="AKG",(VLOOKUP(Table1[[#This Row],[SKU]],'All Skus'!$A:$AC,18,FALSE)),""))</f>
        <v>1.65</v>
      </c>
      <c r="O135" s="64">
        <f>(IF((VLOOKUP(Table1[[#This Row],[SKU]],'All Skus'!$A:$AC,2,FALSE))="AKG",(VLOOKUP(Table1[[#This Row],[SKU]],'All Skus'!$A:$AC,19,FALSE)),""))</f>
        <v>6.9</v>
      </c>
      <c r="P135" s="64">
        <f>(IF((VLOOKUP(Table1[[#This Row],[SKU]],'All Skus'!$A:$AC,2,FALSE))="AKG",(VLOOKUP(Table1[[#This Row],[SKU]],'All Skus'!$A:$AC,20,FALSE)),""))</f>
        <v>65</v>
      </c>
      <c r="Q135" s="64">
        <f>(IF((VLOOKUP(Table1[[#This Row],[SKU]],'All Skus'!$A:$AC,2,FALSE))="AKG",(VLOOKUP(Table1[[#This Row],[SKU]],'All Skus'!$A:$AC,21,FALSE)),""))</f>
        <v>3.1</v>
      </c>
      <c r="R135" s="64" t="str">
        <f>(IF((VLOOKUP(Table1[[#This Row],[SKU]],'All Skus'!$A:$AC,2,FALSE))="AKG",(VLOOKUP(Table1[[#This Row],[SKU]],'All Skus'!$A:$AC,22,FALSE)),""))</f>
        <v>CN</v>
      </c>
      <c r="S135" s="64" t="str">
        <f>(IF((VLOOKUP(Table1[[#This Row],[SKU]],'All Skus'!$A:$AC,2,FALSE))="AKG",(VLOOKUP(Table1[[#This Row],[SKU]],'All Skus'!$A:$AC,23,FALSE)),""))</f>
        <v>Non Compliant</v>
      </c>
      <c r="T135" s="210" t="str">
        <f>HYPERLINK((IF((VLOOKUP(Table1[[#This Row],[SKU]],'All Skus'!$A:$AC,2,FALSE))="AKG",(VLOOKUP(Table1[[#This Row],[SKU]],'All Skus'!$A:$AC,24,FALSE)),"")))</f>
        <v>https://www.akg.com/Microphones/Boundary%20Layer%20Microphones/CBL201.html?dwvar_CBL201_color=Black-GLOBAL-Current#q=5095184-00&amp;start=1</v>
      </c>
      <c r="U135" s="151">
        <v>133</v>
      </c>
    </row>
    <row r="136" spans="1:21" ht="15" hidden="1" customHeight="1">
      <c r="A136" s="50" t="s">
        <v>293</v>
      </c>
      <c r="B136" s="52" t="str">
        <f>(IF((VLOOKUP(Table1[[#This Row],[SKU]],'All Skus'!$A:$AC,2,FALSE))="AKG",(VLOOKUP(Table1[[#This Row],[SKU]],'All Skus'!$A:$AC,3,FALSE)), ""))</f>
        <v>Installed</v>
      </c>
      <c r="C136" s="60" t="str">
        <f>(IF((VLOOKUP(Table1[[#This Row],[SKU]],'All Skus'!$A:$AC,2,FALSE))="AKG",(VLOOKUP(Table1[[#This Row],[SKU]],'All Skus'!$A:$AC,4,FALSE)),""))</f>
        <v>PZM6 D</v>
      </c>
      <c r="D136" s="60" t="str">
        <f>(IF((VLOOKUP(Table1[[#This Row],[SKU]],'All Skus'!$A:$AC,2,FALSE))="AKG",(VLOOKUP(Table1[[#This Row],[SKU]],'All Skus'!$A:$AC,5,FALSE)),""))</f>
        <v>AT510041</v>
      </c>
      <c r="E136" s="60">
        <f>(IF((VLOOKUP(Table1[[#This Row],[SKU]],'All Skus'!$A:$AC,2,FALSE))="AKG",(VLOOKUP(Table1[[#This Row],[SKU]],'All Skus'!$A:$AC,6,FALSE)),""))</f>
        <v>0</v>
      </c>
      <c r="F136" s="60">
        <f>(IF((VLOOKUP(Table1[[#This Row],[SKU]],'All Skus'!$A:$AC,2,FALSE))="AKG",(VLOOKUP(Table1[[#This Row],[SKU]],'All Skus'!$A:$AC,7,FALSE)),""))</f>
        <v>0</v>
      </c>
      <c r="G136" s="45" t="str">
        <f>(IF((VLOOKUP(Table1[[#This Row],[SKU]],'All Skus'!$A:$AC,2,FALSE))="AKG",(VLOOKUP(Table1[[#This Row],[SKU]],'All Skus'!$A:$AC,8,FALSE)),""))</f>
        <v>Crown Microphone</v>
      </c>
      <c r="H136" s="45" t="str">
        <f>(IF((VLOOKUP(Table1[[#This Row],[SKU]],'All Skus'!$A:$AC,2,FALSE))="AKG",(VLOOKUP(Table1[[#This Row],[SKU]],'All Skus'!$A:$AC,9,FALSE)),""))</f>
        <v>First-class boundary layer microphone, smaller version of PZM30D, ideal for speen &amp; music recording, XLR version</v>
      </c>
      <c r="I136" s="141">
        <f>(IF((VLOOKUP(Table1[[#This Row],[SKU]],'All Skus'!$A:$AC,2,FALSE))="AKG",(VLOOKUP(Table1[[#This Row],[SKU]],'All Skus'!$A:$AC,10,FALSE)),""))</f>
        <v>617</v>
      </c>
      <c r="J136" s="141">
        <f>(IF((VLOOKUP(Table1[[#This Row],[SKU]],'All Skus'!$A:$AC,2,FALSE))="AKG",(VLOOKUP(Table1[[#This Row],[SKU]],'All Skus'!$A:$AC,11,FALSE)),""))</f>
        <v>494</v>
      </c>
      <c r="K136" s="125">
        <f>(IF((VLOOKUP(Table1[[#This Row],[SKU]],'All Skus'!$A:$AC,2,FALSE))="AKG",(VLOOKUP(Table1[[#This Row],[SKU]],'All Skus'!$A:$AC,15,FALSE)),""))</f>
        <v>0</v>
      </c>
      <c r="L136" s="124">
        <f>(IF((VLOOKUP(Table1[[#This Row],[SKU]],'All Skus'!$A:$AC,2,FALSE))="AKG",(VLOOKUP(Table1[[#This Row],[SKU]],'All Skus'!$A:$AC,16,FALSE)),""))</f>
        <v>885038024798</v>
      </c>
      <c r="M136" s="124">
        <f>(IF((VLOOKUP(Table1[[#This Row],[SKU]],'All Skus'!$A:$AC,2,FALSE))="AKG",(VLOOKUP(Table1[[#This Row],[SKU]],'All Skus'!$A:$AC,17,FALSE)),""))</f>
        <v>9002761024791</v>
      </c>
      <c r="N136" s="64">
        <f>(IF((VLOOKUP(Table1[[#This Row],[SKU]],'All Skus'!$A:$AC,2,FALSE))="AKG",(VLOOKUP(Table1[[#This Row],[SKU]],'All Skus'!$A:$AC,18,FALSE)),""))</f>
        <v>3</v>
      </c>
      <c r="O136" s="64">
        <f>(IF((VLOOKUP(Table1[[#This Row],[SKU]],'All Skus'!$A:$AC,2,FALSE))="AKG",(VLOOKUP(Table1[[#This Row],[SKU]],'All Skus'!$A:$AC,19,FALSE)),""))</f>
        <v>10</v>
      </c>
      <c r="P136" s="64">
        <f>(IF((VLOOKUP(Table1[[#This Row],[SKU]],'All Skus'!$A:$AC,2,FALSE))="AKG",(VLOOKUP(Table1[[#This Row],[SKU]],'All Skus'!$A:$AC,20,FALSE)),""))</f>
        <v>5</v>
      </c>
      <c r="Q136" s="64">
        <f>(IF((VLOOKUP(Table1[[#This Row],[SKU]],'All Skus'!$A:$AC,2,FALSE))="AKG",(VLOOKUP(Table1[[#This Row],[SKU]],'All Skus'!$A:$AC,21,FALSE)),""))</f>
        <v>0.38</v>
      </c>
      <c r="R136" s="64" t="str">
        <f>(IF((VLOOKUP(Table1[[#This Row],[SKU]],'All Skus'!$A:$AC,2,FALSE))="AKG",(VLOOKUP(Table1[[#This Row],[SKU]],'All Skus'!$A:$AC,22,FALSE)),""))</f>
        <v>CN</v>
      </c>
      <c r="S136" s="64" t="str">
        <f>(IF((VLOOKUP(Table1[[#This Row],[SKU]],'All Skus'!$A:$AC,2,FALSE))="AKG",(VLOOKUP(Table1[[#This Row],[SKU]],'All Skus'!$A:$AC,23,FALSE)),""))</f>
        <v>Non Compliant</v>
      </c>
      <c r="T136" s="210" t="str">
        <f>HYPERLINK((IF((VLOOKUP(Table1[[#This Row],[SKU]],'All Skus'!$A:$AC,2,FALSE))="AKG",(VLOOKUP(Table1[[#This Row],[SKU]],'All Skus'!$A:$AC,24,FALSE)),"")))</f>
        <v>https://www.akg.com/Microphones/Boundary%20Layer%20Microphones/3322H00010.html</v>
      </c>
      <c r="U136" s="151">
        <v>134</v>
      </c>
    </row>
    <row r="137" spans="1:21" ht="15" hidden="1" customHeight="1">
      <c r="A137" s="50" t="s">
        <v>294</v>
      </c>
      <c r="B137" s="52" t="str">
        <f>(IF((VLOOKUP(Table1[[#This Row],[SKU]],'All Skus'!$A:$AC,2,FALSE))="AKG",(VLOOKUP(Table1[[#This Row],[SKU]],'All Skus'!$A:$AC,3,FALSE)), ""))</f>
        <v>Installed</v>
      </c>
      <c r="C137" s="60" t="str">
        <f>(IF((VLOOKUP(Table1[[#This Row],[SKU]],'All Skus'!$A:$AC,2,FALSE))="AKG",(VLOOKUP(Table1[[#This Row],[SKU]],'All Skus'!$A:$AC,4,FALSE)),""))</f>
        <v>PZM10</v>
      </c>
      <c r="D137" s="60" t="str">
        <f>(IF((VLOOKUP(Table1[[#This Row],[SKU]],'All Skus'!$A:$AC,2,FALSE))="AKG",(VLOOKUP(Table1[[#This Row],[SKU]],'All Skus'!$A:$AC,5,FALSE)),""))</f>
        <v>AT510041</v>
      </c>
      <c r="E137" s="60">
        <f>(IF((VLOOKUP(Table1[[#This Row],[SKU]],'All Skus'!$A:$AC,2,FALSE))="AKG",(VLOOKUP(Table1[[#This Row],[SKU]],'All Skus'!$A:$AC,6,FALSE)),""))</f>
        <v>0</v>
      </c>
      <c r="F137" s="60">
        <f>(IF((VLOOKUP(Table1[[#This Row],[SKU]],'All Skus'!$A:$AC,2,FALSE))="AKG",(VLOOKUP(Table1[[#This Row],[SKU]],'All Skus'!$A:$AC,7,FALSE)),""))</f>
        <v>0</v>
      </c>
      <c r="G137" s="45" t="str">
        <f>(IF((VLOOKUP(Table1[[#This Row],[SKU]],'All Skus'!$A:$AC,2,FALSE))="AKG",(VLOOKUP(Table1[[#This Row],[SKU]],'All Skus'!$A:$AC,8,FALSE)),""))</f>
        <v>Crown Microphone</v>
      </c>
      <c r="H137" s="45" t="str">
        <f>(IF((VLOOKUP(Table1[[#This Row],[SKU]],'All Skus'!$A:$AC,2,FALSE))="AKG",(VLOOKUP(Table1[[#This Row],[SKU]],'All Skus'!$A:$AC,9,FALSE)),""))</f>
        <v>Low profile boundary layer microphone</v>
      </c>
      <c r="I137" s="141">
        <f>(IF((VLOOKUP(Table1[[#This Row],[SKU]],'All Skus'!$A:$AC,2,FALSE))="AKG",(VLOOKUP(Table1[[#This Row],[SKU]],'All Skus'!$A:$AC,10,FALSE)),""))</f>
        <v>265.83999999999997</v>
      </c>
      <c r="J137" s="141">
        <f>(IF((VLOOKUP(Table1[[#This Row],[SKU]],'All Skus'!$A:$AC,2,FALSE))="AKG",(VLOOKUP(Table1[[#This Row],[SKU]],'All Skus'!$A:$AC,11,FALSE)),""))</f>
        <v>212</v>
      </c>
      <c r="K137" s="125">
        <f>(IF((VLOOKUP(Table1[[#This Row],[SKU]],'All Skus'!$A:$AC,2,FALSE))="AKG",(VLOOKUP(Table1[[#This Row],[SKU]],'All Skus'!$A:$AC,15,FALSE)),""))</f>
        <v>0</v>
      </c>
      <c r="L137" s="124">
        <f>(IF((VLOOKUP(Table1[[#This Row],[SKU]],'All Skus'!$A:$AC,2,FALSE))="AKG",(VLOOKUP(Table1[[#This Row],[SKU]],'All Skus'!$A:$AC,16,FALSE)),""))</f>
        <v>885038024859</v>
      </c>
      <c r="M137" s="124">
        <f>(IF((VLOOKUP(Table1[[#This Row],[SKU]],'All Skus'!$A:$AC,2,FALSE))="AKG",(VLOOKUP(Table1[[#This Row],[SKU]],'All Skus'!$A:$AC,17,FALSE)),""))</f>
        <v>9002761024852</v>
      </c>
      <c r="N137" s="64">
        <f>(IF((VLOOKUP(Table1[[#This Row],[SKU]],'All Skus'!$A:$AC,2,FALSE))="AKG",(VLOOKUP(Table1[[#This Row],[SKU]],'All Skus'!$A:$AC,18,FALSE)),""))</f>
        <v>3</v>
      </c>
      <c r="O137" s="64">
        <f>(IF((VLOOKUP(Table1[[#This Row],[SKU]],'All Skus'!$A:$AC,2,FALSE))="AKG",(VLOOKUP(Table1[[#This Row],[SKU]],'All Skus'!$A:$AC,19,FALSE)),""))</f>
        <v>6</v>
      </c>
      <c r="P137" s="64">
        <f>(IF((VLOOKUP(Table1[[#This Row],[SKU]],'All Skus'!$A:$AC,2,FALSE))="AKG",(VLOOKUP(Table1[[#This Row],[SKU]],'All Skus'!$A:$AC,20,FALSE)),""))</f>
        <v>4</v>
      </c>
      <c r="Q137" s="64">
        <f>(IF((VLOOKUP(Table1[[#This Row],[SKU]],'All Skus'!$A:$AC,2,FALSE))="AKG",(VLOOKUP(Table1[[#This Row],[SKU]],'All Skus'!$A:$AC,21,FALSE)),""))</f>
        <v>2.8</v>
      </c>
      <c r="R137" s="64" t="str">
        <f>(IF((VLOOKUP(Table1[[#This Row],[SKU]],'All Skus'!$A:$AC,2,FALSE))="AKG",(VLOOKUP(Table1[[#This Row],[SKU]],'All Skus'!$A:$AC,22,FALSE)),""))</f>
        <v>CN</v>
      </c>
      <c r="S137" s="64" t="str">
        <f>(IF((VLOOKUP(Table1[[#This Row],[SKU]],'All Skus'!$A:$AC,2,FALSE))="AKG",(VLOOKUP(Table1[[#This Row],[SKU]],'All Skus'!$A:$AC,23,FALSE)),""))</f>
        <v>Non Compliant</v>
      </c>
      <c r="T137" s="210" t="str">
        <f>HYPERLINK((IF((VLOOKUP(Table1[[#This Row],[SKU]],'All Skus'!$A:$AC,2,FALSE))="AKG",(VLOOKUP(Table1[[#This Row],[SKU]],'All Skus'!$A:$AC,24,FALSE)),"")))</f>
        <v>https://www.akg.com/Microphones/Boundary%20Layer%20Microphones/3328H00010.html</v>
      </c>
      <c r="U137" s="151">
        <v>135</v>
      </c>
    </row>
    <row r="138" spans="1:21" ht="15" hidden="1" customHeight="1">
      <c r="A138" s="50" t="s">
        <v>295</v>
      </c>
      <c r="B138" s="52" t="str">
        <f>(IF((VLOOKUP(Table1[[#This Row],[SKU]],'All Skus'!$A:$AC,2,FALSE))="AKG",(VLOOKUP(Table1[[#This Row],[SKU]],'All Skus'!$A:$AC,3,FALSE)), ""))</f>
        <v>Installed</v>
      </c>
      <c r="C138" s="60" t="str">
        <f>(IF((VLOOKUP(Table1[[#This Row],[SKU]],'All Skus'!$A:$AC,2,FALSE))="AKG",(VLOOKUP(Table1[[#This Row],[SKU]],'All Skus'!$A:$AC,4,FALSE)),""))</f>
        <v>PZM10 LL</v>
      </c>
      <c r="D138" s="60" t="str">
        <f>(IF((VLOOKUP(Table1[[#This Row],[SKU]],'All Skus'!$A:$AC,2,FALSE))="AKG",(VLOOKUP(Table1[[#This Row],[SKU]],'All Skus'!$A:$AC,5,FALSE)),""))</f>
        <v>AT510041</v>
      </c>
      <c r="E138" s="60">
        <f>(IF((VLOOKUP(Table1[[#This Row],[SKU]],'All Skus'!$A:$AC,2,FALSE))="AKG",(VLOOKUP(Table1[[#This Row],[SKU]],'All Skus'!$A:$AC,6,FALSE)),""))</f>
        <v>0</v>
      </c>
      <c r="F138" s="60">
        <f>(IF((VLOOKUP(Table1[[#This Row],[SKU]],'All Skus'!$A:$AC,2,FALSE))="AKG",(VLOOKUP(Table1[[#This Row],[SKU]],'All Skus'!$A:$AC,7,FALSE)),""))</f>
        <v>0</v>
      </c>
      <c r="G138" s="45" t="str">
        <f>(IF((VLOOKUP(Table1[[#This Row],[SKU]],'All Skus'!$A:$AC,2,FALSE))="AKG",(VLOOKUP(Table1[[#This Row],[SKU]],'All Skus'!$A:$AC,8,FALSE)),""))</f>
        <v>Crown Microphone</v>
      </c>
      <c r="H138" s="45" t="str">
        <f>(IF((VLOOKUP(Table1[[#This Row],[SKU]],'All Skus'!$A:$AC,2,FALSE))="AKG",(VLOOKUP(Table1[[#This Row],[SKU]],'All Skus'!$A:$AC,9,FALSE)),""))</f>
        <v>Low profile boundary layer microphone, Line level version</v>
      </c>
      <c r="I138" s="141">
        <f>(IF((VLOOKUP(Table1[[#This Row],[SKU]],'All Skus'!$A:$AC,2,FALSE))="AKG",(VLOOKUP(Table1[[#This Row],[SKU]],'All Skus'!$A:$AC,10,FALSE)),""))</f>
        <v>307.88</v>
      </c>
      <c r="J138" s="141">
        <f>(IF((VLOOKUP(Table1[[#This Row],[SKU]],'All Skus'!$A:$AC,2,FALSE))="AKG",(VLOOKUP(Table1[[#This Row],[SKU]],'All Skus'!$A:$AC,11,FALSE)),""))</f>
        <v>247</v>
      </c>
      <c r="K138" s="125">
        <f>(IF((VLOOKUP(Table1[[#This Row],[SKU]],'All Skus'!$A:$AC,2,FALSE))="AKG",(VLOOKUP(Table1[[#This Row],[SKU]],'All Skus'!$A:$AC,15,FALSE)),""))</f>
        <v>0</v>
      </c>
      <c r="L138" s="124">
        <f>(IF((VLOOKUP(Table1[[#This Row],[SKU]],'All Skus'!$A:$AC,2,FALSE))="AKG",(VLOOKUP(Table1[[#This Row],[SKU]],'All Skus'!$A:$AC,16,FALSE)),""))</f>
        <v>885038024842</v>
      </c>
      <c r="M138" s="124">
        <f>(IF((VLOOKUP(Table1[[#This Row],[SKU]],'All Skus'!$A:$AC,2,FALSE))="AKG",(VLOOKUP(Table1[[#This Row],[SKU]],'All Skus'!$A:$AC,17,FALSE)),""))</f>
        <v>9002761024845</v>
      </c>
      <c r="N138" s="64">
        <f>(IF((VLOOKUP(Table1[[#This Row],[SKU]],'All Skus'!$A:$AC,2,FALSE))="AKG",(VLOOKUP(Table1[[#This Row],[SKU]],'All Skus'!$A:$AC,18,FALSE)),""))</f>
        <v>3</v>
      </c>
      <c r="O138" s="64">
        <f>(IF((VLOOKUP(Table1[[#This Row],[SKU]],'All Skus'!$A:$AC,2,FALSE))="AKG",(VLOOKUP(Table1[[#This Row],[SKU]],'All Skus'!$A:$AC,19,FALSE)),""))</f>
        <v>6</v>
      </c>
      <c r="P138" s="64">
        <f>(IF((VLOOKUP(Table1[[#This Row],[SKU]],'All Skus'!$A:$AC,2,FALSE))="AKG",(VLOOKUP(Table1[[#This Row],[SKU]],'All Skus'!$A:$AC,20,FALSE)),""))</f>
        <v>4</v>
      </c>
      <c r="Q138" s="64">
        <f>(IF((VLOOKUP(Table1[[#This Row],[SKU]],'All Skus'!$A:$AC,2,FALSE))="AKG",(VLOOKUP(Table1[[#This Row],[SKU]],'All Skus'!$A:$AC,21,FALSE)),""))</f>
        <v>2.8</v>
      </c>
      <c r="R138" s="64" t="str">
        <f>(IF((VLOOKUP(Table1[[#This Row],[SKU]],'All Skus'!$A:$AC,2,FALSE))="AKG",(VLOOKUP(Table1[[#This Row],[SKU]],'All Skus'!$A:$AC,22,FALSE)),""))</f>
        <v>CN</v>
      </c>
      <c r="S138" s="64" t="str">
        <f>(IF((VLOOKUP(Table1[[#This Row],[SKU]],'All Skus'!$A:$AC,2,FALSE))="AKG",(VLOOKUP(Table1[[#This Row],[SKU]],'All Skus'!$A:$AC,23,FALSE)),""))</f>
        <v>Non Compliant</v>
      </c>
      <c r="T138" s="210" t="str">
        <f>HYPERLINK((IF((VLOOKUP(Table1[[#This Row],[SKU]],'All Skus'!$A:$AC,2,FALSE))="AKG",(VLOOKUP(Table1[[#This Row],[SKU]],'All Skus'!$A:$AC,24,FALSE)),"")))</f>
        <v>https://www.akg.com/Microphones/Boundary%20Layer%20Microphones/3327H00010.html</v>
      </c>
      <c r="U138" s="151">
        <v>136</v>
      </c>
    </row>
    <row r="139" spans="1:21" ht="15" customHeight="1">
      <c r="A139" s="50" t="s">
        <v>296</v>
      </c>
      <c r="B139" s="52" t="str">
        <f>(IF((VLOOKUP(Table1[[#This Row],[SKU]],'All Skus'!$A:$AC,2,FALSE))="AKG",(VLOOKUP(Table1[[#This Row],[SKU]],'All Skus'!$A:$AC,3,FALSE)), ""))</f>
        <v>Installed</v>
      </c>
      <c r="C139" s="60" t="str">
        <f>(IF((VLOOKUP(Table1[[#This Row],[SKU]],'All Skus'!$A:$AC,2,FALSE))="AKG",(VLOOKUP(Table1[[#This Row],[SKU]],'All Skus'!$A:$AC,4,FALSE)),""))</f>
        <v>PZM11</v>
      </c>
      <c r="D139" s="60" t="str">
        <f>(IF((VLOOKUP(Table1[[#This Row],[SKU]],'All Skus'!$A:$AC,2,FALSE))="AKG",(VLOOKUP(Table1[[#This Row],[SKU]],'All Skus'!$A:$AC,5,FALSE)),""))</f>
        <v>AT510041</v>
      </c>
      <c r="E139" s="60">
        <f>(IF((VLOOKUP(Table1[[#This Row],[SKU]],'All Skus'!$A:$AC,2,FALSE))="AKG",(VLOOKUP(Table1[[#This Row],[SKU]],'All Skus'!$A:$AC,6,FALSE)),""))</f>
        <v>0</v>
      </c>
      <c r="F139" s="60">
        <f>(IF((VLOOKUP(Table1[[#This Row],[SKU]],'All Skus'!$A:$AC,2,FALSE))="AKG",(VLOOKUP(Table1[[#This Row],[SKU]],'All Skus'!$A:$AC,7,FALSE)),""))</f>
        <v>0</v>
      </c>
      <c r="G139" s="45" t="str">
        <f>(IF((VLOOKUP(Table1[[#This Row],[SKU]],'All Skus'!$A:$AC,2,FALSE))="AKG",(VLOOKUP(Table1[[#This Row],[SKU]],'All Skus'!$A:$AC,8,FALSE)),""))</f>
        <v>Crown Microphone</v>
      </c>
      <c r="H139" s="45" t="str">
        <f>(IF((VLOOKUP(Table1[[#This Row],[SKU]],'All Skus'!$A:$AC,2,FALSE))="AKG",(VLOOKUP(Table1[[#This Row],[SKU]],'All Skus'!$A:$AC,9,FALSE)),""))</f>
        <v>Cost-effective boundary layer microphone</v>
      </c>
      <c r="I139" s="141">
        <f>(IF((VLOOKUP(Table1[[#This Row],[SKU]],'All Skus'!$A:$AC,2,FALSE))="AKG",(VLOOKUP(Table1[[#This Row],[SKU]],'All Skus'!$A:$AC,10,FALSE)),""))</f>
        <v>184.24</v>
      </c>
      <c r="J139" s="141">
        <f>(IF((VLOOKUP(Table1[[#This Row],[SKU]],'All Skus'!$A:$AC,2,FALSE))="AKG",(VLOOKUP(Table1[[#This Row],[SKU]],'All Skus'!$A:$AC,11,FALSE)),""))</f>
        <v>144</v>
      </c>
      <c r="K139" s="125">
        <f>(IF((VLOOKUP(Table1[[#This Row],[SKU]],'All Skus'!$A:$AC,2,FALSE))="AKG",(VLOOKUP(Table1[[#This Row],[SKU]],'All Skus'!$A:$AC,15,FALSE)),""))</f>
        <v>0</v>
      </c>
      <c r="L139" s="124">
        <f>(IF((VLOOKUP(Table1[[#This Row],[SKU]],'All Skus'!$A:$AC,2,FALSE))="AKG",(VLOOKUP(Table1[[#This Row],[SKU]],'All Skus'!$A:$AC,16,FALSE)),""))</f>
        <v>885038024835</v>
      </c>
      <c r="M139" s="124">
        <f>(IF((VLOOKUP(Table1[[#This Row],[SKU]],'All Skus'!$A:$AC,2,FALSE))="AKG",(VLOOKUP(Table1[[#This Row],[SKU]],'All Skus'!$A:$AC,17,FALSE)),""))</f>
        <v>9002761024838</v>
      </c>
      <c r="N139" s="64">
        <f>(IF((VLOOKUP(Table1[[#This Row],[SKU]],'All Skus'!$A:$AC,2,FALSE))="AKG",(VLOOKUP(Table1[[#This Row],[SKU]],'All Skus'!$A:$AC,18,FALSE)),""))</f>
        <v>3</v>
      </c>
      <c r="O139" s="64">
        <f>(IF((VLOOKUP(Table1[[#This Row],[SKU]],'All Skus'!$A:$AC,2,FALSE))="AKG",(VLOOKUP(Table1[[#This Row],[SKU]],'All Skus'!$A:$AC,19,FALSE)),""))</f>
        <v>4</v>
      </c>
      <c r="P139" s="64">
        <f>(IF((VLOOKUP(Table1[[#This Row],[SKU]],'All Skus'!$A:$AC,2,FALSE))="AKG",(VLOOKUP(Table1[[#This Row],[SKU]],'All Skus'!$A:$AC,20,FALSE)),""))</f>
        <v>6</v>
      </c>
      <c r="Q139" s="64">
        <f>(IF((VLOOKUP(Table1[[#This Row],[SKU]],'All Skus'!$A:$AC,2,FALSE))="AKG",(VLOOKUP(Table1[[#This Row],[SKU]],'All Skus'!$A:$AC,21,FALSE)),""))</f>
        <v>2.8</v>
      </c>
      <c r="R139" s="64" t="str">
        <f>(IF((VLOOKUP(Table1[[#This Row],[SKU]],'All Skus'!$A:$AC,2,FALSE))="AKG",(VLOOKUP(Table1[[#This Row],[SKU]],'All Skus'!$A:$AC,22,FALSE)),""))</f>
        <v>CN</v>
      </c>
      <c r="S139" s="64" t="str">
        <f>(IF((VLOOKUP(Table1[[#This Row],[SKU]],'All Skus'!$A:$AC,2,FALSE))="AKG",(VLOOKUP(Table1[[#This Row],[SKU]],'All Skus'!$A:$AC,23,FALSE)),""))</f>
        <v>Non Compliant</v>
      </c>
      <c r="T139" s="210" t="str">
        <f>HYPERLINK((IF((VLOOKUP(Table1[[#This Row],[SKU]],'All Skus'!$A:$AC,2,FALSE))="AKG",(VLOOKUP(Table1[[#This Row],[SKU]],'All Skus'!$A:$AC,24,FALSE)),"")))</f>
        <v>https://www.akg.com/Microphones/Boundary%20Layer%20Microphones/3326H00010.html</v>
      </c>
      <c r="U139" s="151">
        <v>137</v>
      </c>
    </row>
    <row r="140" spans="1:21" ht="15" customHeight="1">
      <c r="A140" s="50" t="s">
        <v>297</v>
      </c>
      <c r="B140" s="52" t="str">
        <f>(IF((VLOOKUP(Table1[[#This Row],[SKU]],'All Skus'!$A:$AC,2,FALSE))="AKG",(VLOOKUP(Table1[[#This Row],[SKU]],'All Skus'!$A:$AC,3,FALSE)), ""))</f>
        <v>Installed</v>
      </c>
      <c r="C140" s="60" t="str">
        <f>(IF((VLOOKUP(Table1[[#This Row],[SKU]],'All Skus'!$A:$AC,2,FALSE))="AKG",(VLOOKUP(Table1[[#This Row],[SKU]],'All Skus'!$A:$AC,4,FALSE)),""))</f>
        <v>PZM11 LL</v>
      </c>
      <c r="D140" s="60" t="str">
        <f>(IF((VLOOKUP(Table1[[#This Row],[SKU]],'All Skus'!$A:$AC,2,FALSE))="AKG",(VLOOKUP(Table1[[#This Row],[SKU]],'All Skus'!$A:$AC,5,FALSE)),""))</f>
        <v>AT510041</v>
      </c>
      <c r="E140" s="60">
        <f>(IF((VLOOKUP(Table1[[#This Row],[SKU]],'All Skus'!$A:$AC,2,FALSE))="AKG",(VLOOKUP(Table1[[#This Row],[SKU]],'All Skus'!$A:$AC,6,FALSE)),""))</f>
        <v>0</v>
      </c>
      <c r="F140" s="60" t="str">
        <f>(IF((VLOOKUP(Table1[[#This Row],[SKU]],'All Skus'!$A:$AC,2,FALSE))="AKG",(VLOOKUP(Table1[[#This Row],[SKU]],'All Skus'!$A:$AC,7,FALSE)),""))</f>
        <v>Limited Quantity</v>
      </c>
      <c r="G140" s="45" t="str">
        <f>(IF((VLOOKUP(Table1[[#This Row],[SKU]],'All Skus'!$A:$AC,2,FALSE))="AKG",(VLOOKUP(Table1[[#This Row],[SKU]],'All Skus'!$A:$AC,8,FALSE)),""))</f>
        <v>Crown Microphone</v>
      </c>
      <c r="H140" s="45" t="str">
        <f>(IF((VLOOKUP(Table1[[#This Row],[SKU]],'All Skus'!$A:$AC,2,FALSE))="AKG",(VLOOKUP(Table1[[#This Row],[SKU]],'All Skus'!$A:$AC,9,FALSE)),""))</f>
        <v>Cost-effective boundary layer microphon, line level version</v>
      </c>
      <c r="I140" s="141">
        <f>(IF((VLOOKUP(Table1[[#This Row],[SKU]],'All Skus'!$A:$AC,2,FALSE))="AKG",(VLOOKUP(Table1[[#This Row],[SKU]],'All Skus'!$A:$AC,10,FALSE)),""))</f>
        <v>221.33</v>
      </c>
      <c r="J140" s="141">
        <f>(IF((VLOOKUP(Table1[[#This Row],[SKU]],'All Skus'!$A:$AC,2,FALSE))="AKG",(VLOOKUP(Table1[[#This Row],[SKU]],'All Skus'!$A:$AC,11,FALSE)),""))</f>
        <v>170</v>
      </c>
      <c r="K140" s="125">
        <f>(IF((VLOOKUP(Table1[[#This Row],[SKU]],'All Skus'!$A:$AC,2,FALSE))="AKG",(VLOOKUP(Table1[[#This Row],[SKU]],'All Skus'!$A:$AC,15,FALSE)),""))</f>
        <v>0</v>
      </c>
      <c r="L140" s="124">
        <f>(IF((VLOOKUP(Table1[[#This Row],[SKU]],'All Skus'!$A:$AC,2,FALSE))="AKG",(VLOOKUP(Table1[[#This Row],[SKU]],'All Skus'!$A:$AC,16,FALSE)),""))</f>
        <v>885038025573</v>
      </c>
      <c r="M140" s="124">
        <f>(IF((VLOOKUP(Table1[[#This Row],[SKU]],'All Skus'!$A:$AC,2,FALSE))="AKG",(VLOOKUP(Table1[[#This Row],[SKU]],'All Skus'!$A:$AC,17,FALSE)),""))</f>
        <v>9002761025576</v>
      </c>
      <c r="N140" s="64">
        <f>(IF((VLOOKUP(Table1[[#This Row],[SKU]],'All Skus'!$A:$AC,2,FALSE))="AKG",(VLOOKUP(Table1[[#This Row],[SKU]],'All Skus'!$A:$AC,18,FALSE)),""))</f>
        <v>0.47739999999999999</v>
      </c>
      <c r="O140" s="64">
        <f>(IF((VLOOKUP(Table1[[#This Row],[SKU]],'All Skus'!$A:$AC,2,FALSE))="AKG",(VLOOKUP(Table1[[#This Row],[SKU]],'All Skus'!$A:$AC,19,FALSE)),""))</f>
        <v>9.6</v>
      </c>
      <c r="P140" s="64">
        <f>(IF((VLOOKUP(Table1[[#This Row],[SKU]],'All Skus'!$A:$AC,2,FALSE))="AKG",(VLOOKUP(Table1[[#This Row],[SKU]],'All Skus'!$A:$AC,20,FALSE)),""))</f>
        <v>4.8</v>
      </c>
      <c r="Q140" s="64">
        <f>(IF((VLOOKUP(Table1[[#This Row],[SKU]],'All Skus'!$A:$AC,2,FALSE))="AKG",(VLOOKUP(Table1[[#This Row],[SKU]],'All Skus'!$A:$AC,21,FALSE)),""))</f>
        <v>2.8</v>
      </c>
      <c r="R140" s="64" t="str">
        <f>(IF((VLOOKUP(Table1[[#This Row],[SKU]],'All Skus'!$A:$AC,2,FALSE))="AKG",(VLOOKUP(Table1[[#This Row],[SKU]],'All Skus'!$A:$AC,22,FALSE)),""))</f>
        <v>CN</v>
      </c>
      <c r="S140" s="64" t="str">
        <f>(IF((VLOOKUP(Table1[[#This Row],[SKU]],'All Skus'!$A:$AC,2,FALSE))="AKG",(VLOOKUP(Table1[[#This Row],[SKU]],'All Skus'!$A:$AC,23,FALSE)),""))</f>
        <v>Non Compliant</v>
      </c>
      <c r="T140" s="210" t="str">
        <f>HYPERLINK((IF((VLOOKUP(Table1[[#This Row],[SKU]],'All Skus'!$A:$AC,2,FALSE))="AKG",(VLOOKUP(Table1[[#This Row],[SKU]],'All Skus'!$A:$AC,24,FALSE)),"")))</f>
        <v>https://www.akg.com/Microphones/Boundary%20Layer%20Microphones/3340H00010.html</v>
      </c>
      <c r="U140" s="151">
        <v>138</v>
      </c>
    </row>
    <row r="141" spans="1:21" ht="15" customHeight="1">
      <c r="A141" s="50" t="s">
        <v>298</v>
      </c>
      <c r="B141" s="52" t="str">
        <f>(IF((VLOOKUP(Table1[[#This Row],[SKU]],'All Skus'!$A:$AC,2,FALSE))="AKG",(VLOOKUP(Table1[[#This Row],[SKU]],'All Skus'!$A:$AC,3,FALSE)), ""))</f>
        <v>Installed</v>
      </c>
      <c r="C141" s="60" t="str">
        <f>(IF((VLOOKUP(Table1[[#This Row],[SKU]],'All Skus'!$A:$AC,2,FALSE))="AKG",(VLOOKUP(Table1[[#This Row],[SKU]],'All Skus'!$A:$AC,4,FALSE)),""))</f>
        <v>PZM11 LL WR</v>
      </c>
      <c r="D141" s="60" t="str">
        <f>(IF((VLOOKUP(Table1[[#This Row],[SKU]],'All Skus'!$A:$AC,2,FALSE))="AKG",(VLOOKUP(Table1[[#This Row],[SKU]],'All Skus'!$A:$AC,5,FALSE)),""))</f>
        <v>AT510041</v>
      </c>
      <c r="E141" s="60">
        <f>(IF((VLOOKUP(Table1[[#This Row],[SKU]],'All Skus'!$A:$AC,2,FALSE))="AKG",(VLOOKUP(Table1[[#This Row],[SKU]],'All Skus'!$A:$AC,6,FALSE)),""))</f>
        <v>0</v>
      </c>
      <c r="F141" s="60">
        <f>(IF((VLOOKUP(Table1[[#This Row],[SKU]],'All Skus'!$A:$AC,2,FALSE))="AKG",(VLOOKUP(Table1[[#This Row],[SKU]],'All Skus'!$A:$AC,7,FALSE)),""))</f>
        <v>0</v>
      </c>
      <c r="G141" s="45" t="str">
        <f>(IF((VLOOKUP(Table1[[#This Row],[SKU]],'All Skus'!$A:$AC,2,FALSE))="AKG",(VLOOKUP(Table1[[#This Row],[SKU]],'All Skus'!$A:$AC,8,FALSE)),""))</f>
        <v>Crown Microphone</v>
      </c>
      <c r="H141" s="45" t="str">
        <f>(IF((VLOOKUP(Table1[[#This Row],[SKU]],'All Skus'!$A:$AC,2,FALSE))="AKG",(VLOOKUP(Table1[[#This Row],[SKU]],'All Skus'!$A:$AC,9,FALSE)),""))</f>
        <v>Cost-effective boundary layer microphon, line level versio, water-resistant version</v>
      </c>
      <c r="I141" s="141">
        <f>(IF((VLOOKUP(Table1[[#This Row],[SKU]],'All Skus'!$A:$AC,2,FALSE))="AKG",(VLOOKUP(Table1[[#This Row],[SKU]],'All Skus'!$A:$AC,10,FALSE)),""))</f>
        <v>283.14999999999998</v>
      </c>
      <c r="J141" s="141">
        <f>(IF((VLOOKUP(Table1[[#This Row],[SKU]],'All Skus'!$A:$AC,2,FALSE))="AKG",(VLOOKUP(Table1[[#This Row],[SKU]],'All Skus'!$A:$AC,11,FALSE)),""))</f>
        <v>222</v>
      </c>
      <c r="K141" s="125">
        <f>(IF((VLOOKUP(Table1[[#This Row],[SKU]],'All Skus'!$A:$AC,2,FALSE))="AKG",(VLOOKUP(Table1[[#This Row],[SKU]],'All Skus'!$A:$AC,15,FALSE)),""))</f>
        <v>0</v>
      </c>
      <c r="L141" s="124">
        <f>(IF((VLOOKUP(Table1[[#This Row],[SKU]],'All Skus'!$A:$AC,2,FALSE))="AKG",(VLOOKUP(Table1[[#This Row],[SKU]],'All Skus'!$A:$AC,16,FALSE)),""))</f>
        <v>885038024828</v>
      </c>
      <c r="M141" s="124">
        <f>(IF((VLOOKUP(Table1[[#This Row],[SKU]],'All Skus'!$A:$AC,2,FALSE))="AKG",(VLOOKUP(Table1[[#This Row],[SKU]],'All Skus'!$A:$AC,17,FALSE)),""))</f>
        <v>9002761024821</v>
      </c>
      <c r="N141" s="64">
        <f>(IF((VLOOKUP(Table1[[#This Row],[SKU]],'All Skus'!$A:$AC,2,FALSE))="AKG",(VLOOKUP(Table1[[#This Row],[SKU]],'All Skus'!$A:$AC,18,FALSE)),""))</f>
        <v>7</v>
      </c>
      <c r="O141" s="64">
        <f>(IF((VLOOKUP(Table1[[#This Row],[SKU]],'All Skus'!$A:$AC,2,FALSE))="AKG",(VLOOKUP(Table1[[#This Row],[SKU]],'All Skus'!$A:$AC,19,FALSE)),""))</f>
        <v>8</v>
      </c>
      <c r="P141" s="64">
        <f>(IF((VLOOKUP(Table1[[#This Row],[SKU]],'All Skus'!$A:$AC,2,FALSE))="AKG",(VLOOKUP(Table1[[#This Row],[SKU]],'All Skus'!$A:$AC,20,FALSE)),""))</f>
        <v>8</v>
      </c>
      <c r="Q141" s="64">
        <f>(IF((VLOOKUP(Table1[[#This Row],[SKU]],'All Skus'!$A:$AC,2,FALSE))="AKG",(VLOOKUP(Table1[[#This Row],[SKU]],'All Skus'!$A:$AC,21,FALSE)),""))</f>
        <v>2.8</v>
      </c>
      <c r="R141" s="64" t="str">
        <f>(IF((VLOOKUP(Table1[[#This Row],[SKU]],'All Skus'!$A:$AC,2,FALSE))="AKG",(VLOOKUP(Table1[[#This Row],[SKU]],'All Skus'!$A:$AC,22,FALSE)),""))</f>
        <v>CN</v>
      </c>
      <c r="S141" s="64" t="str">
        <f>(IF((VLOOKUP(Table1[[#This Row],[SKU]],'All Skus'!$A:$AC,2,FALSE))="AKG",(VLOOKUP(Table1[[#This Row],[SKU]],'All Skus'!$A:$AC,23,FALSE)),""))</f>
        <v>Non Compliant</v>
      </c>
      <c r="T141" s="210" t="str">
        <f>HYPERLINK((IF((VLOOKUP(Table1[[#This Row],[SKU]],'All Skus'!$A:$AC,2,FALSE))="AKG",(VLOOKUP(Table1[[#This Row],[SKU]],'All Skus'!$A:$AC,24,FALSE)),"")))</f>
        <v>https://www.akg.com/Microphones/Boundary%20Layer%20Microphones/3325H00010.html</v>
      </c>
      <c r="U141" s="151">
        <v>139</v>
      </c>
    </row>
    <row r="142" spans="1:21" ht="15" hidden="1" customHeight="1">
      <c r="A142" s="50" t="s">
        <v>299</v>
      </c>
      <c r="B142" s="52" t="str">
        <f>(IF((VLOOKUP(Table1[[#This Row],[SKU]],'All Skus'!$A:$AC,2,FALSE))="AKG",(VLOOKUP(Table1[[#This Row],[SKU]],'All Skus'!$A:$AC,3,FALSE)), ""))</f>
        <v>Installed</v>
      </c>
      <c r="C142" s="60" t="str">
        <f>(IF((VLOOKUP(Table1[[#This Row],[SKU]],'All Skus'!$A:$AC,2,FALSE))="AKG",(VLOOKUP(Table1[[#This Row],[SKU]],'All Skus'!$A:$AC,4,FALSE)),""))</f>
        <v>PZM30 D</v>
      </c>
      <c r="D142" s="60" t="str">
        <f>(IF((VLOOKUP(Table1[[#This Row],[SKU]],'All Skus'!$A:$AC,2,FALSE))="AKG",(VLOOKUP(Table1[[#This Row],[SKU]],'All Skus'!$A:$AC,5,FALSE)),""))</f>
        <v>AT510041</v>
      </c>
      <c r="E142" s="60">
        <f>(IF((VLOOKUP(Table1[[#This Row],[SKU]],'All Skus'!$A:$AC,2,FALSE))="AKG",(VLOOKUP(Table1[[#This Row],[SKU]],'All Skus'!$A:$AC,6,FALSE)),""))</f>
        <v>0</v>
      </c>
      <c r="F142" s="60">
        <f>(IF((VLOOKUP(Table1[[#This Row],[SKU]],'All Skus'!$A:$AC,2,FALSE))="AKG",(VLOOKUP(Table1[[#This Row],[SKU]],'All Skus'!$A:$AC,7,FALSE)),""))</f>
        <v>0</v>
      </c>
      <c r="G142" s="45" t="str">
        <f>(IF((VLOOKUP(Table1[[#This Row],[SKU]],'All Skus'!$A:$AC,2,FALSE))="AKG",(VLOOKUP(Table1[[#This Row],[SKU]],'All Skus'!$A:$AC,8,FALSE)),""))</f>
        <v>Crown Microphone</v>
      </c>
      <c r="H142" s="45" t="str">
        <f>(IF((VLOOKUP(Table1[[#This Row],[SKU]],'All Skus'!$A:$AC,2,FALSE))="AKG",(VLOOKUP(Table1[[#This Row],[SKU]],'All Skus'!$A:$AC,9,FALSE)),""))</f>
        <v>First-class boundary layer microphone, ideal for speen &amp; music recording, XLR version</v>
      </c>
      <c r="I142" s="141">
        <f>(IF((VLOOKUP(Table1[[#This Row],[SKU]],'All Skus'!$A:$AC,2,FALSE))="AKG",(VLOOKUP(Table1[[#This Row],[SKU]],'All Skus'!$A:$AC,10,FALSE)),""))</f>
        <v>617</v>
      </c>
      <c r="J142" s="141">
        <f>(IF((VLOOKUP(Table1[[#This Row],[SKU]],'All Skus'!$A:$AC,2,FALSE))="AKG",(VLOOKUP(Table1[[#This Row],[SKU]],'All Skus'!$A:$AC,11,FALSE)),""))</f>
        <v>494</v>
      </c>
      <c r="K142" s="125">
        <f>(IF((VLOOKUP(Table1[[#This Row],[SKU]],'All Skus'!$A:$AC,2,FALSE))="AKG",(VLOOKUP(Table1[[#This Row],[SKU]],'All Skus'!$A:$AC,15,FALSE)),""))</f>
        <v>0</v>
      </c>
      <c r="L142" s="124">
        <f>(IF((VLOOKUP(Table1[[#This Row],[SKU]],'All Skus'!$A:$AC,2,FALSE))="AKG",(VLOOKUP(Table1[[#This Row],[SKU]],'All Skus'!$A:$AC,16,FALSE)),""))</f>
        <v>885038024804</v>
      </c>
      <c r="M142" s="124">
        <f>(IF((VLOOKUP(Table1[[#This Row],[SKU]],'All Skus'!$A:$AC,2,FALSE))="AKG",(VLOOKUP(Table1[[#This Row],[SKU]],'All Skus'!$A:$AC,17,FALSE)),""))</f>
        <v>9002761024807</v>
      </c>
      <c r="N142" s="64">
        <f>(IF((VLOOKUP(Table1[[#This Row],[SKU]],'All Skus'!$A:$AC,2,FALSE))="AKG",(VLOOKUP(Table1[[#This Row],[SKU]],'All Skus'!$A:$AC,18,FALSE)),""))</f>
        <v>23</v>
      </c>
      <c r="O142" s="64">
        <f>(IF((VLOOKUP(Table1[[#This Row],[SKU]],'All Skus'!$A:$AC,2,FALSE))="AKG",(VLOOKUP(Table1[[#This Row],[SKU]],'All Skus'!$A:$AC,19,FALSE)),""))</f>
        <v>10</v>
      </c>
      <c r="P142" s="64">
        <f>(IF((VLOOKUP(Table1[[#This Row],[SKU]],'All Skus'!$A:$AC,2,FALSE))="AKG",(VLOOKUP(Table1[[#This Row],[SKU]],'All Skus'!$A:$AC,20,FALSE)),""))</f>
        <v>14</v>
      </c>
      <c r="Q142" s="64">
        <f>(IF((VLOOKUP(Table1[[#This Row],[SKU]],'All Skus'!$A:$AC,2,FALSE))="AKG",(VLOOKUP(Table1[[#This Row],[SKU]],'All Skus'!$A:$AC,21,FALSE)),""))</f>
        <v>2.8</v>
      </c>
      <c r="R142" s="64" t="str">
        <f>(IF((VLOOKUP(Table1[[#This Row],[SKU]],'All Skus'!$A:$AC,2,FALSE))="AKG",(VLOOKUP(Table1[[#This Row],[SKU]],'All Skus'!$A:$AC,22,FALSE)),""))</f>
        <v>CN</v>
      </c>
      <c r="S142" s="64" t="str">
        <f>(IF((VLOOKUP(Table1[[#This Row],[SKU]],'All Skus'!$A:$AC,2,FALSE))="AKG",(VLOOKUP(Table1[[#This Row],[SKU]],'All Skus'!$A:$AC,23,FALSE)),""))</f>
        <v>Non Compliant</v>
      </c>
      <c r="T142" s="210" t="str">
        <f>HYPERLINK((IF((VLOOKUP(Table1[[#This Row],[SKU]],'All Skus'!$A:$AC,2,FALSE))="AKG",(VLOOKUP(Table1[[#This Row],[SKU]],'All Skus'!$A:$AC,24,FALSE)),"")))</f>
        <v>https://www.akg.com/Microphones/Boundary%20Layer%20Microphones/3323H00010.html</v>
      </c>
      <c r="U142" s="151">
        <v>140</v>
      </c>
    </row>
    <row r="143" spans="1:21" ht="15" hidden="1" customHeight="1">
      <c r="A143" s="50" t="s">
        <v>300</v>
      </c>
      <c r="B143" s="52" t="str">
        <f>(IF((VLOOKUP(Table1[[#This Row],[SKU]],'All Skus'!$A:$AC,2,FALSE))="AKG",(VLOOKUP(Table1[[#This Row],[SKU]],'All Skus'!$A:$AC,3,FALSE)), ""))</f>
        <v>Installed</v>
      </c>
      <c r="C143" s="60" t="str">
        <f>(IF((VLOOKUP(Table1[[#This Row],[SKU]],'All Skus'!$A:$AC,2,FALSE))="AKG",(VLOOKUP(Table1[[#This Row],[SKU]],'All Skus'!$A:$AC,4,FALSE)),""))</f>
        <v>PCC130</v>
      </c>
      <c r="D143" s="60">
        <f>(IF((VLOOKUP(Table1[[#This Row],[SKU]],'All Skus'!$A:$AC,2,FALSE))="AKG",(VLOOKUP(Table1[[#This Row],[SKU]],'All Skus'!$A:$AC,5,FALSE)),""))</f>
        <v>81200200</v>
      </c>
      <c r="E143" s="60">
        <f>(IF((VLOOKUP(Table1[[#This Row],[SKU]],'All Skus'!$A:$AC,2,FALSE))="AKG",(VLOOKUP(Table1[[#This Row],[SKU]],'All Skus'!$A:$AC,6,FALSE)),""))</f>
        <v>0</v>
      </c>
      <c r="F143" s="60">
        <f>(IF((VLOOKUP(Table1[[#This Row],[SKU]],'All Skus'!$A:$AC,2,FALSE))="AKG",(VLOOKUP(Table1[[#This Row],[SKU]],'All Skus'!$A:$AC,7,FALSE)),""))</f>
        <v>0</v>
      </c>
      <c r="G143" s="45" t="str">
        <f>(IF((VLOOKUP(Table1[[#This Row],[SKU]],'All Skus'!$A:$AC,2,FALSE))="AKG",(VLOOKUP(Table1[[#This Row],[SKU]],'All Skus'!$A:$AC,8,FALSE)),""))</f>
        <v>Crown Microphone</v>
      </c>
      <c r="H143" s="45" t="str">
        <f>(IF((VLOOKUP(Table1[[#This Row],[SKU]],'All Skus'!$A:$AC,2,FALSE))="AKG",(VLOOKUP(Table1[[#This Row],[SKU]],'All Skus'!$A:$AC,9,FALSE)),""))</f>
        <v>Low profile boundary layer mic, XLR version</v>
      </c>
      <c r="I143" s="141">
        <f>(IF((VLOOKUP(Table1[[#This Row],[SKU]],'All Skus'!$A:$AC,2,FALSE))="AKG",(VLOOKUP(Table1[[#This Row],[SKU]],'All Skus'!$A:$AC,10,FALSE)),""))</f>
        <v>468.63</v>
      </c>
      <c r="J143" s="141">
        <f>(IF((VLOOKUP(Table1[[#This Row],[SKU]],'All Skus'!$A:$AC,2,FALSE))="AKG",(VLOOKUP(Table1[[#This Row],[SKU]],'All Skus'!$A:$AC,11,FALSE)),""))</f>
        <v>366</v>
      </c>
      <c r="K143" s="125">
        <f>(IF((VLOOKUP(Table1[[#This Row],[SKU]],'All Skus'!$A:$AC,2,FALSE))="AKG",(VLOOKUP(Table1[[#This Row],[SKU]],'All Skus'!$A:$AC,15,FALSE)),""))</f>
        <v>0</v>
      </c>
      <c r="L143" s="124">
        <f>(IF((VLOOKUP(Table1[[#This Row],[SKU]],'All Skus'!$A:$AC,2,FALSE))="AKG",(VLOOKUP(Table1[[#This Row],[SKU]],'All Skus'!$A:$AC,16,FALSE)),""))</f>
        <v>885038024910</v>
      </c>
      <c r="M143" s="124">
        <f>(IF((VLOOKUP(Table1[[#This Row],[SKU]],'All Skus'!$A:$AC,2,FALSE))="AKG",(VLOOKUP(Table1[[#This Row],[SKU]],'All Skus'!$A:$AC,17,FALSE)),""))</f>
        <v>9002761024913</v>
      </c>
      <c r="N143" s="64">
        <f>(IF((VLOOKUP(Table1[[#This Row],[SKU]],'All Skus'!$A:$AC,2,FALSE))="AKG",(VLOOKUP(Table1[[#This Row],[SKU]],'All Skus'!$A:$AC,18,FALSE)),""))</f>
        <v>3</v>
      </c>
      <c r="O143" s="64">
        <f>(IF((VLOOKUP(Table1[[#This Row],[SKU]],'All Skus'!$A:$AC,2,FALSE))="AKG",(VLOOKUP(Table1[[#This Row],[SKU]],'All Skus'!$A:$AC,19,FALSE)),""))</f>
        <v>5</v>
      </c>
      <c r="P143" s="64">
        <f>(IF((VLOOKUP(Table1[[#This Row],[SKU]],'All Skus'!$A:$AC,2,FALSE))="AKG",(VLOOKUP(Table1[[#This Row],[SKU]],'All Skus'!$A:$AC,20,FALSE)),""))</f>
        <v>10</v>
      </c>
      <c r="Q143" s="64">
        <f>(IF((VLOOKUP(Table1[[#This Row],[SKU]],'All Skus'!$A:$AC,2,FALSE))="AKG",(VLOOKUP(Table1[[#This Row],[SKU]],'All Skus'!$A:$AC,21,FALSE)),""))</f>
        <v>2.8</v>
      </c>
      <c r="R143" s="64" t="str">
        <f>(IF((VLOOKUP(Table1[[#This Row],[SKU]],'All Skus'!$A:$AC,2,FALSE))="AKG",(VLOOKUP(Table1[[#This Row],[SKU]],'All Skus'!$A:$AC,22,FALSE)),""))</f>
        <v>CN</v>
      </c>
      <c r="S143" s="64" t="str">
        <f>(IF((VLOOKUP(Table1[[#This Row],[SKU]],'All Skus'!$A:$AC,2,FALSE))="AKG",(VLOOKUP(Table1[[#This Row],[SKU]],'All Skus'!$A:$AC,23,FALSE)),""))</f>
        <v>Non Compliant</v>
      </c>
      <c r="T143" s="210" t="str">
        <f>HYPERLINK((IF((VLOOKUP(Table1[[#This Row],[SKU]],'All Skus'!$A:$AC,2,FALSE))="AKG",(VLOOKUP(Table1[[#This Row],[SKU]],'All Skus'!$A:$AC,24,FALSE)),"")))</f>
        <v>https://www.akg.com/Microphones/Boundary%20Layer%20Microphones/3334H00010.html</v>
      </c>
      <c r="U143" s="151">
        <v>141</v>
      </c>
    </row>
    <row r="144" spans="1:21" ht="15" hidden="1" customHeight="1">
      <c r="A144" s="50" t="s">
        <v>301</v>
      </c>
      <c r="B144" s="52" t="str">
        <f>(IF((VLOOKUP(Table1[[#This Row],[SKU]],'All Skus'!$A:$AC,2,FALSE))="AKG",(VLOOKUP(Table1[[#This Row],[SKU]],'All Skus'!$A:$AC,3,FALSE)), ""))</f>
        <v>Installed</v>
      </c>
      <c r="C144" s="60" t="str">
        <f>(IF((VLOOKUP(Table1[[#This Row],[SKU]],'All Skus'!$A:$AC,2,FALSE))="AKG",(VLOOKUP(Table1[[#This Row],[SKU]],'All Skus'!$A:$AC,4,FALSE)),""))</f>
        <v>PCC130 SW</v>
      </c>
      <c r="D144" s="60" t="str">
        <f>(IF((VLOOKUP(Table1[[#This Row],[SKU]],'All Skus'!$A:$AC,2,FALSE))="AKG",(VLOOKUP(Table1[[#This Row],[SKU]],'All Skus'!$A:$AC,5,FALSE)),""))</f>
        <v>AT510041</v>
      </c>
      <c r="E144" s="60">
        <f>(IF((VLOOKUP(Table1[[#This Row],[SKU]],'All Skus'!$A:$AC,2,FALSE))="AKG",(VLOOKUP(Table1[[#This Row],[SKU]],'All Skus'!$A:$AC,6,FALSE)),""))</f>
        <v>0</v>
      </c>
      <c r="F144" s="60">
        <f>(IF((VLOOKUP(Table1[[#This Row],[SKU]],'All Skus'!$A:$AC,2,FALSE))="AKG",(VLOOKUP(Table1[[#This Row],[SKU]],'All Skus'!$A:$AC,7,FALSE)),""))</f>
        <v>0</v>
      </c>
      <c r="G144" s="45" t="str">
        <f>(IF((VLOOKUP(Table1[[#This Row],[SKU]],'All Skus'!$A:$AC,2,FALSE))="AKG",(VLOOKUP(Table1[[#This Row],[SKU]],'All Skus'!$A:$AC,8,FALSE)),""))</f>
        <v>Crown Microphone</v>
      </c>
      <c r="H144" s="45" t="str">
        <f>(IF((VLOOKUP(Table1[[#This Row],[SKU]],'All Skus'!$A:$AC,2,FALSE))="AKG",(VLOOKUP(Table1[[#This Row],[SKU]],'All Skus'!$A:$AC,9,FALSE)),""))</f>
        <v>Low profile boundary layer mic, XLR version, with switch</v>
      </c>
      <c r="I144" s="141">
        <f>(IF((VLOOKUP(Table1[[#This Row],[SKU]],'All Skus'!$A:$AC,2,FALSE))="AKG",(VLOOKUP(Table1[[#This Row],[SKU]],'All Skus'!$A:$AC,10,FALSE)),""))</f>
        <v>530.45000000000005</v>
      </c>
      <c r="J144" s="141">
        <f>(IF((VLOOKUP(Table1[[#This Row],[SKU]],'All Skus'!$A:$AC,2,FALSE))="AKG",(VLOOKUP(Table1[[#This Row],[SKU]],'All Skus'!$A:$AC,11,FALSE)),""))</f>
        <v>422</v>
      </c>
      <c r="K144" s="125">
        <f>(IF((VLOOKUP(Table1[[#This Row],[SKU]],'All Skus'!$A:$AC,2,FALSE))="AKG",(VLOOKUP(Table1[[#This Row],[SKU]],'All Skus'!$A:$AC,15,FALSE)),""))</f>
        <v>0</v>
      </c>
      <c r="L144" s="124">
        <f>(IF((VLOOKUP(Table1[[#This Row],[SKU]],'All Skus'!$A:$AC,2,FALSE))="AKG",(VLOOKUP(Table1[[#This Row],[SKU]],'All Skus'!$A:$AC,16,FALSE)),""))</f>
        <v>885038024903</v>
      </c>
      <c r="M144" s="124">
        <f>(IF((VLOOKUP(Table1[[#This Row],[SKU]],'All Skus'!$A:$AC,2,FALSE))="AKG",(VLOOKUP(Table1[[#This Row],[SKU]],'All Skus'!$A:$AC,17,FALSE)),""))</f>
        <v>9002761024906</v>
      </c>
      <c r="N144" s="64">
        <f>(IF((VLOOKUP(Table1[[#This Row],[SKU]],'All Skus'!$A:$AC,2,FALSE))="AKG",(VLOOKUP(Table1[[#This Row],[SKU]],'All Skus'!$A:$AC,18,FALSE)),""))</f>
        <v>3</v>
      </c>
      <c r="O144" s="64">
        <f>(IF((VLOOKUP(Table1[[#This Row],[SKU]],'All Skus'!$A:$AC,2,FALSE))="AKG",(VLOOKUP(Table1[[#This Row],[SKU]],'All Skus'!$A:$AC,19,FALSE)),""))</f>
        <v>10</v>
      </c>
      <c r="P144" s="64">
        <f>(IF((VLOOKUP(Table1[[#This Row],[SKU]],'All Skus'!$A:$AC,2,FALSE))="AKG",(VLOOKUP(Table1[[#This Row],[SKU]],'All Skus'!$A:$AC,20,FALSE)),""))</f>
        <v>5</v>
      </c>
      <c r="Q144" s="64">
        <f>(IF((VLOOKUP(Table1[[#This Row],[SKU]],'All Skus'!$A:$AC,2,FALSE))="AKG",(VLOOKUP(Table1[[#This Row],[SKU]],'All Skus'!$A:$AC,21,FALSE)),""))</f>
        <v>2.8</v>
      </c>
      <c r="R144" s="64" t="str">
        <f>(IF((VLOOKUP(Table1[[#This Row],[SKU]],'All Skus'!$A:$AC,2,FALSE))="AKG",(VLOOKUP(Table1[[#This Row],[SKU]],'All Skus'!$A:$AC,22,FALSE)),""))</f>
        <v>CN</v>
      </c>
      <c r="S144" s="64" t="str">
        <f>(IF((VLOOKUP(Table1[[#This Row],[SKU]],'All Skus'!$A:$AC,2,FALSE))="AKG",(VLOOKUP(Table1[[#This Row],[SKU]],'All Skus'!$A:$AC,23,FALSE)),""))</f>
        <v>Non Compliant</v>
      </c>
      <c r="T144" s="210" t="str">
        <f>HYPERLINK((IF((VLOOKUP(Table1[[#This Row],[SKU]],'All Skus'!$A:$AC,2,FALSE))="AKG",(VLOOKUP(Table1[[#This Row],[SKU]],'All Skus'!$A:$AC,24,FALSE)),"")))</f>
        <v>https://www.akg.com/Microphones/Boundary%20Layer%20Microphones/3333H00010.html</v>
      </c>
      <c r="U144" s="151">
        <v>142</v>
      </c>
    </row>
    <row r="145" spans="1:21" ht="15" hidden="1" customHeight="1">
      <c r="A145" s="50" t="s">
        <v>302</v>
      </c>
      <c r="B145" s="52" t="str">
        <f>(IF((VLOOKUP(Table1[[#This Row],[SKU]],'All Skus'!$A:$AC,2,FALSE))="AKG",(VLOOKUP(Table1[[#This Row],[SKU]],'All Skus'!$A:$AC,3,FALSE)), ""))</f>
        <v>Installed</v>
      </c>
      <c r="C145" s="60" t="str">
        <f>(IF((VLOOKUP(Table1[[#This Row],[SKU]],'All Skus'!$A:$AC,2,FALSE))="AKG",(VLOOKUP(Table1[[#This Row],[SKU]],'All Skus'!$A:$AC,4,FALSE)),""))</f>
        <v>PCC160</v>
      </c>
      <c r="D145" s="60" t="str">
        <f>(IF((VLOOKUP(Table1[[#This Row],[SKU]],'All Skus'!$A:$AC,2,FALSE))="AKG",(VLOOKUP(Table1[[#This Row],[SKU]],'All Skus'!$A:$AC,5,FALSE)),""))</f>
        <v>AT510041</v>
      </c>
      <c r="E145" s="60">
        <f>(IF((VLOOKUP(Table1[[#This Row],[SKU]],'All Skus'!$A:$AC,2,FALSE))="AKG",(VLOOKUP(Table1[[#This Row],[SKU]],'All Skus'!$A:$AC,6,FALSE)),""))</f>
        <v>0</v>
      </c>
      <c r="F145" s="60">
        <f>(IF((VLOOKUP(Table1[[#This Row],[SKU]],'All Skus'!$A:$AC,2,FALSE))="AKG",(VLOOKUP(Table1[[#This Row],[SKU]],'All Skus'!$A:$AC,7,FALSE)),""))</f>
        <v>0</v>
      </c>
      <c r="G145" s="45" t="str">
        <f>(IF((VLOOKUP(Table1[[#This Row],[SKU]],'All Skus'!$A:$AC,2,FALSE))="AKG",(VLOOKUP(Table1[[#This Row],[SKU]],'All Skus'!$A:$AC,8,FALSE)),""))</f>
        <v>Crown Microphone</v>
      </c>
      <c r="H145" s="45" t="str">
        <f>(IF((VLOOKUP(Table1[[#This Row],[SKU]],'All Skus'!$A:$AC,2,FALSE))="AKG",(VLOOKUP(Table1[[#This Row],[SKU]],'All Skus'!$A:$AC,9,FALSE)),""))</f>
        <v>The industry-standard stage-floor microphone.</v>
      </c>
      <c r="I145" s="141">
        <f>(IF((VLOOKUP(Table1[[#This Row],[SKU]],'All Skus'!$A:$AC,2,FALSE))="AKG",(VLOOKUP(Table1[[#This Row],[SKU]],'All Skus'!$A:$AC,10,FALSE)),""))</f>
        <v>542.80999999999995</v>
      </c>
      <c r="J145" s="141">
        <f>(IF((VLOOKUP(Table1[[#This Row],[SKU]],'All Skus'!$A:$AC,2,FALSE))="AKG",(VLOOKUP(Table1[[#This Row],[SKU]],'All Skus'!$A:$AC,11,FALSE)),""))</f>
        <v>432</v>
      </c>
      <c r="K145" s="125">
        <f>(IF((VLOOKUP(Table1[[#This Row],[SKU]],'All Skus'!$A:$AC,2,FALSE))="AKG",(VLOOKUP(Table1[[#This Row],[SKU]],'All Skus'!$A:$AC,15,FALSE)),""))</f>
        <v>0</v>
      </c>
      <c r="L145" s="124">
        <f>(IF((VLOOKUP(Table1[[#This Row],[SKU]],'All Skus'!$A:$AC,2,FALSE))="AKG",(VLOOKUP(Table1[[#This Row],[SKU]],'All Skus'!$A:$AC,16,FALSE)),""))</f>
        <v>885038024897</v>
      </c>
      <c r="M145" s="124">
        <f>(IF((VLOOKUP(Table1[[#This Row],[SKU]],'All Skus'!$A:$AC,2,FALSE))="AKG",(VLOOKUP(Table1[[#This Row],[SKU]],'All Skus'!$A:$AC,17,FALSE)),""))</f>
        <v>9002761024890</v>
      </c>
      <c r="N145" s="64">
        <f>(IF((VLOOKUP(Table1[[#This Row],[SKU]],'All Skus'!$A:$AC,2,FALSE))="AKG",(VLOOKUP(Table1[[#This Row],[SKU]],'All Skus'!$A:$AC,18,FALSE)),""))</f>
        <v>3</v>
      </c>
      <c r="O145" s="64">
        <f>(IF((VLOOKUP(Table1[[#This Row],[SKU]],'All Skus'!$A:$AC,2,FALSE))="AKG",(VLOOKUP(Table1[[#This Row],[SKU]],'All Skus'!$A:$AC,19,FALSE)),""))</f>
        <v>5</v>
      </c>
      <c r="P145" s="64">
        <f>(IF((VLOOKUP(Table1[[#This Row],[SKU]],'All Skus'!$A:$AC,2,FALSE))="AKG",(VLOOKUP(Table1[[#This Row],[SKU]],'All Skus'!$A:$AC,20,FALSE)),""))</f>
        <v>10</v>
      </c>
      <c r="Q145" s="64">
        <f>(IF((VLOOKUP(Table1[[#This Row],[SKU]],'All Skus'!$A:$AC,2,FALSE))="AKG",(VLOOKUP(Table1[[#This Row],[SKU]],'All Skus'!$A:$AC,21,FALSE)),""))</f>
        <v>2.8</v>
      </c>
      <c r="R145" s="64" t="str">
        <f>(IF((VLOOKUP(Table1[[#This Row],[SKU]],'All Skus'!$A:$AC,2,FALSE))="AKG",(VLOOKUP(Table1[[#This Row],[SKU]],'All Skus'!$A:$AC,22,FALSE)),""))</f>
        <v>CN</v>
      </c>
      <c r="S145" s="64" t="str">
        <f>(IF((VLOOKUP(Table1[[#This Row],[SKU]],'All Skus'!$A:$AC,2,FALSE))="AKG",(VLOOKUP(Table1[[#This Row],[SKU]],'All Skus'!$A:$AC,23,FALSE)),""))</f>
        <v>Non Compliant</v>
      </c>
      <c r="T145" s="210" t="str">
        <f>HYPERLINK((IF((VLOOKUP(Table1[[#This Row],[SKU]],'All Skus'!$A:$AC,2,FALSE))="AKG",(VLOOKUP(Table1[[#This Row],[SKU]],'All Skus'!$A:$AC,24,FALSE)),"")))</f>
        <v>https://www.akg.com/Microphones/Boundary%20Layer%20Microphones/3332H00010.html</v>
      </c>
      <c r="U145" s="151">
        <v>143</v>
      </c>
    </row>
    <row r="146" spans="1:21" ht="15" hidden="1" customHeight="1">
      <c r="A146" s="50" t="s">
        <v>303</v>
      </c>
      <c r="B146" s="52" t="str">
        <f>(IF((VLOOKUP(Table1[[#This Row],[SKU]],'All Skus'!$A:$AC,2,FALSE))="AKG",(VLOOKUP(Table1[[#This Row],[SKU]],'All Skus'!$A:$AC,3,FALSE)), ""))</f>
        <v>Installed</v>
      </c>
      <c r="C146" s="60" t="str">
        <f>(IF((VLOOKUP(Table1[[#This Row],[SKU]],'All Skus'!$A:$AC,2,FALSE))="AKG",(VLOOKUP(Table1[[#This Row],[SKU]],'All Skus'!$A:$AC,4,FALSE)),""))</f>
        <v>PCC170</v>
      </c>
      <c r="D146" s="60" t="str">
        <f>(IF((VLOOKUP(Table1[[#This Row],[SKU]],'All Skus'!$A:$AC,2,FALSE))="AKG",(VLOOKUP(Table1[[#This Row],[SKU]],'All Skus'!$A:$AC,5,FALSE)),""))</f>
        <v>AT510041</v>
      </c>
      <c r="E146" s="60">
        <f>(IF((VLOOKUP(Table1[[#This Row],[SKU]],'All Skus'!$A:$AC,2,FALSE))="AKG",(VLOOKUP(Table1[[#This Row],[SKU]],'All Skus'!$A:$AC,6,FALSE)),""))</f>
        <v>0</v>
      </c>
      <c r="F146" s="60">
        <f>(IF((VLOOKUP(Table1[[#This Row],[SKU]],'All Skus'!$A:$AC,2,FALSE))="AKG",(VLOOKUP(Table1[[#This Row],[SKU]],'All Skus'!$A:$AC,7,FALSE)),""))</f>
        <v>0</v>
      </c>
      <c r="G146" s="45" t="str">
        <f>(IF((VLOOKUP(Table1[[#This Row],[SKU]],'All Skus'!$A:$AC,2,FALSE))="AKG",(VLOOKUP(Table1[[#This Row],[SKU]],'All Skus'!$A:$AC,8,FALSE)),""))</f>
        <v>Crown Microphone</v>
      </c>
      <c r="H146" s="45" t="str">
        <f>(IF((VLOOKUP(Table1[[#This Row],[SKU]],'All Skus'!$A:$AC,2,FALSE))="AKG",(VLOOKUP(Table1[[#This Row],[SKU]],'All Skus'!$A:$AC,9,FALSE)),""))</f>
        <v>Surface-mount supercardioid boundary layer mic, XLR version</v>
      </c>
      <c r="I146" s="141">
        <f>(IF((VLOOKUP(Table1[[#This Row],[SKU]],'All Skus'!$A:$AC,2,FALSE))="AKG",(VLOOKUP(Table1[[#This Row],[SKU]],'All Skus'!$A:$AC,10,FALSE)),""))</f>
        <v>530.45000000000005</v>
      </c>
      <c r="J146" s="141">
        <f>(IF((VLOOKUP(Table1[[#This Row],[SKU]],'All Skus'!$A:$AC,2,FALSE))="AKG",(VLOOKUP(Table1[[#This Row],[SKU]],'All Skus'!$A:$AC,11,FALSE)),""))</f>
        <v>422</v>
      </c>
      <c r="K146" s="125">
        <f>(IF((VLOOKUP(Table1[[#This Row],[SKU]],'All Skus'!$A:$AC,2,FALSE))="AKG",(VLOOKUP(Table1[[#This Row],[SKU]],'All Skus'!$A:$AC,15,FALSE)),""))</f>
        <v>0</v>
      </c>
      <c r="L146" s="124">
        <f>(IF((VLOOKUP(Table1[[#This Row],[SKU]],'All Skus'!$A:$AC,2,FALSE))="AKG",(VLOOKUP(Table1[[#This Row],[SKU]],'All Skus'!$A:$AC,16,FALSE)),""))</f>
        <v>885038024880</v>
      </c>
      <c r="M146" s="124">
        <f>(IF((VLOOKUP(Table1[[#This Row],[SKU]],'All Skus'!$A:$AC,2,FALSE))="AKG",(VLOOKUP(Table1[[#This Row],[SKU]],'All Skus'!$A:$AC,17,FALSE)),""))</f>
        <v>9002761024883</v>
      </c>
      <c r="N146" s="64">
        <f>(IF((VLOOKUP(Table1[[#This Row],[SKU]],'All Skus'!$A:$AC,2,FALSE))="AKG",(VLOOKUP(Table1[[#This Row],[SKU]],'All Skus'!$A:$AC,18,FALSE)),""))</f>
        <v>3</v>
      </c>
      <c r="O146" s="64">
        <f>(IF((VLOOKUP(Table1[[#This Row],[SKU]],'All Skus'!$A:$AC,2,FALSE))="AKG",(VLOOKUP(Table1[[#This Row],[SKU]],'All Skus'!$A:$AC,19,FALSE)),""))</f>
        <v>10</v>
      </c>
      <c r="P146" s="64">
        <f>(IF((VLOOKUP(Table1[[#This Row],[SKU]],'All Skus'!$A:$AC,2,FALSE))="AKG",(VLOOKUP(Table1[[#This Row],[SKU]],'All Skus'!$A:$AC,20,FALSE)),""))</f>
        <v>5</v>
      </c>
      <c r="Q146" s="64">
        <f>(IF((VLOOKUP(Table1[[#This Row],[SKU]],'All Skus'!$A:$AC,2,FALSE))="AKG",(VLOOKUP(Table1[[#This Row],[SKU]],'All Skus'!$A:$AC,21,FALSE)),""))</f>
        <v>2.8</v>
      </c>
      <c r="R146" s="64" t="str">
        <f>(IF((VLOOKUP(Table1[[#This Row],[SKU]],'All Skus'!$A:$AC,2,FALSE))="AKG",(VLOOKUP(Table1[[#This Row],[SKU]],'All Skus'!$A:$AC,22,FALSE)),""))</f>
        <v>CN</v>
      </c>
      <c r="S146" s="64" t="str">
        <f>(IF((VLOOKUP(Table1[[#This Row],[SKU]],'All Skus'!$A:$AC,2,FALSE))="AKG",(VLOOKUP(Table1[[#This Row],[SKU]],'All Skus'!$A:$AC,23,FALSE)),""))</f>
        <v>Non Compliant</v>
      </c>
      <c r="T146" s="210" t="str">
        <f>HYPERLINK((IF((VLOOKUP(Table1[[#This Row],[SKU]],'All Skus'!$A:$AC,2,FALSE))="AKG",(VLOOKUP(Table1[[#This Row],[SKU]],'All Skus'!$A:$AC,24,FALSE)),"")))</f>
        <v>https://www.akg.com/Microphones/Boundary%20Layer%20Microphones/3331H00010.html</v>
      </c>
      <c r="U146" s="151">
        <v>144</v>
      </c>
    </row>
    <row r="147" spans="1:21" ht="15" hidden="1" customHeight="1">
      <c r="A147" s="50" t="s">
        <v>304</v>
      </c>
      <c r="B147" s="52" t="str">
        <f>(IF((VLOOKUP(Table1[[#This Row],[SKU]],'All Skus'!$A:$AC,2,FALSE))="AKG",(VLOOKUP(Table1[[#This Row],[SKU]],'All Skus'!$A:$AC,3,FALSE)), ""))</f>
        <v>Installed</v>
      </c>
      <c r="C147" s="60" t="str">
        <f>(IF((VLOOKUP(Table1[[#This Row],[SKU]],'All Skus'!$A:$AC,2,FALSE))="AKG",(VLOOKUP(Table1[[#This Row],[SKU]],'All Skus'!$A:$AC,4,FALSE)),""))</f>
        <v>PCC170 SW O</v>
      </c>
      <c r="D147" s="60" t="str">
        <f>(IF((VLOOKUP(Table1[[#This Row],[SKU]],'All Skus'!$A:$AC,2,FALSE))="AKG",(VLOOKUP(Table1[[#This Row],[SKU]],'All Skus'!$A:$AC,5,FALSE)),""))</f>
        <v>AT510041</v>
      </c>
      <c r="E147" s="60">
        <f>(IF((VLOOKUP(Table1[[#This Row],[SKU]],'All Skus'!$A:$AC,2,FALSE))="AKG",(VLOOKUP(Table1[[#This Row],[SKU]],'All Skus'!$A:$AC,6,FALSE)),""))</f>
        <v>0</v>
      </c>
      <c r="F147" s="60">
        <f>(IF((VLOOKUP(Table1[[#This Row],[SKU]],'All Skus'!$A:$AC,2,FALSE))="AKG",(VLOOKUP(Table1[[#This Row],[SKU]],'All Skus'!$A:$AC,7,FALSE)),""))</f>
        <v>0</v>
      </c>
      <c r="G147" s="45" t="str">
        <f>(IF((VLOOKUP(Table1[[#This Row],[SKU]],'All Skus'!$A:$AC,2,FALSE))="AKG",(VLOOKUP(Table1[[#This Row],[SKU]],'All Skus'!$A:$AC,8,FALSE)),""))</f>
        <v>Crown Microphone</v>
      </c>
      <c r="H147" s="45" t="str">
        <f>(IF((VLOOKUP(Table1[[#This Row],[SKU]],'All Skus'!$A:$AC,2,FALSE))="AKG",(VLOOKUP(Table1[[#This Row],[SKU]],'All Skus'!$A:$AC,9,FALSE)),""))</f>
        <v>Surface-mount supercardioid boundary layer mic, XLR versio, with remote sensing switch</v>
      </c>
      <c r="I147" s="141">
        <f>(IF((VLOOKUP(Table1[[#This Row],[SKU]],'All Skus'!$A:$AC,2,FALSE))="AKG",(VLOOKUP(Table1[[#This Row],[SKU]],'All Skus'!$A:$AC,10,FALSE)),""))</f>
        <v>579.91</v>
      </c>
      <c r="J147" s="141">
        <f>(IF((VLOOKUP(Table1[[#This Row],[SKU]],'All Skus'!$A:$AC,2,FALSE))="AKG",(VLOOKUP(Table1[[#This Row],[SKU]],'All Skus'!$A:$AC,11,FALSE)),""))</f>
        <v>453</v>
      </c>
      <c r="K147" s="125">
        <f>(IF((VLOOKUP(Table1[[#This Row],[SKU]],'All Skus'!$A:$AC,2,FALSE))="AKG",(VLOOKUP(Table1[[#This Row],[SKU]],'All Skus'!$A:$AC,15,FALSE)),""))</f>
        <v>0</v>
      </c>
      <c r="L147" s="124">
        <f>(IF((VLOOKUP(Table1[[#This Row],[SKU]],'All Skus'!$A:$AC,2,FALSE))="AKG",(VLOOKUP(Table1[[#This Row],[SKU]],'All Skus'!$A:$AC,16,FALSE)),""))</f>
        <v>885038024866</v>
      </c>
      <c r="M147" s="124">
        <f>(IF((VLOOKUP(Table1[[#This Row],[SKU]],'All Skus'!$A:$AC,2,FALSE))="AKG",(VLOOKUP(Table1[[#This Row],[SKU]],'All Skus'!$A:$AC,17,FALSE)),""))</f>
        <v>9002761024869</v>
      </c>
      <c r="N147" s="64">
        <f>(IF((VLOOKUP(Table1[[#This Row],[SKU]],'All Skus'!$A:$AC,2,FALSE))="AKG",(VLOOKUP(Table1[[#This Row],[SKU]],'All Skus'!$A:$AC,18,FALSE)),""))</f>
        <v>3</v>
      </c>
      <c r="O147" s="64">
        <f>(IF((VLOOKUP(Table1[[#This Row],[SKU]],'All Skus'!$A:$AC,2,FALSE))="AKG",(VLOOKUP(Table1[[#This Row],[SKU]],'All Skus'!$A:$AC,19,FALSE)),""))</f>
        <v>5</v>
      </c>
      <c r="P147" s="64">
        <f>(IF((VLOOKUP(Table1[[#This Row],[SKU]],'All Skus'!$A:$AC,2,FALSE))="AKG",(VLOOKUP(Table1[[#This Row],[SKU]],'All Skus'!$A:$AC,20,FALSE)),""))</f>
        <v>9</v>
      </c>
      <c r="Q147" s="64">
        <f>(IF((VLOOKUP(Table1[[#This Row],[SKU]],'All Skus'!$A:$AC,2,FALSE))="AKG",(VLOOKUP(Table1[[#This Row],[SKU]],'All Skus'!$A:$AC,21,FALSE)),""))</f>
        <v>2.8</v>
      </c>
      <c r="R147" s="64" t="str">
        <f>(IF((VLOOKUP(Table1[[#This Row],[SKU]],'All Skus'!$A:$AC,2,FALSE))="AKG",(VLOOKUP(Table1[[#This Row],[SKU]],'All Skus'!$A:$AC,22,FALSE)),""))</f>
        <v>CN</v>
      </c>
      <c r="S147" s="64" t="str">
        <f>(IF((VLOOKUP(Table1[[#This Row],[SKU]],'All Skus'!$A:$AC,2,FALSE))="AKG",(VLOOKUP(Table1[[#This Row],[SKU]],'All Skus'!$A:$AC,23,FALSE)),""))</f>
        <v>Non Compliant</v>
      </c>
      <c r="T147" s="210" t="str">
        <f>HYPERLINK((IF((VLOOKUP(Table1[[#This Row],[SKU]],'All Skus'!$A:$AC,2,FALSE))="AKG",(VLOOKUP(Table1[[#This Row],[SKU]],'All Skus'!$A:$AC,24,FALSE)),"")))</f>
        <v>https://www.akg.com/Microphones/Boundary%20Layer%20Microphones/3329H00010.html</v>
      </c>
      <c r="U147" s="151">
        <v>145</v>
      </c>
    </row>
    <row r="148" spans="1:21" ht="15" hidden="1" customHeight="1">
      <c r="A148" s="48" t="s">
        <v>305</v>
      </c>
      <c r="B148" s="52" t="str">
        <f>(IF((VLOOKUP(Table1[[#This Row],[SKU]],'All Skus'!$A:$AC,2,FALSE))="AKG",(VLOOKUP(Table1[[#This Row],[SKU]],'All Skus'!$A:$AC,3,FALSE)), ""))</f>
        <v>Installed</v>
      </c>
      <c r="C148" s="60" t="str">
        <f>(IF((VLOOKUP(Table1[[#This Row],[SKU]],'All Skus'!$A:$AC,2,FALSE))="AKG",(VLOOKUP(Table1[[#This Row],[SKU]],'All Skus'!$A:$AC,4,FALSE)),""))</f>
        <v>PCC170 SW</v>
      </c>
      <c r="D148" s="60" t="str">
        <f>(IF((VLOOKUP(Table1[[#This Row],[SKU]],'All Skus'!$A:$AC,2,FALSE))="AKG",(VLOOKUP(Table1[[#This Row],[SKU]],'All Skus'!$A:$AC,5,FALSE)),""))</f>
        <v>AT510041</v>
      </c>
      <c r="E148" s="60">
        <f>(IF((VLOOKUP(Table1[[#This Row],[SKU]],'All Skus'!$A:$AC,2,FALSE))="AKG",(VLOOKUP(Table1[[#This Row],[SKU]],'All Skus'!$A:$AC,6,FALSE)),""))</f>
        <v>0</v>
      </c>
      <c r="F148" s="60">
        <f>(IF((VLOOKUP(Table1[[#This Row],[SKU]],'All Skus'!$A:$AC,2,FALSE))="AKG",(VLOOKUP(Table1[[#This Row],[SKU]],'All Skus'!$A:$AC,7,FALSE)),""))</f>
        <v>0</v>
      </c>
      <c r="G148" s="45" t="str">
        <f>(IF((VLOOKUP(Table1[[#This Row],[SKU]],'All Skus'!$A:$AC,2,FALSE))="AKG",(VLOOKUP(Table1[[#This Row],[SKU]],'All Skus'!$A:$AC,8,FALSE)),""))</f>
        <v>Crown Microphone</v>
      </c>
      <c r="H148" s="45" t="str">
        <f>(IF((VLOOKUP(Table1[[#This Row],[SKU]],'All Skus'!$A:$AC,2,FALSE))="AKG",(VLOOKUP(Table1[[#This Row],[SKU]],'All Skus'!$A:$AC,9,FALSE)),""))</f>
        <v>Surface-mount supercardioid boundary layer mic, XLR version, with switch</v>
      </c>
      <c r="I148" s="141">
        <f>(IF((VLOOKUP(Table1[[#This Row],[SKU]],'All Skus'!$A:$AC,2,FALSE))="AKG",(VLOOKUP(Table1[[#This Row],[SKU]],'All Skus'!$A:$AC,10,FALSE)),""))</f>
        <v>542.80999999999995</v>
      </c>
      <c r="J148" s="141">
        <f>(IF((VLOOKUP(Table1[[#This Row],[SKU]],'All Skus'!$A:$AC,2,FALSE))="AKG",(VLOOKUP(Table1[[#This Row],[SKU]],'All Skus'!$A:$AC,11,FALSE)),""))</f>
        <v>432</v>
      </c>
      <c r="K148" s="125">
        <f>(IF((VLOOKUP(Table1[[#This Row],[SKU]],'All Skus'!$A:$AC,2,FALSE))="AKG",(VLOOKUP(Table1[[#This Row],[SKU]],'All Skus'!$A:$AC,15,FALSE)),""))</f>
        <v>0</v>
      </c>
      <c r="L148" s="124">
        <f>(IF((VLOOKUP(Table1[[#This Row],[SKU]],'All Skus'!$A:$AC,2,FALSE))="AKG",(VLOOKUP(Table1[[#This Row],[SKU]],'All Skus'!$A:$AC,16,FALSE)),""))</f>
        <v>885038024873</v>
      </c>
      <c r="M148" s="124">
        <f>(IF((VLOOKUP(Table1[[#This Row],[SKU]],'All Skus'!$A:$AC,2,FALSE))="AKG",(VLOOKUP(Table1[[#This Row],[SKU]],'All Skus'!$A:$AC,17,FALSE)),""))</f>
        <v>9002761024876</v>
      </c>
      <c r="N148" s="64">
        <f>(IF((VLOOKUP(Table1[[#This Row],[SKU]],'All Skus'!$A:$AC,2,FALSE))="AKG",(VLOOKUP(Table1[[#This Row],[SKU]],'All Skus'!$A:$AC,18,FALSE)),""))</f>
        <v>3</v>
      </c>
      <c r="O148" s="64">
        <f>(IF((VLOOKUP(Table1[[#This Row],[SKU]],'All Skus'!$A:$AC,2,FALSE))="AKG",(VLOOKUP(Table1[[#This Row],[SKU]],'All Skus'!$A:$AC,19,FALSE)),""))</f>
        <v>10</v>
      </c>
      <c r="P148" s="64">
        <f>(IF((VLOOKUP(Table1[[#This Row],[SKU]],'All Skus'!$A:$AC,2,FALSE))="AKG",(VLOOKUP(Table1[[#This Row],[SKU]],'All Skus'!$A:$AC,20,FALSE)),""))</f>
        <v>5</v>
      </c>
      <c r="Q148" s="64">
        <f>(IF((VLOOKUP(Table1[[#This Row],[SKU]],'All Skus'!$A:$AC,2,FALSE))="AKG",(VLOOKUP(Table1[[#This Row],[SKU]],'All Skus'!$A:$AC,21,FALSE)),""))</f>
        <v>2.8</v>
      </c>
      <c r="R148" s="64" t="str">
        <f>(IF((VLOOKUP(Table1[[#This Row],[SKU]],'All Skus'!$A:$AC,2,FALSE))="AKG",(VLOOKUP(Table1[[#This Row],[SKU]],'All Skus'!$A:$AC,22,FALSE)),""))</f>
        <v>CN</v>
      </c>
      <c r="S148" s="64" t="str">
        <f>(IF((VLOOKUP(Table1[[#This Row],[SKU]],'All Skus'!$A:$AC,2,FALSE))="AKG",(VLOOKUP(Table1[[#This Row],[SKU]],'All Skus'!$A:$AC,23,FALSE)),""))</f>
        <v>Non Compliant</v>
      </c>
      <c r="T148" s="210" t="str">
        <f>HYPERLINK((IF((VLOOKUP(Table1[[#This Row],[SKU]],'All Skus'!$A:$AC,2,FALSE))="AKG",(VLOOKUP(Table1[[#This Row],[SKU]],'All Skus'!$A:$AC,24,FALSE)),"")))</f>
        <v>https://www.akg.com/Microphones/Boundary%20Layer%20Microphones/3330H00010.html</v>
      </c>
      <c r="U148" s="151">
        <v>146</v>
      </c>
    </row>
    <row r="149" spans="1:21" ht="15" hidden="1" customHeight="1">
      <c r="A149" s="126" t="s">
        <v>306</v>
      </c>
      <c r="B149" s="52">
        <f>(IF((VLOOKUP(Table1[[#This Row],[SKU]],'All Skus'!$A:$AC,2,FALSE))="AKG",(VLOOKUP(Table1[[#This Row],[SKU]],'All Skus'!$A:$AC,3,FALSE)), ""))</f>
        <v>0</v>
      </c>
      <c r="C149" s="60">
        <f>(IF((VLOOKUP(Table1[[#This Row],[SKU]],'All Skus'!$A:$AC,2,FALSE))="AKG",(VLOOKUP(Table1[[#This Row],[SKU]],'All Skus'!$A:$AC,4,FALSE)),""))</f>
        <v>0</v>
      </c>
      <c r="D149" s="60">
        <f>(IF((VLOOKUP(Table1[[#This Row],[SKU]],'All Skus'!$A:$AC,2,FALSE))="AKG",(VLOOKUP(Table1[[#This Row],[SKU]],'All Skus'!$A:$AC,5,FALSE)),""))</f>
        <v>0</v>
      </c>
      <c r="E149" s="60">
        <f>(IF((VLOOKUP(Table1[[#This Row],[SKU]],'All Skus'!$A:$AC,2,FALSE))="AKG",(VLOOKUP(Table1[[#This Row],[SKU]],'All Skus'!$A:$AC,6,FALSE)),""))</f>
        <v>0</v>
      </c>
      <c r="F149" s="60">
        <f>(IF((VLOOKUP(Table1[[#This Row],[SKU]],'All Skus'!$A:$AC,2,FALSE))="AKG",(VLOOKUP(Table1[[#This Row],[SKU]],'All Skus'!$A:$AC,7,FALSE)),""))</f>
        <v>0</v>
      </c>
      <c r="G149" s="45">
        <f>(IF((VLOOKUP(Table1[[#This Row],[SKU]],'All Skus'!$A:$AC,2,FALSE))="AKG",(VLOOKUP(Table1[[#This Row],[SKU]],'All Skus'!$A:$AC,8,FALSE)),""))</f>
        <v>0</v>
      </c>
      <c r="H149" s="45">
        <f>(IF((VLOOKUP(Table1[[#This Row],[SKU]],'All Skus'!$A:$AC,2,FALSE))="AKG",(VLOOKUP(Table1[[#This Row],[SKU]],'All Skus'!$A:$AC,9,FALSE)),""))</f>
        <v>0</v>
      </c>
      <c r="I149" s="141">
        <f>(IF((VLOOKUP(Table1[[#This Row],[SKU]],'All Skus'!$A:$AC,2,FALSE))="AKG",(VLOOKUP(Table1[[#This Row],[SKU]],'All Skus'!$A:$AC,10,FALSE)),""))</f>
        <v>0</v>
      </c>
      <c r="J149" s="141">
        <f>(IF((VLOOKUP(Table1[[#This Row],[SKU]],'All Skus'!$A:$AC,2,FALSE))="AKG",(VLOOKUP(Table1[[#This Row],[SKU]],'All Skus'!$A:$AC,11,FALSE)),""))</f>
        <v>0</v>
      </c>
      <c r="K149" s="125">
        <f>(IF((VLOOKUP(Table1[[#This Row],[SKU]],'All Skus'!$A:$AC,2,FALSE))="AKG",(VLOOKUP(Table1[[#This Row],[SKU]],'All Skus'!$A:$AC,15,FALSE)),""))</f>
        <v>0</v>
      </c>
      <c r="L149" s="124">
        <f>(IF((VLOOKUP(Table1[[#This Row],[SKU]],'All Skus'!$A:$AC,2,FALSE))="AKG",(VLOOKUP(Table1[[#This Row],[SKU]],'All Skus'!$A:$AC,16,FALSE)),""))</f>
        <v>0</v>
      </c>
      <c r="M149" s="124">
        <f>(IF((VLOOKUP(Table1[[#This Row],[SKU]],'All Skus'!$A:$AC,2,FALSE))="AKG",(VLOOKUP(Table1[[#This Row],[SKU]],'All Skus'!$A:$AC,17,FALSE)),""))</f>
        <v>0</v>
      </c>
      <c r="N149" s="64">
        <f>(IF((VLOOKUP(Table1[[#This Row],[SKU]],'All Skus'!$A:$AC,2,FALSE))="AKG",(VLOOKUP(Table1[[#This Row],[SKU]],'All Skus'!$A:$AC,18,FALSE)),""))</f>
        <v>0</v>
      </c>
      <c r="O149" s="64">
        <f>(IF((VLOOKUP(Table1[[#This Row],[SKU]],'All Skus'!$A:$AC,2,FALSE))="AKG",(VLOOKUP(Table1[[#This Row],[SKU]],'All Skus'!$A:$AC,19,FALSE)),""))</f>
        <v>0</v>
      </c>
      <c r="P149" s="64">
        <f>(IF((VLOOKUP(Table1[[#This Row],[SKU]],'All Skus'!$A:$AC,2,FALSE))="AKG",(VLOOKUP(Table1[[#This Row],[SKU]],'All Skus'!$A:$AC,20,FALSE)),""))</f>
        <v>0</v>
      </c>
      <c r="Q149" s="64">
        <f>(IF((VLOOKUP(Table1[[#This Row],[SKU]],'All Skus'!$A:$AC,2,FALSE))="AKG",(VLOOKUP(Table1[[#This Row],[SKU]],'All Skus'!$A:$AC,21,FALSE)),""))</f>
        <v>0</v>
      </c>
      <c r="R149" s="64">
        <f>(IF((VLOOKUP(Table1[[#This Row],[SKU]],'All Skus'!$A:$AC,2,FALSE))="AKG",(VLOOKUP(Table1[[#This Row],[SKU]],'All Skus'!$A:$AC,22,FALSE)),""))</f>
        <v>0</v>
      </c>
      <c r="S149" s="64">
        <f>(IF((VLOOKUP(Table1[[#This Row],[SKU]],'All Skus'!$A:$AC,2,FALSE))="AKG",(VLOOKUP(Table1[[#This Row],[SKU]],'All Skus'!$A:$AC,23,FALSE)),""))</f>
        <v>0</v>
      </c>
      <c r="T149" s="210" t="str">
        <f>HYPERLINK((IF((VLOOKUP(Table1[[#This Row],[SKU]],'All Skus'!$A:$AC,2,FALSE))="AKG",(VLOOKUP(Table1[[#This Row],[SKU]],'All Skus'!$A:$AC,24,FALSE)),"")))</f>
        <v/>
      </c>
      <c r="U149" s="151">
        <v>147</v>
      </c>
    </row>
    <row r="150" spans="1:21" ht="15" hidden="1" customHeight="1">
      <c r="A150" s="48" t="s">
        <v>307</v>
      </c>
      <c r="B150" s="52" t="str">
        <f>(IF((VLOOKUP(Table1[[#This Row],[SKU]],'All Skus'!$A:$AC,2,FALSE))="AKG",(VLOOKUP(Table1[[#This Row],[SKU]],'All Skus'!$A:$AC,3,FALSE)), ""))</f>
        <v>Installed</v>
      </c>
      <c r="C150" s="60" t="str">
        <f>(IF((VLOOKUP(Table1[[#This Row],[SKU]],'All Skus'!$A:$AC,2,FALSE))="AKG",(VLOOKUP(Table1[[#This Row],[SKU]],'All Skus'!$A:$AC,4,FALSE)),""))</f>
        <v>CHM99 black</v>
      </c>
      <c r="D150" s="60" t="str">
        <f>(IF((VLOOKUP(Table1[[#This Row],[SKU]],'All Skus'!$A:$AC,2,FALSE))="AKG",(VLOOKUP(Table1[[#This Row],[SKU]],'All Skus'!$A:$AC,5,FALSE)),""))</f>
        <v>AT510000</v>
      </c>
      <c r="E150" s="60">
        <f>(IF((VLOOKUP(Table1[[#This Row],[SKU]],'All Skus'!$A:$AC,2,FALSE))="AKG",(VLOOKUP(Table1[[#This Row],[SKU]],'All Skus'!$A:$AC,6,FALSE)),""))</f>
        <v>0</v>
      </c>
      <c r="F150" s="60">
        <f>(IF((VLOOKUP(Table1[[#This Row],[SKU]],'All Skus'!$A:$AC,2,FALSE))="AKG",(VLOOKUP(Table1[[#This Row],[SKU]],'All Skus'!$A:$AC,7,FALSE)),""))</f>
        <v>0</v>
      </c>
      <c r="G150" s="45" t="str">
        <f>(IF((VLOOKUP(Table1[[#This Row],[SKU]],'All Skus'!$A:$AC,2,FALSE))="AKG",(VLOOKUP(Table1[[#This Row],[SKU]],'All Skus'!$A:$AC,8,FALSE)),""))</f>
        <v>Conference Microphone</v>
      </c>
      <c r="H150" s="45" t="str">
        <f>(IF((VLOOKUP(Table1[[#This Row],[SKU]],'All Skus'!$A:$AC,2,FALSE))="AKG",(VLOOKUP(Table1[[#This Row],[SKU]],'All Skus'!$A:$AC,9,FALSE)),""))</f>
        <v>Hanging module with 10m non twisting cable and inline phantom power adapter</v>
      </c>
      <c r="I150" s="141">
        <f>(IF((VLOOKUP(Table1[[#This Row],[SKU]],'All Skus'!$A:$AC,2,FALSE))="AKG",(VLOOKUP(Table1[[#This Row],[SKU]],'All Skus'!$A:$AC,10,FALSE)),""))</f>
        <v>233.69</v>
      </c>
      <c r="J150" s="141">
        <f>(IF((VLOOKUP(Table1[[#This Row],[SKU]],'All Skus'!$A:$AC,2,FALSE))="AKG",(VLOOKUP(Table1[[#This Row],[SKU]],'All Skus'!$A:$AC,11,FALSE)),""))</f>
        <v>181</v>
      </c>
      <c r="K150" s="125">
        <f>(IF((VLOOKUP(Table1[[#This Row],[SKU]],'All Skus'!$A:$AC,2,FALSE))="AKG",(VLOOKUP(Table1[[#This Row],[SKU]],'All Skus'!$A:$AC,15,FALSE)),""))</f>
        <v>30</v>
      </c>
      <c r="L150" s="124">
        <f>(IF((VLOOKUP(Table1[[#This Row],[SKU]],'All Skus'!$A:$AC,2,FALSE))="AKG",(VLOOKUP(Table1[[#This Row],[SKU]],'All Skus'!$A:$AC,16,FALSE)),""))</f>
        <v>885038028383</v>
      </c>
      <c r="M150" s="124">
        <f>(IF((VLOOKUP(Table1[[#This Row],[SKU]],'All Skus'!$A:$AC,2,FALSE))="AKG",(VLOOKUP(Table1[[#This Row],[SKU]],'All Skus'!$A:$AC,17,FALSE)),""))</f>
        <v>9002761028386</v>
      </c>
      <c r="N150" s="64">
        <f>(IF((VLOOKUP(Table1[[#This Row],[SKU]],'All Skus'!$A:$AC,2,FALSE))="AKG",(VLOOKUP(Table1[[#This Row],[SKU]],'All Skus'!$A:$AC,18,FALSE)),""))</f>
        <v>7</v>
      </c>
      <c r="O150" s="64">
        <f>(IF((VLOOKUP(Table1[[#This Row],[SKU]],'All Skus'!$A:$AC,2,FALSE))="AKG",(VLOOKUP(Table1[[#This Row],[SKU]],'All Skus'!$A:$AC,19,FALSE)),""))</f>
        <v>3</v>
      </c>
      <c r="P150" s="64">
        <f>(IF((VLOOKUP(Table1[[#This Row],[SKU]],'All Skus'!$A:$AC,2,FALSE))="AKG",(VLOOKUP(Table1[[#This Row],[SKU]],'All Skus'!$A:$AC,20,FALSE)),""))</f>
        <v>5</v>
      </c>
      <c r="Q150" s="64">
        <f>(IF((VLOOKUP(Table1[[#This Row],[SKU]],'All Skus'!$A:$AC,2,FALSE))="AKG",(VLOOKUP(Table1[[#This Row],[SKU]],'All Skus'!$A:$AC,21,FALSE)),""))</f>
        <v>2.4</v>
      </c>
      <c r="R150" s="64" t="str">
        <f>(IF((VLOOKUP(Table1[[#This Row],[SKU]],'All Skus'!$A:$AC,2,FALSE))="AKG",(VLOOKUP(Table1[[#This Row],[SKU]],'All Skus'!$A:$AC,22,FALSE)),""))</f>
        <v>CN</v>
      </c>
      <c r="S150" s="64" t="str">
        <f>(IF((VLOOKUP(Table1[[#This Row],[SKU]],'All Skus'!$A:$AC,2,FALSE))="AKG",(VLOOKUP(Table1[[#This Row],[SKU]],'All Skus'!$A:$AC,23,FALSE)),""))</f>
        <v>Non Compliant</v>
      </c>
      <c r="T150" s="210" t="str">
        <f>HYPERLINK((IF((VLOOKUP(Table1[[#This Row],[SKU]],'All Skus'!$A:$AC,2,FALSE))="AKG",(VLOOKUP(Table1[[#This Row],[SKU]],'All Skus'!$A:$AC,24,FALSE)),"")))</f>
        <v>https://www.akg.com/Microphones/Speech%20%2F%20Spoken%20Word%20Microphones/2965H00150.html</v>
      </c>
      <c r="U150" s="151">
        <v>148</v>
      </c>
    </row>
    <row r="151" spans="1:21" ht="15" hidden="1" customHeight="1">
      <c r="A151" s="50" t="s">
        <v>308</v>
      </c>
      <c r="B151" s="52" t="str">
        <f>(IF((VLOOKUP(Table1[[#This Row],[SKU]],'All Skus'!$A:$AC,2,FALSE))="AKG",(VLOOKUP(Table1[[#This Row],[SKU]],'All Skus'!$A:$AC,3,FALSE)), ""))</f>
        <v>Installed</v>
      </c>
      <c r="C151" s="60" t="str">
        <f>(IF((VLOOKUP(Table1[[#This Row],[SKU]],'All Skus'!$A:$AC,2,FALSE))="AKG",(VLOOKUP(Table1[[#This Row],[SKU]],'All Skus'!$A:$AC,4,FALSE)),""))</f>
        <v>CHM99 white</v>
      </c>
      <c r="D151" s="60" t="str">
        <f>(IF((VLOOKUP(Table1[[#This Row],[SKU]],'All Skus'!$A:$AC,2,FALSE))="AKG",(VLOOKUP(Table1[[#This Row],[SKU]],'All Skus'!$A:$AC,5,FALSE)),""))</f>
        <v>AT510000</v>
      </c>
      <c r="E151" s="60">
        <f>(IF((VLOOKUP(Table1[[#This Row],[SKU]],'All Skus'!$A:$AC,2,FALSE))="AKG",(VLOOKUP(Table1[[#This Row],[SKU]],'All Skus'!$A:$AC,6,FALSE)),""))</f>
        <v>0</v>
      </c>
      <c r="F151" s="60">
        <f>(IF((VLOOKUP(Table1[[#This Row],[SKU]],'All Skus'!$A:$AC,2,FALSE))="AKG",(VLOOKUP(Table1[[#This Row],[SKU]],'All Skus'!$A:$AC,7,FALSE)),""))</f>
        <v>0</v>
      </c>
      <c r="G151" s="45" t="str">
        <f>(IF((VLOOKUP(Table1[[#This Row],[SKU]],'All Skus'!$A:$AC,2,FALSE))="AKG",(VLOOKUP(Table1[[#This Row],[SKU]],'All Skus'!$A:$AC,8,FALSE)),""))</f>
        <v>Conference Microphone</v>
      </c>
      <c r="H151" s="45" t="str">
        <f>(IF((VLOOKUP(Table1[[#This Row],[SKU]],'All Skus'!$A:$AC,2,FALSE))="AKG",(VLOOKUP(Table1[[#This Row],[SKU]],'All Skus'!$A:$AC,9,FALSE)),""))</f>
        <v>Hanging module with 10 m non twisting cable and inline phantom power adapter</v>
      </c>
      <c r="I151" s="141">
        <f>(IF((VLOOKUP(Table1[[#This Row],[SKU]],'All Skus'!$A:$AC,2,FALSE))="AKG",(VLOOKUP(Table1[[#This Row],[SKU]],'All Skus'!$A:$AC,10,FALSE)),""))</f>
        <v>233.69</v>
      </c>
      <c r="J151" s="141">
        <f>(IF((VLOOKUP(Table1[[#This Row],[SKU]],'All Skus'!$A:$AC,2,FALSE))="AKG",(VLOOKUP(Table1[[#This Row],[SKU]],'All Skus'!$A:$AC,11,FALSE)),""))</f>
        <v>181</v>
      </c>
      <c r="K151" s="125">
        <f>(IF((VLOOKUP(Table1[[#This Row],[SKU]],'All Skus'!$A:$AC,2,FALSE))="AKG",(VLOOKUP(Table1[[#This Row],[SKU]],'All Skus'!$A:$AC,15,FALSE)),""))</f>
        <v>0</v>
      </c>
      <c r="L151" s="124">
        <f>(IF((VLOOKUP(Table1[[#This Row],[SKU]],'All Skus'!$A:$AC,2,FALSE))="AKG",(VLOOKUP(Table1[[#This Row],[SKU]],'All Skus'!$A:$AC,16,FALSE)),""))</f>
        <v>885038028659</v>
      </c>
      <c r="M151" s="124">
        <f>(IF((VLOOKUP(Table1[[#This Row],[SKU]],'All Skus'!$A:$AC,2,FALSE))="AKG",(VLOOKUP(Table1[[#This Row],[SKU]],'All Skus'!$A:$AC,17,FALSE)),""))</f>
        <v>9002761028652</v>
      </c>
      <c r="N151" s="64">
        <f>(IF((VLOOKUP(Table1[[#This Row],[SKU]],'All Skus'!$A:$AC,2,FALSE))="AKG",(VLOOKUP(Table1[[#This Row],[SKU]],'All Skus'!$A:$AC,18,FALSE)),""))</f>
        <v>7</v>
      </c>
      <c r="O151" s="64">
        <f>(IF((VLOOKUP(Table1[[#This Row],[SKU]],'All Skus'!$A:$AC,2,FALSE))="AKG",(VLOOKUP(Table1[[#This Row],[SKU]],'All Skus'!$A:$AC,19,FALSE)),""))</f>
        <v>3</v>
      </c>
      <c r="P151" s="64">
        <f>(IF((VLOOKUP(Table1[[#This Row],[SKU]],'All Skus'!$A:$AC,2,FALSE))="AKG",(VLOOKUP(Table1[[#This Row],[SKU]],'All Skus'!$A:$AC,20,FALSE)),""))</f>
        <v>5</v>
      </c>
      <c r="Q151" s="64">
        <f>(IF((VLOOKUP(Table1[[#This Row],[SKU]],'All Skus'!$A:$AC,2,FALSE))="AKG",(VLOOKUP(Table1[[#This Row],[SKU]],'All Skus'!$A:$AC,21,FALSE)),""))</f>
        <v>6.08</v>
      </c>
      <c r="R151" s="64" t="str">
        <f>(IF((VLOOKUP(Table1[[#This Row],[SKU]],'All Skus'!$A:$AC,2,FALSE))="AKG",(VLOOKUP(Table1[[#This Row],[SKU]],'All Skus'!$A:$AC,22,FALSE)),""))</f>
        <v>CN</v>
      </c>
      <c r="S151" s="64" t="str">
        <f>(IF((VLOOKUP(Table1[[#This Row],[SKU]],'All Skus'!$A:$AC,2,FALSE))="AKG",(VLOOKUP(Table1[[#This Row],[SKU]],'All Skus'!$A:$AC,23,FALSE)),""))</f>
        <v>Non Compliant</v>
      </c>
      <c r="T151" s="210" t="str">
        <f>HYPERLINK((IF((VLOOKUP(Table1[[#This Row],[SKU]],'All Skus'!$A:$AC,2,FALSE))="AKG",(VLOOKUP(Table1[[#This Row],[SKU]],'All Skus'!$A:$AC,24,FALSE)),"")))</f>
        <v>https://www.akg.com/Microphones/Speech%20%2F%20Spoken%20Word%20Microphones/2965H00160.html</v>
      </c>
      <c r="U151" s="151">
        <v>149</v>
      </c>
    </row>
    <row r="152" spans="1:21" ht="15" hidden="1" customHeight="1">
      <c r="A152" s="50" t="s">
        <v>309</v>
      </c>
      <c r="B152" s="52" t="str">
        <f>(IF((VLOOKUP(Table1[[#This Row],[SKU]],'All Skus'!$A:$AC,2,FALSE))="AKG",(VLOOKUP(Table1[[#This Row],[SKU]],'All Skus'!$A:$AC,3,FALSE)), ""))</f>
        <v>Installed</v>
      </c>
      <c r="C152" s="60" t="str">
        <f>(IF((VLOOKUP(Table1[[#This Row],[SKU]],'All Skus'!$A:$AC,2,FALSE))="AKG",(VLOOKUP(Table1[[#This Row],[SKU]],'All Skus'!$A:$AC,4,FALSE)),""))</f>
        <v>C111 LP</v>
      </c>
      <c r="D152" s="60" t="str">
        <f>(IF((VLOOKUP(Table1[[#This Row],[SKU]],'All Skus'!$A:$AC,2,FALSE))="AKG",(VLOOKUP(Table1[[#This Row],[SKU]],'All Skus'!$A:$AC,5,FALSE)),""))</f>
        <v>AT510000</v>
      </c>
      <c r="E152" s="60">
        <f>(IF((VLOOKUP(Table1[[#This Row],[SKU]],'All Skus'!$A:$AC,2,FALSE))="AKG",(VLOOKUP(Table1[[#This Row],[SKU]],'All Skus'!$A:$AC,6,FALSE)),""))</f>
        <v>0</v>
      </c>
      <c r="F152" s="60">
        <f>(IF((VLOOKUP(Table1[[#This Row],[SKU]],'All Skus'!$A:$AC,2,FALSE))="AKG",(VLOOKUP(Table1[[#This Row],[SKU]],'All Skus'!$A:$AC,7,FALSE)),""))</f>
        <v>0</v>
      </c>
      <c r="G152" s="45" t="str">
        <f>(IF((VLOOKUP(Table1[[#This Row],[SKU]],'All Skus'!$A:$AC,2,FALSE))="AKG",(VLOOKUP(Table1[[#This Row],[SKU]],'All Skus'!$A:$AC,8,FALSE)),""))</f>
        <v>Headset</v>
      </c>
      <c r="H152" s="45" t="str">
        <f>(IF((VLOOKUP(Table1[[#This Row],[SKU]],'All Skus'!$A:$AC,2,FALSE))="AKG",(VLOOKUP(Table1[[#This Row],[SKU]],'All Skus'!$A:$AC,9,FALSE)),""))</f>
        <v>Lightweight Ear Hook Microphone</v>
      </c>
      <c r="I152" s="141">
        <f>(IF((VLOOKUP(Table1[[#This Row],[SKU]],'All Skus'!$A:$AC,2,FALSE))="AKG",(VLOOKUP(Table1[[#This Row],[SKU]],'All Skus'!$A:$AC,10,FALSE)),""))</f>
        <v>159.51</v>
      </c>
      <c r="J152" s="141">
        <f>(IF((VLOOKUP(Table1[[#This Row],[SKU]],'All Skus'!$A:$AC,2,FALSE))="AKG",(VLOOKUP(Table1[[#This Row],[SKU]],'All Skus'!$A:$AC,11,FALSE)),""))</f>
        <v>123</v>
      </c>
      <c r="K152" s="125">
        <f>(IF((VLOOKUP(Table1[[#This Row],[SKU]],'All Skus'!$A:$AC,2,FALSE))="AKG",(VLOOKUP(Table1[[#This Row],[SKU]],'All Skus'!$A:$AC,15,FALSE)),""))</f>
        <v>0</v>
      </c>
      <c r="L152" s="124">
        <f>(IF((VLOOKUP(Table1[[#This Row],[SKU]],'All Skus'!$A:$AC,2,FALSE))="AKG",(VLOOKUP(Table1[[#This Row],[SKU]],'All Skus'!$A:$AC,16,FALSE)),""))</f>
        <v>885038035268</v>
      </c>
      <c r="M152" s="124">
        <f>(IF((VLOOKUP(Table1[[#This Row],[SKU]],'All Skus'!$A:$AC,2,FALSE))="AKG",(VLOOKUP(Table1[[#This Row],[SKU]],'All Skus'!$A:$AC,17,FALSE)),""))</f>
        <v>9002761035261</v>
      </c>
      <c r="N152" s="64">
        <f>(IF((VLOOKUP(Table1[[#This Row],[SKU]],'All Skus'!$A:$AC,2,FALSE))="AKG",(VLOOKUP(Table1[[#This Row],[SKU]],'All Skus'!$A:$AC,18,FALSE)),""))</f>
        <v>5</v>
      </c>
      <c r="O152" s="64">
        <f>(IF((VLOOKUP(Table1[[#This Row],[SKU]],'All Skus'!$A:$AC,2,FALSE))="AKG",(VLOOKUP(Table1[[#This Row],[SKU]],'All Skus'!$A:$AC,19,FALSE)),""))</f>
        <v>1</v>
      </c>
      <c r="P152" s="64">
        <f>(IF((VLOOKUP(Table1[[#This Row],[SKU]],'All Skus'!$A:$AC,2,FALSE))="AKG",(VLOOKUP(Table1[[#This Row],[SKU]],'All Skus'!$A:$AC,20,FALSE)),""))</f>
        <v>9</v>
      </c>
      <c r="Q152" s="64">
        <f>(IF((VLOOKUP(Table1[[#This Row],[SKU]],'All Skus'!$A:$AC,2,FALSE))="AKG",(VLOOKUP(Table1[[#This Row],[SKU]],'All Skus'!$A:$AC,21,FALSE)),""))</f>
        <v>1.2</v>
      </c>
      <c r="R152" s="64" t="str">
        <f>(IF((VLOOKUP(Table1[[#This Row],[SKU]],'All Skus'!$A:$AC,2,FALSE))="AKG",(VLOOKUP(Table1[[#This Row],[SKU]],'All Skus'!$A:$AC,22,FALSE)),""))</f>
        <v>CN</v>
      </c>
      <c r="S152" s="64" t="str">
        <f>(IF((VLOOKUP(Table1[[#This Row],[SKU]],'All Skus'!$A:$AC,2,FALSE))="AKG",(VLOOKUP(Table1[[#This Row],[SKU]],'All Skus'!$A:$AC,23,FALSE)),""))</f>
        <v>Non Compliant</v>
      </c>
      <c r="T152" s="210" t="str">
        <f>HYPERLINK((IF((VLOOKUP(Table1[[#This Row],[SKU]],'All Skus'!$A:$AC,2,FALSE))="AKG",(VLOOKUP(Table1[[#This Row],[SKU]],'All Skus'!$A:$AC,24,FALSE)),"")))</f>
        <v>https://www.akg.com/Microphones/Headset%20Microphones/6500H00030.html</v>
      </c>
      <c r="U152" s="151">
        <v>150</v>
      </c>
    </row>
    <row r="153" spans="1:21" ht="15" hidden="1" customHeight="1">
      <c r="A153" s="50" t="s">
        <v>310</v>
      </c>
      <c r="B153" s="52" t="str">
        <f>(IF((VLOOKUP(Table1[[#This Row],[SKU]],'All Skus'!$A:$AC,2,FALSE))="AKG",(VLOOKUP(Table1[[#This Row],[SKU]],'All Skus'!$A:$AC,3,FALSE)), ""))</f>
        <v>Installed</v>
      </c>
      <c r="C153" s="60" t="str">
        <f>(IF((VLOOKUP(Table1[[#This Row],[SKU]],'All Skus'!$A:$AC,2,FALSE))="AKG",(VLOOKUP(Table1[[#This Row],[SKU]],'All Skus'!$A:$AC,4,FALSE)),""))</f>
        <v>CSX IRR10</v>
      </c>
      <c r="D153" s="60" t="str">
        <f>(IF((VLOOKUP(Table1[[#This Row],[SKU]],'All Skus'!$A:$AC,2,FALSE))="AKG",(VLOOKUP(Table1[[#This Row],[SKU]],'All Skus'!$A:$AC,5,FALSE)),""))</f>
        <v>AT510060</v>
      </c>
      <c r="E153" s="60">
        <f>(IF((VLOOKUP(Table1[[#This Row],[SKU]],'All Skus'!$A:$AC,2,FALSE))="AKG",(VLOOKUP(Table1[[#This Row],[SKU]],'All Skus'!$A:$AC,6,FALSE)),""))</f>
        <v>0</v>
      </c>
      <c r="F153" s="60">
        <f>(IF((VLOOKUP(Table1[[#This Row],[SKU]],'All Skus'!$A:$AC,2,FALSE))="AKG",(VLOOKUP(Table1[[#This Row],[SKU]],'All Skus'!$A:$AC,7,FALSE)),""))</f>
        <v>0</v>
      </c>
      <c r="G153" s="45" t="str">
        <f>(IF((VLOOKUP(Table1[[#This Row],[SKU]],'All Skus'!$A:$AC,2,FALSE))="AKG",(VLOOKUP(Table1[[#This Row],[SKU]],'All Skus'!$A:$AC,8,FALSE)),""))</f>
        <v>Conference System Equipment</v>
      </c>
      <c r="H153" s="45" t="str">
        <f>(IF((VLOOKUP(Table1[[#This Row],[SKU]],'All Skus'!$A:$AC,2,FALSE))="AKG",(VLOOKUP(Table1[[#This Row],[SKU]],'All Skus'!$A:$AC,9,FALSE)),""))</f>
        <v>IR receiver 10 channel</v>
      </c>
      <c r="I153" s="141">
        <f>(IF((VLOOKUP(Table1[[#This Row],[SKU]],'All Skus'!$A:$AC,2,FALSE))="AKG",(VLOOKUP(Table1[[#This Row],[SKU]],'All Skus'!$A:$AC,10,FALSE)),""))</f>
        <v>579.91</v>
      </c>
      <c r="J153" s="141">
        <f>(IF((VLOOKUP(Table1[[#This Row],[SKU]],'All Skus'!$A:$AC,2,FALSE))="AKG",(VLOOKUP(Table1[[#This Row],[SKU]],'All Skus'!$A:$AC,11,FALSE)),""))</f>
        <v>453</v>
      </c>
      <c r="K153" s="125">
        <f>(IF((VLOOKUP(Table1[[#This Row],[SKU]],'All Skus'!$A:$AC,2,FALSE))="AKG",(VLOOKUP(Table1[[#This Row],[SKU]],'All Skus'!$A:$AC,15,FALSE)),""))</f>
        <v>0</v>
      </c>
      <c r="L153" s="124">
        <f>(IF((VLOOKUP(Table1[[#This Row],[SKU]],'All Skus'!$A:$AC,2,FALSE))="AKG",(VLOOKUP(Table1[[#This Row],[SKU]],'All Skus'!$A:$AC,16,FALSE)),""))</f>
        <v>885038035886</v>
      </c>
      <c r="M153" s="124">
        <f>(IF((VLOOKUP(Table1[[#This Row],[SKU]],'All Skus'!$A:$AC,2,FALSE))="AKG",(VLOOKUP(Table1[[#This Row],[SKU]],'All Skus'!$A:$AC,17,FALSE)),""))</f>
        <v>9002761035889</v>
      </c>
      <c r="N153" s="64">
        <f>(IF((VLOOKUP(Table1[[#This Row],[SKU]],'All Skus'!$A:$AC,2,FALSE))="AKG",(VLOOKUP(Table1[[#This Row],[SKU]],'All Skus'!$A:$AC,18,FALSE)),""))</f>
        <v>2</v>
      </c>
      <c r="O153" s="64">
        <f>(IF((VLOOKUP(Table1[[#This Row],[SKU]],'All Skus'!$A:$AC,2,FALSE))="AKG",(VLOOKUP(Table1[[#This Row],[SKU]],'All Skus'!$A:$AC,19,FALSE)),""))</f>
        <v>6</v>
      </c>
      <c r="P153" s="64">
        <f>(IF((VLOOKUP(Table1[[#This Row],[SKU]],'All Skus'!$A:$AC,2,FALSE))="AKG",(VLOOKUP(Table1[[#This Row],[SKU]],'All Skus'!$A:$AC,20,FALSE)),""))</f>
        <v>3</v>
      </c>
      <c r="Q153" s="64">
        <f>(IF((VLOOKUP(Table1[[#This Row],[SKU]],'All Skus'!$A:$AC,2,FALSE))="AKG",(VLOOKUP(Table1[[#This Row],[SKU]],'All Skus'!$A:$AC,21,FALSE)),""))</f>
        <v>1</v>
      </c>
      <c r="R153" s="64" t="str">
        <f>(IF((VLOOKUP(Table1[[#This Row],[SKU]],'All Skus'!$A:$AC,2,FALSE))="AKG",(VLOOKUP(Table1[[#This Row],[SKU]],'All Skus'!$A:$AC,22,FALSE)),""))</f>
        <v>HU</v>
      </c>
      <c r="S153" s="64" t="str">
        <f>(IF((VLOOKUP(Table1[[#This Row],[SKU]],'All Skus'!$A:$AC,2,FALSE))="AKG",(VLOOKUP(Table1[[#This Row],[SKU]],'All Skus'!$A:$AC,23,FALSE)),""))</f>
        <v>Compliant</v>
      </c>
      <c r="T153" s="210" t="str">
        <f>HYPERLINK((IF((VLOOKUP(Table1[[#This Row],[SKU]],'All Skus'!$A:$AC,2,FALSE))="AKG",(VLOOKUP(Table1[[#This Row],[SKU]],'All Skus'!$A:$AC,24,FALSE)),"")))</f>
        <v>https://www.akg.com/Integrated_Systems/conference-system-components/6500H00150.html</v>
      </c>
      <c r="U153" s="151">
        <v>151</v>
      </c>
    </row>
    <row r="154" spans="1:21" ht="15" hidden="1" customHeight="1">
      <c r="A154" s="50" t="s">
        <v>311</v>
      </c>
      <c r="B154" s="52" t="str">
        <f>(IF((VLOOKUP(Table1[[#This Row],[SKU]],'All Skus'!$A:$AC,2,FALSE))="AKG",(VLOOKUP(Table1[[#This Row],[SKU]],'All Skus'!$A:$AC,3,FALSE)), ""))</f>
        <v>Installed</v>
      </c>
      <c r="C154" s="60" t="str">
        <f>(IF((VLOOKUP(Table1[[#This Row],[SKU]],'All Skus'!$A:$AC,2,FALSE))="AKG",(VLOOKUP(Table1[[#This Row],[SKU]],'All Skus'!$A:$AC,4,FALSE)),""))</f>
        <v>CSX BIR10</v>
      </c>
      <c r="D154" s="60" t="str">
        <f>(IF((VLOOKUP(Table1[[#This Row],[SKU]],'All Skus'!$A:$AC,2,FALSE))="AKG",(VLOOKUP(Table1[[#This Row],[SKU]],'All Skus'!$A:$AC,5,FALSE)),""))</f>
        <v>AT510060</v>
      </c>
      <c r="E154" s="60">
        <f>(IF((VLOOKUP(Table1[[#This Row],[SKU]],'All Skus'!$A:$AC,2,FALSE))="AKG",(VLOOKUP(Table1[[#This Row],[SKU]],'All Skus'!$A:$AC,6,FALSE)),""))</f>
        <v>0</v>
      </c>
      <c r="F154" s="60">
        <f>(IF((VLOOKUP(Table1[[#This Row],[SKU]],'All Skus'!$A:$AC,2,FALSE))="AKG",(VLOOKUP(Table1[[#This Row],[SKU]],'All Skus'!$A:$AC,7,FALSE)),""))</f>
        <v>0</v>
      </c>
      <c r="G154" s="45" t="str">
        <f>(IF((VLOOKUP(Table1[[#This Row],[SKU]],'All Skus'!$A:$AC,2,FALSE))="AKG",(VLOOKUP(Table1[[#This Row],[SKU]],'All Skus'!$A:$AC,8,FALSE)),""))</f>
        <v>Conference System Equipment</v>
      </c>
      <c r="H154" s="45" t="str">
        <f>(IF((VLOOKUP(Table1[[#This Row],[SKU]],'All Skus'!$A:$AC,2,FALSE))="AKG",(VLOOKUP(Table1[[#This Row],[SKU]],'All Skus'!$A:$AC,9,FALSE)),""))</f>
        <v>Breakout box and IR base unit</v>
      </c>
      <c r="I154" s="141">
        <f>(IF((VLOOKUP(Table1[[#This Row],[SKU]],'All Skus'!$A:$AC,2,FALSE))="AKG",(VLOOKUP(Table1[[#This Row],[SKU]],'All Skus'!$A:$AC,10,FALSE)),""))</f>
        <v>4944.68</v>
      </c>
      <c r="J154" s="141">
        <f>(IF((VLOOKUP(Table1[[#This Row],[SKU]],'All Skus'!$A:$AC,2,FALSE))="AKG",(VLOOKUP(Table1[[#This Row],[SKU]],'All Skus'!$A:$AC,11,FALSE)),""))</f>
        <v>3893</v>
      </c>
      <c r="K154" s="125">
        <f>(IF((VLOOKUP(Table1[[#This Row],[SKU]],'All Skus'!$A:$AC,2,FALSE))="AKG",(VLOOKUP(Table1[[#This Row],[SKU]],'All Skus'!$A:$AC,15,FALSE)),""))</f>
        <v>0</v>
      </c>
      <c r="L154" s="124">
        <f>(IF((VLOOKUP(Table1[[#This Row],[SKU]],'All Skus'!$A:$AC,2,FALSE))="AKG",(VLOOKUP(Table1[[#This Row],[SKU]],'All Skus'!$A:$AC,16,FALSE)),""))</f>
        <v>885038035893</v>
      </c>
      <c r="M154" s="124">
        <f>(IF((VLOOKUP(Table1[[#This Row],[SKU]],'All Skus'!$A:$AC,2,FALSE))="AKG",(VLOOKUP(Table1[[#This Row],[SKU]],'All Skus'!$A:$AC,17,FALSE)),""))</f>
        <v>9002761035896</v>
      </c>
      <c r="N154" s="64">
        <f>(IF((VLOOKUP(Table1[[#This Row],[SKU]],'All Skus'!$A:$AC,2,FALSE))="AKG",(VLOOKUP(Table1[[#This Row],[SKU]],'All Skus'!$A:$AC,18,FALSE)),""))</f>
        <v>0</v>
      </c>
      <c r="O154" s="64">
        <f>(IF((VLOOKUP(Table1[[#This Row],[SKU]],'All Skus'!$A:$AC,2,FALSE))="AKG",(VLOOKUP(Table1[[#This Row],[SKU]],'All Skus'!$A:$AC,19,FALSE)),""))</f>
        <v>0</v>
      </c>
      <c r="P154" s="64">
        <f>(IF((VLOOKUP(Table1[[#This Row],[SKU]],'All Skus'!$A:$AC,2,FALSE))="AKG",(VLOOKUP(Table1[[#This Row],[SKU]],'All Skus'!$A:$AC,20,FALSE)),""))</f>
        <v>0</v>
      </c>
      <c r="Q154" s="64">
        <f>(IF((VLOOKUP(Table1[[#This Row],[SKU]],'All Skus'!$A:$AC,2,FALSE))="AKG",(VLOOKUP(Table1[[#This Row],[SKU]],'All Skus'!$A:$AC,21,FALSE)),""))</f>
        <v>2</v>
      </c>
      <c r="R154" s="64" t="str">
        <f>(IF((VLOOKUP(Table1[[#This Row],[SKU]],'All Skus'!$A:$AC,2,FALSE))="AKG",(VLOOKUP(Table1[[#This Row],[SKU]],'All Skus'!$A:$AC,22,FALSE)),""))</f>
        <v>HU</v>
      </c>
      <c r="S154" s="64" t="str">
        <f>(IF((VLOOKUP(Table1[[#This Row],[SKU]],'All Skus'!$A:$AC,2,FALSE))="AKG",(VLOOKUP(Table1[[#This Row],[SKU]],'All Skus'!$A:$AC,23,FALSE)),""))</f>
        <v>Compliant</v>
      </c>
      <c r="T154" s="210" t="str">
        <f>HYPERLINK((IF((VLOOKUP(Table1[[#This Row],[SKU]],'All Skus'!$A:$AC,2,FALSE))="AKG",(VLOOKUP(Table1[[#This Row],[SKU]],'All Skus'!$A:$AC,24,FALSE)),"")))</f>
        <v>https://www.akg.com/Integrated_Systems/conference-system-components/6500H00160.html</v>
      </c>
      <c r="U154" s="151">
        <v>152</v>
      </c>
    </row>
    <row r="155" spans="1:21" ht="15" hidden="1" customHeight="1">
      <c r="A155" s="50" t="s">
        <v>312</v>
      </c>
      <c r="B155" s="52" t="str">
        <f>(IF((VLOOKUP(Table1[[#This Row],[SKU]],'All Skus'!$A:$AC,2,FALSE))="AKG",(VLOOKUP(Table1[[#This Row],[SKU]],'All Skus'!$A:$AC,3,FALSE)), ""))</f>
        <v>Installed</v>
      </c>
      <c r="C155" s="60" t="str">
        <f>(IF((VLOOKUP(Table1[[#This Row],[SKU]],'All Skus'!$A:$AC,2,FALSE))="AKG",(VLOOKUP(Table1[[#This Row],[SKU]],'All Skus'!$A:$AC,4,FALSE)),""))</f>
        <v>CSX CU50</v>
      </c>
      <c r="D155" s="60" t="str">
        <f>(IF((VLOOKUP(Table1[[#This Row],[SKU]],'All Skus'!$A:$AC,2,FALSE))="AKG",(VLOOKUP(Table1[[#This Row],[SKU]],'All Skus'!$A:$AC,5,FALSE)),""))</f>
        <v>AT510060</v>
      </c>
      <c r="E155" s="60">
        <f>(IF((VLOOKUP(Table1[[#This Row],[SKU]],'All Skus'!$A:$AC,2,FALSE))="AKG",(VLOOKUP(Table1[[#This Row],[SKU]],'All Skus'!$A:$AC,6,FALSE)),""))</f>
        <v>0</v>
      </c>
      <c r="F155" s="60">
        <f>(IF((VLOOKUP(Table1[[#This Row],[SKU]],'All Skus'!$A:$AC,2,FALSE))="AKG",(VLOOKUP(Table1[[#This Row],[SKU]],'All Skus'!$A:$AC,7,FALSE)),""))</f>
        <v>0</v>
      </c>
      <c r="G155" s="45" t="str">
        <f>(IF((VLOOKUP(Table1[[#This Row],[SKU]],'All Skus'!$A:$AC,2,FALSE))="AKG",(VLOOKUP(Table1[[#This Row],[SKU]],'All Skus'!$A:$AC,8,FALSE)),""))</f>
        <v>Conference System Equipment</v>
      </c>
      <c r="H155" s="45" t="str">
        <f>(IF((VLOOKUP(Table1[[#This Row],[SKU]],'All Skus'!$A:$AC,2,FALSE))="AKG",(VLOOKUP(Table1[[#This Row],[SKU]],'All Skus'!$A:$AC,9,FALSE)),""))</f>
        <v>Charging Station for 50x IRR10</v>
      </c>
      <c r="I155" s="141">
        <f>(IF((VLOOKUP(Table1[[#This Row],[SKU]],'All Skus'!$A:$AC,2,FALSE))="AKG",(VLOOKUP(Table1[[#This Row],[SKU]],'All Skus'!$A:$AC,10,FALSE)),""))</f>
        <v>4944.68</v>
      </c>
      <c r="J155" s="141">
        <f>(IF((VLOOKUP(Table1[[#This Row],[SKU]],'All Skus'!$A:$AC,2,FALSE))="AKG",(VLOOKUP(Table1[[#This Row],[SKU]],'All Skus'!$A:$AC,11,FALSE)),""))</f>
        <v>3893</v>
      </c>
      <c r="K155" s="125">
        <f>(IF((VLOOKUP(Table1[[#This Row],[SKU]],'All Skus'!$A:$AC,2,FALSE))="AKG",(VLOOKUP(Table1[[#This Row],[SKU]],'All Skus'!$A:$AC,15,FALSE)),""))</f>
        <v>0</v>
      </c>
      <c r="L155" s="124">
        <f>(IF((VLOOKUP(Table1[[#This Row],[SKU]],'All Skus'!$A:$AC,2,FALSE))="AKG",(VLOOKUP(Table1[[#This Row],[SKU]],'All Skus'!$A:$AC,16,FALSE)),""))</f>
        <v>885038035909</v>
      </c>
      <c r="M155" s="124">
        <f>(IF((VLOOKUP(Table1[[#This Row],[SKU]],'All Skus'!$A:$AC,2,FALSE))="AKG",(VLOOKUP(Table1[[#This Row],[SKU]],'All Skus'!$A:$AC,17,FALSE)),""))</f>
        <v>9002761035902</v>
      </c>
      <c r="N155" s="64">
        <f>(IF((VLOOKUP(Table1[[#This Row],[SKU]],'All Skus'!$A:$AC,2,FALSE))="AKG",(VLOOKUP(Table1[[#This Row],[SKU]],'All Skus'!$A:$AC,18,FALSE)),""))</f>
        <v>0</v>
      </c>
      <c r="O155" s="64">
        <f>(IF((VLOOKUP(Table1[[#This Row],[SKU]],'All Skus'!$A:$AC,2,FALSE))="AKG",(VLOOKUP(Table1[[#This Row],[SKU]],'All Skus'!$A:$AC,19,FALSE)),""))</f>
        <v>0</v>
      </c>
      <c r="P155" s="64">
        <f>(IF((VLOOKUP(Table1[[#This Row],[SKU]],'All Skus'!$A:$AC,2,FALSE))="AKG",(VLOOKUP(Table1[[#This Row],[SKU]],'All Skus'!$A:$AC,20,FALSE)),""))</f>
        <v>0</v>
      </c>
      <c r="Q155" s="64">
        <f>(IF((VLOOKUP(Table1[[#This Row],[SKU]],'All Skus'!$A:$AC,2,FALSE))="AKG",(VLOOKUP(Table1[[#This Row],[SKU]],'All Skus'!$A:$AC,21,FALSE)),""))</f>
        <v>7.6</v>
      </c>
      <c r="R155" s="64" t="str">
        <f>(IF((VLOOKUP(Table1[[#This Row],[SKU]],'All Skus'!$A:$AC,2,FALSE))="AKG",(VLOOKUP(Table1[[#This Row],[SKU]],'All Skus'!$A:$AC,22,FALSE)),""))</f>
        <v>HU</v>
      </c>
      <c r="S155" s="64" t="str">
        <f>(IF((VLOOKUP(Table1[[#This Row],[SKU]],'All Skus'!$A:$AC,2,FALSE))="AKG",(VLOOKUP(Table1[[#This Row],[SKU]],'All Skus'!$A:$AC,23,FALSE)),""))</f>
        <v>Compliant</v>
      </c>
      <c r="T155" s="210" t="str">
        <f>HYPERLINK((IF((VLOOKUP(Table1[[#This Row],[SKU]],'All Skus'!$A:$AC,2,FALSE))="AKG",(VLOOKUP(Table1[[#This Row],[SKU]],'All Skus'!$A:$AC,24,FALSE)),"")))</f>
        <v>https://www.akg.com/Integrated_Systems/conference-system-components/6500H00170.html</v>
      </c>
      <c r="U155" s="151">
        <v>153</v>
      </c>
    </row>
    <row r="156" spans="1:21" ht="15" hidden="1" customHeight="1">
      <c r="A156" s="50" t="s">
        <v>313</v>
      </c>
      <c r="B156" s="52" t="str">
        <f>(IF((VLOOKUP(Table1[[#This Row],[SKU]],'All Skus'!$A:$AC,2,FALSE))="AKG",(VLOOKUP(Table1[[#This Row],[SKU]],'All Skus'!$A:$AC,3,FALSE)), ""))</f>
        <v>Installed</v>
      </c>
      <c r="C156" s="60" t="str">
        <f>(IF((VLOOKUP(Table1[[#This Row],[SKU]],'All Skus'!$A:$AC,2,FALSE))="AKG",(VLOOKUP(Table1[[#This Row],[SKU]],'All Skus'!$A:$AC,4,FALSE)),""))</f>
        <v>CS3 TROLLEY</v>
      </c>
      <c r="D156" s="60" t="str">
        <f>(IF((VLOOKUP(Table1[[#This Row],[SKU]],'All Skus'!$A:$AC,2,FALSE))="AKG",(VLOOKUP(Table1[[#This Row],[SKU]],'All Skus'!$A:$AC,5,FALSE)),""))</f>
        <v>AT510000</v>
      </c>
      <c r="E156" s="60">
        <f>(IF((VLOOKUP(Table1[[#This Row],[SKU]],'All Skus'!$A:$AC,2,FALSE))="AKG",(VLOOKUP(Table1[[#This Row],[SKU]],'All Skus'!$A:$AC,6,FALSE)),""))</f>
        <v>0</v>
      </c>
      <c r="F156" s="60">
        <f>(IF((VLOOKUP(Table1[[#This Row],[SKU]],'All Skus'!$A:$AC,2,FALSE))="AKG",(VLOOKUP(Table1[[#This Row],[SKU]],'All Skus'!$A:$AC,7,FALSE)),""))</f>
        <v>0</v>
      </c>
      <c r="G156" s="45" t="str">
        <f>(IF((VLOOKUP(Table1[[#This Row],[SKU]],'All Skus'!$A:$AC,2,FALSE))="AKG",(VLOOKUP(Table1[[#This Row],[SKU]],'All Skus'!$A:$AC,8,FALSE)),""))</f>
        <v>Conference System Equipment</v>
      </c>
      <c r="H156" s="45" t="str">
        <f>(IF((VLOOKUP(Table1[[#This Row],[SKU]],'All Skus'!$A:$AC,2,FALSE))="AKG",(VLOOKUP(Table1[[#This Row],[SKU]],'All Skus'!$A:$AC,9,FALSE)),""))</f>
        <v>including CS3 BU, CS3 DU 30, CS3 CU 30, Trolley</v>
      </c>
      <c r="I156" s="141">
        <f>(IF((VLOOKUP(Table1[[#This Row],[SKU]],'All Skus'!$A:$AC,2,FALSE))="AKG",(VLOOKUP(Table1[[#This Row],[SKU]],'All Skus'!$A:$AC,10,FALSE)),""))</f>
        <v>2782.08</v>
      </c>
      <c r="J156" s="141">
        <f>(IF((VLOOKUP(Table1[[#This Row],[SKU]],'All Skus'!$A:$AC,2,FALSE))="AKG",(VLOOKUP(Table1[[#This Row],[SKU]],'All Skus'!$A:$AC,11,FALSE)),""))</f>
        <v>2519</v>
      </c>
      <c r="K156" s="125">
        <f>(IF((VLOOKUP(Table1[[#This Row],[SKU]],'All Skus'!$A:$AC,2,FALSE))="AKG",(VLOOKUP(Table1[[#This Row],[SKU]],'All Skus'!$A:$AC,15,FALSE)),""))</f>
        <v>0</v>
      </c>
      <c r="L156" s="124">
        <f>(IF((VLOOKUP(Table1[[#This Row],[SKU]],'All Skus'!$A:$AC,2,FALSE))="AKG",(VLOOKUP(Table1[[#This Row],[SKU]],'All Skus'!$A:$AC,16,FALSE)),""))</f>
        <v>885038037026</v>
      </c>
      <c r="M156" s="124">
        <f>(IF((VLOOKUP(Table1[[#This Row],[SKU]],'All Skus'!$A:$AC,2,FALSE))="AKG",(VLOOKUP(Table1[[#This Row],[SKU]],'All Skus'!$A:$AC,17,FALSE)),""))</f>
        <v>9002761037029</v>
      </c>
      <c r="N156" s="64">
        <f>(IF((VLOOKUP(Table1[[#This Row],[SKU]],'All Skus'!$A:$AC,2,FALSE))="AKG",(VLOOKUP(Table1[[#This Row],[SKU]],'All Skus'!$A:$AC,18,FALSE)),""))</f>
        <v>13</v>
      </c>
      <c r="O156" s="64">
        <f>(IF((VLOOKUP(Table1[[#This Row],[SKU]],'All Skus'!$A:$AC,2,FALSE))="AKG",(VLOOKUP(Table1[[#This Row],[SKU]],'All Skus'!$A:$AC,19,FALSE)),""))</f>
        <v>26</v>
      </c>
      <c r="P156" s="64">
        <f>(IF((VLOOKUP(Table1[[#This Row],[SKU]],'All Skus'!$A:$AC,2,FALSE))="AKG",(VLOOKUP(Table1[[#This Row],[SKU]],'All Skus'!$A:$AC,20,FALSE)),""))</f>
        <v>18</v>
      </c>
      <c r="Q156" s="64" t="str">
        <f>(IF((VLOOKUP(Table1[[#This Row],[SKU]],'All Skus'!$A:$AC,2,FALSE))="AKG",(VLOOKUP(Table1[[#This Row],[SKU]],'All Skus'!$A:$AC,21,FALSE)),""))</f>
        <v>n/a</v>
      </c>
      <c r="R156" s="64" t="str">
        <f>(IF((VLOOKUP(Table1[[#This Row],[SKU]],'All Skus'!$A:$AC,2,FALSE))="AKG",(VLOOKUP(Table1[[#This Row],[SKU]],'All Skus'!$A:$AC,22,FALSE)),""))</f>
        <v>CN</v>
      </c>
      <c r="S156" s="64" t="str">
        <f>(IF((VLOOKUP(Table1[[#This Row],[SKU]],'All Skus'!$A:$AC,2,FALSE))="AKG",(VLOOKUP(Table1[[#This Row],[SKU]],'All Skus'!$A:$AC,23,FALSE)),""))</f>
        <v>Non Compliant</v>
      </c>
      <c r="T156" s="210" t="str">
        <f>HYPERLINK((IF((VLOOKUP(Table1[[#This Row],[SKU]],'All Skus'!$A:$AC,2,FALSE))="AKG",(VLOOKUP(Table1[[#This Row],[SKU]],'All Skus'!$A:$AC,24,FALSE)),"")))</f>
        <v>see single components</v>
      </c>
      <c r="U156" s="151">
        <v>154</v>
      </c>
    </row>
    <row r="157" spans="1:21" ht="15" hidden="1" customHeight="1">
      <c r="A157" s="50" t="s">
        <v>314</v>
      </c>
      <c r="B157" s="52" t="str">
        <f>(IF((VLOOKUP(Table1[[#This Row],[SKU]],'All Skus'!$A:$AC,2,FALSE))="AKG",(VLOOKUP(Table1[[#This Row],[SKU]],'All Skus'!$A:$AC,3,FALSE)), ""))</f>
        <v>Installed</v>
      </c>
      <c r="C157" s="60" t="str">
        <f>(IF((VLOOKUP(Table1[[#This Row],[SKU]],'All Skus'!$A:$AC,2,FALSE))="AKG",(VLOOKUP(Table1[[#This Row],[SKU]],'All Skus'!$A:$AC,4,FALSE)),""))</f>
        <v>CSX IRT3</v>
      </c>
      <c r="D157" s="60" t="str">
        <f>(IF((VLOOKUP(Table1[[#This Row],[SKU]],'All Skus'!$A:$AC,2,FALSE))="AKG",(VLOOKUP(Table1[[#This Row],[SKU]],'All Skus'!$A:$AC,5,FALSE)),""))</f>
        <v>AT510060</v>
      </c>
      <c r="E157" s="60">
        <f>(IF((VLOOKUP(Table1[[#This Row],[SKU]],'All Skus'!$A:$AC,2,FALSE))="AKG",(VLOOKUP(Table1[[#This Row],[SKU]],'All Skus'!$A:$AC,6,FALSE)),""))</f>
        <v>0</v>
      </c>
      <c r="F157" s="60">
        <f>(IF((VLOOKUP(Table1[[#This Row],[SKU]],'All Skus'!$A:$AC,2,FALSE))="AKG",(VLOOKUP(Table1[[#This Row],[SKU]],'All Skus'!$A:$AC,7,FALSE)),""))</f>
        <v>0</v>
      </c>
      <c r="G157" s="45" t="str">
        <f>(IF((VLOOKUP(Table1[[#This Row],[SKU]],'All Skus'!$A:$AC,2,FALSE))="AKG",(VLOOKUP(Table1[[#This Row],[SKU]],'All Skus'!$A:$AC,8,FALSE)),""))</f>
        <v>Conference System Equipment</v>
      </c>
      <c r="H157" s="45" t="str">
        <f>(IF((VLOOKUP(Table1[[#This Row],[SKU]],'All Skus'!$A:$AC,2,FALSE))="AKG",(VLOOKUP(Table1[[#This Row],[SKU]],'All Skus'!$A:$AC,9,FALSE)),""))</f>
        <v>IR radiator spot</v>
      </c>
      <c r="I157" s="141">
        <f>(IF((VLOOKUP(Table1[[#This Row],[SKU]],'All Skus'!$A:$AC,2,FALSE))="AKG",(VLOOKUP(Table1[[#This Row],[SKU]],'All Skus'!$A:$AC,10,FALSE)),""))</f>
        <v>4326.4399999999996</v>
      </c>
      <c r="J157" s="141">
        <f>(IF((VLOOKUP(Table1[[#This Row],[SKU]],'All Skus'!$A:$AC,2,FALSE))="AKG",(VLOOKUP(Table1[[#This Row],[SKU]],'All Skus'!$A:$AC,11,FALSE)),""))</f>
        <v>3460</v>
      </c>
      <c r="K157" s="125">
        <f>(IF((VLOOKUP(Table1[[#This Row],[SKU]],'All Skus'!$A:$AC,2,FALSE))="AKG",(VLOOKUP(Table1[[#This Row],[SKU]],'All Skus'!$A:$AC,15,FALSE)),""))</f>
        <v>0</v>
      </c>
      <c r="L157" s="124">
        <f>(IF((VLOOKUP(Table1[[#This Row],[SKU]],'All Skus'!$A:$AC,2,FALSE))="AKG",(VLOOKUP(Table1[[#This Row],[SKU]],'All Skus'!$A:$AC,16,FALSE)),""))</f>
        <v>885038037156</v>
      </c>
      <c r="M157" s="124">
        <f>(IF((VLOOKUP(Table1[[#This Row],[SKU]],'All Skus'!$A:$AC,2,FALSE))="AKG",(VLOOKUP(Table1[[#This Row],[SKU]],'All Skus'!$A:$AC,17,FALSE)),""))</f>
        <v>9002761037159</v>
      </c>
      <c r="N157" s="64">
        <f>(IF((VLOOKUP(Table1[[#This Row],[SKU]],'All Skus'!$A:$AC,2,FALSE))="AKG",(VLOOKUP(Table1[[#This Row],[SKU]],'All Skus'!$A:$AC,18,FALSE)),""))</f>
        <v>5</v>
      </c>
      <c r="O157" s="64">
        <f>(IF((VLOOKUP(Table1[[#This Row],[SKU]],'All Skus'!$A:$AC,2,FALSE))="AKG",(VLOOKUP(Table1[[#This Row],[SKU]],'All Skus'!$A:$AC,19,FALSE)),""))</f>
        <v>13</v>
      </c>
      <c r="P157" s="64">
        <f>(IF((VLOOKUP(Table1[[#This Row],[SKU]],'All Skus'!$A:$AC,2,FALSE))="AKG",(VLOOKUP(Table1[[#This Row],[SKU]],'All Skus'!$A:$AC,20,FALSE)),""))</f>
        <v>12</v>
      </c>
      <c r="Q157" s="64">
        <f>(IF((VLOOKUP(Table1[[#This Row],[SKU]],'All Skus'!$A:$AC,2,FALSE))="AKG",(VLOOKUP(Table1[[#This Row],[SKU]],'All Skus'!$A:$AC,21,FALSE)),""))</f>
        <v>3</v>
      </c>
      <c r="R157" s="64" t="str">
        <f>(IF((VLOOKUP(Table1[[#This Row],[SKU]],'All Skus'!$A:$AC,2,FALSE))="AKG",(VLOOKUP(Table1[[#This Row],[SKU]],'All Skus'!$A:$AC,22,FALSE)),""))</f>
        <v>HU</v>
      </c>
      <c r="S157" s="64" t="str">
        <f>(IF((VLOOKUP(Table1[[#This Row],[SKU]],'All Skus'!$A:$AC,2,FALSE))="AKG",(VLOOKUP(Table1[[#This Row],[SKU]],'All Skus'!$A:$AC,23,FALSE)),""))</f>
        <v>Compliant</v>
      </c>
      <c r="T157" s="210" t="str">
        <f>HYPERLINK((IF((VLOOKUP(Table1[[#This Row],[SKU]],'All Skus'!$A:$AC,2,FALSE))="AKG",(VLOOKUP(Table1[[#This Row],[SKU]],'All Skus'!$A:$AC,24,FALSE)),"")))</f>
        <v>https://www.akg.com/Integrated_Systems/conference-system-components/6500H00210.html</v>
      </c>
      <c r="U157" s="151">
        <v>155</v>
      </c>
    </row>
    <row r="158" spans="1:21" ht="15" hidden="1" customHeight="1">
      <c r="A158" s="50" t="s">
        <v>315</v>
      </c>
      <c r="B158" s="52" t="str">
        <f>(IF((VLOOKUP(Table1[[#This Row],[SKU]],'All Skus'!$A:$AC,2,FALSE))="AKG",(VLOOKUP(Table1[[#This Row],[SKU]],'All Skus'!$A:$AC,3,FALSE)), ""))</f>
        <v>Installed</v>
      </c>
      <c r="C158" s="60" t="str">
        <f>(IF((VLOOKUP(Table1[[#This Row],[SKU]],'All Skus'!$A:$AC,2,FALSE))="AKG",(VLOOKUP(Table1[[#This Row],[SKU]],'All Skus'!$A:$AC,4,FALSE)),""))</f>
        <v>CS3EC005</v>
      </c>
      <c r="D158" s="60" t="str">
        <f>(IF((VLOOKUP(Table1[[#This Row],[SKU]],'All Skus'!$A:$AC,2,FALSE))="AKG",(VLOOKUP(Table1[[#This Row],[SKU]],'All Skus'!$A:$AC,5,FALSE)),""))</f>
        <v>AT510060</v>
      </c>
      <c r="E158" s="60">
        <f>(IF((VLOOKUP(Table1[[#This Row],[SKU]],'All Skus'!$A:$AC,2,FALSE))="AKG",(VLOOKUP(Table1[[#This Row],[SKU]],'All Skus'!$A:$AC,6,FALSE)),""))</f>
        <v>0</v>
      </c>
      <c r="F158" s="60">
        <f>(IF((VLOOKUP(Table1[[#This Row],[SKU]],'All Skus'!$A:$AC,2,FALSE))="AKG",(VLOOKUP(Table1[[#This Row],[SKU]],'All Skus'!$A:$AC,7,FALSE)),""))</f>
        <v>0</v>
      </c>
      <c r="G158" s="45" t="str">
        <f>(IF((VLOOKUP(Table1[[#This Row],[SKU]],'All Skus'!$A:$AC,2,FALSE))="AKG",(VLOOKUP(Table1[[#This Row],[SKU]],'All Skus'!$A:$AC,8,FALSE)),""))</f>
        <v>Conference System Equipment</v>
      </c>
      <c r="H158" s="45" t="str">
        <f>(IF((VLOOKUP(Table1[[#This Row],[SKU]],'All Skus'!$A:$AC,2,FALSE))="AKG",(VLOOKUP(Table1[[#This Row],[SKU]],'All Skus'!$A:$AC,9,FALSE)),""))</f>
        <v>CS3 5 meter cable</v>
      </c>
      <c r="I158" s="141">
        <f>(IF((VLOOKUP(Table1[[#This Row],[SKU]],'All Skus'!$A:$AC,2,FALSE))="AKG",(VLOOKUP(Table1[[#This Row],[SKU]],'All Skus'!$A:$AC,10,FALSE)),""))</f>
        <v>84.49</v>
      </c>
      <c r="J158" s="141">
        <f>(IF((VLOOKUP(Table1[[#This Row],[SKU]],'All Skus'!$A:$AC,2,FALSE))="AKG",(VLOOKUP(Table1[[#This Row],[SKU]],'All Skus'!$A:$AC,11,FALSE)),""))</f>
        <v>61</v>
      </c>
      <c r="K158" s="125">
        <f>(IF((VLOOKUP(Table1[[#This Row],[SKU]],'All Skus'!$A:$AC,2,FALSE))="AKG",(VLOOKUP(Table1[[#This Row],[SKU]],'All Skus'!$A:$AC,15,FALSE)),""))</f>
        <v>0</v>
      </c>
      <c r="L158" s="124">
        <f>(IF((VLOOKUP(Table1[[#This Row],[SKU]],'All Skus'!$A:$AC,2,FALSE))="AKG",(VLOOKUP(Table1[[#This Row],[SKU]],'All Skus'!$A:$AC,16,FALSE)),""))</f>
        <v>885038034964</v>
      </c>
      <c r="M158" s="124">
        <f>(IF((VLOOKUP(Table1[[#This Row],[SKU]],'All Skus'!$A:$AC,2,FALSE))="AKG",(VLOOKUP(Table1[[#This Row],[SKU]],'All Skus'!$A:$AC,17,FALSE)),""))</f>
        <v>9002761034967</v>
      </c>
      <c r="N158" s="64">
        <f>(IF((VLOOKUP(Table1[[#This Row],[SKU]],'All Skus'!$A:$AC,2,FALSE))="AKG",(VLOOKUP(Table1[[#This Row],[SKU]],'All Skus'!$A:$AC,18,FALSE)),""))</f>
        <v>2</v>
      </c>
      <c r="O158" s="64">
        <f>(IF((VLOOKUP(Table1[[#This Row],[SKU]],'All Skus'!$A:$AC,2,FALSE))="AKG",(VLOOKUP(Table1[[#This Row],[SKU]],'All Skus'!$A:$AC,19,FALSE)),""))</f>
        <v>13.5</v>
      </c>
      <c r="P158" s="64">
        <f>(IF((VLOOKUP(Table1[[#This Row],[SKU]],'All Skus'!$A:$AC,2,FALSE))="AKG",(VLOOKUP(Table1[[#This Row],[SKU]],'All Skus'!$A:$AC,20,FALSE)),""))</f>
        <v>9</v>
      </c>
      <c r="Q158" s="64">
        <f>(IF((VLOOKUP(Table1[[#This Row],[SKU]],'All Skus'!$A:$AC,2,FALSE))="AKG",(VLOOKUP(Table1[[#This Row],[SKU]],'All Skus'!$A:$AC,21,FALSE)),""))</f>
        <v>2</v>
      </c>
      <c r="R158" s="64" t="str">
        <f>(IF((VLOOKUP(Table1[[#This Row],[SKU]],'All Skus'!$A:$AC,2,FALSE))="AKG",(VLOOKUP(Table1[[#This Row],[SKU]],'All Skus'!$A:$AC,22,FALSE)),""))</f>
        <v>CN</v>
      </c>
      <c r="S158" s="64" t="str">
        <f>(IF((VLOOKUP(Table1[[#This Row],[SKU]],'All Skus'!$A:$AC,2,FALSE))="AKG",(VLOOKUP(Table1[[#This Row],[SKU]],'All Skus'!$A:$AC,23,FALSE)),""))</f>
        <v>Non Compliant</v>
      </c>
      <c r="T158" s="210" t="str">
        <f>HYPERLINK((IF((VLOOKUP(Table1[[#This Row],[SKU]],'All Skus'!$A:$AC,2,FALSE))="AKG",(VLOOKUP(Table1[[#This Row],[SKU]],'All Skus'!$A:$AC,24,FALSE)),"")))</f>
        <v>https://www.akg.com/cs3-system.html?dwvar_CS3System_color=Black-GLOBAL-Current#q=cs3&amp;simplesearch=Go&amp;start=1</v>
      </c>
      <c r="U158" s="151">
        <v>156</v>
      </c>
    </row>
    <row r="159" spans="1:21" ht="15" hidden="1" customHeight="1">
      <c r="A159" s="50" t="s">
        <v>316</v>
      </c>
      <c r="B159" s="52" t="str">
        <f>(IF((VLOOKUP(Table1[[#This Row],[SKU]],'All Skus'!$A:$AC,2,FALSE))="AKG",(VLOOKUP(Table1[[#This Row],[SKU]],'All Skus'!$A:$AC,3,FALSE)), ""))</f>
        <v>Installed</v>
      </c>
      <c r="C159" s="60" t="str">
        <f>(IF((VLOOKUP(Table1[[#This Row],[SKU]],'All Skus'!$A:$AC,2,FALSE))="AKG",(VLOOKUP(Table1[[#This Row],[SKU]],'All Skus'!$A:$AC,4,FALSE)),""))</f>
        <v>CS3TC</v>
      </c>
      <c r="D159" s="60" t="str">
        <f>(IF((VLOOKUP(Table1[[#This Row],[SKU]],'All Skus'!$A:$AC,2,FALSE))="AKG",(VLOOKUP(Table1[[#This Row],[SKU]],'All Skus'!$A:$AC,5,FALSE)),""))</f>
        <v>AT510060</v>
      </c>
      <c r="E159" s="60">
        <f>(IF((VLOOKUP(Table1[[#This Row],[SKU]],'All Skus'!$A:$AC,2,FALSE))="AKG",(VLOOKUP(Table1[[#This Row],[SKU]],'All Skus'!$A:$AC,6,FALSE)),""))</f>
        <v>0</v>
      </c>
      <c r="F159" s="60">
        <f>(IF((VLOOKUP(Table1[[#This Row],[SKU]],'All Skus'!$A:$AC,2,FALSE))="AKG",(VLOOKUP(Table1[[#This Row],[SKU]],'All Skus'!$A:$AC,7,FALSE)),""))</f>
        <v>0</v>
      </c>
      <c r="G159" s="45" t="str">
        <f>(IF((VLOOKUP(Table1[[#This Row],[SKU]],'All Skus'!$A:$AC,2,FALSE))="AKG",(VLOOKUP(Table1[[#This Row],[SKU]],'All Skus'!$A:$AC,8,FALSE)),""))</f>
        <v>Conference System Equipment</v>
      </c>
      <c r="H159" s="45" t="str">
        <f>(IF((VLOOKUP(Table1[[#This Row],[SKU]],'All Skus'!$A:$AC,2,FALSE))="AKG",(VLOOKUP(Table1[[#This Row],[SKU]],'All Skus'!$A:$AC,9,FALSE)),""))</f>
        <v>CS3 T connector</v>
      </c>
      <c r="I159" s="141">
        <f>(IF((VLOOKUP(Table1[[#This Row],[SKU]],'All Skus'!$A:$AC,2,FALSE))="AKG",(VLOOKUP(Table1[[#This Row],[SKU]],'All Skus'!$A:$AC,10,FALSE)),""))</f>
        <v>76.66</v>
      </c>
      <c r="J159" s="141">
        <f>(IF((VLOOKUP(Table1[[#This Row],[SKU]],'All Skus'!$A:$AC,2,FALSE))="AKG",(VLOOKUP(Table1[[#This Row],[SKU]],'All Skus'!$A:$AC,11,FALSE)),""))</f>
        <v>61</v>
      </c>
      <c r="K159" s="125">
        <f>(IF((VLOOKUP(Table1[[#This Row],[SKU]],'All Skus'!$A:$AC,2,FALSE))="AKG",(VLOOKUP(Table1[[#This Row],[SKU]],'All Skus'!$A:$AC,15,FALSE)),""))</f>
        <v>0</v>
      </c>
      <c r="L159" s="124">
        <f>(IF((VLOOKUP(Table1[[#This Row],[SKU]],'All Skus'!$A:$AC,2,FALSE))="AKG",(VLOOKUP(Table1[[#This Row],[SKU]],'All Skus'!$A:$AC,16,FALSE)),""))</f>
        <v>885038035039</v>
      </c>
      <c r="M159" s="124">
        <f>(IF((VLOOKUP(Table1[[#This Row],[SKU]],'All Skus'!$A:$AC,2,FALSE))="AKG",(VLOOKUP(Table1[[#This Row],[SKU]],'All Skus'!$A:$AC,17,FALSE)),""))</f>
        <v>9002761035032</v>
      </c>
      <c r="N159" s="64">
        <f>(IF((VLOOKUP(Table1[[#This Row],[SKU]],'All Skus'!$A:$AC,2,FALSE))="AKG",(VLOOKUP(Table1[[#This Row],[SKU]],'All Skus'!$A:$AC,18,FALSE)),""))</f>
        <v>1</v>
      </c>
      <c r="O159" s="64">
        <f>(IF((VLOOKUP(Table1[[#This Row],[SKU]],'All Skus'!$A:$AC,2,FALSE))="AKG",(VLOOKUP(Table1[[#This Row],[SKU]],'All Skus'!$A:$AC,19,FALSE)),""))</f>
        <v>5</v>
      </c>
      <c r="P159" s="64">
        <f>(IF((VLOOKUP(Table1[[#This Row],[SKU]],'All Skus'!$A:$AC,2,FALSE))="AKG",(VLOOKUP(Table1[[#This Row],[SKU]],'All Skus'!$A:$AC,20,FALSE)),""))</f>
        <v>4</v>
      </c>
      <c r="Q159" s="64">
        <f>(IF((VLOOKUP(Table1[[#This Row],[SKU]],'All Skus'!$A:$AC,2,FALSE))="AKG",(VLOOKUP(Table1[[#This Row],[SKU]],'All Skus'!$A:$AC,21,FALSE)),""))</f>
        <v>0.8</v>
      </c>
      <c r="R159" s="64" t="str">
        <f>(IF((VLOOKUP(Table1[[#This Row],[SKU]],'All Skus'!$A:$AC,2,FALSE))="AKG",(VLOOKUP(Table1[[#This Row],[SKU]],'All Skus'!$A:$AC,22,FALSE)),""))</f>
        <v>CN</v>
      </c>
      <c r="S159" s="64" t="str">
        <f>(IF((VLOOKUP(Table1[[#This Row],[SKU]],'All Skus'!$A:$AC,2,FALSE))="AKG",(VLOOKUP(Table1[[#This Row],[SKU]],'All Skus'!$A:$AC,23,FALSE)),""))</f>
        <v>Non Compliant</v>
      </c>
      <c r="T159" s="210" t="str">
        <f>HYPERLINK((IF((VLOOKUP(Table1[[#This Row],[SKU]],'All Skus'!$A:$AC,2,FALSE))="AKG",(VLOOKUP(Table1[[#This Row],[SKU]],'All Skus'!$A:$AC,24,FALSE)),"")))</f>
        <v>https://www.akg.com/Integrated_Systems/conference-system-components/CS3TC.html?dwvar_CS3TC_color=Black-GLOBAL-Current</v>
      </c>
      <c r="U159" s="151">
        <v>157</v>
      </c>
    </row>
    <row r="160" spans="1:21" ht="15" hidden="1" customHeight="1">
      <c r="A160" s="50" t="s">
        <v>317</v>
      </c>
      <c r="B160" s="52" t="str">
        <f>(IF((VLOOKUP(Table1[[#This Row],[SKU]],'All Skus'!$A:$AC,2,FALSE))="AKG",(VLOOKUP(Table1[[#This Row],[SKU]],'All Skus'!$A:$AC,3,FALSE)), ""))</f>
        <v>Installed</v>
      </c>
      <c r="C160" s="60" t="str">
        <f>(IF((VLOOKUP(Table1[[#This Row],[SKU]],'All Skus'!$A:$AC,2,FALSE))="AKG",(VLOOKUP(Table1[[#This Row],[SKU]],'All Skus'!$A:$AC,4,FALSE)),""))</f>
        <v>CS3EC020</v>
      </c>
      <c r="D160" s="60" t="str">
        <f>(IF((VLOOKUP(Table1[[#This Row],[SKU]],'All Skus'!$A:$AC,2,FALSE))="AKG",(VLOOKUP(Table1[[#This Row],[SKU]],'All Skus'!$A:$AC,5,FALSE)),""))</f>
        <v>AT510060</v>
      </c>
      <c r="E160" s="60">
        <f>(IF((VLOOKUP(Table1[[#This Row],[SKU]],'All Skus'!$A:$AC,2,FALSE))="AKG",(VLOOKUP(Table1[[#This Row],[SKU]],'All Skus'!$A:$AC,6,FALSE)),""))</f>
        <v>0</v>
      </c>
      <c r="F160" s="60" t="str">
        <f>(IF((VLOOKUP(Table1[[#This Row],[SKU]],'All Skus'!$A:$AC,2,FALSE))="AKG",(VLOOKUP(Table1[[#This Row],[SKU]],'All Skus'!$A:$AC,7,FALSE)),""))</f>
        <v>Limited Quantity</v>
      </c>
      <c r="G160" s="45" t="str">
        <f>(IF((VLOOKUP(Table1[[#This Row],[SKU]],'All Skus'!$A:$AC,2,FALSE))="AKG",(VLOOKUP(Table1[[#This Row],[SKU]],'All Skus'!$A:$AC,8,FALSE)),""))</f>
        <v>Conference System Equipment</v>
      </c>
      <c r="H160" s="45" t="str">
        <f>(IF((VLOOKUP(Table1[[#This Row],[SKU]],'All Skus'!$A:$AC,2,FALSE))="AKG",(VLOOKUP(Table1[[#This Row],[SKU]],'All Skus'!$A:$AC,9,FALSE)),""))</f>
        <v>CS3 20 meter cable</v>
      </c>
      <c r="I160" s="141">
        <f>(IF((VLOOKUP(Table1[[#This Row],[SKU]],'All Skus'!$A:$AC,2,FALSE))="AKG",(VLOOKUP(Table1[[#This Row],[SKU]],'All Skus'!$A:$AC,10,FALSE)),""))</f>
        <v>320.54000000000002</v>
      </c>
      <c r="J160" s="141">
        <f>(IF((VLOOKUP(Table1[[#This Row],[SKU]],'All Skus'!$A:$AC,2,FALSE))="AKG",(VLOOKUP(Table1[[#This Row],[SKU]],'All Skus'!$A:$AC,11,FALSE)),""))</f>
        <v>253</v>
      </c>
      <c r="K160" s="125">
        <f>(IF((VLOOKUP(Table1[[#This Row],[SKU]],'All Skus'!$A:$AC,2,FALSE))="AKG",(VLOOKUP(Table1[[#This Row],[SKU]],'All Skus'!$A:$AC,15,FALSE)),""))</f>
        <v>0</v>
      </c>
      <c r="L160" s="124">
        <f>(IF((VLOOKUP(Table1[[#This Row],[SKU]],'All Skus'!$A:$AC,2,FALSE))="AKG",(VLOOKUP(Table1[[#This Row],[SKU]],'All Skus'!$A:$AC,16,FALSE)),""))</f>
        <v>885038034988</v>
      </c>
      <c r="M160" s="124">
        <f>(IF((VLOOKUP(Table1[[#This Row],[SKU]],'All Skus'!$A:$AC,2,FALSE))="AKG",(VLOOKUP(Table1[[#This Row],[SKU]],'All Skus'!$A:$AC,17,FALSE)),""))</f>
        <v>9002761034981</v>
      </c>
      <c r="N160" s="64">
        <f>(IF((VLOOKUP(Table1[[#This Row],[SKU]],'All Skus'!$A:$AC,2,FALSE))="AKG",(VLOOKUP(Table1[[#This Row],[SKU]],'All Skus'!$A:$AC,18,FALSE)),""))</f>
        <v>2</v>
      </c>
      <c r="O160" s="64">
        <f>(IF((VLOOKUP(Table1[[#This Row],[SKU]],'All Skus'!$A:$AC,2,FALSE))="AKG",(VLOOKUP(Table1[[#This Row],[SKU]],'All Skus'!$A:$AC,19,FALSE)),""))</f>
        <v>11</v>
      </c>
      <c r="P160" s="64">
        <f>(IF((VLOOKUP(Table1[[#This Row],[SKU]],'All Skus'!$A:$AC,2,FALSE))="AKG",(VLOOKUP(Table1[[#This Row],[SKU]],'All Skus'!$A:$AC,20,FALSE)),""))</f>
        <v>8</v>
      </c>
      <c r="Q160" s="64">
        <f>(IF((VLOOKUP(Table1[[#This Row],[SKU]],'All Skus'!$A:$AC,2,FALSE))="AKG",(VLOOKUP(Table1[[#This Row],[SKU]],'All Skus'!$A:$AC,21,FALSE)),""))</f>
        <v>3.6</v>
      </c>
      <c r="R160" s="64" t="str">
        <f>(IF((VLOOKUP(Table1[[#This Row],[SKU]],'All Skus'!$A:$AC,2,FALSE))="AKG",(VLOOKUP(Table1[[#This Row],[SKU]],'All Skus'!$A:$AC,22,FALSE)),""))</f>
        <v>CN</v>
      </c>
      <c r="S160" s="64" t="str">
        <f>(IF((VLOOKUP(Table1[[#This Row],[SKU]],'All Skus'!$A:$AC,2,FALSE))="AKG",(VLOOKUP(Table1[[#This Row],[SKU]],'All Skus'!$A:$AC,23,FALSE)),""))</f>
        <v>Non Compliant</v>
      </c>
      <c r="T160" s="210" t="str">
        <f>HYPERLINK((IF((VLOOKUP(Table1[[#This Row],[SKU]],'All Skus'!$A:$AC,2,FALSE))="AKG",(VLOOKUP(Table1[[#This Row],[SKU]],'All Skus'!$A:$AC,24,FALSE)),"")))</f>
        <v>https://www.akg.com/cs3-system.html?dwvar_CS3System_color=Black-GLOBAL-Current#q=cs3&amp;simplesearch=Go&amp;start=1</v>
      </c>
      <c r="U160" s="151">
        <v>158</v>
      </c>
    </row>
    <row r="161" spans="1:21" ht="15" hidden="1" customHeight="1">
      <c r="A161" s="50" t="s">
        <v>318</v>
      </c>
      <c r="B161" s="52" t="str">
        <f>(IF((VLOOKUP(Table1[[#This Row],[SKU]],'All Skus'!$A:$AC,2,FALSE))="AKG",(VLOOKUP(Table1[[#This Row],[SKU]],'All Skus'!$A:$AC,3,FALSE)), ""))</f>
        <v>Installed</v>
      </c>
      <c r="C161" s="60" t="str">
        <f>(IF((VLOOKUP(Table1[[#This Row],[SKU]],'All Skus'!$A:$AC,2,FALSE))="AKG",(VLOOKUP(Table1[[#This Row],[SKU]],'All Skus'!$A:$AC,4,FALSE)),""))</f>
        <v>CS3EC050</v>
      </c>
      <c r="D161" s="60" t="str">
        <f>(IF((VLOOKUP(Table1[[#This Row],[SKU]],'All Skus'!$A:$AC,2,FALSE))="AKG",(VLOOKUP(Table1[[#This Row],[SKU]],'All Skus'!$A:$AC,5,FALSE)),""))</f>
        <v>AT510060</v>
      </c>
      <c r="E161" s="60">
        <f>(IF((VLOOKUP(Table1[[#This Row],[SKU]],'All Skus'!$A:$AC,2,FALSE))="AKG",(VLOOKUP(Table1[[#This Row],[SKU]],'All Skus'!$A:$AC,6,FALSE)),""))</f>
        <v>0</v>
      </c>
      <c r="F161" s="60">
        <f>(IF((VLOOKUP(Table1[[#This Row],[SKU]],'All Skus'!$A:$AC,2,FALSE))="AKG",(VLOOKUP(Table1[[#This Row],[SKU]],'All Skus'!$A:$AC,7,FALSE)),""))</f>
        <v>0</v>
      </c>
      <c r="G161" s="45" t="str">
        <f>(IF((VLOOKUP(Table1[[#This Row],[SKU]],'All Skus'!$A:$AC,2,FALSE))="AKG",(VLOOKUP(Table1[[#This Row],[SKU]],'All Skus'!$A:$AC,8,FALSE)),""))</f>
        <v>Conference System Equipment</v>
      </c>
      <c r="H161" s="45" t="str">
        <f>(IF((VLOOKUP(Table1[[#This Row],[SKU]],'All Skus'!$A:$AC,2,FALSE))="AKG",(VLOOKUP(Table1[[#This Row],[SKU]],'All Skus'!$A:$AC,9,FALSE)),""))</f>
        <v>CS3 50 meter cable</v>
      </c>
      <c r="I161" s="141">
        <f>(IF((VLOOKUP(Table1[[#This Row],[SKU]],'All Skus'!$A:$AC,2,FALSE))="AKG",(VLOOKUP(Table1[[#This Row],[SKU]],'All Skus'!$A:$AC,10,FALSE)),""))</f>
        <v>639.15</v>
      </c>
      <c r="J161" s="141">
        <f>(IF((VLOOKUP(Table1[[#This Row],[SKU]],'All Skus'!$A:$AC,2,FALSE))="AKG",(VLOOKUP(Table1[[#This Row],[SKU]],'All Skus'!$A:$AC,11,FALSE)),""))</f>
        <v>504</v>
      </c>
      <c r="K161" s="125">
        <f>(IF((VLOOKUP(Table1[[#This Row],[SKU]],'All Skus'!$A:$AC,2,FALSE))="AKG",(VLOOKUP(Table1[[#This Row],[SKU]],'All Skus'!$A:$AC,15,FALSE)),""))</f>
        <v>0</v>
      </c>
      <c r="L161" s="124">
        <f>(IF((VLOOKUP(Table1[[#This Row],[SKU]],'All Skus'!$A:$AC,2,FALSE))="AKG",(VLOOKUP(Table1[[#This Row],[SKU]],'All Skus'!$A:$AC,16,FALSE)),""))</f>
        <v>885038034995</v>
      </c>
      <c r="M161" s="124">
        <f>(IF((VLOOKUP(Table1[[#This Row],[SKU]],'All Skus'!$A:$AC,2,FALSE))="AKG",(VLOOKUP(Table1[[#This Row],[SKU]],'All Skus'!$A:$AC,17,FALSE)),""))</f>
        <v>9002761034998</v>
      </c>
      <c r="N161" s="64">
        <f>(IF((VLOOKUP(Table1[[#This Row],[SKU]],'All Skus'!$A:$AC,2,FALSE))="AKG",(VLOOKUP(Table1[[#This Row],[SKU]],'All Skus'!$A:$AC,18,FALSE)),""))</f>
        <v>3</v>
      </c>
      <c r="O161" s="64">
        <f>(IF((VLOOKUP(Table1[[#This Row],[SKU]],'All Skus'!$A:$AC,2,FALSE))="AKG",(VLOOKUP(Table1[[#This Row],[SKU]],'All Skus'!$A:$AC,19,FALSE)),""))</f>
        <v>15</v>
      </c>
      <c r="P161" s="64">
        <f>(IF((VLOOKUP(Table1[[#This Row],[SKU]],'All Skus'!$A:$AC,2,FALSE))="AKG",(VLOOKUP(Table1[[#This Row],[SKU]],'All Skus'!$A:$AC,20,FALSE)),""))</f>
        <v>10</v>
      </c>
      <c r="Q161" s="64">
        <f>(IF((VLOOKUP(Table1[[#This Row],[SKU]],'All Skus'!$A:$AC,2,FALSE))="AKG",(VLOOKUP(Table1[[#This Row],[SKU]],'All Skus'!$A:$AC,21,FALSE)),""))</f>
        <v>4.4000000000000004</v>
      </c>
      <c r="R161" s="64" t="str">
        <f>(IF((VLOOKUP(Table1[[#This Row],[SKU]],'All Skus'!$A:$AC,2,FALSE))="AKG",(VLOOKUP(Table1[[#This Row],[SKU]],'All Skus'!$A:$AC,22,FALSE)),""))</f>
        <v>CN</v>
      </c>
      <c r="S161" s="64" t="str">
        <f>(IF((VLOOKUP(Table1[[#This Row],[SKU]],'All Skus'!$A:$AC,2,FALSE))="AKG",(VLOOKUP(Table1[[#This Row],[SKU]],'All Skus'!$A:$AC,23,FALSE)),""))</f>
        <v>Non Compliant</v>
      </c>
      <c r="T161" s="210" t="str">
        <f>HYPERLINK((IF((VLOOKUP(Table1[[#This Row],[SKU]],'All Skus'!$A:$AC,2,FALSE))="AKG",(VLOOKUP(Table1[[#This Row],[SKU]],'All Skus'!$A:$AC,24,FALSE)),"")))</f>
        <v>https://www.akg.com/cs3-system.html?dwvar_CS3System_color=Black-GLOBAL-Current#q=cs3&amp;simplesearch=Go&amp;start=1</v>
      </c>
      <c r="U161" s="151">
        <v>159</v>
      </c>
    </row>
    <row r="162" spans="1:21" ht="15" hidden="1" customHeight="1">
      <c r="A162" s="50" t="s">
        <v>319</v>
      </c>
      <c r="B162" s="52" t="str">
        <f>(IF((VLOOKUP(Table1[[#This Row],[SKU]],'All Skus'!$A:$AC,2,FALSE))="AKG",(VLOOKUP(Table1[[#This Row],[SKU]],'All Skus'!$A:$AC,3,FALSE)), ""))</f>
        <v>Installed</v>
      </c>
      <c r="C162" s="60" t="str">
        <f>(IF((VLOOKUP(Table1[[#This Row],[SKU]],'All Skus'!$A:$AC,2,FALSE))="AKG",(VLOOKUP(Table1[[#This Row],[SKU]],'All Skus'!$A:$AC,4,FALSE)),""))</f>
        <v>CS3EC100</v>
      </c>
      <c r="D162" s="60" t="str">
        <f>(IF((VLOOKUP(Table1[[#This Row],[SKU]],'All Skus'!$A:$AC,2,FALSE))="AKG",(VLOOKUP(Table1[[#This Row],[SKU]],'All Skus'!$A:$AC,5,FALSE)),""))</f>
        <v>AT510060</v>
      </c>
      <c r="E162" s="60">
        <f>(IF((VLOOKUP(Table1[[#This Row],[SKU]],'All Skus'!$A:$AC,2,FALSE))="AKG",(VLOOKUP(Table1[[#This Row],[SKU]],'All Skus'!$A:$AC,6,FALSE)),""))</f>
        <v>0</v>
      </c>
      <c r="F162" s="60" t="str">
        <f>(IF((VLOOKUP(Table1[[#This Row],[SKU]],'All Skus'!$A:$AC,2,FALSE))="AKG",(VLOOKUP(Table1[[#This Row],[SKU]],'All Skus'!$A:$AC,7,FALSE)),""))</f>
        <v>Limited Quantity</v>
      </c>
      <c r="G162" s="45" t="str">
        <f>(IF((VLOOKUP(Table1[[#This Row],[SKU]],'All Skus'!$A:$AC,2,FALSE))="AKG",(VLOOKUP(Table1[[#This Row],[SKU]],'All Skus'!$A:$AC,8,FALSE)),""))</f>
        <v>Conference System Equipment</v>
      </c>
      <c r="H162" s="45" t="str">
        <f>(IF((VLOOKUP(Table1[[#This Row],[SKU]],'All Skus'!$A:$AC,2,FALSE))="AKG",(VLOOKUP(Table1[[#This Row],[SKU]],'All Skus'!$A:$AC,9,FALSE)),""))</f>
        <v>CS3 100 meter cable</v>
      </c>
      <c r="I162" s="141">
        <f>(IF((VLOOKUP(Table1[[#This Row],[SKU]],'All Skus'!$A:$AC,2,FALSE))="AKG",(VLOOKUP(Table1[[#This Row],[SKU]],'All Skus'!$A:$AC,10,FALSE)),""))</f>
        <v>926.12</v>
      </c>
      <c r="J162" s="141">
        <f>(IF((VLOOKUP(Table1[[#This Row],[SKU]],'All Skus'!$A:$AC,2,FALSE))="AKG",(VLOOKUP(Table1[[#This Row],[SKU]],'All Skus'!$A:$AC,11,FALSE)),""))</f>
        <v>741</v>
      </c>
      <c r="K162" s="125">
        <f>(IF((VLOOKUP(Table1[[#This Row],[SKU]],'All Skus'!$A:$AC,2,FALSE))="AKG",(VLOOKUP(Table1[[#This Row],[SKU]],'All Skus'!$A:$AC,15,FALSE)),""))</f>
        <v>0</v>
      </c>
      <c r="L162" s="124">
        <f>(IF((VLOOKUP(Table1[[#This Row],[SKU]],'All Skus'!$A:$AC,2,FALSE))="AKG",(VLOOKUP(Table1[[#This Row],[SKU]],'All Skus'!$A:$AC,16,FALSE)),""))</f>
        <v>885038035008</v>
      </c>
      <c r="M162" s="124">
        <f>(IF((VLOOKUP(Table1[[#This Row],[SKU]],'All Skus'!$A:$AC,2,FALSE))="AKG",(VLOOKUP(Table1[[#This Row],[SKU]],'All Skus'!$A:$AC,17,FALSE)),""))</f>
        <v>9002761035001</v>
      </c>
      <c r="N162" s="64">
        <f>(IF((VLOOKUP(Table1[[#This Row],[SKU]],'All Skus'!$A:$AC,2,FALSE))="AKG",(VLOOKUP(Table1[[#This Row],[SKU]],'All Skus'!$A:$AC,18,FALSE)),""))</f>
        <v>4</v>
      </c>
      <c r="O162" s="64">
        <f>(IF((VLOOKUP(Table1[[#This Row],[SKU]],'All Skus'!$A:$AC,2,FALSE))="AKG",(VLOOKUP(Table1[[#This Row],[SKU]],'All Skus'!$A:$AC,19,FALSE)),""))</f>
        <v>14</v>
      </c>
      <c r="P162" s="64">
        <f>(IF((VLOOKUP(Table1[[#This Row],[SKU]],'All Skus'!$A:$AC,2,FALSE))="AKG",(VLOOKUP(Table1[[#This Row],[SKU]],'All Skus'!$A:$AC,20,FALSE)),""))</f>
        <v>12</v>
      </c>
      <c r="Q162" s="64">
        <f>(IF((VLOOKUP(Table1[[#This Row],[SKU]],'All Skus'!$A:$AC,2,FALSE))="AKG",(VLOOKUP(Table1[[#This Row],[SKU]],'All Skus'!$A:$AC,21,FALSE)),""))</f>
        <v>4.4000000000000004</v>
      </c>
      <c r="R162" s="64" t="str">
        <f>(IF((VLOOKUP(Table1[[#This Row],[SKU]],'All Skus'!$A:$AC,2,FALSE))="AKG",(VLOOKUP(Table1[[#This Row],[SKU]],'All Skus'!$A:$AC,22,FALSE)),""))</f>
        <v>CN</v>
      </c>
      <c r="S162" s="64" t="str">
        <f>(IF((VLOOKUP(Table1[[#This Row],[SKU]],'All Skus'!$A:$AC,2,FALSE))="AKG",(VLOOKUP(Table1[[#This Row],[SKU]],'All Skus'!$A:$AC,23,FALSE)),""))</f>
        <v>Non Compliant</v>
      </c>
      <c r="T162" s="210" t="str">
        <f>HYPERLINK((IF((VLOOKUP(Table1[[#This Row],[SKU]],'All Skus'!$A:$AC,2,FALSE))="AKG",(VLOOKUP(Table1[[#This Row],[SKU]],'All Skus'!$A:$AC,24,FALSE)),"")))</f>
        <v>https://www.akg.com/cs3-system.html?dwvar_CS3System_color=Black-GLOBAL-Current#q=cs3&amp;simplesearch=Go&amp;start=1</v>
      </c>
      <c r="U162" s="151">
        <v>160</v>
      </c>
    </row>
    <row r="163" spans="1:21" ht="15" hidden="1" customHeight="1">
      <c r="A163" s="50" t="s">
        <v>320</v>
      </c>
      <c r="B163" s="52" t="str">
        <f>(IF((VLOOKUP(Table1[[#This Row],[SKU]],'All Skus'!$A:$AC,2,FALSE))="AKG",(VLOOKUP(Table1[[#This Row],[SKU]],'All Skus'!$A:$AC,3,FALSE)), ""))</f>
        <v>Installed</v>
      </c>
      <c r="C163" s="60" t="str">
        <f>(IF((VLOOKUP(Table1[[#This Row],[SKU]],'All Skus'!$A:$AC,2,FALSE))="AKG",(VLOOKUP(Table1[[#This Row],[SKU]],'All Skus'!$A:$AC,4,FALSE)),""))</f>
        <v>CS3ECT002</v>
      </c>
      <c r="D163" s="60" t="str">
        <f>(IF((VLOOKUP(Table1[[#This Row],[SKU]],'All Skus'!$A:$AC,2,FALSE))="AKG",(VLOOKUP(Table1[[#This Row],[SKU]],'All Skus'!$A:$AC,5,FALSE)),""))</f>
        <v>AT510060</v>
      </c>
      <c r="E163" s="60">
        <f>(IF((VLOOKUP(Table1[[#This Row],[SKU]],'All Skus'!$A:$AC,2,FALSE))="AKG",(VLOOKUP(Table1[[#This Row],[SKU]],'All Skus'!$A:$AC,6,FALSE)),""))</f>
        <v>0</v>
      </c>
      <c r="F163" s="60">
        <f>(IF((VLOOKUP(Table1[[#This Row],[SKU]],'All Skus'!$A:$AC,2,FALSE))="AKG",(VLOOKUP(Table1[[#This Row],[SKU]],'All Skus'!$A:$AC,7,FALSE)),""))</f>
        <v>0</v>
      </c>
      <c r="G163" s="45" t="str">
        <f>(IF((VLOOKUP(Table1[[#This Row],[SKU]],'All Skus'!$A:$AC,2,FALSE))="AKG",(VLOOKUP(Table1[[#This Row],[SKU]],'All Skus'!$A:$AC,8,FALSE)),""))</f>
        <v>Conference System Equipment</v>
      </c>
      <c r="H163" s="45" t="str">
        <f>(IF((VLOOKUP(Table1[[#This Row],[SKU]],'All Skus'!$A:$AC,2,FALSE))="AKG",(VLOOKUP(Table1[[#This Row],[SKU]],'All Skus'!$A:$AC,9,FALSE)),""))</f>
        <v>CS3 2 meter cable with T connector</v>
      </c>
      <c r="I163" s="141">
        <f>(IF((VLOOKUP(Table1[[#This Row],[SKU]],'All Skus'!$A:$AC,2,FALSE))="AKG",(VLOOKUP(Table1[[#This Row],[SKU]],'All Skus'!$A:$AC,10,FALSE)),""))</f>
        <v>130.15</v>
      </c>
      <c r="J163" s="141">
        <f>(IF((VLOOKUP(Table1[[#This Row],[SKU]],'All Skus'!$A:$AC,2,FALSE))="AKG",(VLOOKUP(Table1[[#This Row],[SKU]],'All Skus'!$A:$AC,11,FALSE)),""))</f>
        <v>102</v>
      </c>
      <c r="K163" s="125">
        <f>(IF((VLOOKUP(Table1[[#This Row],[SKU]],'All Skus'!$A:$AC,2,FALSE))="AKG",(VLOOKUP(Table1[[#This Row],[SKU]],'All Skus'!$A:$AC,15,FALSE)),""))</f>
        <v>0</v>
      </c>
      <c r="L163" s="124">
        <f>(IF((VLOOKUP(Table1[[#This Row],[SKU]],'All Skus'!$A:$AC,2,FALSE))="AKG",(VLOOKUP(Table1[[#This Row],[SKU]],'All Skus'!$A:$AC,16,FALSE)),""))</f>
        <v>885038035015</v>
      </c>
      <c r="M163" s="124">
        <f>(IF((VLOOKUP(Table1[[#This Row],[SKU]],'All Skus'!$A:$AC,2,FALSE))="AKG",(VLOOKUP(Table1[[#This Row],[SKU]],'All Skus'!$A:$AC,17,FALSE)),""))</f>
        <v>9002761035018</v>
      </c>
      <c r="N163" s="64">
        <f>(IF((VLOOKUP(Table1[[#This Row],[SKU]],'All Skus'!$A:$AC,2,FALSE))="AKG",(VLOOKUP(Table1[[#This Row],[SKU]],'All Skus'!$A:$AC,18,FALSE)),""))</f>
        <v>1</v>
      </c>
      <c r="O163" s="64">
        <f>(IF((VLOOKUP(Table1[[#This Row],[SKU]],'All Skus'!$A:$AC,2,FALSE))="AKG",(VLOOKUP(Table1[[#This Row],[SKU]],'All Skus'!$A:$AC,19,FALSE)),""))</f>
        <v>6</v>
      </c>
      <c r="P163" s="64">
        <f>(IF((VLOOKUP(Table1[[#This Row],[SKU]],'All Skus'!$A:$AC,2,FALSE))="AKG",(VLOOKUP(Table1[[#This Row],[SKU]],'All Skus'!$A:$AC,20,FALSE)),""))</f>
        <v>5</v>
      </c>
      <c r="Q163" s="64">
        <f>(IF((VLOOKUP(Table1[[#This Row],[SKU]],'All Skus'!$A:$AC,2,FALSE))="AKG",(VLOOKUP(Table1[[#This Row],[SKU]],'All Skus'!$A:$AC,21,FALSE)),""))</f>
        <v>1.6</v>
      </c>
      <c r="R163" s="64" t="str">
        <f>(IF((VLOOKUP(Table1[[#This Row],[SKU]],'All Skus'!$A:$AC,2,FALSE))="AKG",(VLOOKUP(Table1[[#This Row],[SKU]],'All Skus'!$A:$AC,22,FALSE)),""))</f>
        <v>CN</v>
      </c>
      <c r="S163" s="64" t="str">
        <f>(IF((VLOOKUP(Table1[[#This Row],[SKU]],'All Skus'!$A:$AC,2,FALSE))="AKG",(VLOOKUP(Table1[[#This Row],[SKU]],'All Skus'!$A:$AC,23,FALSE)),""))</f>
        <v>Non Compliant</v>
      </c>
      <c r="T163" s="210" t="str">
        <f>HYPERLINK((IF((VLOOKUP(Table1[[#This Row],[SKU]],'All Skus'!$A:$AC,2,FALSE))="AKG",(VLOOKUP(Table1[[#This Row],[SKU]],'All Skus'!$A:$AC,24,FALSE)),"")))</f>
        <v>https://www.akg.com/cs3-system.html?dwvar_CS3System_color=Black-GLOBAL-Current#q=cs3&amp;simplesearch=Go&amp;start=1</v>
      </c>
      <c r="U163" s="151">
        <v>161</v>
      </c>
    </row>
    <row r="164" spans="1:21" ht="15" hidden="1" customHeight="1">
      <c r="A164" s="50" t="s">
        <v>321</v>
      </c>
      <c r="B164" s="52" t="str">
        <f>(IF((VLOOKUP(Table1[[#This Row],[SKU]],'All Skus'!$A:$AC,2,FALSE))="AKG",(VLOOKUP(Table1[[#This Row],[SKU]],'All Skus'!$A:$AC,3,FALSE)), ""))</f>
        <v>Installed</v>
      </c>
      <c r="C164" s="60" t="str">
        <f>(IF((VLOOKUP(Table1[[#This Row],[SKU]],'All Skus'!$A:$AC,2,FALSE))="AKG",(VLOOKUP(Table1[[#This Row],[SKU]],'All Skus'!$A:$AC,4,FALSE)),""))</f>
        <v>CS3ECT005</v>
      </c>
      <c r="D164" s="60" t="str">
        <f>(IF((VLOOKUP(Table1[[#This Row],[SKU]],'All Skus'!$A:$AC,2,FALSE))="AKG",(VLOOKUP(Table1[[#This Row],[SKU]],'All Skus'!$A:$AC,5,FALSE)),""))</f>
        <v>AT510060</v>
      </c>
      <c r="E164" s="60">
        <f>(IF((VLOOKUP(Table1[[#This Row],[SKU]],'All Skus'!$A:$AC,2,FALSE))="AKG",(VLOOKUP(Table1[[#This Row],[SKU]],'All Skus'!$A:$AC,6,FALSE)),""))</f>
        <v>0</v>
      </c>
      <c r="F164" s="60" t="str">
        <f>(IF((VLOOKUP(Table1[[#This Row],[SKU]],'All Skus'!$A:$AC,2,FALSE))="AKG",(VLOOKUP(Table1[[#This Row],[SKU]],'All Skus'!$A:$AC,7,FALSE)),""))</f>
        <v>Limited Quantity</v>
      </c>
      <c r="G164" s="45" t="str">
        <f>(IF((VLOOKUP(Table1[[#This Row],[SKU]],'All Skus'!$A:$AC,2,FALSE))="AKG",(VLOOKUP(Table1[[#This Row],[SKU]],'All Skus'!$A:$AC,8,FALSE)),""))</f>
        <v>Conference System Equipment</v>
      </c>
      <c r="H164" s="45" t="str">
        <f>(IF((VLOOKUP(Table1[[#This Row],[SKU]],'All Skus'!$A:$AC,2,FALSE))="AKG",(VLOOKUP(Table1[[#This Row],[SKU]],'All Skus'!$A:$AC,9,FALSE)),""))</f>
        <v>CS3 5 meter cable with T connector</v>
      </c>
      <c r="I164" s="141">
        <f>(IF((VLOOKUP(Table1[[#This Row],[SKU]],'All Skus'!$A:$AC,2,FALSE))="AKG",(VLOOKUP(Table1[[#This Row],[SKU]],'All Skus'!$A:$AC,10,FALSE)),""))</f>
        <v>184.24</v>
      </c>
      <c r="J164" s="141">
        <f>(IF((VLOOKUP(Table1[[#This Row],[SKU]],'All Skus'!$A:$AC,2,FALSE))="AKG",(VLOOKUP(Table1[[#This Row],[SKU]],'All Skus'!$A:$AC,11,FALSE)),""))</f>
        <v>144</v>
      </c>
      <c r="K164" s="125">
        <f>(IF((VLOOKUP(Table1[[#This Row],[SKU]],'All Skus'!$A:$AC,2,FALSE))="AKG",(VLOOKUP(Table1[[#This Row],[SKU]],'All Skus'!$A:$AC,15,FALSE)),""))</f>
        <v>0</v>
      </c>
      <c r="L164" s="124">
        <f>(IF((VLOOKUP(Table1[[#This Row],[SKU]],'All Skus'!$A:$AC,2,FALSE))="AKG",(VLOOKUP(Table1[[#This Row],[SKU]],'All Skus'!$A:$AC,16,FALSE)),""))</f>
        <v>885038035022</v>
      </c>
      <c r="M164" s="124">
        <f>(IF((VLOOKUP(Table1[[#This Row],[SKU]],'All Skus'!$A:$AC,2,FALSE))="AKG",(VLOOKUP(Table1[[#This Row],[SKU]],'All Skus'!$A:$AC,17,FALSE)),""))</f>
        <v>9002761035025</v>
      </c>
      <c r="N164" s="64">
        <f>(IF((VLOOKUP(Table1[[#This Row],[SKU]],'All Skus'!$A:$AC,2,FALSE))="AKG",(VLOOKUP(Table1[[#This Row],[SKU]],'All Skus'!$A:$AC,18,FALSE)),""))</f>
        <v>1</v>
      </c>
      <c r="O164" s="64">
        <f>(IF((VLOOKUP(Table1[[#This Row],[SKU]],'All Skus'!$A:$AC,2,FALSE))="AKG",(VLOOKUP(Table1[[#This Row],[SKU]],'All Skus'!$A:$AC,19,FALSE)),""))</f>
        <v>6</v>
      </c>
      <c r="P164" s="64">
        <f>(IF((VLOOKUP(Table1[[#This Row],[SKU]],'All Skus'!$A:$AC,2,FALSE))="AKG",(VLOOKUP(Table1[[#This Row],[SKU]],'All Skus'!$A:$AC,20,FALSE)),""))</f>
        <v>5</v>
      </c>
      <c r="Q164" s="64">
        <f>(IF((VLOOKUP(Table1[[#This Row],[SKU]],'All Skus'!$A:$AC,2,FALSE))="AKG",(VLOOKUP(Table1[[#This Row],[SKU]],'All Skus'!$A:$AC,21,FALSE)),""))</f>
        <v>1.6</v>
      </c>
      <c r="R164" s="64" t="str">
        <f>(IF((VLOOKUP(Table1[[#This Row],[SKU]],'All Skus'!$A:$AC,2,FALSE))="AKG",(VLOOKUP(Table1[[#This Row],[SKU]],'All Skus'!$A:$AC,22,FALSE)),""))</f>
        <v>CN</v>
      </c>
      <c r="S164" s="64" t="str">
        <f>(IF((VLOOKUP(Table1[[#This Row],[SKU]],'All Skus'!$A:$AC,2,FALSE))="AKG",(VLOOKUP(Table1[[#This Row],[SKU]],'All Skus'!$A:$AC,23,FALSE)),""))</f>
        <v>Non Compliant</v>
      </c>
      <c r="T164" s="210" t="str">
        <f>HYPERLINK((IF((VLOOKUP(Table1[[#This Row],[SKU]],'All Skus'!$A:$AC,2,FALSE))="AKG",(VLOOKUP(Table1[[#This Row],[SKU]],'All Skus'!$A:$AC,24,FALSE)),"")))</f>
        <v>https://www.akg.com/cs3-system.html?dwvar_CS3System_color=Black-GLOBAL-Current#q=cs3&amp;simplesearch=Go&amp;start=1</v>
      </c>
      <c r="U164" s="151">
        <v>162</v>
      </c>
    </row>
    <row r="165" spans="1:21" ht="15" hidden="1" customHeight="1">
      <c r="A165" s="50" t="s">
        <v>322</v>
      </c>
      <c r="B165" s="52" t="str">
        <f>(IF((VLOOKUP(Table1[[#This Row],[SKU]],'All Skus'!$A:$AC,2,FALSE))="AKG",(VLOOKUP(Table1[[#This Row],[SKU]],'All Skus'!$A:$AC,3,FALSE)), ""))</f>
        <v>Installed</v>
      </c>
      <c r="C165" s="60" t="str">
        <f>(IF((VLOOKUP(Table1[[#This Row],[SKU]],'All Skus'!$A:$AC,2,FALSE))="AKG",(VLOOKUP(Table1[[#This Row],[SKU]],'All Skus'!$A:$AC,4,FALSE)),""))</f>
        <v>CS3LC</v>
      </c>
      <c r="D165" s="60" t="str">
        <f>(IF((VLOOKUP(Table1[[#This Row],[SKU]],'All Skus'!$A:$AC,2,FALSE))="AKG",(VLOOKUP(Table1[[#This Row],[SKU]],'All Skus'!$A:$AC,5,FALSE)),""))</f>
        <v>AT510060</v>
      </c>
      <c r="E165" s="60">
        <f>(IF((VLOOKUP(Table1[[#This Row],[SKU]],'All Skus'!$A:$AC,2,FALSE))="AKG",(VLOOKUP(Table1[[#This Row],[SKU]],'All Skus'!$A:$AC,6,FALSE)),""))</f>
        <v>0</v>
      </c>
      <c r="F165" s="60">
        <f>(IF((VLOOKUP(Table1[[#This Row],[SKU]],'All Skus'!$A:$AC,2,FALSE))="AKG",(VLOOKUP(Table1[[#This Row],[SKU]],'All Skus'!$A:$AC,7,FALSE)),""))</f>
        <v>0</v>
      </c>
      <c r="G165" s="45" t="str">
        <f>(IF((VLOOKUP(Table1[[#This Row],[SKU]],'All Skus'!$A:$AC,2,FALSE))="AKG",(VLOOKUP(Table1[[#This Row],[SKU]],'All Skus'!$A:$AC,8,FALSE)),""))</f>
        <v>Conference System Equipment</v>
      </c>
      <c r="H165" s="45" t="str">
        <f>(IF((VLOOKUP(Table1[[#This Row],[SKU]],'All Skus'!$A:$AC,2,FALSE))="AKG",(VLOOKUP(Table1[[#This Row],[SKU]],'All Skus'!$A:$AC,9,FALSE)),""))</f>
        <v>CS3 connector</v>
      </c>
      <c r="I165" s="141">
        <f>(IF((VLOOKUP(Table1[[#This Row],[SKU]],'All Skus'!$A:$AC,2,FALSE))="AKG",(VLOOKUP(Table1[[#This Row],[SKU]],'All Skus'!$A:$AC,10,FALSE)),""))</f>
        <v>13.76</v>
      </c>
      <c r="J165" s="141">
        <f>(IF((VLOOKUP(Table1[[#This Row],[SKU]],'All Skus'!$A:$AC,2,FALSE))="AKG",(VLOOKUP(Table1[[#This Row],[SKU]],'All Skus'!$A:$AC,11,FALSE)),""))</f>
        <v>13.76</v>
      </c>
      <c r="K165" s="125">
        <f>(IF((VLOOKUP(Table1[[#This Row],[SKU]],'All Skus'!$A:$AC,2,FALSE))="AKG",(VLOOKUP(Table1[[#This Row],[SKU]],'All Skus'!$A:$AC,15,FALSE)),""))</f>
        <v>0</v>
      </c>
      <c r="L165" s="124">
        <f>(IF((VLOOKUP(Table1[[#This Row],[SKU]],'All Skus'!$A:$AC,2,FALSE))="AKG",(VLOOKUP(Table1[[#This Row],[SKU]],'All Skus'!$A:$AC,16,FALSE)),""))</f>
        <v>885038035046</v>
      </c>
      <c r="M165" s="124">
        <f>(IF((VLOOKUP(Table1[[#This Row],[SKU]],'All Skus'!$A:$AC,2,FALSE))="AKG",(VLOOKUP(Table1[[#This Row],[SKU]],'All Skus'!$A:$AC,17,FALSE)),""))</f>
        <v>9002761035049</v>
      </c>
      <c r="N165" s="64">
        <f>(IF((VLOOKUP(Table1[[#This Row],[SKU]],'All Skus'!$A:$AC,2,FALSE))="AKG",(VLOOKUP(Table1[[#This Row],[SKU]],'All Skus'!$A:$AC,18,FALSE)),""))</f>
        <v>1</v>
      </c>
      <c r="O165" s="64">
        <f>(IF((VLOOKUP(Table1[[#This Row],[SKU]],'All Skus'!$A:$AC,2,FALSE))="AKG",(VLOOKUP(Table1[[#This Row],[SKU]],'All Skus'!$A:$AC,19,FALSE)),""))</f>
        <v>5</v>
      </c>
      <c r="P165" s="64">
        <f>(IF((VLOOKUP(Table1[[#This Row],[SKU]],'All Skus'!$A:$AC,2,FALSE))="AKG",(VLOOKUP(Table1[[#This Row],[SKU]],'All Skus'!$A:$AC,20,FALSE)),""))</f>
        <v>4</v>
      </c>
      <c r="Q165" s="64">
        <f>(IF((VLOOKUP(Table1[[#This Row],[SKU]],'All Skus'!$A:$AC,2,FALSE))="AKG",(VLOOKUP(Table1[[#This Row],[SKU]],'All Skus'!$A:$AC,21,FALSE)),""))</f>
        <v>0.2</v>
      </c>
      <c r="R165" s="64" t="str">
        <f>(IF((VLOOKUP(Table1[[#This Row],[SKU]],'All Skus'!$A:$AC,2,FALSE))="AKG",(VLOOKUP(Table1[[#This Row],[SKU]],'All Skus'!$A:$AC,22,FALSE)),""))</f>
        <v>CN</v>
      </c>
      <c r="S165" s="64" t="str">
        <f>(IF((VLOOKUP(Table1[[#This Row],[SKU]],'All Skus'!$A:$AC,2,FALSE))="AKG",(VLOOKUP(Table1[[#This Row],[SKU]],'All Skus'!$A:$AC,23,FALSE)),""))</f>
        <v>Non Compliant</v>
      </c>
      <c r="T165" s="210" t="str">
        <f>HYPERLINK((IF((VLOOKUP(Table1[[#This Row],[SKU]],'All Skus'!$A:$AC,2,FALSE))="AKG",(VLOOKUP(Table1[[#This Row],[SKU]],'All Skus'!$A:$AC,24,FALSE)),"")))</f>
        <v>https://www.akg.com/cs3-system.html?dwvar_CS3System_color=Black-GLOBAL-Current#q=cs3&amp;simplesearch=Go&amp;start=1</v>
      </c>
      <c r="U165" s="151">
        <v>163</v>
      </c>
    </row>
    <row r="166" spans="1:21" ht="15" hidden="1" customHeight="1">
      <c r="A166" s="50" t="s">
        <v>323</v>
      </c>
      <c r="B166" s="52" t="str">
        <f>(IF((VLOOKUP(Table1[[#This Row],[SKU]],'All Skus'!$A:$AC,2,FALSE))="AKG",(VLOOKUP(Table1[[#This Row],[SKU]],'All Skus'!$A:$AC,3,FALSE)), ""))</f>
        <v>Installed</v>
      </c>
      <c r="C166" s="60" t="str">
        <f>(IF((VLOOKUP(Table1[[#This Row],[SKU]],'All Skus'!$A:$AC,2,FALSE))="AKG",(VLOOKUP(Table1[[#This Row],[SKU]],'All Skus'!$A:$AC,4,FALSE)),""))</f>
        <v xml:space="preserve">MDA3 SEN2 </v>
      </c>
      <c r="D166" s="60" t="str">
        <f>(IF((VLOOKUP(Table1[[#This Row],[SKU]],'All Skus'!$A:$AC,2,FALSE))="AKG",(VLOOKUP(Table1[[#This Row],[SKU]],'All Skus'!$A:$AC,5,FALSE)),""))</f>
        <v>AT510000</v>
      </c>
      <c r="E166" s="60">
        <f>(IF((VLOOKUP(Table1[[#This Row],[SKU]],'All Skus'!$A:$AC,2,FALSE))="AKG",(VLOOKUP(Table1[[#This Row],[SKU]],'All Skus'!$A:$AC,6,FALSE)),""))</f>
        <v>0</v>
      </c>
      <c r="F166" s="60">
        <f>(IF((VLOOKUP(Table1[[#This Row],[SKU]],'All Skus'!$A:$AC,2,FALSE))="AKG",(VLOOKUP(Table1[[#This Row],[SKU]],'All Skus'!$A:$AC,7,FALSE)),""))</f>
        <v>0</v>
      </c>
      <c r="G166" s="45" t="str">
        <f>(IF((VLOOKUP(Table1[[#This Row],[SKU]],'All Skus'!$A:$AC,2,FALSE))="AKG",(VLOOKUP(Table1[[#This Row],[SKU]],'All Skus'!$A:$AC,8,FALSE)),""))</f>
        <v>Microlite Accessories</v>
      </c>
      <c r="H166" s="45" t="str">
        <f>(IF((VLOOKUP(Table1[[#This Row],[SKU]],'All Skus'!$A:$AC,2,FALSE))="AKG",(VLOOKUP(Table1[[#This Row],[SKU]],'All Skus'!$A:$AC,9,FALSE)),""))</f>
        <v>adapter connector Sennheiser Jack</v>
      </c>
      <c r="I166" s="141">
        <f>(IF((VLOOKUP(Table1[[#This Row],[SKU]],'All Skus'!$A:$AC,2,FALSE))="AKG",(VLOOKUP(Table1[[#This Row],[SKU]],'All Skus'!$A:$AC,10,FALSE)),""))</f>
        <v>85.32</v>
      </c>
      <c r="J166" s="141">
        <f>(IF((VLOOKUP(Table1[[#This Row],[SKU]],'All Skus'!$A:$AC,2,FALSE))="AKG",(VLOOKUP(Table1[[#This Row],[SKU]],'All Skus'!$A:$AC,11,FALSE)),""))</f>
        <v>0</v>
      </c>
      <c r="K166" s="125">
        <f>(IF((VLOOKUP(Table1[[#This Row],[SKU]],'All Skus'!$A:$AC,2,FALSE))="AKG",(VLOOKUP(Table1[[#This Row],[SKU]],'All Skus'!$A:$AC,15,FALSE)),""))</f>
        <v>0</v>
      </c>
      <c r="L166" s="124">
        <f>(IF((VLOOKUP(Table1[[#This Row],[SKU]],'All Skus'!$A:$AC,2,FALSE))="AKG",(VLOOKUP(Table1[[#This Row],[SKU]],'All Skus'!$A:$AC,16,FALSE)),""))</f>
        <v>885038039075</v>
      </c>
      <c r="M166" s="124">
        <f>(IF((VLOOKUP(Table1[[#This Row],[SKU]],'All Skus'!$A:$AC,2,FALSE))="AKG",(VLOOKUP(Table1[[#This Row],[SKU]],'All Skus'!$A:$AC,17,FALSE)),""))</f>
        <v>9002761039078</v>
      </c>
      <c r="N166" s="64">
        <f>(IF((VLOOKUP(Table1[[#This Row],[SKU]],'All Skus'!$A:$AC,2,FALSE))="AKG",(VLOOKUP(Table1[[#This Row],[SKU]],'All Skus'!$A:$AC,18,FALSE)),""))</f>
        <v>1</v>
      </c>
      <c r="O166" s="64">
        <f>(IF((VLOOKUP(Table1[[#This Row],[SKU]],'All Skus'!$A:$AC,2,FALSE))="AKG",(VLOOKUP(Table1[[#This Row],[SKU]],'All Skus'!$A:$AC,19,FALSE)),""))</f>
        <v>4</v>
      </c>
      <c r="P166" s="64">
        <f>(IF((VLOOKUP(Table1[[#This Row],[SKU]],'All Skus'!$A:$AC,2,FALSE))="AKG",(VLOOKUP(Table1[[#This Row],[SKU]],'All Skus'!$A:$AC,20,FALSE)),""))</f>
        <v>2.5</v>
      </c>
      <c r="Q166" s="64" t="str">
        <f>(IF((VLOOKUP(Table1[[#This Row],[SKU]],'All Skus'!$A:$AC,2,FALSE))="AKG",(VLOOKUP(Table1[[#This Row],[SKU]],'All Skus'!$A:$AC,21,FALSE)),""))</f>
        <v>n/a</v>
      </c>
      <c r="R166" s="64" t="str">
        <f>(IF((VLOOKUP(Table1[[#This Row],[SKU]],'All Skus'!$A:$AC,2,FALSE))="AKG",(VLOOKUP(Table1[[#This Row],[SKU]],'All Skus'!$A:$AC,22,FALSE)),""))</f>
        <v>TW</v>
      </c>
      <c r="S166" s="64" t="str">
        <f>(IF((VLOOKUP(Table1[[#This Row],[SKU]],'All Skus'!$A:$AC,2,FALSE))="AKG",(VLOOKUP(Table1[[#This Row],[SKU]],'All Skus'!$A:$AC,23,FALSE)),""))</f>
        <v>Compliant</v>
      </c>
      <c r="T166" s="210" t="str">
        <f>HYPERLINK((IF((VLOOKUP(Table1[[#This Row],[SKU]],'All Skus'!$A:$AC,2,FALSE))="AKG",(VLOOKUP(Table1[[#This Row],[SKU]],'All Skus'!$A:$AC,24,FALSE)),"")))</f>
        <v>https://www.akg.com/Microphones/Microphone%20Accessories/6500H00310.html</v>
      </c>
      <c r="U166" s="151">
        <v>164</v>
      </c>
    </row>
    <row r="167" spans="1:21" ht="15" hidden="1" customHeight="1">
      <c r="A167" s="50" t="s">
        <v>324</v>
      </c>
      <c r="B167" s="52" t="str">
        <f>(IF((VLOOKUP(Table1[[#This Row],[SKU]],'All Skus'!$A:$AC,2,FALSE))="AKG",(VLOOKUP(Table1[[#This Row],[SKU]],'All Skus'!$A:$AC,3,FALSE)), ""))</f>
        <v>Installed</v>
      </c>
      <c r="C167" s="60" t="str">
        <f>(IF((VLOOKUP(Table1[[#This Row],[SKU]],'All Skus'!$A:$AC,2,FALSE))="AKG",(VLOOKUP(Table1[[#This Row],[SKU]],'All Skus'!$A:$AC,4,FALSE)),""))</f>
        <v>CS3 DU 30</v>
      </c>
      <c r="D167" s="60" t="str">
        <f>(IF((VLOOKUP(Table1[[#This Row],[SKU]],'All Skus'!$A:$AC,2,FALSE))="AKG",(VLOOKUP(Table1[[#This Row],[SKU]],'All Skus'!$A:$AC,5,FALSE)),""))</f>
        <v>AT510060</v>
      </c>
      <c r="E167" s="60">
        <f>(IF((VLOOKUP(Table1[[#This Row],[SKU]],'All Skus'!$A:$AC,2,FALSE))="AKG",(VLOOKUP(Table1[[#This Row],[SKU]],'All Skus'!$A:$AC,6,FALSE)),""))</f>
        <v>0</v>
      </c>
      <c r="F167" s="60">
        <f>(IF((VLOOKUP(Table1[[#This Row],[SKU]],'All Skus'!$A:$AC,2,FALSE))="AKG",(VLOOKUP(Table1[[#This Row],[SKU]],'All Skus'!$A:$AC,7,FALSE)),""))</f>
        <v>0</v>
      </c>
      <c r="G167" s="45" t="str">
        <f>(IF((VLOOKUP(Table1[[#This Row],[SKU]],'All Skus'!$A:$AC,2,FALSE))="AKG",(VLOOKUP(Table1[[#This Row],[SKU]],'All Skus'!$A:$AC,8,FALSE)),""))</f>
        <v>Conference System Equipment</v>
      </c>
      <c r="H167" s="45" t="str">
        <f>(IF((VLOOKUP(Table1[[#This Row],[SKU]],'All Skus'!$A:$AC,2,FALSE))="AKG",(VLOOKUP(Table1[[#This Row],[SKU]],'All Skus'!$A:$AC,9,FALSE)),""))</f>
        <v>Delegate Unit with 30cm/12in gooseneck</v>
      </c>
      <c r="I167" s="141">
        <f>(IF((VLOOKUP(Table1[[#This Row],[SKU]],'All Skus'!$A:$AC,2,FALSE))="AKG",(VLOOKUP(Table1[[#This Row],[SKU]],'All Skus'!$A:$AC,10,FALSE)),""))</f>
        <v>406.8</v>
      </c>
      <c r="J167" s="141">
        <f>(IF((VLOOKUP(Table1[[#This Row],[SKU]],'All Skus'!$A:$AC,2,FALSE))="AKG",(VLOOKUP(Table1[[#This Row],[SKU]],'All Skus'!$A:$AC,11,FALSE)),""))</f>
        <v>325</v>
      </c>
      <c r="K167" s="125">
        <f>(IF((VLOOKUP(Table1[[#This Row],[SKU]],'All Skus'!$A:$AC,2,FALSE))="AKG",(VLOOKUP(Table1[[#This Row],[SKU]],'All Skus'!$A:$AC,15,FALSE)),""))</f>
        <v>0</v>
      </c>
      <c r="L167" s="124">
        <f>(IF((VLOOKUP(Table1[[#This Row],[SKU]],'All Skus'!$A:$AC,2,FALSE))="AKG",(VLOOKUP(Table1[[#This Row],[SKU]],'All Skus'!$A:$AC,16,FALSE)),""))</f>
        <v>885038035435</v>
      </c>
      <c r="M167" s="124">
        <f>(IF((VLOOKUP(Table1[[#This Row],[SKU]],'All Skus'!$A:$AC,2,FALSE))="AKG",(VLOOKUP(Table1[[#This Row],[SKU]],'All Skus'!$A:$AC,17,FALSE)),""))</f>
        <v>9002761035438</v>
      </c>
      <c r="N167" s="64">
        <f>(IF((VLOOKUP(Table1[[#This Row],[SKU]],'All Skus'!$A:$AC,2,FALSE))="AKG",(VLOOKUP(Table1[[#This Row],[SKU]],'All Skus'!$A:$AC,18,FALSE)),""))</f>
        <v>23</v>
      </c>
      <c r="O167" s="64">
        <f>(IF((VLOOKUP(Table1[[#This Row],[SKU]],'All Skus'!$A:$AC,2,FALSE))="AKG",(VLOOKUP(Table1[[#This Row],[SKU]],'All Skus'!$A:$AC,19,FALSE)),""))</f>
        <v>6</v>
      </c>
      <c r="P167" s="64">
        <f>(IF((VLOOKUP(Table1[[#This Row],[SKU]],'All Skus'!$A:$AC,2,FALSE))="AKG",(VLOOKUP(Table1[[#This Row],[SKU]],'All Skus'!$A:$AC,20,FALSE)),""))</f>
        <v>9</v>
      </c>
      <c r="Q167" s="64">
        <f>(IF((VLOOKUP(Table1[[#This Row],[SKU]],'All Skus'!$A:$AC,2,FALSE))="AKG",(VLOOKUP(Table1[[#This Row],[SKU]],'All Skus'!$A:$AC,21,FALSE)),""))</f>
        <v>5.6</v>
      </c>
      <c r="R167" s="64" t="str">
        <f>(IF((VLOOKUP(Table1[[#This Row],[SKU]],'All Skus'!$A:$AC,2,FALSE))="AKG",(VLOOKUP(Table1[[#This Row],[SKU]],'All Skus'!$A:$AC,22,FALSE)),""))</f>
        <v>CN</v>
      </c>
      <c r="S167" s="64" t="str">
        <f>(IF((VLOOKUP(Table1[[#This Row],[SKU]],'All Skus'!$A:$AC,2,FALSE))="AKG",(VLOOKUP(Table1[[#This Row],[SKU]],'All Skus'!$A:$AC,23,FALSE)),""))</f>
        <v>Non Compliant</v>
      </c>
      <c r="T167" s="210" t="str">
        <f>HYPERLINK((IF((VLOOKUP(Table1[[#This Row],[SKU]],'All Skus'!$A:$AC,2,FALSE))="AKG",(VLOOKUP(Table1[[#This Row],[SKU]],'All Skus'!$A:$AC,24,FALSE)),"")))</f>
        <v>https://www.akg.com/Integrated_Systems/conference-system-components/3361H00210.html</v>
      </c>
      <c r="U167" s="151">
        <v>165</v>
      </c>
    </row>
    <row r="168" spans="1:21" ht="15" hidden="1" customHeight="1">
      <c r="A168" s="50" t="s">
        <v>325</v>
      </c>
      <c r="B168" s="52" t="str">
        <f>(IF((VLOOKUP(Table1[[#This Row],[SKU]],'All Skus'!$A:$AC,2,FALSE))="AKG",(VLOOKUP(Table1[[#This Row],[SKU]],'All Skus'!$A:$AC,3,FALSE)), ""))</f>
        <v>Installed</v>
      </c>
      <c r="C168" s="60" t="str">
        <f>(IF((VLOOKUP(Table1[[#This Row],[SKU]],'All Skus'!$A:$AC,2,FALSE))="AKG",(VLOOKUP(Table1[[#This Row],[SKU]],'All Skus'!$A:$AC,4,FALSE)),""))</f>
        <v>CS3 CU 30</v>
      </c>
      <c r="D168" s="60" t="str">
        <f>(IF((VLOOKUP(Table1[[#This Row],[SKU]],'All Skus'!$A:$AC,2,FALSE))="AKG",(VLOOKUP(Table1[[#This Row],[SKU]],'All Skus'!$A:$AC,5,FALSE)),""))</f>
        <v>AT510060</v>
      </c>
      <c r="E168" s="60">
        <f>(IF((VLOOKUP(Table1[[#This Row],[SKU]],'All Skus'!$A:$AC,2,FALSE))="AKG",(VLOOKUP(Table1[[#This Row],[SKU]],'All Skus'!$A:$AC,6,FALSE)),""))</f>
        <v>0</v>
      </c>
      <c r="F168" s="60">
        <f>(IF((VLOOKUP(Table1[[#This Row],[SKU]],'All Skus'!$A:$AC,2,FALSE))="AKG",(VLOOKUP(Table1[[#This Row],[SKU]],'All Skus'!$A:$AC,7,FALSE)),""))</f>
        <v>0</v>
      </c>
      <c r="G168" s="45" t="str">
        <f>(IF((VLOOKUP(Table1[[#This Row],[SKU]],'All Skus'!$A:$AC,2,FALSE))="AKG",(VLOOKUP(Table1[[#This Row],[SKU]],'All Skus'!$A:$AC,8,FALSE)),""))</f>
        <v>Conference System Equipment</v>
      </c>
      <c r="H168" s="45" t="str">
        <f>(IF((VLOOKUP(Table1[[#This Row],[SKU]],'All Skus'!$A:$AC,2,FALSE))="AKG",(VLOOKUP(Table1[[#This Row],[SKU]],'All Skus'!$A:$AC,9,FALSE)),""))</f>
        <v>Chairman Unit with 30cm/12in gooseneck</v>
      </c>
      <c r="I168" s="141">
        <f>(IF((VLOOKUP(Table1[[#This Row],[SKU]],'All Skus'!$A:$AC,2,FALSE))="AKG",(VLOOKUP(Table1[[#This Row],[SKU]],'All Skus'!$A:$AC,10,FALSE)),""))</f>
        <v>518.08000000000004</v>
      </c>
      <c r="J168" s="141">
        <f>(IF((VLOOKUP(Table1[[#This Row],[SKU]],'All Skus'!$A:$AC,2,FALSE))="AKG",(VLOOKUP(Table1[[#This Row],[SKU]],'All Skus'!$A:$AC,11,FALSE)),""))</f>
        <v>407</v>
      </c>
      <c r="K168" s="125">
        <f>(IF((VLOOKUP(Table1[[#This Row],[SKU]],'All Skus'!$A:$AC,2,FALSE))="AKG",(VLOOKUP(Table1[[#This Row],[SKU]],'All Skus'!$A:$AC,15,FALSE)),""))</f>
        <v>0</v>
      </c>
      <c r="L168" s="124">
        <f>(IF((VLOOKUP(Table1[[#This Row],[SKU]],'All Skus'!$A:$AC,2,FALSE))="AKG",(VLOOKUP(Table1[[#This Row],[SKU]],'All Skus'!$A:$AC,16,FALSE)),""))</f>
        <v>885038035442</v>
      </c>
      <c r="M168" s="124">
        <f>(IF((VLOOKUP(Table1[[#This Row],[SKU]],'All Skus'!$A:$AC,2,FALSE))="AKG",(VLOOKUP(Table1[[#This Row],[SKU]],'All Skus'!$A:$AC,17,FALSE)),""))</f>
        <v>9002761035445</v>
      </c>
      <c r="N168" s="64">
        <f>(IF((VLOOKUP(Table1[[#This Row],[SKU]],'All Skus'!$A:$AC,2,FALSE))="AKG",(VLOOKUP(Table1[[#This Row],[SKU]],'All Skus'!$A:$AC,18,FALSE)),""))</f>
        <v>7</v>
      </c>
      <c r="O168" s="64">
        <f>(IF((VLOOKUP(Table1[[#This Row],[SKU]],'All Skus'!$A:$AC,2,FALSE))="AKG",(VLOOKUP(Table1[[#This Row],[SKU]],'All Skus'!$A:$AC,19,FALSE)),""))</f>
        <v>23</v>
      </c>
      <c r="P168" s="64">
        <f>(IF((VLOOKUP(Table1[[#This Row],[SKU]],'All Skus'!$A:$AC,2,FALSE))="AKG",(VLOOKUP(Table1[[#This Row],[SKU]],'All Skus'!$A:$AC,20,FALSE)),""))</f>
        <v>9</v>
      </c>
      <c r="Q168" s="64">
        <f>(IF((VLOOKUP(Table1[[#This Row],[SKU]],'All Skus'!$A:$AC,2,FALSE))="AKG",(VLOOKUP(Table1[[#This Row],[SKU]],'All Skus'!$A:$AC,21,FALSE)),""))</f>
        <v>5.6</v>
      </c>
      <c r="R168" s="64" t="str">
        <f>(IF((VLOOKUP(Table1[[#This Row],[SKU]],'All Skus'!$A:$AC,2,FALSE))="AKG",(VLOOKUP(Table1[[#This Row],[SKU]],'All Skus'!$A:$AC,22,FALSE)),""))</f>
        <v>CN</v>
      </c>
      <c r="S168" s="64" t="str">
        <f>(IF((VLOOKUP(Table1[[#This Row],[SKU]],'All Skus'!$A:$AC,2,FALSE))="AKG",(VLOOKUP(Table1[[#This Row],[SKU]],'All Skus'!$A:$AC,23,FALSE)),""))</f>
        <v>Non Compliant</v>
      </c>
      <c r="T168" s="210" t="str">
        <f>HYPERLINK((IF((VLOOKUP(Table1[[#This Row],[SKU]],'All Skus'!$A:$AC,2,FALSE))="AKG",(VLOOKUP(Table1[[#This Row],[SKU]],'All Skus'!$A:$AC,24,FALSE)),"")))</f>
        <v>https://www.akg.com/Integrated_Systems/conference-system-components/3361H00220.html</v>
      </c>
      <c r="U168" s="151">
        <v>166</v>
      </c>
    </row>
    <row r="169" spans="1:21" ht="15" hidden="1" customHeight="1">
      <c r="A169" s="50" t="s">
        <v>326</v>
      </c>
      <c r="B169" s="52" t="str">
        <f>(IF((VLOOKUP(Table1[[#This Row],[SKU]],'All Skus'!$A:$AC,2,FALSE))="AKG",(VLOOKUP(Table1[[#This Row],[SKU]],'All Skus'!$A:$AC,3,FALSE)), ""))</f>
        <v>Installed</v>
      </c>
      <c r="C169" s="60" t="str">
        <f>(IF((VLOOKUP(Table1[[#This Row],[SKU]],'All Skus'!$A:$AC,2,FALSE))="AKG",(VLOOKUP(Table1[[#This Row],[SKU]],'All Skus'!$A:$AC,4,FALSE)),""))</f>
        <v>CS3 DU 50</v>
      </c>
      <c r="D169" s="60" t="str">
        <f>(IF((VLOOKUP(Table1[[#This Row],[SKU]],'All Skus'!$A:$AC,2,FALSE))="AKG",(VLOOKUP(Table1[[#This Row],[SKU]],'All Skus'!$A:$AC,5,FALSE)),""))</f>
        <v>AT510060</v>
      </c>
      <c r="E169" s="60">
        <f>(IF((VLOOKUP(Table1[[#This Row],[SKU]],'All Skus'!$A:$AC,2,FALSE))="AKG",(VLOOKUP(Table1[[#This Row],[SKU]],'All Skus'!$A:$AC,6,FALSE)),""))</f>
        <v>0</v>
      </c>
      <c r="F169" s="60">
        <f>(IF((VLOOKUP(Table1[[#This Row],[SKU]],'All Skus'!$A:$AC,2,FALSE))="AKG",(VLOOKUP(Table1[[#This Row],[SKU]],'All Skus'!$A:$AC,7,FALSE)),""))</f>
        <v>0</v>
      </c>
      <c r="G169" s="45" t="str">
        <f>(IF((VLOOKUP(Table1[[#This Row],[SKU]],'All Skus'!$A:$AC,2,FALSE))="AKG",(VLOOKUP(Table1[[#This Row],[SKU]],'All Skus'!$A:$AC,8,FALSE)),""))</f>
        <v>Conference System Equipment</v>
      </c>
      <c r="H169" s="45" t="str">
        <f>(IF((VLOOKUP(Table1[[#This Row],[SKU]],'All Skus'!$A:$AC,2,FALSE))="AKG",(VLOOKUP(Table1[[#This Row],[SKU]],'All Skus'!$A:$AC,9,FALSE)),""))</f>
        <v>Delegate Unit with 50cm/20in gooseneck</v>
      </c>
      <c r="I169" s="141">
        <f>(IF((VLOOKUP(Table1[[#This Row],[SKU]],'All Skus'!$A:$AC,2,FALSE))="AKG",(VLOOKUP(Table1[[#This Row],[SKU]],'All Skus'!$A:$AC,10,FALSE)),""))</f>
        <v>406.8</v>
      </c>
      <c r="J169" s="141">
        <f>(IF((VLOOKUP(Table1[[#This Row],[SKU]],'All Skus'!$A:$AC,2,FALSE))="AKG",(VLOOKUP(Table1[[#This Row],[SKU]],'All Skus'!$A:$AC,11,FALSE)),""))</f>
        <v>325</v>
      </c>
      <c r="K169" s="125">
        <f>(IF((VLOOKUP(Table1[[#This Row],[SKU]],'All Skus'!$A:$AC,2,FALSE))="AKG",(VLOOKUP(Table1[[#This Row],[SKU]],'All Skus'!$A:$AC,15,FALSE)),""))</f>
        <v>0</v>
      </c>
      <c r="L169" s="124">
        <f>(IF((VLOOKUP(Table1[[#This Row],[SKU]],'All Skus'!$A:$AC,2,FALSE))="AKG",(VLOOKUP(Table1[[#This Row],[SKU]],'All Skus'!$A:$AC,16,FALSE)),""))</f>
        <v>885038035459</v>
      </c>
      <c r="M169" s="124">
        <f>(IF((VLOOKUP(Table1[[#This Row],[SKU]],'All Skus'!$A:$AC,2,FALSE))="AKG",(VLOOKUP(Table1[[#This Row],[SKU]],'All Skus'!$A:$AC,17,FALSE)),""))</f>
        <v>9002761035452</v>
      </c>
      <c r="N169" s="64">
        <f>(IF((VLOOKUP(Table1[[#This Row],[SKU]],'All Skus'!$A:$AC,2,FALSE))="AKG",(VLOOKUP(Table1[[#This Row],[SKU]],'All Skus'!$A:$AC,18,FALSE)),""))</f>
        <v>7</v>
      </c>
      <c r="O169" s="64">
        <f>(IF((VLOOKUP(Table1[[#This Row],[SKU]],'All Skus'!$A:$AC,2,FALSE))="AKG",(VLOOKUP(Table1[[#This Row],[SKU]],'All Skus'!$A:$AC,19,FALSE)),""))</f>
        <v>23</v>
      </c>
      <c r="P169" s="64">
        <f>(IF((VLOOKUP(Table1[[#This Row],[SKU]],'All Skus'!$A:$AC,2,FALSE))="AKG",(VLOOKUP(Table1[[#This Row],[SKU]],'All Skus'!$A:$AC,20,FALSE)),""))</f>
        <v>9</v>
      </c>
      <c r="Q169" s="64">
        <f>(IF((VLOOKUP(Table1[[#This Row],[SKU]],'All Skus'!$A:$AC,2,FALSE))="AKG",(VLOOKUP(Table1[[#This Row],[SKU]],'All Skus'!$A:$AC,21,FALSE)),""))</f>
        <v>5.6</v>
      </c>
      <c r="R169" s="64" t="str">
        <f>(IF((VLOOKUP(Table1[[#This Row],[SKU]],'All Skus'!$A:$AC,2,FALSE))="AKG",(VLOOKUP(Table1[[#This Row],[SKU]],'All Skus'!$A:$AC,22,FALSE)),""))</f>
        <v>CN</v>
      </c>
      <c r="S169" s="64" t="str">
        <f>(IF((VLOOKUP(Table1[[#This Row],[SKU]],'All Skus'!$A:$AC,2,FALSE))="AKG",(VLOOKUP(Table1[[#This Row],[SKU]],'All Skus'!$A:$AC,23,FALSE)),""))</f>
        <v>Non Compliant</v>
      </c>
      <c r="T169" s="210" t="str">
        <f>HYPERLINK((IF((VLOOKUP(Table1[[#This Row],[SKU]],'All Skus'!$A:$AC,2,FALSE))="AKG",(VLOOKUP(Table1[[#This Row],[SKU]],'All Skus'!$A:$AC,24,FALSE)),"")))</f>
        <v>https://www.akg.com/Integrated_Systems/conference-system-components/3361H00230.html</v>
      </c>
      <c r="U169" s="151">
        <v>167</v>
      </c>
    </row>
    <row r="170" spans="1:21" ht="15" hidden="1" customHeight="1">
      <c r="A170" s="50" t="s">
        <v>327</v>
      </c>
      <c r="B170" s="52" t="str">
        <f>(IF((VLOOKUP(Table1[[#This Row],[SKU]],'All Skus'!$A:$AC,2,FALSE))="AKG",(VLOOKUP(Table1[[#This Row],[SKU]],'All Skus'!$A:$AC,3,FALSE)), ""))</f>
        <v>Installed</v>
      </c>
      <c r="C170" s="60" t="str">
        <f>(IF((VLOOKUP(Table1[[#This Row],[SKU]],'All Skus'!$A:$AC,2,FALSE))="AKG",(VLOOKUP(Table1[[#This Row],[SKU]],'All Skus'!$A:$AC,4,FALSE)),""))</f>
        <v>CS3 CU 50</v>
      </c>
      <c r="D170" s="60" t="str">
        <f>(IF((VLOOKUP(Table1[[#This Row],[SKU]],'All Skus'!$A:$AC,2,FALSE))="AKG",(VLOOKUP(Table1[[#This Row],[SKU]],'All Skus'!$A:$AC,5,FALSE)),""))</f>
        <v>AT510060</v>
      </c>
      <c r="E170" s="60">
        <f>(IF((VLOOKUP(Table1[[#This Row],[SKU]],'All Skus'!$A:$AC,2,FALSE))="AKG",(VLOOKUP(Table1[[#This Row],[SKU]],'All Skus'!$A:$AC,6,FALSE)),""))</f>
        <v>0</v>
      </c>
      <c r="F170" s="60">
        <f>(IF((VLOOKUP(Table1[[#This Row],[SKU]],'All Skus'!$A:$AC,2,FALSE))="AKG",(VLOOKUP(Table1[[#This Row],[SKU]],'All Skus'!$A:$AC,7,FALSE)),""))</f>
        <v>0</v>
      </c>
      <c r="G170" s="45" t="str">
        <f>(IF((VLOOKUP(Table1[[#This Row],[SKU]],'All Skus'!$A:$AC,2,FALSE))="AKG",(VLOOKUP(Table1[[#This Row],[SKU]],'All Skus'!$A:$AC,8,FALSE)),""))</f>
        <v>Conference System Equipment</v>
      </c>
      <c r="H170" s="45" t="str">
        <f>(IF((VLOOKUP(Table1[[#This Row],[SKU]],'All Skus'!$A:$AC,2,FALSE))="AKG",(VLOOKUP(Table1[[#This Row],[SKU]],'All Skus'!$A:$AC,9,FALSE)),""))</f>
        <v>Chairman Unit with 50cm/20in gooseneck</v>
      </c>
      <c r="I170" s="141">
        <f>(IF((VLOOKUP(Table1[[#This Row],[SKU]],'All Skus'!$A:$AC,2,FALSE))="AKG",(VLOOKUP(Table1[[#This Row],[SKU]],'All Skus'!$A:$AC,10,FALSE)),""))</f>
        <v>518.08000000000004</v>
      </c>
      <c r="J170" s="141">
        <f>(IF((VLOOKUP(Table1[[#This Row],[SKU]],'All Skus'!$A:$AC,2,FALSE))="AKG",(VLOOKUP(Table1[[#This Row],[SKU]],'All Skus'!$A:$AC,11,FALSE)),""))</f>
        <v>407</v>
      </c>
      <c r="K170" s="125">
        <f>(IF((VLOOKUP(Table1[[#This Row],[SKU]],'All Skus'!$A:$AC,2,FALSE))="AKG",(VLOOKUP(Table1[[#This Row],[SKU]],'All Skus'!$A:$AC,15,FALSE)),""))</f>
        <v>0</v>
      </c>
      <c r="L170" s="124">
        <f>(IF((VLOOKUP(Table1[[#This Row],[SKU]],'All Skus'!$A:$AC,2,FALSE))="AKG",(VLOOKUP(Table1[[#This Row],[SKU]],'All Skus'!$A:$AC,16,FALSE)),""))</f>
        <v>885038035466</v>
      </c>
      <c r="M170" s="124">
        <f>(IF((VLOOKUP(Table1[[#This Row],[SKU]],'All Skus'!$A:$AC,2,FALSE))="AKG",(VLOOKUP(Table1[[#This Row],[SKU]],'All Skus'!$A:$AC,17,FALSE)),""))</f>
        <v>9002761035469</v>
      </c>
      <c r="N170" s="64">
        <f>(IF((VLOOKUP(Table1[[#This Row],[SKU]],'All Skus'!$A:$AC,2,FALSE))="AKG",(VLOOKUP(Table1[[#This Row],[SKU]],'All Skus'!$A:$AC,18,FALSE)),""))</f>
        <v>7</v>
      </c>
      <c r="O170" s="64">
        <f>(IF((VLOOKUP(Table1[[#This Row],[SKU]],'All Skus'!$A:$AC,2,FALSE))="AKG",(VLOOKUP(Table1[[#This Row],[SKU]],'All Skus'!$A:$AC,19,FALSE)),""))</f>
        <v>23</v>
      </c>
      <c r="P170" s="64">
        <f>(IF((VLOOKUP(Table1[[#This Row],[SKU]],'All Skus'!$A:$AC,2,FALSE))="AKG",(VLOOKUP(Table1[[#This Row],[SKU]],'All Skus'!$A:$AC,20,FALSE)),""))</f>
        <v>9</v>
      </c>
      <c r="Q170" s="64">
        <f>(IF((VLOOKUP(Table1[[#This Row],[SKU]],'All Skus'!$A:$AC,2,FALSE))="AKG",(VLOOKUP(Table1[[#This Row],[SKU]],'All Skus'!$A:$AC,21,FALSE)),""))</f>
        <v>5.6</v>
      </c>
      <c r="R170" s="64" t="str">
        <f>(IF((VLOOKUP(Table1[[#This Row],[SKU]],'All Skus'!$A:$AC,2,FALSE))="AKG",(VLOOKUP(Table1[[#This Row],[SKU]],'All Skus'!$A:$AC,22,FALSE)),""))</f>
        <v>CN</v>
      </c>
      <c r="S170" s="64" t="str">
        <f>(IF((VLOOKUP(Table1[[#This Row],[SKU]],'All Skus'!$A:$AC,2,FALSE))="AKG",(VLOOKUP(Table1[[#This Row],[SKU]],'All Skus'!$A:$AC,23,FALSE)),""))</f>
        <v>Non Compliant</v>
      </c>
      <c r="T170" s="210" t="str">
        <f>HYPERLINK((IF((VLOOKUP(Table1[[#This Row],[SKU]],'All Skus'!$A:$AC,2,FALSE))="AKG",(VLOOKUP(Table1[[#This Row],[SKU]],'All Skus'!$A:$AC,24,FALSE)),"")))</f>
        <v>https://www.akg.com/Integrated_Systems/conference-system-components/3361H00240.html</v>
      </c>
      <c r="U170" s="151">
        <v>168</v>
      </c>
    </row>
    <row r="171" spans="1:21" ht="15" hidden="1" customHeight="1">
      <c r="A171" s="50" t="s">
        <v>328</v>
      </c>
      <c r="B171" s="52" t="str">
        <f>(IF((VLOOKUP(Table1[[#This Row],[SKU]],'All Skus'!$A:$AC,2,FALSE))="AKG",(VLOOKUP(Table1[[#This Row],[SKU]],'All Skus'!$A:$AC,3,FALSE)), ""))</f>
        <v>Installed</v>
      </c>
      <c r="C171" s="60" t="str">
        <f>(IF((VLOOKUP(Table1[[#This Row],[SKU]],'All Skus'!$A:$AC,2,FALSE))="AKG",(VLOOKUP(Table1[[#This Row],[SKU]],'All Skus'!$A:$AC,4,FALSE)),""))</f>
        <v>CS3 BU</v>
      </c>
      <c r="D171" s="60" t="str">
        <f>(IF((VLOOKUP(Table1[[#This Row],[SKU]],'All Skus'!$A:$AC,2,FALSE))="AKG",(VLOOKUP(Table1[[#This Row],[SKU]],'All Skus'!$A:$AC,5,FALSE)),""))</f>
        <v>AT510060</v>
      </c>
      <c r="E171" s="60">
        <f>(IF((VLOOKUP(Table1[[#This Row],[SKU]],'All Skus'!$A:$AC,2,FALSE))="AKG",(VLOOKUP(Table1[[#This Row],[SKU]],'All Skus'!$A:$AC,6,FALSE)),""))</f>
        <v>0</v>
      </c>
      <c r="F171" s="60">
        <f>(IF((VLOOKUP(Table1[[#This Row],[SKU]],'All Skus'!$A:$AC,2,FALSE))="AKG",(VLOOKUP(Table1[[#This Row],[SKU]],'All Skus'!$A:$AC,7,FALSE)),""))</f>
        <v>0</v>
      </c>
      <c r="G171" s="45" t="str">
        <f>(IF((VLOOKUP(Table1[[#This Row],[SKU]],'All Skus'!$A:$AC,2,FALSE))="AKG",(VLOOKUP(Table1[[#This Row],[SKU]],'All Skus'!$A:$AC,8,FALSE)),""))</f>
        <v>Conference System Equipment</v>
      </c>
      <c r="H171" s="45" t="str">
        <f>(IF((VLOOKUP(Table1[[#This Row],[SKU]],'All Skus'!$A:$AC,2,FALSE))="AKG",(VLOOKUP(Table1[[#This Row],[SKU]],'All Skus'!$A:$AC,9,FALSE)),""))</f>
        <v>Base Unit</v>
      </c>
      <c r="I171" s="141">
        <f>(IF((VLOOKUP(Table1[[#This Row],[SKU]],'All Skus'!$A:$AC,2,FALSE))="AKG",(VLOOKUP(Table1[[#This Row],[SKU]],'All Skus'!$A:$AC,10,FALSE)),""))</f>
        <v>1683.5</v>
      </c>
      <c r="J171" s="141">
        <f>(IF((VLOOKUP(Table1[[#This Row],[SKU]],'All Skus'!$A:$AC,2,FALSE))="AKG",(VLOOKUP(Table1[[#This Row],[SKU]],'All Skus'!$A:$AC,11,FALSE)),""))</f>
        <v>1345</v>
      </c>
      <c r="K171" s="125">
        <f>(IF((VLOOKUP(Table1[[#This Row],[SKU]],'All Skus'!$A:$AC,2,FALSE))="AKG",(VLOOKUP(Table1[[#This Row],[SKU]],'All Skus'!$A:$AC,15,FALSE)),""))</f>
        <v>0</v>
      </c>
      <c r="L171" s="124">
        <f>(IF((VLOOKUP(Table1[[#This Row],[SKU]],'All Skus'!$A:$AC,2,FALSE))="AKG",(VLOOKUP(Table1[[#This Row],[SKU]],'All Skus'!$A:$AC,16,FALSE)),""))</f>
        <v>885038035633</v>
      </c>
      <c r="M171" s="124">
        <f>(IF((VLOOKUP(Table1[[#This Row],[SKU]],'All Skus'!$A:$AC,2,FALSE))="AKG",(VLOOKUP(Table1[[#This Row],[SKU]],'All Skus'!$A:$AC,17,FALSE)),""))</f>
        <v>9002761035636</v>
      </c>
      <c r="N171" s="64">
        <f>(IF((VLOOKUP(Table1[[#This Row],[SKU]],'All Skus'!$A:$AC,2,FALSE))="AKG",(VLOOKUP(Table1[[#This Row],[SKU]],'All Skus'!$A:$AC,18,FALSE)),""))</f>
        <v>8</v>
      </c>
      <c r="O171" s="64">
        <f>(IF((VLOOKUP(Table1[[#This Row],[SKU]],'All Skus'!$A:$AC,2,FALSE))="AKG",(VLOOKUP(Table1[[#This Row],[SKU]],'All Skus'!$A:$AC,19,FALSE)),""))</f>
        <v>16</v>
      </c>
      <c r="P171" s="64">
        <f>(IF((VLOOKUP(Table1[[#This Row],[SKU]],'All Skus'!$A:$AC,2,FALSE))="AKG",(VLOOKUP(Table1[[#This Row],[SKU]],'All Skus'!$A:$AC,20,FALSE)),""))</f>
        <v>21</v>
      </c>
      <c r="Q171" s="64">
        <f>(IF((VLOOKUP(Table1[[#This Row],[SKU]],'All Skus'!$A:$AC,2,FALSE))="AKG",(VLOOKUP(Table1[[#This Row],[SKU]],'All Skus'!$A:$AC,21,FALSE)),""))</f>
        <v>7.6</v>
      </c>
      <c r="R171" s="64" t="str">
        <f>(IF((VLOOKUP(Table1[[#This Row],[SKU]],'All Skus'!$A:$AC,2,FALSE))="AKG",(VLOOKUP(Table1[[#This Row],[SKU]],'All Skus'!$A:$AC,22,FALSE)),""))</f>
        <v>CN</v>
      </c>
      <c r="S171" s="64" t="str">
        <f>(IF((VLOOKUP(Table1[[#This Row],[SKU]],'All Skus'!$A:$AC,2,FALSE))="AKG",(VLOOKUP(Table1[[#This Row],[SKU]],'All Skus'!$A:$AC,23,FALSE)),""))</f>
        <v>Non Compliant</v>
      </c>
      <c r="T171" s="210" t="str">
        <f>HYPERLINK((IF((VLOOKUP(Table1[[#This Row],[SKU]],'All Skus'!$A:$AC,2,FALSE))="AKG",(VLOOKUP(Table1[[#This Row],[SKU]],'All Skus'!$A:$AC,24,FALSE)),"")))</f>
        <v>https://www.akg.com/Integrated_Systems/conference-system-components/3361H00250.html</v>
      </c>
      <c r="U171" s="151">
        <v>169</v>
      </c>
    </row>
    <row r="172" spans="1:21" ht="15" hidden="1" customHeight="1">
      <c r="A172" s="50" t="s">
        <v>329</v>
      </c>
      <c r="B172" s="52" t="str">
        <f>(IF((VLOOKUP(Table1[[#This Row],[SKU]],'All Skus'!$A:$AC,2,FALSE))="AKG",(VLOOKUP(Table1[[#This Row],[SKU]],'All Skus'!$A:$AC,3,FALSE)), ""))</f>
        <v>Installed</v>
      </c>
      <c r="C172" s="60" t="str">
        <f>(IF((VLOOKUP(Table1[[#This Row],[SKU]],'All Skus'!$A:$AC,2,FALSE))="AKG",(VLOOKUP(Table1[[#This Row],[SKU]],'All Skus'!$A:$AC,4,FALSE)),""))</f>
        <v>CS321</v>
      </c>
      <c r="D172" s="60" t="str">
        <f>(IF((VLOOKUP(Table1[[#This Row],[SKU]],'All Skus'!$A:$AC,2,FALSE))="AKG",(VLOOKUP(Table1[[#This Row],[SKU]],'All Skus'!$A:$AC,5,FALSE)),""))</f>
        <v>AT510000</v>
      </c>
      <c r="E172" s="60">
        <f>(IF((VLOOKUP(Table1[[#This Row],[SKU]],'All Skus'!$A:$AC,2,FALSE))="AKG",(VLOOKUP(Table1[[#This Row],[SKU]],'All Skus'!$A:$AC,6,FALSE)),""))</f>
        <v>0</v>
      </c>
      <c r="F172" s="60">
        <f>(IF((VLOOKUP(Table1[[#This Row],[SKU]],'All Skus'!$A:$AC,2,FALSE))="AKG",(VLOOKUP(Table1[[#This Row],[SKU]],'All Skus'!$A:$AC,7,FALSE)),""))</f>
        <v>0</v>
      </c>
      <c r="G172" s="45" t="str">
        <f>(IF((VLOOKUP(Table1[[#This Row],[SKU]],'All Skus'!$A:$AC,2,FALSE))="AKG",(VLOOKUP(Table1[[#This Row],[SKU]],'All Skus'!$A:$AC,8,FALSE)),""))</f>
        <v>Conference System Equipment</v>
      </c>
      <c r="H172" s="45" t="str">
        <f>(IF((VLOOKUP(Table1[[#This Row],[SKU]],'All Skus'!$A:$AC,2,FALSE))="AKG",(VLOOKUP(Table1[[#This Row],[SKU]],'All Skus'!$A:$AC,9,FALSE)),""))</f>
        <v>High-performance condenser gooseneck microphone</v>
      </c>
      <c r="I172" s="141">
        <f>(IF((VLOOKUP(Table1[[#This Row],[SKU]],'All Skus'!$A:$AC,2,FALSE))="AKG",(VLOOKUP(Table1[[#This Row],[SKU]],'All Skus'!$A:$AC,10,FALSE)),""))</f>
        <v>122.41</v>
      </c>
      <c r="J172" s="141">
        <f>(IF((VLOOKUP(Table1[[#This Row],[SKU]],'All Skus'!$A:$AC,2,FALSE))="AKG",(VLOOKUP(Table1[[#This Row],[SKU]],'All Skus'!$A:$AC,11,FALSE)),""))</f>
        <v>98</v>
      </c>
      <c r="K172" s="125">
        <f>(IF((VLOOKUP(Table1[[#This Row],[SKU]],'All Skus'!$A:$AC,2,FALSE))="AKG",(VLOOKUP(Table1[[#This Row],[SKU]],'All Skus'!$A:$AC,15,FALSE)),""))</f>
        <v>20</v>
      </c>
      <c r="L172" s="124">
        <f>(IF((VLOOKUP(Table1[[#This Row],[SKU]],'All Skus'!$A:$AC,2,FALSE))="AKG",(VLOOKUP(Table1[[#This Row],[SKU]],'All Skus'!$A:$AC,16,FALSE)),""))</f>
        <v>885038034643</v>
      </c>
      <c r="M172" s="124">
        <f>(IF((VLOOKUP(Table1[[#This Row],[SKU]],'All Skus'!$A:$AC,2,FALSE))="AKG",(VLOOKUP(Table1[[#This Row],[SKU]],'All Skus'!$A:$AC,17,FALSE)),""))</f>
        <v>9002761034646</v>
      </c>
      <c r="N172" s="64">
        <f>(IF((VLOOKUP(Table1[[#This Row],[SKU]],'All Skus'!$A:$AC,2,FALSE))="AKG",(VLOOKUP(Table1[[#This Row],[SKU]],'All Skus'!$A:$AC,18,FALSE)),""))</f>
        <v>12</v>
      </c>
      <c r="O172" s="64">
        <f>(IF((VLOOKUP(Table1[[#This Row],[SKU]],'All Skus'!$A:$AC,2,FALSE))="AKG",(VLOOKUP(Table1[[#This Row],[SKU]],'All Skus'!$A:$AC,19,FALSE)),""))</f>
        <v>18</v>
      </c>
      <c r="P172" s="64">
        <f>(IF((VLOOKUP(Table1[[#This Row],[SKU]],'All Skus'!$A:$AC,2,FALSE))="AKG",(VLOOKUP(Table1[[#This Row],[SKU]],'All Skus'!$A:$AC,20,FALSE)),""))</f>
        <v>13</v>
      </c>
      <c r="Q172" s="64">
        <f>(IF((VLOOKUP(Table1[[#This Row],[SKU]],'All Skus'!$A:$AC,2,FALSE))="AKG",(VLOOKUP(Table1[[#This Row],[SKU]],'All Skus'!$A:$AC,21,FALSE)),""))</f>
        <v>5.6</v>
      </c>
      <c r="R172" s="64" t="str">
        <f>(IF((VLOOKUP(Table1[[#This Row],[SKU]],'All Skus'!$A:$AC,2,FALSE))="AKG",(VLOOKUP(Table1[[#This Row],[SKU]],'All Skus'!$A:$AC,22,FALSE)),""))</f>
        <v>CN</v>
      </c>
      <c r="S172" s="64" t="str">
        <f>(IF((VLOOKUP(Table1[[#This Row],[SKU]],'All Skus'!$A:$AC,2,FALSE))="AKG",(VLOOKUP(Table1[[#This Row],[SKU]],'All Skus'!$A:$AC,23,FALSE)),""))</f>
        <v>Non Compliant</v>
      </c>
      <c r="T172" s="210" t="str">
        <f>HYPERLINK((IF((VLOOKUP(Table1[[#This Row],[SKU]],'All Skus'!$A:$AC,2,FALSE))="AKG",(VLOOKUP(Table1[[#This Row],[SKU]],'All Skus'!$A:$AC,24,FALSE)),"")))</f>
        <v>https://www.akg.com/Integrated_Systems/conference-system-components/3361H00340.html</v>
      </c>
      <c r="U172" s="151">
        <v>170</v>
      </c>
    </row>
    <row r="173" spans="1:21" ht="15" hidden="1" customHeight="1">
      <c r="A173" s="50" t="s">
        <v>330</v>
      </c>
      <c r="B173" s="52" t="str">
        <f>(IF((VLOOKUP(Table1[[#This Row],[SKU]],'All Skus'!$A:$AC,2,FALSE))="AKG",(VLOOKUP(Table1[[#This Row],[SKU]],'All Skus'!$A:$AC,3,FALSE)), ""))</f>
        <v>Installed</v>
      </c>
      <c r="C173" s="60" t="str">
        <f>(IF((VLOOKUP(Table1[[#This Row],[SKU]],'All Skus'!$A:$AC,2,FALSE))="AKG",(VLOOKUP(Table1[[#This Row],[SKU]],'All Skus'!$A:$AC,4,FALSE)),""))</f>
        <v>CSX IRT4</v>
      </c>
      <c r="D173" s="60" t="str">
        <f>(IF((VLOOKUP(Table1[[#This Row],[SKU]],'All Skus'!$A:$AC,2,FALSE))="AKG",(VLOOKUP(Table1[[#This Row],[SKU]],'All Skus'!$A:$AC,5,FALSE)),""))</f>
        <v>AT510060</v>
      </c>
      <c r="E173" s="60">
        <f>(IF((VLOOKUP(Table1[[#This Row],[SKU]],'All Skus'!$A:$AC,2,FALSE))="AKG",(VLOOKUP(Table1[[#This Row],[SKU]],'All Skus'!$A:$AC,6,FALSE)),""))</f>
        <v>0</v>
      </c>
      <c r="F173" s="60" t="str">
        <f>(IF((VLOOKUP(Table1[[#This Row],[SKU]],'All Skus'!$A:$AC,2,FALSE))="AKG",(VLOOKUP(Table1[[#This Row],[SKU]],'All Skus'!$A:$AC,7,FALSE)),""))</f>
        <v>Limited Quantity</v>
      </c>
      <c r="G173" s="45" t="str">
        <f>(IF((VLOOKUP(Table1[[#This Row],[SKU]],'All Skus'!$A:$AC,2,FALSE))="AKG",(VLOOKUP(Table1[[#This Row],[SKU]],'All Skus'!$A:$AC,8,FALSE)),""))</f>
        <v>Conference System Equipment</v>
      </c>
      <c r="H173" s="45" t="str">
        <f>(IF((VLOOKUP(Table1[[#This Row],[SKU]],'All Skus'!$A:$AC,2,FALSE))="AKG",(VLOOKUP(Table1[[#This Row],[SKU]],'All Skus'!$A:$AC,9,FALSE)),""))</f>
        <v>IR radiator flood</v>
      </c>
      <c r="I173" s="141">
        <f>(IF((VLOOKUP(Table1[[#This Row],[SKU]],'All Skus'!$A:$AC,2,FALSE))="AKG",(VLOOKUP(Table1[[#This Row],[SKU]],'All Skus'!$A:$AC,10,FALSE)),""))</f>
        <v>4944.68</v>
      </c>
      <c r="J173" s="141">
        <f>(IF((VLOOKUP(Table1[[#This Row],[SKU]],'All Skus'!$A:$AC,2,FALSE))="AKG",(VLOOKUP(Table1[[#This Row],[SKU]],'All Skus'!$A:$AC,11,FALSE)),""))</f>
        <v>3893</v>
      </c>
      <c r="K173" s="125">
        <f>(IF((VLOOKUP(Table1[[#This Row],[SKU]],'All Skus'!$A:$AC,2,FALSE))="AKG",(VLOOKUP(Table1[[#This Row],[SKU]],'All Skus'!$A:$AC,15,FALSE)),""))</f>
        <v>0</v>
      </c>
      <c r="L173" s="124">
        <f>(IF((VLOOKUP(Table1[[#This Row],[SKU]],'All Skus'!$A:$AC,2,FALSE))="AKG",(VLOOKUP(Table1[[#This Row],[SKU]],'All Skus'!$A:$AC,16,FALSE)),""))</f>
        <v>885038037163</v>
      </c>
      <c r="M173" s="124">
        <f>(IF((VLOOKUP(Table1[[#This Row],[SKU]],'All Skus'!$A:$AC,2,FALSE))="AKG",(VLOOKUP(Table1[[#This Row],[SKU]],'All Skus'!$A:$AC,17,FALSE)),""))</f>
        <v>9002761037166</v>
      </c>
      <c r="N173" s="64">
        <f>(IF((VLOOKUP(Table1[[#This Row],[SKU]],'All Skus'!$A:$AC,2,FALSE))="AKG",(VLOOKUP(Table1[[#This Row],[SKU]],'All Skus'!$A:$AC,18,FALSE)),""))</f>
        <v>0</v>
      </c>
      <c r="O173" s="64">
        <f>(IF((VLOOKUP(Table1[[#This Row],[SKU]],'All Skus'!$A:$AC,2,FALSE))="AKG",(VLOOKUP(Table1[[#This Row],[SKU]],'All Skus'!$A:$AC,19,FALSE)),""))</f>
        <v>0</v>
      </c>
      <c r="P173" s="64">
        <f>(IF((VLOOKUP(Table1[[#This Row],[SKU]],'All Skus'!$A:$AC,2,FALSE))="AKG",(VLOOKUP(Table1[[#This Row],[SKU]],'All Skus'!$A:$AC,20,FALSE)),""))</f>
        <v>0</v>
      </c>
      <c r="Q173" s="64">
        <f>(IF((VLOOKUP(Table1[[#This Row],[SKU]],'All Skus'!$A:$AC,2,FALSE))="AKG",(VLOOKUP(Table1[[#This Row],[SKU]],'All Skus'!$A:$AC,21,FALSE)),""))</f>
        <v>3</v>
      </c>
      <c r="R173" s="64" t="str">
        <f>(IF((VLOOKUP(Table1[[#This Row],[SKU]],'All Skus'!$A:$AC,2,FALSE))="AKG",(VLOOKUP(Table1[[#This Row],[SKU]],'All Skus'!$A:$AC,22,FALSE)),""))</f>
        <v>HU</v>
      </c>
      <c r="S173" s="64" t="str">
        <f>(IF((VLOOKUP(Table1[[#This Row],[SKU]],'All Skus'!$A:$AC,2,FALSE))="AKG",(VLOOKUP(Table1[[#This Row],[SKU]],'All Skus'!$A:$AC,23,FALSE)),""))</f>
        <v>Compliant</v>
      </c>
      <c r="T173" s="210" t="str">
        <f>HYPERLINK((IF((VLOOKUP(Table1[[#This Row],[SKU]],'All Skus'!$A:$AC,2,FALSE))="AKG",(VLOOKUP(Table1[[#This Row],[SKU]],'All Skus'!$A:$AC,24,FALSE)),"")))</f>
        <v>https://www.akg.com/Integrated_Systems/conference-system-components/6500H00220.html</v>
      </c>
      <c r="U173" s="151">
        <v>171</v>
      </c>
    </row>
    <row r="174" spans="1:21" ht="15" hidden="1" customHeight="1">
      <c r="A174" s="109" t="s">
        <v>331</v>
      </c>
      <c r="B174" s="52">
        <f>(IF((VLOOKUP(Table1[[#This Row],[SKU]],'All Skus'!$A:$AC,2,FALSE))="AKG",(VLOOKUP(Table1[[#This Row],[SKU]],'All Skus'!$A:$AC,3,FALSE)), ""))</f>
        <v>0</v>
      </c>
      <c r="C174" s="60">
        <f>(IF((VLOOKUP(Table1[[#This Row],[SKU]],'All Skus'!$A:$AC,2,FALSE))="AKG",(VLOOKUP(Table1[[#This Row],[SKU]],'All Skus'!$A:$AC,4,FALSE)),""))</f>
        <v>0</v>
      </c>
      <c r="D174" s="60">
        <f>(IF((VLOOKUP(Table1[[#This Row],[SKU]],'All Skus'!$A:$AC,2,FALSE))="AKG",(VLOOKUP(Table1[[#This Row],[SKU]],'All Skus'!$A:$AC,5,FALSE)),""))</f>
        <v>0</v>
      </c>
      <c r="E174" s="60">
        <f>(IF((VLOOKUP(Table1[[#This Row],[SKU]],'All Skus'!$A:$AC,2,FALSE))="AKG",(VLOOKUP(Table1[[#This Row],[SKU]],'All Skus'!$A:$AC,6,FALSE)),""))</f>
        <v>0</v>
      </c>
      <c r="F174" s="60">
        <f>(IF((VLOOKUP(Table1[[#This Row],[SKU]],'All Skus'!$A:$AC,2,FALSE))="AKG",(VLOOKUP(Table1[[#This Row],[SKU]],'All Skus'!$A:$AC,7,FALSE)),""))</f>
        <v>0</v>
      </c>
      <c r="G174" s="45">
        <f>(IF((VLOOKUP(Table1[[#This Row],[SKU]],'All Skus'!$A:$AC,2,FALSE))="AKG",(VLOOKUP(Table1[[#This Row],[SKU]],'All Skus'!$A:$AC,8,FALSE)),""))</f>
        <v>0</v>
      </c>
      <c r="H174" s="45">
        <f>(IF((VLOOKUP(Table1[[#This Row],[SKU]],'All Skus'!$A:$AC,2,FALSE))="AKG",(VLOOKUP(Table1[[#This Row],[SKU]],'All Skus'!$A:$AC,9,FALSE)),""))</f>
        <v>0</v>
      </c>
      <c r="I174" s="141">
        <f>(IF((VLOOKUP(Table1[[#This Row],[SKU]],'All Skus'!$A:$AC,2,FALSE))="AKG",(VLOOKUP(Table1[[#This Row],[SKU]],'All Skus'!$A:$AC,10,FALSE)),""))</f>
        <v>0</v>
      </c>
      <c r="J174" s="141">
        <f>(IF((VLOOKUP(Table1[[#This Row],[SKU]],'All Skus'!$A:$AC,2,FALSE))="AKG",(VLOOKUP(Table1[[#This Row],[SKU]],'All Skus'!$A:$AC,11,FALSE)),""))</f>
        <v>0</v>
      </c>
      <c r="K174" s="125">
        <f>(IF((VLOOKUP(Table1[[#This Row],[SKU]],'All Skus'!$A:$AC,2,FALSE))="AKG",(VLOOKUP(Table1[[#This Row],[SKU]],'All Skus'!$A:$AC,15,FALSE)),""))</f>
        <v>0</v>
      </c>
      <c r="L174" s="124">
        <f>(IF((VLOOKUP(Table1[[#This Row],[SKU]],'All Skus'!$A:$AC,2,FALSE))="AKG",(VLOOKUP(Table1[[#This Row],[SKU]],'All Skus'!$A:$AC,16,FALSE)),""))</f>
        <v>0</v>
      </c>
      <c r="M174" s="124">
        <f>(IF((VLOOKUP(Table1[[#This Row],[SKU]],'All Skus'!$A:$AC,2,FALSE))="AKG",(VLOOKUP(Table1[[#This Row],[SKU]],'All Skus'!$A:$AC,17,FALSE)),""))</f>
        <v>0</v>
      </c>
      <c r="N174" s="64">
        <f>(IF((VLOOKUP(Table1[[#This Row],[SKU]],'All Skus'!$A:$AC,2,FALSE))="AKG",(VLOOKUP(Table1[[#This Row],[SKU]],'All Skus'!$A:$AC,18,FALSE)),""))</f>
        <v>0</v>
      </c>
      <c r="O174" s="64">
        <f>(IF((VLOOKUP(Table1[[#This Row],[SKU]],'All Skus'!$A:$AC,2,FALSE))="AKG",(VLOOKUP(Table1[[#This Row],[SKU]],'All Skus'!$A:$AC,19,FALSE)),""))</f>
        <v>0</v>
      </c>
      <c r="P174" s="64">
        <f>(IF((VLOOKUP(Table1[[#This Row],[SKU]],'All Skus'!$A:$AC,2,FALSE))="AKG",(VLOOKUP(Table1[[#This Row],[SKU]],'All Skus'!$A:$AC,20,FALSE)),""))</f>
        <v>0</v>
      </c>
      <c r="Q174" s="64">
        <f>(IF((VLOOKUP(Table1[[#This Row],[SKU]],'All Skus'!$A:$AC,2,FALSE))="AKG",(VLOOKUP(Table1[[#This Row],[SKU]],'All Skus'!$A:$AC,21,FALSE)),""))</f>
        <v>0</v>
      </c>
      <c r="R174" s="64">
        <f>(IF((VLOOKUP(Table1[[#This Row],[SKU]],'All Skus'!$A:$AC,2,FALSE))="AKG",(VLOOKUP(Table1[[#This Row],[SKU]],'All Skus'!$A:$AC,22,FALSE)),""))</f>
        <v>0</v>
      </c>
      <c r="S174" s="64">
        <f>(IF((VLOOKUP(Table1[[#This Row],[SKU]],'All Skus'!$A:$AC,2,FALSE))="AKG",(VLOOKUP(Table1[[#This Row],[SKU]],'All Skus'!$A:$AC,23,FALSE)),""))</f>
        <v>0</v>
      </c>
      <c r="T174" s="210" t="str">
        <f>HYPERLINK((IF((VLOOKUP(Table1[[#This Row],[SKU]],'All Skus'!$A:$AC,2,FALSE))="AKG",(VLOOKUP(Table1[[#This Row],[SKU]],'All Skus'!$A:$AC,24,FALSE)),"")))</f>
        <v/>
      </c>
      <c r="U174" s="151">
        <v>172</v>
      </c>
    </row>
    <row r="175" spans="1:21" ht="15" hidden="1" customHeight="1">
      <c r="A175" s="48" t="s">
        <v>332</v>
      </c>
      <c r="B175" s="52" t="str">
        <f>(IF((VLOOKUP(Table1[[#This Row],[SKU]],'All Skus'!$A:$AC,2,FALSE))="AKG",(VLOOKUP(Table1[[#This Row],[SKU]],'All Skus'!$A:$AC,3,FALSE)), ""))</f>
        <v>Installed</v>
      </c>
      <c r="C175" s="60" t="str">
        <f>(IF((VLOOKUP(Table1[[#This Row],[SKU]],'All Skus'!$A:$AC,2,FALSE))="AKG",(VLOOKUP(Table1[[#This Row],[SKU]],'All Skus'!$A:$AC,4,FALSE)),""))</f>
        <v>IS products</v>
      </c>
      <c r="D175" s="60" t="str">
        <f>(IF((VLOOKUP(Table1[[#This Row],[SKU]],'All Skus'!$A:$AC,2,FALSE))="AKG",(VLOOKUP(Table1[[#This Row],[SKU]],'All Skus'!$A:$AC,5,FALSE)),""))</f>
        <v>LC82MD beige</v>
      </c>
      <c r="E175" s="60">
        <f>(IF((VLOOKUP(Table1[[#This Row],[SKU]],'All Skus'!$A:$AC,2,FALSE))="AKG",(VLOOKUP(Table1[[#This Row],[SKU]],'All Skus'!$A:$AC,6,FALSE)),""))</f>
        <v>0</v>
      </c>
      <c r="F175" s="60">
        <f>(IF((VLOOKUP(Table1[[#This Row],[SKU]],'All Skus'!$A:$AC,2,FALSE))="AKG",(VLOOKUP(Table1[[#This Row],[SKU]],'All Skus'!$A:$AC,7,FALSE)),""))</f>
        <v>0</v>
      </c>
      <c r="G175" s="45" t="str">
        <f>(IF((VLOOKUP(Table1[[#This Row],[SKU]],'All Skus'!$A:$AC,2,FALSE))="AKG",(VLOOKUP(Table1[[#This Row],[SKU]],'All Skus'!$A:$AC,8,FALSE)),""))</f>
        <v>Microlite Microphones</v>
      </c>
      <c r="H175" s="45" t="str">
        <f>(IF((VLOOKUP(Table1[[#This Row],[SKU]],'All Skus'!$A:$AC,2,FALSE))="AKG",(VLOOKUP(Table1[[#This Row],[SKU]],'All Skus'!$A:$AC,9,FALSE)),""))</f>
        <v>Lavalier Omni</v>
      </c>
      <c r="I175" s="141">
        <f>(IF((VLOOKUP(Table1[[#This Row],[SKU]],'All Skus'!$A:$AC,2,FALSE))="AKG",(VLOOKUP(Table1[[#This Row],[SKU]],'All Skus'!$A:$AC,10,FALSE)),""))</f>
        <v>555.17999999999995</v>
      </c>
      <c r="J175" s="141">
        <f>(IF((VLOOKUP(Table1[[#This Row],[SKU]],'All Skus'!$A:$AC,2,FALSE))="AKG",(VLOOKUP(Table1[[#This Row],[SKU]],'All Skus'!$A:$AC,11,FALSE)),""))</f>
        <v>0</v>
      </c>
      <c r="K175" s="125">
        <f>(IF((VLOOKUP(Table1[[#This Row],[SKU]],'All Skus'!$A:$AC,2,FALSE))="AKG",(VLOOKUP(Table1[[#This Row],[SKU]],'All Skus'!$A:$AC,15,FALSE)),""))</f>
        <v>0</v>
      </c>
      <c r="L175" s="124">
        <f>(IF((VLOOKUP(Table1[[#This Row],[SKU]],'All Skus'!$A:$AC,2,FALSE))="AKG",(VLOOKUP(Table1[[#This Row],[SKU]],'All Skus'!$A:$AC,16,FALSE)),""))</f>
        <v>885038038443</v>
      </c>
      <c r="M175" s="124">
        <f>(IF((VLOOKUP(Table1[[#This Row],[SKU]],'All Skus'!$A:$AC,2,FALSE))="AKG",(VLOOKUP(Table1[[#This Row],[SKU]],'All Skus'!$A:$AC,17,FALSE)),""))</f>
        <v>0</v>
      </c>
      <c r="N175" s="64">
        <f>(IF((VLOOKUP(Table1[[#This Row],[SKU]],'All Skus'!$A:$AC,2,FALSE))="AKG",(VLOOKUP(Table1[[#This Row],[SKU]],'All Skus'!$A:$AC,18,FALSE)),""))</f>
        <v>0</v>
      </c>
      <c r="O175" s="64">
        <f>(IF((VLOOKUP(Table1[[#This Row],[SKU]],'All Skus'!$A:$AC,2,FALSE))="AKG",(VLOOKUP(Table1[[#This Row],[SKU]],'All Skus'!$A:$AC,19,FALSE)),""))</f>
        <v>0</v>
      </c>
      <c r="P175" s="64">
        <f>(IF((VLOOKUP(Table1[[#This Row],[SKU]],'All Skus'!$A:$AC,2,FALSE))="AKG",(VLOOKUP(Table1[[#This Row],[SKU]],'All Skus'!$A:$AC,20,FALSE)),""))</f>
        <v>0</v>
      </c>
      <c r="Q175" s="64">
        <f>(IF((VLOOKUP(Table1[[#This Row],[SKU]],'All Skus'!$A:$AC,2,FALSE))="AKG",(VLOOKUP(Table1[[#This Row],[SKU]],'All Skus'!$A:$AC,21,FALSE)),""))</f>
        <v>0</v>
      </c>
      <c r="R175" s="64" t="str">
        <f>(IF((VLOOKUP(Table1[[#This Row],[SKU]],'All Skus'!$A:$AC,2,FALSE))="AKG",(VLOOKUP(Table1[[#This Row],[SKU]],'All Skus'!$A:$AC,22,FALSE)),""))</f>
        <v>HU</v>
      </c>
      <c r="S175" s="64" t="str">
        <f>(IF((VLOOKUP(Table1[[#This Row],[SKU]],'All Skus'!$A:$AC,2,FALSE))="AKG",(VLOOKUP(Table1[[#This Row],[SKU]],'All Skus'!$A:$AC,23,FALSE)),""))</f>
        <v>Non Compliant</v>
      </c>
      <c r="T175" s="210" t="str">
        <f>HYPERLINK((IF((VLOOKUP(Table1[[#This Row],[SKU]],'All Skus'!$A:$AC,2,FALSE))="AKG",(VLOOKUP(Table1[[#This Row],[SKU]],'All Skus'!$A:$AC,24,FALSE)),"")))</f>
        <v>https://www.akg.com/Microphones/Speech%20%2F%20Spoken%20Word%20Microphones/3241H00050.html</v>
      </c>
      <c r="U175" s="151">
        <v>173</v>
      </c>
    </row>
    <row r="176" spans="1:21" ht="15" hidden="1" customHeight="1">
      <c r="A176" s="48" t="s">
        <v>333</v>
      </c>
      <c r="B176" s="52" t="str">
        <f>(IF((VLOOKUP(Table1[[#This Row],[SKU]],'All Skus'!$A:$AC,2,FALSE))="AKG",(VLOOKUP(Table1[[#This Row],[SKU]],'All Skus'!$A:$AC,3,FALSE)), ""))</f>
        <v>Installed</v>
      </c>
      <c r="C176" s="60" t="str">
        <f>(IF((VLOOKUP(Table1[[#This Row],[SKU]],'All Skus'!$A:$AC,2,FALSE))="AKG",(VLOOKUP(Table1[[#This Row],[SKU]],'All Skus'!$A:$AC,4,FALSE)),""))</f>
        <v xml:space="preserve">MDA1 AKG </v>
      </c>
      <c r="D176" s="60" t="str">
        <f>(IF((VLOOKUP(Table1[[#This Row],[SKU]],'All Skus'!$A:$AC,2,FALSE))="AKG",(VLOOKUP(Table1[[#This Row],[SKU]],'All Skus'!$A:$AC,5,FALSE)),""))</f>
        <v>AT510000</v>
      </c>
      <c r="E176" s="60">
        <f>(IF((VLOOKUP(Table1[[#This Row],[SKU]],'All Skus'!$A:$AC,2,FALSE))="AKG",(VLOOKUP(Table1[[#This Row],[SKU]],'All Skus'!$A:$AC,6,FALSE)),""))</f>
        <v>0</v>
      </c>
      <c r="F176" s="60">
        <f>(IF((VLOOKUP(Table1[[#This Row],[SKU]],'All Skus'!$A:$AC,2,FALSE))="AKG",(VLOOKUP(Table1[[#This Row],[SKU]],'All Skus'!$A:$AC,7,FALSE)),""))</f>
        <v>0</v>
      </c>
      <c r="G176" s="45" t="str">
        <f>(IF((VLOOKUP(Table1[[#This Row],[SKU]],'All Skus'!$A:$AC,2,FALSE))="AKG",(VLOOKUP(Table1[[#This Row],[SKU]],'All Skus'!$A:$AC,8,FALSE)),""))</f>
        <v>Microlite Accessories</v>
      </c>
      <c r="H176" s="45" t="str">
        <f>(IF((VLOOKUP(Table1[[#This Row],[SKU]],'All Skus'!$A:$AC,2,FALSE))="AKG",(VLOOKUP(Table1[[#This Row],[SKU]],'All Skus'!$A:$AC,9,FALSE)),""))</f>
        <v>adapter connector AKG</v>
      </c>
      <c r="I176" s="141">
        <f>(IF((VLOOKUP(Table1[[#This Row],[SKU]],'All Skus'!$A:$AC,2,FALSE))="AKG",(VLOOKUP(Table1[[#This Row],[SKU]],'All Skus'!$A:$AC,10,FALSE)),""))</f>
        <v>85.32</v>
      </c>
      <c r="J176" s="141">
        <f>(IF((VLOOKUP(Table1[[#This Row],[SKU]],'All Skus'!$A:$AC,2,FALSE))="AKG",(VLOOKUP(Table1[[#This Row],[SKU]],'All Skus'!$A:$AC,11,FALSE)),""))</f>
        <v>0</v>
      </c>
      <c r="K176" s="125">
        <f>(IF((VLOOKUP(Table1[[#This Row],[SKU]],'All Skus'!$A:$AC,2,FALSE))="AKG",(VLOOKUP(Table1[[#This Row],[SKU]],'All Skus'!$A:$AC,15,FALSE)),""))</f>
        <v>0</v>
      </c>
      <c r="L176" s="124">
        <f>(IF((VLOOKUP(Table1[[#This Row],[SKU]],'All Skus'!$A:$AC,2,FALSE))="AKG",(VLOOKUP(Table1[[#This Row],[SKU]],'All Skus'!$A:$AC,16,FALSE)),""))</f>
        <v>885038039051</v>
      </c>
      <c r="M176" s="124">
        <f>(IF((VLOOKUP(Table1[[#This Row],[SKU]],'All Skus'!$A:$AC,2,FALSE))="AKG",(VLOOKUP(Table1[[#This Row],[SKU]],'All Skus'!$A:$AC,17,FALSE)),""))</f>
        <v>9002761039054</v>
      </c>
      <c r="N176" s="64">
        <f>(IF((VLOOKUP(Table1[[#This Row],[SKU]],'All Skus'!$A:$AC,2,FALSE))="AKG",(VLOOKUP(Table1[[#This Row],[SKU]],'All Skus'!$A:$AC,18,FALSE)),""))</f>
        <v>1</v>
      </c>
      <c r="O176" s="64">
        <f>(IF((VLOOKUP(Table1[[#This Row],[SKU]],'All Skus'!$A:$AC,2,FALSE))="AKG",(VLOOKUP(Table1[[#This Row],[SKU]],'All Skus'!$A:$AC,19,FALSE)),""))</f>
        <v>4</v>
      </c>
      <c r="P176" s="64">
        <f>(IF((VLOOKUP(Table1[[#This Row],[SKU]],'All Skus'!$A:$AC,2,FALSE))="AKG",(VLOOKUP(Table1[[#This Row],[SKU]],'All Skus'!$A:$AC,20,FALSE)),""))</f>
        <v>2.5</v>
      </c>
      <c r="Q176" s="64" t="str">
        <f>(IF((VLOOKUP(Table1[[#This Row],[SKU]],'All Skus'!$A:$AC,2,FALSE))="AKG",(VLOOKUP(Table1[[#This Row],[SKU]],'All Skus'!$A:$AC,21,FALSE)),""))</f>
        <v>n/a</v>
      </c>
      <c r="R176" s="64" t="str">
        <f>(IF((VLOOKUP(Table1[[#This Row],[SKU]],'All Skus'!$A:$AC,2,FALSE))="AKG",(VLOOKUP(Table1[[#This Row],[SKU]],'All Skus'!$A:$AC,22,FALSE)),""))</f>
        <v>TW</v>
      </c>
      <c r="S176" s="64" t="str">
        <f>(IF((VLOOKUP(Table1[[#This Row],[SKU]],'All Skus'!$A:$AC,2,FALSE))="AKG",(VLOOKUP(Table1[[#This Row],[SKU]],'All Skus'!$A:$AC,23,FALSE)),""))</f>
        <v>Compliant</v>
      </c>
      <c r="T176" s="210" t="str">
        <f>HYPERLINK((IF((VLOOKUP(Table1[[#This Row],[SKU]],'All Skus'!$A:$AC,2,FALSE))="AKG",(VLOOKUP(Table1[[#This Row],[SKU]],'All Skus'!$A:$AC,24,FALSE)),"")))</f>
        <v>https://www.akg.com/Microphones/Microphone%20Accessories/6500H00290.html</v>
      </c>
      <c r="U176" s="151">
        <v>174</v>
      </c>
    </row>
    <row r="177" spans="1:21" ht="15" hidden="1" customHeight="1">
      <c r="A177" s="50" t="s">
        <v>334</v>
      </c>
      <c r="B177" s="52" t="str">
        <f>(IF((VLOOKUP(Table1[[#This Row],[SKU]],'All Skus'!$A:$AC,2,FALSE))="AKG",(VLOOKUP(Table1[[#This Row],[SKU]],'All Skus'!$A:$AC,3,FALSE)), ""))</f>
        <v>Installed</v>
      </c>
      <c r="C177" s="60" t="str">
        <f>(IF((VLOOKUP(Table1[[#This Row],[SKU]],'All Skus'!$A:$AC,2,FALSE))="AKG",(VLOOKUP(Table1[[#This Row],[SKU]],'All Skus'!$A:$AC,4,FALSE)),""))</f>
        <v xml:space="preserve">MDA4 SHU </v>
      </c>
      <c r="D177" s="60" t="str">
        <f>(IF((VLOOKUP(Table1[[#This Row],[SKU]],'All Skus'!$A:$AC,2,FALSE))="AKG",(VLOOKUP(Table1[[#This Row],[SKU]],'All Skus'!$A:$AC,5,FALSE)),""))</f>
        <v>AT510000</v>
      </c>
      <c r="E177" s="60">
        <f>(IF((VLOOKUP(Table1[[#This Row],[SKU]],'All Skus'!$A:$AC,2,FALSE))="AKG",(VLOOKUP(Table1[[#This Row],[SKU]],'All Skus'!$A:$AC,6,FALSE)),""))</f>
        <v>0</v>
      </c>
      <c r="F177" s="60">
        <f>(IF((VLOOKUP(Table1[[#This Row],[SKU]],'All Skus'!$A:$AC,2,FALSE))="AKG",(VLOOKUP(Table1[[#This Row],[SKU]],'All Skus'!$A:$AC,7,FALSE)),""))</f>
        <v>0</v>
      </c>
      <c r="G177" s="45" t="str">
        <f>(IF((VLOOKUP(Table1[[#This Row],[SKU]],'All Skus'!$A:$AC,2,FALSE))="AKG",(VLOOKUP(Table1[[#This Row],[SKU]],'All Skus'!$A:$AC,8,FALSE)),""))</f>
        <v>Microlite Accessories</v>
      </c>
      <c r="H177" s="45" t="str">
        <f>(IF((VLOOKUP(Table1[[#This Row],[SKU]],'All Skus'!$A:$AC,2,FALSE))="AKG",(VLOOKUP(Table1[[#This Row],[SKU]],'All Skus'!$A:$AC,9,FALSE)),""))</f>
        <v>adapter connector SHURE</v>
      </c>
      <c r="I177" s="141">
        <f>(IF((VLOOKUP(Table1[[#This Row],[SKU]],'All Skus'!$A:$AC,2,FALSE))="AKG",(VLOOKUP(Table1[[#This Row],[SKU]],'All Skus'!$A:$AC,10,FALSE)),""))</f>
        <v>85.32</v>
      </c>
      <c r="J177" s="141">
        <f>(IF((VLOOKUP(Table1[[#This Row],[SKU]],'All Skus'!$A:$AC,2,FALSE))="AKG",(VLOOKUP(Table1[[#This Row],[SKU]],'All Skus'!$A:$AC,11,FALSE)),""))</f>
        <v>0</v>
      </c>
      <c r="K177" s="125">
        <f>(IF((VLOOKUP(Table1[[#This Row],[SKU]],'All Skus'!$A:$AC,2,FALSE))="AKG",(VLOOKUP(Table1[[#This Row],[SKU]],'All Skus'!$A:$AC,15,FALSE)),""))</f>
        <v>0</v>
      </c>
      <c r="L177" s="124">
        <f>(IF((VLOOKUP(Table1[[#This Row],[SKU]],'All Skus'!$A:$AC,2,FALSE))="AKG",(VLOOKUP(Table1[[#This Row],[SKU]],'All Skus'!$A:$AC,16,FALSE)),""))</f>
        <v>885038039082</v>
      </c>
      <c r="M177" s="124">
        <f>(IF((VLOOKUP(Table1[[#This Row],[SKU]],'All Skus'!$A:$AC,2,FALSE))="AKG",(VLOOKUP(Table1[[#This Row],[SKU]],'All Skus'!$A:$AC,17,FALSE)),""))</f>
        <v>9002761039085</v>
      </c>
      <c r="N177" s="64">
        <f>(IF((VLOOKUP(Table1[[#This Row],[SKU]],'All Skus'!$A:$AC,2,FALSE))="AKG",(VLOOKUP(Table1[[#This Row],[SKU]],'All Skus'!$A:$AC,18,FALSE)),""))</f>
        <v>1</v>
      </c>
      <c r="O177" s="64">
        <f>(IF((VLOOKUP(Table1[[#This Row],[SKU]],'All Skus'!$A:$AC,2,FALSE))="AKG",(VLOOKUP(Table1[[#This Row],[SKU]],'All Skus'!$A:$AC,19,FALSE)),""))</f>
        <v>4</v>
      </c>
      <c r="P177" s="64">
        <f>(IF((VLOOKUP(Table1[[#This Row],[SKU]],'All Skus'!$A:$AC,2,FALSE))="AKG",(VLOOKUP(Table1[[#This Row],[SKU]],'All Skus'!$A:$AC,20,FALSE)),""))</f>
        <v>2.5</v>
      </c>
      <c r="Q177" s="64" t="str">
        <f>(IF((VLOOKUP(Table1[[#This Row],[SKU]],'All Skus'!$A:$AC,2,FALSE))="AKG",(VLOOKUP(Table1[[#This Row],[SKU]],'All Skus'!$A:$AC,21,FALSE)),""))</f>
        <v>n/a</v>
      </c>
      <c r="R177" s="64" t="str">
        <f>(IF((VLOOKUP(Table1[[#This Row],[SKU]],'All Skus'!$A:$AC,2,FALSE))="AKG",(VLOOKUP(Table1[[#This Row],[SKU]],'All Skus'!$A:$AC,22,FALSE)),""))</f>
        <v>TW</v>
      </c>
      <c r="S177" s="64" t="str">
        <f>(IF((VLOOKUP(Table1[[#This Row],[SKU]],'All Skus'!$A:$AC,2,FALSE))="AKG",(VLOOKUP(Table1[[#This Row],[SKU]],'All Skus'!$A:$AC,23,FALSE)),""))</f>
        <v>Compliant</v>
      </c>
      <c r="T177" s="210" t="str">
        <f>HYPERLINK((IF((VLOOKUP(Table1[[#This Row],[SKU]],'All Skus'!$A:$AC,2,FALSE))="AKG",(VLOOKUP(Table1[[#This Row],[SKU]],'All Skus'!$A:$AC,24,FALSE)),"")))</f>
        <v>https://www.akg.com/Microphones/Microphone%20Accessories/6500H00320.html</v>
      </c>
      <c r="U177" s="151">
        <v>175</v>
      </c>
    </row>
    <row r="178" spans="1:21" ht="15" hidden="1" customHeight="1">
      <c r="A178" s="50" t="s">
        <v>335</v>
      </c>
      <c r="B178" s="52" t="str">
        <f>(IF((VLOOKUP(Table1[[#This Row],[SKU]],'All Skus'!$A:$AC,2,FALSE))="AKG",(VLOOKUP(Table1[[#This Row],[SKU]],'All Skus'!$A:$AC,3,FALSE)), ""))</f>
        <v>Installed</v>
      </c>
      <c r="C178" s="60" t="str">
        <f>(IF((VLOOKUP(Table1[[#This Row],[SKU]],'All Skus'!$A:$AC,2,FALSE))="AKG",(VLOOKUP(Table1[[#This Row],[SKU]],'All Skus'!$A:$AC,4,FALSE)),""))</f>
        <v xml:space="preserve">MDA5 AT </v>
      </c>
      <c r="D178" s="60" t="str">
        <f>(IF((VLOOKUP(Table1[[#This Row],[SKU]],'All Skus'!$A:$AC,2,FALSE))="AKG",(VLOOKUP(Table1[[#This Row],[SKU]],'All Skus'!$A:$AC,5,FALSE)),""))</f>
        <v>AT510000</v>
      </c>
      <c r="E178" s="60">
        <f>(IF((VLOOKUP(Table1[[#This Row],[SKU]],'All Skus'!$A:$AC,2,FALSE))="AKG",(VLOOKUP(Table1[[#This Row],[SKU]],'All Skus'!$A:$AC,6,FALSE)),""))</f>
        <v>0</v>
      </c>
      <c r="F178" s="60">
        <f>(IF((VLOOKUP(Table1[[#This Row],[SKU]],'All Skus'!$A:$AC,2,FALSE))="AKG",(VLOOKUP(Table1[[#This Row],[SKU]],'All Skus'!$A:$AC,7,FALSE)),""))</f>
        <v>0</v>
      </c>
      <c r="G178" s="45" t="str">
        <f>(IF((VLOOKUP(Table1[[#This Row],[SKU]],'All Skus'!$A:$AC,2,FALSE))="AKG",(VLOOKUP(Table1[[#This Row],[SKU]],'All Skus'!$A:$AC,8,FALSE)),""))</f>
        <v>Microlite Accessories</v>
      </c>
      <c r="H178" s="45" t="str">
        <f>(IF((VLOOKUP(Table1[[#This Row],[SKU]],'All Skus'!$A:$AC,2,FALSE))="AKG",(VLOOKUP(Table1[[#This Row],[SKU]],'All Skus'!$A:$AC,9,FALSE)),""))</f>
        <v>adapter connector AudioTechnica</v>
      </c>
      <c r="I178" s="141">
        <f>(IF((VLOOKUP(Table1[[#This Row],[SKU]],'All Skus'!$A:$AC,2,FALSE))="AKG",(VLOOKUP(Table1[[#This Row],[SKU]],'All Skus'!$A:$AC,10,FALSE)),""))</f>
        <v>85.32</v>
      </c>
      <c r="J178" s="141">
        <f>(IF((VLOOKUP(Table1[[#This Row],[SKU]],'All Skus'!$A:$AC,2,FALSE))="AKG",(VLOOKUP(Table1[[#This Row],[SKU]],'All Skus'!$A:$AC,11,FALSE)),""))</f>
        <v>0</v>
      </c>
      <c r="K178" s="125">
        <f>(IF((VLOOKUP(Table1[[#This Row],[SKU]],'All Skus'!$A:$AC,2,FALSE))="AKG",(VLOOKUP(Table1[[#This Row],[SKU]],'All Skus'!$A:$AC,15,FALSE)),""))</f>
        <v>0</v>
      </c>
      <c r="L178" s="124">
        <f>(IF((VLOOKUP(Table1[[#This Row],[SKU]],'All Skus'!$A:$AC,2,FALSE))="AKG",(VLOOKUP(Table1[[#This Row],[SKU]],'All Skus'!$A:$AC,16,FALSE)),""))</f>
        <v>885038039099</v>
      </c>
      <c r="M178" s="124">
        <f>(IF((VLOOKUP(Table1[[#This Row],[SKU]],'All Skus'!$A:$AC,2,FALSE))="AKG",(VLOOKUP(Table1[[#This Row],[SKU]],'All Skus'!$A:$AC,17,FALSE)),""))</f>
        <v>9002761039092</v>
      </c>
      <c r="N178" s="64">
        <f>(IF((VLOOKUP(Table1[[#This Row],[SKU]],'All Skus'!$A:$AC,2,FALSE))="AKG",(VLOOKUP(Table1[[#This Row],[SKU]],'All Skus'!$A:$AC,18,FALSE)),""))</f>
        <v>1</v>
      </c>
      <c r="O178" s="64">
        <f>(IF((VLOOKUP(Table1[[#This Row],[SKU]],'All Skus'!$A:$AC,2,FALSE))="AKG",(VLOOKUP(Table1[[#This Row],[SKU]],'All Skus'!$A:$AC,19,FALSE)),""))</f>
        <v>4</v>
      </c>
      <c r="P178" s="64">
        <f>(IF((VLOOKUP(Table1[[#This Row],[SKU]],'All Skus'!$A:$AC,2,FALSE))="AKG",(VLOOKUP(Table1[[#This Row],[SKU]],'All Skus'!$A:$AC,20,FALSE)),""))</f>
        <v>2.5</v>
      </c>
      <c r="Q178" s="64" t="str">
        <f>(IF((VLOOKUP(Table1[[#This Row],[SKU]],'All Skus'!$A:$AC,2,FALSE))="AKG",(VLOOKUP(Table1[[#This Row],[SKU]],'All Skus'!$A:$AC,21,FALSE)),""))</f>
        <v>n/a</v>
      </c>
      <c r="R178" s="64" t="str">
        <f>(IF((VLOOKUP(Table1[[#This Row],[SKU]],'All Skus'!$A:$AC,2,FALSE))="AKG",(VLOOKUP(Table1[[#This Row],[SKU]],'All Skus'!$A:$AC,22,FALSE)),""))</f>
        <v>TW</v>
      </c>
      <c r="S178" s="64" t="str">
        <f>(IF((VLOOKUP(Table1[[#This Row],[SKU]],'All Skus'!$A:$AC,2,FALSE))="AKG",(VLOOKUP(Table1[[#This Row],[SKU]],'All Skus'!$A:$AC,23,FALSE)),""))</f>
        <v>Compliant</v>
      </c>
      <c r="T178" s="210" t="str">
        <f>HYPERLINK((IF((VLOOKUP(Table1[[#This Row],[SKU]],'All Skus'!$A:$AC,2,FALSE))="AKG",(VLOOKUP(Table1[[#This Row],[SKU]],'All Skus'!$A:$AC,24,FALSE)),"")))</f>
        <v>https://www.akg.com/Microphones/Microphone%20Accessories/6500H00330.html</v>
      </c>
      <c r="U178" s="151">
        <v>176</v>
      </c>
    </row>
    <row r="179" spans="1:21" ht="15" hidden="1" customHeight="1">
      <c r="A179" s="50" t="s">
        <v>336</v>
      </c>
      <c r="B179" s="52" t="str">
        <f>(IF((VLOOKUP(Table1[[#This Row],[SKU]],'All Skus'!$A:$AC,2,FALSE))="AKG",(VLOOKUP(Table1[[#This Row],[SKU]],'All Skus'!$A:$AC,3,FALSE)), ""))</f>
        <v>Installed</v>
      </c>
      <c r="C179" s="60" t="str">
        <f>(IF((VLOOKUP(Table1[[#This Row],[SKU]],'All Skus'!$A:$AC,2,FALSE))="AKG",(VLOOKUP(Table1[[#This Row],[SKU]],'All Skus'!$A:$AC,4,FALSE)),""))</f>
        <v xml:space="preserve">MDA6 BD </v>
      </c>
      <c r="D179" s="60" t="str">
        <f>(IF((VLOOKUP(Table1[[#This Row],[SKU]],'All Skus'!$A:$AC,2,FALSE))="AKG",(VLOOKUP(Table1[[#This Row],[SKU]],'All Skus'!$A:$AC,5,FALSE)),""))</f>
        <v>AT510000</v>
      </c>
      <c r="E179" s="60">
        <f>(IF((VLOOKUP(Table1[[#This Row],[SKU]],'All Skus'!$A:$AC,2,FALSE))="AKG",(VLOOKUP(Table1[[#This Row],[SKU]],'All Skus'!$A:$AC,6,FALSE)),""))</f>
        <v>0</v>
      </c>
      <c r="F179" s="60">
        <f>(IF((VLOOKUP(Table1[[#This Row],[SKU]],'All Skus'!$A:$AC,2,FALSE))="AKG",(VLOOKUP(Table1[[#This Row],[SKU]],'All Skus'!$A:$AC,7,FALSE)),""))</f>
        <v>0</v>
      </c>
      <c r="G179" s="45" t="str">
        <f>(IF((VLOOKUP(Table1[[#This Row],[SKU]],'All Skus'!$A:$AC,2,FALSE))="AKG",(VLOOKUP(Table1[[#This Row],[SKU]],'All Skus'!$A:$AC,8,FALSE)),""))</f>
        <v>Microlite Accessories</v>
      </c>
      <c r="H179" s="45" t="str">
        <f>(IF((VLOOKUP(Table1[[#This Row],[SKU]],'All Skus'!$A:$AC,2,FALSE))="AKG",(VLOOKUP(Table1[[#This Row],[SKU]],'All Skus'!$A:$AC,9,FALSE)),""))</f>
        <v>adapter connector Beyerdynamic</v>
      </c>
      <c r="I179" s="141">
        <f>(IF((VLOOKUP(Table1[[#This Row],[SKU]],'All Skus'!$A:$AC,2,FALSE))="AKG",(VLOOKUP(Table1[[#This Row],[SKU]],'All Skus'!$A:$AC,10,FALSE)),""))</f>
        <v>85.32</v>
      </c>
      <c r="J179" s="141">
        <f>(IF((VLOOKUP(Table1[[#This Row],[SKU]],'All Skus'!$A:$AC,2,FALSE))="AKG",(VLOOKUP(Table1[[#This Row],[SKU]],'All Skus'!$A:$AC,11,FALSE)),""))</f>
        <v>0</v>
      </c>
      <c r="K179" s="125">
        <f>(IF((VLOOKUP(Table1[[#This Row],[SKU]],'All Skus'!$A:$AC,2,FALSE))="AKG",(VLOOKUP(Table1[[#This Row],[SKU]],'All Skus'!$A:$AC,15,FALSE)),""))</f>
        <v>0</v>
      </c>
      <c r="L179" s="124">
        <f>(IF((VLOOKUP(Table1[[#This Row],[SKU]],'All Skus'!$A:$AC,2,FALSE))="AKG",(VLOOKUP(Table1[[#This Row],[SKU]],'All Skus'!$A:$AC,16,FALSE)),""))</f>
        <v>885038039105</v>
      </c>
      <c r="M179" s="124">
        <f>(IF((VLOOKUP(Table1[[#This Row],[SKU]],'All Skus'!$A:$AC,2,FALSE))="AKG",(VLOOKUP(Table1[[#This Row],[SKU]],'All Skus'!$A:$AC,17,FALSE)),""))</f>
        <v>9002761039108</v>
      </c>
      <c r="N179" s="64">
        <f>(IF((VLOOKUP(Table1[[#This Row],[SKU]],'All Skus'!$A:$AC,2,FALSE))="AKG",(VLOOKUP(Table1[[#This Row],[SKU]],'All Skus'!$A:$AC,18,FALSE)),""))</f>
        <v>1</v>
      </c>
      <c r="O179" s="64">
        <f>(IF((VLOOKUP(Table1[[#This Row],[SKU]],'All Skus'!$A:$AC,2,FALSE))="AKG",(VLOOKUP(Table1[[#This Row],[SKU]],'All Skus'!$A:$AC,19,FALSE)),""))</f>
        <v>4</v>
      </c>
      <c r="P179" s="64">
        <f>(IF((VLOOKUP(Table1[[#This Row],[SKU]],'All Skus'!$A:$AC,2,FALSE))="AKG",(VLOOKUP(Table1[[#This Row],[SKU]],'All Skus'!$A:$AC,20,FALSE)),""))</f>
        <v>2</v>
      </c>
      <c r="Q179" s="64" t="str">
        <f>(IF((VLOOKUP(Table1[[#This Row],[SKU]],'All Skus'!$A:$AC,2,FALSE))="AKG",(VLOOKUP(Table1[[#This Row],[SKU]],'All Skus'!$A:$AC,21,FALSE)),""))</f>
        <v>n/a</v>
      </c>
      <c r="R179" s="64" t="str">
        <f>(IF((VLOOKUP(Table1[[#This Row],[SKU]],'All Skus'!$A:$AC,2,FALSE))="AKG",(VLOOKUP(Table1[[#This Row],[SKU]],'All Skus'!$A:$AC,22,FALSE)),""))</f>
        <v>TW</v>
      </c>
      <c r="S179" s="64" t="str">
        <f>(IF((VLOOKUP(Table1[[#This Row],[SKU]],'All Skus'!$A:$AC,2,FALSE))="AKG",(VLOOKUP(Table1[[#This Row],[SKU]],'All Skus'!$A:$AC,23,FALSE)),""))</f>
        <v>Compliant</v>
      </c>
      <c r="T179" s="210" t="str">
        <f>HYPERLINK((IF((VLOOKUP(Table1[[#This Row],[SKU]],'All Skus'!$A:$AC,2,FALSE))="AKG",(VLOOKUP(Table1[[#This Row],[SKU]],'All Skus'!$A:$AC,24,FALSE)),"")))</f>
        <v>https://www.akg.com/Microphones/Microphone%20Accessories/6500H00340.html</v>
      </c>
      <c r="U179" s="151">
        <v>177</v>
      </c>
    </row>
    <row r="180" spans="1:21" ht="15" hidden="1" customHeight="1">
      <c r="A180" s="48" t="s">
        <v>337</v>
      </c>
      <c r="B180" s="52" t="str">
        <f>(IF((VLOOKUP(Table1[[#This Row],[SKU]],'All Skus'!$A:$AC,2,FALSE))="AKG",(VLOOKUP(Table1[[#This Row],[SKU]],'All Skus'!$A:$AC,3,FALSE)), ""))</f>
        <v>Installed</v>
      </c>
      <c r="C180" s="60" t="str">
        <f>(IF((VLOOKUP(Table1[[#This Row],[SKU]],'All Skus'!$A:$AC,2,FALSE))="AKG",(VLOOKUP(Table1[[#This Row],[SKU]],'All Skus'!$A:$AC,4,FALSE)),""))</f>
        <v xml:space="preserve">MDA7 LEC </v>
      </c>
      <c r="D180" s="60" t="str">
        <f>(IF((VLOOKUP(Table1[[#This Row],[SKU]],'All Skus'!$A:$AC,2,FALSE))="AKG",(VLOOKUP(Table1[[#This Row],[SKU]],'All Skus'!$A:$AC,5,FALSE)),""))</f>
        <v>AT510000</v>
      </c>
      <c r="E180" s="60">
        <f>(IF((VLOOKUP(Table1[[#This Row],[SKU]],'All Skus'!$A:$AC,2,FALSE))="AKG",(VLOOKUP(Table1[[#This Row],[SKU]],'All Skus'!$A:$AC,6,FALSE)),""))</f>
        <v>0</v>
      </c>
      <c r="F180" s="60">
        <f>(IF((VLOOKUP(Table1[[#This Row],[SKU]],'All Skus'!$A:$AC,2,FALSE))="AKG",(VLOOKUP(Table1[[#This Row],[SKU]],'All Skus'!$A:$AC,7,FALSE)),""))</f>
        <v>0</v>
      </c>
      <c r="G180" s="45" t="str">
        <f>(IF((VLOOKUP(Table1[[#This Row],[SKU]],'All Skus'!$A:$AC,2,FALSE))="AKG",(VLOOKUP(Table1[[#This Row],[SKU]],'All Skus'!$A:$AC,8,FALSE)),""))</f>
        <v>Microlite Accessories</v>
      </c>
      <c r="H180" s="45" t="str">
        <f>(IF((VLOOKUP(Table1[[#This Row],[SKU]],'All Skus'!$A:$AC,2,FALSE))="AKG",(VLOOKUP(Table1[[#This Row],[SKU]],'All Skus'!$A:$AC,9,FALSE)),""))</f>
        <v>adapter connector Lectrosonic</v>
      </c>
      <c r="I180" s="141">
        <f>(IF((VLOOKUP(Table1[[#This Row],[SKU]],'All Skus'!$A:$AC,2,FALSE))="AKG",(VLOOKUP(Table1[[#This Row],[SKU]],'All Skus'!$A:$AC,10,FALSE)),""))</f>
        <v>85.32</v>
      </c>
      <c r="J180" s="141">
        <f>(IF((VLOOKUP(Table1[[#This Row],[SKU]],'All Skus'!$A:$AC,2,FALSE))="AKG",(VLOOKUP(Table1[[#This Row],[SKU]],'All Skus'!$A:$AC,11,FALSE)),""))</f>
        <v>0</v>
      </c>
      <c r="K180" s="125">
        <f>(IF((VLOOKUP(Table1[[#This Row],[SKU]],'All Skus'!$A:$AC,2,FALSE))="AKG",(VLOOKUP(Table1[[#This Row],[SKU]],'All Skus'!$A:$AC,15,FALSE)),""))</f>
        <v>0</v>
      </c>
      <c r="L180" s="124">
        <f>(IF((VLOOKUP(Table1[[#This Row],[SKU]],'All Skus'!$A:$AC,2,FALSE))="AKG",(VLOOKUP(Table1[[#This Row],[SKU]],'All Skus'!$A:$AC,16,FALSE)),""))</f>
        <v>885038039112</v>
      </c>
      <c r="M180" s="124">
        <f>(IF((VLOOKUP(Table1[[#This Row],[SKU]],'All Skus'!$A:$AC,2,FALSE))="AKG",(VLOOKUP(Table1[[#This Row],[SKU]],'All Skus'!$A:$AC,17,FALSE)),""))</f>
        <v>9002761039115</v>
      </c>
      <c r="N180" s="64">
        <f>(IF((VLOOKUP(Table1[[#This Row],[SKU]],'All Skus'!$A:$AC,2,FALSE))="AKG",(VLOOKUP(Table1[[#This Row],[SKU]],'All Skus'!$A:$AC,18,FALSE)),""))</f>
        <v>1</v>
      </c>
      <c r="O180" s="64">
        <f>(IF((VLOOKUP(Table1[[#This Row],[SKU]],'All Skus'!$A:$AC,2,FALSE))="AKG",(VLOOKUP(Table1[[#This Row],[SKU]],'All Skus'!$A:$AC,19,FALSE)),""))</f>
        <v>4</v>
      </c>
      <c r="P180" s="64">
        <f>(IF((VLOOKUP(Table1[[#This Row],[SKU]],'All Skus'!$A:$AC,2,FALSE))="AKG",(VLOOKUP(Table1[[#This Row],[SKU]],'All Skus'!$A:$AC,20,FALSE)),""))</f>
        <v>2.5</v>
      </c>
      <c r="Q180" s="64" t="str">
        <f>(IF((VLOOKUP(Table1[[#This Row],[SKU]],'All Skus'!$A:$AC,2,FALSE))="AKG",(VLOOKUP(Table1[[#This Row],[SKU]],'All Skus'!$A:$AC,21,FALSE)),""))</f>
        <v>n/a</v>
      </c>
      <c r="R180" s="64" t="str">
        <f>(IF((VLOOKUP(Table1[[#This Row],[SKU]],'All Skus'!$A:$AC,2,FALSE))="AKG",(VLOOKUP(Table1[[#This Row],[SKU]],'All Skus'!$A:$AC,22,FALSE)),""))</f>
        <v>TW</v>
      </c>
      <c r="S180" s="64" t="str">
        <f>(IF((VLOOKUP(Table1[[#This Row],[SKU]],'All Skus'!$A:$AC,2,FALSE))="AKG",(VLOOKUP(Table1[[#This Row],[SKU]],'All Skus'!$A:$AC,23,FALSE)),""))</f>
        <v>Compliant</v>
      </c>
      <c r="T180" s="210" t="str">
        <f>HYPERLINK((IF((VLOOKUP(Table1[[#This Row],[SKU]],'All Skus'!$A:$AC,2,FALSE))="AKG",(VLOOKUP(Table1[[#This Row],[SKU]],'All Skus'!$A:$AC,24,FALSE)),"")))</f>
        <v>https://www.akg.com/Microphones/Microphone%20Accessories/6500H00350.html</v>
      </c>
      <c r="U180" s="151">
        <v>178</v>
      </c>
    </row>
    <row r="181" spans="1:21" ht="15" hidden="1" customHeight="1">
      <c r="A181" s="50" t="s">
        <v>338</v>
      </c>
      <c r="B181" s="52" t="str">
        <f>(IF((VLOOKUP(Table1[[#This Row],[SKU]],'All Skus'!$A:$AC,2,FALSE))="AKG",(VLOOKUP(Table1[[#This Row],[SKU]],'All Skus'!$A:$AC,3,FALSE)), ""))</f>
        <v>Installed</v>
      </c>
      <c r="C181" s="60" t="str">
        <f>(IF((VLOOKUP(Table1[[#This Row],[SKU]],'All Skus'!$A:$AC,2,FALSE))="AKG",(VLOOKUP(Table1[[#This Row],[SKU]],'All Skus'!$A:$AC,4,FALSE)),""))</f>
        <v xml:space="preserve">H3 croco cable clip black 5 pack </v>
      </c>
      <c r="D181" s="60" t="str">
        <f>(IF((VLOOKUP(Table1[[#This Row],[SKU]],'All Skus'!$A:$AC,2,FALSE))="AKG",(VLOOKUP(Table1[[#This Row],[SKU]],'All Skus'!$A:$AC,5,FALSE)),""))</f>
        <v>AT510000</v>
      </c>
      <c r="E181" s="60">
        <f>(IF((VLOOKUP(Table1[[#This Row],[SKU]],'All Skus'!$A:$AC,2,FALSE))="AKG",(VLOOKUP(Table1[[#This Row],[SKU]],'All Skus'!$A:$AC,6,FALSE)),""))</f>
        <v>0</v>
      </c>
      <c r="F181" s="60" t="str">
        <f>(IF((VLOOKUP(Table1[[#This Row],[SKU]],'All Skus'!$A:$AC,2,FALSE))="AKG",(VLOOKUP(Table1[[#This Row],[SKU]],'All Skus'!$A:$AC,7,FALSE)),""))</f>
        <v>Limited Quantity</v>
      </c>
      <c r="G181" s="45" t="str">
        <f>(IF((VLOOKUP(Table1[[#This Row],[SKU]],'All Skus'!$A:$AC,2,FALSE))="AKG",(VLOOKUP(Table1[[#This Row],[SKU]],'All Skus'!$A:$AC,8,FALSE)),""))</f>
        <v>Microlite Accessories</v>
      </c>
      <c r="H181" s="45" t="str">
        <f>(IF((VLOOKUP(Table1[[#This Row],[SKU]],'All Skus'!$A:$AC,2,FALSE))="AKG",(VLOOKUP(Table1[[#This Row],[SKU]],'All Skus'!$A:$AC,9,FALSE)),""))</f>
        <v>cable clip, black-5 pcs</v>
      </c>
      <c r="I181" s="141">
        <f>(IF((VLOOKUP(Table1[[#This Row],[SKU]],'All Skus'!$A:$AC,2,FALSE))="AKG",(VLOOKUP(Table1[[#This Row],[SKU]],'All Skus'!$A:$AC,10,FALSE)),""))</f>
        <v>85.32</v>
      </c>
      <c r="J181" s="141">
        <f>(IF((VLOOKUP(Table1[[#This Row],[SKU]],'All Skus'!$A:$AC,2,FALSE))="AKG",(VLOOKUP(Table1[[#This Row],[SKU]],'All Skus'!$A:$AC,11,FALSE)),""))</f>
        <v>72</v>
      </c>
      <c r="K181" s="125">
        <f>(IF((VLOOKUP(Table1[[#This Row],[SKU]],'All Skus'!$A:$AC,2,FALSE))="AKG",(VLOOKUP(Table1[[#This Row],[SKU]],'All Skus'!$A:$AC,15,FALSE)),""))</f>
        <v>0</v>
      </c>
      <c r="L181" s="124">
        <f>(IF((VLOOKUP(Table1[[#This Row],[SKU]],'All Skus'!$A:$AC,2,FALSE))="AKG",(VLOOKUP(Table1[[#This Row],[SKU]],'All Skus'!$A:$AC,16,FALSE)),""))</f>
        <v>885038039174</v>
      </c>
      <c r="M181" s="124">
        <f>(IF((VLOOKUP(Table1[[#This Row],[SKU]],'All Skus'!$A:$AC,2,FALSE))="AKG",(VLOOKUP(Table1[[#This Row],[SKU]],'All Skus'!$A:$AC,17,FALSE)),""))</f>
        <v>9002761039177</v>
      </c>
      <c r="N181" s="64">
        <f>(IF((VLOOKUP(Table1[[#This Row],[SKU]],'All Skus'!$A:$AC,2,FALSE))="AKG",(VLOOKUP(Table1[[#This Row],[SKU]],'All Skus'!$A:$AC,18,FALSE)),""))</f>
        <v>1</v>
      </c>
      <c r="O181" s="64">
        <f>(IF((VLOOKUP(Table1[[#This Row],[SKU]],'All Skus'!$A:$AC,2,FALSE))="AKG",(VLOOKUP(Table1[[#This Row],[SKU]],'All Skus'!$A:$AC,19,FALSE)),""))</f>
        <v>4</v>
      </c>
      <c r="P181" s="64">
        <f>(IF((VLOOKUP(Table1[[#This Row],[SKU]],'All Skus'!$A:$AC,2,FALSE))="AKG",(VLOOKUP(Table1[[#This Row],[SKU]],'All Skus'!$A:$AC,20,FALSE)),""))</f>
        <v>2.5</v>
      </c>
      <c r="Q181" s="64" t="str">
        <f>(IF((VLOOKUP(Table1[[#This Row],[SKU]],'All Skus'!$A:$AC,2,FALSE))="AKG",(VLOOKUP(Table1[[#This Row],[SKU]],'All Skus'!$A:$AC,21,FALSE)),""))</f>
        <v>n/a</v>
      </c>
      <c r="R181" s="64" t="str">
        <f>(IF((VLOOKUP(Table1[[#This Row],[SKU]],'All Skus'!$A:$AC,2,FALSE))="AKG",(VLOOKUP(Table1[[#This Row],[SKU]],'All Skus'!$A:$AC,22,FALSE)),""))</f>
        <v>CN</v>
      </c>
      <c r="S181" s="64" t="str">
        <f>(IF((VLOOKUP(Table1[[#This Row],[SKU]],'All Skus'!$A:$AC,2,FALSE))="AKG",(VLOOKUP(Table1[[#This Row],[SKU]],'All Skus'!$A:$AC,23,FALSE)),""))</f>
        <v>Non Compliant</v>
      </c>
      <c r="T181" s="210" t="str">
        <f>HYPERLINK((IF((VLOOKUP(Table1[[#This Row],[SKU]],'All Skus'!$A:$AC,2,FALSE))="AKG",(VLOOKUP(Table1[[#This Row],[SKU]],'All Skus'!$A:$AC,24,FALSE)),"")))</f>
        <v/>
      </c>
      <c r="U181" s="151">
        <v>179</v>
      </c>
    </row>
    <row r="182" spans="1:21" ht="15" hidden="1" customHeight="1">
      <c r="A182" s="48" t="s">
        <v>339</v>
      </c>
      <c r="B182" s="52" t="str">
        <f>(IF((VLOOKUP(Table1[[#This Row],[SKU]],'All Skus'!$A:$AC,2,FALSE))="AKG",(VLOOKUP(Table1[[#This Row],[SKU]],'All Skus'!$A:$AC,3,FALSE)), ""))</f>
        <v>Installed</v>
      </c>
      <c r="C182" s="60" t="str">
        <f>(IF((VLOOKUP(Table1[[#This Row],[SKU]],'All Skus'!$A:$AC,2,FALSE))="AKG",(VLOOKUP(Table1[[#This Row],[SKU]],'All Skus'!$A:$AC,4,FALSE)),""))</f>
        <v xml:space="preserve">MDPA Phantom Power adapter </v>
      </c>
      <c r="D182" s="60" t="str">
        <f>(IF((VLOOKUP(Table1[[#This Row],[SKU]],'All Skus'!$A:$AC,2,FALSE))="AKG",(VLOOKUP(Table1[[#This Row],[SKU]],'All Skus'!$A:$AC,5,FALSE)),""))</f>
        <v>AT510000</v>
      </c>
      <c r="E182" s="60">
        <f>(IF((VLOOKUP(Table1[[#This Row],[SKU]],'All Skus'!$A:$AC,2,FALSE))="AKG",(VLOOKUP(Table1[[#This Row],[SKU]],'All Skus'!$A:$AC,6,FALSE)),""))</f>
        <v>0</v>
      </c>
      <c r="F182" s="60">
        <f>(IF((VLOOKUP(Table1[[#This Row],[SKU]],'All Skus'!$A:$AC,2,FALSE))="AKG",(VLOOKUP(Table1[[#This Row],[SKU]],'All Skus'!$A:$AC,7,FALSE)),""))</f>
        <v>0</v>
      </c>
      <c r="G182" s="45" t="str">
        <f>(IF((VLOOKUP(Table1[[#This Row],[SKU]],'All Skus'!$A:$AC,2,FALSE))="AKG",(VLOOKUP(Table1[[#This Row],[SKU]],'All Skus'!$A:$AC,8,FALSE)),""))</f>
        <v>Microlite Accessories</v>
      </c>
      <c r="H182" s="45" t="str">
        <f>(IF((VLOOKUP(Table1[[#This Row],[SKU]],'All Skus'!$A:$AC,2,FALSE))="AKG",(VLOOKUP(Table1[[#This Row],[SKU]],'All Skus'!$A:$AC,9,FALSE)),""))</f>
        <v>phantom power adapter XLR</v>
      </c>
      <c r="I182" s="141">
        <f>(IF((VLOOKUP(Table1[[#This Row],[SKU]],'All Skus'!$A:$AC,2,FALSE))="AKG",(VLOOKUP(Table1[[#This Row],[SKU]],'All Skus'!$A:$AC,10,FALSE)),""))</f>
        <v>122.41</v>
      </c>
      <c r="J182" s="141">
        <f>(IF((VLOOKUP(Table1[[#This Row],[SKU]],'All Skus'!$A:$AC,2,FALSE))="AKG",(VLOOKUP(Table1[[#This Row],[SKU]],'All Skus'!$A:$AC,11,FALSE)),""))</f>
        <v>109</v>
      </c>
      <c r="K182" s="125">
        <f>(IF((VLOOKUP(Table1[[#This Row],[SKU]],'All Skus'!$A:$AC,2,FALSE))="AKG",(VLOOKUP(Table1[[#This Row],[SKU]],'All Skus'!$A:$AC,15,FALSE)),""))</f>
        <v>0</v>
      </c>
      <c r="L182" s="124">
        <f>(IF((VLOOKUP(Table1[[#This Row],[SKU]],'All Skus'!$A:$AC,2,FALSE))="AKG",(VLOOKUP(Table1[[#This Row],[SKU]],'All Skus'!$A:$AC,16,FALSE)),""))</f>
        <v>885038039129</v>
      </c>
      <c r="M182" s="124">
        <f>(IF((VLOOKUP(Table1[[#This Row],[SKU]],'All Skus'!$A:$AC,2,FALSE))="AKG",(VLOOKUP(Table1[[#This Row],[SKU]],'All Skus'!$A:$AC,17,FALSE)),""))</f>
        <v>9002761039122</v>
      </c>
      <c r="N182" s="64">
        <f>(IF((VLOOKUP(Table1[[#This Row],[SKU]],'All Skus'!$A:$AC,2,FALSE))="AKG",(VLOOKUP(Table1[[#This Row],[SKU]],'All Skus'!$A:$AC,18,FALSE)),""))</f>
        <v>1</v>
      </c>
      <c r="O182" s="64">
        <f>(IF((VLOOKUP(Table1[[#This Row],[SKU]],'All Skus'!$A:$AC,2,FALSE))="AKG",(VLOOKUP(Table1[[#This Row],[SKU]],'All Skus'!$A:$AC,19,FALSE)),""))</f>
        <v>4.5</v>
      </c>
      <c r="P182" s="64">
        <f>(IF((VLOOKUP(Table1[[#This Row],[SKU]],'All Skus'!$A:$AC,2,FALSE))="AKG",(VLOOKUP(Table1[[#This Row],[SKU]],'All Skus'!$A:$AC,20,FALSE)),""))</f>
        <v>2.5</v>
      </c>
      <c r="Q182" s="64" t="str">
        <f>(IF((VLOOKUP(Table1[[#This Row],[SKU]],'All Skus'!$A:$AC,2,FALSE))="AKG",(VLOOKUP(Table1[[#This Row],[SKU]],'All Skus'!$A:$AC,21,FALSE)),""))</f>
        <v>n/a</v>
      </c>
      <c r="R182" s="64" t="str">
        <f>(IF((VLOOKUP(Table1[[#This Row],[SKU]],'All Skus'!$A:$AC,2,FALSE))="AKG",(VLOOKUP(Table1[[#This Row],[SKU]],'All Skus'!$A:$AC,22,FALSE)),""))</f>
        <v>TW</v>
      </c>
      <c r="S182" s="64" t="str">
        <f>(IF((VLOOKUP(Table1[[#This Row],[SKU]],'All Skus'!$A:$AC,2,FALSE))="AKG",(VLOOKUP(Table1[[#This Row],[SKU]],'All Skus'!$A:$AC,23,FALSE)),""))</f>
        <v>Compliant</v>
      </c>
      <c r="T182" s="210" t="str">
        <f>HYPERLINK((IF((VLOOKUP(Table1[[#This Row],[SKU]],'All Skus'!$A:$AC,2,FALSE))="AKG",(VLOOKUP(Table1[[#This Row],[SKU]],'All Skus'!$A:$AC,24,FALSE)),"")))</f>
        <v>https://www.akg.com/Microphones/Microphone%20Accessories/6500H00360.html</v>
      </c>
      <c r="U182" s="151">
        <v>180</v>
      </c>
    </row>
    <row r="183" spans="1:21" ht="15" hidden="1" customHeight="1">
      <c r="A183" s="50" t="s">
        <v>340</v>
      </c>
      <c r="B183" s="52" t="str">
        <f>(IF((VLOOKUP(Table1[[#This Row],[SKU]],'All Skus'!$A:$AC,2,FALSE))="AKG",(VLOOKUP(Table1[[#This Row],[SKU]],'All Skus'!$A:$AC,3,FALSE)), ""))</f>
        <v>Installed</v>
      </c>
      <c r="C183" s="60" t="str">
        <f>(IF((VLOOKUP(Table1[[#This Row],[SKU]],'All Skus'!$A:$AC,2,FALSE))="AKG",(VLOOKUP(Table1[[#This Row],[SKU]],'All Skus'!$A:$AC,4,FALSE)),""))</f>
        <v xml:space="preserve">H1 magnet clip black 5 pack </v>
      </c>
      <c r="D183" s="60" t="str">
        <f>(IF((VLOOKUP(Table1[[#This Row],[SKU]],'All Skus'!$A:$AC,2,FALSE))="AKG",(VLOOKUP(Table1[[#This Row],[SKU]],'All Skus'!$A:$AC,5,FALSE)),""))</f>
        <v>AT510000</v>
      </c>
      <c r="E183" s="60">
        <f>(IF((VLOOKUP(Table1[[#This Row],[SKU]],'All Skus'!$A:$AC,2,FALSE))="AKG",(VLOOKUP(Table1[[#This Row],[SKU]],'All Skus'!$A:$AC,6,FALSE)),""))</f>
        <v>0</v>
      </c>
      <c r="F183" s="60">
        <f>(IF((VLOOKUP(Table1[[#This Row],[SKU]],'All Skus'!$A:$AC,2,FALSE))="AKG",(VLOOKUP(Table1[[#This Row],[SKU]],'All Skus'!$A:$AC,7,FALSE)),""))</f>
        <v>0</v>
      </c>
      <c r="G183" s="45" t="str">
        <f>(IF((VLOOKUP(Table1[[#This Row],[SKU]],'All Skus'!$A:$AC,2,FALSE))="AKG",(VLOOKUP(Table1[[#This Row],[SKU]],'All Skus'!$A:$AC,8,FALSE)),""))</f>
        <v>Microlite Accessories</v>
      </c>
      <c r="H183" s="45" t="str">
        <f>(IF((VLOOKUP(Table1[[#This Row],[SKU]],'All Skus'!$A:$AC,2,FALSE))="AKG",(VLOOKUP(Table1[[#This Row],[SKU]],'All Skus'!$A:$AC,9,FALSE)),""))</f>
        <v>magnet clip black -5 pcs</v>
      </c>
      <c r="I183" s="141">
        <f>(IF((VLOOKUP(Table1[[#This Row],[SKU]],'All Skus'!$A:$AC,2,FALSE))="AKG",(VLOOKUP(Table1[[#This Row],[SKU]],'All Skus'!$A:$AC,10,FALSE)),""))</f>
        <v>122.41</v>
      </c>
      <c r="J183" s="141">
        <f>(IF((VLOOKUP(Table1[[#This Row],[SKU]],'All Skus'!$A:$AC,2,FALSE))="AKG",(VLOOKUP(Table1[[#This Row],[SKU]],'All Skus'!$A:$AC,11,FALSE)),""))</f>
        <v>109</v>
      </c>
      <c r="K183" s="125">
        <f>(IF((VLOOKUP(Table1[[#This Row],[SKU]],'All Skus'!$A:$AC,2,FALSE))="AKG",(VLOOKUP(Table1[[#This Row],[SKU]],'All Skus'!$A:$AC,15,FALSE)),""))</f>
        <v>0</v>
      </c>
      <c r="L183" s="124">
        <f>(IF((VLOOKUP(Table1[[#This Row],[SKU]],'All Skus'!$A:$AC,2,FALSE))="AKG",(VLOOKUP(Table1[[#This Row],[SKU]],'All Skus'!$A:$AC,16,FALSE)),""))</f>
        <v>885038039136</v>
      </c>
      <c r="M183" s="124">
        <f>(IF((VLOOKUP(Table1[[#This Row],[SKU]],'All Skus'!$A:$AC,2,FALSE))="AKG",(VLOOKUP(Table1[[#This Row],[SKU]],'All Skus'!$A:$AC,17,FALSE)),""))</f>
        <v>9002761039139</v>
      </c>
      <c r="N183" s="64">
        <f>(IF((VLOOKUP(Table1[[#This Row],[SKU]],'All Skus'!$A:$AC,2,FALSE))="AKG",(VLOOKUP(Table1[[#This Row],[SKU]],'All Skus'!$A:$AC,18,FALSE)),""))</f>
        <v>1</v>
      </c>
      <c r="O183" s="64">
        <f>(IF((VLOOKUP(Table1[[#This Row],[SKU]],'All Skus'!$A:$AC,2,FALSE))="AKG",(VLOOKUP(Table1[[#This Row],[SKU]],'All Skus'!$A:$AC,19,FALSE)),""))</f>
        <v>4</v>
      </c>
      <c r="P183" s="64">
        <f>(IF((VLOOKUP(Table1[[#This Row],[SKU]],'All Skus'!$A:$AC,2,FALSE))="AKG",(VLOOKUP(Table1[[#This Row],[SKU]],'All Skus'!$A:$AC,20,FALSE)),""))</f>
        <v>3</v>
      </c>
      <c r="Q183" s="64" t="str">
        <f>(IF((VLOOKUP(Table1[[#This Row],[SKU]],'All Skus'!$A:$AC,2,FALSE))="AKG",(VLOOKUP(Table1[[#This Row],[SKU]],'All Skus'!$A:$AC,21,FALSE)),""))</f>
        <v>n/a</v>
      </c>
      <c r="R183" s="64" t="str">
        <f>(IF((VLOOKUP(Table1[[#This Row],[SKU]],'All Skus'!$A:$AC,2,FALSE))="AKG",(VLOOKUP(Table1[[#This Row],[SKU]],'All Skus'!$A:$AC,22,FALSE)),""))</f>
        <v>TW</v>
      </c>
      <c r="S183" s="64" t="str">
        <f>(IF((VLOOKUP(Table1[[#This Row],[SKU]],'All Skus'!$A:$AC,2,FALSE))="AKG",(VLOOKUP(Table1[[#This Row],[SKU]],'All Skus'!$A:$AC,23,FALSE)),""))</f>
        <v>Compliant</v>
      </c>
      <c r="T183" s="210" t="str">
        <f>HYPERLINK((IF((VLOOKUP(Table1[[#This Row],[SKU]],'All Skus'!$A:$AC,2,FALSE))="AKG",(VLOOKUP(Table1[[#This Row],[SKU]],'All Skus'!$A:$AC,24,FALSE)),"")))</f>
        <v>https://www.akg.com/Microphones/Microphone%20Accessories/6500H00370.html</v>
      </c>
      <c r="U183" s="151">
        <v>181</v>
      </c>
    </row>
    <row r="184" spans="1:21" ht="15" hidden="1" customHeight="1">
      <c r="A184" s="50" t="s">
        <v>341</v>
      </c>
      <c r="B184" s="52" t="str">
        <f>(IF((VLOOKUP(Table1[[#This Row],[SKU]],'All Skus'!$A:$AC,2,FALSE))="AKG",(VLOOKUP(Table1[[#This Row],[SKU]],'All Skus'!$A:$AC,3,FALSE)), ""))</f>
        <v>Installed</v>
      </c>
      <c r="C184" s="60" t="str">
        <f>(IF((VLOOKUP(Table1[[#This Row],[SKU]],'All Skus'!$A:$AC,2,FALSE))="AKG",(VLOOKUP(Table1[[#This Row],[SKU]],'All Skus'!$A:$AC,4,FALSE)),""))</f>
        <v xml:space="preserve">H1 magnet clip white 5 pack </v>
      </c>
      <c r="D184" s="60" t="str">
        <f>(IF((VLOOKUP(Table1[[#This Row],[SKU]],'All Skus'!$A:$AC,2,FALSE))="AKG",(VLOOKUP(Table1[[#This Row],[SKU]],'All Skus'!$A:$AC,5,FALSE)),""))</f>
        <v>AT510000</v>
      </c>
      <c r="E184" s="60">
        <f>(IF((VLOOKUP(Table1[[#This Row],[SKU]],'All Skus'!$A:$AC,2,FALSE))="AKG",(VLOOKUP(Table1[[#This Row],[SKU]],'All Skus'!$A:$AC,6,FALSE)),""))</f>
        <v>0</v>
      </c>
      <c r="F184" s="60">
        <f>(IF((VLOOKUP(Table1[[#This Row],[SKU]],'All Skus'!$A:$AC,2,FALSE))="AKG",(VLOOKUP(Table1[[#This Row],[SKU]],'All Skus'!$A:$AC,7,FALSE)),""))</f>
        <v>0</v>
      </c>
      <c r="G184" s="45" t="str">
        <f>(IF((VLOOKUP(Table1[[#This Row],[SKU]],'All Skus'!$A:$AC,2,FALSE))="AKG",(VLOOKUP(Table1[[#This Row],[SKU]],'All Skus'!$A:$AC,8,FALSE)),""))</f>
        <v>Microlite Accessories</v>
      </c>
      <c r="H184" s="45" t="str">
        <f>(IF((VLOOKUP(Table1[[#This Row],[SKU]],'All Skus'!$A:$AC,2,FALSE))="AKG",(VLOOKUP(Table1[[#This Row],[SKU]],'All Skus'!$A:$AC,9,FALSE)),""))</f>
        <v>magnet clip, white-5 pcs</v>
      </c>
      <c r="I184" s="141">
        <f>(IF((VLOOKUP(Table1[[#This Row],[SKU]],'All Skus'!$A:$AC,2,FALSE))="AKG",(VLOOKUP(Table1[[#This Row],[SKU]],'All Skus'!$A:$AC,10,FALSE)),""))</f>
        <v>122.41</v>
      </c>
      <c r="J184" s="141">
        <f>(IF((VLOOKUP(Table1[[#This Row],[SKU]],'All Skus'!$A:$AC,2,FALSE))="AKG",(VLOOKUP(Table1[[#This Row],[SKU]],'All Skus'!$A:$AC,11,FALSE)),""))</f>
        <v>109</v>
      </c>
      <c r="K184" s="125">
        <f>(IF((VLOOKUP(Table1[[#This Row],[SKU]],'All Skus'!$A:$AC,2,FALSE))="AKG",(VLOOKUP(Table1[[#This Row],[SKU]],'All Skus'!$A:$AC,15,FALSE)),""))</f>
        <v>0</v>
      </c>
      <c r="L184" s="124">
        <f>(IF((VLOOKUP(Table1[[#This Row],[SKU]],'All Skus'!$A:$AC,2,FALSE))="AKG",(VLOOKUP(Table1[[#This Row],[SKU]],'All Skus'!$A:$AC,16,FALSE)),""))</f>
        <v>885038039143</v>
      </c>
      <c r="M184" s="124">
        <f>(IF((VLOOKUP(Table1[[#This Row],[SKU]],'All Skus'!$A:$AC,2,FALSE))="AKG",(VLOOKUP(Table1[[#This Row],[SKU]],'All Skus'!$A:$AC,17,FALSE)),""))</f>
        <v>9002761039146</v>
      </c>
      <c r="N184" s="64">
        <f>(IF((VLOOKUP(Table1[[#This Row],[SKU]],'All Skus'!$A:$AC,2,FALSE))="AKG",(VLOOKUP(Table1[[#This Row],[SKU]],'All Skus'!$A:$AC,18,FALSE)),""))</f>
        <v>1.01</v>
      </c>
      <c r="O184" s="64">
        <f>(IF((VLOOKUP(Table1[[#This Row],[SKU]],'All Skus'!$A:$AC,2,FALSE))="AKG",(VLOOKUP(Table1[[#This Row],[SKU]],'All Skus'!$A:$AC,19,FALSE)),""))</f>
        <v>4</v>
      </c>
      <c r="P184" s="64">
        <f>(IF((VLOOKUP(Table1[[#This Row],[SKU]],'All Skus'!$A:$AC,2,FALSE))="AKG",(VLOOKUP(Table1[[#This Row],[SKU]],'All Skus'!$A:$AC,20,FALSE)),""))</f>
        <v>2.5</v>
      </c>
      <c r="Q184" s="64" t="str">
        <f>(IF((VLOOKUP(Table1[[#This Row],[SKU]],'All Skus'!$A:$AC,2,FALSE))="AKG",(VLOOKUP(Table1[[#This Row],[SKU]],'All Skus'!$A:$AC,21,FALSE)),""))</f>
        <v>n/a</v>
      </c>
      <c r="R184" s="64" t="str">
        <f>(IF((VLOOKUP(Table1[[#This Row],[SKU]],'All Skus'!$A:$AC,2,FALSE))="AKG",(VLOOKUP(Table1[[#This Row],[SKU]],'All Skus'!$A:$AC,22,FALSE)),""))</f>
        <v>TW</v>
      </c>
      <c r="S184" s="64" t="str">
        <f>(IF((VLOOKUP(Table1[[#This Row],[SKU]],'All Skus'!$A:$AC,2,FALSE))="AKG",(VLOOKUP(Table1[[#This Row],[SKU]],'All Skus'!$A:$AC,23,FALSE)),""))</f>
        <v>Compliant</v>
      </c>
      <c r="T184" s="210" t="str">
        <f>HYPERLINK((IF((VLOOKUP(Table1[[#This Row],[SKU]],'All Skus'!$A:$AC,2,FALSE))="AKG",(VLOOKUP(Table1[[#This Row],[SKU]],'All Skus'!$A:$AC,24,FALSE)),"")))</f>
        <v>https://www.akg.com/Microphones/Microphone%20Accessories/6500H00380.html</v>
      </c>
      <c r="U184" s="151">
        <v>182</v>
      </c>
    </row>
    <row r="185" spans="1:21" ht="15" hidden="1" customHeight="1">
      <c r="A185" s="50" t="s">
        <v>342</v>
      </c>
      <c r="B185" s="52" t="str">
        <f>(IF((VLOOKUP(Table1[[#This Row],[SKU]],'All Skus'!$A:$AC,2,FALSE))="AKG",(VLOOKUP(Table1[[#This Row],[SKU]],'All Skus'!$A:$AC,3,FALSE)), ""))</f>
        <v>Installed</v>
      </c>
      <c r="C185" s="60" t="str">
        <f>(IF((VLOOKUP(Table1[[#This Row],[SKU]],'All Skus'!$A:$AC,2,FALSE))="AKG",(VLOOKUP(Table1[[#This Row],[SKU]],'All Skus'!$A:$AC,4,FALSE)),""))</f>
        <v xml:space="preserve">H2 croco clip black 5 pack </v>
      </c>
      <c r="D185" s="60" t="str">
        <f>(IF((VLOOKUP(Table1[[#This Row],[SKU]],'All Skus'!$A:$AC,2,FALSE))="AKG",(VLOOKUP(Table1[[#This Row],[SKU]],'All Skus'!$A:$AC,5,FALSE)),""))</f>
        <v>AT510000</v>
      </c>
      <c r="E185" s="60">
        <f>(IF((VLOOKUP(Table1[[#This Row],[SKU]],'All Skus'!$A:$AC,2,FALSE))="AKG",(VLOOKUP(Table1[[#This Row],[SKU]],'All Skus'!$A:$AC,6,FALSE)),""))</f>
        <v>0</v>
      </c>
      <c r="F185" s="60">
        <f>(IF((VLOOKUP(Table1[[#This Row],[SKU]],'All Skus'!$A:$AC,2,FALSE))="AKG",(VLOOKUP(Table1[[#This Row],[SKU]],'All Skus'!$A:$AC,7,FALSE)),""))</f>
        <v>0</v>
      </c>
      <c r="G185" s="45" t="str">
        <f>(IF((VLOOKUP(Table1[[#This Row],[SKU]],'All Skus'!$A:$AC,2,FALSE))="AKG",(VLOOKUP(Table1[[#This Row],[SKU]],'All Skus'!$A:$AC,8,FALSE)),""))</f>
        <v>Microlite Accessories</v>
      </c>
      <c r="H185" s="45" t="str">
        <f>(IF((VLOOKUP(Table1[[#This Row],[SKU]],'All Skus'!$A:$AC,2,FALSE))="AKG",(VLOOKUP(Table1[[#This Row],[SKU]],'All Skus'!$A:$AC,9,FALSE)),""))</f>
        <v>mic clip, black-5 pcs</v>
      </c>
      <c r="I185" s="141">
        <f>(IF((VLOOKUP(Table1[[#This Row],[SKU]],'All Skus'!$A:$AC,2,FALSE))="AKG",(VLOOKUP(Table1[[#This Row],[SKU]],'All Skus'!$A:$AC,10,FALSE)),""))</f>
        <v>122.41</v>
      </c>
      <c r="J185" s="141">
        <f>(IF((VLOOKUP(Table1[[#This Row],[SKU]],'All Skus'!$A:$AC,2,FALSE))="AKG",(VLOOKUP(Table1[[#This Row],[SKU]],'All Skus'!$A:$AC,11,FALSE)),""))</f>
        <v>109</v>
      </c>
      <c r="K185" s="125">
        <f>(IF((VLOOKUP(Table1[[#This Row],[SKU]],'All Skus'!$A:$AC,2,FALSE))="AKG",(VLOOKUP(Table1[[#This Row],[SKU]],'All Skus'!$A:$AC,15,FALSE)),""))</f>
        <v>0</v>
      </c>
      <c r="L185" s="124">
        <f>(IF((VLOOKUP(Table1[[#This Row],[SKU]],'All Skus'!$A:$AC,2,FALSE))="AKG",(VLOOKUP(Table1[[#This Row],[SKU]],'All Skus'!$A:$AC,16,FALSE)),""))</f>
        <v>885038039150</v>
      </c>
      <c r="M185" s="124">
        <f>(IF((VLOOKUP(Table1[[#This Row],[SKU]],'All Skus'!$A:$AC,2,FALSE))="AKG",(VLOOKUP(Table1[[#This Row],[SKU]],'All Skus'!$A:$AC,17,FALSE)),""))</f>
        <v>9002761039153</v>
      </c>
      <c r="N185" s="64">
        <f>(IF((VLOOKUP(Table1[[#This Row],[SKU]],'All Skus'!$A:$AC,2,FALSE))="AKG",(VLOOKUP(Table1[[#This Row],[SKU]],'All Skus'!$A:$AC,18,FALSE)),""))</f>
        <v>1</v>
      </c>
      <c r="O185" s="64">
        <f>(IF((VLOOKUP(Table1[[#This Row],[SKU]],'All Skus'!$A:$AC,2,FALSE))="AKG",(VLOOKUP(Table1[[#This Row],[SKU]],'All Skus'!$A:$AC,19,FALSE)),""))</f>
        <v>10</v>
      </c>
      <c r="P185" s="64">
        <f>(IF((VLOOKUP(Table1[[#This Row],[SKU]],'All Skus'!$A:$AC,2,FALSE))="AKG",(VLOOKUP(Table1[[#This Row],[SKU]],'All Skus'!$A:$AC,20,FALSE)),""))</f>
        <v>2.5</v>
      </c>
      <c r="Q185" s="64" t="str">
        <f>(IF((VLOOKUP(Table1[[#This Row],[SKU]],'All Skus'!$A:$AC,2,FALSE))="AKG",(VLOOKUP(Table1[[#This Row],[SKU]],'All Skus'!$A:$AC,21,FALSE)),""))</f>
        <v>n/a</v>
      </c>
      <c r="R185" s="64" t="str">
        <f>(IF((VLOOKUP(Table1[[#This Row],[SKU]],'All Skus'!$A:$AC,2,FALSE))="AKG",(VLOOKUP(Table1[[#This Row],[SKU]],'All Skus'!$A:$AC,22,FALSE)),""))</f>
        <v>TW</v>
      </c>
      <c r="S185" s="64" t="str">
        <f>(IF((VLOOKUP(Table1[[#This Row],[SKU]],'All Skus'!$A:$AC,2,FALSE))="AKG",(VLOOKUP(Table1[[#This Row],[SKU]],'All Skus'!$A:$AC,23,FALSE)),""))</f>
        <v>Compliant</v>
      </c>
      <c r="T185" s="210" t="str">
        <f>HYPERLINK((IF((VLOOKUP(Table1[[#This Row],[SKU]],'All Skus'!$A:$AC,2,FALSE))="AKG",(VLOOKUP(Table1[[#This Row],[SKU]],'All Skus'!$A:$AC,24,FALSE)),"")))</f>
        <v>https://www.akg.com/Microphones/Microphone%20Accessories/6500H00390.html</v>
      </c>
      <c r="U185" s="151">
        <v>183</v>
      </c>
    </row>
    <row r="186" spans="1:21" ht="15" hidden="1" customHeight="1">
      <c r="A186" s="50" t="s">
        <v>343</v>
      </c>
      <c r="B186" s="52" t="str">
        <f>(IF((VLOOKUP(Table1[[#This Row],[SKU]],'All Skus'!$A:$AC,2,FALSE))="AKG",(VLOOKUP(Table1[[#This Row],[SKU]],'All Skus'!$A:$AC,3,FALSE)), ""))</f>
        <v>Installed</v>
      </c>
      <c r="C186" s="60" t="str">
        <f>(IF((VLOOKUP(Table1[[#This Row],[SKU]],'All Skus'!$A:$AC,2,FALSE))="AKG",(VLOOKUP(Table1[[#This Row],[SKU]],'All Skus'!$A:$AC,4,FALSE)),""))</f>
        <v xml:space="preserve">H2 croco clip white 5 pack </v>
      </c>
      <c r="D186" s="60" t="str">
        <f>(IF((VLOOKUP(Table1[[#This Row],[SKU]],'All Skus'!$A:$AC,2,FALSE))="AKG",(VLOOKUP(Table1[[#This Row],[SKU]],'All Skus'!$A:$AC,5,FALSE)),""))</f>
        <v>AT510000</v>
      </c>
      <c r="E186" s="60">
        <f>(IF((VLOOKUP(Table1[[#This Row],[SKU]],'All Skus'!$A:$AC,2,FALSE))="AKG",(VLOOKUP(Table1[[#This Row],[SKU]],'All Skus'!$A:$AC,6,FALSE)),""))</f>
        <v>0</v>
      </c>
      <c r="F186" s="60">
        <f>(IF((VLOOKUP(Table1[[#This Row],[SKU]],'All Skus'!$A:$AC,2,FALSE))="AKG",(VLOOKUP(Table1[[#This Row],[SKU]],'All Skus'!$A:$AC,7,FALSE)),""))</f>
        <v>0</v>
      </c>
      <c r="G186" s="45" t="str">
        <f>(IF((VLOOKUP(Table1[[#This Row],[SKU]],'All Skus'!$A:$AC,2,FALSE))="AKG",(VLOOKUP(Table1[[#This Row],[SKU]],'All Skus'!$A:$AC,8,FALSE)),""))</f>
        <v>Microlite Accessories</v>
      </c>
      <c r="H186" s="45" t="str">
        <f>(IF((VLOOKUP(Table1[[#This Row],[SKU]],'All Skus'!$A:$AC,2,FALSE))="AKG",(VLOOKUP(Table1[[#This Row],[SKU]],'All Skus'!$A:$AC,9,FALSE)),""))</f>
        <v>mic clip, white-5 pcs</v>
      </c>
      <c r="I186" s="141">
        <f>(IF((VLOOKUP(Table1[[#This Row],[SKU]],'All Skus'!$A:$AC,2,FALSE))="AKG",(VLOOKUP(Table1[[#This Row],[SKU]],'All Skus'!$A:$AC,10,FALSE)),""))</f>
        <v>122.41</v>
      </c>
      <c r="J186" s="141">
        <f>(IF((VLOOKUP(Table1[[#This Row],[SKU]],'All Skus'!$A:$AC,2,FALSE))="AKG",(VLOOKUP(Table1[[#This Row],[SKU]],'All Skus'!$A:$AC,11,FALSE)),""))</f>
        <v>109</v>
      </c>
      <c r="K186" s="125">
        <f>(IF((VLOOKUP(Table1[[#This Row],[SKU]],'All Skus'!$A:$AC,2,FALSE))="AKG",(VLOOKUP(Table1[[#This Row],[SKU]],'All Skus'!$A:$AC,15,FALSE)),""))</f>
        <v>0</v>
      </c>
      <c r="L186" s="124">
        <f>(IF((VLOOKUP(Table1[[#This Row],[SKU]],'All Skus'!$A:$AC,2,FALSE))="AKG",(VLOOKUP(Table1[[#This Row],[SKU]],'All Skus'!$A:$AC,16,FALSE)),""))</f>
        <v>885038039167</v>
      </c>
      <c r="M186" s="124">
        <f>(IF((VLOOKUP(Table1[[#This Row],[SKU]],'All Skus'!$A:$AC,2,FALSE))="AKG",(VLOOKUP(Table1[[#This Row],[SKU]],'All Skus'!$A:$AC,17,FALSE)),""))</f>
        <v>9002761039160</v>
      </c>
      <c r="N186" s="64">
        <f>(IF((VLOOKUP(Table1[[#This Row],[SKU]],'All Skus'!$A:$AC,2,FALSE))="AKG",(VLOOKUP(Table1[[#This Row],[SKU]],'All Skus'!$A:$AC,18,FALSE)),""))</f>
        <v>17.5</v>
      </c>
      <c r="O186" s="64">
        <f>(IF((VLOOKUP(Table1[[#This Row],[SKU]],'All Skus'!$A:$AC,2,FALSE))="AKG",(VLOOKUP(Table1[[#This Row],[SKU]],'All Skus'!$A:$AC,19,FALSE)),""))</f>
        <v>13</v>
      </c>
      <c r="P186" s="64">
        <f>(IF((VLOOKUP(Table1[[#This Row],[SKU]],'All Skus'!$A:$AC,2,FALSE))="AKG",(VLOOKUP(Table1[[#This Row],[SKU]],'All Skus'!$A:$AC,20,FALSE)),""))</f>
        <v>11.5</v>
      </c>
      <c r="Q186" s="64" t="str">
        <f>(IF((VLOOKUP(Table1[[#This Row],[SKU]],'All Skus'!$A:$AC,2,FALSE))="AKG",(VLOOKUP(Table1[[#This Row],[SKU]],'All Skus'!$A:$AC,21,FALSE)),""))</f>
        <v>n/a</v>
      </c>
      <c r="R186" s="64" t="str">
        <f>(IF((VLOOKUP(Table1[[#This Row],[SKU]],'All Skus'!$A:$AC,2,FALSE))="AKG",(VLOOKUP(Table1[[#This Row],[SKU]],'All Skus'!$A:$AC,22,FALSE)),""))</f>
        <v>TW</v>
      </c>
      <c r="S186" s="64" t="str">
        <f>(IF((VLOOKUP(Table1[[#This Row],[SKU]],'All Skus'!$A:$AC,2,FALSE))="AKG",(VLOOKUP(Table1[[#This Row],[SKU]],'All Skus'!$A:$AC,23,FALSE)),""))</f>
        <v>Compliant</v>
      </c>
      <c r="T186" s="210" t="str">
        <f>HYPERLINK((IF((VLOOKUP(Table1[[#This Row],[SKU]],'All Skus'!$A:$AC,2,FALSE))="AKG",(VLOOKUP(Table1[[#This Row],[SKU]],'All Skus'!$A:$AC,24,FALSE)),"")))</f>
        <v>https://www.akg.com/Microphones/Microphone%20Accessories/6500H00400.html</v>
      </c>
      <c r="U186" s="151">
        <v>184</v>
      </c>
    </row>
    <row r="187" spans="1:21" ht="15" hidden="1" customHeight="1">
      <c r="A187" s="50" t="s">
        <v>344</v>
      </c>
      <c r="B187" s="52" t="str">
        <f>(IF((VLOOKUP(Table1[[#This Row],[SKU]],'All Skus'!$A:$AC,2,FALSE))="AKG",(VLOOKUP(Table1[[#This Row],[SKU]],'All Skus'!$A:$AC,3,FALSE)), ""))</f>
        <v>Installed</v>
      </c>
      <c r="C187" s="60" t="str">
        <f>(IF((VLOOKUP(Table1[[#This Row],[SKU]],'All Skus'!$A:$AC,2,FALSE))="AKG",(VLOOKUP(Table1[[#This Row],[SKU]],'All Skus'!$A:$AC,4,FALSE)),""))</f>
        <v>MUP82 10 pack</v>
      </c>
      <c r="D187" s="60" t="str">
        <f>(IF((VLOOKUP(Table1[[#This Row],[SKU]],'All Skus'!$A:$AC,2,FALSE))="AKG",(VLOOKUP(Table1[[#This Row],[SKU]],'All Skus'!$A:$AC,5,FALSE)),""))</f>
        <v>AT510000</v>
      </c>
      <c r="E187" s="60">
        <f>(IF((VLOOKUP(Table1[[#This Row],[SKU]],'All Skus'!$A:$AC,2,FALSE))="AKG",(VLOOKUP(Table1[[#This Row],[SKU]],'All Skus'!$A:$AC,6,FALSE)),""))</f>
        <v>0</v>
      </c>
      <c r="F187" s="60">
        <f>(IF((VLOOKUP(Table1[[#This Row],[SKU]],'All Skus'!$A:$AC,2,FALSE))="AKG",(VLOOKUP(Table1[[#This Row],[SKU]],'All Skus'!$A:$AC,7,FALSE)),""))</f>
        <v>0</v>
      </c>
      <c r="G187" s="45" t="str">
        <f>(IF((VLOOKUP(Table1[[#This Row],[SKU]],'All Skus'!$A:$AC,2,FALSE))="AKG",(VLOOKUP(Table1[[#This Row],[SKU]],'All Skus'!$A:$AC,8,FALSE)),""))</f>
        <v>Microlite Accessories</v>
      </c>
      <c r="H187" s="45" t="str">
        <f>(IF((VLOOKUP(Table1[[#This Row],[SKU]],'All Skus'!$A:$AC,2,FALSE))="AKG",(VLOOKUP(Table1[[#This Row],[SKU]],'All Skus'!$A:$AC,9,FALSE)),""))</f>
        <v>make up protector 10 pack</v>
      </c>
      <c r="I187" s="141">
        <f>(IF((VLOOKUP(Table1[[#This Row],[SKU]],'All Skus'!$A:$AC,2,FALSE))="AKG",(VLOOKUP(Table1[[#This Row],[SKU]],'All Skus'!$A:$AC,10,FALSE)),""))</f>
        <v>35.86</v>
      </c>
      <c r="J187" s="141">
        <f>(IF((VLOOKUP(Table1[[#This Row],[SKU]],'All Skus'!$A:$AC,2,FALSE))="AKG",(VLOOKUP(Table1[[#This Row],[SKU]],'All Skus'!$A:$AC,11,FALSE)),""))</f>
        <v>20</v>
      </c>
      <c r="K187" s="125">
        <f>(IF((VLOOKUP(Table1[[#This Row],[SKU]],'All Skus'!$A:$AC,2,FALSE))="AKG",(VLOOKUP(Table1[[#This Row],[SKU]],'All Skus'!$A:$AC,15,FALSE)),""))</f>
        <v>0</v>
      </c>
      <c r="L187" s="124">
        <f>(IF((VLOOKUP(Table1[[#This Row],[SKU]],'All Skus'!$A:$AC,2,FALSE))="AKG",(VLOOKUP(Table1[[#This Row],[SKU]],'All Skus'!$A:$AC,16,FALSE)),""))</f>
        <v>885038039341</v>
      </c>
      <c r="M187" s="124">
        <f>(IF((VLOOKUP(Table1[[#This Row],[SKU]],'All Skus'!$A:$AC,2,FALSE))="AKG",(VLOOKUP(Table1[[#This Row],[SKU]],'All Skus'!$A:$AC,17,FALSE)),""))</f>
        <v>9002761039344</v>
      </c>
      <c r="N187" s="64">
        <f>(IF((VLOOKUP(Table1[[#This Row],[SKU]],'All Skus'!$A:$AC,2,FALSE))="AKG",(VLOOKUP(Table1[[#This Row],[SKU]],'All Skus'!$A:$AC,18,FALSE)),""))</f>
        <v>1</v>
      </c>
      <c r="O187" s="64">
        <f>(IF((VLOOKUP(Table1[[#This Row],[SKU]],'All Skus'!$A:$AC,2,FALSE))="AKG",(VLOOKUP(Table1[[#This Row],[SKU]],'All Skus'!$A:$AC,19,FALSE)),""))</f>
        <v>0.4</v>
      </c>
      <c r="P187" s="64">
        <f>(IF((VLOOKUP(Table1[[#This Row],[SKU]],'All Skus'!$A:$AC,2,FALSE))="AKG",(VLOOKUP(Table1[[#This Row],[SKU]],'All Skus'!$A:$AC,20,FALSE)),""))</f>
        <v>2.5</v>
      </c>
      <c r="Q187" s="64" t="str">
        <f>(IF((VLOOKUP(Table1[[#This Row],[SKU]],'All Skus'!$A:$AC,2,FALSE))="AKG",(VLOOKUP(Table1[[#This Row],[SKU]],'All Skus'!$A:$AC,21,FALSE)),""))</f>
        <v>n/a</v>
      </c>
      <c r="R187" s="64" t="str">
        <f>(IF((VLOOKUP(Table1[[#This Row],[SKU]],'All Skus'!$A:$AC,2,FALSE))="AKG",(VLOOKUP(Table1[[#This Row],[SKU]],'All Skus'!$A:$AC,22,FALSE)),""))</f>
        <v>TW</v>
      </c>
      <c r="S187" s="64" t="str">
        <f>(IF((VLOOKUP(Table1[[#This Row],[SKU]],'All Skus'!$A:$AC,2,FALSE))="AKG",(VLOOKUP(Table1[[#This Row],[SKU]],'All Skus'!$A:$AC,23,FALSE)),""))</f>
        <v>Compliant</v>
      </c>
      <c r="T187" s="210" t="str">
        <f>HYPERLINK((IF((VLOOKUP(Table1[[#This Row],[SKU]],'All Skus'!$A:$AC,2,FALSE))="AKG",(VLOOKUP(Table1[[#This Row],[SKU]],'All Skus'!$A:$AC,24,FALSE)),"")))</f>
        <v>https://www.akg.com/Microphones/Microphone%20Accessories/6500H00580.html</v>
      </c>
      <c r="U187" s="151">
        <v>185</v>
      </c>
    </row>
    <row r="188" spans="1:21" ht="15" hidden="1" customHeight="1">
      <c r="A188" s="50" t="s">
        <v>345</v>
      </c>
      <c r="B188" s="52" t="str">
        <f>(IF((VLOOKUP(Table1[[#This Row],[SKU]],'All Skus'!$A:$AC,2,FALSE))="AKG",(VLOOKUP(Table1[[#This Row],[SKU]],'All Skus'!$A:$AC,3,FALSE)), ""))</f>
        <v>Installed</v>
      </c>
      <c r="C188" s="60" t="str">
        <f>(IF((VLOOKUP(Table1[[#This Row],[SKU]],'All Skus'!$A:$AC,2,FALSE))="AKG",(VLOOKUP(Table1[[#This Row],[SKU]],'All Skus'!$A:$AC,4,FALSE)),""))</f>
        <v xml:space="preserve">MUP81 10 pack </v>
      </c>
      <c r="D188" s="60" t="str">
        <f>(IF((VLOOKUP(Table1[[#This Row],[SKU]],'All Skus'!$A:$AC,2,FALSE))="AKG",(VLOOKUP(Table1[[#This Row],[SKU]],'All Skus'!$A:$AC,5,FALSE)),""))</f>
        <v>AT510000</v>
      </c>
      <c r="E188" s="60">
        <f>(IF((VLOOKUP(Table1[[#This Row],[SKU]],'All Skus'!$A:$AC,2,FALSE))="AKG",(VLOOKUP(Table1[[#This Row],[SKU]],'All Skus'!$A:$AC,6,FALSE)),""))</f>
        <v>0</v>
      </c>
      <c r="F188" s="60">
        <f>(IF((VLOOKUP(Table1[[#This Row],[SKU]],'All Skus'!$A:$AC,2,FALSE))="AKG",(VLOOKUP(Table1[[#This Row],[SKU]],'All Skus'!$A:$AC,7,FALSE)),""))</f>
        <v>0</v>
      </c>
      <c r="G188" s="45" t="str">
        <f>(IF((VLOOKUP(Table1[[#This Row],[SKU]],'All Skus'!$A:$AC,2,FALSE))="AKG",(VLOOKUP(Table1[[#This Row],[SKU]],'All Skus'!$A:$AC,8,FALSE)),""))</f>
        <v>Microlite Accessories</v>
      </c>
      <c r="H188" s="45" t="str">
        <f>(IF((VLOOKUP(Table1[[#This Row],[SKU]],'All Skus'!$A:$AC,2,FALSE))="AKG",(VLOOKUP(Table1[[#This Row],[SKU]],'All Skus'!$A:$AC,9,FALSE)),""))</f>
        <v>make up protector 10 pack</v>
      </c>
      <c r="I188" s="141">
        <f>(IF((VLOOKUP(Table1[[#This Row],[SKU]],'All Skus'!$A:$AC,2,FALSE))="AKG",(VLOOKUP(Table1[[#This Row],[SKU]],'All Skus'!$A:$AC,10,FALSE)),""))</f>
        <v>35.86</v>
      </c>
      <c r="J188" s="141">
        <f>(IF((VLOOKUP(Table1[[#This Row],[SKU]],'All Skus'!$A:$AC,2,FALSE))="AKG",(VLOOKUP(Table1[[#This Row],[SKU]],'All Skus'!$A:$AC,11,FALSE)),""))</f>
        <v>20</v>
      </c>
      <c r="K188" s="125">
        <f>(IF((VLOOKUP(Table1[[#This Row],[SKU]],'All Skus'!$A:$AC,2,FALSE))="AKG",(VLOOKUP(Table1[[#This Row],[SKU]],'All Skus'!$A:$AC,15,FALSE)),""))</f>
        <v>0</v>
      </c>
      <c r="L188" s="124">
        <f>(IF((VLOOKUP(Table1[[#This Row],[SKU]],'All Skus'!$A:$AC,2,FALSE))="AKG",(VLOOKUP(Table1[[#This Row],[SKU]],'All Skus'!$A:$AC,16,FALSE)),""))</f>
        <v>885038039358</v>
      </c>
      <c r="M188" s="124">
        <f>(IF((VLOOKUP(Table1[[#This Row],[SKU]],'All Skus'!$A:$AC,2,FALSE))="AKG",(VLOOKUP(Table1[[#This Row],[SKU]],'All Skus'!$A:$AC,17,FALSE)),""))</f>
        <v>9002761039351</v>
      </c>
      <c r="N188" s="64">
        <f>(IF((VLOOKUP(Table1[[#This Row],[SKU]],'All Skus'!$A:$AC,2,FALSE))="AKG",(VLOOKUP(Table1[[#This Row],[SKU]],'All Skus'!$A:$AC,18,FALSE)),""))</f>
        <v>1</v>
      </c>
      <c r="O188" s="64">
        <f>(IF((VLOOKUP(Table1[[#This Row],[SKU]],'All Skus'!$A:$AC,2,FALSE))="AKG",(VLOOKUP(Table1[[#This Row],[SKU]],'All Skus'!$A:$AC,19,FALSE)),""))</f>
        <v>4</v>
      </c>
      <c r="P188" s="64">
        <f>(IF((VLOOKUP(Table1[[#This Row],[SKU]],'All Skus'!$A:$AC,2,FALSE))="AKG",(VLOOKUP(Table1[[#This Row],[SKU]],'All Skus'!$A:$AC,20,FALSE)),""))</f>
        <v>2.5</v>
      </c>
      <c r="Q188" s="64" t="str">
        <f>(IF((VLOOKUP(Table1[[#This Row],[SKU]],'All Skus'!$A:$AC,2,FALSE))="AKG",(VLOOKUP(Table1[[#This Row],[SKU]],'All Skus'!$A:$AC,21,FALSE)),""))</f>
        <v>n/a</v>
      </c>
      <c r="R188" s="64" t="str">
        <f>(IF((VLOOKUP(Table1[[#This Row],[SKU]],'All Skus'!$A:$AC,2,FALSE))="AKG",(VLOOKUP(Table1[[#This Row],[SKU]],'All Skus'!$A:$AC,22,FALSE)),""))</f>
        <v>TW</v>
      </c>
      <c r="S188" s="64" t="str">
        <f>(IF((VLOOKUP(Table1[[#This Row],[SKU]],'All Skus'!$A:$AC,2,FALSE))="AKG",(VLOOKUP(Table1[[#This Row],[SKU]],'All Skus'!$A:$AC,23,FALSE)),""))</f>
        <v>Compliant</v>
      </c>
      <c r="T188" s="210" t="str">
        <f>HYPERLINK((IF((VLOOKUP(Table1[[#This Row],[SKU]],'All Skus'!$A:$AC,2,FALSE))="AKG",(VLOOKUP(Table1[[#This Row],[SKU]],'All Skus'!$A:$AC,24,FALSE)),"")))</f>
        <v>https://www.akg.com/Microphones/Microphone%20Accessories/6500H00590.html</v>
      </c>
      <c r="U188" s="151">
        <v>186</v>
      </c>
    </row>
    <row r="189" spans="1:21" ht="15" hidden="1" customHeight="1">
      <c r="A189" s="50" t="s">
        <v>346</v>
      </c>
      <c r="B189" s="52" t="str">
        <f>(IF((VLOOKUP(Table1[[#This Row],[SKU]],'All Skus'!$A:$AC,2,FALSE))="AKG",(VLOOKUP(Table1[[#This Row],[SKU]],'All Skus'!$A:$AC,3,FALSE)), ""))</f>
        <v>Accessories</v>
      </c>
      <c r="C189" s="60" t="str">
        <f>(IF((VLOOKUP(Table1[[#This Row],[SKU]],'All Skus'!$A:$AC,2,FALSE))="AKG",(VLOOKUP(Table1[[#This Row],[SKU]],'All Skus'!$A:$AC,4,FALSE)),""))</f>
        <v>RMU40 PRO UPGRADE ***</v>
      </c>
      <c r="D189" s="60" t="str">
        <f>(IF((VLOOKUP(Table1[[#This Row],[SKU]],'All Skus'!$A:$AC,2,FALSE))="AKG",(VLOOKUP(Table1[[#This Row],[SKU]],'All Skus'!$A:$AC,5,FALSE)),""))</f>
        <v>AT610000</v>
      </c>
      <c r="E189" s="60">
        <f>(IF((VLOOKUP(Table1[[#This Row],[SKU]],'All Skus'!$A:$AC,2,FALSE))="AKG",(VLOOKUP(Table1[[#This Row],[SKU]],'All Skus'!$A:$AC,6,FALSE)),""))</f>
        <v>0</v>
      </c>
      <c r="F189" s="60">
        <f>(IF((VLOOKUP(Table1[[#This Row],[SKU]],'All Skus'!$A:$AC,2,FALSE))="AKG",(VLOOKUP(Table1[[#This Row],[SKU]],'All Skus'!$A:$AC,7,FALSE)),""))</f>
        <v>0</v>
      </c>
      <c r="G189" s="45" t="str">
        <f>(IF((VLOOKUP(Table1[[#This Row],[SKU]],'All Skus'!$A:$AC,2,FALSE))="AKG",(VLOOKUP(Table1[[#This Row],[SKU]],'All Skus'!$A:$AC,8,FALSE)),""))</f>
        <v>Accessories</v>
      </c>
      <c r="H189" s="45" t="str">
        <f>(IF((VLOOKUP(Table1[[#This Row],[SKU]],'All Skus'!$A:$AC,2,FALSE))="AKG",(VLOOKUP(Table1[[#This Row],[SKU]],'All Skus'!$A:$AC,9,FALSE)),""))</f>
        <v>Rack mount kit for Perception Wireless 45, 450, 470, DMS70 Dual (DSR70 Q receiver has its own rack-brackets included)</v>
      </c>
      <c r="I189" s="141">
        <f>(IF((VLOOKUP(Table1[[#This Row],[SKU]],'All Skus'!$A:$AC,2,FALSE))="AKG",(VLOOKUP(Table1[[#This Row],[SKU]],'All Skus'!$A:$AC,10,FALSE)),""))</f>
        <v>37.21</v>
      </c>
      <c r="J189" s="141">
        <f>(IF((VLOOKUP(Table1[[#This Row],[SKU]],'All Skus'!$A:$AC,2,FALSE))="AKG",(VLOOKUP(Table1[[#This Row],[SKU]],'All Skus'!$A:$AC,11,FALSE)),""))</f>
        <v>30</v>
      </c>
      <c r="K189" s="125">
        <f>(IF((VLOOKUP(Table1[[#This Row],[SKU]],'All Skus'!$A:$AC,2,FALSE))="AKG",(VLOOKUP(Table1[[#This Row],[SKU]],'All Skus'!$A:$AC,15,FALSE)),""))</f>
        <v>0</v>
      </c>
      <c r="L189" s="124">
        <f>(IF((VLOOKUP(Table1[[#This Row],[SKU]],'All Skus'!$A:$AC,2,FALSE))="AKG",(VLOOKUP(Table1[[#This Row],[SKU]],'All Skus'!$A:$AC,16,FALSE)),""))</f>
        <v>885038039617</v>
      </c>
      <c r="M189" s="124">
        <f>(IF((VLOOKUP(Table1[[#This Row],[SKU]],'All Skus'!$A:$AC,2,FALSE))="AKG",(VLOOKUP(Table1[[#This Row],[SKU]],'All Skus'!$A:$AC,17,FALSE)),""))</f>
        <v>9002761039610</v>
      </c>
      <c r="N189" s="64">
        <f>(IF((VLOOKUP(Table1[[#This Row],[SKU]],'All Skus'!$A:$AC,2,FALSE))="AKG",(VLOOKUP(Table1[[#This Row],[SKU]],'All Skus'!$A:$AC,18,FALSE)),""))</f>
        <v>2</v>
      </c>
      <c r="O189" s="64">
        <f>(IF((VLOOKUP(Table1[[#This Row],[SKU]],'All Skus'!$A:$AC,2,FALSE))="AKG",(VLOOKUP(Table1[[#This Row],[SKU]],'All Skus'!$A:$AC,19,FALSE)),""))</f>
        <v>10.5</v>
      </c>
      <c r="P189" s="64">
        <f>(IF((VLOOKUP(Table1[[#This Row],[SKU]],'All Skus'!$A:$AC,2,FALSE))="AKG",(VLOOKUP(Table1[[#This Row],[SKU]],'All Skus'!$A:$AC,20,FALSE)),""))</f>
        <v>5</v>
      </c>
      <c r="Q189" s="64">
        <f>(IF((VLOOKUP(Table1[[#This Row],[SKU]],'All Skus'!$A:$AC,2,FALSE))="AKG",(VLOOKUP(Table1[[#This Row],[SKU]],'All Skus'!$A:$AC,21,FALSE)),""))</f>
        <v>2.8</v>
      </c>
      <c r="R189" s="64" t="str">
        <f>(IF((VLOOKUP(Table1[[#This Row],[SKU]],'All Skus'!$A:$AC,2,FALSE))="AKG",(VLOOKUP(Table1[[#This Row],[SKU]],'All Skus'!$A:$AC,22,FALSE)),""))</f>
        <v>CN</v>
      </c>
      <c r="S189" s="64" t="str">
        <f>(IF((VLOOKUP(Table1[[#This Row],[SKU]],'All Skus'!$A:$AC,2,FALSE))="AKG",(VLOOKUP(Table1[[#This Row],[SKU]],'All Skus'!$A:$AC,23,FALSE)),""))</f>
        <v>Non Compliant</v>
      </c>
      <c r="T189" s="210" t="str">
        <f>HYPERLINK((IF((VLOOKUP(Table1[[#This Row],[SKU]],'All Skus'!$A:$AC,2,FALSE))="AKG",(VLOOKUP(Table1[[#This Row],[SKU]],'All Skus'!$A:$AC,24,FALSE)),"")))</f>
        <v>https://www.akg.com/Wireless/Wireless%20Accessories/RMU40pro.html?dwvar_RMU40pro_color=Black-GLOBAL-Current#q=7615H06050&amp;start=1</v>
      </c>
      <c r="U189" s="151">
        <v>187</v>
      </c>
    </row>
    <row r="190" spans="1:21" ht="15" hidden="1" customHeight="1">
      <c r="A190" s="48" t="s">
        <v>347</v>
      </c>
      <c r="B190" s="52" t="str">
        <f>(IF((VLOOKUP(Table1[[#This Row],[SKU]],'All Skus'!$A:$AC,2,FALSE))="AKG",(VLOOKUP(Table1[[#This Row],[SKU]],'All Skus'!$A:$AC,3,FALSE)), ""))</f>
        <v>Accessories</v>
      </c>
      <c r="C190" s="60" t="str">
        <f>(IF((VLOOKUP(Table1[[#This Row],[SKU]],'All Skus'!$A:$AC,2,FALSE))="AKG",(VLOOKUP(Table1[[#This Row],[SKU]],'All Skus'!$A:$AC,4,FALSE)),""))</f>
        <v>MK HS MiniJack</v>
      </c>
      <c r="D190" s="60" t="str">
        <f>(IF((VLOOKUP(Table1[[#This Row],[SKU]],'All Skus'!$A:$AC,2,FALSE))="AKG",(VLOOKUP(Table1[[#This Row],[SKU]],'All Skus'!$A:$AC,5,FALSE)),""))</f>
        <v>AT210030</v>
      </c>
      <c r="E190" s="60">
        <f>(IF((VLOOKUP(Table1[[#This Row],[SKU]],'All Skus'!$A:$AC,2,FALSE))="AKG",(VLOOKUP(Table1[[#This Row],[SKU]],'All Skus'!$A:$AC,6,FALSE)),""))</f>
        <v>0</v>
      </c>
      <c r="F190" s="60">
        <f>(IF((VLOOKUP(Table1[[#This Row],[SKU]],'All Skus'!$A:$AC,2,FALSE))="AKG",(VLOOKUP(Table1[[#This Row],[SKU]],'All Skus'!$A:$AC,7,FALSE)),""))</f>
        <v>0</v>
      </c>
      <c r="G190" s="45" t="str">
        <f>(IF((VLOOKUP(Table1[[#This Row],[SKU]],'All Skus'!$A:$AC,2,FALSE))="AKG",(VLOOKUP(Table1[[#This Row],[SKU]],'All Skus'!$A:$AC,8,FALSE)),""))</f>
        <v>Cable</v>
      </c>
      <c r="H190" s="45" t="str">
        <f>(IF((VLOOKUP(Table1[[#This Row],[SKU]],'All Skus'!$A:$AC,2,FALSE))="AKG",(VLOOKUP(Table1[[#This Row],[SKU]],'All Skus'!$A:$AC,9,FALSE)),""))</f>
        <v>Headset cable for PC, Conferencing (1/8"mini jack, 1/8"mini jack)</v>
      </c>
      <c r="I190" s="141">
        <f>(IF((VLOOKUP(Table1[[#This Row],[SKU]],'All Skus'!$A:$AC,2,FALSE))="AKG",(VLOOKUP(Table1[[#This Row],[SKU]],'All Skus'!$A:$AC,10,FALSE)),""))</f>
        <v>43.22</v>
      </c>
      <c r="J190" s="141">
        <f>(IF((VLOOKUP(Table1[[#This Row],[SKU]],'All Skus'!$A:$AC,2,FALSE))="AKG",(VLOOKUP(Table1[[#This Row],[SKU]],'All Skus'!$A:$AC,11,FALSE)),""))</f>
        <v>37</v>
      </c>
      <c r="K190" s="125">
        <f>(IF((VLOOKUP(Table1[[#This Row],[SKU]],'All Skus'!$A:$AC,2,FALSE))="AKG",(VLOOKUP(Table1[[#This Row],[SKU]],'All Skus'!$A:$AC,15,FALSE)),""))</f>
        <v>0</v>
      </c>
      <c r="L190" s="124">
        <f>(IF((VLOOKUP(Table1[[#This Row],[SKU]],'All Skus'!$A:$AC,2,FALSE))="AKG",(VLOOKUP(Table1[[#This Row],[SKU]],'All Skus'!$A:$AC,16,FALSE)),""))</f>
        <v>885038028932</v>
      </c>
      <c r="M190" s="124">
        <f>(IF((VLOOKUP(Table1[[#This Row],[SKU]],'All Skus'!$A:$AC,2,FALSE))="AKG",(VLOOKUP(Table1[[#This Row],[SKU]],'All Skus'!$A:$AC,17,FALSE)),""))</f>
        <v>9002761028935</v>
      </c>
      <c r="N190" s="64">
        <f>(IF((VLOOKUP(Table1[[#This Row],[SKU]],'All Skus'!$A:$AC,2,FALSE))="AKG",(VLOOKUP(Table1[[#This Row],[SKU]],'All Skus'!$A:$AC,18,FALSE)),""))</f>
        <v>1</v>
      </c>
      <c r="O190" s="64">
        <f>(IF((VLOOKUP(Table1[[#This Row],[SKU]],'All Skus'!$A:$AC,2,FALSE))="AKG",(VLOOKUP(Table1[[#This Row],[SKU]],'All Skus'!$A:$AC,19,FALSE)),""))</f>
        <v>5</v>
      </c>
      <c r="P190" s="64">
        <f>(IF((VLOOKUP(Table1[[#This Row],[SKU]],'All Skus'!$A:$AC,2,FALSE))="AKG",(VLOOKUP(Table1[[#This Row],[SKU]],'All Skus'!$A:$AC,20,FALSE)),""))</f>
        <v>5</v>
      </c>
      <c r="Q190" s="64">
        <f>(IF((VLOOKUP(Table1[[#This Row],[SKU]],'All Skus'!$A:$AC,2,FALSE))="AKG",(VLOOKUP(Table1[[#This Row],[SKU]],'All Skus'!$A:$AC,21,FALSE)),""))</f>
        <v>0.8</v>
      </c>
      <c r="R190" s="64" t="str">
        <f>(IF((VLOOKUP(Table1[[#This Row],[SKU]],'All Skus'!$A:$AC,2,FALSE))="AKG",(VLOOKUP(Table1[[#This Row],[SKU]],'All Skus'!$A:$AC,22,FALSE)),""))</f>
        <v>CN</v>
      </c>
      <c r="S190" s="64" t="str">
        <f>(IF((VLOOKUP(Table1[[#This Row],[SKU]],'All Skus'!$A:$AC,2,FALSE))="AKG",(VLOOKUP(Table1[[#This Row],[SKU]],'All Skus'!$A:$AC,23,FALSE)),""))</f>
        <v>Non Compliant</v>
      </c>
      <c r="T190" s="210" t="str">
        <f>HYPERLINK((IF((VLOOKUP(Table1[[#This Row],[SKU]],'All Skus'!$A:$AC,2,FALSE))="AKG",(VLOOKUP(Table1[[#This Row],[SKU]],'All Skus'!$A:$AC,24,FALSE)),"")))</f>
        <v>https://www.akg.com/Headphones/Headphone-Accessories/2955H00480.html</v>
      </c>
      <c r="U190" s="151">
        <v>188</v>
      </c>
    </row>
    <row r="191" spans="1:21" ht="15" hidden="1" customHeight="1">
      <c r="A191" s="48" t="s">
        <v>348</v>
      </c>
      <c r="B191" s="52" t="str">
        <f>(IF((VLOOKUP(Table1[[#This Row],[SKU]],'All Skus'!$A:$AC,2,FALSE))="AKG",(VLOOKUP(Table1[[#This Row],[SKU]],'All Skus'!$A:$AC,3,FALSE)), ""))</f>
        <v>Accessories</v>
      </c>
      <c r="C191" s="60" t="str">
        <f>(IF((VLOOKUP(Table1[[#This Row],[SKU]],'All Skus'!$A:$AC,2,FALSE))="AKG",(VLOOKUP(Table1[[#This Row],[SKU]],'All Skus'!$A:$AC,4,FALSE)),""))</f>
        <v>SA60</v>
      </c>
      <c r="D191" s="60" t="str">
        <f>(IF((VLOOKUP(Table1[[#This Row],[SKU]],'All Skus'!$A:$AC,2,FALSE))="AKG",(VLOOKUP(Table1[[#This Row],[SKU]],'All Skus'!$A:$AC,5,FALSE)),""))</f>
        <v>AT410090</v>
      </c>
      <c r="E191" s="60">
        <f>(IF((VLOOKUP(Table1[[#This Row],[SKU]],'All Skus'!$A:$AC,2,FALSE))="AKG",(VLOOKUP(Table1[[#This Row],[SKU]],'All Skus'!$A:$AC,6,FALSE)),""))</f>
        <v>0</v>
      </c>
      <c r="F191" s="60">
        <f>(IF((VLOOKUP(Table1[[#This Row],[SKU]],'All Skus'!$A:$AC,2,FALSE))="AKG",(VLOOKUP(Table1[[#This Row],[SKU]],'All Skus'!$A:$AC,7,FALSE)),""))</f>
        <v>0</v>
      </c>
      <c r="G191" s="45" t="str">
        <f>(IF((VLOOKUP(Table1[[#This Row],[SKU]],'All Skus'!$A:$AC,2,FALSE))="AKG",(VLOOKUP(Table1[[#This Row],[SKU]],'All Skus'!$A:$AC,8,FALSE)),""))</f>
        <v>Accessories</v>
      </c>
      <c r="H191" s="45" t="str">
        <f>(IF((VLOOKUP(Table1[[#This Row],[SKU]],'All Skus'!$A:$AC,2,FALSE))="AKG",(VLOOKUP(Table1[[#This Row],[SKU]],'All Skus'!$A:$AC,9,FALSE)),""))</f>
        <v>Stand adapter for straight shaft mics &amp; GN*E*</v>
      </c>
      <c r="I191" s="141">
        <f>(IF((VLOOKUP(Table1[[#This Row],[SKU]],'All Skus'!$A:$AC,2,FALSE))="AKG",(VLOOKUP(Table1[[#This Row],[SKU]],'All Skus'!$A:$AC,10,FALSE)),""))</f>
        <v>33.61</v>
      </c>
      <c r="J191" s="141">
        <f>(IF((VLOOKUP(Table1[[#This Row],[SKU]],'All Skus'!$A:$AC,2,FALSE))="AKG",(VLOOKUP(Table1[[#This Row],[SKU]],'All Skus'!$A:$AC,11,FALSE)),""))</f>
        <v>26</v>
      </c>
      <c r="K191" s="125">
        <f>(IF((VLOOKUP(Table1[[#This Row],[SKU]],'All Skus'!$A:$AC,2,FALSE))="AKG",(VLOOKUP(Table1[[#This Row],[SKU]],'All Skus'!$A:$AC,15,FALSE)),""))</f>
        <v>0</v>
      </c>
      <c r="L191" s="124">
        <f>(IF((VLOOKUP(Table1[[#This Row],[SKU]],'All Skus'!$A:$AC,2,FALSE))="AKG",(VLOOKUP(Table1[[#This Row],[SKU]],'All Skus'!$A:$AC,16,FALSE)),""))</f>
        <v>885038007869</v>
      </c>
      <c r="M191" s="124">
        <f>(IF((VLOOKUP(Table1[[#This Row],[SKU]],'All Skus'!$A:$AC,2,FALSE))="AKG",(VLOOKUP(Table1[[#This Row],[SKU]],'All Skus'!$A:$AC,17,FALSE)),""))</f>
        <v>9002761007862</v>
      </c>
      <c r="N191" s="64">
        <f>(IF((VLOOKUP(Table1[[#This Row],[SKU]],'All Skus'!$A:$AC,2,FALSE))="AKG",(VLOOKUP(Table1[[#This Row],[SKU]],'All Skus'!$A:$AC,18,FALSE)),""))</f>
        <v>7</v>
      </c>
      <c r="O191" s="64">
        <f>(IF((VLOOKUP(Table1[[#This Row],[SKU]],'All Skus'!$A:$AC,2,FALSE))="AKG",(VLOOKUP(Table1[[#This Row],[SKU]],'All Skus'!$A:$AC,19,FALSE)),""))</f>
        <v>3</v>
      </c>
      <c r="P191" s="64">
        <f>(IF((VLOOKUP(Table1[[#This Row],[SKU]],'All Skus'!$A:$AC,2,FALSE))="AKG",(VLOOKUP(Table1[[#This Row],[SKU]],'All Skus'!$A:$AC,20,FALSE)),""))</f>
        <v>2.5</v>
      </c>
      <c r="Q191" s="64">
        <f>(IF((VLOOKUP(Table1[[#This Row],[SKU]],'All Skus'!$A:$AC,2,FALSE))="AKG",(VLOOKUP(Table1[[#This Row],[SKU]],'All Skus'!$A:$AC,21,FALSE)),""))</f>
        <v>7</v>
      </c>
      <c r="R191" s="64" t="str">
        <f>(IF((VLOOKUP(Table1[[#This Row],[SKU]],'All Skus'!$A:$AC,2,FALSE))="AKG",(VLOOKUP(Table1[[#This Row],[SKU]],'All Skus'!$A:$AC,22,FALSE)),""))</f>
        <v>AT</v>
      </c>
      <c r="S191" s="64" t="str">
        <f>(IF((VLOOKUP(Table1[[#This Row],[SKU]],'All Skus'!$A:$AC,2,FALSE))="AKG",(VLOOKUP(Table1[[#This Row],[SKU]],'All Skus'!$A:$AC,23,FALSE)),""))</f>
        <v>Compliant</v>
      </c>
      <c r="T191" s="210" t="str">
        <f>HYPERLINK((IF((VLOOKUP(Table1[[#This Row],[SKU]],'All Skus'!$A:$AC,2,FALSE))="AKG",(VLOOKUP(Table1[[#This Row],[SKU]],'All Skus'!$A:$AC,24,FALSE)),"")))</f>
        <v>https://www.akg.com/Microphones/Microphone%20Accessories/6000H60010.html</v>
      </c>
      <c r="U191" s="151">
        <v>189</v>
      </c>
    </row>
    <row r="192" spans="1:21" ht="15" hidden="1" customHeight="1">
      <c r="A192" s="48" t="s">
        <v>349</v>
      </c>
      <c r="B192" s="52" t="str">
        <f>(IF((VLOOKUP(Table1[[#This Row],[SKU]],'All Skus'!$A:$AC,2,FALSE))="AKG",(VLOOKUP(Table1[[#This Row],[SKU]],'All Skus'!$A:$AC,3,FALSE)), ""))</f>
        <v>Accessories</v>
      </c>
      <c r="C192" s="60" t="str">
        <f>(IF((VLOOKUP(Table1[[#This Row],[SKU]],'All Skus'!$A:$AC,2,FALSE))="AKG",(VLOOKUP(Table1[[#This Row],[SKU]],'All Skus'!$A:$AC,4,FALSE)),""))</f>
        <v>SA63</v>
      </c>
      <c r="D192" s="60" t="str">
        <f>(IF((VLOOKUP(Table1[[#This Row],[SKU]],'All Skus'!$A:$AC,2,FALSE))="AKG",(VLOOKUP(Table1[[#This Row],[SKU]],'All Skus'!$A:$AC,5,FALSE)),""))</f>
        <v>AT410090</v>
      </c>
      <c r="E192" s="60">
        <f>(IF((VLOOKUP(Table1[[#This Row],[SKU]],'All Skus'!$A:$AC,2,FALSE))="AKG",(VLOOKUP(Table1[[#This Row],[SKU]],'All Skus'!$A:$AC,6,FALSE)),""))</f>
        <v>0</v>
      </c>
      <c r="F192" s="60">
        <f>(IF((VLOOKUP(Table1[[#This Row],[SKU]],'All Skus'!$A:$AC,2,FALSE))="AKG",(VLOOKUP(Table1[[#This Row],[SKU]],'All Skus'!$A:$AC,7,FALSE)),""))</f>
        <v>0</v>
      </c>
      <c r="G192" s="45" t="str">
        <f>(IF((VLOOKUP(Table1[[#This Row],[SKU]],'All Skus'!$A:$AC,2,FALSE))="AKG",(VLOOKUP(Table1[[#This Row],[SKU]],'All Skus'!$A:$AC,8,FALSE)),""))</f>
        <v>Accessories</v>
      </c>
      <c r="H192" s="45" t="str">
        <f>(IF((VLOOKUP(Table1[[#This Row],[SKU]],'All Skus'!$A:$AC,2,FALSE))="AKG",(VLOOKUP(Table1[[#This Row],[SKU]],'All Skus'!$A:$AC,9,FALSE)),""))</f>
        <v>Stand adapter for C 1000 S incl. LED and/or WMS handheld transmitters</v>
      </c>
      <c r="I192" s="141">
        <f>(IF((VLOOKUP(Table1[[#This Row],[SKU]],'All Skus'!$A:$AC,2,FALSE))="AKG",(VLOOKUP(Table1[[#This Row],[SKU]],'All Skus'!$A:$AC,10,FALSE)),""))</f>
        <v>42.02</v>
      </c>
      <c r="J192" s="141">
        <f>(IF((VLOOKUP(Table1[[#This Row],[SKU]],'All Skus'!$A:$AC,2,FALSE))="AKG",(VLOOKUP(Table1[[#This Row],[SKU]],'All Skus'!$A:$AC,11,FALSE)),""))</f>
        <v>30</v>
      </c>
      <c r="K192" s="125">
        <f>(IF((VLOOKUP(Table1[[#This Row],[SKU]],'All Skus'!$A:$AC,2,FALSE))="AKG",(VLOOKUP(Table1[[#This Row],[SKU]],'All Skus'!$A:$AC,15,FALSE)),""))</f>
        <v>0</v>
      </c>
      <c r="L192" s="124">
        <f>(IF((VLOOKUP(Table1[[#This Row],[SKU]],'All Skus'!$A:$AC,2,FALSE))="AKG",(VLOOKUP(Table1[[#This Row],[SKU]],'All Skus'!$A:$AC,16,FALSE)),""))</f>
        <v>885038008293</v>
      </c>
      <c r="M192" s="124">
        <f>(IF((VLOOKUP(Table1[[#This Row],[SKU]],'All Skus'!$A:$AC,2,FALSE))="AKG",(VLOOKUP(Table1[[#This Row],[SKU]],'All Skus'!$A:$AC,17,FALSE)),""))</f>
        <v>9002761008296</v>
      </c>
      <c r="N192" s="64">
        <f>(IF((VLOOKUP(Table1[[#This Row],[SKU]],'All Skus'!$A:$AC,2,FALSE))="AKG",(VLOOKUP(Table1[[#This Row],[SKU]],'All Skus'!$A:$AC,18,FALSE)),""))</f>
        <v>3</v>
      </c>
      <c r="O192" s="64">
        <f>(IF((VLOOKUP(Table1[[#This Row],[SKU]],'All Skus'!$A:$AC,2,FALSE))="AKG",(VLOOKUP(Table1[[#This Row],[SKU]],'All Skus'!$A:$AC,19,FALSE)),""))</f>
        <v>2.5</v>
      </c>
      <c r="P192" s="64">
        <f>(IF((VLOOKUP(Table1[[#This Row],[SKU]],'All Skus'!$A:$AC,2,FALSE))="AKG",(VLOOKUP(Table1[[#This Row],[SKU]],'All Skus'!$A:$AC,20,FALSE)),""))</f>
        <v>7</v>
      </c>
      <c r="Q192" s="64">
        <f>(IF((VLOOKUP(Table1[[#This Row],[SKU]],'All Skus'!$A:$AC,2,FALSE))="AKG",(VLOOKUP(Table1[[#This Row],[SKU]],'All Skus'!$A:$AC,21,FALSE)),""))</f>
        <v>7</v>
      </c>
      <c r="R192" s="64" t="str">
        <f>(IF((VLOOKUP(Table1[[#This Row],[SKU]],'All Skus'!$A:$AC,2,FALSE))="AKG",(VLOOKUP(Table1[[#This Row],[SKU]],'All Skus'!$A:$AC,22,FALSE)),""))</f>
        <v>AT</v>
      </c>
      <c r="S192" s="64" t="str">
        <f>(IF((VLOOKUP(Table1[[#This Row],[SKU]],'All Skus'!$A:$AC,2,FALSE))="AKG",(VLOOKUP(Table1[[#This Row],[SKU]],'All Skus'!$A:$AC,23,FALSE)),""))</f>
        <v>Compliant</v>
      </c>
      <c r="T192" s="210" t="str">
        <f>HYPERLINK((IF((VLOOKUP(Table1[[#This Row],[SKU]],'All Skus'!$A:$AC,2,FALSE))="AKG",(VLOOKUP(Table1[[#This Row],[SKU]],'All Skus'!$A:$AC,24,FALSE)),"")))</f>
        <v>https://www.akg.com/Microphones/Microphone%20Accessories/6000H63010.html</v>
      </c>
      <c r="U192" s="151">
        <v>190</v>
      </c>
    </row>
    <row r="193" spans="1:21" ht="15" hidden="1" customHeight="1">
      <c r="A193" s="48" t="s">
        <v>350</v>
      </c>
      <c r="B193" s="52" t="str">
        <f>(IF((VLOOKUP(Table1[[#This Row],[SKU]],'All Skus'!$A:$AC,2,FALSE))="AKG",(VLOOKUP(Table1[[#This Row],[SKU]],'All Skus'!$A:$AC,3,FALSE)), ""))</f>
        <v>Accessories</v>
      </c>
      <c r="C193" s="60" t="str">
        <f>(IF((VLOOKUP(Table1[[#This Row],[SKU]],'All Skus'!$A:$AC,2,FALSE))="AKG",(VLOOKUP(Table1[[#This Row],[SKU]],'All Skus'!$A:$AC,4,FALSE)),""))</f>
        <v>H50</v>
      </c>
      <c r="D193" s="60" t="str">
        <f>(IF((VLOOKUP(Table1[[#This Row],[SKU]],'All Skus'!$A:$AC,2,FALSE))="AKG",(VLOOKUP(Table1[[#This Row],[SKU]],'All Skus'!$A:$AC,5,FALSE)),""))</f>
        <v>AT210090</v>
      </c>
      <c r="E193" s="60">
        <f>(IF((VLOOKUP(Table1[[#This Row],[SKU]],'All Skus'!$A:$AC,2,FALSE))="AKG",(VLOOKUP(Table1[[#This Row],[SKU]],'All Skus'!$A:$AC,6,FALSE)),""))</f>
        <v>0</v>
      </c>
      <c r="F193" s="60">
        <f>(IF((VLOOKUP(Table1[[#This Row],[SKU]],'All Skus'!$A:$AC,2,FALSE))="AKG",(VLOOKUP(Table1[[#This Row],[SKU]],'All Skus'!$A:$AC,7,FALSE)),""))</f>
        <v>0</v>
      </c>
      <c r="G193" s="45" t="str">
        <f>(IF((VLOOKUP(Table1[[#This Row],[SKU]],'All Skus'!$A:$AC,2,FALSE))="AKG",(VLOOKUP(Table1[[#This Row],[SKU]],'All Skus'!$A:$AC,8,FALSE)),""))</f>
        <v>Accessories</v>
      </c>
      <c r="H193" s="45" t="str">
        <f>(IF((VLOOKUP(Table1[[#This Row],[SKU]],'All Skus'!$A:$AC,2,FALSE))="AKG",(VLOOKUP(Table1[[#This Row],[SKU]],'All Skus'!$A:$AC,9,FALSE)),""))</f>
        <v>Stereo bar</v>
      </c>
      <c r="I193" s="141">
        <f>(IF((VLOOKUP(Table1[[#This Row],[SKU]],'All Skus'!$A:$AC,2,FALSE))="AKG",(VLOOKUP(Table1[[#This Row],[SKU]],'All Skus'!$A:$AC,10,FALSE)),""))</f>
        <v>34.81</v>
      </c>
      <c r="J193" s="141">
        <f>(IF((VLOOKUP(Table1[[#This Row],[SKU]],'All Skus'!$A:$AC,2,FALSE))="AKG",(VLOOKUP(Table1[[#This Row],[SKU]],'All Skus'!$A:$AC,11,FALSE)),""))</f>
        <v>20</v>
      </c>
      <c r="K193" s="125">
        <f>(IF((VLOOKUP(Table1[[#This Row],[SKU]],'All Skus'!$A:$AC,2,FALSE))="AKG",(VLOOKUP(Table1[[#This Row],[SKU]],'All Skus'!$A:$AC,15,FALSE)),""))</f>
        <v>0</v>
      </c>
      <c r="L193" s="124">
        <f>(IF((VLOOKUP(Table1[[#This Row],[SKU]],'All Skus'!$A:$AC,2,FALSE))="AKG",(VLOOKUP(Table1[[#This Row],[SKU]],'All Skus'!$A:$AC,16,FALSE)),""))</f>
        <v>885038005384</v>
      </c>
      <c r="M193" s="124">
        <f>(IF((VLOOKUP(Table1[[#This Row],[SKU]],'All Skus'!$A:$AC,2,FALSE))="AKG",(VLOOKUP(Table1[[#This Row],[SKU]],'All Skus'!$A:$AC,17,FALSE)),""))</f>
        <v>9002761005387</v>
      </c>
      <c r="N193" s="64">
        <f>(IF((VLOOKUP(Table1[[#This Row],[SKU]],'All Skus'!$A:$AC,2,FALSE))="AKG",(VLOOKUP(Table1[[#This Row],[SKU]],'All Skus'!$A:$AC,18,FALSE)),""))</f>
        <v>3</v>
      </c>
      <c r="O193" s="64">
        <f>(IF((VLOOKUP(Table1[[#This Row],[SKU]],'All Skus'!$A:$AC,2,FALSE))="AKG",(VLOOKUP(Table1[[#This Row],[SKU]],'All Skus'!$A:$AC,19,FALSE)),""))</f>
        <v>4</v>
      </c>
      <c r="P193" s="64">
        <f>(IF((VLOOKUP(Table1[[#This Row],[SKU]],'All Skus'!$A:$AC,2,FALSE))="AKG",(VLOOKUP(Table1[[#This Row],[SKU]],'All Skus'!$A:$AC,20,FALSE)),""))</f>
        <v>5</v>
      </c>
      <c r="Q193" s="64" t="str">
        <f>(IF((VLOOKUP(Table1[[#This Row],[SKU]],'All Skus'!$A:$AC,2,FALSE))="AKG",(VLOOKUP(Table1[[#This Row],[SKU]],'All Skus'!$A:$AC,21,FALSE)),""))</f>
        <v>n/a</v>
      </c>
      <c r="R193" s="64" t="str">
        <f>(IF((VLOOKUP(Table1[[#This Row],[SKU]],'All Skus'!$A:$AC,2,FALSE))="AKG",(VLOOKUP(Table1[[#This Row],[SKU]],'All Skus'!$A:$AC,22,FALSE)),""))</f>
        <v>DE</v>
      </c>
      <c r="S193" s="64" t="str">
        <f>(IF((VLOOKUP(Table1[[#This Row],[SKU]],'All Skus'!$A:$AC,2,FALSE))="AKG",(VLOOKUP(Table1[[#This Row],[SKU]],'All Skus'!$A:$AC,23,FALSE)),""))</f>
        <v>Compliant</v>
      </c>
      <c r="T193" s="210" t="str">
        <f>HYPERLINK((IF((VLOOKUP(Table1[[#This Row],[SKU]],'All Skus'!$A:$AC,2,FALSE))="AKG",(VLOOKUP(Table1[[#This Row],[SKU]],'All Skus'!$A:$AC,24,FALSE)),"")))</f>
        <v>https://www.akg.com/Microphones/Microphone%20Accessories/6000H05710.html</v>
      </c>
      <c r="U193" s="151">
        <v>191</v>
      </c>
    </row>
    <row r="194" spans="1:21" ht="15" hidden="1" customHeight="1">
      <c r="A194" s="48" t="s">
        <v>351</v>
      </c>
      <c r="B194" s="52" t="str">
        <f>(IF((VLOOKUP(Table1[[#This Row],[SKU]],'All Skus'!$A:$AC,2,FALSE))="AKG",(VLOOKUP(Table1[[#This Row],[SKU]],'All Skus'!$A:$AC,3,FALSE)), ""))</f>
        <v>Accessories</v>
      </c>
      <c r="C194" s="60" t="str">
        <f>(IF((VLOOKUP(Table1[[#This Row],[SKU]],'All Skus'!$A:$AC,2,FALSE))="AKG",(VLOOKUP(Table1[[#This Row],[SKU]],'All Skus'!$A:$AC,4,FALSE)),""))</f>
        <v>EK300</v>
      </c>
      <c r="D194" s="60" t="str">
        <f>(IF((VLOOKUP(Table1[[#This Row],[SKU]],'All Skus'!$A:$AC,2,FALSE))="AKG",(VLOOKUP(Table1[[#This Row],[SKU]],'All Skus'!$A:$AC,5,FALSE)),""))</f>
        <v>AT110090</v>
      </c>
      <c r="E194" s="60">
        <f>(IF((VLOOKUP(Table1[[#This Row],[SKU]],'All Skus'!$A:$AC,2,FALSE))="AKG",(VLOOKUP(Table1[[#This Row],[SKU]],'All Skus'!$A:$AC,6,FALSE)),""))</f>
        <v>0</v>
      </c>
      <c r="F194" s="60">
        <f>(IF((VLOOKUP(Table1[[#This Row],[SKU]],'All Skus'!$A:$AC,2,FALSE))="AKG",(VLOOKUP(Table1[[#This Row],[SKU]],'All Skus'!$A:$AC,7,FALSE)),""))</f>
        <v>0</v>
      </c>
      <c r="G194" s="45" t="str">
        <f>(IF((VLOOKUP(Table1[[#This Row],[SKU]],'All Skus'!$A:$AC,2,FALSE))="AKG",(VLOOKUP(Table1[[#This Row],[SKU]],'All Skus'!$A:$AC,8,FALSE)),""))</f>
        <v>Cable</v>
      </c>
      <c r="H194" s="45" t="str">
        <f>(IF((VLOOKUP(Table1[[#This Row],[SKU]],'All Skus'!$A:$AC,2,FALSE))="AKG",(VLOOKUP(Table1[[#This Row],[SKU]],'All Skus'!$A:$AC,9,FALSE)),""))</f>
        <v>Standard 3 m (10 ft.) cable mini XLR/mini jack (1/8")</v>
      </c>
      <c r="I194" s="141">
        <f>(IF((VLOOKUP(Table1[[#This Row],[SKU]],'All Skus'!$A:$AC,2,FALSE))="AKG",(VLOOKUP(Table1[[#This Row],[SKU]],'All Skus'!$A:$AC,10,FALSE)),""))</f>
        <v>43.22</v>
      </c>
      <c r="J194" s="141">
        <f>(IF((VLOOKUP(Table1[[#This Row],[SKU]],'All Skus'!$A:$AC,2,FALSE))="AKG",(VLOOKUP(Table1[[#This Row],[SKU]],'All Skus'!$A:$AC,11,FALSE)),""))</f>
        <v>37</v>
      </c>
      <c r="K194" s="125">
        <f>(IF((VLOOKUP(Table1[[#This Row],[SKU]],'All Skus'!$A:$AC,2,FALSE))="AKG",(VLOOKUP(Table1[[#This Row],[SKU]],'All Skus'!$A:$AC,15,FALSE)),""))</f>
        <v>0</v>
      </c>
      <c r="L194" s="124">
        <f>(IF((VLOOKUP(Table1[[#This Row],[SKU]],'All Skus'!$A:$AC,2,FALSE))="AKG",(VLOOKUP(Table1[[#This Row],[SKU]],'All Skus'!$A:$AC,16,FALSE)),""))</f>
        <v>885038006800</v>
      </c>
      <c r="M194" s="124">
        <f>(IF((VLOOKUP(Table1[[#This Row],[SKU]],'All Skus'!$A:$AC,2,FALSE))="AKG",(VLOOKUP(Table1[[#This Row],[SKU]],'All Skus'!$A:$AC,17,FALSE)),""))</f>
        <v>9002761006803</v>
      </c>
      <c r="N194" s="64">
        <f>(IF((VLOOKUP(Table1[[#This Row],[SKU]],'All Skus'!$A:$AC,2,FALSE))="AKG",(VLOOKUP(Table1[[#This Row],[SKU]],'All Skus'!$A:$AC,18,FALSE)),""))</f>
        <v>2</v>
      </c>
      <c r="O194" s="64">
        <f>(IF((VLOOKUP(Table1[[#This Row],[SKU]],'All Skus'!$A:$AC,2,FALSE))="AKG",(VLOOKUP(Table1[[#This Row],[SKU]],'All Skus'!$A:$AC,19,FALSE)),""))</f>
        <v>4</v>
      </c>
      <c r="P194" s="64">
        <f>(IF((VLOOKUP(Table1[[#This Row],[SKU]],'All Skus'!$A:$AC,2,FALSE))="AKG",(VLOOKUP(Table1[[#This Row],[SKU]],'All Skus'!$A:$AC,20,FALSE)),""))</f>
        <v>6</v>
      </c>
      <c r="Q194" s="64">
        <f>(IF((VLOOKUP(Table1[[#This Row],[SKU]],'All Skus'!$A:$AC,2,FALSE))="AKG",(VLOOKUP(Table1[[#This Row],[SKU]],'All Skus'!$A:$AC,21,FALSE)),""))</f>
        <v>1.4</v>
      </c>
      <c r="R194" s="64" t="str">
        <f>(IF((VLOOKUP(Table1[[#This Row],[SKU]],'All Skus'!$A:$AC,2,FALSE))="AKG",(VLOOKUP(Table1[[#This Row],[SKU]],'All Skus'!$A:$AC,22,FALSE)),""))</f>
        <v>CN</v>
      </c>
      <c r="S194" s="64" t="str">
        <f>(IF((VLOOKUP(Table1[[#This Row],[SKU]],'All Skus'!$A:$AC,2,FALSE))="AKG",(VLOOKUP(Table1[[#This Row],[SKU]],'All Skus'!$A:$AC,23,FALSE)),""))</f>
        <v>Non Compliant</v>
      </c>
      <c r="T194" s="210" t="str">
        <f>HYPERLINK((IF((VLOOKUP(Table1[[#This Row],[SKU]],'All Skus'!$A:$AC,2,FALSE))="AKG",(VLOOKUP(Table1[[#This Row],[SKU]],'All Skus'!$A:$AC,24,FALSE)),"")))</f>
        <v>https://www.akg.com/Headphones/Headphone-Accessories/6000H10080.html</v>
      </c>
      <c r="U194" s="151">
        <v>192</v>
      </c>
    </row>
    <row r="195" spans="1:21" ht="15" hidden="1" customHeight="1">
      <c r="A195" s="50" t="s">
        <v>352</v>
      </c>
      <c r="B195" s="52" t="str">
        <f>(IF((VLOOKUP(Table1[[#This Row],[SKU]],'All Skus'!$A:$AC,2,FALSE))="AKG",(VLOOKUP(Table1[[#This Row],[SKU]],'All Skus'!$A:$AC,3,FALSE)), ""))</f>
        <v>Installed</v>
      </c>
      <c r="C195" s="60" t="str">
        <f>(IF((VLOOKUP(Table1[[#This Row],[SKU]],'All Skus'!$A:$AC,2,FALSE))="AKG",(VLOOKUP(Table1[[#This Row],[SKU]],'All Skus'!$A:$AC,4,FALSE)),""))</f>
        <v>W81 white foam 10 pack</v>
      </c>
      <c r="D195" s="60" t="str">
        <f>(IF((VLOOKUP(Table1[[#This Row],[SKU]],'All Skus'!$A:$AC,2,FALSE))="AKG",(VLOOKUP(Table1[[#This Row],[SKU]],'All Skus'!$A:$AC,5,FALSE)),""))</f>
        <v>AT510000</v>
      </c>
      <c r="E195" s="60">
        <f>(IF((VLOOKUP(Table1[[#This Row],[SKU]],'All Skus'!$A:$AC,2,FALSE))="AKG",(VLOOKUP(Table1[[#This Row],[SKU]],'All Skus'!$A:$AC,6,FALSE)),""))</f>
        <v>0</v>
      </c>
      <c r="F195" s="60">
        <f>(IF((VLOOKUP(Table1[[#This Row],[SKU]],'All Skus'!$A:$AC,2,FALSE))="AKG",(VLOOKUP(Table1[[#This Row],[SKU]],'All Skus'!$A:$AC,7,FALSE)),""))</f>
        <v>0</v>
      </c>
      <c r="G195" s="45" t="str">
        <f>(IF((VLOOKUP(Table1[[#This Row],[SKU]],'All Skus'!$A:$AC,2,FALSE))="AKG",(VLOOKUP(Table1[[#This Row],[SKU]],'All Skus'!$A:$AC,8,FALSE)),""))</f>
        <v>Microlite Accessories</v>
      </c>
      <c r="H195" s="45" t="str">
        <f>(IF((VLOOKUP(Table1[[#This Row],[SKU]],'All Skus'!$A:$AC,2,FALSE))="AKG",(VLOOKUP(Table1[[#This Row],[SKU]],'All Skus'!$A:$AC,9,FALSE)),""))</f>
        <v>foam windscreen 10 pack</v>
      </c>
      <c r="I195" s="141">
        <f>(IF((VLOOKUP(Table1[[#This Row],[SKU]],'All Skus'!$A:$AC,2,FALSE))="AKG",(VLOOKUP(Table1[[#This Row],[SKU]],'All Skus'!$A:$AC,10,FALSE)),""))</f>
        <v>48.22</v>
      </c>
      <c r="J195" s="141">
        <f>(IF((VLOOKUP(Table1[[#This Row],[SKU]],'All Skus'!$A:$AC,2,FALSE))="AKG",(VLOOKUP(Table1[[#This Row],[SKU]],'All Skus'!$A:$AC,11,FALSE)),""))</f>
        <v>37</v>
      </c>
      <c r="K195" s="125">
        <f>(IF((VLOOKUP(Table1[[#This Row],[SKU]],'All Skus'!$A:$AC,2,FALSE))="AKG",(VLOOKUP(Table1[[#This Row],[SKU]],'All Skus'!$A:$AC,15,FALSE)),""))</f>
        <v>0</v>
      </c>
      <c r="L195" s="124">
        <f>(IF((VLOOKUP(Table1[[#This Row],[SKU]],'All Skus'!$A:$AC,2,FALSE))="AKG",(VLOOKUP(Table1[[#This Row],[SKU]],'All Skus'!$A:$AC,16,FALSE)),""))</f>
        <v>885038039198</v>
      </c>
      <c r="M195" s="124">
        <f>(IF((VLOOKUP(Table1[[#This Row],[SKU]],'All Skus'!$A:$AC,2,FALSE))="AKG",(VLOOKUP(Table1[[#This Row],[SKU]],'All Skus'!$A:$AC,17,FALSE)),""))</f>
        <v>9002761039191</v>
      </c>
      <c r="N195" s="64">
        <f>(IF((VLOOKUP(Table1[[#This Row],[SKU]],'All Skus'!$A:$AC,2,FALSE))="AKG",(VLOOKUP(Table1[[#This Row],[SKU]],'All Skus'!$A:$AC,18,FALSE)),""))</f>
        <v>2</v>
      </c>
      <c r="O195" s="64">
        <f>(IF((VLOOKUP(Table1[[#This Row],[SKU]],'All Skus'!$A:$AC,2,FALSE))="AKG",(VLOOKUP(Table1[[#This Row],[SKU]],'All Skus'!$A:$AC,19,FALSE)),""))</f>
        <v>10</v>
      </c>
      <c r="P195" s="64">
        <f>(IF((VLOOKUP(Table1[[#This Row],[SKU]],'All Skus'!$A:$AC,2,FALSE))="AKG",(VLOOKUP(Table1[[#This Row],[SKU]],'All Skus'!$A:$AC,20,FALSE)),""))</f>
        <v>6</v>
      </c>
      <c r="Q195" s="64" t="str">
        <f>(IF((VLOOKUP(Table1[[#This Row],[SKU]],'All Skus'!$A:$AC,2,FALSE))="AKG",(VLOOKUP(Table1[[#This Row],[SKU]],'All Skus'!$A:$AC,21,FALSE)),""))</f>
        <v>n/a</v>
      </c>
      <c r="R195" s="64" t="str">
        <f>(IF((VLOOKUP(Table1[[#This Row],[SKU]],'All Skus'!$A:$AC,2,FALSE))="AKG",(VLOOKUP(Table1[[#This Row],[SKU]],'All Skus'!$A:$AC,22,FALSE)),""))</f>
        <v>TW</v>
      </c>
      <c r="S195" s="64" t="str">
        <f>(IF((VLOOKUP(Table1[[#This Row],[SKU]],'All Skus'!$A:$AC,2,FALSE))="AKG",(VLOOKUP(Table1[[#This Row],[SKU]],'All Skus'!$A:$AC,23,FALSE)),""))</f>
        <v>Compliant</v>
      </c>
      <c r="T195" s="210" t="str">
        <f>HYPERLINK((IF((VLOOKUP(Table1[[#This Row],[SKU]],'All Skus'!$A:$AC,2,FALSE))="AKG",(VLOOKUP(Table1[[#This Row],[SKU]],'All Skus'!$A:$AC,24,FALSE)),"")))</f>
        <v>https://www.akg.com/support-product-detail.html#prod=W81group</v>
      </c>
      <c r="U195" s="151">
        <v>193</v>
      </c>
    </row>
    <row r="196" spans="1:21" ht="15" hidden="1" customHeight="1">
      <c r="A196" s="50" t="s">
        <v>353</v>
      </c>
      <c r="B196" s="52" t="str">
        <f>(IF((VLOOKUP(Table1[[#This Row],[SKU]],'All Skus'!$A:$AC,2,FALSE))="AKG",(VLOOKUP(Table1[[#This Row],[SKU]],'All Skus'!$A:$AC,3,FALSE)), ""))</f>
        <v>Installed</v>
      </c>
      <c r="C196" s="60" t="str">
        <f>(IF((VLOOKUP(Table1[[#This Row],[SKU]],'All Skus'!$A:$AC,2,FALSE))="AKG",(VLOOKUP(Table1[[#This Row],[SKU]],'All Skus'!$A:$AC,4,FALSE)),""))</f>
        <v xml:space="preserve">W82 cocoa foam 10 pack </v>
      </c>
      <c r="D196" s="60" t="str">
        <f>(IF((VLOOKUP(Table1[[#This Row],[SKU]],'All Skus'!$A:$AC,2,FALSE))="AKG",(VLOOKUP(Table1[[#This Row],[SKU]],'All Skus'!$A:$AC,5,FALSE)),""))</f>
        <v>AT510000</v>
      </c>
      <c r="E196" s="60">
        <f>(IF((VLOOKUP(Table1[[#This Row],[SKU]],'All Skus'!$A:$AC,2,FALSE))="AKG",(VLOOKUP(Table1[[#This Row],[SKU]],'All Skus'!$A:$AC,6,FALSE)),""))</f>
        <v>0</v>
      </c>
      <c r="F196" s="60">
        <f>(IF((VLOOKUP(Table1[[#This Row],[SKU]],'All Skus'!$A:$AC,2,FALSE))="AKG",(VLOOKUP(Table1[[#This Row],[SKU]],'All Skus'!$A:$AC,7,FALSE)),""))</f>
        <v>0</v>
      </c>
      <c r="G196" s="45" t="str">
        <f>(IF((VLOOKUP(Table1[[#This Row],[SKU]],'All Skus'!$A:$AC,2,FALSE))="AKG",(VLOOKUP(Table1[[#This Row],[SKU]],'All Skus'!$A:$AC,8,FALSE)),""))</f>
        <v>Microlite Accessories</v>
      </c>
      <c r="H196" s="45" t="str">
        <f>(IF((VLOOKUP(Table1[[#This Row],[SKU]],'All Skus'!$A:$AC,2,FALSE))="AKG",(VLOOKUP(Table1[[#This Row],[SKU]],'All Skus'!$A:$AC,9,FALSE)),""))</f>
        <v>foam windscreen 10 pack</v>
      </c>
      <c r="I196" s="141">
        <f>(IF((VLOOKUP(Table1[[#This Row],[SKU]],'All Skus'!$A:$AC,2,FALSE))="AKG",(VLOOKUP(Table1[[#This Row],[SKU]],'All Skus'!$A:$AC,10,FALSE)),""))</f>
        <v>48.22</v>
      </c>
      <c r="J196" s="141">
        <f>(IF((VLOOKUP(Table1[[#This Row],[SKU]],'All Skus'!$A:$AC,2,FALSE))="AKG",(VLOOKUP(Table1[[#This Row],[SKU]],'All Skus'!$A:$AC,11,FALSE)),""))</f>
        <v>37</v>
      </c>
      <c r="K196" s="125">
        <f>(IF((VLOOKUP(Table1[[#This Row],[SKU]],'All Skus'!$A:$AC,2,FALSE))="AKG",(VLOOKUP(Table1[[#This Row],[SKU]],'All Skus'!$A:$AC,15,FALSE)),""))</f>
        <v>0</v>
      </c>
      <c r="L196" s="124">
        <f>(IF((VLOOKUP(Table1[[#This Row],[SKU]],'All Skus'!$A:$AC,2,FALSE))="AKG",(VLOOKUP(Table1[[#This Row],[SKU]],'All Skus'!$A:$AC,16,FALSE)),""))</f>
        <v>885038039211</v>
      </c>
      <c r="M196" s="124">
        <f>(IF((VLOOKUP(Table1[[#This Row],[SKU]],'All Skus'!$A:$AC,2,FALSE))="AKG",(VLOOKUP(Table1[[#This Row],[SKU]],'All Skus'!$A:$AC,17,FALSE)),""))</f>
        <v>9002761039214</v>
      </c>
      <c r="N196" s="64">
        <f>(IF((VLOOKUP(Table1[[#This Row],[SKU]],'All Skus'!$A:$AC,2,FALSE))="AKG",(VLOOKUP(Table1[[#This Row],[SKU]],'All Skus'!$A:$AC,18,FALSE)),""))</f>
        <v>1</v>
      </c>
      <c r="O196" s="64">
        <f>(IF((VLOOKUP(Table1[[#This Row],[SKU]],'All Skus'!$A:$AC,2,FALSE))="AKG",(VLOOKUP(Table1[[#This Row],[SKU]],'All Skus'!$A:$AC,19,FALSE)),""))</f>
        <v>4</v>
      </c>
      <c r="P196" s="64">
        <f>(IF((VLOOKUP(Table1[[#This Row],[SKU]],'All Skus'!$A:$AC,2,FALSE))="AKG",(VLOOKUP(Table1[[#This Row],[SKU]],'All Skus'!$A:$AC,20,FALSE)),""))</f>
        <v>2</v>
      </c>
      <c r="Q196" s="64" t="str">
        <f>(IF((VLOOKUP(Table1[[#This Row],[SKU]],'All Skus'!$A:$AC,2,FALSE))="AKG",(VLOOKUP(Table1[[#This Row],[SKU]],'All Skus'!$A:$AC,21,FALSE)),""))</f>
        <v>n/a</v>
      </c>
      <c r="R196" s="64" t="str">
        <f>(IF((VLOOKUP(Table1[[#This Row],[SKU]],'All Skus'!$A:$AC,2,FALSE))="AKG",(VLOOKUP(Table1[[#This Row],[SKU]],'All Skus'!$A:$AC,22,FALSE)),""))</f>
        <v>TW</v>
      </c>
      <c r="S196" s="64" t="str">
        <f>(IF((VLOOKUP(Table1[[#This Row],[SKU]],'All Skus'!$A:$AC,2,FALSE))="AKG",(VLOOKUP(Table1[[#This Row],[SKU]],'All Skus'!$A:$AC,23,FALSE)),""))</f>
        <v>Compliant</v>
      </c>
      <c r="T196" s="210" t="str">
        <f>HYPERLINK((IF((VLOOKUP(Table1[[#This Row],[SKU]],'All Skus'!$A:$AC,2,FALSE))="AKG",(VLOOKUP(Table1[[#This Row],[SKU]],'All Skus'!$A:$AC,24,FALSE)),"")))</f>
        <v>https://www.akg.com/Microphones/Microphone%20Accessories/6500H00450.html</v>
      </c>
      <c r="U196" s="151">
        <v>194</v>
      </c>
    </row>
    <row r="197" spans="1:21" ht="15" hidden="1" customHeight="1">
      <c r="A197" s="50" t="s">
        <v>354</v>
      </c>
      <c r="B197" s="52" t="str">
        <f>(IF((VLOOKUP(Table1[[#This Row],[SKU]],'All Skus'!$A:$AC,2,FALSE))="AKG",(VLOOKUP(Table1[[#This Row],[SKU]],'All Skus'!$A:$AC,3,FALSE)), ""))</f>
        <v>Installed</v>
      </c>
      <c r="C197" s="60" t="str">
        <f>(IF((VLOOKUP(Table1[[#This Row],[SKU]],'All Skus'!$A:$AC,2,FALSE))="AKG",(VLOOKUP(Table1[[#This Row],[SKU]],'All Skus'!$A:$AC,4,FALSE)),""))</f>
        <v xml:space="preserve">W81 black foam 10 pack </v>
      </c>
      <c r="D197" s="60" t="str">
        <f>(IF((VLOOKUP(Table1[[#This Row],[SKU]],'All Skus'!$A:$AC,2,FALSE))="AKG",(VLOOKUP(Table1[[#This Row],[SKU]],'All Skus'!$A:$AC,5,FALSE)),""))</f>
        <v>AT510000</v>
      </c>
      <c r="E197" s="60">
        <f>(IF((VLOOKUP(Table1[[#This Row],[SKU]],'All Skus'!$A:$AC,2,FALSE))="AKG",(VLOOKUP(Table1[[#This Row],[SKU]],'All Skus'!$A:$AC,6,FALSE)),""))</f>
        <v>0</v>
      </c>
      <c r="F197" s="60">
        <f>(IF((VLOOKUP(Table1[[#This Row],[SKU]],'All Skus'!$A:$AC,2,FALSE))="AKG",(VLOOKUP(Table1[[#This Row],[SKU]],'All Skus'!$A:$AC,7,FALSE)),""))</f>
        <v>0</v>
      </c>
      <c r="G197" s="45" t="str">
        <f>(IF((VLOOKUP(Table1[[#This Row],[SKU]],'All Skus'!$A:$AC,2,FALSE))="AKG",(VLOOKUP(Table1[[#This Row],[SKU]],'All Skus'!$A:$AC,8,FALSE)),""))</f>
        <v>Microlite Accessories</v>
      </c>
      <c r="H197" s="45" t="str">
        <f>(IF((VLOOKUP(Table1[[#This Row],[SKU]],'All Skus'!$A:$AC,2,FALSE))="AKG",(VLOOKUP(Table1[[#This Row],[SKU]],'All Skus'!$A:$AC,9,FALSE)),""))</f>
        <v>foam windscreen 10 pack</v>
      </c>
      <c r="I197" s="141">
        <f>(IF((VLOOKUP(Table1[[#This Row],[SKU]],'All Skus'!$A:$AC,2,FALSE))="AKG",(VLOOKUP(Table1[[#This Row],[SKU]],'All Skus'!$A:$AC,10,FALSE)),""))</f>
        <v>48.22</v>
      </c>
      <c r="J197" s="141">
        <f>(IF((VLOOKUP(Table1[[#This Row],[SKU]],'All Skus'!$A:$AC,2,FALSE))="AKG",(VLOOKUP(Table1[[#This Row],[SKU]],'All Skus'!$A:$AC,11,FALSE)),""))</f>
        <v>37</v>
      </c>
      <c r="K197" s="125">
        <f>(IF((VLOOKUP(Table1[[#This Row],[SKU]],'All Skus'!$A:$AC,2,FALSE))="AKG",(VLOOKUP(Table1[[#This Row],[SKU]],'All Skus'!$A:$AC,15,FALSE)),""))</f>
        <v>0</v>
      </c>
      <c r="L197" s="124">
        <f>(IF((VLOOKUP(Table1[[#This Row],[SKU]],'All Skus'!$A:$AC,2,FALSE))="AKG",(VLOOKUP(Table1[[#This Row],[SKU]],'All Skus'!$A:$AC,16,FALSE)),""))</f>
        <v>885038039228</v>
      </c>
      <c r="M197" s="124">
        <f>(IF((VLOOKUP(Table1[[#This Row],[SKU]],'All Skus'!$A:$AC,2,FALSE))="AKG",(VLOOKUP(Table1[[#This Row],[SKU]],'All Skus'!$A:$AC,17,FALSE)),""))</f>
        <v>9002761039221</v>
      </c>
      <c r="N197" s="64">
        <f>(IF((VLOOKUP(Table1[[#This Row],[SKU]],'All Skus'!$A:$AC,2,FALSE))="AKG",(VLOOKUP(Table1[[#This Row],[SKU]],'All Skus'!$A:$AC,18,FALSE)),""))</f>
        <v>1</v>
      </c>
      <c r="O197" s="64">
        <f>(IF((VLOOKUP(Table1[[#This Row],[SKU]],'All Skus'!$A:$AC,2,FALSE))="AKG",(VLOOKUP(Table1[[#This Row],[SKU]],'All Skus'!$A:$AC,19,FALSE)),""))</f>
        <v>4</v>
      </c>
      <c r="P197" s="64">
        <f>(IF((VLOOKUP(Table1[[#This Row],[SKU]],'All Skus'!$A:$AC,2,FALSE))="AKG",(VLOOKUP(Table1[[#This Row],[SKU]],'All Skus'!$A:$AC,20,FALSE)),""))</f>
        <v>2.5</v>
      </c>
      <c r="Q197" s="64" t="str">
        <f>(IF((VLOOKUP(Table1[[#This Row],[SKU]],'All Skus'!$A:$AC,2,FALSE))="AKG",(VLOOKUP(Table1[[#This Row],[SKU]],'All Skus'!$A:$AC,21,FALSE)),""))</f>
        <v>n/a</v>
      </c>
      <c r="R197" s="64" t="str">
        <f>(IF((VLOOKUP(Table1[[#This Row],[SKU]],'All Skus'!$A:$AC,2,FALSE))="AKG",(VLOOKUP(Table1[[#This Row],[SKU]],'All Skus'!$A:$AC,22,FALSE)),""))</f>
        <v>TW</v>
      </c>
      <c r="S197" s="64" t="str">
        <f>(IF((VLOOKUP(Table1[[#This Row],[SKU]],'All Skus'!$A:$AC,2,FALSE))="AKG",(VLOOKUP(Table1[[#This Row],[SKU]],'All Skus'!$A:$AC,23,FALSE)),""))</f>
        <v>Compliant</v>
      </c>
      <c r="T197" s="210" t="str">
        <f>HYPERLINK((IF((VLOOKUP(Table1[[#This Row],[SKU]],'All Skus'!$A:$AC,2,FALSE))="AKG",(VLOOKUP(Table1[[#This Row],[SKU]],'All Skus'!$A:$AC,24,FALSE)),"")))</f>
        <v>https://www.akg.com/Microphones/Microphone%20Accessories/6500H00460.html</v>
      </c>
      <c r="U197" s="151">
        <v>195</v>
      </c>
    </row>
    <row r="198" spans="1:21" ht="15" hidden="1" customHeight="1">
      <c r="A198" s="50" t="s">
        <v>355</v>
      </c>
      <c r="B198" s="52" t="str">
        <f>(IF((VLOOKUP(Table1[[#This Row],[SKU]],'All Skus'!$A:$AC,2,FALSE))="AKG",(VLOOKUP(Table1[[#This Row],[SKU]],'All Skus'!$A:$AC,3,FALSE)), ""))</f>
        <v>Installed</v>
      </c>
      <c r="C198" s="60" t="str">
        <f>(IF((VLOOKUP(Table1[[#This Row],[SKU]],'All Skus'!$A:$AC,2,FALSE))="AKG",(VLOOKUP(Table1[[#This Row],[SKU]],'All Skus'!$A:$AC,4,FALSE)),""))</f>
        <v xml:space="preserve">WM81 black wiremesh 5 pack </v>
      </c>
      <c r="D198" s="60" t="str">
        <f>(IF((VLOOKUP(Table1[[#This Row],[SKU]],'All Skus'!$A:$AC,2,FALSE))="AKG",(VLOOKUP(Table1[[#This Row],[SKU]],'All Skus'!$A:$AC,5,FALSE)),""))</f>
        <v>AT510000</v>
      </c>
      <c r="E198" s="60">
        <f>(IF((VLOOKUP(Table1[[#This Row],[SKU]],'All Skus'!$A:$AC,2,FALSE))="AKG",(VLOOKUP(Table1[[#This Row],[SKU]],'All Skus'!$A:$AC,6,FALSE)),""))</f>
        <v>0</v>
      </c>
      <c r="F198" s="60">
        <f>(IF((VLOOKUP(Table1[[#This Row],[SKU]],'All Skus'!$A:$AC,2,FALSE))="AKG",(VLOOKUP(Table1[[#This Row],[SKU]],'All Skus'!$A:$AC,7,FALSE)),""))</f>
        <v>0</v>
      </c>
      <c r="G198" s="45" t="str">
        <f>(IF((VLOOKUP(Table1[[#This Row],[SKU]],'All Skus'!$A:$AC,2,FALSE))="AKG",(VLOOKUP(Table1[[#This Row],[SKU]],'All Skus'!$A:$AC,8,FALSE)),""))</f>
        <v>Microlite Accessories</v>
      </c>
      <c r="H198" s="45" t="str">
        <f>(IF((VLOOKUP(Table1[[#This Row],[SKU]],'All Skus'!$A:$AC,2,FALSE))="AKG",(VLOOKUP(Table1[[#This Row],[SKU]],'All Skus'!$A:$AC,9,FALSE)),""))</f>
        <v>wiremesh cap 5 pack</v>
      </c>
      <c r="I198" s="141">
        <f>(IF((VLOOKUP(Table1[[#This Row],[SKU]],'All Skus'!$A:$AC,2,FALSE))="AKG",(VLOOKUP(Table1[[#This Row],[SKU]],'All Skus'!$A:$AC,10,FALSE)),""))</f>
        <v>97.68</v>
      </c>
      <c r="J198" s="141">
        <f>(IF((VLOOKUP(Table1[[#This Row],[SKU]],'All Skus'!$A:$AC,2,FALSE))="AKG",(VLOOKUP(Table1[[#This Row],[SKU]],'All Skus'!$A:$AC,11,FALSE)),""))</f>
        <v>88</v>
      </c>
      <c r="K198" s="125">
        <f>(IF((VLOOKUP(Table1[[#This Row],[SKU]],'All Skus'!$A:$AC,2,FALSE))="AKG",(VLOOKUP(Table1[[#This Row],[SKU]],'All Skus'!$A:$AC,15,FALSE)),""))</f>
        <v>0</v>
      </c>
      <c r="L198" s="124">
        <f>(IF((VLOOKUP(Table1[[#This Row],[SKU]],'All Skus'!$A:$AC,2,FALSE))="AKG",(VLOOKUP(Table1[[#This Row],[SKU]],'All Skus'!$A:$AC,16,FALSE)),""))</f>
        <v>885038039303</v>
      </c>
      <c r="M198" s="124">
        <f>(IF((VLOOKUP(Table1[[#This Row],[SKU]],'All Skus'!$A:$AC,2,FALSE))="AKG",(VLOOKUP(Table1[[#This Row],[SKU]],'All Skus'!$A:$AC,17,FALSE)),""))</f>
        <v>9002761039306</v>
      </c>
      <c r="N198" s="64">
        <f>(IF((VLOOKUP(Table1[[#This Row],[SKU]],'All Skus'!$A:$AC,2,FALSE))="AKG",(VLOOKUP(Table1[[#This Row],[SKU]],'All Skus'!$A:$AC,18,FALSE)),""))</f>
        <v>4.5</v>
      </c>
      <c r="O198" s="64">
        <f>(IF((VLOOKUP(Table1[[#This Row],[SKU]],'All Skus'!$A:$AC,2,FALSE))="AKG",(VLOOKUP(Table1[[#This Row],[SKU]],'All Skus'!$A:$AC,19,FALSE)),""))</f>
        <v>2.5</v>
      </c>
      <c r="P198" s="64">
        <f>(IF((VLOOKUP(Table1[[#This Row],[SKU]],'All Skus'!$A:$AC,2,FALSE))="AKG",(VLOOKUP(Table1[[#This Row],[SKU]],'All Skus'!$A:$AC,20,FALSE)),""))</f>
        <v>1</v>
      </c>
      <c r="Q198" s="64" t="str">
        <f>(IF((VLOOKUP(Table1[[#This Row],[SKU]],'All Skus'!$A:$AC,2,FALSE))="AKG",(VLOOKUP(Table1[[#This Row],[SKU]],'All Skus'!$A:$AC,21,FALSE)),""))</f>
        <v>n/a</v>
      </c>
      <c r="R198" s="64" t="str">
        <f>(IF((VLOOKUP(Table1[[#This Row],[SKU]],'All Skus'!$A:$AC,2,FALSE))="AKG",(VLOOKUP(Table1[[#This Row],[SKU]],'All Skus'!$A:$AC,22,FALSE)),""))</f>
        <v>TW</v>
      </c>
      <c r="S198" s="64" t="str">
        <f>(IF((VLOOKUP(Table1[[#This Row],[SKU]],'All Skus'!$A:$AC,2,FALSE))="AKG",(VLOOKUP(Table1[[#This Row],[SKU]],'All Skus'!$A:$AC,23,FALSE)),""))</f>
        <v>Compliant</v>
      </c>
      <c r="T198" s="210" t="str">
        <f>HYPERLINK((IF((VLOOKUP(Table1[[#This Row],[SKU]],'All Skus'!$A:$AC,2,FALSE))="AKG",(VLOOKUP(Table1[[#This Row],[SKU]],'All Skus'!$A:$AC,24,FALSE)),"")))</f>
        <v>https://www.akg.com/support-product-detail.html#prod=WM81group</v>
      </c>
      <c r="U198" s="151">
        <v>196</v>
      </c>
    </row>
    <row r="199" spans="1:21" ht="15" hidden="1" customHeight="1">
      <c r="A199" s="50" t="s">
        <v>356</v>
      </c>
      <c r="B199" s="52" t="str">
        <f>(IF((VLOOKUP(Table1[[#This Row],[SKU]],'All Skus'!$A:$AC,2,FALSE))="AKG",(VLOOKUP(Table1[[#This Row],[SKU]],'All Skus'!$A:$AC,3,FALSE)), ""))</f>
        <v>Installed</v>
      </c>
      <c r="C199" s="60" t="str">
        <f>(IF((VLOOKUP(Table1[[#This Row],[SKU]],'All Skus'!$A:$AC,2,FALSE))="AKG",(VLOOKUP(Table1[[#This Row],[SKU]],'All Skus'!$A:$AC,4,FALSE)),""))</f>
        <v xml:space="preserve">WM81 white wiremesh 5 pack </v>
      </c>
      <c r="D199" s="60" t="str">
        <f>(IF((VLOOKUP(Table1[[#This Row],[SKU]],'All Skus'!$A:$AC,2,FALSE))="AKG",(VLOOKUP(Table1[[#This Row],[SKU]],'All Skus'!$A:$AC,5,FALSE)),""))</f>
        <v>AT510000</v>
      </c>
      <c r="E199" s="60">
        <f>(IF((VLOOKUP(Table1[[#This Row],[SKU]],'All Skus'!$A:$AC,2,FALSE))="AKG",(VLOOKUP(Table1[[#This Row],[SKU]],'All Skus'!$A:$AC,6,FALSE)),""))</f>
        <v>0</v>
      </c>
      <c r="F199" s="60">
        <f>(IF((VLOOKUP(Table1[[#This Row],[SKU]],'All Skus'!$A:$AC,2,FALSE))="AKG",(VLOOKUP(Table1[[#This Row],[SKU]],'All Skus'!$A:$AC,7,FALSE)),""))</f>
        <v>0</v>
      </c>
      <c r="G199" s="45" t="str">
        <f>(IF((VLOOKUP(Table1[[#This Row],[SKU]],'All Skus'!$A:$AC,2,FALSE))="AKG",(VLOOKUP(Table1[[#This Row],[SKU]],'All Skus'!$A:$AC,8,FALSE)),""))</f>
        <v>Microlite Accessories</v>
      </c>
      <c r="H199" s="45" t="str">
        <f>(IF((VLOOKUP(Table1[[#This Row],[SKU]],'All Skus'!$A:$AC,2,FALSE))="AKG",(VLOOKUP(Table1[[#This Row],[SKU]],'All Skus'!$A:$AC,9,FALSE)),""))</f>
        <v>wiremesh cap 5 pack</v>
      </c>
      <c r="I199" s="141">
        <f>(IF((VLOOKUP(Table1[[#This Row],[SKU]],'All Skus'!$A:$AC,2,FALSE))="AKG",(VLOOKUP(Table1[[#This Row],[SKU]],'All Skus'!$A:$AC,10,FALSE)),""))</f>
        <v>97.68</v>
      </c>
      <c r="J199" s="141">
        <f>(IF((VLOOKUP(Table1[[#This Row],[SKU]],'All Skus'!$A:$AC,2,FALSE))="AKG",(VLOOKUP(Table1[[#This Row],[SKU]],'All Skus'!$A:$AC,11,FALSE)),""))</f>
        <v>88</v>
      </c>
      <c r="K199" s="125">
        <f>(IF((VLOOKUP(Table1[[#This Row],[SKU]],'All Skus'!$A:$AC,2,FALSE))="AKG",(VLOOKUP(Table1[[#This Row],[SKU]],'All Skus'!$A:$AC,15,FALSE)),""))</f>
        <v>0</v>
      </c>
      <c r="L199" s="124">
        <f>(IF((VLOOKUP(Table1[[#This Row],[SKU]],'All Skus'!$A:$AC,2,FALSE))="AKG",(VLOOKUP(Table1[[#This Row],[SKU]],'All Skus'!$A:$AC,16,FALSE)),""))</f>
        <v>885038039310</v>
      </c>
      <c r="M199" s="124">
        <f>(IF((VLOOKUP(Table1[[#This Row],[SKU]],'All Skus'!$A:$AC,2,FALSE))="AKG",(VLOOKUP(Table1[[#This Row],[SKU]],'All Skus'!$A:$AC,17,FALSE)),""))</f>
        <v>9002761039313</v>
      </c>
      <c r="N199" s="64">
        <f>(IF((VLOOKUP(Table1[[#This Row],[SKU]],'All Skus'!$A:$AC,2,FALSE))="AKG",(VLOOKUP(Table1[[#This Row],[SKU]],'All Skus'!$A:$AC,18,FALSE)),""))</f>
        <v>1</v>
      </c>
      <c r="O199" s="64">
        <f>(IF((VLOOKUP(Table1[[#This Row],[SKU]],'All Skus'!$A:$AC,2,FALSE))="AKG",(VLOOKUP(Table1[[#This Row],[SKU]],'All Skus'!$A:$AC,19,FALSE)),""))</f>
        <v>4</v>
      </c>
      <c r="P199" s="64">
        <f>(IF((VLOOKUP(Table1[[#This Row],[SKU]],'All Skus'!$A:$AC,2,FALSE))="AKG",(VLOOKUP(Table1[[#This Row],[SKU]],'All Skus'!$A:$AC,20,FALSE)),""))</f>
        <v>2.5</v>
      </c>
      <c r="Q199" s="64" t="str">
        <f>(IF((VLOOKUP(Table1[[#This Row],[SKU]],'All Skus'!$A:$AC,2,FALSE))="AKG",(VLOOKUP(Table1[[#This Row],[SKU]],'All Skus'!$A:$AC,21,FALSE)),""))</f>
        <v>n/a</v>
      </c>
      <c r="R199" s="64" t="str">
        <f>(IF((VLOOKUP(Table1[[#This Row],[SKU]],'All Skus'!$A:$AC,2,FALSE))="AKG",(VLOOKUP(Table1[[#This Row],[SKU]],'All Skus'!$A:$AC,22,FALSE)),""))</f>
        <v>TW</v>
      </c>
      <c r="S199" s="64" t="str">
        <f>(IF((VLOOKUP(Table1[[#This Row],[SKU]],'All Skus'!$A:$AC,2,FALSE))="AKG",(VLOOKUP(Table1[[#This Row],[SKU]],'All Skus'!$A:$AC,23,FALSE)),""))</f>
        <v>Compliant</v>
      </c>
      <c r="T199" s="210" t="str">
        <f>HYPERLINK((IF((VLOOKUP(Table1[[#This Row],[SKU]],'All Skus'!$A:$AC,2,FALSE))="AKG",(VLOOKUP(Table1[[#This Row],[SKU]],'All Skus'!$A:$AC,24,FALSE)),"")))</f>
        <v>https://www.akg.com/Microphones/Microphone%20Accessories/6500H00550.html</v>
      </c>
      <c r="U199" s="151">
        <v>197</v>
      </c>
    </row>
    <row r="200" spans="1:21" ht="15" hidden="1" customHeight="1">
      <c r="A200" s="50" t="s">
        <v>357</v>
      </c>
      <c r="B200" s="52" t="str">
        <f>(IF((VLOOKUP(Table1[[#This Row],[SKU]],'All Skus'!$A:$AC,2,FALSE))="AKG",(VLOOKUP(Table1[[#This Row],[SKU]],'All Skus'!$A:$AC,3,FALSE)), ""))</f>
        <v>Installed</v>
      </c>
      <c r="C200" s="60" t="str">
        <f>(IF((VLOOKUP(Table1[[#This Row],[SKU]],'All Skus'!$A:$AC,2,FALSE))="AKG",(VLOOKUP(Table1[[#This Row],[SKU]],'All Skus'!$A:$AC,4,FALSE)),""))</f>
        <v xml:space="preserve">WM81 beige wiremesh 5 pack </v>
      </c>
      <c r="D200" s="60" t="str">
        <f>(IF((VLOOKUP(Table1[[#This Row],[SKU]],'All Skus'!$A:$AC,2,FALSE))="AKG",(VLOOKUP(Table1[[#This Row],[SKU]],'All Skus'!$A:$AC,5,FALSE)),""))</f>
        <v>AT510000</v>
      </c>
      <c r="E200" s="60">
        <f>(IF((VLOOKUP(Table1[[#This Row],[SKU]],'All Skus'!$A:$AC,2,FALSE))="AKG",(VLOOKUP(Table1[[#This Row],[SKU]],'All Skus'!$A:$AC,6,FALSE)),""))</f>
        <v>0</v>
      </c>
      <c r="F200" s="60">
        <f>(IF((VLOOKUP(Table1[[#This Row],[SKU]],'All Skus'!$A:$AC,2,FALSE))="AKG",(VLOOKUP(Table1[[#This Row],[SKU]],'All Skus'!$A:$AC,7,FALSE)),""))</f>
        <v>0</v>
      </c>
      <c r="G200" s="45" t="str">
        <f>(IF((VLOOKUP(Table1[[#This Row],[SKU]],'All Skus'!$A:$AC,2,FALSE))="AKG",(VLOOKUP(Table1[[#This Row],[SKU]],'All Skus'!$A:$AC,8,FALSE)),""))</f>
        <v>Microlite Accessories</v>
      </c>
      <c r="H200" s="45" t="str">
        <f>(IF((VLOOKUP(Table1[[#This Row],[SKU]],'All Skus'!$A:$AC,2,FALSE))="AKG",(VLOOKUP(Table1[[#This Row],[SKU]],'All Skus'!$A:$AC,9,FALSE)),""))</f>
        <v>wiremesh cap 5 pack</v>
      </c>
      <c r="I200" s="141">
        <f>(IF((VLOOKUP(Table1[[#This Row],[SKU]],'All Skus'!$A:$AC,2,FALSE))="AKG",(VLOOKUP(Table1[[#This Row],[SKU]],'All Skus'!$A:$AC,10,FALSE)),""))</f>
        <v>97.68</v>
      </c>
      <c r="J200" s="141">
        <f>(IF((VLOOKUP(Table1[[#This Row],[SKU]],'All Skus'!$A:$AC,2,FALSE))="AKG",(VLOOKUP(Table1[[#This Row],[SKU]],'All Skus'!$A:$AC,11,FALSE)),""))</f>
        <v>88</v>
      </c>
      <c r="K200" s="125">
        <f>(IF((VLOOKUP(Table1[[#This Row],[SKU]],'All Skus'!$A:$AC,2,FALSE))="AKG",(VLOOKUP(Table1[[#This Row],[SKU]],'All Skus'!$A:$AC,15,FALSE)),""))</f>
        <v>0</v>
      </c>
      <c r="L200" s="124">
        <f>(IF((VLOOKUP(Table1[[#This Row],[SKU]],'All Skus'!$A:$AC,2,FALSE))="AKG",(VLOOKUP(Table1[[#This Row],[SKU]],'All Skus'!$A:$AC,16,FALSE)),""))</f>
        <v>885038039327</v>
      </c>
      <c r="M200" s="124">
        <f>(IF((VLOOKUP(Table1[[#This Row],[SKU]],'All Skus'!$A:$AC,2,FALSE))="AKG",(VLOOKUP(Table1[[#This Row],[SKU]],'All Skus'!$A:$AC,17,FALSE)),""))</f>
        <v>9002761039320</v>
      </c>
      <c r="N200" s="64">
        <f>(IF((VLOOKUP(Table1[[#This Row],[SKU]],'All Skus'!$A:$AC,2,FALSE))="AKG",(VLOOKUP(Table1[[#This Row],[SKU]],'All Skus'!$A:$AC,18,FALSE)),""))</f>
        <v>1</v>
      </c>
      <c r="O200" s="64">
        <f>(IF((VLOOKUP(Table1[[#This Row],[SKU]],'All Skus'!$A:$AC,2,FALSE))="AKG",(VLOOKUP(Table1[[#This Row],[SKU]],'All Skus'!$A:$AC,19,FALSE)),""))</f>
        <v>4</v>
      </c>
      <c r="P200" s="64">
        <f>(IF((VLOOKUP(Table1[[#This Row],[SKU]],'All Skus'!$A:$AC,2,FALSE))="AKG",(VLOOKUP(Table1[[#This Row],[SKU]],'All Skus'!$A:$AC,20,FALSE)),""))</f>
        <v>2.5</v>
      </c>
      <c r="Q200" s="64" t="str">
        <f>(IF((VLOOKUP(Table1[[#This Row],[SKU]],'All Skus'!$A:$AC,2,FALSE))="AKG",(VLOOKUP(Table1[[#This Row],[SKU]],'All Skus'!$A:$AC,21,FALSE)),""))</f>
        <v>n/a</v>
      </c>
      <c r="R200" s="64" t="str">
        <f>(IF((VLOOKUP(Table1[[#This Row],[SKU]],'All Skus'!$A:$AC,2,FALSE))="AKG",(VLOOKUP(Table1[[#This Row],[SKU]],'All Skus'!$A:$AC,22,FALSE)),""))</f>
        <v>TW</v>
      </c>
      <c r="S200" s="64" t="str">
        <f>(IF((VLOOKUP(Table1[[#This Row],[SKU]],'All Skus'!$A:$AC,2,FALSE))="AKG",(VLOOKUP(Table1[[#This Row],[SKU]],'All Skus'!$A:$AC,23,FALSE)),""))</f>
        <v>Compliant</v>
      </c>
      <c r="T200" s="210" t="str">
        <f>HYPERLINK((IF((VLOOKUP(Table1[[#This Row],[SKU]],'All Skus'!$A:$AC,2,FALSE))="AKG",(VLOOKUP(Table1[[#This Row],[SKU]],'All Skus'!$A:$AC,24,FALSE)),"")))</f>
        <v>https://www.akg.com/Microphones/Microphone%20Accessories/6500H00560.html</v>
      </c>
      <c r="U200" s="151">
        <v>198</v>
      </c>
    </row>
    <row r="201" spans="1:21" ht="15" hidden="1" customHeight="1">
      <c r="A201" s="50" t="s">
        <v>358</v>
      </c>
      <c r="B201" s="52" t="str">
        <f>(IF((VLOOKUP(Table1[[#This Row],[SKU]],'All Skus'!$A:$AC,2,FALSE))="AKG",(VLOOKUP(Table1[[#This Row],[SKU]],'All Skus'!$A:$AC,3,FALSE)), ""))</f>
        <v>Installed</v>
      </c>
      <c r="C201" s="60" t="str">
        <f>(IF((VLOOKUP(Table1[[#This Row],[SKU]],'All Skus'!$A:$AC,2,FALSE))="AKG",(VLOOKUP(Table1[[#This Row],[SKU]],'All Skus'!$A:$AC,4,FALSE)),""))</f>
        <v xml:space="preserve">WM81 cocoa wiremesh 5 pack </v>
      </c>
      <c r="D201" s="60" t="str">
        <f>(IF((VLOOKUP(Table1[[#This Row],[SKU]],'All Skus'!$A:$AC,2,FALSE))="AKG",(VLOOKUP(Table1[[#This Row],[SKU]],'All Skus'!$A:$AC,5,FALSE)),""))</f>
        <v>AT510000</v>
      </c>
      <c r="E201" s="60">
        <f>(IF((VLOOKUP(Table1[[#This Row],[SKU]],'All Skus'!$A:$AC,2,FALSE))="AKG",(VLOOKUP(Table1[[#This Row],[SKU]],'All Skus'!$A:$AC,6,FALSE)),""))</f>
        <v>0</v>
      </c>
      <c r="F201" s="60">
        <f>(IF((VLOOKUP(Table1[[#This Row],[SKU]],'All Skus'!$A:$AC,2,FALSE))="AKG",(VLOOKUP(Table1[[#This Row],[SKU]],'All Skus'!$A:$AC,7,FALSE)),""))</f>
        <v>0</v>
      </c>
      <c r="G201" s="45" t="str">
        <f>(IF((VLOOKUP(Table1[[#This Row],[SKU]],'All Skus'!$A:$AC,2,FALSE))="AKG",(VLOOKUP(Table1[[#This Row],[SKU]],'All Skus'!$A:$AC,8,FALSE)),""))</f>
        <v>Microlite Accessories</v>
      </c>
      <c r="H201" s="45" t="str">
        <f>(IF((VLOOKUP(Table1[[#This Row],[SKU]],'All Skus'!$A:$AC,2,FALSE))="AKG",(VLOOKUP(Table1[[#This Row],[SKU]],'All Skus'!$A:$AC,9,FALSE)),""))</f>
        <v>wiremesh cap 5 pack</v>
      </c>
      <c r="I201" s="141">
        <f>(IF((VLOOKUP(Table1[[#This Row],[SKU]],'All Skus'!$A:$AC,2,FALSE))="AKG",(VLOOKUP(Table1[[#This Row],[SKU]],'All Skus'!$A:$AC,10,FALSE)),""))</f>
        <v>97.68</v>
      </c>
      <c r="J201" s="141">
        <f>(IF((VLOOKUP(Table1[[#This Row],[SKU]],'All Skus'!$A:$AC,2,FALSE))="AKG",(VLOOKUP(Table1[[#This Row],[SKU]],'All Skus'!$A:$AC,11,FALSE)),""))</f>
        <v>88</v>
      </c>
      <c r="K201" s="125">
        <f>(IF((VLOOKUP(Table1[[#This Row],[SKU]],'All Skus'!$A:$AC,2,FALSE))="AKG",(VLOOKUP(Table1[[#This Row],[SKU]],'All Skus'!$A:$AC,15,FALSE)),""))</f>
        <v>0</v>
      </c>
      <c r="L201" s="124">
        <f>(IF((VLOOKUP(Table1[[#This Row],[SKU]],'All Skus'!$A:$AC,2,FALSE))="AKG",(VLOOKUP(Table1[[#This Row],[SKU]],'All Skus'!$A:$AC,16,FALSE)),""))</f>
        <v>885038039334</v>
      </c>
      <c r="M201" s="124">
        <f>(IF((VLOOKUP(Table1[[#This Row],[SKU]],'All Skus'!$A:$AC,2,FALSE))="AKG",(VLOOKUP(Table1[[#This Row],[SKU]],'All Skus'!$A:$AC,17,FALSE)),""))</f>
        <v>9002761039337</v>
      </c>
      <c r="N201" s="64">
        <f>(IF((VLOOKUP(Table1[[#This Row],[SKU]],'All Skus'!$A:$AC,2,FALSE))="AKG",(VLOOKUP(Table1[[#This Row],[SKU]],'All Skus'!$A:$AC,18,FALSE)),""))</f>
        <v>1</v>
      </c>
      <c r="O201" s="64">
        <f>(IF((VLOOKUP(Table1[[#This Row],[SKU]],'All Skus'!$A:$AC,2,FALSE))="AKG",(VLOOKUP(Table1[[#This Row],[SKU]],'All Skus'!$A:$AC,19,FALSE)),""))</f>
        <v>4</v>
      </c>
      <c r="P201" s="64">
        <f>(IF((VLOOKUP(Table1[[#This Row],[SKU]],'All Skus'!$A:$AC,2,FALSE))="AKG",(VLOOKUP(Table1[[#This Row],[SKU]],'All Skus'!$A:$AC,20,FALSE)),""))</f>
        <v>2.5</v>
      </c>
      <c r="Q201" s="64" t="str">
        <f>(IF((VLOOKUP(Table1[[#This Row],[SKU]],'All Skus'!$A:$AC,2,FALSE))="AKG",(VLOOKUP(Table1[[#This Row],[SKU]],'All Skus'!$A:$AC,21,FALSE)),""))</f>
        <v>n/a</v>
      </c>
      <c r="R201" s="64" t="str">
        <f>(IF((VLOOKUP(Table1[[#This Row],[SKU]],'All Skus'!$A:$AC,2,FALSE))="AKG",(VLOOKUP(Table1[[#This Row],[SKU]],'All Skus'!$A:$AC,22,FALSE)),""))</f>
        <v>TW</v>
      </c>
      <c r="S201" s="64" t="str">
        <f>(IF((VLOOKUP(Table1[[#This Row],[SKU]],'All Skus'!$A:$AC,2,FALSE))="AKG",(VLOOKUP(Table1[[#This Row],[SKU]],'All Skus'!$A:$AC,23,FALSE)),""))</f>
        <v>Compliant</v>
      </c>
      <c r="T201" s="210" t="str">
        <f>HYPERLINK((IF((VLOOKUP(Table1[[#This Row],[SKU]],'All Skus'!$A:$AC,2,FALSE))="AKG",(VLOOKUP(Table1[[#This Row],[SKU]],'All Skus'!$A:$AC,24,FALSE)),"")))</f>
        <v>https://www.akg.com/Microphones/Microphone%20Accessories/6500H00570.html</v>
      </c>
      <c r="U201" s="151">
        <v>199</v>
      </c>
    </row>
    <row r="202" spans="1:21" ht="15" hidden="1" customHeight="1">
      <c r="A202" s="50" t="s">
        <v>359</v>
      </c>
      <c r="B202" s="52" t="str">
        <f>(IF((VLOOKUP(Table1[[#This Row],[SKU]],'All Skus'!$A:$AC,2,FALSE))="AKG",(VLOOKUP(Table1[[#This Row],[SKU]],'All Skus'!$A:$AC,3,FALSE)), ""))</f>
        <v>Installed</v>
      </c>
      <c r="C202" s="60" t="str">
        <f>(IF((VLOOKUP(Table1[[#This Row],[SKU]],'All Skus'!$A:$AC,2,FALSE))="AKG",(VLOOKUP(Table1[[#This Row],[SKU]],'All Skus'!$A:$AC,4,FALSE)),""))</f>
        <v xml:space="preserve">W81 beige foam 10 pack </v>
      </c>
      <c r="D202" s="60" t="str">
        <f>(IF((VLOOKUP(Table1[[#This Row],[SKU]],'All Skus'!$A:$AC,2,FALSE))="AKG",(VLOOKUP(Table1[[#This Row],[SKU]],'All Skus'!$A:$AC,5,FALSE)),""))</f>
        <v>AT510000</v>
      </c>
      <c r="E202" s="60">
        <f>(IF((VLOOKUP(Table1[[#This Row],[SKU]],'All Skus'!$A:$AC,2,FALSE))="AKG",(VLOOKUP(Table1[[#This Row],[SKU]],'All Skus'!$A:$AC,6,FALSE)),""))</f>
        <v>0</v>
      </c>
      <c r="F202" s="60">
        <f>(IF((VLOOKUP(Table1[[#This Row],[SKU]],'All Skus'!$A:$AC,2,FALSE))="AKG",(VLOOKUP(Table1[[#This Row],[SKU]],'All Skus'!$A:$AC,7,FALSE)),""))</f>
        <v>0</v>
      </c>
      <c r="G202" s="45" t="str">
        <f>(IF((VLOOKUP(Table1[[#This Row],[SKU]],'All Skus'!$A:$AC,2,FALSE))="AKG",(VLOOKUP(Table1[[#This Row],[SKU]],'All Skus'!$A:$AC,8,FALSE)),""))</f>
        <v>Microlite Accessories</v>
      </c>
      <c r="H202" s="45" t="str">
        <f>(IF((VLOOKUP(Table1[[#This Row],[SKU]],'All Skus'!$A:$AC,2,FALSE))="AKG",(VLOOKUP(Table1[[#This Row],[SKU]],'All Skus'!$A:$AC,9,FALSE)),""))</f>
        <v>foam windscreen 10 pack</v>
      </c>
      <c r="I202" s="141">
        <f>(IF((VLOOKUP(Table1[[#This Row],[SKU]],'All Skus'!$A:$AC,2,FALSE))="AKG",(VLOOKUP(Table1[[#This Row],[SKU]],'All Skus'!$A:$AC,10,FALSE)),""))</f>
        <v>48.22</v>
      </c>
      <c r="J202" s="141">
        <f>(IF((VLOOKUP(Table1[[#This Row],[SKU]],'All Skus'!$A:$AC,2,FALSE))="AKG",(VLOOKUP(Table1[[#This Row],[SKU]],'All Skus'!$A:$AC,11,FALSE)),""))</f>
        <v>37</v>
      </c>
      <c r="K202" s="125">
        <f>(IF((VLOOKUP(Table1[[#This Row],[SKU]],'All Skus'!$A:$AC,2,FALSE))="AKG",(VLOOKUP(Table1[[#This Row],[SKU]],'All Skus'!$A:$AC,15,FALSE)),""))</f>
        <v>0</v>
      </c>
      <c r="L202" s="124">
        <f>(IF((VLOOKUP(Table1[[#This Row],[SKU]],'All Skus'!$A:$AC,2,FALSE))="AKG",(VLOOKUP(Table1[[#This Row],[SKU]],'All Skus'!$A:$AC,16,FALSE)),""))</f>
        <v>885038039235</v>
      </c>
      <c r="M202" s="124">
        <f>(IF((VLOOKUP(Table1[[#This Row],[SKU]],'All Skus'!$A:$AC,2,FALSE))="AKG",(VLOOKUP(Table1[[#This Row],[SKU]],'All Skus'!$A:$AC,17,FALSE)),""))</f>
        <v>9002761039238</v>
      </c>
      <c r="N202" s="64">
        <f>(IF((VLOOKUP(Table1[[#This Row],[SKU]],'All Skus'!$A:$AC,2,FALSE))="AKG",(VLOOKUP(Table1[[#This Row],[SKU]],'All Skus'!$A:$AC,18,FALSE)),""))</f>
        <v>1</v>
      </c>
      <c r="O202" s="64">
        <f>(IF((VLOOKUP(Table1[[#This Row],[SKU]],'All Skus'!$A:$AC,2,FALSE))="AKG",(VLOOKUP(Table1[[#This Row],[SKU]],'All Skus'!$A:$AC,19,FALSE)),""))</f>
        <v>4.25</v>
      </c>
      <c r="P202" s="64">
        <f>(IF((VLOOKUP(Table1[[#This Row],[SKU]],'All Skus'!$A:$AC,2,FALSE))="AKG",(VLOOKUP(Table1[[#This Row],[SKU]],'All Skus'!$A:$AC,20,FALSE)),""))</f>
        <v>2.25</v>
      </c>
      <c r="Q202" s="64" t="str">
        <f>(IF((VLOOKUP(Table1[[#This Row],[SKU]],'All Skus'!$A:$AC,2,FALSE))="AKG",(VLOOKUP(Table1[[#This Row],[SKU]],'All Skus'!$A:$AC,21,FALSE)),""))</f>
        <v>n/a</v>
      </c>
      <c r="R202" s="64" t="str">
        <f>(IF((VLOOKUP(Table1[[#This Row],[SKU]],'All Skus'!$A:$AC,2,FALSE))="AKG",(VLOOKUP(Table1[[#This Row],[SKU]],'All Skus'!$A:$AC,22,FALSE)),""))</f>
        <v>TW</v>
      </c>
      <c r="S202" s="64" t="str">
        <f>(IF((VLOOKUP(Table1[[#This Row],[SKU]],'All Skus'!$A:$AC,2,FALSE))="AKG",(VLOOKUP(Table1[[#This Row],[SKU]],'All Skus'!$A:$AC,23,FALSE)),""))</f>
        <v>Compliant</v>
      </c>
      <c r="T202" s="210" t="str">
        <f>HYPERLINK((IF((VLOOKUP(Table1[[#This Row],[SKU]],'All Skus'!$A:$AC,2,FALSE))="AKG",(VLOOKUP(Table1[[#This Row],[SKU]],'All Skus'!$A:$AC,24,FALSE)),"")))</f>
        <v>https://www.akg.com/Microphones/Microphone%20Accessories/6500H00470.html</v>
      </c>
      <c r="U202" s="151">
        <v>200</v>
      </c>
    </row>
    <row r="203" spans="1:21" ht="15" hidden="1" customHeight="1">
      <c r="A203" s="50" t="s">
        <v>360</v>
      </c>
      <c r="B203" s="52" t="str">
        <f>(IF((VLOOKUP(Table1[[#This Row],[SKU]],'All Skus'!$A:$AC,2,FALSE))="AKG",(VLOOKUP(Table1[[#This Row],[SKU]],'All Skus'!$A:$AC,3,FALSE)), ""))</f>
        <v>Installed</v>
      </c>
      <c r="C203" s="60" t="str">
        <f>(IF((VLOOKUP(Table1[[#This Row],[SKU]],'All Skus'!$A:$AC,2,FALSE))="AKG",(VLOOKUP(Table1[[#This Row],[SKU]],'All Skus'!$A:$AC,4,FALSE)),""))</f>
        <v xml:space="preserve">W82 white foam 10 pack </v>
      </c>
      <c r="D203" s="60" t="str">
        <f>(IF((VLOOKUP(Table1[[#This Row],[SKU]],'All Skus'!$A:$AC,2,FALSE))="AKG",(VLOOKUP(Table1[[#This Row],[SKU]],'All Skus'!$A:$AC,5,FALSE)),""))</f>
        <v>AT510000</v>
      </c>
      <c r="E203" s="60">
        <f>(IF((VLOOKUP(Table1[[#This Row],[SKU]],'All Skus'!$A:$AC,2,FALSE))="AKG",(VLOOKUP(Table1[[#This Row],[SKU]],'All Skus'!$A:$AC,6,FALSE)),""))</f>
        <v>0</v>
      </c>
      <c r="F203" s="60">
        <f>(IF((VLOOKUP(Table1[[#This Row],[SKU]],'All Skus'!$A:$AC,2,FALSE))="AKG",(VLOOKUP(Table1[[#This Row],[SKU]],'All Skus'!$A:$AC,7,FALSE)),""))</f>
        <v>0</v>
      </c>
      <c r="G203" s="45" t="str">
        <f>(IF((VLOOKUP(Table1[[#This Row],[SKU]],'All Skus'!$A:$AC,2,FALSE))="AKG",(VLOOKUP(Table1[[#This Row],[SKU]],'All Skus'!$A:$AC,8,FALSE)),""))</f>
        <v>Microlite Accessories</v>
      </c>
      <c r="H203" s="45" t="str">
        <f>(IF((VLOOKUP(Table1[[#This Row],[SKU]],'All Skus'!$A:$AC,2,FALSE))="AKG",(VLOOKUP(Table1[[#This Row],[SKU]],'All Skus'!$A:$AC,9,FALSE)),""))</f>
        <v>foam windscreen 10 pack</v>
      </c>
      <c r="I203" s="141">
        <f>(IF((VLOOKUP(Table1[[#This Row],[SKU]],'All Skus'!$A:$AC,2,FALSE))="AKG",(VLOOKUP(Table1[[#This Row],[SKU]],'All Skus'!$A:$AC,10,FALSE)),""))</f>
        <v>48.22</v>
      </c>
      <c r="J203" s="141">
        <f>(IF((VLOOKUP(Table1[[#This Row],[SKU]],'All Skus'!$A:$AC,2,FALSE))="AKG",(VLOOKUP(Table1[[#This Row],[SKU]],'All Skus'!$A:$AC,11,FALSE)),""))</f>
        <v>37</v>
      </c>
      <c r="K203" s="125">
        <f>(IF((VLOOKUP(Table1[[#This Row],[SKU]],'All Skus'!$A:$AC,2,FALSE))="AKG",(VLOOKUP(Table1[[#This Row],[SKU]],'All Skus'!$A:$AC,15,FALSE)),""))</f>
        <v>0</v>
      </c>
      <c r="L203" s="124">
        <f>(IF((VLOOKUP(Table1[[#This Row],[SKU]],'All Skus'!$A:$AC,2,FALSE))="AKG",(VLOOKUP(Table1[[#This Row],[SKU]],'All Skus'!$A:$AC,16,FALSE)),""))</f>
        <v>885038039242</v>
      </c>
      <c r="M203" s="124">
        <f>(IF((VLOOKUP(Table1[[#This Row],[SKU]],'All Skus'!$A:$AC,2,FALSE))="AKG",(VLOOKUP(Table1[[#This Row],[SKU]],'All Skus'!$A:$AC,17,FALSE)),""))</f>
        <v>9002761039245</v>
      </c>
      <c r="N203" s="64">
        <f>(IF((VLOOKUP(Table1[[#This Row],[SKU]],'All Skus'!$A:$AC,2,FALSE))="AKG",(VLOOKUP(Table1[[#This Row],[SKU]],'All Skus'!$A:$AC,18,FALSE)),""))</f>
        <v>1</v>
      </c>
      <c r="O203" s="64">
        <f>(IF((VLOOKUP(Table1[[#This Row],[SKU]],'All Skus'!$A:$AC,2,FALSE))="AKG",(VLOOKUP(Table1[[#This Row],[SKU]],'All Skus'!$A:$AC,19,FALSE)),""))</f>
        <v>4</v>
      </c>
      <c r="P203" s="64">
        <f>(IF((VLOOKUP(Table1[[#This Row],[SKU]],'All Skus'!$A:$AC,2,FALSE))="AKG",(VLOOKUP(Table1[[#This Row],[SKU]],'All Skus'!$A:$AC,20,FALSE)),""))</f>
        <v>2.5</v>
      </c>
      <c r="Q203" s="64" t="str">
        <f>(IF((VLOOKUP(Table1[[#This Row],[SKU]],'All Skus'!$A:$AC,2,FALSE))="AKG",(VLOOKUP(Table1[[#This Row],[SKU]],'All Skus'!$A:$AC,21,FALSE)),""))</f>
        <v>n/a</v>
      </c>
      <c r="R203" s="64" t="str">
        <f>(IF((VLOOKUP(Table1[[#This Row],[SKU]],'All Skus'!$A:$AC,2,FALSE))="AKG",(VLOOKUP(Table1[[#This Row],[SKU]],'All Skus'!$A:$AC,22,FALSE)),""))</f>
        <v>TW</v>
      </c>
      <c r="S203" s="64" t="str">
        <f>(IF((VLOOKUP(Table1[[#This Row],[SKU]],'All Skus'!$A:$AC,2,FALSE))="AKG",(VLOOKUP(Table1[[#This Row],[SKU]],'All Skus'!$A:$AC,23,FALSE)),""))</f>
        <v>Compliant</v>
      </c>
      <c r="T203" s="210" t="str">
        <f>HYPERLINK((IF((VLOOKUP(Table1[[#This Row],[SKU]],'All Skus'!$A:$AC,2,FALSE))="AKG",(VLOOKUP(Table1[[#This Row],[SKU]],'All Skus'!$A:$AC,24,FALSE)),"")))</f>
        <v>https://www.akg.com/Microphones/Microphone%20Accessories/6500H00480.html</v>
      </c>
      <c r="U203" s="151">
        <v>201</v>
      </c>
    </row>
    <row r="204" spans="1:21" ht="15" hidden="1" customHeight="1">
      <c r="A204" s="50" t="s">
        <v>361</v>
      </c>
      <c r="B204" s="52">
        <f>(IF((VLOOKUP(Table1[[#This Row],[SKU]],'All Skus'!$A:$AC,2,FALSE))="AKG",(VLOOKUP(Table1[[#This Row],[SKU]],'All Skus'!$A:$AC,3,FALSE)), ""))</f>
        <v>0</v>
      </c>
      <c r="C204" s="60" t="str">
        <f>(IF((VLOOKUP(Table1[[#This Row],[SKU]],'All Skus'!$A:$AC,2,FALSE))="AKG",(VLOOKUP(Table1[[#This Row],[SKU]],'All Skus'!$A:$AC,4,FALSE)),""))</f>
        <v>Microlite Demo Kit</v>
      </c>
      <c r="D204" s="60" t="str">
        <f>(IF((VLOOKUP(Table1[[#This Row],[SKU]],'All Skus'!$A:$AC,2,FALSE))="AKG",(VLOOKUP(Table1[[#This Row],[SKU]],'All Skus'!$A:$AC,5,FALSE)),""))</f>
        <v>AT900000</v>
      </c>
      <c r="E204" s="60">
        <f>(IF((VLOOKUP(Table1[[#This Row],[SKU]],'All Skus'!$A:$AC,2,FALSE))="AKG",(VLOOKUP(Table1[[#This Row],[SKU]],'All Skus'!$A:$AC,6,FALSE)),""))</f>
        <v>0</v>
      </c>
      <c r="F204" s="60">
        <f>(IF((VLOOKUP(Table1[[#This Row],[SKU]],'All Skus'!$A:$AC,2,FALSE))="AKG",(VLOOKUP(Table1[[#This Row],[SKU]],'All Skus'!$A:$AC,7,FALSE)),""))</f>
        <v>0</v>
      </c>
      <c r="G204" s="45">
        <f>(IF((VLOOKUP(Table1[[#This Row],[SKU]],'All Skus'!$A:$AC,2,FALSE))="AKG",(VLOOKUP(Table1[[#This Row],[SKU]],'All Skus'!$A:$AC,8,FALSE)),""))</f>
        <v>0</v>
      </c>
      <c r="H204" s="45" t="str">
        <f>(IF((VLOOKUP(Table1[[#This Row],[SKU]],'All Skus'!$A:$AC,2,FALSE))="AKG",(VLOOKUP(Table1[[#This Row],[SKU]],'All Skus'!$A:$AC,9,FALSE)),""))</f>
        <v>Microlite Demo Kit</v>
      </c>
      <c r="I204" s="141">
        <f>(IF((VLOOKUP(Table1[[#This Row],[SKU]],'All Skus'!$A:$AC,2,FALSE))="AKG",(VLOOKUP(Table1[[#This Row],[SKU]],'All Skus'!$A:$AC,10,FALSE)),""))</f>
        <v>3088.72</v>
      </c>
      <c r="J204" s="141">
        <f>(IF((VLOOKUP(Table1[[#This Row],[SKU]],'All Skus'!$A:$AC,2,FALSE))="AKG",(VLOOKUP(Table1[[#This Row],[SKU]],'All Skus'!$A:$AC,11,FALSE)),""))</f>
        <v>3088.72</v>
      </c>
      <c r="K204" s="125">
        <f>(IF((VLOOKUP(Table1[[#This Row],[SKU]],'All Skus'!$A:$AC,2,FALSE))="AKG",(VLOOKUP(Table1[[#This Row],[SKU]],'All Skus'!$A:$AC,15,FALSE)),""))</f>
        <v>0</v>
      </c>
      <c r="L204" s="124">
        <f>(IF((VLOOKUP(Table1[[#This Row],[SKU]],'All Skus'!$A:$AC,2,FALSE))="AKG",(VLOOKUP(Table1[[#This Row],[SKU]],'All Skus'!$A:$AC,16,FALSE)),""))</f>
        <v>885038040118</v>
      </c>
      <c r="M204" s="124">
        <f>(IF((VLOOKUP(Table1[[#This Row],[SKU]],'All Skus'!$A:$AC,2,FALSE))="AKG",(VLOOKUP(Table1[[#This Row],[SKU]],'All Skus'!$A:$AC,17,FALSE)),""))</f>
        <v>0</v>
      </c>
      <c r="N204" s="64">
        <f>(IF((VLOOKUP(Table1[[#This Row],[SKU]],'All Skus'!$A:$AC,2,FALSE))="AKG",(VLOOKUP(Table1[[#This Row],[SKU]],'All Skus'!$A:$AC,18,FALSE)),""))</f>
        <v>0</v>
      </c>
      <c r="O204" s="64">
        <f>(IF((VLOOKUP(Table1[[#This Row],[SKU]],'All Skus'!$A:$AC,2,FALSE))="AKG",(VLOOKUP(Table1[[#This Row],[SKU]],'All Skus'!$A:$AC,19,FALSE)),""))</f>
        <v>0</v>
      </c>
      <c r="P204" s="64">
        <f>(IF((VLOOKUP(Table1[[#This Row],[SKU]],'All Skus'!$A:$AC,2,FALSE))="AKG",(VLOOKUP(Table1[[#This Row],[SKU]],'All Skus'!$A:$AC,20,FALSE)),""))</f>
        <v>0</v>
      </c>
      <c r="Q204" s="64">
        <f>(IF((VLOOKUP(Table1[[#This Row],[SKU]],'All Skus'!$A:$AC,2,FALSE))="AKG",(VLOOKUP(Table1[[#This Row],[SKU]],'All Skus'!$A:$AC,21,FALSE)),""))</f>
        <v>0</v>
      </c>
      <c r="R204" s="64">
        <f>(IF((VLOOKUP(Table1[[#This Row],[SKU]],'All Skus'!$A:$AC,2,FALSE))="AKG",(VLOOKUP(Table1[[#This Row],[SKU]],'All Skus'!$A:$AC,22,FALSE)),""))</f>
        <v>0</v>
      </c>
      <c r="S204" s="64" t="str">
        <f>(IF((VLOOKUP(Table1[[#This Row],[SKU]],'All Skus'!$A:$AC,2,FALSE))="AKG",(VLOOKUP(Table1[[#This Row],[SKU]],'All Skus'!$A:$AC,23,FALSE)),""))</f>
        <v>Compliant</v>
      </c>
      <c r="T204" s="210" t="str">
        <f>HYPERLINK((IF((VLOOKUP(Table1[[#This Row],[SKU]],'All Skus'!$A:$AC,2,FALSE))="AKG",(VLOOKUP(Table1[[#This Row],[SKU]],'All Skus'!$A:$AC,24,FALSE)),"")))</f>
        <v>https://www.akg.com/microlite-series.html</v>
      </c>
      <c r="U204" s="151">
        <v>202</v>
      </c>
    </row>
    <row r="205" spans="1:21" ht="15" hidden="1" customHeight="1">
      <c r="A205" s="126" t="s">
        <v>2</v>
      </c>
      <c r="B205" s="52">
        <f>(IF((VLOOKUP(Table1[[#This Row],[SKU]],'All Skus'!$A:$AC,2,FALSE))="AKG",(VLOOKUP(Table1[[#This Row],[SKU]],'All Skus'!$A:$AC,3,FALSE)), ""))</f>
        <v>0</v>
      </c>
      <c r="C205" s="60">
        <f>(IF((VLOOKUP(Table1[[#This Row],[SKU]],'All Skus'!$A:$AC,2,FALSE))="AKG",(VLOOKUP(Table1[[#This Row],[SKU]],'All Skus'!$A:$AC,4,FALSE)),""))</f>
        <v>0</v>
      </c>
      <c r="D205" s="60">
        <f>(IF((VLOOKUP(Table1[[#This Row],[SKU]],'All Skus'!$A:$AC,2,FALSE))="AKG",(VLOOKUP(Table1[[#This Row],[SKU]],'All Skus'!$A:$AC,5,FALSE)),""))</f>
        <v>0</v>
      </c>
      <c r="E205" s="60">
        <f>(IF((VLOOKUP(Table1[[#This Row],[SKU]],'All Skus'!$A:$AC,2,FALSE))="AKG",(VLOOKUP(Table1[[#This Row],[SKU]],'All Skus'!$A:$AC,6,FALSE)),""))</f>
        <v>0</v>
      </c>
      <c r="F205" s="60">
        <f>(IF((VLOOKUP(Table1[[#This Row],[SKU]],'All Skus'!$A:$AC,2,FALSE))="AKG",(VLOOKUP(Table1[[#This Row],[SKU]],'All Skus'!$A:$AC,7,FALSE)),""))</f>
        <v>0</v>
      </c>
      <c r="G205" s="45">
        <f>(IF((VLOOKUP(Table1[[#This Row],[SKU]],'All Skus'!$A:$AC,2,FALSE))="AKG",(VLOOKUP(Table1[[#This Row],[SKU]],'All Skus'!$A:$AC,8,FALSE)),""))</f>
        <v>0</v>
      </c>
      <c r="H205" s="45">
        <f>(IF((VLOOKUP(Table1[[#This Row],[SKU]],'All Skus'!$A:$AC,2,FALSE))="AKG",(VLOOKUP(Table1[[#This Row],[SKU]],'All Skus'!$A:$AC,9,FALSE)),""))</f>
        <v>0</v>
      </c>
      <c r="I205" s="141">
        <f>(IF((VLOOKUP(Table1[[#This Row],[SKU]],'All Skus'!$A:$AC,2,FALSE))="AKG",(VLOOKUP(Table1[[#This Row],[SKU]],'All Skus'!$A:$AC,10,FALSE)),""))</f>
        <v>0</v>
      </c>
      <c r="J205" s="141">
        <f>(IF((VLOOKUP(Table1[[#This Row],[SKU]],'All Skus'!$A:$AC,2,FALSE))="AKG",(VLOOKUP(Table1[[#This Row],[SKU]],'All Skus'!$A:$AC,11,FALSE)),""))</f>
        <v>0</v>
      </c>
      <c r="K205" s="125">
        <f>(IF((VLOOKUP(Table1[[#This Row],[SKU]],'All Skus'!$A:$AC,2,FALSE))="AKG",(VLOOKUP(Table1[[#This Row],[SKU]],'All Skus'!$A:$AC,15,FALSE)),""))</f>
        <v>0</v>
      </c>
      <c r="L205" s="124">
        <f>(IF((VLOOKUP(Table1[[#This Row],[SKU]],'All Skus'!$A:$AC,2,FALSE))="AKG",(VLOOKUP(Table1[[#This Row],[SKU]],'All Skus'!$A:$AC,16,FALSE)),""))</f>
        <v>0</v>
      </c>
      <c r="M205" s="124">
        <f>(IF((VLOOKUP(Table1[[#This Row],[SKU]],'All Skus'!$A:$AC,2,FALSE))="AKG",(VLOOKUP(Table1[[#This Row],[SKU]],'All Skus'!$A:$AC,17,FALSE)),""))</f>
        <v>0</v>
      </c>
      <c r="N205" s="64">
        <f>(IF((VLOOKUP(Table1[[#This Row],[SKU]],'All Skus'!$A:$AC,2,FALSE))="AKG",(VLOOKUP(Table1[[#This Row],[SKU]],'All Skus'!$A:$AC,18,FALSE)),""))</f>
        <v>0</v>
      </c>
      <c r="O205" s="64">
        <f>(IF((VLOOKUP(Table1[[#This Row],[SKU]],'All Skus'!$A:$AC,2,FALSE))="AKG",(VLOOKUP(Table1[[#This Row],[SKU]],'All Skus'!$A:$AC,19,FALSE)),""))</f>
        <v>0</v>
      </c>
      <c r="P205" s="64">
        <f>(IF((VLOOKUP(Table1[[#This Row],[SKU]],'All Skus'!$A:$AC,2,FALSE))="AKG",(VLOOKUP(Table1[[#This Row],[SKU]],'All Skus'!$A:$AC,20,FALSE)),""))</f>
        <v>0</v>
      </c>
      <c r="Q205" s="64">
        <f>(IF((VLOOKUP(Table1[[#This Row],[SKU]],'All Skus'!$A:$AC,2,FALSE))="AKG",(VLOOKUP(Table1[[#This Row],[SKU]],'All Skus'!$A:$AC,21,FALSE)),""))</f>
        <v>0</v>
      </c>
      <c r="R205" s="64">
        <f>(IF((VLOOKUP(Table1[[#This Row],[SKU]],'All Skus'!$A:$AC,2,FALSE))="AKG",(VLOOKUP(Table1[[#This Row],[SKU]],'All Skus'!$A:$AC,22,FALSE)),""))</f>
        <v>0</v>
      </c>
      <c r="S205" s="64">
        <f>(IF((VLOOKUP(Table1[[#This Row],[SKU]],'All Skus'!$A:$AC,2,FALSE))="AKG",(VLOOKUP(Table1[[#This Row],[SKU]],'All Skus'!$A:$AC,23,FALSE)),""))</f>
        <v>0</v>
      </c>
      <c r="T205" s="210" t="str">
        <f>HYPERLINK((IF((VLOOKUP(Table1[[#This Row],[SKU]],'All Skus'!$A:$AC,2,FALSE))="AKG",(VLOOKUP(Table1[[#This Row],[SKU]],'All Skus'!$A:$AC,24,FALSE)),"")))</f>
        <v/>
      </c>
      <c r="U205" s="151">
        <v>203</v>
      </c>
    </row>
    <row r="206" spans="1:21" ht="15" hidden="1" customHeight="1">
      <c r="A206" s="126" t="s">
        <v>362</v>
      </c>
      <c r="B206" s="52">
        <f>(IF((VLOOKUP(Table1[[#This Row],[SKU]],'All Skus'!$A:$AC,2,FALSE))="AKG",(VLOOKUP(Table1[[#This Row],[SKU]],'All Skus'!$A:$AC,3,FALSE)), ""))</f>
        <v>0</v>
      </c>
      <c r="C206" s="60">
        <f>(IF((VLOOKUP(Table1[[#This Row],[SKU]],'All Skus'!$A:$AC,2,FALSE))="AKG",(VLOOKUP(Table1[[#This Row],[SKU]],'All Skus'!$A:$AC,4,FALSE)),""))</f>
        <v>0</v>
      </c>
      <c r="D206" s="60">
        <f>(IF((VLOOKUP(Table1[[#This Row],[SKU]],'All Skus'!$A:$AC,2,FALSE))="AKG",(VLOOKUP(Table1[[#This Row],[SKU]],'All Skus'!$A:$AC,5,FALSE)),""))</f>
        <v>0</v>
      </c>
      <c r="E206" s="60">
        <f>(IF((VLOOKUP(Table1[[#This Row],[SKU]],'All Skus'!$A:$AC,2,FALSE))="AKG",(VLOOKUP(Table1[[#This Row],[SKU]],'All Skus'!$A:$AC,6,FALSE)),""))</f>
        <v>0</v>
      </c>
      <c r="F206" s="60">
        <f>(IF((VLOOKUP(Table1[[#This Row],[SKU]],'All Skus'!$A:$AC,2,FALSE))="AKG",(VLOOKUP(Table1[[#This Row],[SKU]],'All Skus'!$A:$AC,7,FALSE)),""))</f>
        <v>0</v>
      </c>
      <c r="G206" s="45">
        <f>(IF((VLOOKUP(Table1[[#This Row],[SKU]],'All Skus'!$A:$AC,2,FALSE))="AKG",(VLOOKUP(Table1[[#This Row],[SKU]],'All Skus'!$A:$AC,8,FALSE)),""))</f>
        <v>0</v>
      </c>
      <c r="H206" s="45">
        <f>(IF((VLOOKUP(Table1[[#This Row],[SKU]],'All Skus'!$A:$AC,2,FALSE))="AKG",(VLOOKUP(Table1[[#This Row],[SKU]],'All Skus'!$A:$AC,9,FALSE)),""))</f>
        <v>0</v>
      </c>
      <c r="I206" s="141">
        <f>(IF((VLOOKUP(Table1[[#This Row],[SKU]],'All Skus'!$A:$AC,2,FALSE))="AKG",(VLOOKUP(Table1[[#This Row],[SKU]],'All Skus'!$A:$AC,10,FALSE)),""))</f>
        <v>0</v>
      </c>
      <c r="J206" s="141">
        <f>(IF((VLOOKUP(Table1[[#This Row],[SKU]],'All Skus'!$A:$AC,2,FALSE))="AKG",(VLOOKUP(Table1[[#This Row],[SKU]],'All Skus'!$A:$AC,11,FALSE)),""))</f>
        <v>0</v>
      </c>
      <c r="K206" s="125">
        <f>(IF((VLOOKUP(Table1[[#This Row],[SKU]],'All Skus'!$A:$AC,2,FALSE))="AKG",(VLOOKUP(Table1[[#This Row],[SKU]],'All Skus'!$A:$AC,15,FALSE)),""))</f>
        <v>0</v>
      </c>
      <c r="L206" s="124">
        <f>(IF((VLOOKUP(Table1[[#This Row],[SKU]],'All Skus'!$A:$AC,2,FALSE))="AKG",(VLOOKUP(Table1[[#This Row],[SKU]],'All Skus'!$A:$AC,16,FALSE)),""))</f>
        <v>0</v>
      </c>
      <c r="M206" s="124">
        <f>(IF((VLOOKUP(Table1[[#This Row],[SKU]],'All Skus'!$A:$AC,2,FALSE))="AKG",(VLOOKUP(Table1[[#This Row],[SKU]],'All Skus'!$A:$AC,17,FALSE)),""))</f>
        <v>0</v>
      </c>
      <c r="N206" s="64">
        <f>(IF((VLOOKUP(Table1[[#This Row],[SKU]],'All Skus'!$A:$AC,2,FALSE))="AKG",(VLOOKUP(Table1[[#This Row],[SKU]],'All Skus'!$A:$AC,18,FALSE)),""))</f>
        <v>0</v>
      </c>
      <c r="O206" s="64">
        <f>(IF((VLOOKUP(Table1[[#This Row],[SKU]],'All Skus'!$A:$AC,2,FALSE))="AKG",(VLOOKUP(Table1[[#This Row],[SKU]],'All Skus'!$A:$AC,19,FALSE)),""))</f>
        <v>0</v>
      </c>
      <c r="P206" s="64">
        <f>(IF((VLOOKUP(Table1[[#This Row],[SKU]],'All Skus'!$A:$AC,2,FALSE))="AKG",(VLOOKUP(Table1[[#This Row],[SKU]],'All Skus'!$A:$AC,20,FALSE)),""))</f>
        <v>0</v>
      </c>
      <c r="Q206" s="64">
        <f>(IF((VLOOKUP(Table1[[#This Row],[SKU]],'All Skus'!$A:$AC,2,FALSE))="AKG",(VLOOKUP(Table1[[#This Row],[SKU]],'All Skus'!$A:$AC,21,FALSE)),""))</f>
        <v>0</v>
      </c>
      <c r="R206" s="64">
        <f>(IF((VLOOKUP(Table1[[#This Row],[SKU]],'All Skus'!$A:$AC,2,FALSE))="AKG",(VLOOKUP(Table1[[#This Row],[SKU]],'All Skus'!$A:$AC,22,FALSE)),""))</f>
        <v>0</v>
      </c>
      <c r="S206" s="64">
        <f>(IF((VLOOKUP(Table1[[#This Row],[SKU]],'All Skus'!$A:$AC,2,FALSE))="AKG",(VLOOKUP(Table1[[#This Row],[SKU]],'All Skus'!$A:$AC,23,FALSE)),""))</f>
        <v>0</v>
      </c>
      <c r="T206" s="210" t="str">
        <f>HYPERLINK((IF((VLOOKUP(Table1[[#This Row],[SKU]],'All Skus'!$A:$AC,2,FALSE))="AKG",(VLOOKUP(Table1[[#This Row],[SKU]],'All Skus'!$A:$AC,24,FALSE)),"")))</f>
        <v/>
      </c>
      <c r="U206" s="151">
        <v>204</v>
      </c>
    </row>
    <row r="207" spans="1:21" ht="15" hidden="1" customHeight="1">
      <c r="A207" s="50" t="s">
        <v>363</v>
      </c>
      <c r="B207" s="52" t="str">
        <f>(IF((VLOOKUP(Table1[[#This Row],[SKU]],'All Skus'!$A:$AC,2,FALSE))="AKG",(VLOOKUP(Table1[[#This Row],[SKU]],'All Skus'!$A:$AC,3,FALSE)), ""))</f>
        <v>Wireless Mics</v>
      </c>
      <c r="C207" s="60" t="str">
        <f>(IF((VLOOKUP(Table1[[#This Row],[SKU]],'All Skus'!$A:$AC,2,FALSE))="AKG",(VLOOKUP(Table1[[#This Row],[SKU]],'All Skus'!$A:$AC,4,FALSE)),""))</f>
        <v>SR45 BD A</v>
      </c>
      <c r="D207" s="60" t="str">
        <f>(IF((VLOOKUP(Table1[[#This Row],[SKU]],'All Skus'!$A:$AC,2,FALSE))="AKG",(VLOOKUP(Table1[[#This Row],[SKU]],'All Skus'!$A:$AC,5,FALSE)),""))</f>
        <v>AT610000</v>
      </c>
      <c r="E207" s="60">
        <f>(IF((VLOOKUP(Table1[[#This Row],[SKU]],'All Skus'!$A:$AC,2,FALSE))="AKG",(VLOOKUP(Table1[[#This Row],[SKU]],'All Skus'!$A:$AC,6,FALSE)),""))</f>
        <v>0</v>
      </c>
      <c r="F207" s="60">
        <f>(IF((VLOOKUP(Table1[[#This Row],[SKU]],'All Skus'!$A:$AC,2,FALSE))="AKG",(VLOOKUP(Table1[[#This Row],[SKU]],'All Skus'!$A:$AC,7,FALSE)),""))</f>
        <v>0</v>
      </c>
      <c r="G207" s="45" t="str">
        <f>(IF((VLOOKUP(Table1[[#This Row],[SKU]],'All Skus'!$A:$AC,2,FALSE))="AKG",(VLOOKUP(Table1[[#This Row],[SKU]],'All Skus'!$A:$AC,8,FALSE)),""))</f>
        <v>Wireless Microphone System 45</v>
      </c>
      <c r="H207" s="45" t="str">
        <f>(IF((VLOOKUP(Table1[[#This Row],[SKU]],'All Skus'!$A:$AC,2,FALSE))="AKG",(VLOOKUP(Table1[[#This Row],[SKU]],'All Skus'!$A:$AC,9,FALSE)),""))</f>
        <v>Receiver, Perception Wireless 45 single component</v>
      </c>
      <c r="I207" s="141">
        <f>(IF((VLOOKUP(Table1[[#This Row],[SKU]],'All Skus'!$A:$AC,2,FALSE))="AKG",(VLOOKUP(Table1[[#This Row],[SKU]],'All Skus'!$A:$AC,10,FALSE)),""))</f>
        <v>193.57</v>
      </c>
      <c r="J207" s="141">
        <f>(IF((VLOOKUP(Table1[[#This Row],[SKU]],'All Skus'!$A:$AC,2,FALSE))="AKG",(VLOOKUP(Table1[[#This Row],[SKU]],'All Skus'!$A:$AC,11,FALSE)),""))</f>
        <v>155</v>
      </c>
      <c r="K207" s="125">
        <f>(IF((VLOOKUP(Table1[[#This Row],[SKU]],'All Skus'!$A:$AC,2,FALSE))="AKG",(VLOOKUP(Table1[[#This Row],[SKU]],'All Skus'!$A:$AC,15,FALSE)),""))</f>
        <v>0</v>
      </c>
      <c r="L207" s="124">
        <f>(IF((VLOOKUP(Table1[[#This Row],[SKU]],'All Skus'!$A:$AC,2,FALSE))="AKG",(VLOOKUP(Table1[[#This Row],[SKU]],'All Skus'!$A:$AC,16,FALSE)),""))</f>
        <v>885038027669</v>
      </c>
      <c r="M207" s="124">
        <f>(IF((VLOOKUP(Table1[[#This Row],[SKU]],'All Skus'!$A:$AC,2,FALSE))="AKG",(VLOOKUP(Table1[[#This Row],[SKU]],'All Skus'!$A:$AC,17,FALSE)),""))</f>
        <v>9002761027662</v>
      </c>
      <c r="N207" s="64">
        <f>(IF((VLOOKUP(Table1[[#This Row],[SKU]],'All Skus'!$A:$AC,2,FALSE))="AKG",(VLOOKUP(Table1[[#This Row],[SKU]],'All Skus'!$A:$AC,18,FALSE)),""))</f>
        <v>3</v>
      </c>
      <c r="O207" s="64">
        <f>(IF((VLOOKUP(Table1[[#This Row],[SKU]],'All Skus'!$A:$AC,2,FALSE))="AKG",(VLOOKUP(Table1[[#This Row],[SKU]],'All Skus'!$A:$AC,19,FALSE)),""))</f>
        <v>14</v>
      </c>
      <c r="P207" s="64">
        <f>(IF((VLOOKUP(Table1[[#This Row],[SKU]],'All Skus'!$A:$AC,2,FALSE))="AKG",(VLOOKUP(Table1[[#This Row],[SKU]],'All Skus'!$A:$AC,20,FALSE)),""))</f>
        <v>9.5</v>
      </c>
      <c r="Q207" s="64">
        <f>(IF((VLOOKUP(Table1[[#This Row],[SKU]],'All Skus'!$A:$AC,2,FALSE))="AKG",(VLOOKUP(Table1[[#This Row],[SKU]],'All Skus'!$A:$AC,21,FALSE)),""))</f>
        <v>2.6</v>
      </c>
      <c r="R207" s="64" t="str">
        <f>(IF((VLOOKUP(Table1[[#This Row],[SKU]],'All Skus'!$A:$AC,2,FALSE))="AKG",(VLOOKUP(Table1[[#This Row],[SKU]],'All Skus'!$A:$AC,22,FALSE)),""))</f>
        <v>CN</v>
      </c>
      <c r="S207" s="64" t="str">
        <f>(IF((VLOOKUP(Table1[[#This Row],[SKU]],'All Skus'!$A:$AC,2,FALSE))="AKG",(VLOOKUP(Table1[[#This Row],[SKU]],'All Skus'!$A:$AC,23,FALSE)),""))</f>
        <v>Non Compliant</v>
      </c>
      <c r="T207" s="210" t="str">
        <f>HYPERLINK((IF((VLOOKUP(Table1[[#This Row],[SKU]],'All Skus'!$A:$AC,2,FALSE))="AKG",(VLOOKUP(Table1[[#This Row],[SKU]],'All Skus'!$A:$AC,24,FALSE)),"")))</f>
        <v>https://www.akg.com/Wireless/wireless-components/3245H00010.html</v>
      </c>
      <c r="U207" s="151">
        <v>205</v>
      </c>
    </row>
    <row r="208" spans="1:21" ht="15" hidden="1" customHeight="1">
      <c r="A208" s="50" t="s">
        <v>364</v>
      </c>
      <c r="B208" s="52" t="str">
        <f>(IF((VLOOKUP(Table1[[#This Row],[SKU]],'All Skus'!$A:$AC,2,FALSE))="AKG",(VLOOKUP(Table1[[#This Row],[SKU]],'All Skus'!$A:$AC,3,FALSE)), ""))</f>
        <v>Wireless Mics</v>
      </c>
      <c r="C208" s="60" t="str">
        <f>(IF((VLOOKUP(Table1[[#This Row],[SKU]],'All Skus'!$A:$AC,2,FALSE))="AKG",(VLOOKUP(Table1[[#This Row],[SKU]],'All Skus'!$A:$AC,4,FALSE)),""))</f>
        <v>HT45 BD A</v>
      </c>
      <c r="D208" s="60" t="str">
        <f>(IF((VLOOKUP(Table1[[#This Row],[SKU]],'All Skus'!$A:$AC,2,FALSE))="AKG",(VLOOKUP(Table1[[#This Row],[SKU]],'All Skus'!$A:$AC,5,FALSE)),""))</f>
        <v>AT610000</v>
      </c>
      <c r="E208" s="60">
        <f>(IF((VLOOKUP(Table1[[#This Row],[SKU]],'All Skus'!$A:$AC,2,FALSE))="AKG",(VLOOKUP(Table1[[#This Row],[SKU]],'All Skus'!$A:$AC,6,FALSE)),""))</f>
        <v>0</v>
      </c>
      <c r="F208" s="60">
        <f>(IF((VLOOKUP(Table1[[#This Row],[SKU]],'All Skus'!$A:$AC,2,FALSE))="AKG",(VLOOKUP(Table1[[#This Row],[SKU]],'All Skus'!$A:$AC,7,FALSE)),""))</f>
        <v>0</v>
      </c>
      <c r="G208" s="45" t="str">
        <f>(IF((VLOOKUP(Table1[[#This Row],[SKU]],'All Skus'!$A:$AC,2,FALSE))="AKG",(VLOOKUP(Table1[[#This Row],[SKU]],'All Skus'!$A:$AC,8,FALSE)),""))</f>
        <v>Wireless Microphone System 45</v>
      </c>
      <c r="H208" s="45" t="str">
        <f>(IF((VLOOKUP(Table1[[#This Row],[SKU]],'All Skus'!$A:$AC,2,FALSE))="AKG",(VLOOKUP(Table1[[#This Row],[SKU]],'All Skus'!$A:$AC,9,FALSE)),""))</f>
        <v>Handheld transmitter - Perception Wireless 45 single component, SA45 included</v>
      </c>
      <c r="I208" s="141">
        <f>(IF((VLOOKUP(Table1[[#This Row],[SKU]],'All Skus'!$A:$AC,2,FALSE))="AKG",(VLOOKUP(Table1[[#This Row],[SKU]],'All Skus'!$A:$AC,10,FALSE)),""))</f>
        <v>226.89</v>
      </c>
      <c r="J208" s="141">
        <f>(IF((VLOOKUP(Table1[[#This Row],[SKU]],'All Skus'!$A:$AC,2,FALSE))="AKG",(VLOOKUP(Table1[[#This Row],[SKU]],'All Skus'!$A:$AC,11,FALSE)),""))</f>
        <v>140</v>
      </c>
      <c r="K208" s="125">
        <f>(IF((VLOOKUP(Table1[[#This Row],[SKU]],'All Skus'!$A:$AC,2,FALSE))="AKG",(VLOOKUP(Table1[[#This Row],[SKU]],'All Skus'!$A:$AC,15,FALSE)),""))</f>
        <v>0</v>
      </c>
      <c r="L208" s="124">
        <f>(IF((VLOOKUP(Table1[[#This Row],[SKU]],'All Skus'!$A:$AC,2,FALSE))="AKG",(VLOOKUP(Table1[[#This Row],[SKU]],'All Skus'!$A:$AC,16,FALSE)),""))</f>
        <v>885038027737</v>
      </c>
      <c r="M208" s="124">
        <f>(IF((VLOOKUP(Table1[[#This Row],[SKU]],'All Skus'!$A:$AC,2,FALSE))="AKG",(VLOOKUP(Table1[[#This Row],[SKU]],'All Skus'!$A:$AC,17,FALSE)),""))</f>
        <v>9002761027730</v>
      </c>
      <c r="N208" s="64">
        <f>(IF((VLOOKUP(Table1[[#This Row],[SKU]],'All Skus'!$A:$AC,2,FALSE))="AKG",(VLOOKUP(Table1[[#This Row],[SKU]],'All Skus'!$A:$AC,18,FALSE)),""))</f>
        <v>5</v>
      </c>
      <c r="O208" s="64">
        <f>(IF((VLOOKUP(Table1[[#This Row],[SKU]],'All Skus'!$A:$AC,2,FALSE))="AKG",(VLOOKUP(Table1[[#This Row],[SKU]],'All Skus'!$A:$AC,19,FALSE)),""))</f>
        <v>15</v>
      </c>
      <c r="P208" s="64">
        <f>(IF((VLOOKUP(Table1[[#This Row],[SKU]],'All Skus'!$A:$AC,2,FALSE))="AKG",(VLOOKUP(Table1[[#This Row],[SKU]],'All Skus'!$A:$AC,20,FALSE)),""))</f>
        <v>10</v>
      </c>
      <c r="Q208" s="64">
        <f>(IF((VLOOKUP(Table1[[#This Row],[SKU]],'All Skus'!$A:$AC,2,FALSE))="AKG",(VLOOKUP(Table1[[#This Row],[SKU]],'All Skus'!$A:$AC,21,FALSE)),""))</f>
        <v>2.6</v>
      </c>
      <c r="R208" s="64" t="str">
        <f>(IF((VLOOKUP(Table1[[#This Row],[SKU]],'All Skus'!$A:$AC,2,FALSE))="AKG",(VLOOKUP(Table1[[#This Row],[SKU]],'All Skus'!$A:$AC,22,FALSE)),""))</f>
        <v>CN</v>
      </c>
      <c r="S208" s="64" t="str">
        <f>(IF((VLOOKUP(Table1[[#This Row],[SKU]],'All Skus'!$A:$AC,2,FALSE))="AKG",(VLOOKUP(Table1[[#This Row],[SKU]],'All Skus'!$A:$AC,23,FALSE)),""))</f>
        <v>Non Compliant</v>
      </c>
      <c r="T208" s="210" t="str">
        <f>HYPERLINK((IF((VLOOKUP(Table1[[#This Row],[SKU]],'All Skus'!$A:$AC,2,FALSE))="AKG",(VLOOKUP(Table1[[#This Row],[SKU]],'All Skus'!$A:$AC,24,FALSE)),"")))</f>
        <v>https://www.akg.com/Wireless/wireless-components/3246H00010.html</v>
      </c>
      <c r="U208" s="151">
        <v>206</v>
      </c>
    </row>
    <row r="209" spans="1:21" ht="15" hidden="1" customHeight="1">
      <c r="A209" s="50" t="s">
        <v>365</v>
      </c>
      <c r="B209" s="52" t="str">
        <f>(IF((VLOOKUP(Table1[[#This Row],[SKU]],'All Skus'!$A:$AC,2,FALSE))="AKG",(VLOOKUP(Table1[[#This Row],[SKU]],'All Skus'!$A:$AC,3,FALSE)), ""))</f>
        <v>Wireless Mics</v>
      </c>
      <c r="C209" s="60" t="str">
        <f>(IF((VLOOKUP(Table1[[#This Row],[SKU]],'All Skus'!$A:$AC,2,FALSE))="AKG",(VLOOKUP(Table1[[#This Row],[SKU]],'All Skus'!$A:$AC,4,FALSE)),""))</f>
        <v>PT45 BD A</v>
      </c>
      <c r="D209" s="60" t="str">
        <f>(IF((VLOOKUP(Table1[[#This Row],[SKU]],'All Skus'!$A:$AC,2,FALSE))="AKG",(VLOOKUP(Table1[[#This Row],[SKU]],'All Skus'!$A:$AC,5,FALSE)),""))</f>
        <v>AT610000</v>
      </c>
      <c r="E209" s="60">
        <f>(IF((VLOOKUP(Table1[[#This Row],[SKU]],'All Skus'!$A:$AC,2,FALSE))="AKG",(VLOOKUP(Table1[[#This Row],[SKU]],'All Skus'!$A:$AC,6,FALSE)),""))</f>
        <v>0</v>
      </c>
      <c r="F209" s="60">
        <f>(IF((VLOOKUP(Table1[[#This Row],[SKU]],'All Skus'!$A:$AC,2,FALSE))="AKG",(VLOOKUP(Table1[[#This Row],[SKU]],'All Skus'!$A:$AC,7,FALSE)),""))</f>
        <v>0</v>
      </c>
      <c r="G209" s="45" t="str">
        <f>(IF((VLOOKUP(Table1[[#This Row],[SKU]],'All Skus'!$A:$AC,2,FALSE))="AKG",(VLOOKUP(Table1[[#This Row],[SKU]],'All Skus'!$A:$AC,8,FALSE)),""))</f>
        <v>Wireless Microphone System 45</v>
      </c>
      <c r="H209" s="45" t="str">
        <f>(IF((VLOOKUP(Table1[[#This Row],[SKU]],'All Skus'!$A:$AC,2,FALSE))="AKG",(VLOOKUP(Table1[[#This Row],[SKU]],'All Skus'!$A:$AC,9,FALSE)),""))</f>
        <v>Pocket transmitter, Perception Wireless 45 single component</v>
      </c>
      <c r="I209" s="141">
        <f>(IF((VLOOKUP(Table1[[#This Row],[SKU]],'All Skus'!$A:$AC,2,FALSE))="AKG",(VLOOKUP(Table1[[#This Row],[SKU]],'All Skus'!$A:$AC,10,FALSE)),""))</f>
        <v>226.89</v>
      </c>
      <c r="J209" s="141">
        <f>(IF((VLOOKUP(Table1[[#This Row],[SKU]],'All Skus'!$A:$AC,2,FALSE))="AKG",(VLOOKUP(Table1[[#This Row],[SKU]],'All Skus'!$A:$AC,11,FALSE)),""))</f>
        <v>195</v>
      </c>
      <c r="K209" s="125">
        <f>(IF((VLOOKUP(Table1[[#This Row],[SKU]],'All Skus'!$A:$AC,2,FALSE))="AKG",(VLOOKUP(Table1[[#This Row],[SKU]],'All Skus'!$A:$AC,15,FALSE)),""))</f>
        <v>0</v>
      </c>
      <c r="L209" s="124">
        <f>(IF((VLOOKUP(Table1[[#This Row],[SKU]],'All Skus'!$A:$AC,2,FALSE))="AKG",(VLOOKUP(Table1[[#This Row],[SKU]],'All Skus'!$A:$AC,16,FALSE)),""))</f>
        <v>885038027805</v>
      </c>
      <c r="M209" s="124">
        <f>(IF((VLOOKUP(Table1[[#This Row],[SKU]],'All Skus'!$A:$AC,2,FALSE))="AKG",(VLOOKUP(Table1[[#This Row],[SKU]],'All Skus'!$A:$AC,17,FALSE)),""))</f>
        <v>9002761027808</v>
      </c>
      <c r="N209" s="64">
        <f>(IF((VLOOKUP(Table1[[#This Row],[SKU]],'All Skus'!$A:$AC,2,FALSE))="AKG",(VLOOKUP(Table1[[#This Row],[SKU]],'All Skus'!$A:$AC,18,FALSE)),""))</f>
        <v>9.5</v>
      </c>
      <c r="O209" s="64">
        <f>(IF((VLOOKUP(Table1[[#This Row],[SKU]],'All Skus'!$A:$AC,2,FALSE))="AKG",(VLOOKUP(Table1[[#This Row],[SKU]],'All Skus'!$A:$AC,19,FALSE)),""))</f>
        <v>14</v>
      </c>
      <c r="P209" s="64">
        <f>(IF((VLOOKUP(Table1[[#This Row],[SKU]],'All Skus'!$A:$AC,2,FALSE))="AKG",(VLOOKUP(Table1[[#This Row],[SKU]],'All Skus'!$A:$AC,20,FALSE)),""))</f>
        <v>2.5</v>
      </c>
      <c r="Q209" s="64">
        <f>(IF((VLOOKUP(Table1[[#This Row],[SKU]],'All Skus'!$A:$AC,2,FALSE))="AKG",(VLOOKUP(Table1[[#This Row],[SKU]],'All Skus'!$A:$AC,21,FALSE)),""))</f>
        <v>2.6</v>
      </c>
      <c r="R209" s="64" t="str">
        <f>(IF((VLOOKUP(Table1[[#This Row],[SKU]],'All Skus'!$A:$AC,2,FALSE))="AKG",(VLOOKUP(Table1[[#This Row],[SKU]],'All Skus'!$A:$AC,22,FALSE)),""))</f>
        <v>CN</v>
      </c>
      <c r="S209" s="64" t="str">
        <f>(IF((VLOOKUP(Table1[[#This Row],[SKU]],'All Skus'!$A:$AC,2,FALSE))="AKG",(VLOOKUP(Table1[[#This Row],[SKU]],'All Skus'!$A:$AC,23,FALSE)),""))</f>
        <v>Non Compliant</v>
      </c>
      <c r="T209" s="210" t="str">
        <f>HYPERLINK((IF((VLOOKUP(Table1[[#This Row],[SKU]],'All Skus'!$A:$AC,2,FALSE))="AKG",(VLOOKUP(Table1[[#This Row],[SKU]],'All Skus'!$A:$AC,24,FALSE)),"")))</f>
        <v>https://www.akg.com/Wireless/wireless-components/3247H00010.html</v>
      </c>
      <c r="U209" s="151">
        <v>207</v>
      </c>
    </row>
    <row r="210" spans="1:21" ht="15" hidden="1" customHeight="1">
      <c r="A210" s="50" t="s">
        <v>366</v>
      </c>
      <c r="B210" s="52" t="str">
        <f>(IF((VLOOKUP(Table1[[#This Row],[SKU]],'All Skus'!$A:$AC,2,FALSE))="AKG",(VLOOKUP(Table1[[#This Row],[SKU]],'All Skus'!$A:$AC,3,FALSE)), ""))</f>
        <v>Wireless Mics</v>
      </c>
      <c r="C210" s="60" t="str">
        <f>(IF((VLOOKUP(Table1[[#This Row],[SKU]],'All Skus'!$A:$AC,2,FALSE))="AKG",(VLOOKUP(Table1[[#This Row],[SKU]],'All Skus'!$A:$AC,4,FALSE)),""))</f>
        <v>Perception Wireless 45 Sports Set BD A</v>
      </c>
      <c r="D210" s="60" t="str">
        <f>(IF((VLOOKUP(Table1[[#This Row],[SKU]],'All Skus'!$A:$AC,2,FALSE))="AKG",(VLOOKUP(Table1[[#This Row],[SKU]],'All Skus'!$A:$AC,5,FALSE)),""))</f>
        <v>AT610000</v>
      </c>
      <c r="E210" s="60">
        <f>(IF((VLOOKUP(Table1[[#This Row],[SKU]],'All Skus'!$A:$AC,2,FALSE))="AKG",(VLOOKUP(Table1[[#This Row],[SKU]],'All Skus'!$A:$AC,6,FALSE)),""))</f>
        <v>0</v>
      </c>
      <c r="F210" s="60">
        <f>(IF((VLOOKUP(Table1[[#This Row],[SKU]],'All Skus'!$A:$AC,2,FALSE))="AKG",(VLOOKUP(Table1[[#This Row],[SKU]],'All Skus'!$A:$AC,7,FALSE)),""))</f>
        <v>0</v>
      </c>
      <c r="G210" s="45" t="str">
        <f>(IF((VLOOKUP(Table1[[#This Row],[SKU]],'All Skus'!$A:$AC,2,FALSE))="AKG",(VLOOKUP(Table1[[#This Row],[SKU]],'All Skus'!$A:$AC,8,FALSE)),""))</f>
        <v>Wireless Microphone System 45</v>
      </c>
      <c r="H210" s="45" t="str">
        <f>(IF((VLOOKUP(Table1[[#This Row],[SKU]],'All Skus'!$A:$AC,2,FALSE))="AKG",(VLOOKUP(Table1[[#This Row],[SKU]],'All Skus'!$A:$AC,9,FALSE)),""))</f>
        <v xml:space="preserve">Frequency agile wireless microphone system including SR45 Stationary Receiver, PT45 Pocket Transmitter, SMPS Switched Mode Power Supply (EU/US/UK), C544L Headworn Microphone, 1 AA Battery </v>
      </c>
      <c r="I210" s="141">
        <f>(IF((VLOOKUP(Table1[[#This Row],[SKU]],'All Skus'!$A:$AC,2,FALSE))="AKG",(VLOOKUP(Table1[[#This Row],[SKU]],'All Skus'!$A:$AC,10,FALSE)),""))</f>
        <v>298.62</v>
      </c>
      <c r="J210" s="141">
        <f>(IF((VLOOKUP(Table1[[#This Row],[SKU]],'All Skus'!$A:$AC,2,FALSE))="AKG",(VLOOKUP(Table1[[#This Row],[SKU]],'All Skus'!$A:$AC,11,FALSE)),""))</f>
        <v>236</v>
      </c>
      <c r="K210" s="125">
        <f>(IF((VLOOKUP(Table1[[#This Row],[SKU]],'All Skus'!$A:$AC,2,FALSE))="AKG",(VLOOKUP(Table1[[#This Row],[SKU]],'All Skus'!$A:$AC,15,FALSE)),""))</f>
        <v>5</v>
      </c>
      <c r="L210" s="124">
        <f>(IF((VLOOKUP(Table1[[#This Row],[SKU]],'All Skus'!$A:$AC,2,FALSE))="AKG",(VLOOKUP(Table1[[#This Row],[SKU]],'All Skus'!$A:$AC,16,FALSE)),""))</f>
        <v>885038027874</v>
      </c>
      <c r="M210" s="124">
        <f>(IF((VLOOKUP(Table1[[#This Row],[SKU]],'All Skus'!$A:$AC,2,FALSE))="AKG",(VLOOKUP(Table1[[#This Row],[SKU]],'All Skus'!$A:$AC,17,FALSE)),""))</f>
        <v>9002761027877</v>
      </c>
      <c r="N210" s="64">
        <f>(IF((VLOOKUP(Table1[[#This Row],[SKU]],'All Skus'!$A:$AC,2,FALSE))="AKG",(VLOOKUP(Table1[[#This Row],[SKU]],'All Skus'!$A:$AC,18,FALSE)),""))</f>
        <v>4</v>
      </c>
      <c r="O210" s="64">
        <f>(IF((VLOOKUP(Table1[[#This Row],[SKU]],'All Skus'!$A:$AC,2,FALSE))="AKG",(VLOOKUP(Table1[[#This Row],[SKU]],'All Skus'!$A:$AC,19,FALSE)),""))</f>
        <v>17</v>
      </c>
      <c r="P210" s="64">
        <f>(IF((VLOOKUP(Table1[[#This Row],[SKU]],'All Skus'!$A:$AC,2,FALSE))="AKG",(VLOOKUP(Table1[[#This Row],[SKU]],'All Skus'!$A:$AC,20,FALSE)),""))</f>
        <v>13</v>
      </c>
      <c r="Q210" s="64">
        <f>(IF((VLOOKUP(Table1[[#This Row],[SKU]],'All Skus'!$A:$AC,2,FALSE))="AKG",(VLOOKUP(Table1[[#This Row],[SKU]],'All Skus'!$A:$AC,21,FALSE)),""))</f>
        <v>3.2</v>
      </c>
      <c r="R210" s="64" t="str">
        <f>(IF((VLOOKUP(Table1[[#This Row],[SKU]],'All Skus'!$A:$AC,2,FALSE))="AKG",(VLOOKUP(Table1[[#This Row],[SKU]],'All Skus'!$A:$AC,22,FALSE)),""))</f>
        <v>CN</v>
      </c>
      <c r="S210" s="64" t="str">
        <f>(IF((VLOOKUP(Table1[[#This Row],[SKU]],'All Skus'!$A:$AC,2,FALSE))="AKG",(VLOOKUP(Table1[[#This Row],[SKU]],'All Skus'!$A:$AC,23,FALSE)),""))</f>
        <v>Non Compliant</v>
      </c>
      <c r="T210" s="210" t="str">
        <f>HYPERLINK((IF((VLOOKUP(Table1[[#This Row],[SKU]],'All Skus'!$A:$AC,2,FALSE))="AKG",(VLOOKUP(Table1[[#This Row],[SKU]],'All Skus'!$A:$AC,24,FALSE)),"")))</f>
        <v>https://www.akg.com/Wireless/wireless-components/3248X00010.html</v>
      </c>
      <c r="U210" s="151">
        <v>208</v>
      </c>
    </row>
    <row r="211" spans="1:21" ht="15" hidden="1" customHeight="1">
      <c r="A211" s="50" t="s">
        <v>367</v>
      </c>
      <c r="B211" s="52" t="str">
        <f>(IF((VLOOKUP(Table1[[#This Row],[SKU]],'All Skus'!$A:$AC,2,FALSE))="AKG",(VLOOKUP(Table1[[#This Row],[SKU]],'All Skus'!$A:$AC,3,FALSE)), ""))</f>
        <v>Wireless Mics</v>
      </c>
      <c r="C211" s="60" t="str">
        <f>(IF((VLOOKUP(Table1[[#This Row],[SKU]],'All Skus'!$A:$AC,2,FALSE))="AKG",(VLOOKUP(Table1[[#This Row],[SKU]],'All Skus'!$A:$AC,4,FALSE)),""))</f>
        <v>Perception Wireless 45 Pres Set BD A</v>
      </c>
      <c r="D211" s="60" t="str">
        <f>(IF((VLOOKUP(Table1[[#This Row],[SKU]],'All Skus'!$A:$AC,2,FALSE))="AKG",(VLOOKUP(Table1[[#This Row],[SKU]],'All Skus'!$A:$AC,5,FALSE)),""))</f>
        <v>AT610000</v>
      </c>
      <c r="E211" s="60">
        <f>(IF((VLOOKUP(Table1[[#This Row],[SKU]],'All Skus'!$A:$AC,2,FALSE))="AKG",(VLOOKUP(Table1[[#This Row],[SKU]],'All Skus'!$A:$AC,6,FALSE)),""))</f>
        <v>0</v>
      </c>
      <c r="F211" s="60">
        <f>(IF((VLOOKUP(Table1[[#This Row],[SKU]],'All Skus'!$A:$AC,2,FALSE))="AKG",(VLOOKUP(Table1[[#This Row],[SKU]],'All Skus'!$A:$AC,7,FALSE)),""))</f>
        <v>0</v>
      </c>
      <c r="G211" s="45" t="str">
        <f>(IF((VLOOKUP(Table1[[#This Row],[SKU]],'All Skus'!$A:$AC,2,FALSE))="AKG",(VLOOKUP(Table1[[#This Row],[SKU]],'All Skus'!$A:$AC,8,FALSE)),""))</f>
        <v>Wireless Microphone System 45</v>
      </c>
      <c r="H211" s="45" t="str">
        <f>(IF((VLOOKUP(Table1[[#This Row],[SKU]],'All Skus'!$A:$AC,2,FALSE))="AKG",(VLOOKUP(Table1[[#This Row],[SKU]],'All Skus'!$A:$AC,9,FALSE)),""))</f>
        <v xml:space="preserve">Frequency agile wireless microphone system including SR45 Stationary Receiver, PT45 Pocket Transmitter, SMPS Switched Mode Power Supply (EU/US/UK), CK99 Lavalier Microphone, 1 AA Battery </v>
      </c>
      <c r="I211" s="141">
        <f>(IF((VLOOKUP(Table1[[#This Row],[SKU]],'All Skus'!$A:$AC,2,FALSE))="AKG",(VLOOKUP(Table1[[#This Row],[SKU]],'All Skus'!$A:$AC,10,FALSE)),""))</f>
        <v>298.62</v>
      </c>
      <c r="J211" s="141">
        <f>(IF((VLOOKUP(Table1[[#This Row],[SKU]],'All Skus'!$A:$AC,2,FALSE))="AKG",(VLOOKUP(Table1[[#This Row],[SKU]],'All Skus'!$A:$AC,11,FALSE)),""))</f>
        <v>236</v>
      </c>
      <c r="K211" s="125">
        <f>(IF((VLOOKUP(Table1[[#This Row],[SKU]],'All Skus'!$A:$AC,2,FALSE))="AKG",(VLOOKUP(Table1[[#This Row],[SKU]],'All Skus'!$A:$AC,15,FALSE)),""))</f>
        <v>5</v>
      </c>
      <c r="L211" s="124">
        <f>(IF((VLOOKUP(Table1[[#This Row],[SKU]],'All Skus'!$A:$AC,2,FALSE))="AKG",(VLOOKUP(Table1[[#This Row],[SKU]],'All Skus'!$A:$AC,16,FALSE)),""))</f>
        <v>885038027942</v>
      </c>
      <c r="M211" s="124">
        <f>(IF((VLOOKUP(Table1[[#This Row],[SKU]],'All Skus'!$A:$AC,2,FALSE))="AKG",(VLOOKUP(Table1[[#This Row],[SKU]],'All Skus'!$A:$AC,17,FALSE)),""))</f>
        <v>9002761027945</v>
      </c>
      <c r="N211" s="64">
        <f>(IF((VLOOKUP(Table1[[#This Row],[SKU]],'All Skus'!$A:$AC,2,FALSE))="AKG",(VLOOKUP(Table1[[#This Row],[SKU]],'All Skus'!$A:$AC,18,FALSE)),""))</f>
        <v>3</v>
      </c>
      <c r="O211" s="64">
        <f>(IF((VLOOKUP(Table1[[#This Row],[SKU]],'All Skus'!$A:$AC,2,FALSE))="AKG",(VLOOKUP(Table1[[#This Row],[SKU]],'All Skus'!$A:$AC,19,FALSE)),""))</f>
        <v>13</v>
      </c>
      <c r="P211" s="64">
        <f>(IF((VLOOKUP(Table1[[#This Row],[SKU]],'All Skus'!$A:$AC,2,FALSE))="AKG",(VLOOKUP(Table1[[#This Row],[SKU]],'All Skus'!$A:$AC,20,FALSE)),""))</f>
        <v>17</v>
      </c>
      <c r="Q211" s="64">
        <f>(IF((VLOOKUP(Table1[[#This Row],[SKU]],'All Skus'!$A:$AC,2,FALSE))="AKG",(VLOOKUP(Table1[[#This Row],[SKU]],'All Skus'!$A:$AC,21,FALSE)),""))</f>
        <v>3.2</v>
      </c>
      <c r="R211" s="64" t="str">
        <f>(IF((VLOOKUP(Table1[[#This Row],[SKU]],'All Skus'!$A:$AC,2,FALSE))="AKG",(VLOOKUP(Table1[[#This Row],[SKU]],'All Skus'!$A:$AC,22,FALSE)),""))</f>
        <v>CN</v>
      </c>
      <c r="S211" s="64" t="str">
        <f>(IF((VLOOKUP(Table1[[#This Row],[SKU]],'All Skus'!$A:$AC,2,FALSE))="AKG",(VLOOKUP(Table1[[#This Row],[SKU]],'All Skus'!$A:$AC,23,FALSE)),""))</f>
        <v>Non Compliant</v>
      </c>
      <c r="T211" s="210" t="str">
        <f>HYPERLINK((IF((VLOOKUP(Table1[[#This Row],[SKU]],'All Skus'!$A:$AC,2,FALSE))="AKG",(VLOOKUP(Table1[[#This Row],[SKU]],'All Skus'!$A:$AC,24,FALSE)),"")))</f>
        <v>https://www.akg.com/Wireless/wireless-components/3249H00010.html</v>
      </c>
      <c r="U211" s="151">
        <v>209</v>
      </c>
    </row>
    <row r="212" spans="1:21" ht="15" hidden="1" customHeight="1">
      <c r="A212" s="50" t="s">
        <v>368</v>
      </c>
      <c r="B212" s="52" t="str">
        <f>(IF((VLOOKUP(Table1[[#This Row],[SKU]],'All Skus'!$A:$AC,2,FALSE))="AKG",(VLOOKUP(Table1[[#This Row],[SKU]],'All Skus'!$A:$AC,3,FALSE)), ""))</f>
        <v>Wireless Mics</v>
      </c>
      <c r="C212" s="60" t="str">
        <f>(IF((VLOOKUP(Table1[[#This Row],[SKU]],'All Skus'!$A:$AC,2,FALSE))="AKG",(VLOOKUP(Table1[[#This Row],[SKU]],'All Skus'!$A:$AC,4,FALSE)),""))</f>
        <v>Perception Wireless 45 Instr Set BD A</v>
      </c>
      <c r="D212" s="60" t="str">
        <f>(IF((VLOOKUP(Table1[[#This Row],[SKU]],'All Skus'!$A:$AC,2,FALSE))="AKG",(VLOOKUP(Table1[[#This Row],[SKU]],'All Skus'!$A:$AC,5,FALSE)),""))</f>
        <v>AT610000</v>
      </c>
      <c r="E212" s="60">
        <f>(IF((VLOOKUP(Table1[[#This Row],[SKU]],'All Skus'!$A:$AC,2,FALSE))="AKG",(VLOOKUP(Table1[[#This Row],[SKU]],'All Skus'!$A:$AC,6,FALSE)),""))</f>
        <v>0</v>
      </c>
      <c r="F212" s="60">
        <f>(IF((VLOOKUP(Table1[[#This Row],[SKU]],'All Skus'!$A:$AC,2,FALSE))="AKG",(VLOOKUP(Table1[[#This Row],[SKU]],'All Skus'!$A:$AC,7,FALSE)),""))</f>
        <v>0</v>
      </c>
      <c r="G212" s="45" t="str">
        <f>(IF((VLOOKUP(Table1[[#This Row],[SKU]],'All Skus'!$A:$AC,2,FALSE))="AKG",(VLOOKUP(Table1[[#This Row],[SKU]],'All Skus'!$A:$AC,8,FALSE)),""))</f>
        <v>Wireless Microphone System 45</v>
      </c>
      <c r="H212" s="45" t="str">
        <f>(IF((VLOOKUP(Table1[[#This Row],[SKU]],'All Skus'!$A:$AC,2,FALSE))="AKG",(VLOOKUP(Table1[[#This Row],[SKU]],'All Skus'!$A:$AC,9,FALSE)),""))</f>
        <v>Frequency agile wireless microphone system including SR45 Stationary Receiver, PT45 Pocket Transmitter, SMPS Switched Mode Power Supply (EU/US/UK), Instrument Cable, 1 AA Battery</v>
      </c>
      <c r="I212" s="141">
        <f>(IF((VLOOKUP(Table1[[#This Row],[SKU]],'All Skus'!$A:$AC,2,FALSE))="AKG",(VLOOKUP(Table1[[#This Row],[SKU]],'All Skus'!$A:$AC,10,FALSE)),""))</f>
        <v>223.59</v>
      </c>
      <c r="J212" s="141">
        <f>(IF((VLOOKUP(Table1[[#This Row],[SKU]],'All Skus'!$A:$AC,2,FALSE))="AKG",(VLOOKUP(Table1[[#This Row],[SKU]],'All Skus'!$A:$AC,11,FALSE)),""))</f>
        <v>185</v>
      </c>
      <c r="K212" s="125">
        <f>(IF((VLOOKUP(Table1[[#This Row],[SKU]],'All Skus'!$A:$AC,2,FALSE))="AKG",(VLOOKUP(Table1[[#This Row],[SKU]],'All Skus'!$A:$AC,15,FALSE)),""))</f>
        <v>5</v>
      </c>
      <c r="L212" s="124">
        <f>(IF((VLOOKUP(Table1[[#This Row],[SKU]],'All Skus'!$A:$AC,2,FALSE))="AKG",(VLOOKUP(Table1[[#This Row],[SKU]],'All Skus'!$A:$AC,16,FALSE)),""))</f>
        <v>885038028017</v>
      </c>
      <c r="M212" s="124">
        <f>(IF((VLOOKUP(Table1[[#This Row],[SKU]],'All Skus'!$A:$AC,2,FALSE))="AKG",(VLOOKUP(Table1[[#This Row],[SKU]],'All Skus'!$A:$AC,17,FALSE)),""))</f>
        <v>9002761028010</v>
      </c>
      <c r="N212" s="64">
        <f>(IF((VLOOKUP(Table1[[#This Row],[SKU]],'All Skus'!$A:$AC,2,FALSE))="AKG",(VLOOKUP(Table1[[#This Row],[SKU]],'All Skus'!$A:$AC,18,FALSE)),""))</f>
        <v>13</v>
      </c>
      <c r="O212" s="64">
        <f>(IF((VLOOKUP(Table1[[#This Row],[SKU]],'All Skus'!$A:$AC,2,FALSE))="AKG",(VLOOKUP(Table1[[#This Row],[SKU]],'All Skus'!$A:$AC,19,FALSE)),""))</f>
        <v>3</v>
      </c>
      <c r="P212" s="64">
        <f>(IF((VLOOKUP(Table1[[#This Row],[SKU]],'All Skus'!$A:$AC,2,FALSE))="AKG",(VLOOKUP(Table1[[#This Row],[SKU]],'All Skus'!$A:$AC,20,FALSE)),""))</f>
        <v>17</v>
      </c>
      <c r="Q212" s="64">
        <f>(IF((VLOOKUP(Table1[[#This Row],[SKU]],'All Skus'!$A:$AC,2,FALSE))="AKG",(VLOOKUP(Table1[[#This Row],[SKU]],'All Skus'!$A:$AC,21,FALSE)),""))</f>
        <v>3.2</v>
      </c>
      <c r="R212" s="64" t="str">
        <f>(IF((VLOOKUP(Table1[[#This Row],[SKU]],'All Skus'!$A:$AC,2,FALSE))="AKG",(VLOOKUP(Table1[[#This Row],[SKU]],'All Skus'!$A:$AC,22,FALSE)),""))</f>
        <v>CN</v>
      </c>
      <c r="S212" s="64" t="str">
        <f>(IF((VLOOKUP(Table1[[#This Row],[SKU]],'All Skus'!$A:$AC,2,FALSE))="AKG",(VLOOKUP(Table1[[#This Row],[SKU]],'All Skus'!$A:$AC,23,FALSE)),""))</f>
        <v>Non Compliant</v>
      </c>
      <c r="T212" s="210" t="str">
        <f>HYPERLINK((IF((VLOOKUP(Table1[[#This Row],[SKU]],'All Skus'!$A:$AC,2,FALSE))="AKG",(VLOOKUP(Table1[[#This Row],[SKU]],'All Skus'!$A:$AC,24,FALSE)),"")))</f>
        <v>https://www.akg.com/Microphones/perception-series-microphones/3250H00010.html</v>
      </c>
      <c r="U212" s="151">
        <v>210</v>
      </c>
    </row>
    <row r="213" spans="1:21" ht="15" hidden="1" customHeight="1">
      <c r="A213" s="50" t="s">
        <v>369</v>
      </c>
      <c r="B213" s="52" t="str">
        <f>(IF((VLOOKUP(Table1[[#This Row],[SKU]],'All Skus'!$A:$AC,2,FALSE))="AKG",(VLOOKUP(Table1[[#This Row],[SKU]],'All Skus'!$A:$AC,3,FALSE)), ""))</f>
        <v>Wireless Mics</v>
      </c>
      <c r="C213" s="60" t="str">
        <f>(IF((VLOOKUP(Table1[[#This Row],[SKU]],'All Skus'!$A:$AC,2,FALSE))="AKG",(VLOOKUP(Table1[[#This Row],[SKU]],'All Skus'!$A:$AC,4,FALSE)),""))</f>
        <v>Perception Wireless 45 Vocal Set BD A</v>
      </c>
      <c r="D213" s="60" t="str">
        <f>(IF((VLOOKUP(Table1[[#This Row],[SKU]],'All Skus'!$A:$AC,2,FALSE))="AKG",(VLOOKUP(Table1[[#This Row],[SKU]],'All Skus'!$A:$AC,5,FALSE)),""))</f>
        <v>AT610000</v>
      </c>
      <c r="E213" s="60">
        <f>(IF((VLOOKUP(Table1[[#This Row],[SKU]],'All Skus'!$A:$AC,2,FALSE))="AKG",(VLOOKUP(Table1[[#This Row],[SKU]],'All Skus'!$A:$AC,6,FALSE)),""))</f>
        <v>0</v>
      </c>
      <c r="F213" s="60">
        <f>(IF((VLOOKUP(Table1[[#This Row],[SKU]],'All Skus'!$A:$AC,2,FALSE))="AKG",(VLOOKUP(Table1[[#This Row],[SKU]],'All Skus'!$A:$AC,7,FALSE)),""))</f>
        <v>0</v>
      </c>
      <c r="G213" s="45" t="str">
        <f>(IF((VLOOKUP(Table1[[#This Row],[SKU]],'All Skus'!$A:$AC,2,FALSE))="AKG",(VLOOKUP(Table1[[#This Row],[SKU]],'All Skus'!$A:$AC,8,FALSE)),""))</f>
        <v>Wireless Microphone System 45</v>
      </c>
      <c r="H213" s="45" t="str">
        <f>(IF((VLOOKUP(Table1[[#This Row],[SKU]],'All Skus'!$A:$AC,2,FALSE))="AKG",(VLOOKUP(Table1[[#This Row],[SKU]],'All Skus'!$A:$AC,9,FALSE)),""))</f>
        <v xml:space="preserve">Frequency agile wireless microphone system including SR45 Stationary Receiver, HT45 Handheld Transmitter, SMPS Switched Mode Power Supply (EU/US/UK), Stand Adapter, 1 AA Battery </v>
      </c>
      <c r="I213" s="141">
        <f>(IF((VLOOKUP(Table1[[#This Row],[SKU]],'All Skus'!$A:$AC,2,FALSE))="AKG",(VLOOKUP(Table1[[#This Row],[SKU]],'All Skus'!$A:$AC,10,FALSE)),""))</f>
        <v>223.59</v>
      </c>
      <c r="J213" s="141">
        <f>(IF((VLOOKUP(Table1[[#This Row],[SKU]],'All Skus'!$A:$AC,2,FALSE))="AKG",(VLOOKUP(Table1[[#This Row],[SKU]],'All Skus'!$A:$AC,11,FALSE)),""))</f>
        <v>185</v>
      </c>
      <c r="K213" s="125">
        <f>(IF((VLOOKUP(Table1[[#This Row],[SKU]],'All Skus'!$A:$AC,2,FALSE))="AKG",(VLOOKUP(Table1[[#This Row],[SKU]],'All Skus'!$A:$AC,15,FALSE)),""))</f>
        <v>5</v>
      </c>
      <c r="L213" s="124">
        <f>(IF((VLOOKUP(Table1[[#This Row],[SKU]],'All Skus'!$A:$AC,2,FALSE))="AKG",(VLOOKUP(Table1[[#This Row],[SKU]],'All Skus'!$A:$AC,16,FALSE)),""))</f>
        <v>885038028086</v>
      </c>
      <c r="M213" s="124">
        <f>(IF((VLOOKUP(Table1[[#This Row],[SKU]],'All Skus'!$A:$AC,2,FALSE))="AKG",(VLOOKUP(Table1[[#This Row],[SKU]],'All Skus'!$A:$AC,17,FALSE)),""))</f>
        <v>9002761028089</v>
      </c>
      <c r="N213" s="64">
        <f>(IF((VLOOKUP(Table1[[#This Row],[SKU]],'All Skus'!$A:$AC,2,FALSE))="AKG",(VLOOKUP(Table1[[#This Row],[SKU]],'All Skus'!$A:$AC,18,FALSE)),""))</f>
        <v>5</v>
      </c>
      <c r="O213" s="64">
        <f>(IF((VLOOKUP(Table1[[#This Row],[SKU]],'All Skus'!$A:$AC,2,FALSE))="AKG",(VLOOKUP(Table1[[#This Row],[SKU]],'All Skus'!$A:$AC,19,FALSE)),""))</f>
        <v>16.5</v>
      </c>
      <c r="P213" s="64">
        <f>(IF((VLOOKUP(Table1[[#This Row],[SKU]],'All Skus'!$A:$AC,2,FALSE))="AKG",(VLOOKUP(Table1[[#This Row],[SKU]],'All Skus'!$A:$AC,20,FALSE)),""))</f>
        <v>20</v>
      </c>
      <c r="Q213" s="64">
        <f>(IF((VLOOKUP(Table1[[#This Row],[SKU]],'All Skus'!$A:$AC,2,FALSE))="AKG",(VLOOKUP(Table1[[#This Row],[SKU]],'All Skus'!$A:$AC,21,FALSE)),""))</f>
        <v>3.2</v>
      </c>
      <c r="R213" s="64" t="str">
        <f>(IF((VLOOKUP(Table1[[#This Row],[SKU]],'All Skus'!$A:$AC,2,FALSE))="AKG",(VLOOKUP(Table1[[#This Row],[SKU]],'All Skus'!$A:$AC,22,FALSE)),""))</f>
        <v>CN</v>
      </c>
      <c r="S213" s="64" t="str">
        <f>(IF((VLOOKUP(Table1[[#This Row],[SKU]],'All Skus'!$A:$AC,2,FALSE))="AKG",(VLOOKUP(Table1[[#This Row],[SKU]],'All Skus'!$A:$AC,23,FALSE)),""))</f>
        <v>Non Compliant</v>
      </c>
      <c r="T213" s="210" t="str">
        <f>HYPERLINK((IF((VLOOKUP(Table1[[#This Row],[SKU]],'All Skus'!$A:$AC,2,FALSE))="AKG",(VLOOKUP(Table1[[#This Row],[SKU]],'All Skus'!$A:$AC,24,FALSE)),"")))</f>
        <v>https://www.akg.com/Wireless/wireless-components/3251H00010.html</v>
      </c>
      <c r="U213" s="151">
        <v>211</v>
      </c>
    </row>
    <row r="214" spans="1:21" ht="15" hidden="1" customHeight="1">
      <c r="A214" s="109" t="s">
        <v>370</v>
      </c>
      <c r="B214" s="52">
        <f>(IF((VLOOKUP(Table1[[#This Row],[SKU]],'All Skus'!$A:$AC,2,FALSE))="AKG",(VLOOKUP(Table1[[#This Row],[SKU]],'All Skus'!$A:$AC,3,FALSE)), ""))</f>
        <v>0</v>
      </c>
      <c r="C214" s="60">
        <f>(IF((VLOOKUP(Table1[[#This Row],[SKU]],'All Skus'!$A:$AC,2,FALSE))="AKG",(VLOOKUP(Table1[[#This Row],[SKU]],'All Skus'!$A:$AC,4,FALSE)),""))</f>
        <v>0</v>
      </c>
      <c r="D214" s="60">
        <f>(IF((VLOOKUP(Table1[[#This Row],[SKU]],'All Skus'!$A:$AC,2,FALSE))="AKG",(VLOOKUP(Table1[[#This Row],[SKU]],'All Skus'!$A:$AC,5,FALSE)),""))</f>
        <v>0</v>
      </c>
      <c r="E214" s="60">
        <f>(IF((VLOOKUP(Table1[[#This Row],[SKU]],'All Skus'!$A:$AC,2,FALSE))="AKG",(VLOOKUP(Table1[[#This Row],[SKU]],'All Skus'!$A:$AC,6,FALSE)),""))</f>
        <v>0</v>
      </c>
      <c r="F214" s="60">
        <f>(IF((VLOOKUP(Table1[[#This Row],[SKU]],'All Skus'!$A:$AC,2,FALSE))="AKG",(VLOOKUP(Table1[[#This Row],[SKU]],'All Skus'!$A:$AC,7,FALSE)),""))</f>
        <v>0</v>
      </c>
      <c r="G214" s="45">
        <f>(IF((VLOOKUP(Table1[[#This Row],[SKU]],'All Skus'!$A:$AC,2,FALSE))="AKG",(VLOOKUP(Table1[[#This Row],[SKU]],'All Skus'!$A:$AC,8,FALSE)),""))</f>
        <v>0</v>
      </c>
      <c r="H214" s="45">
        <f>(IF((VLOOKUP(Table1[[#This Row],[SKU]],'All Skus'!$A:$AC,2,FALSE))="AKG",(VLOOKUP(Table1[[#This Row],[SKU]],'All Skus'!$A:$AC,9,FALSE)),""))</f>
        <v>0</v>
      </c>
      <c r="I214" s="141">
        <f>(IF((VLOOKUP(Table1[[#This Row],[SKU]],'All Skus'!$A:$AC,2,FALSE))="AKG",(VLOOKUP(Table1[[#This Row],[SKU]],'All Skus'!$A:$AC,10,FALSE)),""))</f>
        <v>0</v>
      </c>
      <c r="J214" s="141">
        <f>(IF((VLOOKUP(Table1[[#This Row],[SKU]],'All Skus'!$A:$AC,2,FALSE))="AKG",(VLOOKUP(Table1[[#This Row],[SKU]],'All Skus'!$A:$AC,11,FALSE)),""))</f>
        <v>0</v>
      </c>
      <c r="K214" s="125">
        <f>(IF((VLOOKUP(Table1[[#This Row],[SKU]],'All Skus'!$A:$AC,2,FALSE))="AKG",(VLOOKUP(Table1[[#This Row],[SKU]],'All Skus'!$A:$AC,15,FALSE)),""))</f>
        <v>0</v>
      </c>
      <c r="L214" s="124">
        <f>(IF((VLOOKUP(Table1[[#This Row],[SKU]],'All Skus'!$A:$AC,2,FALSE))="AKG",(VLOOKUP(Table1[[#This Row],[SKU]],'All Skus'!$A:$AC,16,FALSE)),""))</f>
        <v>0</v>
      </c>
      <c r="M214" s="124">
        <f>(IF((VLOOKUP(Table1[[#This Row],[SKU]],'All Skus'!$A:$AC,2,FALSE))="AKG",(VLOOKUP(Table1[[#This Row],[SKU]],'All Skus'!$A:$AC,17,FALSE)),""))</f>
        <v>0</v>
      </c>
      <c r="N214" s="64">
        <f>(IF((VLOOKUP(Table1[[#This Row],[SKU]],'All Skus'!$A:$AC,2,FALSE))="AKG",(VLOOKUP(Table1[[#This Row],[SKU]],'All Skus'!$A:$AC,18,FALSE)),""))</f>
        <v>0</v>
      </c>
      <c r="O214" s="64">
        <f>(IF((VLOOKUP(Table1[[#This Row],[SKU]],'All Skus'!$A:$AC,2,FALSE))="AKG",(VLOOKUP(Table1[[#This Row],[SKU]],'All Skus'!$A:$AC,19,FALSE)),""))</f>
        <v>0</v>
      </c>
      <c r="P214" s="64">
        <f>(IF((VLOOKUP(Table1[[#This Row],[SKU]],'All Skus'!$A:$AC,2,FALSE))="AKG",(VLOOKUP(Table1[[#This Row],[SKU]],'All Skus'!$A:$AC,20,FALSE)),""))</f>
        <v>0</v>
      </c>
      <c r="Q214" s="64">
        <f>(IF((VLOOKUP(Table1[[#This Row],[SKU]],'All Skus'!$A:$AC,2,FALSE))="AKG",(VLOOKUP(Table1[[#This Row],[SKU]],'All Skus'!$A:$AC,21,FALSE)),""))</f>
        <v>0</v>
      </c>
      <c r="R214" s="64">
        <f>(IF((VLOOKUP(Table1[[#This Row],[SKU]],'All Skus'!$A:$AC,2,FALSE))="AKG",(VLOOKUP(Table1[[#This Row],[SKU]],'All Skus'!$A:$AC,22,FALSE)),""))</f>
        <v>0</v>
      </c>
      <c r="S214" s="64">
        <f>(IF((VLOOKUP(Table1[[#This Row],[SKU]],'All Skus'!$A:$AC,2,FALSE))="AKG",(VLOOKUP(Table1[[#This Row],[SKU]],'All Skus'!$A:$AC,23,FALSE)),""))</f>
        <v>0</v>
      </c>
      <c r="T214" s="210" t="str">
        <f>HYPERLINK((IF((VLOOKUP(Table1[[#This Row],[SKU]],'All Skus'!$A:$AC,2,FALSE))="AKG",(VLOOKUP(Table1[[#This Row],[SKU]],'All Skus'!$A:$AC,24,FALSE)),"")))</f>
        <v/>
      </c>
      <c r="U214" s="151">
        <v>212</v>
      </c>
    </row>
    <row r="215" spans="1:21" ht="15" hidden="1" customHeight="1">
      <c r="A215" s="50" t="s">
        <v>371</v>
      </c>
      <c r="B215" s="52" t="str">
        <f>(IF((VLOOKUP(Table1[[#This Row],[SKU]],'All Skus'!$A:$AC,2,FALSE))="AKG",(VLOOKUP(Table1[[#This Row],[SKU]],'All Skus'!$A:$AC,3,FALSE)), ""))</f>
        <v>Wireless mics</v>
      </c>
      <c r="C215" s="60" t="str">
        <f>(IF((VLOOKUP(Table1[[#This Row],[SKU]],'All Skus'!$A:$AC,2,FALSE))="AKG",(VLOOKUP(Table1[[#This Row],[SKU]],'All Skus'!$A:$AC,4,FALSE)),""))</f>
        <v xml:space="preserve">WMS40MINI Vocal Set BD US25A </v>
      </c>
      <c r="D215" s="60" t="str">
        <f>(IF((VLOOKUP(Table1[[#This Row],[SKU]],'All Skus'!$A:$AC,2,FALSE))="AKG",(VLOOKUP(Table1[[#This Row],[SKU]],'All Skus'!$A:$AC,5,FALSE)),""))</f>
        <v>AT610000</v>
      </c>
      <c r="E215" s="60">
        <f>(IF((VLOOKUP(Table1[[#This Row],[SKU]],'All Skus'!$A:$AC,2,FALSE))="AKG",(VLOOKUP(Table1[[#This Row],[SKU]],'All Skus'!$A:$AC,6,FALSE)),""))</f>
        <v>0</v>
      </c>
      <c r="F215" s="60">
        <f>(IF((VLOOKUP(Table1[[#This Row],[SKU]],'All Skus'!$A:$AC,2,FALSE))="AKG",(VLOOKUP(Table1[[#This Row],[SKU]],'All Skus'!$A:$AC,7,FALSE)),""))</f>
        <v>0</v>
      </c>
      <c r="G215" s="45" t="str">
        <f>(IF((VLOOKUP(Table1[[#This Row],[SKU]],'All Skus'!$A:$AC,2,FALSE))="AKG",(VLOOKUP(Table1[[#This Row],[SKU]],'All Skus'!$A:$AC,8,FALSE)),""))</f>
        <v>Wireless Microphone System 40 Mini</v>
      </c>
      <c r="H215" s="45" t="str">
        <f>(IF((VLOOKUP(Table1[[#This Row],[SKU]],'All Skus'!$A:$AC,2,FALSE))="AKG",(VLOOKUP(Table1[[#This Row],[SKU]],'All Skus'!$A:$AC,9,FALSE)),""))</f>
        <v>Plug &amp; play wireless microphone system, including SR40 mini single channel receiver, 1x HT40 mini handheld transmitter, SMPS switched mode power supply (EU/US/UK/AU), 1x AA battery</v>
      </c>
      <c r="I215" s="141">
        <f>(IF((VLOOKUP(Table1[[#This Row],[SKU]],'All Skus'!$A:$AC,2,FALSE))="AKG",(VLOOKUP(Table1[[#This Row],[SKU]],'All Skus'!$A:$AC,10,FALSE)),""))</f>
        <v>148.86000000000001</v>
      </c>
      <c r="J215" s="141">
        <f>(IF((VLOOKUP(Table1[[#This Row],[SKU]],'All Skus'!$A:$AC,2,FALSE))="AKG",(VLOOKUP(Table1[[#This Row],[SKU]],'All Skus'!$A:$AC,11,FALSE)),""))</f>
        <v>119</v>
      </c>
      <c r="K215" s="125">
        <f>(IF((VLOOKUP(Table1[[#This Row],[SKU]],'All Skus'!$A:$AC,2,FALSE))="AKG",(VLOOKUP(Table1[[#This Row],[SKU]],'All Skus'!$A:$AC,15,FALSE)),""))</f>
        <v>12</v>
      </c>
      <c r="L215" s="124">
        <f>(IF((VLOOKUP(Table1[[#This Row],[SKU]],'All Skus'!$A:$AC,2,FALSE))="AKG",(VLOOKUP(Table1[[#This Row],[SKU]],'All Skus'!$A:$AC,16,FALSE)),""))</f>
        <v>885038038979</v>
      </c>
      <c r="M215" s="124" t="str">
        <f>(IF((VLOOKUP(Table1[[#This Row],[SKU]],'All Skus'!$A:$AC,2,FALSE))="AKG",(VLOOKUP(Table1[[#This Row],[SKU]],'All Skus'!$A:$AC,17,FALSE)),""))</f>
        <v>9002761038972</v>
      </c>
      <c r="N215" s="64">
        <f>(IF((VLOOKUP(Table1[[#This Row],[SKU]],'All Skus'!$A:$AC,2,FALSE))="AKG",(VLOOKUP(Table1[[#This Row],[SKU]],'All Skus'!$A:$AC,18,FALSE)),""))</f>
        <v>11.5</v>
      </c>
      <c r="O215" s="64">
        <f>(IF((VLOOKUP(Table1[[#This Row],[SKU]],'All Skus'!$A:$AC,2,FALSE))="AKG",(VLOOKUP(Table1[[#This Row],[SKU]],'All Skus'!$A:$AC,19,FALSE)),""))</f>
        <v>9.5</v>
      </c>
      <c r="P215" s="64">
        <f>(IF((VLOOKUP(Table1[[#This Row],[SKU]],'All Skus'!$A:$AC,2,FALSE))="AKG",(VLOOKUP(Table1[[#This Row],[SKU]],'All Skus'!$A:$AC,20,FALSE)),""))</f>
        <v>2.5</v>
      </c>
      <c r="Q215" s="64">
        <f>(IF((VLOOKUP(Table1[[#This Row],[SKU]],'All Skus'!$A:$AC,2,FALSE))="AKG",(VLOOKUP(Table1[[#This Row],[SKU]],'All Skus'!$A:$AC,21,FALSE)),""))</f>
        <v>2.34</v>
      </c>
      <c r="R215" s="64" t="str">
        <f>(IF((VLOOKUP(Table1[[#This Row],[SKU]],'All Skus'!$A:$AC,2,FALSE))="AKG",(VLOOKUP(Table1[[#This Row],[SKU]],'All Skus'!$A:$AC,22,FALSE)),""))</f>
        <v>CN</v>
      </c>
      <c r="S215" s="64" t="str">
        <f>(IF((VLOOKUP(Table1[[#This Row],[SKU]],'All Skus'!$A:$AC,2,FALSE))="AKG",(VLOOKUP(Table1[[#This Row],[SKU]],'All Skus'!$A:$AC,23,FALSE)),""))</f>
        <v>Non Compliant</v>
      </c>
      <c r="T215" s="210" t="str">
        <f>HYPERLINK((IF((VLOOKUP(Table1[[#This Row],[SKU]],'All Skus'!$A:$AC,2,FALSE))="AKG",(VLOOKUP(Table1[[#This Row],[SKU]],'All Skus'!$A:$AC,24,FALSE)),"")))</f>
        <v>https://www.akg.com/wireless/microfones-wireless/3347X00110.html</v>
      </c>
      <c r="U215" s="151">
        <v>213</v>
      </c>
    </row>
    <row r="216" spans="1:21" ht="15" hidden="1" customHeight="1">
      <c r="A216" s="50" t="s">
        <v>372</v>
      </c>
      <c r="B216" s="52" t="str">
        <f>(IF((VLOOKUP(Table1[[#This Row],[SKU]],'All Skus'!$A:$AC,2,FALSE))="AKG",(VLOOKUP(Table1[[#This Row],[SKU]],'All Skus'!$A:$AC,3,FALSE)), ""))</f>
        <v>Wireless mics</v>
      </c>
      <c r="C216" s="60" t="str">
        <f>(IF((VLOOKUP(Table1[[#This Row],[SKU]],'All Skus'!$A:$AC,2,FALSE))="AKG",(VLOOKUP(Table1[[#This Row],[SKU]],'All Skus'!$A:$AC,4,FALSE)),""))</f>
        <v xml:space="preserve">WMS40MINI Vocal Set BD US25B </v>
      </c>
      <c r="D216" s="60" t="str">
        <f>(IF((VLOOKUP(Table1[[#This Row],[SKU]],'All Skus'!$A:$AC,2,FALSE))="AKG",(VLOOKUP(Table1[[#This Row],[SKU]],'All Skus'!$A:$AC,5,FALSE)),""))</f>
        <v>AT610000</v>
      </c>
      <c r="E216" s="60">
        <f>(IF((VLOOKUP(Table1[[#This Row],[SKU]],'All Skus'!$A:$AC,2,FALSE))="AKG",(VLOOKUP(Table1[[#This Row],[SKU]],'All Skus'!$A:$AC,6,FALSE)),""))</f>
        <v>0</v>
      </c>
      <c r="F216" s="60">
        <f>(IF((VLOOKUP(Table1[[#This Row],[SKU]],'All Skus'!$A:$AC,2,FALSE))="AKG",(VLOOKUP(Table1[[#This Row],[SKU]],'All Skus'!$A:$AC,7,FALSE)),""))</f>
        <v>0</v>
      </c>
      <c r="G216" s="45" t="str">
        <f>(IF((VLOOKUP(Table1[[#This Row],[SKU]],'All Skus'!$A:$AC,2,FALSE))="AKG",(VLOOKUP(Table1[[#This Row],[SKU]],'All Skus'!$A:$AC,8,FALSE)),""))</f>
        <v>Wireless Microphone System 40 Mini</v>
      </c>
      <c r="H216" s="45" t="str">
        <f>(IF((VLOOKUP(Table1[[#This Row],[SKU]],'All Skus'!$A:$AC,2,FALSE))="AKG",(VLOOKUP(Table1[[#This Row],[SKU]],'All Skus'!$A:$AC,9,FALSE)),""))</f>
        <v>Plug &amp; play wireless microphone system, including SR40 mini single channel receiver, 1x HT40 mini handheld transmitter, SMPS switched mode power supply (EU/US/UK/AU), 1x AA battery</v>
      </c>
      <c r="I216" s="141">
        <f>(IF((VLOOKUP(Table1[[#This Row],[SKU]],'All Skus'!$A:$AC,2,FALSE))="AKG",(VLOOKUP(Table1[[#This Row],[SKU]],'All Skus'!$A:$AC,10,FALSE)),""))</f>
        <v>148.86000000000001</v>
      </c>
      <c r="J216" s="141">
        <f>(IF((VLOOKUP(Table1[[#This Row],[SKU]],'All Skus'!$A:$AC,2,FALSE))="AKG",(VLOOKUP(Table1[[#This Row],[SKU]],'All Skus'!$A:$AC,11,FALSE)),""))</f>
        <v>119</v>
      </c>
      <c r="K216" s="125">
        <f>(IF((VLOOKUP(Table1[[#This Row],[SKU]],'All Skus'!$A:$AC,2,FALSE))="AKG",(VLOOKUP(Table1[[#This Row],[SKU]],'All Skus'!$A:$AC,15,FALSE)),""))</f>
        <v>12</v>
      </c>
      <c r="L216" s="124">
        <f>(IF((VLOOKUP(Table1[[#This Row],[SKU]],'All Skus'!$A:$AC,2,FALSE))="AKG",(VLOOKUP(Table1[[#This Row],[SKU]],'All Skus'!$A:$AC,16,FALSE)),""))</f>
        <v>885038038986</v>
      </c>
      <c r="M216" s="124" t="str">
        <f>(IF((VLOOKUP(Table1[[#This Row],[SKU]],'All Skus'!$A:$AC,2,FALSE))="AKG",(VLOOKUP(Table1[[#This Row],[SKU]],'All Skus'!$A:$AC,17,FALSE)),""))</f>
        <v>9002761038989</v>
      </c>
      <c r="N216" s="64">
        <f>(IF((VLOOKUP(Table1[[#This Row],[SKU]],'All Skus'!$A:$AC,2,FALSE))="AKG",(VLOOKUP(Table1[[#This Row],[SKU]],'All Skus'!$A:$AC,18,FALSE)),""))</f>
        <v>11.5</v>
      </c>
      <c r="O216" s="64">
        <f>(IF((VLOOKUP(Table1[[#This Row],[SKU]],'All Skus'!$A:$AC,2,FALSE))="AKG",(VLOOKUP(Table1[[#This Row],[SKU]],'All Skus'!$A:$AC,19,FALSE)),""))</f>
        <v>9.5</v>
      </c>
      <c r="P216" s="64">
        <f>(IF((VLOOKUP(Table1[[#This Row],[SKU]],'All Skus'!$A:$AC,2,FALSE))="AKG",(VLOOKUP(Table1[[#This Row],[SKU]],'All Skus'!$A:$AC,20,FALSE)),""))</f>
        <v>2.5</v>
      </c>
      <c r="Q216" s="64">
        <f>(IF((VLOOKUP(Table1[[#This Row],[SKU]],'All Skus'!$A:$AC,2,FALSE))="AKG",(VLOOKUP(Table1[[#This Row],[SKU]],'All Skus'!$A:$AC,21,FALSE)),""))</f>
        <v>2.34</v>
      </c>
      <c r="R216" s="64" t="str">
        <f>(IF((VLOOKUP(Table1[[#This Row],[SKU]],'All Skus'!$A:$AC,2,FALSE))="AKG",(VLOOKUP(Table1[[#This Row],[SKU]],'All Skus'!$A:$AC,22,FALSE)),""))</f>
        <v>CN</v>
      </c>
      <c r="S216" s="64" t="str">
        <f>(IF((VLOOKUP(Table1[[#This Row],[SKU]],'All Skus'!$A:$AC,2,FALSE))="AKG",(VLOOKUP(Table1[[#This Row],[SKU]],'All Skus'!$A:$AC,23,FALSE)),""))</f>
        <v>Non Compliant</v>
      </c>
      <c r="T216" s="210" t="str">
        <f>HYPERLINK((IF((VLOOKUP(Table1[[#This Row],[SKU]],'All Skus'!$A:$AC,2,FALSE))="AKG",(VLOOKUP(Table1[[#This Row],[SKU]],'All Skus'!$A:$AC,24,FALSE)),"")))</f>
        <v>https://www.akg.com/wireless/microfones-wireless/3347X00120.html</v>
      </c>
      <c r="U216" s="151">
        <v>214</v>
      </c>
    </row>
    <row r="217" spans="1:21" ht="15" hidden="1" customHeight="1">
      <c r="A217" s="50" t="s">
        <v>373</v>
      </c>
      <c r="B217" s="52" t="str">
        <f>(IF((VLOOKUP(Table1[[#This Row],[SKU]],'All Skus'!$A:$AC,2,FALSE))="AKG",(VLOOKUP(Table1[[#This Row],[SKU]],'All Skus'!$A:$AC,3,FALSE)), ""))</f>
        <v>Wireless mics</v>
      </c>
      <c r="C217" s="60" t="str">
        <f>(IF((VLOOKUP(Table1[[#This Row],[SKU]],'All Skus'!$A:$AC,2,FALSE))="AKG",(VLOOKUP(Table1[[#This Row],[SKU]],'All Skus'!$A:$AC,4,FALSE)),""))</f>
        <v xml:space="preserve">WMS40MINI Vocal Set BD US25C </v>
      </c>
      <c r="D217" s="60" t="str">
        <f>(IF((VLOOKUP(Table1[[#This Row],[SKU]],'All Skus'!$A:$AC,2,FALSE))="AKG",(VLOOKUP(Table1[[#This Row],[SKU]],'All Skus'!$A:$AC,5,FALSE)),""))</f>
        <v>AT610000</v>
      </c>
      <c r="E217" s="60">
        <f>(IF((VLOOKUP(Table1[[#This Row],[SKU]],'All Skus'!$A:$AC,2,FALSE))="AKG",(VLOOKUP(Table1[[#This Row],[SKU]],'All Skus'!$A:$AC,6,FALSE)),""))</f>
        <v>0</v>
      </c>
      <c r="F217" s="60">
        <f>(IF((VLOOKUP(Table1[[#This Row],[SKU]],'All Skus'!$A:$AC,2,FALSE))="AKG",(VLOOKUP(Table1[[#This Row],[SKU]],'All Skus'!$A:$AC,7,FALSE)),""))</f>
        <v>0</v>
      </c>
      <c r="G217" s="45" t="str">
        <f>(IF((VLOOKUP(Table1[[#This Row],[SKU]],'All Skus'!$A:$AC,2,FALSE))="AKG",(VLOOKUP(Table1[[#This Row],[SKU]],'All Skus'!$A:$AC,8,FALSE)),""))</f>
        <v>Wireless Microphone System 40 Mini</v>
      </c>
      <c r="H217" s="45" t="str">
        <f>(IF((VLOOKUP(Table1[[#This Row],[SKU]],'All Skus'!$A:$AC,2,FALSE))="AKG",(VLOOKUP(Table1[[#This Row],[SKU]],'All Skus'!$A:$AC,9,FALSE)),""))</f>
        <v>Plug &amp; play wireless microphone system, including SR40 mini single channel receiver, 1x HT40 mini handheld transmitter, SMPS switched mode power supply (EU/US/UK/AU), 1x AA battery</v>
      </c>
      <c r="I217" s="141">
        <f>(IF((VLOOKUP(Table1[[#This Row],[SKU]],'All Skus'!$A:$AC,2,FALSE))="AKG",(VLOOKUP(Table1[[#This Row],[SKU]],'All Skus'!$A:$AC,10,FALSE)),""))</f>
        <v>155.91</v>
      </c>
      <c r="J217" s="141">
        <f>(IF((VLOOKUP(Table1[[#This Row],[SKU]],'All Skus'!$A:$AC,2,FALSE))="AKG",(VLOOKUP(Table1[[#This Row],[SKU]],'All Skus'!$A:$AC,11,FALSE)),""))</f>
        <v>119</v>
      </c>
      <c r="K217" s="125">
        <f>(IF((VLOOKUP(Table1[[#This Row],[SKU]],'All Skus'!$A:$AC,2,FALSE))="AKG",(VLOOKUP(Table1[[#This Row],[SKU]],'All Skus'!$A:$AC,15,FALSE)),""))</f>
        <v>12</v>
      </c>
      <c r="L217" s="124">
        <f>(IF((VLOOKUP(Table1[[#This Row],[SKU]],'All Skus'!$A:$AC,2,FALSE))="AKG",(VLOOKUP(Table1[[#This Row],[SKU]],'All Skus'!$A:$AC,16,FALSE)),""))</f>
        <v>885038038993</v>
      </c>
      <c r="M217" s="124" t="str">
        <f>(IF((VLOOKUP(Table1[[#This Row],[SKU]],'All Skus'!$A:$AC,2,FALSE))="AKG",(VLOOKUP(Table1[[#This Row],[SKU]],'All Skus'!$A:$AC,17,FALSE)),""))</f>
        <v>9002761038996</v>
      </c>
      <c r="N217" s="64">
        <f>(IF((VLOOKUP(Table1[[#This Row],[SKU]],'All Skus'!$A:$AC,2,FALSE))="AKG",(VLOOKUP(Table1[[#This Row],[SKU]],'All Skus'!$A:$AC,18,FALSE)),""))</f>
        <v>11.5</v>
      </c>
      <c r="O217" s="64">
        <f>(IF((VLOOKUP(Table1[[#This Row],[SKU]],'All Skus'!$A:$AC,2,FALSE))="AKG",(VLOOKUP(Table1[[#This Row],[SKU]],'All Skus'!$A:$AC,19,FALSE)),""))</f>
        <v>9.5</v>
      </c>
      <c r="P217" s="64">
        <f>(IF((VLOOKUP(Table1[[#This Row],[SKU]],'All Skus'!$A:$AC,2,FALSE))="AKG",(VLOOKUP(Table1[[#This Row],[SKU]],'All Skus'!$A:$AC,20,FALSE)),""))</f>
        <v>2.5</v>
      </c>
      <c r="Q217" s="64">
        <f>(IF((VLOOKUP(Table1[[#This Row],[SKU]],'All Skus'!$A:$AC,2,FALSE))="AKG",(VLOOKUP(Table1[[#This Row],[SKU]],'All Skus'!$A:$AC,21,FALSE)),""))</f>
        <v>2.34</v>
      </c>
      <c r="R217" s="64" t="str">
        <f>(IF((VLOOKUP(Table1[[#This Row],[SKU]],'All Skus'!$A:$AC,2,FALSE))="AKG",(VLOOKUP(Table1[[#This Row],[SKU]],'All Skus'!$A:$AC,22,FALSE)),""))</f>
        <v>CN</v>
      </c>
      <c r="S217" s="64" t="str">
        <f>(IF((VLOOKUP(Table1[[#This Row],[SKU]],'All Skus'!$A:$AC,2,FALSE))="AKG",(VLOOKUP(Table1[[#This Row],[SKU]],'All Skus'!$A:$AC,23,FALSE)),""))</f>
        <v>Non Compliant</v>
      </c>
      <c r="T217" s="210" t="str">
        <f>HYPERLINK((IF((VLOOKUP(Table1[[#This Row],[SKU]],'All Skus'!$A:$AC,2,FALSE))="AKG",(VLOOKUP(Table1[[#This Row],[SKU]],'All Skus'!$A:$AC,24,FALSE)),"")))</f>
        <v>https://www.akg.com/wireless/microfones-wireless/3347X00130.html</v>
      </c>
      <c r="U217" s="151">
        <v>215</v>
      </c>
    </row>
    <row r="218" spans="1:21" ht="15" hidden="1" customHeight="1">
      <c r="A218" s="50" t="s">
        <v>374</v>
      </c>
      <c r="B218" s="52" t="str">
        <f>(IF((VLOOKUP(Table1[[#This Row],[SKU]],'All Skus'!$A:$AC,2,FALSE))="AKG",(VLOOKUP(Table1[[#This Row],[SKU]],'All Skus'!$A:$AC,3,FALSE)), ""))</f>
        <v>Wireless mics</v>
      </c>
      <c r="C218" s="60" t="str">
        <f>(IF((VLOOKUP(Table1[[#This Row],[SKU]],'All Skus'!$A:$AC,2,FALSE))="AKG",(VLOOKUP(Table1[[#This Row],[SKU]],'All Skus'!$A:$AC,4,FALSE)),""))</f>
        <v xml:space="preserve">WMS40MINI Vocal Set BD US25D </v>
      </c>
      <c r="D218" s="60" t="str">
        <f>(IF((VLOOKUP(Table1[[#This Row],[SKU]],'All Skus'!$A:$AC,2,FALSE))="AKG",(VLOOKUP(Table1[[#This Row],[SKU]],'All Skus'!$A:$AC,5,FALSE)),""))</f>
        <v>AT610000</v>
      </c>
      <c r="E218" s="60">
        <f>(IF((VLOOKUP(Table1[[#This Row],[SKU]],'All Skus'!$A:$AC,2,FALSE))="AKG",(VLOOKUP(Table1[[#This Row],[SKU]],'All Skus'!$A:$AC,6,FALSE)),""))</f>
        <v>0</v>
      </c>
      <c r="F218" s="60">
        <f>(IF((VLOOKUP(Table1[[#This Row],[SKU]],'All Skus'!$A:$AC,2,FALSE))="AKG",(VLOOKUP(Table1[[#This Row],[SKU]],'All Skus'!$A:$AC,7,FALSE)),""))</f>
        <v>0</v>
      </c>
      <c r="G218" s="45" t="str">
        <f>(IF((VLOOKUP(Table1[[#This Row],[SKU]],'All Skus'!$A:$AC,2,FALSE))="AKG",(VLOOKUP(Table1[[#This Row],[SKU]],'All Skus'!$A:$AC,8,FALSE)),""))</f>
        <v>Wireless Microphone System 40 Mini</v>
      </c>
      <c r="H218" s="45" t="str">
        <f>(IF((VLOOKUP(Table1[[#This Row],[SKU]],'All Skus'!$A:$AC,2,FALSE))="AKG",(VLOOKUP(Table1[[#This Row],[SKU]],'All Skus'!$A:$AC,9,FALSE)),""))</f>
        <v>Plug &amp; play wireless microphone system, including SR40 mini single channel receiver, 1x HT40 mini handheld transmitter, SMPS switched mode power supply (EU/US/UK/AU), 1x AA battery</v>
      </c>
      <c r="I218" s="141">
        <f>(IF((VLOOKUP(Table1[[#This Row],[SKU]],'All Skus'!$A:$AC,2,FALSE))="AKG",(VLOOKUP(Table1[[#This Row],[SKU]],'All Skus'!$A:$AC,10,FALSE)),""))</f>
        <v>118.85</v>
      </c>
      <c r="J218" s="141">
        <f>(IF((VLOOKUP(Table1[[#This Row],[SKU]],'All Skus'!$A:$AC,2,FALSE))="AKG",(VLOOKUP(Table1[[#This Row],[SKU]],'All Skus'!$A:$AC,11,FALSE)),""))</f>
        <v>118.85</v>
      </c>
      <c r="K218" s="125">
        <f>(IF((VLOOKUP(Table1[[#This Row],[SKU]],'All Skus'!$A:$AC,2,FALSE))="AKG",(VLOOKUP(Table1[[#This Row],[SKU]],'All Skus'!$A:$AC,15,FALSE)),""))</f>
        <v>12</v>
      </c>
      <c r="L218" s="124">
        <f>(IF((VLOOKUP(Table1[[#This Row],[SKU]],'All Skus'!$A:$AC,2,FALSE))="AKG",(VLOOKUP(Table1[[#This Row],[SKU]],'All Skus'!$A:$AC,16,FALSE)),""))</f>
        <v>885038039006</v>
      </c>
      <c r="M218" s="124" t="str">
        <f>(IF((VLOOKUP(Table1[[#This Row],[SKU]],'All Skus'!$A:$AC,2,FALSE))="AKG",(VLOOKUP(Table1[[#This Row],[SKU]],'All Skus'!$A:$AC,17,FALSE)),""))</f>
        <v>9002761039009</v>
      </c>
      <c r="N218" s="64">
        <f>(IF((VLOOKUP(Table1[[#This Row],[SKU]],'All Skus'!$A:$AC,2,FALSE))="AKG",(VLOOKUP(Table1[[#This Row],[SKU]],'All Skus'!$A:$AC,18,FALSE)),""))</f>
        <v>11.5</v>
      </c>
      <c r="O218" s="64">
        <f>(IF((VLOOKUP(Table1[[#This Row],[SKU]],'All Skus'!$A:$AC,2,FALSE))="AKG",(VLOOKUP(Table1[[#This Row],[SKU]],'All Skus'!$A:$AC,19,FALSE)),""))</f>
        <v>9.5</v>
      </c>
      <c r="P218" s="64">
        <f>(IF((VLOOKUP(Table1[[#This Row],[SKU]],'All Skus'!$A:$AC,2,FALSE))="AKG",(VLOOKUP(Table1[[#This Row],[SKU]],'All Skus'!$A:$AC,20,FALSE)),""))</f>
        <v>2.5</v>
      </c>
      <c r="Q218" s="64">
        <f>(IF((VLOOKUP(Table1[[#This Row],[SKU]],'All Skus'!$A:$AC,2,FALSE))="AKG",(VLOOKUP(Table1[[#This Row],[SKU]],'All Skus'!$A:$AC,21,FALSE)),""))</f>
        <v>2.34</v>
      </c>
      <c r="R218" s="64" t="str">
        <f>(IF((VLOOKUP(Table1[[#This Row],[SKU]],'All Skus'!$A:$AC,2,FALSE))="AKG",(VLOOKUP(Table1[[#This Row],[SKU]],'All Skus'!$A:$AC,22,FALSE)),""))</f>
        <v>CN</v>
      </c>
      <c r="S218" s="64" t="str">
        <f>(IF((VLOOKUP(Table1[[#This Row],[SKU]],'All Skus'!$A:$AC,2,FALSE))="AKG",(VLOOKUP(Table1[[#This Row],[SKU]],'All Skus'!$A:$AC,23,FALSE)),""))</f>
        <v>Non Compliant</v>
      </c>
      <c r="T218" s="210" t="str">
        <f>HYPERLINK((IF((VLOOKUP(Table1[[#This Row],[SKU]],'All Skus'!$A:$AC,2,FALSE))="AKG",(VLOOKUP(Table1[[#This Row],[SKU]],'All Skus'!$A:$AC,24,FALSE)),"")))</f>
        <v>https://www.akg.com/Wireless/wireless-components/3347X00140.html</v>
      </c>
      <c r="U218" s="151">
        <v>216</v>
      </c>
    </row>
    <row r="219" spans="1:21" ht="15" hidden="1" customHeight="1">
      <c r="A219" s="48" t="s">
        <v>375</v>
      </c>
      <c r="B219" s="52" t="str">
        <f>(IF((VLOOKUP(Table1[[#This Row],[SKU]],'All Skus'!$A:$AC,2,FALSE))="AKG",(VLOOKUP(Table1[[#This Row],[SKU]],'All Skus'!$A:$AC,3,FALSE)), ""))</f>
        <v>Wireless mics</v>
      </c>
      <c r="C219" s="60" t="str">
        <f>(IF((VLOOKUP(Table1[[#This Row],[SKU]],'All Skus'!$A:$AC,2,FALSE))="AKG",(VLOOKUP(Table1[[#This Row],[SKU]],'All Skus'!$A:$AC,4,FALSE)),""))</f>
        <v xml:space="preserve">WMS40MINI Instrumental Set BD US25A </v>
      </c>
      <c r="D219" s="60" t="str">
        <f>(IF((VLOOKUP(Table1[[#This Row],[SKU]],'All Skus'!$A:$AC,2,FALSE))="AKG",(VLOOKUP(Table1[[#This Row],[SKU]],'All Skus'!$A:$AC,5,FALSE)),""))</f>
        <v>AT610000</v>
      </c>
      <c r="E219" s="60">
        <f>(IF((VLOOKUP(Table1[[#This Row],[SKU]],'All Skus'!$A:$AC,2,FALSE))="AKG",(VLOOKUP(Table1[[#This Row],[SKU]],'All Skus'!$A:$AC,6,FALSE)),""))</f>
        <v>0</v>
      </c>
      <c r="F219" s="60">
        <f>(IF((VLOOKUP(Table1[[#This Row],[SKU]],'All Skus'!$A:$AC,2,FALSE))="AKG",(VLOOKUP(Table1[[#This Row],[SKU]],'All Skus'!$A:$AC,7,FALSE)),""))</f>
        <v>0</v>
      </c>
      <c r="G219" s="45" t="str">
        <f>(IF((VLOOKUP(Table1[[#This Row],[SKU]],'All Skus'!$A:$AC,2,FALSE))="AKG",(VLOOKUP(Table1[[#This Row],[SKU]],'All Skus'!$A:$AC,8,FALSE)),""))</f>
        <v>Wireless Microphone System 40 Mini</v>
      </c>
      <c r="H219" s="45" t="str">
        <f>(IF((VLOOKUP(Table1[[#This Row],[SKU]],'All Skus'!$A:$AC,2,FALSE))="AKG",(VLOOKUP(Table1[[#This Row],[SKU]],'All Skus'!$A:$AC,9,FALSE)),""))</f>
        <v>Plug &amp; play wireless microphone system, including SR40 mini single channel receiver, 1x PT40 mini pocket transmitter, 1x instrument cable, SMPS switched mode power supply (EU/US/UK/AU), 1x AA batteries</v>
      </c>
      <c r="I219" s="141">
        <f>(IF((VLOOKUP(Table1[[#This Row],[SKU]],'All Skus'!$A:$AC,2,FALSE))="AKG",(VLOOKUP(Table1[[#This Row],[SKU]],'All Skus'!$A:$AC,10,FALSE)),""))</f>
        <v>155.91</v>
      </c>
      <c r="J219" s="141">
        <f>(IF((VLOOKUP(Table1[[#This Row],[SKU]],'All Skus'!$A:$AC,2,FALSE))="AKG",(VLOOKUP(Table1[[#This Row],[SKU]],'All Skus'!$A:$AC,11,FALSE)),""))</f>
        <v>140</v>
      </c>
      <c r="K219" s="125">
        <f>(IF((VLOOKUP(Table1[[#This Row],[SKU]],'All Skus'!$A:$AC,2,FALSE))="AKG",(VLOOKUP(Table1[[#This Row],[SKU]],'All Skus'!$A:$AC,15,FALSE)),""))</f>
        <v>12</v>
      </c>
      <c r="L219" s="124">
        <f>(IF((VLOOKUP(Table1[[#This Row],[SKU]],'All Skus'!$A:$AC,2,FALSE))="AKG",(VLOOKUP(Table1[[#This Row],[SKU]],'All Skus'!$A:$AC,16,FALSE)),""))</f>
        <v>885038038931</v>
      </c>
      <c r="M219" s="124" t="str">
        <f>(IF((VLOOKUP(Table1[[#This Row],[SKU]],'All Skus'!$A:$AC,2,FALSE))="AKG",(VLOOKUP(Table1[[#This Row],[SKU]],'All Skus'!$A:$AC,17,FALSE)),""))</f>
        <v>9002761038934</v>
      </c>
      <c r="N219" s="64">
        <f>(IF((VLOOKUP(Table1[[#This Row],[SKU]],'All Skus'!$A:$AC,2,FALSE))="AKG",(VLOOKUP(Table1[[#This Row],[SKU]],'All Skus'!$A:$AC,18,FALSE)),""))</f>
        <v>9</v>
      </c>
      <c r="O219" s="64">
        <f>(IF((VLOOKUP(Table1[[#This Row],[SKU]],'All Skus'!$A:$AC,2,FALSE))="AKG",(VLOOKUP(Table1[[#This Row],[SKU]],'All Skus'!$A:$AC,19,FALSE)),""))</f>
        <v>12</v>
      </c>
      <c r="P219" s="64">
        <f>(IF((VLOOKUP(Table1[[#This Row],[SKU]],'All Skus'!$A:$AC,2,FALSE))="AKG",(VLOOKUP(Table1[[#This Row],[SKU]],'All Skus'!$A:$AC,20,FALSE)),""))</f>
        <v>2.5</v>
      </c>
      <c r="Q219" s="64">
        <f>(IF((VLOOKUP(Table1[[#This Row],[SKU]],'All Skus'!$A:$AC,2,FALSE))="AKG",(VLOOKUP(Table1[[#This Row],[SKU]],'All Skus'!$A:$AC,21,FALSE)),""))</f>
        <v>2.34</v>
      </c>
      <c r="R219" s="64" t="str">
        <f>(IF((VLOOKUP(Table1[[#This Row],[SKU]],'All Skus'!$A:$AC,2,FALSE))="AKG",(VLOOKUP(Table1[[#This Row],[SKU]],'All Skus'!$A:$AC,22,FALSE)),""))</f>
        <v>CN</v>
      </c>
      <c r="S219" s="64" t="str">
        <f>(IF((VLOOKUP(Table1[[#This Row],[SKU]],'All Skus'!$A:$AC,2,FALSE))="AKG",(VLOOKUP(Table1[[#This Row],[SKU]],'All Skus'!$A:$AC,23,FALSE)),""))</f>
        <v>Non Compliant</v>
      </c>
      <c r="T219" s="210" t="str">
        <f>HYPERLINK((IF((VLOOKUP(Table1[[#This Row],[SKU]],'All Skus'!$A:$AC,2,FALSE))="AKG",(VLOOKUP(Table1[[#This Row],[SKU]],'All Skus'!$A:$AC,24,FALSE)),"")))</f>
        <v>https://www.akg.com/wireless/microfones-wireless/3348H00110.html</v>
      </c>
      <c r="U219" s="151">
        <v>217</v>
      </c>
    </row>
    <row r="220" spans="1:21" ht="15" hidden="1" customHeight="1">
      <c r="A220" s="48" t="s">
        <v>376</v>
      </c>
      <c r="B220" s="52" t="str">
        <f>(IF((VLOOKUP(Table1[[#This Row],[SKU]],'All Skus'!$A:$AC,2,FALSE))="AKG",(VLOOKUP(Table1[[#This Row],[SKU]],'All Skus'!$A:$AC,3,FALSE)), ""))</f>
        <v>Wireless mics</v>
      </c>
      <c r="C220" s="60" t="str">
        <f>(IF((VLOOKUP(Table1[[#This Row],[SKU]],'All Skus'!$A:$AC,2,FALSE))="AKG",(VLOOKUP(Table1[[#This Row],[SKU]],'All Skus'!$A:$AC,4,FALSE)),""))</f>
        <v xml:space="preserve">WMS40MINI Instrumetnal Set BD US25B </v>
      </c>
      <c r="D220" s="60" t="str">
        <f>(IF((VLOOKUP(Table1[[#This Row],[SKU]],'All Skus'!$A:$AC,2,FALSE))="AKG",(VLOOKUP(Table1[[#This Row],[SKU]],'All Skus'!$A:$AC,5,FALSE)),""))</f>
        <v>AT610000</v>
      </c>
      <c r="E220" s="60">
        <f>(IF((VLOOKUP(Table1[[#This Row],[SKU]],'All Skus'!$A:$AC,2,FALSE))="AKG",(VLOOKUP(Table1[[#This Row],[SKU]],'All Skus'!$A:$AC,6,FALSE)),""))</f>
        <v>0</v>
      </c>
      <c r="F220" s="60">
        <f>(IF((VLOOKUP(Table1[[#This Row],[SKU]],'All Skus'!$A:$AC,2,FALSE))="AKG",(VLOOKUP(Table1[[#This Row],[SKU]],'All Skus'!$A:$AC,7,FALSE)),""))</f>
        <v>0</v>
      </c>
      <c r="G220" s="45" t="str">
        <f>(IF((VLOOKUP(Table1[[#This Row],[SKU]],'All Skus'!$A:$AC,2,FALSE))="AKG",(VLOOKUP(Table1[[#This Row],[SKU]],'All Skus'!$A:$AC,8,FALSE)),""))</f>
        <v>Wireless Microphone System 40 Mini</v>
      </c>
      <c r="H220" s="45" t="str">
        <f>(IF((VLOOKUP(Table1[[#This Row],[SKU]],'All Skus'!$A:$AC,2,FALSE))="AKG",(VLOOKUP(Table1[[#This Row],[SKU]],'All Skus'!$A:$AC,9,FALSE)),""))</f>
        <v>Plug &amp; play wireless microphone system, including SR40 mini single channel receiver, 1x PT40 mini pocket transmitter, 1x instrument cable, SMPS switched mode power supply (EU/US/UK/AU), 1x AA batteries</v>
      </c>
      <c r="I220" s="141">
        <f>(IF((VLOOKUP(Table1[[#This Row],[SKU]],'All Skus'!$A:$AC,2,FALSE))="AKG",(VLOOKUP(Table1[[#This Row],[SKU]],'All Skus'!$A:$AC,10,FALSE)),""))</f>
        <v>155.91</v>
      </c>
      <c r="J220" s="141">
        <f>(IF((VLOOKUP(Table1[[#This Row],[SKU]],'All Skus'!$A:$AC,2,FALSE))="AKG",(VLOOKUP(Table1[[#This Row],[SKU]],'All Skus'!$A:$AC,11,FALSE)),""))</f>
        <v>140</v>
      </c>
      <c r="K220" s="125">
        <f>(IF((VLOOKUP(Table1[[#This Row],[SKU]],'All Skus'!$A:$AC,2,FALSE))="AKG",(VLOOKUP(Table1[[#This Row],[SKU]],'All Skus'!$A:$AC,15,FALSE)),""))</f>
        <v>12</v>
      </c>
      <c r="L220" s="124">
        <f>(IF((VLOOKUP(Table1[[#This Row],[SKU]],'All Skus'!$A:$AC,2,FALSE))="AKG",(VLOOKUP(Table1[[#This Row],[SKU]],'All Skus'!$A:$AC,16,FALSE)),""))</f>
        <v>885038038948</v>
      </c>
      <c r="M220" s="124" t="str">
        <f>(IF((VLOOKUP(Table1[[#This Row],[SKU]],'All Skus'!$A:$AC,2,FALSE))="AKG",(VLOOKUP(Table1[[#This Row],[SKU]],'All Skus'!$A:$AC,17,FALSE)),""))</f>
        <v>9002761038941</v>
      </c>
      <c r="N220" s="64">
        <f>(IF((VLOOKUP(Table1[[#This Row],[SKU]],'All Skus'!$A:$AC,2,FALSE))="AKG",(VLOOKUP(Table1[[#This Row],[SKU]],'All Skus'!$A:$AC,18,FALSE)),""))</f>
        <v>11.5</v>
      </c>
      <c r="O220" s="64">
        <f>(IF((VLOOKUP(Table1[[#This Row],[SKU]],'All Skus'!$A:$AC,2,FALSE))="AKG",(VLOOKUP(Table1[[#This Row],[SKU]],'All Skus'!$A:$AC,19,FALSE)),""))</f>
        <v>9.5</v>
      </c>
      <c r="P220" s="64">
        <f>(IF((VLOOKUP(Table1[[#This Row],[SKU]],'All Skus'!$A:$AC,2,FALSE))="AKG",(VLOOKUP(Table1[[#This Row],[SKU]],'All Skus'!$A:$AC,20,FALSE)),""))</f>
        <v>2.5</v>
      </c>
      <c r="Q220" s="64">
        <f>(IF((VLOOKUP(Table1[[#This Row],[SKU]],'All Skus'!$A:$AC,2,FALSE))="AKG",(VLOOKUP(Table1[[#This Row],[SKU]],'All Skus'!$A:$AC,21,FALSE)),""))</f>
        <v>2.34</v>
      </c>
      <c r="R220" s="64" t="str">
        <f>(IF((VLOOKUP(Table1[[#This Row],[SKU]],'All Skus'!$A:$AC,2,FALSE))="AKG",(VLOOKUP(Table1[[#This Row],[SKU]],'All Skus'!$A:$AC,22,FALSE)),""))</f>
        <v>CN</v>
      </c>
      <c r="S220" s="64" t="str">
        <f>(IF((VLOOKUP(Table1[[#This Row],[SKU]],'All Skus'!$A:$AC,2,FALSE))="AKG",(VLOOKUP(Table1[[#This Row],[SKU]],'All Skus'!$A:$AC,23,FALSE)),""))</f>
        <v>Non Compliant</v>
      </c>
      <c r="T220" s="210" t="str">
        <f>HYPERLINK((IF((VLOOKUP(Table1[[#This Row],[SKU]],'All Skus'!$A:$AC,2,FALSE))="AKG",(VLOOKUP(Table1[[#This Row],[SKU]],'All Skus'!$A:$AC,24,FALSE)),"")))</f>
        <v>https://www.akg.com/Wireless/wireless-components/3348H00120.html</v>
      </c>
      <c r="U220" s="151">
        <v>218</v>
      </c>
    </row>
    <row r="221" spans="1:21" ht="15" hidden="1" customHeight="1">
      <c r="A221" s="48" t="s">
        <v>377</v>
      </c>
      <c r="B221" s="52" t="str">
        <f>(IF((VLOOKUP(Table1[[#This Row],[SKU]],'All Skus'!$A:$AC,2,FALSE))="AKG",(VLOOKUP(Table1[[#This Row],[SKU]],'All Skus'!$A:$AC,3,FALSE)), ""))</f>
        <v>Wireless mics</v>
      </c>
      <c r="C221" s="60" t="str">
        <f>(IF((VLOOKUP(Table1[[#This Row],[SKU]],'All Skus'!$A:$AC,2,FALSE))="AKG",(VLOOKUP(Table1[[#This Row],[SKU]],'All Skus'!$A:$AC,4,FALSE)),""))</f>
        <v xml:space="preserve">WMS40MINI Instrumental Set BD US25C </v>
      </c>
      <c r="D221" s="60" t="str">
        <f>(IF((VLOOKUP(Table1[[#This Row],[SKU]],'All Skus'!$A:$AC,2,FALSE))="AKG",(VLOOKUP(Table1[[#This Row],[SKU]],'All Skus'!$A:$AC,5,FALSE)),""))</f>
        <v>AT610000</v>
      </c>
      <c r="E221" s="60">
        <f>(IF((VLOOKUP(Table1[[#This Row],[SKU]],'All Skus'!$A:$AC,2,FALSE))="AKG",(VLOOKUP(Table1[[#This Row],[SKU]],'All Skus'!$A:$AC,6,FALSE)),""))</f>
        <v>0</v>
      </c>
      <c r="F221" s="60">
        <f>(IF((VLOOKUP(Table1[[#This Row],[SKU]],'All Skus'!$A:$AC,2,FALSE))="AKG",(VLOOKUP(Table1[[#This Row],[SKU]],'All Skus'!$A:$AC,7,FALSE)),""))</f>
        <v>0</v>
      </c>
      <c r="G221" s="45" t="str">
        <f>(IF((VLOOKUP(Table1[[#This Row],[SKU]],'All Skus'!$A:$AC,2,FALSE))="AKG",(VLOOKUP(Table1[[#This Row],[SKU]],'All Skus'!$A:$AC,8,FALSE)),""))</f>
        <v>Wireless Microphone System 40 Mini</v>
      </c>
      <c r="H221" s="45" t="str">
        <f>(IF((VLOOKUP(Table1[[#This Row],[SKU]],'All Skus'!$A:$AC,2,FALSE))="AKG",(VLOOKUP(Table1[[#This Row],[SKU]],'All Skus'!$A:$AC,9,FALSE)),""))</f>
        <v>Plug &amp; play wireless microphone system, including SR40 mini single channel receiver, 1x PT40 mini pocket transmitter, 1x instrument cable, SMPS switched mode power supply (EU/US/UK/AU), 1x AA batteries</v>
      </c>
      <c r="I221" s="141">
        <f>(IF((VLOOKUP(Table1[[#This Row],[SKU]],'All Skus'!$A:$AC,2,FALSE))="AKG",(VLOOKUP(Table1[[#This Row],[SKU]],'All Skus'!$A:$AC,10,FALSE)),""))</f>
        <v>155.91</v>
      </c>
      <c r="J221" s="141">
        <f>(IF((VLOOKUP(Table1[[#This Row],[SKU]],'All Skus'!$A:$AC,2,FALSE))="AKG",(VLOOKUP(Table1[[#This Row],[SKU]],'All Skus'!$A:$AC,11,FALSE)),""))</f>
        <v>140</v>
      </c>
      <c r="K221" s="125">
        <f>(IF((VLOOKUP(Table1[[#This Row],[SKU]],'All Skus'!$A:$AC,2,FALSE))="AKG",(VLOOKUP(Table1[[#This Row],[SKU]],'All Skus'!$A:$AC,15,FALSE)),""))</f>
        <v>12</v>
      </c>
      <c r="L221" s="124">
        <f>(IF((VLOOKUP(Table1[[#This Row],[SKU]],'All Skus'!$A:$AC,2,FALSE))="AKG",(VLOOKUP(Table1[[#This Row],[SKU]],'All Skus'!$A:$AC,16,FALSE)),""))</f>
        <v>885038038955</v>
      </c>
      <c r="M221" s="124" t="str">
        <f>(IF((VLOOKUP(Table1[[#This Row],[SKU]],'All Skus'!$A:$AC,2,FALSE))="AKG",(VLOOKUP(Table1[[#This Row],[SKU]],'All Skus'!$A:$AC,17,FALSE)),""))</f>
        <v>9002761038958</v>
      </c>
      <c r="N221" s="64">
        <f>(IF((VLOOKUP(Table1[[#This Row],[SKU]],'All Skus'!$A:$AC,2,FALSE))="AKG",(VLOOKUP(Table1[[#This Row],[SKU]],'All Skus'!$A:$AC,18,FALSE)),""))</f>
        <v>11.5</v>
      </c>
      <c r="O221" s="64">
        <f>(IF((VLOOKUP(Table1[[#This Row],[SKU]],'All Skus'!$A:$AC,2,FALSE))="AKG",(VLOOKUP(Table1[[#This Row],[SKU]],'All Skus'!$A:$AC,19,FALSE)),""))</f>
        <v>9.5</v>
      </c>
      <c r="P221" s="64">
        <f>(IF((VLOOKUP(Table1[[#This Row],[SKU]],'All Skus'!$A:$AC,2,FALSE))="AKG",(VLOOKUP(Table1[[#This Row],[SKU]],'All Skus'!$A:$AC,20,FALSE)),""))</f>
        <v>2.5</v>
      </c>
      <c r="Q221" s="64">
        <f>(IF((VLOOKUP(Table1[[#This Row],[SKU]],'All Skus'!$A:$AC,2,FALSE))="AKG",(VLOOKUP(Table1[[#This Row],[SKU]],'All Skus'!$A:$AC,21,FALSE)),""))</f>
        <v>2.34</v>
      </c>
      <c r="R221" s="64" t="str">
        <f>(IF((VLOOKUP(Table1[[#This Row],[SKU]],'All Skus'!$A:$AC,2,FALSE))="AKG",(VLOOKUP(Table1[[#This Row],[SKU]],'All Skus'!$A:$AC,22,FALSE)),""))</f>
        <v>CN</v>
      </c>
      <c r="S221" s="64" t="str">
        <f>(IF((VLOOKUP(Table1[[#This Row],[SKU]],'All Skus'!$A:$AC,2,FALSE))="AKG",(VLOOKUP(Table1[[#This Row],[SKU]],'All Skus'!$A:$AC,23,FALSE)),""))</f>
        <v>Non Compliant</v>
      </c>
      <c r="T221" s="210" t="str">
        <f>HYPERLINK((IF((VLOOKUP(Table1[[#This Row],[SKU]],'All Skus'!$A:$AC,2,FALSE))="AKG",(VLOOKUP(Table1[[#This Row],[SKU]],'All Skus'!$A:$AC,24,FALSE)),"")))</f>
        <v>https://www.akg.com/Wireless/wireless-components/3348H00130.html</v>
      </c>
      <c r="U221" s="151">
        <v>219</v>
      </c>
    </row>
    <row r="222" spans="1:21" ht="15" hidden="1" customHeight="1">
      <c r="A222" s="50" t="s">
        <v>378</v>
      </c>
      <c r="B222" s="52" t="str">
        <f>(IF((VLOOKUP(Table1[[#This Row],[SKU]],'All Skus'!$A:$AC,2,FALSE))="AKG",(VLOOKUP(Table1[[#This Row],[SKU]],'All Skus'!$A:$AC,3,FALSE)), ""))</f>
        <v>Wireless mics</v>
      </c>
      <c r="C222" s="60" t="str">
        <f>(IF((VLOOKUP(Table1[[#This Row],[SKU]],'All Skus'!$A:$AC,2,FALSE))="AKG",(VLOOKUP(Table1[[#This Row],[SKU]],'All Skus'!$A:$AC,4,FALSE)),""))</f>
        <v xml:space="preserve">WMS40MINI Instrumental Set BD US25D </v>
      </c>
      <c r="D222" s="60" t="str">
        <f>(IF((VLOOKUP(Table1[[#This Row],[SKU]],'All Skus'!$A:$AC,2,FALSE))="AKG",(VLOOKUP(Table1[[#This Row],[SKU]],'All Skus'!$A:$AC,5,FALSE)),""))</f>
        <v>AT610000</v>
      </c>
      <c r="E222" s="60">
        <f>(IF((VLOOKUP(Table1[[#This Row],[SKU]],'All Skus'!$A:$AC,2,FALSE))="AKG",(VLOOKUP(Table1[[#This Row],[SKU]],'All Skus'!$A:$AC,6,FALSE)),""))</f>
        <v>0</v>
      </c>
      <c r="F222" s="60">
        <f>(IF((VLOOKUP(Table1[[#This Row],[SKU]],'All Skus'!$A:$AC,2,FALSE))="AKG",(VLOOKUP(Table1[[#This Row],[SKU]],'All Skus'!$A:$AC,7,FALSE)),""))</f>
        <v>0</v>
      </c>
      <c r="G222" s="45" t="str">
        <f>(IF((VLOOKUP(Table1[[#This Row],[SKU]],'All Skus'!$A:$AC,2,FALSE))="AKG",(VLOOKUP(Table1[[#This Row],[SKU]],'All Skus'!$A:$AC,8,FALSE)),""))</f>
        <v>Wireless Microphone System 40 Mini</v>
      </c>
      <c r="H222" s="45" t="str">
        <f>(IF((VLOOKUP(Table1[[#This Row],[SKU]],'All Skus'!$A:$AC,2,FALSE))="AKG",(VLOOKUP(Table1[[#This Row],[SKU]],'All Skus'!$A:$AC,9,FALSE)),""))</f>
        <v>Plug &amp; play wireless microphone system, including SR40 mini single channel receiver, 1x PT40 mini pocket transmitter, 1x instrument cable, SMPS switched mode power supply (EU/US/UK/AU), 1x AA batteries</v>
      </c>
      <c r="I222" s="141">
        <f>(IF((VLOOKUP(Table1[[#This Row],[SKU]],'All Skus'!$A:$AC,2,FALSE))="AKG",(VLOOKUP(Table1[[#This Row],[SKU]],'All Skus'!$A:$AC,10,FALSE)),""))</f>
        <v>155.91</v>
      </c>
      <c r="J222" s="141">
        <f>(IF((VLOOKUP(Table1[[#This Row],[SKU]],'All Skus'!$A:$AC,2,FALSE))="AKG",(VLOOKUP(Table1[[#This Row],[SKU]],'All Skus'!$A:$AC,11,FALSE)),""))</f>
        <v>140</v>
      </c>
      <c r="K222" s="125">
        <f>(IF((VLOOKUP(Table1[[#This Row],[SKU]],'All Skus'!$A:$AC,2,FALSE))="AKG",(VLOOKUP(Table1[[#This Row],[SKU]],'All Skus'!$A:$AC,15,FALSE)),""))</f>
        <v>12</v>
      </c>
      <c r="L222" s="124">
        <f>(IF((VLOOKUP(Table1[[#This Row],[SKU]],'All Skus'!$A:$AC,2,FALSE))="AKG",(VLOOKUP(Table1[[#This Row],[SKU]],'All Skus'!$A:$AC,16,FALSE)),""))</f>
        <v>885038038962</v>
      </c>
      <c r="M222" s="124" t="str">
        <f>(IF((VLOOKUP(Table1[[#This Row],[SKU]],'All Skus'!$A:$AC,2,FALSE))="AKG",(VLOOKUP(Table1[[#This Row],[SKU]],'All Skus'!$A:$AC,17,FALSE)),""))</f>
        <v>9002761038965</v>
      </c>
      <c r="N222" s="64">
        <f>(IF((VLOOKUP(Table1[[#This Row],[SKU]],'All Skus'!$A:$AC,2,FALSE))="AKG",(VLOOKUP(Table1[[#This Row],[SKU]],'All Skus'!$A:$AC,18,FALSE)),""))</f>
        <v>11.5</v>
      </c>
      <c r="O222" s="64">
        <f>(IF((VLOOKUP(Table1[[#This Row],[SKU]],'All Skus'!$A:$AC,2,FALSE))="AKG",(VLOOKUP(Table1[[#This Row],[SKU]],'All Skus'!$A:$AC,19,FALSE)),""))</f>
        <v>9.5</v>
      </c>
      <c r="P222" s="64">
        <f>(IF((VLOOKUP(Table1[[#This Row],[SKU]],'All Skus'!$A:$AC,2,FALSE))="AKG",(VLOOKUP(Table1[[#This Row],[SKU]],'All Skus'!$A:$AC,20,FALSE)),""))</f>
        <v>2.5</v>
      </c>
      <c r="Q222" s="64">
        <f>(IF((VLOOKUP(Table1[[#This Row],[SKU]],'All Skus'!$A:$AC,2,FALSE))="AKG",(VLOOKUP(Table1[[#This Row],[SKU]],'All Skus'!$A:$AC,21,FALSE)),""))</f>
        <v>2.34</v>
      </c>
      <c r="R222" s="64" t="str">
        <f>(IF((VLOOKUP(Table1[[#This Row],[SKU]],'All Skus'!$A:$AC,2,FALSE))="AKG",(VLOOKUP(Table1[[#This Row],[SKU]],'All Skus'!$A:$AC,22,FALSE)),""))</f>
        <v>CN</v>
      </c>
      <c r="S222" s="64" t="str">
        <f>(IF((VLOOKUP(Table1[[#This Row],[SKU]],'All Skus'!$A:$AC,2,FALSE))="AKG",(VLOOKUP(Table1[[#This Row],[SKU]],'All Skus'!$A:$AC,23,FALSE)),""))</f>
        <v>Non Compliant</v>
      </c>
      <c r="T222" s="210" t="str">
        <f>HYPERLINK((IF((VLOOKUP(Table1[[#This Row],[SKU]],'All Skus'!$A:$AC,2,FALSE))="AKG",(VLOOKUP(Table1[[#This Row],[SKU]],'All Skus'!$A:$AC,24,FALSE)),"")))</f>
        <v>https://www.akg.com/Wireless/wireless-components/3348H00140.html</v>
      </c>
      <c r="U222" s="151">
        <v>220</v>
      </c>
    </row>
    <row r="223" spans="1:21" ht="15" hidden="1" customHeight="1">
      <c r="A223" s="50" t="s">
        <v>379</v>
      </c>
      <c r="B223" s="52" t="str">
        <f>(IF((VLOOKUP(Table1[[#This Row],[SKU]],'All Skus'!$A:$AC,2,FALSE))="AKG",(VLOOKUP(Table1[[#This Row],[SKU]],'All Skus'!$A:$AC,3,FALSE)), ""))</f>
        <v>Wireless Mics</v>
      </c>
      <c r="C223" s="60" t="str">
        <f>(IF((VLOOKUP(Table1[[#This Row],[SKU]],'All Skus'!$A:$AC,2,FALSE))="AKG",(VLOOKUP(Table1[[#This Row],[SKU]],'All Skus'!$A:$AC,4,FALSE)),""))</f>
        <v xml:space="preserve">MINI2VOC-US25A/C </v>
      </c>
      <c r="D223" s="60" t="str">
        <f>(IF((VLOOKUP(Table1[[#This Row],[SKU]],'All Skus'!$A:$AC,2,FALSE))="AKG",(VLOOKUP(Table1[[#This Row],[SKU]],'All Skus'!$A:$AC,5,FALSE)),""))</f>
        <v>AT610000</v>
      </c>
      <c r="E223" s="60">
        <f>(IF((VLOOKUP(Table1[[#This Row],[SKU]],'All Skus'!$A:$AC,2,FALSE))="AKG",(VLOOKUP(Table1[[#This Row],[SKU]],'All Skus'!$A:$AC,6,FALSE)),""))</f>
        <v>0</v>
      </c>
      <c r="F223" s="60">
        <f>(IF((VLOOKUP(Table1[[#This Row],[SKU]],'All Skus'!$A:$AC,2,FALSE))="AKG",(VLOOKUP(Table1[[#This Row],[SKU]],'All Skus'!$A:$AC,7,FALSE)),""))</f>
        <v>0</v>
      </c>
      <c r="G223" s="45" t="str">
        <f>(IF((VLOOKUP(Table1[[#This Row],[SKU]],'All Skus'!$A:$AC,2,FALSE))="AKG",(VLOOKUP(Table1[[#This Row],[SKU]],'All Skus'!$A:$AC,8,FALSE)),""))</f>
        <v>Wireless Microphone System 40 Mini2</v>
      </c>
      <c r="H223" s="45" t="str">
        <f>(IF((VLOOKUP(Table1[[#This Row],[SKU]],'All Skus'!$A:$AC,2,FALSE))="AKG",(VLOOKUP(Table1[[#This Row],[SKU]],'All Skus'!$A:$AC,9,FALSE)),""))</f>
        <v>Plug &amp; play wireless microphone system, including SR40 mini2 dual channel receiver, 2x HT40 mini handheld transmitters, SMPS switched mode power supply (EU/US/UK/AU), 2x AA batteries</v>
      </c>
      <c r="I223" s="141">
        <f>(IF((VLOOKUP(Table1[[#This Row],[SKU]],'All Skus'!$A:$AC,2,FALSE))="AKG",(VLOOKUP(Table1[[#This Row],[SKU]],'All Skus'!$A:$AC,10,FALSE)),""))</f>
        <v>298.92</v>
      </c>
      <c r="J223" s="141">
        <f>(IF((VLOOKUP(Table1[[#This Row],[SKU]],'All Skus'!$A:$AC,2,FALSE))="AKG",(VLOOKUP(Table1[[#This Row],[SKU]],'All Skus'!$A:$AC,11,FALSE)),""))</f>
        <v>236</v>
      </c>
      <c r="K223" s="125">
        <f>(IF((VLOOKUP(Table1[[#This Row],[SKU]],'All Skus'!$A:$AC,2,FALSE))="AKG",(VLOOKUP(Table1[[#This Row],[SKU]],'All Skus'!$A:$AC,15,FALSE)),""))</f>
        <v>12</v>
      </c>
      <c r="L223" s="124">
        <f>(IF((VLOOKUP(Table1[[#This Row],[SKU]],'All Skus'!$A:$AC,2,FALSE))="AKG",(VLOOKUP(Table1[[#This Row],[SKU]],'All Skus'!$A:$AC,16,FALSE)),""))</f>
        <v>885038038917</v>
      </c>
      <c r="M223" s="124" t="str">
        <f>(IF((VLOOKUP(Table1[[#This Row],[SKU]],'All Skus'!$A:$AC,2,FALSE))="AKG",(VLOOKUP(Table1[[#This Row],[SKU]],'All Skus'!$A:$AC,17,FALSE)),""))</f>
        <v>9002761038910</v>
      </c>
      <c r="N223" s="64">
        <f>(IF((VLOOKUP(Table1[[#This Row],[SKU]],'All Skus'!$A:$AC,2,FALSE))="AKG",(VLOOKUP(Table1[[#This Row],[SKU]],'All Skus'!$A:$AC,18,FALSE)),""))</f>
        <v>11.5</v>
      </c>
      <c r="O223" s="64">
        <f>(IF((VLOOKUP(Table1[[#This Row],[SKU]],'All Skus'!$A:$AC,2,FALSE))="AKG",(VLOOKUP(Table1[[#This Row],[SKU]],'All Skus'!$A:$AC,19,FALSE)),""))</f>
        <v>11.5</v>
      </c>
      <c r="P223" s="64">
        <f>(IF((VLOOKUP(Table1[[#This Row],[SKU]],'All Skus'!$A:$AC,2,FALSE))="AKG",(VLOOKUP(Table1[[#This Row],[SKU]],'All Skus'!$A:$AC,20,FALSE)),""))</f>
        <v>2.5</v>
      </c>
      <c r="Q223" s="64">
        <f>(IF((VLOOKUP(Table1[[#This Row],[SKU]],'All Skus'!$A:$AC,2,FALSE))="AKG",(VLOOKUP(Table1[[#This Row],[SKU]],'All Skus'!$A:$AC,21,FALSE)),""))</f>
        <v>2.34</v>
      </c>
      <c r="R223" s="64" t="str">
        <f>(IF((VLOOKUP(Table1[[#This Row],[SKU]],'All Skus'!$A:$AC,2,FALSE))="AKG",(VLOOKUP(Table1[[#This Row],[SKU]],'All Skus'!$A:$AC,22,FALSE)),""))</f>
        <v>CN</v>
      </c>
      <c r="S223" s="64" t="str">
        <f>(IF((VLOOKUP(Table1[[#This Row],[SKU]],'All Skus'!$A:$AC,2,FALSE))="AKG",(VLOOKUP(Table1[[#This Row],[SKU]],'All Skus'!$A:$AC,23,FALSE)),""))</f>
        <v>Non Compliant</v>
      </c>
      <c r="T223" s="210" t="str">
        <f>HYPERLINK((IF((VLOOKUP(Table1[[#This Row],[SKU]],'All Skus'!$A:$AC,2,FALSE))="AKG",(VLOOKUP(Table1[[#This Row],[SKU]],'All Skus'!$A:$AC,24,FALSE)),"")))</f>
        <v>https://www.akg.com/Wireless/wireless-components/3350X00050.html</v>
      </c>
      <c r="U223" s="151">
        <v>221</v>
      </c>
    </row>
    <row r="224" spans="1:21" ht="15" hidden="1" customHeight="1">
      <c r="A224" s="50" t="s">
        <v>380</v>
      </c>
      <c r="B224" s="52" t="str">
        <f>(IF((VLOOKUP(Table1[[#This Row],[SKU]],'All Skus'!$A:$AC,2,FALSE))="AKG",(VLOOKUP(Table1[[#This Row],[SKU]],'All Skus'!$A:$AC,3,FALSE)), ""))</f>
        <v>Wireless Mics</v>
      </c>
      <c r="C224" s="60" t="str">
        <f>(IF((VLOOKUP(Table1[[#This Row],[SKU]],'All Skus'!$A:$AC,2,FALSE))="AKG",(VLOOKUP(Table1[[#This Row],[SKU]],'All Skus'!$A:$AC,4,FALSE)),""))</f>
        <v>WMS40MINI2 VOC-SET US25B/D</v>
      </c>
      <c r="D224" s="60" t="str">
        <f>(IF((VLOOKUP(Table1[[#This Row],[SKU]],'All Skus'!$A:$AC,2,FALSE))="AKG",(VLOOKUP(Table1[[#This Row],[SKU]],'All Skus'!$A:$AC,5,FALSE)),""))</f>
        <v>AT610000</v>
      </c>
      <c r="E224" s="60">
        <f>(IF((VLOOKUP(Table1[[#This Row],[SKU]],'All Skus'!$A:$AC,2,FALSE))="AKG",(VLOOKUP(Table1[[#This Row],[SKU]],'All Skus'!$A:$AC,6,FALSE)),""))</f>
        <v>0</v>
      </c>
      <c r="F224" s="60">
        <f>(IF((VLOOKUP(Table1[[#This Row],[SKU]],'All Skus'!$A:$AC,2,FALSE))="AKG",(VLOOKUP(Table1[[#This Row],[SKU]],'All Skus'!$A:$AC,7,FALSE)),""))</f>
        <v>0</v>
      </c>
      <c r="G224" s="45" t="str">
        <f>(IF((VLOOKUP(Table1[[#This Row],[SKU]],'All Skus'!$A:$AC,2,FALSE))="AKG",(VLOOKUP(Table1[[#This Row],[SKU]],'All Skus'!$A:$AC,8,FALSE)),""))</f>
        <v>Wireless Microphone System 40 Mini2</v>
      </c>
      <c r="H224" s="45" t="str">
        <f>(IF((VLOOKUP(Table1[[#This Row],[SKU]],'All Skus'!$A:$AC,2,FALSE))="AKG",(VLOOKUP(Table1[[#This Row],[SKU]],'All Skus'!$A:$AC,9,FALSE)),""))</f>
        <v>Plug &amp; play wireless microphone system, including SR40 mini2 dual channel receiver, 2x HT40 mini handheld transmitters, SMPS switched mode power supply (EU/US/UK/AU), 2x AA batteries</v>
      </c>
      <c r="I224" s="141">
        <f>(IF((VLOOKUP(Table1[[#This Row],[SKU]],'All Skus'!$A:$AC,2,FALSE))="AKG",(VLOOKUP(Table1[[#This Row],[SKU]],'All Skus'!$A:$AC,10,FALSE)),""))</f>
        <v>298.92</v>
      </c>
      <c r="J224" s="141">
        <f>(IF((VLOOKUP(Table1[[#This Row],[SKU]],'All Skus'!$A:$AC,2,FALSE))="AKG",(VLOOKUP(Table1[[#This Row],[SKU]],'All Skus'!$A:$AC,11,FALSE)),""))</f>
        <v>236</v>
      </c>
      <c r="K224" s="125">
        <f>(IF((VLOOKUP(Table1[[#This Row],[SKU]],'All Skus'!$A:$AC,2,FALSE))="AKG",(VLOOKUP(Table1[[#This Row],[SKU]],'All Skus'!$A:$AC,15,FALSE)),""))</f>
        <v>12</v>
      </c>
      <c r="L224" s="124">
        <f>(IF((VLOOKUP(Table1[[#This Row],[SKU]],'All Skus'!$A:$AC,2,FALSE))="AKG",(VLOOKUP(Table1[[#This Row],[SKU]],'All Skus'!$A:$AC,16,FALSE)),""))</f>
        <v>885038038924</v>
      </c>
      <c r="M224" s="124" t="str">
        <f>(IF((VLOOKUP(Table1[[#This Row],[SKU]],'All Skus'!$A:$AC,2,FALSE))="AKG",(VLOOKUP(Table1[[#This Row],[SKU]],'All Skus'!$A:$AC,17,FALSE)),""))</f>
        <v>9002761038927</v>
      </c>
      <c r="N224" s="64">
        <f>(IF((VLOOKUP(Table1[[#This Row],[SKU]],'All Skus'!$A:$AC,2,FALSE))="AKG",(VLOOKUP(Table1[[#This Row],[SKU]],'All Skus'!$A:$AC,18,FALSE)),""))</f>
        <v>12</v>
      </c>
      <c r="O224" s="64">
        <f>(IF((VLOOKUP(Table1[[#This Row],[SKU]],'All Skus'!$A:$AC,2,FALSE))="AKG",(VLOOKUP(Table1[[#This Row],[SKU]],'All Skus'!$A:$AC,19,FALSE)),""))</f>
        <v>11.5</v>
      </c>
      <c r="P224" s="64">
        <f>(IF((VLOOKUP(Table1[[#This Row],[SKU]],'All Skus'!$A:$AC,2,FALSE))="AKG",(VLOOKUP(Table1[[#This Row],[SKU]],'All Skus'!$A:$AC,20,FALSE)),""))</f>
        <v>2.5</v>
      </c>
      <c r="Q224" s="64">
        <f>(IF((VLOOKUP(Table1[[#This Row],[SKU]],'All Skus'!$A:$AC,2,FALSE))="AKG",(VLOOKUP(Table1[[#This Row],[SKU]],'All Skus'!$A:$AC,21,FALSE)),""))</f>
        <v>2.34</v>
      </c>
      <c r="R224" s="64" t="str">
        <f>(IF((VLOOKUP(Table1[[#This Row],[SKU]],'All Skus'!$A:$AC,2,FALSE))="AKG",(VLOOKUP(Table1[[#This Row],[SKU]],'All Skus'!$A:$AC,22,FALSE)),""))</f>
        <v>CN</v>
      </c>
      <c r="S224" s="64" t="str">
        <f>(IF((VLOOKUP(Table1[[#This Row],[SKU]],'All Skus'!$A:$AC,2,FALSE))="AKG",(VLOOKUP(Table1[[#This Row],[SKU]],'All Skus'!$A:$AC,23,FALSE)),""))</f>
        <v>Non Compliant</v>
      </c>
      <c r="T224" s="210" t="str">
        <f>HYPERLINK((IF((VLOOKUP(Table1[[#This Row],[SKU]],'All Skus'!$A:$AC,2,FALSE))="AKG",(VLOOKUP(Table1[[#This Row],[SKU]],'All Skus'!$A:$AC,24,FALSE)),"")))</f>
        <v>https://www.akg.com/Wireless/wireless-components/3350X00060.html</v>
      </c>
      <c r="U224" s="151">
        <v>222</v>
      </c>
    </row>
    <row r="225" spans="1:21" ht="15" hidden="1" customHeight="1">
      <c r="A225" s="48" t="s">
        <v>381</v>
      </c>
      <c r="B225" s="52" t="str">
        <f>(IF((VLOOKUP(Table1[[#This Row],[SKU]],'All Skus'!$A:$AC,2,FALSE))="AKG",(VLOOKUP(Table1[[#This Row],[SKU]],'All Skus'!$A:$AC,3,FALSE)), ""))</f>
        <v>Wireless Mics</v>
      </c>
      <c r="C225" s="60" t="str">
        <f>(IF((VLOOKUP(Table1[[#This Row],[SKU]],'All Skus'!$A:$AC,2,FALSE))="AKG",(VLOOKUP(Table1[[#This Row],[SKU]],'All Skus'!$A:$AC,4,FALSE)),""))</f>
        <v>MINI2INSTR-US25AB</v>
      </c>
      <c r="D225" s="60" t="str">
        <f>(IF((VLOOKUP(Table1[[#This Row],[SKU]],'All Skus'!$A:$AC,2,FALSE))="AKG",(VLOOKUP(Table1[[#This Row],[SKU]],'All Skus'!$A:$AC,5,FALSE)),""))</f>
        <v>AT610000</v>
      </c>
      <c r="E225" s="60">
        <f>(IF((VLOOKUP(Table1[[#This Row],[SKU]],'All Skus'!$A:$AC,2,FALSE))="AKG",(VLOOKUP(Table1[[#This Row],[SKU]],'All Skus'!$A:$AC,6,FALSE)),""))</f>
        <v>0</v>
      </c>
      <c r="F225" s="60">
        <f>(IF((VLOOKUP(Table1[[#This Row],[SKU]],'All Skus'!$A:$AC,2,FALSE))="AKG",(VLOOKUP(Table1[[#This Row],[SKU]],'All Skus'!$A:$AC,7,FALSE)),""))</f>
        <v>0</v>
      </c>
      <c r="G225" s="45" t="str">
        <f>(IF((VLOOKUP(Table1[[#This Row],[SKU]],'All Skus'!$A:$AC,2,FALSE))="AKG",(VLOOKUP(Table1[[#This Row],[SKU]],'All Skus'!$A:$AC,8,FALSE)),""))</f>
        <v>Wireless Microphone System 40 Mini2</v>
      </c>
      <c r="H225" s="45" t="str">
        <f>(IF((VLOOKUP(Table1[[#This Row],[SKU]],'All Skus'!$A:$AC,2,FALSE))="AKG",(VLOOKUP(Table1[[#This Row],[SKU]],'All Skus'!$A:$AC,9,FALSE)),""))</f>
        <v>Plug &amp; play wireless microphone system, including SR40 mini2 dual channel receiver, 2x PT40 mini pocket transmitters, 2x instrument cables, SMPS switched mode power supply (EU/US/UK/AU), 2x AA batteries</v>
      </c>
      <c r="I225" s="141">
        <f>(IF((VLOOKUP(Table1[[#This Row],[SKU]],'All Skus'!$A:$AC,2,FALSE))="AKG",(VLOOKUP(Table1[[#This Row],[SKU]],'All Skus'!$A:$AC,10,FALSE)),""))</f>
        <v>380.6</v>
      </c>
      <c r="J225" s="141">
        <f>(IF((VLOOKUP(Table1[[#This Row],[SKU]],'All Skus'!$A:$AC,2,FALSE))="AKG",(VLOOKUP(Table1[[#This Row],[SKU]],'All Skus'!$A:$AC,11,FALSE)),""))</f>
        <v>265</v>
      </c>
      <c r="K225" s="125">
        <f>(IF((VLOOKUP(Table1[[#This Row],[SKU]],'All Skus'!$A:$AC,2,FALSE))="AKG",(VLOOKUP(Table1[[#This Row],[SKU]],'All Skus'!$A:$AC,15,FALSE)),""))</f>
        <v>12</v>
      </c>
      <c r="L225" s="124">
        <f>(IF((VLOOKUP(Table1[[#This Row],[SKU]],'All Skus'!$A:$AC,2,FALSE))="AKG",(VLOOKUP(Table1[[#This Row],[SKU]],'All Skus'!$A:$AC,16,FALSE)),""))</f>
        <v>885038038870</v>
      </c>
      <c r="M225" s="124" t="str">
        <f>(IF((VLOOKUP(Table1[[#This Row],[SKU]],'All Skus'!$A:$AC,2,FALSE))="AKG",(VLOOKUP(Table1[[#This Row],[SKU]],'All Skus'!$A:$AC,17,FALSE)),""))</f>
        <v>9002761038873</v>
      </c>
      <c r="N225" s="64">
        <f>(IF((VLOOKUP(Table1[[#This Row],[SKU]],'All Skus'!$A:$AC,2,FALSE))="AKG",(VLOOKUP(Table1[[#This Row],[SKU]],'All Skus'!$A:$AC,18,FALSE)),""))</f>
        <v>11.5</v>
      </c>
      <c r="O225" s="64">
        <f>(IF((VLOOKUP(Table1[[#This Row],[SKU]],'All Skus'!$A:$AC,2,FALSE))="AKG",(VLOOKUP(Table1[[#This Row],[SKU]],'All Skus'!$A:$AC,19,FALSE)),""))</f>
        <v>11.5</v>
      </c>
      <c r="P225" s="64">
        <f>(IF((VLOOKUP(Table1[[#This Row],[SKU]],'All Skus'!$A:$AC,2,FALSE))="AKG",(VLOOKUP(Table1[[#This Row],[SKU]],'All Skus'!$A:$AC,20,FALSE)),""))</f>
        <v>2.5</v>
      </c>
      <c r="Q225" s="64">
        <f>(IF((VLOOKUP(Table1[[#This Row],[SKU]],'All Skus'!$A:$AC,2,FALSE))="AKG",(VLOOKUP(Table1[[#This Row],[SKU]],'All Skus'!$A:$AC,21,FALSE)),""))</f>
        <v>2.34</v>
      </c>
      <c r="R225" s="64" t="str">
        <f>(IF((VLOOKUP(Table1[[#This Row],[SKU]],'All Skus'!$A:$AC,2,FALSE))="AKG",(VLOOKUP(Table1[[#This Row],[SKU]],'All Skus'!$A:$AC,22,FALSE)),""))</f>
        <v>CN</v>
      </c>
      <c r="S225" s="64" t="str">
        <f>(IF((VLOOKUP(Table1[[#This Row],[SKU]],'All Skus'!$A:$AC,2,FALSE))="AKG",(VLOOKUP(Table1[[#This Row],[SKU]],'All Skus'!$A:$AC,23,FALSE)),""))</f>
        <v>Non Compliant</v>
      </c>
      <c r="T225" s="210" t="str">
        <f>HYPERLINK((IF((VLOOKUP(Table1[[#This Row],[SKU]],'All Skus'!$A:$AC,2,FALSE))="AKG",(VLOOKUP(Table1[[#This Row],[SKU]],'All Skus'!$A:$AC,24,FALSE)),"")))</f>
        <v>https://www.akg.com/Wireless/wireless-components/3351H00050.html</v>
      </c>
      <c r="U225" s="151">
        <v>223</v>
      </c>
    </row>
    <row r="226" spans="1:21" ht="15" hidden="1" customHeight="1">
      <c r="A226" s="50" t="s">
        <v>382</v>
      </c>
      <c r="B226" s="52" t="str">
        <f>(IF((VLOOKUP(Table1[[#This Row],[SKU]],'All Skus'!$A:$AC,2,FALSE))="AKG",(VLOOKUP(Table1[[#This Row],[SKU]],'All Skus'!$A:$AC,3,FALSE)), ""))</f>
        <v>Wireless Mics</v>
      </c>
      <c r="C226" s="60" t="str">
        <f>(IF((VLOOKUP(Table1[[#This Row],[SKU]],'All Skus'!$A:$AC,2,FALSE))="AKG",(VLOOKUP(Table1[[#This Row],[SKU]],'All Skus'!$A:$AC,4,FALSE)),""))</f>
        <v xml:space="preserve">MINI2INSTR-US25CD </v>
      </c>
      <c r="D226" s="60" t="str">
        <f>(IF((VLOOKUP(Table1[[#This Row],[SKU]],'All Skus'!$A:$AC,2,FALSE))="AKG",(VLOOKUP(Table1[[#This Row],[SKU]],'All Skus'!$A:$AC,5,FALSE)),""))</f>
        <v>AT610000</v>
      </c>
      <c r="E226" s="60">
        <f>(IF((VLOOKUP(Table1[[#This Row],[SKU]],'All Skus'!$A:$AC,2,FALSE))="AKG",(VLOOKUP(Table1[[#This Row],[SKU]],'All Skus'!$A:$AC,6,FALSE)),""))</f>
        <v>0</v>
      </c>
      <c r="F226" s="60">
        <f>(IF((VLOOKUP(Table1[[#This Row],[SKU]],'All Skus'!$A:$AC,2,FALSE))="AKG",(VLOOKUP(Table1[[#This Row],[SKU]],'All Skus'!$A:$AC,7,FALSE)),""))</f>
        <v>0</v>
      </c>
      <c r="G226" s="45" t="str">
        <f>(IF((VLOOKUP(Table1[[#This Row],[SKU]],'All Skus'!$A:$AC,2,FALSE))="AKG",(VLOOKUP(Table1[[#This Row],[SKU]],'All Skus'!$A:$AC,8,FALSE)),""))</f>
        <v>Wireless Microphone System 40 Mini2</v>
      </c>
      <c r="H226" s="45" t="str">
        <f>(IF((VLOOKUP(Table1[[#This Row],[SKU]],'All Skus'!$A:$AC,2,FALSE))="AKG",(VLOOKUP(Table1[[#This Row],[SKU]],'All Skus'!$A:$AC,9,FALSE)),""))</f>
        <v>Plug &amp; play wireless microphone system, including SR40 mini2 dual channel receiver, 2x PT40 mini pocket transmitters, 2x instrument cables, SMPS switched mode power supply (EU/US/UK/AU), 2x AA batteries</v>
      </c>
      <c r="I226" s="141">
        <f>(IF((VLOOKUP(Table1[[#This Row],[SKU]],'All Skus'!$A:$AC,2,FALSE))="AKG",(VLOOKUP(Table1[[#This Row],[SKU]],'All Skus'!$A:$AC,10,FALSE)),""))</f>
        <v>342.85</v>
      </c>
      <c r="J226" s="141">
        <f>(IF((VLOOKUP(Table1[[#This Row],[SKU]],'All Skus'!$A:$AC,2,FALSE))="AKG",(VLOOKUP(Table1[[#This Row],[SKU]],'All Skus'!$A:$AC,11,FALSE)),""))</f>
        <v>236</v>
      </c>
      <c r="K226" s="125">
        <f>(IF((VLOOKUP(Table1[[#This Row],[SKU]],'All Skus'!$A:$AC,2,FALSE))="AKG",(VLOOKUP(Table1[[#This Row],[SKU]],'All Skus'!$A:$AC,15,FALSE)),""))</f>
        <v>12</v>
      </c>
      <c r="L226" s="124">
        <f>(IF((VLOOKUP(Table1[[#This Row],[SKU]],'All Skus'!$A:$AC,2,FALSE))="AKG",(VLOOKUP(Table1[[#This Row],[SKU]],'All Skus'!$A:$AC,16,FALSE)),""))</f>
        <v>885038038887</v>
      </c>
      <c r="M226" s="124" t="str">
        <f>(IF((VLOOKUP(Table1[[#This Row],[SKU]],'All Skus'!$A:$AC,2,FALSE))="AKG",(VLOOKUP(Table1[[#This Row],[SKU]],'All Skus'!$A:$AC,17,FALSE)),""))</f>
        <v>9002761038880</v>
      </c>
      <c r="N226" s="64">
        <f>(IF((VLOOKUP(Table1[[#This Row],[SKU]],'All Skus'!$A:$AC,2,FALSE))="AKG",(VLOOKUP(Table1[[#This Row],[SKU]],'All Skus'!$A:$AC,18,FALSE)),""))</f>
        <v>11.5</v>
      </c>
      <c r="O226" s="64">
        <f>(IF((VLOOKUP(Table1[[#This Row],[SKU]],'All Skus'!$A:$AC,2,FALSE))="AKG",(VLOOKUP(Table1[[#This Row],[SKU]],'All Skus'!$A:$AC,19,FALSE)),""))</f>
        <v>11.5</v>
      </c>
      <c r="P226" s="64">
        <f>(IF((VLOOKUP(Table1[[#This Row],[SKU]],'All Skus'!$A:$AC,2,FALSE))="AKG",(VLOOKUP(Table1[[#This Row],[SKU]],'All Skus'!$A:$AC,20,FALSE)),""))</f>
        <v>2.5</v>
      </c>
      <c r="Q226" s="64">
        <f>(IF((VLOOKUP(Table1[[#This Row],[SKU]],'All Skus'!$A:$AC,2,FALSE))="AKG",(VLOOKUP(Table1[[#This Row],[SKU]],'All Skus'!$A:$AC,21,FALSE)),""))</f>
        <v>2.34</v>
      </c>
      <c r="R226" s="64" t="str">
        <f>(IF((VLOOKUP(Table1[[#This Row],[SKU]],'All Skus'!$A:$AC,2,FALSE))="AKG",(VLOOKUP(Table1[[#This Row],[SKU]],'All Skus'!$A:$AC,22,FALSE)),""))</f>
        <v>CN</v>
      </c>
      <c r="S226" s="64" t="str">
        <f>(IF((VLOOKUP(Table1[[#This Row],[SKU]],'All Skus'!$A:$AC,2,FALSE))="AKG",(VLOOKUP(Table1[[#This Row],[SKU]],'All Skus'!$A:$AC,23,FALSE)),""))</f>
        <v>Non Compliant</v>
      </c>
      <c r="T226" s="210" t="str">
        <f>HYPERLINK((IF((VLOOKUP(Table1[[#This Row],[SKU]],'All Skus'!$A:$AC,2,FALSE))="AKG",(VLOOKUP(Table1[[#This Row],[SKU]],'All Skus'!$A:$AC,24,FALSE)),"")))</f>
        <v>https://www.akg.com/Wireless/wireless-components/3351H00060.html</v>
      </c>
      <c r="U226" s="151">
        <v>224</v>
      </c>
    </row>
    <row r="227" spans="1:21" ht="15" hidden="1" customHeight="1">
      <c r="A227" s="50" t="s">
        <v>383</v>
      </c>
      <c r="B227" s="52" t="str">
        <f>(IF((VLOOKUP(Table1[[#This Row],[SKU]],'All Skus'!$A:$AC,2,FALSE))="AKG",(VLOOKUP(Table1[[#This Row],[SKU]],'All Skus'!$A:$AC,3,FALSE)), ""))</f>
        <v>Wireless Mics</v>
      </c>
      <c r="C227" s="60" t="str">
        <f>(IF((VLOOKUP(Table1[[#This Row],[SKU]],'All Skus'!$A:$AC,2,FALSE))="AKG",(VLOOKUP(Table1[[#This Row],[SKU]],'All Skus'!$A:$AC,4,FALSE)),""))</f>
        <v xml:space="preserve">MINI2MIX-US25AC </v>
      </c>
      <c r="D227" s="60" t="str">
        <f>(IF((VLOOKUP(Table1[[#This Row],[SKU]],'All Skus'!$A:$AC,2,FALSE))="AKG",(VLOOKUP(Table1[[#This Row],[SKU]],'All Skus'!$A:$AC,5,FALSE)),""))</f>
        <v>AT610000</v>
      </c>
      <c r="E227" s="60">
        <f>(IF((VLOOKUP(Table1[[#This Row],[SKU]],'All Skus'!$A:$AC,2,FALSE))="AKG",(VLOOKUP(Table1[[#This Row],[SKU]],'All Skus'!$A:$AC,6,FALSE)),""))</f>
        <v>0</v>
      </c>
      <c r="F227" s="60">
        <f>(IF((VLOOKUP(Table1[[#This Row],[SKU]],'All Skus'!$A:$AC,2,FALSE))="AKG",(VLOOKUP(Table1[[#This Row],[SKU]],'All Skus'!$A:$AC,7,FALSE)),""))</f>
        <v>0</v>
      </c>
      <c r="G227" s="45" t="str">
        <f>(IF((VLOOKUP(Table1[[#This Row],[SKU]],'All Skus'!$A:$AC,2,FALSE))="AKG",(VLOOKUP(Table1[[#This Row],[SKU]],'All Skus'!$A:$AC,8,FALSE)),""))</f>
        <v>Wireless Microphone System 40 Mini2</v>
      </c>
      <c r="H227" s="45" t="str">
        <f>(IF((VLOOKUP(Table1[[#This Row],[SKU]],'All Skus'!$A:$AC,2,FALSE))="AKG",(VLOOKUP(Table1[[#This Row],[SKU]],'All Skus'!$A:$AC,9,FALSE)),""))</f>
        <v>Plug &amp; play wireless microphone system, including SR40 mini2 dual channel receiver, 1x HT40 mini  handheld transmitter, 1x PT40 mini pocket transmitter, 1x instrument cable, SMPS switched mode power supply (EU/US/UK/AU), 2x AA batteries</v>
      </c>
      <c r="I227" s="141">
        <f>(IF((VLOOKUP(Table1[[#This Row],[SKU]],'All Skus'!$A:$AC,2,FALSE))="AKG",(VLOOKUP(Table1[[#This Row],[SKU]],'All Skus'!$A:$AC,10,FALSE)),""))</f>
        <v>329.01</v>
      </c>
      <c r="J227" s="141">
        <f>(IF((VLOOKUP(Table1[[#This Row],[SKU]],'All Skus'!$A:$AC,2,FALSE))="AKG",(VLOOKUP(Table1[[#This Row],[SKU]],'All Skus'!$A:$AC,11,FALSE)),""))</f>
        <v>236</v>
      </c>
      <c r="K227" s="125">
        <f>(IF((VLOOKUP(Table1[[#This Row],[SKU]],'All Skus'!$A:$AC,2,FALSE))="AKG",(VLOOKUP(Table1[[#This Row],[SKU]],'All Skus'!$A:$AC,15,FALSE)),""))</f>
        <v>12</v>
      </c>
      <c r="L227" s="124">
        <f>(IF((VLOOKUP(Table1[[#This Row],[SKU]],'All Skus'!$A:$AC,2,FALSE))="AKG",(VLOOKUP(Table1[[#This Row],[SKU]],'All Skus'!$A:$AC,16,FALSE)),""))</f>
        <v>885038038894</v>
      </c>
      <c r="M227" s="124" t="str">
        <f>(IF((VLOOKUP(Table1[[#This Row],[SKU]],'All Skus'!$A:$AC,2,FALSE))="AKG",(VLOOKUP(Table1[[#This Row],[SKU]],'All Skus'!$A:$AC,17,FALSE)),""))</f>
        <v>9002761038897</v>
      </c>
      <c r="N227" s="64">
        <f>(IF((VLOOKUP(Table1[[#This Row],[SKU]],'All Skus'!$A:$AC,2,FALSE))="AKG",(VLOOKUP(Table1[[#This Row],[SKU]],'All Skus'!$A:$AC,18,FALSE)),""))</f>
        <v>11.5</v>
      </c>
      <c r="O227" s="64">
        <f>(IF((VLOOKUP(Table1[[#This Row],[SKU]],'All Skus'!$A:$AC,2,FALSE))="AKG",(VLOOKUP(Table1[[#This Row],[SKU]],'All Skus'!$A:$AC,19,FALSE)),""))</f>
        <v>11.5</v>
      </c>
      <c r="P227" s="64">
        <f>(IF((VLOOKUP(Table1[[#This Row],[SKU]],'All Skus'!$A:$AC,2,FALSE))="AKG",(VLOOKUP(Table1[[#This Row],[SKU]],'All Skus'!$A:$AC,20,FALSE)),""))</f>
        <v>2.5</v>
      </c>
      <c r="Q227" s="64">
        <f>(IF((VLOOKUP(Table1[[#This Row],[SKU]],'All Skus'!$A:$AC,2,FALSE))="AKG",(VLOOKUP(Table1[[#This Row],[SKU]],'All Skus'!$A:$AC,21,FALSE)),""))</f>
        <v>2.34</v>
      </c>
      <c r="R227" s="64" t="str">
        <f>(IF((VLOOKUP(Table1[[#This Row],[SKU]],'All Skus'!$A:$AC,2,FALSE))="AKG",(VLOOKUP(Table1[[#This Row],[SKU]],'All Skus'!$A:$AC,22,FALSE)),""))</f>
        <v>CN</v>
      </c>
      <c r="S227" s="64" t="str">
        <f>(IF((VLOOKUP(Table1[[#This Row],[SKU]],'All Skus'!$A:$AC,2,FALSE))="AKG",(VLOOKUP(Table1[[#This Row],[SKU]],'All Skus'!$A:$AC,23,FALSE)),""))</f>
        <v>Non Compliant</v>
      </c>
      <c r="T227" s="210" t="str">
        <f>HYPERLINK((IF((VLOOKUP(Table1[[#This Row],[SKU]],'All Skus'!$A:$AC,2,FALSE))="AKG",(VLOOKUP(Table1[[#This Row],[SKU]],'All Skus'!$A:$AC,24,FALSE)),"")))</f>
        <v>https://www.akg.com/Wireless/wireless-components/3352X00050.html</v>
      </c>
      <c r="U227" s="151">
        <v>225</v>
      </c>
    </row>
    <row r="228" spans="1:21" ht="15" hidden="1" customHeight="1">
      <c r="A228" s="50" t="s">
        <v>384</v>
      </c>
      <c r="B228" s="52" t="str">
        <f>(IF((VLOOKUP(Table1[[#This Row],[SKU]],'All Skus'!$A:$AC,2,FALSE))="AKG",(VLOOKUP(Table1[[#This Row],[SKU]],'All Skus'!$A:$AC,3,FALSE)), ""))</f>
        <v>Wireless Mics</v>
      </c>
      <c r="C228" s="60" t="str">
        <f>(IF((VLOOKUP(Table1[[#This Row],[SKU]],'All Skus'!$A:$AC,2,FALSE))="AKG",(VLOOKUP(Table1[[#This Row],[SKU]],'All Skus'!$A:$AC,4,FALSE)),""))</f>
        <v>MINI2MIX-US25BD</v>
      </c>
      <c r="D228" s="60" t="str">
        <f>(IF((VLOOKUP(Table1[[#This Row],[SKU]],'All Skus'!$A:$AC,2,FALSE))="AKG",(VLOOKUP(Table1[[#This Row],[SKU]],'All Skus'!$A:$AC,5,FALSE)),""))</f>
        <v>AT610000</v>
      </c>
      <c r="E228" s="60">
        <f>(IF((VLOOKUP(Table1[[#This Row],[SKU]],'All Skus'!$A:$AC,2,FALSE))="AKG",(VLOOKUP(Table1[[#This Row],[SKU]],'All Skus'!$A:$AC,6,FALSE)),""))</f>
        <v>0</v>
      </c>
      <c r="F228" s="60">
        <f>(IF((VLOOKUP(Table1[[#This Row],[SKU]],'All Skus'!$A:$AC,2,FALSE))="AKG",(VLOOKUP(Table1[[#This Row],[SKU]],'All Skus'!$A:$AC,7,FALSE)),""))</f>
        <v>0</v>
      </c>
      <c r="G228" s="45" t="str">
        <f>(IF((VLOOKUP(Table1[[#This Row],[SKU]],'All Skus'!$A:$AC,2,FALSE))="AKG",(VLOOKUP(Table1[[#This Row],[SKU]],'All Skus'!$A:$AC,8,FALSE)),""))</f>
        <v>Wireless Microphone System 40 Mini2</v>
      </c>
      <c r="H228" s="45" t="str">
        <f>(IF((VLOOKUP(Table1[[#This Row],[SKU]],'All Skus'!$A:$AC,2,FALSE))="AKG",(VLOOKUP(Table1[[#This Row],[SKU]],'All Skus'!$A:$AC,9,FALSE)),""))</f>
        <v>Plug &amp; play wireless microphone system, including SR40 mini2 dual channel receiver, 1x HT40 mini  handheld transmitter, 1x PT40 mini pocket transmitter, 1x instrument cable, SMPS switched mode power supply (EU/US/UK/AU), 2x AA batteries</v>
      </c>
      <c r="I228" s="141">
        <f>(IF((VLOOKUP(Table1[[#This Row],[SKU]],'All Skus'!$A:$AC,2,FALSE))="AKG",(VLOOKUP(Table1[[#This Row],[SKU]],'All Skus'!$A:$AC,10,FALSE)),""))</f>
        <v>329.01</v>
      </c>
      <c r="J228" s="141">
        <f>(IF((VLOOKUP(Table1[[#This Row],[SKU]],'All Skus'!$A:$AC,2,FALSE))="AKG",(VLOOKUP(Table1[[#This Row],[SKU]],'All Skus'!$A:$AC,11,FALSE)),""))</f>
        <v>236</v>
      </c>
      <c r="K228" s="125">
        <f>(IF((VLOOKUP(Table1[[#This Row],[SKU]],'All Skus'!$A:$AC,2,FALSE))="AKG",(VLOOKUP(Table1[[#This Row],[SKU]],'All Skus'!$A:$AC,15,FALSE)),""))</f>
        <v>12</v>
      </c>
      <c r="L228" s="124">
        <f>(IF((VLOOKUP(Table1[[#This Row],[SKU]],'All Skus'!$A:$AC,2,FALSE))="AKG",(VLOOKUP(Table1[[#This Row],[SKU]],'All Skus'!$A:$AC,16,FALSE)),""))</f>
        <v>885038038900</v>
      </c>
      <c r="M228" s="124" t="str">
        <f>(IF((VLOOKUP(Table1[[#This Row],[SKU]],'All Skus'!$A:$AC,2,FALSE))="AKG",(VLOOKUP(Table1[[#This Row],[SKU]],'All Skus'!$A:$AC,17,FALSE)),""))</f>
        <v>9002761038903</v>
      </c>
      <c r="N228" s="64">
        <f>(IF((VLOOKUP(Table1[[#This Row],[SKU]],'All Skus'!$A:$AC,2,FALSE))="AKG",(VLOOKUP(Table1[[#This Row],[SKU]],'All Skus'!$A:$AC,18,FALSE)),""))</f>
        <v>11.5</v>
      </c>
      <c r="O228" s="64">
        <f>(IF((VLOOKUP(Table1[[#This Row],[SKU]],'All Skus'!$A:$AC,2,FALSE))="AKG",(VLOOKUP(Table1[[#This Row],[SKU]],'All Skus'!$A:$AC,19,FALSE)),""))</f>
        <v>11.5</v>
      </c>
      <c r="P228" s="64">
        <f>(IF((VLOOKUP(Table1[[#This Row],[SKU]],'All Skus'!$A:$AC,2,FALSE))="AKG",(VLOOKUP(Table1[[#This Row],[SKU]],'All Skus'!$A:$AC,20,FALSE)),""))</f>
        <v>2.5</v>
      </c>
      <c r="Q228" s="64">
        <f>(IF((VLOOKUP(Table1[[#This Row],[SKU]],'All Skus'!$A:$AC,2,FALSE))="AKG",(VLOOKUP(Table1[[#This Row],[SKU]],'All Skus'!$A:$AC,21,FALSE)),""))</f>
        <v>2.34</v>
      </c>
      <c r="R228" s="64" t="str">
        <f>(IF((VLOOKUP(Table1[[#This Row],[SKU]],'All Skus'!$A:$AC,2,FALSE))="AKG",(VLOOKUP(Table1[[#This Row],[SKU]],'All Skus'!$A:$AC,22,FALSE)),""))</f>
        <v>CN</v>
      </c>
      <c r="S228" s="64" t="str">
        <f>(IF((VLOOKUP(Table1[[#This Row],[SKU]],'All Skus'!$A:$AC,2,FALSE))="AKG",(VLOOKUP(Table1[[#This Row],[SKU]],'All Skus'!$A:$AC,23,FALSE)),""))</f>
        <v>Non Compliant</v>
      </c>
      <c r="T228" s="210" t="str">
        <f>HYPERLINK((IF((VLOOKUP(Table1[[#This Row],[SKU]],'All Skus'!$A:$AC,2,FALSE))="AKG",(VLOOKUP(Table1[[#This Row],[SKU]],'All Skus'!$A:$AC,24,FALSE)),"")))</f>
        <v>https://www.akg.com/Wireless/wireless-components/3352X00060.html</v>
      </c>
      <c r="U228" s="151">
        <v>226</v>
      </c>
    </row>
    <row r="229" spans="1:21" ht="15" hidden="1" customHeight="1">
      <c r="A229" s="126" t="s">
        <v>385</v>
      </c>
      <c r="B229" s="52">
        <f>(IF((VLOOKUP(Table1[[#This Row],[SKU]],'All Skus'!$A:$AC,2,FALSE))="AKG",(VLOOKUP(Table1[[#This Row],[SKU]],'All Skus'!$A:$AC,3,FALSE)), ""))</f>
        <v>0</v>
      </c>
      <c r="C229" s="60">
        <f>(IF((VLOOKUP(Table1[[#This Row],[SKU]],'All Skus'!$A:$AC,2,FALSE))="AKG",(VLOOKUP(Table1[[#This Row],[SKU]],'All Skus'!$A:$AC,4,FALSE)),""))</f>
        <v>0</v>
      </c>
      <c r="D229" s="60">
        <f>(IF((VLOOKUP(Table1[[#This Row],[SKU]],'All Skus'!$A:$AC,2,FALSE))="AKG",(VLOOKUP(Table1[[#This Row],[SKU]],'All Skus'!$A:$AC,5,FALSE)),""))</f>
        <v>0</v>
      </c>
      <c r="E229" s="60">
        <f>(IF((VLOOKUP(Table1[[#This Row],[SKU]],'All Skus'!$A:$AC,2,FALSE))="AKG",(VLOOKUP(Table1[[#This Row],[SKU]],'All Skus'!$A:$AC,6,FALSE)),""))</f>
        <v>0</v>
      </c>
      <c r="F229" s="60">
        <f>(IF((VLOOKUP(Table1[[#This Row],[SKU]],'All Skus'!$A:$AC,2,FALSE))="AKG",(VLOOKUP(Table1[[#This Row],[SKU]],'All Skus'!$A:$AC,7,FALSE)),""))</f>
        <v>0</v>
      </c>
      <c r="G229" s="45">
        <f>(IF((VLOOKUP(Table1[[#This Row],[SKU]],'All Skus'!$A:$AC,2,FALSE))="AKG",(VLOOKUP(Table1[[#This Row],[SKU]],'All Skus'!$A:$AC,8,FALSE)),""))</f>
        <v>0</v>
      </c>
      <c r="H229" s="45">
        <f>(IF((VLOOKUP(Table1[[#This Row],[SKU]],'All Skus'!$A:$AC,2,FALSE))="AKG",(VLOOKUP(Table1[[#This Row],[SKU]],'All Skus'!$A:$AC,9,FALSE)),""))</f>
        <v>0</v>
      </c>
      <c r="I229" s="141">
        <f>(IF((VLOOKUP(Table1[[#This Row],[SKU]],'All Skus'!$A:$AC,2,FALSE))="AKG",(VLOOKUP(Table1[[#This Row],[SKU]],'All Skus'!$A:$AC,10,FALSE)),""))</f>
        <v>0</v>
      </c>
      <c r="J229" s="141">
        <f>(IF((VLOOKUP(Table1[[#This Row],[SKU]],'All Skus'!$A:$AC,2,FALSE))="AKG",(VLOOKUP(Table1[[#This Row],[SKU]],'All Skus'!$A:$AC,11,FALSE)),""))</f>
        <v>0</v>
      </c>
      <c r="K229" s="125">
        <f>(IF((VLOOKUP(Table1[[#This Row],[SKU]],'All Skus'!$A:$AC,2,FALSE))="AKG",(VLOOKUP(Table1[[#This Row],[SKU]],'All Skus'!$A:$AC,15,FALSE)),""))</f>
        <v>0</v>
      </c>
      <c r="L229" s="124">
        <f>(IF((VLOOKUP(Table1[[#This Row],[SKU]],'All Skus'!$A:$AC,2,FALSE))="AKG",(VLOOKUP(Table1[[#This Row],[SKU]],'All Skus'!$A:$AC,16,FALSE)),""))</f>
        <v>0</v>
      </c>
      <c r="M229" s="124">
        <f>(IF((VLOOKUP(Table1[[#This Row],[SKU]],'All Skus'!$A:$AC,2,FALSE))="AKG",(VLOOKUP(Table1[[#This Row],[SKU]],'All Skus'!$A:$AC,17,FALSE)),""))</f>
        <v>0</v>
      </c>
      <c r="N229" s="64">
        <f>(IF((VLOOKUP(Table1[[#This Row],[SKU]],'All Skus'!$A:$AC,2,FALSE))="AKG",(VLOOKUP(Table1[[#This Row],[SKU]],'All Skus'!$A:$AC,18,FALSE)),""))</f>
        <v>0</v>
      </c>
      <c r="O229" s="64">
        <f>(IF((VLOOKUP(Table1[[#This Row],[SKU]],'All Skus'!$A:$AC,2,FALSE))="AKG",(VLOOKUP(Table1[[#This Row],[SKU]],'All Skus'!$A:$AC,19,FALSE)),""))</f>
        <v>0</v>
      </c>
      <c r="P229" s="64">
        <f>(IF((VLOOKUP(Table1[[#This Row],[SKU]],'All Skus'!$A:$AC,2,FALSE))="AKG",(VLOOKUP(Table1[[#This Row],[SKU]],'All Skus'!$A:$AC,20,FALSE)),""))</f>
        <v>0</v>
      </c>
      <c r="Q229" s="64">
        <f>(IF((VLOOKUP(Table1[[#This Row],[SKU]],'All Skus'!$A:$AC,2,FALSE))="AKG",(VLOOKUP(Table1[[#This Row],[SKU]],'All Skus'!$A:$AC,21,FALSE)),""))</f>
        <v>0</v>
      </c>
      <c r="R229" s="64">
        <f>(IF((VLOOKUP(Table1[[#This Row],[SKU]],'All Skus'!$A:$AC,2,FALSE))="AKG",(VLOOKUP(Table1[[#This Row],[SKU]],'All Skus'!$A:$AC,22,FALSE)),""))</f>
        <v>0</v>
      </c>
      <c r="S229" s="64">
        <f>(IF((VLOOKUP(Table1[[#This Row],[SKU]],'All Skus'!$A:$AC,2,FALSE))="AKG",(VLOOKUP(Table1[[#This Row],[SKU]],'All Skus'!$A:$AC,23,FALSE)),""))</f>
        <v>0</v>
      </c>
      <c r="T229" s="210" t="str">
        <f>HYPERLINK((IF((VLOOKUP(Table1[[#This Row],[SKU]],'All Skus'!$A:$AC,2,FALSE))="AKG",(VLOOKUP(Table1[[#This Row],[SKU]],'All Skus'!$A:$AC,24,FALSE)),"")))</f>
        <v/>
      </c>
      <c r="U229" s="151">
        <v>227</v>
      </c>
    </row>
    <row r="230" spans="1:21" ht="15" hidden="1" customHeight="1">
      <c r="A230" s="50" t="s">
        <v>386</v>
      </c>
      <c r="B230" s="52" t="str">
        <f>(IF((VLOOKUP(Table1[[#This Row],[SKU]],'All Skus'!$A:$AC,2,FALSE))="AKG",(VLOOKUP(Table1[[#This Row],[SKU]],'All Skus'!$A:$AC,3,FALSE)), ""))</f>
        <v>Wireless Mics</v>
      </c>
      <c r="C230" s="60" t="str">
        <f>(IF((VLOOKUP(Table1[[#This Row],[SKU]],'All Skus'!$A:$AC,2,FALSE))="AKG",(VLOOKUP(Table1[[#This Row],[SKU]],'All Skus'!$A:$AC,4,FALSE)),""))</f>
        <v>HT420 Band A</v>
      </c>
      <c r="D230" s="60" t="str">
        <f>(IF((VLOOKUP(Table1[[#This Row],[SKU]],'All Skus'!$A:$AC,2,FALSE))="AKG",(VLOOKUP(Table1[[#This Row],[SKU]],'All Skus'!$A:$AC,5,FALSE)),""))</f>
        <v>AT620000</v>
      </c>
      <c r="E230" s="60">
        <f>(IF((VLOOKUP(Table1[[#This Row],[SKU]],'All Skus'!$A:$AC,2,FALSE))="AKG",(VLOOKUP(Table1[[#This Row],[SKU]],'All Skus'!$A:$AC,6,FALSE)),""))</f>
        <v>0</v>
      </c>
      <c r="F230" s="60">
        <f>(IF((VLOOKUP(Table1[[#This Row],[SKU]],'All Skus'!$A:$AC,2,FALSE))="AKG",(VLOOKUP(Table1[[#This Row],[SKU]],'All Skus'!$A:$AC,7,FALSE)),""))</f>
        <v>0</v>
      </c>
      <c r="G230" s="45" t="str">
        <f>(IF((VLOOKUP(Table1[[#This Row],[SKU]],'All Skus'!$A:$AC,2,FALSE))="AKG",(VLOOKUP(Table1[[#This Row],[SKU]],'All Skus'!$A:$AC,8,FALSE)),""))</f>
        <v>Wireless Microphone System 420</v>
      </c>
      <c r="H230" s="45" t="str">
        <f>(IF((VLOOKUP(Table1[[#This Row],[SKU]],'All Skus'!$A:$AC,2,FALSE))="AKG",(VLOOKUP(Table1[[#This Row],[SKU]],'All Skus'!$A:$AC,9,FALSE)),""))</f>
        <v>Handheld transmitter</v>
      </c>
      <c r="I230" s="141">
        <f>(IF((VLOOKUP(Table1[[#This Row],[SKU]],'All Skus'!$A:$AC,2,FALSE))="AKG",(VLOOKUP(Table1[[#This Row],[SKU]],'All Skus'!$A:$AC,10,FALSE)),""))</f>
        <v>226.89</v>
      </c>
      <c r="J230" s="141">
        <f>(IF((VLOOKUP(Table1[[#This Row],[SKU]],'All Skus'!$A:$AC,2,FALSE))="AKG",(VLOOKUP(Table1[[#This Row],[SKU]],'All Skus'!$A:$AC,11,FALSE)),""))</f>
        <v>181</v>
      </c>
      <c r="K230" s="125">
        <f>(IF((VLOOKUP(Table1[[#This Row],[SKU]],'All Skus'!$A:$AC,2,FALSE))="AKG",(VLOOKUP(Table1[[#This Row],[SKU]],'All Skus'!$A:$AC,15,FALSE)),""))</f>
        <v>0</v>
      </c>
      <c r="L230" s="124">
        <f>(IF((VLOOKUP(Table1[[#This Row],[SKU]],'All Skus'!$A:$AC,2,FALSE))="AKG",(VLOOKUP(Table1[[#This Row],[SKU]],'All Skus'!$A:$AC,16,FALSE)),""))</f>
        <v>885038036166</v>
      </c>
      <c r="M230" s="124">
        <f>(IF((VLOOKUP(Table1[[#This Row],[SKU]],'All Skus'!$A:$AC,2,FALSE))="AKG",(VLOOKUP(Table1[[#This Row],[SKU]],'All Skus'!$A:$AC,17,FALSE)),""))</f>
        <v>9002761036169</v>
      </c>
      <c r="N230" s="64">
        <f>(IF((VLOOKUP(Table1[[#This Row],[SKU]],'All Skus'!$A:$AC,2,FALSE))="AKG",(VLOOKUP(Table1[[#This Row],[SKU]],'All Skus'!$A:$AC,18,FALSE)),""))</f>
        <v>18</v>
      </c>
      <c r="O230" s="64">
        <f>(IF((VLOOKUP(Table1[[#This Row],[SKU]],'All Skus'!$A:$AC,2,FALSE))="AKG",(VLOOKUP(Table1[[#This Row],[SKU]],'All Skus'!$A:$AC,19,FALSE)),""))</f>
        <v>19</v>
      </c>
      <c r="P230" s="64">
        <f>(IF((VLOOKUP(Table1[[#This Row],[SKU]],'All Skus'!$A:$AC,2,FALSE))="AKG",(VLOOKUP(Table1[[#This Row],[SKU]],'All Skus'!$A:$AC,20,FALSE)),""))</f>
        <v>15</v>
      </c>
      <c r="Q230" s="64">
        <f>(IF((VLOOKUP(Table1[[#This Row],[SKU]],'All Skus'!$A:$AC,2,FALSE))="AKG",(VLOOKUP(Table1[[#This Row],[SKU]],'All Skus'!$A:$AC,21,FALSE)),""))</f>
        <v>0.4</v>
      </c>
      <c r="R230" s="64" t="str">
        <f>(IF((VLOOKUP(Table1[[#This Row],[SKU]],'All Skus'!$A:$AC,2,FALSE))="AKG",(VLOOKUP(Table1[[#This Row],[SKU]],'All Skus'!$A:$AC,22,FALSE)),""))</f>
        <v>CN</v>
      </c>
      <c r="S230" s="64" t="str">
        <f>(IF((VLOOKUP(Table1[[#This Row],[SKU]],'All Skus'!$A:$AC,2,FALSE))="AKG",(VLOOKUP(Table1[[#This Row],[SKU]],'All Skus'!$A:$AC,23,FALSE)),""))</f>
        <v>Non Compliant</v>
      </c>
      <c r="T230" s="210" t="str">
        <f>HYPERLINK((IF((VLOOKUP(Table1[[#This Row],[SKU]],'All Skus'!$A:$AC,2,FALSE))="AKG",(VLOOKUP(Table1[[#This Row],[SKU]],'All Skus'!$A:$AC,24,FALSE)),"")))</f>
        <v>https://www.akg.com/Wireless/wireless-components/3411X00010.html</v>
      </c>
      <c r="U230" s="151">
        <v>228</v>
      </c>
    </row>
    <row r="231" spans="1:21" ht="15" hidden="1" customHeight="1">
      <c r="A231" s="50" t="s">
        <v>387</v>
      </c>
      <c r="B231" s="52" t="str">
        <f>(IF((VLOOKUP(Table1[[#This Row],[SKU]],'All Skus'!$A:$AC,2,FALSE))="AKG",(VLOOKUP(Table1[[#This Row],[SKU]],'All Skus'!$A:$AC,3,FALSE)), ""))</f>
        <v>Wireless Mics</v>
      </c>
      <c r="C231" s="60" t="str">
        <f>(IF((VLOOKUP(Table1[[#This Row],[SKU]],'All Skus'!$A:$AC,2,FALSE))="AKG",(VLOOKUP(Table1[[#This Row],[SKU]],'All Skus'!$A:$AC,4,FALSE)),""))</f>
        <v>PT420 Band A</v>
      </c>
      <c r="D231" s="60" t="str">
        <f>(IF((VLOOKUP(Table1[[#This Row],[SKU]],'All Skus'!$A:$AC,2,FALSE))="AKG",(VLOOKUP(Table1[[#This Row],[SKU]],'All Skus'!$A:$AC,5,FALSE)),""))</f>
        <v>AT620000</v>
      </c>
      <c r="E231" s="60">
        <f>(IF((VLOOKUP(Table1[[#This Row],[SKU]],'All Skus'!$A:$AC,2,FALSE))="AKG",(VLOOKUP(Table1[[#This Row],[SKU]],'All Skus'!$A:$AC,6,FALSE)),""))</f>
        <v>0</v>
      </c>
      <c r="F231" s="60">
        <f>(IF((VLOOKUP(Table1[[#This Row],[SKU]],'All Skus'!$A:$AC,2,FALSE))="AKG",(VLOOKUP(Table1[[#This Row],[SKU]],'All Skus'!$A:$AC,7,FALSE)),""))</f>
        <v>0</v>
      </c>
      <c r="G231" s="45" t="str">
        <f>(IF((VLOOKUP(Table1[[#This Row],[SKU]],'All Skus'!$A:$AC,2,FALSE))="AKG",(VLOOKUP(Table1[[#This Row],[SKU]],'All Skus'!$A:$AC,8,FALSE)),""))</f>
        <v>Wireless Microphone System 420</v>
      </c>
      <c r="H231" s="45" t="str">
        <f>(IF((VLOOKUP(Table1[[#This Row],[SKU]],'All Skus'!$A:$AC,2,FALSE))="AKG",(VLOOKUP(Table1[[#This Row],[SKU]],'All Skus'!$A:$AC,9,FALSE)),""))</f>
        <v>Pocket transmitter</v>
      </c>
      <c r="I231" s="141">
        <f>(IF((VLOOKUP(Table1[[#This Row],[SKU]],'All Skus'!$A:$AC,2,FALSE))="AKG",(VLOOKUP(Table1[[#This Row],[SKU]],'All Skus'!$A:$AC,10,FALSE)),""))</f>
        <v>166.86</v>
      </c>
      <c r="J231" s="141">
        <f>(IF((VLOOKUP(Table1[[#This Row],[SKU]],'All Skus'!$A:$AC,2,FALSE))="AKG",(VLOOKUP(Table1[[#This Row],[SKU]],'All Skus'!$A:$AC,11,FALSE)),""))</f>
        <v>129</v>
      </c>
      <c r="K231" s="125">
        <f>(IF((VLOOKUP(Table1[[#This Row],[SKU]],'All Skus'!$A:$AC,2,FALSE))="AKG",(VLOOKUP(Table1[[#This Row],[SKU]],'All Skus'!$A:$AC,15,FALSE)),""))</f>
        <v>0</v>
      </c>
      <c r="L231" s="124">
        <f>(IF((VLOOKUP(Table1[[#This Row],[SKU]],'All Skus'!$A:$AC,2,FALSE))="AKG",(VLOOKUP(Table1[[#This Row],[SKU]],'All Skus'!$A:$AC,16,FALSE)),""))</f>
        <v>885038036258</v>
      </c>
      <c r="M231" s="124">
        <f>(IF((VLOOKUP(Table1[[#This Row],[SKU]],'All Skus'!$A:$AC,2,FALSE))="AKG",(VLOOKUP(Table1[[#This Row],[SKU]],'All Skus'!$A:$AC,17,FALSE)),""))</f>
        <v>9002761036251</v>
      </c>
      <c r="N231" s="64">
        <f>(IF((VLOOKUP(Table1[[#This Row],[SKU]],'All Skus'!$A:$AC,2,FALSE))="AKG",(VLOOKUP(Table1[[#This Row],[SKU]],'All Skus'!$A:$AC,18,FALSE)),""))</f>
        <v>2.25</v>
      </c>
      <c r="O231" s="64">
        <f>(IF((VLOOKUP(Table1[[#This Row],[SKU]],'All Skus'!$A:$AC,2,FALSE))="AKG",(VLOOKUP(Table1[[#This Row],[SKU]],'All Skus'!$A:$AC,19,FALSE)),""))</f>
        <v>14</v>
      </c>
      <c r="P231" s="64">
        <f>(IF((VLOOKUP(Table1[[#This Row],[SKU]],'All Skus'!$A:$AC,2,FALSE))="AKG",(VLOOKUP(Table1[[#This Row],[SKU]],'All Skus'!$A:$AC,20,FALSE)),""))</f>
        <v>9</v>
      </c>
      <c r="Q231" s="64">
        <f>(IF((VLOOKUP(Table1[[#This Row],[SKU]],'All Skus'!$A:$AC,2,FALSE))="AKG",(VLOOKUP(Table1[[#This Row],[SKU]],'All Skus'!$A:$AC,21,FALSE)),""))</f>
        <v>0.4</v>
      </c>
      <c r="R231" s="64" t="str">
        <f>(IF((VLOOKUP(Table1[[#This Row],[SKU]],'All Skus'!$A:$AC,2,FALSE))="AKG",(VLOOKUP(Table1[[#This Row],[SKU]],'All Skus'!$A:$AC,22,FALSE)),""))</f>
        <v>CN</v>
      </c>
      <c r="S231" s="64" t="str">
        <f>(IF((VLOOKUP(Table1[[#This Row],[SKU]],'All Skus'!$A:$AC,2,FALSE))="AKG",(VLOOKUP(Table1[[#This Row],[SKU]],'All Skus'!$A:$AC,23,FALSE)),""))</f>
        <v>Non Compliant</v>
      </c>
      <c r="T231" s="210" t="str">
        <f>HYPERLINK((IF((VLOOKUP(Table1[[#This Row],[SKU]],'All Skus'!$A:$AC,2,FALSE))="AKG",(VLOOKUP(Table1[[#This Row],[SKU]],'All Skus'!$A:$AC,24,FALSE)),"")))</f>
        <v>https://www.akg.com/Wireless/wireless-components/3412H00010.html</v>
      </c>
      <c r="U231" s="151">
        <v>229</v>
      </c>
    </row>
    <row r="232" spans="1:21" ht="15" hidden="1" customHeight="1">
      <c r="A232" s="50" t="s">
        <v>388</v>
      </c>
      <c r="B232" s="52" t="str">
        <f>(IF((VLOOKUP(Table1[[#This Row],[SKU]],'All Skus'!$A:$AC,2,FALSE))="AKG",(VLOOKUP(Table1[[#This Row],[SKU]],'All Skus'!$A:$AC,3,FALSE)), ""))</f>
        <v>Wireless Mics</v>
      </c>
      <c r="C232" s="60" t="str">
        <f>(IF((VLOOKUP(Table1[[#This Row],[SKU]],'All Skus'!$A:$AC,2,FALSE))="AKG",(VLOOKUP(Table1[[#This Row],[SKU]],'All Skus'!$A:$AC,4,FALSE)),""))</f>
        <v>WMS420 HEADWORN SET Band A</v>
      </c>
      <c r="D232" s="60" t="str">
        <f>(IF((VLOOKUP(Table1[[#This Row],[SKU]],'All Skus'!$A:$AC,2,FALSE))="AKG",(VLOOKUP(Table1[[#This Row],[SKU]],'All Skus'!$A:$AC,5,FALSE)),""))</f>
        <v>AT620000</v>
      </c>
      <c r="E232" s="60">
        <f>(IF((VLOOKUP(Table1[[#This Row],[SKU]],'All Skus'!$A:$AC,2,FALSE))="AKG",(VLOOKUP(Table1[[#This Row],[SKU]],'All Skus'!$A:$AC,6,FALSE)),""))</f>
        <v>0</v>
      </c>
      <c r="F232" s="60">
        <f>(IF((VLOOKUP(Table1[[#This Row],[SKU]],'All Skus'!$A:$AC,2,FALSE))="AKG",(VLOOKUP(Table1[[#This Row],[SKU]],'All Skus'!$A:$AC,7,FALSE)),""))</f>
        <v>0</v>
      </c>
      <c r="G232" s="45" t="str">
        <f>(IF((VLOOKUP(Table1[[#This Row],[SKU]],'All Skus'!$A:$AC,2,FALSE))="AKG",(VLOOKUP(Table1[[#This Row],[SKU]],'All Skus'!$A:$AC,8,FALSE)),""))</f>
        <v>Wireless Microphone System 420</v>
      </c>
      <c r="H232" s="45" t="str">
        <f>(IF((VLOOKUP(Table1[[#This Row],[SKU]],'All Skus'!$A:$AC,2,FALSE))="AKG",(VLOOKUP(Table1[[#This Row],[SKU]],'All Skus'!$A:$AC,9,FALSE)),""))</f>
        <v>Wireless Microphone System</v>
      </c>
      <c r="I232" s="141">
        <f>(IF((VLOOKUP(Table1[[#This Row],[SKU]],'All Skus'!$A:$AC,2,FALSE))="AKG",(VLOOKUP(Table1[[#This Row],[SKU]],'All Skus'!$A:$AC,10,FALSE)),""))</f>
        <v>527</v>
      </c>
      <c r="J232" s="141">
        <f>(IF((VLOOKUP(Table1[[#This Row],[SKU]],'All Skus'!$A:$AC,2,FALSE))="AKG",(VLOOKUP(Table1[[#This Row],[SKU]],'All Skus'!$A:$AC,11,FALSE)),""))</f>
        <v>422</v>
      </c>
      <c r="K232" s="125">
        <f>(IF((VLOOKUP(Table1[[#This Row],[SKU]],'All Skus'!$A:$AC,2,FALSE))="AKG",(VLOOKUP(Table1[[#This Row],[SKU]],'All Skus'!$A:$AC,15,FALSE)),""))</f>
        <v>0</v>
      </c>
      <c r="L232" s="124">
        <f>(IF((VLOOKUP(Table1[[#This Row],[SKU]],'All Skus'!$A:$AC,2,FALSE))="AKG",(VLOOKUP(Table1[[#This Row],[SKU]],'All Skus'!$A:$AC,16,FALSE)),""))</f>
        <v>885038036340</v>
      </c>
      <c r="M232" s="124">
        <f>(IF((VLOOKUP(Table1[[#This Row],[SKU]],'All Skus'!$A:$AC,2,FALSE))="AKG",(VLOOKUP(Table1[[#This Row],[SKU]],'All Skus'!$A:$AC,17,FALSE)),""))</f>
        <v>9002761036343</v>
      </c>
      <c r="N232" s="64">
        <f>(IF((VLOOKUP(Table1[[#This Row],[SKU]],'All Skus'!$A:$AC,2,FALSE))="AKG",(VLOOKUP(Table1[[#This Row],[SKU]],'All Skus'!$A:$AC,18,FALSE)),""))</f>
        <v>14</v>
      </c>
      <c r="O232" s="64">
        <f>(IF((VLOOKUP(Table1[[#This Row],[SKU]],'All Skus'!$A:$AC,2,FALSE))="AKG",(VLOOKUP(Table1[[#This Row],[SKU]],'All Skus'!$A:$AC,19,FALSE)),""))</f>
        <v>17</v>
      </c>
      <c r="P232" s="64">
        <f>(IF((VLOOKUP(Table1[[#This Row],[SKU]],'All Skus'!$A:$AC,2,FALSE))="AKG",(VLOOKUP(Table1[[#This Row],[SKU]],'All Skus'!$A:$AC,20,FALSE)),""))</f>
        <v>17</v>
      </c>
      <c r="Q232" s="64">
        <f>(IF((VLOOKUP(Table1[[#This Row],[SKU]],'All Skus'!$A:$AC,2,FALSE))="AKG",(VLOOKUP(Table1[[#This Row],[SKU]],'All Skus'!$A:$AC,21,FALSE)),""))</f>
        <v>3.2</v>
      </c>
      <c r="R232" s="64" t="str">
        <f>(IF((VLOOKUP(Table1[[#This Row],[SKU]],'All Skus'!$A:$AC,2,FALSE))="AKG",(VLOOKUP(Table1[[#This Row],[SKU]],'All Skus'!$A:$AC,22,FALSE)),""))</f>
        <v>CN</v>
      </c>
      <c r="S232" s="64" t="str">
        <f>(IF((VLOOKUP(Table1[[#This Row],[SKU]],'All Skus'!$A:$AC,2,FALSE))="AKG",(VLOOKUP(Table1[[#This Row],[SKU]],'All Skus'!$A:$AC,23,FALSE)),""))</f>
        <v>Non Compliant</v>
      </c>
      <c r="T232" s="210" t="str">
        <f>HYPERLINK((IF((VLOOKUP(Table1[[#This Row],[SKU]],'All Skus'!$A:$AC,2,FALSE))="AKG",(VLOOKUP(Table1[[#This Row],[SKU]],'All Skus'!$A:$AC,24,FALSE)),"")))</f>
        <v>http://www.akg.com/pro/p/wms420headwornset</v>
      </c>
      <c r="U232" s="151">
        <v>230</v>
      </c>
    </row>
    <row r="233" spans="1:21" ht="15" hidden="1" customHeight="1">
      <c r="A233" s="50" t="s">
        <v>389</v>
      </c>
      <c r="B233" s="52" t="str">
        <f>(IF((VLOOKUP(Table1[[#This Row],[SKU]],'All Skus'!$A:$AC,2,FALSE))="AKG",(VLOOKUP(Table1[[#This Row],[SKU]],'All Skus'!$A:$AC,3,FALSE)), ""))</f>
        <v>Wireless Mics</v>
      </c>
      <c r="C233" s="60" t="str">
        <f>(IF((VLOOKUP(Table1[[#This Row],[SKU]],'All Skus'!$A:$AC,2,FALSE))="AKG",(VLOOKUP(Table1[[#This Row],[SKU]],'All Skus'!$A:$AC,4,FALSE)),""))</f>
        <v>WMS420 PRESENTER SET Band A</v>
      </c>
      <c r="D233" s="60" t="str">
        <f>(IF((VLOOKUP(Table1[[#This Row],[SKU]],'All Skus'!$A:$AC,2,FALSE))="AKG",(VLOOKUP(Table1[[#This Row],[SKU]],'All Skus'!$A:$AC,5,FALSE)),""))</f>
        <v>AT620000</v>
      </c>
      <c r="E233" s="60">
        <f>(IF((VLOOKUP(Table1[[#This Row],[SKU]],'All Skus'!$A:$AC,2,FALSE))="AKG",(VLOOKUP(Table1[[#This Row],[SKU]],'All Skus'!$A:$AC,6,FALSE)),""))</f>
        <v>0</v>
      </c>
      <c r="F233" s="60">
        <f>(IF((VLOOKUP(Table1[[#This Row],[SKU]],'All Skus'!$A:$AC,2,FALSE))="AKG",(VLOOKUP(Table1[[#This Row],[SKU]],'All Skus'!$A:$AC,7,FALSE)),""))</f>
        <v>0</v>
      </c>
      <c r="G233" s="45" t="str">
        <f>(IF((VLOOKUP(Table1[[#This Row],[SKU]],'All Skus'!$A:$AC,2,FALSE))="AKG",(VLOOKUP(Table1[[#This Row],[SKU]],'All Skus'!$A:$AC,8,FALSE)),""))</f>
        <v>Wireless Microphone System 420</v>
      </c>
      <c r="H233" s="45" t="str">
        <f>(IF((VLOOKUP(Table1[[#This Row],[SKU]],'All Skus'!$A:$AC,2,FALSE))="AKG",(VLOOKUP(Table1[[#This Row],[SKU]],'All Skus'!$A:$AC,9,FALSE)),""))</f>
        <v>Wireless Microphone System</v>
      </c>
      <c r="I233" s="141">
        <f>(IF((VLOOKUP(Table1[[#This Row],[SKU]],'All Skus'!$A:$AC,2,FALSE))="AKG",(VLOOKUP(Table1[[#This Row],[SKU]],'All Skus'!$A:$AC,10,FALSE)),""))</f>
        <v>454.98</v>
      </c>
      <c r="J233" s="141">
        <f>(IF((VLOOKUP(Table1[[#This Row],[SKU]],'All Skus'!$A:$AC,2,FALSE))="AKG",(VLOOKUP(Table1[[#This Row],[SKU]],'All Skus'!$A:$AC,11,FALSE)),""))</f>
        <v>356</v>
      </c>
      <c r="K233" s="125">
        <f>(IF((VLOOKUP(Table1[[#This Row],[SKU]],'All Skus'!$A:$AC,2,FALSE))="AKG",(VLOOKUP(Table1[[#This Row],[SKU]],'All Skus'!$A:$AC,15,FALSE)),""))</f>
        <v>0</v>
      </c>
      <c r="L233" s="124">
        <f>(IF((VLOOKUP(Table1[[#This Row],[SKU]],'All Skus'!$A:$AC,2,FALSE))="AKG",(VLOOKUP(Table1[[#This Row],[SKU]],'All Skus'!$A:$AC,16,FALSE)),""))</f>
        <v>885038036432</v>
      </c>
      <c r="M233" s="124">
        <f>(IF((VLOOKUP(Table1[[#This Row],[SKU]],'All Skus'!$A:$AC,2,FALSE))="AKG",(VLOOKUP(Table1[[#This Row],[SKU]],'All Skus'!$A:$AC,17,FALSE)),""))</f>
        <v>9002761036435</v>
      </c>
      <c r="N233" s="64">
        <f>(IF((VLOOKUP(Table1[[#This Row],[SKU]],'All Skus'!$A:$AC,2,FALSE))="AKG",(VLOOKUP(Table1[[#This Row],[SKU]],'All Skus'!$A:$AC,18,FALSE)),""))</f>
        <v>14</v>
      </c>
      <c r="O233" s="64">
        <f>(IF((VLOOKUP(Table1[[#This Row],[SKU]],'All Skus'!$A:$AC,2,FALSE))="AKG",(VLOOKUP(Table1[[#This Row],[SKU]],'All Skus'!$A:$AC,19,FALSE)),""))</f>
        <v>17.5</v>
      </c>
      <c r="P233" s="64">
        <f>(IF((VLOOKUP(Table1[[#This Row],[SKU]],'All Skus'!$A:$AC,2,FALSE))="AKG",(VLOOKUP(Table1[[#This Row],[SKU]],'All Skus'!$A:$AC,20,FALSE)),""))</f>
        <v>17</v>
      </c>
      <c r="Q233" s="64">
        <f>(IF((VLOOKUP(Table1[[#This Row],[SKU]],'All Skus'!$A:$AC,2,FALSE))="AKG",(VLOOKUP(Table1[[#This Row],[SKU]],'All Skus'!$A:$AC,21,FALSE)),""))</f>
        <v>3.2</v>
      </c>
      <c r="R233" s="64" t="str">
        <f>(IF((VLOOKUP(Table1[[#This Row],[SKU]],'All Skus'!$A:$AC,2,FALSE))="AKG",(VLOOKUP(Table1[[#This Row],[SKU]],'All Skus'!$A:$AC,22,FALSE)),""))</f>
        <v>CN</v>
      </c>
      <c r="S233" s="64" t="str">
        <f>(IF((VLOOKUP(Table1[[#This Row],[SKU]],'All Skus'!$A:$AC,2,FALSE))="AKG",(VLOOKUP(Table1[[#This Row],[SKU]],'All Skus'!$A:$AC,23,FALSE)),""))</f>
        <v>Non Compliant</v>
      </c>
      <c r="T233" s="210" t="str">
        <f>HYPERLINK((IF((VLOOKUP(Table1[[#This Row],[SKU]],'All Skus'!$A:$AC,2,FALSE))="AKG",(VLOOKUP(Table1[[#This Row],[SKU]],'All Skus'!$A:$AC,24,FALSE)),"")))</f>
        <v>https://www.akg.com/Wireless/wireless-components/3414H00010.html</v>
      </c>
      <c r="U233" s="151">
        <v>231</v>
      </c>
    </row>
    <row r="234" spans="1:21" ht="15" hidden="1" customHeight="1">
      <c r="A234" s="50" t="s">
        <v>390</v>
      </c>
      <c r="B234" s="52" t="str">
        <f>(IF((VLOOKUP(Table1[[#This Row],[SKU]],'All Skus'!$A:$AC,2,FALSE))="AKG",(VLOOKUP(Table1[[#This Row],[SKU]],'All Skus'!$A:$AC,3,FALSE)), ""))</f>
        <v>Wireless Mics</v>
      </c>
      <c r="C234" s="60" t="str">
        <f>(IF((VLOOKUP(Table1[[#This Row],[SKU]],'All Skus'!$A:$AC,2,FALSE))="AKG",(VLOOKUP(Table1[[#This Row],[SKU]],'All Skus'!$A:$AC,4,FALSE)),""))</f>
        <v>WMS420 INSTRUMENTAL SET Band A</v>
      </c>
      <c r="D234" s="60" t="str">
        <f>(IF((VLOOKUP(Table1[[#This Row],[SKU]],'All Skus'!$A:$AC,2,FALSE))="AKG",(VLOOKUP(Table1[[#This Row],[SKU]],'All Skus'!$A:$AC,5,FALSE)),""))</f>
        <v>AT620000</v>
      </c>
      <c r="E234" s="60">
        <f>(IF((VLOOKUP(Table1[[#This Row],[SKU]],'All Skus'!$A:$AC,2,FALSE))="AKG",(VLOOKUP(Table1[[#This Row],[SKU]],'All Skus'!$A:$AC,6,FALSE)),""))</f>
        <v>0</v>
      </c>
      <c r="F234" s="60">
        <f>(IF((VLOOKUP(Table1[[#This Row],[SKU]],'All Skus'!$A:$AC,2,FALSE))="AKG",(VLOOKUP(Table1[[#This Row],[SKU]],'All Skus'!$A:$AC,7,FALSE)),""))</f>
        <v>0</v>
      </c>
      <c r="G234" s="45" t="str">
        <f>(IF((VLOOKUP(Table1[[#This Row],[SKU]],'All Skus'!$A:$AC,2,FALSE))="AKG",(VLOOKUP(Table1[[#This Row],[SKU]],'All Skus'!$A:$AC,8,FALSE)),""))</f>
        <v>Wireless Microphone System 420</v>
      </c>
      <c r="H234" s="45" t="str">
        <f>(IF((VLOOKUP(Table1[[#This Row],[SKU]],'All Skus'!$A:$AC,2,FALSE))="AKG",(VLOOKUP(Table1[[#This Row],[SKU]],'All Skus'!$A:$AC,9,FALSE)),""))</f>
        <v>Wireless Microphone System</v>
      </c>
      <c r="I234" s="141">
        <f>(IF((VLOOKUP(Table1[[#This Row],[SKU]],'All Skus'!$A:$AC,2,FALSE))="AKG",(VLOOKUP(Table1[[#This Row],[SKU]],'All Skus'!$A:$AC,10,FALSE)),""))</f>
        <v>454.98</v>
      </c>
      <c r="J234" s="141">
        <f>(IF((VLOOKUP(Table1[[#This Row],[SKU]],'All Skus'!$A:$AC,2,FALSE))="AKG",(VLOOKUP(Table1[[#This Row],[SKU]],'All Skus'!$A:$AC,11,FALSE)),""))</f>
        <v>356</v>
      </c>
      <c r="K234" s="125">
        <f>(IF((VLOOKUP(Table1[[#This Row],[SKU]],'All Skus'!$A:$AC,2,FALSE))="AKG",(VLOOKUP(Table1[[#This Row],[SKU]],'All Skus'!$A:$AC,15,FALSE)),""))</f>
        <v>0</v>
      </c>
      <c r="L234" s="124">
        <f>(IF((VLOOKUP(Table1[[#This Row],[SKU]],'All Skus'!$A:$AC,2,FALSE))="AKG",(VLOOKUP(Table1[[#This Row],[SKU]],'All Skus'!$A:$AC,16,FALSE)),""))</f>
        <v>885038036524</v>
      </c>
      <c r="M234" s="124">
        <f>(IF((VLOOKUP(Table1[[#This Row],[SKU]],'All Skus'!$A:$AC,2,FALSE))="AKG",(VLOOKUP(Table1[[#This Row],[SKU]],'All Skus'!$A:$AC,17,FALSE)),""))</f>
        <v>9002761036527</v>
      </c>
      <c r="N234" s="64">
        <f>(IF((VLOOKUP(Table1[[#This Row],[SKU]],'All Skus'!$A:$AC,2,FALSE))="AKG",(VLOOKUP(Table1[[#This Row],[SKU]],'All Skus'!$A:$AC,18,FALSE)),""))</f>
        <v>14</v>
      </c>
      <c r="O234" s="64">
        <f>(IF((VLOOKUP(Table1[[#This Row],[SKU]],'All Skus'!$A:$AC,2,FALSE))="AKG",(VLOOKUP(Table1[[#This Row],[SKU]],'All Skus'!$A:$AC,19,FALSE)),""))</f>
        <v>17.5</v>
      </c>
      <c r="P234" s="64">
        <f>(IF((VLOOKUP(Table1[[#This Row],[SKU]],'All Skus'!$A:$AC,2,FALSE))="AKG",(VLOOKUP(Table1[[#This Row],[SKU]],'All Skus'!$A:$AC,20,FALSE)),""))</f>
        <v>17</v>
      </c>
      <c r="Q234" s="64">
        <f>(IF((VLOOKUP(Table1[[#This Row],[SKU]],'All Skus'!$A:$AC,2,FALSE))="AKG",(VLOOKUP(Table1[[#This Row],[SKU]],'All Skus'!$A:$AC,21,FALSE)),""))</f>
        <v>3.2</v>
      </c>
      <c r="R234" s="64" t="str">
        <f>(IF((VLOOKUP(Table1[[#This Row],[SKU]],'All Skus'!$A:$AC,2,FALSE))="AKG",(VLOOKUP(Table1[[#This Row],[SKU]],'All Skus'!$A:$AC,22,FALSE)),""))</f>
        <v>CN</v>
      </c>
      <c r="S234" s="64" t="str">
        <f>(IF((VLOOKUP(Table1[[#This Row],[SKU]],'All Skus'!$A:$AC,2,FALSE))="AKG",(VLOOKUP(Table1[[#This Row],[SKU]],'All Skus'!$A:$AC,23,FALSE)),""))</f>
        <v>Non Compliant</v>
      </c>
      <c r="T234" s="210" t="str">
        <f>HYPERLINK((IF((VLOOKUP(Table1[[#This Row],[SKU]],'All Skus'!$A:$AC,2,FALSE))="AKG",(VLOOKUP(Table1[[#This Row],[SKU]],'All Skus'!$A:$AC,24,FALSE)),"")))</f>
        <v>https://www.akg.com/Wireless/wireless-components/3415H00010.html</v>
      </c>
      <c r="U234" s="151">
        <v>232</v>
      </c>
    </row>
    <row r="235" spans="1:21" ht="15" hidden="1" customHeight="1">
      <c r="A235" s="50" t="s">
        <v>391</v>
      </c>
      <c r="B235" s="52" t="str">
        <f>(IF((VLOOKUP(Table1[[#This Row],[SKU]],'All Skus'!$A:$AC,2,FALSE))="AKG",(VLOOKUP(Table1[[#This Row],[SKU]],'All Skus'!$A:$AC,3,FALSE)), ""))</f>
        <v>Wireless Mics</v>
      </c>
      <c r="C235" s="60" t="str">
        <f>(IF((VLOOKUP(Table1[[#This Row],[SKU]],'All Skus'!$A:$AC,2,FALSE))="AKG",(VLOOKUP(Table1[[#This Row],[SKU]],'All Skus'!$A:$AC,4,FALSE)),""))</f>
        <v>WMS420 VOCAL SET Band A</v>
      </c>
      <c r="D235" s="60" t="str">
        <f>(IF((VLOOKUP(Table1[[#This Row],[SKU]],'All Skus'!$A:$AC,2,FALSE))="AKG",(VLOOKUP(Table1[[#This Row],[SKU]],'All Skus'!$A:$AC,5,FALSE)),""))</f>
        <v>AT620000</v>
      </c>
      <c r="E235" s="60">
        <f>(IF((VLOOKUP(Table1[[#This Row],[SKU]],'All Skus'!$A:$AC,2,FALSE))="AKG",(VLOOKUP(Table1[[#This Row],[SKU]],'All Skus'!$A:$AC,6,FALSE)),""))</f>
        <v>0</v>
      </c>
      <c r="F235" s="60">
        <f>(IF((VLOOKUP(Table1[[#This Row],[SKU]],'All Skus'!$A:$AC,2,FALSE))="AKG",(VLOOKUP(Table1[[#This Row],[SKU]],'All Skus'!$A:$AC,7,FALSE)),""))</f>
        <v>0</v>
      </c>
      <c r="G235" s="45" t="str">
        <f>(IF((VLOOKUP(Table1[[#This Row],[SKU]],'All Skus'!$A:$AC,2,FALSE))="AKG",(VLOOKUP(Table1[[#This Row],[SKU]],'All Skus'!$A:$AC,8,FALSE)),""))</f>
        <v>Wireless Microphone System 420</v>
      </c>
      <c r="H235" s="45" t="str">
        <f>(IF((VLOOKUP(Table1[[#This Row],[SKU]],'All Skus'!$A:$AC,2,FALSE))="AKG",(VLOOKUP(Table1[[#This Row],[SKU]],'All Skus'!$A:$AC,9,FALSE)),""))</f>
        <v>Wireless Microphone System</v>
      </c>
      <c r="I235" s="141">
        <f>(IF((VLOOKUP(Table1[[#This Row],[SKU]],'All Skus'!$A:$AC,2,FALSE))="AKG",(VLOOKUP(Table1[[#This Row],[SKU]],'All Skus'!$A:$AC,10,FALSE)),""))</f>
        <v>454.98</v>
      </c>
      <c r="J235" s="141">
        <f>(IF((VLOOKUP(Table1[[#This Row],[SKU]],'All Skus'!$A:$AC,2,FALSE))="AKG",(VLOOKUP(Table1[[#This Row],[SKU]],'All Skus'!$A:$AC,11,FALSE)),""))</f>
        <v>356</v>
      </c>
      <c r="K235" s="125">
        <f>(IF((VLOOKUP(Table1[[#This Row],[SKU]],'All Skus'!$A:$AC,2,FALSE))="AKG",(VLOOKUP(Table1[[#This Row],[SKU]],'All Skus'!$A:$AC,15,FALSE)),""))</f>
        <v>0</v>
      </c>
      <c r="L235" s="124">
        <f>(IF((VLOOKUP(Table1[[#This Row],[SKU]],'All Skus'!$A:$AC,2,FALSE))="AKG",(VLOOKUP(Table1[[#This Row],[SKU]],'All Skus'!$A:$AC,16,FALSE)),""))</f>
        <v>885038036616</v>
      </c>
      <c r="M235" s="124">
        <f>(IF((VLOOKUP(Table1[[#This Row],[SKU]],'All Skus'!$A:$AC,2,FALSE))="AKG",(VLOOKUP(Table1[[#This Row],[SKU]],'All Skus'!$A:$AC,17,FALSE)),""))</f>
        <v>9002761036619</v>
      </c>
      <c r="N235" s="64">
        <f>(IF((VLOOKUP(Table1[[#This Row],[SKU]],'All Skus'!$A:$AC,2,FALSE))="AKG",(VLOOKUP(Table1[[#This Row],[SKU]],'All Skus'!$A:$AC,18,FALSE)),""))</f>
        <v>14</v>
      </c>
      <c r="O235" s="64">
        <f>(IF((VLOOKUP(Table1[[#This Row],[SKU]],'All Skus'!$A:$AC,2,FALSE))="AKG",(VLOOKUP(Table1[[#This Row],[SKU]],'All Skus'!$A:$AC,19,FALSE)),""))</f>
        <v>17</v>
      </c>
      <c r="P235" s="64">
        <f>(IF((VLOOKUP(Table1[[#This Row],[SKU]],'All Skus'!$A:$AC,2,FALSE))="AKG",(VLOOKUP(Table1[[#This Row],[SKU]],'All Skus'!$A:$AC,20,FALSE)),""))</f>
        <v>17</v>
      </c>
      <c r="Q235" s="64">
        <f>(IF((VLOOKUP(Table1[[#This Row],[SKU]],'All Skus'!$A:$AC,2,FALSE))="AKG",(VLOOKUP(Table1[[#This Row],[SKU]],'All Skus'!$A:$AC,21,FALSE)),""))</f>
        <v>3.2</v>
      </c>
      <c r="R235" s="64" t="str">
        <f>(IF((VLOOKUP(Table1[[#This Row],[SKU]],'All Skus'!$A:$AC,2,FALSE))="AKG",(VLOOKUP(Table1[[#This Row],[SKU]],'All Skus'!$A:$AC,22,FALSE)),""))</f>
        <v>CN</v>
      </c>
      <c r="S235" s="64" t="str">
        <f>(IF((VLOOKUP(Table1[[#This Row],[SKU]],'All Skus'!$A:$AC,2,FALSE))="AKG",(VLOOKUP(Table1[[#This Row],[SKU]],'All Skus'!$A:$AC,23,FALSE)),""))</f>
        <v>Non Compliant</v>
      </c>
      <c r="T235" s="210" t="str">
        <f>HYPERLINK((IF((VLOOKUP(Table1[[#This Row],[SKU]],'All Skus'!$A:$AC,2,FALSE))="AKG",(VLOOKUP(Table1[[#This Row],[SKU]],'All Skus'!$A:$AC,24,FALSE)),"")))</f>
        <v>https://www.akg.com/Wireless/wireless-components/3416H00010.html</v>
      </c>
      <c r="U235" s="151">
        <v>233</v>
      </c>
    </row>
    <row r="236" spans="1:21" ht="15" hidden="1" customHeight="1">
      <c r="A236" s="126" t="s">
        <v>392</v>
      </c>
      <c r="B236" s="52">
        <f>(IF((VLOOKUP(Table1[[#This Row],[SKU]],'All Skus'!$A:$AC,2,FALSE))="AKG",(VLOOKUP(Table1[[#This Row],[SKU]],'All Skus'!$A:$AC,3,FALSE)), ""))</f>
        <v>0</v>
      </c>
      <c r="C236" s="60">
        <f>(IF((VLOOKUP(Table1[[#This Row],[SKU]],'All Skus'!$A:$AC,2,FALSE))="AKG",(VLOOKUP(Table1[[#This Row],[SKU]],'All Skus'!$A:$AC,4,FALSE)),""))</f>
        <v>0</v>
      </c>
      <c r="D236" s="60">
        <f>(IF((VLOOKUP(Table1[[#This Row],[SKU]],'All Skus'!$A:$AC,2,FALSE))="AKG",(VLOOKUP(Table1[[#This Row],[SKU]],'All Skus'!$A:$AC,5,FALSE)),""))</f>
        <v>0</v>
      </c>
      <c r="E236" s="60">
        <f>(IF((VLOOKUP(Table1[[#This Row],[SKU]],'All Skus'!$A:$AC,2,FALSE))="AKG",(VLOOKUP(Table1[[#This Row],[SKU]],'All Skus'!$A:$AC,6,FALSE)),""))</f>
        <v>0</v>
      </c>
      <c r="F236" s="60">
        <f>(IF((VLOOKUP(Table1[[#This Row],[SKU]],'All Skus'!$A:$AC,2,FALSE))="AKG",(VLOOKUP(Table1[[#This Row],[SKU]],'All Skus'!$A:$AC,7,FALSE)),""))</f>
        <v>0</v>
      </c>
      <c r="G236" s="45">
        <f>(IF((VLOOKUP(Table1[[#This Row],[SKU]],'All Skus'!$A:$AC,2,FALSE))="AKG",(VLOOKUP(Table1[[#This Row],[SKU]],'All Skus'!$A:$AC,8,FALSE)),""))</f>
        <v>0</v>
      </c>
      <c r="H236" s="45">
        <f>(IF((VLOOKUP(Table1[[#This Row],[SKU]],'All Skus'!$A:$AC,2,FALSE))="AKG",(VLOOKUP(Table1[[#This Row],[SKU]],'All Skus'!$A:$AC,9,FALSE)),""))</f>
        <v>0</v>
      </c>
      <c r="I236" s="141">
        <f>(IF((VLOOKUP(Table1[[#This Row],[SKU]],'All Skus'!$A:$AC,2,FALSE))="AKG",(VLOOKUP(Table1[[#This Row],[SKU]],'All Skus'!$A:$AC,10,FALSE)),""))</f>
        <v>0</v>
      </c>
      <c r="J236" s="141">
        <f>(IF((VLOOKUP(Table1[[#This Row],[SKU]],'All Skus'!$A:$AC,2,FALSE))="AKG",(VLOOKUP(Table1[[#This Row],[SKU]],'All Skus'!$A:$AC,11,FALSE)),""))</f>
        <v>0</v>
      </c>
      <c r="K236" s="125">
        <f>(IF((VLOOKUP(Table1[[#This Row],[SKU]],'All Skus'!$A:$AC,2,FALSE))="AKG",(VLOOKUP(Table1[[#This Row],[SKU]],'All Skus'!$A:$AC,15,FALSE)),""))</f>
        <v>0</v>
      </c>
      <c r="L236" s="124">
        <f>(IF((VLOOKUP(Table1[[#This Row],[SKU]],'All Skus'!$A:$AC,2,FALSE))="AKG",(VLOOKUP(Table1[[#This Row],[SKU]],'All Skus'!$A:$AC,16,FALSE)),""))</f>
        <v>0</v>
      </c>
      <c r="M236" s="124">
        <f>(IF((VLOOKUP(Table1[[#This Row],[SKU]],'All Skus'!$A:$AC,2,FALSE))="AKG",(VLOOKUP(Table1[[#This Row],[SKU]],'All Skus'!$A:$AC,17,FALSE)),""))</f>
        <v>0</v>
      </c>
      <c r="N236" s="64">
        <f>(IF((VLOOKUP(Table1[[#This Row],[SKU]],'All Skus'!$A:$AC,2,FALSE))="AKG",(VLOOKUP(Table1[[#This Row],[SKU]],'All Skus'!$A:$AC,18,FALSE)),""))</f>
        <v>0</v>
      </c>
      <c r="O236" s="64">
        <f>(IF((VLOOKUP(Table1[[#This Row],[SKU]],'All Skus'!$A:$AC,2,FALSE))="AKG",(VLOOKUP(Table1[[#This Row],[SKU]],'All Skus'!$A:$AC,19,FALSE)),""))</f>
        <v>0</v>
      </c>
      <c r="P236" s="64">
        <f>(IF((VLOOKUP(Table1[[#This Row],[SKU]],'All Skus'!$A:$AC,2,FALSE))="AKG",(VLOOKUP(Table1[[#This Row],[SKU]],'All Skus'!$A:$AC,20,FALSE)),""))</f>
        <v>0</v>
      </c>
      <c r="Q236" s="64">
        <f>(IF((VLOOKUP(Table1[[#This Row],[SKU]],'All Skus'!$A:$AC,2,FALSE))="AKG",(VLOOKUP(Table1[[#This Row],[SKU]],'All Skus'!$A:$AC,21,FALSE)),""))</f>
        <v>0</v>
      </c>
      <c r="R236" s="64">
        <f>(IF((VLOOKUP(Table1[[#This Row],[SKU]],'All Skus'!$A:$AC,2,FALSE))="AKG",(VLOOKUP(Table1[[#This Row],[SKU]],'All Skus'!$A:$AC,22,FALSE)),""))</f>
        <v>0</v>
      </c>
      <c r="S236" s="64">
        <f>(IF((VLOOKUP(Table1[[#This Row],[SKU]],'All Skus'!$A:$AC,2,FALSE))="AKG",(VLOOKUP(Table1[[#This Row],[SKU]],'All Skus'!$A:$AC,23,FALSE)),""))</f>
        <v>0</v>
      </c>
      <c r="T236" s="210" t="str">
        <f>HYPERLINK((IF((VLOOKUP(Table1[[#This Row],[SKU]],'All Skus'!$A:$AC,2,FALSE))="AKG",(VLOOKUP(Table1[[#This Row],[SKU]],'All Skus'!$A:$AC,24,FALSE)),"")))</f>
        <v/>
      </c>
      <c r="U236" s="151">
        <v>234</v>
      </c>
    </row>
    <row r="237" spans="1:21" ht="15" hidden="1" customHeight="1">
      <c r="A237" s="50" t="s">
        <v>393</v>
      </c>
      <c r="B237" s="52" t="str">
        <f>(IF((VLOOKUP(Table1[[#This Row],[SKU]],'All Skus'!$A:$AC,2,FALSE))="AKG",(VLOOKUP(Table1[[#This Row],[SKU]],'All Skus'!$A:$AC,3,FALSE)), ""))</f>
        <v>Wireless Mics</v>
      </c>
      <c r="C237" s="60" t="str">
        <f>(IF((VLOOKUP(Table1[[#This Row],[SKU]],'All Skus'!$A:$AC,2,FALSE))="AKG",(VLOOKUP(Table1[[#This Row],[SKU]],'All Skus'!$A:$AC,4,FALSE)),""))</f>
        <v>SR470 BD7</v>
      </c>
      <c r="D237" s="60">
        <f>(IF((VLOOKUP(Table1[[#This Row],[SKU]],'All Skus'!$A:$AC,2,FALSE))="AKG",(VLOOKUP(Table1[[#This Row],[SKU]],'All Skus'!$A:$AC,5,FALSE)),""))</f>
        <v>81200200</v>
      </c>
      <c r="E237" s="60">
        <f>(IF((VLOOKUP(Table1[[#This Row],[SKU]],'All Skus'!$A:$AC,2,FALSE))="AKG",(VLOOKUP(Table1[[#This Row],[SKU]],'All Skus'!$A:$AC,6,FALSE)),""))</f>
        <v>0</v>
      </c>
      <c r="F237" s="60">
        <f>(IF((VLOOKUP(Table1[[#This Row],[SKU]],'All Skus'!$A:$AC,2,FALSE))="AKG",(VLOOKUP(Table1[[#This Row],[SKU]],'All Skus'!$A:$AC,7,FALSE)),""))</f>
        <v>0</v>
      </c>
      <c r="G237" s="45" t="str">
        <f>(IF((VLOOKUP(Table1[[#This Row],[SKU]],'All Skus'!$A:$AC,2,FALSE))="AKG",(VLOOKUP(Table1[[#This Row],[SKU]],'All Skus'!$A:$AC,8,FALSE)),""))</f>
        <v>Wireless Microphone System 470</v>
      </c>
      <c r="H237" s="45" t="str">
        <f>(IF((VLOOKUP(Table1[[#This Row],[SKU]],'All Skus'!$A:$AC,2,FALSE))="AKG",(VLOOKUP(Table1[[#This Row],[SKU]],'All Skus'!$A:$AC,9,FALSE)),""))</f>
        <v>Wireless stationary receiver, rack mount unit included, pilot tone - NO AC adapter, please order 7801H00120 additionally.</v>
      </c>
      <c r="I237" s="141">
        <f>(IF((VLOOKUP(Table1[[#This Row],[SKU]],'All Skus'!$A:$AC,2,FALSE))="AKG",(VLOOKUP(Table1[[#This Row],[SKU]],'All Skus'!$A:$AC,10,FALSE)),""))</f>
        <v>454.98</v>
      </c>
      <c r="J237" s="141">
        <f>(IF((VLOOKUP(Table1[[#This Row],[SKU]],'All Skus'!$A:$AC,2,FALSE))="AKG",(VLOOKUP(Table1[[#This Row],[SKU]],'All Skus'!$A:$AC,11,FALSE)),""))</f>
        <v>356</v>
      </c>
      <c r="K237" s="125">
        <f>(IF((VLOOKUP(Table1[[#This Row],[SKU]],'All Skus'!$A:$AC,2,FALSE))="AKG",(VLOOKUP(Table1[[#This Row],[SKU]],'All Skus'!$A:$AC,15,FALSE)),""))</f>
        <v>0</v>
      </c>
      <c r="L237" s="124">
        <f>(IF((VLOOKUP(Table1[[#This Row],[SKU]],'All Skus'!$A:$AC,2,FALSE))="AKG",(VLOOKUP(Table1[[#This Row],[SKU]],'All Skus'!$A:$AC,16,FALSE)),""))</f>
        <v>885038029410</v>
      </c>
      <c r="M237" s="124">
        <f>(IF((VLOOKUP(Table1[[#This Row],[SKU]],'All Skus'!$A:$AC,2,FALSE))="AKG",(VLOOKUP(Table1[[#This Row],[SKU]],'All Skus'!$A:$AC,17,FALSE)),""))</f>
        <v>9002761029413</v>
      </c>
      <c r="N237" s="64">
        <f>(IF((VLOOKUP(Table1[[#This Row],[SKU]],'All Skus'!$A:$AC,2,FALSE))="AKG",(VLOOKUP(Table1[[#This Row],[SKU]],'All Skus'!$A:$AC,18,FALSE)),""))</f>
        <v>3</v>
      </c>
      <c r="O237" s="64">
        <f>(IF((VLOOKUP(Table1[[#This Row],[SKU]],'All Skus'!$A:$AC,2,FALSE))="AKG",(VLOOKUP(Table1[[#This Row],[SKU]],'All Skus'!$A:$AC,19,FALSE)),""))</f>
        <v>14</v>
      </c>
      <c r="P237" s="64">
        <f>(IF((VLOOKUP(Table1[[#This Row],[SKU]],'All Skus'!$A:$AC,2,FALSE))="AKG",(VLOOKUP(Table1[[#This Row],[SKU]],'All Skus'!$A:$AC,20,FALSE)),""))</f>
        <v>10</v>
      </c>
      <c r="Q237" s="64">
        <f>(IF((VLOOKUP(Table1[[#This Row],[SKU]],'All Skus'!$A:$AC,2,FALSE))="AKG",(VLOOKUP(Table1[[#This Row],[SKU]],'All Skus'!$A:$AC,21,FALSE)),""))</f>
        <v>14.2</v>
      </c>
      <c r="R237" s="64" t="str">
        <f>(IF((VLOOKUP(Table1[[#This Row],[SKU]],'All Skus'!$A:$AC,2,FALSE))="AKG",(VLOOKUP(Table1[[#This Row],[SKU]],'All Skus'!$A:$AC,22,FALSE)),""))</f>
        <v>CN</v>
      </c>
      <c r="S237" s="64" t="str">
        <f>(IF((VLOOKUP(Table1[[#This Row],[SKU]],'All Skus'!$A:$AC,2,FALSE))="AKG",(VLOOKUP(Table1[[#This Row],[SKU]],'All Skus'!$A:$AC,23,FALSE)),""))</f>
        <v>Non Compliant</v>
      </c>
      <c r="T237" s="210" t="str">
        <f>HYPERLINK((IF((VLOOKUP(Table1[[#This Row],[SKU]],'All Skus'!$A:$AC,2,FALSE))="AKG",(VLOOKUP(Table1[[#This Row],[SKU]],'All Skus'!$A:$AC,24,FALSE)),"")))</f>
        <v>https://www.akg.com/Wireless/wireless-components/3300H00150.html</v>
      </c>
      <c r="U237" s="151">
        <v>235</v>
      </c>
    </row>
    <row r="238" spans="1:21" ht="15" hidden="1" customHeight="1">
      <c r="A238" s="50" t="s">
        <v>394</v>
      </c>
      <c r="B238" s="52" t="str">
        <f>(IF((VLOOKUP(Table1[[#This Row],[SKU]],'All Skus'!$A:$AC,2,FALSE))="AKG",(VLOOKUP(Table1[[#This Row],[SKU]],'All Skus'!$A:$AC,3,FALSE)), ""))</f>
        <v>Wireless Mics</v>
      </c>
      <c r="C238" s="60" t="str">
        <f>(IF((VLOOKUP(Table1[[#This Row],[SKU]],'All Skus'!$A:$AC,2,FALSE))="AKG",(VLOOKUP(Table1[[#This Row],[SKU]],'All Skus'!$A:$AC,4,FALSE)),""))</f>
        <v>SR470 BD8</v>
      </c>
      <c r="D238" s="60" t="str">
        <f>(IF((VLOOKUP(Table1[[#This Row],[SKU]],'All Skus'!$A:$AC,2,FALSE))="AKG",(VLOOKUP(Table1[[#This Row],[SKU]],'All Skus'!$A:$AC,5,FALSE)),""))</f>
        <v>AT620000</v>
      </c>
      <c r="E238" s="60">
        <f>(IF((VLOOKUP(Table1[[#This Row],[SKU]],'All Skus'!$A:$AC,2,FALSE))="AKG",(VLOOKUP(Table1[[#This Row],[SKU]],'All Skus'!$A:$AC,6,FALSE)),""))</f>
        <v>0</v>
      </c>
      <c r="F238" s="60">
        <f>(IF((VLOOKUP(Table1[[#This Row],[SKU]],'All Skus'!$A:$AC,2,FALSE))="AKG",(VLOOKUP(Table1[[#This Row],[SKU]],'All Skus'!$A:$AC,7,FALSE)),""))</f>
        <v>0</v>
      </c>
      <c r="G238" s="45" t="str">
        <f>(IF((VLOOKUP(Table1[[#This Row],[SKU]],'All Skus'!$A:$AC,2,FALSE))="AKG",(VLOOKUP(Table1[[#This Row],[SKU]],'All Skus'!$A:$AC,8,FALSE)),""))</f>
        <v>Wireless Microphone System 470</v>
      </c>
      <c r="H238" s="45" t="str">
        <f>(IF((VLOOKUP(Table1[[#This Row],[SKU]],'All Skus'!$A:$AC,2,FALSE))="AKG",(VLOOKUP(Table1[[#This Row],[SKU]],'All Skus'!$A:$AC,9,FALSE)),""))</f>
        <v>Wireless stationary receiver, rack mount unit included, pilot tone - NO AC adapter, please order 7801H00120 additionally.</v>
      </c>
      <c r="I238" s="141">
        <f>(IF((VLOOKUP(Table1[[#This Row],[SKU]],'All Skus'!$A:$AC,2,FALSE))="AKG",(VLOOKUP(Table1[[#This Row],[SKU]],'All Skus'!$A:$AC,10,FALSE)),""))</f>
        <v>454.98</v>
      </c>
      <c r="J238" s="141">
        <f>(IF((VLOOKUP(Table1[[#This Row],[SKU]],'All Skus'!$A:$AC,2,FALSE))="AKG",(VLOOKUP(Table1[[#This Row],[SKU]],'All Skus'!$A:$AC,11,FALSE)),""))</f>
        <v>356</v>
      </c>
      <c r="K238" s="125">
        <f>(IF((VLOOKUP(Table1[[#This Row],[SKU]],'All Skus'!$A:$AC,2,FALSE))="AKG",(VLOOKUP(Table1[[#This Row],[SKU]],'All Skus'!$A:$AC,15,FALSE)),""))</f>
        <v>0</v>
      </c>
      <c r="L238" s="124">
        <f>(IF((VLOOKUP(Table1[[#This Row],[SKU]],'All Skus'!$A:$AC,2,FALSE))="AKG",(VLOOKUP(Table1[[#This Row],[SKU]],'All Skus'!$A:$AC,16,FALSE)),""))</f>
        <v>885038029427</v>
      </c>
      <c r="M238" s="124">
        <f>(IF((VLOOKUP(Table1[[#This Row],[SKU]],'All Skus'!$A:$AC,2,FALSE))="AKG",(VLOOKUP(Table1[[#This Row],[SKU]],'All Skus'!$A:$AC,17,FALSE)),""))</f>
        <v>9002761029420</v>
      </c>
      <c r="N238" s="64">
        <f>(IF((VLOOKUP(Table1[[#This Row],[SKU]],'All Skus'!$A:$AC,2,FALSE))="AKG",(VLOOKUP(Table1[[#This Row],[SKU]],'All Skus'!$A:$AC,18,FALSE)),""))</f>
        <v>3</v>
      </c>
      <c r="O238" s="64">
        <f>(IF((VLOOKUP(Table1[[#This Row],[SKU]],'All Skus'!$A:$AC,2,FALSE))="AKG",(VLOOKUP(Table1[[#This Row],[SKU]],'All Skus'!$A:$AC,19,FALSE)),""))</f>
        <v>10</v>
      </c>
      <c r="P238" s="64">
        <f>(IF((VLOOKUP(Table1[[#This Row],[SKU]],'All Skus'!$A:$AC,2,FALSE))="AKG",(VLOOKUP(Table1[[#This Row],[SKU]],'All Skus'!$A:$AC,20,FALSE)),""))</f>
        <v>14.5</v>
      </c>
      <c r="Q238" s="64">
        <f>(IF((VLOOKUP(Table1[[#This Row],[SKU]],'All Skus'!$A:$AC,2,FALSE))="AKG",(VLOOKUP(Table1[[#This Row],[SKU]],'All Skus'!$A:$AC,21,FALSE)),""))</f>
        <v>14.2</v>
      </c>
      <c r="R238" s="64" t="str">
        <f>(IF((VLOOKUP(Table1[[#This Row],[SKU]],'All Skus'!$A:$AC,2,FALSE))="AKG",(VLOOKUP(Table1[[#This Row],[SKU]],'All Skus'!$A:$AC,22,FALSE)),""))</f>
        <v>CN</v>
      </c>
      <c r="S238" s="64" t="str">
        <f>(IF((VLOOKUP(Table1[[#This Row],[SKU]],'All Skus'!$A:$AC,2,FALSE))="AKG",(VLOOKUP(Table1[[#This Row],[SKU]],'All Skus'!$A:$AC,23,FALSE)),""))</f>
        <v>Non Compliant</v>
      </c>
      <c r="T238" s="210" t="str">
        <f>HYPERLINK((IF((VLOOKUP(Table1[[#This Row],[SKU]],'All Skus'!$A:$AC,2,FALSE))="AKG",(VLOOKUP(Table1[[#This Row],[SKU]],'All Skus'!$A:$AC,24,FALSE)),"")))</f>
        <v>https://www.akg.com/Wireless/wireless-components/3300H00160.html</v>
      </c>
      <c r="U238" s="151">
        <v>236</v>
      </c>
    </row>
    <row r="239" spans="1:21" ht="15" hidden="1" customHeight="1">
      <c r="A239" s="50" t="s">
        <v>395</v>
      </c>
      <c r="B239" s="52" t="str">
        <f>(IF((VLOOKUP(Table1[[#This Row],[SKU]],'All Skus'!$A:$AC,2,FALSE))="AKG",(VLOOKUP(Table1[[#This Row],[SKU]],'All Skus'!$A:$AC,3,FALSE)), ""))</f>
        <v>Wireless Mics</v>
      </c>
      <c r="C239" s="60" t="str">
        <f>(IF((VLOOKUP(Table1[[#This Row],[SKU]],'All Skus'!$A:$AC,2,FALSE))="AKG",(VLOOKUP(Table1[[#This Row],[SKU]],'All Skus'!$A:$AC,4,FALSE)),""))</f>
        <v>HT470 D5 BD7 50mW</v>
      </c>
      <c r="D239" s="60" t="str">
        <f>(IF((VLOOKUP(Table1[[#This Row],[SKU]],'All Skus'!$A:$AC,2,FALSE))="AKG",(VLOOKUP(Table1[[#This Row],[SKU]],'All Skus'!$A:$AC,5,FALSE)),""))</f>
        <v>AT620000</v>
      </c>
      <c r="E239" s="60">
        <f>(IF((VLOOKUP(Table1[[#This Row],[SKU]],'All Skus'!$A:$AC,2,FALSE))="AKG",(VLOOKUP(Table1[[#This Row],[SKU]],'All Skus'!$A:$AC,6,FALSE)),""))</f>
        <v>0</v>
      </c>
      <c r="F239" s="60">
        <f>(IF((VLOOKUP(Table1[[#This Row],[SKU]],'All Skus'!$A:$AC,2,FALSE))="AKG",(VLOOKUP(Table1[[#This Row],[SKU]],'All Skus'!$A:$AC,7,FALSE)),""))</f>
        <v>0</v>
      </c>
      <c r="G239" s="45" t="str">
        <f>(IF((VLOOKUP(Table1[[#This Row],[SKU]],'All Skus'!$A:$AC,2,FALSE))="AKG",(VLOOKUP(Table1[[#This Row],[SKU]],'All Skus'!$A:$AC,8,FALSE)),""))</f>
        <v>Wireless Microphone System 470</v>
      </c>
      <c r="H239" s="45" t="str">
        <f>(IF((VLOOKUP(Table1[[#This Row],[SKU]],'All Skus'!$A:$AC,2,FALSE))="AKG",(VLOOKUP(Table1[[#This Row],[SKU]],'All Skus'!$A:$AC,9,FALSE)),""))</f>
        <v>Wireless handheld transmitter, D5 microphone element, stand adapter, 1x AA LR6 battery included, pilot tone</v>
      </c>
      <c r="I239" s="141">
        <f>(IF((VLOOKUP(Table1[[#This Row],[SKU]],'All Skus'!$A:$AC,2,FALSE))="AKG",(VLOOKUP(Table1[[#This Row],[SKU]],'All Skus'!$A:$AC,10,FALSE)),""))</f>
        <v>346.93</v>
      </c>
      <c r="J239" s="141">
        <f>(IF((VLOOKUP(Table1[[#This Row],[SKU]],'All Skus'!$A:$AC,2,FALSE))="AKG",(VLOOKUP(Table1[[#This Row],[SKU]],'All Skus'!$A:$AC,11,FALSE)),""))</f>
        <v>278</v>
      </c>
      <c r="K239" s="125">
        <f>(IF((VLOOKUP(Table1[[#This Row],[SKU]],'All Skus'!$A:$AC,2,FALSE))="AKG",(VLOOKUP(Table1[[#This Row],[SKU]],'All Skus'!$A:$AC,15,FALSE)),""))</f>
        <v>12</v>
      </c>
      <c r="L239" s="124">
        <f>(IF((VLOOKUP(Table1[[#This Row],[SKU]],'All Skus'!$A:$AC,2,FALSE))="AKG",(VLOOKUP(Table1[[#This Row],[SKU]],'All Skus'!$A:$AC,16,FALSE)),""))</f>
        <v>885038029526</v>
      </c>
      <c r="M239" s="124">
        <f>(IF((VLOOKUP(Table1[[#This Row],[SKU]],'All Skus'!$A:$AC,2,FALSE))="AKG",(VLOOKUP(Table1[[#This Row],[SKU]],'All Skus'!$A:$AC,17,FALSE)),""))</f>
        <v>9002761029529</v>
      </c>
      <c r="N239" s="64">
        <f>(IF((VLOOKUP(Table1[[#This Row],[SKU]],'All Skus'!$A:$AC,2,FALSE))="AKG",(VLOOKUP(Table1[[#This Row],[SKU]],'All Skus'!$A:$AC,18,FALSE)),""))</f>
        <v>9.5</v>
      </c>
      <c r="O239" s="64">
        <f>(IF((VLOOKUP(Table1[[#This Row],[SKU]],'All Skus'!$A:$AC,2,FALSE))="AKG",(VLOOKUP(Table1[[#This Row],[SKU]],'All Skus'!$A:$AC,19,FALSE)),""))</f>
        <v>14</v>
      </c>
      <c r="P239" s="64">
        <f>(IF((VLOOKUP(Table1[[#This Row],[SKU]],'All Skus'!$A:$AC,2,FALSE))="AKG",(VLOOKUP(Table1[[#This Row],[SKU]],'All Skus'!$A:$AC,20,FALSE)),""))</f>
        <v>2.5</v>
      </c>
      <c r="Q239" s="64">
        <f>(IF((VLOOKUP(Table1[[#This Row],[SKU]],'All Skus'!$A:$AC,2,FALSE))="AKG",(VLOOKUP(Table1[[#This Row],[SKU]],'All Skus'!$A:$AC,21,FALSE)),""))</f>
        <v>14.2</v>
      </c>
      <c r="R239" s="64" t="str">
        <f>(IF((VLOOKUP(Table1[[#This Row],[SKU]],'All Skus'!$A:$AC,2,FALSE))="AKG",(VLOOKUP(Table1[[#This Row],[SKU]],'All Skus'!$A:$AC,22,FALSE)),""))</f>
        <v>CN</v>
      </c>
      <c r="S239" s="64" t="str">
        <f>(IF((VLOOKUP(Table1[[#This Row],[SKU]],'All Skus'!$A:$AC,2,FALSE))="AKG",(VLOOKUP(Table1[[#This Row],[SKU]],'All Skus'!$A:$AC,23,FALSE)),""))</f>
        <v>Non Compliant</v>
      </c>
      <c r="T239" s="210" t="str">
        <f>HYPERLINK((IF((VLOOKUP(Table1[[#This Row],[SKU]],'All Skus'!$A:$AC,2,FALSE))="AKG",(VLOOKUP(Table1[[#This Row],[SKU]],'All Skus'!$A:$AC,24,FALSE)),"")))</f>
        <v>https://www.akg.com/Wireless/wireless-components/3301X00170.html</v>
      </c>
      <c r="U239" s="151">
        <v>237</v>
      </c>
    </row>
    <row r="240" spans="1:21" ht="15" hidden="1" customHeight="1">
      <c r="A240" s="50" t="s">
        <v>396</v>
      </c>
      <c r="B240" s="52" t="str">
        <f>(IF((VLOOKUP(Table1[[#This Row],[SKU]],'All Skus'!$A:$AC,2,FALSE))="AKG",(VLOOKUP(Table1[[#This Row],[SKU]],'All Skus'!$A:$AC,3,FALSE)), ""))</f>
        <v>Wireless Mics</v>
      </c>
      <c r="C240" s="60" t="str">
        <f>(IF((VLOOKUP(Table1[[#This Row],[SKU]],'All Skus'!$A:$AC,2,FALSE))="AKG",(VLOOKUP(Table1[[#This Row],[SKU]],'All Skus'!$A:$AC,4,FALSE)),""))</f>
        <v>HT470 D5 BD8 50mW</v>
      </c>
      <c r="D240" s="60" t="str">
        <f>(IF((VLOOKUP(Table1[[#This Row],[SKU]],'All Skus'!$A:$AC,2,FALSE))="AKG",(VLOOKUP(Table1[[#This Row],[SKU]],'All Skus'!$A:$AC,5,FALSE)),""))</f>
        <v>AT620000</v>
      </c>
      <c r="E240" s="60">
        <f>(IF((VLOOKUP(Table1[[#This Row],[SKU]],'All Skus'!$A:$AC,2,FALSE))="AKG",(VLOOKUP(Table1[[#This Row],[SKU]],'All Skus'!$A:$AC,6,FALSE)),""))</f>
        <v>0</v>
      </c>
      <c r="F240" s="60">
        <f>(IF((VLOOKUP(Table1[[#This Row],[SKU]],'All Skus'!$A:$AC,2,FALSE))="AKG",(VLOOKUP(Table1[[#This Row],[SKU]],'All Skus'!$A:$AC,7,FALSE)),""))</f>
        <v>0</v>
      </c>
      <c r="G240" s="45" t="str">
        <f>(IF((VLOOKUP(Table1[[#This Row],[SKU]],'All Skus'!$A:$AC,2,FALSE))="AKG",(VLOOKUP(Table1[[#This Row],[SKU]],'All Skus'!$A:$AC,8,FALSE)),""))</f>
        <v>Wireless Microphone System 470</v>
      </c>
      <c r="H240" s="45" t="str">
        <f>(IF((VLOOKUP(Table1[[#This Row],[SKU]],'All Skus'!$A:$AC,2,FALSE))="AKG",(VLOOKUP(Table1[[#This Row],[SKU]],'All Skus'!$A:$AC,9,FALSE)),""))</f>
        <v>Wireless handheld transmitter, D5 microphone element, stand adapter, 1x AA LR6 battery included, pilot tone</v>
      </c>
      <c r="I240" s="141">
        <f>(IF((VLOOKUP(Table1[[#This Row],[SKU]],'All Skus'!$A:$AC,2,FALSE))="AKG",(VLOOKUP(Table1[[#This Row],[SKU]],'All Skus'!$A:$AC,10,FALSE)),""))</f>
        <v>346.93</v>
      </c>
      <c r="J240" s="141">
        <f>(IF((VLOOKUP(Table1[[#This Row],[SKU]],'All Skus'!$A:$AC,2,FALSE))="AKG",(VLOOKUP(Table1[[#This Row],[SKU]],'All Skus'!$A:$AC,11,FALSE)),""))</f>
        <v>278</v>
      </c>
      <c r="K240" s="125">
        <f>(IF((VLOOKUP(Table1[[#This Row],[SKU]],'All Skus'!$A:$AC,2,FALSE))="AKG",(VLOOKUP(Table1[[#This Row],[SKU]],'All Skus'!$A:$AC,15,FALSE)),""))</f>
        <v>12</v>
      </c>
      <c r="L240" s="124">
        <f>(IF((VLOOKUP(Table1[[#This Row],[SKU]],'All Skus'!$A:$AC,2,FALSE))="AKG",(VLOOKUP(Table1[[#This Row],[SKU]],'All Skus'!$A:$AC,16,FALSE)),""))</f>
        <v>885038029533</v>
      </c>
      <c r="M240" s="124">
        <f>(IF((VLOOKUP(Table1[[#This Row],[SKU]],'All Skus'!$A:$AC,2,FALSE))="AKG",(VLOOKUP(Table1[[#This Row],[SKU]],'All Skus'!$A:$AC,17,FALSE)),""))</f>
        <v>9002761029536</v>
      </c>
      <c r="N240" s="64">
        <f>(IF((VLOOKUP(Table1[[#This Row],[SKU]],'All Skus'!$A:$AC,2,FALSE))="AKG",(VLOOKUP(Table1[[#This Row],[SKU]],'All Skus'!$A:$AC,18,FALSE)),""))</f>
        <v>3</v>
      </c>
      <c r="O240" s="64">
        <f>(IF((VLOOKUP(Table1[[#This Row],[SKU]],'All Skus'!$A:$AC,2,FALSE))="AKG",(VLOOKUP(Table1[[#This Row],[SKU]],'All Skus'!$A:$AC,19,FALSE)),""))</f>
        <v>10</v>
      </c>
      <c r="P240" s="64">
        <f>(IF((VLOOKUP(Table1[[#This Row],[SKU]],'All Skus'!$A:$AC,2,FALSE))="AKG",(VLOOKUP(Table1[[#This Row],[SKU]],'All Skus'!$A:$AC,20,FALSE)),""))</f>
        <v>14</v>
      </c>
      <c r="Q240" s="64">
        <f>(IF((VLOOKUP(Table1[[#This Row],[SKU]],'All Skus'!$A:$AC,2,FALSE))="AKG",(VLOOKUP(Table1[[#This Row],[SKU]],'All Skus'!$A:$AC,21,FALSE)),""))</f>
        <v>14.2</v>
      </c>
      <c r="R240" s="64" t="str">
        <f>(IF((VLOOKUP(Table1[[#This Row],[SKU]],'All Skus'!$A:$AC,2,FALSE))="AKG",(VLOOKUP(Table1[[#This Row],[SKU]],'All Skus'!$A:$AC,22,FALSE)),""))</f>
        <v>CN</v>
      </c>
      <c r="S240" s="64" t="str">
        <f>(IF((VLOOKUP(Table1[[#This Row],[SKU]],'All Skus'!$A:$AC,2,FALSE))="AKG",(VLOOKUP(Table1[[#This Row],[SKU]],'All Skus'!$A:$AC,23,FALSE)),""))</f>
        <v>Non Compliant</v>
      </c>
      <c r="T240" s="210" t="str">
        <f>HYPERLINK((IF((VLOOKUP(Table1[[#This Row],[SKU]],'All Skus'!$A:$AC,2,FALSE))="AKG",(VLOOKUP(Table1[[#This Row],[SKU]],'All Skus'!$A:$AC,24,FALSE)),"")))</f>
        <v>https://www.akg.com/Wireless/wireless-components/3301X00180.html</v>
      </c>
      <c r="U240" s="151">
        <v>238</v>
      </c>
    </row>
    <row r="241" spans="1:21" ht="15" hidden="1" customHeight="1">
      <c r="A241" s="50" t="s">
        <v>397</v>
      </c>
      <c r="B241" s="52" t="str">
        <f>(IF((VLOOKUP(Table1[[#This Row],[SKU]],'All Skus'!$A:$AC,2,FALSE))="AKG",(VLOOKUP(Table1[[#This Row],[SKU]],'All Skus'!$A:$AC,3,FALSE)), ""))</f>
        <v>Wireless Mics</v>
      </c>
      <c r="C241" s="60" t="str">
        <f>(IF((VLOOKUP(Table1[[#This Row],[SKU]],'All Skus'!$A:$AC,2,FALSE))="AKG",(VLOOKUP(Table1[[#This Row],[SKU]],'All Skus'!$A:$AC,4,FALSE)),""))</f>
        <v>HT470 C5 BD7 50mW</v>
      </c>
      <c r="D241" s="60" t="str">
        <f>(IF((VLOOKUP(Table1[[#This Row],[SKU]],'All Skus'!$A:$AC,2,FALSE))="AKG",(VLOOKUP(Table1[[#This Row],[SKU]],'All Skus'!$A:$AC,5,FALSE)),""))</f>
        <v>AT620000</v>
      </c>
      <c r="E241" s="60">
        <f>(IF((VLOOKUP(Table1[[#This Row],[SKU]],'All Skus'!$A:$AC,2,FALSE))="AKG",(VLOOKUP(Table1[[#This Row],[SKU]],'All Skus'!$A:$AC,6,FALSE)),""))</f>
        <v>0</v>
      </c>
      <c r="F241" s="60">
        <f>(IF((VLOOKUP(Table1[[#This Row],[SKU]],'All Skus'!$A:$AC,2,FALSE))="AKG",(VLOOKUP(Table1[[#This Row],[SKU]],'All Skus'!$A:$AC,7,FALSE)),""))</f>
        <v>0</v>
      </c>
      <c r="G241" s="45" t="str">
        <f>(IF((VLOOKUP(Table1[[#This Row],[SKU]],'All Skus'!$A:$AC,2,FALSE))="AKG",(VLOOKUP(Table1[[#This Row],[SKU]],'All Skus'!$A:$AC,8,FALSE)),""))</f>
        <v>Wireless Microphone System 470</v>
      </c>
      <c r="H241" s="45" t="str">
        <f>(IF((VLOOKUP(Table1[[#This Row],[SKU]],'All Skus'!$A:$AC,2,FALSE))="AKG",(VLOOKUP(Table1[[#This Row],[SKU]],'All Skus'!$A:$AC,9,FALSE)),""))</f>
        <v>Wireless handheld transmitter, C5 microphone element, stand adapter, 1x AA LR6 battery included, pilot tone</v>
      </c>
      <c r="I241" s="141">
        <f>(IF((VLOOKUP(Table1[[#This Row],[SKU]],'All Skus'!$A:$AC,2,FALSE))="AKG",(VLOOKUP(Table1[[#This Row],[SKU]],'All Skus'!$A:$AC,10,FALSE)),""))</f>
        <v>442.97</v>
      </c>
      <c r="J241" s="141">
        <f>(IF((VLOOKUP(Table1[[#This Row],[SKU]],'All Skus'!$A:$AC,2,FALSE))="AKG",(VLOOKUP(Table1[[#This Row],[SKU]],'All Skus'!$A:$AC,11,FALSE)),""))</f>
        <v>346</v>
      </c>
      <c r="K241" s="125">
        <f>(IF((VLOOKUP(Table1[[#This Row],[SKU]],'All Skus'!$A:$AC,2,FALSE))="AKG",(VLOOKUP(Table1[[#This Row],[SKU]],'All Skus'!$A:$AC,15,FALSE)),""))</f>
        <v>12</v>
      </c>
      <c r="L241" s="124">
        <f>(IF((VLOOKUP(Table1[[#This Row],[SKU]],'All Skus'!$A:$AC,2,FALSE))="AKG",(VLOOKUP(Table1[[#This Row],[SKU]],'All Skus'!$A:$AC,16,FALSE)),""))</f>
        <v>885038029618</v>
      </c>
      <c r="M241" s="124">
        <f>(IF((VLOOKUP(Table1[[#This Row],[SKU]],'All Skus'!$A:$AC,2,FALSE))="AKG",(VLOOKUP(Table1[[#This Row],[SKU]],'All Skus'!$A:$AC,17,FALSE)),""))</f>
        <v>9002761029611</v>
      </c>
      <c r="N241" s="64">
        <f>(IF((VLOOKUP(Table1[[#This Row],[SKU]],'All Skus'!$A:$AC,2,FALSE))="AKG",(VLOOKUP(Table1[[#This Row],[SKU]],'All Skus'!$A:$AC,18,FALSE)),""))</f>
        <v>2.5</v>
      </c>
      <c r="O241" s="64">
        <f>(IF((VLOOKUP(Table1[[#This Row],[SKU]],'All Skus'!$A:$AC,2,FALSE))="AKG",(VLOOKUP(Table1[[#This Row],[SKU]],'All Skus'!$A:$AC,19,FALSE)),""))</f>
        <v>14</v>
      </c>
      <c r="P241" s="64">
        <f>(IF((VLOOKUP(Table1[[#This Row],[SKU]],'All Skus'!$A:$AC,2,FALSE))="AKG",(VLOOKUP(Table1[[#This Row],[SKU]],'All Skus'!$A:$AC,20,FALSE)),""))</f>
        <v>9</v>
      </c>
      <c r="Q241" s="64">
        <f>(IF((VLOOKUP(Table1[[#This Row],[SKU]],'All Skus'!$A:$AC,2,FALSE))="AKG",(VLOOKUP(Table1[[#This Row],[SKU]],'All Skus'!$A:$AC,21,FALSE)),""))</f>
        <v>2.4</v>
      </c>
      <c r="R241" s="64" t="str">
        <f>(IF((VLOOKUP(Table1[[#This Row],[SKU]],'All Skus'!$A:$AC,2,FALSE))="AKG",(VLOOKUP(Table1[[#This Row],[SKU]],'All Skus'!$A:$AC,22,FALSE)),""))</f>
        <v>CN</v>
      </c>
      <c r="S241" s="64" t="str">
        <f>(IF((VLOOKUP(Table1[[#This Row],[SKU]],'All Skus'!$A:$AC,2,FALSE))="AKG",(VLOOKUP(Table1[[#This Row],[SKU]],'All Skus'!$A:$AC,23,FALSE)),""))</f>
        <v>Non Compliant</v>
      </c>
      <c r="T241" s="210" t="str">
        <f>HYPERLINK((IF((VLOOKUP(Table1[[#This Row],[SKU]],'All Skus'!$A:$AC,2,FALSE))="AKG",(VLOOKUP(Table1[[#This Row],[SKU]],'All Skus'!$A:$AC,24,FALSE)),"")))</f>
        <v>https://www.akg.com/Wireless/wireless-components/3301X00370.html</v>
      </c>
      <c r="U241" s="151">
        <v>239</v>
      </c>
    </row>
    <row r="242" spans="1:21" ht="15" hidden="1" customHeight="1">
      <c r="A242" s="50" t="s">
        <v>398</v>
      </c>
      <c r="B242" s="52" t="str">
        <f>(IF((VLOOKUP(Table1[[#This Row],[SKU]],'All Skus'!$A:$AC,2,FALSE))="AKG",(VLOOKUP(Table1[[#This Row],[SKU]],'All Skus'!$A:$AC,3,FALSE)), ""))</f>
        <v>Wireless Mics</v>
      </c>
      <c r="C242" s="60" t="str">
        <f>(IF((VLOOKUP(Table1[[#This Row],[SKU]],'All Skus'!$A:$AC,2,FALSE))="AKG",(VLOOKUP(Table1[[#This Row],[SKU]],'All Skus'!$A:$AC,4,FALSE)),""))</f>
        <v>HT470 C5 BD8 50mW</v>
      </c>
      <c r="D242" s="60" t="str">
        <f>(IF((VLOOKUP(Table1[[#This Row],[SKU]],'All Skus'!$A:$AC,2,FALSE))="AKG",(VLOOKUP(Table1[[#This Row],[SKU]],'All Skus'!$A:$AC,5,FALSE)),""))</f>
        <v>AT620000</v>
      </c>
      <c r="E242" s="60">
        <f>(IF((VLOOKUP(Table1[[#This Row],[SKU]],'All Skus'!$A:$AC,2,FALSE))="AKG",(VLOOKUP(Table1[[#This Row],[SKU]],'All Skus'!$A:$AC,6,FALSE)),""))</f>
        <v>0</v>
      </c>
      <c r="F242" s="60">
        <f>(IF((VLOOKUP(Table1[[#This Row],[SKU]],'All Skus'!$A:$AC,2,FALSE))="AKG",(VLOOKUP(Table1[[#This Row],[SKU]],'All Skus'!$A:$AC,7,FALSE)),""))</f>
        <v>0</v>
      </c>
      <c r="G242" s="45" t="str">
        <f>(IF((VLOOKUP(Table1[[#This Row],[SKU]],'All Skus'!$A:$AC,2,FALSE))="AKG",(VLOOKUP(Table1[[#This Row],[SKU]],'All Skus'!$A:$AC,8,FALSE)),""))</f>
        <v>Wireless Microphone System 470</v>
      </c>
      <c r="H242" s="45" t="str">
        <f>(IF((VLOOKUP(Table1[[#This Row],[SKU]],'All Skus'!$A:$AC,2,FALSE))="AKG",(VLOOKUP(Table1[[#This Row],[SKU]],'All Skus'!$A:$AC,9,FALSE)),""))</f>
        <v>Wireless handheld transmitter, C5 microphone element, stand adapter, 1x AA LR6 battery included, pilot tone</v>
      </c>
      <c r="I242" s="141">
        <f>(IF((VLOOKUP(Table1[[#This Row],[SKU]],'All Skus'!$A:$AC,2,FALSE))="AKG",(VLOOKUP(Table1[[#This Row],[SKU]],'All Skus'!$A:$AC,10,FALSE)),""))</f>
        <v>442.97</v>
      </c>
      <c r="J242" s="141">
        <f>(IF((VLOOKUP(Table1[[#This Row],[SKU]],'All Skus'!$A:$AC,2,FALSE))="AKG",(VLOOKUP(Table1[[#This Row],[SKU]],'All Skus'!$A:$AC,11,FALSE)),""))</f>
        <v>346</v>
      </c>
      <c r="K242" s="125">
        <f>(IF((VLOOKUP(Table1[[#This Row],[SKU]],'All Skus'!$A:$AC,2,FALSE))="AKG",(VLOOKUP(Table1[[#This Row],[SKU]],'All Skus'!$A:$AC,15,FALSE)),""))</f>
        <v>12</v>
      </c>
      <c r="L242" s="124">
        <f>(IF((VLOOKUP(Table1[[#This Row],[SKU]],'All Skus'!$A:$AC,2,FALSE))="AKG",(VLOOKUP(Table1[[#This Row],[SKU]],'All Skus'!$A:$AC,16,FALSE)),""))</f>
        <v>885038029625</v>
      </c>
      <c r="M242" s="124">
        <f>(IF((VLOOKUP(Table1[[#This Row],[SKU]],'All Skus'!$A:$AC,2,FALSE))="AKG",(VLOOKUP(Table1[[#This Row],[SKU]],'All Skus'!$A:$AC,17,FALSE)),""))</f>
        <v>9002761029628</v>
      </c>
      <c r="N242" s="64">
        <f>(IF((VLOOKUP(Table1[[#This Row],[SKU]],'All Skus'!$A:$AC,2,FALSE))="AKG",(VLOOKUP(Table1[[#This Row],[SKU]],'All Skus'!$A:$AC,18,FALSE)),""))</f>
        <v>8</v>
      </c>
      <c r="O242" s="64">
        <f>(IF((VLOOKUP(Table1[[#This Row],[SKU]],'All Skus'!$A:$AC,2,FALSE))="AKG",(VLOOKUP(Table1[[#This Row],[SKU]],'All Skus'!$A:$AC,19,FALSE)),""))</f>
        <v>11</v>
      </c>
      <c r="P242" s="64">
        <f>(IF((VLOOKUP(Table1[[#This Row],[SKU]],'All Skus'!$A:$AC,2,FALSE))="AKG",(VLOOKUP(Table1[[#This Row],[SKU]],'All Skus'!$A:$AC,20,FALSE)),""))</f>
        <v>15</v>
      </c>
      <c r="Q242" s="64">
        <f>(IF((VLOOKUP(Table1[[#This Row],[SKU]],'All Skus'!$A:$AC,2,FALSE))="AKG",(VLOOKUP(Table1[[#This Row],[SKU]],'All Skus'!$A:$AC,21,FALSE)),""))</f>
        <v>2.4</v>
      </c>
      <c r="R242" s="64" t="str">
        <f>(IF((VLOOKUP(Table1[[#This Row],[SKU]],'All Skus'!$A:$AC,2,FALSE))="AKG",(VLOOKUP(Table1[[#This Row],[SKU]],'All Skus'!$A:$AC,22,FALSE)),""))</f>
        <v>CN</v>
      </c>
      <c r="S242" s="64" t="str">
        <f>(IF((VLOOKUP(Table1[[#This Row],[SKU]],'All Skus'!$A:$AC,2,FALSE))="AKG",(VLOOKUP(Table1[[#This Row],[SKU]],'All Skus'!$A:$AC,23,FALSE)),""))</f>
        <v>Non Compliant</v>
      </c>
      <c r="T242" s="210" t="str">
        <f>HYPERLINK((IF((VLOOKUP(Table1[[#This Row],[SKU]],'All Skus'!$A:$AC,2,FALSE))="AKG",(VLOOKUP(Table1[[#This Row],[SKU]],'All Skus'!$A:$AC,24,FALSE)),"")))</f>
        <v>https://www.akg.com/Wireless/wireless-components/3301X00380.html</v>
      </c>
      <c r="U242" s="151">
        <v>240</v>
      </c>
    </row>
    <row r="243" spans="1:21" ht="15" hidden="1" customHeight="1">
      <c r="A243" s="50" t="s">
        <v>399</v>
      </c>
      <c r="B243" s="52" t="str">
        <f>(IF((VLOOKUP(Table1[[#This Row],[SKU]],'All Skus'!$A:$AC,2,FALSE))="AKG",(VLOOKUP(Table1[[#This Row],[SKU]],'All Skus'!$A:$AC,3,FALSE)), ""))</f>
        <v>Wireless Mics</v>
      </c>
      <c r="C243" s="60" t="str">
        <f>(IF((VLOOKUP(Table1[[#This Row],[SKU]],'All Skus'!$A:$AC,2,FALSE))="AKG",(VLOOKUP(Table1[[#This Row],[SKU]],'All Skus'!$A:$AC,4,FALSE)),""))</f>
        <v>PT470 BD7 50mW</v>
      </c>
      <c r="D243" s="60" t="str">
        <f>(IF((VLOOKUP(Table1[[#This Row],[SKU]],'All Skus'!$A:$AC,2,FALSE))="AKG",(VLOOKUP(Table1[[#This Row],[SKU]],'All Skus'!$A:$AC,5,FALSE)),""))</f>
        <v>AT620000</v>
      </c>
      <c r="E243" s="60">
        <f>(IF((VLOOKUP(Table1[[#This Row],[SKU]],'All Skus'!$A:$AC,2,FALSE))="AKG",(VLOOKUP(Table1[[#This Row],[SKU]],'All Skus'!$A:$AC,6,FALSE)),""))</f>
        <v>0</v>
      </c>
      <c r="F243" s="60">
        <f>(IF((VLOOKUP(Table1[[#This Row],[SKU]],'All Skus'!$A:$AC,2,FALSE))="AKG",(VLOOKUP(Table1[[#This Row],[SKU]],'All Skus'!$A:$AC,7,FALSE)),""))</f>
        <v>0</v>
      </c>
      <c r="G243" s="45" t="str">
        <f>(IF((VLOOKUP(Table1[[#This Row],[SKU]],'All Skus'!$A:$AC,2,FALSE))="AKG",(VLOOKUP(Table1[[#This Row],[SKU]],'All Skus'!$A:$AC,8,FALSE)),""))</f>
        <v>Wireless Microphone System 470</v>
      </c>
      <c r="H243" s="45" t="str">
        <f>(IF((VLOOKUP(Table1[[#This Row],[SKU]],'All Skus'!$A:$AC,2,FALSE))="AKG",(VLOOKUP(Table1[[#This Row],[SKU]],'All Skus'!$A:$AC,9,FALSE)),""))</f>
        <v>Wireless bodypack transmitter, belt clip, 1x AA LR6 battery, secure on/off/mute pin included, pilot tone</v>
      </c>
      <c r="I243" s="141">
        <f>(IF((VLOOKUP(Table1[[#This Row],[SKU]],'All Skus'!$A:$AC,2,FALSE))="AKG",(VLOOKUP(Table1[[#This Row],[SKU]],'All Skus'!$A:$AC,10,FALSE)),""))</f>
        <v>346.93</v>
      </c>
      <c r="J243" s="141">
        <f>(IF((VLOOKUP(Table1[[#This Row],[SKU]],'All Skus'!$A:$AC,2,FALSE))="AKG",(VLOOKUP(Table1[[#This Row],[SKU]],'All Skus'!$A:$AC,11,FALSE)),""))</f>
        <v>278</v>
      </c>
      <c r="K243" s="125">
        <f>(IF((VLOOKUP(Table1[[#This Row],[SKU]],'All Skus'!$A:$AC,2,FALSE))="AKG",(VLOOKUP(Table1[[#This Row],[SKU]],'All Skus'!$A:$AC,15,FALSE)),""))</f>
        <v>12</v>
      </c>
      <c r="L243" s="124">
        <f>(IF((VLOOKUP(Table1[[#This Row],[SKU]],'All Skus'!$A:$AC,2,FALSE))="AKG",(VLOOKUP(Table1[[#This Row],[SKU]],'All Skus'!$A:$AC,16,FALSE)),""))</f>
        <v>885038029717</v>
      </c>
      <c r="M243" s="124">
        <f>(IF((VLOOKUP(Table1[[#This Row],[SKU]],'All Skus'!$A:$AC,2,FALSE))="AKG",(VLOOKUP(Table1[[#This Row],[SKU]],'All Skus'!$A:$AC,17,FALSE)),""))</f>
        <v>9002761029710</v>
      </c>
      <c r="N243" s="64">
        <f>(IF((VLOOKUP(Table1[[#This Row],[SKU]],'All Skus'!$A:$AC,2,FALSE))="AKG",(VLOOKUP(Table1[[#This Row],[SKU]],'All Skus'!$A:$AC,18,FALSE)),""))</f>
        <v>2.4</v>
      </c>
      <c r="O243" s="64">
        <f>(IF((VLOOKUP(Table1[[#This Row],[SKU]],'All Skus'!$A:$AC,2,FALSE))="AKG",(VLOOKUP(Table1[[#This Row],[SKU]],'All Skus'!$A:$AC,19,FALSE)),""))</f>
        <v>14</v>
      </c>
      <c r="P243" s="64">
        <f>(IF((VLOOKUP(Table1[[#This Row],[SKU]],'All Skus'!$A:$AC,2,FALSE))="AKG",(VLOOKUP(Table1[[#This Row],[SKU]],'All Skus'!$A:$AC,20,FALSE)),""))</f>
        <v>9.25</v>
      </c>
      <c r="Q243" s="64">
        <f>(IF((VLOOKUP(Table1[[#This Row],[SKU]],'All Skus'!$A:$AC,2,FALSE))="AKG",(VLOOKUP(Table1[[#This Row],[SKU]],'All Skus'!$A:$AC,21,FALSE)),""))</f>
        <v>14.2</v>
      </c>
      <c r="R243" s="64" t="str">
        <f>(IF((VLOOKUP(Table1[[#This Row],[SKU]],'All Skus'!$A:$AC,2,FALSE))="AKG",(VLOOKUP(Table1[[#This Row],[SKU]],'All Skus'!$A:$AC,22,FALSE)),""))</f>
        <v>CN</v>
      </c>
      <c r="S243" s="64" t="str">
        <f>(IF((VLOOKUP(Table1[[#This Row],[SKU]],'All Skus'!$A:$AC,2,FALSE))="AKG",(VLOOKUP(Table1[[#This Row],[SKU]],'All Skus'!$A:$AC,23,FALSE)),""))</f>
        <v>Non Compliant</v>
      </c>
      <c r="T243" s="210" t="str">
        <f>HYPERLINK((IF((VLOOKUP(Table1[[#This Row],[SKU]],'All Skus'!$A:$AC,2,FALSE))="AKG",(VLOOKUP(Table1[[#This Row],[SKU]],'All Skus'!$A:$AC,24,FALSE)),"")))</f>
        <v>https://www.akg.com/Wireless/wireless-components/3302H00170.html</v>
      </c>
      <c r="U243" s="151">
        <v>241</v>
      </c>
    </row>
    <row r="244" spans="1:21" ht="15" hidden="1" customHeight="1">
      <c r="A244" s="50" t="s">
        <v>400</v>
      </c>
      <c r="B244" s="52" t="str">
        <f>(IF((VLOOKUP(Table1[[#This Row],[SKU]],'All Skus'!$A:$AC,2,FALSE))="AKG",(VLOOKUP(Table1[[#This Row],[SKU]],'All Skus'!$A:$AC,3,FALSE)), ""))</f>
        <v>Wireless Mics</v>
      </c>
      <c r="C244" s="60" t="str">
        <f>(IF((VLOOKUP(Table1[[#This Row],[SKU]],'All Skus'!$A:$AC,2,FALSE))="AKG",(VLOOKUP(Table1[[#This Row],[SKU]],'All Skus'!$A:$AC,4,FALSE)),""))</f>
        <v>PT470 BD8 50mW</v>
      </c>
      <c r="D244" s="60" t="str">
        <f>(IF((VLOOKUP(Table1[[#This Row],[SKU]],'All Skus'!$A:$AC,2,FALSE))="AKG",(VLOOKUP(Table1[[#This Row],[SKU]],'All Skus'!$A:$AC,5,FALSE)),""))</f>
        <v>AT620000</v>
      </c>
      <c r="E244" s="60">
        <f>(IF((VLOOKUP(Table1[[#This Row],[SKU]],'All Skus'!$A:$AC,2,FALSE))="AKG",(VLOOKUP(Table1[[#This Row],[SKU]],'All Skus'!$A:$AC,6,FALSE)),""))</f>
        <v>0</v>
      </c>
      <c r="F244" s="60">
        <f>(IF((VLOOKUP(Table1[[#This Row],[SKU]],'All Skus'!$A:$AC,2,FALSE))="AKG",(VLOOKUP(Table1[[#This Row],[SKU]],'All Skus'!$A:$AC,7,FALSE)),""))</f>
        <v>0</v>
      </c>
      <c r="G244" s="45" t="str">
        <f>(IF((VLOOKUP(Table1[[#This Row],[SKU]],'All Skus'!$A:$AC,2,FALSE))="AKG",(VLOOKUP(Table1[[#This Row],[SKU]],'All Skus'!$A:$AC,8,FALSE)),""))</f>
        <v>Wireless Microphone System 470</v>
      </c>
      <c r="H244" s="45" t="str">
        <f>(IF((VLOOKUP(Table1[[#This Row],[SKU]],'All Skus'!$A:$AC,2,FALSE))="AKG",(VLOOKUP(Table1[[#This Row],[SKU]],'All Skus'!$A:$AC,9,FALSE)),""))</f>
        <v>Wireless bodypack transmitter, belt clip, 1x AA LR6 battery, secure on/off/mute pin included, pilot tone</v>
      </c>
      <c r="I244" s="141">
        <f>(IF((VLOOKUP(Table1[[#This Row],[SKU]],'All Skus'!$A:$AC,2,FALSE))="AKG",(VLOOKUP(Table1[[#This Row],[SKU]],'All Skus'!$A:$AC,10,FALSE)),""))</f>
        <v>346.93</v>
      </c>
      <c r="J244" s="141">
        <f>(IF((VLOOKUP(Table1[[#This Row],[SKU]],'All Skus'!$A:$AC,2,FALSE))="AKG",(VLOOKUP(Table1[[#This Row],[SKU]],'All Skus'!$A:$AC,11,FALSE)),""))</f>
        <v>278</v>
      </c>
      <c r="K244" s="125">
        <f>(IF((VLOOKUP(Table1[[#This Row],[SKU]],'All Skus'!$A:$AC,2,FALSE))="AKG",(VLOOKUP(Table1[[#This Row],[SKU]],'All Skus'!$A:$AC,15,FALSE)),""))</f>
        <v>12</v>
      </c>
      <c r="L244" s="124">
        <f>(IF((VLOOKUP(Table1[[#This Row],[SKU]],'All Skus'!$A:$AC,2,FALSE))="AKG",(VLOOKUP(Table1[[#This Row],[SKU]],'All Skus'!$A:$AC,16,FALSE)),""))</f>
        <v>885038029724</v>
      </c>
      <c r="M244" s="124">
        <f>(IF((VLOOKUP(Table1[[#This Row],[SKU]],'All Skus'!$A:$AC,2,FALSE))="AKG",(VLOOKUP(Table1[[#This Row],[SKU]],'All Skus'!$A:$AC,17,FALSE)),""))</f>
        <v>9002761029727</v>
      </c>
      <c r="N244" s="64">
        <f>(IF((VLOOKUP(Table1[[#This Row],[SKU]],'All Skus'!$A:$AC,2,FALSE))="AKG",(VLOOKUP(Table1[[#This Row],[SKU]],'All Skus'!$A:$AC,18,FALSE)),""))</f>
        <v>3</v>
      </c>
      <c r="O244" s="64">
        <f>(IF((VLOOKUP(Table1[[#This Row],[SKU]],'All Skus'!$A:$AC,2,FALSE))="AKG",(VLOOKUP(Table1[[#This Row],[SKU]],'All Skus'!$A:$AC,19,FALSE)),""))</f>
        <v>9</v>
      </c>
      <c r="P244" s="64">
        <f>(IF((VLOOKUP(Table1[[#This Row],[SKU]],'All Skus'!$A:$AC,2,FALSE))="AKG",(VLOOKUP(Table1[[#This Row],[SKU]],'All Skus'!$A:$AC,20,FALSE)),""))</f>
        <v>14</v>
      </c>
      <c r="Q244" s="64">
        <f>(IF((VLOOKUP(Table1[[#This Row],[SKU]],'All Skus'!$A:$AC,2,FALSE))="AKG",(VLOOKUP(Table1[[#This Row],[SKU]],'All Skus'!$A:$AC,21,FALSE)),""))</f>
        <v>14.2</v>
      </c>
      <c r="R244" s="64" t="str">
        <f>(IF((VLOOKUP(Table1[[#This Row],[SKU]],'All Skus'!$A:$AC,2,FALSE))="AKG",(VLOOKUP(Table1[[#This Row],[SKU]],'All Skus'!$A:$AC,22,FALSE)),""))</f>
        <v>CN</v>
      </c>
      <c r="S244" s="64" t="str">
        <f>(IF((VLOOKUP(Table1[[#This Row],[SKU]],'All Skus'!$A:$AC,2,FALSE))="AKG",(VLOOKUP(Table1[[#This Row],[SKU]],'All Skus'!$A:$AC,23,FALSE)),""))</f>
        <v>Non Compliant</v>
      </c>
      <c r="T244" s="210" t="str">
        <f>HYPERLINK((IF((VLOOKUP(Table1[[#This Row],[SKU]],'All Skus'!$A:$AC,2,FALSE))="AKG",(VLOOKUP(Table1[[#This Row],[SKU]],'All Skus'!$A:$AC,24,FALSE)),"")))</f>
        <v>https://www.akg.com/Wireless/wireless-components/3302H00180.html</v>
      </c>
      <c r="U244" s="151">
        <v>242</v>
      </c>
    </row>
    <row r="245" spans="1:21" ht="15" hidden="1" customHeight="1">
      <c r="A245" s="48" t="s">
        <v>401</v>
      </c>
      <c r="B245" s="52" t="str">
        <f>(IF((VLOOKUP(Table1[[#This Row],[SKU]],'All Skus'!$A:$AC,2,FALSE))="AKG",(VLOOKUP(Table1[[#This Row],[SKU]],'All Skus'!$A:$AC,3,FALSE)), ""))</f>
        <v>Wireless Mics</v>
      </c>
      <c r="C245" s="60" t="str">
        <f>(IF((VLOOKUP(Table1[[#This Row],[SKU]],'All Skus'!$A:$AC,2,FALSE))="AKG",(VLOOKUP(Table1[[#This Row],[SKU]],'All Skus'!$A:$AC,4,FALSE)),""))</f>
        <v>WMS470 D5 SET BD7 50mW - EU/US/UK</v>
      </c>
      <c r="D245" s="60" t="str">
        <f>(IF((VLOOKUP(Table1[[#This Row],[SKU]],'All Skus'!$A:$AC,2,FALSE))="AKG",(VLOOKUP(Table1[[#This Row],[SKU]],'All Skus'!$A:$AC,5,FALSE)),""))</f>
        <v>AT620000</v>
      </c>
      <c r="E245" s="60">
        <f>(IF((VLOOKUP(Table1[[#This Row],[SKU]],'All Skus'!$A:$AC,2,FALSE))="AKG",(VLOOKUP(Table1[[#This Row],[SKU]],'All Skus'!$A:$AC,6,FALSE)),""))</f>
        <v>0</v>
      </c>
      <c r="F245" s="60">
        <f>(IF((VLOOKUP(Table1[[#This Row],[SKU]],'All Skus'!$A:$AC,2,FALSE))="AKG",(VLOOKUP(Table1[[#This Row],[SKU]],'All Skus'!$A:$AC,7,FALSE)),""))</f>
        <v>0</v>
      </c>
      <c r="G245" s="45" t="str">
        <f>(IF((VLOOKUP(Table1[[#This Row],[SKU]],'All Skus'!$A:$AC,2,FALSE))="AKG",(VLOOKUP(Table1[[#This Row],[SKU]],'All Skus'!$A:$AC,8,FALSE)),""))</f>
        <v>Wireless Microphone System 470</v>
      </c>
      <c r="H245" s="45" t="str">
        <f>(IF((VLOOKUP(Table1[[#This Row],[SKU]],'All Skus'!$A:$AC,2,FALSE))="AKG",(VLOOKUP(Table1[[#This Row],[SKU]],'All Skus'!$A:$AC,9,FALSE)),""))</f>
        <v>Wireless handheld microphone system, SR470 stationary receiver, HT470/D5 handheld transmitter, D5 microphone element, pilot tone, microphone stand, LR6 AA battery, power supply and rack mount unit included.</v>
      </c>
      <c r="I245" s="141">
        <f>(IF((VLOOKUP(Table1[[#This Row],[SKU]],'All Skus'!$A:$AC,2,FALSE))="AKG",(VLOOKUP(Table1[[#This Row],[SKU]],'All Skus'!$A:$AC,10,FALSE)),""))</f>
        <v>755.09</v>
      </c>
      <c r="J245" s="141">
        <f>(IF((VLOOKUP(Table1[[#This Row],[SKU]],'All Skus'!$A:$AC,2,FALSE))="AKG",(VLOOKUP(Table1[[#This Row],[SKU]],'All Skus'!$A:$AC,11,FALSE)),""))</f>
        <v>603</v>
      </c>
      <c r="K245" s="125">
        <f>(IF((VLOOKUP(Table1[[#This Row],[SKU]],'All Skus'!$A:$AC,2,FALSE))="AKG",(VLOOKUP(Table1[[#This Row],[SKU]],'All Skus'!$A:$AC,15,FALSE)),""))</f>
        <v>5</v>
      </c>
      <c r="L245" s="124">
        <f>(IF((VLOOKUP(Table1[[#This Row],[SKU]],'All Skus'!$A:$AC,2,FALSE))="AKG",(VLOOKUP(Table1[[#This Row],[SKU]],'All Skus'!$A:$AC,16,FALSE)),""))</f>
        <v>885038029847</v>
      </c>
      <c r="M245" s="124">
        <f>(IF((VLOOKUP(Table1[[#This Row],[SKU]],'All Skus'!$A:$AC,2,FALSE))="AKG",(VLOOKUP(Table1[[#This Row],[SKU]],'All Skus'!$A:$AC,17,FALSE)),""))</f>
        <v>9002761029840</v>
      </c>
      <c r="N245" s="64">
        <f>(IF((VLOOKUP(Table1[[#This Row],[SKU]],'All Skus'!$A:$AC,2,FALSE))="AKG",(VLOOKUP(Table1[[#This Row],[SKU]],'All Skus'!$A:$AC,18,FALSE)),""))</f>
        <v>4</v>
      </c>
      <c r="O245" s="64">
        <f>(IF((VLOOKUP(Table1[[#This Row],[SKU]],'All Skus'!$A:$AC,2,FALSE))="AKG",(VLOOKUP(Table1[[#This Row],[SKU]],'All Skus'!$A:$AC,19,FALSE)),""))</f>
        <v>17</v>
      </c>
      <c r="P245" s="64">
        <f>(IF((VLOOKUP(Table1[[#This Row],[SKU]],'All Skus'!$A:$AC,2,FALSE))="AKG",(VLOOKUP(Table1[[#This Row],[SKU]],'All Skus'!$A:$AC,20,FALSE)),""))</f>
        <v>13</v>
      </c>
      <c r="Q245" s="64">
        <f>(IF((VLOOKUP(Table1[[#This Row],[SKU]],'All Skus'!$A:$AC,2,FALSE))="AKG",(VLOOKUP(Table1[[#This Row],[SKU]],'All Skus'!$A:$AC,21,FALSE)),""))</f>
        <v>3.2</v>
      </c>
      <c r="R245" s="64" t="str">
        <f>(IF((VLOOKUP(Table1[[#This Row],[SKU]],'All Skus'!$A:$AC,2,FALSE))="AKG",(VLOOKUP(Table1[[#This Row],[SKU]],'All Skus'!$A:$AC,22,FALSE)),""))</f>
        <v>CN</v>
      </c>
      <c r="S245" s="64" t="str">
        <f>(IF((VLOOKUP(Table1[[#This Row],[SKU]],'All Skus'!$A:$AC,2,FALSE))="AKG",(VLOOKUP(Table1[[#This Row],[SKU]],'All Skus'!$A:$AC,23,FALSE)),""))</f>
        <v>Non Compliant</v>
      </c>
      <c r="T245" s="210" t="str">
        <f>HYPERLINK((IF((VLOOKUP(Table1[[#This Row],[SKU]],'All Skus'!$A:$AC,2,FALSE))="AKG",(VLOOKUP(Table1[[#This Row],[SKU]],'All Skus'!$A:$AC,24,FALSE)),"")))</f>
        <v>https://www.akg.com/Wireless/wireless-components/3305X00370.html</v>
      </c>
      <c r="U245" s="151">
        <v>243</v>
      </c>
    </row>
    <row r="246" spans="1:21" ht="15" hidden="1" customHeight="1">
      <c r="A246" s="48" t="s">
        <v>402</v>
      </c>
      <c r="B246" s="52" t="str">
        <f>(IF((VLOOKUP(Table1[[#This Row],[SKU]],'All Skus'!$A:$AC,2,FALSE))="AKG",(VLOOKUP(Table1[[#This Row],[SKU]],'All Skus'!$A:$AC,3,FALSE)), ""))</f>
        <v>Wireless Mics</v>
      </c>
      <c r="C246" s="60" t="str">
        <f>(IF((VLOOKUP(Table1[[#This Row],[SKU]],'All Skus'!$A:$AC,2,FALSE))="AKG",(VLOOKUP(Table1[[#This Row],[SKU]],'All Skus'!$A:$AC,4,FALSE)),""))</f>
        <v>WMS470 D5 SET BD8 50mW - EU/US/UK</v>
      </c>
      <c r="D246" s="60" t="str">
        <f>(IF((VLOOKUP(Table1[[#This Row],[SKU]],'All Skus'!$A:$AC,2,FALSE))="AKG",(VLOOKUP(Table1[[#This Row],[SKU]],'All Skus'!$A:$AC,5,FALSE)),""))</f>
        <v>AT620000</v>
      </c>
      <c r="E246" s="60">
        <f>(IF((VLOOKUP(Table1[[#This Row],[SKU]],'All Skus'!$A:$AC,2,FALSE))="AKG",(VLOOKUP(Table1[[#This Row],[SKU]],'All Skus'!$A:$AC,6,FALSE)),""))</f>
        <v>0</v>
      </c>
      <c r="F246" s="60">
        <f>(IF((VLOOKUP(Table1[[#This Row],[SKU]],'All Skus'!$A:$AC,2,FALSE))="AKG",(VLOOKUP(Table1[[#This Row],[SKU]],'All Skus'!$A:$AC,7,FALSE)),""))</f>
        <v>0</v>
      </c>
      <c r="G246" s="45" t="str">
        <f>(IF((VLOOKUP(Table1[[#This Row],[SKU]],'All Skus'!$A:$AC,2,FALSE))="AKG",(VLOOKUP(Table1[[#This Row],[SKU]],'All Skus'!$A:$AC,8,FALSE)),""))</f>
        <v>Wireless Microphone System 470</v>
      </c>
      <c r="H246" s="45" t="str">
        <f>(IF((VLOOKUP(Table1[[#This Row],[SKU]],'All Skus'!$A:$AC,2,FALSE))="AKG",(VLOOKUP(Table1[[#This Row],[SKU]],'All Skus'!$A:$AC,9,FALSE)),""))</f>
        <v>Wireless handheld microphone system, SR470 stationary receiver, HT470/D5 handheld transmitter, D5 microphone element, pilot tone, microphone stand, LR6 AA battery, power supply and rack mount unit included.</v>
      </c>
      <c r="I246" s="141">
        <f>(IF((VLOOKUP(Table1[[#This Row],[SKU]],'All Skus'!$A:$AC,2,FALSE))="AKG",(VLOOKUP(Table1[[#This Row],[SKU]],'All Skus'!$A:$AC,10,FALSE)),""))</f>
        <v>755.09</v>
      </c>
      <c r="J246" s="141">
        <f>(IF((VLOOKUP(Table1[[#This Row],[SKU]],'All Skus'!$A:$AC,2,FALSE))="AKG",(VLOOKUP(Table1[[#This Row],[SKU]],'All Skus'!$A:$AC,11,FALSE)),""))</f>
        <v>603</v>
      </c>
      <c r="K246" s="125">
        <f>(IF((VLOOKUP(Table1[[#This Row],[SKU]],'All Skus'!$A:$AC,2,FALSE))="AKG",(VLOOKUP(Table1[[#This Row],[SKU]],'All Skus'!$A:$AC,15,FALSE)),""))</f>
        <v>5</v>
      </c>
      <c r="L246" s="124">
        <f>(IF((VLOOKUP(Table1[[#This Row],[SKU]],'All Skus'!$A:$AC,2,FALSE))="AKG",(VLOOKUP(Table1[[#This Row],[SKU]],'All Skus'!$A:$AC,16,FALSE)),""))</f>
        <v>885038029854</v>
      </c>
      <c r="M246" s="124">
        <f>(IF((VLOOKUP(Table1[[#This Row],[SKU]],'All Skus'!$A:$AC,2,FALSE))="AKG",(VLOOKUP(Table1[[#This Row],[SKU]],'All Skus'!$A:$AC,17,FALSE)),""))</f>
        <v>9002761029857</v>
      </c>
      <c r="N246" s="64">
        <f>(IF((VLOOKUP(Table1[[#This Row],[SKU]],'All Skus'!$A:$AC,2,FALSE))="AKG",(VLOOKUP(Table1[[#This Row],[SKU]],'All Skus'!$A:$AC,18,FALSE)),""))</f>
        <v>5</v>
      </c>
      <c r="O246" s="64">
        <f>(IF((VLOOKUP(Table1[[#This Row],[SKU]],'All Skus'!$A:$AC,2,FALSE))="AKG",(VLOOKUP(Table1[[#This Row],[SKU]],'All Skus'!$A:$AC,19,FALSE)),""))</f>
        <v>20</v>
      </c>
      <c r="P246" s="64">
        <f>(IF((VLOOKUP(Table1[[#This Row],[SKU]],'All Skus'!$A:$AC,2,FALSE))="AKG",(VLOOKUP(Table1[[#This Row],[SKU]],'All Skus'!$A:$AC,20,FALSE)),""))</f>
        <v>17</v>
      </c>
      <c r="Q246" s="64">
        <f>(IF((VLOOKUP(Table1[[#This Row],[SKU]],'All Skus'!$A:$AC,2,FALSE))="AKG",(VLOOKUP(Table1[[#This Row],[SKU]],'All Skus'!$A:$AC,21,FALSE)),""))</f>
        <v>3.2</v>
      </c>
      <c r="R246" s="64" t="str">
        <f>(IF((VLOOKUP(Table1[[#This Row],[SKU]],'All Skus'!$A:$AC,2,FALSE))="AKG",(VLOOKUP(Table1[[#This Row],[SKU]],'All Skus'!$A:$AC,22,FALSE)),""))</f>
        <v>CN</v>
      </c>
      <c r="S246" s="64" t="str">
        <f>(IF((VLOOKUP(Table1[[#This Row],[SKU]],'All Skus'!$A:$AC,2,FALSE))="AKG",(VLOOKUP(Table1[[#This Row],[SKU]],'All Skus'!$A:$AC,23,FALSE)),""))</f>
        <v>Non Compliant</v>
      </c>
      <c r="T246" s="210" t="str">
        <f>HYPERLINK((IF((VLOOKUP(Table1[[#This Row],[SKU]],'All Skus'!$A:$AC,2,FALSE))="AKG",(VLOOKUP(Table1[[#This Row],[SKU]],'All Skus'!$A:$AC,24,FALSE)),"")))</f>
        <v>https://www.akg.com/Wireless/wireless-components/3305X00380.html</v>
      </c>
      <c r="U246" s="151">
        <v>244</v>
      </c>
    </row>
    <row r="247" spans="1:21" ht="15" hidden="1" customHeight="1">
      <c r="A247" s="48" t="s">
        <v>403</v>
      </c>
      <c r="B247" s="52" t="str">
        <f>(IF((VLOOKUP(Table1[[#This Row],[SKU]],'All Skus'!$A:$AC,2,FALSE))="AKG",(VLOOKUP(Table1[[#This Row],[SKU]],'All Skus'!$A:$AC,3,FALSE)), ""))</f>
        <v>Wireless Mics</v>
      </c>
      <c r="C247" s="60" t="str">
        <f>(IF((VLOOKUP(Table1[[#This Row],[SKU]],'All Skus'!$A:$AC,2,FALSE))="AKG",(VLOOKUP(Table1[[#This Row],[SKU]],'All Skus'!$A:$AC,4,FALSE)),""))</f>
        <v>WMS470 C5 SET BD7 50mW - EU/US/UK</v>
      </c>
      <c r="D247" s="60" t="str">
        <f>(IF((VLOOKUP(Table1[[#This Row],[SKU]],'All Skus'!$A:$AC,2,FALSE))="AKG",(VLOOKUP(Table1[[#This Row],[SKU]],'All Skus'!$A:$AC,5,FALSE)),""))</f>
        <v>AT620000</v>
      </c>
      <c r="E247" s="60">
        <f>(IF((VLOOKUP(Table1[[#This Row],[SKU]],'All Skus'!$A:$AC,2,FALSE))="AKG",(VLOOKUP(Table1[[#This Row],[SKU]],'All Skus'!$A:$AC,6,FALSE)),""))</f>
        <v>0</v>
      </c>
      <c r="F247" s="60">
        <f>(IF((VLOOKUP(Table1[[#This Row],[SKU]],'All Skus'!$A:$AC,2,FALSE))="AKG",(VLOOKUP(Table1[[#This Row],[SKU]],'All Skus'!$A:$AC,7,FALSE)),""))</f>
        <v>0</v>
      </c>
      <c r="G247" s="45" t="str">
        <f>(IF((VLOOKUP(Table1[[#This Row],[SKU]],'All Skus'!$A:$AC,2,FALSE))="AKG",(VLOOKUP(Table1[[#This Row],[SKU]],'All Skus'!$A:$AC,8,FALSE)),""))</f>
        <v>Wireless Microphone System 470</v>
      </c>
      <c r="H247" s="45" t="str">
        <f>(IF((VLOOKUP(Table1[[#This Row],[SKU]],'All Skus'!$A:$AC,2,FALSE))="AKG",(VLOOKUP(Table1[[#This Row],[SKU]],'All Skus'!$A:$AC,9,FALSE)),""))</f>
        <v>Wireless handheld microphone system, SR470 stationary receiver, HT470/C5 handheld transmitter, C5 microphone element, pilot tone, microphone stand, LR6 AA battery, power supply and rack mount unit included.</v>
      </c>
      <c r="I247" s="141">
        <f>(IF((VLOOKUP(Table1[[#This Row],[SKU]],'All Skus'!$A:$AC,2,FALSE))="AKG",(VLOOKUP(Table1[[#This Row],[SKU]],'All Skus'!$A:$AC,10,FALSE)),""))</f>
        <v>827.12</v>
      </c>
      <c r="J247" s="141">
        <f>(IF((VLOOKUP(Table1[[#This Row],[SKU]],'All Skus'!$A:$AC,2,FALSE))="AKG",(VLOOKUP(Table1[[#This Row],[SKU]],'All Skus'!$A:$AC,11,FALSE)),""))</f>
        <v>659</v>
      </c>
      <c r="K247" s="125">
        <f>(IF((VLOOKUP(Table1[[#This Row],[SKU]],'All Skus'!$A:$AC,2,FALSE))="AKG",(VLOOKUP(Table1[[#This Row],[SKU]],'All Skus'!$A:$AC,15,FALSE)),""))</f>
        <v>5</v>
      </c>
      <c r="L247" s="124">
        <f>(IF((VLOOKUP(Table1[[#This Row],[SKU]],'All Skus'!$A:$AC,2,FALSE))="AKG",(VLOOKUP(Table1[[#This Row],[SKU]],'All Skus'!$A:$AC,16,FALSE)),""))</f>
        <v>885038029946</v>
      </c>
      <c r="M247" s="124">
        <f>(IF((VLOOKUP(Table1[[#This Row],[SKU]],'All Skus'!$A:$AC,2,FALSE))="AKG",(VLOOKUP(Table1[[#This Row],[SKU]],'All Skus'!$A:$AC,17,FALSE)),""))</f>
        <v>9002761029949</v>
      </c>
      <c r="N247" s="64">
        <f>(IF((VLOOKUP(Table1[[#This Row],[SKU]],'All Skus'!$A:$AC,2,FALSE))="AKG",(VLOOKUP(Table1[[#This Row],[SKU]],'All Skus'!$A:$AC,18,FALSE)),""))</f>
        <v>4</v>
      </c>
      <c r="O247" s="64">
        <f>(IF((VLOOKUP(Table1[[#This Row],[SKU]],'All Skus'!$A:$AC,2,FALSE))="AKG",(VLOOKUP(Table1[[#This Row],[SKU]],'All Skus'!$A:$AC,19,FALSE)),""))</f>
        <v>4</v>
      </c>
      <c r="P247" s="64">
        <f>(IF((VLOOKUP(Table1[[#This Row],[SKU]],'All Skus'!$A:$AC,2,FALSE))="AKG",(VLOOKUP(Table1[[#This Row],[SKU]],'All Skus'!$A:$AC,20,FALSE)),""))</f>
        <v>17</v>
      </c>
      <c r="Q247" s="64">
        <f>(IF((VLOOKUP(Table1[[#This Row],[SKU]],'All Skus'!$A:$AC,2,FALSE))="AKG",(VLOOKUP(Table1[[#This Row],[SKU]],'All Skus'!$A:$AC,21,FALSE)),""))</f>
        <v>3.2</v>
      </c>
      <c r="R247" s="64" t="str">
        <f>(IF((VLOOKUP(Table1[[#This Row],[SKU]],'All Skus'!$A:$AC,2,FALSE))="AKG",(VLOOKUP(Table1[[#This Row],[SKU]],'All Skus'!$A:$AC,22,FALSE)),""))</f>
        <v>CN</v>
      </c>
      <c r="S247" s="64" t="str">
        <f>(IF((VLOOKUP(Table1[[#This Row],[SKU]],'All Skus'!$A:$AC,2,FALSE))="AKG",(VLOOKUP(Table1[[#This Row],[SKU]],'All Skus'!$A:$AC,23,FALSE)),""))</f>
        <v>Non Compliant</v>
      </c>
      <c r="T247" s="210" t="str">
        <f>HYPERLINK((IF((VLOOKUP(Table1[[#This Row],[SKU]],'All Skus'!$A:$AC,2,FALSE))="AKG",(VLOOKUP(Table1[[#This Row],[SKU]],'All Skus'!$A:$AC,24,FALSE)),"")))</f>
        <v>https://www.akg.com/Wireless/wireless-components/3306X00370.html</v>
      </c>
      <c r="U247" s="151">
        <v>245</v>
      </c>
    </row>
    <row r="248" spans="1:21" ht="15" hidden="1" customHeight="1">
      <c r="A248" s="48" t="s">
        <v>404</v>
      </c>
      <c r="B248" s="52" t="str">
        <f>(IF((VLOOKUP(Table1[[#This Row],[SKU]],'All Skus'!$A:$AC,2,FALSE))="AKG",(VLOOKUP(Table1[[#This Row],[SKU]],'All Skus'!$A:$AC,3,FALSE)), ""))</f>
        <v>Wireless Mics</v>
      </c>
      <c r="C248" s="60" t="str">
        <f>(IF((VLOOKUP(Table1[[#This Row],[SKU]],'All Skus'!$A:$AC,2,FALSE))="AKG",(VLOOKUP(Table1[[#This Row],[SKU]],'All Skus'!$A:$AC,4,FALSE)),""))</f>
        <v>WMS470 C5 SET BD8 50mW - EU/US/UK</v>
      </c>
      <c r="D248" s="60">
        <f>(IF((VLOOKUP(Table1[[#This Row],[SKU]],'All Skus'!$A:$AC,2,FALSE))="AKG",(VLOOKUP(Table1[[#This Row],[SKU]],'All Skus'!$A:$AC,5,FALSE)),""))</f>
        <v>81200200</v>
      </c>
      <c r="E248" s="60">
        <f>(IF((VLOOKUP(Table1[[#This Row],[SKU]],'All Skus'!$A:$AC,2,FALSE))="AKG",(VLOOKUP(Table1[[#This Row],[SKU]],'All Skus'!$A:$AC,6,FALSE)),""))</f>
        <v>0</v>
      </c>
      <c r="F248" s="60">
        <f>(IF((VLOOKUP(Table1[[#This Row],[SKU]],'All Skus'!$A:$AC,2,FALSE))="AKG",(VLOOKUP(Table1[[#This Row],[SKU]],'All Skus'!$A:$AC,7,FALSE)),""))</f>
        <v>0</v>
      </c>
      <c r="G248" s="45" t="str">
        <f>(IF((VLOOKUP(Table1[[#This Row],[SKU]],'All Skus'!$A:$AC,2,FALSE))="AKG",(VLOOKUP(Table1[[#This Row],[SKU]],'All Skus'!$A:$AC,8,FALSE)),""))</f>
        <v>Wireless Microphone System 470</v>
      </c>
      <c r="H248" s="45" t="str">
        <f>(IF((VLOOKUP(Table1[[#This Row],[SKU]],'All Skus'!$A:$AC,2,FALSE))="AKG",(VLOOKUP(Table1[[#This Row],[SKU]],'All Skus'!$A:$AC,9,FALSE)),""))</f>
        <v>Wireless handheld microphone system, SR470 stationary receiver, HT470/C5 handheld transmitter, C5 microphone element, pilot tone, microphone stand, LR6 AA battery, power supply and rack mount unit included.</v>
      </c>
      <c r="I248" s="141">
        <f>(IF((VLOOKUP(Table1[[#This Row],[SKU]],'All Skus'!$A:$AC,2,FALSE))="AKG",(VLOOKUP(Table1[[#This Row],[SKU]],'All Skus'!$A:$AC,10,FALSE)),""))</f>
        <v>827.12</v>
      </c>
      <c r="J248" s="141">
        <f>(IF((VLOOKUP(Table1[[#This Row],[SKU]],'All Skus'!$A:$AC,2,FALSE))="AKG",(VLOOKUP(Table1[[#This Row],[SKU]],'All Skus'!$A:$AC,11,FALSE)),""))</f>
        <v>659</v>
      </c>
      <c r="K248" s="125">
        <f>(IF((VLOOKUP(Table1[[#This Row],[SKU]],'All Skus'!$A:$AC,2,FALSE))="AKG",(VLOOKUP(Table1[[#This Row],[SKU]],'All Skus'!$A:$AC,15,FALSE)),""))</f>
        <v>5</v>
      </c>
      <c r="L248" s="124">
        <f>(IF((VLOOKUP(Table1[[#This Row],[SKU]],'All Skus'!$A:$AC,2,FALSE))="AKG",(VLOOKUP(Table1[[#This Row],[SKU]],'All Skus'!$A:$AC,16,FALSE)),""))</f>
        <v>885038029953</v>
      </c>
      <c r="M248" s="124">
        <f>(IF((VLOOKUP(Table1[[#This Row],[SKU]],'All Skus'!$A:$AC,2,FALSE))="AKG",(VLOOKUP(Table1[[#This Row],[SKU]],'All Skus'!$A:$AC,17,FALSE)),""))</f>
        <v>9002761029956</v>
      </c>
      <c r="N248" s="64">
        <f>(IF((VLOOKUP(Table1[[#This Row],[SKU]],'All Skus'!$A:$AC,2,FALSE))="AKG",(VLOOKUP(Table1[[#This Row],[SKU]],'All Skus'!$A:$AC,18,FALSE)),""))</f>
        <v>3</v>
      </c>
      <c r="O248" s="64">
        <f>(IF((VLOOKUP(Table1[[#This Row],[SKU]],'All Skus'!$A:$AC,2,FALSE))="AKG",(VLOOKUP(Table1[[#This Row],[SKU]],'All Skus'!$A:$AC,19,FALSE)),""))</f>
        <v>14</v>
      </c>
      <c r="P248" s="64">
        <f>(IF((VLOOKUP(Table1[[#This Row],[SKU]],'All Skus'!$A:$AC,2,FALSE))="AKG",(VLOOKUP(Table1[[#This Row],[SKU]],'All Skus'!$A:$AC,20,FALSE)),""))</f>
        <v>17</v>
      </c>
      <c r="Q248" s="64">
        <f>(IF((VLOOKUP(Table1[[#This Row],[SKU]],'All Skus'!$A:$AC,2,FALSE))="AKG",(VLOOKUP(Table1[[#This Row],[SKU]],'All Skus'!$A:$AC,21,FALSE)),""))</f>
        <v>3.2</v>
      </c>
      <c r="R248" s="64" t="str">
        <f>(IF((VLOOKUP(Table1[[#This Row],[SKU]],'All Skus'!$A:$AC,2,FALSE))="AKG",(VLOOKUP(Table1[[#This Row],[SKU]],'All Skus'!$A:$AC,22,FALSE)),""))</f>
        <v>CN</v>
      </c>
      <c r="S248" s="64" t="str">
        <f>(IF((VLOOKUP(Table1[[#This Row],[SKU]],'All Skus'!$A:$AC,2,FALSE))="AKG",(VLOOKUP(Table1[[#This Row],[SKU]],'All Skus'!$A:$AC,23,FALSE)),""))</f>
        <v>Non Compliant</v>
      </c>
      <c r="T248" s="210" t="str">
        <f>HYPERLINK((IF((VLOOKUP(Table1[[#This Row],[SKU]],'All Skus'!$A:$AC,2,FALSE))="AKG",(VLOOKUP(Table1[[#This Row],[SKU]],'All Skus'!$A:$AC,24,FALSE)),"")))</f>
        <v>https://www.akg.com/Wireless/wireless-components/3306X00380.html</v>
      </c>
      <c r="U248" s="151">
        <v>246</v>
      </c>
    </row>
    <row r="249" spans="1:21" ht="15" hidden="1" customHeight="1">
      <c r="A249" s="50" t="s">
        <v>405</v>
      </c>
      <c r="B249" s="52" t="str">
        <f>(IF((VLOOKUP(Table1[[#This Row],[SKU]],'All Skus'!$A:$AC,2,FALSE))="AKG",(VLOOKUP(Table1[[#This Row],[SKU]],'All Skus'!$A:$AC,3,FALSE)), ""))</f>
        <v>Wireless Mics</v>
      </c>
      <c r="C249" s="60" t="str">
        <f>(IF((VLOOKUP(Table1[[#This Row],[SKU]],'All Skus'!$A:$AC,2,FALSE))="AKG",(VLOOKUP(Table1[[#This Row],[SKU]],'All Skus'!$A:$AC,4,FALSE)),""))</f>
        <v>WMS470 INSTR SET BD7 50mW - EU/US/UK</v>
      </c>
      <c r="D249" s="60" t="str">
        <f>(IF((VLOOKUP(Table1[[#This Row],[SKU]],'All Skus'!$A:$AC,2,FALSE))="AKG",(VLOOKUP(Table1[[#This Row],[SKU]],'All Skus'!$A:$AC,5,FALSE)),""))</f>
        <v>AT620000</v>
      </c>
      <c r="E249" s="60">
        <f>(IF((VLOOKUP(Table1[[#This Row],[SKU]],'All Skus'!$A:$AC,2,FALSE))="AKG",(VLOOKUP(Table1[[#This Row],[SKU]],'All Skus'!$A:$AC,6,FALSE)),""))</f>
        <v>0</v>
      </c>
      <c r="F249" s="60">
        <f>(IF((VLOOKUP(Table1[[#This Row],[SKU]],'All Skus'!$A:$AC,2,FALSE))="AKG",(VLOOKUP(Table1[[#This Row],[SKU]],'All Skus'!$A:$AC,7,FALSE)),""))</f>
        <v>0</v>
      </c>
      <c r="G249" s="45" t="str">
        <f>(IF((VLOOKUP(Table1[[#This Row],[SKU]],'All Skus'!$A:$AC,2,FALSE))="AKG",(VLOOKUP(Table1[[#This Row],[SKU]],'All Skus'!$A:$AC,8,FALSE)),""))</f>
        <v>Wireless Microphone System 470</v>
      </c>
      <c r="H249" s="45" t="str">
        <f>(IF((VLOOKUP(Table1[[#This Row],[SKU]],'All Skus'!$A:$AC,2,FALSE))="AKG",(VLOOKUP(Table1[[#This Row],[SKU]],'All Skus'!$A:$AC,9,FALSE)),""))</f>
        <v>Wireless bodypack microphone system, SR470 stationary receiver, PT470 bodypack transmitter, instrument cable with 6.5mm plug, pilot tone, belt clip, LR6 AA battery, power supply and rack mount unit included.</v>
      </c>
      <c r="I249" s="141">
        <f>(IF((VLOOKUP(Table1[[#This Row],[SKU]],'All Skus'!$A:$AC,2,FALSE))="AKG",(VLOOKUP(Table1[[#This Row],[SKU]],'All Skus'!$A:$AC,10,FALSE)),""))</f>
        <v>755.09</v>
      </c>
      <c r="J249" s="141">
        <f>(IF((VLOOKUP(Table1[[#This Row],[SKU]],'All Skus'!$A:$AC,2,FALSE))="AKG",(VLOOKUP(Table1[[#This Row],[SKU]],'All Skus'!$A:$AC,11,FALSE)),""))</f>
        <v>603</v>
      </c>
      <c r="K249" s="125">
        <f>(IF((VLOOKUP(Table1[[#This Row],[SKU]],'All Skus'!$A:$AC,2,FALSE))="AKG",(VLOOKUP(Table1[[#This Row],[SKU]],'All Skus'!$A:$AC,15,FALSE)),""))</f>
        <v>5</v>
      </c>
      <c r="L249" s="124">
        <f>(IF((VLOOKUP(Table1[[#This Row],[SKU]],'All Skus'!$A:$AC,2,FALSE))="AKG",(VLOOKUP(Table1[[#This Row],[SKU]],'All Skus'!$A:$AC,16,FALSE)),""))</f>
        <v>885038030041</v>
      </c>
      <c r="M249" s="124">
        <f>(IF((VLOOKUP(Table1[[#This Row],[SKU]],'All Skus'!$A:$AC,2,FALSE))="AKG",(VLOOKUP(Table1[[#This Row],[SKU]],'All Skus'!$A:$AC,17,FALSE)),""))</f>
        <v>9002761030044</v>
      </c>
      <c r="N249" s="64">
        <f>(IF((VLOOKUP(Table1[[#This Row],[SKU]],'All Skus'!$A:$AC,2,FALSE))="AKG",(VLOOKUP(Table1[[#This Row],[SKU]],'All Skus'!$A:$AC,18,FALSE)),""))</f>
        <v>7</v>
      </c>
      <c r="O249" s="64">
        <f>(IF((VLOOKUP(Table1[[#This Row],[SKU]],'All Skus'!$A:$AC,2,FALSE))="AKG",(VLOOKUP(Table1[[#This Row],[SKU]],'All Skus'!$A:$AC,19,FALSE)),""))</f>
        <v>42</v>
      </c>
      <c r="P249" s="64">
        <f>(IF((VLOOKUP(Table1[[#This Row],[SKU]],'All Skus'!$A:$AC,2,FALSE))="AKG",(VLOOKUP(Table1[[#This Row],[SKU]],'All Skus'!$A:$AC,20,FALSE)),""))</f>
        <v>6</v>
      </c>
      <c r="Q249" s="64">
        <f>(IF((VLOOKUP(Table1[[#This Row],[SKU]],'All Skus'!$A:$AC,2,FALSE))="AKG",(VLOOKUP(Table1[[#This Row],[SKU]],'All Skus'!$A:$AC,21,FALSE)),""))</f>
        <v>3.2</v>
      </c>
      <c r="R249" s="64" t="str">
        <f>(IF((VLOOKUP(Table1[[#This Row],[SKU]],'All Skus'!$A:$AC,2,FALSE))="AKG",(VLOOKUP(Table1[[#This Row],[SKU]],'All Skus'!$A:$AC,22,FALSE)),""))</f>
        <v>CN</v>
      </c>
      <c r="S249" s="64" t="str">
        <f>(IF((VLOOKUP(Table1[[#This Row],[SKU]],'All Skus'!$A:$AC,2,FALSE))="AKG",(VLOOKUP(Table1[[#This Row],[SKU]],'All Skus'!$A:$AC,23,FALSE)),""))</f>
        <v>Non Compliant</v>
      </c>
      <c r="T249" s="210" t="str">
        <f>HYPERLINK((IF((VLOOKUP(Table1[[#This Row],[SKU]],'All Skus'!$A:$AC,2,FALSE))="AKG",(VLOOKUP(Table1[[#This Row],[SKU]],'All Skus'!$A:$AC,24,FALSE)),"")))</f>
        <v>https://www.akg.com/Wireless/wireless-components/3307H00370.html</v>
      </c>
      <c r="U249" s="151">
        <v>247</v>
      </c>
    </row>
    <row r="250" spans="1:21" ht="15" hidden="1" customHeight="1">
      <c r="A250" s="50" t="s">
        <v>406</v>
      </c>
      <c r="B250" s="52" t="str">
        <f>(IF((VLOOKUP(Table1[[#This Row],[SKU]],'All Skus'!$A:$AC,2,FALSE))="AKG",(VLOOKUP(Table1[[#This Row],[SKU]],'All Skus'!$A:$AC,3,FALSE)), ""))</f>
        <v>Wireless Mics</v>
      </c>
      <c r="C250" s="60" t="str">
        <f>(IF((VLOOKUP(Table1[[#This Row],[SKU]],'All Skus'!$A:$AC,2,FALSE))="AKG",(VLOOKUP(Table1[[#This Row],[SKU]],'All Skus'!$A:$AC,4,FALSE)),""))</f>
        <v>WMS470 INSTR SET BD8 50mW - EU/US/UK</v>
      </c>
      <c r="D250" s="60" t="str">
        <f>(IF((VLOOKUP(Table1[[#This Row],[SKU]],'All Skus'!$A:$AC,2,FALSE))="AKG",(VLOOKUP(Table1[[#This Row],[SKU]],'All Skus'!$A:$AC,5,FALSE)),""))</f>
        <v>AT620000</v>
      </c>
      <c r="E250" s="60">
        <f>(IF((VLOOKUP(Table1[[#This Row],[SKU]],'All Skus'!$A:$AC,2,FALSE))="AKG",(VLOOKUP(Table1[[#This Row],[SKU]],'All Skus'!$A:$AC,6,FALSE)),""))</f>
        <v>0</v>
      </c>
      <c r="F250" s="60">
        <f>(IF((VLOOKUP(Table1[[#This Row],[SKU]],'All Skus'!$A:$AC,2,FALSE))="AKG",(VLOOKUP(Table1[[#This Row],[SKU]],'All Skus'!$A:$AC,7,FALSE)),""))</f>
        <v>0</v>
      </c>
      <c r="G250" s="45" t="str">
        <f>(IF((VLOOKUP(Table1[[#This Row],[SKU]],'All Skus'!$A:$AC,2,FALSE))="AKG",(VLOOKUP(Table1[[#This Row],[SKU]],'All Skus'!$A:$AC,8,FALSE)),""))</f>
        <v>Wireless Microphone System 470</v>
      </c>
      <c r="H250" s="45" t="str">
        <f>(IF((VLOOKUP(Table1[[#This Row],[SKU]],'All Skus'!$A:$AC,2,FALSE))="AKG",(VLOOKUP(Table1[[#This Row],[SKU]],'All Skus'!$A:$AC,9,FALSE)),""))</f>
        <v>Wireless bodypack microphone system, SR470 stationary receiver, PT470 bodypack transmitter, instrument cable with 6.5mm plug, pilot tone, belt clip, LR6 AA battery, power supply and rack mount unit included.</v>
      </c>
      <c r="I250" s="141">
        <f>(IF((VLOOKUP(Table1[[#This Row],[SKU]],'All Skus'!$A:$AC,2,FALSE))="AKG",(VLOOKUP(Table1[[#This Row],[SKU]],'All Skus'!$A:$AC,10,FALSE)),""))</f>
        <v>755.09</v>
      </c>
      <c r="J250" s="141">
        <f>(IF((VLOOKUP(Table1[[#This Row],[SKU]],'All Skus'!$A:$AC,2,FALSE))="AKG",(VLOOKUP(Table1[[#This Row],[SKU]],'All Skus'!$A:$AC,11,FALSE)),""))</f>
        <v>603</v>
      </c>
      <c r="K250" s="125">
        <f>(IF((VLOOKUP(Table1[[#This Row],[SKU]],'All Skus'!$A:$AC,2,FALSE))="AKG",(VLOOKUP(Table1[[#This Row],[SKU]],'All Skus'!$A:$AC,15,FALSE)),""))</f>
        <v>5</v>
      </c>
      <c r="L250" s="124">
        <f>(IF((VLOOKUP(Table1[[#This Row],[SKU]],'All Skus'!$A:$AC,2,FALSE))="AKG",(VLOOKUP(Table1[[#This Row],[SKU]],'All Skus'!$A:$AC,16,FALSE)),""))</f>
        <v>885038030058</v>
      </c>
      <c r="M250" s="124">
        <f>(IF((VLOOKUP(Table1[[#This Row],[SKU]],'All Skus'!$A:$AC,2,FALSE))="AKG",(VLOOKUP(Table1[[#This Row],[SKU]],'All Skus'!$A:$AC,17,FALSE)),""))</f>
        <v>9002761030051</v>
      </c>
      <c r="N250" s="64">
        <f>(IF((VLOOKUP(Table1[[#This Row],[SKU]],'All Skus'!$A:$AC,2,FALSE))="AKG",(VLOOKUP(Table1[[#This Row],[SKU]],'All Skus'!$A:$AC,18,FALSE)),""))</f>
        <v>3</v>
      </c>
      <c r="O250" s="64">
        <f>(IF((VLOOKUP(Table1[[#This Row],[SKU]],'All Skus'!$A:$AC,2,FALSE))="AKG",(VLOOKUP(Table1[[#This Row],[SKU]],'All Skus'!$A:$AC,19,FALSE)),""))</f>
        <v>17</v>
      </c>
      <c r="P250" s="64">
        <f>(IF((VLOOKUP(Table1[[#This Row],[SKU]],'All Skus'!$A:$AC,2,FALSE))="AKG",(VLOOKUP(Table1[[#This Row],[SKU]],'All Skus'!$A:$AC,20,FALSE)),""))</f>
        <v>13</v>
      </c>
      <c r="Q250" s="64">
        <f>(IF((VLOOKUP(Table1[[#This Row],[SKU]],'All Skus'!$A:$AC,2,FALSE))="AKG",(VLOOKUP(Table1[[#This Row],[SKU]],'All Skus'!$A:$AC,21,FALSE)),""))</f>
        <v>3.2</v>
      </c>
      <c r="R250" s="64" t="str">
        <f>(IF((VLOOKUP(Table1[[#This Row],[SKU]],'All Skus'!$A:$AC,2,FALSE))="AKG",(VLOOKUP(Table1[[#This Row],[SKU]],'All Skus'!$A:$AC,22,FALSE)),""))</f>
        <v>CN</v>
      </c>
      <c r="S250" s="64" t="str">
        <f>(IF((VLOOKUP(Table1[[#This Row],[SKU]],'All Skus'!$A:$AC,2,FALSE))="AKG",(VLOOKUP(Table1[[#This Row],[SKU]],'All Skus'!$A:$AC,23,FALSE)),""))</f>
        <v>Non Compliant</v>
      </c>
      <c r="T250" s="210" t="str">
        <f>HYPERLINK((IF((VLOOKUP(Table1[[#This Row],[SKU]],'All Skus'!$A:$AC,2,FALSE))="AKG",(VLOOKUP(Table1[[#This Row],[SKU]],'All Skus'!$A:$AC,24,FALSE)),"")))</f>
        <v>https://www.akg.com/Wireless/wireless-components/3307H00380.html</v>
      </c>
      <c r="U250" s="151">
        <v>248</v>
      </c>
    </row>
    <row r="251" spans="1:21" ht="15" hidden="1" customHeight="1">
      <c r="A251" s="50" t="s">
        <v>407</v>
      </c>
      <c r="B251" s="52" t="str">
        <f>(IF((VLOOKUP(Table1[[#This Row],[SKU]],'All Skus'!$A:$AC,2,FALSE))="AKG",(VLOOKUP(Table1[[#This Row],[SKU]],'All Skus'!$A:$AC,3,FALSE)), ""))</f>
        <v>Wireless Mics</v>
      </c>
      <c r="C251" s="60" t="str">
        <f>(IF((VLOOKUP(Table1[[#This Row],[SKU]],'All Skus'!$A:$AC,2,FALSE))="AKG",(VLOOKUP(Table1[[#This Row],[SKU]],'All Skus'!$A:$AC,4,FALSE)),""))</f>
        <v>WMS470 SPORTS SET BD7 50mW - EU/US/UK</v>
      </c>
      <c r="D251" s="60">
        <f>(IF((VLOOKUP(Table1[[#This Row],[SKU]],'All Skus'!$A:$AC,2,FALSE))="AKG",(VLOOKUP(Table1[[#This Row],[SKU]],'All Skus'!$A:$AC,5,FALSE)),""))</f>
        <v>81200200</v>
      </c>
      <c r="E251" s="60">
        <f>(IF((VLOOKUP(Table1[[#This Row],[SKU]],'All Skus'!$A:$AC,2,FALSE))="AKG",(VLOOKUP(Table1[[#This Row],[SKU]],'All Skus'!$A:$AC,6,FALSE)),""))</f>
        <v>0</v>
      </c>
      <c r="F251" s="60">
        <f>(IF((VLOOKUP(Table1[[#This Row],[SKU]],'All Skus'!$A:$AC,2,FALSE))="AKG",(VLOOKUP(Table1[[#This Row],[SKU]],'All Skus'!$A:$AC,7,FALSE)),""))</f>
        <v>0</v>
      </c>
      <c r="G251" s="45" t="str">
        <f>(IF((VLOOKUP(Table1[[#This Row],[SKU]],'All Skus'!$A:$AC,2,FALSE))="AKG",(VLOOKUP(Table1[[#This Row],[SKU]],'All Skus'!$A:$AC,8,FALSE)),""))</f>
        <v>Wireless Microphone System 470</v>
      </c>
      <c r="H251" s="45" t="str">
        <f>(IF((VLOOKUP(Table1[[#This Row],[SKU]],'All Skus'!$A:$AC,2,FALSE))="AKG",(VLOOKUP(Table1[[#This Row],[SKU]],'All Skus'!$A:$AC,9,FALSE)),""))</f>
        <v>Wireless bodypack microphone system, SR470 stationary receiver, PT470 bodypack transmitter, C544L headworn microphone, belt clip, LR6 AA battery, power supply and rack mount unit included.</v>
      </c>
      <c r="I251" s="141">
        <f>(IF((VLOOKUP(Table1[[#This Row],[SKU]],'All Skus'!$A:$AC,2,FALSE))="AKG",(VLOOKUP(Table1[[#This Row],[SKU]],'All Skus'!$A:$AC,10,FALSE)),""))</f>
        <v>899.15</v>
      </c>
      <c r="J251" s="141">
        <f>(IF((VLOOKUP(Table1[[#This Row],[SKU]],'All Skus'!$A:$AC,2,FALSE))="AKG",(VLOOKUP(Table1[[#This Row],[SKU]],'All Skus'!$A:$AC,11,FALSE)),""))</f>
        <v>720</v>
      </c>
      <c r="K251" s="125">
        <f>(IF((VLOOKUP(Table1[[#This Row],[SKU]],'All Skus'!$A:$AC,2,FALSE))="AKG",(VLOOKUP(Table1[[#This Row],[SKU]],'All Skus'!$A:$AC,15,FALSE)),""))</f>
        <v>5</v>
      </c>
      <c r="L251" s="124">
        <f>(IF((VLOOKUP(Table1[[#This Row],[SKU]],'All Skus'!$A:$AC,2,FALSE))="AKG",(VLOOKUP(Table1[[#This Row],[SKU]],'All Skus'!$A:$AC,16,FALSE)),""))</f>
        <v>885038030140</v>
      </c>
      <c r="M251" s="124">
        <f>(IF((VLOOKUP(Table1[[#This Row],[SKU]],'All Skus'!$A:$AC,2,FALSE))="AKG",(VLOOKUP(Table1[[#This Row],[SKU]],'All Skus'!$A:$AC,17,FALSE)),""))</f>
        <v>9002761030143</v>
      </c>
      <c r="N251" s="64">
        <f>(IF((VLOOKUP(Table1[[#This Row],[SKU]],'All Skus'!$A:$AC,2,FALSE))="AKG",(VLOOKUP(Table1[[#This Row],[SKU]],'All Skus'!$A:$AC,18,FALSE)),""))</f>
        <v>14</v>
      </c>
      <c r="O251" s="64">
        <f>(IF((VLOOKUP(Table1[[#This Row],[SKU]],'All Skus'!$A:$AC,2,FALSE))="AKG",(VLOOKUP(Table1[[#This Row],[SKU]],'All Skus'!$A:$AC,19,FALSE)),""))</f>
        <v>17</v>
      </c>
      <c r="P251" s="64">
        <f>(IF((VLOOKUP(Table1[[#This Row],[SKU]],'All Skus'!$A:$AC,2,FALSE))="AKG",(VLOOKUP(Table1[[#This Row],[SKU]],'All Skus'!$A:$AC,20,FALSE)),""))</f>
        <v>3</v>
      </c>
      <c r="Q251" s="64">
        <f>(IF((VLOOKUP(Table1[[#This Row],[SKU]],'All Skus'!$A:$AC,2,FALSE))="AKG",(VLOOKUP(Table1[[#This Row],[SKU]],'All Skus'!$A:$AC,21,FALSE)),""))</f>
        <v>3.2</v>
      </c>
      <c r="R251" s="64" t="str">
        <f>(IF((VLOOKUP(Table1[[#This Row],[SKU]],'All Skus'!$A:$AC,2,FALSE))="AKG",(VLOOKUP(Table1[[#This Row],[SKU]],'All Skus'!$A:$AC,22,FALSE)),""))</f>
        <v>CN</v>
      </c>
      <c r="S251" s="64" t="str">
        <f>(IF((VLOOKUP(Table1[[#This Row],[SKU]],'All Skus'!$A:$AC,2,FALSE))="AKG",(VLOOKUP(Table1[[#This Row],[SKU]],'All Skus'!$A:$AC,23,FALSE)),""))</f>
        <v>Non Compliant</v>
      </c>
      <c r="T251" s="210" t="str">
        <f>HYPERLINK((IF((VLOOKUP(Table1[[#This Row],[SKU]],'All Skus'!$A:$AC,2,FALSE))="AKG",(VLOOKUP(Table1[[#This Row],[SKU]],'All Skus'!$A:$AC,24,FALSE)),"")))</f>
        <v>https://www.akg.com/Wireless/wireless-components/3308H00370.html</v>
      </c>
      <c r="U251" s="151">
        <v>249</v>
      </c>
    </row>
    <row r="252" spans="1:21" ht="15" hidden="1" customHeight="1">
      <c r="A252" s="50" t="s">
        <v>408</v>
      </c>
      <c r="B252" s="52" t="str">
        <f>(IF((VLOOKUP(Table1[[#This Row],[SKU]],'All Skus'!$A:$AC,2,FALSE))="AKG",(VLOOKUP(Table1[[#This Row],[SKU]],'All Skus'!$A:$AC,3,FALSE)), ""))</f>
        <v>Wireless Mics</v>
      </c>
      <c r="C252" s="60" t="str">
        <f>(IF((VLOOKUP(Table1[[#This Row],[SKU]],'All Skus'!$A:$AC,2,FALSE))="AKG",(VLOOKUP(Table1[[#This Row],[SKU]],'All Skus'!$A:$AC,4,FALSE)),""))</f>
        <v>WMS470 SPORTS SET BD8 50mW - EU/US/UK</v>
      </c>
      <c r="D252" s="60">
        <f>(IF((VLOOKUP(Table1[[#This Row],[SKU]],'All Skus'!$A:$AC,2,FALSE))="AKG",(VLOOKUP(Table1[[#This Row],[SKU]],'All Skus'!$A:$AC,5,FALSE)),""))</f>
        <v>81200200</v>
      </c>
      <c r="E252" s="60">
        <f>(IF((VLOOKUP(Table1[[#This Row],[SKU]],'All Skus'!$A:$AC,2,FALSE))="AKG",(VLOOKUP(Table1[[#This Row],[SKU]],'All Skus'!$A:$AC,6,FALSE)),""))</f>
        <v>0</v>
      </c>
      <c r="F252" s="60">
        <f>(IF((VLOOKUP(Table1[[#This Row],[SKU]],'All Skus'!$A:$AC,2,FALSE))="AKG",(VLOOKUP(Table1[[#This Row],[SKU]],'All Skus'!$A:$AC,7,FALSE)),""))</f>
        <v>0</v>
      </c>
      <c r="G252" s="45" t="str">
        <f>(IF((VLOOKUP(Table1[[#This Row],[SKU]],'All Skus'!$A:$AC,2,FALSE))="AKG",(VLOOKUP(Table1[[#This Row],[SKU]],'All Skus'!$A:$AC,8,FALSE)),""))</f>
        <v>Wireless Microphone System 470</v>
      </c>
      <c r="H252" s="45" t="str">
        <f>(IF((VLOOKUP(Table1[[#This Row],[SKU]],'All Skus'!$A:$AC,2,FALSE))="AKG",(VLOOKUP(Table1[[#This Row],[SKU]],'All Skus'!$A:$AC,9,FALSE)),""))</f>
        <v>Wireless bodypack microphone system, SR470 stationary receiver, PT470 bodypack transmitter, C544L headworn microphone, belt clip, LR6 AA battery, power supply and rack mount unit included.</v>
      </c>
      <c r="I252" s="141">
        <f>(IF((VLOOKUP(Table1[[#This Row],[SKU]],'All Skus'!$A:$AC,2,FALSE))="AKG",(VLOOKUP(Table1[[#This Row],[SKU]],'All Skus'!$A:$AC,10,FALSE)),""))</f>
        <v>899.15</v>
      </c>
      <c r="J252" s="141">
        <f>(IF((VLOOKUP(Table1[[#This Row],[SKU]],'All Skus'!$A:$AC,2,FALSE))="AKG",(VLOOKUP(Table1[[#This Row],[SKU]],'All Skus'!$A:$AC,11,FALSE)),""))</f>
        <v>720</v>
      </c>
      <c r="K252" s="125">
        <f>(IF((VLOOKUP(Table1[[#This Row],[SKU]],'All Skus'!$A:$AC,2,FALSE))="AKG",(VLOOKUP(Table1[[#This Row],[SKU]],'All Skus'!$A:$AC,15,FALSE)),""))</f>
        <v>5</v>
      </c>
      <c r="L252" s="124">
        <f>(IF((VLOOKUP(Table1[[#This Row],[SKU]],'All Skus'!$A:$AC,2,FALSE))="AKG",(VLOOKUP(Table1[[#This Row],[SKU]],'All Skus'!$A:$AC,16,FALSE)),""))</f>
        <v>885038030157</v>
      </c>
      <c r="M252" s="124">
        <f>(IF((VLOOKUP(Table1[[#This Row],[SKU]],'All Skus'!$A:$AC,2,FALSE))="AKG",(VLOOKUP(Table1[[#This Row],[SKU]],'All Skus'!$A:$AC,17,FALSE)),""))</f>
        <v>9002761030150</v>
      </c>
      <c r="N252" s="64">
        <f>(IF((VLOOKUP(Table1[[#This Row],[SKU]],'All Skus'!$A:$AC,2,FALSE))="AKG",(VLOOKUP(Table1[[#This Row],[SKU]],'All Skus'!$A:$AC,18,FALSE)),""))</f>
        <v>13</v>
      </c>
      <c r="O252" s="64">
        <f>(IF((VLOOKUP(Table1[[#This Row],[SKU]],'All Skus'!$A:$AC,2,FALSE))="AKG",(VLOOKUP(Table1[[#This Row],[SKU]],'All Skus'!$A:$AC,19,FALSE)),""))</f>
        <v>3</v>
      </c>
      <c r="P252" s="64">
        <f>(IF((VLOOKUP(Table1[[#This Row],[SKU]],'All Skus'!$A:$AC,2,FALSE))="AKG",(VLOOKUP(Table1[[#This Row],[SKU]],'All Skus'!$A:$AC,20,FALSE)),""))</f>
        <v>17</v>
      </c>
      <c r="Q252" s="64">
        <f>(IF((VLOOKUP(Table1[[#This Row],[SKU]],'All Skus'!$A:$AC,2,FALSE))="AKG",(VLOOKUP(Table1[[#This Row],[SKU]],'All Skus'!$A:$AC,21,FALSE)),""))</f>
        <v>3.2</v>
      </c>
      <c r="R252" s="64" t="str">
        <f>(IF((VLOOKUP(Table1[[#This Row],[SKU]],'All Skus'!$A:$AC,2,FALSE))="AKG",(VLOOKUP(Table1[[#This Row],[SKU]],'All Skus'!$A:$AC,22,FALSE)),""))</f>
        <v>CN</v>
      </c>
      <c r="S252" s="64" t="str">
        <f>(IF((VLOOKUP(Table1[[#This Row],[SKU]],'All Skus'!$A:$AC,2,FALSE))="AKG",(VLOOKUP(Table1[[#This Row],[SKU]],'All Skus'!$A:$AC,23,FALSE)),""))</f>
        <v>Non Compliant</v>
      </c>
      <c r="T252" s="210" t="str">
        <f>HYPERLINK((IF((VLOOKUP(Table1[[#This Row],[SKU]],'All Skus'!$A:$AC,2,FALSE))="AKG",(VLOOKUP(Table1[[#This Row],[SKU]],'All Skus'!$A:$AC,24,FALSE)),"")))</f>
        <v>https://www.akg.com/Wireless/wireless-components/3308H00380.html</v>
      </c>
      <c r="U252" s="151">
        <v>250</v>
      </c>
    </row>
    <row r="253" spans="1:21" ht="15" hidden="1" customHeight="1">
      <c r="A253" s="50" t="s">
        <v>409</v>
      </c>
      <c r="B253" s="52" t="str">
        <f>(IF((VLOOKUP(Table1[[#This Row],[SKU]],'All Skus'!$A:$AC,2,FALSE))="AKG",(VLOOKUP(Table1[[#This Row],[SKU]],'All Skus'!$A:$AC,3,FALSE)), ""))</f>
        <v>Wireless Mics</v>
      </c>
      <c r="C253" s="60" t="str">
        <f>(IF((VLOOKUP(Table1[[#This Row],[SKU]],'All Skus'!$A:$AC,2,FALSE))="AKG",(VLOOKUP(Table1[[#This Row],[SKU]],'All Skus'!$A:$AC,4,FALSE)),""))</f>
        <v>WMS470 PRES SET BD7 50mW - EU/US/UK</v>
      </c>
      <c r="D253" s="60" t="str">
        <f>(IF((VLOOKUP(Table1[[#This Row],[SKU]],'All Skus'!$A:$AC,2,FALSE))="AKG",(VLOOKUP(Table1[[#This Row],[SKU]],'All Skus'!$A:$AC,5,FALSE)),""))</f>
        <v>AT620000</v>
      </c>
      <c r="E253" s="60">
        <f>(IF((VLOOKUP(Table1[[#This Row],[SKU]],'All Skus'!$A:$AC,2,FALSE))="AKG",(VLOOKUP(Table1[[#This Row],[SKU]],'All Skus'!$A:$AC,6,FALSE)),""))</f>
        <v>0</v>
      </c>
      <c r="F253" s="60">
        <f>(IF((VLOOKUP(Table1[[#This Row],[SKU]],'All Skus'!$A:$AC,2,FALSE))="AKG",(VLOOKUP(Table1[[#This Row],[SKU]],'All Skus'!$A:$AC,7,FALSE)),""))</f>
        <v>0</v>
      </c>
      <c r="G253" s="45" t="str">
        <f>(IF((VLOOKUP(Table1[[#This Row],[SKU]],'All Skus'!$A:$AC,2,FALSE))="AKG",(VLOOKUP(Table1[[#This Row],[SKU]],'All Skus'!$A:$AC,8,FALSE)),""))</f>
        <v>Wireless Microphone System 470</v>
      </c>
      <c r="H253" s="45" t="str">
        <f>(IF((VLOOKUP(Table1[[#This Row],[SKU]],'All Skus'!$A:$AC,2,FALSE))="AKG",(VLOOKUP(Table1[[#This Row],[SKU]],'All Skus'!$A:$AC,9,FALSE)),""))</f>
        <v>Wireless bodypack microphone system, SR470 stationary receiver, PT470 bodypack transmitter, C555L headworn microphone, CK99L lavalier microphone, tie clip, belt clip, LR6 AA battery, power supply and rack mount unit included.</v>
      </c>
      <c r="I253" s="141">
        <f>(IF((VLOOKUP(Table1[[#This Row],[SKU]],'All Skus'!$A:$AC,2,FALSE))="AKG",(VLOOKUP(Table1[[#This Row],[SKU]],'All Skus'!$A:$AC,10,FALSE)),""))</f>
        <v>899.15</v>
      </c>
      <c r="J253" s="141">
        <f>(IF((VLOOKUP(Table1[[#This Row],[SKU]],'All Skus'!$A:$AC,2,FALSE))="AKG",(VLOOKUP(Table1[[#This Row],[SKU]],'All Skus'!$A:$AC,11,FALSE)),""))</f>
        <v>720</v>
      </c>
      <c r="K253" s="125">
        <f>(IF((VLOOKUP(Table1[[#This Row],[SKU]],'All Skus'!$A:$AC,2,FALSE))="AKG",(VLOOKUP(Table1[[#This Row],[SKU]],'All Skus'!$A:$AC,15,FALSE)),""))</f>
        <v>5</v>
      </c>
      <c r="L253" s="124">
        <f>(IF((VLOOKUP(Table1[[#This Row],[SKU]],'All Skus'!$A:$AC,2,FALSE))="AKG",(VLOOKUP(Table1[[#This Row],[SKU]],'All Skus'!$A:$AC,16,FALSE)),""))</f>
        <v>885038030249</v>
      </c>
      <c r="M253" s="124">
        <f>(IF((VLOOKUP(Table1[[#This Row],[SKU]],'All Skus'!$A:$AC,2,FALSE))="AKG",(VLOOKUP(Table1[[#This Row],[SKU]],'All Skus'!$A:$AC,17,FALSE)),""))</f>
        <v>9002761030242</v>
      </c>
      <c r="N253" s="64">
        <f>(IF((VLOOKUP(Table1[[#This Row],[SKU]],'All Skus'!$A:$AC,2,FALSE))="AKG",(VLOOKUP(Table1[[#This Row],[SKU]],'All Skus'!$A:$AC,18,FALSE)),""))</f>
        <v>9</v>
      </c>
      <c r="O253" s="64">
        <f>(IF((VLOOKUP(Table1[[#This Row],[SKU]],'All Skus'!$A:$AC,2,FALSE))="AKG",(VLOOKUP(Table1[[#This Row],[SKU]],'All Skus'!$A:$AC,19,FALSE)),""))</f>
        <v>17</v>
      </c>
      <c r="P253" s="64">
        <f>(IF((VLOOKUP(Table1[[#This Row],[SKU]],'All Skus'!$A:$AC,2,FALSE))="AKG",(VLOOKUP(Table1[[#This Row],[SKU]],'All Skus'!$A:$AC,20,FALSE)),""))</f>
        <v>17</v>
      </c>
      <c r="Q253" s="64">
        <f>(IF((VLOOKUP(Table1[[#This Row],[SKU]],'All Skus'!$A:$AC,2,FALSE))="AKG",(VLOOKUP(Table1[[#This Row],[SKU]],'All Skus'!$A:$AC,21,FALSE)),""))</f>
        <v>3.2</v>
      </c>
      <c r="R253" s="64" t="str">
        <f>(IF((VLOOKUP(Table1[[#This Row],[SKU]],'All Skus'!$A:$AC,2,FALSE))="AKG",(VLOOKUP(Table1[[#This Row],[SKU]],'All Skus'!$A:$AC,22,FALSE)),""))</f>
        <v>CN</v>
      </c>
      <c r="S253" s="64" t="str">
        <f>(IF((VLOOKUP(Table1[[#This Row],[SKU]],'All Skus'!$A:$AC,2,FALSE))="AKG",(VLOOKUP(Table1[[#This Row],[SKU]],'All Skus'!$A:$AC,23,FALSE)),""))</f>
        <v>Non Compliant</v>
      </c>
      <c r="T253" s="210" t="str">
        <f>HYPERLINK((IF((VLOOKUP(Table1[[#This Row],[SKU]],'All Skus'!$A:$AC,2,FALSE))="AKG",(VLOOKUP(Table1[[#This Row],[SKU]],'All Skus'!$A:$AC,24,FALSE)),"")))</f>
        <v>https://www.akg.com/Wireless/wireless-components/3309H00370.html</v>
      </c>
      <c r="U253" s="151">
        <v>251</v>
      </c>
    </row>
    <row r="254" spans="1:21" ht="15" hidden="1" customHeight="1">
      <c r="A254" s="50" t="s">
        <v>410</v>
      </c>
      <c r="B254" s="52" t="str">
        <f>(IF((VLOOKUP(Table1[[#This Row],[SKU]],'All Skus'!$A:$AC,2,FALSE))="AKG",(VLOOKUP(Table1[[#This Row],[SKU]],'All Skus'!$A:$AC,3,FALSE)), ""))</f>
        <v>Wireless Mics</v>
      </c>
      <c r="C254" s="60" t="str">
        <f>(IF((VLOOKUP(Table1[[#This Row],[SKU]],'All Skus'!$A:$AC,2,FALSE))="AKG",(VLOOKUP(Table1[[#This Row],[SKU]],'All Skus'!$A:$AC,4,FALSE)),""))</f>
        <v>WMS470 PRES SET BD8 50mW - EU/US/UK</v>
      </c>
      <c r="D254" s="60" t="str">
        <f>(IF((VLOOKUP(Table1[[#This Row],[SKU]],'All Skus'!$A:$AC,2,FALSE))="AKG",(VLOOKUP(Table1[[#This Row],[SKU]],'All Skus'!$A:$AC,5,FALSE)),""))</f>
        <v>AT620000</v>
      </c>
      <c r="E254" s="60">
        <f>(IF((VLOOKUP(Table1[[#This Row],[SKU]],'All Skus'!$A:$AC,2,FALSE))="AKG",(VLOOKUP(Table1[[#This Row],[SKU]],'All Skus'!$A:$AC,6,FALSE)),""))</f>
        <v>0</v>
      </c>
      <c r="F254" s="60">
        <f>(IF((VLOOKUP(Table1[[#This Row],[SKU]],'All Skus'!$A:$AC,2,FALSE))="AKG",(VLOOKUP(Table1[[#This Row],[SKU]],'All Skus'!$A:$AC,7,FALSE)),""))</f>
        <v>0</v>
      </c>
      <c r="G254" s="45" t="str">
        <f>(IF((VLOOKUP(Table1[[#This Row],[SKU]],'All Skus'!$A:$AC,2,FALSE))="AKG",(VLOOKUP(Table1[[#This Row],[SKU]],'All Skus'!$A:$AC,8,FALSE)),""))</f>
        <v>Wireless Microphone System 470</v>
      </c>
      <c r="H254" s="45" t="str">
        <f>(IF((VLOOKUP(Table1[[#This Row],[SKU]],'All Skus'!$A:$AC,2,FALSE))="AKG",(VLOOKUP(Table1[[#This Row],[SKU]],'All Skus'!$A:$AC,9,FALSE)),""))</f>
        <v>Wireless bodypack microphone system, SR470 stationary receiver, PT470 bodypack transmitter, C555L headworn microphone, CK99L lavalier microphone, tie clip, belt clip, LR6 AA battery, power supply and rack mount unit included.</v>
      </c>
      <c r="I254" s="141">
        <f>(IF((VLOOKUP(Table1[[#This Row],[SKU]],'All Skus'!$A:$AC,2,FALSE))="AKG",(VLOOKUP(Table1[[#This Row],[SKU]],'All Skus'!$A:$AC,10,FALSE)),""))</f>
        <v>899.15</v>
      </c>
      <c r="J254" s="141">
        <f>(IF((VLOOKUP(Table1[[#This Row],[SKU]],'All Skus'!$A:$AC,2,FALSE))="AKG",(VLOOKUP(Table1[[#This Row],[SKU]],'All Skus'!$A:$AC,11,FALSE)),""))</f>
        <v>720</v>
      </c>
      <c r="K254" s="125">
        <f>(IF((VLOOKUP(Table1[[#This Row],[SKU]],'All Skus'!$A:$AC,2,FALSE))="AKG",(VLOOKUP(Table1[[#This Row],[SKU]],'All Skus'!$A:$AC,15,FALSE)),""))</f>
        <v>5</v>
      </c>
      <c r="L254" s="124">
        <f>(IF((VLOOKUP(Table1[[#This Row],[SKU]],'All Skus'!$A:$AC,2,FALSE))="AKG",(VLOOKUP(Table1[[#This Row],[SKU]],'All Skus'!$A:$AC,16,FALSE)),""))</f>
        <v>885038030256</v>
      </c>
      <c r="M254" s="124">
        <f>(IF((VLOOKUP(Table1[[#This Row],[SKU]],'All Skus'!$A:$AC,2,FALSE))="AKG",(VLOOKUP(Table1[[#This Row],[SKU]],'All Skus'!$A:$AC,17,FALSE)),""))</f>
        <v>9002761030259</v>
      </c>
      <c r="N254" s="64">
        <f>(IF((VLOOKUP(Table1[[#This Row],[SKU]],'All Skus'!$A:$AC,2,FALSE))="AKG",(VLOOKUP(Table1[[#This Row],[SKU]],'All Skus'!$A:$AC,18,FALSE)),""))</f>
        <v>4</v>
      </c>
      <c r="O254" s="64">
        <f>(IF((VLOOKUP(Table1[[#This Row],[SKU]],'All Skus'!$A:$AC,2,FALSE))="AKG",(VLOOKUP(Table1[[#This Row],[SKU]],'All Skus'!$A:$AC,19,FALSE)),""))</f>
        <v>17</v>
      </c>
      <c r="P254" s="64">
        <f>(IF((VLOOKUP(Table1[[#This Row],[SKU]],'All Skus'!$A:$AC,2,FALSE))="AKG",(VLOOKUP(Table1[[#This Row],[SKU]],'All Skus'!$A:$AC,20,FALSE)),""))</f>
        <v>13</v>
      </c>
      <c r="Q254" s="64">
        <f>(IF((VLOOKUP(Table1[[#This Row],[SKU]],'All Skus'!$A:$AC,2,FALSE))="AKG",(VLOOKUP(Table1[[#This Row],[SKU]],'All Skus'!$A:$AC,21,FALSE)),""))</f>
        <v>3.2</v>
      </c>
      <c r="R254" s="64" t="str">
        <f>(IF((VLOOKUP(Table1[[#This Row],[SKU]],'All Skus'!$A:$AC,2,FALSE))="AKG",(VLOOKUP(Table1[[#This Row],[SKU]],'All Skus'!$A:$AC,22,FALSE)),""))</f>
        <v>CN</v>
      </c>
      <c r="S254" s="64" t="str">
        <f>(IF((VLOOKUP(Table1[[#This Row],[SKU]],'All Skus'!$A:$AC,2,FALSE))="AKG",(VLOOKUP(Table1[[#This Row],[SKU]],'All Skus'!$A:$AC,23,FALSE)),""))</f>
        <v>Non Compliant</v>
      </c>
      <c r="T254" s="210" t="str">
        <f>HYPERLINK((IF((VLOOKUP(Table1[[#This Row],[SKU]],'All Skus'!$A:$AC,2,FALSE))="AKG",(VLOOKUP(Table1[[#This Row],[SKU]],'All Skus'!$A:$AC,24,FALSE)),"")))</f>
        <v>https://www.akg.com/Wireless/wireless-components/3309H00380.html</v>
      </c>
      <c r="U254" s="151">
        <v>252</v>
      </c>
    </row>
    <row r="255" spans="1:21" ht="15" hidden="1" customHeight="1">
      <c r="A255" s="126" t="s">
        <v>411</v>
      </c>
      <c r="B255" s="52">
        <f>(IF((VLOOKUP(Table1[[#This Row],[SKU]],'All Skus'!$A:$AC,2,FALSE))="AKG",(VLOOKUP(Table1[[#This Row],[SKU]],'All Skus'!$A:$AC,3,FALSE)), ""))</f>
        <v>0</v>
      </c>
      <c r="C255" s="60">
        <f>(IF((VLOOKUP(Table1[[#This Row],[SKU]],'All Skus'!$A:$AC,2,FALSE))="AKG",(VLOOKUP(Table1[[#This Row],[SKU]],'All Skus'!$A:$AC,4,FALSE)),""))</f>
        <v>0</v>
      </c>
      <c r="D255" s="60">
        <f>(IF((VLOOKUP(Table1[[#This Row],[SKU]],'All Skus'!$A:$AC,2,FALSE))="AKG",(VLOOKUP(Table1[[#This Row],[SKU]],'All Skus'!$A:$AC,5,FALSE)),""))</f>
        <v>0</v>
      </c>
      <c r="E255" s="60">
        <f>(IF((VLOOKUP(Table1[[#This Row],[SKU]],'All Skus'!$A:$AC,2,FALSE))="AKG",(VLOOKUP(Table1[[#This Row],[SKU]],'All Skus'!$A:$AC,6,FALSE)),""))</f>
        <v>0</v>
      </c>
      <c r="F255" s="60">
        <f>(IF((VLOOKUP(Table1[[#This Row],[SKU]],'All Skus'!$A:$AC,2,FALSE))="AKG",(VLOOKUP(Table1[[#This Row],[SKU]],'All Skus'!$A:$AC,7,FALSE)),""))</f>
        <v>0</v>
      </c>
      <c r="G255" s="45">
        <f>(IF((VLOOKUP(Table1[[#This Row],[SKU]],'All Skus'!$A:$AC,2,FALSE))="AKG",(VLOOKUP(Table1[[#This Row],[SKU]],'All Skus'!$A:$AC,8,FALSE)),""))</f>
        <v>0</v>
      </c>
      <c r="H255" s="45">
        <f>(IF((VLOOKUP(Table1[[#This Row],[SKU]],'All Skus'!$A:$AC,2,FALSE))="AKG",(VLOOKUP(Table1[[#This Row],[SKU]],'All Skus'!$A:$AC,9,FALSE)),""))</f>
        <v>0</v>
      </c>
      <c r="I255" s="141">
        <f>(IF((VLOOKUP(Table1[[#This Row],[SKU]],'All Skus'!$A:$AC,2,FALSE))="AKG",(VLOOKUP(Table1[[#This Row],[SKU]],'All Skus'!$A:$AC,10,FALSE)),""))</f>
        <v>0</v>
      </c>
      <c r="J255" s="141">
        <f>(IF((VLOOKUP(Table1[[#This Row],[SKU]],'All Skus'!$A:$AC,2,FALSE))="AKG",(VLOOKUP(Table1[[#This Row],[SKU]],'All Skus'!$A:$AC,11,FALSE)),""))</f>
        <v>0</v>
      </c>
      <c r="K255" s="125">
        <f>(IF((VLOOKUP(Table1[[#This Row],[SKU]],'All Skus'!$A:$AC,2,FALSE))="AKG",(VLOOKUP(Table1[[#This Row],[SKU]],'All Skus'!$A:$AC,15,FALSE)),""))</f>
        <v>0</v>
      </c>
      <c r="L255" s="124">
        <f>(IF((VLOOKUP(Table1[[#This Row],[SKU]],'All Skus'!$A:$AC,2,FALSE))="AKG",(VLOOKUP(Table1[[#This Row],[SKU]],'All Skus'!$A:$AC,16,FALSE)),""))</f>
        <v>0</v>
      </c>
      <c r="M255" s="124">
        <f>(IF((VLOOKUP(Table1[[#This Row],[SKU]],'All Skus'!$A:$AC,2,FALSE))="AKG",(VLOOKUP(Table1[[#This Row],[SKU]],'All Skus'!$A:$AC,17,FALSE)),""))</f>
        <v>0</v>
      </c>
      <c r="N255" s="64">
        <f>(IF((VLOOKUP(Table1[[#This Row],[SKU]],'All Skus'!$A:$AC,2,FALSE))="AKG",(VLOOKUP(Table1[[#This Row],[SKU]],'All Skus'!$A:$AC,18,FALSE)),""))</f>
        <v>0</v>
      </c>
      <c r="O255" s="64">
        <f>(IF((VLOOKUP(Table1[[#This Row],[SKU]],'All Skus'!$A:$AC,2,FALSE))="AKG",(VLOOKUP(Table1[[#This Row],[SKU]],'All Skus'!$A:$AC,19,FALSE)),""))</f>
        <v>0</v>
      </c>
      <c r="P255" s="64">
        <f>(IF((VLOOKUP(Table1[[#This Row],[SKU]],'All Skus'!$A:$AC,2,FALSE))="AKG",(VLOOKUP(Table1[[#This Row],[SKU]],'All Skus'!$A:$AC,20,FALSE)),""))</f>
        <v>0</v>
      </c>
      <c r="Q255" s="64">
        <f>(IF((VLOOKUP(Table1[[#This Row],[SKU]],'All Skus'!$A:$AC,2,FALSE))="AKG",(VLOOKUP(Table1[[#This Row],[SKU]],'All Skus'!$A:$AC,21,FALSE)),""))</f>
        <v>0</v>
      </c>
      <c r="R255" s="64">
        <f>(IF((VLOOKUP(Table1[[#This Row],[SKU]],'All Skus'!$A:$AC,2,FALSE))="AKG",(VLOOKUP(Table1[[#This Row],[SKU]],'All Skus'!$A:$AC,22,FALSE)),""))</f>
        <v>0</v>
      </c>
      <c r="S255" s="64">
        <f>(IF((VLOOKUP(Table1[[#This Row],[SKU]],'All Skus'!$A:$AC,2,FALSE))="AKG",(VLOOKUP(Table1[[#This Row],[SKU]],'All Skus'!$A:$AC,23,FALSE)),""))</f>
        <v>0</v>
      </c>
      <c r="T255" s="210" t="str">
        <f>HYPERLINK((IF((VLOOKUP(Table1[[#This Row],[SKU]],'All Skus'!$A:$AC,2,FALSE))="AKG",(VLOOKUP(Table1[[#This Row],[SKU]],'All Skus'!$A:$AC,24,FALSE)),"")))</f>
        <v/>
      </c>
      <c r="U255" s="151">
        <v>253</v>
      </c>
    </row>
    <row r="256" spans="1:21" ht="15" hidden="1" customHeight="1">
      <c r="A256" s="50" t="s">
        <v>412</v>
      </c>
      <c r="B256" s="52" t="str">
        <f>(IF((VLOOKUP(Table1[[#This Row],[SKU]],'All Skus'!$A:$AC,2,FALSE))="AKG",(VLOOKUP(Table1[[#This Row],[SKU]],'All Skus'!$A:$AC,3,FALSE)), ""))</f>
        <v>Wireless Mics</v>
      </c>
      <c r="C256" s="60" t="str">
        <f>(IF((VLOOKUP(Table1[[#This Row],[SKU]],'All Skus'!$A:$AC,2,FALSE))="AKG",(VLOOKUP(Table1[[#This Row],[SKU]],'All Skus'!$A:$AC,4,FALSE)),""))</f>
        <v>HT4500 BD7</v>
      </c>
      <c r="D256" s="60" t="str">
        <f>(IF((VLOOKUP(Table1[[#This Row],[SKU]],'All Skus'!$A:$AC,2,FALSE))="AKG",(VLOOKUP(Table1[[#This Row],[SKU]],'All Skus'!$A:$AC,5,FALSE)),""))</f>
        <v>AT630000</v>
      </c>
      <c r="E256" s="60">
        <f>(IF((VLOOKUP(Table1[[#This Row],[SKU]],'All Skus'!$A:$AC,2,FALSE))="AKG",(VLOOKUP(Table1[[#This Row],[SKU]],'All Skus'!$A:$AC,6,FALSE)),""))</f>
        <v>0</v>
      </c>
      <c r="F256" s="60" t="str">
        <f>(IF((VLOOKUP(Table1[[#This Row],[SKU]],'All Skus'!$A:$AC,2,FALSE))="AKG",(VLOOKUP(Table1[[#This Row],[SKU]],'All Skus'!$A:$AC,7,FALSE)),""))</f>
        <v>Limited Quantity</v>
      </c>
      <c r="G256" s="45" t="str">
        <f>(IF((VLOOKUP(Table1[[#This Row],[SKU]],'All Skus'!$A:$AC,2,FALSE))="AKG",(VLOOKUP(Table1[[#This Row],[SKU]],'All Skus'!$A:$AC,8,FALSE)),""))</f>
        <v>Wireless Microphone System 4500</v>
      </c>
      <c r="H256" s="45" t="str">
        <f>(IF((VLOOKUP(Table1[[#This Row],[SKU]],'All Skus'!$A:$AC,2,FALSE))="AKG",(VLOOKUP(Table1[[#This Row],[SKU]],'All Skus'!$A:$AC,9,FALSE)),""))</f>
        <v>Professional handheld transmitter, SA 63 stand adapter and 2x AA LR6 battery included, rugged body, NO microphone head</v>
      </c>
      <c r="I256" s="141">
        <f>(IF((VLOOKUP(Table1[[#This Row],[SKU]],'All Skus'!$A:$AC,2,FALSE))="AKG",(VLOOKUP(Table1[[#This Row],[SKU]],'All Skus'!$A:$AC,10,FALSE)),""))</f>
        <v>659.06</v>
      </c>
      <c r="J256" s="141">
        <f>(IF((VLOOKUP(Table1[[#This Row],[SKU]],'All Skus'!$A:$AC,2,FALSE))="AKG",(VLOOKUP(Table1[[#This Row],[SKU]],'All Skus'!$A:$AC,11,FALSE)),""))</f>
        <v>525</v>
      </c>
      <c r="K256" s="125">
        <f>(IF((VLOOKUP(Table1[[#This Row],[SKU]],'All Skus'!$A:$AC,2,FALSE))="AKG",(VLOOKUP(Table1[[#This Row],[SKU]],'All Skus'!$A:$AC,15,FALSE)),""))</f>
        <v>4</v>
      </c>
      <c r="L256" s="124">
        <f>(IF((VLOOKUP(Table1[[#This Row],[SKU]],'All Skus'!$A:$AC,2,FALSE))="AKG",(VLOOKUP(Table1[[#This Row],[SKU]],'All Skus'!$A:$AC,16,FALSE)),""))</f>
        <v>885038021636</v>
      </c>
      <c r="M256" s="124">
        <f>(IF((VLOOKUP(Table1[[#This Row],[SKU]],'All Skus'!$A:$AC,2,FALSE))="AKG",(VLOOKUP(Table1[[#This Row],[SKU]],'All Skus'!$A:$AC,17,FALSE)),""))</f>
        <v>9002761021639</v>
      </c>
      <c r="N256" s="64">
        <f>(IF((VLOOKUP(Table1[[#This Row],[SKU]],'All Skus'!$A:$AC,2,FALSE))="AKG",(VLOOKUP(Table1[[#This Row],[SKU]],'All Skus'!$A:$AC,18,FALSE)),""))</f>
        <v>9</v>
      </c>
      <c r="O256" s="64">
        <f>(IF((VLOOKUP(Table1[[#This Row],[SKU]],'All Skus'!$A:$AC,2,FALSE))="AKG",(VLOOKUP(Table1[[#This Row],[SKU]],'All Skus'!$A:$AC,19,FALSE)),""))</f>
        <v>4</v>
      </c>
      <c r="P256" s="64">
        <f>(IF((VLOOKUP(Table1[[#This Row],[SKU]],'All Skus'!$A:$AC,2,FALSE))="AKG",(VLOOKUP(Table1[[#This Row],[SKU]],'All Skus'!$A:$AC,20,FALSE)),""))</f>
        <v>14</v>
      </c>
      <c r="Q256" s="64">
        <f>(IF((VLOOKUP(Table1[[#This Row],[SKU]],'All Skus'!$A:$AC,2,FALSE))="AKG",(VLOOKUP(Table1[[#This Row],[SKU]],'All Skus'!$A:$AC,21,FALSE)),""))</f>
        <v>1.2</v>
      </c>
      <c r="R256" s="64" t="str">
        <f>(IF((VLOOKUP(Table1[[#This Row],[SKU]],'All Skus'!$A:$AC,2,FALSE))="AKG",(VLOOKUP(Table1[[#This Row],[SKU]],'All Skus'!$A:$AC,22,FALSE)),""))</f>
        <v>CN</v>
      </c>
      <c r="S256" s="64" t="str">
        <f>(IF((VLOOKUP(Table1[[#This Row],[SKU]],'All Skus'!$A:$AC,2,FALSE))="AKG",(VLOOKUP(Table1[[#This Row],[SKU]],'All Skus'!$A:$AC,23,FALSE)),""))</f>
        <v>Non Compliant</v>
      </c>
      <c r="T256" s="210" t="str">
        <f>HYPERLINK((IF((VLOOKUP(Table1[[#This Row],[SKU]],'All Skus'!$A:$AC,2,FALSE))="AKG",(VLOOKUP(Table1[[#This Row],[SKU]],'All Skus'!$A:$AC,24,FALSE)),"")))</f>
        <v>https://www.akg.com/Wireless/wireless-components/3201H00280.html</v>
      </c>
      <c r="U256" s="151">
        <v>254</v>
      </c>
    </row>
    <row r="257" spans="1:21" ht="15" hidden="1" customHeight="1">
      <c r="A257" s="50" t="s">
        <v>413</v>
      </c>
      <c r="B257" s="52" t="str">
        <f>(IF((VLOOKUP(Table1[[#This Row],[SKU]],'All Skus'!$A:$AC,2,FALSE))="AKG",(VLOOKUP(Table1[[#This Row],[SKU]],'All Skus'!$A:$AC,3,FALSE)), ""))</f>
        <v>Wireless Mics</v>
      </c>
      <c r="C257" s="60" t="str">
        <f>(IF((VLOOKUP(Table1[[#This Row],[SKU]],'All Skus'!$A:$AC,2,FALSE))="AKG",(VLOOKUP(Table1[[#This Row],[SKU]],'All Skus'!$A:$AC,4,FALSE)),""))</f>
        <v>HT4500 BD8</v>
      </c>
      <c r="D257" s="60" t="str">
        <f>(IF((VLOOKUP(Table1[[#This Row],[SKU]],'All Skus'!$A:$AC,2,FALSE))="AKG",(VLOOKUP(Table1[[#This Row],[SKU]],'All Skus'!$A:$AC,5,FALSE)),""))</f>
        <v>AT630000</v>
      </c>
      <c r="E257" s="60">
        <f>(IF((VLOOKUP(Table1[[#This Row],[SKU]],'All Skus'!$A:$AC,2,FALSE))="AKG",(VLOOKUP(Table1[[#This Row],[SKU]],'All Skus'!$A:$AC,6,FALSE)),""))</f>
        <v>0</v>
      </c>
      <c r="F257" s="60" t="str">
        <f>(IF((VLOOKUP(Table1[[#This Row],[SKU]],'All Skus'!$A:$AC,2,FALSE))="AKG",(VLOOKUP(Table1[[#This Row],[SKU]],'All Skus'!$A:$AC,7,FALSE)),""))</f>
        <v>Limited Quantity</v>
      </c>
      <c r="G257" s="45" t="str">
        <f>(IF((VLOOKUP(Table1[[#This Row],[SKU]],'All Skus'!$A:$AC,2,FALSE))="AKG",(VLOOKUP(Table1[[#This Row],[SKU]],'All Skus'!$A:$AC,8,FALSE)),""))</f>
        <v>Wireless Microphone System 4500</v>
      </c>
      <c r="H257" s="45" t="str">
        <f>(IF((VLOOKUP(Table1[[#This Row],[SKU]],'All Skus'!$A:$AC,2,FALSE))="AKG",(VLOOKUP(Table1[[#This Row],[SKU]],'All Skus'!$A:$AC,9,FALSE)),""))</f>
        <v>Professional handheld transmitter, SA 63 stand adapter and 2x AA LR6 battery included, rugged body, NO microphone head</v>
      </c>
      <c r="I257" s="141">
        <f>(IF((VLOOKUP(Table1[[#This Row],[SKU]],'All Skus'!$A:$AC,2,FALSE))="AKG",(VLOOKUP(Table1[[#This Row],[SKU]],'All Skus'!$A:$AC,10,FALSE)),""))</f>
        <v>659.06</v>
      </c>
      <c r="J257" s="141">
        <f>(IF((VLOOKUP(Table1[[#This Row],[SKU]],'All Skus'!$A:$AC,2,FALSE))="AKG",(VLOOKUP(Table1[[#This Row],[SKU]],'All Skus'!$A:$AC,11,FALSE)),""))</f>
        <v>514</v>
      </c>
      <c r="K257" s="125">
        <f>(IF((VLOOKUP(Table1[[#This Row],[SKU]],'All Skus'!$A:$AC,2,FALSE))="AKG",(VLOOKUP(Table1[[#This Row],[SKU]],'All Skus'!$A:$AC,15,FALSE)),""))</f>
        <v>4</v>
      </c>
      <c r="L257" s="124">
        <f>(IF((VLOOKUP(Table1[[#This Row],[SKU]],'All Skus'!$A:$AC,2,FALSE))="AKG",(VLOOKUP(Table1[[#This Row],[SKU]],'All Skus'!$A:$AC,16,FALSE)),""))</f>
        <v>885038021643</v>
      </c>
      <c r="M257" s="124">
        <f>(IF((VLOOKUP(Table1[[#This Row],[SKU]],'All Skus'!$A:$AC,2,FALSE))="AKG",(VLOOKUP(Table1[[#This Row],[SKU]],'All Skus'!$A:$AC,17,FALSE)),""))</f>
        <v>9002761021646</v>
      </c>
      <c r="N257" s="64">
        <f>(IF((VLOOKUP(Table1[[#This Row],[SKU]],'All Skus'!$A:$AC,2,FALSE))="AKG",(VLOOKUP(Table1[[#This Row],[SKU]],'All Skus'!$A:$AC,18,FALSE)),""))</f>
        <v>6</v>
      </c>
      <c r="O257" s="64">
        <f>(IF((VLOOKUP(Table1[[#This Row],[SKU]],'All Skus'!$A:$AC,2,FALSE))="AKG",(VLOOKUP(Table1[[#This Row],[SKU]],'All Skus'!$A:$AC,19,FALSE)),""))</f>
        <v>11</v>
      </c>
      <c r="P257" s="64">
        <f>(IF((VLOOKUP(Table1[[#This Row],[SKU]],'All Skus'!$A:$AC,2,FALSE))="AKG",(VLOOKUP(Table1[[#This Row],[SKU]],'All Skus'!$A:$AC,20,FALSE)),""))</f>
        <v>15</v>
      </c>
      <c r="Q257" s="64">
        <f>(IF((VLOOKUP(Table1[[#This Row],[SKU]],'All Skus'!$A:$AC,2,FALSE))="AKG",(VLOOKUP(Table1[[#This Row],[SKU]],'All Skus'!$A:$AC,21,FALSE)),""))</f>
        <v>4.4000000000000004</v>
      </c>
      <c r="R257" s="64" t="str">
        <f>(IF((VLOOKUP(Table1[[#This Row],[SKU]],'All Skus'!$A:$AC,2,FALSE))="AKG",(VLOOKUP(Table1[[#This Row],[SKU]],'All Skus'!$A:$AC,22,FALSE)),""))</f>
        <v>CN</v>
      </c>
      <c r="S257" s="64" t="str">
        <f>(IF((VLOOKUP(Table1[[#This Row],[SKU]],'All Skus'!$A:$AC,2,FALSE))="AKG",(VLOOKUP(Table1[[#This Row],[SKU]],'All Skus'!$A:$AC,23,FALSE)),""))</f>
        <v>Non Compliant</v>
      </c>
      <c r="T257" s="210" t="str">
        <f>HYPERLINK((IF((VLOOKUP(Table1[[#This Row],[SKU]],'All Skus'!$A:$AC,2,FALSE))="AKG",(VLOOKUP(Table1[[#This Row],[SKU]],'All Skus'!$A:$AC,24,FALSE)),"")))</f>
        <v>https://www.akg.com/Wireless/wireless-components/3201H00300.html</v>
      </c>
      <c r="U257" s="151">
        <v>255</v>
      </c>
    </row>
    <row r="258" spans="1:21" ht="15" hidden="1" customHeight="1">
      <c r="A258" s="50" t="s">
        <v>414</v>
      </c>
      <c r="B258" s="52" t="str">
        <f>(IF((VLOOKUP(Table1[[#This Row],[SKU]],'All Skus'!$A:$AC,2,FALSE))="AKG",(VLOOKUP(Table1[[#This Row],[SKU]],'All Skus'!$A:$AC,3,FALSE)), ""))</f>
        <v>Wireless Mics</v>
      </c>
      <c r="C258" s="60" t="str">
        <f>(IF((VLOOKUP(Table1[[#This Row],[SKU]],'All Skus'!$A:$AC,2,FALSE))="AKG",(VLOOKUP(Table1[[#This Row],[SKU]],'All Skus'!$A:$AC,4,FALSE)),""))</f>
        <v>PT4500 BD8 50mW</v>
      </c>
      <c r="D258" s="60" t="str">
        <f>(IF((VLOOKUP(Table1[[#This Row],[SKU]],'All Skus'!$A:$AC,2,FALSE))="AKG",(VLOOKUP(Table1[[#This Row],[SKU]],'All Skus'!$A:$AC,5,FALSE)),""))</f>
        <v>AT630000</v>
      </c>
      <c r="E258" s="60">
        <f>(IF((VLOOKUP(Table1[[#This Row],[SKU]],'All Skus'!$A:$AC,2,FALSE))="AKG",(VLOOKUP(Table1[[#This Row],[SKU]],'All Skus'!$A:$AC,6,FALSE)),""))</f>
        <v>0</v>
      </c>
      <c r="F258" s="60" t="str">
        <f>(IF((VLOOKUP(Table1[[#This Row],[SKU]],'All Skus'!$A:$AC,2,FALSE))="AKG",(VLOOKUP(Table1[[#This Row],[SKU]],'All Skus'!$A:$AC,7,FALSE)),""))</f>
        <v>Limited Quantity</v>
      </c>
      <c r="G258" s="45" t="str">
        <f>(IF((VLOOKUP(Table1[[#This Row],[SKU]],'All Skus'!$A:$AC,2,FALSE))="AKG",(VLOOKUP(Table1[[#This Row],[SKU]],'All Skus'!$A:$AC,8,FALSE)),""))</f>
        <v>Wireless Microphone System 4500</v>
      </c>
      <c r="H258" s="45" t="str">
        <f>(IF((VLOOKUP(Table1[[#This Row],[SKU]],'All Skus'!$A:$AC,2,FALSE))="AKG",(VLOOKUP(Table1[[#This Row],[SKU]],'All Skus'!$A:$AC,9,FALSE)),""))</f>
        <v>Professional wireless bodypack transmitter, rugged metal housing, belt clip, 2x AA LR6 battery, secure mute pin included, pilot tone</v>
      </c>
      <c r="I258" s="141">
        <f>(IF((VLOOKUP(Table1[[#This Row],[SKU]],'All Skus'!$A:$AC,2,FALSE))="AKG",(VLOOKUP(Table1[[#This Row],[SKU]],'All Skus'!$A:$AC,10,FALSE)),""))</f>
        <v>659.06</v>
      </c>
      <c r="J258" s="141">
        <f>(IF((VLOOKUP(Table1[[#This Row],[SKU]],'All Skus'!$A:$AC,2,FALSE))="AKG",(VLOOKUP(Table1[[#This Row],[SKU]],'All Skus'!$A:$AC,11,FALSE)),""))</f>
        <v>525</v>
      </c>
      <c r="K258" s="125">
        <f>(IF((VLOOKUP(Table1[[#This Row],[SKU]],'All Skus'!$A:$AC,2,FALSE))="AKG",(VLOOKUP(Table1[[#This Row],[SKU]],'All Skus'!$A:$AC,15,FALSE)),""))</f>
        <v>4</v>
      </c>
      <c r="L258" s="124">
        <f>(IF((VLOOKUP(Table1[[#This Row],[SKU]],'All Skus'!$A:$AC,2,FALSE))="AKG",(VLOOKUP(Table1[[#This Row],[SKU]],'All Skus'!$A:$AC,16,FALSE)),""))</f>
        <v>885038021759</v>
      </c>
      <c r="M258" s="124">
        <f>(IF((VLOOKUP(Table1[[#This Row],[SKU]],'All Skus'!$A:$AC,2,FALSE))="AKG",(VLOOKUP(Table1[[#This Row],[SKU]],'All Skus'!$A:$AC,17,FALSE)),""))</f>
        <v>9002761021752</v>
      </c>
      <c r="N258" s="64">
        <f>(IF((VLOOKUP(Table1[[#This Row],[SKU]],'All Skus'!$A:$AC,2,FALSE))="AKG",(VLOOKUP(Table1[[#This Row],[SKU]],'All Skus'!$A:$AC,18,FALSE)),""))</f>
        <v>4</v>
      </c>
      <c r="O258" s="64">
        <f>(IF((VLOOKUP(Table1[[#This Row],[SKU]],'All Skus'!$A:$AC,2,FALSE))="AKG",(VLOOKUP(Table1[[#This Row],[SKU]],'All Skus'!$A:$AC,19,FALSE)),""))</f>
        <v>4</v>
      </c>
      <c r="P258" s="64">
        <f>(IF((VLOOKUP(Table1[[#This Row],[SKU]],'All Skus'!$A:$AC,2,FALSE))="AKG",(VLOOKUP(Table1[[#This Row],[SKU]],'All Skus'!$A:$AC,20,FALSE)),""))</f>
        <v>14</v>
      </c>
      <c r="Q258" s="64">
        <f>(IF((VLOOKUP(Table1[[#This Row],[SKU]],'All Skus'!$A:$AC,2,FALSE))="AKG",(VLOOKUP(Table1[[#This Row],[SKU]],'All Skus'!$A:$AC,21,FALSE)),""))</f>
        <v>4.4000000000000004</v>
      </c>
      <c r="R258" s="64" t="str">
        <f>(IF((VLOOKUP(Table1[[#This Row],[SKU]],'All Skus'!$A:$AC,2,FALSE))="AKG",(VLOOKUP(Table1[[#This Row],[SKU]],'All Skus'!$A:$AC,22,FALSE)),""))</f>
        <v>CN</v>
      </c>
      <c r="S258" s="64" t="str">
        <f>(IF((VLOOKUP(Table1[[#This Row],[SKU]],'All Skus'!$A:$AC,2,FALSE))="AKG",(VLOOKUP(Table1[[#This Row],[SKU]],'All Skus'!$A:$AC,23,FALSE)),""))</f>
        <v>Non Compliant</v>
      </c>
      <c r="T258" s="210" t="str">
        <f>HYPERLINK((IF((VLOOKUP(Table1[[#This Row],[SKU]],'All Skus'!$A:$AC,2,FALSE))="AKG",(VLOOKUP(Table1[[#This Row],[SKU]],'All Skus'!$A:$AC,24,FALSE)),"")))</f>
        <v>https://www.akg.com/Wireless/wireless-components/3202H00300.html</v>
      </c>
      <c r="U258" s="151">
        <v>256</v>
      </c>
    </row>
    <row r="259" spans="1:21" ht="15" hidden="1" customHeight="1">
      <c r="A259" s="48" t="s">
        <v>415</v>
      </c>
      <c r="B259" s="52" t="str">
        <f>(IF((VLOOKUP(Table1[[#This Row],[SKU]],'All Skus'!$A:$AC,2,FALSE))="AKG",(VLOOKUP(Table1[[#This Row],[SKU]],'All Skus'!$A:$AC,3,FALSE)), ""))</f>
        <v>Wireless Mics</v>
      </c>
      <c r="C259" s="60" t="str">
        <f>(IF((VLOOKUP(Table1[[#This Row],[SKU]],'All Skus'!$A:$AC,2,FALSE))="AKG",(VLOOKUP(Table1[[#This Row],[SKU]],'All Skus'!$A:$AC,4,FALSE)),""))</f>
        <v>PR4500 BD8 (old SKU: 3203H00150)</v>
      </c>
      <c r="D259" s="60">
        <f>(IF((VLOOKUP(Table1[[#This Row],[SKU]],'All Skus'!$A:$AC,2,FALSE))="AKG",(VLOOKUP(Table1[[#This Row],[SKU]],'All Skus'!$A:$AC,5,FALSE)),""))</f>
        <v>81200200</v>
      </c>
      <c r="E259" s="60">
        <f>(IF((VLOOKUP(Table1[[#This Row],[SKU]],'All Skus'!$A:$AC,2,FALSE))="AKG",(VLOOKUP(Table1[[#This Row],[SKU]],'All Skus'!$A:$AC,6,FALSE)),""))</f>
        <v>0</v>
      </c>
      <c r="F259" s="60" t="str">
        <f>(IF((VLOOKUP(Table1[[#This Row],[SKU]],'All Skus'!$A:$AC,2,FALSE))="AKG",(VLOOKUP(Table1[[#This Row],[SKU]],'All Skus'!$A:$AC,7,FALSE)),""))</f>
        <v>Limited Quantity</v>
      </c>
      <c r="G259" s="45" t="str">
        <f>(IF((VLOOKUP(Table1[[#This Row],[SKU]],'All Skus'!$A:$AC,2,FALSE))="AKG",(VLOOKUP(Table1[[#This Row],[SKU]],'All Skus'!$A:$AC,8,FALSE)),""))</f>
        <v>Wireless Microphone System 4500</v>
      </c>
      <c r="H259" s="45" t="str">
        <f>(IF((VLOOKUP(Table1[[#This Row],[SKU]],'All Skus'!$A:$AC,2,FALSE))="AKG",(VLOOKUP(Table1[[#This Row],[SKU]],'All Skus'!$A:$AC,9,FALSE)),""))</f>
        <v>PR4500 ENG Diversity bodypack receiver with rugged metal housing, new reference radio electronic design ensures reliable transmission. Belt clip, camera shoe, XLR cable, 3.5mm jack cable and 2x AA size LR6 batteries included.</v>
      </c>
      <c r="I259" s="141">
        <f>(IF((VLOOKUP(Table1[[#This Row],[SKU]],'All Skus'!$A:$AC,2,FALSE))="AKG",(VLOOKUP(Table1[[#This Row],[SKU]],'All Skus'!$A:$AC,10,FALSE)),""))</f>
        <v>1127.24</v>
      </c>
      <c r="J259" s="141">
        <f>(IF((VLOOKUP(Table1[[#This Row],[SKU]],'All Skus'!$A:$AC,2,FALSE))="AKG",(VLOOKUP(Table1[[#This Row],[SKU]],'All Skus'!$A:$AC,11,FALSE)),""))</f>
        <v>896</v>
      </c>
      <c r="K259" s="125">
        <f>(IF((VLOOKUP(Table1[[#This Row],[SKU]],'All Skus'!$A:$AC,2,FALSE))="AKG",(VLOOKUP(Table1[[#This Row],[SKU]],'All Skus'!$A:$AC,15,FALSE)),""))</f>
        <v>0</v>
      </c>
      <c r="L259" s="124">
        <f>(IF((VLOOKUP(Table1[[#This Row],[SKU]],'All Skus'!$A:$AC,2,FALSE))="AKG",(VLOOKUP(Table1[[#This Row],[SKU]],'All Skus'!$A:$AC,16,FALSE)),""))</f>
        <v>885038033578</v>
      </c>
      <c r="M259" s="124">
        <f>(IF((VLOOKUP(Table1[[#This Row],[SKU]],'All Skus'!$A:$AC,2,FALSE))="AKG",(VLOOKUP(Table1[[#This Row],[SKU]],'All Skus'!$A:$AC,17,FALSE)),""))</f>
        <v>9002761034936</v>
      </c>
      <c r="N259" s="64">
        <f>(IF((VLOOKUP(Table1[[#This Row],[SKU]],'All Skus'!$A:$AC,2,FALSE))="AKG",(VLOOKUP(Table1[[#This Row],[SKU]],'All Skus'!$A:$AC,18,FALSE)),""))</f>
        <v>3</v>
      </c>
      <c r="O259" s="64">
        <f>(IF((VLOOKUP(Table1[[#This Row],[SKU]],'All Skus'!$A:$AC,2,FALSE))="AKG",(VLOOKUP(Table1[[#This Row],[SKU]],'All Skus'!$A:$AC,19,FALSE)),""))</f>
        <v>9</v>
      </c>
      <c r="P259" s="64">
        <f>(IF((VLOOKUP(Table1[[#This Row],[SKU]],'All Skus'!$A:$AC,2,FALSE))="AKG",(VLOOKUP(Table1[[#This Row],[SKU]],'All Skus'!$A:$AC,20,FALSE)),""))</f>
        <v>9</v>
      </c>
      <c r="Q259" s="64">
        <f>(IF((VLOOKUP(Table1[[#This Row],[SKU]],'All Skus'!$A:$AC,2,FALSE))="AKG",(VLOOKUP(Table1[[#This Row],[SKU]],'All Skus'!$A:$AC,21,FALSE)),""))</f>
        <v>2.2000000000000002</v>
      </c>
      <c r="R259" s="64" t="str">
        <f>(IF((VLOOKUP(Table1[[#This Row],[SKU]],'All Skus'!$A:$AC,2,FALSE))="AKG",(VLOOKUP(Table1[[#This Row],[SKU]],'All Skus'!$A:$AC,22,FALSE)),""))</f>
        <v>HU</v>
      </c>
      <c r="S259" s="64" t="str">
        <f>(IF((VLOOKUP(Table1[[#This Row],[SKU]],'All Skus'!$A:$AC,2,FALSE))="AKG",(VLOOKUP(Table1[[#This Row],[SKU]],'All Skus'!$A:$AC,23,FALSE)),""))</f>
        <v>Compliant</v>
      </c>
      <c r="T259" s="210" t="str">
        <f>HYPERLINK((IF((VLOOKUP(Table1[[#This Row],[SKU]],'All Skus'!$A:$AC,2,FALSE))="AKG",(VLOOKUP(Table1[[#This Row],[SKU]],'All Skus'!$A:$AC,24,FALSE)),"")))</f>
        <v>https://www.akg.com/Wireless/wireless-components/3203H00300.html</v>
      </c>
      <c r="U259" s="151">
        <v>257</v>
      </c>
    </row>
    <row r="260" spans="1:21" ht="15" hidden="1" customHeight="1">
      <c r="A260" s="50" t="s">
        <v>416</v>
      </c>
      <c r="B260" s="52" t="str">
        <f>(IF((VLOOKUP(Table1[[#This Row],[SKU]],'All Skus'!$A:$AC,2,FALSE))="AKG",(VLOOKUP(Table1[[#This Row],[SKU]],'All Skus'!$A:$AC,3,FALSE)), ""))</f>
        <v>Wireless Mics</v>
      </c>
      <c r="C260" s="60" t="str">
        <f>(IF((VLOOKUP(Table1[[#This Row],[SKU]],'All Skus'!$A:$AC,2,FALSE))="AKG",(VLOOKUP(Table1[[#This Row],[SKU]],'All Skus'!$A:$AC,4,FALSE)),""))</f>
        <v>WMS4500 D7 Set BD7 EU/US/UK/AU</v>
      </c>
      <c r="D260" s="60" t="str">
        <f>(IF((VLOOKUP(Table1[[#This Row],[SKU]],'All Skus'!$A:$AC,2,FALSE))="AKG",(VLOOKUP(Table1[[#This Row],[SKU]],'All Skus'!$A:$AC,5,FALSE)),""))</f>
        <v>AT630000</v>
      </c>
      <c r="E260" s="60">
        <f>(IF((VLOOKUP(Table1[[#This Row],[SKU]],'All Skus'!$A:$AC,2,FALSE))="AKG",(VLOOKUP(Table1[[#This Row],[SKU]],'All Skus'!$A:$AC,6,FALSE)),""))</f>
        <v>0</v>
      </c>
      <c r="F260" s="60" t="str">
        <f>(IF((VLOOKUP(Table1[[#This Row],[SKU]],'All Skus'!$A:$AC,2,FALSE))="AKG",(VLOOKUP(Table1[[#This Row],[SKU]],'All Skus'!$A:$AC,7,FALSE)),""))</f>
        <v>Limited Quantity</v>
      </c>
      <c r="G260" s="45" t="str">
        <f>(IF((VLOOKUP(Table1[[#This Row],[SKU]],'All Skus'!$A:$AC,2,FALSE))="AKG",(VLOOKUP(Table1[[#This Row],[SKU]],'All Skus'!$A:$AC,8,FALSE)),""))</f>
        <v>Wireless Microphone System 4500</v>
      </c>
      <c r="H260" s="45" t="str">
        <f>(IF((VLOOKUP(Table1[[#This Row],[SKU]],'All Skus'!$A:$AC,2,FALSE))="AKG",(VLOOKUP(Table1[[#This Row],[SKU]],'All Skus'!$A:$AC,9,FALSE)),""))</f>
        <v>Professional wireless system including SR4500, HT4500, D7 WL1, SA63, EU/US/UK/AU power supply adapter.</v>
      </c>
      <c r="I260" s="141">
        <f>(IF((VLOOKUP(Table1[[#This Row],[SKU]],'All Skus'!$A:$AC,2,FALSE))="AKG",(VLOOKUP(Table1[[#This Row],[SKU]],'All Skus'!$A:$AC,10,FALSE)),""))</f>
        <v>1499.38</v>
      </c>
      <c r="J260" s="141">
        <f>(IF((VLOOKUP(Table1[[#This Row],[SKU]],'All Skus'!$A:$AC,2,FALSE))="AKG",(VLOOKUP(Table1[[#This Row],[SKU]],'All Skus'!$A:$AC,11,FALSE)),""))</f>
        <v>1200</v>
      </c>
      <c r="K260" s="125">
        <f>(IF((VLOOKUP(Table1[[#This Row],[SKU]],'All Skus'!$A:$AC,2,FALSE))="AKG",(VLOOKUP(Table1[[#This Row],[SKU]],'All Skus'!$A:$AC,15,FALSE)),""))</f>
        <v>0</v>
      </c>
      <c r="L260" s="124">
        <f>(IF((VLOOKUP(Table1[[#This Row],[SKU]],'All Skus'!$A:$AC,2,FALSE))="AKG",(VLOOKUP(Table1[[#This Row],[SKU]],'All Skus'!$A:$AC,16,FALSE)),""))</f>
        <v>885038033776</v>
      </c>
      <c r="M260" s="124">
        <f>(IF((VLOOKUP(Table1[[#This Row],[SKU]],'All Skus'!$A:$AC,2,FALSE))="AKG",(VLOOKUP(Table1[[#This Row],[SKU]],'All Skus'!$A:$AC,17,FALSE)),""))</f>
        <v>9002761033779</v>
      </c>
      <c r="N260" s="64">
        <f>(IF((VLOOKUP(Table1[[#This Row],[SKU]],'All Skus'!$A:$AC,2,FALSE))="AKG",(VLOOKUP(Table1[[#This Row],[SKU]],'All Skus'!$A:$AC,18,FALSE)),""))</f>
        <v>20</v>
      </c>
      <c r="O260" s="64">
        <f>(IF((VLOOKUP(Table1[[#This Row],[SKU]],'All Skus'!$A:$AC,2,FALSE))="AKG",(VLOOKUP(Table1[[#This Row],[SKU]],'All Skus'!$A:$AC,19,FALSE)),""))</f>
        <v>6</v>
      </c>
      <c r="P260" s="64">
        <f>(IF((VLOOKUP(Table1[[#This Row],[SKU]],'All Skus'!$A:$AC,2,FALSE))="AKG",(VLOOKUP(Table1[[#This Row],[SKU]],'All Skus'!$A:$AC,20,FALSE)),""))</f>
        <v>15</v>
      </c>
      <c r="Q260" s="64">
        <f>(IF((VLOOKUP(Table1[[#This Row],[SKU]],'All Skus'!$A:$AC,2,FALSE))="AKG",(VLOOKUP(Table1[[#This Row],[SKU]],'All Skus'!$A:$AC,21,FALSE)),""))</f>
        <v>5.2</v>
      </c>
      <c r="R260" s="64" t="str">
        <f>(IF((VLOOKUP(Table1[[#This Row],[SKU]],'All Skus'!$A:$AC,2,FALSE))="AKG",(VLOOKUP(Table1[[#This Row],[SKU]],'All Skus'!$A:$AC,22,FALSE)),""))</f>
        <v>CN</v>
      </c>
      <c r="S260" s="64" t="str">
        <f>(IF((VLOOKUP(Table1[[#This Row],[SKU]],'All Skus'!$A:$AC,2,FALSE))="AKG",(VLOOKUP(Table1[[#This Row],[SKU]],'All Skus'!$A:$AC,23,FALSE)),""))</f>
        <v>Non Compliant</v>
      </c>
      <c r="T260" s="210" t="str">
        <f>HYPERLINK((IF((VLOOKUP(Table1[[#This Row],[SKU]],'All Skus'!$A:$AC,2,FALSE))="AKG",(VLOOKUP(Table1[[#This Row],[SKU]],'All Skus'!$A:$AC,24,FALSE)),"")))</f>
        <v>https://www.akg.com/Wireless/wireless-components/3205Z00280.html</v>
      </c>
      <c r="U260" s="151">
        <v>258</v>
      </c>
    </row>
    <row r="261" spans="1:21" ht="14.65" hidden="1" customHeight="1">
      <c r="A261" s="126" t="s">
        <v>417</v>
      </c>
      <c r="B261" s="52">
        <f>(IF((VLOOKUP(Table1[[#This Row],[SKU]],'All Skus'!$A:$AC,2,FALSE))="AKG",(VLOOKUP(Table1[[#This Row],[SKU]],'All Skus'!$A:$AC,3,FALSE)), ""))</f>
        <v>0</v>
      </c>
      <c r="C261" s="60">
        <f>(IF((VLOOKUP(Table1[[#This Row],[SKU]],'All Skus'!$A:$AC,2,FALSE))="AKG",(VLOOKUP(Table1[[#This Row],[SKU]],'All Skus'!$A:$AC,4,FALSE)),""))</f>
        <v>0</v>
      </c>
      <c r="D261" s="60">
        <f>(IF((VLOOKUP(Table1[[#This Row],[SKU]],'All Skus'!$A:$AC,2,FALSE))="AKG",(VLOOKUP(Table1[[#This Row],[SKU]],'All Skus'!$A:$AC,5,FALSE)),""))</f>
        <v>0</v>
      </c>
      <c r="E261" s="60">
        <f>(IF((VLOOKUP(Table1[[#This Row],[SKU]],'All Skus'!$A:$AC,2,FALSE))="AKG",(VLOOKUP(Table1[[#This Row],[SKU]],'All Skus'!$A:$AC,6,FALSE)),""))</f>
        <v>0</v>
      </c>
      <c r="F261" s="60">
        <f>(IF((VLOOKUP(Table1[[#This Row],[SKU]],'All Skus'!$A:$AC,2,FALSE))="AKG",(VLOOKUP(Table1[[#This Row],[SKU]],'All Skus'!$A:$AC,7,FALSE)),""))</f>
        <v>0</v>
      </c>
      <c r="G261" s="45">
        <f>(IF((VLOOKUP(Table1[[#This Row],[SKU]],'All Skus'!$A:$AC,2,FALSE))="AKG",(VLOOKUP(Table1[[#This Row],[SKU]],'All Skus'!$A:$AC,8,FALSE)),""))</f>
        <v>0</v>
      </c>
      <c r="H261" s="45">
        <f>(IF((VLOOKUP(Table1[[#This Row],[SKU]],'All Skus'!$A:$AC,2,FALSE))="AKG",(VLOOKUP(Table1[[#This Row],[SKU]],'All Skus'!$A:$AC,9,FALSE)),""))</f>
        <v>0</v>
      </c>
      <c r="I261" s="141">
        <f>(IF((VLOOKUP(Table1[[#This Row],[SKU]],'All Skus'!$A:$AC,2,FALSE))="AKG",(VLOOKUP(Table1[[#This Row],[SKU]],'All Skus'!$A:$AC,10,FALSE)),""))</f>
        <v>0</v>
      </c>
      <c r="J261" s="141">
        <f>(IF((VLOOKUP(Table1[[#This Row],[SKU]],'All Skus'!$A:$AC,2,FALSE))="AKG",(VLOOKUP(Table1[[#This Row],[SKU]],'All Skus'!$A:$AC,11,FALSE)),""))</f>
        <v>0</v>
      </c>
      <c r="K261" s="125">
        <f>(IF((VLOOKUP(Table1[[#This Row],[SKU]],'All Skus'!$A:$AC,2,FALSE))="AKG",(VLOOKUP(Table1[[#This Row],[SKU]],'All Skus'!$A:$AC,15,FALSE)),""))</f>
        <v>0</v>
      </c>
      <c r="L261" s="124">
        <f>(IF((VLOOKUP(Table1[[#This Row],[SKU]],'All Skus'!$A:$AC,2,FALSE))="AKG",(VLOOKUP(Table1[[#This Row],[SKU]],'All Skus'!$A:$AC,16,FALSE)),""))</f>
        <v>0</v>
      </c>
      <c r="M261" s="124">
        <f>(IF((VLOOKUP(Table1[[#This Row],[SKU]],'All Skus'!$A:$AC,2,FALSE))="AKG",(VLOOKUP(Table1[[#This Row],[SKU]],'All Skus'!$A:$AC,17,FALSE)),""))</f>
        <v>0</v>
      </c>
      <c r="N261" s="64">
        <f>(IF((VLOOKUP(Table1[[#This Row],[SKU]],'All Skus'!$A:$AC,2,FALSE))="AKG",(VLOOKUP(Table1[[#This Row],[SKU]],'All Skus'!$A:$AC,18,FALSE)),""))</f>
        <v>0</v>
      </c>
      <c r="O261" s="64">
        <f>(IF((VLOOKUP(Table1[[#This Row],[SKU]],'All Skus'!$A:$AC,2,FALSE))="AKG",(VLOOKUP(Table1[[#This Row],[SKU]],'All Skus'!$A:$AC,19,FALSE)),""))</f>
        <v>0</v>
      </c>
      <c r="P261" s="64">
        <f>(IF((VLOOKUP(Table1[[#This Row],[SKU]],'All Skus'!$A:$AC,2,FALSE))="AKG",(VLOOKUP(Table1[[#This Row],[SKU]],'All Skus'!$A:$AC,20,FALSE)),""))</f>
        <v>0</v>
      </c>
      <c r="Q261" s="64">
        <f>(IF((VLOOKUP(Table1[[#This Row],[SKU]],'All Skus'!$A:$AC,2,FALSE))="AKG",(VLOOKUP(Table1[[#This Row],[SKU]],'All Skus'!$A:$AC,21,FALSE)),""))</f>
        <v>0</v>
      </c>
      <c r="R261" s="64">
        <f>(IF((VLOOKUP(Table1[[#This Row],[SKU]],'All Skus'!$A:$AC,2,FALSE))="AKG",(VLOOKUP(Table1[[#This Row],[SKU]],'All Skus'!$A:$AC,22,FALSE)),""))</f>
        <v>0</v>
      </c>
      <c r="S261" s="64">
        <f>(IF((VLOOKUP(Table1[[#This Row],[SKU]],'All Skus'!$A:$AC,2,FALSE))="AKG",(VLOOKUP(Table1[[#This Row],[SKU]],'All Skus'!$A:$AC,23,FALSE)),""))</f>
        <v>0</v>
      </c>
      <c r="T261" s="210" t="str">
        <f>HYPERLINK((IF((VLOOKUP(Table1[[#This Row],[SKU]],'All Skus'!$A:$AC,2,FALSE))="AKG",(VLOOKUP(Table1[[#This Row],[SKU]],'All Skus'!$A:$AC,24,FALSE)),"")))</f>
        <v/>
      </c>
      <c r="U261" s="151">
        <v>259</v>
      </c>
    </row>
    <row r="262" spans="1:21" ht="15" hidden="1" customHeight="1">
      <c r="A262" s="50" t="s">
        <v>418</v>
      </c>
      <c r="B262" s="52" t="str">
        <f>(IF((VLOOKUP(Table1[[#This Row],[SKU]],'All Skus'!$A:$AC,2,FALSE))="AKG",(VLOOKUP(Table1[[#This Row],[SKU]],'All Skus'!$A:$AC,3,FALSE)), ""))</f>
        <v>Wireless Mics</v>
      </c>
      <c r="C262" s="60" t="str">
        <f>(IF((VLOOKUP(Table1[[#This Row],[SKU]],'All Skus'!$A:$AC,2,FALSE))="AKG",(VLOOKUP(Table1[[#This Row],[SKU]],'All Skus'!$A:$AC,4,FALSE)),""))</f>
        <v>DMS100</v>
      </c>
      <c r="D262" s="60" t="str">
        <f>(IF((VLOOKUP(Table1[[#This Row],[SKU]],'All Skus'!$A:$AC,2,FALSE))="AKG",(VLOOKUP(Table1[[#This Row],[SKU]],'All Skus'!$A:$AC,5,FALSE)),""))</f>
        <v>DMS300/10</v>
      </c>
      <c r="E262" s="60">
        <f>(IF((VLOOKUP(Table1[[#This Row],[SKU]],'All Skus'!$A:$AC,2,FALSE))="AKG",(VLOOKUP(Table1[[#This Row],[SKU]],'All Skus'!$A:$AC,6,FALSE)),""))</f>
        <v>0</v>
      </c>
      <c r="F262" s="60">
        <f>(IF((VLOOKUP(Table1[[#This Row],[SKU]],'All Skus'!$A:$AC,2,FALSE))="AKG",(VLOOKUP(Table1[[#This Row],[SKU]],'All Skus'!$A:$AC,7,FALSE)),""))</f>
        <v>0</v>
      </c>
      <c r="G262" s="45" t="str">
        <f>(IF((VLOOKUP(Table1[[#This Row],[SKU]],'All Skus'!$A:$AC,2,FALSE))="AKG",(VLOOKUP(Table1[[#This Row],[SKU]],'All Skus'!$A:$AC,8,FALSE)),""))</f>
        <v>DMS100 Vocal Set</v>
      </c>
      <c r="H262" s="45" t="str">
        <f>(IF((VLOOKUP(Table1[[#This Row],[SKU]],'All Skus'!$A:$AC,2,FALSE))="AKG",(VLOOKUP(Table1[[#This Row],[SKU]],'All Skus'!$A:$AC,9,FALSE)),""))</f>
        <v>DMS100 Wireless Microphone System</v>
      </c>
      <c r="I262" s="141">
        <f>(IF((VLOOKUP(Table1[[#This Row],[SKU]],'All Skus'!$A:$AC,2,FALSE))="AKG",(VLOOKUP(Table1[[#This Row],[SKU]],'All Skus'!$A:$AC,10,FALSE)),""))</f>
        <v>328.63</v>
      </c>
      <c r="J262" s="141">
        <f>(IF((VLOOKUP(Table1[[#This Row],[SKU]],'All Skus'!$A:$AC,2,FALSE))="AKG",(VLOOKUP(Table1[[#This Row],[SKU]],'All Skus'!$A:$AC,11,FALSE)),""))</f>
        <v>263</v>
      </c>
      <c r="K262" s="125">
        <f>(IF((VLOOKUP(Table1[[#This Row],[SKU]],'All Skus'!$A:$AC,2,FALSE))="AKG",(VLOOKUP(Table1[[#This Row],[SKU]],'All Skus'!$A:$AC,15,FALSE)),""))</f>
        <v>0</v>
      </c>
      <c r="L262" s="124">
        <f>(IF((VLOOKUP(Table1[[#This Row],[SKU]],'All Skus'!$A:$AC,2,FALSE))="AKG",(VLOOKUP(Table1[[#This Row],[SKU]],'All Skus'!$A:$AC,16,FALSE)),""))</f>
        <v>885038040613</v>
      </c>
      <c r="M262" s="124">
        <f>(IF((VLOOKUP(Table1[[#This Row],[SKU]],'All Skus'!$A:$AC,2,FALSE))="AKG",(VLOOKUP(Table1[[#This Row],[SKU]],'All Skus'!$A:$AC,17,FALSE)),""))</f>
        <v>0</v>
      </c>
      <c r="N262" s="64">
        <f>(IF((VLOOKUP(Table1[[#This Row],[SKU]],'All Skus'!$A:$AC,2,FALSE))="AKG",(VLOOKUP(Table1[[#This Row],[SKU]],'All Skus'!$A:$AC,18,FALSE)),""))</f>
        <v>1.65</v>
      </c>
      <c r="O262" s="64">
        <f>(IF((VLOOKUP(Table1[[#This Row],[SKU]],'All Skus'!$A:$AC,2,FALSE))="AKG",(VLOOKUP(Table1[[#This Row],[SKU]],'All Skus'!$A:$AC,19,FALSE)),""))</f>
        <v>6.9</v>
      </c>
      <c r="P262" s="64">
        <f>(IF((VLOOKUP(Table1[[#This Row],[SKU]],'All Skus'!$A:$AC,2,FALSE))="AKG",(VLOOKUP(Table1[[#This Row],[SKU]],'All Skus'!$A:$AC,20,FALSE)),""))</f>
        <v>65</v>
      </c>
      <c r="Q262" s="64">
        <f>(IF((VLOOKUP(Table1[[#This Row],[SKU]],'All Skus'!$A:$AC,2,FALSE))="AKG",(VLOOKUP(Table1[[#This Row],[SKU]],'All Skus'!$A:$AC,21,FALSE)),""))</f>
        <v>3.1</v>
      </c>
      <c r="R262" s="64" t="str">
        <f>(IF((VLOOKUP(Table1[[#This Row],[SKU]],'All Skus'!$A:$AC,2,FALSE))="AKG",(VLOOKUP(Table1[[#This Row],[SKU]],'All Skus'!$A:$AC,22,FALSE)),""))</f>
        <v>CN</v>
      </c>
      <c r="S262" s="64" t="str">
        <f>(IF((VLOOKUP(Table1[[#This Row],[SKU]],'All Skus'!$A:$AC,2,FALSE))="AKG",(VLOOKUP(Table1[[#This Row],[SKU]],'All Skus'!$A:$AC,23,FALSE)),""))</f>
        <v>Non Compliant</v>
      </c>
      <c r="T262" s="210" t="str">
        <f>HYPERLINK((IF((VLOOKUP(Table1[[#This Row],[SKU]],'All Skus'!$A:$AC,2,FALSE))="AKG",(VLOOKUP(Table1[[#This Row],[SKU]],'All Skus'!$A:$AC,24,FALSE)),"")))</f>
        <v>https://www.akg.com/Wireless/wireless-components/5100247-00.html</v>
      </c>
      <c r="U262" s="151">
        <v>260</v>
      </c>
    </row>
    <row r="263" spans="1:21" ht="15" hidden="1" customHeight="1">
      <c r="A263" s="50" t="s">
        <v>419</v>
      </c>
      <c r="B263" s="52" t="str">
        <f>(IF((VLOOKUP(Table1[[#This Row],[SKU]],'All Skus'!$A:$AC,2,FALSE))="AKG",(VLOOKUP(Table1[[#This Row],[SKU]],'All Skus'!$A:$AC,3,FALSE)), ""))</f>
        <v>Wireless Mics</v>
      </c>
      <c r="C263" s="60" t="str">
        <f>(IF((VLOOKUP(Table1[[#This Row],[SKU]],'All Skus'!$A:$AC,2,FALSE))="AKG",(VLOOKUP(Table1[[#This Row],[SKU]],'All Skus'!$A:$AC,4,FALSE)),""))</f>
        <v>DMS100</v>
      </c>
      <c r="D263" s="60" t="str">
        <f>(IF((VLOOKUP(Table1[[#This Row],[SKU]],'All Skus'!$A:$AC,2,FALSE))="AKG",(VLOOKUP(Table1[[#This Row],[SKU]],'All Skus'!$A:$AC,5,FALSE)),""))</f>
        <v>DMS300/10</v>
      </c>
      <c r="E263" s="60">
        <f>(IF((VLOOKUP(Table1[[#This Row],[SKU]],'All Skus'!$A:$AC,2,FALSE))="AKG",(VLOOKUP(Table1[[#This Row],[SKU]],'All Skus'!$A:$AC,6,FALSE)),""))</f>
        <v>0</v>
      </c>
      <c r="F263" s="60">
        <f>(IF((VLOOKUP(Table1[[#This Row],[SKU]],'All Skus'!$A:$AC,2,FALSE))="AKG",(VLOOKUP(Table1[[#This Row],[SKU]],'All Skus'!$A:$AC,7,FALSE)),""))</f>
        <v>0</v>
      </c>
      <c r="G263" s="45" t="str">
        <f>(IF((VLOOKUP(Table1[[#This Row],[SKU]],'All Skus'!$A:$AC,2,FALSE))="AKG",(VLOOKUP(Table1[[#This Row],[SKU]],'All Skus'!$A:$AC,8,FALSE)),""))</f>
        <v>DMS100 Instrument Set</v>
      </c>
      <c r="H263" s="45" t="str">
        <f>(IF((VLOOKUP(Table1[[#This Row],[SKU]],'All Skus'!$A:$AC,2,FALSE))="AKG",(VLOOKUP(Table1[[#This Row],[SKU]],'All Skus'!$A:$AC,9,FALSE)),""))</f>
        <v>DMS100 Wireless Instrument System</v>
      </c>
      <c r="I263" s="141">
        <f>(IF((VLOOKUP(Table1[[#This Row],[SKU]],'All Skus'!$A:$AC,2,FALSE))="AKG",(VLOOKUP(Table1[[#This Row],[SKU]],'All Skus'!$A:$AC,10,FALSE)),""))</f>
        <v>328.63</v>
      </c>
      <c r="J263" s="141">
        <f>(IF((VLOOKUP(Table1[[#This Row],[SKU]],'All Skus'!$A:$AC,2,FALSE))="AKG",(VLOOKUP(Table1[[#This Row],[SKU]],'All Skus'!$A:$AC,11,FALSE)),""))</f>
        <v>263</v>
      </c>
      <c r="K263" s="125">
        <f>(IF((VLOOKUP(Table1[[#This Row],[SKU]],'All Skus'!$A:$AC,2,FALSE))="AKG",(VLOOKUP(Table1[[#This Row],[SKU]],'All Skus'!$A:$AC,15,FALSE)),""))</f>
        <v>0</v>
      </c>
      <c r="L263" s="124">
        <f>(IF((VLOOKUP(Table1[[#This Row],[SKU]],'All Skus'!$A:$AC,2,FALSE))="AKG",(VLOOKUP(Table1[[#This Row],[SKU]],'All Skus'!$A:$AC,16,FALSE)),""))</f>
        <v>885038040620</v>
      </c>
      <c r="M263" s="124">
        <f>(IF((VLOOKUP(Table1[[#This Row],[SKU]],'All Skus'!$A:$AC,2,FALSE))="AKG",(VLOOKUP(Table1[[#This Row],[SKU]],'All Skus'!$A:$AC,17,FALSE)),""))</f>
        <v>0</v>
      </c>
      <c r="N263" s="64">
        <f>(IF((VLOOKUP(Table1[[#This Row],[SKU]],'All Skus'!$A:$AC,2,FALSE))="AKG",(VLOOKUP(Table1[[#This Row],[SKU]],'All Skus'!$A:$AC,18,FALSE)),""))</f>
        <v>0</v>
      </c>
      <c r="O263" s="64">
        <f>(IF((VLOOKUP(Table1[[#This Row],[SKU]],'All Skus'!$A:$AC,2,FALSE))="AKG",(VLOOKUP(Table1[[#This Row],[SKU]],'All Skus'!$A:$AC,19,FALSE)),""))</f>
        <v>0</v>
      </c>
      <c r="P263" s="64">
        <f>(IF((VLOOKUP(Table1[[#This Row],[SKU]],'All Skus'!$A:$AC,2,FALSE))="AKG",(VLOOKUP(Table1[[#This Row],[SKU]],'All Skus'!$A:$AC,20,FALSE)),""))</f>
        <v>0</v>
      </c>
      <c r="Q263" s="64">
        <f>(IF((VLOOKUP(Table1[[#This Row],[SKU]],'All Skus'!$A:$AC,2,FALSE))="AKG",(VLOOKUP(Table1[[#This Row],[SKU]],'All Skus'!$A:$AC,21,FALSE)),""))</f>
        <v>0</v>
      </c>
      <c r="R263" s="64" t="str">
        <f>(IF((VLOOKUP(Table1[[#This Row],[SKU]],'All Skus'!$A:$AC,2,FALSE))="AKG",(VLOOKUP(Table1[[#This Row],[SKU]],'All Skus'!$A:$AC,22,FALSE)),""))</f>
        <v>CN</v>
      </c>
      <c r="S263" s="64" t="str">
        <f>(IF((VLOOKUP(Table1[[#This Row],[SKU]],'All Skus'!$A:$AC,2,FALSE))="AKG",(VLOOKUP(Table1[[#This Row],[SKU]],'All Skus'!$A:$AC,23,FALSE)),""))</f>
        <v>Non Compliant</v>
      </c>
      <c r="T263" s="210" t="str">
        <f>HYPERLINK((IF((VLOOKUP(Table1[[#This Row],[SKU]],'All Skus'!$A:$AC,2,FALSE))="AKG",(VLOOKUP(Table1[[#This Row],[SKU]],'All Skus'!$A:$AC,24,FALSE)),"")))</f>
        <v>https://www.akg.com/Wireless/wireless-components/5100248-00.html</v>
      </c>
      <c r="U263" s="151">
        <v>261</v>
      </c>
    </row>
    <row r="264" spans="1:21" ht="15" hidden="1" customHeight="1">
      <c r="A264" s="50" t="s">
        <v>420</v>
      </c>
      <c r="B264" s="52" t="str">
        <f>(IF((VLOOKUP(Table1[[#This Row],[SKU]],'All Skus'!$A:$AC,2,FALSE))="AKG",(VLOOKUP(Table1[[#This Row],[SKU]],'All Skus'!$A:$AC,3,FALSE)), ""))</f>
        <v>Wireless Mics</v>
      </c>
      <c r="C264" s="60" t="str">
        <f>(IF((VLOOKUP(Table1[[#This Row],[SKU]],'All Skus'!$A:$AC,2,FALSE))="AKG",(VLOOKUP(Table1[[#This Row],[SKU]],'All Skus'!$A:$AC,4,FALSE)),""))</f>
        <v>DMS300</v>
      </c>
      <c r="D264" s="60" t="str">
        <f>(IF((VLOOKUP(Table1[[#This Row],[SKU]],'All Skus'!$A:$AC,2,FALSE))="AKG",(VLOOKUP(Table1[[#This Row],[SKU]],'All Skus'!$A:$AC,5,FALSE)),""))</f>
        <v>DMS300/10</v>
      </c>
      <c r="E264" s="60">
        <f>(IF((VLOOKUP(Table1[[#This Row],[SKU]],'All Skus'!$A:$AC,2,FALSE))="AKG",(VLOOKUP(Table1[[#This Row],[SKU]],'All Skus'!$A:$AC,6,FALSE)),""))</f>
        <v>0</v>
      </c>
      <c r="F264" s="60">
        <f>(IF((VLOOKUP(Table1[[#This Row],[SKU]],'All Skus'!$A:$AC,2,FALSE))="AKG",(VLOOKUP(Table1[[#This Row],[SKU]],'All Skus'!$A:$AC,7,FALSE)),""))</f>
        <v>0</v>
      </c>
      <c r="G264" s="45" t="str">
        <f>(IF((VLOOKUP(Table1[[#This Row],[SKU]],'All Skus'!$A:$AC,2,FALSE))="AKG",(VLOOKUP(Table1[[#This Row],[SKU]],'All Skus'!$A:$AC,8,FALSE)),""))</f>
        <v>DMS300 Vocal Set</v>
      </c>
      <c r="H264" s="45" t="str">
        <f>(IF((VLOOKUP(Table1[[#This Row],[SKU]],'All Skus'!$A:$AC,2,FALSE))="AKG",(VLOOKUP(Table1[[#This Row],[SKU]],'All Skus'!$A:$AC,9,FALSE)),""))</f>
        <v>DMS300 Wireless Microphone System</v>
      </c>
      <c r="I264" s="141">
        <f>(IF((VLOOKUP(Table1[[#This Row],[SKU]],'All Skus'!$A:$AC,2,FALSE))="AKG",(VLOOKUP(Table1[[#This Row],[SKU]],'All Skus'!$A:$AC,10,FALSE)),""))</f>
        <v>448.67</v>
      </c>
      <c r="J264" s="141">
        <f>(IF((VLOOKUP(Table1[[#This Row],[SKU]],'All Skus'!$A:$AC,2,FALSE))="AKG",(VLOOKUP(Table1[[#This Row],[SKU]],'All Skus'!$A:$AC,11,FALSE)),""))</f>
        <v>356</v>
      </c>
      <c r="K264" s="125">
        <f>(IF((VLOOKUP(Table1[[#This Row],[SKU]],'All Skus'!$A:$AC,2,FALSE))="AKG",(VLOOKUP(Table1[[#This Row],[SKU]],'All Skus'!$A:$AC,15,FALSE)),""))</f>
        <v>0</v>
      </c>
      <c r="L264" s="124">
        <f>(IF((VLOOKUP(Table1[[#This Row],[SKU]],'All Skus'!$A:$AC,2,FALSE))="AKG",(VLOOKUP(Table1[[#This Row],[SKU]],'All Skus'!$A:$AC,16,FALSE)),""))</f>
        <v>885038040668</v>
      </c>
      <c r="M264" s="124">
        <f>(IF((VLOOKUP(Table1[[#This Row],[SKU]],'All Skus'!$A:$AC,2,FALSE))="AKG",(VLOOKUP(Table1[[#This Row],[SKU]],'All Skus'!$A:$AC,17,FALSE)),""))</f>
        <v>0</v>
      </c>
      <c r="N264" s="64">
        <f>(IF((VLOOKUP(Table1[[#This Row],[SKU]],'All Skus'!$A:$AC,2,FALSE))="AKG",(VLOOKUP(Table1[[#This Row],[SKU]],'All Skus'!$A:$AC,18,FALSE)),""))</f>
        <v>0</v>
      </c>
      <c r="O264" s="64">
        <f>(IF((VLOOKUP(Table1[[#This Row],[SKU]],'All Skus'!$A:$AC,2,FALSE))="AKG",(VLOOKUP(Table1[[#This Row],[SKU]],'All Skus'!$A:$AC,19,FALSE)),""))</f>
        <v>0</v>
      </c>
      <c r="P264" s="64">
        <f>(IF((VLOOKUP(Table1[[#This Row],[SKU]],'All Skus'!$A:$AC,2,FALSE))="AKG",(VLOOKUP(Table1[[#This Row],[SKU]],'All Skus'!$A:$AC,20,FALSE)),""))</f>
        <v>0</v>
      </c>
      <c r="Q264" s="64">
        <f>(IF((VLOOKUP(Table1[[#This Row],[SKU]],'All Skus'!$A:$AC,2,FALSE))="AKG",(VLOOKUP(Table1[[#This Row],[SKU]],'All Skus'!$A:$AC,21,FALSE)),""))</f>
        <v>0</v>
      </c>
      <c r="R264" s="64" t="str">
        <f>(IF((VLOOKUP(Table1[[#This Row],[SKU]],'All Skus'!$A:$AC,2,FALSE))="AKG",(VLOOKUP(Table1[[#This Row],[SKU]],'All Skus'!$A:$AC,22,FALSE)),""))</f>
        <v>CN</v>
      </c>
      <c r="S264" s="64" t="str">
        <f>(IF((VLOOKUP(Table1[[#This Row],[SKU]],'All Skus'!$A:$AC,2,FALSE))="AKG",(VLOOKUP(Table1[[#This Row],[SKU]],'All Skus'!$A:$AC,23,FALSE)),""))</f>
        <v>Non Compliant</v>
      </c>
      <c r="T264" s="210" t="str">
        <f>HYPERLINK((IF((VLOOKUP(Table1[[#This Row],[SKU]],'All Skus'!$A:$AC,2,FALSE))="AKG",(VLOOKUP(Table1[[#This Row],[SKU]],'All Skus'!$A:$AC,24,FALSE)),"")))</f>
        <v>https://www.akg.com/Wireless/wireless-components/5100252-00.html</v>
      </c>
      <c r="U264" s="151">
        <v>262</v>
      </c>
    </row>
    <row r="265" spans="1:21" ht="15" hidden="1" customHeight="1">
      <c r="A265" s="50" t="s">
        <v>421</v>
      </c>
      <c r="B265" s="52" t="str">
        <f>(IF((VLOOKUP(Table1[[#This Row],[SKU]],'All Skus'!$A:$AC,2,FALSE))="AKG",(VLOOKUP(Table1[[#This Row],[SKU]],'All Skus'!$A:$AC,3,FALSE)), ""))</f>
        <v>Wireless Mics</v>
      </c>
      <c r="C265" s="60" t="str">
        <f>(IF((VLOOKUP(Table1[[#This Row],[SKU]],'All Skus'!$A:$AC,2,FALSE))="AKG",(VLOOKUP(Table1[[#This Row],[SKU]],'All Skus'!$A:$AC,4,FALSE)),""))</f>
        <v>DMS300</v>
      </c>
      <c r="D265" s="60" t="str">
        <f>(IF((VLOOKUP(Table1[[#This Row],[SKU]],'All Skus'!$A:$AC,2,FALSE))="AKG",(VLOOKUP(Table1[[#This Row],[SKU]],'All Skus'!$A:$AC,5,FALSE)),""))</f>
        <v>DMS300/10</v>
      </c>
      <c r="E265" s="60">
        <f>(IF((VLOOKUP(Table1[[#This Row],[SKU]],'All Skus'!$A:$AC,2,FALSE))="AKG",(VLOOKUP(Table1[[#This Row],[SKU]],'All Skus'!$A:$AC,6,FALSE)),""))</f>
        <v>0</v>
      </c>
      <c r="F265" s="60">
        <f>(IF((VLOOKUP(Table1[[#This Row],[SKU]],'All Skus'!$A:$AC,2,FALSE))="AKG",(VLOOKUP(Table1[[#This Row],[SKU]],'All Skus'!$A:$AC,7,FALSE)),""))</f>
        <v>0</v>
      </c>
      <c r="G265" s="45" t="str">
        <f>(IF((VLOOKUP(Table1[[#This Row],[SKU]],'All Skus'!$A:$AC,2,FALSE))="AKG",(VLOOKUP(Table1[[#This Row],[SKU]],'All Skus'!$A:$AC,8,FALSE)),""))</f>
        <v>DMS300 Instrument Set</v>
      </c>
      <c r="H265" s="45" t="str">
        <f>(IF((VLOOKUP(Table1[[#This Row],[SKU]],'All Skus'!$A:$AC,2,FALSE))="AKG",(VLOOKUP(Table1[[#This Row],[SKU]],'All Skus'!$A:$AC,9,FALSE)),""))</f>
        <v>DMS300 Wireless Instrument System</v>
      </c>
      <c r="I265" s="141">
        <f>(IF((VLOOKUP(Table1[[#This Row],[SKU]],'All Skus'!$A:$AC,2,FALSE))="AKG",(VLOOKUP(Table1[[#This Row],[SKU]],'All Skus'!$A:$AC,10,FALSE)),""))</f>
        <v>448.67</v>
      </c>
      <c r="J265" s="141">
        <f>(IF((VLOOKUP(Table1[[#This Row],[SKU]],'All Skus'!$A:$AC,2,FALSE))="AKG",(VLOOKUP(Table1[[#This Row],[SKU]],'All Skus'!$A:$AC,11,FALSE)),""))</f>
        <v>356</v>
      </c>
      <c r="K265" s="125">
        <f>(IF((VLOOKUP(Table1[[#This Row],[SKU]],'All Skus'!$A:$AC,2,FALSE))="AKG",(VLOOKUP(Table1[[#This Row],[SKU]],'All Skus'!$A:$AC,15,FALSE)),""))</f>
        <v>0</v>
      </c>
      <c r="L265" s="124">
        <f>(IF((VLOOKUP(Table1[[#This Row],[SKU]],'All Skus'!$A:$AC,2,FALSE))="AKG",(VLOOKUP(Table1[[#This Row],[SKU]],'All Skus'!$A:$AC,16,FALSE)),""))</f>
        <v>885038040675</v>
      </c>
      <c r="M265" s="124">
        <f>(IF((VLOOKUP(Table1[[#This Row],[SKU]],'All Skus'!$A:$AC,2,FALSE))="AKG",(VLOOKUP(Table1[[#This Row],[SKU]],'All Skus'!$A:$AC,17,FALSE)),""))</f>
        <v>0</v>
      </c>
      <c r="N265" s="64">
        <f>(IF((VLOOKUP(Table1[[#This Row],[SKU]],'All Skus'!$A:$AC,2,FALSE))="AKG",(VLOOKUP(Table1[[#This Row],[SKU]],'All Skus'!$A:$AC,18,FALSE)),""))</f>
        <v>0</v>
      </c>
      <c r="O265" s="64">
        <f>(IF((VLOOKUP(Table1[[#This Row],[SKU]],'All Skus'!$A:$AC,2,FALSE))="AKG",(VLOOKUP(Table1[[#This Row],[SKU]],'All Skus'!$A:$AC,19,FALSE)),""))</f>
        <v>0</v>
      </c>
      <c r="P265" s="64">
        <f>(IF((VLOOKUP(Table1[[#This Row],[SKU]],'All Skus'!$A:$AC,2,FALSE))="AKG",(VLOOKUP(Table1[[#This Row],[SKU]],'All Skus'!$A:$AC,20,FALSE)),""))</f>
        <v>0</v>
      </c>
      <c r="Q265" s="64">
        <f>(IF((VLOOKUP(Table1[[#This Row],[SKU]],'All Skus'!$A:$AC,2,FALSE))="AKG",(VLOOKUP(Table1[[#This Row],[SKU]],'All Skus'!$A:$AC,21,FALSE)),""))</f>
        <v>0</v>
      </c>
      <c r="R265" s="64" t="str">
        <f>(IF((VLOOKUP(Table1[[#This Row],[SKU]],'All Skus'!$A:$AC,2,FALSE))="AKG",(VLOOKUP(Table1[[#This Row],[SKU]],'All Skus'!$A:$AC,22,FALSE)),""))</f>
        <v>CN</v>
      </c>
      <c r="S265" s="64" t="str">
        <f>(IF((VLOOKUP(Table1[[#This Row],[SKU]],'All Skus'!$A:$AC,2,FALSE))="AKG",(VLOOKUP(Table1[[#This Row],[SKU]],'All Skus'!$A:$AC,23,FALSE)),""))</f>
        <v>Non Compliant</v>
      </c>
      <c r="T265" s="210" t="str">
        <f>HYPERLINK((IF((VLOOKUP(Table1[[#This Row],[SKU]],'All Skus'!$A:$AC,2,FALSE))="AKG",(VLOOKUP(Table1[[#This Row],[SKU]],'All Skus'!$A:$AC,24,FALSE)),"")))</f>
        <v>https://www.akg.com/Wireless/wireless-components/5100253-00.html</v>
      </c>
      <c r="U265" s="151">
        <v>263</v>
      </c>
    </row>
    <row r="266" spans="1:21" ht="15" hidden="1" customHeight="1">
      <c r="A266" s="126" t="s">
        <v>422</v>
      </c>
      <c r="B266" s="52">
        <f>(IF((VLOOKUP(Table1[[#This Row],[SKU]],'All Skus'!$A:$AC,2,FALSE))="AKG",(VLOOKUP(Table1[[#This Row],[SKU]],'All Skus'!$A:$AC,3,FALSE)), ""))</f>
        <v>0</v>
      </c>
      <c r="C266" s="60">
        <f>(IF((VLOOKUP(Table1[[#This Row],[SKU]],'All Skus'!$A:$AC,2,FALSE))="AKG",(VLOOKUP(Table1[[#This Row],[SKU]],'All Skus'!$A:$AC,4,FALSE)),""))</f>
        <v>0</v>
      </c>
      <c r="D266" s="60">
        <f>(IF((VLOOKUP(Table1[[#This Row],[SKU]],'All Skus'!$A:$AC,2,FALSE))="AKG",(VLOOKUP(Table1[[#This Row],[SKU]],'All Skus'!$A:$AC,5,FALSE)),""))</f>
        <v>0</v>
      </c>
      <c r="E266" s="60">
        <f>(IF((VLOOKUP(Table1[[#This Row],[SKU]],'All Skus'!$A:$AC,2,FALSE))="AKG",(VLOOKUP(Table1[[#This Row],[SKU]],'All Skus'!$A:$AC,6,FALSE)),""))</f>
        <v>0</v>
      </c>
      <c r="F266" s="60">
        <f>(IF((VLOOKUP(Table1[[#This Row],[SKU]],'All Skus'!$A:$AC,2,FALSE))="AKG",(VLOOKUP(Table1[[#This Row],[SKU]],'All Skus'!$A:$AC,7,FALSE)),""))</f>
        <v>0</v>
      </c>
      <c r="G266" s="45">
        <f>(IF((VLOOKUP(Table1[[#This Row],[SKU]],'All Skus'!$A:$AC,2,FALSE))="AKG",(VLOOKUP(Table1[[#This Row],[SKU]],'All Skus'!$A:$AC,8,FALSE)),""))</f>
        <v>0</v>
      </c>
      <c r="H266" s="45">
        <f>(IF((VLOOKUP(Table1[[#This Row],[SKU]],'All Skus'!$A:$AC,2,FALSE))="AKG",(VLOOKUP(Table1[[#This Row],[SKU]],'All Skus'!$A:$AC,9,FALSE)),""))</f>
        <v>0</v>
      </c>
      <c r="I266" s="141">
        <f>(IF((VLOOKUP(Table1[[#This Row],[SKU]],'All Skus'!$A:$AC,2,FALSE))="AKG",(VLOOKUP(Table1[[#This Row],[SKU]],'All Skus'!$A:$AC,10,FALSE)),""))</f>
        <v>0</v>
      </c>
      <c r="J266" s="141">
        <f>(IF((VLOOKUP(Table1[[#This Row],[SKU]],'All Skus'!$A:$AC,2,FALSE))="AKG",(VLOOKUP(Table1[[#This Row],[SKU]],'All Skus'!$A:$AC,11,FALSE)),""))</f>
        <v>0</v>
      </c>
      <c r="K266" s="125">
        <f>(IF((VLOOKUP(Table1[[#This Row],[SKU]],'All Skus'!$A:$AC,2,FALSE))="AKG",(VLOOKUP(Table1[[#This Row],[SKU]],'All Skus'!$A:$AC,15,FALSE)),""))</f>
        <v>0</v>
      </c>
      <c r="L266" s="124">
        <f>(IF((VLOOKUP(Table1[[#This Row],[SKU]],'All Skus'!$A:$AC,2,FALSE))="AKG",(VLOOKUP(Table1[[#This Row],[SKU]],'All Skus'!$A:$AC,16,FALSE)),""))</f>
        <v>0</v>
      </c>
      <c r="M266" s="124">
        <f>(IF((VLOOKUP(Table1[[#This Row],[SKU]],'All Skus'!$A:$AC,2,FALSE))="AKG",(VLOOKUP(Table1[[#This Row],[SKU]],'All Skus'!$A:$AC,17,FALSE)),""))</f>
        <v>0</v>
      </c>
      <c r="N266" s="64">
        <f>(IF((VLOOKUP(Table1[[#This Row],[SKU]],'All Skus'!$A:$AC,2,FALSE))="AKG",(VLOOKUP(Table1[[#This Row],[SKU]],'All Skus'!$A:$AC,18,FALSE)),""))</f>
        <v>0</v>
      </c>
      <c r="O266" s="64">
        <f>(IF((VLOOKUP(Table1[[#This Row],[SKU]],'All Skus'!$A:$AC,2,FALSE))="AKG",(VLOOKUP(Table1[[#This Row],[SKU]],'All Skus'!$A:$AC,19,FALSE)),""))</f>
        <v>0</v>
      </c>
      <c r="P266" s="64">
        <f>(IF((VLOOKUP(Table1[[#This Row],[SKU]],'All Skus'!$A:$AC,2,FALSE))="AKG",(VLOOKUP(Table1[[#This Row],[SKU]],'All Skus'!$A:$AC,20,FALSE)),""))</f>
        <v>0</v>
      </c>
      <c r="Q266" s="64">
        <f>(IF((VLOOKUP(Table1[[#This Row],[SKU]],'All Skus'!$A:$AC,2,FALSE))="AKG",(VLOOKUP(Table1[[#This Row],[SKU]],'All Skus'!$A:$AC,21,FALSE)),""))</f>
        <v>0</v>
      </c>
      <c r="R266" s="64">
        <f>(IF((VLOOKUP(Table1[[#This Row],[SKU]],'All Skus'!$A:$AC,2,FALSE))="AKG",(VLOOKUP(Table1[[#This Row],[SKU]],'All Skus'!$A:$AC,22,FALSE)),""))</f>
        <v>0</v>
      </c>
      <c r="S266" s="64">
        <f>(IF((VLOOKUP(Table1[[#This Row],[SKU]],'All Skus'!$A:$AC,2,FALSE))="AKG",(VLOOKUP(Table1[[#This Row],[SKU]],'All Skus'!$A:$AC,23,FALSE)),""))</f>
        <v>0</v>
      </c>
      <c r="T266" s="210" t="str">
        <f>HYPERLINK((IF((VLOOKUP(Table1[[#This Row],[SKU]],'All Skus'!$A:$AC,2,FALSE))="AKG",(VLOOKUP(Table1[[#This Row],[SKU]],'All Skus'!$A:$AC,24,FALSE)),"")))</f>
        <v/>
      </c>
      <c r="U266" s="151">
        <v>264</v>
      </c>
    </row>
    <row r="267" spans="1:21" ht="15" hidden="1" customHeight="1">
      <c r="A267" s="50" t="s">
        <v>423</v>
      </c>
      <c r="B267" s="52" t="str">
        <f>(IF((VLOOKUP(Table1[[#This Row],[SKU]],'All Skus'!$A:$AC,2,FALSE))="AKG",(VLOOKUP(Table1[[#This Row],[SKU]],'All Skus'!$A:$AC,3,FALSE)), ""))</f>
        <v>Wireless Mics</v>
      </c>
      <c r="C267" s="60" t="str">
        <f>(IF((VLOOKUP(Table1[[#This Row],[SKU]],'All Skus'!$A:$AC,2,FALSE))="AKG",(VLOOKUP(Table1[[#This Row],[SKU]],'All Skus'!$A:$AC,4,FALSE)),""))</f>
        <v>DMS800 DPT800 BD1</v>
      </c>
      <c r="D267" s="60" t="str">
        <f>(IF((VLOOKUP(Table1[[#This Row],[SKU]],'All Skus'!$A:$AC,2,FALSE))="AKG",(VLOOKUP(Table1[[#This Row],[SKU]],'All Skus'!$A:$AC,5,FALSE)),""))</f>
        <v>DMS800</v>
      </c>
      <c r="E267" s="60">
        <f>(IF((VLOOKUP(Table1[[#This Row],[SKU]],'All Skus'!$A:$AC,2,FALSE))="AKG",(VLOOKUP(Table1[[#This Row],[SKU]],'All Skus'!$A:$AC,6,FALSE)),""))</f>
        <v>0</v>
      </c>
      <c r="F267" s="60">
        <f>(IF((VLOOKUP(Table1[[#This Row],[SKU]],'All Skus'!$A:$AC,2,FALSE))="AKG",(VLOOKUP(Table1[[#This Row],[SKU]],'All Skus'!$A:$AC,7,FALSE)),""))</f>
        <v>0</v>
      </c>
      <c r="G267" s="45" t="str">
        <f>(IF((VLOOKUP(Table1[[#This Row],[SKU]],'All Skus'!$A:$AC,2,FALSE))="AKG",(VLOOKUP(Table1[[#This Row],[SKU]],'All Skus'!$A:$AC,8,FALSE)),""))</f>
        <v>DMS800 DPT800 BD1</v>
      </c>
      <c r="H267" s="45" t="str">
        <f>(IF((VLOOKUP(Table1[[#This Row],[SKU]],'All Skus'!$A:$AC,2,FALSE))="AKG",(VLOOKUP(Table1[[#This Row],[SKU]],'All Skus'!$A:$AC,9,FALSE)),""))</f>
        <v>Body pack transmitter</v>
      </c>
      <c r="I267" s="141">
        <f>(IF((VLOOKUP(Table1[[#This Row],[SKU]],'All Skus'!$A:$AC,2,FALSE))="AKG",(VLOOKUP(Table1[[#This Row],[SKU]],'All Skus'!$A:$AC,10,FALSE)),""))</f>
        <v>504.36</v>
      </c>
      <c r="J267" s="141">
        <f>(IF((VLOOKUP(Table1[[#This Row],[SKU]],'All Skus'!$A:$AC,2,FALSE))="AKG",(VLOOKUP(Table1[[#This Row],[SKU]],'All Skus'!$A:$AC,11,FALSE)),""))</f>
        <v>418</v>
      </c>
      <c r="K267" s="125">
        <f>(IF((VLOOKUP(Table1[[#This Row],[SKU]],'All Skus'!$A:$AC,2,FALSE))="AKG",(VLOOKUP(Table1[[#This Row],[SKU]],'All Skus'!$A:$AC,15,FALSE)),""))</f>
        <v>0</v>
      </c>
      <c r="L267" s="124">
        <f>(IF((VLOOKUP(Table1[[#This Row],[SKU]],'All Skus'!$A:$AC,2,FALSE))="AKG",(VLOOKUP(Table1[[#This Row],[SKU]],'All Skus'!$A:$AC,16,FALSE)),""))</f>
        <v>885038037378</v>
      </c>
      <c r="M267" s="124">
        <f>(IF((VLOOKUP(Table1[[#This Row],[SKU]],'All Skus'!$A:$AC,2,FALSE))="AKG",(VLOOKUP(Table1[[#This Row],[SKU]],'All Skus'!$A:$AC,17,FALSE)),""))</f>
        <v>0</v>
      </c>
      <c r="N267" s="64">
        <f>(IF((VLOOKUP(Table1[[#This Row],[SKU]],'All Skus'!$A:$AC,2,FALSE))="AKG",(VLOOKUP(Table1[[#This Row],[SKU]],'All Skus'!$A:$AC,18,FALSE)),""))</f>
        <v>0</v>
      </c>
      <c r="O267" s="64">
        <f>(IF((VLOOKUP(Table1[[#This Row],[SKU]],'All Skus'!$A:$AC,2,FALSE))="AKG",(VLOOKUP(Table1[[#This Row],[SKU]],'All Skus'!$A:$AC,19,FALSE)),""))</f>
        <v>0</v>
      </c>
      <c r="P267" s="64">
        <f>(IF((VLOOKUP(Table1[[#This Row],[SKU]],'All Skus'!$A:$AC,2,FALSE))="AKG",(VLOOKUP(Table1[[#This Row],[SKU]],'All Skus'!$A:$AC,20,FALSE)),""))</f>
        <v>0</v>
      </c>
      <c r="Q267" s="64">
        <f>(IF((VLOOKUP(Table1[[#This Row],[SKU]],'All Skus'!$A:$AC,2,FALSE))="AKG",(VLOOKUP(Table1[[#This Row],[SKU]],'All Skus'!$A:$AC,21,FALSE)),""))</f>
        <v>0</v>
      </c>
      <c r="R267" s="64" t="str">
        <f>(IF((VLOOKUP(Table1[[#This Row],[SKU]],'All Skus'!$A:$AC,2,FALSE))="AKG",(VLOOKUP(Table1[[#This Row],[SKU]],'All Skus'!$A:$AC,22,FALSE)),""))</f>
        <v>CN</v>
      </c>
      <c r="S267" s="64">
        <f>(IF((VLOOKUP(Table1[[#This Row],[SKU]],'All Skus'!$A:$AC,2,FALSE))="AKG",(VLOOKUP(Table1[[#This Row],[SKU]],'All Skus'!$A:$AC,23,FALSE)),""))</f>
        <v>0</v>
      </c>
      <c r="T267" s="210" t="str">
        <f>HYPERLINK((IF((VLOOKUP(Table1[[#This Row],[SKU]],'All Skus'!$A:$AC,2,FALSE))="AKG",(VLOOKUP(Table1[[#This Row],[SKU]],'All Skus'!$A:$AC,24,FALSE)),"")))</f>
        <v>https://www.akg.com/Wireless/wireless-components/3382H00100.html</v>
      </c>
      <c r="U267" s="151">
        <v>265</v>
      </c>
    </row>
    <row r="268" spans="1:21" ht="15" hidden="1" customHeight="1">
      <c r="A268" s="50" t="s">
        <v>424</v>
      </c>
      <c r="B268" s="52" t="str">
        <f>(IF((VLOOKUP(Table1[[#This Row],[SKU]],'All Skus'!$A:$AC,2,FALSE))="AKG",(VLOOKUP(Table1[[#This Row],[SKU]],'All Skus'!$A:$AC,3,FALSE)), ""))</f>
        <v>Wireless Mics</v>
      </c>
      <c r="C268" s="60" t="str">
        <f>(IF((VLOOKUP(Table1[[#This Row],[SKU]],'All Skus'!$A:$AC,2,FALSE))="AKG",(VLOOKUP(Table1[[#This Row],[SKU]],'All Skus'!$A:$AC,4,FALSE)),""))</f>
        <v>DHT800 BD1</v>
      </c>
      <c r="D268" s="60" t="str">
        <f>(IF((VLOOKUP(Table1[[#This Row],[SKU]],'All Skus'!$A:$AC,2,FALSE))="AKG",(VLOOKUP(Table1[[#This Row],[SKU]],'All Skus'!$A:$AC,5,FALSE)),""))</f>
        <v>DMS800</v>
      </c>
      <c r="E268" s="60">
        <f>(IF((VLOOKUP(Table1[[#This Row],[SKU]],'All Skus'!$A:$AC,2,FALSE))="AKG",(VLOOKUP(Table1[[#This Row],[SKU]],'All Skus'!$A:$AC,6,FALSE)),""))</f>
        <v>0</v>
      </c>
      <c r="F268" s="60">
        <f>(IF((VLOOKUP(Table1[[#This Row],[SKU]],'All Skus'!$A:$AC,2,FALSE))="AKG",(VLOOKUP(Table1[[#This Row],[SKU]],'All Skus'!$A:$AC,7,FALSE)),""))</f>
        <v>0</v>
      </c>
      <c r="G268" s="45" t="str">
        <f>(IF((VLOOKUP(Table1[[#This Row],[SKU]],'All Skus'!$A:$AC,2,FALSE))="AKG",(VLOOKUP(Table1[[#This Row],[SKU]],'All Skus'!$A:$AC,8,FALSE)),""))</f>
        <v>DHT800 BD1</v>
      </c>
      <c r="H268" s="45">
        <f>(IF((VLOOKUP(Table1[[#This Row],[SKU]],'All Skus'!$A:$AC,2,FALSE))="AKG",(VLOOKUP(Table1[[#This Row],[SKU]],'All Skus'!$A:$AC,9,FALSE)),""))</f>
        <v>0</v>
      </c>
      <c r="I268" s="141">
        <f>(IF((VLOOKUP(Table1[[#This Row],[SKU]],'All Skus'!$A:$AC,2,FALSE))="AKG",(VLOOKUP(Table1[[#This Row],[SKU]],'All Skus'!$A:$AC,10,FALSE)),""))</f>
        <v>421.84</v>
      </c>
      <c r="J268" s="141">
        <f>(IF((VLOOKUP(Table1[[#This Row],[SKU]],'All Skus'!$A:$AC,2,FALSE))="AKG",(VLOOKUP(Table1[[#This Row],[SKU]],'All Skus'!$A:$AC,11,FALSE)),""))</f>
        <v>346</v>
      </c>
      <c r="K268" s="125">
        <f>(IF((VLOOKUP(Table1[[#This Row],[SKU]],'All Skus'!$A:$AC,2,FALSE))="AKG",(VLOOKUP(Table1[[#This Row],[SKU]],'All Skus'!$A:$AC,15,FALSE)),""))</f>
        <v>0</v>
      </c>
      <c r="L268" s="124">
        <f>(IF((VLOOKUP(Table1[[#This Row],[SKU]],'All Skus'!$A:$AC,2,FALSE))="AKG",(VLOOKUP(Table1[[#This Row],[SKU]],'All Skus'!$A:$AC,16,FALSE)),""))</f>
        <v>885038037293</v>
      </c>
      <c r="M268" s="124">
        <f>(IF((VLOOKUP(Table1[[#This Row],[SKU]],'All Skus'!$A:$AC,2,FALSE))="AKG",(VLOOKUP(Table1[[#This Row],[SKU]],'All Skus'!$A:$AC,17,FALSE)),""))</f>
        <v>0</v>
      </c>
      <c r="N268" s="64">
        <f>(IF((VLOOKUP(Table1[[#This Row],[SKU]],'All Skus'!$A:$AC,2,FALSE))="AKG",(VLOOKUP(Table1[[#This Row],[SKU]],'All Skus'!$A:$AC,18,FALSE)),""))</f>
        <v>0</v>
      </c>
      <c r="O268" s="64">
        <f>(IF((VLOOKUP(Table1[[#This Row],[SKU]],'All Skus'!$A:$AC,2,FALSE))="AKG",(VLOOKUP(Table1[[#This Row],[SKU]],'All Skus'!$A:$AC,19,FALSE)),""))</f>
        <v>0</v>
      </c>
      <c r="P268" s="64">
        <f>(IF((VLOOKUP(Table1[[#This Row],[SKU]],'All Skus'!$A:$AC,2,FALSE))="AKG",(VLOOKUP(Table1[[#This Row],[SKU]],'All Skus'!$A:$AC,20,FALSE)),""))</f>
        <v>0</v>
      </c>
      <c r="Q268" s="64">
        <f>(IF((VLOOKUP(Table1[[#This Row],[SKU]],'All Skus'!$A:$AC,2,FALSE))="AKG",(VLOOKUP(Table1[[#This Row],[SKU]],'All Skus'!$A:$AC,21,FALSE)),""))</f>
        <v>0</v>
      </c>
      <c r="R268" s="64" t="str">
        <f>(IF((VLOOKUP(Table1[[#This Row],[SKU]],'All Skus'!$A:$AC,2,FALSE))="AKG",(VLOOKUP(Table1[[#This Row],[SKU]],'All Skus'!$A:$AC,22,FALSE)),""))</f>
        <v>CN</v>
      </c>
      <c r="S268" s="64">
        <f>(IF((VLOOKUP(Table1[[#This Row],[SKU]],'All Skus'!$A:$AC,2,FALSE))="AKG",(VLOOKUP(Table1[[#This Row],[SKU]],'All Skus'!$A:$AC,23,FALSE)),""))</f>
        <v>0</v>
      </c>
      <c r="T268" s="210" t="str">
        <f>HYPERLINK((IF((VLOOKUP(Table1[[#This Row],[SKU]],'All Skus'!$A:$AC,2,FALSE))="AKG",(VLOOKUP(Table1[[#This Row],[SKU]],'All Skus'!$A:$AC,24,FALSE)),"")))</f>
        <v>https://www.akg.com/Wireless/wireless-components/3381H00100.html</v>
      </c>
      <c r="U268" s="151">
        <v>266</v>
      </c>
    </row>
    <row r="269" spans="1:21" ht="15" hidden="1" customHeight="1">
      <c r="A269" s="50" t="s">
        <v>425</v>
      </c>
      <c r="B269" s="52" t="str">
        <f>(IF((VLOOKUP(Table1[[#This Row],[SKU]],'All Skus'!$A:$AC,2,FALSE))="AKG",(VLOOKUP(Table1[[#This Row],[SKU]],'All Skus'!$A:$AC,3,FALSE)), ""))</f>
        <v>Wireless Mics</v>
      </c>
      <c r="C269" s="60" t="str">
        <f>(IF((VLOOKUP(Table1[[#This Row],[SKU]],'All Skus'!$A:$AC,2,FALSE))="AKG",(VLOOKUP(Table1[[#This Row],[SKU]],'All Skus'!$A:$AC,4,FALSE)),""))</f>
        <v>DMS800 DSR800 BD1</v>
      </c>
      <c r="D269" s="60" t="str">
        <f>(IF((VLOOKUP(Table1[[#This Row],[SKU]],'All Skus'!$A:$AC,2,FALSE))="AKG",(VLOOKUP(Table1[[#This Row],[SKU]],'All Skus'!$A:$AC,5,FALSE)),""))</f>
        <v>DMS800</v>
      </c>
      <c r="E269" s="60">
        <f>(IF((VLOOKUP(Table1[[#This Row],[SKU]],'All Skus'!$A:$AC,2,FALSE))="AKG",(VLOOKUP(Table1[[#This Row],[SKU]],'All Skus'!$A:$AC,6,FALSE)),""))</f>
        <v>0</v>
      </c>
      <c r="F269" s="60">
        <f>(IF((VLOOKUP(Table1[[#This Row],[SKU]],'All Skus'!$A:$AC,2,FALSE))="AKG",(VLOOKUP(Table1[[#This Row],[SKU]],'All Skus'!$A:$AC,7,FALSE)),""))</f>
        <v>0</v>
      </c>
      <c r="G269" s="45" t="str">
        <f>(IF((VLOOKUP(Table1[[#This Row],[SKU]],'All Skus'!$A:$AC,2,FALSE))="AKG",(VLOOKUP(Table1[[#This Row],[SKU]],'All Skus'!$A:$AC,8,FALSE)),""))</f>
        <v>DMS800 DSR800 BD1</v>
      </c>
      <c r="H269" s="45" t="str">
        <f>(IF((VLOOKUP(Table1[[#This Row],[SKU]],'All Skus'!$A:$AC,2,FALSE))="AKG",(VLOOKUP(Table1[[#This Row],[SKU]],'All Skus'!$A:$AC,9,FALSE)),""))</f>
        <v>Wireless receiver</v>
      </c>
      <c r="I269" s="141">
        <f>(IF((VLOOKUP(Table1[[#This Row],[SKU]],'All Skus'!$A:$AC,2,FALSE))="AKG",(VLOOKUP(Table1[[#This Row],[SKU]],'All Skus'!$A:$AC,10,FALSE)),""))</f>
        <v>1889.47</v>
      </c>
      <c r="J269" s="141">
        <f>(IF((VLOOKUP(Table1[[#This Row],[SKU]],'All Skus'!$A:$AC,2,FALSE))="AKG",(VLOOKUP(Table1[[#This Row],[SKU]],'All Skus'!$A:$AC,11,FALSE)),""))</f>
        <v>1513</v>
      </c>
      <c r="K269" s="125">
        <f>(IF((VLOOKUP(Table1[[#This Row],[SKU]],'All Skus'!$A:$AC,2,FALSE))="AKG",(VLOOKUP(Table1[[#This Row],[SKU]],'All Skus'!$A:$AC,15,FALSE)),""))</f>
        <v>0</v>
      </c>
      <c r="L269" s="124">
        <f>(IF((VLOOKUP(Table1[[#This Row],[SKU]],'All Skus'!$A:$AC,2,FALSE))="AKG",(VLOOKUP(Table1[[#This Row],[SKU]],'All Skus'!$A:$AC,16,FALSE)),""))</f>
        <v>885038037217</v>
      </c>
      <c r="M269" s="124">
        <f>(IF((VLOOKUP(Table1[[#This Row],[SKU]],'All Skus'!$A:$AC,2,FALSE))="AKG",(VLOOKUP(Table1[[#This Row],[SKU]],'All Skus'!$A:$AC,17,FALSE)),""))</f>
        <v>0</v>
      </c>
      <c r="N269" s="64">
        <f>(IF((VLOOKUP(Table1[[#This Row],[SKU]],'All Skus'!$A:$AC,2,FALSE))="AKG",(VLOOKUP(Table1[[#This Row],[SKU]],'All Skus'!$A:$AC,18,FALSE)),""))</f>
        <v>0</v>
      </c>
      <c r="O269" s="64">
        <f>(IF((VLOOKUP(Table1[[#This Row],[SKU]],'All Skus'!$A:$AC,2,FALSE))="AKG",(VLOOKUP(Table1[[#This Row],[SKU]],'All Skus'!$A:$AC,19,FALSE)),""))</f>
        <v>0</v>
      </c>
      <c r="P269" s="64">
        <f>(IF((VLOOKUP(Table1[[#This Row],[SKU]],'All Skus'!$A:$AC,2,FALSE))="AKG",(VLOOKUP(Table1[[#This Row],[SKU]],'All Skus'!$A:$AC,20,FALSE)),""))</f>
        <v>0</v>
      </c>
      <c r="Q269" s="64">
        <f>(IF((VLOOKUP(Table1[[#This Row],[SKU]],'All Skus'!$A:$AC,2,FALSE))="AKG",(VLOOKUP(Table1[[#This Row],[SKU]],'All Skus'!$A:$AC,21,FALSE)),""))</f>
        <v>0</v>
      </c>
      <c r="R269" s="64" t="str">
        <f>(IF((VLOOKUP(Table1[[#This Row],[SKU]],'All Skus'!$A:$AC,2,FALSE))="AKG",(VLOOKUP(Table1[[#This Row],[SKU]],'All Skus'!$A:$AC,22,FALSE)),""))</f>
        <v>CN</v>
      </c>
      <c r="S269" s="64">
        <f>(IF((VLOOKUP(Table1[[#This Row],[SKU]],'All Skus'!$A:$AC,2,FALSE))="AKG",(VLOOKUP(Table1[[#This Row],[SKU]],'All Skus'!$A:$AC,23,FALSE)),""))</f>
        <v>0</v>
      </c>
      <c r="T269" s="210" t="str">
        <f>HYPERLINK((IF((VLOOKUP(Table1[[#This Row],[SKU]],'All Skus'!$A:$AC,2,FALSE))="AKG",(VLOOKUP(Table1[[#This Row],[SKU]],'All Skus'!$A:$AC,24,FALSE)),"")))</f>
        <v>https://www.akg.com/Wireless/wireless-components/3380H00100.html</v>
      </c>
      <c r="U269" s="151">
        <v>267</v>
      </c>
    </row>
    <row r="270" spans="1:21" ht="15" hidden="1" customHeight="1">
      <c r="A270" s="50" t="s">
        <v>426</v>
      </c>
      <c r="B270" s="52" t="str">
        <f>(IF((VLOOKUP(Table1[[#This Row],[SKU]],'All Skus'!$A:$AC,2,FALSE))="AKG",(VLOOKUP(Table1[[#This Row],[SKU]],'All Skus'!$A:$AC,3,FALSE)), ""))</f>
        <v>Wireless Mics</v>
      </c>
      <c r="C270" s="60" t="str">
        <f>(IF((VLOOKUP(Table1[[#This Row],[SKU]],'All Skus'!$A:$AC,2,FALSE))="AKG",(VLOOKUP(Table1[[#This Row],[SKU]],'All Skus'!$A:$AC,4,FALSE)),""))</f>
        <v>DMS800 D5 Vocal Set BD1</v>
      </c>
      <c r="D270" s="60" t="str">
        <f>(IF((VLOOKUP(Table1[[#This Row],[SKU]],'All Skus'!$A:$AC,2,FALSE))="AKG",(VLOOKUP(Table1[[#This Row],[SKU]],'All Skus'!$A:$AC,5,FALSE)),""))</f>
        <v>DMS800</v>
      </c>
      <c r="E270" s="60">
        <f>(IF((VLOOKUP(Table1[[#This Row],[SKU]],'All Skus'!$A:$AC,2,FALSE))="AKG",(VLOOKUP(Table1[[#This Row],[SKU]],'All Skus'!$A:$AC,6,FALSE)),""))</f>
        <v>0</v>
      </c>
      <c r="F270" s="60">
        <f>(IF((VLOOKUP(Table1[[#This Row],[SKU]],'All Skus'!$A:$AC,2,FALSE))="AKG",(VLOOKUP(Table1[[#This Row],[SKU]],'All Skus'!$A:$AC,7,FALSE)),""))</f>
        <v>0</v>
      </c>
      <c r="G270" s="45" t="str">
        <f>(IF((VLOOKUP(Table1[[#This Row],[SKU]],'All Skus'!$A:$AC,2,FALSE))="AKG",(VLOOKUP(Table1[[#This Row],[SKU]],'All Skus'!$A:$AC,8,FALSE)),""))</f>
        <v>DMS800 D5 Vocal Set BD1</v>
      </c>
      <c r="H270" s="45" t="str">
        <f>(IF((VLOOKUP(Table1[[#This Row],[SKU]],'All Skus'!$A:$AC,2,FALSE))="AKG",(VLOOKUP(Table1[[#This Row],[SKU]],'All Skus'!$A:$AC,9,FALSE)),""))</f>
        <v>D5 Vocal Set includes: 1x DSR800, 2x DHT800, 2x D5 WL1, 2x SA63, 4x AA size batteries</v>
      </c>
      <c r="I270" s="141">
        <f>(IF((VLOOKUP(Table1[[#This Row],[SKU]],'All Skus'!$A:$AC,2,FALSE))="AKG",(VLOOKUP(Table1[[#This Row],[SKU]],'All Skus'!$A:$AC,10,FALSE)),""))</f>
        <v>3654.16</v>
      </c>
      <c r="J270" s="141">
        <f>(IF((VLOOKUP(Table1[[#This Row],[SKU]],'All Skus'!$A:$AC,2,FALSE))="AKG",(VLOOKUP(Table1[[#This Row],[SKU]],'All Skus'!$A:$AC,11,FALSE)),""))</f>
        <v>2519</v>
      </c>
      <c r="K270" s="125">
        <f>(IF((VLOOKUP(Table1[[#This Row],[SKU]],'All Skus'!$A:$AC,2,FALSE))="AKG",(VLOOKUP(Table1[[#This Row],[SKU]],'All Skus'!$A:$AC,15,FALSE)),""))</f>
        <v>0</v>
      </c>
      <c r="L270" s="124">
        <f>(IF((VLOOKUP(Table1[[#This Row],[SKU]],'All Skus'!$A:$AC,2,FALSE))="AKG",(VLOOKUP(Table1[[#This Row],[SKU]],'All Skus'!$A:$AC,16,FALSE)),""))</f>
        <v>885038037170</v>
      </c>
      <c r="M270" s="124">
        <f>(IF((VLOOKUP(Table1[[#This Row],[SKU]],'All Skus'!$A:$AC,2,FALSE))="AKG",(VLOOKUP(Table1[[#This Row],[SKU]],'All Skus'!$A:$AC,17,FALSE)),""))</f>
        <v>0</v>
      </c>
      <c r="N270" s="64">
        <f>(IF((VLOOKUP(Table1[[#This Row],[SKU]],'All Skus'!$A:$AC,2,FALSE))="AKG",(VLOOKUP(Table1[[#This Row],[SKU]],'All Skus'!$A:$AC,18,FALSE)),""))</f>
        <v>0</v>
      </c>
      <c r="O270" s="64">
        <f>(IF((VLOOKUP(Table1[[#This Row],[SKU]],'All Skus'!$A:$AC,2,FALSE))="AKG",(VLOOKUP(Table1[[#This Row],[SKU]],'All Skus'!$A:$AC,19,FALSE)),""))</f>
        <v>0</v>
      </c>
      <c r="P270" s="64">
        <f>(IF((VLOOKUP(Table1[[#This Row],[SKU]],'All Skus'!$A:$AC,2,FALSE))="AKG",(VLOOKUP(Table1[[#This Row],[SKU]],'All Skus'!$A:$AC,20,FALSE)),""))</f>
        <v>0</v>
      </c>
      <c r="Q270" s="64">
        <f>(IF((VLOOKUP(Table1[[#This Row],[SKU]],'All Skus'!$A:$AC,2,FALSE))="AKG",(VLOOKUP(Table1[[#This Row],[SKU]],'All Skus'!$A:$AC,21,FALSE)),""))</f>
        <v>0</v>
      </c>
      <c r="R270" s="64" t="str">
        <f>(IF((VLOOKUP(Table1[[#This Row],[SKU]],'All Skus'!$A:$AC,2,FALSE))="AKG",(VLOOKUP(Table1[[#This Row],[SKU]],'All Skus'!$A:$AC,22,FALSE)),""))</f>
        <v>CN</v>
      </c>
      <c r="S270" s="64">
        <f>(IF((VLOOKUP(Table1[[#This Row],[SKU]],'All Skus'!$A:$AC,2,FALSE))="AKG",(VLOOKUP(Table1[[#This Row],[SKU]],'All Skus'!$A:$AC,23,FALSE)),""))</f>
        <v>0</v>
      </c>
      <c r="T270" s="210" t="str">
        <f>HYPERLINK((IF((VLOOKUP(Table1[[#This Row],[SKU]],'All Skus'!$A:$AC,2,FALSE))="AKG",(VLOOKUP(Table1[[#This Row],[SKU]],'All Skus'!$A:$AC,24,FALSE)),"")))</f>
        <v>https://www.akg.com/Wireless/wireless-components/3383H00010.html</v>
      </c>
      <c r="U270" s="151">
        <v>268</v>
      </c>
    </row>
    <row r="271" spans="1:21" ht="15" hidden="1" customHeight="1">
      <c r="A271" s="50" t="s">
        <v>427</v>
      </c>
      <c r="B271" s="52" t="str">
        <f>(IF((VLOOKUP(Table1[[#This Row],[SKU]],'All Skus'!$A:$AC,2,FALSE))="AKG",(VLOOKUP(Table1[[#This Row],[SKU]],'All Skus'!$A:$AC,3,FALSE)), ""))</f>
        <v>Wireless Mics</v>
      </c>
      <c r="C271" s="60" t="str">
        <f>(IF((VLOOKUP(Table1[[#This Row],[SKU]],'All Skus'!$A:$AC,2,FALSE))="AKG",(VLOOKUP(Table1[[#This Row],[SKU]],'All Skus'!$A:$AC,4,FALSE)),""))</f>
        <v>DMS800 D7 Vocal Set BD1</v>
      </c>
      <c r="D271" s="60" t="str">
        <f>(IF((VLOOKUP(Table1[[#This Row],[SKU]],'All Skus'!$A:$AC,2,FALSE))="AKG",(VLOOKUP(Table1[[#This Row],[SKU]],'All Skus'!$A:$AC,5,FALSE)),""))</f>
        <v>DMS800</v>
      </c>
      <c r="E271" s="60">
        <f>(IF((VLOOKUP(Table1[[#This Row],[SKU]],'All Skus'!$A:$AC,2,FALSE))="AKG",(VLOOKUP(Table1[[#This Row],[SKU]],'All Skus'!$A:$AC,6,FALSE)),""))</f>
        <v>0</v>
      </c>
      <c r="F271" s="60">
        <f>(IF((VLOOKUP(Table1[[#This Row],[SKU]],'All Skus'!$A:$AC,2,FALSE))="AKG",(VLOOKUP(Table1[[#This Row],[SKU]],'All Skus'!$A:$AC,7,FALSE)),""))</f>
        <v>0</v>
      </c>
      <c r="G271" s="45" t="str">
        <f>(IF((VLOOKUP(Table1[[#This Row],[SKU]],'All Skus'!$A:$AC,2,FALSE))="AKG",(VLOOKUP(Table1[[#This Row],[SKU]],'All Skus'!$A:$AC,8,FALSE)),""))</f>
        <v>DMS800 D7 Vocal Set BD1</v>
      </c>
      <c r="H271" s="45" t="str">
        <f>(IF((VLOOKUP(Table1[[#This Row],[SKU]],'All Skus'!$A:$AC,2,FALSE))="AKG",(VLOOKUP(Table1[[#This Row],[SKU]],'All Skus'!$A:$AC,9,FALSE)),""))</f>
        <v>D7 Vocal Set includes: 1x DSR800, 2x DHT800, 2x D7 WL1, 2x SA63, 4x AA size batteries</v>
      </c>
      <c r="I271" s="141">
        <f>(IF((VLOOKUP(Table1[[#This Row],[SKU]],'All Skus'!$A:$AC,2,FALSE))="AKG",(VLOOKUP(Table1[[#This Row],[SKU]],'All Skus'!$A:$AC,10,FALSE)),""))</f>
        <v>3780.2</v>
      </c>
      <c r="J271" s="141">
        <f>(IF((VLOOKUP(Table1[[#This Row],[SKU]],'All Skus'!$A:$AC,2,FALSE))="AKG",(VLOOKUP(Table1[[#This Row],[SKU]],'All Skus'!$A:$AC,11,FALSE)),""))</f>
        <v>2611</v>
      </c>
      <c r="K271" s="125">
        <f>(IF((VLOOKUP(Table1[[#This Row],[SKU]],'All Skus'!$A:$AC,2,FALSE))="AKG",(VLOOKUP(Table1[[#This Row],[SKU]],'All Skus'!$A:$AC,15,FALSE)),""))</f>
        <v>0</v>
      </c>
      <c r="L271" s="124">
        <f>(IF((VLOOKUP(Table1[[#This Row],[SKU]],'All Skus'!$A:$AC,2,FALSE))="AKG",(VLOOKUP(Table1[[#This Row],[SKU]],'All Skus'!$A:$AC,16,FALSE)),""))</f>
        <v>885038037187</v>
      </c>
      <c r="M271" s="124">
        <f>(IF((VLOOKUP(Table1[[#This Row],[SKU]],'All Skus'!$A:$AC,2,FALSE))="AKG",(VLOOKUP(Table1[[#This Row],[SKU]],'All Skus'!$A:$AC,17,FALSE)),""))</f>
        <v>0</v>
      </c>
      <c r="N271" s="64">
        <f>(IF((VLOOKUP(Table1[[#This Row],[SKU]],'All Skus'!$A:$AC,2,FALSE))="AKG",(VLOOKUP(Table1[[#This Row],[SKU]],'All Skus'!$A:$AC,18,FALSE)),""))</f>
        <v>0</v>
      </c>
      <c r="O271" s="64">
        <f>(IF((VLOOKUP(Table1[[#This Row],[SKU]],'All Skus'!$A:$AC,2,FALSE))="AKG",(VLOOKUP(Table1[[#This Row],[SKU]],'All Skus'!$A:$AC,19,FALSE)),""))</f>
        <v>0</v>
      </c>
      <c r="P271" s="64">
        <f>(IF((VLOOKUP(Table1[[#This Row],[SKU]],'All Skus'!$A:$AC,2,FALSE))="AKG",(VLOOKUP(Table1[[#This Row],[SKU]],'All Skus'!$A:$AC,20,FALSE)),""))</f>
        <v>0</v>
      </c>
      <c r="Q271" s="64">
        <f>(IF((VLOOKUP(Table1[[#This Row],[SKU]],'All Skus'!$A:$AC,2,FALSE))="AKG",(VLOOKUP(Table1[[#This Row],[SKU]],'All Skus'!$A:$AC,21,FALSE)),""))</f>
        <v>0</v>
      </c>
      <c r="R271" s="64" t="str">
        <f>(IF((VLOOKUP(Table1[[#This Row],[SKU]],'All Skus'!$A:$AC,2,FALSE))="AKG",(VLOOKUP(Table1[[#This Row],[SKU]],'All Skus'!$A:$AC,22,FALSE)),""))</f>
        <v>CN</v>
      </c>
      <c r="S271" s="64">
        <f>(IF((VLOOKUP(Table1[[#This Row],[SKU]],'All Skus'!$A:$AC,2,FALSE))="AKG",(VLOOKUP(Table1[[#This Row],[SKU]],'All Skus'!$A:$AC,23,FALSE)),""))</f>
        <v>0</v>
      </c>
      <c r="T271" s="210" t="str">
        <f>HYPERLINK((IF((VLOOKUP(Table1[[#This Row],[SKU]],'All Skus'!$A:$AC,2,FALSE))="AKG",(VLOOKUP(Table1[[#This Row],[SKU]],'All Skus'!$A:$AC,24,FALSE)),"")))</f>
        <v>https://www.akg.com/Wireless/wireless-components/3383H00110.html</v>
      </c>
      <c r="U271" s="151">
        <v>269</v>
      </c>
    </row>
    <row r="272" spans="1:21" ht="15" hidden="1" customHeight="1">
      <c r="A272" s="50" t="s">
        <v>428</v>
      </c>
      <c r="B272" s="52" t="str">
        <f>(IF((VLOOKUP(Table1[[#This Row],[SKU]],'All Skus'!$A:$AC,2,FALSE))="AKG",(VLOOKUP(Table1[[#This Row],[SKU]],'All Skus'!$A:$AC,3,FALSE)), ""))</f>
        <v>Installed</v>
      </c>
      <c r="C272" s="60" t="str">
        <f>(IF((VLOOKUP(Table1[[#This Row],[SKU]],'All Skus'!$A:$AC,2,FALSE))="AKG",(VLOOKUP(Table1[[#This Row],[SKU]],'All Skus'!$A:$AC,4,FALSE)),""))</f>
        <v>WM82 black wiremesh 5 pack</v>
      </c>
      <c r="D272" s="60" t="str">
        <f>(IF((VLOOKUP(Table1[[#This Row],[SKU]],'All Skus'!$A:$AC,2,FALSE))="AKG",(VLOOKUP(Table1[[#This Row],[SKU]],'All Skus'!$A:$AC,5,FALSE)),""))</f>
        <v>AT510000</v>
      </c>
      <c r="E272" s="60">
        <f>(IF((VLOOKUP(Table1[[#This Row],[SKU]],'All Skus'!$A:$AC,2,FALSE))="AKG",(VLOOKUP(Table1[[#This Row],[SKU]],'All Skus'!$A:$AC,6,FALSE)),""))</f>
        <v>0</v>
      </c>
      <c r="F272" s="60">
        <f>(IF((VLOOKUP(Table1[[#This Row],[SKU]],'All Skus'!$A:$AC,2,FALSE))="AKG",(VLOOKUP(Table1[[#This Row],[SKU]],'All Skus'!$A:$AC,7,FALSE)),""))</f>
        <v>0</v>
      </c>
      <c r="G272" s="45" t="str">
        <f>(IF((VLOOKUP(Table1[[#This Row],[SKU]],'All Skus'!$A:$AC,2,FALSE))="AKG",(VLOOKUP(Table1[[#This Row],[SKU]],'All Skus'!$A:$AC,8,FALSE)),""))</f>
        <v>Microlite Accessories</v>
      </c>
      <c r="H272" s="45" t="str">
        <f>(IF((VLOOKUP(Table1[[#This Row],[SKU]],'All Skus'!$A:$AC,2,FALSE))="AKG",(VLOOKUP(Table1[[#This Row],[SKU]],'All Skus'!$A:$AC,9,FALSE)),""))</f>
        <v>wiremesh cap 5 pack</v>
      </c>
      <c r="I272" s="141">
        <f>(IF((VLOOKUP(Table1[[#This Row],[SKU]],'All Skus'!$A:$AC,2,FALSE))="AKG",(VLOOKUP(Table1[[#This Row],[SKU]],'All Skus'!$A:$AC,10,FALSE)),""))</f>
        <v>60.59</v>
      </c>
      <c r="J272" s="141">
        <f>(IF((VLOOKUP(Table1[[#This Row],[SKU]],'All Skus'!$A:$AC,2,FALSE))="AKG",(VLOOKUP(Table1[[#This Row],[SKU]],'All Skus'!$A:$AC,11,FALSE)),""))</f>
        <v>47</v>
      </c>
      <c r="K272" s="125">
        <f>(IF((VLOOKUP(Table1[[#This Row],[SKU]],'All Skus'!$A:$AC,2,FALSE))="AKG",(VLOOKUP(Table1[[#This Row],[SKU]],'All Skus'!$A:$AC,15,FALSE)),""))</f>
        <v>0</v>
      </c>
      <c r="L272" s="124">
        <f>(IF((VLOOKUP(Table1[[#This Row],[SKU]],'All Skus'!$A:$AC,2,FALSE))="AKG",(VLOOKUP(Table1[[#This Row],[SKU]],'All Skus'!$A:$AC,16,FALSE)),""))</f>
        <v>885038039266</v>
      </c>
      <c r="M272" s="124">
        <f>(IF((VLOOKUP(Table1[[#This Row],[SKU]],'All Skus'!$A:$AC,2,FALSE))="AKG",(VLOOKUP(Table1[[#This Row],[SKU]],'All Skus'!$A:$AC,17,FALSE)),""))</f>
        <v>9002761039269</v>
      </c>
      <c r="N272" s="64">
        <f>(IF((VLOOKUP(Table1[[#This Row],[SKU]],'All Skus'!$A:$AC,2,FALSE))="AKG",(VLOOKUP(Table1[[#This Row],[SKU]],'All Skus'!$A:$AC,18,FALSE)),""))</f>
        <v>1</v>
      </c>
      <c r="O272" s="64">
        <f>(IF((VLOOKUP(Table1[[#This Row],[SKU]],'All Skus'!$A:$AC,2,FALSE))="AKG",(VLOOKUP(Table1[[#This Row],[SKU]],'All Skus'!$A:$AC,19,FALSE)),""))</f>
        <v>4.25</v>
      </c>
      <c r="P272" s="64">
        <f>(IF((VLOOKUP(Table1[[#This Row],[SKU]],'All Skus'!$A:$AC,2,FALSE))="AKG",(VLOOKUP(Table1[[#This Row],[SKU]],'All Skus'!$A:$AC,20,FALSE)),""))</f>
        <v>2.5</v>
      </c>
      <c r="Q272" s="64" t="str">
        <f>(IF((VLOOKUP(Table1[[#This Row],[SKU]],'All Skus'!$A:$AC,2,FALSE))="AKG",(VLOOKUP(Table1[[#This Row],[SKU]],'All Skus'!$A:$AC,21,FALSE)),""))</f>
        <v>n/a</v>
      </c>
      <c r="R272" s="64" t="str">
        <f>(IF((VLOOKUP(Table1[[#This Row],[SKU]],'All Skus'!$A:$AC,2,FALSE))="AKG",(VLOOKUP(Table1[[#This Row],[SKU]],'All Skus'!$A:$AC,22,FALSE)),""))</f>
        <v>TW</v>
      </c>
      <c r="S272" s="64" t="str">
        <f>(IF((VLOOKUP(Table1[[#This Row],[SKU]],'All Skus'!$A:$AC,2,FALSE))="AKG",(VLOOKUP(Table1[[#This Row],[SKU]],'All Skus'!$A:$AC,23,FALSE)),""))</f>
        <v>Compliant</v>
      </c>
      <c r="T272" s="210" t="str">
        <f>HYPERLINK((IF((VLOOKUP(Table1[[#This Row],[SKU]],'All Skus'!$A:$AC,2,FALSE))="AKG",(VLOOKUP(Table1[[#This Row],[SKU]],'All Skus'!$A:$AC,24,FALSE)),"")))</f>
        <v>https://www.akg.com/support-product-detail.html#prod=WM82group</v>
      </c>
      <c r="U272" s="151">
        <v>270</v>
      </c>
    </row>
    <row r="273" spans="1:21" ht="15" hidden="1" customHeight="1">
      <c r="A273" s="50" t="s">
        <v>429</v>
      </c>
      <c r="B273" s="52" t="str">
        <f>(IF((VLOOKUP(Table1[[#This Row],[SKU]],'All Skus'!$A:$AC,2,FALSE))="AKG",(VLOOKUP(Table1[[#This Row],[SKU]],'All Skus'!$A:$AC,3,FALSE)), ""))</f>
        <v>Wireless Mics</v>
      </c>
      <c r="C273" s="60" t="str">
        <f>(IF((VLOOKUP(Table1[[#This Row],[SKU]],'All Skus'!$A:$AC,2,FALSE))="AKG",(VLOOKUP(Table1[[#This Row],[SKU]],'All Skus'!$A:$AC,4,FALSE)),""))</f>
        <v>DMS800 Performer Set BD1</v>
      </c>
      <c r="D273" s="60" t="str">
        <f>(IF((VLOOKUP(Table1[[#This Row],[SKU]],'All Skus'!$A:$AC,2,FALSE))="AKG",(VLOOKUP(Table1[[#This Row],[SKU]],'All Skus'!$A:$AC,5,FALSE)),""))</f>
        <v>DMS800</v>
      </c>
      <c r="E273" s="60">
        <f>(IF((VLOOKUP(Table1[[#This Row],[SKU]],'All Skus'!$A:$AC,2,FALSE))="AKG",(VLOOKUP(Table1[[#This Row],[SKU]],'All Skus'!$A:$AC,6,FALSE)),""))</f>
        <v>0</v>
      </c>
      <c r="F273" s="60">
        <f>(IF((VLOOKUP(Table1[[#This Row],[SKU]],'All Skus'!$A:$AC,2,FALSE))="AKG",(VLOOKUP(Table1[[#This Row],[SKU]],'All Skus'!$A:$AC,7,FALSE)),""))</f>
        <v>0</v>
      </c>
      <c r="G273" s="45" t="str">
        <f>(IF((VLOOKUP(Table1[[#This Row],[SKU]],'All Skus'!$A:$AC,2,FALSE))="AKG",(VLOOKUP(Table1[[#This Row],[SKU]],'All Skus'!$A:$AC,8,FALSE)),""))</f>
        <v>DMS800 Performer Set BD1</v>
      </c>
      <c r="H273" s="45" t="str">
        <f>(IF((VLOOKUP(Table1[[#This Row],[SKU]],'All Skus'!$A:$AC,2,FALSE))="AKG",(VLOOKUP(Table1[[#This Row],[SKU]],'All Skus'!$A:$AC,9,FALSE)),""))</f>
        <v>Performer Set includes: 1x DSR800, 2x DPT800, 2x C11 LP, 2x MKGL, 4x AA size batteries</v>
      </c>
      <c r="I273" s="141">
        <f>(IF((VLOOKUP(Table1[[#This Row],[SKU]],'All Skus'!$A:$AC,2,FALSE))="AKG",(VLOOKUP(Table1[[#This Row],[SKU]],'All Skus'!$A:$AC,10,FALSE)),""))</f>
        <v>3120.01</v>
      </c>
      <c r="J273" s="141">
        <f>(IF((VLOOKUP(Table1[[#This Row],[SKU]],'All Skus'!$A:$AC,2,FALSE))="AKG",(VLOOKUP(Table1[[#This Row],[SKU]],'All Skus'!$A:$AC,11,FALSE)),""))</f>
        <v>2389</v>
      </c>
      <c r="K273" s="125">
        <f>(IF((VLOOKUP(Table1[[#This Row],[SKU]],'All Skus'!$A:$AC,2,FALSE))="AKG",(VLOOKUP(Table1[[#This Row],[SKU]],'All Skus'!$A:$AC,15,FALSE)),""))</f>
        <v>0</v>
      </c>
      <c r="L273" s="124">
        <f>(IF((VLOOKUP(Table1[[#This Row],[SKU]],'All Skus'!$A:$AC,2,FALSE))="AKG",(VLOOKUP(Table1[[#This Row],[SKU]],'All Skus'!$A:$AC,16,FALSE)),""))</f>
        <v>885038037200</v>
      </c>
      <c r="M273" s="124">
        <f>(IF((VLOOKUP(Table1[[#This Row],[SKU]],'All Skus'!$A:$AC,2,FALSE))="AKG",(VLOOKUP(Table1[[#This Row],[SKU]],'All Skus'!$A:$AC,17,FALSE)),""))</f>
        <v>0</v>
      </c>
      <c r="N273" s="64">
        <f>(IF((VLOOKUP(Table1[[#This Row],[SKU]],'All Skus'!$A:$AC,2,FALSE))="AKG",(VLOOKUP(Table1[[#This Row],[SKU]],'All Skus'!$A:$AC,18,FALSE)),""))</f>
        <v>0</v>
      </c>
      <c r="O273" s="64">
        <f>(IF((VLOOKUP(Table1[[#This Row],[SKU]],'All Skus'!$A:$AC,2,FALSE))="AKG",(VLOOKUP(Table1[[#This Row],[SKU]],'All Skus'!$A:$AC,19,FALSE)),""))</f>
        <v>0</v>
      </c>
      <c r="P273" s="64">
        <f>(IF((VLOOKUP(Table1[[#This Row],[SKU]],'All Skus'!$A:$AC,2,FALSE))="AKG",(VLOOKUP(Table1[[#This Row],[SKU]],'All Skus'!$A:$AC,20,FALSE)),""))</f>
        <v>0</v>
      </c>
      <c r="Q273" s="64">
        <f>(IF((VLOOKUP(Table1[[#This Row],[SKU]],'All Skus'!$A:$AC,2,FALSE))="AKG",(VLOOKUP(Table1[[#This Row],[SKU]],'All Skus'!$A:$AC,21,FALSE)),""))</f>
        <v>0</v>
      </c>
      <c r="R273" s="64" t="str">
        <f>(IF((VLOOKUP(Table1[[#This Row],[SKU]],'All Skus'!$A:$AC,2,FALSE))="AKG",(VLOOKUP(Table1[[#This Row],[SKU]],'All Skus'!$A:$AC,22,FALSE)),""))</f>
        <v>CN</v>
      </c>
      <c r="S273" s="64">
        <f>(IF((VLOOKUP(Table1[[#This Row],[SKU]],'All Skus'!$A:$AC,2,FALSE))="AKG",(VLOOKUP(Table1[[#This Row],[SKU]],'All Skus'!$A:$AC,23,FALSE)),""))</f>
        <v>0</v>
      </c>
      <c r="T273" s="210" t="str">
        <f>HYPERLINK((IF((VLOOKUP(Table1[[#This Row],[SKU]],'All Skus'!$A:$AC,2,FALSE))="AKG",(VLOOKUP(Table1[[#This Row],[SKU]],'All Skus'!$A:$AC,24,FALSE)),"")))</f>
        <v>https://www.akg.com/Wireless/wireless-components/3383H00310.html</v>
      </c>
      <c r="U273" s="151">
        <v>271</v>
      </c>
    </row>
    <row r="274" spans="1:21" ht="15" hidden="1" customHeight="1">
      <c r="A274" s="126" t="s">
        <v>430</v>
      </c>
      <c r="B274" s="52">
        <f>(IF((VLOOKUP(Table1[[#This Row],[SKU]],'All Skus'!$A:$AC,2,FALSE))="AKG",(VLOOKUP(Table1[[#This Row],[SKU]],'All Skus'!$A:$AC,3,FALSE)), ""))</f>
        <v>0</v>
      </c>
      <c r="C274" s="60">
        <f>(IF((VLOOKUP(Table1[[#This Row],[SKU]],'All Skus'!$A:$AC,2,FALSE))="AKG",(VLOOKUP(Table1[[#This Row],[SKU]],'All Skus'!$A:$AC,4,FALSE)),""))</f>
        <v>0</v>
      </c>
      <c r="D274" s="60">
        <f>(IF((VLOOKUP(Table1[[#This Row],[SKU]],'All Skus'!$A:$AC,2,FALSE))="AKG",(VLOOKUP(Table1[[#This Row],[SKU]],'All Skus'!$A:$AC,5,FALSE)),""))</f>
        <v>0</v>
      </c>
      <c r="E274" s="60">
        <f>(IF((VLOOKUP(Table1[[#This Row],[SKU]],'All Skus'!$A:$AC,2,FALSE))="AKG",(VLOOKUP(Table1[[#This Row],[SKU]],'All Skus'!$A:$AC,6,FALSE)),""))</f>
        <v>0</v>
      </c>
      <c r="F274" s="60">
        <f>(IF((VLOOKUP(Table1[[#This Row],[SKU]],'All Skus'!$A:$AC,2,FALSE))="AKG",(VLOOKUP(Table1[[#This Row],[SKU]],'All Skus'!$A:$AC,7,FALSE)),""))</f>
        <v>0</v>
      </c>
      <c r="G274" s="45">
        <f>(IF((VLOOKUP(Table1[[#This Row],[SKU]],'All Skus'!$A:$AC,2,FALSE))="AKG",(VLOOKUP(Table1[[#This Row],[SKU]],'All Skus'!$A:$AC,8,FALSE)),""))</f>
        <v>0</v>
      </c>
      <c r="H274" s="45">
        <f>(IF((VLOOKUP(Table1[[#This Row],[SKU]],'All Skus'!$A:$AC,2,FALSE))="AKG",(VLOOKUP(Table1[[#This Row],[SKU]],'All Skus'!$A:$AC,9,FALSE)),""))</f>
        <v>0</v>
      </c>
      <c r="I274" s="141">
        <f>(IF((VLOOKUP(Table1[[#This Row],[SKU]],'All Skus'!$A:$AC,2,FALSE))="AKG",(VLOOKUP(Table1[[#This Row],[SKU]],'All Skus'!$A:$AC,10,FALSE)),""))</f>
        <v>0</v>
      </c>
      <c r="J274" s="141">
        <f>(IF((VLOOKUP(Table1[[#This Row],[SKU]],'All Skus'!$A:$AC,2,FALSE))="AKG",(VLOOKUP(Table1[[#This Row],[SKU]],'All Skus'!$A:$AC,11,FALSE)),""))</f>
        <v>0</v>
      </c>
      <c r="K274" s="125">
        <f>(IF((VLOOKUP(Table1[[#This Row],[SKU]],'All Skus'!$A:$AC,2,FALSE))="AKG",(VLOOKUP(Table1[[#This Row],[SKU]],'All Skus'!$A:$AC,15,FALSE)),""))</f>
        <v>0</v>
      </c>
      <c r="L274" s="124">
        <f>(IF((VLOOKUP(Table1[[#This Row],[SKU]],'All Skus'!$A:$AC,2,FALSE))="AKG",(VLOOKUP(Table1[[#This Row],[SKU]],'All Skus'!$A:$AC,16,FALSE)),""))</f>
        <v>0</v>
      </c>
      <c r="M274" s="124">
        <f>(IF((VLOOKUP(Table1[[#This Row],[SKU]],'All Skus'!$A:$AC,2,FALSE))="AKG",(VLOOKUP(Table1[[#This Row],[SKU]],'All Skus'!$A:$AC,17,FALSE)),""))</f>
        <v>0</v>
      </c>
      <c r="N274" s="64">
        <f>(IF((VLOOKUP(Table1[[#This Row],[SKU]],'All Skus'!$A:$AC,2,FALSE))="AKG",(VLOOKUP(Table1[[#This Row],[SKU]],'All Skus'!$A:$AC,18,FALSE)),""))</f>
        <v>0</v>
      </c>
      <c r="O274" s="64">
        <f>(IF((VLOOKUP(Table1[[#This Row],[SKU]],'All Skus'!$A:$AC,2,FALSE))="AKG",(VLOOKUP(Table1[[#This Row],[SKU]],'All Skus'!$A:$AC,19,FALSE)),""))</f>
        <v>0</v>
      </c>
      <c r="P274" s="64">
        <f>(IF((VLOOKUP(Table1[[#This Row],[SKU]],'All Skus'!$A:$AC,2,FALSE))="AKG",(VLOOKUP(Table1[[#This Row],[SKU]],'All Skus'!$A:$AC,20,FALSE)),""))</f>
        <v>0</v>
      </c>
      <c r="Q274" s="64">
        <f>(IF((VLOOKUP(Table1[[#This Row],[SKU]],'All Skus'!$A:$AC,2,FALSE))="AKG",(VLOOKUP(Table1[[#This Row],[SKU]],'All Skus'!$A:$AC,21,FALSE)),""))</f>
        <v>0</v>
      </c>
      <c r="R274" s="64">
        <f>(IF((VLOOKUP(Table1[[#This Row],[SKU]],'All Skus'!$A:$AC,2,FALSE))="AKG",(VLOOKUP(Table1[[#This Row],[SKU]],'All Skus'!$A:$AC,22,FALSE)),""))</f>
        <v>0</v>
      </c>
      <c r="S274" s="64">
        <f>(IF((VLOOKUP(Table1[[#This Row],[SKU]],'All Skus'!$A:$AC,2,FALSE))="AKG",(VLOOKUP(Table1[[#This Row],[SKU]],'All Skus'!$A:$AC,23,FALSE)),""))</f>
        <v>0</v>
      </c>
      <c r="T274" s="210" t="str">
        <f>HYPERLINK((IF((VLOOKUP(Table1[[#This Row],[SKU]],'All Skus'!$A:$AC,2,FALSE))="AKG",(VLOOKUP(Table1[[#This Row],[SKU]],'All Skus'!$A:$AC,24,FALSE)),"")))</f>
        <v/>
      </c>
      <c r="U274" s="151">
        <v>272</v>
      </c>
    </row>
    <row r="275" spans="1:21" ht="15" hidden="1" customHeight="1">
      <c r="A275" s="50" t="s">
        <v>431</v>
      </c>
      <c r="B275" s="52" t="str">
        <f>(IF((VLOOKUP(Table1[[#This Row],[SKU]],'All Skus'!$A:$AC,2,FALSE))="AKG",(VLOOKUP(Table1[[#This Row],[SKU]],'All Skus'!$A:$AC,3,FALSE)), ""))</f>
        <v>Wireless Mics</v>
      </c>
      <c r="C275" s="60" t="str">
        <f>(IF((VLOOKUP(Table1[[#This Row],[SKU]],'All Skus'!$A:$AC,2,FALSE))="AKG",(VLOOKUP(Table1[[#This Row],[SKU]],'All Skus'!$A:$AC,4,FALSE)),""))</f>
        <v>DPT TETRAD NON-EU</v>
      </c>
      <c r="D275" s="60" t="str">
        <f>(IF((VLOOKUP(Table1[[#This Row],[SKU]],'All Skus'!$A:$AC,2,FALSE))="AKG",(VLOOKUP(Table1[[#This Row],[SKU]],'All Skus'!$A:$AC,5,FALSE)),""))</f>
        <v>AT650000</v>
      </c>
      <c r="E275" s="60">
        <f>(IF((VLOOKUP(Table1[[#This Row],[SKU]],'All Skus'!$A:$AC,2,FALSE))="AKG",(VLOOKUP(Table1[[#This Row],[SKU]],'All Skus'!$A:$AC,6,FALSE)),""))</f>
        <v>0</v>
      </c>
      <c r="F275" s="60">
        <f>(IF((VLOOKUP(Table1[[#This Row],[SKU]],'All Skus'!$A:$AC,2,FALSE))="AKG",(VLOOKUP(Table1[[#This Row],[SKU]],'All Skus'!$A:$AC,7,FALSE)),""))</f>
        <v>0</v>
      </c>
      <c r="G275" s="45" t="str">
        <f>(IF((VLOOKUP(Table1[[#This Row],[SKU]],'All Skus'!$A:$AC,2,FALSE))="AKG",(VLOOKUP(Table1[[#This Row],[SKU]],'All Skus'!$A:$AC,8,FALSE)),""))</f>
        <v>Digital Microphone System Tetrad</v>
      </c>
      <c r="H275" s="45" t="str">
        <f>(IF((VLOOKUP(Table1[[#This Row],[SKU]],'All Skus'!$A:$AC,2,FALSE))="AKG",(VLOOKUP(Table1[[#This Row],[SKU]],'All Skus'!$A:$AC,9,FALSE)),""))</f>
        <v>Pocket transmitter</v>
      </c>
      <c r="I275" s="141">
        <f>(IF((VLOOKUP(Table1[[#This Row],[SKU]],'All Skus'!$A:$AC,2,FALSE))="AKG",(VLOOKUP(Table1[[#This Row],[SKU]],'All Skus'!$A:$AC,10,FALSE)),""))</f>
        <v>370.94</v>
      </c>
      <c r="J275" s="141">
        <f>(IF((VLOOKUP(Table1[[#This Row],[SKU]],'All Skus'!$A:$AC,2,FALSE))="AKG",(VLOOKUP(Table1[[#This Row],[SKU]],'All Skus'!$A:$AC,11,FALSE)),""))</f>
        <v>329</v>
      </c>
      <c r="K275" s="125">
        <f>(IF((VLOOKUP(Table1[[#This Row],[SKU]],'All Skus'!$A:$AC,2,FALSE))="AKG",(VLOOKUP(Table1[[#This Row],[SKU]],'All Skus'!$A:$AC,15,FALSE)),""))</f>
        <v>0</v>
      </c>
      <c r="L275" s="124">
        <f>(IF((VLOOKUP(Table1[[#This Row],[SKU]],'All Skus'!$A:$AC,2,FALSE))="AKG",(VLOOKUP(Table1[[#This Row],[SKU]],'All Skus'!$A:$AC,16,FALSE)),""))</f>
        <v>885038038658</v>
      </c>
      <c r="M275" s="124">
        <f>(IF((VLOOKUP(Table1[[#This Row],[SKU]],'All Skus'!$A:$AC,2,FALSE))="AKG",(VLOOKUP(Table1[[#This Row],[SKU]],'All Skus'!$A:$AC,17,FALSE)),""))</f>
        <v>9002761038651</v>
      </c>
      <c r="N275" s="64">
        <f>(IF((VLOOKUP(Table1[[#This Row],[SKU]],'All Skus'!$A:$AC,2,FALSE))="AKG",(VLOOKUP(Table1[[#This Row],[SKU]],'All Skus'!$A:$AC,18,FALSE)),""))</f>
        <v>15</v>
      </c>
      <c r="O275" s="64">
        <f>(IF((VLOOKUP(Table1[[#This Row],[SKU]],'All Skus'!$A:$AC,2,FALSE))="AKG",(VLOOKUP(Table1[[#This Row],[SKU]],'All Skus'!$A:$AC,19,FALSE)),""))</f>
        <v>21</v>
      </c>
      <c r="P275" s="64">
        <f>(IF((VLOOKUP(Table1[[#This Row],[SKU]],'All Skus'!$A:$AC,2,FALSE))="AKG",(VLOOKUP(Table1[[#This Row],[SKU]],'All Skus'!$A:$AC,20,FALSE)),""))</f>
        <v>3</v>
      </c>
      <c r="Q275" s="64">
        <f>(IF((VLOOKUP(Table1[[#This Row],[SKU]],'All Skus'!$A:$AC,2,FALSE))="AKG",(VLOOKUP(Table1[[#This Row],[SKU]],'All Skus'!$A:$AC,21,FALSE)),""))</f>
        <v>2.4</v>
      </c>
      <c r="R275" s="64" t="str">
        <f>(IF((VLOOKUP(Table1[[#This Row],[SKU]],'All Skus'!$A:$AC,2,FALSE))="AKG",(VLOOKUP(Table1[[#This Row],[SKU]],'All Skus'!$A:$AC,22,FALSE)),""))</f>
        <v>CN</v>
      </c>
      <c r="S275" s="64" t="str">
        <f>(IF((VLOOKUP(Table1[[#This Row],[SKU]],'All Skus'!$A:$AC,2,FALSE))="AKG",(VLOOKUP(Table1[[#This Row],[SKU]],'All Skus'!$A:$AC,23,FALSE)),""))</f>
        <v>Non Compliant</v>
      </c>
      <c r="T275" s="210" t="str">
        <f>HYPERLINK((IF((VLOOKUP(Table1[[#This Row],[SKU]],'All Skus'!$A:$AC,2,FALSE))="AKG",(VLOOKUP(Table1[[#This Row],[SKU]],'All Skus'!$A:$AC,24,FALSE)),"")))</f>
        <v>https://www.akg.com/dmstetrad-system.html</v>
      </c>
      <c r="U275" s="151">
        <v>273</v>
      </c>
    </row>
    <row r="276" spans="1:21" ht="15" hidden="1" customHeight="1">
      <c r="A276" s="50" t="s">
        <v>432</v>
      </c>
      <c r="B276" s="52" t="str">
        <f>(IF((VLOOKUP(Table1[[#This Row],[SKU]],'All Skus'!$A:$AC,2,FALSE))="AKG",(VLOOKUP(Table1[[#This Row],[SKU]],'All Skus'!$A:$AC,3,FALSE)), ""))</f>
        <v>Wireless Mics</v>
      </c>
      <c r="C276" s="60" t="str">
        <f>(IF((VLOOKUP(Table1[[#This Row],[SKU]],'All Skus'!$A:$AC,2,FALSE))="AKG",(VLOOKUP(Table1[[#This Row],[SKU]],'All Skus'!$A:$AC,4,FALSE)),""))</f>
        <v>DHT TETRAD P5 NON-EU</v>
      </c>
      <c r="D276" s="60" t="str">
        <f>(IF((VLOOKUP(Table1[[#This Row],[SKU]],'All Skus'!$A:$AC,2,FALSE))="AKG",(VLOOKUP(Table1[[#This Row],[SKU]],'All Skus'!$A:$AC,5,FALSE)),""))</f>
        <v>AT650000</v>
      </c>
      <c r="E276" s="60">
        <f>(IF((VLOOKUP(Table1[[#This Row],[SKU]],'All Skus'!$A:$AC,2,FALSE))="AKG",(VLOOKUP(Table1[[#This Row],[SKU]],'All Skus'!$A:$AC,6,FALSE)),""))</f>
        <v>0</v>
      </c>
      <c r="F276" s="60">
        <f>(IF((VLOOKUP(Table1[[#This Row],[SKU]],'All Skus'!$A:$AC,2,FALSE))="AKG",(VLOOKUP(Table1[[#This Row],[SKU]],'All Skus'!$A:$AC,7,FALSE)),""))</f>
        <v>0</v>
      </c>
      <c r="G276" s="45" t="str">
        <f>(IF((VLOOKUP(Table1[[#This Row],[SKU]],'All Skus'!$A:$AC,2,FALSE))="AKG",(VLOOKUP(Table1[[#This Row],[SKU]],'All Skus'!$A:$AC,8,FALSE)),""))</f>
        <v>Digital Microphone System Tetrad</v>
      </c>
      <c r="H276" s="45" t="str">
        <f>(IF((VLOOKUP(Table1[[#This Row],[SKU]],'All Skus'!$A:$AC,2,FALSE))="AKG",(VLOOKUP(Table1[[#This Row],[SKU]],'All Skus'!$A:$AC,9,FALSE)),""))</f>
        <v>Handheld transmitter</v>
      </c>
      <c r="I276" s="141">
        <f>(IF((VLOOKUP(Table1[[#This Row],[SKU]],'All Skus'!$A:$AC,2,FALSE))="AKG",(VLOOKUP(Table1[[#This Row],[SKU]],'All Skus'!$A:$AC,10,FALSE)),""))</f>
        <v>298.92</v>
      </c>
      <c r="J276" s="141">
        <f>(IF((VLOOKUP(Table1[[#This Row],[SKU]],'All Skus'!$A:$AC,2,FALSE))="AKG",(VLOOKUP(Table1[[#This Row],[SKU]],'All Skus'!$A:$AC,11,FALSE)),""))</f>
        <v>236</v>
      </c>
      <c r="K276" s="125">
        <f>(IF((VLOOKUP(Table1[[#This Row],[SKU]],'All Skus'!$A:$AC,2,FALSE))="AKG",(VLOOKUP(Table1[[#This Row],[SKU]],'All Skus'!$A:$AC,15,FALSE)),""))</f>
        <v>0</v>
      </c>
      <c r="L276" s="124">
        <f>(IF((VLOOKUP(Table1[[#This Row],[SKU]],'All Skus'!$A:$AC,2,FALSE))="AKG",(VLOOKUP(Table1[[#This Row],[SKU]],'All Skus'!$A:$AC,16,FALSE)),""))</f>
        <v>885038038665</v>
      </c>
      <c r="M276" s="124">
        <f>(IF((VLOOKUP(Table1[[#This Row],[SKU]],'All Skus'!$A:$AC,2,FALSE))="AKG",(VLOOKUP(Table1[[#This Row],[SKU]],'All Skus'!$A:$AC,17,FALSE)),""))</f>
        <v>9002761038668</v>
      </c>
      <c r="N276" s="64">
        <f>(IF((VLOOKUP(Table1[[#This Row],[SKU]],'All Skus'!$A:$AC,2,FALSE))="AKG",(VLOOKUP(Table1[[#This Row],[SKU]],'All Skus'!$A:$AC,18,FALSE)),""))</f>
        <v>1.8</v>
      </c>
      <c r="O276" s="64">
        <f>(IF((VLOOKUP(Table1[[#This Row],[SKU]],'All Skus'!$A:$AC,2,FALSE))="AKG",(VLOOKUP(Table1[[#This Row],[SKU]],'All Skus'!$A:$AC,19,FALSE)),""))</f>
        <v>5</v>
      </c>
      <c r="P276" s="64">
        <f>(IF((VLOOKUP(Table1[[#This Row],[SKU]],'All Skus'!$A:$AC,2,FALSE))="AKG",(VLOOKUP(Table1[[#This Row],[SKU]],'All Skus'!$A:$AC,20,FALSE)),""))</f>
        <v>4</v>
      </c>
      <c r="Q276" s="64">
        <f>(IF((VLOOKUP(Table1[[#This Row],[SKU]],'All Skus'!$A:$AC,2,FALSE))="AKG",(VLOOKUP(Table1[[#This Row],[SKU]],'All Skus'!$A:$AC,21,FALSE)),""))</f>
        <v>2.4</v>
      </c>
      <c r="R276" s="64" t="str">
        <f>(IF((VLOOKUP(Table1[[#This Row],[SKU]],'All Skus'!$A:$AC,2,FALSE))="AKG",(VLOOKUP(Table1[[#This Row],[SKU]],'All Skus'!$A:$AC,22,FALSE)),""))</f>
        <v>CN</v>
      </c>
      <c r="S276" s="64" t="str">
        <f>(IF((VLOOKUP(Table1[[#This Row],[SKU]],'All Skus'!$A:$AC,2,FALSE))="AKG",(VLOOKUP(Table1[[#This Row],[SKU]],'All Skus'!$A:$AC,23,FALSE)),""))</f>
        <v>Non Compliant</v>
      </c>
      <c r="T276" s="210" t="str">
        <f>HYPERLINK((IF((VLOOKUP(Table1[[#This Row],[SKU]],'All Skus'!$A:$AC,2,FALSE))="AKG",(VLOOKUP(Table1[[#This Row],[SKU]],'All Skus'!$A:$AC,24,FALSE)),"")))</f>
        <v>https://www.akg.com/dmstetrad-system.html</v>
      </c>
      <c r="U276" s="151">
        <v>274</v>
      </c>
    </row>
    <row r="277" spans="1:21" ht="15" hidden="1" customHeight="1">
      <c r="A277" s="50" t="s">
        <v>433</v>
      </c>
      <c r="B277" s="52" t="str">
        <f>(IF((VLOOKUP(Table1[[#This Row],[SKU]],'All Skus'!$A:$AC,2,FALSE))="AKG",(VLOOKUP(Table1[[#This Row],[SKU]],'All Skus'!$A:$AC,3,FALSE)), ""))</f>
        <v>Installed</v>
      </c>
      <c r="C277" s="60" t="str">
        <f>(IF((VLOOKUP(Table1[[#This Row],[SKU]],'All Skus'!$A:$AC,2,FALSE))="AKG",(VLOOKUP(Table1[[#This Row],[SKU]],'All Skus'!$A:$AC,4,FALSE)),""))</f>
        <v xml:space="preserve">WM82  white wiremesh 5 pack </v>
      </c>
      <c r="D277" s="60" t="str">
        <f>(IF((VLOOKUP(Table1[[#This Row],[SKU]],'All Skus'!$A:$AC,2,FALSE))="AKG",(VLOOKUP(Table1[[#This Row],[SKU]],'All Skus'!$A:$AC,5,FALSE)),""))</f>
        <v>AT510000</v>
      </c>
      <c r="E277" s="60">
        <f>(IF((VLOOKUP(Table1[[#This Row],[SKU]],'All Skus'!$A:$AC,2,FALSE))="AKG",(VLOOKUP(Table1[[#This Row],[SKU]],'All Skus'!$A:$AC,6,FALSE)),""))</f>
        <v>0</v>
      </c>
      <c r="F277" s="60">
        <f>(IF((VLOOKUP(Table1[[#This Row],[SKU]],'All Skus'!$A:$AC,2,FALSE))="AKG",(VLOOKUP(Table1[[#This Row],[SKU]],'All Skus'!$A:$AC,7,FALSE)),""))</f>
        <v>0</v>
      </c>
      <c r="G277" s="45" t="str">
        <f>(IF((VLOOKUP(Table1[[#This Row],[SKU]],'All Skus'!$A:$AC,2,FALSE))="AKG",(VLOOKUP(Table1[[#This Row],[SKU]],'All Skus'!$A:$AC,8,FALSE)),""))</f>
        <v>Microlite Accessories</v>
      </c>
      <c r="H277" s="45" t="str">
        <f>(IF((VLOOKUP(Table1[[#This Row],[SKU]],'All Skus'!$A:$AC,2,FALSE))="AKG",(VLOOKUP(Table1[[#This Row],[SKU]],'All Skus'!$A:$AC,9,FALSE)),""))</f>
        <v>wiremesh cap 5 pack</v>
      </c>
      <c r="I277" s="141">
        <f>(IF((VLOOKUP(Table1[[#This Row],[SKU]],'All Skus'!$A:$AC,2,FALSE))="AKG",(VLOOKUP(Table1[[#This Row],[SKU]],'All Skus'!$A:$AC,10,FALSE)),""))</f>
        <v>60.59</v>
      </c>
      <c r="J277" s="141">
        <f>(IF((VLOOKUP(Table1[[#This Row],[SKU]],'All Skus'!$A:$AC,2,FALSE))="AKG",(VLOOKUP(Table1[[#This Row],[SKU]],'All Skus'!$A:$AC,11,FALSE)),""))</f>
        <v>47</v>
      </c>
      <c r="K277" s="125">
        <f>(IF((VLOOKUP(Table1[[#This Row],[SKU]],'All Skus'!$A:$AC,2,FALSE))="AKG",(VLOOKUP(Table1[[#This Row],[SKU]],'All Skus'!$A:$AC,15,FALSE)),""))</f>
        <v>0</v>
      </c>
      <c r="L277" s="124">
        <f>(IF((VLOOKUP(Table1[[#This Row],[SKU]],'All Skus'!$A:$AC,2,FALSE))="AKG",(VLOOKUP(Table1[[#This Row],[SKU]],'All Skus'!$A:$AC,16,FALSE)),""))</f>
        <v>885038039273</v>
      </c>
      <c r="M277" s="124">
        <f>(IF((VLOOKUP(Table1[[#This Row],[SKU]],'All Skus'!$A:$AC,2,FALSE))="AKG",(VLOOKUP(Table1[[#This Row],[SKU]],'All Skus'!$A:$AC,17,FALSE)),""))</f>
        <v>9002761039276</v>
      </c>
      <c r="N277" s="64">
        <f>(IF((VLOOKUP(Table1[[#This Row],[SKU]],'All Skus'!$A:$AC,2,FALSE))="AKG",(VLOOKUP(Table1[[#This Row],[SKU]],'All Skus'!$A:$AC,18,FALSE)),""))</f>
        <v>1</v>
      </c>
      <c r="O277" s="64">
        <f>(IF((VLOOKUP(Table1[[#This Row],[SKU]],'All Skus'!$A:$AC,2,FALSE))="AKG",(VLOOKUP(Table1[[#This Row],[SKU]],'All Skus'!$A:$AC,19,FALSE)),""))</f>
        <v>3</v>
      </c>
      <c r="P277" s="64">
        <f>(IF((VLOOKUP(Table1[[#This Row],[SKU]],'All Skus'!$A:$AC,2,FALSE))="AKG",(VLOOKUP(Table1[[#This Row],[SKU]],'All Skus'!$A:$AC,20,FALSE)),""))</f>
        <v>4</v>
      </c>
      <c r="Q277" s="64" t="str">
        <f>(IF((VLOOKUP(Table1[[#This Row],[SKU]],'All Skus'!$A:$AC,2,FALSE))="AKG",(VLOOKUP(Table1[[#This Row],[SKU]],'All Skus'!$A:$AC,21,FALSE)),""))</f>
        <v>n/a</v>
      </c>
      <c r="R277" s="64" t="str">
        <f>(IF((VLOOKUP(Table1[[#This Row],[SKU]],'All Skus'!$A:$AC,2,FALSE))="AKG",(VLOOKUP(Table1[[#This Row],[SKU]],'All Skus'!$A:$AC,22,FALSE)),""))</f>
        <v>TW</v>
      </c>
      <c r="S277" s="64" t="str">
        <f>(IF((VLOOKUP(Table1[[#This Row],[SKU]],'All Skus'!$A:$AC,2,FALSE))="AKG",(VLOOKUP(Table1[[#This Row],[SKU]],'All Skus'!$A:$AC,23,FALSE)),""))</f>
        <v>Compliant</v>
      </c>
      <c r="T277" s="210" t="str">
        <f>HYPERLINK((IF((VLOOKUP(Table1[[#This Row],[SKU]],'All Skus'!$A:$AC,2,FALSE))="AKG",(VLOOKUP(Table1[[#This Row],[SKU]],'All Skus'!$A:$AC,24,FALSE)),"")))</f>
        <v>https://www.akg.com/Microphones/Microphone%20Accessories/6500H00510.html</v>
      </c>
      <c r="U277" s="151">
        <v>275</v>
      </c>
    </row>
    <row r="278" spans="1:21" ht="15" hidden="1" customHeight="1">
      <c r="A278" s="109" t="s">
        <v>434</v>
      </c>
      <c r="B278" s="52">
        <f>(IF((VLOOKUP(Table1[[#This Row],[SKU]],'All Skus'!$A:$AC,2,FALSE))="AKG",(VLOOKUP(Table1[[#This Row],[SKU]],'All Skus'!$A:$AC,3,FALSE)), ""))</f>
        <v>0</v>
      </c>
      <c r="C278" s="60">
        <f>(IF((VLOOKUP(Table1[[#This Row],[SKU]],'All Skus'!$A:$AC,2,FALSE))="AKG",(VLOOKUP(Table1[[#This Row],[SKU]],'All Skus'!$A:$AC,4,FALSE)),""))</f>
        <v>0</v>
      </c>
      <c r="D278" s="60">
        <f>(IF((VLOOKUP(Table1[[#This Row],[SKU]],'All Skus'!$A:$AC,2,FALSE))="AKG",(VLOOKUP(Table1[[#This Row],[SKU]],'All Skus'!$A:$AC,5,FALSE)),""))</f>
        <v>0</v>
      </c>
      <c r="E278" s="60">
        <f>(IF((VLOOKUP(Table1[[#This Row],[SKU]],'All Skus'!$A:$AC,2,FALSE))="AKG",(VLOOKUP(Table1[[#This Row],[SKU]],'All Skus'!$A:$AC,6,FALSE)),""))</f>
        <v>0</v>
      </c>
      <c r="F278" s="60">
        <f>(IF((VLOOKUP(Table1[[#This Row],[SKU]],'All Skus'!$A:$AC,2,FALSE))="AKG",(VLOOKUP(Table1[[#This Row],[SKU]],'All Skus'!$A:$AC,7,FALSE)),""))</f>
        <v>0</v>
      </c>
      <c r="G278" s="45">
        <f>(IF((VLOOKUP(Table1[[#This Row],[SKU]],'All Skus'!$A:$AC,2,FALSE))="AKG",(VLOOKUP(Table1[[#This Row],[SKU]],'All Skus'!$A:$AC,8,FALSE)),""))</f>
        <v>0</v>
      </c>
      <c r="H278" s="45">
        <f>(IF((VLOOKUP(Table1[[#This Row],[SKU]],'All Skus'!$A:$AC,2,FALSE))="AKG",(VLOOKUP(Table1[[#This Row],[SKU]],'All Skus'!$A:$AC,9,FALSE)),""))</f>
        <v>0</v>
      </c>
      <c r="I278" s="141">
        <f>(IF((VLOOKUP(Table1[[#This Row],[SKU]],'All Skus'!$A:$AC,2,FALSE))="AKG",(VLOOKUP(Table1[[#This Row],[SKU]],'All Skus'!$A:$AC,10,FALSE)),""))</f>
        <v>0</v>
      </c>
      <c r="J278" s="141">
        <f>(IF((VLOOKUP(Table1[[#This Row],[SKU]],'All Skus'!$A:$AC,2,FALSE))="AKG",(VLOOKUP(Table1[[#This Row],[SKU]],'All Skus'!$A:$AC,11,FALSE)),""))</f>
        <v>0</v>
      </c>
      <c r="K278" s="125">
        <f>(IF((VLOOKUP(Table1[[#This Row],[SKU]],'All Skus'!$A:$AC,2,FALSE))="AKG",(VLOOKUP(Table1[[#This Row],[SKU]],'All Skus'!$A:$AC,15,FALSE)),""))</f>
        <v>0</v>
      </c>
      <c r="L278" s="124">
        <f>(IF((VLOOKUP(Table1[[#This Row],[SKU]],'All Skus'!$A:$AC,2,FALSE))="AKG",(VLOOKUP(Table1[[#This Row],[SKU]],'All Skus'!$A:$AC,16,FALSE)),""))</f>
        <v>0</v>
      </c>
      <c r="M278" s="124">
        <f>(IF((VLOOKUP(Table1[[#This Row],[SKU]],'All Skus'!$A:$AC,2,FALSE))="AKG",(VLOOKUP(Table1[[#This Row],[SKU]],'All Skus'!$A:$AC,17,FALSE)),""))</f>
        <v>0</v>
      </c>
      <c r="N278" s="64">
        <f>(IF((VLOOKUP(Table1[[#This Row],[SKU]],'All Skus'!$A:$AC,2,FALSE))="AKG",(VLOOKUP(Table1[[#This Row],[SKU]],'All Skus'!$A:$AC,18,FALSE)),""))</f>
        <v>0</v>
      </c>
      <c r="O278" s="64">
        <f>(IF((VLOOKUP(Table1[[#This Row],[SKU]],'All Skus'!$A:$AC,2,FALSE))="AKG",(VLOOKUP(Table1[[#This Row],[SKU]],'All Skus'!$A:$AC,19,FALSE)),""))</f>
        <v>0</v>
      </c>
      <c r="P278" s="64">
        <f>(IF((VLOOKUP(Table1[[#This Row],[SKU]],'All Skus'!$A:$AC,2,FALSE))="AKG",(VLOOKUP(Table1[[#This Row],[SKU]],'All Skus'!$A:$AC,20,FALSE)),""))</f>
        <v>0</v>
      </c>
      <c r="Q278" s="64">
        <f>(IF((VLOOKUP(Table1[[#This Row],[SKU]],'All Skus'!$A:$AC,2,FALSE))="AKG",(VLOOKUP(Table1[[#This Row],[SKU]],'All Skus'!$A:$AC,21,FALSE)),""))</f>
        <v>0</v>
      </c>
      <c r="R278" s="64">
        <f>(IF((VLOOKUP(Table1[[#This Row],[SKU]],'All Skus'!$A:$AC,2,FALSE))="AKG",(VLOOKUP(Table1[[#This Row],[SKU]],'All Skus'!$A:$AC,22,FALSE)),""))</f>
        <v>0</v>
      </c>
      <c r="S278" s="64">
        <f>(IF((VLOOKUP(Table1[[#This Row],[SKU]],'All Skus'!$A:$AC,2,FALSE))="AKG",(VLOOKUP(Table1[[#This Row],[SKU]],'All Skus'!$A:$AC,23,FALSE)),""))</f>
        <v>0</v>
      </c>
      <c r="T278" s="210" t="str">
        <f>HYPERLINK((IF((VLOOKUP(Table1[[#This Row],[SKU]],'All Skus'!$A:$AC,2,FALSE))="AKG",(VLOOKUP(Table1[[#This Row],[SKU]],'All Skus'!$A:$AC,24,FALSE)),"")))</f>
        <v/>
      </c>
      <c r="U278" s="151">
        <v>276</v>
      </c>
    </row>
    <row r="279" spans="1:21" ht="15" hidden="1" customHeight="1">
      <c r="A279" s="126" t="s">
        <v>25</v>
      </c>
      <c r="B279" s="52">
        <f>(IF((VLOOKUP(Table1[[#This Row],[SKU]],'All Skus'!$A:$AC,2,FALSE))="AKG",(VLOOKUP(Table1[[#This Row],[SKU]],'All Skus'!$A:$AC,3,FALSE)), ""))</f>
        <v>0</v>
      </c>
      <c r="C279" s="60">
        <f>(IF((VLOOKUP(Table1[[#This Row],[SKU]],'All Skus'!$A:$AC,2,FALSE))="AKG",(VLOOKUP(Table1[[#This Row],[SKU]],'All Skus'!$A:$AC,4,FALSE)),""))</f>
        <v>0</v>
      </c>
      <c r="D279" s="60">
        <f>(IF((VLOOKUP(Table1[[#This Row],[SKU]],'All Skus'!$A:$AC,2,FALSE))="AKG",(VLOOKUP(Table1[[#This Row],[SKU]],'All Skus'!$A:$AC,5,FALSE)),""))</f>
        <v>0</v>
      </c>
      <c r="E279" s="60">
        <f>(IF((VLOOKUP(Table1[[#This Row],[SKU]],'All Skus'!$A:$AC,2,FALSE))="AKG",(VLOOKUP(Table1[[#This Row],[SKU]],'All Skus'!$A:$AC,6,FALSE)),""))</f>
        <v>0</v>
      </c>
      <c r="F279" s="60">
        <f>(IF((VLOOKUP(Table1[[#This Row],[SKU]],'All Skus'!$A:$AC,2,FALSE))="AKG",(VLOOKUP(Table1[[#This Row],[SKU]],'All Skus'!$A:$AC,7,FALSE)),""))</f>
        <v>0</v>
      </c>
      <c r="G279" s="45">
        <f>(IF((VLOOKUP(Table1[[#This Row],[SKU]],'All Skus'!$A:$AC,2,FALSE))="AKG",(VLOOKUP(Table1[[#This Row],[SKU]],'All Skus'!$A:$AC,8,FALSE)),""))</f>
        <v>0</v>
      </c>
      <c r="H279" s="45">
        <f>(IF((VLOOKUP(Table1[[#This Row],[SKU]],'All Skus'!$A:$AC,2,FALSE))="AKG",(VLOOKUP(Table1[[#This Row],[SKU]],'All Skus'!$A:$AC,9,FALSE)),""))</f>
        <v>0</v>
      </c>
      <c r="I279" s="141">
        <f>(IF((VLOOKUP(Table1[[#This Row],[SKU]],'All Skus'!$A:$AC,2,FALSE))="AKG",(VLOOKUP(Table1[[#This Row],[SKU]],'All Skus'!$A:$AC,10,FALSE)),""))</f>
        <v>0</v>
      </c>
      <c r="J279" s="141">
        <f>(IF((VLOOKUP(Table1[[#This Row],[SKU]],'All Skus'!$A:$AC,2,FALSE))="AKG",(VLOOKUP(Table1[[#This Row],[SKU]],'All Skus'!$A:$AC,11,FALSE)),""))</f>
        <v>0</v>
      </c>
      <c r="K279" s="125">
        <f>(IF((VLOOKUP(Table1[[#This Row],[SKU]],'All Skus'!$A:$AC,2,FALSE))="AKG",(VLOOKUP(Table1[[#This Row],[SKU]],'All Skus'!$A:$AC,15,FALSE)),""))</f>
        <v>0</v>
      </c>
      <c r="L279" s="124">
        <f>(IF((VLOOKUP(Table1[[#This Row],[SKU]],'All Skus'!$A:$AC,2,FALSE))="AKG",(VLOOKUP(Table1[[#This Row],[SKU]],'All Skus'!$A:$AC,16,FALSE)),""))</f>
        <v>0</v>
      </c>
      <c r="M279" s="124">
        <f>(IF((VLOOKUP(Table1[[#This Row],[SKU]],'All Skus'!$A:$AC,2,FALSE))="AKG",(VLOOKUP(Table1[[#This Row],[SKU]],'All Skus'!$A:$AC,17,FALSE)),""))</f>
        <v>0</v>
      </c>
      <c r="N279" s="64">
        <f>(IF((VLOOKUP(Table1[[#This Row],[SKU]],'All Skus'!$A:$AC,2,FALSE))="AKG",(VLOOKUP(Table1[[#This Row],[SKU]],'All Skus'!$A:$AC,18,FALSE)),""))</f>
        <v>0</v>
      </c>
      <c r="O279" s="64">
        <f>(IF((VLOOKUP(Table1[[#This Row],[SKU]],'All Skus'!$A:$AC,2,FALSE))="AKG",(VLOOKUP(Table1[[#This Row],[SKU]],'All Skus'!$A:$AC,19,FALSE)),""))</f>
        <v>0</v>
      </c>
      <c r="P279" s="64">
        <f>(IF((VLOOKUP(Table1[[#This Row],[SKU]],'All Skus'!$A:$AC,2,FALSE))="AKG",(VLOOKUP(Table1[[#This Row],[SKU]],'All Skus'!$A:$AC,20,FALSE)),""))</f>
        <v>0</v>
      </c>
      <c r="Q279" s="64">
        <f>(IF((VLOOKUP(Table1[[#This Row],[SKU]],'All Skus'!$A:$AC,2,FALSE))="AKG",(VLOOKUP(Table1[[#This Row],[SKU]],'All Skus'!$A:$AC,21,FALSE)),""))</f>
        <v>0</v>
      </c>
      <c r="R279" s="64">
        <f>(IF((VLOOKUP(Table1[[#This Row],[SKU]],'All Skus'!$A:$AC,2,FALSE))="AKG",(VLOOKUP(Table1[[#This Row],[SKU]],'All Skus'!$A:$AC,22,FALSE)),""))</f>
        <v>0</v>
      </c>
      <c r="S279" s="64">
        <f>(IF((VLOOKUP(Table1[[#This Row],[SKU]],'All Skus'!$A:$AC,2,FALSE))="AKG",(VLOOKUP(Table1[[#This Row],[SKU]],'All Skus'!$A:$AC,23,FALSE)),""))</f>
        <v>0</v>
      </c>
      <c r="T279" s="210" t="str">
        <f>HYPERLINK((IF((VLOOKUP(Table1[[#This Row],[SKU]],'All Skus'!$A:$AC,2,FALSE))="AKG",(VLOOKUP(Table1[[#This Row],[SKU]],'All Skus'!$A:$AC,24,FALSE)),"")))</f>
        <v/>
      </c>
      <c r="U279" s="151">
        <v>277</v>
      </c>
    </row>
    <row r="280" spans="1:21" ht="15" hidden="1" customHeight="1">
      <c r="A280" s="50" t="s">
        <v>435</v>
      </c>
      <c r="B280" s="52" t="str">
        <f>(IF((VLOOKUP(Table1[[#This Row],[SKU]],'All Skus'!$A:$AC,2,FALSE))="AKG",(VLOOKUP(Table1[[#This Row],[SKU]],'All Skus'!$A:$AC,3,FALSE)), ""))</f>
        <v>Wireless Mics</v>
      </c>
      <c r="C280" s="60" t="str">
        <f>(IF((VLOOKUP(Table1[[#This Row],[SKU]],'All Skus'!$A:$AC,2,FALSE))="AKG",(VLOOKUP(Table1[[#This Row],[SKU]],'All Skus'!$A:$AC,4,FALSE)),""))</f>
        <v>D5 WL1</v>
      </c>
      <c r="D280" s="60" t="str">
        <f>(IF((VLOOKUP(Table1[[#This Row],[SKU]],'All Skus'!$A:$AC,2,FALSE))="AKG",(VLOOKUP(Table1[[#This Row],[SKU]],'All Skus'!$A:$AC,5,FALSE)),""))</f>
        <v>AT690091</v>
      </c>
      <c r="E280" s="60">
        <f>(IF((VLOOKUP(Table1[[#This Row],[SKU]],'All Skus'!$A:$AC,2,FALSE))="AKG",(VLOOKUP(Table1[[#This Row],[SKU]],'All Skus'!$A:$AC,6,FALSE)),""))</f>
        <v>0</v>
      </c>
      <c r="F280" s="60">
        <f>(IF((VLOOKUP(Table1[[#This Row],[SKU]],'All Skus'!$A:$AC,2,FALSE))="AKG",(VLOOKUP(Table1[[#This Row],[SKU]],'All Skus'!$A:$AC,7,FALSE)),""))</f>
        <v>0</v>
      </c>
      <c r="G280" s="45" t="str">
        <f>(IF((VLOOKUP(Table1[[#This Row],[SKU]],'All Skus'!$A:$AC,2,FALSE))="AKG",(VLOOKUP(Table1[[#This Row],[SKU]],'All Skus'!$A:$AC,8,FALSE)),""))</f>
        <v>Microphone Head</v>
      </c>
      <c r="H280" s="45" t="str">
        <f>(IF((VLOOKUP(Table1[[#This Row],[SKU]],'All Skus'!$A:$AC,2,FALSE))="AKG",(VLOOKUP(Table1[[#This Row],[SKU]],'All Skus'!$A:$AC,9,FALSE)),""))</f>
        <v>Microphone head with D5 acoustic</v>
      </c>
      <c r="I280" s="141">
        <f>(IF((VLOOKUP(Table1[[#This Row],[SKU]],'All Skus'!$A:$AC,2,FALSE))="AKG",(VLOOKUP(Table1[[#This Row],[SKU]],'All Skus'!$A:$AC,10,FALSE)),""))</f>
        <v>178.87</v>
      </c>
      <c r="J280" s="141">
        <f>(IF((VLOOKUP(Table1[[#This Row],[SKU]],'All Skus'!$A:$AC,2,FALSE))="AKG",(VLOOKUP(Table1[[#This Row],[SKU]],'All Skus'!$A:$AC,11,FALSE)),""))</f>
        <v>140</v>
      </c>
      <c r="K280" s="125">
        <f>(IF((VLOOKUP(Table1[[#This Row],[SKU]],'All Skus'!$A:$AC,2,FALSE))="AKG",(VLOOKUP(Table1[[#This Row],[SKU]],'All Skus'!$A:$AC,15,FALSE)),""))</f>
        <v>36</v>
      </c>
      <c r="L280" s="124">
        <f>(IF((VLOOKUP(Table1[[#This Row],[SKU]],'All Skus'!$A:$AC,2,FALSE))="AKG",(VLOOKUP(Table1[[#This Row],[SKU]],'All Skus'!$A:$AC,16,FALSE)),""))</f>
        <v>885038019503</v>
      </c>
      <c r="M280" s="124">
        <f>(IF((VLOOKUP(Table1[[#This Row],[SKU]],'All Skus'!$A:$AC,2,FALSE))="AKG",(VLOOKUP(Table1[[#This Row],[SKU]],'All Skus'!$A:$AC,17,FALSE)),""))</f>
        <v>9002761019506</v>
      </c>
      <c r="N280" s="64">
        <f>(IF((VLOOKUP(Table1[[#This Row],[SKU]],'All Skus'!$A:$AC,2,FALSE))="AKG",(VLOOKUP(Table1[[#This Row],[SKU]],'All Skus'!$A:$AC,18,FALSE)),""))</f>
        <v>3</v>
      </c>
      <c r="O280" s="64">
        <f>(IF((VLOOKUP(Table1[[#This Row],[SKU]],'All Skus'!$A:$AC,2,FALSE))="AKG",(VLOOKUP(Table1[[#This Row],[SKU]],'All Skus'!$A:$AC,19,FALSE)),""))</f>
        <v>3</v>
      </c>
      <c r="P280" s="64">
        <f>(IF((VLOOKUP(Table1[[#This Row],[SKU]],'All Skus'!$A:$AC,2,FALSE))="AKG",(VLOOKUP(Table1[[#This Row],[SKU]],'All Skus'!$A:$AC,20,FALSE)),""))</f>
        <v>5</v>
      </c>
      <c r="Q280" s="64">
        <f>(IF((VLOOKUP(Table1[[#This Row],[SKU]],'All Skus'!$A:$AC,2,FALSE))="AKG",(VLOOKUP(Table1[[#This Row],[SKU]],'All Skus'!$A:$AC,21,FALSE)),""))</f>
        <v>2.4</v>
      </c>
      <c r="R280" s="64" t="str">
        <f>(IF((VLOOKUP(Table1[[#This Row],[SKU]],'All Skus'!$A:$AC,2,FALSE))="AKG",(VLOOKUP(Table1[[#This Row],[SKU]],'All Skus'!$A:$AC,22,FALSE)),""))</f>
        <v>CN</v>
      </c>
      <c r="S280" s="64" t="str">
        <f>(IF((VLOOKUP(Table1[[#This Row],[SKU]],'All Skus'!$A:$AC,2,FALSE))="AKG",(VLOOKUP(Table1[[#This Row],[SKU]],'All Skus'!$A:$AC,23,FALSE)),""))</f>
        <v>Non Compliant</v>
      </c>
      <c r="T280" s="210" t="str">
        <f>HYPERLINK((IF((VLOOKUP(Table1[[#This Row],[SKU]],'All Skus'!$A:$AC,2,FALSE))="AKG",(VLOOKUP(Table1[[#This Row],[SKU]],'All Skus'!$A:$AC,24,FALSE)),"")))</f>
        <v>https://www.akg.com/Wireless/Wireless%20Accessories/3082X00010.html</v>
      </c>
      <c r="U280" s="151">
        <v>278</v>
      </c>
    </row>
    <row r="281" spans="1:21" ht="15" hidden="1" customHeight="1">
      <c r="A281" s="50" t="s">
        <v>436</v>
      </c>
      <c r="B281" s="52" t="str">
        <f>(IF((VLOOKUP(Table1[[#This Row],[SKU]],'All Skus'!$A:$AC,2,FALSE))="AKG",(VLOOKUP(Table1[[#This Row],[SKU]],'All Skus'!$A:$AC,3,FALSE)), ""))</f>
        <v>Wireless Mics</v>
      </c>
      <c r="C281" s="60" t="str">
        <f>(IF((VLOOKUP(Table1[[#This Row],[SKU]],'All Skus'!$A:$AC,2,FALSE))="AKG",(VLOOKUP(Table1[[#This Row],[SKU]],'All Skus'!$A:$AC,4,FALSE)),""))</f>
        <v>C5 WL1</v>
      </c>
      <c r="D281" s="60" t="str">
        <f>(IF((VLOOKUP(Table1[[#This Row],[SKU]],'All Skus'!$A:$AC,2,FALSE))="AKG",(VLOOKUP(Table1[[#This Row],[SKU]],'All Skus'!$A:$AC,5,FALSE)),""))</f>
        <v>AT690091</v>
      </c>
      <c r="E281" s="60">
        <f>(IF((VLOOKUP(Table1[[#This Row],[SKU]],'All Skus'!$A:$AC,2,FALSE))="AKG",(VLOOKUP(Table1[[#This Row],[SKU]],'All Skus'!$A:$AC,6,FALSE)),""))</f>
        <v>0</v>
      </c>
      <c r="F281" s="60">
        <f>(IF((VLOOKUP(Table1[[#This Row],[SKU]],'All Skus'!$A:$AC,2,FALSE))="AKG",(VLOOKUP(Table1[[#This Row],[SKU]],'All Skus'!$A:$AC,7,FALSE)),""))</f>
        <v>0</v>
      </c>
      <c r="G281" s="45" t="str">
        <f>(IF((VLOOKUP(Table1[[#This Row],[SKU]],'All Skus'!$A:$AC,2,FALSE))="AKG",(VLOOKUP(Table1[[#This Row],[SKU]],'All Skus'!$A:$AC,8,FALSE)),""))</f>
        <v>Microphone Head</v>
      </c>
      <c r="H281" s="45" t="str">
        <f>(IF((VLOOKUP(Table1[[#This Row],[SKU]],'All Skus'!$A:$AC,2,FALSE))="AKG",(VLOOKUP(Table1[[#This Row],[SKU]],'All Skus'!$A:$AC,9,FALSE)),""))</f>
        <v>Microphone head with C5 acoustic</v>
      </c>
      <c r="I281" s="141">
        <f>(IF((VLOOKUP(Table1[[#This Row],[SKU]],'All Skus'!$A:$AC,2,FALSE))="AKG",(VLOOKUP(Table1[[#This Row],[SKU]],'All Skus'!$A:$AC,10,FALSE)),""))</f>
        <v>298.92</v>
      </c>
      <c r="J281" s="141">
        <f>(IF((VLOOKUP(Table1[[#This Row],[SKU]],'All Skus'!$A:$AC,2,FALSE))="AKG",(VLOOKUP(Table1[[#This Row],[SKU]],'All Skus'!$A:$AC,11,FALSE)),""))</f>
        <v>236</v>
      </c>
      <c r="K281" s="125">
        <f>(IF((VLOOKUP(Table1[[#This Row],[SKU]],'All Skus'!$A:$AC,2,FALSE))="AKG",(VLOOKUP(Table1[[#This Row],[SKU]],'All Skus'!$A:$AC,15,FALSE)),""))</f>
        <v>36</v>
      </c>
      <c r="L281" s="124">
        <f>(IF((VLOOKUP(Table1[[#This Row],[SKU]],'All Skus'!$A:$AC,2,FALSE))="AKG",(VLOOKUP(Table1[[#This Row],[SKU]],'All Skus'!$A:$AC,16,FALSE)),""))</f>
        <v>885038019510</v>
      </c>
      <c r="M281" s="124">
        <f>(IF((VLOOKUP(Table1[[#This Row],[SKU]],'All Skus'!$A:$AC,2,FALSE))="AKG",(VLOOKUP(Table1[[#This Row],[SKU]],'All Skus'!$A:$AC,17,FALSE)),""))</f>
        <v>9002761019513</v>
      </c>
      <c r="N281" s="64">
        <f>(IF((VLOOKUP(Table1[[#This Row],[SKU]],'All Skus'!$A:$AC,2,FALSE))="AKG",(VLOOKUP(Table1[[#This Row],[SKU]],'All Skus'!$A:$AC,18,FALSE)),""))</f>
        <v>3</v>
      </c>
      <c r="O281" s="64">
        <f>(IF((VLOOKUP(Table1[[#This Row],[SKU]],'All Skus'!$A:$AC,2,FALSE))="AKG",(VLOOKUP(Table1[[#This Row],[SKU]],'All Skus'!$A:$AC,19,FALSE)),""))</f>
        <v>3</v>
      </c>
      <c r="P281" s="64">
        <f>(IF((VLOOKUP(Table1[[#This Row],[SKU]],'All Skus'!$A:$AC,2,FALSE))="AKG",(VLOOKUP(Table1[[#This Row],[SKU]],'All Skus'!$A:$AC,20,FALSE)),""))</f>
        <v>5</v>
      </c>
      <c r="Q281" s="64">
        <f>(IF((VLOOKUP(Table1[[#This Row],[SKU]],'All Skus'!$A:$AC,2,FALSE))="AKG",(VLOOKUP(Table1[[#This Row],[SKU]],'All Skus'!$A:$AC,21,FALSE)),""))</f>
        <v>6.8</v>
      </c>
      <c r="R281" s="64" t="str">
        <f>(IF((VLOOKUP(Table1[[#This Row],[SKU]],'All Skus'!$A:$AC,2,FALSE))="AKG",(VLOOKUP(Table1[[#This Row],[SKU]],'All Skus'!$A:$AC,22,FALSE)),""))</f>
        <v>CN</v>
      </c>
      <c r="S281" s="64" t="str">
        <f>(IF((VLOOKUP(Table1[[#This Row],[SKU]],'All Skus'!$A:$AC,2,FALSE))="AKG",(VLOOKUP(Table1[[#This Row],[SKU]],'All Skus'!$A:$AC,23,FALSE)),""))</f>
        <v>Non Compliant</v>
      </c>
      <c r="T281" s="210" t="str">
        <f>HYPERLINK((IF((VLOOKUP(Table1[[#This Row],[SKU]],'All Skus'!$A:$AC,2,FALSE))="AKG",(VLOOKUP(Table1[[#This Row],[SKU]],'All Skus'!$A:$AC,24,FALSE)),"")))</f>
        <v>https://www.akg.com/Wireless/Wireless%20Accessories/3082X00020.html</v>
      </c>
      <c r="U281" s="151">
        <v>279</v>
      </c>
    </row>
    <row r="282" spans="1:21" ht="15" hidden="1" customHeight="1">
      <c r="A282" s="50" t="s">
        <v>437</v>
      </c>
      <c r="B282" s="52" t="str">
        <f>(IF((VLOOKUP(Table1[[#This Row],[SKU]],'All Skus'!$A:$AC,2,FALSE))="AKG",(VLOOKUP(Table1[[#This Row],[SKU]],'All Skus'!$A:$AC,3,FALSE)), ""))</f>
        <v>Handheld Vocal Microphone</v>
      </c>
      <c r="C282" s="60" t="str">
        <f>(IF((VLOOKUP(Table1[[#This Row],[SKU]],'All Skus'!$A:$AC,2,FALSE))="AKG",(VLOOKUP(Table1[[#This Row],[SKU]],'All Skus'!$A:$AC,4,FALSE)),""))</f>
        <v>C7 WL1</v>
      </c>
      <c r="D282" s="60" t="str">
        <f>(IF((VLOOKUP(Table1[[#This Row],[SKU]],'All Skus'!$A:$AC,2,FALSE))="AKG",(VLOOKUP(Table1[[#This Row],[SKU]],'All Skus'!$A:$AC,5,FALSE)),""))</f>
        <v>AT690092</v>
      </c>
      <c r="E282" s="60">
        <f>(IF((VLOOKUP(Table1[[#This Row],[SKU]],'All Skus'!$A:$AC,2,FALSE))="AKG",(VLOOKUP(Table1[[#This Row],[SKU]],'All Skus'!$A:$AC,6,FALSE)),""))</f>
        <v>0</v>
      </c>
      <c r="F282" s="60">
        <f>(IF((VLOOKUP(Table1[[#This Row],[SKU]],'All Skus'!$A:$AC,2,FALSE))="AKG",(VLOOKUP(Table1[[#This Row],[SKU]],'All Skus'!$A:$AC,7,FALSE)),""))</f>
        <v>0</v>
      </c>
      <c r="G282" s="45" t="str">
        <f>(IF((VLOOKUP(Table1[[#This Row],[SKU]],'All Skus'!$A:$AC,2,FALSE))="AKG",(VLOOKUP(Table1[[#This Row],[SKU]],'All Skus'!$A:$AC,8,FALSE)),""))</f>
        <v>Handheld Vocal Microphone</v>
      </c>
      <c r="H282" s="45" t="str">
        <f>(IF((VLOOKUP(Table1[[#This Row],[SKU]],'All Skus'!$A:$AC,2,FALSE))="AKG",(VLOOKUP(Table1[[#This Row],[SKU]],'All Skus'!$A:$AC,9,FALSE)),""))</f>
        <v>Microphone head with C7 acoustic for wireless systems DMS800 and WMS4500</v>
      </c>
      <c r="I282" s="141">
        <f>(IF((VLOOKUP(Table1[[#This Row],[SKU]],'All Skus'!$A:$AC,2,FALSE))="AKG",(VLOOKUP(Table1[[#This Row],[SKU]],'All Skus'!$A:$AC,10,FALSE)),""))</f>
        <v>373.34</v>
      </c>
      <c r="J282" s="141">
        <f>(IF((VLOOKUP(Table1[[#This Row],[SKU]],'All Skus'!$A:$AC,2,FALSE))="AKG",(VLOOKUP(Table1[[#This Row],[SKU]],'All Skus'!$A:$AC,11,FALSE)),""))</f>
        <v>298</v>
      </c>
      <c r="K282" s="125">
        <f>(IF((VLOOKUP(Table1[[#This Row],[SKU]],'All Skus'!$A:$AC,2,FALSE))="AKG",(VLOOKUP(Table1[[#This Row],[SKU]],'All Skus'!$A:$AC,15,FALSE)),""))</f>
        <v>0</v>
      </c>
      <c r="L282" s="124">
        <f>(IF((VLOOKUP(Table1[[#This Row],[SKU]],'All Skus'!$A:$AC,2,FALSE))="AKG",(VLOOKUP(Table1[[#This Row],[SKU]],'All Skus'!$A:$AC,16,FALSE)),""))</f>
        <v>885038040149</v>
      </c>
      <c r="M282" s="124">
        <f>(IF((VLOOKUP(Table1[[#This Row],[SKU]],'All Skus'!$A:$AC,2,FALSE))="AKG",(VLOOKUP(Table1[[#This Row],[SKU]],'All Skus'!$A:$AC,17,FALSE)),""))</f>
        <v>9002761040142</v>
      </c>
      <c r="N282" s="64">
        <f>(IF((VLOOKUP(Table1[[#This Row],[SKU]],'All Skus'!$A:$AC,2,FALSE))="AKG",(VLOOKUP(Table1[[#This Row],[SKU]],'All Skus'!$A:$AC,18,FALSE)),""))</f>
        <v>3</v>
      </c>
      <c r="O282" s="64">
        <f>(IF((VLOOKUP(Table1[[#This Row],[SKU]],'All Skus'!$A:$AC,2,FALSE))="AKG",(VLOOKUP(Table1[[#This Row],[SKU]],'All Skus'!$A:$AC,19,FALSE)),""))</f>
        <v>4</v>
      </c>
      <c r="P282" s="64">
        <f>(IF((VLOOKUP(Table1[[#This Row],[SKU]],'All Skus'!$A:$AC,2,FALSE))="AKG",(VLOOKUP(Table1[[#This Row],[SKU]],'All Skus'!$A:$AC,20,FALSE)),""))</f>
        <v>3.25</v>
      </c>
      <c r="Q282" s="64">
        <f>(IF((VLOOKUP(Table1[[#This Row],[SKU]],'All Skus'!$A:$AC,2,FALSE))="AKG",(VLOOKUP(Table1[[#This Row],[SKU]],'All Skus'!$A:$AC,21,FALSE)),""))</f>
        <v>3.2</v>
      </c>
      <c r="R282" s="64" t="str">
        <f>(IF((VLOOKUP(Table1[[#This Row],[SKU]],'All Skus'!$A:$AC,2,FALSE))="AKG",(VLOOKUP(Table1[[#This Row],[SKU]],'All Skus'!$A:$AC,22,FALSE)),""))</f>
        <v>CN</v>
      </c>
      <c r="S282" s="64" t="str">
        <f>(IF((VLOOKUP(Table1[[#This Row],[SKU]],'All Skus'!$A:$AC,2,FALSE))="AKG",(VLOOKUP(Table1[[#This Row],[SKU]],'All Skus'!$A:$AC,23,FALSE)),""))</f>
        <v>Non Compliant</v>
      </c>
      <c r="T282" s="210" t="str">
        <f>HYPERLINK((IF((VLOOKUP(Table1[[#This Row],[SKU]],'All Skus'!$A:$AC,2,FALSE))="AKG",(VLOOKUP(Table1[[#This Row],[SKU]],'All Skus'!$A:$AC,24,FALSE)),"")))</f>
        <v>https://www.akg.com/Wireless/Wireless%20Accessories/3438X00030.html</v>
      </c>
      <c r="U282" s="151">
        <v>280</v>
      </c>
    </row>
    <row r="283" spans="1:21" ht="15" hidden="1" customHeight="1">
      <c r="A283" s="50" t="s">
        <v>438</v>
      </c>
      <c r="B283" s="52" t="str">
        <f>(IF((VLOOKUP(Table1[[#This Row],[SKU]],'All Skus'!$A:$AC,2,FALSE))="AKG",(VLOOKUP(Table1[[#This Row],[SKU]],'All Skus'!$A:$AC,3,FALSE)), ""))</f>
        <v>Wireless Mics</v>
      </c>
      <c r="C283" s="60" t="str">
        <f>(IF((VLOOKUP(Table1[[#This Row],[SKU]],'All Skus'!$A:$AC,2,FALSE))="AKG",(VLOOKUP(Table1[[#This Row],[SKU]],'All Skus'!$A:$AC,4,FALSE)),""))</f>
        <v>D7 WL1</v>
      </c>
      <c r="D283" s="60" t="str">
        <f>(IF((VLOOKUP(Table1[[#This Row],[SKU]],'All Skus'!$A:$AC,2,FALSE))="AKG",(VLOOKUP(Table1[[#This Row],[SKU]],'All Skus'!$A:$AC,5,FALSE)),""))</f>
        <v>AT690091</v>
      </c>
      <c r="E283" s="60">
        <f>(IF((VLOOKUP(Table1[[#This Row],[SKU]],'All Skus'!$A:$AC,2,FALSE))="AKG",(VLOOKUP(Table1[[#This Row],[SKU]],'All Skus'!$A:$AC,6,FALSE)),""))</f>
        <v>0</v>
      </c>
      <c r="F283" s="60">
        <f>(IF((VLOOKUP(Table1[[#This Row],[SKU]],'All Skus'!$A:$AC,2,FALSE))="AKG",(VLOOKUP(Table1[[#This Row],[SKU]],'All Skus'!$A:$AC,7,FALSE)),""))</f>
        <v>0</v>
      </c>
      <c r="G283" s="45" t="str">
        <f>(IF((VLOOKUP(Table1[[#This Row],[SKU]],'All Skus'!$A:$AC,2,FALSE))="AKG",(VLOOKUP(Table1[[#This Row],[SKU]],'All Skus'!$A:$AC,8,FALSE)),""))</f>
        <v>Microphone Head</v>
      </c>
      <c r="H283" s="45" t="str">
        <f>(IF((VLOOKUP(Table1[[#This Row],[SKU]],'All Skus'!$A:$AC,2,FALSE))="AKG",(VLOOKUP(Table1[[#This Row],[SKU]],'All Skus'!$A:$AC,9,FALSE)),""))</f>
        <v>Microphone head with D7 acoustic</v>
      </c>
      <c r="I283" s="141">
        <f>(IF((VLOOKUP(Table1[[#This Row],[SKU]],'All Skus'!$A:$AC,2,FALSE))="AKG",(VLOOKUP(Table1[[#This Row],[SKU]],'All Skus'!$A:$AC,10,FALSE)),""))</f>
        <v>298.92</v>
      </c>
      <c r="J283" s="141">
        <f>(IF((VLOOKUP(Table1[[#This Row],[SKU]],'All Skus'!$A:$AC,2,FALSE))="AKG",(VLOOKUP(Table1[[#This Row],[SKU]],'All Skus'!$A:$AC,11,FALSE)),""))</f>
        <v>236</v>
      </c>
      <c r="K283" s="125">
        <f>(IF((VLOOKUP(Table1[[#This Row],[SKU]],'All Skus'!$A:$AC,2,FALSE))="AKG",(VLOOKUP(Table1[[#This Row],[SKU]],'All Skus'!$A:$AC,15,FALSE)),""))</f>
        <v>36</v>
      </c>
      <c r="L283" s="124">
        <f>(IF((VLOOKUP(Table1[[#This Row],[SKU]],'All Skus'!$A:$AC,2,FALSE))="AKG",(VLOOKUP(Table1[[#This Row],[SKU]],'All Skus'!$A:$AC,16,FALSE)),""))</f>
        <v>885038024477</v>
      </c>
      <c r="M283" s="124">
        <f>(IF((VLOOKUP(Table1[[#This Row],[SKU]],'All Skus'!$A:$AC,2,FALSE))="AKG",(VLOOKUP(Table1[[#This Row],[SKU]],'All Skus'!$A:$AC,17,FALSE)),""))</f>
        <v>9002761024470</v>
      </c>
      <c r="N283" s="64">
        <f>(IF((VLOOKUP(Table1[[#This Row],[SKU]],'All Skus'!$A:$AC,2,FALSE))="AKG",(VLOOKUP(Table1[[#This Row],[SKU]],'All Skus'!$A:$AC,18,FALSE)),""))</f>
        <v>4</v>
      </c>
      <c r="O283" s="64">
        <f>(IF((VLOOKUP(Table1[[#This Row],[SKU]],'All Skus'!$A:$AC,2,FALSE))="AKG",(VLOOKUP(Table1[[#This Row],[SKU]],'All Skus'!$A:$AC,19,FALSE)),""))</f>
        <v>3</v>
      </c>
      <c r="P283" s="64">
        <f>(IF((VLOOKUP(Table1[[#This Row],[SKU]],'All Skus'!$A:$AC,2,FALSE))="AKG",(VLOOKUP(Table1[[#This Row],[SKU]],'All Skus'!$A:$AC,20,FALSE)),""))</f>
        <v>5</v>
      </c>
      <c r="Q283" s="64">
        <f>(IF((VLOOKUP(Table1[[#This Row],[SKU]],'All Skus'!$A:$AC,2,FALSE))="AKG",(VLOOKUP(Table1[[#This Row],[SKU]],'All Skus'!$A:$AC,21,FALSE)),""))</f>
        <v>5.2</v>
      </c>
      <c r="R283" s="64" t="str">
        <f>(IF((VLOOKUP(Table1[[#This Row],[SKU]],'All Skus'!$A:$AC,2,FALSE))="AKG",(VLOOKUP(Table1[[#This Row],[SKU]],'All Skus'!$A:$AC,22,FALSE)),""))</f>
        <v>CN</v>
      </c>
      <c r="S283" s="64" t="str">
        <f>(IF((VLOOKUP(Table1[[#This Row],[SKU]],'All Skus'!$A:$AC,2,FALSE))="AKG",(VLOOKUP(Table1[[#This Row],[SKU]],'All Skus'!$A:$AC,23,FALSE)),""))</f>
        <v>Non Compliant</v>
      </c>
      <c r="T283" s="210" t="str">
        <f>HYPERLINK((IF((VLOOKUP(Table1[[#This Row],[SKU]],'All Skus'!$A:$AC,2,FALSE))="AKG",(VLOOKUP(Table1[[#This Row],[SKU]],'All Skus'!$A:$AC,24,FALSE)),"")))</f>
        <v>https://www.akg.com/Wireless/Wireless%20Accessories/3082X00030.html</v>
      </c>
      <c r="U283" s="151">
        <v>281</v>
      </c>
    </row>
    <row r="284" spans="1:21" ht="15" hidden="1" customHeight="1">
      <c r="A284" s="50" t="s">
        <v>439</v>
      </c>
      <c r="B284" s="52" t="str">
        <f>(IF((VLOOKUP(Table1[[#This Row],[SKU]],'All Skus'!$A:$AC,2,FALSE))="AKG",(VLOOKUP(Table1[[#This Row],[SKU]],'All Skus'!$A:$AC,3,FALSE)), ""))</f>
        <v xml:space="preserve">Handheld Vocal Microphone </v>
      </c>
      <c r="C284" s="60" t="str">
        <f>(IF((VLOOKUP(Table1[[#This Row],[SKU]],'All Skus'!$A:$AC,2,FALSE))="AKG",(VLOOKUP(Table1[[#This Row],[SKU]],'All Skus'!$A:$AC,4,FALSE)),""))</f>
        <v>C636 WL1</v>
      </c>
      <c r="D284" s="60" t="str">
        <f>(IF((VLOOKUP(Table1[[#This Row],[SKU]],'All Skus'!$A:$AC,2,FALSE))="AKG",(VLOOKUP(Table1[[#This Row],[SKU]],'All Skus'!$A:$AC,5,FALSE)),""))</f>
        <v>AT690091</v>
      </c>
      <c r="E284" s="60">
        <f>(IF((VLOOKUP(Table1[[#This Row],[SKU]],'All Skus'!$A:$AC,2,FALSE))="AKG",(VLOOKUP(Table1[[#This Row],[SKU]],'All Skus'!$A:$AC,6,FALSE)),""))</f>
        <v>0</v>
      </c>
      <c r="F284" s="60">
        <f>(IF((VLOOKUP(Table1[[#This Row],[SKU]],'All Skus'!$A:$AC,2,FALSE))="AKG",(VLOOKUP(Table1[[#This Row],[SKU]],'All Skus'!$A:$AC,7,FALSE)),""))</f>
        <v>0</v>
      </c>
      <c r="G284" s="45" t="str">
        <f>(IF((VLOOKUP(Table1[[#This Row],[SKU]],'All Skus'!$A:$AC,2,FALSE))="AKG",(VLOOKUP(Table1[[#This Row],[SKU]],'All Skus'!$A:$AC,8,FALSE)),""))</f>
        <v>Microphone head</v>
      </c>
      <c r="H284" s="45" t="str">
        <f>(IF((VLOOKUP(Table1[[#This Row],[SKU]],'All Skus'!$A:$AC,2,FALSE))="AKG",(VLOOKUP(Table1[[#This Row],[SKU]],'All Skus'!$A:$AC,9,FALSE)),""))</f>
        <v>Microphone head with C636 acoustic for wireless systems DMS800 and WMS4500</v>
      </c>
      <c r="I284" s="141">
        <f>(IF((VLOOKUP(Table1[[#This Row],[SKU]],'All Skus'!$A:$AC,2,FALSE))="AKG",(VLOOKUP(Table1[[#This Row],[SKU]],'All Skus'!$A:$AC,10,FALSE)),""))</f>
        <v>743.09</v>
      </c>
      <c r="J284" s="141">
        <f>(IF((VLOOKUP(Table1[[#This Row],[SKU]],'All Skus'!$A:$AC,2,FALSE))="AKG",(VLOOKUP(Table1[[#This Row],[SKU]],'All Skus'!$A:$AC,11,FALSE)),""))</f>
        <v>603</v>
      </c>
      <c r="K284" s="125">
        <f>(IF((VLOOKUP(Table1[[#This Row],[SKU]],'All Skus'!$A:$AC,2,FALSE))="AKG",(VLOOKUP(Table1[[#This Row],[SKU]],'All Skus'!$A:$AC,15,FALSE)),""))</f>
        <v>0</v>
      </c>
      <c r="L284" s="124">
        <f>(IF((VLOOKUP(Table1[[#This Row],[SKU]],'All Skus'!$A:$AC,2,FALSE))="AKG",(VLOOKUP(Table1[[#This Row],[SKU]],'All Skus'!$A:$AC,16,FALSE)),""))</f>
        <v>885038040132</v>
      </c>
      <c r="M284" s="124">
        <f>(IF((VLOOKUP(Table1[[#This Row],[SKU]],'All Skus'!$A:$AC,2,FALSE))="AKG",(VLOOKUP(Table1[[#This Row],[SKU]],'All Skus'!$A:$AC,17,FALSE)),""))</f>
        <v>9002761040135</v>
      </c>
      <c r="N284" s="64">
        <f>(IF((VLOOKUP(Table1[[#This Row],[SKU]],'All Skus'!$A:$AC,2,FALSE))="AKG",(VLOOKUP(Table1[[#This Row],[SKU]],'All Skus'!$A:$AC,18,FALSE)),""))</f>
        <v>0</v>
      </c>
      <c r="O284" s="64">
        <f>(IF((VLOOKUP(Table1[[#This Row],[SKU]],'All Skus'!$A:$AC,2,FALSE))="AKG",(VLOOKUP(Table1[[#This Row],[SKU]],'All Skus'!$A:$AC,19,FALSE)),""))</f>
        <v>0</v>
      </c>
      <c r="P284" s="64">
        <f>(IF((VLOOKUP(Table1[[#This Row],[SKU]],'All Skus'!$A:$AC,2,FALSE))="AKG",(VLOOKUP(Table1[[#This Row],[SKU]],'All Skus'!$A:$AC,20,FALSE)),""))</f>
        <v>0</v>
      </c>
      <c r="Q284" s="64">
        <f>(IF((VLOOKUP(Table1[[#This Row],[SKU]],'All Skus'!$A:$AC,2,FALSE))="AKG",(VLOOKUP(Table1[[#This Row],[SKU]],'All Skus'!$A:$AC,21,FALSE)),""))</f>
        <v>3.2</v>
      </c>
      <c r="R284" s="64" t="str">
        <f>(IF((VLOOKUP(Table1[[#This Row],[SKU]],'All Skus'!$A:$AC,2,FALSE))="AKG",(VLOOKUP(Table1[[#This Row],[SKU]],'All Skus'!$A:$AC,22,FALSE)),""))</f>
        <v>CN</v>
      </c>
      <c r="S284" s="64" t="str">
        <f>(IF((VLOOKUP(Table1[[#This Row],[SKU]],'All Skus'!$A:$AC,2,FALSE))="AKG",(VLOOKUP(Table1[[#This Row],[SKU]],'All Skus'!$A:$AC,23,FALSE)),""))</f>
        <v>Non Compliant</v>
      </c>
      <c r="T284" s="210" t="str">
        <f>HYPERLINK((IF((VLOOKUP(Table1[[#This Row],[SKU]],'All Skus'!$A:$AC,2,FALSE))="AKG",(VLOOKUP(Table1[[#This Row],[SKU]],'All Skus'!$A:$AC,24,FALSE)),"")))</f>
        <v>https://www.akg.com/Wireless/Wireless%20Accessories/3439X00030.html</v>
      </c>
      <c r="U284" s="151">
        <v>282</v>
      </c>
    </row>
    <row r="285" spans="1:21" ht="15" hidden="1" customHeight="1">
      <c r="A285" s="50" t="s">
        <v>440</v>
      </c>
      <c r="B285" s="52" t="str">
        <f>(IF((VLOOKUP(Table1[[#This Row],[SKU]],'All Skus'!$A:$AC,2,FALSE))="AKG",(VLOOKUP(Table1[[#This Row],[SKU]],'All Skus'!$A:$AC,3,FALSE)), ""))</f>
        <v>Wireless Mics</v>
      </c>
      <c r="C285" s="60" t="str">
        <f>(IF((VLOOKUP(Table1[[#This Row],[SKU]],'All Skus'!$A:$AC,2,FALSE))="AKG",(VLOOKUP(Table1[[#This Row],[SKU]],'All Skus'!$A:$AC,4,FALSE)),""))</f>
        <v>DMS800 WLMA-US</v>
      </c>
      <c r="D285" s="60" t="str">
        <f>(IF((VLOOKUP(Table1[[#This Row],[SKU]],'All Skus'!$A:$AC,2,FALSE))="AKG",(VLOOKUP(Table1[[#This Row],[SKU]],'All Skus'!$A:$AC,5,FALSE)),""))</f>
        <v>AT690091</v>
      </c>
      <c r="E285" s="60">
        <f>(IF((VLOOKUP(Table1[[#This Row],[SKU]],'All Skus'!$A:$AC,2,FALSE))="AKG",(VLOOKUP(Table1[[#This Row],[SKU]],'All Skus'!$A:$AC,6,FALSE)),""))</f>
        <v>0</v>
      </c>
      <c r="F285" s="60">
        <f>(IF((VLOOKUP(Table1[[#This Row],[SKU]],'All Skus'!$A:$AC,2,FALSE))="AKG",(VLOOKUP(Table1[[#This Row],[SKU]],'All Skus'!$A:$AC,7,FALSE)),""))</f>
        <v>0</v>
      </c>
      <c r="G285" s="45" t="str">
        <f>(IF((VLOOKUP(Table1[[#This Row],[SKU]],'All Skus'!$A:$AC,2,FALSE))="AKG",(VLOOKUP(Table1[[#This Row],[SKU]],'All Skus'!$A:$AC,8,FALSE)),""))</f>
        <v>Digital Microphone System</v>
      </c>
      <c r="H285" s="45" t="str">
        <f>(IF((VLOOKUP(Table1[[#This Row],[SKU]],'All Skus'!$A:$AC,2,FALSE))="AKG",(VLOOKUP(Table1[[#This Row],[SKU]],'All Skus'!$A:$AC,9,FALSE)),""))</f>
        <v>Wireless microphone adapter for SHURE wireless microphone heads</v>
      </c>
      <c r="I285" s="141">
        <f>(IF((VLOOKUP(Table1[[#This Row],[SKU]],'All Skus'!$A:$AC,2,FALSE))="AKG",(VLOOKUP(Table1[[#This Row],[SKU]],'All Skus'!$A:$AC,10,FALSE)),""))</f>
        <v>143.30000000000001</v>
      </c>
      <c r="J285" s="141">
        <f>(IF((VLOOKUP(Table1[[#This Row],[SKU]],'All Skus'!$A:$AC,2,FALSE))="AKG",(VLOOKUP(Table1[[#This Row],[SKU]],'All Skus'!$A:$AC,11,FALSE)),""))</f>
        <v>119</v>
      </c>
      <c r="K285" s="125">
        <f>(IF((VLOOKUP(Table1[[#This Row],[SKU]],'All Skus'!$A:$AC,2,FALSE))="AKG",(VLOOKUP(Table1[[#This Row],[SKU]],'All Skus'!$A:$AC,15,FALSE)),""))</f>
        <v>0</v>
      </c>
      <c r="L285" s="124">
        <f>(IF((VLOOKUP(Table1[[#This Row],[SKU]],'All Skus'!$A:$AC,2,FALSE))="AKG",(VLOOKUP(Table1[[#This Row],[SKU]],'All Skus'!$A:$AC,16,FALSE)),""))</f>
        <v>885038038238</v>
      </c>
      <c r="M285" s="124">
        <f>(IF((VLOOKUP(Table1[[#This Row],[SKU]],'All Skus'!$A:$AC,2,FALSE))="AKG",(VLOOKUP(Table1[[#This Row],[SKU]],'All Skus'!$A:$AC,17,FALSE)),""))</f>
        <v>0</v>
      </c>
      <c r="N285" s="64">
        <f>(IF((VLOOKUP(Table1[[#This Row],[SKU]],'All Skus'!$A:$AC,2,FALSE))="AKG",(VLOOKUP(Table1[[#This Row],[SKU]],'All Skus'!$A:$AC,18,FALSE)),""))</f>
        <v>1</v>
      </c>
      <c r="O285" s="64">
        <f>(IF((VLOOKUP(Table1[[#This Row],[SKU]],'All Skus'!$A:$AC,2,FALSE))="AKG",(VLOOKUP(Table1[[#This Row],[SKU]],'All Skus'!$A:$AC,19,FALSE)),""))</f>
        <v>3</v>
      </c>
      <c r="P285" s="64">
        <f>(IF((VLOOKUP(Table1[[#This Row],[SKU]],'All Skus'!$A:$AC,2,FALSE))="AKG",(VLOOKUP(Table1[[#This Row],[SKU]],'All Skus'!$A:$AC,20,FALSE)),""))</f>
        <v>4</v>
      </c>
      <c r="Q285" s="64">
        <f>(IF((VLOOKUP(Table1[[#This Row],[SKU]],'All Skus'!$A:$AC,2,FALSE))="AKG",(VLOOKUP(Table1[[#This Row],[SKU]],'All Skus'!$A:$AC,21,FALSE)),""))</f>
        <v>0</v>
      </c>
      <c r="R285" s="64" t="str">
        <f>(IF((VLOOKUP(Table1[[#This Row],[SKU]],'All Skus'!$A:$AC,2,FALSE))="AKG",(VLOOKUP(Table1[[#This Row],[SKU]],'All Skus'!$A:$AC,22,FALSE)),""))</f>
        <v>HU</v>
      </c>
      <c r="S285" s="64" t="str">
        <f>(IF((VLOOKUP(Table1[[#This Row],[SKU]],'All Skus'!$A:$AC,2,FALSE))="AKG",(VLOOKUP(Table1[[#This Row],[SKU]],'All Skus'!$A:$AC,23,FALSE)),""))</f>
        <v>Compliant</v>
      </c>
      <c r="T285" s="210" t="str">
        <f>HYPERLINK((IF((VLOOKUP(Table1[[#This Row],[SKU]],'All Skus'!$A:$AC,2,FALSE))="AKG",(VLOOKUP(Table1[[#This Row],[SKU]],'All Skus'!$A:$AC,24,FALSE)),"")))</f>
        <v>https://www.akg.com/Wireless/Wireless%20Accessories/3009H00140.html</v>
      </c>
      <c r="U285" s="151">
        <v>283</v>
      </c>
    </row>
    <row r="286" spans="1:21" ht="15" hidden="1" customHeight="1">
      <c r="A286" s="50" t="s">
        <v>441</v>
      </c>
      <c r="B286" s="52" t="str">
        <f>(IF((VLOOKUP(Table1[[#This Row],[SKU]],'All Skus'!$A:$AC,2,FALSE))="AKG",(VLOOKUP(Table1[[#This Row],[SKU]],'All Skus'!$A:$AC,3,FALSE)), ""))</f>
        <v>Accessories</v>
      </c>
      <c r="C286" s="60" t="str">
        <f>(IF((VLOOKUP(Table1[[#This Row],[SKU]],'All Skus'!$A:$AC,2,FALSE))="AKG",(VLOOKUP(Table1[[#This Row],[SKU]],'All Skus'!$A:$AC,4,FALSE)),""))</f>
        <v>APS4/NONE ANTENNA POWER SPLITTER</v>
      </c>
      <c r="D286" s="60" t="str">
        <f>(IF((VLOOKUP(Table1[[#This Row],[SKU]],'All Skus'!$A:$AC,2,FALSE))="AKG",(VLOOKUP(Table1[[#This Row],[SKU]],'All Skus'!$A:$AC,5,FALSE)),""))</f>
        <v>AT690092</v>
      </c>
      <c r="E286" s="60">
        <f>(IF((VLOOKUP(Table1[[#This Row],[SKU]],'All Skus'!$A:$AC,2,FALSE))="AKG",(VLOOKUP(Table1[[#This Row],[SKU]],'All Skus'!$A:$AC,6,FALSE)),""))</f>
        <v>0</v>
      </c>
      <c r="F286" s="60">
        <f>(IF((VLOOKUP(Table1[[#This Row],[SKU]],'All Skus'!$A:$AC,2,FALSE))="AKG",(VLOOKUP(Table1[[#This Row],[SKU]],'All Skus'!$A:$AC,7,FALSE)),""))</f>
        <v>0</v>
      </c>
      <c r="G286" s="45" t="str">
        <f>(IF((VLOOKUP(Table1[[#This Row],[SKU]],'All Skus'!$A:$AC,2,FALSE))="AKG",(VLOOKUP(Table1[[#This Row],[SKU]],'All Skus'!$A:$AC,8,FALSE)),""))</f>
        <v>APS4/NONE ANTENNA POWER SPLITTER</v>
      </c>
      <c r="H286" s="45" t="str">
        <f>(IF((VLOOKUP(Table1[[#This Row],[SKU]],'All Skus'!$A:$AC,2,FALSE))="AKG",(VLOOKUP(Table1[[#This Row],[SKU]],'All Skus'!$A:$AC,9,FALSE)),""))</f>
        <v>APS4/NONE ANTENNA POWER SPLITTER</v>
      </c>
      <c r="I286" s="141">
        <f>(IF((VLOOKUP(Table1[[#This Row],[SKU]],'All Skus'!$A:$AC,2,FALSE))="AKG",(VLOOKUP(Table1[[#This Row],[SKU]],'All Skus'!$A:$AC,10,FALSE)),""))</f>
        <v>923.16</v>
      </c>
      <c r="J286" s="141">
        <f>(IF((VLOOKUP(Table1[[#This Row],[SKU]],'All Skus'!$A:$AC,2,FALSE))="AKG",(VLOOKUP(Table1[[#This Row],[SKU]],'All Skus'!$A:$AC,11,FALSE)),""))</f>
        <v>659</v>
      </c>
      <c r="K286" s="125">
        <f>(IF((VLOOKUP(Table1[[#This Row],[SKU]],'All Skus'!$A:$AC,2,FALSE))="AKG",(VLOOKUP(Table1[[#This Row],[SKU]],'All Skus'!$A:$AC,15,FALSE)),""))</f>
        <v>0</v>
      </c>
      <c r="L286" s="124">
        <f>(IF((VLOOKUP(Table1[[#This Row],[SKU]],'All Skus'!$A:$AC,2,FALSE))="AKG",(VLOOKUP(Table1[[#This Row],[SKU]],'All Skus'!$A:$AC,16,FALSE)),""))</f>
        <v>885038037835</v>
      </c>
      <c r="M286" s="124">
        <f>(IF((VLOOKUP(Table1[[#This Row],[SKU]],'All Skus'!$A:$AC,2,FALSE))="AKG",(VLOOKUP(Table1[[#This Row],[SKU]],'All Skus'!$A:$AC,17,FALSE)),""))</f>
        <v>0</v>
      </c>
      <c r="N286" s="64">
        <f>(IF((VLOOKUP(Table1[[#This Row],[SKU]],'All Skus'!$A:$AC,2,FALSE))="AKG",(VLOOKUP(Table1[[#This Row],[SKU]],'All Skus'!$A:$AC,18,FALSE)),""))</f>
        <v>24</v>
      </c>
      <c r="O286" s="64">
        <f>(IF((VLOOKUP(Table1[[#This Row],[SKU]],'All Skus'!$A:$AC,2,FALSE))="AKG",(VLOOKUP(Table1[[#This Row],[SKU]],'All Skus'!$A:$AC,19,FALSE)),""))</f>
        <v>24</v>
      </c>
      <c r="P286" s="64">
        <f>(IF((VLOOKUP(Table1[[#This Row],[SKU]],'All Skus'!$A:$AC,2,FALSE))="AKG",(VLOOKUP(Table1[[#This Row],[SKU]],'All Skus'!$A:$AC,20,FALSE)),""))</f>
        <v>4</v>
      </c>
      <c r="Q286" s="64">
        <f>(IF((VLOOKUP(Table1[[#This Row],[SKU]],'All Skus'!$A:$AC,2,FALSE))="AKG",(VLOOKUP(Table1[[#This Row],[SKU]],'All Skus'!$A:$AC,21,FALSE)),""))</f>
        <v>0</v>
      </c>
      <c r="R286" s="64" t="str">
        <f>(IF((VLOOKUP(Table1[[#This Row],[SKU]],'All Skus'!$A:$AC,2,FALSE))="AKG",(VLOOKUP(Table1[[#This Row],[SKU]],'All Skus'!$A:$AC,22,FALSE)),""))</f>
        <v>CN</v>
      </c>
      <c r="S286" s="64" t="str">
        <f>(IF((VLOOKUP(Table1[[#This Row],[SKU]],'All Skus'!$A:$AC,2,FALSE))="AKG",(VLOOKUP(Table1[[#This Row],[SKU]],'All Skus'!$A:$AC,23,FALSE)),""))</f>
        <v>Non Compliant</v>
      </c>
      <c r="T286" s="210" t="str">
        <f>HYPERLINK((IF((VLOOKUP(Table1[[#This Row],[SKU]],'All Skus'!$A:$AC,2,FALSE))="AKG",(VLOOKUP(Table1[[#This Row],[SKU]],'All Skus'!$A:$AC,24,FALSE)),"")))</f>
        <v>https://www.akg.com/Wireless/Wireless%20Accessories/3296H00010.html</v>
      </c>
      <c r="U286" s="151">
        <v>284</v>
      </c>
    </row>
    <row r="287" spans="1:21" ht="15" hidden="1" customHeight="1">
      <c r="A287" s="50" t="s">
        <v>442</v>
      </c>
      <c r="B287" s="52" t="str">
        <f>(IF((VLOOKUP(Table1[[#This Row],[SKU]],'All Skus'!$A:$AC,2,FALSE))="AKG",(VLOOKUP(Table1[[#This Row],[SKU]],'All Skus'!$A:$AC,3,FALSE)), ""))</f>
        <v>Accessories</v>
      </c>
      <c r="C287" s="60" t="str">
        <f>(IF((VLOOKUP(Table1[[#This Row],[SKU]],'All Skus'!$A:$AC,2,FALSE))="AKG",(VLOOKUP(Table1[[#This Row],[SKU]],'All Skus'!$A:$AC,4,FALSE)),""))</f>
        <v xml:space="preserve">APS4 EU/US/UK/AU ANTENNA POWER SPLITTER </v>
      </c>
      <c r="D287" s="60" t="str">
        <f>(IF((VLOOKUP(Table1[[#This Row],[SKU]],'All Skus'!$A:$AC,2,FALSE))="AKG",(VLOOKUP(Table1[[#This Row],[SKU]],'All Skus'!$A:$AC,5,FALSE)),""))</f>
        <v>AT690092</v>
      </c>
      <c r="E287" s="60">
        <f>(IF((VLOOKUP(Table1[[#This Row],[SKU]],'All Skus'!$A:$AC,2,FALSE))="AKG",(VLOOKUP(Table1[[#This Row],[SKU]],'All Skus'!$A:$AC,6,FALSE)),""))</f>
        <v>0</v>
      </c>
      <c r="F287" s="60">
        <f>(IF((VLOOKUP(Table1[[#This Row],[SKU]],'All Skus'!$A:$AC,2,FALSE))="AKG",(VLOOKUP(Table1[[#This Row],[SKU]],'All Skus'!$A:$AC,7,FALSE)),""))</f>
        <v>0</v>
      </c>
      <c r="G287" s="45" t="str">
        <f>(IF((VLOOKUP(Table1[[#This Row],[SKU]],'All Skus'!$A:$AC,2,FALSE))="AKG",(VLOOKUP(Table1[[#This Row],[SKU]],'All Skus'!$A:$AC,8,FALSE)),""))</f>
        <v xml:space="preserve">APS4 EU/US/UK/AU ANTENNA POWER SPLITTER </v>
      </c>
      <c r="H287" s="45" t="str">
        <f>(IF((VLOOKUP(Table1[[#This Row],[SKU]],'All Skus'!$A:$AC,2,FALSE))="AKG",(VLOOKUP(Table1[[#This Row],[SKU]],'All Skus'!$A:$AC,9,FALSE)),""))</f>
        <v xml:space="preserve">APS4 EU/US/UK/AU ANTENNA POWER SPLITTER </v>
      </c>
      <c r="I287" s="141">
        <f>(IF((VLOOKUP(Table1[[#This Row],[SKU]],'All Skus'!$A:$AC,2,FALSE))="AKG",(VLOOKUP(Table1[[#This Row],[SKU]],'All Skus'!$A:$AC,10,FALSE)),""))</f>
        <v>1163.25</v>
      </c>
      <c r="J287" s="141">
        <f>(IF((VLOOKUP(Table1[[#This Row],[SKU]],'All Skus'!$A:$AC,2,FALSE))="AKG",(VLOOKUP(Table1[[#This Row],[SKU]],'All Skus'!$A:$AC,11,FALSE)),""))</f>
        <v>871</v>
      </c>
      <c r="K287" s="125">
        <f>(IF((VLOOKUP(Table1[[#This Row],[SKU]],'All Skus'!$A:$AC,2,FALSE))="AKG",(VLOOKUP(Table1[[#This Row],[SKU]],'All Skus'!$A:$AC,15,FALSE)),""))</f>
        <v>0</v>
      </c>
      <c r="L287" s="124">
        <f>(IF((VLOOKUP(Table1[[#This Row],[SKU]],'All Skus'!$A:$AC,2,FALSE))="AKG",(VLOOKUP(Table1[[#This Row],[SKU]],'All Skus'!$A:$AC,16,FALSE)),""))</f>
        <v>885038039754</v>
      </c>
      <c r="M287" s="124">
        <f>(IF((VLOOKUP(Table1[[#This Row],[SKU]],'All Skus'!$A:$AC,2,FALSE))="AKG",(VLOOKUP(Table1[[#This Row],[SKU]],'All Skus'!$A:$AC,17,FALSE)),""))</f>
        <v>0</v>
      </c>
      <c r="N287" s="64">
        <f>(IF((VLOOKUP(Table1[[#This Row],[SKU]],'All Skus'!$A:$AC,2,FALSE))="AKG",(VLOOKUP(Table1[[#This Row],[SKU]],'All Skus'!$A:$AC,18,FALSE)),""))</f>
        <v>0</v>
      </c>
      <c r="O287" s="64">
        <f>(IF((VLOOKUP(Table1[[#This Row],[SKU]],'All Skus'!$A:$AC,2,FALSE))="AKG",(VLOOKUP(Table1[[#This Row],[SKU]],'All Skus'!$A:$AC,19,FALSE)),""))</f>
        <v>0</v>
      </c>
      <c r="P287" s="64">
        <f>(IF((VLOOKUP(Table1[[#This Row],[SKU]],'All Skus'!$A:$AC,2,FALSE))="AKG",(VLOOKUP(Table1[[#This Row],[SKU]],'All Skus'!$A:$AC,20,FALSE)),""))</f>
        <v>0</v>
      </c>
      <c r="Q287" s="64">
        <f>(IF((VLOOKUP(Table1[[#This Row],[SKU]],'All Skus'!$A:$AC,2,FALSE))="AKG",(VLOOKUP(Table1[[#This Row],[SKU]],'All Skus'!$A:$AC,21,FALSE)),""))</f>
        <v>0</v>
      </c>
      <c r="R287" s="64" t="str">
        <f>(IF((VLOOKUP(Table1[[#This Row],[SKU]],'All Skus'!$A:$AC,2,FALSE))="AKG",(VLOOKUP(Table1[[#This Row],[SKU]],'All Skus'!$A:$AC,22,FALSE)),""))</f>
        <v>CN</v>
      </c>
      <c r="S287" s="64" t="str">
        <f>(IF((VLOOKUP(Table1[[#This Row],[SKU]],'All Skus'!$A:$AC,2,FALSE))="AKG",(VLOOKUP(Table1[[#This Row],[SKU]],'All Skus'!$A:$AC,23,FALSE)),""))</f>
        <v>Non Compliant</v>
      </c>
      <c r="T287" s="210" t="str">
        <f>HYPERLINK((IF((VLOOKUP(Table1[[#This Row],[SKU]],'All Skus'!$A:$AC,2,FALSE))="AKG",(VLOOKUP(Table1[[#This Row],[SKU]],'All Skus'!$A:$AC,24,FALSE)),"")))</f>
        <v>https://www.akg.com/Wireless/Wireless%20Accessories/APS4+EU-US-UK-AU.html</v>
      </c>
      <c r="U287" s="151">
        <v>285</v>
      </c>
    </row>
    <row r="288" spans="1:21" ht="15" hidden="1" customHeight="1">
      <c r="A288" s="50" t="s">
        <v>443</v>
      </c>
      <c r="B288" s="52" t="str">
        <f>(IF((VLOOKUP(Table1[[#This Row],[SKU]],'All Skus'!$A:$AC,2,FALSE))="AKG",(VLOOKUP(Table1[[#This Row],[SKU]],'All Skus'!$A:$AC,3,FALSE)), ""))</f>
        <v>Wireless Mics</v>
      </c>
      <c r="C288" s="60" t="str">
        <f>(IF((VLOOKUP(Table1[[#This Row],[SKU]],'All Skus'!$A:$AC,2,FALSE))="AKG",(VLOOKUP(Table1[[#This Row],[SKU]],'All Skus'!$A:$AC,4,FALSE)),""))</f>
        <v>RA4000/EW ANTENNA</v>
      </c>
      <c r="D288" s="60" t="str">
        <f>(IF((VLOOKUP(Table1[[#This Row],[SKU]],'All Skus'!$A:$AC,2,FALSE))="AKG",(VLOOKUP(Table1[[#This Row],[SKU]],'All Skus'!$A:$AC,5,FALSE)),""))</f>
        <v>AT690092</v>
      </c>
      <c r="E288" s="60">
        <f>(IF((VLOOKUP(Table1[[#This Row],[SKU]],'All Skus'!$A:$AC,2,FALSE))="AKG",(VLOOKUP(Table1[[#This Row],[SKU]],'All Skus'!$A:$AC,6,FALSE)),""))</f>
        <v>0</v>
      </c>
      <c r="F288" s="60">
        <f>(IF((VLOOKUP(Table1[[#This Row],[SKU]],'All Skus'!$A:$AC,2,FALSE))="AKG",(VLOOKUP(Table1[[#This Row],[SKU]],'All Skus'!$A:$AC,7,FALSE)),""))</f>
        <v>0</v>
      </c>
      <c r="G288" s="45" t="str">
        <f>(IF((VLOOKUP(Table1[[#This Row],[SKU]],'All Skus'!$A:$AC,2,FALSE))="AKG",(VLOOKUP(Table1[[#This Row],[SKU]],'All Skus'!$A:$AC,8,FALSE)),""))</f>
        <v>Remote Antenna, Omni directional, Dipole Passive Diversity System Receiver</v>
      </c>
      <c r="H288" s="45" t="str">
        <f>(IF((VLOOKUP(Table1[[#This Row],[SKU]],'All Skus'!$A:$AC,2,FALSE))="AKG",(VLOOKUP(Table1[[#This Row],[SKU]],'All Skus'!$A:$AC,9,FALSE)),""))</f>
        <v>Remote Antenna, Omni directional, Dipole Passive Diversity System Receiver</v>
      </c>
      <c r="I288" s="141">
        <f>(IF((VLOOKUP(Table1[[#This Row],[SKU]],'All Skus'!$A:$AC,2,FALSE))="AKG",(VLOOKUP(Table1[[#This Row],[SKU]],'All Skus'!$A:$AC,10,FALSE)),""))</f>
        <v>280.87</v>
      </c>
      <c r="J288" s="141">
        <f>(IF((VLOOKUP(Table1[[#This Row],[SKU]],'All Skus'!$A:$AC,2,FALSE))="AKG",(VLOOKUP(Table1[[#This Row],[SKU]],'All Skus'!$A:$AC,11,FALSE)),""))</f>
        <v>195</v>
      </c>
      <c r="K288" s="125">
        <f>(IF((VLOOKUP(Table1[[#This Row],[SKU]],'All Skus'!$A:$AC,2,FALSE))="AKG",(VLOOKUP(Table1[[#This Row],[SKU]],'All Skus'!$A:$AC,15,FALSE)),""))</f>
        <v>0</v>
      </c>
      <c r="L288" s="124">
        <f>(IF((VLOOKUP(Table1[[#This Row],[SKU]],'All Skus'!$A:$AC,2,FALSE))="AKG",(VLOOKUP(Table1[[#This Row],[SKU]],'All Skus'!$A:$AC,16,FALSE)),""))</f>
        <v>885038038030</v>
      </c>
      <c r="M288" s="124">
        <f>(IF((VLOOKUP(Table1[[#This Row],[SKU]],'All Skus'!$A:$AC,2,FALSE))="AKG",(VLOOKUP(Table1[[#This Row],[SKU]],'All Skus'!$A:$AC,17,FALSE)),""))</f>
        <v>0</v>
      </c>
      <c r="N288" s="64">
        <f>(IF((VLOOKUP(Table1[[#This Row],[SKU]],'All Skus'!$A:$AC,2,FALSE))="AKG",(VLOOKUP(Table1[[#This Row],[SKU]],'All Skus'!$A:$AC,18,FALSE)),""))</f>
        <v>0</v>
      </c>
      <c r="O288" s="64">
        <f>(IF((VLOOKUP(Table1[[#This Row],[SKU]],'All Skus'!$A:$AC,2,FALSE))="AKG",(VLOOKUP(Table1[[#This Row],[SKU]],'All Skus'!$A:$AC,19,FALSE)),""))</f>
        <v>0</v>
      </c>
      <c r="P288" s="64">
        <f>(IF((VLOOKUP(Table1[[#This Row],[SKU]],'All Skus'!$A:$AC,2,FALSE))="AKG",(VLOOKUP(Table1[[#This Row],[SKU]],'All Skus'!$A:$AC,20,FALSE)),""))</f>
        <v>0</v>
      </c>
      <c r="Q288" s="64">
        <f>(IF((VLOOKUP(Table1[[#This Row],[SKU]],'All Skus'!$A:$AC,2,FALSE))="AKG",(VLOOKUP(Table1[[#This Row],[SKU]],'All Skus'!$A:$AC,21,FALSE)),""))</f>
        <v>0</v>
      </c>
      <c r="R288" s="64" t="str">
        <f>(IF((VLOOKUP(Table1[[#This Row],[SKU]],'All Skus'!$A:$AC,2,FALSE))="AKG",(VLOOKUP(Table1[[#This Row],[SKU]],'All Skus'!$A:$AC,22,FALSE)),""))</f>
        <v>CN</v>
      </c>
      <c r="S288" s="64">
        <f>(IF((VLOOKUP(Table1[[#This Row],[SKU]],'All Skus'!$A:$AC,2,FALSE))="AKG",(VLOOKUP(Table1[[#This Row],[SKU]],'All Skus'!$A:$AC,23,FALSE)),""))</f>
        <v>0</v>
      </c>
      <c r="T288" s="210" t="str">
        <f>HYPERLINK((IF((VLOOKUP(Table1[[#This Row],[SKU]],'All Skus'!$A:$AC,2,FALSE))="AKG",(VLOOKUP(Table1[[#This Row],[SKU]],'All Skus'!$A:$AC,24,FALSE)),"")))</f>
        <v>https://www.akg.com/Wireless/Antennas%20%2F%20Antenna%20Components/2634H00330-LS.html</v>
      </c>
      <c r="U288" s="151">
        <v>286</v>
      </c>
    </row>
    <row r="289" spans="1:21" ht="15" hidden="1" customHeight="1">
      <c r="A289" s="50" t="s">
        <v>444</v>
      </c>
      <c r="B289" s="52" t="str">
        <f>(IF((VLOOKUP(Table1[[#This Row],[SKU]],'All Skus'!$A:$AC,2,FALSE))="AKG",(VLOOKUP(Table1[[#This Row],[SKU]],'All Skus'!$A:$AC,3,FALSE)), ""))</f>
        <v>Accessories</v>
      </c>
      <c r="C289" s="60" t="str">
        <f>(IF((VLOOKUP(Table1[[#This Row],[SKU]],'All Skus'!$A:$AC,2,FALSE))="AKG",(VLOOKUP(Table1[[#This Row],[SKU]],'All Skus'!$A:$AC,4,FALSE)),""))</f>
        <v>RA4000B/EW ANTENNA</v>
      </c>
      <c r="D289" s="60" t="str">
        <f>(IF((VLOOKUP(Table1[[#This Row],[SKU]],'All Skus'!$A:$AC,2,FALSE))="AKG",(VLOOKUP(Table1[[#This Row],[SKU]],'All Skus'!$A:$AC,5,FALSE)),""))</f>
        <v>AT690092</v>
      </c>
      <c r="E289" s="60">
        <f>(IF((VLOOKUP(Table1[[#This Row],[SKU]],'All Skus'!$A:$AC,2,FALSE))="AKG",(VLOOKUP(Table1[[#This Row],[SKU]],'All Skus'!$A:$AC,6,FALSE)),""))</f>
        <v>0</v>
      </c>
      <c r="F289" s="60">
        <f>(IF((VLOOKUP(Table1[[#This Row],[SKU]],'All Skus'!$A:$AC,2,FALSE))="AKG",(VLOOKUP(Table1[[#This Row],[SKU]],'All Skus'!$A:$AC,7,FALSE)),""))</f>
        <v>0</v>
      </c>
      <c r="G289" s="45" t="str">
        <f>(IF((VLOOKUP(Table1[[#This Row],[SKU]],'All Skus'!$A:$AC,2,FALSE))="AKG",(VLOOKUP(Table1[[#This Row],[SKU]],'All Skus'!$A:$AC,8,FALSE)),""))</f>
        <v>Antenna</v>
      </c>
      <c r="H289" s="45" t="str">
        <f>(IF((VLOOKUP(Table1[[#This Row],[SKU]],'All Skus'!$A:$AC,2,FALSE))="AKG",(VLOOKUP(Table1[[#This Row],[SKU]],'All Skus'!$A:$AC,9,FALSE)),""))</f>
        <v>RA4000B/EW ANTENNA</v>
      </c>
      <c r="I289" s="141">
        <f>(IF((VLOOKUP(Table1[[#This Row],[SKU]],'All Skus'!$A:$AC,2,FALSE))="AKG",(VLOOKUP(Table1[[#This Row],[SKU]],'All Skus'!$A:$AC,10,FALSE)),""))</f>
        <v>281.02</v>
      </c>
      <c r="J289" s="141">
        <f>(IF((VLOOKUP(Table1[[#This Row],[SKU]],'All Skus'!$A:$AC,2,FALSE))="AKG",(VLOOKUP(Table1[[#This Row],[SKU]],'All Skus'!$A:$AC,11,FALSE)),""))</f>
        <v>281</v>
      </c>
      <c r="K289" s="125">
        <f>(IF((VLOOKUP(Table1[[#This Row],[SKU]],'All Skus'!$A:$AC,2,FALSE))="AKG",(VLOOKUP(Table1[[#This Row],[SKU]],'All Skus'!$A:$AC,15,FALSE)),""))</f>
        <v>0</v>
      </c>
      <c r="L289" s="124">
        <f>(IF((VLOOKUP(Table1[[#This Row],[SKU]],'All Skus'!$A:$AC,2,FALSE))="AKG",(VLOOKUP(Table1[[#This Row],[SKU]],'All Skus'!$A:$AC,16,FALSE)),""))</f>
        <v>885038038047</v>
      </c>
      <c r="M289" s="124">
        <f>(IF((VLOOKUP(Table1[[#This Row],[SKU]],'All Skus'!$A:$AC,2,FALSE))="AKG",(VLOOKUP(Table1[[#This Row],[SKU]],'All Skus'!$A:$AC,17,FALSE)),""))</f>
        <v>0</v>
      </c>
      <c r="N289" s="64">
        <f>(IF((VLOOKUP(Table1[[#This Row],[SKU]],'All Skus'!$A:$AC,2,FALSE))="AKG",(VLOOKUP(Table1[[#This Row],[SKU]],'All Skus'!$A:$AC,18,FALSE)),""))</f>
        <v>11.75</v>
      </c>
      <c r="O289" s="64">
        <f>(IF((VLOOKUP(Table1[[#This Row],[SKU]],'All Skus'!$A:$AC,2,FALSE))="AKG",(VLOOKUP(Table1[[#This Row],[SKU]],'All Skus'!$A:$AC,19,FALSE)),""))</f>
        <v>2.5</v>
      </c>
      <c r="P289" s="64">
        <f>(IF((VLOOKUP(Table1[[#This Row],[SKU]],'All Skus'!$A:$AC,2,FALSE))="AKG",(VLOOKUP(Table1[[#This Row],[SKU]],'All Skus'!$A:$AC,20,FALSE)),""))</f>
        <v>5.25</v>
      </c>
      <c r="Q289" s="64">
        <f>(IF((VLOOKUP(Table1[[#This Row],[SKU]],'All Skus'!$A:$AC,2,FALSE))="AKG",(VLOOKUP(Table1[[#This Row],[SKU]],'All Skus'!$A:$AC,21,FALSE)),""))</f>
        <v>0</v>
      </c>
      <c r="R289" s="64" t="str">
        <f>(IF((VLOOKUP(Table1[[#This Row],[SKU]],'All Skus'!$A:$AC,2,FALSE))="AKG",(VLOOKUP(Table1[[#This Row],[SKU]],'All Skus'!$A:$AC,22,FALSE)),""))</f>
        <v>CN</v>
      </c>
      <c r="S289" s="64" t="str">
        <f>(IF((VLOOKUP(Table1[[#This Row],[SKU]],'All Skus'!$A:$AC,2,FALSE))="AKG",(VLOOKUP(Table1[[#This Row],[SKU]],'All Skus'!$A:$AC,23,FALSE)),""))</f>
        <v>Non Compliant</v>
      </c>
      <c r="T289" s="210" t="str">
        <f>HYPERLINK((IF((VLOOKUP(Table1[[#This Row],[SKU]],'All Skus'!$A:$AC,2,FALSE))="AKG",(VLOOKUP(Table1[[#This Row],[SKU]],'All Skus'!$A:$AC,24,FALSE)),"")))</f>
        <v>https://www.akg.com/Wireless/Antennas%20%2F%20Antenna%20Components/2634H00340.html</v>
      </c>
      <c r="U289" s="151">
        <v>287</v>
      </c>
    </row>
    <row r="290" spans="1:21" ht="15" hidden="1" customHeight="1">
      <c r="A290" s="50" t="s">
        <v>445</v>
      </c>
      <c r="B290" s="52" t="str">
        <f>(IF((VLOOKUP(Table1[[#This Row],[SKU]],'All Skus'!$A:$AC,2,FALSE))="AKG",(VLOOKUP(Table1[[#This Row],[SKU]],'All Skus'!$A:$AC,3,FALSE)), ""))</f>
        <v>Accessories</v>
      </c>
      <c r="C290" s="60" t="str">
        <f>(IF((VLOOKUP(Table1[[#This Row],[SKU]],'All Skus'!$A:$AC,2,FALSE))="AKG",(VLOOKUP(Table1[[#This Row],[SKU]],'All Skus'!$A:$AC,4,FALSE)),""))</f>
        <v>SRA2 EW ANTENNA</v>
      </c>
      <c r="D290" s="60" t="str">
        <f>(IF((VLOOKUP(Table1[[#This Row],[SKU]],'All Skus'!$A:$AC,2,FALSE))="AKG",(VLOOKUP(Table1[[#This Row],[SKU]],'All Skus'!$A:$AC,5,FALSE)),""))</f>
        <v>AT690092</v>
      </c>
      <c r="E290" s="60">
        <f>(IF((VLOOKUP(Table1[[#This Row],[SKU]],'All Skus'!$A:$AC,2,FALSE))="AKG",(VLOOKUP(Table1[[#This Row],[SKU]],'All Skus'!$A:$AC,6,FALSE)),""))</f>
        <v>0</v>
      </c>
      <c r="F290" s="60">
        <f>(IF((VLOOKUP(Table1[[#This Row],[SKU]],'All Skus'!$A:$AC,2,FALSE))="AKG",(VLOOKUP(Table1[[#This Row],[SKU]],'All Skus'!$A:$AC,7,FALSE)),""))</f>
        <v>0</v>
      </c>
      <c r="G290" s="45" t="str">
        <f>(IF((VLOOKUP(Table1[[#This Row],[SKU]],'All Skus'!$A:$AC,2,FALSE))="AKG",(VLOOKUP(Table1[[#This Row],[SKU]],'All Skus'!$A:$AC,8,FALSE)),""))</f>
        <v>Antenna</v>
      </c>
      <c r="H290" s="45" t="str">
        <f>(IF((VLOOKUP(Table1[[#This Row],[SKU]],'All Skus'!$A:$AC,2,FALSE))="AKG",(VLOOKUP(Table1[[#This Row],[SKU]],'All Skus'!$A:$AC,9,FALSE)),""))</f>
        <v>SRA2 EW ANTENNA</v>
      </c>
      <c r="I290" s="141">
        <f>(IF((VLOOKUP(Table1[[#This Row],[SKU]],'All Skus'!$A:$AC,2,FALSE))="AKG",(VLOOKUP(Table1[[#This Row],[SKU]],'All Skus'!$A:$AC,10,FALSE)),""))</f>
        <v>567.82000000000005</v>
      </c>
      <c r="J290" s="141">
        <f>(IF((VLOOKUP(Table1[[#This Row],[SKU]],'All Skus'!$A:$AC,2,FALSE))="AKG",(VLOOKUP(Table1[[#This Row],[SKU]],'All Skus'!$A:$AC,11,FALSE)),""))</f>
        <v>567.82000000000005</v>
      </c>
      <c r="K290" s="125">
        <f>(IF((VLOOKUP(Table1[[#This Row],[SKU]],'All Skus'!$A:$AC,2,FALSE))="AKG",(VLOOKUP(Table1[[#This Row],[SKU]],'All Skus'!$A:$AC,15,FALSE)),""))</f>
        <v>0</v>
      </c>
      <c r="L290" s="124">
        <f>(IF((VLOOKUP(Table1[[#This Row],[SKU]],'All Skus'!$A:$AC,2,FALSE))="AKG",(VLOOKUP(Table1[[#This Row],[SKU]],'All Skus'!$A:$AC,16,FALSE)),""))</f>
        <v>885038038061</v>
      </c>
      <c r="M290" s="124">
        <f>(IF((VLOOKUP(Table1[[#This Row],[SKU]],'All Skus'!$A:$AC,2,FALSE))="AKG",(VLOOKUP(Table1[[#This Row],[SKU]],'All Skus'!$A:$AC,17,FALSE)),""))</f>
        <v>0</v>
      </c>
      <c r="N290" s="64">
        <f>(IF((VLOOKUP(Table1[[#This Row],[SKU]],'All Skus'!$A:$AC,2,FALSE))="AKG",(VLOOKUP(Table1[[#This Row],[SKU]],'All Skus'!$A:$AC,18,FALSE)),""))</f>
        <v>11.5</v>
      </c>
      <c r="O290" s="64">
        <f>(IF((VLOOKUP(Table1[[#This Row],[SKU]],'All Skus'!$A:$AC,2,FALSE))="AKG",(VLOOKUP(Table1[[#This Row],[SKU]],'All Skus'!$A:$AC,19,FALSE)),""))</f>
        <v>11</v>
      </c>
      <c r="P290" s="64">
        <f>(IF((VLOOKUP(Table1[[#This Row],[SKU]],'All Skus'!$A:$AC,2,FALSE))="AKG",(VLOOKUP(Table1[[#This Row],[SKU]],'All Skus'!$A:$AC,20,FALSE)),""))</f>
        <v>11</v>
      </c>
      <c r="Q290" s="64">
        <f>(IF((VLOOKUP(Table1[[#This Row],[SKU]],'All Skus'!$A:$AC,2,FALSE))="AKG",(VLOOKUP(Table1[[#This Row],[SKU]],'All Skus'!$A:$AC,21,FALSE)),""))</f>
        <v>0</v>
      </c>
      <c r="R290" s="64" t="str">
        <f>(IF((VLOOKUP(Table1[[#This Row],[SKU]],'All Skus'!$A:$AC,2,FALSE))="AKG",(VLOOKUP(Table1[[#This Row],[SKU]],'All Skus'!$A:$AC,22,FALSE)),""))</f>
        <v>CN</v>
      </c>
      <c r="S290" s="64" t="str">
        <f>(IF((VLOOKUP(Table1[[#This Row],[SKU]],'All Skus'!$A:$AC,2,FALSE))="AKG",(VLOOKUP(Table1[[#This Row],[SKU]],'All Skus'!$A:$AC,23,FALSE)),""))</f>
        <v>Non Compliant</v>
      </c>
      <c r="T290" s="210" t="str">
        <f>HYPERLINK((IF((VLOOKUP(Table1[[#This Row],[SKU]],'All Skus'!$A:$AC,2,FALSE))="AKG",(VLOOKUP(Table1[[#This Row],[SKU]],'All Skus'!$A:$AC,24,FALSE)),"")))</f>
        <v>https://www.akg.com/Wireless/Antennas%20%2F%20Antenna%20Components/3009H00170.html</v>
      </c>
      <c r="U290" s="151">
        <v>288</v>
      </c>
    </row>
    <row r="291" spans="1:21" ht="15" hidden="1" customHeight="1">
      <c r="A291" s="50" t="s">
        <v>446</v>
      </c>
      <c r="B291" s="52" t="str">
        <f>(IF((VLOOKUP(Table1[[#This Row],[SKU]],'All Skus'!$A:$AC,2,FALSE))="AKG",(VLOOKUP(Table1[[#This Row],[SKU]],'All Skus'!$A:$AC,3,FALSE)), ""))</f>
        <v>Accessories</v>
      </c>
      <c r="C291" s="60" t="str">
        <f>(IF((VLOOKUP(Table1[[#This Row],[SKU]],'All Skus'!$A:$AC,2,FALSE))="AKG",(VLOOKUP(Table1[[#This Row],[SKU]],'All Skus'!$A:$AC,4,FALSE)),""))</f>
        <v>SRA2B/EW ANTENNA</v>
      </c>
      <c r="D291" s="60" t="str">
        <f>(IF((VLOOKUP(Table1[[#This Row],[SKU]],'All Skus'!$A:$AC,2,FALSE))="AKG",(VLOOKUP(Table1[[#This Row],[SKU]],'All Skus'!$A:$AC,5,FALSE)),""))</f>
        <v>AT690092</v>
      </c>
      <c r="E291" s="60">
        <f>(IF((VLOOKUP(Table1[[#This Row],[SKU]],'All Skus'!$A:$AC,2,FALSE))="AKG",(VLOOKUP(Table1[[#This Row],[SKU]],'All Skus'!$A:$AC,6,FALSE)),""))</f>
        <v>0</v>
      </c>
      <c r="F291" s="60">
        <f>(IF((VLOOKUP(Table1[[#This Row],[SKU]],'All Skus'!$A:$AC,2,FALSE))="AKG",(VLOOKUP(Table1[[#This Row],[SKU]],'All Skus'!$A:$AC,7,FALSE)),""))</f>
        <v>0</v>
      </c>
      <c r="G291" s="45" t="str">
        <f>(IF((VLOOKUP(Table1[[#This Row],[SKU]],'All Skus'!$A:$AC,2,FALSE))="AKG",(VLOOKUP(Table1[[#This Row],[SKU]],'All Skus'!$A:$AC,8,FALSE)),""))</f>
        <v>Antenna</v>
      </c>
      <c r="H291" s="45" t="str">
        <f>(IF((VLOOKUP(Table1[[#This Row],[SKU]],'All Skus'!$A:$AC,2,FALSE))="AKG",(VLOOKUP(Table1[[#This Row],[SKU]],'All Skus'!$A:$AC,9,FALSE)),""))</f>
        <v>SRA2B/EW ANTENNA</v>
      </c>
      <c r="I291" s="141">
        <f>(IF((VLOOKUP(Table1[[#This Row],[SKU]],'All Skus'!$A:$AC,2,FALSE))="AKG",(VLOOKUP(Table1[[#This Row],[SKU]],'All Skus'!$A:$AC,10,FALSE)),""))</f>
        <v>0</v>
      </c>
      <c r="J291" s="141">
        <f>(IF((VLOOKUP(Table1[[#This Row],[SKU]],'All Skus'!$A:$AC,2,FALSE))="AKG",(VLOOKUP(Table1[[#This Row],[SKU]],'All Skus'!$A:$AC,11,FALSE)),""))</f>
        <v>0</v>
      </c>
      <c r="K291" s="125">
        <f>(IF((VLOOKUP(Table1[[#This Row],[SKU]],'All Skus'!$A:$AC,2,FALSE))="AKG",(VLOOKUP(Table1[[#This Row],[SKU]],'All Skus'!$A:$AC,15,FALSE)),""))</f>
        <v>0</v>
      </c>
      <c r="L291" s="124">
        <f>(IF((VLOOKUP(Table1[[#This Row],[SKU]],'All Skus'!$A:$AC,2,FALSE))="AKG",(VLOOKUP(Table1[[#This Row],[SKU]],'All Skus'!$A:$AC,16,FALSE)),""))</f>
        <v>885038038078</v>
      </c>
      <c r="M291" s="124">
        <f>(IF((VLOOKUP(Table1[[#This Row],[SKU]],'All Skus'!$A:$AC,2,FALSE))="AKG",(VLOOKUP(Table1[[#This Row],[SKU]],'All Skus'!$A:$AC,17,FALSE)),""))</f>
        <v>0</v>
      </c>
      <c r="N291" s="64">
        <f>(IF((VLOOKUP(Table1[[#This Row],[SKU]],'All Skus'!$A:$AC,2,FALSE))="AKG",(VLOOKUP(Table1[[#This Row],[SKU]],'All Skus'!$A:$AC,18,FALSE)),""))</f>
        <v>11.5</v>
      </c>
      <c r="O291" s="64">
        <f>(IF((VLOOKUP(Table1[[#This Row],[SKU]],'All Skus'!$A:$AC,2,FALSE))="AKG",(VLOOKUP(Table1[[#This Row],[SKU]],'All Skus'!$A:$AC,19,FALSE)),""))</f>
        <v>11.5</v>
      </c>
      <c r="P291" s="64">
        <f>(IF((VLOOKUP(Table1[[#This Row],[SKU]],'All Skus'!$A:$AC,2,FALSE))="AKG",(VLOOKUP(Table1[[#This Row],[SKU]],'All Skus'!$A:$AC,20,FALSE)),""))</f>
        <v>1.5</v>
      </c>
      <c r="Q291" s="64">
        <f>(IF((VLOOKUP(Table1[[#This Row],[SKU]],'All Skus'!$A:$AC,2,FALSE))="AKG",(VLOOKUP(Table1[[#This Row],[SKU]],'All Skus'!$A:$AC,21,FALSE)),""))</f>
        <v>0</v>
      </c>
      <c r="R291" s="64" t="str">
        <f>(IF((VLOOKUP(Table1[[#This Row],[SKU]],'All Skus'!$A:$AC,2,FALSE))="AKG",(VLOOKUP(Table1[[#This Row],[SKU]],'All Skus'!$A:$AC,22,FALSE)),""))</f>
        <v>CN</v>
      </c>
      <c r="S291" s="64" t="str">
        <f>(IF((VLOOKUP(Table1[[#This Row],[SKU]],'All Skus'!$A:$AC,2,FALSE))="AKG",(VLOOKUP(Table1[[#This Row],[SKU]],'All Skus'!$A:$AC,23,FALSE)),""))</f>
        <v>Non Compliant</v>
      </c>
      <c r="T291" s="210" t="str">
        <f>HYPERLINK((IF((VLOOKUP(Table1[[#This Row],[SKU]],'All Skus'!$A:$AC,2,FALSE))="AKG",(VLOOKUP(Table1[[#This Row],[SKU]],'All Skus'!$A:$AC,24,FALSE)),"")))</f>
        <v>https://www.akg.com/Wireless/Antennas%20%2F%20Antenna%20Components/SRA2EW.html?dwvar_SRA2EW_color=Black-GLOBAL-Current#q=SRA2&amp;simplesearch=Go&amp;start=1</v>
      </c>
      <c r="U291" s="151">
        <v>289</v>
      </c>
    </row>
    <row r="292" spans="1:21" ht="15" hidden="1" customHeight="1">
      <c r="A292" s="50" t="s">
        <v>447</v>
      </c>
      <c r="B292" s="52" t="str">
        <f>(IF((VLOOKUP(Table1[[#This Row],[SKU]],'All Skus'!$A:$AC,2,FALSE))="AKG",(VLOOKUP(Table1[[#This Row],[SKU]],'All Skus'!$A:$AC,3,FALSE)), ""))</f>
        <v>Wireless Mics</v>
      </c>
      <c r="C292" s="60" t="str">
        <f>(IF((VLOOKUP(Table1[[#This Row],[SKU]],'All Skus'!$A:$AC,2,FALSE))="AKG",(VLOOKUP(Table1[[#This Row],[SKU]],'All Skus'!$A:$AC,4,FALSE)),""))</f>
        <v>Helical Antenna</v>
      </c>
      <c r="D292" s="60" t="str">
        <f>(IF((VLOOKUP(Table1[[#This Row],[SKU]],'All Skus'!$A:$AC,2,FALSE))="AKG",(VLOOKUP(Table1[[#This Row],[SKU]],'All Skus'!$A:$AC,5,FALSE)),""))</f>
        <v>AT690092</v>
      </c>
      <c r="E292" s="60">
        <f>(IF((VLOOKUP(Table1[[#This Row],[SKU]],'All Skus'!$A:$AC,2,FALSE))="AKG",(VLOOKUP(Table1[[#This Row],[SKU]],'All Skus'!$A:$AC,6,FALSE)),""))</f>
        <v>0</v>
      </c>
      <c r="F292" s="60" t="str">
        <f>(IF((VLOOKUP(Table1[[#This Row],[SKU]],'All Skus'!$A:$AC,2,FALSE))="AKG",(VLOOKUP(Table1[[#This Row],[SKU]],'All Skus'!$A:$AC,7,FALSE)),""))</f>
        <v>Limited Quantity</v>
      </c>
      <c r="G292" s="45" t="str">
        <f>(IF((VLOOKUP(Table1[[#This Row],[SKU]],'All Skus'!$A:$AC,2,FALSE))="AKG",(VLOOKUP(Table1[[#This Row],[SKU]],'All Skus'!$A:$AC,8,FALSE)),""))</f>
        <v>Antenna</v>
      </c>
      <c r="H292" s="45" t="str">
        <f>(IF((VLOOKUP(Table1[[#This Row],[SKU]],'All Skus'!$A:$AC,2,FALSE))="AKG",(VLOOKUP(Table1[[#This Row],[SKU]],'All Skus'!$A:$AC,9,FALSE)),""))</f>
        <v>Helical remote antenna, directional, passive (9dB antenna gain), collapsable 12inch to 3inch - diversity system requires two antennas!</v>
      </c>
      <c r="I292" s="141">
        <f>(IF((VLOOKUP(Table1[[#This Row],[SKU]],'All Skus'!$A:$AC,2,FALSE))="AKG",(VLOOKUP(Table1[[#This Row],[SKU]],'All Skus'!$A:$AC,10,FALSE)),""))</f>
        <v>749.09</v>
      </c>
      <c r="J292" s="141">
        <f>(IF((VLOOKUP(Table1[[#This Row],[SKU]],'All Skus'!$A:$AC,2,FALSE))="AKG",(VLOOKUP(Table1[[#This Row],[SKU]],'All Skus'!$A:$AC,11,FALSE)),""))</f>
        <v>603</v>
      </c>
      <c r="K292" s="125">
        <f>(IF((VLOOKUP(Table1[[#This Row],[SKU]],'All Skus'!$A:$AC,2,FALSE))="AKG",(VLOOKUP(Table1[[#This Row],[SKU]],'All Skus'!$A:$AC,15,FALSE)),""))</f>
        <v>0</v>
      </c>
      <c r="L292" s="124">
        <f>(IF((VLOOKUP(Table1[[#This Row],[SKU]],'All Skus'!$A:$AC,2,FALSE))="AKG",(VLOOKUP(Table1[[#This Row],[SKU]],'All Skus'!$A:$AC,16,FALSE)),""))</f>
        <v>885038034414</v>
      </c>
      <c r="M292" s="124">
        <f>(IF((VLOOKUP(Table1[[#This Row],[SKU]],'All Skus'!$A:$AC,2,FALSE))="AKG",(VLOOKUP(Table1[[#This Row],[SKU]],'All Skus'!$A:$AC,17,FALSE)),""))</f>
        <v>9002761034417</v>
      </c>
      <c r="N292" s="64">
        <f>(IF((VLOOKUP(Table1[[#This Row],[SKU]],'All Skus'!$A:$AC,2,FALSE))="AKG",(VLOOKUP(Table1[[#This Row],[SKU]],'All Skus'!$A:$AC,18,FALSE)),""))</f>
        <v>8</v>
      </c>
      <c r="O292" s="64">
        <f>(IF((VLOOKUP(Table1[[#This Row],[SKU]],'All Skus'!$A:$AC,2,FALSE))="AKG",(VLOOKUP(Table1[[#This Row],[SKU]],'All Skus'!$A:$AC,19,FALSE)),""))</f>
        <v>15</v>
      </c>
      <c r="P292" s="64">
        <f>(IF((VLOOKUP(Table1[[#This Row],[SKU]],'All Skus'!$A:$AC,2,FALSE))="AKG",(VLOOKUP(Table1[[#This Row],[SKU]],'All Skus'!$A:$AC,20,FALSE)),""))</f>
        <v>11</v>
      </c>
      <c r="Q292" s="64">
        <f>(IF((VLOOKUP(Table1[[#This Row],[SKU]],'All Skus'!$A:$AC,2,FALSE))="AKG",(VLOOKUP(Table1[[#This Row],[SKU]],'All Skus'!$A:$AC,21,FALSE)),""))</f>
        <v>0</v>
      </c>
      <c r="R292" s="64" t="str">
        <f>(IF((VLOOKUP(Table1[[#This Row],[SKU]],'All Skus'!$A:$AC,2,FALSE))="AKG",(VLOOKUP(Table1[[#This Row],[SKU]],'All Skus'!$A:$AC,22,FALSE)),""))</f>
        <v>US</v>
      </c>
      <c r="S292" s="64" t="str">
        <f>(IF((VLOOKUP(Table1[[#This Row],[SKU]],'All Skus'!$A:$AC,2,FALSE))="AKG",(VLOOKUP(Table1[[#This Row],[SKU]],'All Skus'!$A:$AC,23,FALSE)),""))</f>
        <v>Compliant</v>
      </c>
      <c r="T292" s="210" t="str">
        <f>HYPERLINK((IF((VLOOKUP(Table1[[#This Row],[SKU]],'All Skus'!$A:$AC,2,FALSE))="AKG",(VLOOKUP(Table1[[#This Row],[SKU]],'All Skus'!$A:$AC,24,FALSE)),"")))</f>
        <v>https://www.akg.com/Wireless/Antennas%20%2F%20Antenna%20Components/3009H00210.html</v>
      </c>
      <c r="U292" s="151">
        <v>290</v>
      </c>
    </row>
    <row r="293" spans="1:21" ht="15" hidden="1" customHeight="1">
      <c r="A293" s="50" t="s">
        <v>448</v>
      </c>
      <c r="B293" s="52" t="str">
        <f>(IF((VLOOKUP(Table1[[#This Row],[SKU]],'All Skus'!$A:$AC,2,FALSE))="AKG",(VLOOKUP(Table1[[#This Row],[SKU]],'All Skus'!$A:$AC,3,FALSE)), ""))</f>
        <v>Accessories</v>
      </c>
      <c r="C293" s="60" t="str">
        <f>(IF((VLOOKUP(Table1[[#This Row],[SKU]],'All Skus'!$A:$AC,2,FALSE))="AKG",(VLOOKUP(Table1[[#This Row],[SKU]],'All Skus'!$A:$AC,4,FALSE)),""))</f>
        <v>PSU4000 NONE</v>
      </c>
      <c r="D293" s="60" t="str">
        <f>(IF((VLOOKUP(Table1[[#This Row],[SKU]],'All Skus'!$A:$AC,2,FALSE))="AKG",(VLOOKUP(Table1[[#This Row],[SKU]],'All Skus'!$A:$AC,5,FALSE)),""))</f>
        <v>AT690092</v>
      </c>
      <c r="E293" s="60">
        <f>(IF((VLOOKUP(Table1[[#This Row],[SKU]],'All Skus'!$A:$AC,2,FALSE))="AKG",(VLOOKUP(Table1[[#This Row],[SKU]],'All Skus'!$A:$AC,6,FALSE)),""))</f>
        <v>0</v>
      </c>
      <c r="F293" s="60">
        <f>(IF((VLOOKUP(Table1[[#This Row],[SKU]],'All Skus'!$A:$AC,2,FALSE))="AKG",(VLOOKUP(Table1[[#This Row],[SKU]],'All Skus'!$A:$AC,7,FALSE)),""))</f>
        <v>0</v>
      </c>
      <c r="G293" s="45" t="str">
        <f>(IF((VLOOKUP(Table1[[#This Row],[SKU]],'All Skus'!$A:$AC,2,FALSE))="AKG",(VLOOKUP(Table1[[#This Row],[SKU]],'All Skus'!$A:$AC,8,FALSE)),""))</f>
        <v>Power Supply</v>
      </c>
      <c r="H293" s="45" t="str">
        <f>(IF((VLOOKUP(Table1[[#This Row],[SKU]],'All Skus'!$A:$AC,2,FALSE))="AKG",(VLOOKUP(Table1[[#This Row],[SKU]],'All Skus'!$A:$AC,9,FALSE)),""))</f>
        <v>Central power supply unit for powering up to 3x HUB4000 Q, 3x CU4000, 3x PS4000 W (up to 12 receiver) or SPC4500 (up to 12 transmitter).</v>
      </c>
      <c r="I293" s="141">
        <f>(IF((VLOOKUP(Table1[[#This Row],[SKU]],'All Skus'!$A:$AC,2,FALSE))="AKG",(VLOOKUP(Table1[[#This Row],[SKU]],'All Skus'!$A:$AC,10,FALSE)),""))</f>
        <v>776.7</v>
      </c>
      <c r="J293" s="141">
        <f>(IF((VLOOKUP(Table1[[#This Row],[SKU]],'All Skus'!$A:$AC,2,FALSE))="AKG",(VLOOKUP(Table1[[#This Row],[SKU]],'All Skus'!$A:$AC,11,FALSE)),""))</f>
        <v>648</v>
      </c>
      <c r="K293" s="125">
        <f>(IF((VLOOKUP(Table1[[#This Row],[SKU]],'All Skus'!$A:$AC,2,FALSE))="AKG",(VLOOKUP(Table1[[#This Row],[SKU]],'All Skus'!$A:$AC,15,FALSE)),""))</f>
        <v>0.58315301391035546</v>
      </c>
      <c r="L293" s="124">
        <f>(IF((VLOOKUP(Table1[[#This Row],[SKU]],'All Skus'!$A:$AC,2,FALSE))="AKG",(VLOOKUP(Table1[[#This Row],[SKU]],'All Skus'!$A:$AC,16,FALSE)),""))</f>
        <v>885038026792</v>
      </c>
      <c r="M293" s="124">
        <f>(IF((VLOOKUP(Table1[[#This Row],[SKU]],'All Skus'!$A:$AC,2,FALSE))="AKG",(VLOOKUP(Table1[[#This Row],[SKU]],'All Skus'!$A:$AC,17,FALSE)),""))</f>
        <v>9002761026795</v>
      </c>
      <c r="N293" s="64">
        <f>(IF((VLOOKUP(Table1[[#This Row],[SKU]],'All Skus'!$A:$AC,2,FALSE))="AKG",(VLOOKUP(Table1[[#This Row],[SKU]],'All Skus'!$A:$AC,18,FALSE)),""))</f>
        <v>0</v>
      </c>
      <c r="O293" s="64">
        <f>(IF((VLOOKUP(Table1[[#This Row],[SKU]],'All Skus'!$A:$AC,2,FALSE))="AKG",(VLOOKUP(Table1[[#This Row],[SKU]],'All Skus'!$A:$AC,19,FALSE)),""))</f>
        <v>0</v>
      </c>
      <c r="P293" s="64">
        <f>(IF((VLOOKUP(Table1[[#This Row],[SKU]],'All Skus'!$A:$AC,2,FALSE))="AKG",(VLOOKUP(Table1[[#This Row],[SKU]],'All Skus'!$A:$AC,20,FALSE)),""))</f>
        <v>0</v>
      </c>
      <c r="Q293" s="64">
        <f>(IF((VLOOKUP(Table1[[#This Row],[SKU]],'All Skus'!$A:$AC,2,FALSE))="AKG",(VLOOKUP(Table1[[#This Row],[SKU]],'All Skus'!$A:$AC,21,FALSE)),""))</f>
        <v>2.4</v>
      </c>
      <c r="R293" s="64" t="str">
        <f>(IF((VLOOKUP(Table1[[#This Row],[SKU]],'All Skus'!$A:$AC,2,FALSE))="AKG",(VLOOKUP(Table1[[#This Row],[SKU]],'All Skus'!$A:$AC,22,FALSE)),""))</f>
        <v>AT</v>
      </c>
      <c r="S293" s="64" t="str">
        <f>(IF((VLOOKUP(Table1[[#This Row],[SKU]],'All Skus'!$A:$AC,2,FALSE))="AKG",(VLOOKUP(Table1[[#This Row],[SKU]],'All Skus'!$A:$AC,23,FALSE)),""))</f>
        <v>Compliant</v>
      </c>
      <c r="T293" s="210" t="str">
        <f>HYPERLINK((IF((VLOOKUP(Table1[[#This Row],[SKU]],'All Skus'!$A:$AC,2,FALSE))="AKG",(VLOOKUP(Table1[[#This Row],[SKU]],'All Skus'!$A:$AC,24,FALSE)),"")))</f>
        <v>http://www.akg.com/pro/p/psu4000</v>
      </c>
      <c r="U293" s="151">
        <v>291</v>
      </c>
    </row>
    <row r="294" spans="1:21" ht="15" hidden="1" customHeight="1">
      <c r="A294" s="50" t="s">
        <v>449</v>
      </c>
      <c r="B294" s="52" t="str">
        <f>(IF((VLOOKUP(Table1[[#This Row],[SKU]],'All Skus'!$A:$AC,2,FALSE))="AKG",(VLOOKUP(Table1[[#This Row],[SKU]],'All Skus'!$A:$AC,3,FALSE)), ""))</f>
        <v>Wireless Mics</v>
      </c>
      <c r="C294" s="60" t="str">
        <f>(IF((VLOOKUP(Table1[[#This Row],[SKU]],'All Skus'!$A:$AC,2,FALSE))="AKG",(VLOOKUP(Table1[[#This Row],[SKU]],'All Skus'!$A:$AC,4,FALSE)),""))</f>
        <v>HUB4000 Q none</v>
      </c>
      <c r="D294" s="60" t="str">
        <f>(IF((VLOOKUP(Table1[[#This Row],[SKU]],'All Skus'!$A:$AC,2,FALSE))="AKG",(VLOOKUP(Table1[[#This Row],[SKU]],'All Skus'!$A:$AC,5,FALSE)),""))</f>
        <v>AT690092</v>
      </c>
      <c r="E294" s="60">
        <f>(IF((VLOOKUP(Table1[[#This Row],[SKU]],'All Skus'!$A:$AC,2,FALSE))="AKG",(VLOOKUP(Table1[[#This Row],[SKU]],'All Skus'!$A:$AC,6,FALSE)),""))</f>
        <v>0</v>
      </c>
      <c r="F294" s="60">
        <f>(IF((VLOOKUP(Table1[[#This Row],[SKU]],'All Skus'!$A:$AC,2,FALSE))="AKG",(VLOOKUP(Table1[[#This Row],[SKU]],'All Skus'!$A:$AC,7,FALSE)),""))</f>
        <v>0</v>
      </c>
      <c r="G294" s="45" t="str">
        <f>(IF((VLOOKUP(Table1[[#This Row],[SKU]],'All Skus'!$A:$AC,2,FALSE))="AKG",(VLOOKUP(Table1[[#This Row],[SKU]],'All Skus'!$A:$AC,8,FALSE)),""))</f>
        <v>Wireless Accessories</v>
      </c>
      <c r="H294" s="45" t="str">
        <f>(IF((VLOOKUP(Table1[[#This Row],[SKU]],'All Skus'!$A:$AC,2,FALSE))="AKG",(VLOOKUP(Table1[[#This Row],[SKU]],'All Skus'!$A:$AC,9,FALSE)),""))</f>
        <v>Network concentrator for integrating DMS700, WMS4500 and IVM4500 wireless systems into a HiQnet network, NO power supply included, please order 7801H00120 additionally.</v>
      </c>
      <c r="I294" s="141">
        <f>(IF((VLOOKUP(Table1[[#This Row],[SKU]],'All Skus'!$A:$AC,2,FALSE))="AKG",(VLOOKUP(Table1[[#This Row],[SKU]],'All Skus'!$A:$AC,10,FALSE)),""))</f>
        <v>1343.74</v>
      </c>
      <c r="J294" s="141">
        <f>(IF((VLOOKUP(Table1[[#This Row],[SKU]],'All Skus'!$A:$AC,2,FALSE))="AKG",(VLOOKUP(Table1[[#This Row],[SKU]],'All Skus'!$A:$AC,11,FALSE)),""))</f>
        <v>994</v>
      </c>
      <c r="K294" s="125">
        <f>(IF((VLOOKUP(Table1[[#This Row],[SKU]],'All Skus'!$A:$AC,2,FALSE))="AKG",(VLOOKUP(Table1[[#This Row],[SKU]],'All Skus'!$A:$AC,15,FALSE)),""))</f>
        <v>0.56497175141242939</v>
      </c>
      <c r="L294" s="124">
        <f>(IF((VLOOKUP(Table1[[#This Row],[SKU]],'All Skus'!$A:$AC,2,FALSE))="AKG",(VLOOKUP(Table1[[#This Row],[SKU]],'All Skus'!$A:$AC,16,FALSE)),""))</f>
        <v>885038039662</v>
      </c>
      <c r="M294" s="124">
        <f>(IF((VLOOKUP(Table1[[#This Row],[SKU]],'All Skus'!$A:$AC,2,FALSE))="AKG",(VLOOKUP(Table1[[#This Row],[SKU]],'All Skus'!$A:$AC,17,FALSE)),""))</f>
        <v>0</v>
      </c>
      <c r="N294" s="64">
        <f>(IF((VLOOKUP(Table1[[#This Row],[SKU]],'All Skus'!$A:$AC,2,FALSE))="AKG",(VLOOKUP(Table1[[#This Row],[SKU]],'All Skus'!$A:$AC,18,FALSE)),""))</f>
        <v>2.5</v>
      </c>
      <c r="O294" s="64">
        <f>(IF((VLOOKUP(Table1[[#This Row],[SKU]],'All Skus'!$A:$AC,2,FALSE))="AKG",(VLOOKUP(Table1[[#This Row],[SKU]],'All Skus'!$A:$AC,19,FALSE)),""))</f>
        <v>18</v>
      </c>
      <c r="P294" s="64">
        <f>(IF((VLOOKUP(Table1[[#This Row],[SKU]],'All Skus'!$A:$AC,2,FALSE))="AKG",(VLOOKUP(Table1[[#This Row],[SKU]],'All Skus'!$A:$AC,20,FALSE)),""))</f>
        <v>2.5</v>
      </c>
      <c r="Q294" s="64">
        <f>(IF((VLOOKUP(Table1[[#This Row],[SKU]],'All Skus'!$A:$AC,2,FALSE))="AKG",(VLOOKUP(Table1[[#This Row],[SKU]],'All Skus'!$A:$AC,21,FALSE)),""))</f>
        <v>0</v>
      </c>
      <c r="R294" s="64" t="str">
        <f>(IF((VLOOKUP(Table1[[#This Row],[SKU]],'All Skus'!$A:$AC,2,FALSE))="AKG",(VLOOKUP(Table1[[#This Row],[SKU]],'All Skus'!$A:$AC,22,FALSE)),""))</f>
        <v>CN</v>
      </c>
      <c r="S294" s="64" t="str">
        <f>(IF((VLOOKUP(Table1[[#This Row],[SKU]],'All Skus'!$A:$AC,2,FALSE))="AKG",(VLOOKUP(Table1[[#This Row],[SKU]],'All Skus'!$A:$AC,23,FALSE)),""))</f>
        <v>Non Compliant</v>
      </c>
      <c r="T294" s="210" t="str">
        <f>HYPERLINK((IF((VLOOKUP(Table1[[#This Row],[SKU]],'All Skus'!$A:$AC,2,FALSE))="AKG",(VLOOKUP(Table1[[#This Row],[SKU]],'All Skus'!$A:$AC,24,FALSE)),"")))</f>
        <v>https://www.akg.com/Wireless/Wireless%20Accessories/2999H00150.html</v>
      </c>
      <c r="U294" s="151">
        <v>292</v>
      </c>
    </row>
    <row r="295" spans="1:21" ht="15" hidden="1" customHeight="1">
      <c r="A295" s="50" t="s">
        <v>450</v>
      </c>
      <c r="B295" s="52" t="str">
        <f>(IF((VLOOKUP(Table1[[#This Row],[SKU]],'All Skus'!$A:$AC,2,FALSE))="AKG",(VLOOKUP(Table1[[#This Row],[SKU]],'All Skus'!$A:$AC,3,FALSE)), ""))</f>
        <v>Accessories</v>
      </c>
      <c r="C295" s="60" t="str">
        <f>(IF((VLOOKUP(Table1[[#This Row],[SKU]],'All Skus'!$A:$AC,2,FALSE))="AKG",(VLOOKUP(Table1[[#This Row],[SKU]],'All Skus'!$A:$AC,4,FALSE)),""))</f>
        <v>BP4000</v>
      </c>
      <c r="D295" s="60">
        <f>(IF((VLOOKUP(Table1[[#This Row],[SKU]],'All Skus'!$A:$AC,2,FALSE))="AKG",(VLOOKUP(Table1[[#This Row],[SKU]],'All Skus'!$A:$AC,5,FALSE)),""))</f>
        <v>83200100</v>
      </c>
      <c r="E295" s="60">
        <f>(IF((VLOOKUP(Table1[[#This Row],[SKU]],'All Skus'!$A:$AC,2,FALSE))="AKG",(VLOOKUP(Table1[[#This Row],[SKU]],'All Skus'!$A:$AC,6,FALSE)),""))</f>
        <v>0</v>
      </c>
      <c r="F295" s="60">
        <f>(IF((VLOOKUP(Table1[[#This Row],[SKU]],'All Skus'!$A:$AC,2,FALSE))="AKG",(VLOOKUP(Table1[[#This Row],[SKU]],'All Skus'!$A:$AC,7,FALSE)),""))</f>
        <v>0</v>
      </c>
      <c r="G295" s="45" t="str">
        <f>(IF((VLOOKUP(Table1[[#This Row],[SKU]],'All Skus'!$A:$AC,2,FALSE))="AKG",(VLOOKUP(Table1[[#This Row],[SKU]],'All Skus'!$A:$AC,8,FALSE)),""))</f>
        <v>Spare parts</v>
      </c>
      <c r="H295" s="45" t="str">
        <f>(IF((VLOOKUP(Table1[[#This Row],[SKU]],'All Skus'!$A:$AC,2,FALSE))="AKG",(VLOOKUP(Table1[[#This Row],[SKU]],'All Skus'!$A:$AC,9,FALSE)),""))</f>
        <v>Rechargeable battery pack for 
WMS4500/IVM4500</v>
      </c>
      <c r="I295" s="141">
        <f>(IF((VLOOKUP(Table1[[#This Row],[SKU]],'All Skus'!$A:$AC,2,FALSE))="AKG",(VLOOKUP(Table1[[#This Row],[SKU]],'All Skus'!$A:$AC,10,FALSE)),""))</f>
        <v>0</v>
      </c>
      <c r="J295" s="141">
        <f>(IF((VLOOKUP(Table1[[#This Row],[SKU]],'All Skus'!$A:$AC,2,FALSE))="AKG",(VLOOKUP(Table1[[#This Row],[SKU]],'All Skus'!$A:$AC,11,FALSE)),""))</f>
        <v>0</v>
      </c>
      <c r="K295" s="125">
        <f>(IF((VLOOKUP(Table1[[#This Row],[SKU]],'All Skus'!$A:$AC,2,FALSE))="AKG",(VLOOKUP(Table1[[#This Row],[SKU]],'All Skus'!$A:$AC,15,FALSE)),""))</f>
        <v>0</v>
      </c>
      <c r="L295" s="124">
        <f>(IF((VLOOKUP(Table1[[#This Row],[SKU]],'All Skus'!$A:$AC,2,FALSE))="AKG",(VLOOKUP(Table1[[#This Row],[SKU]],'All Skus'!$A:$AC,16,FALSE)),""))</f>
        <v>885038039594</v>
      </c>
      <c r="M295" s="124">
        <f>(IF((VLOOKUP(Table1[[#This Row],[SKU]],'All Skus'!$A:$AC,2,FALSE))="AKG",(VLOOKUP(Table1[[#This Row],[SKU]],'All Skus'!$A:$AC,17,FALSE)),""))</f>
        <v>9002761039597</v>
      </c>
      <c r="N295" s="64">
        <f>(IF((VLOOKUP(Table1[[#This Row],[SKU]],'All Skus'!$A:$AC,2,FALSE))="AKG",(VLOOKUP(Table1[[#This Row],[SKU]],'All Skus'!$A:$AC,18,FALSE)),""))</f>
        <v>0</v>
      </c>
      <c r="O295" s="64">
        <f>(IF((VLOOKUP(Table1[[#This Row],[SKU]],'All Skus'!$A:$AC,2,FALSE))="AKG",(VLOOKUP(Table1[[#This Row],[SKU]],'All Skus'!$A:$AC,19,FALSE)),""))</f>
        <v>0</v>
      </c>
      <c r="P295" s="64">
        <f>(IF((VLOOKUP(Table1[[#This Row],[SKU]],'All Skus'!$A:$AC,2,FALSE))="AKG",(VLOOKUP(Table1[[#This Row],[SKU]],'All Skus'!$A:$AC,20,FALSE)),""))</f>
        <v>0</v>
      </c>
      <c r="Q295" s="64" t="str">
        <f>(IF((VLOOKUP(Table1[[#This Row],[SKU]],'All Skus'!$A:$AC,2,FALSE))="AKG",(VLOOKUP(Table1[[#This Row],[SKU]],'All Skus'!$A:$AC,21,FALSE)),""))</f>
        <v>n/a</v>
      </c>
      <c r="R295" s="64" t="str">
        <f>(IF((VLOOKUP(Table1[[#This Row],[SKU]],'All Skus'!$A:$AC,2,FALSE))="AKG",(VLOOKUP(Table1[[#This Row],[SKU]],'All Skus'!$A:$AC,22,FALSE)),""))</f>
        <v>AT</v>
      </c>
      <c r="S295" s="64" t="str">
        <f>(IF((VLOOKUP(Table1[[#This Row],[SKU]],'All Skus'!$A:$AC,2,FALSE))="AKG",(VLOOKUP(Table1[[#This Row],[SKU]],'All Skus'!$A:$AC,23,FALSE)),""))</f>
        <v>Compliant</v>
      </c>
      <c r="T295" s="210" t="str">
        <f>HYPERLINK((IF((VLOOKUP(Table1[[#This Row],[SKU]],'All Skus'!$A:$AC,2,FALSE))="AKG",(VLOOKUP(Table1[[#This Row],[SKU]],'All Skus'!$A:$AC,24,FALSE)),"")))</f>
        <v>https://www.akg.com/Wireless/Wireless%20Accessories/3004H00030.html</v>
      </c>
      <c r="U295" s="151">
        <v>293</v>
      </c>
    </row>
    <row r="296" spans="1:21" ht="15" hidden="1" customHeight="1">
      <c r="A296" s="50" t="s">
        <v>451</v>
      </c>
      <c r="B296" s="52" t="str">
        <f>(IF((VLOOKUP(Table1[[#This Row],[SKU]],'All Skus'!$A:$AC,2,FALSE))="AKG",(VLOOKUP(Table1[[#This Row],[SKU]],'All Skus'!$A:$AC,3,FALSE)), ""))</f>
        <v>Antenna</v>
      </c>
      <c r="C296" s="60" t="str">
        <f>(IF((VLOOKUP(Table1[[#This Row],[SKU]],'All Skus'!$A:$AC,2,FALSE))="AKG",(VLOOKUP(Table1[[#This Row],[SKU]],'All Skus'!$A:$AC,4,FALSE)),""))</f>
        <v>AKG AB4000EW </v>
      </c>
      <c r="D296" s="60" t="str">
        <f>(IF((VLOOKUP(Table1[[#This Row],[SKU]],'All Skus'!$A:$AC,2,FALSE))="AKG",(VLOOKUP(Table1[[#This Row],[SKU]],'All Skus'!$A:$AC,5,FALSE)),""))</f>
        <v>AT690092</v>
      </c>
      <c r="E296" s="60">
        <f>(IF((VLOOKUP(Table1[[#This Row],[SKU]],'All Skus'!$A:$AC,2,FALSE))="AKG",(VLOOKUP(Table1[[#This Row],[SKU]],'All Skus'!$A:$AC,6,FALSE)),""))</f>
        <v>0</v>
      </c>
      <c r="F296" s="60">
        <f>(IF((VLOOKUP(Table1[[#This Row],[SKU]],'All Skus'!$A:$AC,2,FALSE))="AKG",(VLOOKUP(Table1[[#This Row],[SKU]],'All Skus'!$A:$AC,7,FALSE)),""))</f>
        <v>0</v>
      </c>
      <c r="G296" s="45">
        <f>(IF((VLOOKUP(Table1[[#This Row],[SKU]],'All Skus'!$A:$AC,2,FALSE))="AKG",(VLOOKUP(Table1[[#This Row],[SKU]],'All Skus'!$A:$AC,8,FALSE)),""))</f>
        <v>0</v>
      </c>
      <c r="H296" s="45" t="str">
        <f>(IF((VLOOKUP(Table1[[#This Row],[SKU]],'All Skus'!$A:$AC,2,FALSE))="AKG",(VLOOKUP(Table1[[#This Row],[SKU]],'All Skus'!$A:$AC,9,FALSE)),""))</f>
        <v>High-performance antenna booster to compensate signal loss on long antenna cables. </v>
      </c>
      <c r="I296" s="141">
        <f>(IF((VLOOKUP(Table1[[#This Row],[SKU]],'All Skus'!$A:$AC,2,FALSE))="AKG",(VLOOKUP(Table1[[#This Row],[SKU]],'All Skus'!$A:$AC,10,FALSE)),""))</f>
        <v>414.83</v>
      </c>
      <c r="J296" s="141">
        <f>(IF((VLOOKUP(Table1[[#This Row],[SKU]],'All Skus'!$A:$AC,2,FALSE))="AKG",(VLOOKUP(Table1[[#This Row],[SKU]],'All Skus'!$A:$AC,11,FALSE)),""))</f>
        <v>414.83</v>
      </c>
      <c r="K296" s="125">
        <f>(IF((VLOOKUP(Table1[[#This Row],[SKU]],'All Skus'!$A:$AC,2,FALSE))="AKG",(VLOOKUP(Table1[[#This Row],[SKU]],'All Skus'!$A:$AC,15,FALSE)),""))</f>
        <v>0</v>
      </c>
      <c r="L296" s="124">
        <f>(IF((VLOOKUP(Table1[[#This Row],[SKU]],'All Skus'!$A:$AC,2,FALSE))="AKG",(VLOOKUP(Table1[[#This Row],[SKU]],'All Skus'!$A:$AC,16,FALSE)),""))</f>
        <v>885038038054</v>
      </c>
      <c r="M296" s="124">
        <f>(IF((VLOOKUP(Table1[[#This Row],[SKU]],'All Skus'!$A:$AC,2,FALSE))="AKG",(VLOOKUP(Table1[[#This Row],[SKU]],'All Skus'!$A:$AC,17,FALSE)),""))</f>
        <v>0</v>
      </c>
      <c r="N296" s="64">
        <f>(IF((VLOOKUP(Table1[[#This Row],[SKU]],'All Skus'!$A:$AC,2,FALSE))="AKG",(VLOOKUP(Table1[[#This Row],[SKU]],'All Skus'!$A:$AC,18,FALSE)),""))</f>
        <v>11</v>
      </c>
      <c r="O296" s="64">
        <f>(IF((VLOOKUP(Table1[[#This Row],[SKU]],'All Skus'!$A:$AC,2,FALSE))="AKG",(VLOOKUP(Table1[[#This Row],[SKU]],'All Skus'!$A:$AC,19,FALSE)),""))</f>
        <v>11</v>
      </c>
      <c r="P296" s="64">
        <f>(IF((VLOOKUP(Table1[[#This Row],[SKU]],'All Skus'!$A:$AC,2,FALSE))="AKG",(VLOOKUP(Table1[[#This Row],[SKU]],'All Skus'!$A:$AC,20,FALSE)),""))</f>
        <v>13.5</v>
      </c>
      <c r="Q296" s="64">
        <f>(IF((VLOOKUP(Table1[[#This Row],[SKU]],'All Skus'!$A:$AC,2,FALSE))="AKG",(VLOOKUP(Table1[[#This Row],[SKU]],'All Skus'!$A:$AC,21,FALSE)),""))</f>
        <v>0</v>
      </c>
      <c r="R296" s="64" t="str">
        <f>(IF((VLOOKUP(Table1[[#This Row],[SKU]],'All Skus'!$A:$AC,2,FALSE))="AKG",(VLOOKUP(Table1[[#This Row],[SKU]],'All Skus'!$A:$AC,22,FALSE)),""))</f>
        <v>CN</v>
      </c>
      <c r="S296" s="64" t="str">
        <f>(IF((VLOOKUP(Table1[[#This Row],[SKU]],'All Skus'!$A:$AC,2,FALSE))="AKG",(VLOOKUP(Table1[[#This Row],[SKU]],'All Skus'!$A:$AC,23,FALSE)),""))</f>
        <v>Non Compliant</v>
      </c>
      <c r="T296" s="210" t="str">
        <f>HYPERLINK((IF((VLOOKUP(Table1[[#This Row],[SKU]],'All Skus'!$A:$AC,2,FALSE))="AKG",(VLOOKUP(Table1[[#This Row],[SKU]],'All Skus'!$A:$AC,24,FALSE)),"")))</f>
        <v>https://www.akg.com/Wireless/Antennas%20%2F%20Antenna%20Components/3009H00130.html</v>
      </c>
      <c r="U296" s="151">
        <v>294</v>
      </c>
    </row>
    <row r="297" spans="1:21" ht="15" hidden="1" customHeight="1">
      <c r="A297" s="50" t="s">
        <v>452</v>
      </c>
      <c r="B297" s="52" t="str">
        <f>(IF((VLOOKUP(Table1[[#This Row],[SKU]],'All Skus'!$A:$AC,2,FALSE))="AKG",(VLOOKUP(Table1[[#This Row],[SKU]],'All Skus'!$A:$AC,3,FALSE)), ""))</f>
        <v>Wireless Mics</v>
      </c>
      <c r="C297" s="60" t="str">
        <f>(IF((VLOOKUP(Table1[[#This Row],[SKU]],'All Skus'!$A:$AC,2,FALSE))="AKG",(VLOOKUP(Table1[[#This Row],[SKU]],'All Skus'!$A:$AC,4,FALSE)),""))</f>
        <v>CU4000 EU/US/UK/AU</v>
      </c>
      <c r="D297" s="60">
        <f>(IF((VLOOKUP(Table1[[#This Row],[SKU]],'All Skus'!$A:$AC,2,FALSE))="AKG",(VLOOKUP(Table1[[#This Row],[SKU]],'All Skus'!$A:$AC,5,FALSE)),""))</f>
        <v>0</v>
      </c>
      <c r="E297" s="60">
        <f>(IF((VLOOKUP(Table1[[#This Row],[SKU]],'All Skus'!$A:$AC,2,FALSE))="AKG",(VLOOKUP(Table1[[#This Row],[SKU]],'All Skus'!$A:$AC,6,FALSE)),""))</f>
        <v>0</v>
      </c>
      <c r="F297" s="60">
        <f>(IF((VLOOKUP(Table1[[#This Row],[SKU]],'All Skus'!$A:$AC,2,FALSE))="AKG",(VLOOKUP(Table1[[#This Row],[SKU]],'All Skus'!$A:$AC,7,FALSE)),""))</f>
        <v>0</v>
      </c>
      <c r="G297" s="45" t="str">
        <f>(IF((VLOOKUP(Table1[[#This Row],[SKU]],'All Skus'!$A:$AC,2,FALSE))="AKG",(VLOOKUP(Table1[[#This Row],[SKU]],'All Skus'!$A:$AC,8,FALSE)),""))</f>
        <v>CU4000 CHARGING UNIT</v>
      </c>
      <c r="H297" s="45" t="str">
        <f>(IF((VLOOKUP(Table1[[#This Row],[SKU]],'All Skus'!$A:$AC,2,FALSE))="AKG",(VLOOKUP(Table1[[#This Row],[SKU]],'All Skus'!$A:$AC,9,FALSE)),""))</f>
        <v>Charging unit</v>
      </c>
      <c r="I297" s="141">
        <f>(IF((VLOOKUP(Table1[[#This Row],[SKU]],'All Skus'!$A:$AC,2,FALSE))="AKG",(VLOOKUP(Table1[[#This Row],[SKU]],'All Skus'!$A:$AC,10,FALSE)),""))</f>
        <v>899.15</v>
      </c>
      <c r="J297" s="141">
        <f>(IF((VLOOKUP(Table1[[#This Row],[SKU]],'All Skus'!$A:$AC,2,FALSE))="AKG",(VLOOKUP(Table1[[#This Row],[SKU]],'All Skus'!$A:$AC,11,FALSE)),""))</f>
        <v>720</v>
      </c>
      <c r="K297" s="125">
        <f>(IF((VLOOKUP(Table1[[#This Row],[SKU]],'All Skus'!$A:$AC,2,FALSE))="AKG",(VLOOKUP(Table1[[#This Row],[SKU]],'All Skus'!$A:$AC,15,FALSE)),""))</f>
        <v>0.61281708945260349</v>
      </c>
      <c r="L297" s="124">
        <f>(IF((VLOOKUP(Table1[[#This Row],[SKU]],'All Skus'!$A:$AC,2,FALSE))="AKG",(VLOOKUP(Table1[[#This Row],[SKU]],'All Skus'!$A:$AC,16,FALSE)),""))</f>
        <v>885038026624</v>
      </c>
      <c r="M297" s="124">
        <f>(IF((VLOOKUP(Table1[[#This Row],[SKU]],'All Skus'!$A:$AC,2,FALSE))="AKG",(VLOOKUP(Table1[[#This Row],[SKU]],'All Skus'!$A:$AC,17,FALSE)),""))</f>
        <v>9002761026627</v>
      </c>
      <c r="N297" s="64">
        <f>(IF((VLOOKUP(Table1[[#This Row],[SKU]],'All Skus'!$A:$AC,2,FALSE))="AKG",(VLOOKUP(Table1[[#This Row],[SKU]],'All Skus'!$A:$AC,18,FALSE)),""))</f>
        <v>0</v>
      </c>
      <c r="O297" s="64">
        <f>(IF((VLOOKUP(Table1[[#This Row],[SKU]],'All Skus'!$A:$AC,2,FALSE))="AKG",(VLOOKUP(Table1[[#This Row],[SKU]],'All Skus'!$A:$AC,19,FALSE)),""))</f>
        <v>0</v>
      </c>
      <c r="P297" s="64">
        <f>(IF((VLOOKUP(Table1[[#This Row],[SKU]],'All Skus'!$A:$AC,2,FALSE))="AKG",(VLOOKUP(Table1[[#This Row],[SKU]],'All Skus'!$A:$AC,20,FALSE)),""))</f>
        <v>0</v>
      </c>
      <c r="Q297" s="64">
        <f>(IF((VLOOKUP(Table1[[#This Row],[SKU]],'All Skus'!$A:$AC,2,FALSE))="AKG",(VLOOKUP(Table1[[#This Row],[SKU]],'All Skus'!$A:$AC,21,FALSE)),""))</f>
        <v>6.0960000000000001</v>
      </c>
      <c r="R297" s="64" t="str">
        <f>(IF((VLOOKUP(Table1[[#This Row],[SKU]],'All Skus'!$A:$AC,2,FALSE))="AKG",(VLOOKUP(Table1[[#This Row],[SKU]],'All Skus'!$A:$AC,22,FALSE)),""))</f>
        <v>HU</v>
      </c>
      <c r="S297" s="64" t="str">
        <f>(IF((VLOOKUP(Table1[[#This Row],[SKU]],'All Skus'!$A:$AC,2,FALSE))="AKG",(VLOOKUP(Table1[[#This Row],[SKU]],'All Skus'!$A:$AC,23,FALSE)),""))</f>
        <v>Compliant</v>
      </c>
      <c r="T297" s="210" t="str">
        <f>HYPERLINK((IF((VLOOKUP(Table1[[#This Row],[SKU]],'All Skus'!$A:$AC,2,FALSE))="AKG",(VLOOKUP(Table1[[#This Row],[SKU]],'All Skus'!$A:$AC,24,FALSE)),"")))</f>
        <v>https://www.akg.com/Wireless/Wireless%20Accessories/2887X00060.html</v>
      </c>
      <c r="U297" s="151">
        <v>295</v>
      </c>
    </row>
    <row r="298" spans="1:21" ht="15" hidden="1" customHeight="1">
      <c r="A298" s="50" t="s">
        <v>453</v>
      </c>
      <c r="B298" s="52" t="str">
        <f>(IF((VLOOKUP(Table1[[#This Row],[SKU]],'All Skus'!$A:$AC,2,FALSE))="AKG",(VLOOKUP(Table1[[#This Row],[SKU]],'All Skus'!$A:$AC,3,FALSE)), ""))</f>
        <v>Wireless Mics</v>
      </c>
      <c r="C298" s="60" t="str">
        <f>(IF((VLOOKUP(Table1[[#This Row],[SKU]],'All Skus'!$A:$AC,2,FALSE))="AKG",(VLOOKUP(Table1[[#This Row],[SKU]],'All Skus'!$A:$AC,4,FALSE)),""))</f>
        <v>CU400 EU/US/UK</v>
      </c>
      <c r="D298" s="60" t="str">
        <f>(IF((VLOOKUP(Table1[[#This Row],[SKU]],'All Skus'!$A:$AC,2,FALSE))="AKG",(VLOOKUP(Table1[[#This Row],[SKU]],'All Skus'!$A:$AC,5,FALSE)),""))</f>
        <v>AT690092</v>
      </c>
      <c r="E298" s="60">
        <f>(IF((VLOOKUP(Table1[[#This Row],[SKU]],'All Skus'!$A:$AC,2,FALSE))="AKG",(VLOOKUP(Table1[[#This Row],[SKU]],'All Skus'!$A:$AC,6,FALSE)),""))</f>
        <v>0</v>
      </c>
      <c r="F298" s="60">
        <f>(IF((VLOOKUP(Table1[[#This Row],[SKU]],'All Skus'!$A:$AC,2,FALSE))="AKG",(VLOOKUP(Table1[[#This Row],[SKU]],'All Skus'!$A:$AC,7,FALSE)),""))</f>
        <v>0</v>
      </c>
      <c r="G298" s="45" t="str">
        <f>(IF((VLOOKUP(Table1[[#This Row],[SKU]],'All Skus'!$A:$AC,2,FALSE))="AKG",(VLOOKUP(Table1[[#This Row],[SKU]],'All Skus'!$A:$AC,8,FALSE)),""))</f>
        <v>Wireless Accessories</v>
      </c>
      <c r="H298" s="45" t="str">
        <f>(IF((VLOOKUP(Table1[[#This Row],[SKU]],'All Skus'!$A:$AC,2,FALSE))="AKG",(VLOOKUP(Table1[[#This Row],[SKU]],'All Skus'!$A:$AC,9,FALSE)),""))</f>
        <v>Charging unit, two slots, 5V/1500mA power supply included, EU/US/UK connector, two NiMH rechargeable batteries included, for HT40 PRO, PT40 PRO, HT40 FLEXX, PT40 FLEXX, HT450, PT450, HT470, PT470</v>
      </c>
      <c r="I298" s="141">
        <f>(IF((VLOOKUP(Table1[[#This Row],[SKU]],'All Skus'!$A:$AC,2,FALSE))="AKG",(VLOOKUP(Table1[[#This Row],[SKU]],'All Skus'!$A:$AC,10,FALSE)),""))</f>
        <v>454.98</v>
      </c>
      <c r="J298" s="141">
        <f>(IF((VLOOKUP(Table1[[#This Row],[SKU]],'All Skus'!$A:$AC,2,FALSE))="AKG",(VLOOKUP(Table1[[#This Row],[SKU]],'All Skus'!$A:$AC,11,FALSE)),""))</f>
        <v>356</v>
      </c>
      <c r="K298" s="125">
        <f>(IF((VLOOKUP(Table1[[#This Row],[SKU]],'All Skus'!$A:$AC,2,FALSE))="AKG",(VLOOKUP(Table1[[#This Row],[SKU]],'All Skus'!$A:$AC,15,FALSE)),""))</f>
        <v>0.60554089709762537</v>
      </c>
      <c r="L298" s="124">
        <f>(IF((VLOOKUP(Table1[[#This Row],[SKU]],'All Skus'!$A:$AC,2,FALSE))="AKG",(VLOOKUP(Table1[[#This Row],[SKU]],'All Skus'!$A:$AC,16,FALSE)),""))</f>
        <v>885038017813</v>
      </c>
      <c r="M298" s="124">
        <f>(IF((VLOOKUP(Table1[[#This Row],[SKU]],'All Skus'!$A:$AC,2,FALSE))="AKG",(VLOOKUP(Table1[[#This Row],[SKU]],'All Skus'!$A:$AC,17,FALSE)),""))</f>
        <v>9002761017816</v>
      </c>
      <c r="N298" s="64">
        <f>(IF((VLOOKUP(Table1[[#This Row],[SKU]],'All Skus'!$A:$AC,2,FALSE))="AKG",(VLOOKUP(Table1[[#This Row],[SKU]],'All Skus'!$A:$AC,18,FALSE)),""))</f>
        <v>4</v>
      </c>
      <c r="O298" s="64">
        <f>(IF((VLOOKUP(Table1[[#This Row],[SKU]],'All Skus'!$A:$AC,2,FALSE))="AKG",(VLOOKUP(Table1[[#This Row],[SKU]],'All Skus'!$A:$AC,19,FALSE)),""))</f>
        <v>10</v>
      </c>
      <c r="P298" s="64">
        <f>(IF((VLOOKUP(Table1[[#This Row],[SKU]],'All Skus'!$A:$AC,2,FALSE))="AKG",(VLOOKUP(Table1[[#This Row],[SKU]],'All Skus'!$A:$AC,20,FALSE)),""))</f>
        <v>14</v>
      </c>
      <c r="Q298" s="64">
        <f>(IF((VLOOKUP(Table1[[#This Row],[SKU]],'All Skus'!$A:$AC,2,FALSE))="AKG",(VLOOKUP(Table1[[#This Row],[SKU]],'All Skus'!$A:$AC,21,FALSE)),""))</f>
        <v>4</v>
      </c>
      <c r="R298" s="64" t="str">
        <f>(IF((VLOOKUP(Table1[[#This Row],[SKU]],'All Skus'!$A:$AC,2,FALSE))="AKG",(VLOOKUP(Table1[[#This Row],[SKU]],'All Skus'!$A:$AC,22,FALSE)),""))</f>
        <v>HU</v>
      </c>
      <c r="S298" s="64" t="str">
        <f>(IF((VLOOKUP(Table1[[#This Row],[SKU]],'All Skus'!$A:$AC,2,FALSE))="AKG",(VLOOKUP(Table1[[#This Row],[SKU]],'All Skus'!$A:$AC,23,FALSE)),""))</f>
        <v>Compliant</v>
      </c>
      <c r="T298" s="210" t="str">
        <f>HYPERLINK((IF((VLOOKUP(Table1[[#This Row],[SKU]],'All Skus'!$A:$AC,2,FALSE))="AKG",(VLOOKUP(Table1[[#This Row],[SKU]],'All Skus'!$A:$AC,24,FALSE)),"")))</f>
        <v>https://www.akg.com/Wireless/Wireless%20Accessories/CU400.html</v>
      </c>
      <c r="U298" s="151">
        <v>296</v>
      </c>
    </row>
    <row r="299" spans="1:21" ht="15" hidden="1" customHeight="1">
      <c r="A299" s="50" t="s">
        <v>454</v>
      </c>
      <c r="B299" s="52" t="str">
        <f>(IF((VLOOKUP(Table1[[#This Row],[SKU]],'All Skus'!$A:$AC,2,FALSE))="AKG",(VLOOKUP(Table1[[#This Row],[SKU]],'All Skus'!$A:$AC,3,FALSE)), ""))</f>
        <v>Installed</v>
      </c>
      <c r="C299" s="60" t="str">
        <f>(IF((VLOOKUP(Table1[[#This Row],[SKU]],'All Skus'!$A:$AC,2,FALSE))="AKG",(VLOOKUP(Table1[[#This Row],[SKU]],'All Skus'!$A:$AC,4,FALSE)),""))</f>
        <v xml:space="preserve">WM82 beige wiremesh 5 pack </v>
      </c>
      <c r="D299" s="60" t="str">
        <f>(IF((VLOOKUP(Table1[[#This Row],[SKU]],'All Skus'!$A:$AC,2,FALSE))="AKG",(VLOOKUP(Table1[[#This Row],[SKU]],'All Skus'!$A:$AC,5,FALSE)),""))</f>
        <v>AT510000</v>
      </c>
      <c r="E299" s="60">
        <f>(IF((VLOOKUP(Table1[[#This Row],[SKU]],'All Skus'!$A:$AC,2,FALSE))="AKG",(VLOOKUP(Table1[[#This Row],[SKU]],'All Skus'!$A:$AC,6,FALSE)),""))</f>
        <v>0</v>
      </c>
      <c r="F299" s="60">
        <f>(IF((VLOOKUP(Table1[[#This Row],[SKU]],'All Skus'!$A:$AC,2,FALSE))="AKG",(VLOOKUP(Table1[[#This Row],[SKU]],'All Skus'!$A:$AC,7,FALSE)),""))</f>
        <v>0</v>
      </c>
      <c r="G299" s="45" t="str">
        <f>(IF((VLOOKUP(Table1[[#This Row],[SKU]],'All Skus'!$A:$AC,2,FALSE))="AKG",(VLOOKUP(Table1[[#This Row],[SKU]],'All Skus'!$A:$AC,8,FALSE)),""))</f>
        <v>Microlite Accessories</v>
      </c>
      <c r="H299" s="45" t="str">
        <f>(IF((VLOOKUP(Table1[[#This Row],[SKU]],'All Skus'!$A:$AC,2,FALSE))="AKG",(VLOOKUP(Table1[[#This Row],[SKU]],'All Skus'!$A:$AC,9,FALSE)),""))</f>
        <v>wiremesh cap 5 pack</v>
      </c>
      <c r="I299" s="141">
        <f>(IF((VLOOKUP(Table1[[#This Row],[SKU]],'All Skus'!$A:$AC,2,FALSE))="AKG",(VLOOKUP(Table1[[#This Row],[SKU]],'All Skus'!$A:$AC,10,FALSE)),""))</f>
        <v>60.59</v>
      </c>
      <c r="J299" s="141">
        <f>(IF((VLOOKUP(Table1[[#This Row],[SKU]],'All Skus'!$A:$AC,2,FALSE))="AKG",(VLOOKUP(Table1[[#This Row],[SKU]],'All Skus'!$A:$AC,11,FALSE)),""))</f>
        <v>47</v>
      </c>
      <c r="K299" s="125">
        <f>(IF((VLOOKUP(Table1[[#This Row],[SKU]],'All Skus'!$A:$AC,2,FALSE))="AKG",(VLOOKUP(Table1[[#This Row],[SKU]],'All Skus'!$A:$AC,15,FALSE)),""))</f>
        <v>0</v>
      </c>
      <c r="L299" s="124">
        <f>(IF((VLOOKUP(Table1[[#This Row],[SKU]],'All Skus'!$A:$AC,2,FALSE))="AKG",(VLOOKUP(Table1[[#This Row],[SKU]],'All Skus'!$A:$AC,16,FALSE)),""))</f>
        <v>885038039280</v>
      </c>
      <c r="M299" s="124">
        <f>(IF((VLOOKUP(Table1[[#This Row],[SKU]],'All Skus'!$A:$AC,2,FALSE))="AKG",(VLOOKUP(Table1[[#This Row],[SKU]],'All Skus'!$A:$AC,17,FALSE)),""))</f>
        <v>9002761039283</v>
      </c>
      <c r="N299" s="64">
        <f>(IF((VLOOKUP(Table1[[#This Row],[SKU]],'All Skus'!$A:$AC,2,FALSE))="AKG",(VLOOKUP(Table1[[#This Row],[SKU]],'All Skus'!$A:$AC,18,FALSE)),""))</f>
        <v>1</v>
      </c>
      <c r="O299" s="64">
        <f>(IF((VLOOKUP(Table1[[#This Row],[SKU]],'All Skus'!$A:$AC,2,FALSE))="AKG",(VLOOKUP(Table1[[#This Row],[SKU]],'All Skus'!$A:$AC,19,FALSE)),""))</f>
        <v>3</v>
      </c>
      <c r="P299" s="64">
        <f>(IF((VLOOKUP(Table1[[#This Row],[SKU]],'All Skus'!$A:$AC,2,FALSE))="AKG",(VLOOKUP(Table1[[#This Row],[SKU]],'All Skus'!$A:$AC,20,FALSE)),""))</f>
        <v>4</v>
      </c>
      <c r="Q299" s="64" t="str">
        <f>(IF((VLOOKUP(Table1[[#This Row],[SKU]],'All Skus'!$A:$AC,2,FALSE))="AKG",(VLOOKUP(Table1[[#This Row],[SKU]],'All Skus'!$A:$AC,21,FALSE)),""))</f>
        <v>n/a</v>
      </c>
      <c r="R299" s="64" t="str">
        <f>(IF((VLOOKUP(Table1[[#This Row],[SKU]],'All Skus'!$A:$AC,2,FALSE))="AKG",(VLOOKUP(Table1[[#This Row],[SKU]],'All Skus'!$A:$AC,22,FALSE)),""))</f>
        <v>TW</v>
      </c>
      <c r="S299" s="64" t="str">
        <f>(IF((VLOOKUP(Table1[[#This Row],[SKU]],'All Skus'!$A:$AC,2,FALSE))="AKG",(VLOOKUP(Table1[[#This Row],[SKU]],'All Skus'!$A:$AC,23,FALSE)),""))</f>
        <v>Compliant</v>
      </c>
      <c r="T299" s="210" t="str">
        <f>HYPERLINK((IF((VLOOKUP(Table1[[#This Row],[SKU]],'All Skus'!$A:$AC,2,FALSE))="AKG",(VLOOKUP(Table1[[#This Row],[SKU]],'All Skus'!$A:$AC,24,FALSE)),"")))</f>
        <v>https://www.akg.com/Microphones/Microphone%20Accessories/6500H00520.html</v>
      </c>
      <c r="U299" s="151">
        <v>297</v>
      </c>
    </row>
    <row r="300" spans="1:21" ht="15" hidden="1" customHeight="1">
      <c r="A300" s="50" t="s">
        <v>455</v>
      </c>
      <c r="B300" s="52" t="str">
        <f>(IF((VLOOKUP(Table1[[#This Row],[SKU]],'All Skus'!$A:$AC,2,FALSE))="AKG",(VLOOKUP(Table1[[#This Row],[SKU]],'All Skus'!$A:$AC,3,FALSE)), ""))</f>
        <v>Installed</v>
      </c>
      <c r="C300" s="60" t="str">
        <f>(IF((VLOOKUP(Table1[[#This Row],[SKU]],'All Skus'!$A:$AC,2,FALSE))="AKG",(VLOOKUP(Table1[[#This Row],[SKU]],'All Skus'!$A:$AC,4,FALSE)),""))</f>
        <v xml:space="preserve">WM82 cocoa wiremesh 5 pack </v>
      </c>
      <c r="D300" s="60" t="str">
        <f>(IF((VLOOKUP(Table1[[#This Row],[SKU]],'All Skus'!$A:$AC,2,FALSE))="AKG",(VLOOKUP(Table1[[#This Row],[SKU]],'All Skus'!$A:$AC,5,FALSE)),""))</f>
        <v>AT510000</v>
      </c>
      <c r="E300" s="60">
        <f>(IF((VLOOKUP(Table1[[#This Row],[SKU]],'All Skus'!$A:$AC,2,FALSE))="AKG",(VLOOKUP(Table1[[#This Row],[SKU]],'All Skus'!$A:$AC,6,FALSE)),""))</f>
        <v>0</v>
      </c>
      <c r="F300" s="60">
        <f>(IF((VLOOKUP(Table1[[#This Row],[SKU]],'All Skus'!$A:$AC,2,FALSE))="AKG",(VLOOKUP(Table1[[#This Row],[SKU]],'All Skus'!$A:$AC,7,FALSE)),""))</f>
        <v>0</v>
      </c>
      <c r="G300" s="45" t="str">
        <f>(IF((VLOOKUP(Table1[[#This Row],[SKU]],'All Skus'!$A:$AC,2,FALSE))="AKG",(VLOOKUP(Table1[[#This Row],[SKU]],'All Skus'!$A:$AC,8,FALSE)),""))</f>
        <v>Microlite Accessories</v>
      </c>
      <c r="H300" s="45" t="str">
        <f>(IF((VLOOKUP(Table1[[#This Row],[SKU]],'All Skus'!$A:$AC,2,FALSE))="AKG",(VLOOKUP(Table1[[#This Row],[SKU]],'All Skus'!$A:$AC,9,FALSE)),""))</f>
        <v>wiremesh cap 5 pack</v>
      </c>
      <c r="I300" s="141">
        <f>(IF((VLOOKUP(Table1[[#This Row],[SKU]],'All Skus'!$A:$AC,2,FALSE))="AKG",(VLOOKUP(Table1[[#This Row],[SKU]],'All Skus'!$A:$AC,10,FALSE)),""))</f>
        <v>60.59</v>
      </c>
      <c r="J300" s="141">
        <f>(IF((VLOOKUP(Table1[[#This Row],[SKU]],'All Skus'!$A:$AC,2,FALSE))="AKG",(VLOOKUP(Table1[[#This Row],[SKU]],'All Skus'!$A:$AC,11,FALSE)),""))</f>
        <v>47</v>
      </c>
      <c r="K300" s="125">
        <f>(IF((VLOOKUP(Table1[[#This Row],[SKU]],'All Skus'!$A:$AC,2,FALSE))="AKG",(VLOOKUP(Table1[[#This Row],[SKU]],'All Skus'!$A:$AC,15,FALSE)),""))</f>
        <v>0</v>
      </c>
      <c r="L300" s="124">
        <f>(IF((VLOOKUP(Table1[[#This Row],[SKU]],'All Skus'!$A:$AC,2,FALSE))="AKG",(VLOOKUP(Table1[[#This Row],[SKU]],'All Skus'!$A:$AC,16,FALSE)),""))</f>
        <v>885038039297</v>
      </c>
      <c r="M300" s="124">
        <f>(IF((VLOOKUP(Table1[[#This Row],[SKU]],'All Skus'!$A:$AC,2,FALSE))="AKG",(VLOOKUP(Table1[[#This Row],[SKU]],'All Skus'!$A:$AC,17,FALSE)),""))</f>
        <v>9002761039290</v>
      </c>
      <c r="N300" s="64">
        <f>(IF((VLOOKUP(Table1[[#This Row],[SKU]],'All Skus'!$A:$AC,2,FALSE))="AKG",(VLOOKUP(Table1[[#This Row],[SKU]],'All Skus'!$A:$AC,18,FALSE)),""))</f>
        <v>1</v>
      </c>
      <c r="O300" s="64">
        <f>(IF((VLOOKUP(Table1[[#This Row],[SKU]],'All Skus'!$A:$AC,2,FALSE))="AKG",(VLOOKUP(Table1[[#This Row],[SKU]],'All Skus'!$A:$AC,19,FALSE)),""))</f>
        <v>4</v>
      </c>
      <c r="P300" s="64">
        <f>(IF((VLOOKUP(Table1[[#This Row],[SKU]],'All Skus'!$A:$AC,2,FALSE))="AKG",(VLOOKUP(Table1[[#This Row],[SKU]],'All Skus'!$A:$AC,20,FALSE)),""))</f>
        <v>2.5</v>
      </c>
      <c r="Q300" s="64" t="str">
        <f>(IF((VLOOKUP(Table1[[#This Row],[SKU]],'All Skus'!$A:$AC,2,FALSE))="AKG",(VLOOKUP(Table1[[#This Row],[SKU]],'All Skus'!$A:$AC,21,FALSE)),""))</f>
        <v>n/a</v>
      </c>
      <c r="R300" s="64" t="str">
        <f>(IF((VLOOKUP(Table1[[#This Row],[SKU]],'All Skus'!$A:$AC,2,FALSE))="AKG",(VLOOKUP(Table1[[#This Row],[SKU]],'All Skus'!$A:$AC,22,FALSE)),""))</f>
        <v>TW</v>
      </c>
      <c r="S300" s="64" t="str">
        <f>(IF((VLOOKUP(Table1[[#This Row],[SKU]],'All Skus'!$A:$AC,2,FALSE))="AKG",(VLOOKUP(Table1[[#This Row],[SKU]],'All Skus'!$A:$AC,23,FALSE)),""))</f>
        <v>Compliant</v>
      </c>
      <c r="T300" s="210" t="str">
        <f>HYPERLINK((IF((VLOOKUP(Table1[[#This Row],[SKU]],'All Skus'!$A:$AC,2,FALSE))="AKG",(VLOOKUP(Table1[[#This Row],[SKU]],'All Skus'!$A:$AC,24,FALSE)),"")))</f>
        <v>https://www.akg.com/Microphones/Microphone%20Accessories/6500H00530.html</v>
      </c>
      <c r="U300" s="151">
        <v>298</v>
      </c>
    </row>
    <row r="301" spans="1:21" ht="15" hidden="1" customHeight="1">
      <c r="A301" s="50" t="s">
        <v>456</v>
      </c>
      <c r="B301" s="52" t="str">
        <f>(IF((VLOOKUP(Table1[[#This Row],[SKU]],'All Skus'!$A:$AC,2,FALSE))="AKG",(VLOOKUP(Table1[[#This Row],[SKU]],'All Skus'!$A:$AC,3,FALSE)), ""))</f>
        <v>Wireless Mics</v>
      </c>
      <c r="C301" s="60" t="str">
        <f>(IF((VLOOKUP(Table1[[#This Row],[SKU]],'All Skus'!$A:$AC,2,FALSE))="AKG",(VLOOKUP(Table1[[#This Row],[SKU]],'All Skus'!$A:$AC,4,FALSE)),""))</f>
        <v>DMS800 CU800</v>
      </c>
      <c r="D301" s="60" t="str">
        <f>(IF((VLOOKUP(Table1[[#This Row],[SKU]],'All Skus'!$A:$AC,2,FALSE))="AKG",(VLOOKUP(Table1[[#This Row],[SKU]],'All Skus'!$A:$AC,5,FALSE)),""))</f>
        <v>AT690092</v>
      </c>
      <c r="E301" s="60">
        <f>(IF((VLOOKUP(Table1[[#This Row],[SKU]],'All Skus'!$A:$AC,2,FALSE))="AKG",(VLOOKUP(Table1[[#This Row],[SKU]],'All Skus'!$A:$AC,6,FALSE)),""))</f>
        <v>0</v>
      </c>
      <c r="F301" s="60">
        <f>(IF((VLOOKUP(Table1[[#This Row],[SKU]],'All Skus'!$A:$AC,2,FALSE))="AKG",(VLOOKUP(Table1[[#This Row],[SKU]],'All Skus'!$A:$AC,7,FALSE)),""))</f>
        <v>0</v>
      </c>
      <c r="G301" s="45" t="str">
        <f>(IF((VLOOKUP(Table1[[#This Row],[SKU]],'All Skus'!$A:$AC,2,FALSE))="AKG",(VLOOKUP(Table1[[#This Row],[SKU]],'All Skus'!$A:$AC,8,FALSE)),""))</f>
        <v>Digital Microphone System</v>
      </c>
      <c r="H301" s="45" t="str">
        <f>(IF((VLOOKUP(Table1[[#This Row],[SKU]],'All Skus'!$A:$AC,2,FALSE))="AKG",(VLOOKUP(Table1[[#This Row],[SKU]],'All Skus'!$A:$AC,9,FALSE)),""))</f>
        <v>Charging unit, technically identical to CU700, but includes 2 plastic caps for DHT800</v>
      </c>
      <c r="I301" s="141">
        <f>(IF((VLOOKUP(Table1[[#This Row],[SKU]],'All Skus'!$A:$AC,2,FALSE))="AKG",(VLOOKUP(Table1[[#This Row],[SKU]],'All Skus'!$A:$AC,10,FALSE)),""))</f>
        <v>671.06</v>
      </c>
      <c r="J301" s="141">
        <f>(IF((VLOOKUP(Table1[[#This Row],[SKU]],'All Skus'!$A:$AC,2,FALSE))="AKG",(VLOOKUP(Table1[[#This Row],[SKU]],'All Skus'!$A:$AC,11,FALSE)),""))</f>
        <v>566</v>
      </c>
      <c r="K301" s="125">
        <f>(IF((VLOOKUP(Table1[[#This Row],[SKU]],'All Skus'!$A:$AC,2,FALSE))="AKG",(VLOOKUP(Table1[[#This Row],[SKU]],'All Skus'!$A:$AC,15,FALSE)),""))</f>
        <v>0.54737581425541382</v>
      </c>
      <c r="L301" s="124">
        <f>(IF((VLOOKUP(Table1[[#This Row],[SKU]],'All Skus'!$A:$AC,2,FALSE))="AKG",(VLOOKUP(Table1[[#This Row],[SKU]],'All Skus'!$A:$AC,16,FALSE)),""))</f>
        <v>885038038344</v>
      </c>
      <c r="M301" s="124">
        <f>(IF((VLOOKUP(Table1[[#This Row],[SKU]],'All Skus'!$A:$AC,2,FALSE))="AKG",(VLOOKUP(Table1[[#This Row],[SKU]],'All Skus'!$A:$AC,17,FALSE)),""))</f>
        <v>9002761038347</v>
      </c>
      <c r="N301" s="64">
        <f>(IF((VLOOKUP(Table1[[#This Row],[SKU]],'All Skus'!$A:$AC,2,FALSE))="AKG",(VLOOKUP(Table1[[#This Row],[SKU]],'All Skus'!$A:$AC,18,FALSE)),""))</f>
        <v>3.5</v>
      </c>
      <c r="O301" s="64">
        <f>(IF((VLOOKUP(Table1[[#This Row],[SKU]],'All Skus'!$A:$AC,2,FALSE))="AKG",(VLOOKUP(Table1[[#This Row],[SKU]],'All Skus'!$A:$AC,19,FALSE)),""))</f>
        <v>8.75</v>
      </c>
      <c r="P301" s="64">
        <f>(IF((VLOOKUP(Table1[[#This Row],[SKU]],'All Skus'!$A:$AC,2,FALSE))="AKG",(VLOOKUP(Table1[[#This Row],[SKU]],'All Skus'!$A:$AC,20,FALSE)),""))</f>
        <v>7.25</v>
      </c>
      <c r="Q301" s="64">
        <f>(IF((VLOOKUP(Table1[[#This Row],[SKU]],'All Skus'!$A:$AC,2,FALSE))="AKG",(VLOOKUP(Table1[[#This Row],[SKU]],'All Skus'!$A:$AC,21,FALSE)),""))</f>
        <v>3.43</v>
      </c>
      <c r="R301" s="64" t="str">
        <f>(IF((VLOOKUP(Table1[[#This Row],[SKU]],'All Skus'!$A:$AC,2,FALSE))="AKG",(VLOOKUP(Table1[[#This Row],[SKU]],'All Skus'!$A:$AC,22,FALSE)),""))</f>
        <v>CN</v>
      </c>
      <c r="S301" s="64" t="str">
        <f>(IF((VLOOKUP(Table1[[#This Row],[SKU]],'All Skus'!$A:$AC,2,FALSE))="AKG",(VLOOKUP(Table1[[#This Row],[SKU]],'All Skus'!$A:$AC,23,FALSE)),""))</f>
        <v>Non Compliant</v>
      </c>
      <c r="T301" s="210" t="str">
        <f>HYPERLINK((IF((VLOOKUP(Table1[[#This Row],[SKU]],'All Skus'!$A:$AC,2,FALSE))="AKG",(VLOOKUP(Table1[[#This Row],[SKU]],'All Skus'!$A:$AC,24,FALSE)),"")))</f>
        <v>https://www.akg.com/Wireless/Wireless%20Accessories/3158H00050.html</v>
      </c>
      <c r="U301" s="151">
        <v>299</v>
      </c>
    </row>
    <row r="302" spans="1:21" ht="15" hidden="1" customHeight="1">
      <c r="A302" s="50" t="s">
        <v>457</v>
      </c>
      <c r="B302" s="52" t="str">
        <f>(IF((VLOOKUP(Table1[[#This Row],[SKU]],'All Skus'!$A:$AC,2,FALSE))="AKG",(VLOOKUP(Table1[[#This Row],[SKU]],'All Skus'!$A:$AC,3,FALSE)), ""))</f>
        <v>Accessories</v>
      </c>
      <c r="C302" s="60" t="str">
        <f>(IF((VLOOKUP(Table1[[#This Row],[SKU]],'All Skus'!$A:$AC,2,FALSE))="AKG",(VLOOKUP(Table1[[#This Row],[SKU]],'All Skus'!$A:$AC,4,FALSE)),""))</f>
        <v>RMU700</v>
      </c>
      <c r="D302" s="60" t="str">
        <f>(IF((VLOOKUP(Table1[[#This Row],[SKU]],'All Skus'!$A:$AC,2,FALSE))="AKG",(VLOOKUP(Table1[[#This Row],[SKU]],'All Skus'!$A:$AC,5,FALSE)),""))</f>
        <v>AT640000</v>
      </c>
      <c r="E302" s="60">
        <f>(IF((VLOOKUP(Table1[[#This Row],[SKU]],'All Skus'!$A:$AC,2,FALSE))="AKG",(VLOOKUP(Table1[[#This Row],[SKU]],'All Skus'!$A:$AC,6,FALSE)),""))</f>
        <v>0</v>
      </c>
      <c r="F302" s="60">
        <f>(IF((VLOOKUP(Table1[[#This Row],[SKU]],'All Skus'!$A:$AC,2,FALSE))="AKG",(VLOOKUP(Table1[[#This Row],[SKU]],'All Skus'!$A:$AC,7,FALSE)),""))</f>
        <v>0</v>
      </c>
      <c r="G302" s="45" t="str">
        <f>(IF((VLOOKUP(Table1[[#This Row],[SKU]],'All Skus'!$A:$AC,2,FALSE))="AKG",(VLOOKUP(Table1[[#This Row],[SKU]],'All Skus'!$A:$AC,8,FALSE)),""))</f>
        <v>Accessories</v>
      </c>
      <c r="H302" s="45" t="str">
        <f>(IF((VLOOKUP(Table1[[#This Row],[SKU]],'All Skus'!$A:$AC,2,FALSE))="AKG",(VLOOKUP(Table1[[#This Row],[SKU]],'All Skus'!$A:$AC,9,FALSE)),""))</f>
        <v>Rack mount unit for 1 or 2 CU700, 2U high</v>
      </c>
      <c r="I302" s="141">
        <f>(IF((VLOOKUP(Table1[[#This Row],[SKU]],'All Skus'!$A:$AC,2,FALSE))="AKG",(VLOOKUP(Table1[[#This Row],[SKU]],'All Skus'!$A:$AC,10,FALSE)),""))</f>
        <v>223.29</v>
      </c>
      <c r="J302" s="141">
        <f>(IF((VLOOKUP(Table1[[#This Row],[SKU]],'All Skus'!$A:$AC,2,FALSE))="AKG",(VLOOKUP(Table1[[#This Row],[SKU]],'All Skus'!$A:$AC,11,FALSE)),""))</f>
        <v>205</v>
      </c>
      <c r="K302" s="125">
        <f>(IF((VLOOKUP(Table1[[#This Row],[SKU]],'All Skus'!$A:$AC,2,FALSE))="AKG",(VLOOKUP(Table1[[#This Row],[SKU]],'All Skus'!$A:$AC,15,FALSE)),""))</f>
        <v>0</v>
      </c>
      <c r="L302" s="124">
        <f>(IF((VLOOKUP(Table1[[#This Row],[SKU]],'All Skus'!$A:$AC,2,FALSE))="AKG",(VLOOKUP(Table1[[#This Row],[SKU]],'All Skus'!$A:$AC,16,FALSE)),""))</f>
        <v>885038028482</v>
      </c>
      <c r="M302" s="124">
        <f>(IF((VLOOKUP(Table1[[#This Row],[SKU]],'All Skus'!$A:$AC,2,FALSE))="AKG",(VLOOKUP(Table1[[#This Row],[SKU]],'All Skus'!$A:$AC,17,FALSE)),""))</f>
        <v>9002761028485</v>
      </c>
      <c r="N302" s="64">
        <f>(IF((VLOOKUP(Table1[[#This Row],[SKU]],'All Skus'!$A:$AC,2,FALSE))="AKG",(VLOOKUP(Table1[[#This Row],[SKU]],'All Skus'!$A:$AC,18,FALSE)),""))</f>
        <v>2</v>
      </c>
      <c r="O302" s="64">
        <f>(IF((VLOOKUP(Table1[[#This Row],[SKU]],'All Skus'!$A:$AC,2,FALSE))="AKG",(VLOOKUP(Table1[[#This Row],[SKU]],'All Skus'!$A:$AC,19,FALSE)),""))</f>
        <v>17</v>
      </c>
      <c r="P302" s="64">
        <f>(IF((VLOOKUP(Table1[[#This Row],[SKU]],'All Skus'!$A:$AC,2,FALSE))="AKG",(VLOOKUP(Table1[[#This Row],[SKU]],'All Skus'!$A:$AC,20,FALSE)),""))</f>
        <v>4</v>
      </c>
      <c r="Q302" s="64">
        <f>(IF((VLOOKUP(Table1[[#This Row],[SKU]],'All Skus'!$A:$AC,2,FALSE))="AKG",(VLOOKUP(Table1[[#This Row],[SKU]],'All Skus'!$A:$AC,21,FALSE)),""))</f>
        <v>2</v>
      </c>
      <c r="R302" s="64" t="str">
        <f>(IF((VLOOKUP(Table1[[#This Row],[SKU]],'All Skus'!$A:$AC,2,FALSE))="AKG",(VLOOKUP(Table1[[#This Row],[SKU]],'All Skus'!$A:$AC,22,FALSE)),""))</f>
        <v>CN</v>
      </c>
      <c r="S302" s="64" t="str">
        <f>(IF((VLOOKUP(Table1[[#This Row],[SKU]],'All Skus'!$A:$AC,2,FALSE))="AKG",(VLOOKUP(Table1[[#This Row],[SKU]],'All Skus'!$A:$AC,23,FALSE)),""))</f>
        <v>Non Compliant</v>
      </c>
      <c r="T302" s="210" t="str">
        <f>HYPERLINK((IF((VLOOKUP(Table1[[#This Row],[SKU]],'All Skus'!$A:$AC,2,FALSE))="AKG",(VLOOKUP(Table1[[#This Row],[SKU]],'All Skus'!$A:$AC,24,FALSE)),"")))</f>
        <v>https://www.akg.com/Wireless/Wireless%20Accessories/3158H00150.html</v>
      </c>
      <c r="U302" s="151">
        <v>300</v>
      </c>
    </row>
    <row r="303" spans="1:21" ht="15" hidden="1" customHeight="1">
      <c r="A303" s="50" t="s">
        <v>458</v>
      </c>
      <c r="B303" s="52" t="str">
        <f>(IF((VLOOKUP(Table1[[#This Row],[SKU]],'All Skus'!$A:$AC,2,FALSE))="AKG",(VLOOKUP(Table1[[#This Row],[SKU]],'All Skus'!$A:$AC,3,FALSE)), ""))</f>
        <v>Accessories</v>
      </c>
      <c r="C303" s="60" t="str">
        <f>(IF((VLOOKUP(Table1[[#This Row],[SKU]],'All Skus'!$A:$AC,2,FALSE))="AKG",(VLOOKUP(Table1[[#This Row],[SKU]],'All Skus'!$A:$AC,4,FALSE)),""))</f>
        <v>AC12 PSU12V 2000mA Lock EU/US/UK/AU</v>
      </c>
      <c r="D303" s="60" t="str">
        <f>(IF((VLOOKUP(Table1[[#This Row],[SKU]],'All Skus'!$A:$AC,2,FALSE))="AKG",(VLOOKUP(Table1[[#This Row],[SKU]],'All Skus'!$A:$AC,5,FALSE)),""))</f>
        <v>AT690092</v>
      </c>
      <c r="E303" s="60">
        <f>(IF((VLOOKUP(Table1[[#This Row],[SKU]],'All Skus'!$A:$AC,2,FALSE))="AKG",(VLOOKUP(Table1[[#This Row],[SKU]],'All Skus'!$A:$AC,6,FALSE)),""))</f>
        <v>0</v>
      </c>
      <c r="F303" s="60" t="str">
        <f>(IF((VLOOKUP(Table1[[#This Row],[SKU]],'All Skus'!$A:$AC,2,FALSE))="AKG",(VLOOKUP(Table1[[#This Row],[SKU]],'All Skus'!$A:$AC,7,FALSE)),""))</f>
        <v>Limited Quantity</v>
      </c>
      <c r="G303" s="45" t="str">
        <f>(IF((VLOOKUP(Table1[[#This Row],[SKU]],'All Skus'!$A:$AC,2,FALSE))="AKG",(VLOOKUP(Table1[[#This Row],[SKU]],'All Skus'!$A:$AC,8,FALSE)),""))</f>
        <v>Power Supply</v>
      </c>
      <c r="H303" s="45" t="str">
        <f>(IF((VLOOKUP(Table1[[#This Row],[SKU]],'All Skus'!$A:$AC,2,FALSE))="AKG",(VLOOKUP(Table1[[#This Row],[SKU]],'All Skus'!$A:$AC,9,FALSE)),""))</f>
        <v>12V/2000mA power supply for wireless systems like PS4000, EU/US/UK/AU connector included</v>
      </c>
      <c r="I303" s="141">
        <f>(IF((VLOOKUP(Table1[[#This Row],[SKU]],'All Skus'!$A:$AC,2,FALSE))="AKG",(VLOOKUP(Table1[[#This Row],[SKU]],'All Skus'!$A:$AC,10,FALSE)),""))</f>
        <v>55.22</v>
      </c>
      <c r="J303" s="141">
        <f>(IF((VLOOKUP(Table1[[#This Row],[SKU]],'All Skus'!$A:$AC,2,FALSE))="AKG",(VLOOKUP(Table1[[#This Row],[SKU]],'All Skus'!$A:$AC,11,FALSE)),""))</f>
        <v>47</v>
      </c>
      <c r="K303" s="125">
        <f>(IF((VLOOKUP(Table1[[#This Row],[SKU]],'All Skus'!$A:$AC,2,FALSE))="AKG",(VLOOKUP(Table1[[#This Row],[SKU]],'All Skus'!$A:$AC,15,FALSE)),""))</f>
        <v>0.47173913043478261</v>
      </c>
      <c r="L303" s="124">
        <f>(IF((VLOOKUP(Table1[[#This Row],[SKU]],'All Skus'!$A:$AC,2,FALSE))="AKG",(VLOOKUP(Table1[[#This Row],[SKU]],'All Skus'!$A:$AC,16,FALSE)),""))</f>
        <v>885038032465</v>
      </c>
      <c r="M303" s="124">
        <f>(IF((VLOOKUP(Table1[[#This Row],[SKU]],'All Skus'!$A:$AC,2,FALSE))="AKG",(VLOOKUP(Table1[[#This Row],[SKU]],'All Skus'!$A:$AC,17,FALSE)),""))</f>
        <v>9002761032468</v>
      </c>
      <c r="N303" s="64">
        <f>(IF((VLOOKUP(Table1[[#This Row],[SKU]],'All Skus'!$A:$AC,2,FALSE))="AKG",(VLOOKUP(Table1[[#This Row],[SKU]],'All Skus'!$A:$AC,18,FALSE)),""))</f>
        <v>3</v>
      </c>
      <c r="O303" s="64">
        <f>(IF((VLOOKUP(Table1[[#This Row],[SKU]],'All Skus'!$A:$AC,2,FALSE))="AKG",(VLOOKUP(Table1[[#This Row],[SKU]],'All Skus'!$A:$AC,19,FALSE)),""))</f>
        <v>6</v>
      </c>
      <c r="P303" s="64">
        <f>(IF((VLOOKUP(Table1[[#This Row],[SKU]],'All Skus'!$A:$AC,2,FALSE))="AKG",(VLOOKUP(Table1[[#This Row],[SKU]],'All Skus'!$A:$AC,20,FALSE)),""))</f>
        <v>3</v>
      </c>
      <c r="Q303" s="64" t="str">
        <f>(IF((VLOOKUP(Table1[[#This Row],[SKU]],'All Skus'!$A:$AC,2,FALSE))="AKG",(VLOOKUP(Table1[[#This Row],[SKU]],'All Skus'!$A:$AC,21,FALSE)),""))</f>
        <v>n/a</v>
      </c>
      <c r="R303" s="64" t="str">
        <f>(IF((VLOOKUP(Table1[[#This Row],[SKU]],'All Skus'!$A:$AC,2,FALSE))="AKG",(VLOOKUP(Table1[[#This Row],[SKU]],'All Skus'!$A:$AC,22,FALSE)),""))</f>
        <v>CN</v>
      </c>
      <c r="S303" s="64" t="str">
        <f>(IF((VLOOKUP(Table1[[#This Row],[SKU]],'All Skus'!$A:$AC,2,FALSE))="AKG",(VLOOKUP(Table1[[#This Row],[SKU]],'All Skus'!$A:$AC,23,FALSE)),""))</f>
        <v>Non Compliant</v>
      </c>
      <c r="T303" s="210" t="str">
        <f>HYPERLINK((IF((VLOOKUP(Table1[[#This Row],[SKU]],'All Skus'!$A:$AC,2,FALSE))="AKG",(VLOOKUP(Table1[[#This Row],[SKU]],'All Skus'!$A:$AC,24,FALSE)),"")))</f>
        <v>https://www.akg.com/7801H00110.html</v>
      </c>
      <c r="U303" s="151">
        <v>301</v>
      </c>
    </row>
    <row r="304" spans="1:21" ht="15" hidden="1" customHeight="1">
      <c r="A304" s="50" t="s">
        <v>459</v>
      </c>
      <c r="B304" s="52" t="str">
        <f>(IF((VLOOKUP(Table1[[#This Row],[SKU]],'All Skus'!$A:$AC,2,FALSE))="AKG",(VLOOKUP(Table1[[#This Row],[SKU]],'All Skus'!$A:$AC,3,FALSE)), ""))</f>
        <v>Accessories</v>
      </c>
      <c r="C304" s="60" t="str">
        <f>(IF((VLOOKUP(Table1[[#This Row],[SKU]],'All Skus'!$A:$AC,2,FALSE))="AKG",(VLOOKUP(Table1[[#This Row],[SKU]],'All Skus'!$A:$AC,4,FALSE)),""))</f>
        <v>RMU40 mini PRO</v>
      </c>
      <c r="D304" s="60" t="str">
        <f>(IF((VLOOKUP(Table1[[#This Row],[SKU]],'All Skus'!$A:$AC,2,FALSE))="AKG",(VLOOKUP(Table1[[#This Row],[SKU]],'All Skus'!$A:$AC,5,FALSE)),""))</f>
        <v>AT610000</v>
      </c>
      <c r="E304" s="60">
        <f>(IF((VLOOKUP(Table1[[#This Row],[SKU]],'All Skus'!$A:$AC,2,FALSE))="AKG",(VLOOKUP(Table1[[#This Row],[SKU]],'All Skus'!$A:$AC,6,FALSE)),""))</f>
        <v>0</v>
      </c>
      <c r="F304" s="60">
        <f>(IF((VLOOKUP(Table1[[#This Row],[SKU]],'All Skus'!$A:$AC,2,FALSE))="AKG",(VLOOKUP(Table1[[#This Row],[SKU]],'All Skus'!$A:$AC,7,FALSE)),""))</f>
        <v>0</v>
      </c>
      <c r="G304" s="45" t="str">
        <f>(IF((VLOOKUP(Table1[[#This Row],[SKU]],'All Skus'!$A:$AC,2,FALSE))="AKG",(VLOOKUP(Table1[[#This Row],[SKU]],'All Skus'!$A:$AC,8,FALSE)),""))</f>
        <v>Accessories</v>
      </c>
      <c r="H304" s="45" t="str">
        <f>(IF((VLOOKUP(Table1[[#This Row],[SKU]],'All Skus'!$A:$AC,2,FALSE))="AKG",(VLOOKUP(Table1[[#This Row],[SKU]],'All Skus'!$A:$AC,9,FALSE)),""))</f>
        <v>Rack mount kit for WMS40 mini, WMS40 mini2</v>
      </c>
      <c r="I304" s="141">
        <f>(IF((VLOOKUP(Table1[[#This Row],[SKU]],'All Skus'!$A:$AC,2,FALSE))="AKG",(VLOOKUP(Table1[[#This Row],[SKU]],'All Skus'!$A:$AC,10,FALSE)),""))</f>
        <v>52.82</v>
      </c>
      <c r="J304" s="141">
        <f>(IF((VLOOKUP(Table1[[#This Row],[SKU]],'All Skus'!$A:$AC,2,FALSE))="AKG",(VLOOKUP(Table1[[#This Row],[SKU]],'All Skus'!$A:$AC,11,FALSE)),""))</f>
        <v>47</v>
      </c>
      <c r="K304" s="125">
        <f>(IF((VLOOKUP(Table1[[#This Row],[SKU]],'All Skus'!$A:$AC,2,FALSE))="AKG",(VLOOKUP(Table1[[#This Row],[SKU]],'All Skus'!$A:$AC,15,FALSE)),""))</f>
        <v>0</v>
      </c>
      <c r="L304" s="124">
        <f>(IF((VLOOKUP(Table1[[#This Row],[SKU]],'All Skus'!$A:$AC,2,FALSE))="AKG",(VLOOKUP(Table1[[#This Row],[SKU]],'All Skus'!$A:$AC,16,FALSE)),""))</f>
        <v>885038032915</v>
      </c>
      <c r="M304" s="124">
        <f>(IF((VLOOKUP(Table1[[#This Row],[SKU]],'All Skus'!$A:$AC,2,FALSE))="AKG",(VLOOKUP(Table1[[#This Row],[SKU]],'All Skus'!$A:$AC,17,FALSE)),""))</f>
        <v>9002761032918</v>
      </c>
      <c r="N304" s="64">
        <f>(IF((VLOOKUP(Table1[[#This Row],[SKU]],'All Skus'!$A:$AC,2,FALSE))="AKG",(VLOOKUP(Table1[[#This Row],[SKU]],'All Skus'!$A:$AC,18,FALSE)),""))</f>
        <v>2.5</v>
      </c>
      <c r="O304" s="64">
        <f>(IF((VLOOKUP(Table1[[#This Row],[SKU]],'All Skus'!$A:$AC,2,FALSE))="AKG",(VLOOKUP(Table1[[#This Row],[SKU]],'All Skus'!$A:$AC,19,FALSE)),""))</f>
        <v>6.5</v>
      </c>
      <c r="P304" s="64">
        <f>(IF((VLOOKUP(Table1[[#This Row],[SKU]],'All Skus'!$A:$AC,2,FALSE))="AKG",(VLOOKUP(Table1[[#This Row],[SKU]],'All Skus'!$A:$AC,20,FALSE)),""))</f>
        <v>5</v>
      </c>
      <c r="Q304" s="64">
        <f>(IF((VLOOKUP(Table1[[#This Row],[SKU]],'All Skus'!$A:$AC,2,FALSE))="AKG",(VLOOKUP(Table1[[#This Row],[SKU]],'All Skus'!$A:$AC,21,FALSE)),""))</f>
        <v>2.2000000000000002</v>
      </c>
      <c r="R304" s="64" t="str">
        <f>(IF((VLOOKUP(Table1[[#This Row],[SKU]],'All Skus'!$A:$AC,2,FALSE))="AKG",(VLOOKUP(Table1[[#This Row],[SKU]],'All Skus'!$A:$AC,22,FALSE)),""))</f>
        <v>CN</v>
      </c>
      <c r="S304" s="64" t="str">
        <f>(IF((VLOOKUP(Table1[[#This Row],[SKU]],'All Skus'!$A:$AC,2,FALSE))="AKG",(VLOOKUP(Table1[[#This Row],[SKU]],'All Skus'!$A:$AC,23,FALSE)),""))</f>
        <v>Non Compliant</v>
      </c>
      <c r="T304" s="210" t="str">
        <f>HYPERLINK((IF((VLOOKUP(Table1[[#This Row],[SKU]],'All Skus'!$A:$AC,2,FALSE))="AKG",(VLOOKUP(Table1[[#This Row],[SKU]],'All Skus'!$A:$AC,24,FALSE)),"")))</f>
        <v>https://www.akg.com/7615H06110.html</v>
      </c>
      <c r="U304" s="151">
        <v>302</v>
      </c>
    </row>
    <row r="305" spans="1:21" ht="15" hidden="1" customHeight="1">
      <c r="A305" s="50" t="s">
        <v>460</v>
      </c>
      <c r="B305" s="52" t="str">
        <f>(IF((VLOOKUP(Table1[[#This Row],[SKU]],'All Skus'!$A:$AC,2,FALSE))="AKG",(VLOOKUP(Table1[[#This Row],[SKU]],'All Skus'!$A:$AC,3,FALSE)), ""))</f>
        <v>Accessories</v>
      </c>
      <c r="C305" s="60" t="str">
        <f>(IF((VLOOKUP(Table1[[#This Row],[SKU]],'All Skus'!$A:$AC,2,FALSE))="AKG",(VLOOKUP(Table1[[#This Row],[SKU]],'All Skus'!$A:$AC,4,FALSE)),""))</f>
        <v>RMU4X PRO</v>
      </c>
      <c r="D305" s="60">
        <f>(IF((VLOOKUP(Table1[[#This Row],[SKU]],'All Skus'!$A:$AC,2,FALSE))="AKG",(VLOOKUP(Table1[[#This Row],[SKU]],'All Skus'!$A:$AC,5,FALSE)),""))</f>
        <v>83200200</v>
      </c>
      <c r="E305" s="60">
        <f>(IF((VLOOKUP(Table1[[#This Row],[SKU]],'All Skus'!$A:$AC,2,FALSE))="AKG",(VLOOKUP(Table1[[#This Row],[SKU]],'All Skus'!$A:$AC,6,FALSE)),""))</f>
        <v>0</v>
      </c>
      <c r="F305" s="60">
        <f>(IF((VLOOKUP(Table1[[#This Row],[SKU]],'All Skus'!$A:$AC,2,FALSE))="AKG",(VLOOKUP(Table1[[#This Row],[SKU]],'All Skus'!$A:$AC,7,FALSE)),""))</f>
        <v>0</v>
      </c>
      <c r="G305" s="45" t="str">
        <f>(IF((VLOOKUP(Table1[[#This Row],[SKU]],'All Skus'!$A:$AC,2,FALSE))="AKG",(VLOOKUP(Table1[[#This Row],[SKU]],'All Skus'!$A:$AC,8,FALSE)),""))</f>
        <v>Accessories</v>
      </c>
      <c r="H305" s="45" t="str">
        <f>(IF((VLOOKUP(Table1[[#This Row],[SKU]],'All Skus'!$A:$AC,2,FALSE))="AKG",(VLOOKUP(Table1[[#This Row],[SKU]],'All Skus'!$A:$AC,9,FALSE)),""))</f>
        <v>Rack mount unit</v>
      </c>
      <c r="I305" s="141">
        <f>(IF((VLOOKUP(Table1[[#This Row],[SKU]],'All Skus'!$A:$AC,2,FALSE))="AKG",(VLOOKUP(Table1[[#This Row],[SKU]],'All Skus'!$A:$AC,10,FALSE)),""))</f>
        <v>58.82</v>
      </c>
      <c r="J305" s="141">
        <f>(IF((VLOOKUP(Table1[[#This Row],[SKU]],'All Skus'!$A:$AC,2,FALSE))="AKG",(VLOOKUP(Table1[[#This Row],[SKU]],'All Skus'!$A:$AC,11,FALSE)),""))</f>
        <v>47</v>
      </c>
      <c r="K305" s="125">
        <f>(IF((VLOOKUP(Table1[[#This Row],[SKU]],'All Skus'!$A:$AC,2,FALSE))="AKG",(VLOOKUP(Table1[[#This Row],[SKU]],'All Skus'!$A:$AC,15,FALSE)),""))</f>
        <v>0</v>
      </c>
      <c r="L305" s="124">
        <f>(IF((VLOOKUP(Table1[[#This Row],[SKU]],'All Skus'!$A:$AC,2,FALSE))="AKG",(VLOOKUP(Table1[[#This Row],[SKU]],'All Skus'!$A:$AC,16,FALSE)),""))</f>
        <v>885038037453</v>
      </c>
      <c r="M305" s="124">
        <f>(IF((VLOOKUP(Table1[[#This Row],[SKU]],'All Skus'!$A:$AC,2,FALSE))="AKG",(VLOOKUP(Table1[[#This Row],[SKU]],'All Skus'!$A:$AC,17,FALSE)),""))</f>
        <v>9002761037456</v>
      </c>
      <c r="N305" s="64">
        <f>(IF((VLOOKUP(Table1[[#This Row],[SKU]],'All Skus'!$A:$AC,2,FALSE))="AKG",(VLOOKUP(Table1[[#This Row],[SKU]],'All Skus'!$A:$AC,18,FALSE)),""))</f>
        <v>2</v>
      </c>
      <c r="O305" s="64">
        <f>(IF((VLOOKUP(Table1[[#This Row],[SKU]],'All Skus'!$A:$AC,2,FALSE))="AKG",(VLOOKUP(Table1[[#This Row],[SKU]],'All Skus'!$A:$AC,19,FALSE)),""))</f>
        <v>10.25</v>
      </c>
      <c r="P305" s="64">
        <f>(IF((VLOOKUP(Table1[[#This Row],[SKU]],'All Skus'!$A:$AC,2,FALSE))="AKG",(VLOOKUP(Table1[[#This Row],[SKU]],'All Skus'!$A:$AC,20,FALSE)),""))</f>
        <v>4.5</v>
      </c>
      <c r="Q305" s="64">
        <f>(IF((VLOOKUP(Table1[[#This Row],[SKU]],'All Skus'!$A:$AC,2,FALSE))="AKG",(VLOOKUP(Table1[[#This Row],[SKU]],'All Skus'!$A:$AC,21,FALSE)),""))</f>
        <v>2</v>
      </c>
      <c r="R305" s="64" t="str">
        <f>(IF((VLOOKUP(Table1[[#This Row],[SKU]],'All Skus'!$A:$AC,2,FALSE))="AKG",(VLOOKUP(Table1[[#This Row],[SKU]],'All Skus'!$A:$AC,22,FALSE)),""))</f>
        <v>CN</v>
      </c>
      <c r="S305" s="64" t="str">
        <f>(IF((VLOOKUP(Table1[[#This Row],[SKU]],'All Skus'!$A:$AC,2,FALSE))="AKG",(VLOOKUP(Table1[[#This Row],[SKU]],'All Skus'!$A:$AC,23,FALSE)),""))</f>
        <v>Non Compliant</v>
      </c>
      <c r="T305" s="210" t="str">
        <f>HYPERLINK((IF((VLOOKUP(Table1[[#This Row],[SKU]],'All Skus'!$A:$AC,2,FALSE))="AKG",(VLOOKUP(Table1[[#This Row],[SKU]],'All Skus'!$A:$AC,24,FALSE)),"")))</f>
        <v>https://www.akg.com/7615H06130.html</v>
      </c>
      <c r="U305" s="151">
        <v>303</v>
      </c>
    </row>
    <row r="306" spans="1:21" ht="15" hidden="1" customHeight="1">
      <c r="A306" s="50" t="s">
        <v>461</v>
      </c>
      <c r="B306" s="52" t="str">
        <f>(IF((VLOOKUP(Table1[[#This Row],[SKU]],'All Skus'!$A:$AC,2,FALSE))="AKG",(VLOOKUP(Table1[[#This Row],[SKU]],'All Skus'!$A:$AC,3,FALSE)), ""))</f>
        <v>Accessories</v>
      </c>
      <c r="C306" s="60" t="str">
        <f>(IF((VLOOKUP(Table1[[#This Row],[SKU]],'All Skus'!$A:$AC,2,FALSE))="AKG",(VLOOKUP(Table1[[#This Row],[SKU]],'All Skus'!$A:$AC,4,FALSE)),""))</f>
        <v>MKA 5</v>
      </c>
      <c r="D306" s="60" t="str">
        <f>(IF((VLOOKUP(Table1[[#This Row],[SKU]],'All Skus'!$A:$AC,2,FALSE))="AKG",(VLOOKUP(Table1[[#This Row],[SKU]],'All Skus'!$A:$AC,5,FALSE)),""))</f>
        <v>AT690092</v>
      </c>
      <c r="E306" s="60">
        <f>(IF((VLOOKUP(Table1[[#This Row],[SKU]],'All Skus'!$A:$AC,2,FALSE))="AKG",(VLOOKUP(Table1[[#This Row],[SKU]],'All Skus'!$A:$AC,6,FALSE)),""))</f>
        <v>0</v>
      </c>
      <c r="F306" s="60">
        <f>(IF((VLOOKUP(Table1[[#This Row],[SKU]],'All Skus'!$A:$AC,2,FALSE))="AKG",(VLOOKUP(Table1[[#This Row],[SKU]],'All Skus'!$A:$AC,7,FALSE)),""))</f>
        <v>0</v>
      </c>
      <c r="G306" s="45" t="str">
        <f>(IF((VLOOKUP(Table1[[#This Row],[SKU]],'All Skus'!$A:$AC,2,FALSE))="AKG",(VLOOKUP(Table1[[#This Row],[SKU]],'All Skus'!$A:$AC,8,FALSE)),""))</f>
        <v>Cable</v>
      </c>
      <c r="H306" s="45" t="str">
        <f>(IF((VLOOKUP(Table1[[#This Row],[SKU]],'All Skus'!$A:$AC,2,FALSE))="AKG",(VLOOKUP(Table1[[#This Row],[SKU]],'All Skus'!$A:$AC,9,FALSE)),""))</f>
        <v>5m BNC antenna cable</v>
      </c>
      <c r="I306" s="141">
        <f>(IF((VLOOKUP(Table1[[#This Row],[SKU]],'All Skus'!$A:$AC,2,FALSE))="AKG",(VLOOKUP(Table1[[#This Row],[SKU]],'All Skus'!$A:$AC,10,FALSE)),""))</f>
        <v>58.82</v>
      </c>
      <c r="J306" s="141">
        <f>(IF((VLOOKUP(Table1[[#This Row],[SKU]],'All Skus'!$A:$AC,2,FALSE))="AKG",(VLOOKUP(Table1[[#This Row],[SKU]],'All Skus'!$A:$AC,11,FALSE)),""))</f>
        <v>47</v>
      </c>
      <c r="K306" s="125">
        <f>(IF((VLOOKUP(Table1[[#This Row],[SKU]],'All Skus'!$A:$AC,2,FALSE))="AKG",(VLOOKUP(Table1[[#This Row],[SKU]],'All Skus'!$A:$AC,15,FALSE)),""))</f>
        <v>0</v>
      </c>
      <c r="L306" s="124">
        <f>(IF((VLOOKUP(Table1[[#This Row],[SKU]],'All Skus'!$A:$AC,2,FALSE))="AKG",(VLOOKUP(Table1[[#This Row],[SKU]],'All Skus'!$A:$AC,16,FALSE)),""))</f>
        <v>885038004257</v>
      </c>
      <c r="M306" s="124">
        <f>(IF((VLOOKUP(Table1[[#This Row],[SKU]],'All Skus'!$A:$AC,2,FALSE))="AKG",(VLOOKUP(Table1[[#This Row],[SKU]],'All Skus'!$A:$AC,17,FALSE)),""))</f>
        <v>9002761004250</v>
      </c>
      <c r="N306" s="64">
        <f>(IF((VLOOKUP(Table1[[#This Row],[SKU]],'All Skus'!$A:$AC,2,FALSE))="AKG",(VLOOKUP(Table1[[#This Row],[SKU]],'All Skus'!$A:$AC,18,FALSE)),""))</f>
        <v>0.5</v>
      </c>
      <c r="O306" s="64">
        <f>(IF((VLOOKUP(Table1[[#This Row],[SKU]],'All Skus'!$A:$AC,2,FALSE))="AKG",(VLOOKUP(Table1[[#This Row],[SKU]],'All Skus'!$A:$AC,19,FALSE)),""))</f>
        <v>0.5</v>
      </c>
      <c r="P306" s="64">
        <f>(IF((VLOOKUP(Table1[[#This Row],[SKU]],'All Skus'!$A:$AC,2,FALSE))="AKG",(VLOOKUP(Table1[[#This Row],[SKU]],'All Skus'!$A:$AC,20,FALSE)),""))</f>
        <v>1.5</v>
      </c>
      <c r="Q306" s="64">
        <f>(IF((VLOOKUP(Table1[[#This Row],[SKU]],'All Skus'!$A:$AC,2,FALSE))="AKG",(VLOOKUP(Table1[[#This Row],[SKU]],'All Skus'!$A:$AC,21,FALSE)),""))</f>
        <v>0.4</v>
      </c>
      <c r="R306" s="64" t="str">
        <f>(IF((VLOOKUP(Table1[[#This Row],[SKU]],'All Skus'!$A:$AC,2,FALSE))="AKG",(VLOOKUP(Table1[[#This Row],[SKU]],'All Skus'!$A:$AC,22,FALSE)),""))</f>
        <v>AT</v>
      </c>
      <c r="S306" s="64" t="str">
        <f>(IF((VLOOKUP(Table1[[#This Row],[SKU]],'All Skus'!$A:$AC,2,FALSE))="AKG",(VLOOKUP(Table1[[#This Row],[SKU]],'All Skus'!$A:$AC,23,FALSE)),""))</f>
        <v>Compliant</v>
      </c>
      <c r="T306" s="210" t="str">
        <f>HYPERLINK((IF((VLOOKUP(Table1[[#This Row],[SKU]],'All Skus'!$A:$AC,2,FALSE))="AKG",(VLOOKUP(Table1[[#This Row],[SKU]],'All Skus'!$A:$AC,24,FALSE)),"")))</f>
        <v>https://www.akg.com/2455H00620.html</v>
      </c>
      <c r="U306" s="151">
        <v>304</v>
      </c>
    </row>
    <row r="307" spans="1:21" ht="15" hidden="1" customHeight="1">
      <c r="A307" s="50" t="s">
        <v>462</v>
      </c>
      <c r="B307" s="52" t="str">
        <f>(IF((VLOOKUP(Table1[[#This Row],[SKU]],'All Skus'!$A:$AC,2,FALSE))="AKG",(VLOOKUP(Table1[[#This Row],[SKU]],'All Skus'!$A:$AC,3,FALSE)), ""))</f>
        <v>Accessories</v>
      </c>
      <c r="C307" s="60" t="str">
        <f>(IF((VLOOKUP(Table1[[#This Row],[SKU]],'All Skus'!$A:$AC,2,FALSE))="AKG",(VLOOKUP(Table1[[#This Row],[SKU]],'All Skus'!$A:$AC,4,FALSE)),""))</f>
        <v>MKA 20</v>
      </c>
      <c r="D307" s="60" t="str">
        <f>(IF((VLOOKUP(Table1[[#This Row],[SKU]],'All Skus'!$A:$AC,2,FALSE))="AKG",(VLOOKUP(Table1[[#This Row],[SKU]],'All Skus'!$A:$AC,5,FALSE)),""))</f>
        <v>AT690092</v>
      </c>
      <c r="E307" s="60">
        <f>(IF((VLOOKUP(Table1[[#This Row],[SKU]],'All Skus'!$A:$AC,2,FALSE))="AKG",(VLOOKUP(Table1[[#This Row],[SKU]],'All Skus'!$A:$AC,6,FALSE)),""))</f>
        <v>0</v>
      </c>
      <c r="F307" s="60">
        <f>(IF((VLOOKUP(Table1[[#This Row],[SKU]],'All Skus'!$A:$AC,2,FALSE))="AKG",(VLOOKUP(Table1[[#This Row],[SKU]],'All Skus'!$A:$AC,7,FALSE)),""))</f>
        <v>0</v>
      </c>
      <c r="G307" s="45" t="str">
        <f>(IF((VLOOKUP(Table1[[#This Row],[SKU]],'All Skus'!$A:$AC,2,FALSE))="AKG",(VLOOKUP(Table1[[#This Row],[SKU]],'All Skus'!$A:$AC,8,FALSE)),""))</f>
        <v>Cable</v>
      </c>
      <c r="H307" s="45" t="str">
        <f>(IF((VLOOKUP(Table1[[#This Row],[SKU]],'All Skus'!$A:$AC,2,FALSE))="AKG",(VLOOKUP(Table1[[#This Row],[SKU]],'All Skus'!$A:$AC,9,FALSE)),""))</f>
        <v xml:space="preserve">20m BNC antenna cable </v>
      </c>
      <c r="I307" s="141">
        <f>(IF((VLOOKUP(Table1[[#This Row],[SKU]],'All Skus'!$A:$AC,2,FALSE))="AKG",(VLOOKUP(Table1[[#This Row],[SKU]],'All Skus'!$A:$AC,10,FALSE)),""))</f>
        <v>73.23</v>
      </c>
      <c r="J307" s="141">
        <f>(IF((VLOOKUP(Table1[[#This Row],[SKU]],'All Skus'!$A:$AC,2,FALSE))="AKG",(VLOOKUP(Table1[[#This Row],[SKU]],'All Skus'!$A:$AC,11,FALSE)),""))</f>
        <v>61</v>
      </c>
      <c r="K307" s="125">
        <f>(IF((VLOOKUP(Table1[[#This Row],[SKU]],'All Skus'!$A:$AC,2,FALSE))="AKG",(VLOOKUP(Table1[[#This Row],[SKU]],'All Skus'!$A:$AC,15,FALSE)),""))</f>
        <v>0.56913782635094101</v>
      </c>
      <c r="L307" s="124">
        <f>(IF((VLOOKUP(Table1[[#This Row],[SKU]],'All Skus'!$A:$AC,2,FALSE))="AKG",(VLOOKUP(Table1[[#This Row],[SKU]],'All Skus'!$A:$AC,16,FALSE)),""))</f>
        <v>885038026761</v>
      </c>
      <c r="M307" s="124">
        <f>(IF((VLOOKUP(Table1[[#This Row],[SKU]],'All Skus'!$A:$AC,2,FALSE))="AKG",(VLOOKUP(Table1[[#This Row],[SKU]],'All Skus'!$A:$AC,17,FALSE)),""))</f>
        <v>9002761026764</v>
      </c>
      <c r="N307" s="64">
        <f>(IF((VLOOKUP(Table1[[#This Row],[SKU]],'All Skus'!$A:$AC,2,FALSE))="AKG",(VLOOKUP(Table1[[#This Row],[SKU]],'All Skus'!$A:$AC,18,FALSE)),""))</f>
        <v>11</v>
      </c>
      <c r="O307" s="64">
        <f>(IF((VLOOKUP(Table1[[#This Row],[SKU]],'All Skus'!$A:$AC,2,FALSE))="AKG",(VLOOKUP(Table1[[#This Row],[SKU]],'All Skus'!$A:$AC,19,FALSE)),""))</f>
        <v>13</v>
      </c>
      <c r="P307" s="64">
        <f>(IF((VLOOKUP(Table1[[#This Row],[SKU]],'All Skus'!$A:$AC,2,FALSE))="AKG",(VLOOKUP(Table1[[#This Row],[SKU]],'All Skus'!$A:$AC,20,FALSE)),""))</f>
        <v>3</v>
      </c>
      <c r="Q307" s="64">
        <f>(IF((VLOOKUP(Table1[[#This Row],[SKU]],'All Skus'!$A:$AC,2,FALSE))="AKG",(VLOOKUP(Table1[[#This Row],[SKU]],'All Skus'!$A:$AC,21,FALSE)),""))</f>
        <v>2</v>
      </c>
      <c r="R307" s="64" t="str">
        <f>(IF((VLOOKUP(Table1[[#This Row],[SKU]],'All Skus'!$A:$AC,2,FALSE))="AKG",(VLOOKUP(Table1[[#This Row],[SKU]],'All Skus'!$A:$AC,22,FALSE)),""))</f>
        <v>CN</v>
      </c>
      <c r="S307" s="64" t="str">
        <f>(IF((VLOOKUP(Table1[[#This Row],[SKU]],'All Skus'!$A:$AC,2,FALSE))="AKG",(VLOOKUP(Table1[[#This Row],[SKU]],'All Skus'!$A:$AC,23,FALSE)),""))</f>
        <v>Non Compliant</v>
      </c>
      <c r="T307" s="210" t="str">
        <f>HYPERLINK((IF((VLOOKUP(Table1[[#This Row],[SKU]],'All Skus'!$A:$AC,2,FALSE))="AKG",(VLOOKUP(Table1[[#This Row],[SKU]],'All Skus'!$A:$AC,24,FALSE)),"")))</f>
        <v>https://www.akg.com/6000H02050.html</v>
      </c>
      <c r="U307" s="151">
        <v>305</v>
      </c>
    </row>
    <row r="308" spans="1:21" ht="15" hidden="1" customHeight="1">
      <c r="A308" s="50" t="s">
        <v>463</v>
      </c>
      <c r="B308" s="52" t="str">
        <f>(IF((VLOOKUP(Table1[[#This Row],[SKU]],'All Skus'!$A:$AC,2,FALSE))="AKG",(VLOOKUP(Table1[[#This Row],[SKU]],'All Skus'!$A:$AC,3,FALSE)), ""))</f>
        <v>Accessories</v>
      </c>
      <c r="C308" s="60" t="str">
        <f>(IF((VLOOKUP(Table1[[#This Row],[SKU]],'All Skus'!$A:$AC,2,FALSE))="AKG",(VLOOKUP(Table1[[#This Row],[SKU]],'All Skus'!$A:$AC,4,FALSE)),""))</f>
        <v>MK PS</v>
      </c>
      <c r="D308" s="60" t="str">
        <f>(IF((VLOOKUP(Table1[[#This Row],[SKU]],'All Skus'!$A:$AC,2,FALSE))="AKG",(VLOOKUP(Table1[[#This Row],[SKU]],'All Skus'!$A:$AC,5,FALSE)),""))</f>
        <v>AT690092</v>
      </c>
      <c r="E308" s="60">
        <f>(IF((VLOOKUP(Table1[[#This Row],[SKU]],'All Skus'!$A:$AC,2,FALSE))="AKG",(VLOOKUP(Table1[[#This Row],[SKU]],'All Skus'!$A:$AC,6,FALSE)),""))</f>
        <v>0</v>
      </c>
      <c r="F308" s="60">
        <f>(IF((VLOOKUP(Table1[[#This Row],[SKU]],'All Skus'!$A:$AC,2,FALSE))="AKG",(VLOOKUP(Table1[[#This Row],[SKU]],'All Skus'!$A:$AC,7,FALSE)),""))</f>
        <v>0</v>
      </c>
      <c r="G308" s="45" t="str">
        <f>(IF((VLOOKUP(Table1[[#This Row],[SKU]],'All Skus'!$A:$AC,2,FALSE))="AKG",(VLOOKUP(Table1[[#This Row],[SKU]],'All Skus'!$A:$AC,8,FALSE)),""))</f>
        <v>Cable</v>
      </c>
      <c r="H308" s="45" t="str">
        <f>(IF((VLOOKUP(Table1[[#This Row],[SKU]],'All Skus'!$A:$AC,2,FALSE))="AKG",(VLOOKUP(Table1[[#This Row],[SKU]],'All Skus'!$A:$AC,9,FALSE)),""))</f>
        <v>0.6m BNC antenna  cable</v>
      </c>
      <c r="I308" s="141">
        <f>(IF((VLOOKUP(Table1[[#This Row],[SKU]],'All Skus'!$A:$AC,2,FALSE))="AKG",(VLOOKUP(Table1[[#This Row],[SKU]],'All Skus'!$A:$AC,10,FALSE)),""))</f>
        <v>17.2</v>
      </c>
      <c r="J308" s="141">
        <f>(IF((VLOOKUP(Table1[[#This Row],[SKU]],'All Skus'!$A:$AC,2,FALSE))="AKG",(VLOOKUP(Table1[[#This Row],[SKU]],'All Skus'!$A:$AC,11,FALSE)),""))</f>
        <v>17.2</v>
      </c>
      <c r="K308" s="125">
        <f>(IF((VLOOKUP(Table1[[#This Row],[SKU]],'All Skus'!$A:$AC,2,FALSE))="AKG",(VLOOKUP(Table1[[#This Row],[SKU]],'All Skus'!$A:$AC,15,FALSE)),""))</f>
        <v>0.55562499999999992</v>
      </c>
      <c r="L308" s="124">
        <f>(IF((VLOOKUP(Table1[[#This Row],[SKU]],'All Skus'!$A:$AC,2,FALSE))="AKG",(VLOOKUP(Table1[[#This Row],[SKU]],'All Skus'!$A:$AC,16,FALSE)),""))</f>
        <v>885038026778</v>
      </c>
      <c r="M308" s="124">
        <f>(IF((VLOOKUP(Table1[[#This Row],[SKU]],'All Skus'!$A:$AC,2,FALSE))="AKG",(VLOOKUP(Table1[[#This Row],[SKU]],'All Skus'!$A:$AC,17,FALSE)),""))</f>
        <v>9002761026771</v>
      </c>
      <c r="N308" s="64">
        <f>(IF((VLOOKUP(Table1[[#This Row],[SKU]],'All Skus'!$A:$AC,2,FALSE))="AKG",(VLOOKUP(Table1[[#This Row],[SKU]],'All Skus'!$A:$AC,18,FALSE)),""))</f>
        <v>1</v>
      </c>
      <c r="O308" s="64">
        <f>(IF((VLOOKUP(Table1[[#This Row],[SKU]],'All Skus'!$A:$AC,2,FALSE))="AKG",(VLOOKUP(Table1[[#This Row],[SKU]],'All Skus'!$A:$AC,19,FALSE)),""))</f>
        <v>3</v>
      </c>
      <c r="P308" s="64">
        <f>(IF((VLOOKUP(Table1[[#This Row],[SKU]],'All Skus'!$A:$AC,2,FALSE))="AKG",(VLOOKUP(Table1[[#This Row],[SKU]],'All Skus'!$A:$AC,20,FALSE)),""))</f>
        <v>3</v>
      </c>
      <c r="Q308" s="64">
        <f>(IF((VLOOKUP(Table1[[#This Row],[SKU]],'All Skus'!$A:$AC,2,FALSE))="AKG",(VLOOKUP(Table1[[#This Row],[SKU]],'All Skus'!$A:$AC,21,FALSE)),""))</f>
        <v>0.4</v>
      </c>
      <c r="R308" s="64" t="str">
        <f>(IF((VLOOKUP(Table1[[#This Row],[SKU]],'All Skus'!$A:$AC,2,FALSE))="AKG",(VLOOKUP(Table1[[#This Row],[SKU]],'All Skus'!$A:$AC,22,FALSE)),""))</f>
        <v>CN</v>
      </c>
      <c r="S308" s="64" t="str">
        <f>(IF((VLOOKUP(Table1[[#This Row],[SKU]],'All Skus'!$A:$AC,2,FALSE))="AKG",(VLOOKUP(Table1[[#This Row],[SKU]],'All Skus'!$A:$AC,23,FALSE)),""))</f>
        <v>Non Compliant</v>
      </c>
      <c r="T308" s="210" t="str">
        <f>HYPERLINK((IF((VLOOKUP(Table1[[#This Row],[SKU]],'All Skus'!$A:$AC,2,FALSE))="AKG",(VLOOKUP(Table1[[#This Row],[SKU]],'All Skus'!$A:$AC,24,FALSE)),"")))</f>
        <v>https://www.akg.com/6000H02060.html</v>
      </c>
      <c r="U308" s="151">
        <v>306</v>
      </c>
    </row>
    <row r="309" spans="1:21" ht="15" hidden="1" customHeight="1">
      <c r="A309" s="126" t="s">
        <v>3</v>
      </c>
      <c r="B309" s="52">
        <f>(IF((VLOOKUP(Table1[[#This Row],[SKU]],'All Skus'!$A:$AC,2,FALSE))="AKG",(VLOOKUP(Table1[[#This Row],[SKU]],'All Skus'!$A:$AC,3,FALSE)), ""))</f>
        <v>0</v>
      </c>
      <c r="C309" s="60">
        <f>(IF((VLOOKUP(Table1[[#This Row],[SKU]],'All Skus'!$A:$AC,2,FALSE))="AKG",(VLOOKUP(Table1[[#This Row],[SKU]],'All Skus'!$A:$AC,4,FALSE)),""))</f>
        <v>0</v>
      </c>
      <c r="D309" s="60">
        <f>(IF((VLOOKUP(Table1[[#This Row],[SKU]],'All Skus'!$A:$AC,2,FALSE))="AKG",(VLOOKUP(Table1[[#This Row],[SKU]],'All Skus'!$A:$AC,5,FALSE)),""))</f>
        <v>0</v>
      </c>
      <c r="E309" s="60">
        <f>(IF((VLOOKUP(Table1[[#This Row],[SKU]],'All Skus'!$A:$AC,2,FALSE))="AKG",(VLOOKUP(Table1[[#This Row],[SKU]],'All Skus'!$A:$AC,6,FALSE)),""))</f>
        <v>0</v>
      </c>
      <c r="F309" s="60">
        <f>(IF((VLOOKUP(Table1[[#This Row],[SKU]],'All Skus'!$A:$AC,2,FALSE))="AKG",(VLOOKUP(Table1[[#This Row],[SKU]],'All Skus'!$A:$AC,7,FALSE)),""))</f>
        <v>0</v>
      </c>
      <c r="G309" s="45">
        <f>(IF((VLOOKUP(Table1[[#This Row],[SKU]],'All Skus'!$A:$AC,2,FALSE))="AKG",(VLOOKUP(Table1[[#This Row],[SKU]],'All Skus'!$A:$AC,8,FALSE)),""))</f>
        <v>0</v>
      </c>
      <c r="H309" s="45">
        <f>(IF((VLOOKUP(Table1[[#This Row],[SKU]],'All Skus'!$A:$AC,2,FALSE))="AKG",(VLOOKUP(Table1[[#This Row],[SKU]],'All Skus'!$A:$AC,9,FALSE)),""))</f>
        <v>0</v>
      </c>
      <c r="I309" s="141">
        <f>(IF((VLOOKUP(Table1[[#This Row],[SKU]],'All Skus'!$A:$AC,2,FALSE))="AKG",(VLOOKUP(Table1[[#This Row],[SKU]],'All Skus'!$A:$AC,10,FALSE)),""))</f>
        <v>0</v>
      </c>
      <c r="J309" s="141">
        <f>(IF((VLOOKUP(Table1[[#This Row],[SKU]],'All Skus'!$A:$AC,2,FALSE))="AKG",(VLOOKUP(Table1[[#This Row],[SKU]],'All Skus'!$A:$AC,11,FALSE)),""))</f>
        <v>0</v>
      </c>
      <c r="K309" s="125">
        <f>(IF((VLOOKUP(Table1[[#This Row],[SKU]],'All Skus'!$A:$AC,2,FALSE))="AKG",(VLOOKUP(Table1[[#This Row],[SKU]],'All Skus'!$A:$AC,15,FALSE)),""))</f>
        <v>0</v>
      </c>
      <c r="L309" s="124">
        <f>(IF((VLOOKUP(Table1[[#This Row],[SKU]],'All Skus'!$A:$AC,2,FALSE))="AKG",(VLOOKUP(Table1[[#This Row],[SKU]],'All Skus'!$A:$AC,16,FALSE)),""))</f>
        <v>0</v>
      </c>
      <c r="M309" s="124">
        <f>(IF((VLOOKUP(Table1[[#This Row],[SKU]],'All Skus'!$A:$AC,2,FALSE))="AKG",(VLOOKUP(Table1[[#This Row],[SKU]],'All Skus'!$A:$AC,17,FALSE)),""))</f>
        <v>0</v>
      </c>
      <c r="N309" s="64">
        <f>(IF((VLOOKUP(Table1[[#This Row],[SKU]],'All Skus'!$A:$AC,2,FALSE))="AKG",(VLOOKUP(Table1[[#This Row],[SKU]],'All Skus'!$A:$AC,18,FALSE)),""))</f>
        <v>0</v>
      </c>
      <c r="O309" s="64">
        <f>(IF((VLOOKUP(Table1[[#This Row],[SKU]],'All Skus'!$A:$AC,2,FALSE))="AKG",(VLOOKUP(Table1[[#This Row],[SKU]],'All Skus'!$A:$AC,19,FALSE)),""))</f>
        <v>0</v>
      </c>
      <c r="P309" s="64">
        <f>(IF((VLOOKUP(Table1[[#This Row],[SKU]],'All Skus'!$A:$AC,2,FALSE))="AKG",(VLOOKUP(Table1[[#This Row],[SKU]],'All Skus'!$A:$AC,20,FALSE)),""))</f>
        <v>0</v>
      </c>
      <c r="Q309" s="64">
        <f>(IF((VLOOKUP(Table1[[#This Row],[SKU]],'All Skus'!$A:$AC,2,FALSE))="AKG",(VLOOKUP(Table1[[#This Row],[SKU]],'All Skus'!$A:$AC,21,FALSE)),""))</f>
        <v>0</v>
      </c>
      <c r="R309" s="64">
        <f>(IF((VLOOKUP(Table1[[#This Row],[SKU]],'All Skus'!$A:$AC,2,FALSE))="AKG",(VLOOKUP(Table1[[#This Row],[SKU]],'All Skus'!$A:$AC,22,FALSE)),""))</f>
        <v>0</v>
      </c>
      <c r="S309" s="64">
        <f>(IF((VLOOKUP(Table1[[#This Row],[SKU]],'All Skus'!$A:$AC,2,FALSE))="AKG",(VLOOKUP(Table1[[#This Row],[SKU]],'All Skus'!$A:$AC,23,FALSE)),""))</f>
        <v>0</v>
      </c>
      <c r="T309" s="210" t="str">
        <f>HYPERLINK((IF((VLOOKUP(Table1[[#This Row],[SKU]],'All Skus'!$A:$AC,2,FALSE))="AKG",(VLOOKUP(Table1[[#This Row],[SKU]],'All Skus'!$A:$AC,24,FALSE)),"")))</f>
        <v/>
      </c>
      <c r="U309" s="151">
        <v>307</v>
      </c>
    </row>
    <row r="310" spans="1:21" ht="15" hidden="1" customHeight="1">
      <c r="A310" s="50" t="s">
        <v>464</v>
      </c>
      <c r="B310" s="52" t="str">
        <f>(IF((VLOOKUP(Table1[[#This Row],[SKU]],'All Skus'!$A:$AC,2,FALSE))="AKG",(VLOOKUP(Table1[[#This Row],[SKU]],'All Skus'!$A:$AC,3,FALSE)), ""))</f>
        <v>Accessories</v>
      </c>
      <c r="C310" s="60" t="str">
        <f>(IF((VLOOKUP(Table1[[#This Row],[SKU]],'All Skus'!$A:$AC,2,FALSE))="AKG",(VLOOKUP(Table1[[#This Row],[SKU]],'All Skus'!$A:$AC,4,FALSE)),""))</f>
        <v>H500</v>
      </c>
      <c r="D310" s="60" t="str">
        <f>(IF((VLOOKUP(Table1[[#This Row],[SKU]],'All Skus'!$A:$AC,2,FALSE))="AKG",(VLOOKUP(Table1[[#This Row],[SKU]],'All Skus'!$A:$AC,5,FALSE)),""))</f>
        <v>AT510000</v>
      </c>
      <c r="E310" s="60">
        <f>(IF((VLOOKUP(Table1[[#This Row],[SKU]],'All Skus'!$A:$AC,2,FALSE))="AKG",(VLOOKUP(Table1[[#This Row],[SKU]],'All Skus'!$A:$AC,6,FALSE)),""))</f>
        <v>0</v>
      </c>
      <c r="F310" s="60">
        <f>(IF((VLOOKUP(Table1[[#This Row],[SKU]],'All Skus'!$A:$AC,2,FALSE))="AKG",(VLOOKUP(Table1[[#This Row],[SKU]],'All Skus'!$A:$AC,7,FALSE)),""))</f>
        <v>0</v>
      </c>
      <c r="G310" s="45" t="str">
        <f>(IF((VLOOKUP(Table1[[#This Row],[SKU]],'All Skus'!$A:$AC,2,FALSE))="AKG",(VLOOKUP(Table1[[#This Row],[SKU]],'All Skus'!$A:$AC,8,FALSE)),""))</f>
        <v>Accessories</v>
      </c>
      <c r="H310" s="45" t="str">
        <f>(IF((VLOOKUP(Table1[[#This Row],[SKU]],'All Skus'!$A:$AC,2,FALSE))="AKG",(VLOOKUP(Table1[[#This Row],[SKU]],'All Skus'!$A:$AC,9,FALSE)),""))</f>
        <v>Elastic shockmount for GN15 E, GN30 E, GN50 E and 5-pin versions</v>
      </c>
      <c r="I310" s="141">
        <f>(IF((VLOOKUP(Table1[[#This Row],[SKU]],'All Skus'!$A:$AC,2,FALSE))="AKG",(VLOOKUP(Table1[[#This Row],[SKU]],'All Skus'!$A:$AC,10,FALSE)),""))</f>
        <v>72.03</v>
      </c>
      <c r="J310" s="141">
        <f>(IF((VLOOKUP(Table1[[#This Row],[SKU]],'All Skus'!$A:$AC,2,FALSE))="AKG",(VLOOKUP(Table1[[#This Row],[SKU]],'All Skus'!$A:$AC,11,FALSE)),""))</f>
        <v>61</v>
      </c>
      <c r="K310" s="125">
        <f>(IF((VLOOKUP(Table1[[#This Row],[SKU]],'All Skus'!$A:$AC,2,FALSE))="AKG",(VLOOKUP(Table1[[#This Row],[SKU]],'All Skus'!$A:$AC,15,FALSE)),""))</f>
        <v>0</v>
      </c>
      <c r="L310" s="124">
        <f>(IF((VLOOKUP(Table1[[#This Row],[SKU]],'All Skus'!$A:$AC,2,FALSE))="AKG",(VLOOKUP(Table1[[#This Row],[SKU]],'All Skus'!$A:$AC,16,FALSE)),""))</f>
        <v>885038005025</v>
      </c>
      <c r="M310" s="124">
        <f>(IF((VLOOKUP(Table1[[#This Row],[SKU]],'All Skus'!$A:$AC,2,FALSE))="AKG",(VLOOKUP(Table1[[#This Row],[SKU]],'All Skus'!$A:$AC,17,FALSE)),""))</f>
        <v>9002761005028</v>
      </c>
      <c r="N310" s="64">
        <f>(IF((VLOOKUP(Table1[[#This Row],[SKU]],'All Skus'!$A:$AC,2,FALSE))="AKG",(VLOOKUP(Table1[[#This Row],[SKU]],'All Skus'!$A:$AC,18,FALSE)),""))</f>
        <v>3</v>
      </c>
      <c r="O310" s="64">
        <f>(IF((VLOOKUP(Table1[[#This Row],[SKU]],'All Skus'!$A:$AC,2,FALSE))="AKG",(VLOOKUP(Table1[[#This Row],[SKU]],'All Skus'!$A:$AC,19,FALSE)),""))</f>
        <v>3</v>
      </c>
      <c r="P310" s="64">
        <f>(IF((VLOOKUP(Table1[[#This Row],[SKU]],'All Skus'!$A:$AC,2,FALSE))="AKG",(VLOOKUP(Table1[[#This Row],[SKU]],'All Skus'!$A:$AC,20,FALSE)),""))</f>
        <v>3</v>
      </c>
      <c r="Q310" s="64">
        <f>(IF((VLOOKUP(Table1[[#This Row],[SKU]],'All Skus'!$A:$AC,2,FALSE))="AKG",(VLOOKUP(Table1[[#This Row],[SKU]],'All Skus'!$A:$AC,21,FALSE)),""))</f>
        <v>2.8</v>
      </c>
      <c r="R310" s="64" t="str">
        <f>(IF((VLOOKUP(Table1[[#This Row],[SKU]],'All Skus'!$A:$AC,2,FALSE))="AKG",(VLOOKUP(Table1[[#This Row],[SKU]],'All Skus'!$A:$AC,22,FALSE)),""))</f>
        <v>TW</v>
      </c>
      <c r="S310" s="64" t="str">
        <f>(IF((VLOOKUP(Table1[[#This Row],[SKU]],'All Skus'!$A:$AC,2,FALSE))="AKG",(VLOOKUP(Table1[[#This Row],[SKU]],'All Skus'!$A:$AC,23,FALSE)),""))</f>
        <v>Compliant</v>
      </c>
      <c r="T310" s="210" t="str">
        <f>HYPERLINK((IF((VLOOKUP(Table1[[#This Row],[SKU]],'All Skus'!$A:$AC,2,FALSE))="AKG",(VLOOKUP(Table1[[#This Row],[SKU]],'All Skus'!$A:$AC,24,FALSE)),"")))</f>
        <v>https://www.akg.com/6000H01900.html</v>
      </c>
      <c r="U310" s="151">
        <v>308</v>
      </c>
    </row>
    <row r="311" spans="1:21" ht="15" hidden="1" customHeight="1">
      <c r="A311" s="50" t="s">
        <v>465</v>
      </c>
      <c r="B311" s="52" t="str">
        <f>(IF((VLOOKUP(Table1[[#This Row],[SKU]],'All Skus'!$A:$AC,2,FALSE))="AKG",(VLOOKUP(Table1[[#This Row],[SKU]],'All Skus'!$A:$AC,3,FALSE)), ""))</f>
        <v>Headphones</v>
      </c>
      <c r="C311" s="60" t="str">
        <f>(IF((VLOOKUP(Table1[[#This Row],[SKU]],'All Skus'!$A:$AC,2,FALSE))="AKG",(VLOOKUP(Table1[[#This Row],[SKU]],'All Skus'!$A:$AC,4,FALSE)),""))</f>
        <v>K92</v>
      </c>
      <c r="D311" s="60" t="str">
        <f>(IF((VLOOKUP(Table1[[#This Row],[SKU]],'All Skus'!$A:$AC,2,FALSE))="AKG",(VLOOKUP(Table1[[#This Row],[SKU]],'All Skus'!$A:$AC,5,FALSE)),""))</f>
        <v>AT110020</v>
      </c>
      <c r="E311" s="60">
        <f>(IF((VLOOKUP(Table1[[#This Row],[SKU]],'All Skus'!$A:$AC,2,FALSE))="AKG",(VLOOKUP(Table1[[#This Row],[SKU]],'All Skus'!$A:$AC,6,FALSE)),""))</f>
        <v>0</v>
      </c>
      <c r="F311" s="60">
        <f>(IF((VLOOKUP(Table1[[#This Row],[SKU]],'All Skus'!$A:$AC,2,FALSE))="AKG",(VLOOKUP(Table1[[#This Row],[SKU]],'All Skus'!$A:$AC,7,FALSE)),""))</f>
        <v>0</v>
      </c>
      <c r="G311" s="45" t="str">
        <f>(IF((VLOOKUP(Table1[[#This Row],[SKU]],'All Skus'!$A:$AC,2,FALSE))="AKG",(VLOOKUP(Table1[[#This Row],[SKU]],'All Skus'!$A:$AC,8,FALSE)),""))</f>
        <v>Closed-Back Studio Headphones</v>
      </c>
      <c r="H311" s="45" t="str">
        <f>(IF((VLOOKUP(Table1[[#This Row],[SKU]],'All Skus'!$A:$AC,2,FALSE))="AKG",(VLOOKUP(Table1[[#This Row],[SKU]],'All Skus'!$A:$AC,9,FALSE)),""))</f>
        <v xml:space="preserve">Professional studio headphones with 40mm drivers and closed back design ideal for studio recording and monitoring applications. Precisely balanced, 16Hz - 22 kHz response, self adjusting headband and 3 meter cable. 32 Ohms impedance.  Gold-plated 3.5mm (1/8-inch) plug with gold-plated 6.3mm (1/4") screw-on adapter </v>
      </c>
      <c r="I311" s="141">
        <f>(IF((VLOOKUP(Table1[[#This Row],[SKU]],'All Skus'!$A:$AC,2,FALSE))="AKG",(VLOOKUP(Table1[[#This Row],[SKU]],'All Skus'!$A:$AC,10,FALSE)),""))</f>
        <v>106.84</v>
      </c>
      <c r="J311" s="141">
        <f>(IF((VLOOKUP(Table1[[#This Row],[SKU]],'All Skus'!$A:$AC,2,FALSE))="AKG",(VLOOKUP(Table1[[#This Row],[SKU]],'All Skus'!$A:$AC,11,FALSE)),""))</f>
        <v>75</v>
      </c>
      <c r="K311" s="125">
        <f>(IF((VLOOKUP(Table1[[#This Row],[SKU]],'All Skus'!$A:$AC,2,FALSE))="AKG",(VLOOKUP(Table1[[#This Row],[SKU]],'All Skus'!$A:$AC,15,FALSE)),""))</f>
        <v>10</v>
      </c>
      <c r="L311" s="124">
        <f>(IF((VLOOKUP(Table1[[#This Row],[SKU]],'All Skus'!$A:$AC,2,FALSE))="AKG",(VLOOKUP(Table1[[#This Row],[SKU]],'All Skus'!$A:$AC,16,FALSE)),""))</f>
        <v>885038038795</v>
      </c>
      <c r="M311" s="124">
        <f>(IF((VLOOKUP(Table1[[#This Row],[SKU]],'All Skus'!$A:$AC,2,FALSE))="AKG",(VLOOKUP(Table1[[#This Row],[SKU]],'All Skus'!$A:$AC,17,FALSE)),""))</f>
        <v>9002761038798</v>
      </c>
      <c r="N311" s="64">
        <f>(IF((VLOOKUP(Table1[[#This Row],[SKU]],'All Skus'!$A:$AC,2,FALSE))="AKG",(VLOOKUP(Table1[[#This Row],[SKU]],'All Skus'!$A:$AC,18,FALSE)),""))</f>
        <v>3</v>
      </c>
      <c r="O311" s="64">
        <f>(IF((VLOOKUP(Table1[[#This Row],[SKU]],'All Skus'!$A:$AC,2,FALSE))="AKG",(VLOOKUP(Table1[[#This Row],[SKU]],'All Skus'!$A:$AC,19,FALSE)),""))</f>
        <v>2</v>
      </c>
      <c r="P311" s="64">
        <f>(IF((VLOOKUP(Table1[[#This Row],[SKU]],'All Skus'!$A:$AC,2,FALSE))="AKG",(VLOOKUP(Table1[[#This Row],[SKU]],'All Skus'!$A:$AC,20,FALSE)),""))</f>
        <v>2</v>
      </c>
      <c r="Q311" s="64">
        <f>(IF((VLOOKUP(Table1[[#This Row],[SKU]],'All Skus'!$A:$AC,2,FALSE))="AKG",(VLOOKUP(Table1[[#This Row],[SKU]],'All Skus'!$A:$AC,21,FALSE)),""))</f>
        <v>9.25</v>
      </c>
      <c r="R311" s="64" t="str">
        <f>(IF((VLOOKUP(Table1[[#This Row],[SKU]],'All Skus'!$A:$AC,2,FALSE))="AKG",(VLOOKUP(Table1[[#This Row],[SKU]],'All Skus'!$A:$AC,22,FALSE)),""))</f>
        <v>CN</v>
      </c>
      <c r="S311" s="64" t="str">
        <f>(IF((VLOOKUP(Table1[[#This Row],[SKU]],'All Skus'!$A:$AC,2,FALSE))="AKG",(VLOOKUP(Table1[[#This Row],[SKU]],'All Skus'!$A:$AC,23,FALSE)),""))</f>
        <v>Non Compliant</v>
      </c>
      <c r="T311" s="210" t="str">
        <f>HYPERLINK((IF((VLOOKUP(Table1[[#This Row],[SKU]],'All Skus'!$A:$AC,2,FALSE))="AKG",(VLOOKUP(Table1[[#This Row],[SKU]],'All Skus'!$A:$AC,24,FALSE)),"")))</f>
        <v>https://www.akg.com/3169H00030.html</v>
      </c>
      <c r="U311" s="151">
        <v>309</v>
      </c>
    </row>
    <row r="312" spans="1:21" ht="15" hidden="1" customHeight="1">
      <c r="A312" s="50" t="s">
        <v>466</v>
      </c>
      <c r="B312" s="52" t="str">
        <f>(IF((VLOOKUP(Table1[[#This Row],[SKU]],'All Skus'!$A:$AC,2,FALSE))="AKG",(VLOOKUP(Table1[[#This Row],[SKU]],'All Skus'!$A:$AC,3,FALSE)), ""))</f>
        <v>Headphones</v>
      </c>
      <c r="C312" s="60" t="str">
        <f>(IF((VLOOKUP(Table1[[#This Row],[SKU]],'All Skus'!$A:$AC,2,FALSE))="AKG",(VLOOKUP(Table1[[#This Row],[SKU]],'All Skus'!$A:$AC,4,FALSE)),""))</f>
        <v>K182 HEADPHONES</v>
      </c>
      <c r="D312" s="60" t="str">
        <f>(IF((VLOOKUP(Table1[[#This Row],[SKU]],'All Skus'!$A:$AC,2,FALSE))="AKG",(VLOOKUP(Table1[[#This Row],[SKU]],'All Skus'!$A:$AC,5,FALSE)),""))</f>
        <v>AT110020</v>
      </c>
      <c r="E312" s="60">
        <f>(IF((VLOOKUP(Table1[[#This Row],[SKU]],'All Skus'!$A:$AC,2,FALSE))="AKG",(VLOOKUP(Table1[[#This Row],[SKU]],'All Skus'!$A:$AC,6,FALSE)),""))</f>
        <v>0</v>
      </c>
      <c r="F312" s="60">
        <f>(IF((VLOOKUP(Table1[[#This Row],[SKU]],'All Skus'!$A:$AC,2,FALSE))="AKG",(VLOOKUP(Table1[[#This Row],[SKU]],'All Skus'!$A:$AC,7,FALSE)),""))</f>
        <v>0</v>
      </c>
      <c r="G312" s="45" t="str">
        <f>(IF((VLOOKUP(Table1[[#This Row],[SKU]],'All Skus'!$A:$AC,2,FALSE))="AKG",(VLOOKUP(Table1[[#This Row],[SKU]],'All Skus'!$A:$AC,8,FALSE)),""))</f>
        <v>Studio Headphone</v>
      </c>
      <c r="H312" s="45" t="str">
        <f>(IF((VLOOKUP(Table1[[#This Row],[SKU]],'All Skus'!$A:$AC,2,FALSE))="AKG",(VLOOKUP(Table1[[#This Row],[SKU]],'All Skus'!$A:$AC,9,FALSE)),""))</f>
        <v>Professional closed-back monitor headphones</v>
      </c>
      <c r="I312" s="141">
        <f>(IF((VLOOKUP(Table1[[#This Row],[SKU]],'All Skus'!$A:$AC,2,FALSE))="AKG",(VLOOKUP(Table1[[#This Row],[SKU]],'All Skus'!$A:$AC,10,FALSE)),""))</f>
        <v>210.08</v>
      </c>
      <c r="J312" s="141">
        <f>(IF((VLOOKUP(Table1[[#This Row],[SKU]],'All Skus'!$A:$AC,2,FALSE))="AKG",(VLOOKUP(Table1[[#This Row],[SKU]],'All Skus'!$A:$AC,11,FALSE)),""))</f>
        <v>119</v>
      </c>
      <c r="K312" s="125">
        <f>(IF((VLOOKUP(Table1[[#This Row],[SKU]],'All Skus'!$A:$AC,2,FALSE))="AKG",(VLOOKUP(Table1[[#This Row],[SKU]],'All Skus'!$A:$AC,15,FALSE)),""))</f>
        <v>0</v>
      </c>
      <c r="L312" s="124">
        <f>(IF((VLOOKUP(Table1[[#This Row],[SKU]],'All Skus'!$A:$AC,2,FALSE))="AKG",(VLOOKUP(Table1[[#This Row],[SKU]],'All Skus'!$A:$AC,16,FALSE)),""))</f>
        <v>885038038245</v>
      </c>
      <c r="M312" s="124">
        <f>(IF((VLOOKUP(Table1[[#This Row],[SKU]],'All Skus'!$A:$AC,2,FALSE))="AKG",(VLOOKUP(Table1[[#This Row],[SKU]],'All Skus'!$A:$AC,17,FALSE)),""))</f>
        <v>0</v>
      </c>
      <c r="N312" s="64">
        <f>(IF((VLOOKUP(Table1[[#This Row],[SKU]],'All Skus'!$A:$AC,2,FALSE))="AKG",(VLOOKUP(Table1[[#This Row],[SKU]],'All Skus'!$A:$AC,18,FALSE)),""))</f>
        <v>9002761038248</v>
      </c>
      <c r="O312" s="64" t="str">
        <f>(IF((VLOOKUP(Table1[[#This Row],[SKU]],'All Skus'!$A:$AC,2,FALSE))="AKG",(VLOOKUP(Table1[[#This Row],[SKU]],'All Skus'!$A:$AC,19,FALSE)),""))</f>
        <v>n/a</v>
      </c>
      <c r="P312" s="64" t="str">
        <f>(IF((VLOOKUP(Table1[[#This Row],[SKU]],'All Skus'!$A:$AC,2,FALSE))="AKG",(VLOOKUP(Table1[[#This Row],[SKU]],'All Skus'!$A:$AC,20,FALSE)),""))</f>
        <v>n/a</v>
      </c>
      <c r="Q312" s="64" t="str">
        <f>(IF((VLOOKUP(Table1[[#This Row],[SKU]],'All Skus'!$A:$AC,2,FALSE))="AKG",(VLOOKUP(Table1[[#This Row],[SKU]],'All Skus'!$A:$AC,21,FALSE)),""))</f>
        <v>n/a</v>
      </c>
      <c r="R312" s="64" t="str">
        <f>(IF((VLOOKUP(Table1[[#This Row],[SKU]],'All Skus'!$A:$AC,2,FALSE))="AKG",(VLOOKUP(Table1[[#This Row],[SKU]],'All Skus'!$A:$AC,22,FALSE)),""))</f>
        <v>CN</v>
      </c>
      <c r="S312" s="64" t="str">
        <f>(IF((VLOOKUP(Table1[[#This Row],[SKU]],'All Skus'!$A:$AC,2,FALSE))="AKG",(VLOOKUP(Table1[[#This Row],[SKU]],'All Skus'!$A:$AC,23,FALSE)),""))</f>
        <v>Non Compliant</v>
      </c>
      <c r="T312" s="210" t="str">
        <f>HYPERLINK((IF((VLOOKUP(Table1[[#This Row],[SKU]],'All Skus'!$A:$AC,2,FALSE))="AKG",(VLOOKUP(Table1[[#This Row],[SKU]],'All Skus'!$A:$AC,24,FALSE)),"")))</f>
        <v>https://www.akg.com/3103H00030.html</v>
      </c>
      <c r="U312" s="151">
        <v>310</v>
      </c>
    </row>
    <row r="313" spans="1:21" ht="15" hidden="1" customHeight="1">
      <c r="A313" s="50" t="s">
        <v>467</v>
      </c>
      <c r="B313" s="52" t="str">
        <f>(IF((VLOOKUP(Table1[[#This Row],[SKU]],'All Skus'!$A:$AC,2,FALSE))="AKG",(VLOOKUP(Table1[[#This Row],[SKU]],'All Skus'!$A:$AC,3,FALSE)), ""))</f>
        <v>Headphones</v>
      </c>
      <c r="C313" s="60" t="str">
        <f>(IF((VLOOKUP(Table1[[#This Row],[SKU]],'All Skus'!$A:$AC,2,FALSE))="AKG",(VLOOKUP(Table1[[#This Row],[SKU]],'All Skus'!$A:$AC,4,FALSE)),""))</f>
        <v xml:space="preserve">K240 STUDIO </v>
      </c>
      <c r="D313" s="60" t="str">
        <f>(IF((VLOOKUP(Table1[[#This Row],[SKU]],'All Skus'!$A:$AC,2,FALSE))="AKG",(VLOOKUP(Table1[[#This Row],[SKU]],'All Skus'!$A:$AC,5,FALSE)),""))</f>
        <v>AT110020</v>
      </c>
      <c r="E313" s="60">
        <f>(IF((VLOOKUP(Table1[[#This Row],[SKU]],'All Skus'!$A:$AC,2,FALSE))="AKG",(VLOOKUP(Table1[[#This Row],[SKU]],'All Skus'!$A:$AC,6,FALSE)),""))</f>
        <v>0</v>
      </c>
      <c r="F313" s="60">
        <f>(IF((VLOOKUP(Table1[[#This Row],[SKU]],'All Skus'!$A:$AC,2,FALSE))="AKG",(VLOOKUP(Table1[[#This Row],[SKU]],'All Skus'!$A:$AC,7,FALSE)),""))</f>
        <v>0</v>
      </c>
      <c r="G313" s="45" t="str">
        <f>(IF((VLOOKUP(Table1[[#This Row],[SKU]],'All Skus'!$A:$AC,2,FALSE))="AKG",(VLOOKUP(Table1[[#This Row],[SKU]],'All Skus'!$A:$AC,8,FALSE)),""))</f>
        <v>Studio Headphone</v>
      </c>
      <c r="H313" s="45" t="str">
        <f>(IF((VLOOKUP(Table1[[#This Row],[SKU]],'All Skus'!$A:$AC,2,FALSE))="AKG",(VLOOKUP(Table1[[#This Row],[SKU]],'All Skus'!$A:$AC,9,FALSE)),""))</f>
        <v>Semi open, circumaural studio headphone with artificial leather ear pads, classic gold/black trim, detachable cable</v>
      </c>
      <c r="I313" s="141">
        <f>(IF((VLOOKUP(Table1[[#This Row],[SKU]],'All Skus'!$A:$AC,2,FALSE))="AKG",(VLOOKUP(Table1[[#This Row],[SKU]],'All Skus'!$A:$AC,10,FALSE)),""))</f>
        <v>154.86000000000001</v>
      </c>
      <c r="J313" s="141">
        <f>(IF((VLOOKUP(Table1[[#This Row],[SKU]],'All Skus'!$A:$AC,2,FALSE))="AKG",(VLOOKUP(Table1[[#This Row],[SKU]],'All Skus'!$A:$AC,11,FALSE)),""))</f>
        <v>85</v>
      </c>
      <c r="K313" s="125">
        <f>(IF((VLOOKUP(Table1[[#This Row],[SKU]],'All Skus'!$A:$AC,2,FALSE))="AKG",(VLOOKUP(Table1[[#This Row],[SKU]],'All Skus'!$A:$AC,15,FALSE)),""))</f>
        <v>0</v>
      </c>
      <c r="L313" s="124">
        <f>(IF((VLOOKUP(Table1[[#This Row],[SKU]],'All Skus'!$A:$AC,2,FALSE))="AKG",(VLOOKUP(Table1[[#This Row],[SKU]],'All Skus'!$A:$AC,16,FALSE)),""))</f>
        <v>885038026730</v>
      </c>
      <c r="M313" s="124">
        <f>(IF((VLOOKUP(Table1[[#This Row],[SKU]],'All Skus'!$A:$AC,2,FALSE))="AKG",(VLOOKUP(Table1[[#This Row],[SKU]],'All Skus'!$A:$AC,17,FALSE)),""))</f>
        <v>9002761026733</v>
      </c>
      <c r="N313" s="64">
        <f>(IF((VLOOKUP(Table1[[#This Row],[SKU]],'All Skus'!$A:$AC,2,FALSE))="AKG",(VLOOKUP(Table1[[#This Row],[SKU]],'All Skus'!$A:$AC,18,FALSE)),""))</f>
        <v>9</v>
      </c>
      <c r="O313" s="64">
        <f>(IF((VLOOKUP(Table1[[#This Row],[SKU]],'All Skus'!$A:$AC,2,FALSE))="AKG",(VLOOKUP(Table1[[#This Row],[SKU]],'All Skus'!$A:$AC,19,FALSE)),""))</f>
        <v>9</v>
      </c>
      <c r="P313" s="64">
        <f>(IF((VLOOKUP(Table1[[#This Row],[SKU]],'All Skus'!$A:$AC,2,FALSE))="AKG",(VLOOKUP(Table1[[#This Row],[SKU]],'All Skus'!$A:$AC,20,FALSE)),""))</f>
        <v>4.5</v>
      </c>
      <c r="Q313" s="64">
        <f>(IF((VLOOKUP(Table1[[#This Row],[SKU]],'All Skus'!$A:$AC,2,FALSE))="AKG",(VLOOKUP(Table1[[#This Row],[SKU]],'All Skus'!$A:$AC,21,FALSE)),""))</f>
        <v>4.4000000000000004</v>
      </c>
      <c r="R313" s="64" t="str">
        <f>(IF((VLOOKUP(Table1[[#This Row],[SKU]],'All Skus'!$A:$AC,2,FALSE))="AKG",(VLOOKUP(Table1[[#This Row],[SKU]],'All Skus'!$A:$AC,22,FALSE)),""))</f>
        <v>CN</v>
      </c>
      <c r="S313" s="64" t="str">
        <f>(IF((VLOOKUP(Table1[[#This Row],[SKU]],'All Skus'!$A:$AC,2,FALSE))="AKG",(VLOOKUP(Table1[[#This Row],[SKU]],'All Skus'!$A:$AC,23,FALSE)),""))</f>
        <v>Non Compliant</v>
      </c>
      <c r="T313" s="210" t="str">
        <f>HYPERLINK((IF((VLOOKUP(Table1[[#This Row],[SKU]],'All Skus'!$A:$AC,2,FALSE))="AKG",(VLOOKUP(Table1[[#This Row],[SKU]],'All Skus'!$A:$AC,24,FALSE)),"")))</f>
        <v>https://www.akg.com/2058X00130.html</v>
      </c>
      <c r="U313" s="151">
        <v>311</v>
      </c>
    </row>
    <row r="314" spans="1:21" ht="15" hidden="1" customHeight="1">
      <c r="A314" s="50" t="s">
        <v>468</v>
      </c>
      <c r="B314" s="52" t="str">
        <f>(IF((VLOOKUP(Table1[[#This Row],[SKU]],'All Skus'!$A:$AC,2,FALSE))="AKG",(VLOOKUP(Table1[[#This Row],[SKU]],'All Skus'!$A:$AC,3,FALSE)), ""))</f>
        <v>Headphones</v>
      </c>
      <c r="C314" s="60" t="str">
        <f>(IF((VLOOKUP(Table1[[#This Row],[SKU]],'All Skus'!$A:$AC,2,FALSE))="AKG",(VLOOKUP(Table1[[#This Row],[SKU]],'All Skus'!$A:$AC,4,FALSE)),""))</f>
        <v>K240 MKII</v>
      </c>
      <c r="D314" s="60" t="str">
        <f>(IF((VLOOKUP(Table1[[#This Row],[SKU]],'All Skus'!$A:$AC,2,FALSE))="AKG",(VLOOKUP(Table1[[#This Row],[SKU]],'All Skus'!$A:$AC,5,FALSE)),""))</f>
        <v>AT110020</v>
      </c>
      <c r="E314" s="60">
        <f>(IF((VLOOKUP(Table1[[#This Row],[SKU]],'All Skus'!$A:$AC,2,FALSE))="AKG",(VLOOKUP(Table1[[#This Row],[SKU]],'All Skus'!$A:$AC,6,FALSE)),""))</f>
        <v>0</v>
      </c>
      <c r="F314" s="60">
        <f>(IF((VLOOKUP(Table1[[#This Row],[SKU]],'All Skus'!$A:$AC,2,FALSE))="AKG",(VLOOKUP(Table1[[#This Row],[SKU]],'All Skus'!$A:$AC,7,FALSE)),""))</f>
        <v>0</v>
      </c>
      <c r="G314" s="45" t="str">
        <f>(IF((VLOOKUP(Table1[[#This Row],[SKU]],'All Skus'!$A:$AC,2,FALSE))="AKG",(VLOOKUP(Table1[[#This Row],[SKU]],'All Skus'!$A:$AC,8,FALSE)),""))</f>
        <v>Studio Headphone</v>
      </c>
      <c r="H314" s="45" t="str">
        <f>(IF((VLOOKUP(Table1[[#This Row],[SKU]],'All Skus'!$A:$AC,2,FALSE))="AKG",(VLOOKUP(Table1[[#This Row],[SKU]],'All Skus'!$A:$AC,9,FALSE)),""))</f>
        <v>Semi open, circumaural, detachable cable additional velvet ear pad, additional 5m coiled cable; stage blue</v>
      </c>
      <c r="I314" s="141">
        <f>(IF((VLOOKUP(Table1[[#This Row],[SKU]],'All Skus'!$A:$AC,2,FALSE))="AKG",(VLOOKUP(Table1[[#This Row],[SKU]],'All Skus'!$A:$AC,10,FALSE)),""))</f>
        <v>226.89</v>
      </c>
      <c r="J314" s="141">
        <f>(IF((VLOOKUP(Table1[[#This Row],[SKU]],'All Skus'!$A:$AC,2,FALSE))="AKG",(VLOOKUP(Table1[[#This Row],[SKU]],'All Skus'!$A:$AC,11,FALSE)),""))</f>
        <v>185</v>
      </c>
      <c r="K314" s="125">
        <f>(IF((VLOOKUP(Table1[[#This Row],[SKU]],'All Skus'!$A:$AC,2,FALSE))="AKG",(VLOOKUP(Table1[[#This Row],[SKU]],'All Skus'!$A:$AC,15,FALSE)),""))</f>
        <v>30</v>
      </c>
      <c r="L314" s="124">
        <f>(IF((VLOOKUP(Table1[[#This Row],[SKU]],'All Skus'!$A:$AC,2,FALSE))="AKG",(VLOOKUP(Table1[[#This Row],[SKU]],'All Skus'!$A:$AC,16,FALSE)),""))</f>
        <v>885038021193</v>
      </c>
      <c r="M314" s="124">
        <f>(IF((VLOOKUP(Table1[[#This Row],[SKU]],'All Skus'!$A:$AC,2,FALSE))="AKG",(VLOOKUP(Table1[[#This Row],[SKU]],'All Skus'!$A:$AC,17,FALSE)),""))</f>
        <v>9002761021196</v>
      </c>
      <c r="N314" s="64">
        <f>(IF((VLOOKUP(Table1[[#This Row],[SKU]],'All Skus'!$A:$AC,2,FALSE))="AKG",(VLOOKUP(Table1[[#This Row],[SKU]],'All Skus'!$A:$AC,18,FALSE)),""))</f>
        <v>9</v>
      </c>
      <c r="O314" s="64">
        <f>(IF((VLOOKUP(Table1[[#This Row],[SKU]],'All Skus'!$A:$AC,2,FALSE))="AKG",(VLOOKUP(Table1[[#This Row],[SKU]],'All Skus'!$A:$AC,19,FALSE)),""))</f>
        <v>9</v>
      </c>
      <c r="P314" s="64">
        <f>(IF((VLOOKUP(Table1[[#This Row],[SKU]],'All Skus'!$A:$AC,2,FALSE))="AKG",(VLOOKUP(Table1[[#This Row],[SKU]],'All Skus'!$A:$AC,20,FALSE)),""))</f>
        <v>4.5</v>
      </c>
      <c r="Q314" s="64">
        <f>(IF((VLOOKUP(Table1[[#This Row],[SKU]],'All Skus'!$A:$AC,2,FALSE))="AKG",(VLOOKUP(Table1[[#This Row],[SKU]],'All Skus'!$A:$AC,21,FALSE)),""))</f>
        <v>4.4000000000000004</v>
      </c>
      <c r="R314" s="64" t="str">
        <f>(IF((VLOOKUP(Table1[[#This Row],[SKU]],'All Skus'!$A:$AC,2,FALSE))="AKG",(VLOOKUP(Table1[[#This Row],[SKU]],'All Skus'!$A:$AC,22,FALSE)),""))</f>
        <v>CN</v>
      </c>
      <c r="S314" s="64" t="str">
        <f>(IF((VLOOKUP(Table1[[#This Row],[SKU]],'All Skus'!$A:$AC,2,FALSE))="AKG",(VLOOKUP(Table1[[#This Row],[SKU]],'All Skus'!$A:$AC,23,FALSE)),""))</f>
        <v>Non Compliant</v>
      </c>
      <c r="T314" s="210" t="str">
        <f>HYPERLINK((IF((VLOOKUP(Table1[[#This Row],[SKU]],'All Skus'!$A:$AC,2,FALSE))="AKG",(VLOOKUP(Table1[[#This Row],[SKU]],'All Skus'!$A:$AC,24,FALSE)),"")))</f>
        <v>https://www.akg.com/2058X00190.html</v>
      </c>
      <c r="U314" s="151">
        <v>312</v>
      </c>
    </row>
    <row r="315" spans="1:21" ht="15" hidden="1" customHeight="1">
      <c r="A315" s="50" t="s">
        <v>469</v>
      </c>
      <c r="B315" s="52" t="str">
        <f>(IF((VLOOKUP(Table1[[#This Row],[SKU]],'All Skus'!$A:$AC,2,FALSE))="AKG",(VLOOKUP(Table1[[#This Row],[SKU]],'All Skus'!$A:$AC,3,FALSE)), ""))</f>
        <v>Headphones</v>
      </c>
      <c r="C315" s="60" t="str">
        <f>(IF((VLOOKUP(Table1[[#This Row],[SKU]],'All Skus'!$A:$AC,2,FALSE))="AKG",(VLOOKUP(Table1[[#This Row],[SKU]],'All Skus'!$A:$AC,4,FALSE)),""))</f>
        <v>K271 MKII</v>
      </c>
      <c r="D315" s="60" t="str">
        <f>(IF((VLOOKUP(Table1[[#This Row],[SKU]],'All Skus'!$A:$AC,2,FALSE))="AKG",(VLOOKUP(Table1[[#This Row],[SKU]],'All Skus'!$A:$AC,5,FALSE)),""))</f>
        <v>AT110020</v>
      </c>
      <c r="E315" s="60">
        <f>(IF((VLOOKUP(Table1[[#This Row],[SKU]],'All Skus'!$A:$AC,2,FALSE))="AKG",(VLOOKUP(Table1[[#This Row],[SKU]],'All Skus'!$A:$AC,6,FALSE)),""))</f>
        <v>0</v>
      </c>
      <c r="F315" s="60">
        <f>(IF((VLOOKUP(Table1[[#This Row],[SKU]],'All Skus'!$A:$AC,2,FALSE))="AKG",(VLOOKUP(Table1[[#This Row],[SKU]],'All Skus'!$A:$AC,7,FALSE)),""))</f>
        <v>0</v>
      </c>
      <c r="G315" s="45" t="str">
        <f>(IF((VLOOKUP(Table1[[#This Row],[SKU]],'All Skus'!$A:$AC,2,FALSE))="AKG",(VLOOKUP(Table1[[#This Row],[SKU]],'All Skus'!$A:$AC,8,FALSE)),""))</f>
        <v>Studio Headphone</v>
      </c>
      <c r="H315" s="45" t="str">
        <f>(IF((VLOOKUP(Table1[[#This Row],[SKU]],'All Skus'!$A:$AC,2,FALSE))="AKG",(VLOOKUP(Table1[[#This Row],[SKU]],'All Skus'!$A:$AC,9,FALSE)),""))</f>
        <v>Closed back, circumaural, detachable cable additional velvet ear pads, additional 5m coiled cable; stage blue</v>
      </c>
      <c r="I315" s="141">
        <f>(IF((VLOOKUP(Table1[[#This Row],[SKU]],'All Skus'!$A:$AC,2,FALSE))="AKG",(VLOOKUP(Table1[[#This Row],[SKU]],'All Skus'!$A:$AC,10,FALSE)),""))</f>
        <v>346.93</v>
      </c>
      <c r="J315" s="141">
        <f>(IF((VLOOKUP(Table1[[#This Row],[SKU]],'All Skus'!$A:$AC,2,FALSE))="AKG",(VLOOKUP(Table1[[#This Row],[SKU]],'All Skus'!$A:$AC,11,FALSE)),""))</f>
        <v>279</v>
      </c>
      <c r="K315" s="125">
        <f>(IF((VLOOKUP(Table1[[#This Row],[SKU]],'All Skus'!$A:$AC,2,FALSE))="AKG",(VLOOKUP(Table1[[#This Row],[SKU]],'All Skus'!$A:$AC,15,FALSE)),""))</f>
        <v>30</v>
      </c>
      <c r="L315" s="124">
        <f>(IF((VLOOKUP(Table1[[#This Row],[SKU]],'All Skus'!$A:$AC,2,FALSE))="AKG",(VLOOKUP(Table1[[#This Row],[SKU]],'All Skus'!$A:$AC,16,FALSE)),""))</f>
        <v>885038021209</v>
      </c>
      <c r="M315" s="124">
        <f>(IF((VLOOKUP(Table1[[#This Row],[SKU]],'All Skus'!$A:$AC,2,FALSE))="AKG",(VLOOKUP(Table1[[#This Row],[SKU]],'All Skus'!$A:$AC,17,FALSE)),""))</f>
        <v>9002761021202</v>
      </c>
      <c r="N315" s="64">
        <f>(IF((VLOOKUP(Table1[[#This Row],[SKU]],'All Skus'!$A:$AC,2,FALSE))="AKG",(VLOOKUP(Table1[[#This Row],[SKU]],'All Skus'!$A:$AC,18,FALSE)),""))</f>
        <v>10</v>
      </c>
      <c r="O315" s="64">
        <f>(IF((VLOOKUP(Table1[[#This Row],[SKU]],'All Skus'!$A:$AC,2,FALSE))="AKG",(VLOOKUP(Table1[[#This Row],[SKU]],'All Skus'!$A:$AC,19,FALSE)),""))</f>
        <v>6</v>
      </c>
      <c r="P315" s="64">
        <f>(IF((VLOOKUP(Table1[[#This Row],[SKU]],'All Skus'!$A:$AC,2,FALSE))="AKG",(VLOOKUP(Table1[[#This Row],[SKU]],'All Skus'!$A:$AC,20,FALSE)),""))</f>
        <v>10</v>
      </c>
      <c r="Q315" s="64">
        <f>(IF((VLOOKUP(Table1[[#This Row],[SKU]],'All Skus'!$A:$AC,2,FALSE))="AKG",(VLOOKUP(Table1[[#This Row],[SKU]],'All Skus'!$A:$AC,21,FALSE)),""))</f>
        <v>4.4000000000000004</v>
      </c>
      <c r="R315" s="64" t="str">
        <f>(IF((VLOOKUP(Table1[[#This Row],[SKU]],'All Skus'!$A:$AC,2,FALSE))="AKG",(VLOOKUP(Table1[[#This Row],[SKU]],'All Skus'!$A:$AC,22,FALSE)),""))</f>
        <v>CN</v>
      </c>
      <c r="S315" s="64" t="str">
        <f>(IF((VLOOKUP(Table1[[#This Row],[SKU]],'All Skus'!$A:$AC,2,FALSE))="AKG",(VLOOKUP(Table1[[#This Row],[SKU]],'All Skus'!$A:$AC,23,FALSE)),""))</f>
        <v>Non Compliant</v>
      </c>
      <c r="T315" s="210" t="str">
        <f>HYPERLINK((IF((VLOOKUP(Table1[[#This Row],[SKU]],'All Skus'!$A:$AC,2,FALSE))="AKG",(VLOOKUP(Table1[[#This Row],[SKU]],'All Skus'!$A:$AC,24,FALSE)),"")))</f>
        <v>https://www.akg.com/2470X00190.html</v>
      </c>
      <c r="U315" s="151">
        <v>313</v>
      </c>
    </row>
    <row r="316" spans="1:21" ht="15" hidden="1" customHeight="1">
      <c r="A316" s="50" t="s">
        <v>470</v>
      </c>
      <c r="B316" s="52" t="str">
        <f>(IF((VLOOKUP(Table1[[#This Row],[SKU]],'All Skus'!$A:$AC,2,FALSE))="AKG",(VLOOKUP(Table1[[#This Row],[SKU]],'All Skus'!$A:$AC,3,FALSE)), ""))</f>
        <v>Headphones</v>
      </c>
      <c r="C316" s="60" t="str">
        <f>(IF((VLOOKUP(Table1[[#This Row],[SKU]],'All Skus'!$A:$AC,2,FALSE))="AKG",(VLOOKUP(Table1[[#This Row],[SKU]],'All Skus'!$A:$AC,4,FALSE)),""))</f>
        <v>K361</v>
      </c>
      <c r="D316" s="60" t="str">
        <f>(IF((VLOOKUP(Table1[[#This Row],[SKU]],'All Skus'!$A:$AC,2,FALSE))="AKG",(VLOOKUP(Table1[[#This Row],[SKU]],'All Skus'!$A:$AC,5,FALSE)),""))</f>
        <v>AT110020</v>
      </c>
      <c r="E316" s="60">
        <f>(IF((VLOOKUP(Table1[[#This Row],[SKU]],'All Skus'!$A:$AC,2,FALSE))="AKG",(VLOOKUP(Table1[[#This Row],[SKU]],'All Skus'!$A:$AC,6,FALSE)),""))</f>
        <v>0</v>
      </c>
      <c r="F316" s="60">
        <f>(IF((VLOOKUP(Table1[[#This Row],[SKU]],'All Skus'!$A:$AC,2,FALSE))="AKG",(VLOOKUP(Table1[[#This Row],[SKU]],'All Skus'!$A:$AC,7,FALSE)),""))</f>
        <v>0</v>
      </c>
      <c r="G316" s="45" t="str">
        <f>(IF((VLOOKUP(Table1[[#This Row],[SKU]],'All Skus'!$A:$AC,2,FALSE))="AKG",(VLOOKUP(Table1[[#This Row],[SKU]],'All Skus'!$A:$AC,8,FALSE)),""))</f>
        <v>PROFESSIONAL AUDIO HEADPHONE K361</v>
      </c>
      <c r="H316" s="45" t="str">
        <f>(IF((VLOOKUP(Table1[[#This Row],[SKU]],'All Skus'!$A:$AC,2,FALSE))="AKG",(VLOOKUP(Table1[[#This Row],[SKU]],'All Skus'!$A:$AC,9,FALSE)),""))</f>
        <v>PROFESSIONAL AUDIO HEADPHONE K361</v>
      </c>
      <c r="I316" s="141">
        <f>(IF((VLOOKUP(Table1[[#This Row],[SKU]],'All Skus'!$A:$AC,2,FALSE))="AKG",(VLOOKUP(Table1[[#This Row],[SKU]],'All Skus'!$A:$AC,10,FALSE)),""))</f>
        <v>148.56</v>
      </c>
      <c r="J316" s="141">
        <f>(IF((VLOOKUP(Table1[[#This Row],[SKU]],'All Skus'!$A:$AC,2,FALSE))="AKG",(VLOOKUP(Table1[[#This Row],[SKU]],'All Skus'!$A:$AC,11,FALSE)),""))</f>
        <v>119</v>
      </c>
      <c r="K316" s="125">
        <f>(IF((VLOOKUP(Table1[[#This Row],[SKU]],'All Skus'!$A:$AC,2,FALSE))="AKG",(VLOOKUP(Table1[[#This Row],[SKU]],'All Skus'!$A:$AC,15,FALSE)),""))</f>
        <v>0</v>
      </c>
      <c r="L316" s="124">
        <f>(IF((VLOOKUP(Table1[[#This Row],[SKU]],'All Skus'!$A:$AC,2,FALSE))="AKG",(VLOOKUP(Table1[[#This Row],[SKU]],'All Skus'!$A:$AC,16,FALSE)),""))</f>
        <v>885038040729</v>
      </c>
      <c r="M316" s="124">
        <f>(IF((VLOOKUP(Table1[[#This Row],[SKU]],'All Skus'!$A:$AC,2,FALSE))="AKG",(VLOOKUP(Table1[[#This Row],[SKU]],'All Skus'!$A:$AC,17,FALSE)),""))</f>
        <v>9002761040722</v>
      </c>
      <c r="N316" s="64">
        <f>(IF((VLOOKUP(Table1[[#This Row],[SKU]],'All Skus'!$A:$AC,2,FALSE))="AKG",(VLOOKUP(Table1[[#This Row],[SKU]],'All Skus'!$A:$AC,18,FALSE)),""))</f>
        <v>1.48</v>
      </c>
      <c r="O316" s="64">
        <f>(IF((VLOOKUP(Table1[[#This Row],[SKU]],'All Skus'!$A:$AC,2,FALSE))="AKG",(VLOOKUP(Table1[[#This Row],[SKU]],'All Skus'!$A:$AC,19,FALSE)),""))</f>
        <v>4.33</v>
      </c>
      <c r="P316" s="64">
        <f>(IF((VLOOKUP(Table1[[#This Row],[SKU]],'All Skus'!$A:$AC,2,FALSE))="AKG",(VLOOKUP(Table1[[#This Row],[SKU]],'All Skus'!$A:$AC,20,FALSE)),""))</f>
        <v>8.86</v>
      </c>
      <c r="Q316" s="64">
        <f>(IF((VLOOKUP(Table1[[#This Row],[SKU]],'All Skus'!$A:$AC,2,FALSE))="AKG",(VLOOKUP(Table1[[#This Row],[SKU]],'All Skus'!$A:$AC,21,FALSE)),""))</f>
        <v>9.25</v>
      </c>
      <c r="R316" s="64" t="str">
        <f>(IF((VLOOKUP(Table1[[#This Row],[SKU]],'All Skus'!$A:$AC,2,FALSE))="AKG",(VLOOKUP(Table1[[#This Row],[SKU]],'All Skus'!$A:$AC,22,FALSE)),""))</f>
        <v>CN</v>
      </c>
      <c r="S316" s="64" t="str">
        <f>(IF((VLOOKUP(Table1[[#This Row],[SKU]],'All Skus'!$A:$AC,2,FALSE))="AKG",(VLOOKUP(Table1[[#This Row],[SKU]],'All Skus'!$A:$AC,23,FALSE)),""))</f>
        <v>Non Compliant</v>
      </c>
      <c r="T316" s="210" t="str">
        <f>HYPERLINK((IF((VLOOKUP(Table1[[#This Row],[SKU]],'All Skus'!$A:$AC,2,FALSE))="AKG",(VLOOKUP(Table1[[#This Row],[SKU]],'All Skus'!$A:$AC,24,FALSE)),"")))</f>
        <v>https://www.akg.com/K361.html</v>
      </c>
      <c r="U316" s="151">
        <v>314</v>
      </c>
    </row>
    <row r="317" spans="1:21" ht="15" hidden="1" customHeight="1">
      <c r="A317" s="50" t="s">
        <v>471</v>
      </c>
      <c r="B317" s="52" t="str">
        <f>(IF((VLOOKUP(Table1[[#This Row],[SKU]],'All Skus'!$A:$AC,2,FALSE))="AKG",(VLOOKUP(Table1[[#This Row],[SKU]],'All Skus'!$A:$AC,3,FALSE)), ""))</f>
        <v>Headphones</v>
      </c>
      <c r="C317" s="60" t="str">
        <f>(IF((VLOOKUP(Table1[[#This Row],[SKU]],'All Skus'!$A:$AC,2,FALSE))="AKG",(VLOOKUP(Table1[[#This Row],[SKU]],'All Skus'!$A:$AC,4,FALSE)),""))</f>
        <v>K361-BT</v>
      </c>
      <c r="D317" s="60" t="str">
        <f>(IF((VLOOKUP(Table1[[#This Row],[SKU]],'All Skus'!$A:$AC,2,FALSE))="AKG",(VLOOKUP(Table1[[#This Row],[SKU]],'All Skus'!$A:$AC,5,FALSE)),""))</f>
        <v>AT110020</v>
      </c>
      <c r="E317" s="60">
        <f>(IF((VLOOKUP(Table1[[#This Row],[SKU]],'All Skus'!$A:$AC,2,FALSE))="AKG",(VLOOKUP(Table1[[#This Row],[SKU]],'All Skus'!$A:$AC,6,FALSE)),""))</f>
        <v>0</v>
      </c>
      <c r="F317" s="60">
        <f>(IF((VLOOKUP(Table1[[#This Row],[SKU]],'All Skus'!$A:$AC,2,FALSE))="AKG",(VLOOKUP(Table1[[#This Row],[SKU]],'All Skus'!$A:$AC,7,FALSE)),""))</f>
        <v>0</v>
      </c>
      <c r="G317" s="45" t="str">
        <f>(IF((VLOOKUP(Table1[[#This Row],[SKU]],'All Skus'!$A:$AC,2,FALSE))="AKG",(VLOOKUP(Table1[[#This Row],[SKU]],'All Skus'!$A:$AC,8,FALSE)),""))</f>
        <v>Professional Audio Bluetooth Headphone</v>
      </c>
      <c r="H317" s="45" t="str">
        <f>(IF((VLOOKUP(Table1[[#This Row],[SKU]],'All Skus'!$A:$AC,2,FALSE))="AKG",(VLOOKUP(Table1[[#This Row],[SKU]],'All Skus'!$A:$AC,9,FALSE)),""))</f>
        <v>K361BT Professional Audio Bluetooth Headphone</v>
      </c>
      <c r="I317" s="141">
        <f>(IF((VLOOKUP(Table1[[#This Row],[SKU]],'All Skus'!$A:$AC,2,FALSE))="AKG",(VLOOKUP(Table1[[#This Row],[SKU]],'All Skus'!$A:$AC,10,FALSE)),""))</f>
        <v>193.57</v>
      </c>
      <c r="J317" s="141">
        <f>(IF((VLOOKUP(Table1[[#This Row],[SKU]],'All Skus'!$A:$AC,2,FALSE))="AKG",(VLOOKUP(Table1[[#This Row],[SKU]],'All Skus'!$A:$AC,11,FALSE)),""))</f>
        <v>155</v>
      </c>
      <c r="K317" s="125">
        <f>(IF((VLOOKUP(Table1[[#This Row],[SKU]],'All Skus'!$A:$AC,2,FALSE))="AKG",(VLOOKUP(Table1[[#This Row],[SKU]],'All Skus'!$A:$AC,15,FALSE)),""))</f>
        <v>0</v>
      </c>
      <c r="L317" s="124">
        <f>(IF((VLOOKUP(Table1[[#This Row],[SKU]],'All Skus'!$A:$AC,2,FALSE))="AKG",(VLOOKUP(Table1[[#This Row],[SKU]],'All Skus'!$A:$AC,16,FALSE)),""))</f>
        <v>885038040774</v>
      </c>
      <c r="M317" s="124">
        <f>(IF((VLOOKUP(Table1[[#This Row],[SKU]],'All Skus'!$A:$AC,2,FALSE))="AKG",(VLOOKUP(Table1[[#This Row],[SKU]],'All Skus'!$A:$AC,17,FALSE)),""))</f>
        <v>0</v>
      </c>
      <c r="N317" s="64">
        <f>(IF((VLOOKUP(Table1[[#This Row],[SKU]],'All Skus'!$A:$AC,2,FALSE))="AKG",(VLOOKUP(Table1[[#This Row],[SKU]],'All Skus'!$A:$AC,18,FALSE)),""))</f>
        <v>0</v>
      </c>
      <c r="O317" s="64">
        <f>(IF((VLOOKUP(Table1[[#This Row],[SKU]],'All Skus'!$A:$AC,2,FALSE))="AKG",(VLOOKUP(Table1[[#This Row],[SKU]],'All Skus'!$A:$AC,19,FALSE)),""))</f>
        <v>0</v>
      </c>
      <c r="P317" s="64">
        <f>(IF((VLOOKUP(Table1[[#This Row],[SKU]],'All Skus'!$A:$AC,2,FALSE))="AKG",(VLOOKUP(Table1[[#This Row],[SKU]],'All Skus'!$A:$AC,20,FALSE)),""))</f>
        <v>0</v>
      </c>
      <c r="Q317" s="64">
        <f>(IF((VLOOKUP(Table1[[#This Row],[SKU]],'All Skus'!$A:$AC,2,FALSE))="AKG",(VLOOKUP(Table1[[#This Row],[SKU]],'All Skus'!$A:$AC,21,FALSE)),""))</f>
        <v>0</v>
      </c>
      <c r="R317" s="64" t="str">
        <f>(IF((VLOOKUP(Table1[[#This Row],[SKU]],'All Skus'!$A:$AC,2,FALSE))="AKG",(VLOOKUP(Table1[[#This Row],[SKU]],'All Skus'!$A:$AC,22,FALSE)),""))</f>
        <v>CN</v>
      </c>
      <c r="S317" s="64" t="str">
        <f>(IF((VLOOKUP(Table1[[#This Row],[SKU]],'All Skus'!$A:$AC,2,FALSE))="AKG",(VLOOKUP(Table1[[#This Row],[SKU]],'All Skus'!$A:$AC,23,FALSE)),""))</f>
        <v>Compliant</v>
      </c>
      <c r="T317" s="210" t="str">
        <f>HYPERLINK((IF((VLOOKUP(Table1[[#This Row],[SKU]],'All Skus'!$A:$AC,2,FALSE))="AKG",(VLOOKUP(Table1[[#This Row],[SKU]],'All Skus'!$A:$AC,24,FALSE)),"")))</f>
        <v>https://www.akg.com/K361BT.html</v>
      </c>
      <c r="U317" s="151">
        <v>315</v>
      </c>
    </row>
    <row r="318" spans="1:21" ht="15" hidden="1" customHeight="1">
      <c r="A318" s="50" t="s">
        <v>472</v>
      </c>
      <c r="B318" s="52" t="str">
        <f>(IF((VLOOKUP(Table1[[#This Row],[SKU]],'All Skus'!$A:$AC,2,FALSE))="AKG",(VLOOKUP(Table1[[#This Row],[SKU]],'All Skus'!$A:$AC,3,FALSE)), ""))</f>
        <v>Headphones</v>
      </c>
      <c r="C318" s="60" t="str">
        <f>(IF((VLOOKUP(Table1[[#This Row],[SKU]],'All Skus'!$A:$AC,2,FALSE))="AKG",(VLOOKUP(Table1[[#This Row],[SKU]],'All Skus'!$A:$AC,4,FALSE)),""))</f>
        <v>K371</v>
      </c>
      <c r="D318" s="60" t="str">
        <f>(IF((VLOOKUP(Table1[[#This Row],[SKU]],'All Skus'!$A:$AC,2,FALSE))="AKG",(VLOOKUP(Table1[[#This Row],[SKU]],'All Skus'!$A:$AC,5,FALSE)),""))</f>
        <v>AT110020</v>
      </c>
      <c r="E318" s="60">
        <f>(IF((VLOOKUP(Table1[[#This Row],[SKU]],'All Skus'!$A:$AC,2,FALSE))="AKG",(VLOOKUP(Table1[[#This Row],[SKU]],'All Skus'!$A:$AC,6,FALSE)),""))</f>
        <v>0</v>
      </c>
      <c r="F318" s="60">
        <f>(IF((VLOOKUP(Table1[[#This Row],[SKU]],'All Skus'!$A:$AC,2,FALSE))="AKG",(VLOOKUP(Table1[[#This Row],[SKU]],'All Skus'!$A:$AC,7,FALSE)),""))</f>
        <v>0</v>
      </c>
      <c r="G318" s="45" t="str">
        <f>(IF((VLOOKUP(Table1[[#This Row],[SKU]],'All Skus'!$A:$AC,2,FALSE))="AKG",(VLOOKUP(Table1[[#This Row],[SKU]],'All Skus'!$A:$AC,8,FALSE)),""))</f>
        <v>PROFESSIONAL AUDIO HEADPHONE K371</v>
      </c>
      <c r="H318" s="45" t="str">
        <f>(IF((VLOOKUP(Table1[[#This Row],[SKU]],'All Skus'!$A:$AC,2,FALSE))="AKG",(VLOOKUP(Table1[[#This Row],[SKU]],'All Skus'!$A:$AC,9,FALSE)),""))</f>
        <v>PROFESSIONAL AUDIO HEADPHONE K371</v>
      </c>
      <c r="I318" s="141">
        <f>(IF((VLOOKUP(Table1[[#This Row],[SKU]],'All Skus'!$A:$AC,2,FALSE))="AKG",(VLOOKUP(Table1[[#This Row],[SKU]],'All Skus'!$A:$AC,10,FALSE)),""))</f>
        <v>223.59</v>
      </c>
      <c r="J318" s="141">
        <f>(IF((VLOOKUP(Table1[[#This Row],[SKU]],'All Skus'!$A:$AC,2,FALSE))="AKG",(VLOOKUP(Table1[[#This Row],[SKU]],'All Skus'!$A:$AC,11,FALSE)),""))</f>
        <v>185</v>
      </c>
      <c r="K318" s="125">
        <f>(IF((VLOOKUP(Table1[[#This Row],[SKU]],'All Skus'!$A:$AC,2,FALSE))="AKG",(VLOOKUP(Table1[[#This Row],[SKU]],'All Skus'!$A:$AC,15,FALSE)),""))</f>
        <v>0</v>
      </c>
      <c r="L318" s="124">
        <f>(IF((VLOOKUP(Table1[[#This Row],[SKU]],'All Skus'!$A:$AC,2,FALSE))="AKG",(VLOOKUP(Table1[[#This Row],[SKU]],'All Skus'!$A:$AC,16,FALSE)),""))</f>
        <v>885038040712</v>
      </c>
      <c r="M318" s="124">
        <f>(IF((VLOOKUP(Table1[[#This Row],[SKU]],'All Skus'!$A:$AC,2,FALSE))="AKG",(VLOOKUP(Table1[[#This Row],[SKU]],'All Skus'!$A:$AC,17,FALSE)),""))</f>
        <v>9002761040715</v>
      </c>
      <c r="N318" s="64">
        <f>(IF((VLOOKUP(Table1[[#This Row],[SKU]],'All Skus'!$A:$AC,2,FALSE))="AKG",(VLOOKUP(Table1[[#This Row],[SKU]],'All Skus'!$A:$AC,18,FALSE)),""))</f>
        <v>1.69</v>
      </c>
      <c r="O318" s="64">
        <f>(IF((VLOOKUP(Table1[[#This Row],[SKU]],'All Skus'!$A:$AC,2,FALSE))="AKG",(VLOOKUP(Table1[[#This Row],[SKU]],'All Skus'!$A:$AC,19,FALSE)),""))</f>
        <v>4.33</v>
      </c>
      <c r="P318" s="64">
        <f>(IF((VLOOKUP(Table1[[#This Row],[SKU]],'All Skus'!$A:$AC,2,FALSE))="AKG",(VLOOKUP(Table1[[#This Row],[SKU]],'All Skus'!$A:$AC,20,FALSE)),""))</f>
        <v>8.86</v>
      </c>
      <c r="Q318" s="64">
        <f>(IF((VLOOKUP(Table1[[#This Row],[SKU]],'All Skus'!$A:$AC,2,FALSE))="AKG",(VLOOKUP(Table1[[#This Row],[SKU]],'All Skus'!$A:$AC,21,FALSE)),""))</f>
        <v>9.25</v>
      </c>
      <c r="R318" s="64" t="str">
        <f>(IF((VLOOKUP(Table1[[#This Row],[SKU]],'All Skus'!$A:$AC,2,FALSE))="AKG",(VLOOKUP(Table1[[#This Row],[SKU]],'All Skus'!$A:$AC,22,FALSE)),""))</f>
        <v>CN</v>
      </c>
      <c r="S318" s="64" t="str">
        <f>(IF((VLOOKUP(Table1[[#This Row],[SKU]],'All Skus'!$A:$AC,2,FALSE))="AKG",(VLOOKUP(Table1[[#This Row],[SKU]],'All Skus'!$A:$AC,23,FALSE)),""))</f>
        <v>Non Compliant</v>
      </c>
      <c r="T318" s="210" t="str">
        <f>HYPERLINK((IF((VLOOKUP(Table1[[#This Row],[SKU]],'All Skus'!$A:$AC,2,FALSE))="AKG",(VLOOKUP(Table1[[#This Row],[SKU]],'All Skus'!$A:$AC,24,FALSE)),"")))</f>
        <v>https://www.akg.com/K371.html</v>
      </c>
      <c r="U318" s="151">
        <v>316</v>
      </c>
    </row>
    <row r="319" spans="1:21" ht="15" hidden="1" customHeight="1">
      <c r="A319" s="50" t="s">
        <v>473</v>
      </c>
      <c r="B319" s="52" t="str">
        <f>(IF((VLOOKUP(Table1[[#This Row],[SKU]],'All Skus'!$A:$AC,2,FALSE))="AKG",(VLOOKUP(Table1[[#This Row],[SKU]],'All Skus'!$A:$AC,3,FALSE)), ""))</f>
        <v>Headphones</v>
      </c>
      <c r="C319" s="60" t="str">
        <f>(IF((VLOOKUP(Table1[[#This Row],[SKU]],'All Skus'!$A:$AC,2,FALSE))="AKG",(VLOOKUP(Table1[[#This Row],[SKU]],'All Skus'!$A:$AC,4,FALSE)),""))</f>
        <v>K371BT</v>
      </c>
      <c r="D319" s="60" t="str">
        <f>(IF((VLOOKUP(Table1[[#This Row],[SKU]],'All Skus'!$A:$AC,2,FALSE))="AKG",(VLOOKUP(Table1[[#This Row],[SKU]],'All Skus'!$A:$AC,5,FALSE)),""))</f>
        <v>AT110020</v>
      </c>
      <c r="E319" s="60">
        <f>(IF((VLOOKUP(Table1[[#This Row],[SKU]],'All Skus'!$A:$AC,2,FALSE))="AKG",(VLOOKUP(Table1[[#This Row],[SKU]],'All Skus'!$A:$AC,6,FALSE)),""))</f>
        <v>0</v>
      </c>
      <c r="F319" s="60">
        <f>(IF((VLOOKUP(Table1[[#This Row],[SKU]],'All Skus'!$A:$AC,2,FALSE))="AKG",(VLOOKUP(Table1[[#This Row],[SKU]],'All Skus'!$A:$AC,7,FALSE)),""))</f>
        <v>0</v>
      </c>
      <c r="G319" s="45" t="str">
        <f>(IF((VLOOKUP(Table1[[#This Row],[SKU]],'All Skus'!$A:$AC,2,FALSE))="AKG",(VLOOKUP(Table1[[#This Row],[SKU]],'All Skus'!$A:$AC,8,FALSE)),""))</f>
        <v>Professional Audio Bluetooth Headphone (US Pricing)</v>
      </c>
      <c r="H319" s="45" t="str">
        <f>(IF((VLOOKUP(Table1[[#This Row],[SKU]],'All Skus'!$A:$AC,2,FALSE))="AKG",(VLOOKUP(Table1[[#This Row],[SKU]],'All Skus'!$A:$AC,9,FALSE)),""))</f>
        <v>K371BT Professional Audio Bluetooth Headphone</v>
      </c>
      <c r="I319" s="141">
        <f>(IF((VLOOKUP(Table1[[#This Row],[SKU]],'All Skus'!$A:$AC,2,FALSE))="AKG",(VLOOKUP(Table1[[#This Row],[SKU]],'All Skus'!$A:$AC,10,FALSE)),""))</f>
        <v>268.60000000000002</v>
      </c>
      <c r="J319" s="141">
        <f>(IF((VLOOKUP(Table1[[#This Row],[SKU]],'All Skus'!$A:$AC,2,FALSE))="AKG",(VLOOKUP(Table1[[#This Row],[SKU]],'All Skus'!$A:$AC,11,FALSE)),""))</f>
        <v>216</v>
      </c>
      <c r="K319" s="125">
        <f>(IF((VLOOKUP(Table1[[#This Row],[SKU]],'All Skus'!$A:$AC,2,FALSE))="AKG",(VLOOKUP(Table1[[#This Row],[SKU]],'All Skus'!$A:$AC,15,FALSE)),""))</f>
        <v>0</v>
      </c>
      <c r="L319" s="124">
        <f>(IF((VLOOKUP(Table1[[#This Row],[SKU]],'All Skus'!$A:$AC,2,FALSE))="AKG",(VLOOKUP(Table1[[#This Row],[SKU]],'All Skus'!$A:$AC,16,FALSE)),""))</f>
        <v>885038040781</v>
      </c>
      <c r="M319" s="124">
        <f>(IF((VLOOKUP(Table1[[#This Row],[SKU]],'All Skus'!$A:$AC,2,FALSE))="AKG",(VLOOKUP(Table1[[#This Row],[SKU]],'All Skus'!$A:$AC,17,FALSE)),""))</f>
        <v>0</v>
      </c>
      <c r="N319" s="64">
        <f>(IF((VLOOKUP(Table1[[#This Row],[SKU]],'All Skus'!$A:$AC,2,FALSE))="AKG",(VLOOKUP(Table1[[#This Row],[SKU]],'All Skus'!$A:$AC,18,FALSE)),""))</f>
        <v>0</v>
      </c>
      <c r="O319" s="64">
        <f>(IF((VLOOKUP(Table1[[#This Row],[SKU]],'All Skus'!$A:$AC,2,FALSE))="AKG",(VLOOKUP(Table1[[#This Row],[SKU]],'All Skus'!$A:$AC,19,FALSE)),""))</f>
        <v>0</v>
      </c>
      <c r="P319" s="64">
        <f>(IF((VLOOKUP(Table1[[#This Row],[SKU]],'All Skus'!$A:$AC,2,FALSE))="AKG",(VLOOKUP(Table1[[#This Row],[SKU]],'All Skus'!$A:$AC,20,FALSE)),""))</f>
        <v>0</v>
      </c>
      <c r="Q319" s="64">
        <f>(IF((VLOOKUP(Table1[[#This Row],[SKU]],'All Skus'!$A:$AC,2,FALSE))="AKG",(VLOOKUP(Table1[[#This Row],[SKU]],'All Skus'!$A:$AC,21,FALSE)),""))</f>
        <v>0</v>
      </c>
      <c r="R319" s="64" t="str">
        <f>(IF((VLOOKUP(Table1[[#This Row],[SKU]],'All Skus'!$A:$AC,2,FALSE))="AKG",(VLOOKUP(Table1[[#This Row],[SKU]],'All Skus'!$A:$AC,22,FALSE)),""))</f>
        <v>CN</v>
      </c>
      <c r="S319" s="64" t="str">
        <f>(IF((VLOOKUP(Table1[[#This Row],[SKU]],'All Skus'!$A:$AC,2,FALSE))="AKG",(VLOOKUP(Table1[[#This Row],[SKU]],'All Skus'!$A:$AC,23,FALSE)),""))</f>
        <v>Compliant</v>
      </c>
      <c r="T319" s="210" t="str">
        <f>HYPERLINK((IF((VLOOKUP(Table1[[#This Row],[SKU]],'All Skus'!$A:$AC,2,FALSE))="AKG",(VLOOKUP(Table1[[#This Row],[SKU]],'All Skus'!$A:$AC,24,FALSE)),"")))</f>
        <v>https://www.akg.com/K371BT.html</v>
      </c>
      <c r="U319" s="151">
        <v>317</v>
      </c>
    </row>
    <row r="320" spans="1:21" ht="15" hidden="1" customHeight="1">
      <c r="A320" s="50" t="s">
        <v>474</v>
      </c>
      <c r="B320" s="52" t="str">
        <f>(IF((VLOOKUP(Table1[[#This Row],[SKU]],'All Skus'!$A:$AC,2,FALSE))="AKG",(VLOOKUP(Table1[[#This Row],[SKU]],'All Skus'!$A:$AC,3,FALSE)), ""))</f>
        <v>Headphones</v>
      </c>
      <c r="C320" s="60" t="str">
        <f>(IF((VLOOKUP(Table1[[#This Row],[SKU]],'All Skus'!$A:$AC,2,FALSE))="AKG",(VLOOKUP(Table1[[#This Row],[SKU]],'All Skus'!$A:$AC,4,FALSE)),""))</f>
        <v>K553 MKII</v>
      </c>
      <c r="D320" s="60" t="str">
        <f>(IF((VLOOKUP(Table1[[#This Row],[SKU]],'All Skus'!$A:$AC,2,FALSE))="AKG",(VLOOKUP(Table1[[#This Row],[SKU]],'All Skus'!$A:$AC,5,FALSE)),""))</f>
        <v>AT110020</v>
      </c>
      <c r="E320" s="60">
        <f>(IF((VLOOKUP(Table1[[#This Row],[SKU]],'All Skus'!$A:$AC,2,FALSE))="AKG",(VLOOKUP(Table1[[#This Row],[SKU]],'All Skus'!$A:$AC,6,FALSE)),""))</f>
        <v>0</v>
      </c>
      <c r="F320" s="60">
        <f>(IF((VLOOKUP(Table1[[#This Row],[SKU]],'All Skus'!$A:$AC,2,FALSE))="AKG",(VLOOKUP(Table1[[#This Row],[SKU]],'All Skus'!$A:$AC,7,FALSE)),""))</f>
        <v>0</v>
      </c>
      <c r="G320" s="45" t="str">
        <f>(IF((VLOOKUP(Table1[[#This Row],[SKU]],'All Skus'!$A:$AC,2,FALSE))="AKG",(VLOOKUP(Table1[[#This Row],[SKU]],'All Skus'!$A:$AC,8,FALSE)),""))</f>
        <v>Studio Headphone</v>
      </c>
      <c r="H320" s="45" t="str">
        <f>(IF((VLOOKUP(Table1[[#This Row],[SKU]],'All Skus'!$A:$AC,2,FALSE))="AKG",(VLOOKUP(Table1[[#This Row],[SKU]],'All Skus'!$A:$AC,9,FALSE)),""))</f>
        <v>Closed back studio headphones</v>
      </c>
      <c r="I320" s="141">
        <f>(IF((VLOOKUP(Table1[[#This Row],[SKU]],'All Skus'!$A:$AC,2,FALSE))="AKG",(VLOOKUP(Table1[[#This Row],[SKU]],'All Skus'!$A:$AC,10,FALSE)),""))</f>
        <v>298.62</v>
      </c>
      <c r="J320" s="141">
        <f>(IF((VLOOKUP(Table1[[#This Row],[SKU]],'All Skus'!$A:$AC,2,FALSE))="AKG",(VLOOKUP(Table1[[#This Row],[SKU]],'All Skus'!$A:$AC,11,FALSE)),""))</f>
        <v>239</v>
      </c>
      <c r="K320" s="125">
        <f>(IF((VLOOKUP(Table1[[#This Row],[SKU]],'All Skus'!$A:$AC,2,FALSE))="AKG",(VLOOKUP(Table1[[#This Row],[SKU]],'All Skus'!$A:$AC,15,FALSE)),""))</f>
        <v>0</v>
      </c>
      <c r="L320" s="124">
        <f>(IF((VLOOKUP(Table1[[#This Row],[SKU]],'All Skus'!$A:$AC,2,FALSE))="AKG",(VLOOKUP(Table1[[#This Row],[SKU]],'All Skus'!$A:$AC,16,FALSE)),""))</f>
        <v>885038038085</v>
      </c>
      <c r="M320" s="124">
        <f>(IF((VLOOKUP(Table1[[#This Row],[SKU]],'All Skus'!$A:$AC,2,FALSE))="AKG",(VLOOKUP(Table1[[#This Row],[SKU]],'All Skus'!$A:$AC,17,FALSE)),""))</f>
        <v>9002761038088</v>
      </c>
      <c r="N320" s="64">
        <f>(IF((VLOOKUP(Table1[[#This Row],[SKU]],'All Skus'!$A:$AC,2,FALSE))="AKG",(VLOOKUP(Table1[[#This Row],[SKU]],'All Skus'!$A:$AC,18,FALSE)),""))</f>
        <v>9</v>
      </c>
      <c r="O320" s="64">
        <f>(IF((VLOOKUP(Table1[[#This Row],[SKU]],'All Skus'!$A:$AC,2,FALSE))="AKG",(VLOOKUP(Table1[[#This Row],[SKU]],'All Skus'!$A:$AC,19,FALSE)),""))</f>
        <v>9</v>
      </c>
      <c r="P320" s="64">
        <f>(IF((VLOOKUP(Table1[[#This Row],[SKU]],'All Skus'!$A:$AC,2,FALSE))="AKG",(VLOOKUP(Table1[[#This Row],[SKU]],'All Skus'!$A:$AC,20,FALSE)),""))</f>
        <v>4</v>
      </c>
      <c r="Q320" s="64">
        <f>(IF((VLOOKUP(Table1[[#This Row],[SKU]],'All Skus'!$A:$AC,2,FALSE))="AKG",(VLOOKUP(Table1[[#This Row],[SKU]],'All Skus'!$A:$AC,21,FALSE)),""))</f>
        <v>1.2</v>
      </c>
      <c r="R320" s="64" t="str">
        <f>(IF((VLOOKUP(Table1[[#This Row],[SKU]],'All Skus'!$A:$AC,2,FALSE))="AKG",(VLOOKUP(Table1[[#This Row],[SKU]],'All Skus'!$A:$AC,22,FALSE)),""))</f>
        <v>CN</v>
      </c>
      <c r="S320" s="64" t="str">
        <f>(IF((VLOOKUP(Table1[[#This Row],[SKU]],'All Skus'!$A:$AC,2,FALSE))="AKG",(VLOOKUP(Table1[[#This Row],[SKU]],'All Skus'!$A:$AC,23,FALSE)),""))</f>
        <v>Non Compliant</v>
      </c>
      <c r="T320" s="210" t="str">
        <f>HYPERLINK((IF((VLOOKUP(Table1[[#This Row],[SKU]],'All Skus'!$A:$AC,2,FALSE))="AKG",(VLOOKUP(Table1[[#This Row],[SKU]],'All Skus'!$A:$AC,24,FALSE)),"")))</f>
        <v>https://www.akg.com/3280H00130.html</v>
      </c>
      <c r="U320" s="151">
        <v>318</v>
      </c>
    </row>
    <row r="321" spans="1:21" ht="15" hidden="1" customHeight="1">
      <c r="A321" s="50" t="s">
        <v>475</v>
      </c>
      <c r="B321" s="52" t="str">
        <f>(IF((VLOOKUP(Table1[[#This Row],[SKU]],'All Skus'!$A:$AC,2,FALSE))="AKG",(VLOOKUP(Table1[[#This Row],[SKU]],'All Skus'!$A:$AC,3,FALSE)), ""))</f>
        <v>Headphones</v>
      </c>
      <c r="C321" s="60" t="str">
        <f>(IF((VLOOKUP(Table1[[#This Row],[SKU]],'All Skus'!$A:$AC,2,FALSE))="AKG",(VLOOKUP(Table1[[#This Row],[SKU]],'All Skus'!$A:$AC,4,FALSE)),""))</f>
        <v>K612 PRO</v>
      </c>
      <c r="D321" s="60" t="str">
        <f>(IF((VLOOKUP(Table1[[#This Row],[SKU]],'All Skus'!$A:$AC,2,FALSE))="AKG",(VLOOKUP(Table1[[#This Row],[SKU]],'All Skus'!$A:$AC,5,FALSE)),""))</f>
        <v>AT110020</v>
      </c>
      <c r="E321" s="60">
        <f>(IF((VLOOKUP(Table1[[#This Row],[SKU]],'All Skus'!$A:$AC,2,FALSE))="AKG",(VLOOKUP(Table1[[#This Row],[SKU]],'All Skus'!$A:$AC,6,FALSE)),""))</f>
        <v>0</v>
      </c>
      <c r="F321" s="60">
        <f>(IF((VLOOKUP(Table1[[#This Row],[SKU]],'All Skus'!$A:$AC,2,FALSE))="AKG",(VLOOKUP(Table1[[#This Row],[SKU]],'All Skus'!$A:$AC,7,FALSE)),""))</f>
        <v>0</v>
      </c>
      <c r="G321" s="45" t="str">
        <f>(IF((VLOOKUP(Table1[[#This Row],[SKU]],'All Skus'!$A:$AC,2,FALSE))="AKG",(VLOOKUP(Table1[[#This Row],[SKU]],'All Skus'!$A:$AC,8,FALSE)),""))</f>
        <v>Professional Headphone</v>
      </c>
      <c r="H321" s="45" t="str">
        <f>(IF((VLOOKUP(Table1[[#This Row],[SKU]],'All Skus'!$A:$AC,2,FALSE))="AKG",(VLOOKUP(Table1[[#This Row],[SKU]],'All Skus'!$A:$AC,9,FALSE)),""))</f>
        <v>High Performance Headphones, patented Varimotion technology</v>
      </c>
      <c r="I321" s="141">
        <f>(IF((VLOOKUP(Table1[[#This Row],[SKU]],'All Skus'!$A:$AC,2,FALSE))="AKG",(VLOOKUP(Table1[[#This Row],[SKU]],'All Skus'!$A:$AC,10,FALSE)),""))</f>
        <v>298.92</v>
      </c>
      <c r="J321" s="141">
        <f>(IF((VLOOKUP(Table1[[#This Row],[SKU]],'All Skus'!$A:$AC,2,FALSE))="AKG",(VLOOKUP(Table1[[#This Row],[SKU]],'All Skus'!$A:$AC,11,FALSE)),""))</f>
        <v>239</v>
      </c>
      <c r="K321" s="125">
        <f>(IF((VLOOKUP(Table1[[#This Row],[SKU]],'All Skus'!$A:$AC,2,FALSE))="AKG",(VLOOKUP(Table1[[#This Row],[SKU]],'All Skus'!$A:$AC,15,FALSE)),""))</f>
        <v>0</v>
      </c>
      <c r="L321" s="124">
        <f>(IF((VLOOKUP(Table1[[#This Row],[SKU]],'All Skus'!$A:$AC,2,FALSE))="AKG",(VLOOKUP(Table1[[#This Row],[SKU]],'All Skus'!$A:$AC,16,FALSE)),""))</f>
        <v>885038035695</v>
      </c>
      <c r="M321" s="124">
        <f>(IF((VLOOKUP(Table1[[#This Row],[SKU]],'All Skus'!$A:$AC,2,FALSE))="AKG",(VLOOKUP(Table1[[#This Row],[SKU]],'All Skus'!$A:$AC,17,FALSE)),""))</f>
        <v>9002761035698</v>
      </c>
      <c r="N321" s="64">
        <f>(IF((VLOOKUP(Table1[[#This Row],[SKU]],'All Skus'!$A:$AC,2,FALSE))="AKG",(VLOOKUP(Table1[[#This Row],[SKU]],'All Skus'!$A:$AC,18,FALSE)),""))</f>
        <v>13</v>
      </c>
      <c r="O321" s="64">
        <f>(IF((VLOOKUP(Table1[[#This Row],[SKU]],'All Skus'!$A:$AC,2,FALSE))="AKG",(VLOOKUP(Table1[[#This Row],[SKU]],'All Skus'!$A:$AC,19,FALSE)),""))</f>
        <v>19</v>
      </c>
      <c r="P321" s="64">
        <f>(IF((VLOOKUP(Table1[[#This Row],[SKU]],'All Skus'!$A:$AC,2,FALSE))="AKG",(VLOOKUP(Table1[[#This Row],[SKU]],'All Skus'!$A:$AC,20,FALSE)),""))</f>
        <v>17</v>
      </c>
      <c r="Q321" s="64">
        <f>(IF((VLOOKUP(Table1[[#This Row],[SKU]],'All Skus'!$A:$AC,2,FALSE))="AKG",(VLOOKUP(Table1[[#This Row],[SKU]],'All Skus'!$A:$AC,21,FALSE)),""))</f>
        <v>4.5999999999999996</v>
      </c>
      <c r="R321" s="64" t="str">
        <f>(IF((VLOOKUP(Table1[[#This Row],[SKU]],'All Skus'!$A:$AC,2,FALSE))="AKG",(VLOOKUP(Table1[[#This Row],[SKU]],'All Skus'!$A:$AC,22,FALSE)),""))</f>
        <v>CN</v>
      </c>
      <c r="S321" s="64" t="str">
        <f>(IF((VLOOKUP(Table1[[#This Row],[SKU]],'All Skus'!$A:$AC,2,FALSE))="AKG",(VLOOKUP(Table1[[#This Row],[SKU]],'All Skus'!$A:$AC,23,FALSE)),""))</f>
        <v>Non Compliant</v>
      </c>
      <c r="T321" s="210" t="str">
        <f>HYPERLINK((IF((VLOOKUP(Table1[[#This Row],[SKU]],'All Skus'!$A:$AC,2,FALSE))="AKG",(VLOOKUP(Table1[[#This Row],[SKU]],'All Skus'!$A:$AC,24,FALSE)),"")))</f>
        <v>https://www.akg.com/2458X00100.html</v>
      </c>
      <c r="U321" s="151">
        <v>319</v>
      </c>
    </row>
    <row r="322" spans="1:21" ht="15" hidden="1" customHeight="1">
      <c r="A322" s="50" t="s">
        <v>476</v>
      </c>
      <c r="B322" s="52" t="str">
        <f>(IF((VLOOKUP(Table1[[#This Row],[SKU]],'All Skus'!$A:$AC,2,FALSE))="AKG",(VLOOKUP(Table1[[#This Row],[SKU]],'All Skus'!$A:$AC,3,FALSE)), ""))</f>
        <v>Headphones</v>
      </c>
      <c r="C322" s="60" t="str">
        <f>(IF((VLOOKUP(Table1[[#This Row],[SKU]],'All Skus'!$A:$AC,2,FALSE))="AKG",(VLOOKUP(Table1[[#This Row],[SKU]],'All Skus'!$A:$AC,4,FALSE)),""))</f>
        <v>K701</v>
      </c>
      <c r="D322" s="60" t="str">
        <f>(IF((VLOOKUP(Table1[[#This Row],[SKU]],'All Skus'!$A:$AC,2,FALSE))="AKG",(VLOOKUP(Table1[[#This Row],[SKU]],'All Skus'!$A:$AC,5,FALSE)),""))</f>
        <v>AT110020</v>
      </c>
      <c r="E322" s="60">
        <f>(IF((VLOOKUP(Table1[[#This Row],[SKU]],'All Skus'!$A:$AC,2,FALSE))="AKG",(VLOOKUP(Table1[[#This Row],[SKU]],'All Skus'!$A:$AC,6,FALSE)),""))</f>
        <v>0</v>
      </c>
      <c r="F322" s="60">
        <f>(IF((VLOOKUP(Table1[[#This Row],[SKU]],'All Skus'!$A:$AC,2,FALSE))="AKG",(VLOOKUP(Table1[[#This Row],[SKU]],'All Skus'!$A:$AC,7,FALSE)),""))</f>
        <v>0</v>
      </c>
      <c r="G322" s="45" t="str">
        <f>(IF((VLOOKUP(Table1[[#This Row],[SKU]],'All Skus'!$A:$AC,2,FALSE))="AKG",(VLOOKUP(Table1[[#This Row],[SKU]],'All Skus'!$A:$AC,8,FALSE)),""))</f>
        <v>Professional Headphone</v>
      </c>
      <c r="H322" s="45" t="str">
        <f>(IF((VLOOKUP(Table1[[#This Row],[SKU]],'All Skus'!$A:$AC,2,FALSE))="AKG",(VLOOKUP(Table1[[#This Row],[SKU]],'All Skus'!$A:$AC,9,FALSE)),""))</f>
        <v>Re-Launch</v>
      </c>
      <c r="I322" s="141">
        <f>(IF((VLOOKUP(Table1[[#This Row],[SKU]],'All Skus'!$A:$AC,2,FALSE))="AKG",(VLOOKUP(Table1[[#This Row],[SKU]],'All Skus'!$A:$AC,10,FALSE)),""))</f>
        <v>671.06</v>
      </c>
      <c r="J322" s="141">
        <f>(IF((VLOOKUP(Table1[[#This Row],[SKU]],'All Skus'!$A:$AC,2,FALSE))="AKG",(VLOOKUP(Table1[[#This Row],[SKU]],'All Skus'!$A:$AC,11,FALSE)),""))</f>
        <v>545</v>
      </c>
      <c r="K322" s="125">
        <f>(IF((VLOOKUP(Table1[[#This Row],[SKU]],'All Skus'!$A:$AC,2,FALSE))="AKG",(VLOOKUP(Table1[[#This Row],[SKU]],'All Skus'!$A:$AC,15,FALSE)),""))</f>
        <v>0.5747763864042934</v>
      </c>
      <c r="L322" s="124">
        <f>(IF((VLOOKUP(Table1[[#This Row],[SKU]],'All Skus'!$A:$AC,2,FALSE))="AKG",(VLOOKUP(Table1[[#This Row],[SKU]],'All Skus'!$A:$AC,16,FALSE)),""))</f>
        <v>885038018803</v>
      </c>
      <c r="M322" s="124">
        <f>(IF((VLOOKUP(Table1[[#This Row],[SKU]],'All Skus'!$A:$AC,2,FALSE))="AKG",(VLOOKUP(Table1[[#This Row],[SKU]],'All Skus'!$A:$AC,17,FALSE)),""))</f>
        <v>9002761018806</v>
      </c>
      <c r="N322" s="64">
        <f>(IF((VLOOKUP(Table1[[#This Row],[SKU]],'All Skus'!$A:$AC,2,FALSE))="AKG",(VLOOKUP(Table1[[#This Row],[SKU]],'All Skus'!$A:$AC,18,FALSE)),""))</f>
        <v>13</v>
      </c>
      <c r="O322" s="64">
        <f>(IF((VLOOKUP(Table1[[#This Row],[SKU]],'All Skus'!$A:$AC,2,FALSE))="AKG",(VLOOKUP(Table1[[#This Row],[SKU]],'All Skus'!$A:$AC,19,FALSE)),""))</f>
        <v>20</v>
      </c>
      <c r="P322" s="64">
        <f>(IF((VLOOKUP(Table1[[#This Row],[SKU]],'All Skus'!$A:$AC,2,FALSE))="AKG",(VLOOKUP(Table1[[#This Row],[SKU]],'All Skus'!$A:$AC,20,FALSE)),""))</f>
        <v>20</v>
      </c>
      <c r="Q322" s="64">
        <f>(IF((VLOOKUP(Table1[[#This Row],[SKU]],'All Skus'!$A:$AC,2,FALSE))="AKG",(VLOOKUP(Table1[[#This Row],[SKU]],'All Skus'!$A:$AC,21,FALSE)),""))</f>
        <v>5.2</v>
      </c>
      <c r="R322" s="64" t="str">
        <f>(IF((VLOOKUP(Table1[[#This Row],[SKU]],'All Skus'!$A:$AC,2,FALSE))="AKG",(VLOOKUP(Table1[[#This Row],[SKU]],'All Skus'!$A:$AC,22,FALSE)),""))</f>
        <v>CN</v>
      </c>
      <c r="S322" s="64" t="str">
        <f>(IF((VLOOKUP(Table1[[#This Row],[SKU]],'All Skus'!$A:$AC,2,FALSE))="AKG",(VLOOKUP(Table1[[#This Row],[SKU]],'All Skus'!$A:$AC,23,FALSE)),""))</f>
        <v>Non Compliant</v>
      </c>
      <c r="T322" s="210" t="str">
        <f>HYPERLINK((IF((VLOOKUP(Table1[[#This Row],[SKU]],'All Skus'!$A:$AC,2,FALSE))="AKG",(VLOOKUP(Table1[[#This Row],[SKU]],'All Skus'!$A:$AC,24,FALSE)),"")))</f>
        <v>https://www.akg.com/2458X00180.html</v>
      </c>
      <c r="U322" s="151">
        <v>320</v>
      </c>
    </row>
    <row r="323" spans="1:21" ht="15" hidden="1" customHeight="1">
      <c r="A323" s="50" t="s">
        <v>477</v>
      </c>
      <c r="B323" s="52" t="str">
        <f>(IF((VLOOKUP(Table1[[#This Row],[SKU]],'All Skus'!$A:$AC,2,FALSE))="AKG",(VLOOKUP(Table1[[#This Row],[SKU]],'All Skus'!$A:$AC,3,FALSE)), ""))</f>
        <v>Headphones</v>
      </c>
      <c r="C323" s="60" t="str">
        <f>(IF((VLOOKUP(Table1[[#This Row],[SKU]],'All Skus'!$A:$AC,2,FALSE))="AKG",(VLOOKUP(Table1[[#This Row],[SKU]],'All Skus'!$A:$AC,4,FALSE)),""))</f>
        <v>K702</v>
      </c>
      <c r="D323" s="60" t="str">
        <f>(IF((VLOOKUP(Table1[[#This Row],[SKU]],'All Skus'!$A:$AC,2,FALSE))="AKG",(VLOOKUP(Table1[[#This Row],[SKU]],'All Skus'!$A:$AC,5,FALSE)),""))</f>
        <v>AT110020</v>
      </c>
      <c r="E323" s="60">
        <f>(IF((VLOOKUP(Table1[[#This Row],[SKU]],'All Skus'!$A:$AC,2,FALSE))="AKG",(VLOOKUP(Table1[[#This Row],[SKU]],'All Skus'!$A:$AC,6,FALSE)),""))</f>
        <v>0</v>
      </c>
      <c r="F323" s="60">
        <f>(IF((VLOOKUP(Table1[[#This Row],[SKU]],'All Skus'!$A:$AC,2,FALSE))="AKG",(VLOOKUP(Table1[[#This Row],[SKU]],'All Skus'!$A:$AC,7,FALSE)),""))</f>
        <v>0</v>
      </c>
      <c r="G323" s="45" t="str">
        <f>(IF((VLOOKUP(Table1[[#This Row],[SKU]],'All Skus'!$A:$AC,2,FALSE))="AKG",(VLOOKUP(Table1[[#This Row],[SKU]],'All Skus'!$A:$AC,8,FALSE)),""))</f>
        <v>Professional Headphone</v>
      </c>
      <c r="H323" s="45" t="str">
        <f>(IF((VLOOKUP(Table1[[#This Row],[SKU]],'All Skus'!$A:$AC,2,FALSE))="AKG",(VLOOKUP(Table1[[#This Row],[SKU]],'All Skus'!$A:$AC,9,FALSE)),""))</f>
        <v>Patented VarimotionTM-two-layer diaphragm, flat wire voice coil, "3-D form ear pads for perfect fit, individually tested and numbered</v>
      </c>
      <c r="I323" s="141">
        <f>(IF((VLOOKUP(Table1[[#This Row],[SKU]],'All Skus'!$A:$AC,2,FALSE))="AKG",(VLOOKUP(Table1[[#This Row],[SKU]],'All Skus'!$A:$AC,10,FALSE)),""))</f>
        <v>527</v>
      </c>
      <c r="J323" s="141">
        <f>(IF((VLOOKUP(Table1[[#This Row],[SKU]],'All Skus'!$A:$AC,2,FALSE))="AKG",(VLOOKUP(Table1[[#This Row],[SKU]],'All Skus'!$A:$AC,11,FALSE)),""))</f>
        <v>425</v>
      </c>
      <c r="K323" s="125">
        <f>(IF((VLOOKUP(Table1[[#This Row],[SKU]],'All Skus'!$A:$AC,2,FALSE))="AKG",(VLOOKUP(Table1[[#This Row],[SKU]],'All Skus'!$A:$AC,15,FALSE)),""))</f>
        <v>6</v>
      </c>
      <c r="L323" s="124">
        <f>(IF((VLOOKUP(Table1[[#This Row],[SKU]],'All Skus'!$A:$AC,2,FALSE))="AKG",(VLOOKUP(Table1[[#This Row],[SKU]],'All Skus'!$A:$AC,16,FALSE)),""))</f>
        <v>885038021216</v>
      </c>
      <c r="M323" s="124">
        <f>(IF((VLOOKUP(Table1[[#This Row],[SKU]],'All Skus'!$A:$AC,2,FALSE))="AKG",(VLOOKUP(Table1[[#This Row],[SKU]],'All Skus'!$A:$AC,17,FALSE)),""))</f>
        <v>9002761021219</v>
      </c>
      <c r="N323" s="64">
        <f>(IF((VLOOKUP(Table1[[#This Row],[SKU]],'All Skus'!$A:$AC,2,FALSE))="AKG",(VLOOKUP(Table1[[#This Row],[SKU]],'All Skus'!$A:$AC,18,FALSE)),""))</f>
        <v>12</v>
      </c>
      <c r="O323" s="64">
        <f>(IF((VLOOKUP(Table1[[#This Row],[SKU]],'All Skus'!$A:$AC,2,FALSE))="AKG",(VLOOKUP(Table1[[#This Row],[SKU]],'All Skus'!$A:$AC,19,FALSE)),""))</f>
        <v>5</v>
      </c>
      <c r="P323" s="64">
        <f>(IF((VLOOKUP(Table1[[#This Row],[SKU]],'All Skus'!$A:$AC,2,FALSE))="AKG",(VLOOKUP(Table1[[#This Row],[SKU]],'All Skus'!$A:$AC,20,FALSE)),""))</f>
        <v>9</v>
      </c>
      <c r="Q323" s="64">
        <f>(IF((VLOOKUP(Table1[[#This Row],[SKU]],'All Skus'!$A:$AC,2,FALSE))="AKG",(VLOOKUP(Table1[[#This Row],[SKU]],'All Skus'!$A:$AC,21,FALSE)),""))</f>
        <v>5.2</v>
      </c>
      <c r="R323" s="64" t="str">
        <f>(IF((VLOOKUP(Table1[[#This Row],[SKU]],'All Skus'!$A:$AC,2,FALSE))="AKG",(VLOOKUP(Table1[[#This Row],[SKU]],'All Skus'!$A:$AC,22,FALSE)),""))</f>
        <v>CN</v>
      </c>
      <c r="S323" s="64" t="str">
        <f>(IF((VLOOKUP(Table1[[#This Row],[SKU]],'All Skus'!$A:$AC,2,FALSE))="AKG",(VLOOKUP(Table1[[#This Row],[SKU]],'All Skus'!$A:$AC,23,FALSE)),""))</f>
        <v>Non Compliant</v>
      </c>
      <c r="T323" s="210" t="str">
        <f>HYPERLINK((IF((VLOOKUP(Table1[[#This Row],[SKU]],'All Skus'!$A:$AC,2,FALSE))="AKG",(VLOOKUP(Table1[[#This Row],[SKU]],'All Skus'!$A:$AC,24,FALSE)),"")))</f>
        <v>https://www.akg.com/2458X00190.html</v>
      </c>
      <c r="U323" s="151">
        <v>321</v>
      </c>
    </row>
    <row r="324" spans="1:21" ht="15" hidden="1" customHeight="1">
      <c r="A324" s="48" t="s">
        <v>478</v>
      </c>
      <c r="B324" s="52" t="str">
        <f>(IF((VLOOKUP(Table1[[#This Row],[SKU]],'All Skus'!$A:$AC,2,FALSE))="AKG",(VLOOKUP(Table1[[#This Row],[SKU]],'All Skus'!$A:$AC,3,FALSE)), ""))</f>
        <v>Headphones</v>
      </c>
      <c r="C324" s="60" t="str">
        <f>(IF((VLOOKUP(Table1[[#This Row],[SKU]],'All Skus'!$A:$AC,2,FALSE))="AKG",(VLOOKUP(Table1[[#This Row],[SKU]],'All Skus'!$A:$AC,4,FALSE)),""))</f>
        <v>K712 PRO</v>
      </c>
      <c r="D324" s="60" t="str">
        <f>(IF((VLOOKUP(Table1[[#This Row],[SKU]],'All Skus'!$A:$AC,2,FALSE))="AKG",(VLOOKUP(Table1[[#This Row],[SKU]],'All Skus'!$A:$AC,5,FALSE)),""))</f>
        <v>AT110020</v>
      </c>
      <c r="E324" s="60">
        <f>(IF((VLOOKUP(Table1[[#This Row],[SKU]],'All Skus'!$A:$AC,2,FALSE))="AKG",(VLOOKUP(Table1[[#This Row],[SKU]],'All Skus'!$A:$AC,6,FALSE)),""))</f>
        <v>0</v>
      </c>
      <c r="F324" s="60">
        <f>(IF((VLOOKUP(Table1[[#This Row],[SKU]],'All Skus'!$A:$AC,2,FALSE))="AKG",(VLOOKUP(Table1[[#This Row],[SKU]],'All Skus'!$A:$AC,7,FALSE)),""))</f>
        <v>0</v>
      </c>
      <c r="G324" s="45" t="str">
        <f>(IF((VLOOKUP(Table1[[#This Row],[SKU]],'All Skus'!$A:$AC,2,FALSE))="AKG",(VLOOKUP(Table1[[#This Row],[SKU]],'All Skus'!$A:$AC,8,FALSE)),""))</f>
        <v>Professional Headphone</v>
      </c>
      <c r="H324" s="45" t="str">
        <f>(IF((VLOOKUP(Table1[[#This Row],[SKU]],'All Skus'!$A:$AC,2,FALSE))="AKG",(VLOOKUP(Table1[[#This Row],[SKU]],'All Skus'!$A:$AC,9,FALSE)),""))</f>
        <v>Reference Studio headphones</v>
      </c>
      <c r="I324" s="141">
        <f>(IF((VLOOKUP(Table1[[#This Row],[SKU]],'All Skus'!$A:$AC,2,FALSE))="AKG",(VLOOKUP(Table1[[#This Row],[SKU]],'All Skus'!$A:$AC,10,FALSE)),""))</f>
        <v>827.12</v>
      </c>
      <c r="J324" s="141">
        <f>(IF((VLOOKUP(Table1[[#This Row],[SKU]],'All Skus'!$A:$AC,2,FALSE))="AKG",(VLOOKUP(Table1[[#This Row],[SKU]],'All Skus'!$A:$AC,11,FALSE)),""))</f>
        <v>659</v>
      </c>
      <c r="K324" s="125">
        <f>(IF((VLOOKUP(Table1[[#This Row],[SKU]],'All Skus'!$A:$AC,2,FALSE))="AKG",(VLOOKUP(Table1[[#This Row],[SKU]],'All Skus'!$A:$AC,15,FALSE)),""))</f>
        <v>0</v>
      </c>
      <c r="L324" s="124">
        <f>(IF((VLOOKUP(Table1[[#This Row],[SKU]],'All Skus'!$A:$AC,2,FALSE))="AKG",(VLOOKUP(Table1[[#This Row],[SKU]],'All Skus'!$A:$AC,16,FALSE)),""))</f>
        <v>885038035688</v>
      </c>
      <c r="M324" s="124">
        <f>(IF((VLOOKUP(Table1[[#This Row],[SKU]],'All Skus'!$A:$AC,2,FALSE))="AKG",(VLOOKUP(Table1[[#This Row],[SKU]],'All Skus'!$A:$AC,17,FALSE)),""))</f>
        <v>9002761035681</v>
      </c>
      <c r="N324" s="64">
        <f>(IF((VLOOKUP(Table1[[#This Row],[SKU]],'All Skus'!$A:$AC,2,FALSE))="AKG",(VLOOKUP(Table1[[#This Row],[SKU]],'All Skus'!$A:$AC,18,FALSE)),""))</f>
        <v>11.75</v>
      </c>
      <c r="O324" s="64">
        <f>(IF((VLOOKUP(Table1[[#This Row],[SKU]],'All Skus'!$A:$AC,2,FALSE))="AKG",(VLOOKUP(Table1[[#This Row],[SKU]],'All Skus'!$A:$AC,19,FALSE)),""))</f>
        <v>5</v>
      </c>
      <c r="P324" s="64">
        <f>(IF((VLOOKUP(Table1[[#This Row],[SKU]],'All Skus'!$A:$AC,2,FALSE))="AKG",(VLOOKUP(Table1[[#This Row],[SKU]],'All Skus'!$A:$AC,20,FALSE)),""))</f>
        <v>9</v>
      </c>
      <c r="Q324" s="64">
        <f>(IF((VLOOKUP(Table1[[#This Row],[SKU]],'All Skus'!$A:$AC,2,FALSE))="AKG",(VLOOKUP(Table1[[#This Row],[SKU]],'All Skus'!$A:$AC,21,FALSE)),""))</f>
        <v>5.2</v>
      </c>
      <c r="R324" s="64" t="str">
        <f>(IF((VLOOKUP(Table1[[#This Row],[SKU]],'All Skus'!$A:$AC,2,FALSE))="AKG",(VLOOKUP(Table1[[#This Row],[SKU]],'All Skus'!$A:$AC,22,FALSE)),""))</f>
        <v>SK</v>
      </c>
      <c r="S324" s="64" t="str">
        <f>(IF((VLOOKUP(Table1[[#This Row],[SKU]],'All Skus'!$A:$AC,2,FALSE))="AKG",(VLOOKUP(Table1[[#This Row],[SKU]],'All Skus'!$A:$AC,23,FALSE)),""))</f>
        <v>Compliant</v>
      </c>
      <c r="T324" s="210" t="str">
        <f>HYPERLINK((IF((VLOOKUP(Table1[[#This Row],[SKU]],'All Skus'!$A:$AC,2,FALSE))="AKG",(VLOOKUP(Table1[[#This Row],[SKU]],'All Skus'!$A:$AC,24,FALSE)),"")))</f>
        <v>https://www.akg.com/2458X00140.html</v>
      </c>
      <c r="U324" s="151">
        <v>322</v>
      </c>
    </row>
    <row r="325" spans="1:21" ht="12" hidden="1" customHeight="1">
      <c r="A325" s="48" t="s">
        <v>479</v>
      </c>
      <c r="B325" s="52" t="str">
        <f>(IF((VLOOKUP(Table1[[#This Row],[SKU]],'All Skus'!$A:$AC,2,FALSE))="AKG",(VLOOKUP(Table1[[#This Row],[SKU]],'All Skus'!$A:$AC,3,FALSE)), ""))</f>
        <v>Headphones</v>
      </c>
      <c r="C325" s="60" t="str">
        <f>(IF((VLOOKUP(Table1[[#This Row],[SKU]],'All Skus'!$A:$AC,2,FALSE))="AKG",(VLOOKUP(Table1[[#This Row],[SKU]],'All Skus'!$A:$AC,4,FALSE)),""))</f>
        <v>K812 PRO</v>
      </c>
      <c r="D325" s="60" t="str">
        <f>(IF((VLOOKUP(Table1[[#This Row],[SKU]],'All Skus'!$A:$AC,2,FALSE))="AKG",(VLOOKUP(Table1[[#This Row],[SKU]],'All Skus'!$A:$AC,5,FALSE)),""))</f>
        <v>AT110020</v>
      </c>
      <c r="E325" s="60">
        <f>(IF((VLOOKUP(Table1[[#This Row],[SKU]],'All Skus'!$A:$AC,2,FALSE))="AKG",(VLOOKUP(Table1[[#This Row],[SKU]],'All Skus'!$A:$AC,6,FALSE)),""))</f>
        <v>0</v>
      </c>
      <c r="F325" s="60">
        <f>(IF((VLOOKUP(Table1[[#This Row],[SKU]],'All Skus'!$A:$AC,2,FALSE))="AKG",(VLOOKUP(Table1[[#This Row],[SKU]],'All Skus'!$A:$AC,7,FALSE)),""))</f>
        <v>0</v>
      </c>
      <c r="G325" s="45" t="str">
        <f>(IF((VLOOKUP(Table1[[#This Row],[SKU]],'All Skus'!$A:$AC,2,FALSE))="AKG",(VLOOKUP(Table1[[#This Row],[SKU]],'All Skus'!$A:$AC,8,FALSE)),""))</f>
        <v>Professional Headphone</v>
      </c>
      <c r="H325" s="45" t="str">
        <f>(IF((VLOOKUP(Table1[[#This Row],[SKU]],'All Skus'!$A:$AC,2,FALSE))="AKG",(VLOOKUP(Table1[[#This Row],[SKU]],'All Skus'!$A:$AC,9,FALSE)),""))</f>
        <v>Superior Reference headphones</v>
      </c>
      <c r="I325" s="141">
        <f>(IF((VLOOKUP(Table1[[#This Row],[SKU]],'All Skus'!$A:$AC,2,FALSE))="AKG",(VLOOKUP(Table1[[#This Row],[SKU]],'All Skus'!$A:$AC,10,FALSE)),""))</f>
        <v>2255.67</v>
      </c>
      <c r="J325" s="141">
        <f>(IF((VLOOKUP(Table1[[#This Row],[SKU]],'All Skus'!$A:$AC,2,FALSE))="AKG",(VLOOKUP(Table1[[#This Row],[SKU]],'All Skus'!$A:$AC,11,FALSE)),""))</f>
        <v>1799</v>
      </c>
      <c r="K325" s="125">
        <f>(IF((VLOOKUP(Table1[[#This Row],[SKU]],'All Skus'!$A:$AC,2,FALSE))="AKG",(VLOOKUP(Table1[[#This Row],[SKU]],'All Skus'!$A:$AC,15,FALSE)),""))</f>
        <v>0</v>
      </c>
      <c r="L325" s="124">
        <f>(IF((VLOOKUP(Table1[[#This Row],[SKU]],'All Skus'!$A:$AC,2,FALSE))="AKG",(VLOOKUP(Table1[[#This Row],[SKU]],'All Skus'!$A:$AC,16,FALSE)),""))</f>
        <v>885038035770</v>
      </c>
      <c r="M325" s="124">
        <f>(IF((VLOOKUP(Table1[[#This Row],[SKU]],'All Skus'!$A:$AC,2,FALSE))="AKG",(VLOOKUP(Table1[[#This Row],[SKU]],'All Skus'!$A:$AC,17,FALSE)),""))</f>
        <v>9002761035773</v>
      </c>
      <c r="N325" s="64">
        <f>(IF((VLOOKUP(Table1[[#This Row],[SKU]],'All Skus'!$A:$AC,2,FALSE))="AKG",(VLOOKUP(Table1[[#This Row],[SKU]],'All Skus'!$A:$AC,18,FALSE)),""))</f>
        <v>6</v>
      </c>
      <c r="O325" s="64">
        <f>(IF((VLOOKUP(Table1[[#This Row],[SKU]],'All Skus'!$A:$AC,2,FALSE))="AKG",(VLOOKUP(Table1[[#This Row],[SKU]],'All Skus'!$A:$AC,19,FALSE)),""))</f>
        <v>14</v>
      </c>
      <c r="P325" s="64">
        <f>(IF((VLOOKUP(Table1[[#This Row],[SKU]],'All Skus'!$A:$AC,2,FALSE))="AKG",(VLOOKUP(Table1[[#This Row],[SKU]],'All Skus'!$A:$AC,20,FALSE)),""))</f>
        <v>12</v>
      </c>
      <c r="Q325" s="64">
        <f>(IF((VLOOKUP(Table1[[#This Row],[SKU]],'All Skus'!$A:$AC,2,FALSE))="AKG",(VLOOKUP(Table1[[#This Row],[SKU]],'All Skus'!$A:$AC,21,FALSE)),""))</f>
        <v>5.2</v>
      </c>
      <c r="R325" s="64" t="str">
        <f>(IF((VLOOKUP(Table1[[#This Row],[SKU]],'All Skus'!$A:$AC,2,FALSE))="AKG",(VLOOKUP(Table1[[#This Row],[SKU]],'All Skus'!$A:$AC,22,FALSE)),""))</f>
        <v>SK</v>
      </c>
      <c r="S325" s="64" t="str">
        <f>(IF((VLOOKUP(Table1[[#This Row],[SKU]],'All Skus'!$A:$AC,2,FALSE))="AKG",(VLOOKUP(Table1[[#This Row],[SKU]],'All Skus'!$A:$AC,23,FALSE)),""))</f>
        <v>Compliant</v>
      </c>
      <c r="T325" s="210" t="str">
        <f>HYPERLINK((IF((VLOOKUP(Table1[[#This Row],[SKU]],'All Skus'!$A:$AC,2,FALSE))="AKG",(VLOOKUP(Table1[[#This Row],[SKU]],'All Skus'!$A:$AC,24,FALSE)),"")))</f>
        <v>https://www.akg.com/3458X00010.html</v>
      </c>
      <c r="U325" s="151">
        <v>323</v>
      </c>
    </row>
    <row r="326" spans="1:21" ht="12" hidden="1" customHeight="1">
      <c r="A326" s="48" t="s">
        <v>480</v>
      </c>
      <c r="B326" s="52" t="str">
        <f>(IF((VLOOKUP(Table1[[#This Row],[SKU]],'All Skus'!$A:$AC,2,FALSE))="AKG",(VLOOKUP(Table1[[#This Row],[SKU]],'All Skus'!$A:$AC,3,FALSE)), ""))</f>
        <v>Headphones</v>
      </c>
      <c r="C326" s="60" t="str">
        <f>(IF((VLOOKUP(Table1[[#This Row],[SKU]],'All Skus'!$A:$AC,2,FALSE))="AKG",(VLOOKUP(Table1[[#This Row],[SKU]],'All Skus'!$A:$AC,4,FALSE)),""))</f>
        <v>K872</v>
      </c>
      <c r="D326" s="60" t="str">
        <f>(IF((VLOOKUP(Table1[[#This Row],[SKU]],'All Skus'!$A:$AC,2,FALSE))="AKG",(VLOOKUP(Table1[[#This Row],[SKU]],'All Skus'!$A:$AC,5,FALSE)),""))</f>
        <v>AT110020</v>
      </c>
      <c r="E326" s="60">
        <f>(IF((VLOOKUP(Table1[[#This Row],[SKU]],'All Skus'!$A:$AC,2,FALSE))="AKG",(VLOOKUP(Table1[[#This Row],[SKU]],'All Skus'!$A:$AC,6,FALSE)),""))</f>
        <v>0</v>
      </c>
      <c r="F326" s="60">
        <f>(IF((VLOOKUP(Table1[[#This Row],[SKU]],'All Skus'!$A:$AC,2,FALSE))="AKG",(VLOOKUP(Table1[[#This Row],[SKU]],'All Skus'!$A:$AC,7,FALSE)),""))</f>
        <v>0</v>
      </c>
      <c r="G326" s="45" t="str">
        <f>(IF((VLOOKUP(Table1[[#This Row],[SKU]],'All Skus'!$A:$AC,2,FALSE))="AKG",(VLOOKUP(Table1[[#This Row],[SKU]],'All Skus'!$A:$AC,8,FALSE)),""))</f>
        <v>Master Reference Closed-Back Studio Headphones</v>
      </c>
      <c r="H326" s="45" t="str">
        <f>(IF((VLOOKUP(Table1[[#This Row],[SKU]],'All Skus'!$A:$AC,2,FALSE))="AKG",(VLOOKUP(Table1[[#This Row],[SKU]],'All Skus'!$A:$AC,9,FALSE)),""))</f>
        <v>Master reference closed-back studio headphones, with custom 53mm drivers, 1.5 Tesla magnet systems, 3D-shaped slow-retention foam ear-cups, open-mesh headband.</v>
      </c>
      <c r="I326" s="141">
        <f>(IF((VLOOKUP(Table1[[#This Row],[SKU]],'All Skus'!$A:$AC,2,FALSE))="AKG",(VLOOKUP(Table1[[#This Row],[SKU]],'All Skus'!$A:$AC,10,FALSE)),""))</f>
        <v>2255.67</v>
      </c>
      <c r="J326" s="141">
        <f>(IF((VLOOKUP(Table1[[#This Row],[SKU]],'All Skus'!$A:$AC,2,FALSE))="AKG",(VLOOKUP(Table1[[#This Row],[SKU]],'All Skus'!$A:$AC,11,FALSE)),""))</f>
        <v>1799</v>
      </c>
      <c r="K326" s="125">
        <f>(IF((VLOOKUP(Table1[[#This Row],[SKU]],'All Skus'!$A:$AC,2,FALSE))="AKG",(VLOOKUP(Table1[[#This Row],[SKU]],'All Skus'!$A:$AC,15,FALSE)),""))</f>
        <v>0</v>
      </c>
      <c r="L326" s="124">
        <f>(IF((VLOOKUP(Table1[[#This Row],[SKU]],'All Skus'!$A:$AC,2,FALSE))="AKG",(VLOOKUP(Table1[[#This Row],[SKU]],'All Skus'!$A:$AC,16,FALSE)),""))</f>
        <v>885038039709</v>
      </c>
      <c r="M326" s="124">
        <f>(IF((VLOOKUP(Table1[[#This Row],[SKU]],'All Skus'!$A:$AC,2,FALSE))="AKG",(VLOOKUP(Table1[[#This Row],[SKU]],'All Skus'!$A:$AC,17,FALSE)),""))</f>
        <v>9002761039702</v>
      </c>
      <c r="N326" s="64">
        <f>(IF((VLOOKUP(Table1[[#This Row],[SKU]],'All Skus'!$A:$AC,2,FALSE))="AKG",(VLOOKUP(Table1[[#This Row],[SKU]],'All Skus'!$A:$AC,18,FALSE)),""))</f>
        <v>7.75</v>
      </c>
      <c r="O326" s="64">
        <f>(IF((VLOOKUP(Table1[[#This Row],[SKU]],'All Skus'!$A:$AC,2,FALSE))="AKG",(VLOOKUP(Table1[[#This Row],[SKU]],'All Skus'!$A:$AC,19,FALSE)),""))</f>
        <v>16.25</v>
      </c>
      <c r="P326" s="64">
        <f>(IF((VLOOKUP(Table1[[#This Row],[SKU]],'All Skus'!$A:$AC,2,FALSE))="AKG",(VLOOKUP(Table1[[#This Row],[SKU]],'All Skus'!$A:$AC,20,FALSE)),""))</f>
        <v>11.5</v>
      </c>
      <c r="Q326" s="64">
        <f>(IF((VLOOKUP(Table1[[#This Row],[SKU]],'All Skus'!$A:$AC,2,FALSE))="AKG",(VLOOKUP(Table1[[#This Row],[SKU]],'All Skus'!$A:$AC,21,FALSE)),""))</f>
        <v>0</v>
      </c>
      <c r="R326" s="64" t="str">
        <f>(IF((VLOOKUP(Table1[[#This Row],[SKU]],'All Skus'!$A:$AC,2,FALSE))="AKG",(VLOOKUP(Table1[[#This Row],[SKU]],'All Skus'!$A:$AC,22,FALSE)),""))</f>
        <v>SK</v>
      </c>
      <c r="S326" s="64" t="str">
        <f>(IF((VLOOKUP(Table1[[#This Row],[SKU]],'All Skus'!$A:$AC,2,FALSE))="AKG",(VLOOKUP(Table1[[#This Row],[SKU]],'All Skus'!$A:$AC,23,FALSE)),""))</f>
        <v>Compliant</v>
      </c>
      <c r="T326" s="210" t="str">
        <f>HYPERLINK((IF((VLOOKUP(Table1[[#This Row],[SKU]],'All Skus'!$A:$AC,2,FALSE))="AKG",(VLOOKUP(Table1[[#This Row],[SKU]],'All Skus'!$A:$AC,24,FALSE)),"")))</f>
        <v>https://www.akg.com/3458X00050.html</v>
      </c>
      <c r="U326" s="151">
        <v>324</v>
      </c>
    </row>
    <row r="327" spans="1:21" ht="12" hidden="1" customHeight="1">
      <c r="A327" s="50" t="s">
        <v>481</v>
      </c>
      <c r="B327" s="52" t="str">
        <f>(IF((VLOOKUP(Table1[[#This Row],[SKU]],'All Skus'!$A:$AC,2,FALSE))="AKG",(VLOOKUP(Table1[[#This Row],[SKU]],'All Skus'!$A:$AC,3,FALSE)), ""))</f>
        <v>Headphones</v>
      </c>
      <c r="C327" s="60" t="str">
        <f>(IF((VLOOKUP(Table1[[#This Row],[SKU]],'All Skus'!$A:$AC,2,FALSE))="AKG",(VLOOKUP(Table1[[#This Row],[SKU]],'All Skus'!$A:$AC,4,FALSE)),""))</f>
        <v>K15</v>
      </c>
      <c r="D327" s="60" t="str">
        <f>(IF((VLOOKUP(Table1[[#This Row],[SKU]],'All Skus'!$A:$AC,2,FALSE))="AKG",(VLOOKUP(Table1[[#This Row],[SKU]],'All Skus'!$A:$AC,5,FALSE)),""))</f>
        <v>AT510060</v>
      </c>
      <c r="E327" s="60">
        <f>(IF((VLOOKUP(Table1[[#This Row],[SKU]],'All Skus'!$A:$AC,2,FALSE))="AKG",(VLOOKUP(Table1[[#This Row],[SKU]],'All Skus'!$A:$AC,6,FALSE)),""))</f>
        <v>0</v>
      </c>
      <c r="F327" s="60">
        <f>(IF((VLOOKUP(Table1[[#This Row],[SKU]],'All Skus'!$A:$AC,2,FALSE))="AKG",(VLOOKUP(Table1[[#This Row],[SKU]],'All Skus'!$A:$AC,7,FALSE)),""))</f>
        <v>0</v>
      </c>
      <c r="G327" s="45" t="str">
        <f>(IF((VLOOKUP(Table1[[#This Row],[SKU]],'All Skus'!$A:$AC,2,FALSE))="AKG",(VLOOKUP(Table1[[#This Row],[SKU]],'All Skus'!$A:$AC,8,FALSE)),""))</f>
        <v>Conference Headphone</v>
      </c>
      <c r="H327" s="45" t="str">
        <f>(IF((VLOOKUP(Table1[[#This Row],[SKU]],'All Skus'!$A:$AC,2,FALSE))="AKG",(VLOOKUP(Table1[[#This Row],[SKU]],'All Skus'!$A:$AC,9,FALSE)),""))</f>
        <v>High-Performance conference headphones</v>
      </c>
      <c r="I327" s="141">
        <f>(IF((VLOOKUP(Table1[[#This Row],[SKU]],'All Skus'!$A:$AC,2,FALSE))="AKG",(VLOOKUP(Table1[[#This Row],[SKU]],'All Skus'!$A:$AC,10,FALSE)),""))</f>
        <v>142.86000000000001</v>
      </c>
      <c r="J327" s="141">
        <f>(IF((VLOOKUP(Table1[[#This Row],[SKU]],'All Skus'!$A:$AC,2,FALSE))="AKG",(VLOOKUP(Table1[[#This Row],[SKU]],'All Skus'!$A:$AC,11,FALSE)),""))</f>
        <v>109</v>
      </c>
      <c r="K327" s="125">
        <f>(IF((VLOOKUP(Table1[[#This Row],[SKU]],'All Skus'!$A:$AC,2,FALSE))="AKG",(VLOOKUP(Table1[[#This Row],[SKU]],'All Skus'!$A:$AC,15,FALSE)),""))</f>
        <v>0</v>
      </c>
      <c r="L327" s="124">
        <f>(IF((VLOOKUP(Table1[[#This Row],[SKU]],'All Skus'!$A:$AC,2,FALSE))="AKG",(VLOOKUP(Table1[[#This Row],[SKU]],'All Skus'!$A:$AC,16,FALSE)),""))</f>
        <v>885038036784</v>
      </c>
      <c r="M327" s="124">
        <f>(IF((VLOOKUP(Table1[[#This Row],[SKU]],'All Skus'!$A:$AC,2,FALSE))="AKG",(VLOOKUP(Table1[[#This Row],[SKU]],'All Skus'!$A:$AC,17,FALSE)),""))</f>
        <v>9002761036787</v>
      </c>
      <c r="N327" s="64">
        <f>(IF((VLOOKUP(Table1[[#This Row],[SKU]],'All Skus'!$A:$AC,2,FALSE))="AKG",(VLOOKUP(Table1[[#This Row],[SKU]],'All Skus'!$A:$AC,18,FALSE)),""))</f>
        <v>3</v>
      </c>
      <c r="O327" s="64">
        <f>(IF((VLOOKUP(Table1[[#This Row],[SKU]],'All Skus'!$A:$AC,2,FALSE))="AKG",(VLOOKUP(Table1[[#This Row],[SKU]],'All Skus'!$A:$AC,19,FALSE)),""))</f>
        <v>9</v>
      </c>
      <c r="P327" s="64">
        <f>(IF((VLOOKUP(Table1[[#This Row],[SKU]],'All Skus'!$A:$AC,2,FALSE))="AKG",(VLOOKUP(Table1[[#This Row],[SKU]],'All Skus'!$A:$AC,20,FALSE)),""))</f>
        <v>8</v>
      </c>
      <c r="Q327" s="64">
        <f>(IF((VLOOKUP(Table1[[#This Row],[SKU]],'All Skus'!$A:$AC,2,FALSE))="AKG",(VLOOKUP(Table1[[#This Row],[SKU]],'All Skus'!$A:$AC,21,FALSE)),""))</f>
        <v>2.4</v>
      </c>
      <c r="R327" s="64" t="str">
        <f>(IF((VLOOKUP(Table1[[#This Row],[SKU]],'All Skus'!$A:$AC,2,FALSE))="AKG",(VLOOKUP(Table1[[#This Row],[SKU]],'All Skus'!$A:$AC,22,FALSE)),""))</f>
        <v>SK</v>
      </c>
      <c r="S327" s="64" t="str">
        <f>(IF((VLOOKUP(Table1[[#This Row],[SKU]],'All Skus'!$A:$AC,2,FALSE))="AKG",(VLOOKUP(Table1[[#This Row],[SKU]],'All Skus'!$A:$AC,23,FALSE)),""))</f>
        <v>Compliant</v>
      </c>
      <c r="T327" s="210" t="str">
        <f>HYPERLINK((IF((VLOOKUP(Table1[[#This Row],[SKU]],'All Skus'!$A:$AC,2,FALSE))="AKG",(VLOOKUP(Table1[[#This Row],[SKU]],'All Skus'!$A:$AC,24,FALSE)),"")))</f>
        <v>https://www.akg.com/3446H00010.html</v>
      </c>
      <c r="U327" s="151">
        <v>325</v>
      </c>
    </row>
    <row r="328" spans="1:21" ht="12" hidden="1" customHeight="1">
      <c r="A328" s="109" t="s">
        <v>8</v>
      </c>
      <c r="B328" s="52">
        <f>(IF((VLOOKUP(Table1[[#This Row],[SKU]],'All Skus'!$A:$AC,2,FALSE))="AKG",(VLOOKUP(Table1[[#This Row],[SKU]],'All Skus'!$A:$AC,3,FALSE)), ""))</f>
        <v>0</v>
      </c>
      <c r="C328" s="60">
        <f>(IF((VLOOKUP(Table1[[#This Row],[SKU]],'All Skus'!$A:$AC,2,FALSE))="AKG",(VLOOKUP(Table1[[#This Row],[SKU]],'All Skus'!$A:$AC,4,FALSE)),""))</f>
        <v>0</v>
      </c>
      <c r="D328" s="60">
        <f>(IF((VLOOKUP(Table1[[#This Row],[SKU]],'All Skus'!$A:$AC,2,FALSE))="AKG",(VLOOKUP(Table1[[#This Row],[SKU]],'All Skus'!$A:$AC,5,FALSE)),""))</f>
        <v>0</v>
      </c>
      <c r="E328" s="60">
        <f>(IF((VLOOKUP(Table1[[#This Row],[SKU]],'All Skus'!$A:$AC,2,FALSE))="AKG",(VLOOKUP(Table1[[#This Row],[SKU]],'All Skus'!$A:$AC,6,FALSE)),""))</f>
        <v>0</v>
      </c>
      <c r="F328" s="60">
        <f>(IF((VLOOKUP(Table1[[#This Row],[SKU]],'All Skus'!$A:$AC,2,FALSE))="AKG",(VLOOKUP(Table1[[#This Row],[SKU]],'All Skus'!$A:$AC,7,FALSE)),""))</f>
        <v>0</v>
      </c>
      <c r="G328" s="45">
        <f>(IF((VLOOKUP(Table1[[#This Row],[SKU]],'All Skus'!$A:$AC,2,FALSE))="AKG",(VLOOKUP(Table1[[#This Row],[SKU]],'All Skus'!$A:$AC,8,FALSE)),""))</f>
        <v>0</v>
      </c>
      <c r="H328" s="45">
        <f>(IF((VLOOKUP(Table1[[#This Row],[SKU]],'All Skus'!$A:$AC,2,FALSE))="AKG",(VLOOKUP(Table1[[#This Row],[SKU]],'All Skus'!$A:$AC,9,FALSE)),""))</f>
        <v>0</v>
      </c>
      <c r="I328" s="141">
        <f>(IF((VLOOKUP(Table1[[#This Row],[SKU]],'All Skus'!$A:$AC,2,FALSE))="AKG",(VLOOKUP(Table1[[#This Row],[SKU]],'All Skus'!$A:$AC,10,FALSE)),""))</f>
        <v>0</v>
      </c>
      <c r="J328" s="141">
        <f>(IF((VLOOKUP(Table1[[#This Row],[SKU]],'All Skus'!$A:$AC,2,FALSE))="AKG",(VLOOKUP(Table1[[#This Row],[SKU]],'All Skus'!$A:$AC,11,FALSE)),""))</f>
        <v>0</v>
      </c>
      <c r="K328" s="125">
        <f>(IF((VLOOKUP(Table1[[#This Row],[SKU]],'All Skus'!$A:$AC,2,FALSE))="AKG",(VLOOKUP(Table1[[#This Row],[SKU]],'All Skus'!$A:$AC,15,FALSE)),""))</f>
        <v>0</v>
      </c>
      <c r="L328" s="124">
        <f>(IF((VLOOKUP(Table1[[#This Row],[SKU]],'All Skus'!$A:$AC,2,FALSE))="AKG",(VLOOKUP(Table1[[#This Row],[SKU]],'All Skus'!$A:$AC,16,FALSE)),""))</f>
        <v>0</v>
      </c>
      <c r="M328" s="124">
        <f>(IF((VLOOKUP(Table1[[#This Row],[SKU]],'All Skus'!$A:$AC,2,FALSE))="AKG",(VLOOKUP(Table1[[#This Row],[SKU]],'All Skus'!$A:$AC,17,FALSE)),""))</f>
        <v>0</v>
      </c>
      <c r="N328" s="64">
        <f>(IF((VLOOKUP(Table1[[#This Row],[SKU]],'All Skus'!$A:$AC,2,FALSE))="AKG",(VLOOKUP(Table1[[#This Row],[SKU]],'All Skus'!$A:$AC,18,FALSE)),""))</f>
        <v>0</v>
      </c>
      <c r="O328" s="64">
        <f>(IF((VLOOKUP(Table1[[#This Row],[SKU]],'All Skus'!$A:$AC,2,FALSE))="AKG",(VLOOKUP(Table1[[#This Row],[SKU]],'All Skus'!$A:$AC,19,FALSE)),""))</f>
        <v>0</v>
      </c>
      <c r="P328" s="64">
        <f>(IF((VLOOKUP(Table1[[#This Row],[SKU]],'All Skus'!$A:$AC,2,FALSE))="AKG",(VLOOKUP(Table1[[#This Row],[SKU]],'All Skus'!$A:$AC,20,FALSE)),""))</f>
        <v>0</v>
      </c>
      <c r="Q328" s="64">
        <f>(IF((VLOOKUP(Table1[[#This Row],[SKU]],'All Skus'!$A:$AC,2,FALSE))="AKG",(VLOOKUP(Table1[[#This Row],[SKU]],'All Skus'!$A:$AC,21,FALSE)),""))</f>
        <v>0</v>
      </c>
      <c r="R328" s="64">
        <f>(IF((VLOOKUP(Table1[[#This Row],[SKU]],'All Skus'!$A:$AC,2,FALSE))="AKG",(VLOOKUP(Table1[[#This Row],[SKU]],'All Skus'!$A:$AC,22,FALSE)),""))</f>
        <v>0</v>
      </c>
      <c r="S328" s="64">
        <f>(IF((VLOOKUP(Table1[[#This Row],[SKU]],'All Skus'!$A:$AC,2,FALSE))="AKG",(VLOOKUP(Table1[[#This Row],[SKU]],'All Skus'!$A:$AC,23,FALSE)),""))</f>
        <v>0</v>
      </c>
      <c r="T328" s="210" t="str">
        <f>HYPERLINK((IF((VLOOKUP(Table1[[#This Row],[SKU]],'All Skus'!$A:$AC,2,FALSE))="AKG",(VLOOKUP(Table1[[#This Row],[SKU]],'All Skus'!$A:$AC,24,FALSE)),"")))</f>
        <v/>
      </c>
      <c r="U328" s="151">
        <v>326</v>
      </c>
    </row>
    <row r="329" spans="1:21" ht="12" hidden="1" customHeight="1">
      <c r="A329" s="50" t="s">
        <v>482</v>
      </c>
      <c r="B329" s="52" t="str">
        <f>(IF((VLOOKUP(Table1[[#This Row],[SKU]],'All Skus'!$A:$AC,2,FALSE))="AKG",(VLOOKUP(Table1[[#This Row],[SKU]],'All Skus'!$A:$AC,3,FALSE)), ""))</f>
        <v>Headphones</v>
      </c>
      <c r="C329" s="60" t="str">
        <f>(IF((VLOOKUP(Table1[[#This Row],[SKU]],'All Skus'!$A:$AC,2,FALSE))="AKG",(VLOOKUP(Table1[[#This Row],[SKU]],'All Skus'!$A:$AC,4,FALSE)),""))</f>
        <v>HSC15</v>
      </c>
      <c r="D329" s="60" t="str">
        <f>(IF((VLOOKUP(Table1[[#This Row],[SKU]],'All Skus'!$A:$AC,2,FALSE))="AKG",(VLOOKUP(Table1[[#This Row],[SKU]],'All Skus'!$A:$AC,5,FALSE)),""))</f>
        <v>AT510060</v>
      </c>
      <c r="E329" s="60">
        <f>(IF((VLOOKUP(Table1[[#This Row],[SKU]],'All Skus'!$A:$AC,2,FALSE))="AKG",(VLOOKUP(Table1[[#This Row],[SKU]],'All Skus'!$A:$AC,6,FALSE)),""))</f>
        <v>0</v>
      </c>
      <c r="F329" s="60">
        <f>(IF((VLOOKUP(Table1[[#This Row],[SKU]],'All Skus'!$A:$AC,2,FALSE))="AKG",(VLOOKUP(Table1[[#This Row],[SKU]],'All Skus'!$A:$AC,7,FALSE)),""))</f>
        <v>0</v>
      </c>
      <c r="G329" s="45" t="str">
        <f>(IF((VLOOKUP(Table1[[#This Row],[SKU]],'All Skus'!$A:$AC,2,FALSE))="AKG",(VLOOKUP(Table1[[#This Row],[SKU]],'All Skus'!$A:$AC,8,FALSE)),""))</f>
        <v>Headset</v>
      </c>
      <c r="H329" s="45" t="str">
        <f>(IF((VLOOKUP(Table1[[#This Row],[SKU]],'All Skus'!$A:$AC,2,FALSE))="AKG",(VLOOKUP(Table1[[#This Row],[SKU]],'All Skus'!$A:$AC,9,FALSE)),""))</f>
        <v>High-Performance conference headset</v>
      </c>
      <c r="I329" s="141">
        <f>(IF((VLOOKUP(Table1[[#This Row],[SKU]],'All Skus'!$A:$AC,2,FALSE))="AKG",(VLOOKUP(Table1[[#This Row],[SKU]],'All Skus'!$A:$AC,10,FALSE)),""))</f>
        <v>275</v>
      </c>
      <c r="J329" s="141">
        <f>(IF((VLOOKUP(Table1[[#This Row],[SKU]],'All Skus'!$A:$AC,2,FALSE))="AKG",(VLOOKUP(Table1[[#This Row],[SKU]],'All Skus'!$A:$AC,11,FALSE)),""))</f>
        <v>220</v>
      </c>
      <c r="K329" s="125">
        <f>(IF((VLOOKUP(Table1[[#This Row],[SKU]],'All Skus'!$A:$AC,2,FALSE))="AKG",(VLOOKUP(Table1[[#This Row],[SKU]],'All Skus'!$A:$AC,15,FALSE)),""))</f>
        <v>0</v>
      </c>
      <c r="L329" s="124">
        <f>(IF((VLOOKUP(Table1[[#This Row],[SKU]],'All Skus'!$A:$AC,2,FALSE))="AKG",(VLOOKUP(Table1[[#This Row],[SKU]],'All Skus'!$A:$AC,16,FALSE)),""))</f>
        <v>885038036791</v>
      </c>
      <c r="M329" s="124">
        <f>(IF((VLOOKUP(Table1[[#This Row],[SKU]],'All Skus'!$A:$AC,2,FALSE))="AKG",(VLOOKUP(Table1[[#This Row],[SKU]],'All Skus'!$A:$AC,17,FALSE)),""))</f>
        <v>9002761036794</v>
      </c>
      <c r="N329" s="64">
        <f>(IF((VLOOKUP(Table1[[#This Row],[SKU]],'All Skus'!$A:$AC,2,FALSE))="AKG",(VLOOKUP(Table1[[#This Row],[SKU]],'All Skus'!$A:$AC,18,FALSE)),""))</f>
        <v>4</v>
      </c>
      <c r="O329" s="64">
        <f>(IF((VLOOKUP(Table1[[#This Row],[SKU]],'All Skus'!$A:$AC,2,FALSE))="AKG",(VLOOKUP(Table1[[#This Row],[SKU]],'All Skus'!$A:$AC,19,FALSE)),""))</f>
        <v>8</v>
      </c>
      <c r="P329" s="64">
        <f>(IF((VLOOKUP(Table1[[#This Row],[SKU]],'All Skus'!$A:$AC,2,FALSE))="AKG",(VLOOKUP(Table1[[#This Row],[SKU]],'All Skus'!$A:$AC,20,FALSE)),""))</f>
        <v>8</v>
      </c>
      <c r="Q329" s="64">
        <f>(IF((VLOOKUP(Table1[[#This Row],[SKU]],'All Skus'!$A:$AC,2,FALSE))="AKG",(VLOOKUP(Table1[[#This Row],[SKU]],'All Skus'!$A:$AC,21,FALSE)),""))</f>
        <v>2.4</v>
      </c>
      <c r="R329" s="64" t="str">
        <f>(IF((VLOOKUP(Table1[[#This Row],[SKU]],'All Skus'!$A:$AC,2,FALSE))="AKG",(VLOOKUP(Table1[[#This Row],[SKU]],'All Skus'!$A:$AC,22,FALSE)),""))</f>
        <v>SK</v>
      </c>
      <c r="S329" s="64" t="str">
        <f>(IF((VLOOKUP(Table1[[#This Row],[SKU]],'All Skus'!$A:$AC,2,FALSE))="AKG",(VLOOKUP(Table1[[#This Row],[SKU]],'All Skus'!$A:$AC,23,FALSE)),""))</f>
        <v>Compliant</v>
      </c>
      <c r="T329" s="210" t="str">
        <f>HYPERLINK((IF((VLOOKUP(Table1[[#This Row],[SKU]],'All Skus'!$A:$AC,2,FALSE))="AKG",(VLOOKUP(Table1[[#This Row],[SKU]],'All Skus'!$A:$AC,24,FALSE)),"")))</f>
        <v>https://www.akg.com/3446H00020.html</v>
      </c>
      <c r="U329" s="151">
        <v>327</v>
      </c>
    </row>
    <row r="330" spans="1:21" ht="12" hidden="1" customHeight="1">
      <c r="A330" s="50" t="s">
        <v>483</v>
      </c>
      <c r="B330" s="52" t="str">
        <f>(IF((VLOOKUP(Table1[[#This Row],[SKU]],'All Skus'!$A:$AC,2,FALSE))="AKG",(VLOOKUP(Table1[[#This Row],[SKU]],'All Skus'!$A:$AC,3,FALSE)), ""))</f>
        <v>Headphones</v>
      </c>
      <c r="C330" s="60" t="str">
        <f>(IF((VLOOKUP(Table1[[#This Row],[SKU]],'All Skus'!$A:$AC,2,FALSE))="AKG",(VLOOKUP(Table1[[#This Row],[SKU]],'All Skus'!$A:$AC,4,FALSE)),""))</f>
        <v>HSD171</v>
      </c>
      <c r="D330" s="60" t="str">
        <f>(IF((VLOOKUP(Table1[[#This Row],[SKU]],'All Skus'!$A:$AC,2,FALSE))="AKG",(VLOOKUP(Table1[[#This Row],[SKU]],'All Skus'!$A:$AC,5,FALSE)),""))</f>
        <v>AT210030</v>
      </c>
      <c r="E330" s="60">
        <f>(IF((VLOOKUP(Table1[[#This Row],[SKU]],'All Skus'!$A:$AC,2,FALSE))="AKG",(VLOOKUP(Table1[[#This Row],[SKU]],'All Skus'!$A:$AC,6,FALSE)),""))</f>
        <v>0</v>
      </c>
      <c r="F330" s="60" t="str">
        <f>(IF((VLOOKUP(Table1[[#This Row],[SKU]],'All Skus'!$A:$AC,2,FALSE))="AKG",(VLOOKUP(Table1[[#This Row],[SKU]],'All Skus'!$A:$AC,7,FALSE)),""))</f>
        <v>Limited Quantity</v>
      </c>
      <c r="G330" s="45" t="str">
        <f>(IF((VLOOKUP(Table1[[#This Row],[SKU]],'All Skus'!$A:$AC,2,FALSE))="AKG",(VLOOKUP(Table1[[#This Row],[SKU]],'All Skus'!$A:$AC,8,FALSE)),""))</f>
        <v>Headset</v>
      </c>
      <c r="H330" s="45" t="str">
        <f>(IF((VLOOKUP(Table1[[#This Row],[SKU]],'All Skus'!$A:$AC,2,FALSE))="AKG",(VLOOKUP(Table1[[#This Row],[SKU]],'All Skus'!$A:$AC,9,FALSE)),""))</f>
        <v>Prof. closed-back headsets derived from K 171 headphones with dynamic mic for broadcast and recording use. Without muting function. MK HS cable not included.</v>
      </c>
      <c r="I330" s="141">
        <f>(IF((VLOOKUP(Table1[[#This Row],[SKU]],'All Skus'!$A:$AC,2,FALSE))="AKG",(VLOOKUP(Table1[[#This Row],[SKU]],'All Skus'!$A:$AC,10,FALSE)),""))</f>
        <v>350</v>
      </c>
      <c r="J330" s="141">
        <f>(IF((VLOOKUP(Table1[[#This Row],[SKU]],'All Skus'!$A:$AC,2,FALSE))="AKG",(VLOOKUP(Table1[[#This Row],[SKU]],'All Skus'!$A:$AC,11,FALSE)),""))</f>
        <v>280</v>
      </c>
      <c r="K330" s="125">
        <f>(IF((VLOOKUP(Table1[[#This Row],[SKU]],'All Skus'!$A:$AC,2,FALSE))="AKG",(VLOOKUP(Table1[[#This Row],[SKU]],'All Skus'!$A:$AC,15,FALSE)),""))</f>
        <v>0</v>
      </c>
      <c r="L330" s="124">
        <f>(IF((VLOOKUP(Table1[[#This Row],[SKU]],'All Skus'!$A:$AC,2,FALSE))="AKG",(VLOOKUP(Table1[[#This Row],[SKU]],'All Skus'!$A:$AC,16,FALSE)),""))</f>
        <v>885038028840</v>
      </c>
      <c r="M330" s="124">
        <f>(IF((VLOOKUP(Table1[[#This Row],[SKU]],'All Skus'!$A:$AC,2,FALSE))="AKG",(VLOOKUP(Table1[[#This Row],[SKU]],'All Skus'!$A:$AC,17,FALSE)),""))</f>
        <v>9002761028843</v>
      </c>
      <c r="N330" s="64">
        <f>(IF((VLOOKUP(Table1[[#This Row],[SKU]],'All Skus'!$A:$AC,2,FALSE))="AKG",(VLOOKUP(Table1[[#This Row],[SKU]],'All Skus'!$A:$AC,18,FALSE)),""))</f>
        <v>5</v>
      </c>
      <c r="O330" s="64">
        <f>(IF((VLOOKUP(Table1[[#This Row],[SKU]],'All Skus'!$A:$AC,2,FALSE))="AKG",(VLOOKUP(Table1[[#This Row],[SKU]],'All Skus'!$A:$AC,19,FALSE)),""))</f>
        <v>9</v>
      </c>
      <c r="P330" s="64">
        <f>(IF((VLOOKUP(Table1[[#This Row],[SKU]],'All Skus'!$A:$AC,2,FALSE))="AKG",(VLOOKUP(Table1[[#This Row],[SKU]],'All Skus'!$A:$AC,20,FALSE)),""))</f>
        <v>9</v>
      </c>
      <c r="Q330" s="64">
        <f>(IF((VLOOKUP(Table1[[#This Row],[SKU]],'All Skus'!$A:$AC,2,FALSE))="AKG",(VLOOKUP(Table1[[#This Row],[SKU]],'All Skus'!$A:$AC,21,FALSE)),""))</f>
        <v>4.4000000000000004</v>
      </c>
      <c r="R330" s="64" t="str">
        <f>(IF((VLOOKUP(Table1[[#This Row],[SKU]],'All Skus'!$A:$AC,2,FALSE))="AKG",(VLOOKUP(Table1[[#This Row],[SKU]],'All Skus'!$A:$AC,22,FALSE)),""))</f>
        <v>CN</v>
      </c>
      <c r="S330" s="64" t="str">
        <f>(IF((VLOOKUP(Table1[[#This Row],[SKU]],'All Skus'!$A:$AC,2,FALSE))="AKG",(VLOOKUP(Table1[[#This Row],[SKU]],'All Skus'!$A:$AC,23,FALSE)),""))</f>
        <v>Non Compliant</v>
      </c>
      <c r="T330" s="210" t="str">
        <f>HYPERLINK((IF((VLOOKUP(Table1[[#This Row],[SKU]],'All Skus'!$A:$AC,2,FALSE))="AKG",(VLOOKUP(Table1[[#This Row],[SKU]],'All Skus'!$A:$AC,24,FALSE)),"")))</f>
        <v>https://www.akg.com/2955X00260.html</v>
      </c>
      <c r="U330" s="151">
        <v>328</v>
      </c>
    </row>
    <row r="331" spans="1:21" ht="16.149999999999999" hidden="1" customHeight="1">
      <c r="A331" s="50" t="s">
        <v>484</v>
      </c>
      <c r="B331" s="52" t="str">
        <f>(IF((VLOOKUP(Table1[[#This Row],[SKU]],'All Skus'!$A:$AC,2,FALSE))="AKG",(VLOOKUP(Table1[[#This Row],[SKU]],'All Skus'!$A:$AC,3,FALSE)), ""))</f>
        <v>Headphones</v>
      </c>
      <c r="C331" s="60" t="str">
        <f>(IF((VLOOKUP(Table1[[#This Row],[SKU]],'All Skus'!$A:$AC,2,FALSE))="AKG",(VLOOKUP(Table1[[#This Row],[SKU]],'All Skus'!$A:$AC,4,FALSE)),""))</f>
        <v>HSD271</v>
      </c>
      <c r="D331" s="60" t="str">
        <f>(IF((VLOOKUP(Table1[[#This Row],[SKU]],'All Skus'!$A:$AC,2,FALSE))="AKG",(VLOOKUP(Table1[[#This Row],[SKU]],'All Skus'!$A:$AC,5,FALSE)),""))</f>
        <v>AT210030</v>
      </c>
      <c r="E331" s="60">
        <f>(IF((VLOOKUP(Table1[[#This Row],[SKU]],'All Skus'!$A:$AC,2,FALSE))="AKG",(VLOOKUP(Table1[[#This Row],[SKU]],'All Skus'!$A:$AC,6,FALSE)),""))</f>
        <v>0</v>
      </c>
      <c r="F331" s="60">
        <f>(IF((VLOOKUP(Table1[[#This Row],[SKU]],'All Skus'!$A:$AC,2,FALSE))="AKG",(VLOOKUP(Table1[[#This Row],[SKU]],'All Skus'!$A:$AC,7,FALSE)),""))</f>
        <v>0</v>
      </c>
      <c r="G331" s="45" t="str">
        <f>(IF((VLOOKUP(Table1[[#This Row],[SKU]],'All Skus'!$A:$AC,2,FALSE))="AKG",(VLOOKUP(Table1[[#This Row],[SKU]],'All Skus'!$A:$AC,8,FALSE)),""))</f>
        <v>Headset</v>
      </c>
      <c r="H331" s="45" t="str">
        <f>(IF((VLOOKUP(Table1[[#This Row],[SKU]],'All Skus'!$A:$AC,2,FALSE))="AKG",(VLOOKUP(Table1[[#This Row],[SKU]],'All Skus'!$A:$AC,9,FALSE)),""))</f>
        <v>Prof. closed-back headsets derived from K 271 headphones with dynamic mic for broadcast and recording use. Without muting function. MK HS cable not included.</v>
      </c>
      <c r="I331" s="141">
        <f>(IF((VLOOKUP(Table1[[#This Row],[SKU]],'All Skus'!$A:$AC,2,FALSE))="AKG",(VLOOKUP(Table1[[#This Row],[SKU]],'All Skus'!$A:$AC,10,FALSE)),""))</f>
        <v>385</v>
      </c>
      <c r="J331" s="141">
        <f>(IF((VLOOKUP(Table1[[#This Row],[SKU]],'All Skus'!$A:$AC,2,FALSE))="AKG",(VLOOKUP(Table1[[#This Row],[SKU]],'All Skus'!$A:$AC,11,FALSE)),""))</f>
        <v>300</v>
      </c>
      <c r="K331" s="125">
        <f>(IF((VLOOKUP(Table1[[#This Row],[SKU]],'All Skus'!$A:$AC,2,FALSE))="AKG",(VLOOKUP(Table1[[#This Row],[SKU]],'All Skus'!$A:$AC,15,FALSE)),""))</f>
        <v>0</v>
      </c>
      <c r="L331" s="124">
        <f>(IF((VLOOKUP(Table1[[#This Row],[SKU]],'All Skus'!$A:$AC,2,FALSE))="AKG",(VLOOKUP(Table1[[#This Row],[SKU]],'All Skus'!$A:$AC,16,FALSE)),""))</f>
        <v>885038028857</v>
      </c>
      <c r="M331" s="124">
        <f>(IF((VLOOKUP(Table1[[#This Row],[SKU]],'All Skus'!$A:$AC,2,FALSE))="AKG",(VLOOKUP(Table1[[#This Row],[SKU]],'All Skus'!$A:$AC,17,FALSE)),""))</f>
        <v>9002761028850</v>
      </c>
      <c r="N331" s="64">
        <f>(IF((VLOOKUP(Table1[[#This Row],[SKU]],'All Skus'!$A:$AC,2,FALSE))="AKG",(VLOOKUP(Table1[[#This Row],[SKU]],'All Skus'!$A:$AC,18,FALSE)),""))</f>
        <v>4.5</v>
      </c>
      <c r="O331" s="64">
        <f>(IF((VLOOKUP(Table1[[#This Row],[SKU]],'All Skus'!$A:$AC,2,FALSE))="AKG",(VLOOKUP(Table1[[#This Row],[SKU]],'All Skus'!$A:$AC,19,FALSE)),""))</f>
        <v>9</v>
      </c>
      <c r="P331" s="64">
        <f>(IF((VLOOKUP(Table1[[#This Row],[SKU]],'All Skus'!$A:$AC,2,FALSE))="AKG",(VLOOKUP(Table1[[#This Row],[SKU]],'All Skus'!$A:$AC,20,FALSE)),""))</f>
        <v>9</v>
      </c>
      <c r="Q331" s="64">
        <f>(IF((VLOOKUP(Table1[[#This Row],[SKU]],'All Skus'!$A:$AC,2,FALSE))="AKG",(VLOOKUP(Table1[[#This Row],[SKU]],'All Skus'!$A:$AC,21,FALSE)),""))</f>
        <v>4.4000000000000004</v>
      </c>
      <c r="R331" s="64" t="str">
        <f>(IF((VLOOKUP(Table1[[#This Row],[SKU]],'All Skus'!$A:$AC,2,FALSE))="AKG",(VLOOKUP(Table1[[#This Row],[SKU]],'All Skus'!$A:$AC,22,FALSE)),""))</f>
        <v>CN</v>
      </c>
      <c r="S331" s="64" t="str">
        <f>(IF((VLOOKUP(Table1[[#This Row],[SKU]],'All Skus'!$A:$AC,2,FALSE))="AKG",(VLOOKUP(Table1[[#This Row],[SKU]],'All Skus'!$A:$AC,23,FALSE)),""))</f>
        <v>Non Compliant</v>
      </c>
      <c r="T331" s="210" t="str">
        <f>HYPERLINK((IF((VLOOKUP(Table1[[#This Row],[SKU]],'All Skus'!$A:$AC,2,FALSE))="AKG",(VLOOKUP(Table1[[#This Row],[SKU]],'All Skus'!$A:$AC,24,FALSE)),"")))</f>
        <v>https://www.akg.com/2955X00270.html</v>
      </c>
      <c r="U331" s="151">
        <v>329</v>
      </c>
    </row>
    <row r="332" spans="1:21" ht="16.149999999999999" hidden="1" customHeight="1">
      <c r="A332" s="50" t="s">
        <v>485</v>
      </c>
      <c r="B332" s="52" t="str">
        <f>(IF((VLOOKUP(Table1[[#This Row],[SKU]],'All Skus'!$A:$AC,2,FALSE))="AKG",(VLOOKUP(Table1[[#This Row],[SKU]],'All Skus'!$A:$AC,3,FALSE)), ""))</f>
        <v>Headphones</v>
      </c>
      <c r="C332" s="60" t="str">
        <f>(IF((VLOOKUP(Table1[[#This Row],[SKU]],'All Skus'!$A:$AC,2,FALSE))="AKG",(VLOOKUP(Table1[[#This Row],[SKU]],'All Skus'!$A:$AC,4,FALSE)),""))</f>
        <v>HSC171</v>
      </c>
      <c r="D332" s="60" t="str">
        <f>(IF((VLOOKUP(Table1[[#This Row],[SKU]],'All Skus'!$A:$AC,2,FALSE))="AKG",(VLOOKUP(Table1[[#This Row],[SKU]],'All Skus'!$A:$AC,5,FALSE)),""))</f>
        <v>AT210030</v>
      </c>
      <c r="E332" s="60">
        <f>(IF((VLOOKUP(Table1[[#This Row],[SKU]],'All Skus'!$A:$AC,2,FALSE))="AKG",(VLOOKUP(Table1[[#This Row],[SKU]],'All Skus'!$A:$AC,6,FALSE)),""))</f>
        <v>0</v>
      </c>
      <c r="F332" s="60" t="str">
        <f>(IF((VLOOKUP(Table1[[#This Row],[SKU]],'All Skus'!$A:$AC,2,FALSE))="AKG",(VLOOKUP(Table1[[#This Row],[SKU]],'All Skus'!$A:$AC,7,FALSE)),""))</f>
        <v>Limited Quantity</v>
      </c>
      <c r="G332" s="45" t="str">
        <f>(IF((VLOOKUP(Table1[[#This Row],[SKU]],'All Skus'!$A:$AC,2,FALSE))="AKG",(VLOOKUP(Table1[[#This Row],[SKU]],'All Skus'!$A:$AC,8,FALSE)),""))</f>
        <v>Headset</v>
      </c>
      <c r="H332" s="45" t="str">
        <f>(IF((VLOOKUP(Table1[[#This Row],[SKU]],'All Skus'!$A:$AC,2,FALSE))="AKG",(VLOOKUP(Table1[[#This Row],[SKU]],'All Skus'!$A:$AC,9,FALSE)),""))</f>
        <v>Prof. closed-back headsets derived from K 171 headphones with condenser mic for broadcast and recording use. Automatic mic and headphone muting function via mute switch. MK HS cable not included.</v>
      </c>
      <c r="I332" s="141">
        <f>(IF((VLOOKUP(Table1[[#This Row],[SKU]],'All Skus'!$A:$AC,2,FALSE))="AKG",(VLOOKUP(Table1[[#This Row],[SKU]],'All Skus'!$A:$AC,10,FALSE)),""))</f>
        <v>350</v>
      </c>
      <c r="J332" s="141">
        <f>(IF((VLOOKUP(Table1[[#This Row],[SKU]],'All Skus'!$A:$AC,2,FALSE))="AKG",(VLOOKUP(Table1[[#This Row],[SKU]],'All Skus'!$A:$AC,11,FALSE)),""))</f>
        <v>280</v>
      </c>
      <c r="K332" s="125">
        <f>(IF((VLOOKUP(Table1[[#This Row],[SKU]],'All Skus'!$A:$AC,2,FALSE))="AKG",(VLOOKUP(Table1[[#This Row],[SKU]],'All Skus'!$A:$AC,15,FALSE)),""))</f>
        <v>0</v>
      </c>
      <c r="L332" s="124">
        <f>(IF((VLOOKUP(Table1[[#This Row],[SKU]],'All Skus'!$A:$AC,2,FALSE))="AKG",(VLOOKUP(Table1[[#This Row],[SKU]],'All Skus'!$A:$AC,16,FALSE)),""))</f>
        <v>885038028864</v>
      </c>
      <c r="M332" s="124">
        <f>(IF((VLOOKUP(Table1[[#This Row],[SKU]],'All Skus'!$A:$AC,2,FALSE))="AKG",(VLOOKUP(Table1[[#This Row],[SKU]],'All Skus'!$A:$AC,17,FALSE)),""))</f>
        <v>9002761028867</v>
      </c>
      <c r="N332" s="64">
        <f>(IF((VLOOKUP(Table1[[#This Row],[SKU]],'All Skus'!$A:$AC,2,FALSE))="AKG",(VLOOKUP(Table1[[#This Row],[SKU]],'All Skus'!$A:$AC,18,FALSE)),""))</f>
        <v>5</v>
      </c>
      <c r="O332" s="64">
        <f>(IF((VLOOKUP(Table1[[#This Row],[SKU]],'All Skus'!$A:$AC,2,FALSE))="AKG",(VLOOKUP(Table1[[#This Row],[SKU]],'All Skus'!$A:$AC,19,FALSE)),""))</f>
        <v>9</v>
      </c>
      <c r="P332" s="64">
        <f>(IF((VLOOKUP(Table1[[#This Row],[SKU]],'All Skus'!$A:$AC,2,FALSE))="AKG",(VLOOKUP(Table1[[#This Row],[SKU]],'All Skus'!$A:$AC,20,FALSE)),""))</f>
        <v>9</v>
      </c>
      <c r="Q332" s="64">
        <f>(IF((VLOOKUP(Table1[[#This Row],[SKU]],'All Skus'!$A:$AC,2,FALSE))="AKG",(VLOOKUP(Table1[[#This Row],[SKU]],'All Skus'!$A:$AC,21,FALSE)),""))</f>
        <v>4.4000000000000004</v>
      </c>
      <c r="R332" s="64" t="str">
        <f>(IF((VLOOKUP(Table1[[#This Row],[SKU]],'All Skus'!$A:$AC,2,FALSE))="AKG",(VLOOKUP(Table1[[#This Row],[SKU]],'All Skus'!$A:$AC,22,FALSE)),""))</f>
        <v>CN</v>
      </c>
      <c r="S332" s="64" t="str">
        <f>(IF((VLOOKUP(Table1[[#This Row],[SKU]],'All Skus'!$A:$AC,2,FALSE))="AKG",(VLOOKUP(Table1[[#This Row],[SKU]],'All Skus'!$A:$AC,23,FALSE)),""))</f>
        <v>Non Compliant</v>
      </c>
      <c r="T332" s="210" t="str">
        <f>HYPERLINK((IF((VLOOKUP(Table1[[#This Row],[SKU]],'All Skus'!$A:$AC,2,FALSE))="AKG",(VLOOKUP(Table1[[#This Row],[SKU]],'All Skus'!$A:$AC,24,FALSE)),"")))</f>
        <v>https://www.akg.com/2955X00280.html</v>
      </c>
      <c r="U332" s="151">
        <v>330</v>
      </c>
    </row>
    <row r="333" spans="1:21" ht="16.149999999999999" hidden="1" customHeight="1">
      <c r="A333" s="50" t="s">
        <v>486</v>
      </c>
      <c r="B333" s="52" t="str">
        <f>(IF((VLOOKUP(Table1[[#This Row],[SKU]],'All Skus'!$A:$AC,2,FALSE))="AKG",(VLOOKUP(Table1[[#This Row],[SKU]],'All Skus'!$A:$AC,3,FALSE)), ""))</f>
        <v>Headphones</v>
      </c>
      <c r="C333" s="60" t="str">
        <f>(IF((VLOOKUP(Table1[[#This Row],[SKU]],'All Skus'!$A:$AC,2,FALSE))="AKG",(VLOOKUP(Table1[[#This Row],[SKU]],'All Skus'!$A:$AC,4,FALSE)),""))</f>
        <v>HSC271</v>
      </c>
      <c r="D333" s="60" t="str">
        <f>(IF((VLOOKUP(Table1[[#This Row],[SKU]],'All Skus'!$A:$AC,2,FALSE))="AKG",(VLOOKUP(Table1[[#This Row],[SKU]],'All Skus'!$A:$AC,5,FALSE)),""))</f>
        <v>AT210030</v>
      </c>
      <c r="E333" s="60">
        <f>(IF((VLOOKUP(Table1[[#This Row],[SKU]],'All Skus'!$A:$AC,2,FALSE))="AKG",(VLOOKUP(Table1[[#This Row],[SKU]],'All Skus'!$A:$AC,6,FALSE)),""))</f>
        <v>0</v>
      </c>
      <c r="F333" s="60">
        <f>(IF((VLOOKUP(Table1[[#This Row],[SKU]],'All Skus'!$A:$AC,2,FALSE))="AKG",(VLOOKUP(Table1[[#This Row],[SKU]],'All Skus'!$A:$AC,7,FALSE)),""))</f>
        <v>0</v>
      </c>
      <c r="G333" s="45" t="str">
        <f>(IF((VLOOKUP(Table1[[#This Row],[SKU]],'All Skus'!$A:$AC,2,FALSE))="AKG",(VLOOKUP(Table1[[#This Row],[SKU]],'All Skus'!$A:$AC,8,FALSE)),""))</f>
        <v>Headset</v>
      </c>
      <c r="H333" s="45" t="str">
        <f>(IF((VLOOKUP(Table1[[#This Row],[SKU]],'All Skus'!$A:$AC,2,FALSE))="AKG",(VLOOKUP(Table1[[#This Row],[SKU]],'All Skus'!$A:$AC,9,FALSE)),""))</f>
        <v>Prof. closed-back headsets derived from K 271 headphones with condenser mic for broadcast and recording use. Without muting function. MK HS cable not included.</v>
      </c>
      <c r="I333" s="141">
        <f>(IF((VLOOKUP(Table1[[#This Row],[SKU]],'All Skus'!$A:$AC,2,FALSE))="AKG",(VLOOKUP(Table1[[#This Row],[SKU]],'All Skus'!$A:$AC,10,FALSE)),""))</f>
        <v>385</v>
      </c>
      <c r="J333" s="141">
        <f>(IF((VLOOKUP(Table1[[#This Row],[SKU]],'All Skus'!$A:$AC,2,FALSE))="AKG",(VLOOKUP(Table1[[#This Row],[SKU]],'All Skus'!$A:$AC,11,FALSE)),""))</f>
        <v>300</v>
      </c>
      <c r="K333" s="125">
        <f>(IF((VLOOKUP(Table1[[#This Row],[SKU]],'All Skus'!$A:$AC,2,FALSE))="AKG",(VLOOKUP(Table1[[#This Row],[SKU]],'All Skus'!$A:$AC,15,FALSE)),""))</f>
        <v>0</v>
      </c>
      <c r="L333" s="124">
        <f>(IF((VLOOKUP(Table1[[#This Row],[SKU]],'All Skus'!$A:$AC,2,FALSE))="AKG",(VLOOKUP(Table1[[#This Row],[SKU]],'All Skus'!$A:$AC,16,FALSE)),""))</f>
        <v>885038028871</v>
      </c>
      <c r="M333" s="124">
        <f>(IF((VLOOKUP(Table1[[#This Row],[SKU]],'All Skus'!$A:$AC,2,FALSE))="AKG",(VLOOKUP(Table1[[#This Row],[SKU]],'All Skus'!$A:$AC,17,FALSE)),""))</f>
        <v>9002761028874</v>
      </c>
      <c r="N333" s="64">
        <f>(IF((VLOOKUP(Table1[[#This Row],[SKU]],'All Skus'!$A:$AC,2,FALSE))="AKG",(VLOOKUP(Table1[[#This Row],[SKU]],'All Skus'!$A:$AC,18,FALSE)),""))</f>
        <v>5</v>
      </c>
      <c r="O333" s="64">
        <f>(IF((VLOOKUP(Table1[[#This Row],[SKU]],'All Skus'!$A:$AC,2,FALSE))="AKG",(VLOOKUP(Table1[[#This Row],[SKU]],'All Skus'!$A:$AC,19,FALSE)),""))</f>
        <v>9</v>
      </c>
      <c r="P333" s="64">
        <f>(IF((VLOOKUP(Table1[[#This Row],[SKU]],'All Skus'!$A:$AC,2,FALSE))="AKG",(VLOOKUP(Table1[[#This Row],[SKU]],'All Skus'!$A:$AC,20,FALSE)),""))</f>
        <v>9</v>
      </c>
      <c r="Q333" s="64">
        <f>(IF((VLOOKUP(Table1[[#This Row],[SKU]],'All Skus'!$A:$AC,2,FALSE))="AKG",(VLOOKUP(Table1[[#This Row],[SKU]],'All Skus'!$A:$AC,21,FALSE)),""))</f>
        <v>4.4000000000000004</v>
      </c>
      <c r="R333" s="64" t="str">
        <f>(IF((VLOOKUP(Table1[[#This Row],[SKU]],'All Skus'!$A:$AC,2,FALSE))="AKG",(VLOOKUP(Table1[[#This Row],[SKU]],'All Skus'!$A:$AC,22,FALSE)),""))</f>
        <v>CN</v>
      </c>
      <c r="S333" s="64" t="str">
        <f>(IF((VLOOKUP(Table1[[#This Row],[SKU]],'All Skus'!$A:$AC,2,FALSE))="AKG",(VLOOKUP(Table1[[#This Row],[SKU]],'All Skus'!$A:$AC,23,FALSE)),""))</f>
        <v>Non Compliant</v>
      </c>
      <c r="T333" s="210" t="str">
        <f>HYPERLINK((IF((VLOOKUP(Table1[[#This Row],[SKU]],'All Skus'!$A:$AC,2,FALSE))="AKG",(VLOOKUP(Table1[[#This Row],[SKU]],'All Skus'!$A:$AC,24,FALSE)),"")))</f>
        <v>https://www.akg.com/2955X00290.html</v>
      </c>
      <c r="U333" s="151">
        <v>331</v>
      </c>
    </row>
    <row r="334" spans="1:21" ht="15" hidden="1" customHeight="1">
      <c r="A334" s="50" t="s">
        <v>487</v>
      </c>
      <c r="B334" s="52" t="str">
        <f>(IF((VLOOKUP(Table1[[#This Row],[SKU]],'All Skus'!$A:$AC,2,FALSE))="AKG",(VLOOKUP(Table1[[#This Row],[SKU]],'All Skus'!$A:$AC,3,FALSE)), ""))</f>
        <v>Headphones</v>
      </c>
      <c r="C334" s="60" t="str">
        <f>(IF((VLOOKUP(Table1[[#This Row],[SKU]],'All Skus'!$A:$AC,2,FALSE))="AKG",(VLOOKUP(Table1[[#This Row],[SKU]],'All Skus'!$A:$AC,4,FALSE)),""))</f>
        <v>HSC171 Studio Set</v>
      </c>
      <c r="D334" s="60" t="str">
        <f>(IF((VLOOKUP(Table1[[#This Row],[SKU]],'All Skus'!$A:$AC,2,FALSE))="AKG",(VLOOKUP(Table1[[#This Row],[SKU]],'All Skus'!$A:$AC,5,FALSE)),""))</f>
        <v>AT110020</v>
      </c>
      <c r="E334" s="60">
        <f>(IF((VLOOKUP(Table1[[#This Row],[SKU]],'All Skus'!$A:$AC,2,FALSE))="AKG",(VLOOKUP(Table1[[#This Row],[SKU]],'All Skus'!$A:$AC,6,FALSE)),""))</f>
        <v>0</v>
      </c>
      <c r="F334" s="60" t="str">
        <f>(IF((VLOOKUP(Table1[[#This Row],[SKU]],'All Skus'!$A:$AC,2,FALSE))="AKG",(VLOOKUP(Table1[[#This Row],[SKU]],'All Skus'!$A:$AC,7,FALSE)),""))</f>
        <v>Limited Quantity</v>
      </c>
      <c r="G334" s="45">
        <f>(IF((VLOOKUP(Table1[[#This Row],[SKU]],'All Skus'!$A:$AC,2,FALSE))="AKG",(VLOOKUP(Table1[[#This Row],[SKU]],'All Skus'!$A:$AC,8,FALSE)),""))</f>
        <v>0</v>
      </c>
      <c r="H334" s="45">
        <f>(IF((VLOOKUP(Table1[[#This Row],[SKU]],'All Skus'!$A:$AC,2,FALSE))="AKG",(VLOOKUP(Table1[[#This Row],[SKU]],'All Skus'!$A:$AC,9,FALSE)),""))</f>
        <v>0</v>
      </c>
      <c r="I334" s="141">
        <f>(IF((VLOOKUP(Table1[[#This Row],[SKU]],'All Skus'!$A:$AC,2,FALSE))="AKG",(VLOOKUP(Table1[[#This Row],[SKU]],'All Skus'!$A:$AC,10,FALSE)),""))</f>
        <v>360</v>
      </c>
      <c r="J334" s="141">
        <f>(IF((VLOOKUP(Table1[[#This Row],[SKU]],'All Skus'!$A:$AC,2,FALSE))="AKG",(VLOOKUP(Table1[[#This Row],[SKU]],'All Skus'!$A:$AC,11,FALSE)),""))</f>
        <v>290</v>
      </c>
      <c r="K334" s="125">
        <f>(IF((VLOOKUP(Table1[[#This Row],[SKU]],'All Skus'!$A:$AC,2,FALSE))="AKG",(VLOOKUP(Table1[[#This Row],[SKU]],'All Skus'!$A:$AC,15,FALSE)),""))</f>
        <v>0</v>
      </c>
      <c r="L334" s="124">
        <f>(IF((VLOOKUP(Table1[[#This Row],[SKU]],'All Skus'!$A:$AC,2,FALSE))="AKG",(VLOOKUP(Table1[[#This Row],[SKU]],'All Skus'!$A:$AC,16,FALSE)),""))</f>
        <v>885038039679</v>
      </c>
      <c r="M334" s="124">
        <f>(IF((VLOOKUP(Table1[[#This Row],[SKU]],'All Skus'!$A:$AC,2,FALSE))="AKG",(VLOOKUP(Table1[[#This Row],[SKU]],'All Skus'!$A:$AC,17,FALSE)),""))</f>
        <v>0</v>
      </c>
      <c r="N334" s="64">
        <f>(IF((VLOOKUP(Table1[[#This Row],[SKU]],'All Skus'!$A:$AC,2,FALSE))="AKG",(VLOOKUP(Table1[[#This Row],[SKU]],'All Skus'!$A:$AC,18,FALSE)),""))</f>
        <v>9.5</v>
      </c>
      <c r="O334" s="64">
        <f>(IF((VLOOKUP(Table1[[#This Row],[SKU]],'All Skus'!$A:$AC,2,FALSE))="AKG",(VLOOKUP(Table1[[#This Row],[SKU]],'All Skus'!$A:$AC,19,FALSE)),""))</f>
        <v>4.5</v>
      </c>
      <c r="P334" s="64">
        <f>(IF((VLOOKUP(Table1[[#This Row],[SKU]],'All Skus'!$A:$AC,2,FALSE))="AKG",(VLOOKUP(Table1[[#This Row],[SKU]],'All Skus'!$A:$AC,20,FALSE)),""))</f>
        <v>9</v>
      </c>
      <c r="Q334" s="64">
        <f>(IF((VLOOKUP(Table1[[#This Row],[SKU]],'All Skus'!$A:$AC,2,FALSE))="AKG",(VLOOKUP(Table1[[#This Row],[SKU]],'All Skus'!$A:$AC,21,FALSE)),""))</f>
        <v>7.88</v>
      </c>
      <c r="R334" s="64" t="str">
        <f>(IF((VLOOKUP(Table1[[#This Row],[SKU]],'All Skus'!$A:$AC,2,FALSE))="AKG",(VLOOKUP(Table1[[#This Row],[SKU]],'All Skus'!$A:$AC,22,FALSE)),""))</f>
        <v>HU</v>
      </c>
      <c r="S334" s="64" t="str">
        <f>(IF((VLOOKUP(Table1[[#This Row],[SKU]],'All Skus'!$A:$AC,2,FALSE))="AKG",(VLOOKUP(Table1[[#This Row],[SKU]],'All Skus'!$A:$AC,23,FALSE)),""))</f>
        <v>Compliant</v>
      </c>
      <c r="T334" s="210" t="str">
        <f>HYPERLINK((IF((VLOOKUP(Table1[[#This Row],[SKU]],'All Skus'!$A:$AC,2,FALSE))="AKG",(VLOOKUP(Table1[[#This Row],[SKU]],'All Skus'!$A:$AC,24,FALSE)),"")))</f>
        <v>https://www.akg.com/2955X00310.html</v>
      </c>
      <c r="U334" s="151">
        <v>332</v>
      </c>
    </row>
    <row r="335" spans="1:21" ht="15" hidden="1" customHeight="1">
      <c r="A335" s="50" t="s">
        <v>488</v>
      </c>
      <c r="B335" s="52" t="str">
        <f>(IF((VLOOKUP(Table1[[#This Row],[SKU]],'All Skus'!$A:$AC,2,FALSE))="AKG",(VLOOKUP(Table1[[#This Row],[SKU]],'All Skus'!$A:$AC,3,FALSE)), ""))</f>
        <v>Headphones</v>
      </c>
      <c r="C335" s="60" t="str">
        <f>(IF((VLOOKUP(Table1[[#This Row],[SKU]],'All Skus'!$A:$AC,2,FALSE))="AKG",(VLOOKUP(Table1[[#This Row],[SKU]],'All Skus'!$A:$AC,4,FALSE)),""))</f>
        <v>HSD271 Studio Set</v>
      </c>
      <c r="D335" s="60" t="str">
        <f>(IF((VLOOKUP(Table1[[#This Row],[SKU]],'All Skus'!$A:$AC,2,FALSE))="AKG",(VLOOKUP(Table1[[#This Row],[SKU]],'All Skus'!$A:$AC,5,FALSE)),""))</f>
        <v>AT110020</v>
      </c>
      <c r="E335" s="60">
        <f>(IF((VLOOKUP(Table1[[#This Row],[SKU]],'All Skus'!$A:$AC,2,FALSE))="AKG",(VLOOKUP(Table1[[#This Row],[SKU]],'All Skus'!$A:$AC,6,FALSE)),""))</f>
        <v>0</v>
      </c>
      <c r="F335" s="60">
        <f>(IF((VLOOKUP(Table1[[#This Row],[SKU]],'All Skus'!$A:$AC,2,FALSE))="AKG",(VLOOKUP(Table1[[#This Row],[SKU]],'All Skus'!$A:$AC,7,FALSE)),""))</f>
        <v>0</v>
      </c>
      <c r="G335" s="45" t="str">
        <f>(IF((VLOOKUP(Table1[[#This Row],[SKU]],'All Skus'!$A:$AC,2,FALSE))="AKG",(VLOOKUP(Table1[[#This Row],[SKU]],'All Skus'!$A:$AC,8,FALSE)),""))</f>
        <v>Headset</v>
      </c>
      <c r="H335" s="45" t="str">
        <f>(IF((VLOOKUP(Table1[[#This Row],[SKU]],'All Skus'!$A:$AC,2,FALSE))="AKG",(VLOOKUP(Table1[[#This Row],[SKU]],'All Skus'!$A:$AC,9,FALSE)),""))</f>
        <v>High-Performance conference headset</v>
      </c>
      <c r="I335" s="141">
        <f>(IF((VLOOKUP(Table1[[#This Row],[SKU]],'All Skus'!$A:$AC,2,FALSE))="AKG",(VLOOKUP(Table1[[#This Row],[SKU]],'All Skus'!$A:$AC,10,FALSE)),""))</f>
        <v>395</v>
      </c>
      <c r="J335" s="141">
        <f>(IF((VLOOKUP(Table1[[#This Row],[SKU]],'All Skus'!$A:$AC,2,FALSE))="AKG",(VLOOKUP(Table1[[#This Row],[SKU]],'All Skus'!$A:$AC,11,FALSE)),""))</f>
        <v>315</v>
      </c>
      <c r="K335" s="125">
        <f>(IF((VLOOKUP(Table1[[#This Row],[SKU]],'All Skus'!$A:$AC,2,FALSE))="AKG",(VLOOKUP(Table1[[#This Row],[SKU]],'All Skus'!$A:$AC,15,FALSE)),""))</f>
        <v>0</v>
      </c>
      <c r="L335" s="124">
        <f>(IF((VLOOKUP(Table1[[#This Row],[SKU]],'All Skus'!$A:$AC,2,FALSE))="AKG",(VLOOKUP(Table1[[#This Row],[SKU]],'All Skus'!$A:$AC,16,FALSE)),""))</f>
        <v>885038039686</v>
      </c>
      <c r="M335" s="124">
        <f>(IF((VLOOKUP(Table1[[#This Row],[SKU]],'All Skus'!$A:$AC,2,FALSE))="AKG",(VLOOKUP(Table1[[#This Row],[SKU]],'All Skus'!$A:$AC,17,FALSE)),""))</f>
        <v>0</v>
      </c>
      <c r="N335" s="64">
        <f>(IF((VLOOKUP(Table1[[#This Row],[SKU]],'All Skus'!$A:$AC,2,FALSE))="AKG",(VLOOKUP(Table1[[#This Row],[SKU]],'All Skus'!$A:$AC,18,FALSE)),""))</f>
        <v>9</v>
      </c>
      <c r="O335" s="64">
        <f>(IF((VLOOKUP(Table1[[#This Row],[SKU]],'All Skus'!$A:$AC,2,FALSE))="AKG",(VLOOKUP(Table1[[#This Row],[SKU]],'All Skus'!$A:$AC,19,FALSE)),""))</f>
        <v>4.5</v>
      </c>
      <c r="P335" s="64">
        <f>(IF((VLOOKUP(Table1[[#This Row],[SKU]],'All Skus'!$A:$AC,2,FALSE))="AKG",(VLOOKUP(Table1[[#This Row],[SKU]],'All Skus'!$A:$AC,20,FALSE)),""))</f>
        <v>9</v>
      </c>
      <c r="Q335" s="64">
        <f>(IF((VLOOKUP(Table1[[#This Row],[SKU]],'All Skus'!$A:$AC,2,FALSE))="AKG",(VLOOKUP(Table1[[#This Row],[SKU]],'All Skus'!$A:$AC,21,FALSE)),""))</f>
        <v>7.88</v>
      </c>
      <c r="R335" s="64" t="str">
        <f>(IF((VLOOKUP(Table1[[#This Row],[SKU]],'All Skus'!$A:$AC,2,FALSE))="AKG",(VLOOKUP(Table1[[#This Row],[SKU]],'All Skus'!$A:$AC,22,FALSE)),""))</f>
        <v>HU</v>
      </c>
      <c r="S335" s="64" t="str">
        <f>(IF((VLOOKUP(Table1[[#This Row],[SKU]],'All Skus'!$A:$AC,2,FALSE))="AKG",(VLOOKUP(Table1[[#This Row],[SKU]],'All Skus'!$A:$AC,23,FALSE)),""))</f>
        <v>Compliant</v>
      </c>
      <c r="T335" s="210" t="str">
        <f>HYPERLINK((IF((VLOOKUP(Table1[[#This Row],[SKU]],'All Skus'!$A:$AC,2,FALSE))="AKG",(VLOOKUP(Table1[[#This Row],[SKU]],'All Skus'!$A:$AC,24,FALSE)),"")))</f>
        <v>https://www.akg.com/2955X00320.html</v>
      </c>
      <c r="U335" s="151">
        <v>333</v>
      </c>
    </row>
    <row r="336" spans="1:21" ht="15" hidden="1" customHeight="1">
      <c r="A336" s="50" t="s">
        <v>489</v>
      </c>
      <c r="B336" s="52" t="str">
        <f>(IF((VLOOKUP(Table1[[#This Row],[SKU]],'All Skus'!$A:$AC,2,FALSE))="AKG",(VLOOKUP(Table1[[#This Row],[SKU]],'All Skus'!$A:$AC,3,FALSE)), ""))</f>
        <v>Headphones</v>
      </c>
      <c r="C336" s="60" t="str">
        <f>(IF((VLOOKUP(Table1[[#This Row],[SKU]],'All Skus'!$A:$AC,2,FALSE))="AKG",(VLOOKUP(Table1[[#This Row],[SKU]],'All Skus'!$A:$AC,4,FALSE)),""))</f>
        <v>HSC271 Studio Set</v>
      </c>
      <c r="D336" s="60" t="str">
        <f>(IF((VLOOKUP(Table1[[#This Row],[SKU]],'All Skus'!$A:$AC,2,FALSE))="AKG",(VLOOKUP(Table1[[#This Row],[SKU]],'All Skus'!$A:$AC,5,FALSE)),""))</f>
        <v>AT110020</v>
      </c>
      <c r="E336" s="60">
        <f>(IF((VLOOKUP(Table1[[#This Row],[SKU]],'All Skus'!$A:$AC,2,FALSE))="AKG",(VLOOKUP(Table1[[#This Row],[SKU]],'All Skus'!$A:$AC,6,FALSE)),""))</f>
        <v>0</v>
      </c>
      <c r="F336" s="60">
        <f>(IF((VLOOKUP(Table1[[#This Row],[SKU]],'All Skus'!$A:$AC,2,FALSE))="AKG",(VLOOKUP(Table1[[#This Row],[SKU]],'All Skus'!$A:$AC,7,FALSE)),""))</f>
        <v>0</v>
      </c>
      <c r="G336" s="45">
        <f>(IF((VLOOKUP(Table1[[#This Row],[SKU]],'All Skus'!$A:$AC,2,FALSE))="AKG",(VLOOKUP(Table1[[#This Row],[SKU]],'All Skus'!$A:$AC,8,FALSE)),""))</f>
        <v>0</v>
      </c>
      <c r="H336" s="45">
        <f>(IF((VLOOKUP(Table1[[#This Row],[SKU]],'All Skus'!$A:$AC,2,FALSE))="AKG",(VLOOKUP(Table1[[#This Row],[SKU]],'All Skus'!$A:$AC,9,FALSE)),""))</f>
        <v>0</v>
      </c>
      <c r="I336" s="141">
        <f>(IF((VLOOKUP(Table1[[#This Row],[SKU]],'All Skus'!$A:$AC,2,FALSE))="AKG",(VLOOKUP(Table1[[#This Row],[SKU]],'All Skus'!$A:$AC,10,FALSE)),""))</f>
        <v>395</v>
      </c>
      <c r="J336" s="141">
        <f>(IF((VLOOKUP(Table1[[#This Row],[SKU]],'All Skus'!$A:$AC,2,FALSE))="AKG",(VLOOKUP(Table1[[#This Row],[SKU]],'All Skus'!$A:$AC,11,FALSE)),""))</f>
        <v>315</v>
      </c>
      <c r="K336" s="125">
        <f>(IF((VLOOKUP(Table1[[#This Row],[SKU]],'All Skus'!$A:$AC,2,FALSE))="AKG",(VLOOKUP(Table1[[#This Row],[SKU]],'All Skus'!$A:$AC,15,FALSE)),""))</f>
        <v>0</v>
      </c>
      <c r="L336" s="124">
        <f>(IF((VLOOKUP(Table1[[#This Row],[SKU]],'All Skus'!$A:$AC,2,FALSE))="AKG",(VLOOKUP(Table1[[#This Row],[SKU]],'All Skus'!$A:$AC,16,FALSE)),""))</f>
        <v>885038039693</v>
      </c>
      <c r="M336" s="124">
        <f>(IF((VLOOKUP(Table1[[#This Row],[SKU]],'All Skus'!$A:$AC,2,FALSE))="AKG",(VLOOKUP(Table1[[#This Row],[SKU]],'All Skus'!$A:$AC,17,FALSE)),""))</f>
        <v>0</v>
      </c>
      <c r="N336" s="64">
        <f>(IF((VLOOKUP(Table1[[#This Row],[SKU]],'All Skus'!$A:$AC,2,FALSE))="AKG",(VLOOKUP(Table1[[#This Row],[SKU]],'All Skus'!$A:$AC,18,FALSE)),""))</f>
        <v>5</v>
      </c>
      <c r="O336" s="64">
        <f>(IF((VLOOKUP(Table1[[#This Row],[SKU]],'All Skus'!$A:$AC,2,FALSE))="AKG",(VLOOKUP(Table1[[#This Row],[SKU]],'All Skus'!$A:$AC,19,FALSE)),""))</f>
        <v>9.5</v>
      </c>
      <c r="P336" s="64">
        <f>(IF((VLOOKUP(Table1[[#This Row],[SKU]],'All Skus'!$A:$AC,2,FALSE))="AKG",(VLOOKUP(Table1[[#This Row],[SKU]],'All Skus'!$A:$AC,20,FALSE)),""))</f>
        <v>9</v>
      </c>
      <c r="Q336" s="64">
        <f>(IF((VLOOKUP(Table1[[#This Row],[SKU]],'All Skus'!$A:$AC,2,FALSE))="AKG",(VLOOKUP(Table1[[#This Row],[SKU]],'All Skus'!$A:$AC,21,FALSE)),""))</f>
        <v>7.88</v>
      </c>
      <c r="R336" s="64" t="str">
        <f>(IF((VLOOKUP(Table1[[#This Row],[SKU]],'All Skus'!$A:$AC,2,FALSE))="AKG",(VLOOKUP(Table1[[#This Row],[SKU]],'All Skus'!$A:$AC,22,FALSE)),""))</f>
        <v>HU</v>
      </c>
      <c r="S336" s="64" t="str">
        <f>(IF((VLOOKUP(Table1[[#This Row],[SKU]],'All Skus'!$A:$AC,2,FALSE))="AKG",(VLOOKUP(Table1[[#This Row],[SKU]],'All Skus'!$A:$AC,23,FALSE)),""))</f>
        <v>Compliant</v>
      </c>
      <c r="T336" s="210" t="str">
        <f>HYPERLINK((IF((VLOOKUP(Table1[[#This Row],[SKU]],'All Skus'!$A:$AC,2,FALSE))="AKG",(VLOOKUP(Table1[[#This Row],[SKU]],'All Skus'!$A:$AC,24,FALSE)),"")))</f>
        <v>https://www.akg.com/2955X00330.html</v>
      </c>
      <c r="U336" s="151">
        <v>334</v>
      </c>
    </row>
    <row r="337" spans="1:21" ht="15" hidden="1" customHeight="1">
      <c r="A337" s="50" t="s">
        <v>490</v>
      </c>
      <c r="B337" s="52" t="str">
        <f>(IF((VLOOKUP(Table1[[#This Row],[SKU]],'All Skus'!$A:$AC,2,FALSE))="AKG",(VLOOKUP(Table1[[#This Row],[SKU]],'All Skus'!$A:$AC,3,FALSE)), ""))</f>
        <v>Accessories</v>
      </c>
      <c r="C337" s="60" t="str">
        <f>(IF((VLOOKUP(Table1[[#This Row],[SKU]],'All Skus'!$A:$AC,2,FALSE))="AKG",(VLOOKUP(Table1[[#This Row],[SKU]],'All Skus'!$A:$AC,4,FALSE)),""))</f>
        <v>MK HS XLR 5D</v>
      </c>
      <c r="D337" s="60" t="str">
        <f>(IF((VLOOKUP(Table1[[#This Row],[SKU]],'All Skus'!$A:$AC,2,FALSE))="AKG",(VLOOKUP(Table1[[#This Row],[SKU]],'All Skus'!$A:$AC,5,FALSE)),""))</f>
        <v>AT110020</v>
      </c>
      <c r="E337" s="60" t="str">
        <f>(IF((VLOOKUP(Table1[[#This Row],[SKU]],'All Skus'!$A:$AC,2,FALSE))="AKG",(VLOOKUP(Table1[[#This Row],[SKU]],'All Skus'!$A:$AC,6,FALSE)),""))</f>
        <v>2955H00460</v>
      </c>
      <c r="F337" s="60">
        <f>(IF((VLOOKUP(Table1[[#This Row],[SKU]],'All Skus'!$A:$AC,2,FALSE))="AKG",(VLOOKUP(Table1[[#This Row],[SKU]],'All Skus'!$A:$AC,7,FALSE)),""))</f>
        <v>0</v>
      </c>
      <c r="G337" s="45" t="str">
        <f>(IF((VLOOKUP(Table1[[#This Row],[SKU]],'All Skus'!$A:$AC,2,FALSE))="AKG",(VLOOKUP(Table1[[#This Row],[SKU]],'All Skus'!$A:$AC,8,FALSE)),""))</f>
        <v>Cable</v>
      </c>
      <c r="H337" s="45" t="str">
        <f>(IF((VLOOKUP(Table1[[#This Row],[SKU]],'All Skus'!$A:$AC,2,FALSE))="AKG",(VLOOKUP(Table1[[#This Row],[SKU]],'All Skus'!$A:$AC,9,FALSE)),""))</f>
        <v>Headset cable for cameras, Intercom, (5pin XLR male)</v>
      </c>
      <c r="I337" s="141">
        <f>(IF((VLOOKUP(Table1[[#This Row],[SKU]],'All Skus'!$A:$AC,2,FALSE))="AKG",(VLOOKUP(Table1[[#This Row],[SKU]],'All Skus'!$A:$AC,10,FALSE)),""))</f>
        <v>73.23</v>
      </c>
      <c r="J337" s="141">
        <f>(IF((VLOOKUP(Table1[[#This Row],[SKU]],'All Skus'!$A:$AC,2,FALSE))="AKG",(VLOOKUP(Table1[[#This Row],[SKU]],'All Skus'!$A:$AC,11,FALSE)),""))</f>
        <v>72</v>
      </c>
      <c r="K337" s="125">
        <f>(IF((VLOOKUP(Table1[[#This Row],[SKU]],'All Skus'!$A:$AC,2,FALSE))="AKG",(VLOOKUP(Table1[[#This Row],[SKU]],'All Skus'!$A:$AC,15,FALSE)),""))</f>
        <v>0</v>
      </c>
      <c r="L337" s="124">
        <f>(IF((VLOOKUP(Table1[[#This Row],[SKU]],'All Skus'!$A:$AC,2,FALSE))="AKG",(VLOOKUP(Table1[[#This Row],[SKU]],'All Skus'!$A:$AC,16,FALSE)),""))</f>
        <v>885038028918</v>
      </c>
      <c r="M337" s="124">
        <f>(IF((VLOOKUP(Table1[[#This Row],[SKU]],'All Skus'!$A:$AC,2,FALSE))="AKG",(VLOOKUP(Table1[[#This Row],[SKU]],'All Skus'!$A:$AC,17,FALSE)),""))</f>
        <v>9002761028911</v>
      </c>
      <c r="N337" s="64">
        <f>(IF((VLOOKUP(Table1[[#This Row],[SKU]],'All Skus'!$A:$AC,2,FALSE))="AKG",(VLOOKUP(Table1[[#This Row],[SKU]],'All Skus'!$A:$AC,18,FALSE)),""))</f>
        <v>1</v>
      </c>
      <c r="O337" s="64">
        <f>(IF((VLOOKUP(Table1[[#This Row],[SKU]],'All Skus'!$A:$AC,2,FALSE))="AKG",(VLOOKUP(Table1[[#This Row],[SKU]],'All Skus'!$A:$AC,19,FALSE)),""))</f>
        <v>5</v>
      </c>
      <c r="P337" s="64">
        <f>(IF((VLOOKUP(Table1[[#This Row],[SKU]],'All Skus'!$A:$AC,2,FALSE))="AKG",(VLOOKUP(Table1[[#This Row],[SKU]],'All Skus'!$A:$AC,20,FALSE)),""))</f>
        <v>5</v>
      </c>
      <c r="Q337" s="64">
        <f>(IF((VLOOKUP(Table1[[#This Row],[SKU]],'All Skus'!$A:$AC,2,FALSE))="AKG",(VLOOKUP(Table1[[#This Row],[SKU]],'All Skus'!$A:$AC,21,FALSE)),""))</f>
        <v>0.8</v>
      </c>
      <c r="R337" s="64" t="str">
        <f>(IF((VLOOKUP(Table1[[#This Row],[SKU]],'All Skus'!$A:$AC,2,FALSE))="AKG",(VLOOKUP(Table1[[#This Row],[SKU]],'All Skus'!$A:$AC,22,FALSE)),""))</f>
        <v>CN</v>
      </c>
      <c r="S337" s="64" t="str">
        <f>(IF((VLOOKUP(Table1[[#This Row],[SKU]],'All Skus'!$A:$AC,2,FALSE))="AKG",(VLOOKUP(Table1[[#This Row],[SKU]],'All Skus'!$A:$AC,23,FALSE)),""))</f>
        <v>Non Compliant</v>
      </c>
      <c r="T337" s="210" t="str">
        <f>HYPERLINK((IF((VLOOKUP(Table1[[#This Row],[SKU]],'All Skus'!$A:$AC,2,FALSE))="AKG",(VLOOKUP(Table1[[#This Row],[SKU]],'All Skus'!$A:$AC,24,FALSE)),"")))</f>
        <v>https://www.akg.com/2955H00460.html</v>
      </c>
      <c r="U337" s="151">
        <v>335</v>
      </c>
    </row>
    <row r="338" spans="1:21" ht="15" hidden="1" customHeight="1">
      <c r="A338" s="50" t="s">
        <v>491</v>
      </c>
      <c r="B338" s="52" t="str">
        <f>(IF((VLOOKUP(Table1[[#This Row],[SKU]],'All Skus'!$A:$AC,2,FALSE))="AKG",(VLOOKUP(Table1[[#This Row],[SKU]],'All Skus'!$A:$AC,3,FALSE)), ""))</f>
        <v>Accessories</v>
      </c>
      <c r="C338" s="60" t="str">
        <f>(IF((VLOOKUP(Table1[[#This Row],[SKU]],'All Skus'!$A:$AC,2,FALSE))="AKG",(VLOOKUP(Table1[[#This Row],[SKU]],'All Skus'!$A:$AC,4,FALSE)),""))</f>
        <v>MK HS XLR 4D</v>
      </c>
      <c r="D338" s="60" t="str">
        <f>(IF((VLOOKUP(Table1[[#This Row],[SKU]],'All Skus'!$A:$AC,2,FALSE))="AKG",(VLOOKUP(Table1[[#This Row],[SKU]],'All Skus'!$A:$AC,5,FALSE)),""))</f>
        <v>AT210030</v>
      </c>
      <c r="E338" s="60">
        <f>(IF((VLOOKUP(Table1[[#This Row],[SKU]],'All Skus'!$A:$AC,2,FALSE))="AKG",(VLOOKUP(Table1[[#This Row],[SKU]],'All Skus'!$A:$AC,6,FALSE)),""))</f>
        <v>0</v>
      </c>
      <c r="F338" s="60">
        <f>(IF((VLOOKUP(Table1[[#This Row],[SKU]],'All Skus'!$A:$AC,2,FALSE))="AKG",(VLOOKUP(Table1[[#This Row],[SKU]],'All Skus'!$A:$AC,7,FALSE)),""))</f>
        <v>0</v>
      </c>
      <c r="G338" s="45" t="str">
        <f>(IF((VLOOKUP(Table1[[#This Row],[SKU]],'All Skus'!$A:$AC,2,FALSE))="AKG",(VLOOKUP(Table1[[#This Row],[SKU]],'All Skus'!$A:$AC,8,FALSE)),""))</f>
        <v>Cable</v>
      </c>
      <c r="H338" s="45" t="str">
        <f>(IF((VLOOKUP(Table1[[#This Row],[SKU]],'All Skus'!$A:$AC,2,FALSE))="AKG",(VLOOKUP(Table1[[#This Row],[SKU]],'All Skus'!$A:$AC,9,FALSE)),""))</f>
        <v>Headset cable for Intercom, Broadcasting (4pin XLR female)</v>
      </c>
      <c r="I338" s="141">
        <f>(IF((VLOOKUP(Table1[[#This Row],[SKU]],'All Skus'!$A:$AC,2,FALSE))="AKG",(VLOOKUP(Table1[[#This Row],[SKU]],'All Skus'!$A:$AC,10,FALSE)),""))</f>
        <v>67.23</v>
      </c>
      <c r="J338" s="141">
        <f>(IF((VLOOKUP(Table1[[#This Row],[SKU]],'All Skus'!$A:$AC,2,FALSE))="AKG",(VLOOKUP(Table1[[#This Row],[SKU]],'All Skus'!$A:$AC,11,FALSE)),""))</f>
        <v>61</v>
      </c>
      <c r="K338" s="125">
        <f>(IF((VLOOKUP(Table1[[#This Row],[SKU]],'All Skus'!$A:$AC,2,FALSE))="AKG",(VLOOKUP(Table1[[#This Row],[SKU]],'All Skus'!$A:$AC,15,FALSE)),""))</f>
        <v>0</v>
      </c>
      <c r="L338" s="124">
        <f>(IF((VLOOKUP(Table1[[#This Row],[SKU]],'All Skus'!$A:$AC,2,FALSE))="AKG",(VLOOKUP(Table1[[#This Row],[SKU]],'All Skus'!$A:$AC,16,FALSE)),""))</f>
        <v>885038028925</v>
      </c>
      <c r="M338" s="124">
        <f>(IF((VLOOKUP(Table1[[#This Row],[SKU]],'All Skus'!$A:$AC,2,FALSE))="AKG",(VLOOKUP(Table1[[#This Row],[SKU]],'All Skus'!$A:$AC,17,FALSE)),""))</f>
        <v>9002761028928</v>
      </c>
      <c r="N338" s="64">
        <f>(IF((VLOOKUP(Table1[[#This Row],[SKU]],'All Skus'!$A:$AC,2,FALSE))="AKG",(VLOOKUP(Table1[[#This Row],[SKU]],'All Skus'!$A:$AC,18,FALSE)),""))</f>
        <v>1</v>
      </c>
      <c r="O338" s="64">
        <f>(IF((VLOOKUP(Table1[[#This Row],[SKU]],'All Skus'!$A:$AC,2,FALSE))="AKG",(VLOOKUP(Table1[[#This Row],[SKU]],'All Skus'!$A:$AC,19,FALSE)),""))</f>
        <v>7</v>
      </c>
      <c r="P338" s="64">
        <f>(IF((VLOOKUP(Table1[[#This Row],[SKU]],'All Skus'!$A:$AC,2,FALSE))="AKG",(VLOOKUP(Table1[[#This Row],[SKU]],'All Skus'!$A:$AC,20,FALSE)),""))</f>
        <v>6</v>
      </c>
      <c r="Q338" s="64">
        <f>(IF((VLOOKUP(Table1[[#This Row],[SKU]],'All Skus'!$A:$AC,2,FALSE))="AKG",(VLOOKUP(Table1[[#This Row],[SKU]],'All Skus'!$A:$AC,21,FALSE)),""))</f>
        <v>0.8</v>
      </c>
      <c r="R338" s="64" t="str">
        <f>(IF((VLOOKUP(Table1[[#This Row],[SKU]],'All Skus'!$A:$AC,2,FALSE))="AKG",(VLOOKUP(Table1[[#This Row],[SKU]],'All Skus'!$A:$AC,22,FALSE)),""))</f>
        <v>CN</v>
      </c>
      <c r="S338" s="64" t="str">
        <f>(IF((VLOOKUP(Table1[[#This Row],[SKU]],'All Skus'!$A:$AC,2,FALSE))="AKG",(VLOOKUP(Table1[[#This Row],[SKU]],'All Skus'!$A:$AC,23,FALSE)),""))</f>
        <v>Non Compliant</v>
      </c>
      <c r="T338" s="210" t="str">
        <f>HYPERLINK((IF((VLOOKUP(Table1[[#This Row],[SKU]],'All Skus'!$A:$AC,2,FALSE))="AKG",(VLOOKUP(Table1[[#This Row],[SKU]],'All Skus'!$A:$AC,24,FALSE)),"")))</f>
        <v>https://www.akg.com/2955H00470.html</v>
      </c>
      <c r="U338" s="151">
        <v>336</v>
      </c>
    </row>
    <row r="339" spans="1:21" ht="15" hidden="1" customHeight="1">
      <c r="A339" s="50" t="s">
        <v>492</v>
      </c>
      <c r="B339" s="52" t="str">
        <f>(IF((VLOOKUP(Table1[[#This Row],[SKU]],'All Skus'!$A:$AC,2,FALSE))="AKG",(VLOOKUP(Table1[[#This Row],[SKU]],'All Skus'!$A:$AC,3,FALSE)), ""))</f>
        <v>Headphones</v>
      </c>
      <c r="C339" s="60" t="str">
        <f>(IF((VLOOKUP(Table1[[#This Row],[SKU]],'All Skus'!$A:$AC,2,FALSE))="AKG",(VLOOKUP(Table1[[#This Row],[SKU]],'All Skus'!$A:$AC,4,FALSE)),""))</f>
        <v>K72</v>
      </c>
      <c r="D339" s="60" t="str">
        <f>(IF((VLOOKUP(Table1[[#This Row],[SKU]],'All Skus'!$A:$AC,2,FALSE))="AKG",(VLOOKUP(Table1[[#This Row],[SKU]],'All Skus'!$A:$AC,5,FALSE)),""))</f>
        <v>AT110020</v>
      </c>
      <c r="E339" s="60">
        <f>(IF((VLOOKUP(Table1[[#This Row],[SKU]],'All Skus'!$A:$AC,2,FALSE))="AKG",(VLOOKUP(Table1[[#This Row],[SKU]],'All Skus'!$A:$AC,6,FALSE)),""))</f>
        <v>0</v>
      </c>
      <c r="F339" s="60">
        <f>(IF((VLOOKUP(Table1[[#This Row],[SKU]],'All Skus'!$A:$AC,2,FALSE))="AKG",(VLOOKUP(Table1[[#This Row],[SKU]],'All Skus'!$A:$AC,7,FALSE)),""))</f>
        <v>0</v>
      </c>
      <c r="G339" s="45" t="str">
        <f>(IF((VLOOKUP(Table1[[#This Row],[SKU]],'All Skus'!$A:$AC,2,FALSE))="AKG",(VLOOKUP(Table1[[#This Row],[SKU]],'All Skus'!$A:$AC,8,FALSE)),""))</f>
        <v>Closed-Back Studio Headphones</v>
      </c>
      <c r="H339" s="45" t="str">
        <f>(IF((VLOOKUP(Table1[[#This Row],[SKU]],'All Skus'!$A:$AC,2,FALSE))="AKG",(VLOOKUP(Table1[[#This Row],[SKU]],'All Skus'!$A:$AC,9,FALSE)),""))</f>
        <v xml:space="preserve">Professional studio headphones with 40mm drivers and closed back design ideal for studio recording and monitoring applications. Precisely balanced, 16Hz - 20 kHz response, self adjusting headband and 3 meter cable. 3.5mm (1/8-inch) plug with 6.3mm (1/4") adaptee. 32 Ohms impedance. </v>
      </c>
      <c r="I339" s="141">
        <f>(IF((VLOOKUP(Table1[[#This Row],[SKU]],'All Skus'!$A:$AC,2,FALSE))="AKG",(VLOOKUP(Table1[[#This Row],[SKU]],'All Skus'!$A:$AC,10,FALSE)),""))</f>
        <v>85</v>
      </c>
      <c r="J339" s="141">
        <f>(IF((VLOOKUP(Table1[[#This Row],[SKU]],'All Skus'!$A:$AC,2,FALSE))="AKG",(VLOOKUP(Table1[[#This Row],[SKU]],'All Skus'!$A:$AC,11,FALSE)),""))</f>
        <v>65</v>
      </c>
      <c r="K339" s="125">
        <f>(IF((VLOOKUP(Table1[[#This Row],[SKU]],'All Skus'!$A:$AC,2,FALSE))="AKG",(VLOOKUP(Table1[[#This Row],[SKU]],'All Skus'!$A:$AC,15,FALSE)),""))</f>
        <v>10</v>
      </c>
      <c r="L339" s="124">
        <f>(IF((VLOOKUP(Table1[[#This Row],[SKU]],'All Skus'!$A:$AC,2,FALSE))="AKG",(VLOOKUP(Table1[[#This Row],[SKU]],'All Skus'!$A:$AC,16,FALSE)),""))</f>
        <v>885038038788</v>
      </c>
      <c r="M339" s="124">
        <f>(IF((VLOOKUP(Table1[[#This Row],[SKU]],'All Skus'!$A:$AC,2,FALSE))="AKG",(VLOOKUP(Table1[[#This Row],[SKU]],'All Skus'!$A:$AC,17,FALSE)),""))</f>
        <v>9002761038781</v>
      </c>
      <c r="N339" s="64">
        <f>(IF((VLOOKUP(Table1[[#This Row],[SKU]],'All Skus'!$A:$AC,2,FALSE))="AKG",(VLOOKUP(Table1[[#This Row],[SKU]],'All Skus'!$A:$AC,18,FALSE)),""))</f>
        <v>10</v>
      </c>
      <c r="O339" s="64">
        <f>(IF((VLOOKUP(Table1[[#This Row],[SKU]],'All Skus'!$A:$AC,2,FALSE))="AKG",(VLOOKUP(Table1[[#This Row],[SKU]],'All Skus'!$A:$AC,19,FALSE)),""))</f>
        <v>23</v>
      </c>
      <c r="P339" s="64">
        <f>(IF((VLOOKUP(Table1[[#This Row],[SKU]],'All Skus'!$A:$AC,2,FALSE))="AKG",(VLOOKUP(Table1[[#This Row],[SKU]],'All Skus'!$A:$AC,20,FALSE)),""))</f>
        <v>19</v>
      </c>
      <c r="Q339" s="64">
        <f>(IF((VLOOKUP(Table1[[#This Row],[SKU]],'All Skus'!$A:$AC,2,FALSE))="AKG",(VLOOKUP(Table1[[#This Row],[SKU]],'All Skus'!$A:$AC,21,FALSE)),""))</f>
        <v>9.25</v>
      </c>
      <c r="R339" s="64" t="str">
        <f>(IF((VLOOKUP(Table1[[#This Row],[SKU]],'All Skus'!$A:$AC,2,FALSE))="AKG",(VLOOKUP(Table1[[#This Row],[SKU]],'All Skus'!$A:$AC,22,FALSE)),""))</f>
        <v>CN</v>
      </c>
      <c r="S339" s="64" t="str">
        <f>(IF((VLOOKUP(Table1[[#This Row],[SKU]],'All Skus'!$A:$AC,2,FALSE))="AKG",(VLOOKUP(Table1[[#This Row],[SKU]],'All Skus'!$A:$AC,23,FALSE)),""))</f>
        <v>Non Compliant</v>
      </c>
      <c r="T339" s="210" t="str">
        <f>HYPERLINK((IF((VLOOKUP(Table1[[#This Row],[SKU]],'All Skus'!$A:$AC,2,FALSE))="AKG",(VLOOKUP(Table1[[#This Row],[SKU]],'All Skus'!$A:$AC,24,FALSE)),"")))</f>
        <v>https://www.akg.com/3169H00020.html</v>
      </c>
      <c r="U339" s="151">
        <v>337</v>
      </c>
    </row>
    <row r="340" spans="1:21" ht="15" hidden="1" customHeight="1">
      <c r="A340" s="48" t="s">
        <v>493</v>
      </c>
      <c r="B340" s="52" t="str">
        <f>(IF((VLOOKUP(Table1[[#This Row],[SKU]],'All Skus'!$A:$AC,2,FALSE))="AKG",(VLOOKUP(Table1[[#This Row],[SKU]],'All Skus'!$A:$AC,3,FALSE)), ""))</f>
        <v>Accessories</v>
      </c>
      <c r="C340" s="60" t="str">
        <f>(IF((VLOOKUP(Table1[[#This Row],[SKU]],'All Skus'!$A:$AC,2,FALSE))="AKG",(VLOOKUP(Table1[[#This Row],[SKU]],'All Skus'!$A:$AC,4,FALSE)),""))</f>
        <v>MK HS Studio C</v>
      </c>
      <c r="D340" s="60" t="str">
        <f>(IF((VLOOKUP(Table1[[#This Row],[SKU]],'All Skus'!$A:$AC,2,FALSE))="AKG",(VLOOKUP(Table1[[#This Row],[SKU]],'All Skus'!$A:$AC,5,FALSE)),""))</f>
        <v>AT210030</v>
      </c>
      <c r="E340" s="60">
        <f>(IF((VLOOKUP(Table1[[#This Row],[SKU]],'All Skus'!$A:$AC,2,FALSE))="AKG",(VLOOKUP(Table1[[#This Row],[SKU]],'All Skus'!$A:$AC,6,FALSE)),""))</f>
        <v>0</v>
      </c>
      <c r="F340" s="60">
        <f>(IF((VLOOKUP(Table1[[#This Row],[SKU]],'All Skus'!$A:$AC,2,FALSE))="AKG",(VLOOKUP(Table1[[#This Row],[SKU]],'All Skus'!$A:$AC,7,FALSE)),""))</f>
        <v>0</v>
      </c>
      <c r="G340" s="45" t="str">
        <f>(IF((VLOOKUP(Table1[[#This Row],[SKU]],'All Skus'!$A:$AC,2,FALSE))="AKG",(VLOOKUP(Table1[[#This Row],[SKU]],'All Skus'!$A:$AC,8,FALSE)),""))</f>
        <v>Cable</v>
      </c>
      <c r="H340" s="45" t="str">
        <f>(IF((VLOOKUP(Table1[[#This Row],[SKU]],'All Skus'!$A:$AC,2,FALSE))="AKG",(VLOOKUP(Table1[[#This Row],[SKU]],'All Skus'!$A:$AC,9,FALSE)),""))</f>
        <v>Headset cable for Studio, Moderators, Commentators (3pin XLR male, 1/4" jack)</v>
      </c>
      <c r="I340" s="141">
        <f>(IF((VLOOKUP(Table1[[#This Row],[SKU]],'All Skus'!$A:$AC,2,FALSE))="AKG",(VLOOKUP(Table1[[#This Row],[SKU]],'All Skus'!$A:$AC,10,FALSE)),""))</f>
        <v>118.85</v>
      </c>
      <c r="J340" s="141">
        <f>(IF((VLOOKUP(Table1[[#This Row],[SKU]],'All Skus'!$A:$AC,2,FALSE))="AKG",(VLOOKUP(Table1[[#This Row],[SKU]],'All Skus'!$A:$AC,11,FALSE)),""))</f>
        <v>109</v>
      </c>
      <c r="K340" s="125">
        <f>(IF((VLOOKUP(Table1[[#This Row],[SKU]],'All Skus'!$A:$AC,2,FALSE))="AKG",(VLOOKUP(Table1[[#This Row],[SKU]],'All Skus'!$A:$AC,15,FALSE)),""))</f>
        <v>0</v>
      </c>
      <c r="L340" s="124">
        <f>(IF((VLOOKUP(Table1[[#This Row],[SKU]],'All Skus'!$A:$AC,2,FALSE))="AKG",(VLOOKUP(Table1[[#This Row],[SKU]],'All Skus'!$A:$AC,16,FALSE)),""))</f>
        <v>885038028949</v>
      </c>
      <c r="M340" s="124">
        <f>(IF((VLOOKUP(Table1[[#This Row],[SKU]],'All Skus'!$A:$AC,2,FALSE))="AKG",(VLOOKUP(Table1[[#This Row],[SKU]],'All Skus'!$A:$AC,17,FALSE)),""))</f>
        <v>9002761028942</v>
      </c>
      <c r="N340" s="64">
        <f>(IF((VLOOKUP(Table1[[#This Row],[SKU]],'All Skus'!$A:$AC,2,FALSE))="AKG",(VLOOKUP(Table1[[#This Row],[SKU]],'All Skus'!$A:$AC,18,FALSE)),""))</f>
        <v>2</v>
      </c>
      <c r="O340" s="64">
        <f>(IF((VLOOKUP(Table1[[#This Row],[SKU]],'All Skus'!$A:$AC,2,FALSE))="AKG",(VLOOKUP(Table1[[#This Row],[SKU]],'All Skus'!$A:$AC,19,FALSE)),""))</f>
        <v>10</v>
      </c>
      <c r="P340" s="64">
        <f>(IF((VLOOKUP(Table1[[#This Row],[SKU]],'All Skus'!$A:$AC,2,FALSE))="AKG",(VLOOKUP(Table1[[#This Row],[SKU]],'All Skus'!$A:$AC,20,FALSE)),""))</f>
        <v>6</v>
      </c>
      <c r="Q340" s="64">
        <f>(IF((VLOOKUP(Table1[[#This Row],[SKU]],'All Skus'!$A:$AC,2,FALSE))="AKG",(VLOOKUP(Table1[[#This Row],[SKU]],'All Skus'!$A:$AC,21,FALSE)),""))</f>
        <v>0.8</v>
      </c>
      <c r="R340" s="64" t="str">
        <f>(IF((VLOOKUP(Table1[[#This Row],[SKU]],'All Skus'!$A:$AC,2,FALSE))="AKG",(VLOOKUP(Table1[[#This Row],[SKU]],'All Skus'!$A:$AC,22,FALSE)),""))</f>
        <v>TW</v>
      </c>
      <c r="S340" s="64" t="str">
        <f>(IF((VLOOKUP(Table1[[#This Row],[SKU]],'All Skus'!$A:$AC,2,FALSE))="AKG",(VLOOKUP(Table1[[#This Row],[SKU]],'All Skus'!$A:$AC,23,FALSE)),""))</f>
        <v>Compliant</v>
      </c>
      <c r="T340" s="210" t="str">
        <f>HYPERLINK((IF((VLOOKUP(Table1[[#This Row],[SKU]],'All Skus'!$A:$AC,2,FALSE))="AKG",(VLOOKUP(Table1[[#This Row],[SKU]],'All Skus'!$A:$AC,24,FALSE)),"")))</f>
        <v>https://www.akg.com/2955H00490.html</v>
      </c>
      <c r="U340" s="151">
        <v>338</v>
      </c>
    </row>
    <row r="341" spans="1:21" s="110" customFormat="1" ht="15" hidden="1" customHeight="1">
      <c r="A341" s="48" t="s">
        <v>494</v>
      </c>
      <c r="B341" s="52" t="str">
        <f>(IF((VLOOKUP(Table1[[#This Row],[SKU]],'All Skus'!$A:$AC,2,FALSE))="AKG",(VLOOKUP(Table1[[#This Row],[SKU]],'All Skus'!$A:$AC,3,FALSE)), ""))</f>
        <v>Accessories</v>
      </c>
      <c r="C341" s="60" t="str">
        <f>(IF((VLOOKUP(Table1[[#This Row],[SKU]],'All Skus'!$A:$AC,2,FALSE))="AKG",(VLOOKUP(Table1[[#This Row],[SKU]],'All Skus'!$A:$AC,4,FALSE)),""))</f>
        <v>MK HS Studio D</v>
      </c>
      <c r="D341" s="60" t="str">
        <f>(IF((VLOOKUP(Table1[[#This Row],[SKU]],'All Skus'!$A:$AC,2,FALSE))="AKG",(VLOOKUP(Table1[[#This Row],[SKU]],'All Skus'!$A:$AC,5,FALSE)),""))</f>
        <v>AT210030</v>
      </c>
      <c r="E341" s="60">
        <f>(IF((VLOOKUP(Table1[[#This Row],[SKU]],'All Skus'!$A:$AC,2,FALSE))="AKG",(VLOOKUP(Table1[[#This Row],[SKU]],'All Skus'!$A:$AC,6,FALSE)),""))</f>
        <v>0</v>
      </c>
      <c r="F341" s="60">
        <f>(IF((VLOOKUP(Table1[[#This Row],[SKU]],'All Skus'!$A:$AC,2,FALSE))="AKG",(VLOOKUP(Table1[[#This Row],[SKU]],'All Skus'!$A:$AC,7,FALSE)),""))</f>
        <v>0</v>
      </c>
      <c r="G341" s="45" t="str">
        <f>(IF((VLOOKUP(Table1[[#This Row],[SKU]],'All Skus'!$A:$AC,2,FALSE))="AKG",(VLOOKUP(Table1[[#This Row],[SKU]],'All Skus'!$A:$AC,8,FALSE)),""))</f>
        <v>Cable</v>
      </c>
      <c r="H341" s="45" t="str">
        <f>(IF((VLOOKUP(Table1[[#This Row],[SKU]],'All Skus'!$A:$AC,2,FALSE))="AKG",(VLOOKUP(Table1[[#This Row],[SKU]],'All Skus'!$A:$AC,9,FALSE)),""))</f>
        <v>Headset cable for Studio, Moderators, Commentators (3pin XLR male, 1/4" jack)</v>
      </c>
      <c r="I341" s="141">
        <f>(IF((VLOOKUP(Table1[[#This Row],[SKU]],'All Skus'!$A:$AC,2,FALSE))="AKG",(VLOOKUP(Table1[[#This Row],[SKU]],'All Skus'!$A:$AC,10,FALSE)),""))</f>
        <v>73.23</v>
      </c>
      <c r="J341" s="141">
        <f>(IF((VLOOKUP(Table1[[#This Row],[SKU]],'All Skus'!$A:$AC,2,FALSE))="AKG",(VLOOKUP(Table1[[#This Row],[SKU]],'All Skus'!$A:$AC,11,FALSE)),""))</f>
        <v>72</v>
      </c>
      <c r="K341" s="125">
        <f>(IF((VLOOKUP(Table1[[#This Row],[SKU]],'All Skus'!$A:$AC,2,FALSE))="AKG",(VLOOKUP(Table1[[#This Row],[SKU]],'All Skus'!$A:$AC,15,FALSE)),""))</f>
        <v>0</v>
      </c>
      <c r="L341" s="124">
        <f>(IF((VLOOKUP(Table1[[#This Row],[SKU]],'All Skus'!$A:$AC,2,FALSE))="AKG",(VLOOKUP(Table1[[#This Row],[SKU]],'All Skus'!$A:$AC,16,FALSE)),""))</f>
        <v>885038028956</v>
      </c>
      <c r="M341" s="124">
        <f>(IF((VLOOKUP(Table1[[#This Row],[SKU]],'All Skus'!$A:$AC,2,FALSE))="AKG",(VLOOKUP(Table1[[#This Row],[SKU]],'All Skus'!$A:$AC,17,FALSE)),""))</f>
        <v>9002761028959</v>
      </c>
      <c r="N341" s="64">
        <f>(IF((VLOOKUP(Table1[[#This Row],[SKU]],'All Skus'!$A:$AC,2,FALSE))="AKG",(VLOOKUP(Table1[[#This Row],[SKU]],'All Skus'!$A:$AC,18,FALSE)),""))</f>
        <v>1</v>
      </c>
      <c r="O341" s="64">
        <f>(IF((VLOOKUP(Table1[[#This Row],[SKU]],'All Skus'!$A:$AC,2,FALSE))="AKG",(VLOOKUP(Table1[[#This Row],[SKU]],'All Skus'!$A:$AC,19,FALSE)),""))</f>
        <v>5</v>
      </c>
      <c r="P341" s="64">
        <f>(IF((VLOOKUP(Table1[[#This Row],[SKU]],'All Skus'!$A:$AC,2,FALSE))="AKG",(VLOOKUP(Table1[[#This Row],[SKU]],'All Skus'!$A:$AC,20,FALSE)),""))</f>
        <v>5</v>
      </c>
      <c r="Q341" s="64">
        <f>(IF((VLOOKUP(Table1[[#This Row],[SKU]],'All Skus'!$A:$AC,2,FALSE))="AKG",(VLOOKUP(Table1[[#This Row],[SKU]],'All Skus'!$A:$AC,21,FALSE)),""))</f>
        <v>0.8</v>
      </c>
      <c r="R341" s="64" t="str">
        <f>(IF((VLOOKUP(Table1[[#This Row],[SKU]],'All Skus'!$A:$AC,2,FALSE))="AKG",(VLOOKUP(Table1[[#This Row],[SKU]],'All Skus'!$A:$AC,22,FALSE)),""))</f>
        <v>CN</v>
      </c>
      <c r="S341" s="64" t="str">
        <f>(IF((VLOOKUP(Table1[[#This Row],[SKU]],'All Skus'!$A:$AC,2,FALSE))="AKG",(VLOOKUP(Table1[[#This Row],[SKU]],'All Skus'!$A:$AC,23,FALSE)),""))</f>
        <v>Non Compliant</v>
      </c>
      <c r="T341" s="210" t="str">
        <f>HYPERLINK((IF((VLOOKUP(Table1[[#This Row],[SKU]],'All Skus'!$A:$AC,2,FALSE))="AKG",(VLOOKUP(Table1[[#This Row],[SKU]],'All Skus'!$A:$AC,24,FALSE)),"")))</f>
        <v>https://www.akg.com/2955H00500.html</v>
      </c>
      <c r="U341" s="151">
        <v>339</v>
      </c>
    </row>
    <row r="342" spans="1:21" hidden="1">
      <c r="A342" s="109" t="s">
        <v>4</v>
      </c>
      <c r="B342" s="52">
        <f>(IF((VLOOKUP(Table1[[#This Row],[SKU]],'All Skus'!$A:$AC,2,FALSE))="AKG",(VLOOKUP(Table1[[#This Row],[SKU]],'All Skus'!$A:$AC,3,FALSE)), ""))</f>
        <v>0</v>
      </c>
      <c r="C342" s="60">
        <f>(IF((VLOOKUP(Table1[[#This Row],[SKU]],'All Skus'!$A:$AC,2,FALSE))="AKG",(VLOOKUP(Table1[[#This Row],[SKU]],'All Skus'!$A:$AC,4,FALSE)),""))</f>
        <v>0</v>
      </c>
      <c r="D342" s="60">
        <f>(IF((VLOOKUP(Table1[[#This Row],[SKU]],'All Skus'!$A:$AC,2,FALSE))="AKG",(VLOOKUP(Table1[[#This Row],[SKU]],'All Skus'!$A:$AC,5,FALSE)),""))</f>
        <v>0</v>
      </c>
      <c r="E342" s="60">
        <f>(IF((VLOOKUP(Table1[[#This Row],[SKU]],'All Skus'!$A:$AC,2,FALSE))="AKG",(VLOOKUP(Table1[[#This Row],[SKU]],'All Skus'!$A:$AC,6,FALSE)),""))</f>
        <v>0</v>
      </c>
      <c r="F342" s="60">
        <f>(IF((VLOOKUP(Table1[[#This Row],[SKU]],'All Skus'!$A:$AC,2,FALSE))="AKG",(VLOOKUP(Table1[[#This Row],[SKU]],'All Skus'!$A:$AC,7,FALSE)),""))</f>
        <v>0</v>
      </c>
      <c r="G342" s="45">
        <f>(IF((VLOOKUP(Table1[[#This Row],[SKU]],'All Skus'!$A:$AC,2,FALSE))="AKG",(VLOOKUP(Table1[[#This Row],[SKU]],'All Skus'!$A:$AC,8,FALSE)),""))</f>
        <v>0</v>
      </c>
      <c r="H342" s="45">
        <f>(IF((VLOOKUP(Table1[[#This Row],[SKU]],'All Skus'!$A:$AC,2,FALSE))="AKG",(VLOOKUP(Table1[[#This Row],[SKU]],'All Skus'!$A:$AC,9,FALSE)),""))</f>
        <v>0</v>
      </c>
      <c r="I342" s="141">
        <f>(IF((VLOOKUP(Table1[[#This Row],[SKU]],'All Skus'!$A:$AC,2,FALSE))="AKG",(VLOOKUP(Table1[[#This Row],[SKU]],'All Skus'!$A:$AC,10,FALSE)),""))</f>
        <v>0</v>
      </c>
      <c r="J342" s="141">
        <f>(IF((VLOOKUP(Table1[[#This Row],[SKU]],'All Skus'!$A:$AC,2,FALSE))="AKG",(VLOOKUP(Table1[[#This Row],[SKU]],'All Skus'!$A:$AC,11,FALSE)),""))</f>
        <v>0</v>
      </c>
      <c r="K342" s="125">
        <f>(IF((VLOOKUP(Table1[[#This Row],[SKU]],'All Skus'!$A:$AC,2,FALSE))="AKG",(VLOOKUP(Table1[[#This Row],[SKU]],'All Skus'!$A:$AC,15,FALSE)),""))</f>
        <v>0</v>
      </c>
      <c r="L342" s="124">
        <f>(IF((VLOOKUP(Table1[[#This Row],[SKU]],'All Skus'!$A:$AC,2,FALSE))="AKG",(VLOOKUP(Table1[[#This Row],[SKU]],'All Skus'!$A:$AC,16,FALSE)),""))</f>
        <v>0</v>
      </c>
      <c r="M342" s="124">
        <f>(IF((VLOOKUP(Table1[[#This Row],[SKU]],'All Skus'!$A:$AC,2,FALSE))="AKG",(VLOOKUP(Table1[[#This Row],[SKU]],'All Skus'!$A:$AC,17,FALSE)),""))</f>
        <v>0</v>
      </c>
      <c r="N342" s="64">
        <f>(IF((VLOOKUP(Table1[[#This Row],[SKU]],'All Skus'!$A:$AC,2,FALSE))="AKG",(VLOOKUP(Table1[[#This Row],[SKU]],'All Skus'!$A:$AC,18,FALSE)),""))</f>
        <v>0</v>
      </c>
      <c r="O342" s="64">
        <f>(IF((VLOOKUP(Table1[[#This Row],[SKU]],'All Skus'!$A:$AC,2,FALSE))="AKG",(VLOOKUP(Table1[[#This Row],[SKU]],'All Skus'!$A:$AC,19,FALSE)),""))</f>
        <v>0</v>
      </c>
      <c r="P342" s="64">
        <f>(IF((VLOOKUP(Table1[[#This Row],[SKU]],'All Skus'!$A:$AC,2,FALSE))="AKG",(VLOOKUP(Table1[[#This Row],[SKU]],'All Skus'!$A:$AC,20,FALSE)),""))</f>
        <v>0</v>
      </c>
      <c r="Q342" s="64">
        <f>(IF((VLOOKUP(Table1[[#This Row],[SKU]],'All Skus'!$A:$AC,2,FALSE))="AKG",(VLOOKUP(Table1[[#This Row],[SKU]],'All Skus'!$A:$AC,21,FALSE)),""))</f>
        <v>0</v>
      </c>
      <c r="R342" s="64">
        <f>(IF((VLOOKUP(Table1[[#This Row],[SKU]],'All Skus'!$A:$AC,2,FALSE))="AKG",(VLOOKUP(Table1[[#This Row],[SKU]],'All Skus'!$A:$AC,22,FALSE)),""))</f>
        <v>0</v>
      </c>
      <c r="S342" s="64">
        <f>(IF((VLOOKUP(Table1[[#This Row],[SKU]],'All Skus'!$A:$AC,2,FALSE))="AKG",(VLOOKUP(Table1[[#This Row],[SKU]],'All Skus'!$A:$AC,23,FALSE)),""))</f>
        <v>0</v>
      </c>
      <c r="T342" s="210" t="str">
        <f>HYPERLINK((IF((VLOOKUP(Table1[[#This Row],[SKU]],'All Skus'!$A:$AC,2,FALSE))="AKG",(VLOOKUP(Table1[[#This Row],[SKU]],'All Skus'!$A:$AC,24,FALSE)),"")))</f>
        <v/>
      </c>
      <c r="U342" s="151">
        <v>340</v>
      </c>
    </row>
    <row r="343" spans="1:21" hidden="1">
      <c r="A343" s="48" t="s">
        <v>495</v>
      </c>
      <c r="B343" s="52" t="str">
        <f>(IF((VLOOKUP(Table1[[#This Row],[SKU]],'All Skus'!$A:$AC,2,FALSE))="AKG",(VLOOKUP(Table1[[#This Row],[SKU]],'All Skus'!$A:$AC,3,FALSE)), ""))</f>
        <v>Headphone amps</v>
      </c>
      <c r="C343" s="60" t="str">
        <f>(IF((VLOOKUP(Table1[[#This Row],[SKU]],'All Skus'!$A:$AC,2,FALSE))="AKG",(VLOOKUP(Table1[[#This Row],[SKU]],'All Skus'!$A:$AC,4,FALSE)),""))</f>
        <v xml:space="preserve">HP4E </v>
      </c>
      <c r="D343" s="60">
        <f>(IF((VLOOKUP(Table1[[#This Row],[SKU]],'All Skus'!$A:$AC,2,FALSE))="AKG",(VLOOKUP(Table1[[#This Row],[SKU]],'All Skus'!$A:$AC,5,FALSE)),""))</f>
        <v>81200600</v>
      </c>
      <c r="E343" s="60">
        <f>(IF((VLOOKUP(Table1[[#This Row],[SKU]],'All Skus'!$A:$AC,2,FALSE))="AKG",(VLOOKUP(Table1[[#This Row],[SKU]],'All Skus'!$A:$AC,6,FALSE)),""))</f>
        <v>0</v>
      </c>
      <c r="F343" s="60">
        <f>(IF((VLOOKUP(Table1[[#This Row],[SKU]],'All Skus'!$A:$AC,2,FALSE))="AKG",(VLOOKUP(Table1[[#This Row],[SKU]],'All Skus'!$A:$AC,7,FALSE)),""))</f>
        <v>0</v>
      </c>
      <c r="G343" s="45" t="str">
        <f>(IF((VLOOKUP(Table1[[#This Row],[SKU]],'All Skus'!$A:$AC,2,FALSE))="AKG",(VLOOKUP(Table1[[#This Row],[SKU]],'All Skus'!$A:$AC,8,FALSE)),""))</f>
        <v>Headphone Amplifier</v>
      </c>
      <c r="H343" s="45" t="str">
        <f>(IF((VLOOKUP(Table1[[#This Row],[SKU]],'All Skus'!$A:$AC,2,FALSE))="AKG",(VLOOKUP(Table1[[#This Row],[SKU]],'All Skus'!$A:$AC,9,FALSE)),""))</f>
        <v>4-Channel Headphone Amplifier</v>
      </c>
      <c r="I343" s="141">
        <f>(IF((VLOOKUP(Table1[[#This Row],[SKU]],'All Skus'!$A:$AC,2,FALSE))="AKG",(VLOOKUP(Table1[[#This Row],[SKU]],'All Skus'!$A:$AC,10,FALSE)),""))</f>
        <v>154.86000000000001</v>
      </c>
      <c r="J343" s="141">
        <f>(IF((VLOOKUP(Table1[[#This Row],[SKU]],'All Skus'!$A:$AC,2,FALSE))="AKG",(VLOOKUP(Table1[[#This Row],[SKU]],'All Skus'!$A:$AC,11,FALSE)),""))</f>
        <v>129</v>
      </c>
      <c r="K343" s="125">
        <f>(IF((VLOOKUP(Table1[[#This Row],[SKU]],'All Skus'!$A:$AC,2,FALSE))="AKG",(VLOOKUP(Table1[[#This Row],[SKU]],'All Skus'!$A:$AC,15,FALSE)),""))</f>
        <v>0</v>
      </c>
      <c r="L343" s="124">
        <f>(IF((VLOOKUP(Table1[[#This Row],[SKU]],'All Skus'!$A:$AC,2,FALSE))="AKG",(VLOOKUP(Table1[[#This Row],[SKU]],'All Skus'!$A:$AC,16,FALSE)),""))</f>
        <v>885038038825</v>
      </c>
      <c r="M343" s="124">
        <f>(IF((VLOOKUP(Table1[[#This Row],[SKU]],'All Skus'!$A:$AC,2,FALSE))="AKG",(VLOOKUP(Table1[[#This Row],[SKU]],'All Skus'!$A:$AC,17,FALSE)),""))</f>
        <v>9002761038828</v>
      </c>
      <c r="N343" s="64">
        <f>(IF((VLOOKUP(Table1[[#This Row],[SKU]],'All Skus'!$A:$AC,2,FALSE))="AKG",(VLOOKUP(Table1[[#This Row],[SKU]],'All Skus'!$A:$AC,18,FALSE)),""))</f>
        <v>2</v>
      </c>
      <c r="O343" s="64">
        <f>(IF((VLOOKUP(Table1[[#This Row],[SKU]],'All Skus'!$A:$AC,2,FALSE))="AKG",(VLOOKUP(Table1[[#This Row],[SKU]],'All Skus'!$A:$AC,19,FALSE)),""))</f>
        <v>8</v>
      </c>
      <c r="P343" s="64">
        <f>(IF((VLOOKUP(Table1[[#This Row],[SKU]],'All Skus'!$A:$AC,2,FALSE))="AKG",(VLOOKUP(Table1[[#This Row],[SKU]],'All Skus'!$A:$AC,20,FALSE)),""))</f>
        <v>8</v>
      </c>
      <c r="Q343" s="64">
        <f>(IF((VLOOKUP(Table1[[#This Row],[SKU]],'All Skus'!$A:$AC,2,FALSE))="AKG",(VLOOKUP(Table1[[#This Row],[SKU]],'All Skus'!$A:$AC,21,FALSE)),""))</f>
        <v>3.15</v>
      </c>
      <c r="R343" s="64" t="str">
        <f>(IF((VLOOKUP(Table1[[#This Row],[SKU]],'All Skus'!$A:$AC,2,FALSE))="AKG",(VLOOKUP(Table1[[#This Row],[SKU]],'All Skus'!$A:$AC,22,FALSE)),""))</f>
        <v>CN</v>
      </c>
      <c r="S343" s="64" t="str">
        <f>(IF((VLOOKUP(Table1[[#This Row],[SKU]],'All Skus'!$A:$AC,2,FALSE))="AKG",(VLOOKUP(Table1[[#This Row],[SKU]],'All Skus'!$A:$AC,23,FALSE)),""))</f>
        <v>Non Compliant</v>
      </c>
      <c r="T343" s="210" t="str">
        <f>HYPERLINK((IF((VLOOKUP(Table1[[#This Row],[SKU]],'All Skus'!$A:$AC,2,FALSE))="AKG",(VLOOKUP(Table1[[#This Row],[SKU]],'All Skus'!$A:$AC,24,FALSE)),"")))</f>
        <v>https://www.akg.com/3450H00010.html</v>
      </c>
      <c r="U343" s="151">
        <v>341</v>
      </c>
    </row>
    <row r="344" spans="1:21" hidden="1">
      <c r="A344" s="48" t="s">
        <v>496</v>
      </c>
      <c r="B344" s="52" t="str">
        <f>(IF((VLOOKUP(Table1[[#This Row],[SKU]],'All Skus'!$A:$AC,2,FALSE))="AKG",(VLOOKUP(Table1[[#This Row],[SKU]],'All Skus'!$A:$AC,3,FALSE)), ""))</f>
        <v>Headphone amps</v>
      </c>
      <c r="C344" s="60" t="str">
        <f>(IF((VLOOKUP(Table1[[#This Row],[SKU]],'All Skus'!$A:$AC,2,FALSE))="AKG",(VLOOKUP(Table1[[#This Row],[SKU]],'All Skus'!$A:$AC,4,FALSE)),""))</f>
        <v xml:space="preserve">HP6E US </v>
      </c>
      <c r="D344" s="60" t="str">
        <f>(IF((VLOOKUP(Table1[[#This Row],[SKU]],'All Skus'!$A:$AC,2,FALSE))="AKG",(VLOOKUP(Table1[[#This Row],[SKU]],'All Skus'!$A:$AC,5,FALSE)),""))</f>
        <v>AT110090</v>
      </c>
      <c r="E344" s="60">
        <f>(IF((VLOOKUP(Table1[[#This Row],[SKU]],'All Skus'!$A:$AC,2,FALSE))="AKG",(VLOOKUP(Table1[[#This Row],[SKU]],'All Skus'!$A:$AC,6,FALSE)),""))</f>
        <v>0</v>
      </c>
      <c r="F344" s="60">
        <f>(IF((VLOOKUP(Table1[[#This Row],[SKU]],'All Skus'!$A:$AC,2,FALSE))="AKG",(VLOOKUP(Table1[[#This Row],[SKU]],'All Skus'!$A:$AC,7,FALSE)),""))</f>
        <v>0</v>
      </c>
      <c r="G344" s="45" t="str">
        <f>(IF((VLOOKUP(Table1[[#This Row],[SKU]],'All Skus'!$A:$AC,2,FALSE))="AKG",(VLOOKUP(Table1[[#This Row],[SKU]],'All Skus'!$A:$AC,8,FALSE)),""))</f>
        <v>Headphone Amplifier</v>
      </c>
      <c r="H344" s="45" t="str">
        <f>(IF((VLOOKUP(Table1[[#This Row],[SKU]],'All Skus'!$A:$AC,2,FALSE))="AKG",(VLOOKUP(Table1[[#This Row],[SKU]],'All Skus'!$A:$AC,9,FALSE)),""))</f>
        <v>6-Channel Matrix Headphone Amplifier</v>
      </c>
      <c r="I344" s="141">
        <f>(IF((VLOOKUP(Table1[[#This Row],[SKU]],'All Skus'!$A:$AC,2,FALSE))="AKG",(VLOOKUP(Table1[[#This Row],[SKU]],'All Skus'!$A:$AC,10,FALSE)),""))</f>
        <v>226.89</v>
      </c>
      <c r="J344" s="141">
        <f>(IF((VLOOKUP(Table1[[#This Row],[SKU]],'All Skus'!$A:$AC,2,FALSE))="AKG",(VLOOKUP(Table1[[#This Row],[SKU]],'All Skus'!$A:$AC,11,FALSE)),""))</f>
        <v>226.89</v>
      </c>
      <c r="K344" s="125">
        <f>(IF((VLOOKUP(Table1[[#This Row],[SKU]],'All Skus'!$A:$AC,2,FALSE))="AKG",(VLOOKUP(Table1[[#This Row],[SKU]],'All Skus'!$A:$AC,15,FALSE)),""))</f>
        <v>0</v>
      </c>
      <c r="L344" s="124">
        <f>(IF((VLOOKUP(Table1[[#This Row],[SKU]],'All Skus'!$A:$AC,2,FALSE))="AKG",(VLOOKUP(Table1[[#This Row],[SKU]],'All Skus'!$A:$AC,16,FALSE)),""))</f>
        <v>885038038849</v>
      </c>
      <c r="M344" s="124">
        <f>(IF((VLOOKUP(Table1[[#This Row],[SKU]],'All Skus'!$A:$AC,2,FALSE))="AKG",(VLOOKUP(Table1[[#This Row],[SKU]],'All Skus'!$A:$AC,17,FALSE)),""))</f>
        <v>9002761038842</v>
      </c>
      <c r="N344" s="64">
        <f>(IF((VLOOKUP(Table1[[#This Row],[SKU]],'All Skus'!$A:$AC,2,FALSE))="AKG",(VLOOKUP(Table1[[#This Row],[SKU]],'All Skus'!$A:$AC,18,FALSE)),""))</f>
        <v>9.5</v>
      </c>
      <c r="O344" s="64">
        <f>(IF((VLOOKUP(Table1[[#This Row],[SKU]],'All Skus'!$A:$AC,2,FALSE))="AKG",(VLOOKUP(Table1[[#This Row],[SKU]],'All Skus'!$A:$AC,19,FALSE)),""))</f>
        <v>22.5</v>
      </c>
      <c r="P344" s="64">
        <f>(IF((VLOOKUP(Table1[[#This Row],[SKU]],'All Skus'!$A:$AC,2,FALSE))="AKG",(VLOOKUP(Table1[[#This Row],[SKU]],'All Skus'!$A:$AC,20,FALSE)),""))</f>
        <v>3.5</v>
      </c>
      <c r="Q344" s="64">
        <f>(IF((VLOOKUP(Table1[[#This Row],[SKU]],'All Skus'!$A:$AC,2,FALSE))="AKG",(VLOOKUP(Table1[[#This Row],[SKU]],'All Skus'!$A:$AC,21,FALSE)),""))</f>
        <v>3.74</v>
      </c>
      <c r="R344" s="64" t="str">
        <f>(IF((VLOOKUP(Table1[[#This Row],[SKU]],'All Skus'!$A:$AC,2,FALSE))="AKG",(VLOOKUP(Table1[[#This Row],[SKU]],'All Skus'!$A:$AC,22,FALSE)),""))</f>
        <v>CN</v>
      </c>
      <c r="S344" s="64" t="str">
        <f>(IF((VLOOKUP(Table1[[#This Row],[SKU]],'All Skus'!$A:$AC,2,FALSE))="AKG",(VLOOKUP(Table1[[#This Row],[SKU]],'All Skus'!$A:$AC,23,FALSE)),""))</f>
        <v>Non Compliant</v>
      </c>
      <c r="T344" s="210" t="str">
        <f>HYPERLINK((IF((VLOOKUP(Table1[[#This Row],[SKU]],'All Skus'!$A:$AC,2,FALSE))="AKG",(VLOOKUP(Table1[[#This Row],[SKU]],'All Skus'!$A:$AC,24,FALSE)),"")))</f>
        <v>https://www.akg.com/3450H00030.html</v>
      </c>
      <c r="U344" s="151">
        <v>342</v>
      </c>
    </row>
    <row r="345" spans="1:21" hidden="1">
      <c r="A345" s="48" t="s">
        <v>497</v>
      </c>
      <c r="B345" s="52" t="str">
        <f>(IF((VLOOKUP(Table1[[#This Row],[SKU]],'All Skus'!$A:$AC,2,FALSE))="AKG",(VLOOKUP(Table1[[#This Row],[SKU]],'All Skus'!$A:$AC,3,FALSE)), ""))</f>
        <v>Headphone amps</v>
      </c>
      <c r="C345" s="60" t="str">
        <f>(IF((VLOOKUP(Table1[[#This Row],[SKU]],'All Skus'!$A:$AC,2,FALSE))="AKG",(VLOOKUP(Table1[[#This Row],[SKU]],'All Skus'!$A:$AC,4,FALSE)),""))</f>
        <v xml:space="preserve">HP12U US </v>
      </c>
      <c r="D345" s="60" t="str">
        <f>(IF((VLOOKUP(Table1[[#This Row],[SKU]],'All Skus'!$A:$AC,2,FALSE))="AKG",(VLOOKUP(Table1[[#This Row],[SKU]],'All Skus'!$A:$AC,5,FALSE)),""))</f>
        <v>AT110090</v>
      </c>
      <c r="E345" s="60">
        <f>(IF((VLOOKUP(Table1[[#This Row],[SKU]],'All Skus'!$A:$AC,2,FALSE))="AKG",(VLOOKUP(Table1[[#This Row],[SKU]],'All Skus'!$A:$AC,6,FALSE)),""))</f>
        <v>0</v>
      </c>
      <c r="F345" s="60">
        <f>(IF((VLOOKUP(Table1[[#This Row],[SKU]],'All Skus'!$A:$AC,2,FALSE))="AKG",(VLOOKUP(Table1[[#This Row],[SKU]],'All Skus'!$A:$AC,7,FALSE)),""))</f>
        <v>0</v>
      </c>
      <c r="G345" s="45" t="str">
        <f>(IF((VLOOKUP(Table1[[#This Row],[SKU]],'All Skus'!$A:$AC,2,FALSE))="AKG",(VLOOKUP(Table1[[#This Row],[SKU]],'All Skus'!$A:$AC,8,FALSE)),""))</f>
        <v>Headphone Amplifier</v>
      </c>
      <c r="H345" s="45" t="str">
        <f>(IF((VLOOKUP(Table1[[#This Row],[SKU]],'All Skus'!$A:$AC,2,FALSE))="AKG",(VLOOKUP(Table1[[#This Row],[SKU]],'All Skus'!$A:$AC,9,FALSE)),""))</f>
        <v>12-Channel Headphone Amplifier with USB</v>
      </c>
      <c r="I345" s="141">
        <f>(IF((VLOOKUP(Table1[[#This Row],[SKU]],'All Skus'!$A:$AC,2,FALSE))="AKG",(VLOOKUP(Table1[[#This Row],[SKU]],'All Skus'!$A:$AC,10,FALSE)),""))</f>
        <v>262.89999999999998</v>
      </c>
      <c r="J345" s="141">
        <f>(IF((VLOOKUP(Table1[[#This Row],[SKU]],'All Skus'!$A:$AC,2,FALSE))="AKG",(VLOOKUP(Table1[[#This Row],[SKU]],'All Skus'!$A:$AC,11,FALSE)),""))</f>
        <v>205</v>
      </c>
      <c r="K345" s="125">
        <f>(IF((VLOOKUP(Table1[[#This Row],[SKU]],'All Skus'!$A:$AC,2,FALSE))="AKG",(VLOOKUP(Table1[[#This Row],[SKU]],'All Skus'!$A:$AC,15,FALSE)),""))</f>
        <v>0</v>
      </c>
      <c r="L345" s="124">
        <f>(IF((VLOOKUP(Table1[[#This Row],[SKU]],'All Skus'!$A:$AC,2,FALSE))="AKG",(VLOOKUP(Table1[[#This Row],[SKU]],'All Skus'!$A:$AC,16,FALSE)),""))</f>
        <v>885038038863</v>
      </c>
      <c r="M345" s="124">
        <f>(IF((VLOOKUP(Table1[[#This Row],[SKU]],'All Skus'!$A:$AC,2,FALSE))="AKG",(VLOOKUP(Table1[[#This Row],[SKU]],'All Skus'!$A:$AC,17,FALSE)),""))</f>
        <v>9002761038866</v>
      </c>
      <c r="N345" s="64">
        <f>(IF((VLOOKUP(Table1[[#This Row],[SKU]],'All Skus'!$A:$AC,2,FALSE))="AKG",(VLOOKUP(Table1[[#This Row],[SKU]],'All Skus'!$A:$AC,18,FALSE)),""))</f>
        <v>11</v>
      </c>
      <c r="O345" s="64">
        <f>(IF((VLOOKUP(Table1[[#This Row],[SKU]],'All Skus'!$A:$AC,2,FALSE))="AKG",(VLOOKUP(Table1[[#This Row],[SKU]],'All Skus'!$A:$AC,19,FALSE)),""))</f>
        <v>11</v>
      </c>
      <c r="P345" s="64">
        <f>(IF((VLOOKUP(Table1[[#This Row],[SKU]],'All Skus'!$A:$AC,2,FALSE))="AKG",(VLOOKUP(Table1[[#This Row],[SKU]],'All Skus'!$A:$AC,20,FALSE)),""))</f>
        <v>23</v>
      </c>
      <c r="Q345" s="64">
        <f>(IF((VLOOKUP(Table1[[#This Row],[SKU]],'All Skus'!$A:$AC,2,FALSE))="AKG",(VLOOKUP(Table1[[#This Row],[SKU]],'All Skus'!$A:$AC,21,FALSE)),""))</f>
        <v>3.74</v>
      </c>
      <c r="R345" s="64" t="str">
        <f>(IF((VLOOKUP(Table1[[#This Row],[SKU]],'All Skus'!$A:$AC,2,FALSE))="AKG",(VLOOKUP(Table1[[#This Row],[SKU]],'All Skus'!$A:$AC,22,FALSE)),""))</f>
        <v>CN</v>
      </c>
      <c r="S345" s="64" t="str">
        <f>(IF((VLOOKUP(Table1[[#This Row],[SKU]],'All Skus'!$A:$AC,2,FALSE))="AKG",(VLOOKUP(Table1[[#This Row],[SKU]],'All Skus'!$A:$AC,23,FALSE)),""))</f>
        <v>Non Compliant</v>
      </c>
      <c r="T345" s="210" t="str">
        <f>HYPERLINK((IF((VLOOKUP(Table1[[#This Row],[SKU]],'All Skus'!$A:$AC,2,FALSE))="AKG",(VLOOKUP(Table1[[#This Row],[SKU]],'All Skus'!$A:$AC,24,FALSE)),"")))</f>
        <v>https://www.akg.com/3450H00050.html</v>
      </c>
      <c r="U345" s="151">
        <v>343</v>
      </c>
    </row>
    <row r="346" spans="1:21" hidden="1">
      <c r="A346" s="127" t="s">
        <v>498</v>
      </c>
      <c r="B346" s="52">
        <f>(IF((VLOOKUP(Table1[[#This Row],[SKU]],'All Skus'!$A:$AC,2,FALSE))="AKG",(VLOOKUP(Table1[[#This Row],[SKU]],'All Skus'!$A:$AC,3,FALSE)), ""))</f>
        <v>0</v>
      </c>
      <c r="C346" s="60">
        <f>(IF((VLOOKUP(Table1[[#This Row],[SKU]],'All Skus'!$A:$AC,2,FALSE))="AKG",(VLOOKUP(Table1[[#This Row],[SKU]],'All Skus'!$A:$AC,4,FALSE)),""))</f>
        <v>0</v>
      </c>
      <c r="D346" s="60">
        <f>(IF((VLOOKUP(Table1[[#This Row],[SKU]],'All Skus'!$A:$AC,2,FALSE))="AKG",(VLOOKUP(Table1[[#This Row],[SKU]],'All Skus'!$A:$AC,5,FALSE)),""))</f>
        <v>0</v>
      </c>
      <c r="E346" s="60">
        <f>(IF((VLOOKUP(Table1[[#This Row],[SKU]],'All Skus'!$A:$AC,2,FALSE))="AKG",(VLOOKUP(Table1[[#This Row],[SKU]],'All Skus'!$A:$AC,6,FALSE)),""))</f>
        <v>0</v>
      </c>
      <c r="F346" s="60">
        <f>(IF((VLOOKUP(Table1[[#This Row],[SKU]],'All Skus'!$A:$AC,2,FALSE))="AKG",(VLOOKUP(Table1[[#This Row],[SKU]],'All Skus'!$A:$AC,7,FALSE)),""))</f>
        <v>0</v>
      </c>
      <c r="G346" s="45">
        <f>(IF((VLOOKUP(Table1[[#This Row],[SKU]],'All Skus'!$A:$AC,2,FALSE))="AKG",(VLOOKUP(Table1[[#This Row],[SKU]],'All Skus'!$A:$AC,8,FALSE)),""))</f>
        <v>0</v>
      </c>
      <c r="H346" s="45">
        <f>(IF((VLOOKUP(Table1[[#This Row],[SKU]],'All Skus'!$A:$AC,2,FALSE))="AKG",(VLOOKUP(Table1[[#This Row],[SKU]],'All Skus'!$A:$AC,9,FALSE)),""))</f>
        <v>0</v>
      </c>
      <c r="I346" s="141">
        <f>(IF((VLOOKUP(Table1[[#This Row],[SKU]],'All Skus'!$A:$AC,2,FALSE))="AKG",(VLOOKUP(Table1[[#This Row],[SKU]],'All Skus'!$A:$AC,10,FALSE)),""))</f>
        <v>0</v>
      </c>
      <c r="J346" s="141">
        <f>(IF((VLOOKUP(Table1[[#This Row],[SKU]],'All Skus'!$A:$AC,2,FALSE))="AKG",(VLOOKUP(Table1[[#This Row],[SKU]],'All Skus'!$A:$AC,11,FALSE)),""))</f>
        <v>0</v>
      </c>
      <c r="K346" s="125">
        <f>(IF((VLOOKUP(Table1[[#This Row],[SKU]],'All Skus'!$A:$AC,2,FALSE))="AKG",(VLOOKUP(Table1[[#This Row],[SKU]],'All Skus'!$A:$AC,15,FALSE)),""))</f>
        <v>0</v>
      </c>
      <c r="L346" s="124">
        <f>(IF((VLOOKUP(Table1[[#This Row],[SKU]],'All Skus'!$A:$AC,2,FALSE))="AKG",(VLOOKUP(Table1[[#This Row],[SKU]],'All Skus'!$A:$AC,16,FALSE)),""))</f>
        <v>0</v>
      </c>
      <c r="M346" s="124">
        <f>(IF((VLOOKUP(Table1[[#This Row],[SKU]],'All Skus'!$A:$AC,2,FALSE))="AKG",(VLOOKUP(Table1[[#This Row],[SKU]],'All Skus'!$A:$AC,17,FALSE)),""))</f>
        <v>0</v>
      </c>
      <c r="N346" s="64">
        <f>(IF((VLOOKUP(Table1[[#This Row],[SKU]],'All Skus'!$A:$AC,2,FALSE))="AKG",(VLOOKUP(Table1[[#This Row],[SKU]],'All Skus'!$A:$AC,18,FALSE)),""))</f>
        <v>0</v>
      </c>
      <c r="O346" s="64">
        <f>(IF((VLOOKUP(Table1[[#This Row],[SKU]],'All Skus'!$A:$AC,2,FALSE))="AKG",(VLOOKUP(Table1[[#This Row],[SKU]],'All Skus'!$A:$AC,19,FALSE)),""))</f>
        <v>0</v>
      </c>
      <c r="P346" s="64">
        <f>(IF((VLOOKUP(Table1[[#This Row],[SKU]],'All Skus'!$A:$AC,2,FALSE))="AKG",(VLOOKUP(Table1[[#This Row],[SKU]],'All Skus'!$A:$AC,20,FALSE)),""))</f>
        <v>0</v>
      </c>
      <c r="Q346" s="64">
        <f>(IF((VLOOKUP(Table1[[#This Row],[SKU]],'All Skus'!$A:$AC,2,FALSE))="AKG",(VLOOKUP(Table1[[#This Row],[SKU]],'All Skus'!$A:$AC,21,FALSE)),""))</f>
        <v>0</v>
      </c>
      <c r="R346" s="64">
        <f>(IF((VLOOKUP(Table1[[#This Row],[SKU]],'All Skus'!$A:$AC,2,FALSE))="AKG",(VLOOKUP(Table1[[#This Row],[SKU]],'All Skus'!$A:$AC,22,FALSE)),""))</f>
        <v>0</v>
      </c>
      <c r="S346" s="64">
        <f>(IF((VLOOKUP(Table1[[#This Row],[SKU]],'All Skus'!$A:$AC,2,FALSE))="AKG",(VLOOKUP(Table1[[#This Row],[SKU]],'All Skus'!$A:$AC,23,FALSE)),""))</f>
        <v>0</v>
      </c>
      <c r="T346" s="210" t="str">
        <f>HYPERLINK((IF((VLOOKUP(Table1[[#This Row],[SKU]],'All Skus'!$A:$AC,2,FALSE))="AKG",(VLOOKUP(Table1[[#This Row],[SKU]],'All Skus'!$A:$AC,24,FALSE)),"")))</f>
        <v/>
      </c>
      <c r="U346" s="151">
        <v>344</v>
      </c>
    </row>
    <row r="347" spans="1:21" hidden="1">
      <c r="A347" s="48" t="s">
        <v>500</v>
      </c>
      <c r="B347" s="52" t="str">
        <f>(IF((VLOOKUP(Table1[[#This Row],[SKU]],'All Skus'!$A:$AC,2,FALSE))="AKG",(VLOOKUP(Table1[[#This Row],[SKU]],'All Skus'!$A:$AC,3,FALSE)), ""))</f>
        <v>Installed</v>
      </c>
      <c r="C347" s="60" t="str">
        <f>(IF((VLOOKUP(Table1[[#This Row],[SKU]],'All Skus'!$A:$AC,2,FALSE))="AKG",(VLOOKUP(Table1[[#This Row],[SKU]],'All Skus'!$A:$AC,4,FALSE)),""))</f>
        <v xml:space="preserve">DMM8 UL </v>
      </c>
      <c r="D347" s="60" t="str">
        <f>(IF((VLOOKUP(Table1[[#This Row],[SKU]],'All Skus'!$A:$AC,2,FALSE))="AKG",(VLOOKUP(Table1[[#This Row],[SKU]],'All Skus'!$A:$AC,5,FALSE)),""))</f>
        <v>AT510080</v>
      </c>
      <c r="E347" s="60">
        <f>(IF((VLOOKUP(Table1[[#This Row],[SKU]],'All Skus'!$A:$AC,2,FALSE))="AKG",(VLOOKUP(Table1[[#This Row],[SKU]],'All Skus'!$A:$AC,6,FALSE)),""))</f>
        <v>0</v>
      </c>
      <c r="F347" s="60">
        <f>(IF((VLOOKUP(Table1[[#This Row],[SKU]],'All Skus'!$A:$AC,2,FALSE))="AKG",(VLOOKUP(Table1[[#This Row],[SKU]],'All Skus'!$A:$AC,7,FALSE)),""))</f>
        <v>0</v>
      </c>
      <c r="G347" s="45" t="str">
        <f>(IF((VLOOKUP(Table1[[#This Row],[SKU]],'All Skus'!$A:$AC,2,FALSE))="AKG",(VLOOKUP(Table1[[#This Row],[SKU]],'All Skus'!$A:$AC,8,FALSE)),""))</f>
        <v>Digital Microphone Mixer</v>
      </c>
      <c r="H347" s="45" t="str">
        <f>(IF((VLOOKUP(Table1[[#This Row],[SKU]],'All Skus'!$A:$AC,2,FALSE))="AKG",(VLOOKUP(Table1[[#This Row],[SKU]],'All Skus'!$A:$AC,9,FALSE)),""))</f>
        <v>Digital automatic microphone mixer</v>
      </c>
      <c r="I347" s="141">
        <f>(IF((VLOOKUP(Table1[[#This Row],[SKU]],'All Skus'!$A:$AC,2,FALSE))="AKG",(VLOOKUP(Table1[[#This Row],[SKU]],'All Skus'!$A:$AC,10,FALSE)),""))</f>
        <v>3708.2</v>
      </c>
      <c r="J347" s="141">
        <f>(IF((VLOOKUP(Table1[[#This Row],[SKU]],'All Skus'!$A:$AC,2,FALSE))="AKG",(VLOOKUP(Table1[[#This Row],[SKU]],'All Skus'!$A:$AC,11,FALSE)),""))</f>
        <v>2941</v>
      </c>
      <c r="K347" s="125">
        <f>(IF((VLOOKUP(Table1[[#This Row],[SKU]],'All Skus'!$A:$AC,2,FALSE))="AKG",(VLOOKUP(Table1[[#This Row],[SKU]],'All Skus'!$A:$AC,15,FALSE)),""))</f>
        <v>0</v>
      </c>
      <c r="L347" s="124">
        <f>(IF((VLOOKUP(Table1[[#This Row],[SKU]],'All Skus'!$A:$AC,2,FALSE))="AKG",(VLOOKUP(Table1[[#This Row],[SKU]],'All Skus'!$A:$AC,16,FALSE)),""))</f>
        <v>885038038702</v>
      </c>
      <c r="M347" s="124">
        <f>(IF((VLOOKUP(Table1[[#This Row],[SKU]],'All Skus'!$A:$AC,2,FALSE))="AKG",(VLOOKUP(Table1[[#This Row],[SKU]],'All Skus'!$A:$AC,17,FALSE)),""))</f>
        <v>9002761038705</v>
      </c>
      <c r="N347" s="64">
        <f>(IF((VLOOKUP(Table1[[#This Row],[SKU]],'All Skus'!$A:$AC,2,FALSE))="AKG",(VLOOKUP(Table1[[#This Row],[SKU]],'All Skus'!$A:$AC,18,FALSE)),""))</f>
        <v>2.5</v>
      </c>
      <c r="O347" s="64">
        <f>(IF((VLOOKUP(Table1[[#This Row],[SKU]],'All Skus'!$A:$AC,2,FALSE))="AKG",(VLOOKUP(Table1[[#This Row],[SKU]],'All Skus'!$A:$AC,19,FALSE)),""))</f>
        <v>23</v>
      </c>
      <c r="P347" s="64">
        <f>(IF((VLOOKUP(Table1[[#This Row],[SKU]],'All Skus'!$A:$AC,2,FALSE))="AKG",(VLOOKUP(Table1[[#This Row],[SKU]],'All Skus'!$A:$AC,20,FALSE)),""))</f>
        <v>15</v>
      </c>
      <c r="Q347" s="64">
        <f>(IF((VLOOKUP(Table1[[#This Row],[SKU]],'All Skus'!$A:$AC,2,FALSE))="AKG",(VLOOKUP(Table1[[#This Row],[SKU]],'All Skus'!$A:$AC,21,FALSE)),""))</f>
        <v>24</v>
      </c>
      <c r="R347" s="64" t="str">
        <f>(IF((VLOOKUP(Table1[[#This Row],[SKU]],'All Skus'!$A:$AC,2,FALSE))="AKG",(VLOOKUP(Table1[[#This Row],[SKU]],'All Skus'!$A:$AC,22,FALSE)),""))</f>
        <v>DE</v>
      </c>
      <c r="S347" s="64" t="str">
        <f>(IF((VLOOKUP(Table1[[#This Row],[SKU]],'All Skus'!$A:$AC,2,FALSE))="AKG",(VLOOKUP(Table1[[#This Row],[SKU]],'All Skus'!$A:$AC,23,FALSE)),""))</f>
        <v>Compliant</v>
      </c>
      <c r="T347" s="210" t="str">
        <f>HYPERLINK((IF((VLOOKUP(Table1[[#This Row],[SKU]],'All Skus'!$A:$AC,2,FALSE))="AKG",(VLOOKUP(Table1[[#This Row],[SKU]],'All Skus'!$A:$AC,24,FALSE)),"")))</f>
        <v>https://www.akg.com/6500H00240.html</v>
      </c>
      <c r="U347" s="151">
        <v>345</v>
      </c>
    </row>
    <row r="348" spans="1:21" hidden="1">
      <c r="A348" s="48" t="s">
        <v>505</v>
      </c>
      <c r="B348" s="52" t="str">
        <f>(IF((VLOOKUP(Table1[[#This Row],[SKU]],'All Skus'!$A:$AC,2,FALSE))="AKG",(VLOOKUP(Table1[[#This Row],[SKU]],'All Skus'!$A:$AC,3,FALSE)), ""))</f>
        <v>Accessories</v>
      </c>
      <c r="C348" s="60" t="str">
        <f>(IF((VLOOKUP(Table1[[#This Row],[SKU]],'All Skus'!$A:$AC,2,FALSE))="AKG",(VLOOKUP(Table1[[#This Row],[SKU]],'All Skus'!$A:$AC,4,FALSE)),""))</f>
        <v>ICAAS10 Cascading Cable</v>
      </c>
      <c r="D348" s="60" t="str">
        <f>(IF((VLOOKUP(Table1[[#This Row],[SKU]],'All Skus'!$A:$AC,2,FALSE))="AKG",(VLOOKUP(Table1[[#This Row],[SKU]],'All Skus'!$A:$AC,5,FALSE)),""))</f>
        <v>AT510080</v>
      </c>
      <c r="E348" s="60">
        <f>(IF((VLOOKUP(Table1[[#This Row],[SKU]],'All Skus'!$A:$AC,2,FALSE))="AKG",(VLOOKUP(Table1[[#This Row],[SKU]],'All Skus'!$A:$AC,6,FALSE)),""))</f>
        <v>0</v>
      </c>
      <c r="F348" s="60">
        <f>(IF((VLOOKUP(Table1[[#This Row],[SKU]],'All Skus'!$A:$AC,2,FALSE))="AKG",(VLOOKUP(Table1[[#This Row],[SKU]],'All Skus'!$A:$AC,7,FALSE)),""))</f>
        <v>0</v>
      </c>
      <c r="G348" s="45" t="str">
        <f>(IF((VLOOKUP(Table1[[#This Row],[SKU]],'All Skus'!$A:$AC,2,FALSE))="AKG",(VLOOKUP(Table1[[#This Row],[SKU]],'All Skus'!$A:$AC,8,FALSE)),""))</f>
        <v>Cable</v>
      </c>
      <c r="H348" s="45" t="str">
        <f>(IF((VLOOKUP(Table1[[#This Row],[SKU]],'All Skus'!$A:$AC,2,FALSE))="AKG",(VLOOKUP(Table1[[#This Row],[SKU]],'All Skus'!$A:$AC,9,FALSE)),""))</f>
        <v>Cascading Cable for DMM Mixers</v>
      </c>
      <c r="I348" s="141">
        <f>(IF((VLOOKUP(Table1[[#This Row],[SKU]],'All Skus'!$A:$AC,2,FALSE))="AKG",(VLOOKUP(Table1[[#This Row],[SKU]],'All Skus'!$A:$AC,10,FALSE)),""))</f>
        <v>88.83</v>
      </c>
      <c r="J348" s="141">
        <f>(IF((VLOOKUP(Table1[[#This Row],[SKU]],'All Skus'!$A:$AC,2,FALSE))="AKG",(VLOOKUP(Table1[[#This Row],[SKU]],'All Skus'!$A:$AC,11,FALSE)),""))</f>
        <v>72</v>
      </c>
      <c r="K348" s="125">
        <f>(IF((VLOOKUP(Table1[[#This Row],[SKU]],'All Skus'!$A:$AC,2,FALSE))="AKG",(VLOOKUP(Table1[[#This Row],[SKU]],'All Skus'!$A:$AC,15,FALSE)),""))</f>
        <v>0</v>
      </c>
      <c r="L348" s="124">
        <f>(IF((VLOOKUP(Table1[[#This Row],[SKU]],'All Skus'!$A:$AC,2,FALSE))="AKG",(VLOOKUP(Table1[[#This Row],[SKU]],'All Skus'!$A:$AC,16,FALSE)),""))</f>
        <v>885038030591</v>
      </c>
      <c r="M348" s="124">
        <f>(IF((VLOOKUP(Table1[[#This Row],[SKU]],'All Skus'!$A:$AC,2,FALSE))="AKG",(VLOOKUP(Table1[[#This Row],[SKU]],'All Skus'!$A:$AC,17,FALSE)),""))</f>
        <v>9002761030594</v>
      </c>
      <c r="N348" s="64">
        <f>(IF((VLOOKUP(Table1[[#This Row],[SKU]],'All Skus'!$A:$AC,2,FALSE))="AKG",(VLOOKUP(Table1[[#This Row],[SKU]],'All Skus'!$A:$AC,18,FALSE)),""))</f>
        <v>1</v>
      </c>
      <c r="O348" s="64">
        <f>(IF((VLOOKUP(Table1[[#This Row],[SKU]],'All Skus'!$A:$AC,2,FALSE))="AKG",(VLOOKUP(Table1[[#This Row],[SKU]],'All Skus'!$A:$AC,19,FALSE)),""))</f>
        <v>3</v>
      </c>
      <c r="P348" s="64">
        <f>(IF((VLOOKUP(Table1[[#This Row],[SKU]],'All Skus'!$A:$AC,2,FALSE))="AKG",(VLOOKUP(Table1[[#This Row],[SKU]],'All Skus'!$A:$AC,20,FALSE)),""))</f>
        <v>5</v>
      </c>
      <c r="Q348" s="64">
        <f>(IF((VLOOKUP(Table1[[#This Row],[SKU]],'All Skus'!$A:$AC,2,FALSE))="AKG",(VLOOKUP(Table1[[#This Row],[SKU]],'All Skus'!$A:$AC,21,FALSE)),""))</f>
        <v>0.8</v>
      </c>
      <c r="R348" s="64" t="str">
        <f>(IF((VLOOKUP(Table1[[#This Row],[SKU]],'All Skus'!$A:$AC,2,FALSE))="AKG",(VLOOKUP(Table1[[#This Row],[SKU]],'All Skus'!$A:$AC,22,FALSE)),""))</f>
        <v>ZZ</v>
      </c>
      <c r="S348" s="64" t="str">
        <f>(IF((VLOOKUP(Table1[[#This Row],[SKU]],'All Skus'!$A:$AC,2,FALSE))="AKG",(VLOOKUP(Table1[[#This Row],[SKU]],'All Skus'!$A:$AC,23,FALSE)),""))</f>
        <v>Non Compliant</v>
      </c>
      <c r="T348" s="210" t="str">
        <f>HYPERLINK((IF((VLOOKUP(Table1[[#This Row],[SKU]],'All Skus'!$A:$AC,2,FALSE))="AKG",(VLOOKUP(Table1[[#This Row],[SKU]],'All Skus'!$A:$AC,24,FALSE)),"")))</f>
        <v>https://www.akg.com/6000H19040.html</v>
      </c>
      <c r="U348" s="151">
        <v>346</v>
      </c>
    </row>
    <row r="349" spans="1:21" hidden="1">
      <c r="A349" s="109" t="s">
        <v>506</v>
      </c>
      <c r="B349" s="52">
        <f>(IF((VLOOKUP(Table1[[#This Row],[SKU]],'All Skus'!$A:$AC,2,FALSE))="AKG",(VLOOKUP(Table1[[#This Row],[SKU]],'All Skus'!$A:$AC,3,FALSE)), ""))</f>
        <v>0</v>
      </c>
      <c r="C349" s="60">
        <f>(IF((VLOOKUP(Table1[[#This Row],[SKU]],'All Skus'!$A:$AC,2,FALSE))="AKG",(VLOOKUP(Table1[[#This Row],[SKU]],'All Skus'!$A:$AC,4,FALSE)),""))</f>
        <v>0</v>
      </c>
      <c r="D349" s="60">
        <f>(IF((VLOOKUP(Table1[[#This Row],[SKU]],'All Skus'!$A:$AC,2,FALSE))="AKG",(VLOOKUP(Table1[[#This Row],[SKU]],'All Skus'!$A:$AC,5,FALSE)),""))</f>
        <v>0</v>
      </c>
      <c r="E349" s="60">
        <f>(IF((VLOOKUP(Table1[[#This Row],[SKU]],'All Skus'!$A:$AC,2,FALSE))="AKG",(VLOOKUP(Table1[[#This Row],[SKU]],'All Skus'!$A:$AC,6,FALSE)),""))</f>
        <v>0</v>
      </c>
      <c r="F349" s="60">
        <f>(IF((VLOOKUP(Table1[[#This Row],[SKU]],'All Skus'!$A:$AC,2,FALSE))="AKG",(VLOOKUP(Table1[[#This Row],[SKU]],'All Skus'!$A:$AC,7,FALSE)),""))</f>
        <v>0</v>
      </c>
      <c r="G349" s="45">
        <f>(IF((VLOOKUP(Table1[[#This Row],[SKU]],'All Skus'!$A:$AC,2,FALSE))="AKG",(VLOOKUP(Table1[[#This Row],[SKU]],'All Skus'!$A:$AC,8,FALSE)),""))</f>
        <v>0</v>
      </c>
      <c r="H349" s="45">
        <f>(IF((VLOOKUP(Table1[[#This Row],[SKU]],'All Skus'!$A:$AC,2,FALSE))="AKG",(VLOOKUP(Table1[[#This Row],[SKU]],'All Skus'!$A:$AC,9,FALSE)),""))</f>
        <v>0</v>
      </c>
      <c r="I349" s="141">
        <f>(IF((VLOOKUP(Table1[[#This Row],[SKU]],'All Skus'!$A:$AC,2,FALSE))="AKG",(VLOOKUP(Table1[[#This Row],[SKU]],'All Skus'!$A:$AC,10,FALSE)),""))</f>
        <v>0</v>
      </c>
      <c r="J349" s="141">
        <f>(IF((VLOOKUP(Table1[[#This Row],[SKU]],'All Skus'!$A:$AC,2,FALSE))="AKG",(VLOOKUP(Table1[[#This Row],[SKU]],'All Skus'!$A:$AC,11,FALSE)),""))</f>
        <v>0</v>
      </c>
      <c r="K349" s="125">
        <f>(IF((VLOOKUP(Table1[[#This Row],[SKU]],'All Skus'!$A:$AC,2,FALSE))="AKG",(VLOOKUP(Table1[[#This Row],[SKU]],'All Skus'!$A:$AC,15,FALSE)),""))</f>
        <v>0</v>
      </c>
      <c r="L349" s="124">
        <f>(IF((VLOOKUP(Table1[[#This Row],[SKU]],'All Skus'!$A:$AC,2,FALSE))="AKG",(VLOOKUP(Table1[[#This Row],[SKU]],'All Skus'!$A:$AC,16,FALSE)),""))</f>
        <v>0</v>
      </c>
      <c r="M349" s="124">
        <f>(IF((VLOOKUP(Table1[[#This Row],[SKU]],'All Skus'!$A:$AC,2,FALSE))="AKG",(VLOOKUP(Table1[[#This Row],[SKU]],'All Skus'!$A:$AC,17,FALSE)),""))</f>
        <v>0</v>
      </c>
      <c r="N349" s="64">
        <f>(IF((VLOOKUP(Table1[[#This Row],[SKU]],'All Skus'!$A:$AC,2,FALSE))="AKG",(VLOOKUP(Table1[[#This Row],[SKU]],'All Skus'!$A:$AC,18,FALSE)),""))</f>
        <v>0</v>
      </c>
      <c r="O349" s="64">
        <f>(IF((VLOOKUP(Table1[[#This Row],[SKU]],'All Skus'!$A:$AC,2,FALSE))="AKG",(VLOOKUP(Table1[[#This Row],[SKU]],'All Skus'!$A:$AC,19,FALSE)),""))</f>
        <v>0</v>
      </c>
      <c r="P349" s="64">
        <f>(IF((VLOOKUP(Table1[[#This Row],[SKU]],'All Skus'!$A:$AC,2,FALSE))="AKG",(VLOOKUP(Table1[[#This Row],[SKU]],'All Skus'!$A:$AC,20,FALSE)),""))</f>
        <v>0</v>
      </c>
      <c r="Q349" s="64">
        <f>(IF((VLOOKUP(Table1[[#This Row],[SKU]],'All Skus'!$A:$AC,2,FALSE))="AKG",(VLOOKUP(Table1[[#This Row],[SKU]],'All Skus'!$A:$AC,21,FALSE)),""))</f>
        <v>0</v>
      </c>
      <c r="R349" s="64">
        <f>(IF((VLOOKUP(Table1[[#This Row],[SKU]],'All Skus'!$A:$AC,2,FALSE))="AKG",(VLOOKUP(Table1[[#This Row],[SKU]],'All Skus'!$A:$AC,22,FALSE)),""))</f>
        <v>0</v>
      </c>
      <c r="S349" s="64">
        <f>(IF((VLOOKUP(Table1[[#This Row],[SKU]],'All Skus'!$A:$AC,2,FALSE))="AKG",(VLOOKUP(Table1[[#This Row],[SKU]],'All Skus'!$A:$AC,23,FALSE)),""))</f>
        <v>0</v>
      </c>
      <c r="T349" s="210" t="str">
        <f>HYPERLINK((IF((VLOOKUP(Table1[[#This Row],[SKU]],'All Skus'!$A:$AC,2,FALSE))="AKG",(VLOOKUP(Table1[[#This Row],[SKU]],'All Skus'!$A:$AC,24,FALSE)),"")))</f>
        <v/>
      </c>
      <c r="U349" s="151">
        <v>347</v>
      </c>
    </row>
    <row r="350" spans="1:21" hidden="1">
      <c r="A350" s="48" t="s">
        <v>507</v>
      </c>
      <c r="B350" s="52" t="str">
        <f>(IF((VLOOKUP(Table1[[#This Row],[SKU]],'All Skus'!$A:$AC,2,FALSE))="AKG",(VLOOKUP(Table1[[#This Row],[SKU]],'All Skus'!$A:$AC,3,FALSE)), ""))</f>
        <v>Accessories</v>
      </c>
      <c r="C350" s="60" t="str">
        <f>(IF((VLOOKUP(Table1[[#This Row],[SKU]],'All Skus'!$A:$AC,2,FALSE))="AKG",(VLOOKUP(Table1[[#This Row],[SKU]],'All Skus'!$A:$AC,4,FALSE)),""))</f>
        <v>SA44</v>
      </c>
      <c r="D350" s="60" t="str">
        <f>(IF((VLOOKUP(Table1[[#This Row],[SKU]],'All Skus'!$A:$AC,2,FALSE))="AKG",(VLOOKUP(Table1[[#This Row],[SKU]],'All Skus'!$A:$AC,5,FALSE)),""))</f>
        <v>AT999999</v>
      </c>
      <c r="E350" s="60">
        <f>(IF((VLOOKUP(Table1[[#This Row],[SKU]],'All Skus'!$A:$AC,2,FALSE))="AKG",(VLOOKUP(Table1[[#This Row],[SKU]],'All Skus'!$A:$AC,6,FALSE)),""))</f>
        <v>0</v>
      </c>
      <c r="F350" s="60">
        <f>(IF((VLOOKUP(Table1[[#This Row],[SKU]],'All Skus'!$A:$AC,2,FALSE))="AKG",(VLOOKUP(Table1[[#This Row],[SKU]],'All Skus'!$A:$AC,7,FALSE)),""))</f>
        <v>0</v>
      </c>
      <c r="G350" s="45" t="str">
        <f>(IF((VLOOKUP(Table1[[#This Row],[SKU]],'All Skus'!$A:$AC,2,FALSE))="AKG",(VLOOKUP(Table1[[#This Row],[SKU]],'All Skus'!$A:$AC,8,FALSE)),""))</f>
        <v>Spare parts</v>
      </c>
      <c r="H350" s="45" t="str">
        <f>(IF((VLOOKUP(Table1[[#This Row],[SKU]],'All Skus'!$A:$AC,2,FALSE))="AKG",(VLOOKUP(Table1[[#This Row],[SKU]],'All Skus'!$A:$AC,9,FALSE)),""))</f>
        <v>For use with vocal microphones</v>
      </c>
      <c r="I350" s="141">
        <f>(IF((VLOOKUP(Table1[[#This Row],[SKU]],'All Skus'!$A:$AC,2,FALSE))="AKG",(VLOOKUP(Table1[[#This Row],[SKU]],'All Skus'!$A:$AC,10,FALSE)),""))</f>
        <v>0</v>
      </c>
      <c r="J350" s="141">
        <f>(IF((VLOOKUP(Table1[[#This Row],[SKU]],'All Skus'!$A:$AC,2,FALSE))="AKG",(VLOOKUP(Table1[[#This Row],[SKU]],'All Skus'!$A:$AC,11,FALSE)),""))</f>
        <v>0</v>
      </c>
      <c r="K350" s="125">
        <f>(IF((VLOOKUP(Table1[[#This Row],[SKU]],'All Skus'!$A:$AC,2,FALSE))="AKG",(VLOOKUP(Table1[[#This Row],[SKU]],'All Skus'!$A:$AC,15,FALSE)),""))</f>
        <v>0</v>
      </c>
      <c r="L350" s="124">
        <f>(IF((VLOOKUP(Table1[[#This Row],[SKU]],'All Skus'!$A:$AC,2,FALSE))="AKG",(VLOOKUP(Table1[[#This Row],[SKU]],'All Skus'!$A:$AC,16,FALSE)),""))</f>
        <v>885038039600</v>
      </c>
      <c r="M350" s="124">
        <f>(IF((VLOOKUP(Table1[[#This Row],[SKU]],'All Skus'!$A:$AC,2,FALSE))="AKG",(VLOOKUP(Table1[[#This Row],[SKU]],'All Skus'!$A:$AC,17,FALSE)),""))</f>
        <v>9002761039603</v>
      </c>
      <c r="N350" s="64">
        <f>(IF((VLOOKUP(Table1[[#This Row],[SKU]],'All Skus'!$A:$AC,2,FALSE))="AKG",(VLOOKUP(Table1[[#This Row],[SKU]],'All Skus'!$A:$AC,18,FALSE)),""))</f>
        <v>0</v>
      </c>
      <c r="O350" s="64">
        <f>(IF((VLOOKUP(Table1[[#This Row],[SKU]],'All Skus'!$A:$AC,2,FALSE))="AKG",(VLOOKUP(Table1[[#This Row],[SKU]],'All Skus'!$A:$AC,19,FALSE)),""))</f>
        <v>0</v>
      </c>
      <c r="P350" s="64">
        <f>(IF((VLOOKUP(Table1[[#This Row],[SKU]],'All Skus'!$A:$AC,2,FALSE))="AKG",(VLOOKUP(Table1[[#This Row],[SKU]],'All Skus'!$A:$AC,20,FALSE)),""))</f>
        <v>0</v>
      </c>
      <c r="Q350" s="64" t="str">
        <f>(IF((VLOOKUP(Table1[[#This Row],[SKU]],'All Skus'!$A:$AC,2,FALSE))="AKG",(VLOOKUP(Table1[[#This Row],[SKU]],'All Skus'!$A:$AC,21,FALSE)),""))</f>
        <v>n/a</v>
      </c>
      <c r="R350" s="64" t="str">
        <f>(IF((VLOOKUP(Table1[[#This Row],[SKU]],'All Skus'!$A:$AC,2,FALSE))="AKG",(VLOOKUP(Table1[[#This Row],[SKU]],'All Skus'!$A:$AC,22,FALSE)),""))</f>
        <v>CN</v>
      </c>
      <c r="S350" s="64" t="str">
        <f>(IF((VLOOKUP(Table1[[#This Row],[SKU]],'All Skus'!$A:$AC,2,FALSE))="AKG",(VLOOKUP(Table1[[#This Row],[SKU]],'All Skus'!$A:$AC,23,FALSE)),""))</f>
        <v>Non Compliant</v>
      </c>
      <c r="T350" s="210" t="str">
        <f>HYPERLINK((IF((VLOOKUP(Table1[[#This Row],[SKU]],'All Skus'!$A:$AC,2,FALSE))="AKG",(VLOOKUP(Table1[[#This Row],[SKU]],'All Skus'!$A:$AC,24,FALSE)),"")))</f>
        <v>https://www.akg.com/6001H06320.html</v>
      </c>
      <c r="U350" s="151">
        <v>348</v>
      </c>
    </row>
    <row r="351" spans="1:21" hidden="1">
      <c r="A351" s="48" t="s">
        <v>508</v>
      </c>
      <c r="B351" s="52" t="str">
        <f>(IF((VLOOKUP(Table1[[#This Row],[SKU]],'All Skus'!$A:$AC,2,FALSE))="AKG",(VLOOKUP(Table1[[#This Row],[SKU]],'All Skus'!$A:$AC,3,FALSE)), ""))</f>
        <v>Cable</v>
      </c>
      <c r="C351" s="60" t="str">
        <f>(IF((VLOOKUP(Table1[[#This Row],[SKU]],'All Skus'!$A:$AC,2,FALSE))="AKG",(VLOOKUP(Table1[[#This Row],[SKU]],'All Skus'!$A:$AC,4,FALSE)),""))</f>
        <v>MK/GL Guitar Cable</v>
      </c>
      <c r="D351" s="60" t="str">
        <f>(IF((VLOOKUP(Table1[[#This Row],[SKU]],'All Skus'!$A:$AC,2,FALSE))="AKG",(VLOOKUP(Table1[[#This Row],[SKU]],'All Skus'!$A:$AC,5,FALSE)),""))</f>
        <v>AT210010</v>
      </c>
      <c r="E351" s="60">
        <f>(IF((VLOOKUP(Table1[[#This Row],[SKU]],'All Skus'!$A:$AC,2,FALSE))="AKG",(VLOOKUP(Table1[[#This Row],[SKU]],'All Skus'!$A:$AC,6,FALSE)),""))</f>
        <v>0</v>
      </c>
      <c r="F351" s="60">
        <f>(IF((VLOOKUP(Table1[[#This Row],[SKU]],'All Skus'!$A:$AC,2,FALSE))="AKG",(VLOOKUP(Table1[[#This Row],[SKU]],'All Skus'!$A:$AC,7,FALSE)),""))</f>
        <v>0</v>
      </c>
      <c r="G351" s="45" t="str">
        <f>(IF((VLOOKUP(Table1[[#This Row],[SKU]],'All Skus'!$A:$AC,2,FALSE))="AKG",(VLOOKUP(Table1[[#This Row],[SKU]],'All Skus'!$A:$AC,8,FALSE)),""))</f>
        <v>MK/GL Guitar Cable</v>
      </c>
      <c r="H351" s="45" t="str">
        <f>(IF((VLOOKUP(Table1[[#This Row],[SKU]],'All Skus'!$A:$AC,2,FALSE))="AKG",(VLOOKUP(Table1[[#This Row],[SKU]],'All Skus'!$A:$AC,9,FALSE)),""))</f>
        <v>MK/GL Guitar Cable</v>
      </c>
      <c r="I351" s="141">
        <f>(IF((VLOOKUP(Table1[[#This Row],[SKU]],'All Skus'!$A:$AC,2,FALSE))="AKG",(VLOOKUP(Table1[[#This Row],[SKU]],'All Skus'!$A:$AC,10,FALSE)),""))</f>
        <v>52.82</v>
      </c>
      <c r="J351" s="141">
        <f>(IF((VLOOKUP(Table1[[#This Row],[SKU]],'All Skus'!$A:$AC,2,FALSE))="AKG",(VLOOKUP(Table1[[#This Row],[SKU]],'All Skus'!$A:$AC,11,FALSE)),""))</f>
        <v>41</v>
      </c>
      <c r="K351" s="125">
        <f>(IF((VLOOKUP(Table1[[#This Row],[SKU]],'All Skus'!$A:$AC,2,FALSE))="AKG",(VLOOKUP(Table1[[#This Row],[SKU]],'All Skus'!$A:$AC,15,FALSE)),""))</f>
        <v>0</v>
      </c>
      <c r="L351" s="124">
        <f>(IF((VLOOKUP(Table1[[#This Row],[SKU]],'All Skus'!$A:$AC,2,FALSE))="AKG",(VLOOKUP(Table1[[#This Row],[SKU]],'All Skus'!$A:$AC,16,FALSE)),""))</f>
        <v>885038003137</v>
      </c>
      <c r="M351" s="124">
        <f>(IF((VLOOKUP(Table1[[#This Row],[SKU]],'All Skus'!$A:$AC,2,FALSE))="AKG",(VLOOKUP(Table1[[#This Row],[SKU]],'All Skus'!$A:$AC,17,FALSE)),""))</f>
        <v>0</v>
      </c>
      <c r="N351" s="64">
        <f>(IF((VLOOKUP(Table1[[#This Row],[SKU]],'All Skus'!$A:$AC,2,FALSE))="AKG",(VLOOKUP(Table1[[#This Row],[SKU]],'All Skus'!$A:$AC,18,FALSE)),""))</f>
        <v>0</v>
      </c>
      <c r="O351" s="64">
        <f>(IF((VLOOKUP(Table1[[#This Row],[SKU]],'All Skus'!$A:$AC,2,FALSE))="AKG",(VLOOKUP(Table1[[#This Row],[SKU]],'All Skus'!$A:$AC,19,FALSE)),""))</f>
        <v>0</v>
      </c>
      <c r="P351" s="64">
        <f>(IF((VLOOKUP(Table1[[#This Row],[SKU]],'All Skus'!$A:$AC,2,FALSE))="AKG",(VLOOKUP(Table1[[#This Row],[SKU]],'All Skus'!$A:$AC,20,FALSE)),""))</f>
        <v>0</v>
      </c>
      <c r="Q351" s="64">
        <f>(IF((VLOOKUP(Table1[[#This Row],[SKU]],'All Skus'!$A:$AC,2,FALSE))="AKG",(VLOOKUP(Table1[[#This Row],[SKU]],'All Skus'!$A:$AC,21,FALSE)),""))</f>
        <v>0</v>
      </c>
      <c r="R351" s="64" t="str">
        <f>(IF((VLOOKUP(Table1[[#This Row],[SKU]],'All Skus'!$A:$AC,2,FALSE))="AKG",(VLOOKUP(Table1[[#This Row],[SKU]],'All Skus'!$A:$AC,22,FALSE)),""))</f>
        <v>TW</v>
      </c>
      <c r="S351" s="64">
        <f>(IF((VLOOKUP(Table1[[#This Row],[SKU]],'All Skus'!$A:$AC,2,FALSE))="AKG",(VLOOKUP(Table1[[#This Row],[SKU]],'All Skus'!$A:$AC,23,FALSE)),""))</f>
        <v>0</v>
      </c>
      <c r="T351" s="210" t="str">
        <f>HYPERLINK((IF((VLOOKUP(Table1[[#This Row],[SKU]],'All Skus'!$A:$AC,2,FALSE))="AKG",(VLOOKUP(Table1[[#This Row],[SKU]],'All Skus'!$A:$AC,24,FALSE)),"")))</f>
        <v>https://www.akg.com/2455H00500.html</v>
      </c>
      <c r="U351" s="151">
        <v>349</v>
      </c>
    </row>
    <row r="352" spans="1:21" hidden="1">
      <c r="A352" s="48" t="s">
        <v>509</v>
      </c>
      <c r="B352" s="52" t="str">
        <f>(IF((VLOOKUP(Table1[[#This Row],[SKU]],'All Skus'!$A:$AC,2,FALSE))="AKG",(VLOOKUP(Table1[[#This Row],[SKU]],'All Skus'!$A:$AC,3,FALSE)), ""))</f>
        <v>Accessories</v>
      </c>
      <c r="C352" s="60" t="str">
        <f>(IF((VLOOKUP(Table1[[#This Row],[SKU]],'All Skus'!$A:$AC,2,FALSE))="AKG",(VLOOKUP(Table1[[#This Row],[SKU]],'All Skus'!$A:$AC,4,FALSE)),""))</f>
        <v>ST45</v>
      </c>
      <c r="D352" s="60">
        <f>(IF((VLOOKUP(Table1[[#This Row],[SKU]],'All Skus'!$A:$AC,2,FALSE))="AKG",(VLOOKUP(Table1[[#This Row],[SKU]],'All Skus'!$A:$AC,5,FALSE)),""))</f>
        <v>83200200</v>
      </c>
      <c r="E352" s="60">
        <f>(IF((VLOOKUP(Table1[[#This Row],[SKU]],'All Skus'!$A:$AC,2,FALSE))="AKG",(VLOOKUP(Table1[[#This Row],[SKU]],'All Skus'!$A:$AC,6,FALSE)),""))</f>
        <v>0</v>
      </c>
      <c r="F352" s="60">
        <f>(IF((VLOOKUP(Table1[[#This Row],[SKU]],'All Skus'!$A:$AC,2,FALSE))="AKG",(VLOOKUP(Table1[[#This Row],[SKU]],'All Skus'!$A:$AC,7,FALSE)),""))</f>
        <v>0</v>
      </c>
      <c r="G352" s="45" t="str">
        <f>(IF((VLOOKUP(Table1[[#This Row],[SKU]],'All Skus'!$A:$AC,2,FALSE))="AKG",(VLOOKUP(Table1[[#This Row],[SKU]],'All Skus'!$A:$AC,8,FALSE)),""))</f>
        <v>Accessories</v>
      </c>
      <c r="H352" s="45" t="str">
        <f>(IF((VLOOKUP(Table1[[#This Row],[SKU]],'All Skus'!$A:$AC,2,FALSE))="AKG",(VLOOKUP(Table1[[#This Row],[SKU]],'All Skus'!$A:$AC,9,FALSE)),""))</f>
        <v>"Low profile" table stand</v>
      </c>
      <c r="I352" s="141">
        <f>(IF((VLOOKUP(Table1[[#This Row],[SKU]],'All Skus'!$A:$AC,2,FALSE))="AKG",(VLOOKUP(Table1[[#This Row],[SKU]],'All Skus'!$A:$AC,10,FALSE)),""))</f>
        <v>118.85</v>
      </c>
      <c r="J352" s="141">
        <f>(IF((VLOOKUP(Table1[[#This Row],[SKU]],'All Skus'!$A:$AC,2,FALSE))="AKG",(VLOOKUP(Table1[[#This Row],[SKU]],'All Skus'!$A:$AC,11,FALSE)),""))</f>
        <v>98</v>
      </c>
      <c r="K352" s="125">
        <f>(IF((VLOOKUP(Table1[[#This Row],[SKU]],'All Skus'!$A:$AC,2,FALSE))="AKG",(VLOOKUP(Table1[[#This Row],[SKU]],'All Skus'!$A:$AC,15,FALSE)),""))</f>
        <v>0</v>
      </c>
      <c r="L352" s="124">
        <f>(IF((VLOOKUP(Table1[[#This Row],[SKU]],'All Skus'!$A:$AC,2,FALSE))="AKG",(VLOOKUP(Table1[[#This Row],[SKU]],'All Skus'!$A:$AC,16,FALSE)),""))</f>
        <v>885038004851</v>
      </c>
      <c r="M352" s="124">
        <f>(IF((VLOOKUP(Table1[[#This Row],[SKU]],'All Skus'!$A:$AC,2,FALSE))="AKG",(VLOOKUP(Table1[[#This Row],[SKU]],'All Skus'!$A:$AC,17,FALSE)),""))</f>
        <v>9002761004854</v>
      </c>
      <c r="N352" s="64">
        <f>(IF((VLOOKUP(Table1[[#This Row],[SKU]],'All Skus'!$A:$AC,2,FALSE))="AKG",(VLOOKUP(Table1[[#This Row],[SKU]],'All Skus'!$A:$AC,18,FALSE)),""))</f>
        <v>3.5</v>
      </c>
      <c r="O352" s="64">
        <f>(IF((VLOOKUP(Table1[[#This Row],[SKU]],'All Skus'!$A:$AC,2,FALSE))="AKG",(VLOOKUP(Table1[[#This Row],[SKU]],'All Skus'!$A:$AC,19,FALSE)),""))</f>
        <v>10</v>
      </c>
      <c r="P352" s="64">
        <f>(IF((VLOOKUP(Table1[[#This Row],[SKU]],'All Skus'!$A:$AC,2,FALSE))="AKG",(VLOOKUP(Table1[[#This Row],[SKU]],'All Skus'!$A:$AC,20,FALSE)),""))</f>
        <v>10</v>
      </c>
      <c r="Q352" s="64">
        <f>(IF((VLOOKUP(Table1[[#This Row],[SKU]],'All Skus'!$A:$AC,2,FALSE))="AKG",(VLOOKUP(Table1[[#This Row],[SKU]],'All Skus'!$A:$AC,21,FALSE)),""))</f>
        <v>1.2</v>
      </c>
      <c r="R352" s="64" t="str">
        <f>(IF((VLOOKUP(Table1[[#This Row],[SKU]],'All Skus'!$A:$AC,2,FALSE))="AKG",(VLOOKUP(Table1[[#This Row],[SKU]],'All Skus'!$A:$AC,22,FALSE)),""))</f>
        <v>DE</v>
      </c>
      <c r="S352" s="64" t="str">
        <f>(IF((VLOOKUP(Table1[[#This Row],[SKU]],'All Skus'!$A:$AC,2,FALSE))="AKG",(VLOOKUP(Table1[[#This Row],[SKU]],'All Skus'!$A:$AC,23,FALSE)),""))</f>
        <v>Compliant</v>
      </c>
      <c r="T352" s="210" t="str">
        <f>HYPERLINK((IF((VLOOKUP(Table1[[#This Row],[SKU]],'All Skus'!$A:$AC,2,FALSE))="AKG",(VLOOKUP(Table1[[#This Row],[SKU]],'All Skus'!$A:$AC,24,FALSE)),"")))</f>
        <v>https://www.akg.com/6000H03080.html</v>
      </c>
      <c r="U352" s="151">
        <v>350</v>
      </c>
    </row>
    <row r="353" spans="1:21" hidden="1">
      <c r="A353" s="50" t="s">
        <v>510</v>
      </c>
      <c r="B353" s="52" t="str">
        <f>(IF((VLOOKUP(Table1[[#This Row],[SKU]],'All Skus'!$A:$AC,2,FALSE))="AKG",(VLOOKUP(Table1[[#This Row],[SKU]],'All Skus'!$A:$AC,3,FALSE)), ""))</f>
        <v>Accessories</v>
      </c>
      <c r="C353" s="60" t="str">
        <f>(IF((VLOOKUP(Table1[[#This Row],[SKU]],'All Skus'!$A:$AC,2,FALSE))="AKG",(VLOOKUP(Table1[[#This Row],[SKU]],'All Skus'!$A:$AC,4,FALSE)),""))</f>
        <v>W32</v>
      </c>
      <c r="D353" s="60" t="str">
        <f>(IF((VLOOKUP(Table1[[#This Row],[SKU]],'All Skus'!$A:$AC,2,FALSE))="AKG",(VLOOKUP(Table1[[#This Row],[SKU]],'All Skus'!$A:$AC,5,FALSE)),""))</f>
        <v>AT410090</v>
      </c>
      <c r="E353" s="60">
        <f>(IF((VLOOKUP(Table1[[#This Row],[SKU]],'All Skus'!$A:$AC,2,FALSE))="AKG",(VLOOKUP(Table1[[#This Row],[SKU]],'All Skus'!$A:$AC,6,FALSE)),""))</f>
        <v>0</v>
      </c>
      <c r="F353" s="60">
        <f>(IF((VLOOKUP(Table1[[#This Row],[SKU]],'All Skus'!$A:$AC,2,FALSE))="AKG",(VLOOKUP(Table1[[#This Row],[SKU]],'All Skus'!$A:$AC,7,FALSE)),""))</f>
        <v>0</v>
      </c>
      <c r="G353" s="45" t="str">
        <f>(IF((VLOOKUP(Table1[[#This Row],[SKU]],'All Skus'!$A:$AC,2,FALSE))="AKG",(VLOOKUP(Table1[[#This Row],[SKU]],'All Skus'!$A:$AC,8,FALSE)),""))</f>
        <v>Accessories</v>
      </c>
      <c r="H353" s="45" t="str">
        <f>(IF((VLOOKUP(Table1[[#This Row],[SKU]],'All Skus'!$A:$AC,2,FALSE))="AKG",(VLOOKUP(Table1[[#This Row],[SKU]],'All Skus'!$A:$AC,9,FALSE)),""))</f>
        <v>Foam windscreen 18-20 mm dia (for CK's)</v>
      </c>
      <c r="I353" s="141">
        <f>(IF((VLOOKUP(Table1[[#This Row],[SKU]],'All Skus'!$A:$AC,2,FALSE))="AKG",(VLOOKUP(Table1[[#This Row],[SKU]],'All Skus'!$A:$AC,10,FALSE)),""))</f>
        <v>18.010000000000002</v>
      </c>
      <c r="J353" s="141">
        <f>(IF((VLOOKUP(Table1[[#This Row],[SKU]],'All Skus'!$A:$AC,2,FALSE))="AKG",(VLOOKUP(Table1[[#This Row],[SKU]],'All Skus'!$A:$AC,11,FALSE)),""))</f>
        <v>18.010000000000002</v>
      </c>
      <c r="K353" s="125">
        <f>(IF((VLOOKUP(Table1[[#This Row],[SKU]],'All Skus'!$A:$AC,2,FALSE))="AKG",(VLOOKUP(Table1[[#This Row],[SKU]],'All Skus'!$A:$AC,15,FALSE)),""))</f>
        <v>0</v>
      </c>
      <c r="L353" s="124">
        <f>(IF((VLOOKUP(Table1[[#This Row],[SKU]],'All Skus'!$A:$AC,2,FALSE))="AKG",(VLOOKUP(Table1[[#This Row],[SKU]],'All Skus'!$A:$AC,16,FALSE)),""))</f>
        <v>885038002222</v>
      </c>
      <c r="M353" s="124">
        <f>(IF((VLOOKUP(Table1[[#This Row],[SKU]],'All Skus'!$A:$AC,2,FALSE))="AKG",(VLOOKUP(Table1[[#This Row],[SKU]],'All Skus'!$A:$AC,17,FALSE)),""))</f>
        <v>9002761002225</v>
      </c>
      <c r="N353" s="64">
        <f>(IF((VLOOKUP(Table1[[#This Row],[SKU]],'All Skus'!$A:$AC,2,FALSE))="AKG",(VLOOKUP(Table1[[#This Row],[SKU]],'All Skus'!$A:$AC,18,FALSE)),""))</f>
        <v>2</v>
      </c>
      <c r="O353" s="64">
        <f>(IF((VLOOKUP(Table1[[#This Row],[SKU]],'All Skus'!$A:$AC,2,FALSE))="AKG",(VLOOKUP(Table1[[#This Row],[SKU]],'All Skus'!$A:$AC,19,FALSE)),""))</f>
        <v>2</v>
      </c>
      <c r="P353" s="64">
        <f>(IF((VLOOKUP(Table1[[#This Row],[SKU]],'All Skus'!$A:$AC,2,FALSE))="AKG",(VLOOKUP(Table1[[#This Row],[SKU]],'All Skus'!$A:$AC,20,FALSE)),""))</f>
        <v>3</v>
      </c>
      <c r="Q353" s="64">
        <f>(IF((VLOOKUP(Table1[[#This Row],[SKU]],'All Skus'!$A:$AC,2,FALSE))="AKG",(VLOOKUP(Table1[[#This Row],[SKU]],'All Skus'!$A:$AC,21,FALSE)),""))</f>
        <v>1.6</v>
      </c>
      <c r="R353" s="64" t="str">
        <f>(IF((VLOOKUP(Table1[[#This Row],[SKU]],'All Skus'!$A:$AC,2,FALSE))="AKG",(VLOOKUP(Table1[[#This Row],[SKU]],'All Skus'!$A:$AC,22,FALSE)),""))</f>
        <v>JP</v>
      </c>
      <c r="S353" s="64" t="str">
        <f>(IF((VLOOKUP(Table1[[#This Row],[SKU]],'All Skus'!$A:$AC,2,FALSE))="AKG",(VLOOKUP(Table1[[#This Row],[SKU]],'All Skus'!$A:$AC,23,FALSE)),""))</f>
        <v>Compliant</v>
      </c>
      <c r="T353" s="210" t="str">
        <f>HYPERLINK((IF((VLOOKUP(Table1[[#This Row],[SKU]],'All Skus'!$A:$AC,2,FALSE))="AKG",(VLOOKUP(Table1[[#This Row],[SKU]],'All Skus'!$A:$AC,24,FALSE)),"")))</f>
        <v>https://www.akg.com/6000H06240.html</v>
      </c>
      <c r="U353" s="151">
        <v>351</v>
      </c>
    </row>
    <row r="354" spans="1:21" hidden="1">
      <c r="A354" s="48" t="s">
        <v>511</v>
      </c>
      <c r="B354" s="52" t="str">
        <f>(IF((VLOOKUP(Table1[[#This Row],[SKU]],'All Skus'!$A:$AC,2,FALSE))="AKG",(VLOOKUP(Table1[[#This Row],[SKU]],'All Skus'!$A:$AC,3,FALSE)), ""))</f>
        <v>Accessories</v>
      </c>
      <c r="C354" s="60" t="str">
        <f>(IF((VLOOKUP(Table1[[#This Row],[SKU]],'All Skus'!$A:$AC,2,FALSE))="AKG",(VLOOKUP(Table1[[#This Row],[SKU]],'All Skus'!$A:$AC,4,FALSE)),""))</f>
        <v>EK500 S</v>
      </c>
      <c r="D354" s="60" t="str">
        <f>(IF((VLOOKUP(Table1[[#This Row],[SKU]],'All Skus'!$A:$AC,2,FALSE))="AKG",(VLOOKUP(Table1[[#This Row],[SKU]],'All Skus'!$A:$AC,5,FALSE)),""))</f>
        <v>AT110090</v>
      </c>
      <c r="E354" s="60">
        <f>(IF((VLOOKUP(Table1[[#This Row],[SKU]],'All Skus'!$A:$AC,2,FALSE))="AKG",(VLOOKUP(Table1[[#This Row],[SKU]],'All Skus'!$A:$AC,6,FALSE)),""))</f>
        <v>0</v>
      </c>
      <c r="F354" s="60">
        <f>(IF((VLOOKUP(Table1[[#This Row],[SKU]],'All Skus'!$A:$AC,2,FALSE))="AKG",(VLOOKUP(Table1[[#This Row],[SKU]],'All Skus'!$A:$AC,7,FALSE)),""))</f>
        <v>0</v>
      </c>
      <c r="G354" s="45" t="str">
        <f>(IF((VLOOKUP(Table1[[#This Row],[SKU]],'All Skus'!$A:$AC,2,FALSE))="AKG",(VLOOKUP(Table1[[#This Row],[SKU]],'All Skus'!$A:$AC,8,FALSE)),""))</f>
        <v>Cable</v>
      </c>
      <c r="H354" s="45" t="str">
        <f>(IF((VLOOKUP(Table1[[#This Row],[SKU]],'All Skus'!$A:$AC,2,FALSE))="AKG",(VLOOKUP(Table1[[#This Row],[SKU]],'All Skus'!$A:$AC,9,FALSE)),""))</f>
        <v>Coiled 5 m (10 ft.) cable mini XLR/mini jack (1/8")</v>
      </c>
      <c r="I354" s="141">
        <f>(IF((VLOOKUP(Table1[[#This Row],[SKU]],'All Skus'!$A:$AC,2,FALSE))="AKG",(VLOOKUP(Table1[[#This Row],[SKU]],'All Skus'!$A:$AC,10,FALSE)),""))</f>
        <v>52.99</v>
      </c>
      <c r="J354" s="141">
        <f>(IF((VLOOKUP(Table1[[#This Row],[SKU]],'All Skus'!$A:$AC,2,FALSE))="AKG",(VLOOKUP(Table1[[#This Row],[SKU]],'All Skus'!$A:$AC,11,FALSE)),""))</f>
        <v>51</v>
      </c>
      <c r="K354" s="125">
        <f>(IF((VLOOKUP(Table1[[#This Row],[SKU]],'All Skus'!$A:$AC,2,FALSE))="AKG",(VLOOKUP(Table1[[#This Row],[SKU]],'All Skus'!$A:$AC,15,FALSE)),""))</f>
        <v>0</v>
      </c>
      <c r="L354" s="124">
        <f>(IF((VLOOKUP(Table1[[#This Row],[SKU]],'All Skus'!$A:$AC,2,FALSE))="AKG",(VLOOKUP(Table1[[#This Row],[SKU]],'All Skus'!$A:$AC,16,FALSE)),""))</f>
        <v>885038026686</v>
      </c>
      <c r="M354" s="124">
        <f>(IF((VLOOKUP(Table1[[#This Row],[SKU]],'All Skus'!$A:$AC,2,FALSE))="AKG",(VLOOKUP(Table1[[#This Row],[SKU]],'All Skus'!$A:$AC,17,FALSE)),""))</f>
        <v>9002761026689</v>
      </c>
      <c r="N354" s="64">
        <f>(IF((VLOOKUP(Table1[[#This Row],[SKU]],'All Skus'!$A:$AC,2,FALSE))="AKG",(VLOOKUP(Table1[[#This Row],[SKU]],'All Skus'!$A:$AC,18,FALSE)),""))</f>
        <v>2</v>
      </c>
      <c r="O354" s="64">
        <f>(IF((VLOOKUP(Table1[[#This Row],[SKU]],'All Skus'!$A:$AC,2,FALSE))="AKG",(VLOOKUP(Table1[[#This Row],[SKU]],'All Skus'!$A:$AC,19,FALSE)),""))</f>
        <v>4</v>
      </c>
      <c r="P354" s="64">
        <f>(IF((VLOOKUP(Table1[[#This Row],[SKU]],'All Skus'!$A:$AC,2,FALSE))="AKG",(VLOOKUP(Table1[[#This Row],[SKU]],'All Skus'!$A:$AC,20,FALSE)),""))</f>
        <v>6</v>
      </c>
      <c r="Q354" s="64">
        <f>(IF((VLOOKUP(Table1[[#This Row],[SKU]],'All Skus'!$A:$AC,2,FALSE))="AKG",(VLOOKUP(Table1[[#This Row],[SKU]],'All Skus'!$A:$AC,21,FALSE)),""))</f>
        <v>1</v>
      </c>
      <c r="R354" s="64" t="str">
        <f>(IF((VLOOKUP(Table1[[#This Row],[SKU]],'All Skus'!$A:$AC,2,FALSE))="AKG",(VLOOKUP(Table1[[#This Row],[SKU]],'All Skus'!$A:$AC,22,FALSE)),""))</f>
        <v>CN</v>
      </c>
      <c r="S354" s="64" t="str">
        <f>(IF((VLOOKUP(Table1[[#This Row],[SKU]],'All Skus'!$A:$AC,2,FALSE))="AKG",(VLOOKUP(Table1[[#This Row],[SKU]],'All Skus'!$A:$AC,23,FALSE)),""))</f>
        <v>Non Compliant</v>
      </c>
      <c r="T354" s="210" t="str">
        <f>HYPERLINK((IF((VLOOKUP(Table1[[#This Row],[SKU]],'All Skus'!$A:$AC,2,FALSE))="AKG",(VLOOKUP(Table1[[#This Row],[SKU]],'All Skus'!$A:$AC,24,FALSE)),"")))</f>
        <v>https://www.akg.com/6000H10100.html</v>
      </c>
      <c r="U354" s="151">
        <v>352</v>
      </c>
    </row>
    <row r="355" spans="1:21" ht="15" hidden="1" customHeight="1">
      <c r="A355" s="50" t="s">
        <v>512</v>
      </c>
      <c r="B355" s="52" t="str">
        <f>(IF((VLOOKUP(Table1[[#This Row],[SKU]],'All Skus'!$A:$AC,2,FALSE))="AKG",(VLOOKUP(Table1[[#This Row],[SKU]],'All Skus'!$A:$AC,3,FALSE)), ""))</f>
        <v>Accessories</v>
      </c>
      <c r="C355" s="60" t="str">
        <f>(IF((VLOOKUP(Table1[[#This Row],[SKU]],'All Skus'!$A:$AC,2,FALSE))="AKG",(VLOOKUP(Table1[[#This Row],[SKU]],'All Skus'!$A:$AC,4,FALSE)),""))</f>
        <v>AC12 PSU12V 500mA Lock EU/US/UK/AU</v>
      </c>
      <c r="D355" s="60" t="str">
        <f>(IF((VLOOKUP(Table1[[#This Row],[SKU]],'All Skus'!$A:$AC,2,FALSE))="AKG",(VLOOKUP(Table1[[#This Row],[SKU]],'All Skus'!$A:$AC,5,FALSE)),""))</f>
        <v>AT690092</v>
      </c>
      <c r="E355" s="60">
        <f>(IF((VLOOKUP(Table1[[#This Row],[SKU]],'All Skus'!$A:$AC,2,FALSE))="AKG",(VLOOKUP(Table1[[#This Row],[SKU]],'All Skus'!$A:$AC,6,FALSE)),""))</f>
        <v>0</v>
      </c>
      <c r="F355" s="60">
        <f>(IF((VLOOKUP(Table1[[#This Row],[SKU]],'All Skus'!$A:$AC,2,FALSE))="AKG",(VLOOKUP(Table1[[#This Row],[SKU]],'All Skus'!$A:$AC,7,FALSE)),""))</f>
        <v>0</v>
      </c>
      <c r="G355" s="45" t="str">
        <f>(IF((VLOOKUP(Table1[[#This Row],[SKU]],'All Skus'!$A:$AC,2,FALSE))="AKG",(VLOOKUP(Table1[[#This Row],[SKU]],'All Skus'!$A:$AC,8,FALSE)),""))</f>
        <v>Power Supply</v>
      </c>
      <c r="H355" s="45" t="str">
        <f>(IF((VLOOKUP(Table1[[#This Row],[SKU]],'All Skus'!$A:$AC,2,FALSE))="AKG",(VLOOKUP(Table1[[#This Row],[SKU]],'All Skus'!$A:$AC,9,FALSE)),""))</f>
        <v>12V/500mA power supply for wireless systems like WMS400/450/470/4500, EU/US/UK/AU connector included</v>
      </c>
      <c r="I355" s="141">
        <f>(IF((VLOOKUP(Table1[[#This Row],[SKU]],'All Skus'!$A:$AC,2,FALSE))="AKG",(VLOOKUP(Table1[[#This Row],[SKU]],'All Skus'!$A:$AC,10,FALSE)),""))</f>
        <v>31.21</v>
      </c>
      <c r="J355" s="141">
        <f>(IF((VLOOKUP(Table1[[#This Row],[SKU]],'All Skus'!$A:$AC,2,FALSE))="AKG",(VLOOKUP(Table1[[#This Row],[SKU]],'All Skus'!$A:$AC,11,FALSE)),""))</f>
        <v>20</v>
      </c>
      <c r="K355" s="125">
        <f>(IF((VLOOKUP(Table1[[#This Row],[SKU]],'All Skus'!$A:$AC,2,FALSE))="AKG",(VLOOKUP(Table1[[#This Row],[SKU]],'All Skus'!$A:$AC,15,FALSE)),""))</f>
        <v>0</v>
      </c>
      <c r="L355" s="124">
        <f>(IF((VLOOKUP(Table1[[#This Row],[SKU]],'All Skus'!$A:$AC,2,FALSE))="AKG",(VLOOKUP(Table1[[#This Row],[SKU]],'All Skus'!$A:$AC,16,FALSE)),""))</f>
        <v>885038033523</v>
      </c>
      <c r="M355" s="124">
        <f>(IF((VLOOKUP(Table1[[#This Row],[SKU]],'All Skus'!$A:$AC,2,FALSE))="AKG",(VLOOKUP(Table1[[#This Row],[SKU]],'All Skus'!$A:$AC,17,FALSE)),""))</f>
        <v>9002761033526</v>
      </c>
      <c r="N355" s="64">
        <f>(IF((VLOOKUP(Table1[[#This Row],[SKU]],'All Skus'!$A:$AC,2,FALSE))="AKG",(VLOOKUP(Table1[[#This Row],[SKU]],'All Skus'!$A:$AC,18,FALSE)),""))</f>
        <v>8</v>
      </c>
      <c r="O355" s="64">
        <f>(IF((VLOOKUP(Table1[[#This Row],[SKU]],'All Skus'!$A:$AC,2,FALSE))="AKG",(VLOOKUP(Table1[[#This Row],[SKU]],'All Skus'!$A:$AC,19,FALSE)),""))</f>
        <v>17</v>
      </c>
      <c r="P355" s="64">
        <f>(IF((VLOOKUP(Table1[[#This Row],[SKU]],'All Skus'!$A:$AC,2,FALSE))="AKG",(VLOOKUP(Table1[[#This Row],[SKU]],'All Skus'!$A:$AC,20,FALSE)),""))</f>
        <v>12</v>
      </c>
      <c r="Q355" s="64">
        <f>(IF((VLOOKUP(Table1[[#This Row],[SKU]],'All Skus'!$A:$AC,2,FALSE))="AKG",(VLOOKUP(Table1[[#This Row],[SKU]],'All Skus'!$A:$AC,21,FALSE)),""))</f>
        <v>2.032</v>
      </c>
      <c r="R355" s="64" t="str">
        <f>(IF((VLOOKUP(Table1[[#This Row],[SKU]],'All Skus'!$A:$AC,2,FALSE))="AKG",(VLOOKUP(Table1[[#This Row],[SKU]],'All Skus'!$A:$AC,22,FALSE)),""))</f>
        <v>CN</v>
      </c>
      <c r="S355" s="64" t="str">
        <f>(IF((VLOOKUP(Table1[[#This Row],[SKU]],'All Skus'!$A:$AC,2,FALSE))="AKG",(VLOOKUP(Table1[[#This Row],[SKU]],'All Skus'!$A:$AC,23,FALSE)),""))</f>
        <v>Non Compliant</v>
      </c>
      <c r="T355" s="210" t="str">
        <f>HYPERLINK((IF((VLOOKUP(Table1[[#This Row],[SKU]],'All Skus'!$A:$AC,2,FALSE))="AKG",(VLOOKUP(Table1[[#This Row],[SKU]],'All Skus'!$A:$AC,24,FALSE)),"")))</f>
        <v>https://www.akg.com/7801H00120.html</v>
      </c>
      <c r="U355" s="151">
        <v>353</v>
      </c>
    </row>
    <row r="356" spans="1:21" hidden="1">
      <c r="A356" s="48" t="s">
        <v>513</v>
      </c>
      <c r="B356" s="52" t="str">
        <f>(IF((VLOOKUP(Table1[[#This Row],[SKU]],'All Skus'!$A:$AC,2,FALSE))="AKG",(VLOOKUP(Table1[[#This Row],[SKU]],'All Skus'!$A:$AC,3,FALSE)), ""))</f>
        <v>Wireless Mics</v>
      </c>
      <c r="C356" s="60" t="str">
        <f>(IF((VLOOKUP(Table1[[#This Row],[SKU]],'All Skus'!$A:$AC,2,FALSE))="AKG",(VLOOKUP(Table1[[#This Row],[SKU]],'All Skus'!$A:$AC,4,FALSE)),""))</f>
        <v>DHT TETRAD D5 NON-EU</v>
      </c>
      <c r="D356" s="60" t="str">
        <f>(IF((VLOOKUP(Table1[[#This Row],[SKU]],'All Skus'!$A:$AC,2,FALSE))="AKG",(VLOOKUP(Table1[[#This Row],[SKU]],'All Skus'!$A:$AC,5,FALSE)),""))</f>
        <v>AT650000</v>
      </c>
      <c r="E356" s="60">
        <f>(IF((VLOOKUP(Table1[[#This Row],[SKU]],'All Skus'!$A:$AC,2,FALSE))="AKG",(VLOOKUP(Table1[[#This Row],[SKU]],'All Skus'!$A:$AC,6,FALSE)),""))</f>
        <v>0</v>
      </c>
      <c r="F356" s="60" t="str">
        <f>(IF((VLOOKUP(Table1[[#This Row],[SKU]],'All Skus'!$A:$AC,2,FALSE))="AKG",(VLOOKUP(Table1[[#This Row],[SKU]],'All Skus'!$A:$AC,7,FALSE)),""))</f>
        <v>Limited Quantity</v>
      </c>
      <c r="G356" s="45" t="str">
        <f>(IF((VLOOKUP(Table1[[#This Row],[SKU]],'All Skus'!$A:$AC,2,FALSE))="AKG",(VLOOKUP(Table1[[#This Row],[SKU]],'All Skus'!$A:$AC,8,FALSE)),""))</f>
        <v>Digital Microphone System Tetrad</v>
      </c>
      <c r="H356" s="45" t="str">
        <f>(IF((VLOOKUP(Table1[[#This Row],[SKU]],'All Skus'!$A:$AC,2,FALSE))="AKG",(VLOOKUP(Table1[[#This Row],[SKU]],'All Skus'!$A:$AC,9,FALSE)),""))</f>
        <v>Handheld transmitter</v>
      </c>
      <c r="I356" s="141">
        <f>(IF((VLOOKUP(Table1[[#This Row],[SKU]],'All Skus'!$A:$AC,2,FALSE))="AKG",(VLOOKUP(Table1[[#This Row],[SKU]],'All Skus'!$A:$AC,10,FALSE)),""))</f>
        <v>370.94</v>
      </c>
      <c r="J356" s="141">
        <f>(IF((VLOOKUP(Table1[[#This Row],[SKU]],'All Skus'!$A:$AC,2,FALSE))="AKG",(VLOOKUP(Table1[[#This Row],[SKU]],'All Skus'!$A:$AC,11,FALSE)),""))</f>
        <v>329</v>
      </c>
      <c r="K356" s="125">
        <f>(IF((VLOOKUP(Table1[[#This Row],[SKU]],'All Skus'!$A:$AC,2,FALSE))="AKG",(VLOOKUP(Table1[[#This Row],[SKU]],'All Skus'!$A:$AC,15,FALSE)),""))</f>
        <v>0</v>
      </c>
      <c r="L356" s="124">
        <f>(IF((VLOOKUP(Table1[[#This Row],[SKU]],'All Skus'!$A:$AC,2,FALSE))="AKG",(VLOOKUP(Table1[[#This Row],[SKU]],'All Skus'!$A:$AC,16,FALSE)),""))</f>
        <v>885038038672</v>
      </c>
      <c r="M356" s="124">
        <f>(IF((VLOOKUP(Table1[[#This Row],[SKU]],'All Skus'!$A:$AC,2,FALSE))="AKG",(VLOOKUP(Table1[[#This Row],[SKU]],'All Skus'!$A:$AC,17,FALSE)),""))</f>
        <v>9002761038675</v>
      </c>
      <c r="N356" s="64">
        <f>(IF((VLOOKUP(Table1[[#This Row],[SKU]],'All Skus'!$A:$AC,2,FALSE))="AKG",(VLOOKUP(Table1[[#This Row],[SKU]],'All Skus'!$A:$AC,18,FALSE)),""))</f>
        <v>15</v>
      </c>
      <c r="O356" s="64">
        <f>(IF((VLOOKUP(Table1[[#This Row],[SKU]],'All Skus'!$A:$AC,2,FALSE))="AKG",(VLOOKUP(Table1[[#This Row],[SKU]],'All Skus'!$A:$AC,19,FALSE)),""))</f>
        <v>13</v>
      </c>
      <c r="P356" s="64">
        <f>(IF((VLOOKUP(Table1[[#This Row],[SKU]],'All Skus'!$A:$AC,2,FALSE))="AKG",(VLOOKUP(Table1[[#This Row],[SKU]],'All Skus'!$A:$AC,20,FALSE)),""))</f>
        <v>21</v>
      </c>
      <c r="Q356" s="64">
        <f>(IF((VLOOKUP(Table1[[#This Row],[SKU]],'All Skus'!$A:$AC,2,FALSE))="AKG",(VLOOKUP(Table1[[#This Row],[SKU]],'All Skus'!$A:$AC,21,FALSE)),""))</f>
        <v>2.4</v>
      </c>
      <c r="R356" s="64" t="str">
        <f>(IF((VLOOKUP(Table1[[#This Row],[SKU]],'All Skus'!$A:$AC,2,FALSE))="AKG",(VLOOKUP(Table1[[#This Row],[SKU]],'All Skus'!$A:$AC,22,FALSE)),""))</f>
        <v>CN</v>
      </c>
      <c r="S356" s="64" t="str">
        <f>(IF((VLOOKUP(Table1[[#This Row],[SKU]],'All Skus'!$A:$AC,2,FALSE))="AKG",(VLOOKUP(Table1[[#This Row],[SKU]],'All Skus'!$A:$AC,23,FALSE)),""))</f>
        <v>Non Compliant</v>
      </c>
      <c r="T356" s="210" t="str">
        <f>HYPERLINK((IF((VLOOKUP(Table1[[#This Row],[SKU]],'All Skus'!$A:$AC,2,FALSE))="AKG",(VLOOKUP(Table1[[#This Row],[SKU]],'All Skus'!$A:$AC,24,FALSE)),"")))</f>
        <v>https://www.akg.com/3457X00060.html</v>
      </c>
      <c r="U356" s="151">
        <v>354</v>
      </c>
    </row>
    <row r="357" spans="1:21" ht="15" hidden="1" customHeight="1">
      <c r="A357" s="48" t="s">
        <v>514</v>
      </c>
      <c r="B357" s="52">
        <f>(IF((VLOOKUP(Table1[[#This Row],[SKU]],'All Skus'!$A:$AC,2,FALSE))="AKG",(VLOOKUP(Table1[[#This Row],[SKU]],'All Skus'!$A:$AC,3,FALSE)), ""))</f>
        <v>0</v>
      </c>
      <c r="C357" s="60" t="str">
        <f>(IF((VLOOKUP(Table1[[#This Row],[SKU]],'All Skus'!$A:$AC,2,FALSE))="AKG",(VLOOKUP(Table1[[#This Row],[SKU]],'All Skus'!$A:$AC,4,FALSE)),""))</f>
        <v>CK62 ULS</v>
      </c>
      <c r="D357" s="60">
        <f>(IF((VLOOKUP(Table1[[#This Row],[SKU]],'All Skus'!$A:$AC,2,FALSE))="AKG",(VLOOKUP(Table1[[#This Row],[SKU]],'All Skus'!$A:$AC,5,FALSE)),""))</f>
        <v>0</v>
      </c>
      <c r="E357" s="60">
        <f>(IF((VLOOKUP(Table1[[#This Row],[SKU]],'All Skus'!$A:$AC,2,FALSE))="AKG",(VLOOKUP(Table1[[#This Row],[SKU]],'All Skus'!$A:$AC,6,FALSE)),""))</f>
        <v>0</v>
      </c>
      <c r="F357" s="60">
        <f>(IF((VLOOKUP(Table1[[#This Row],[SKU]],'All Skus'!$A:$AC,2,FALSE))="AKG",(VLOOKUP(Table1[[#This Row],[SKU]],'All Skus'!$A:$AC,7,FALSE)),""))</f>
        <v>0</v>
      </c>
      <c r="G357" s="45" t="str">
        <f>(IF((VLOOKUP(Table1[[#This Row],[SKU]],'All Skus'!$A:$AC,2,FALSE))="AKG",(VLOOKUP(Table1[[#This Row],[SKU]],'All Skus'!$A:$AC,8,FALSE)),""))</f>
        <v>Studio Condenser Microphone</v>
      </c>
      <c r="H357" s="45" t="str">
        <f>(IF((VLOOKUP(Table1[[#This Row],[SKU]],'All Skus'!$A:$AC,2,FALSE))="AKG",(VLOOKUP(Table1[[#This Row],[SKU]],'All Skus'!$A:$AC,9,FALSE)),""))</f>
        <v>High quality omni directional capsule, only for C480 B-ULS</v>
      </c>
      <c r="I357" s="141">
        <f>(IF((VLOOKUP(Table1[[#This Row],[SKU]],'All Skus'!$A:$AC,2,FALSE))="AKG",(VLOOKUP(Table1[[#This Row],[SKU]],'All Skus'!$A:$AC,10,FALSE)),""))</f>
        <v>0</v>
      </c>
      <c r="J357" s="141">
        <f>(IF((VLOOKUP(Table1[[#This Row],[SKU]],'All Skus'!$A:$AC,2,FALSE))="AKG",(VLOOKUP(Table1[[#This Row],[SKU]],'All Skus'!$A:$AC,11,FALSE)),""))</f>
        <v>355</v>
      </c>
      <c r="K357" s="125">
        <f>(IF((VLOOKUP(Table1[[#This Row],[SKU]],'All Skus'!$A:$AC,2,FALSE))="AKG",(VLOOKUP(Table1[[#This Row],[SKU]],'All Skus'!$A:$AC,15,FALSE)),""))</f>
        <v>0</v>
      </c>
      <c r="L357" s="124">
        <f>(IF((VLOOKUP(Table1[[#This Row],[SKU]],'All Skus'!$A:$AC,2,FALSE))="AKG",(VLOOKUP(Table1[[#This Row],[SKU]],'All Skus'!$A:$AC,16,FALSE)),""))</f>
        <v>885038002604</v>
      </c>
      <c r="M357" s="124">
        <f>(IF((VLOOKUP(Table1[[#This Row],[SKU]],'All Skus'!$A:$AC,2,FALSE))="AKG",(VLOOKUP(Table1[[#This Row],[SKU]],'All Skus'!$A:$AC,17,FALSE)),""))</f>
        <v>0</v>
      </c>
      <c r="N357" s="64">
        <f>(IF((VLOOKUP(Table1[[#This Row],[SKU]],'All Skus'!$A:$AC,2,FALSE))="AKG",(VLOOKUP(Table1[[#This Row],[SKU]],'All Skus'!$A:$AC,18,FALSE)),""))</f>
        <v>0</v>
      </c>
      <c r="O357" s="64">
        <f>(IF((VLOOKUP(Table1[[#This Row],[SKU]],'All Skus'!$A:$AC,2,FALSE))="AKG",(VLOOKUP(Table1[[#This Row],[SKU]],'All Skus'!$A:$AC,19,FALSE)),""))</f>
        <v>0</v>
      </c>
      <c r="P357" s="64">
        <f>(IF((VLOOKUP(Table1[[#This Row],[SKU]],'All Skus'!$A:$AC,2,FALSE))="AKG",(VLOOKUP(Table1[[#This Row],[SKU]],'All Skus'!$A:$AC,20,FALSE)),""))</f>
        <v>0</v>
      </c>
      <c r="Q357" s="64">
        <f>(IF((VLOOKUP(Table1[[#This Row],[SKU]],'All Skus'!$A:$AC,2,FALSE))="AKG",(VLOOKUP(Table1[[#This Row],[SKU]],'All Skus'!$A:$AC,21,FALSE)),""))</f>
        <v>0</v>
      </c>
      <c r="R357" s="64" t="str">
        <f>(IF((VLOOKUP(Table1[[#This Row],[SKU]],'All Skus'!$A:$AC,2,FALSE))="AKG",(VLOOKUP(Table1[[#This Row],[SKU]],'All Skus'!$A:$AC,22,FALSE)),""))</f>
        <v>HU</v>
      </c>
      <c r="S357" s="64">
        <f>(IF((VLOOKUP(Table1[[#This Row],[SKU]],'All Skus'!$A:$AC,2,FALSE))="AKG",(VLOOKUP(Table1[[#This Row],[SKU]],'All Skus'!$A:$AC,23,FALSE)),""))</f>
        <v>0</v>
      </c>
      <c r="T357" s="210" t="str">
        <f>HYPERLINK((IF((VLOOKUP(Table1[[#This Row],[SKU]],'All Skus'!$A:$AC,2,FALSE))="AKG",(VLOOKUP(Table1[[#This Row],[SKU]],'All Skus'!$A:$AC,24,FALSE)),"")))</f>
        <v>https://www.akg.com/2231H00220.html</v>
      </c>
      <c r="U357" s="151">
        <v>355</v>
      </c>
    </row>
    <row r="358" spans="1:21" hidden="1">
      <c r="A358" s="48" t="s">
        <v>515</v>
      </c>
      <c r="B358" s="52" t="str">
        <f>(IF((VLOOKUP(Table1[[#This Row],[SKU]],'All Skus'!$A:$AC,2,FALSE))="AKG",(VLOOKUP(Table1[[#This Row],[SKU]],'All Skus'!$A:$AC,3,FALSE)), ""))</f>
        <v>Accessories</v>
      </c>
      <c r="C358" s="60" t="str">
        <f>(IF((VLOOKUP(Table1[[#This Row],[SKU]],'All Skus'!$A:$AC,2,FALSE))="AKG",(VLOOKUP(Table1[[#This Row],[SKU]],'All Skus'!$A:$AC,4,FALSE)),""))</f>
        <v>W48</v>
      </c>
      <c r="D358" s="60">
        <f>(IF((VLOOKUP(Table1[[#This Row],[SKU]],'All Skus'!$A:$AC,2,FALSE))="AKG",(VLOOKUP(Table1[[#This Row],[SKU]],'All Skus'!$A:$AC,5,FALSE)),""))</f>
        <v>81300000</v>
      </c>
      <c r="E358" s="60">
        <f>(IF((VLOOKUP(Table1[[#This Row],[SKU]],'All Skus'!$A:$AC,2,FALSE))="AKG",(VLOOKUP(Table1[[#This Row],[SKU]],'All Skus'!$A:$AC,6,FALSE)),""))</f>
        <v>0</v>
      </c>
      <c r="F358" s="60">
        <f>(IF((VLOOKUP(Table1[[#This Row],[SKU]],'All Skus'!$A:$AC,2,FALSE))="AKG",(VLOOKUP(Table1[[#This Row],[SKU]],'All Skus'!$A:$AC,7,FALSE)),""))</f>
        <v>0</v>
      </c>
      <c r="G358" s="45" t="str">
        <f>(IF((VLOOKUP(Table1[[#This Row],[SKU]],'All Skus'!$A:$AC,2,FALSE))="AKG",(VLOOKUP(Table1[[#This Row],[SKU]],'All Skus'!$A:$AC,8,FALSE)),""))</f>
        <v>Spare parts</v>
      </c>
      <c r="H358" s="45" t="str">
        <f>(IF((VLOOKUP(Table1[[#This Row],[SKU]],'All Skus'!$A:$AC,2,FALSE))="AKG",(VLOOKUP(Table1[[#This Row],[SKU]],'All Skus'!$A:$AC,9,FALSE)),""))</f>
        <v>For use with CK69-ULS</v>
      </c>
      <c r="I358" s="141">
        <f>(IF((VLOOKUP(Table1[[#This Row],[SKU]],'All Skus'!$A:$AC,2,FALSE))="AKG",(VLOOKUP(Table1[[#This Row],[SKU]],'All Skus'!$A:$AC,10,FALSE)),""))</f>
        <v>0</v>
      </c>
      <c r="J358" s="141">
        <f>(IF((VLOOKUP(Table1[[#This Row],[SKU]],'All Skus'!$A:$AC,2,FALSE))="AKG",(VLOOKUP(Table1[[#This Row],[SKU]],'All Skus'!$A:$AC,11,FALSE)),""))</f>
        <v>0</v>
      </c>
      <c r="K358" s="125">
        <f>(IF((VLOOKUP(Table1[[#This Row],[SKU]],'All Skus'!$A:$AC,2,FALSE))="AKG",(VLOOKUP(Table1[[#This Row],[SKU]],'All Skus'!$A:$AC,15,FALSE)),""))</f>
        <v>0</v>
      </c>
      <c r="L358" s="124">
        <f>(IF((VLOOKUP(Table1[[#This Row],[SKU]],'All Skus'!$A:$AC,2,FALSE))="AKG",(VLOOKUP(Table1[[#This Row],[SKU]],'All Skus'!$A:$AC,16,FALSE)),""))</f>
        <v>885038039570</v>
      </c>
      <c r="M358" s="124">
        <f>(IF((VLOOKUP(Table1[[#This Row],[SKU]],'All Skus'!$A:$AC,2,FALSE))="AKG",(VLOOKUP(Table1[[#This Row],[SKU]],'All Skus'!$A:$AC,17,FALSE)),""))</f>
        <v>9002761039573</v>
      </c>
      <c r="N358" s="64">
        <f>(IF((VLOOKUP(Table1[[#This Row],[SKU]],'All Skus'!$A:$AC,2,FALSE))="AKG",(VLOOKUP(Table1[[#This Row],[SKU]],'All Skus'!$A:$AC,18,FALSE)),""))</f>
        <v>0</v>
      </c>
      <c r="O358" s="64">
        <f>(IF((VLOOKUP(Table1[[#This Row],[SKU]],'All Skus'!$A:$AC,2,FALSE))="AKG",(VLOOKUP(Table1[[#This Row],[SKU]],'All Skus'!$A:$AC,19,FALSE)),""))</f>
        <v>0</v>
      </c>
      <c r="P358" s="64">
        <f>(IF((VLOOKUP(Table1[[#This Row],[SKU]],'All Skus'!$A:$AC,2,FALSE))="AKG",(VLOOKUP(Table1[[#This Row],[SKU]],'All Skus'!$A:$AC,20,FALSE)),""))</f>
        <v>0</v>
      </c>
      <c r="Q358" s="64" t="str">
        <f>(IF((VLOOKUP(Table1[[#This Row],[SKU]],'All Skus'!$A:$AC,2,FALSE))="AKG",(VLOOKUP(Table1[[#This Row],[SKU]],'All Skus'!$A:$AC,21,FALSE)),""))</f>
        <v>n/a</v>
      </c>
      <c r="R358" s="64" t="str">
        <f>(IF((VLOOKUP(Table1[[#This Row],[SKU]],'All Skus'!$A:$AC,2,FALSE))="AKG",(VLOOKUP(Table1[[#This Row],[SKU]],'All Skus'!$A:$AC,22,FALSE)),""))</f>
        <v>DE</v>
      </c>
      <c r="S358" s="64" t="str">
        <f>(IF((VLOOKUP(Table1[[#This Row],[SKU]],'All Skus'!$A:$AC,2,FALSE))="AKG",(VLOOKUP(Table1[[#This Row],[SKU]],'All Skus'!$A:$AC,23,FALSE)),""))</f>
        <v>Compliant</v>
      </c>
      <c r="T358" s="210" t="str">
        <f>HYPERLINK((IF((VLOOKUP(Table1[[#This Row],[SKU]],'All Skus'!$A:$AC,2,FALSE))="AKG",(VLOOKUP(Table1[[#This Row],[SKU]],'All Skus'!$A:$AC,24,FALSE)),"")))</f>
        <v>https://www.akg.com/2568Z40010.html</v>
      </c>
      <c r="U358" s="151">
        <v>356</v>
      </c>
    </row>
    <row r="359" spans="1:21" hidden="1">
      <c r="A359" s="48" t="s">
        <v>516</v>
      </c>
      <c r="B359" s="52" t="str">
        <f>(IF((VLOOKUP(Table1[[#This Row],[SKU]],'All Skus'!$A:$AC,2,FALSE))="AKG",(VLOOKUP(Table1[[#This Row],[SKU]],'All Skus'!$A:$AC,3,FALSE)), ""))</f>
        <v>Accessories</v>
      </c>
      <c r="C359" s="60" t="str">
        <f>(IF((VLOOKUP(Table1[[#This Row],[SKU]],'All Skus'!$A:$AC,2,FALSE))="AKG",(VLOOKUP(Table1[[#This Row],[SKU]],'All Skus'!$A:$AC,4,FALSE)),""))</f>
        <v>W407</v>
      </c>
      <c r="D359" s="60" t="str">
        <f>(IF((VLOOKUP(Table1[[#This Row],[SKU]],'All Skus'!$A:$AC,2,FALSE))="AKG",(VLOOKUP(Table1[[#This Row],[SKU]],'All Skus'!$A:$AC,5,FALSE)),""))</f>
        <v>AT999999</v>
      </c>
      <c r="E359" s="60">
        <f>(IF((VLOOKUP(Table1[[#This Row],[SKU]],'All Skus'!$A:$AC,2,FALSE))="AKG",(VLOOKUP(Table1[[#This Row],[SKU]],'All Skus'!$A:$AC,6,FALSE)),""))</f>
        <v>0</v>
      </c>
      <c r="F359" s="60">
        <f>(IF((VLOOKUP(Table1[[#This Row],[SKU]],'All Skus'!$A:$AC,2,FALSE))="AKG",(VLOOKUP(Table1[[#This Row],[SKU]],'All Skus'!$A:$AC,7,FALSE)),""))</f>
        <v>0</v>
      </c>
      <c r="G359" s="45" t="str">
        <f>(IF((VLOOKUP(Table1[[#This Row],[SKU]],'All Skus'!$A:$AC,2,FALSE))="AKG",(VLOOKUP(Table1[[#This Row],[SKU]],'All Skus'!$A:$AC,8,FALSE)),""))</f>
        <v>Spare parts</v>
      </c>
      <c r="H359" s="45" t="str">
        <f>(IF((VLOOKUP(Table1[[#This Row],[SKU]],'All Skus'!$A:$AC,2,FALSE))="AKG",(VLOOKUP(Table1[[#This Row],[SKU]],'All Skus'!$A:$AC,9,FALSE)),""))</f>
        <v>For C417</v>
      </c>
      <c r="I359" s="141">
        <f>(IF((VLOOKUP(Table1[[#This Row],[SKU]],'All Skus'!$A:$AC,2,FALSE))="AKG",(VLOOKUP(Table1[[#This Row],[SKU]],'All Skus'!$A:$AC,10,FALSE)),""))</f>
        <v>0</v>
      </c>
      <c r="J359" s="141">
        <f>(IF((VLOOKUP(Table1[[#This Row],[SKU]],'All Skus'!$A:$AC,2,FALSE))="AKG",(VLOOKUP(Table1[[#This Row],[SKU]],'All Skus'!$A:$AC,11,FALSE)),""))</f>
        <v>0</v>
      </c>
      <c r="K359" s="125">
        <f>(IF((VLOOKUP(Table1[[#This Row],[SKU]],'All Skus'!$A:$AC,2,FALSE))="AKG",(VLOOKUP(Table1[[#This Row],[SKU]],'All Skus'!$A:$AC,15,FALSE)),""))</f>
        <v>0</v>
      </c>
      <c r="L359" s="124">
        <f>(IF((VLOOKUP(Table1[[#This Row],[SKU]],'All Skus'!$A:$AC,2,FALSE))="AKG",(VLOOKUP(Table1[[#This Row],[SKU]],'All Skus'!$A:$AC,16,FALSE)),""))</f>
        <v>885038039471</v>
      </c>
      <c r="M359" s="124">
        <f>(IF((VLOOKUP(Table1[[#This Row],[SKU]],'All Skus'!$A:$AC,2,FALSE))="AKG",(VLOOKUP(Table1[[#This Row],[SKU]],'All Skus'!$A:$AC,17,FALSE)),""))</f>
        <v>9002761039474</v>
      </c>
      <c r="N359" s="64">
        <f>(IF((VLOOKUP(Table1[[#This Row],[SKU]],'All Skus'!$A:$AC,2,FALSE))="AKG",(VLOOKUP(Table1[[#This Row],[SKU]],'All Skus'!$A:$AC,18,FALSE)),""))</f>
        <v>0</v>
      </c>
      <c r="O359" s="64">
        <f>(IF((VLOOKUP(Table1[[#This Row],[SKU]],'All Skus'!$A:$AC,2,FALSE))="AKG",(VLOOKUP(Table1[[#This Row],[SKU]],'All Skus'!$A:$AC,19,FALSE)),""))</f>
        <v>0</v>
      </c>
      <c r="P359" s="64">
        <f>(IF((VLOOKUP(Table1[[#This Row],[SKU]],'All Skus'!$A:$AC,2,FALSE))="AKG",(VLOOKUP(Table1[[#This Row],[SKU]],'All Skus'!$A:$AC,20,FALSE)),""))</f>
        <v>0</v>
      </c>
      <c r="Q359" s="64" t="str">
        <f>(IF((VLOOKUP(Table1[[#This Row],[SKU]],'All Skus'!$A:$AC,2,FALSE))="AKG",(VLOOKUP(Table1[[#This Row],[SKU]],'All Skus'!$A:$AC,21,FALSE)),""))</f>
        <v>n/a</v>
      </c>
      <c r="R359" s="64" t="str">
        <f>(IF((VLOOKUP(Table1[[#This Row],[SKU]],'All Skus'!$A:$AC,2,FALSE))="AKG",(VLOOKUP(Table1[[#This Row],[SKU]],'All Skus'!$A:$AC,22,FALSE)),""))</f>
        <v>JP</v>
      </c>
      <c r="S359" s="64" t="str">
        <f>(IF((VLOOKUP(Table1[[#This Row],[SKU]],'All Skus'!$A:$AC,2,FALSE))="AKG",(VLOOKUP(Table1[[#This Row],[SKU]],'All Skus'!$A:$AC,23,FALSE)),""))</f>
        <v>Compliant</v>
      </c>
      <c r="T359" s="210" t="str">
        <f>HYPERLINK((IF((VLOOKUP(Table1[[#This Row],[SKU]],'All Skus'!$A:$AC,2,FALSE))="AKG",(VLOOKUP(Table1[[#This Row],[SKU]],'All Skus'!$A:$AC,24,FALSE)),"")))</f>
        <v>https://www.akg.com/2366Z06010.html</v>
      </c>
      <c r="U359" s="151">
        <v>357</v>
      </c>
    </row>
    <row r="360" spans="1:21" ht="15" hidden="1" customHeight="1">
      <c r="A360" s="48" t="s">
        <v>517</v>
      </c>
      <c r="B360" s="52" t="str">
        <f>(IF((VLOOKUP(Table1[[#This Row],[SKU]],'All Skus'!$A:$AC,2,FALSE))="AKG",(VLOOKUP(Table1[[#This Row],[SKU]],'All Skus'!$A:$AC,3,FALSE)), ""))</f>
        <v>Accessories</v>
      </c>
      <c r="C360" s="60" t="str">
        <f>(IF((VLOOKUP(Table1[[#This Row],[SKU]],'All Skus'!$A:$AC,2,FALSE))="AKG",(VLOOKUP(Table1[[#This Row],[SKU]],'All Skus'!$A:$AC,4,FALSE)),""))</f>
        <v>SHZ80</v>
      </c>
      <c r="D360" s="60" t="str">
        <f>(IF((VLOOKUP(Table1[[#This Row],[SKU]],'All Skus'!$A:$AC,2,FALSE))="AKG",(VLOOKUP(Table1[[#This Row],[SKU]],'All Skus'!$A:$AC,5,FALSE)),""))</f>
        <v>AT999999</v>
      </c>
      <c r="E360" s="60">
        <f>(IF((VLOOKUP(Table1[[#This Row],[SKU]],'All Skus'!$A:$AC,2,FALSE))="AKG",(VLOOKUP(Table1[[#This Row],[SKU]],'All Skus'!$A:$AC,6,FALSE)),""))</f>
        <v>0</v>
      </c>
      <c r="F360" s="60">
        <f>(IF((VLOOKUP(Table1[[#This Row],[SKU]],'All Skus'!$A:$AC,2,FALSE))="AKG",(VLOOKUP(Table1[[#This Row],[SKU]],'All Skus'!$A:$AC,7,FALSE)),""))</f>
        <v>0</v>
      </c>
      <c r="G360" s="45" t="str">
        <f>(IF((VLOOKUP(Table1[[#This Row],[SKU]],'All Skus'!$A:$AC,2,FALSE))="AKG",(VLOOKUP(Table1[[#This Row],[SKU]],'All Skus'!$A:$AC,8,FALSE)),""))</f>
        <v>Spare parts</v>
      </c>
      <c r="H360" s="45" t="str">
        <f>(IF((VLOOKUP(Table1[[#This Row],[SKU]],'All Skus'!$A:$AC,2,FALSE))="AKG",(VLOOKUP(Table1[[#This Row],[SKU]],'All Skus'!$A:$AC,9,FALSE)),""))</f>
        <v>Slotted screw link for use with 
C747</v>
      </c>
      <c r="I360" s="141">
        <f>(IF((VLOOKUP(Table1[[#This Row],[SKU]],'All Skus'!$A:$AC,2,FALSE))="AKG",(VLOOKUP(Table1[[#This Row],[SKU]],'All Skus'!$A:$AC,10,FALSE)),""))</f>
        <v>0</v>
      </c>
      <c r="J360" s="141">
        <f>(IF((VLOOKUP(Table1[[#This Row],[SKU]],'All Skus'!$A:$AC,2,FALSE))="AKG",(VLOOKUP(Table1[[#This Row],[SKU]],'All Skus'!$A:$AC,11,FALSE)),""))</f>
        <v>0</v>
      </c>
      <c r="K360" s="125">
        <f>(IF((VLOOKUP(Table1[[#This Row],[SKU]],'All Skus'!$A:$AC,2,FALSE))="AKG",(VLOOKUP(Table1[[#This Row],[SKU]],'All Skus'!$A:$AC,15,FALSE)),""))</f>
        <v>0</v>
      </c>
      <c r="L360" s="124">
        <f>(IF((VLOOKUP(Table1[[#This Row],[SKU]],'All Skus'!$A:$AC,2,FALSE))="AKG",(VLOOKUP(Table1[[#This Row],[SKU]],'All Skus'!$A:$AC,16,FALSE)),""))</f>
        <v>885038039488</v>
      </c>
      <c r="M360" s="124">
        <f>(IF((VLOOKUP(Table1[[#This Row],[SKU]],'All Skus'!$A:$AC,2,FALSE))="AKG",(VLOOKUP(Table1[[#This Row],[SKU]],'All Skus'!$A:$AC,17,FALSE)),""))</f>
        <v>9002761039481</v>
      </c>
      <c r="N360" s="64">
        <f>(IF((VLOOKUP(Table1[[#This Row],[SKU]],'All Skus'!$A:$AC,2,FALSE))="AKG",(VLOOKUP(Table1[[#This Row],[SKU]],'All Skus'!$A:$AC,18,FALSE)),""))</f>
        <v>0</v>
      </c>
      <c r="O360" s="64">
        <f>(IF((VLOOKUP(Table1[[#This Row],[SKU]],'All Skus'!$A:$AC,2,FALSE))="AKG",(VLOOKUP(Table1[[#This Row],[SKU]],'All Skus'!$A:$AC,19,FALSE)),""))</f>
        <v>0</v>
      </c>
      <c r="P360" s="64">
        <f>(IF((VLOOKUP(Table1[[#This Row],[SKU]],'All Skus'!$A:$AC,2,FALSE))="AKG",(VLOOKUP(Table1[[#This Row],[SKU]],'All Skus'!$A:$AC,20,FALSE)),""))</f>
        <v>0</v>
      </c>
      <c r="Q360" s="64" t="str">
        <f>(IF((VLOOKUP(Table1[[#This Row],[SKU]],'All Skus'!$A:$AC,2,FALSE))="AKG",(VLOOKUP(Table1[[#This Row],[SKU]],'All Skus'!$A:$AC,21,FALSE)),""))</f>
        <v>n/a</v>
      </c>
      <c r="R360" s="64" t="str">
        <f>(IF((VLOOKUP(Table1[[#This Row],[SKU]],'All Skus'!$A:$AC,2,FALSE))="AKG",(VLOOKUP(Table1[[#This Row],[SKU]],'All Skus'!$A:$AC,22,FALSE)),""))</f>
        <v>AT</v>
      </c>
      <c r="S360" s="64" t="str">
        <f>(IF((VLOOKUP(Table1[[#This Row],[SKU]],'All Skus'!$A:$AC,2,FALSE))="AKG",(VLOOKUP(Table1[[#This Row],[SKU]],'All Skus'!$A:$AC,23,FALSE)),""))</f>
        <v>Compliant</v>
      </c>
      <c r="T360" s="210" t="str">
        <f>HYPERLINK((IF((VLOOKUP(Table1[[#This Row],[SKU]],'All Skus'!$A:$AC,2,FALSE))="AKG",(VLOOKUP(Table1[[#This Row],[SKU]],'All Skus'!$A:$AC,24,FALSE)),"")))</f>
        <v>https://www.akg.com/2416Z01020.html</v>
      </c>
      <c r="U360" s="151">
        <v>358</v>
      </c>
    </row>
    <row r="361" spans="1:21" ht="15" hidden="1" customHeight="1">
      <c r="A361" s="48" t="s">
        <v>518</v>
      </c>
      <c r="B361" s="52" t="str">
        <f>(IF((VLOOKUP(Table1[[#This Row],[SKU]],'All Skus'!$A:$AC,2,FALSE))="AKG",(VLOOKUP(Table1[[#This Row],[SKU]],'All Skus'!$A:$AC,3,FALSE)), ""))</f>
        <v>Accessories</v>
      </c>
      <c r="C361" s="60" t="str">
        <f>(IF((VLOOKUP(Table1[[#This Row],[SKU]],'All Skus'!$A:$AC,2,FALSE))="AKG",(VLOOKUP(Table1[[#This Row],[SKU]],'All Skus'!$A:$AC,4,FALSE)),""))</f>
        <v>RMS4000</v>
      </c>
      <c r="D361" s="60" t="str">
        <f>(IF((VLOOKUP(Table1[[#This Row],[SKU]],'All Skus'!$A:$AC,2,FALSE))="AKG",(VLOOKUP(Table1[[#This Row],[SKU]],'All Skus'!$A:$AC,5,FALSE)),""))</f>
        <v>AT690092</v>
      </c>
      <c r="E361" s="60">
        <f>(IF((VLOOKUP(Table1[[#This Row],[SKU]],'All Skus'!$A:$AC,2,FALSE))="AKG",(VLOOKUP(Table1[[#This Row],[SKU]],'All Skus'!$A:$AC,6,FALSE)),""))</f>
        <v>0</v>
      </c>
      <c r="F361" s="60" t="str">
        <f>(IF((VLOOKUP(Table1[[#This Row],[SKU]],'All Skus'!$A:$AC,2,FALSE))="AKG",(VLOOKUP(Table1[[#This Row],[SKU]],'All Skus'!$A:$AC,7,FALSE)),""))</f>
        <v>Limited Quantity</v>
      </c>
      <c r="G361" s="45" t="str">
        <f>(IF((VLOOKUP(Table1[[#This Row],[SKU]],'All Skus'!$A:$AC,2,FALSE))="AKG",(VLOOKUP(Table1[[#This Row],[SKU]],'All Skus'!$A:$AC,8,FALSE)),""))</f>
        <v>Cable</v>
      </c>
      <c r="H361" s="45" t="str">
        <f>(IF((VLOOKUP(Table1[[#This Row],[SKU]],'All Skus'!$A:$AC,2,FALSE))="AKG",(VLOOKUP(Table1[[#This Row],[SKU]],'All Skus'!$A:$AC,9,FALSE)),""))</f>
        <v>Remote mute switch, 1 meter cable, 2.5mm plug - External switch to mute and un-mute the PT450/470/4500 and DPT700</v>
      </c>
      <c r="I361" s="141">
        <f>(IF((VLOOKUP(Table1[[#This Row],[SKU]],'All Skus'!$A:$AC,2,FALSE))="AKG",(VLOOKUP(Table1[[#This Row],[SKU]],'All Skus'!$A:$AC,10,FALSE)),""))</f>
        <v>118.85</v>
      </c>
      <c r="J361" s="141">
        <f>(IF((VLOOKUP(Table1[[#This Row],[SKU]],'All Skus'!$A:$AC,2,FALSE))="AKG",(VLOOKUP(Table1[[#This Row],[SKU]],'All Skus'!$A:$AC,11,FALSE)),""))</f>
        <v>98</v>
      </c>
      <c r="K361" s="125">
        <f>(IF((VLOOKUP(Table1[[#This Row],[SKU]],'All Skus'!$A:$AC,2,FALSE))="AKG",(VLOOKUP(Table1[[#This Row],[SKU]],'All Skus'!$A:$AC,15,FALSE)),""))</f>
        <v>0</v>
      </c>
      <c r="L361" s="124">
        <f>(IF((VLOOKUP(Table1[[#This Row],[SKU]],'All Skus'!$A:$AC,2,FALSE))="AKG",(VLOOKUP(Table1[[#This Row],[SKU]],'All Skus'!$A:$AC,16,FALSE)),""))</f>
        <v>885038026815</v>
      </c>
      <c r="M361" s="124">
        <f>(IF((VLOOKUP(Table1[[#This Row],[SKU]],'All Skus'!$A:$AC,2,FALSE))="AKG",(VLOOKUP(Table1[[#This Row],[SKU]],'All Skus'!$A:$AC,17,FALSE)),""))</f>
        <v>9002761026818</v>
      </c>
      <c r="N361" s="64">
        <f>(IF((VLOOKUP(Table1[[#This Row],[SKU]],'All Skus'!$A:$AC,2,FALSE))="AKG",(VLOOKUP(Table1[[#This Row],[SKU]],'All Skus'!$A:$AC,18,FALSE)),""))</f>
        <v>3</v>
      </c>
      <c r="O361" s="64">
        <f>(IF((VLOOKUP(Table1[[#This Row],[SKU]],'All Skus'!$A:$AC,2,FALSE))="AKG",(VLOOKUP(Table1[[#This Row],[SKU]],'All Skus'!$A:$AC,19,FALSE)),""))</f>
        <v>4</v>
      </c>
      <c r="P361" s="64">
        <f>(IF((VLOOKUP(Table1[[#This Row],[SKU]],'All Skus'!$A:$AC,2,FALSE))="AKG",(VLOOKUP(Table1[[#This Row],[SKU]],'All Skus'!$A:$AC,20,FALSE)),""))</f>
        <v>5</v>
      </c>
      <c r="Q361" s="64">
        <f>(IF((VLOOKUP(Table1[[#This Row],[SKU]],'All Skus'!$A:$AC,2,FALSE))="AKG",(VLOOKUP(Table1[[#This Row],[SKU]],'All Skus'!$A:$AC,21,FALSE)),""))</f>
        <v>3.2</v>
      </c>
      <c r="R361" s="64" t="str">
        <f>(IF((VLOOKUP(Table1[[#This Row],[SKU]],'All Skus'!$A:$AC,2,FALSE))="AKG",(VLOOKUP(Table1[[#This Row],[SKU]],'All Skus'!$A:$AC,22,FALSE)),""))</f>
        <v>SK</v>
      </c>
      <c r="S361" s="64" t="str">
        <f>(IF((VLOOKUP(Table1[[#This Row],[SKU]],'All Skus'!$A:$AC,2,FALSE))="AKG",(VLOOKUP(Table1[[#This Row],[SKU]],'All Skus'!$A:$AC,23,FALSE)),""))</f>
        <v>Compliant</v>
      </c>
      <c r="T361" s="210" t="str">
        <f>HYPERLINK((IF((VLOOKUP(Table1[[#This Row],[SKU]],'All Skus'!$A:$AC,2,FALSE))="AKG",(VLOOKUP(Table1[[#This Row],[SKU]],'All Skus'!$A:$AC,24,FALSE)),"")))</f>
        <v>https://www.akg.com/3009Z00120.html</v>
      </c>
      <c r="U361" s="151">
        <v>359</v>
      </c>
    </row>
    <row r="362" spans="1:21" hidden="1">
      <c r="A362" s="48" t="s">
        <v>519</v>
      </c>
      <c r="B362" s="52" t="str">
        <f>(IF((VLOOKUP(Table1[[#This Row],[SKU]],'All Skus'!$A:$AC,2,FALSE))="AKG",(VLOOKUP(Table1[[#This Row],[SKU]],'All Skus'!$A:$AC,3,FALSE)), ""))</f>
        <v>Wired Mics</v>
      </c>
      <c r="C362" s="60" t="str">
        <f>(IF((VLOOKUP(Table1[[#This Row],[SKU]],'All Skus'!$A:$AC,2,FALSE))="AKG",(VLOOKUP(Table1[[#This Row],[SKU]],'All Skus'!$A:$AC,4,FALSE)),""))</f>
        <v>MPA V L</v>
      </c>
      <c r="D362" s="60" t="str">
        <f>(IF((VLOOKUP(Table1[[#This Row],[SKU]],'All Skus'!$A:$AC,2,FALSE))="AKG",(VLOOKUP(Table1[[#This Row],[SKU]],'All Skus'!$A:$AC,5,FALSE)),""))</f>
        <v>AT410090</v>
      </c>
      <c r="E362" s="60">
        <f>(IF((VLOOKUP(Table1[[#This Row],[SKU]],'All Skus'!$A:$AC,2,FALSE))="AKG",(VLOOKUP(Table1[[#This Row],[SKU]],'All Skus'!$A:$AC,6,FALSE)),""))</f>
        <v>0</v>
      </c>
      <c r="F362" s="60">
        <f>(IF((VLOOKUP(Table1[[#This Row],[SKU]],'All Skus'!$A:$AC,2,FALSE))="AKG",(VLOOKUP(Table1[[#This Row],[SKU]],'All Skus'!$A:$AC,7,FALSE)),""))</f>
        <v>0</v>
      </c>
      <c r="G362" s="45" t="str">
        <f>(IF((VLOOKUP(Table1[[#This Row],[SKU]],'All Skus'!$A:$AC,2,FALSE))="AKG",(VLOOKUP(Table1[[#This Row],[SKU]],'All Skus'!$A:$AC,8,FALSE)),""))</f>
        <v>Head-Worn Vocal Microphone</v>
      </c>
      <c r="H362" s="45" t="str">
        <f>(IF((VLOOKUP(Table1[[#This Row],[SKU]],'All Skus'!$A:$AC,2,FALSE))="AKG",(VLOOKUP(Table1[[#This Row],[SKU]],'All Skus'!$A:$AC,9,FALSE)),""))</f>
        <v>XLR phantom adapter for MicroMic "ML" &amp; "L" versions</v>
      </c>
      <c r="I362" s="141">
        <f>(IF((VLOOKUP(Table1[[#This Row],[SKU]],'All Skus'!$A:$AC,2,FALSE))="AKG",(VLOOKUP(Table1[[#This Row],[SKU]],'All Skus'!$A:$AC,10,FALSE)),""))</f>
        <v>106.84</v>
      </c>
      <c r="J362" s="141">
        <f>(IF((VLOOKUP(Table1[[#This Row],[SKU]],'All Skus'!$A:$AC,2,FALSE))="AKG",(VLOOKUP(Table1[[#This Row],[SKU]],'All Skus'!$A:$AC,11,FALSE)),""))</f>
        <v>82</v>
      </c>
      <c r="K362" s="125">
        <f>(IF((VLOOKUP(Table1[[#This Row],[SKU]],'All Skus'!$A:$AC,2,FALSE))="AKG",(VLOOKUP(Table1[[#This Row],[SKU]],'All Skus'!$A:$AC,15,FALSE)),""))</f>
        <v>50</v>
      </c>
      <c r="L362" s="124">
        <f>(IF((VLOOKUP(Table1[[#This Row],[SKU]],'All Skus'!$A:$AC,2,FALSE))="AKG",(VLOOKUP(Table1[[#This Row],[SKU]],'All Skus'!$A:$AC,16,FALSE)),""))</f>
        <v>885038018681</v>
      </c>
      <c r="M362" s="124">
        <f>(IF((VLOOKUP(Table1[[#This Row],[SKU]],'All Skus'!$A:$AC,2,FALSE))="AKG",(VLOOKUP(Table1[[#This Row],[SKU]],'All Skus'!$A:$AC,17,FALSE)),""))</f>
        <v>9002761018684</v>
      </c>
      <c r="N362" s="64">
        <f>(IF((VLOOKUP(Table1[[#This Row],[SKU]],'All Skus'!$A:$AC,2,FALSE))="AKG",(VLOOKUP(Table1[[#This Row],[SKU]],'All Skus'!$A:$AC,18,FALSE)),""))</f>
        <v>2</v>
      </c>
      <c r="O362" s="64">
        <f>(IF((VLOOKUP(Table1[[#This Row],[SKU]],'All Skus'!$A:$AC,2,FALSE))="AKG",(VLOOKUP(Table1[[#This Row],[SKU]],'All Skus'!$A:$AC,19,FALSE)),""))</f>
        <v>4</v>
      </c>
      <c r="P362" s="64">
        <f>(IF((VLOOKUP(Table1[[#This Row],[SKU]],'All Skus'!$A:$AC,2,FALSE))="AKG",(VLOOKUP(Table1[[#This Row],[SKU]],'All Skus'!$A:$AC,20,FALSE)),""))</f>
        <v>6</v>
      </c>
      <c r="Q362" s="64">
        <f>(IF((VLOOKUP(Table1[[#This Row],[SKU]],'All Skus'!$A:$AC,2,FALSE))="AKG",(VLOOKUP(Table1[[#This Row],[SKU]],'All Skus'!$A:$AC,21,FALSE)),""))</f>
        <v>2</v>
      </c>
      <c r="R362" s="64" t="str">
        <f>(IF((VLOOKUP(Table1[[#This Row],[SKU]],'All Skus'!$A:$AC,2,FALSE))="AKG",(VLOOKUP(Table1[[#This Row],[SKU]],'All Skus'!$A:$AC,22,FALSE)),""))</f>
        <v>TW</v>
      </c>
      <c r="S362" s="64" t="str">
        <f>(IF((VLOOKUP(Table1[[#This Row],[SKU]],'All Skus'!$A:$AC,2,FALSE))="AKG",(VLOOKUP(Table1[[#This Row],[SKU]],'All Skus'!$A:$AC,23,FALSE)),""))</f>
        <v>Compliant</v>
      </c>
      <c r="T362" s="210" t="str">
        <f>HYPERLINK((IF((VLOOKUP(Table1[[#This Row],[SKU]],'All Skus'!$A:$AC,2,FALSE))="AKG",(VLOOKUP(Table1[[#This Row],[SKU]],'All Skus'!$A:$AC,24,FALSE)),"")))</f>
        <v>https://www.akg.com/3170H00020.html</v>
      </c>
      <c r="U362" s="151">
        <v>360</v>
      </c>
    </row>
    <row r="363" spans="1:21">
      <c r="U363" s="151"/>
    </row>
    <row r="364" spans="1:21">
      <c r="U364" s="151"/>
    </row>
    <row r="365" spans="1:21">
      <c r="U365" s="151"/>
    </row>
    <row r="366" spans="1:21">
      <c r="U366" s="151"/>
    </row>
    <row r="367" spans="1:21">
      <c r="U367" s="151"/>
    </row>
    <row r="368" spans="1:21">
      <c r="U368" s="151"/>
    </row>
    <row r="369" spans="21:21">
      <c r="U369" s="151"/>
    </row>
    <row r="370" spans="21:21">
      <c r="U370" s="151"/>
    </row>
    <row r="371" spans="21:21">
      <c r="U371" s="151"/>
    </row>
    <row r="372" spans="21:21">
      <c r="U372" s="151"/>
    </row>
    <row r="373" spans="21:21">
      <c r="U373" s="151"/>
    </row>
    <row r="374" spans="21:21">
      <c r="U374" s="151"/>
    </row>
    <row r="375" spans="21:21">
      <c r="U375" s="151"/>
    </row>
    <row r="376" spans="21:21">
      <c r="U376" s="151"/>
    </row>
    <row r="377" spans="21:21">
      <c r="U377" s="151"/>
    </row>
    <row r="378" spans="21:21">
      <c r="U378" s="151"/>
    </row>
    <row r="379" spans="21:21">
      <c r="U379" s="151"/>
    </row>
    <row r="380" spans="21:21">
      <c r="U380" s="151"/>
    </row>
    <row r="381" spans="21:21">
      <c r="U381" s="151"/>
    </row>
    <row r="382" spans="21:21">
      <c r="U382" s="151"/>
    </row>
    <row r="383" spans="21:21">
      <c r="U383" s="151"/>
    </row>
    <row r="384" spans="21:21">
      <c r="U384" s="151"/>
    </row>
    <row r="385" spans="21:21">
      <c r="U385" s="151"/>
    </row>
    <row r="386" spans="21:21">
      <c r="U386" s="151"/>
    </row>
    <row r="387" spans="21:21">
      <c r="U387" s="151"/>
    </row>
    <row r="388" spans="21:21">
      <c r="U388" s="151"/>
    </row>
    <row r="389" spans="21:21">
      <c r="U389" s="151"/>
    </row>
    <row r="390" spans="21:21">
      <c r="U390" s="151"/>
    </row>
    <row r="391" spans="21:21">
      <c r="U391" s="151"/>
    </row>
    <row r="392" spans="21:21">
      <c r="U392" s="151"/>
    </row>
    <row r="393" spans="21:21">
      <c r="U393" s="151"/>
    </row>
    <row r="394" spans="21:21">
      <c r="U394" s="151"/>
    </row>
    <row r="395" spans="21:21">
      <c r="U395" s="151"/>
    </row>
    <row r="396" spans="21:21">
      <c r="U396" s="151"/>
    </row>
    <row r="397" spans="21:21">
      <c r="U397" s="151"/>
    </row>
    <row r="398" spans="21:21">
      <c r="U398" s="151"/>
    </row>
    <row r="399" spans="21:21">
      <c r="U399" s="151"/>
    </row>
    <row r="400" spans="21:21">
      <c r="U400" s="151"/>
    </row>
    <row r="401" spans="21:21">
      <c r="U401" s="151"/>
    </row>
    <row r="402" spans="21:21">
      <c r="U402" s="151"/>
    </row>
    <row r="403" spans="21:21">
      <c r="U403" s="151"/>
    </row>
    <row r="404" spans="21:21">
      <c r="U404" s="151"/>
    </row>
    <row r="405" spans="21:21">
      <c r="U405" s="151"/>
    </row>
    <row r="406" spans="21:21">
      <c r="U406" s="151"/>
    </row>
    <row r="407" spans="21:21">
      <c r="U407" s="151"/>
    </row>
    <row r="408" spans="21:21">
      <c r="U408" s="151"/>
    </row>
    <row r="409" spans="21:21">
      <c r="U409" s="151"/>
    </row>
    <row r="410" spans="21:21">
      <c r="U410" s="151"/>
    </row>
    <row r="411" spans="21:21">
      <c r="U411" s="151"/>
    </row>
    <row r="412" spans="21:21">
      <c r="U412" s="151"/>
    </row>
    <row r="413" spans="21:21">
      <c r="U413" s="151"/>
    </row>
    <row r="414" spans="21:21">
      <c r="U414" s="151"/>
    </row>
    <row r="415" spans="21:21">
      <c r="U415" s="151"/>
    </row>
    <row r="416" spans="21:21">
      <c r="U416" s="151"/>
    </row>
    <row r="417" spans="21:21">
      <c r="U417" s="151"/>
    </row>
    <row r="418" spans="21:21">
      <c r="U418" s="151"/>
    </row>
    <row r="419" spans="21:21">
      <c r="U419" s="151"/>
    </row>
    <row r="420" spans="21:21">
      <c r="U420" s="151"/>
    </row>
    <row r="421" spans="21:21">
      <c r="U421" s="151"/>
    </row>
    <row r="422" spans="21:21">
      <c r="U422" s="151"/>
    </row>
    <row r="423" spans="21:21">
      <c r="U423" s="151"/>
    </row>
    <row r="424" spans="21:21">
      <c r="U424" s="151"/>
    </row>
    <row r="425" spans="21:21">
      <c r="U425" s="151"/>
    </row>
    <row r="426" spans="21:21">
      <c r="U426" s="151"/>
    </row>
    <row r="427" spans="21:21">
      <c r="U427" s="151"/>
    </row>
    <row r="428" spans="21:21">
      <c r="U428" s="151"/>
    </row>
    <row r="429" spans="21:21">
      <c r="U429" s="151"/>
    </row>
    <row r="430" spans="21:21">
      <c r="U430" s="151"/>
    </row>
    <row r="431" spans="21:21">
      <c r="U431" s="151"/>
    </row>
    <row r="432" spans="21:21">
      <c r="U432" s="151"/>
    </row>
    <row r="433" spans="21:21">
      <c r="U433" s="151"/>
    </row>
    <row r="434" spans="21:21">
      <c r="U434" s="151"/>
    </row>
    <row r="435" spans="21:21">
      <c r="U435" s="151"/>
    </row>
    <row r="436" spans="21:21">
      <c r="U436" s="151"/>
    </row>
    <row r="437" spans="21:21">
      <c r="U437" s="151"/>
    </row>
    <row r="438" spans="21:21">
      <c r="U438" s="151"/>
    </row>
    <row r="439" spans="21:21">
      <c r="U439" s="151"/>
    </row>
    <row r="440" spans="21:21">
      <c r="U440" s="151"/>
    </row>
    <row r="441" spans="21:21">
      <c r="U441" s="151"/>
    </row>
    <row r="442" spans="21:21">
      <c r="U442" s="151"/>
    </row>
    <row r="443" spans="21:21">
      <c r="U443" s="151"/>
    </row>
    <row r="444" spans="21:21">
      <c r="U444" s="151"/>
    </row>
    <row r="445" spans="21:21">
      <c r="U445" s="151"/>
    </row>
    <row r="446" spans="21:21">
      <c r="U446" s="151"/>
    </row>
    <row r="447" spans="21:21">
      <c r="U447" s="151"/>
    </row>
    <row r="448" spans="21:21">
      <c r="U448" s="151"/>
    </row>
    <row r="449" spans="21:21">
      <c r="U449" s="151"/>
    </row>
    <row r="450" spans="21:21">
      <c r="U450" s="151"/>
    </row>
    <row r="451" spans="21:21">
      <c r="U451" s="151"/>
    </row>
    <row r="452" spans="21:21">
      <c r="U452" s="151"/>
    </row>
    <row r="453" spans="21:21">
      <c r="U453" s="151"/>
    </row>
    <row r="454" spans="21:21">
      <c r="U454" s="151"/>
    </row>
    <row r="455" spans="21:21">
      <c r="U455" s="151"/>
    </row>
    <row r="456" spans="21:21">
      <c r="U456" s="151"/>
    </row>
    <row r="457" spans="21:21">
      <c r="U457" s="151"/>
    </row>
    <row r="458" spans="21:21">
      <c r="U458" s="151"/>
    </row>
    <row r="459" spans="21:21">
      <c r="U459" s="151"/>
    </row>
    <row r="460" spans="21:21">
      <c r="U460" s="151"/>
    </row>
    <row r="461" spans="21:21">
      <c r="U461" s="151"/>
    </row>
    <row r="462" spans="21:21">
      <c r="U462" s="151"/>
    </row>
    <row r="463" spans="21:21">
      <c r="U463" s="151"/>
    </row>
    <row r="464" spans="21:21">
      <c r="U464" s="151"/>
    </row>
    <row r="465" spans="21:21">
      <c r="U465" s="151"/>
    </row>
    <row r="466" spans="21:21">
      <c r="U466" s="151"/>
    </row>
    <row r="467" spans="21:21">
      <c r="U467" s="151"/>
    </row>
    <row r="468" spans="21:21">
      <c r="U468" s="151"/>
    </row>
    <row r="469" spans="21:21">
      <c r="U469" s="151"/>
    </row>
    <row r="470" spans="21:21">
      <c r="U470" s="151"/>
    </row>
    <row r="471" spans="21:21">
      <c r="U471" s="151"/>
    </row>
    <row r="472" spans="21:21">
      <c r="U472" s="151"/>
    </row>
    <row r="473" spans="21:21">
      <c r="U473" s="151"/>
    </row>
    <row r="474" spans="21:21">
      <c r="U474" s="151"/>
    </row>
    <row r="475" spans="21:21">
      <c r="U475" s="151"/>
    </row>
    <row r="476" spans="21:21">
      <c r="U476" s="151"/>
    </row>
    <row r="477" spans="21:21">
      <c r="U477" s="151"/>
    </row>
    <row r="478" spans="21:21">
      <c r="U478" s="151"/>
    </row>
    <row r="479" spans="21:21">
      <c r="U479" s="151"/>
    </row>
    <row r="480" spans="21:21">
      <c r="U480" s="151"/>
    </row>
    <row r="481" spans="21:21">
      <c r="U481" s="151"/>
    </row>
    <row r="482" spans="21:21">
      <c r="U482" s="151"/>
    </row>
    <row r="483" spans="21:21">
      <c r="U483" s="151"/>
    </row>
    <row r="484" spans="21:21">
      <c r="U484" s="151"/>
    </row>
    <row r="485" spans="21:21">
      <c r="U485" s="151"/>
    </row>
    <row r="486" spans="21:21">
      <c r="U486" s="151"/>
    </row>
    <row r="487" spans="21:21">
      <c r="U487" s="151"/>
    </row>
    <row r="488" spans="21:21">
      <c r="U488" s="151"/>
    </row>
    <row r="489" spans="21:21">
      <c r="U489" s="151"/>
    </row>
    <row r="490" spans="21:21">
      <c r="U490" s="151"/>
    </row>
    <row r="491" spans="21:21">
      <c r="U491" s="151"/>
    </row>
    <row r="492" spans="21:21">
      <c r="U492" s="151"/>
    </row>
    <row r="493" spans="21:21">
      <c r="U493" s="151"/>
    </row>
    <row r="494" spans="21:21">
      <c r="U494" s="151"/>
    </row>
    <row r="495" spans="21:21">
      <c r="U495" s="151"/>
    </row>
    <row r="496" spans="21:21">
      <c r="U496" s="151"/>
    </row>
    <row r="497" spans="21:21">
      <c r="U497" s="151"/>
    </row>
    <row r="498" spans="21:21">
      <c r="U498" s="151"/>
    </row>
    <row r="499" spans="21:21">
      <c r="U499" s="151"/>
    </row>
    <row r="500" spans="21:21">
      <c r="U500" s="151"/>
    </row>
    <row r="501" spans="21:21">
      <c r="U501" s="151"/>
    </row>
    <row r="502" spans="21:21">
      <c r="U502" s="151"/>
    </row>
    <row r="503" spans="21:21">
      <c r="U503" s="151"/>
    </row>
    <row r="504" spans="21:21">
      <c r="U504" s="151"/>
    </row>
    <row r="505" spans="21:21">
      <c r="U505" s="151"/>
    </row>
    <row r="506" spans="21:21">
      <c r="U506" s="151"/>
    </row>
    <row r="507" spans="21:21">
      <c r="U507" s="151"/>
    </row>
    <row r="508" spans="21:21">
      <c r="U508" s="151"/>
    </row>
    <row r="509" spans="21:21">
      <c r="U509" s="151"/>
    </row>
    <row r="510" spans="21:21">
      <c r="U510" s="151"/>
    </row>
    <row r="511" spans="21:21">
      <c r="U511" s="151"/>
    </row>
    <row r="512" spans="21:21">
      <c r="U512" s="151"/>
    </row>
    <row r="513" spans="21:21">
      <c r="U513" s="151"/>
    </row>
    <row r="514" spans="21:21">
      <c r="U514" s="151"/>
    </row>
    <row r="515" spans="21:21">
      <c r="U515" s="151"/>
    </row>
    <row r="516" spans="21:21">
      <c r="U516" s="151"/>
    </row>
    <row r="517" spans="21:21">
      <c r="U517" s="151"/>
    </row>
    <row r="518" spans="21:21">
      <c r="U518" s="151"/>
    </row>
    <row r="519" spans="21:21">
      <c r="U519" s="151"/>
    </row>
    <row r="520" spans="21:21">
      <c r="U520" s="151"/>
    </row>
    <row r="521" spans="21:21">
      <c r="U521" s="151"/>
    </row>
    <row r="522" spans="21:21">
      <c r="U522" s="151"/>
    </row>
    <row r="523" spans="21:21">
      <c r="U523" s="151"/>
    </row>
    <row r="524" spans="21:21">
      <c r="U524" s="151"/>
    </row>
    <row r="525" spans="21:21">
      <c r="U525" s="151"/>
    </row>
    <row r="526" spans="21:21">
      <c r="U526" s="151"/>
    </row>
    <row r="527" spans="21:21">
      <c r="U527" s="151"/>
    </row>
    <row r="528" spans="21:21">
      <c r="U528" s="151"/>
    </row>
    <row r="529" spans="21:21">
      <c r="U529" s="151"/>
    </row>
    <row r="530" spans="21:21">
      <c r="U530" s="151"/>
    </row>
    <row r="531" spans="21:21">
      <c r="U531" s="151"/>
    </row>
    <row r="532" spans="21:21">
      <c r="U532" s="151"/>
    </row>
    <row r="533" spans="21:21">
      <c r="U533" s="151"/>
    </row>
    <row r="534" spans="21:21">
      <c r="U534" s="151"/>
    </row>
    <row r="535" spans="21:21">
      <c r="U535" s="151"/>
    </row>
    <row r="536" spans="21:21">
      <c r="U536" s="151"/>
    </row>
    <row r="537" spans="21:21">
      <c r="U537" s="151"/>
    </row>
    <row r="538" spans="21:21">
      <c r="U538" s="151"/>
    </row>
    <row r="539" spans="21:21">
      <c r="U539" s="151"/>
    </row>
  </sheetData>
  <conditionalFormatting sqref="A1:T1048576">
    <cfRule type="cellIs" dxfId="40" priority="7" operator="equal">
      <formula>0</formula>
    </cfRule>
  </conditionalFormatting>
  <conditionalFormatting sqref="T3:T362">
    <cfRule type="cellIs" dxfId="39" priority="1" operator="equal">
      <formula>0</formula>
    </cfRule>
    <cfRule type="cellIs" dxfId="38" priority="2" operator="equal">
      <formula>3.45996E+110</formula>
    </cfRule>
  </conditionalFormatting>
  <pageMargins left="0.7" right="0.7" top="0.75" bottom="0.75" header="0.3" footer="0.3"/>
  <pageSetup orientation="portrait" horizontalDpi="4294967295" verticalDpi="4294967295"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6CED0-EFED-40D9-9FB1-1AAD045E37C9}">
  <dimension ref="A1:T299"/>
  <sheetViews>
    <sheetView zoomScaleNormal="100" workbookViewId="0">
      <pane xSplit="1" ySplit="2" topLeftCell="G48" activePane="bottomRight" state="frozen"/>
      <selection pane="topRight" activeCell="B1" sqref="B1"/>
      <selection pane="bottomLeft" activeCell="A3" sqref="A3"/>
      <selection pane="bottomRight" activeCell="J1" sqref="J1:J1048576"/>
    </sheetView>
  </sheetViews>
  <sheetFormatPr defaultColWidth="8.85546875" defaultRowHeight="15"/>
  <cols>
    <col min="1" max="1" width="18.42578125" style="48" bestFit="1" customWidth="1"/>
    <col min="2" max="2" width="26.42578125" style="52" bestFit="1" customWidth="1"/>
    <col min="3" max="3" width="25.5703125" style="52" bestFit="1" customWidth="1"/>
    <col min="4" max="4" width="20.85546875" style="60" customWidth="1"/>
    <col min="5" max="5" width="26.42578125" style="34" customWidth="1"/>
    <col min="6" max="6" width="71.5703125" style="52" customWidth="1"/>
    <col min="7" max="7" width="93.28515625" style="53" customWidth="1"/>
    <col min="8" max="9" width="13.42578125" style="53" customWidth="1"/>
    <col min="10" max="10" width="18.42578125" style="60" customWidth="1"/>
    <col min="11" max="11" width="15.140625" style="60" customWidth="1"/>
    <col min="12" max="12" width="11" style="63" customWidth="1"/>
    <col min="13" max="13" width="18.28515625" style="63" customWidth="1"/>
    <col min="14" max="14" width="16.28515625" style="63" customWidth="1"/>
    <col min="15" max="15" width="17.28515625" style="63" customWidth="1"/>
    <col min="16" max="16" width="16.7109375" style="60" customWidth="1"/>
    <col min="17" max="17" width="18.42578125" style="60" customWidth="1"/>
    <col min="18" max="18" width="20.5703125" style="60" customWidth="1"/>
    <col min="19" max="19" width="56.140625" style="209" customWidth="1"/>
    <col min="20" max="20" width="20.7109375" style="60" bestFit="1" customWidth="1"/>
    <col min="21" max="16384" width="8.85546875" style="52"/>
  </cols>
  <sheetData>
    <row r="1" spans="1:20" s="67" customFormat="1" ht="61.5" customHeight="1">
      <c r="A1" s="50">
        <v>2</v>
      </c>
      <c r="B1" s="93"/>
      <c r="C1" s="93"/>
      <c r="D1" s="93"/>
      <c r="E1" s="93"/>
      <c r="F1" s="93"/>
      <c r="G1" s="93"/>
      <c r="H1" s="93"/>
      <c r="I1" s="93"/>
      <c r="J1" s="65"/>
      <c r="K1" s="65" t="s">
        <v>520</v>
      </c>
      <c r="L1" s="129"/>
      <c r="M1" s="129"/>
      <c r="N1" s="129"/>
      <c r="O1" s="129"/>
      <c r="P1" s="97"/>
      <c r="Q1" s="65"/>
      <c r="R1" s="65"/>
      <c r="S1" s="66"/>
      <c r="T1" s="65"/>
    </row>
    <row r="2" spans="1:20" s="68" customFormat="1" ht="34.5" customHeight="1">
      <c r="A2" s="100" t="s">
        <v>138</v>
      </c>
      <c r="B2" s="75" t="s">
        <v>139</v>
      </c>
      <c r="C2" s="75" t="s">
        <v>140</v>
      </c>
      <c r="D2" s="75" t="s">
        <v>141</v>
      </c>
      <c r="E2" s="75" t="s">
        <v>143</v>
      </c>
      <c r="F2" s="75" t="s">
        <v>144</v>
      </c>
      <c r="G2" s="75" t="s">
        <v>145</v>
      </c>
      <c r="H2" s="75" t="s">
        <v>146</v>
      </c>
      <c r="I2" s="87" t="s">
        <v>147</v>
      </c>
      <c r="J2" s="87" t="s">
        <v>149</v>
      </c>
      <c r="K2" s="75" t="s">
        <v>150</v>
      </c>
      <c r="L2" s="88" t="s">
        <v>151</v>
      </c>
      <c r="M2" s="75" t="s">
        <v>152</v>
      </c>
      <c r="N2" s="145" t="s">
        <v>153</v>
      </c>
      <c r="O2" s="145" t="s">
        <v>154</v>
      </c>
      <c r="P2" s="145" t="s">
        <v>155</v>
      </c>
      <c r="Q2" s="145" t="s">
        <v>156</v>
      </c>
      <c r="R2" s="75" t="s">
        <v>157</v>
      </c>
      <c r="S2" s="75" t="s">
        <v>158</v>
      </c>
      <c r="T2" s="153" t="s">
        <v>159</v>
      </c>
    </row>
    <row r="3" spans="1:20" ht="15" hidden="1" customHeight="1">
      <c r="A3" s="48" t="s">
        <v>5011</v>
      </c>
      <c r="B3" s="280" t="str">
        <f>(IF((VLOOKUP(Table2[[#This Row],[SKU]],'All Skus'!$A:$AC,2,FALSE))="AMX",(VLOOKUP(Table2[[#This Row],[SKU]],'All Skus'!$A:$AC,3,FALSE)),""))</f>
        <v>Control Accessory</v>
      </c>
      <c r="C3" s="280" t="str">
        <f>(IF((VLOOKUP(Table2[[#This Row],[SKU]],'All Skus'!$A:$AC,2,FALSE))="AMX",(VLOOKUP(Table2[[#This Row],[SKU]],'All Skus'!$A:$AC,4,FALSE)),""))</f>
        <v>AVB-VSTYLE-DIN-MNT</v>
      </c>
      <c r="D3" s="47" t="str">
        <f>(IF((VLOOKUP(Table2[[#This Row],[SKU]],'All Skus'!$A:$AC,2,FALSE))="AMX",(VLOOKUP(Table2[[#This Row],[SKU]],'All Skus'!$A:$AC,5,FALSE)),""))</f>
        <v>AMX-DC</v>
      </c>
      <c r="E3" s="281" t="str">
        <f>(IF((VLOOKUP(Table2[[#This Row],[SKU]],'All Skus'!$A:$AC,2,FALSE))="AMX",(VLOOKUP(Table2[[#This Row],[SKU]],'All Skus'!$A:$AC,7,FALSE)),""))</f>
        <v>NEW</v>
      </c>
      <c r="F3" s="280" t="str">
        <f>(IF((VLOOKUP(Table2[[#This Row],[SKU]],'All Skus'!$A:$AC,2,FALSE))="AMX",(VLOOKUP(Table2[[#This Row],[SKU]],'All Skus'!$A:$AC,8,FALSE)),""))</f>
        <v>DIN Rail Clip</v>
      </c>
      <c r="G3" s="280" t="str">
        <f>(IF((VLOOKUP(Table2[[#This Row],[SKU]],'All Skus'!$A:$AC,2,FALSE))="AMX",(VLOOKUP(Table2[[#This Row],[SKU]],'All Skus'!$A:$AC,9,FALSE)),""))</f>
        <v>DIN Rail Clip</v>
      </c>
      <c r="H3" s="282">
        <f>(IF((VLOOKUP(Table2[[#This Row],[SKU]],'All Skus'!$A:$AC,2,FALSE))="AMX",(VLOOKUP(Table2[[#This Row],[SKU]],'All Skus'!$A:$AC,10,FALSE)),""))</f>
        <v>40</v>
      </c>
      <c r="I3" s="282">
        <f>(IF((VLOOKUP(Table2[[#This Row],[SKU]],'All Skus'!$A:$AC,2,FALSE))="AMX",(VLOOKUP(Table2[[#This Row],[SKU]],'All Skus'!$A:$AC,11,FALSE)),""))</f>
        <v>40</v>
      </c>
      <c r="J3" s="47">
        <f>(IF((VLOOKUP(Table2[[#This Row],[SKU]],'All Skus'!$A:$AC,2,FALSE))="AMX",(VLOOKUP(Table2[[#This Row],[SKU]],'All Skus'!$A:$AC,15,FALSE)),""))</f>
        <v>0</v>
      </c>
      <c r="K3" s="47">
        <f>(IF((VLOOKUP(Table2[[#This Row],[SKU]],'All Skus'!$A:$AC,2,FALSE))="AMX",(VLOOKUP(Table2[[#This Row],[SKU]],'All Skus'!$A:$AC,16,FALSE)),""))</f>
        <v>718878035160</v>
      </c>
      <c r="L3" s="47">
        <f>(IF((VLOOKUP(Table2[[#This Row],[SKU]],'All Skus'!$A:$AC,2,FALSE))="AMX",(VLOOKUP(Table2[[#This Row],[SKU]],'All Skus'!$A:$AC,17,FALSE)),""))</f>
        <v>0</v>
      </c>
      <c r="M3" s="63">
        <f>(IF((VLOOKUP(Table2[[#This Row],[SKU]],'All Skus'!$A:$AC,2,FALSE))="AMX",(VLOOKUP(Table2[[#This Row],[SKU]],'All Skus'!$A:$AC,18,FALSE)),""))</f>
        <v>0.1</v>
      </c>
      <c r="N3" s="47">
        <f>(IF((VLOOKUP(Table2[[#This Row],[SKU]],'All Skus'!$A:$AC,2,FALSE))="AMX",(VLOOKUP(Table2[[#This Row],[SKU]],'All Skus'!$A:$AC,19,FALSE)),""))</f>
        <v>5</v>
      </c>
      <c r="O3" s="47">
        <f>(IF((VLOOKUP(Table2[[#This Row],[SKU]],'All Skus'!$A:$AC,2,FALSE))="AMX",(VLOOKUP(Table2[[#This Row],[SKU]],'All Skus'!$A:$AC,20,FALSE)),""))</f>
        <v>4.25</v>
      </c>
      <c r="P3" s="47">
        <f>(IF((VLOOKUP(Table2[[#This Row],[SKU]],'All Skus'!$A:$AC,2,FALSE))="AMX",(VLOOKUP(Table2[[#This Row],[SKU]],'All Skus'!$A:$AC,21,FALSE)),""))</f>
        <v>0.5</v>
      </c>
      <c r="Q3" s="47" t="str">
        <f>(IF((VLOOKUP(Table2[[#This Row],[SKU]],'All Skus'!$A:$AC,2,FALSE))="AMX",(VLOOKUP(Table2[[#This Row],[SKU]],'All Skus'!$A:$AC,22,FALSE)),""))</f>
        <v>CH</v>
      </c>
      <c r="R3" s="47" t="str">
        <f>(IF((VLOOKUP(Table2[[#This Row],[SKU]],'All Skus'!$A:$AC,2,FALSE))="AMX",(VLOOKUP(Table2[[#This Row],[SKU]],'All Skus'!$A:$AC,23,FALSE)),""))</f>
        <v>NonCompliant</v>
      </c>
      <c r="S3" s="279" t="str">
        <f>HYPERLINK((IF((VLOOKUP(Table2[[#This Row],[SKU]],'All Skus'!$A:$AC,2,FALSE))="AMX",(VLOOKUP(Table2[[#This Row],[SKU]],'All Skus'!$A:$AC,24,FALSE)),"")))</f>
        <v>https://www.amx.com/en-US/products/avb-vstyle-din-mnt</v>
      </c>
      <c r="T3" s="47">
        <v>1</v>
      </c>
    </row>
    <row r="4" spans="1:20" ht="15" hidden="1" customHeight="1">
      <c r="A4" s="48" t="s">
        <v>5014</v>
      </c>
      <c r="B4" s="280" t="str">
        <f>(IF((VLOOKUP(Table2[[#This Row],[SKU]],'All Skus'!$A:$AC,2,FALSE))="AMX",(VLOOKUP(Table2[[#This Row],[SKU]],'All Skus'!$A:$AC,3,FALSE)),""))</f>
        <v>Control Accessory</v>
      </c>
      <c r="C4" s="280" t="str">
        <f>(IF((VLOOKUP(Table2[[#This Row],[SKU]],'All Skus'!$A:$AC,2,FALSE))="AMX",(VLOOKUP(Table2[[#This Row],[SKU]],'All Skus'!$A:$AC,4,FALSE)),""))</f>
        <v>IRIS2</v>
      </c>
      <c r="D4" s="47" t="str">
        <f>(IF((VLOOKUP(Table2[[#This Row],[SKU]],'All Skus'!$A:$AC,2,FALSE))="AMX",(VLOOKUP(Table2[[#This Row],[SKU]],'All Skus'!$A:$AC,5,FALSE)),""))</f>
        <v>AMX-DC</v>
      </c>
      <c r="E4" s="281" t="str">
        <f>(IF((VLOOKUP(Table2[[#This Row],[SKU]],'All Skus'!$A:$AC,2,FALSE))="AMX",(VLOOKUP(Table2[[#This Row],[SKU]],'All Skus'!$A:$AC,7,FALSE)),""))</f>
        <v>NEW</v>
      </c>
      <c r="F4" s="280" t="str">
        <f>(IF((VLOOKUP(Table2[[#This Row],[SKU]],'All Skus'!$A:$AC,2,FALSE))="AMX",(VLOOKUP(Table2[[#This Row],[SKU]],'All Skus'!$A:$AC,8,FALSE)),""))</f>
        <v>USB IR Capture Device</v>
      </c>
      <c r="G4" s="280" t="str">
        <f>(IF((VLOOKUP(Table2[[#This Row],[SKU]],'All Skus'!$A:$AC,2,FALSE))="AMX",(VLOOKUP(Table2[[#This Row],[SKU]],'All Skus'!$A:$AC,9,FALSE)),""))</f>
        <v>USB IR Capture Device</v>
      </c>
      <c r="H4" s="282">
        <f>(IF((VLOOKUP(Table2[[#This Row],[SKU]],'All Skus'!$A:$AC,2,FALSE))="AMX",(VLOOKUP(Table2[[#This Row],[SKU]],'All Skus'!$A:$AC,10,FALSE)),""))</f>
        <v>308</v>
      </c>
      <c r="I4" s="282">
        <f>(IF((VLOOKUP(Table2[[#This Row],[SKU]],'All Skus'!$A:$AC,2,FALSE))="AMX",(VLOOKUP(Table2[[#This Row],[SKU]],'All Skus'!$A:$AC,11,FALSE)),""))</f>
        <v>308</v>
      </c>
      <c r="J4" s="47">
        <f>(IF((VLOOKUP(Table2[[#This Row],[SKU]],'All Skus'!$A:$AC,2,FALSE))="AMX",(VLOOKUP(Table2[[#This Row],[SKU]],'All Skus'!$A:$AC,15,FALSE)),""))</f>
        <v>0</v>
      </c>
      <c r="K4" s="47">
        <f>(IF((VLOOKUP(Table2[[#This Row],[SKU]],'All Skus'!$A:$AC,2,FALSE))="AMX",(VLOOKUP(Table2[[#This Row],[SKU]],'All Skus'!$A:$AC,16,FALSE)),""))</f>
        <v>718878035153</v>
      </c>
      <c r="L4" s="47">
        <f>(IF((VLOOKUP(Table2[[#This Row],[SKU]],'All Skus'!$A:$AC,2,FALSE))="AMX",(VLOOKUP(Table2[[#This Row],[SKU]],'All Skus'!$A:$AC,17,FALSE)),""))</f>
        <v>0</v>
      </c>
      <c r="M4" s="63">
        <f>(IF((VLOOKUP(Table2[[#This Row],[SKU]],'All Skus'!$A:$AC,2,FALSE))="AMX",(VLOOKUP(Table2[[#This Row],[SKU]],'All Skus'!$A:$AC,18,FALSE)),""))</f>
        <v>0.1</v>
      </c>
      <c r="N4" s="47">
        <f>(IF((VLOOKUP(Table2[[#This Row],[SKU]],'All Skus'!$A:$AC,2,FALSE))="AMX",(VLOOKUP(Table2[[#This Row],[SKU]],'All Skus'!$A:$AC,19,FALSE)),""))</f>
        <v>5</v>
      </c>
      <c r="O4" s="47">
        <f>(IF((VLOOKUP(Table2[[#This Row],[SKU]],'All Skus'!$A:$AC,2,FALSE))="AMX",(VLOOKUP(Table2[[#This Row],[SKU]],'All Skus'!$A:$AC,20,FALSE)),""))</f>
        <v>4.25</v>
      </c>
      <c r="P4" s="47">
        <f>(IF((VLOOKUP(Table2[[#This Row],[SKU]],'All Skus'!$A:$AC,2,FALSE))="AMX",(VLOOKUP(Table2[[#This Row],[SKU]],'All Skus'!$A:$AC,21,FALSE)),""))</f>
        <v>0.75</v>
      </c>
      <c r="Q4" s="47" t="str">
        <f>(IF((VLOOKUP(Table2[[#This Row],[SKU]],'All Skus'!$A:$AC,2,FALSE))="AMX",(VLOOKUP(Table2[[#This Row],[SKU]],'All Skus'!$A:$AC,22,FALSE)),""))</f>
        <v>US</v>
      </c>
      <c r="R4" s="47" t="str">
        <f>(IF((VLOOKUP(Table2[[#This Row],[SKU]],'All Skus'!$A:$AC,2,FALSE))="AMX",(VLOOKUP(Table2[[#This Row],[SKU]],'All Skus'!$A:$AC,23,FALSE)),""))</f>
        <v>Compliant</v>
      </c>
      <c r="S4" s="279" t="str">
        <f>HYPERLINK((IF((VLOOKUP(Table2[[#This Row],[SKU]],'All Skus'!$A:$AC,2,FALSE))="AMX",(VLOOKUP(Table2[[#This Row],[SKU]],'All Skus'!$A:$AC,24,FALSE)),"")))</f>
        <v>https://www.amx.com/en-US/products/iris2</v>
      </c>
      <c r="T4" s="47">
        <v>2</v>
      </c>
    </row>
    <row r="5" spans="1:20" ht="15" hidden="1" customHeight="1">
      <c r="A5" s="48" t="s">
        <v>8356</v>
      </c>
      <c r="B5" s="280" t="str">
        <f>(IF((VLOOKUP(Table2[[#This Row],[SKU]],'All Skus'!$A:$AC,2,FALSE))="AMX",(VLOOKUP(Table2[[#This Row],[SKU]],'All Skus'!$A:$AC,3,FALSE)),""))</f>
        <v>Central Controllers</v>
      </c>
      <c r="C5" s="280" t="str">
        <f>(IF((VLOOKUP(Table2[[#This Row],[SKU]],'All Skus'!$A:$AC,2,FALSE))="AMX",(VLOOKUP(Table2[[#This Row],[SKU]],'All Skus'!$A:$AC,4,FALSE)),""))</f>
        <v>MU-1000</v>
      </c>
      <c r="D5" s="47" t="str">
        <f>(IF((VLOOKUP(Table2[[#This Row],[SKU]],'All Skus'!$A:$AC,2,FALSE))="AMX",(VLOOKUP(Table2[[#This Row],[SKU]],'All Skus'!$A:$AC,5,FALSE)),""))</f>
        <v>AMX-DC</v>
      </c>
      <c r="E5" s="281" t="str">
        <f>(IF((VLOOKUP(Table2[[#This Row],[SKU]],'All Skus'!$A:$AC,2,FALSE))="AMX",(VLOOKUP(Table2[[#This Row],[SKU]],'All Skus'!$A:$AC,7,FALSE)),""))</f>
        <v>NEW</v>
      </c>
      <c r="F5" s="280" t="str">
        <f>(IF((VLOOKUP(Table2[[#This Row],[SKU]],'All Skus'!$A:$AC,2,FALSE))="AMX",(VLOOKUP(Table2[[#This Row],[SKU]],'All Skus'!$A:$AC,8,FALSE)),""))</f>
        <v>AMX MUSE Controller with PoE and ICSLan port</v>
      </c>
      <c r="G5" s="280" t="str">
        <f>(IF((VLOOKUP(Table2[[#This Row],[SKU]],'All Skus'!$A:$AC,2,FALSE))="AMX",(VLOOKUP(Table2[[#This Row],[SKU]],'All Skus'!$A:$AC,9,FALSE)),""))</f>
        <v>AMX MUSE Controller with PoE and ICSLan port</v>
      </c>
      <c r="H5" s="282">
        <f>(IF((VLOOKUP(Table2[[#This Row],[SKU]],'All Skus'!$A:$AC,2,FALSE))="AMX",(VLOOKUP(Table2[[#This Row],[SKU]],'All Skus'!$A:$AC,10,FALSE)),""))</f>
        <v>1130</v>
      </c>
      <c r="I5" s="282">
        <f>(IF((VLOOKUP(Table2[[#This Row],[SKU]],'All Skus'!$A:$AC,2,FALSE))="AMX",(VLOOKUP(Table2[[#This Row],[SKU]],'All Skus'!$A:$AC,11,FALSE)),""))</f>
        <v>1130</v>
      </c>
      <c r="J5" s="47">
        <f>(IF((VLOOKUP(Table2[[#This Row],[SKU]],'All Skus'!$A:$AC,2,FALSE))="AMX",(VLOOKUP(Table2[[#This Row],[SKU]],'All Skus'!$A:$AC,15,FALSE)),""))</f>
        <v>0</v>
      </c>
      <c r="K5" s="47">
        <f>(IF((VLOOKUP(Table2[[#This Row],[SKU]],'All Skus'!$A:$AC,2,FALSE))="AMX",(VLOOKUP(Table2[[#This Row],[SKU]],'All Skus'!$A:$AC,16,FALSE)),""))</f>
        <v>718878034828</v>
      </c>
      <c r="L5" s="47">
        <f>(IF((VLOOKUP(Table2[[#This Row],[SKU]],'All Skus'!$A:$AC,2,FALSE))="AMX",(VLOOKUP(Table2[[#This Row],[SKU]],'All Skus'!$A:$AC,17,FALSE)),""))</f>
        <v>0</v>
      </c>
      <c r="M5" s="63">
        <f>(IF((VLOOKUP(Table2[[#This Row],[SKU]],'All Skus'!$A:$AC,2,FALSE))="AMX",(VLOOKUP(Table2[[#This Row],[SKU]],'All Skus'!$A:$AC,18,FALSE)),""))</f>
        <v>1.26</v>
      </c>
      <c r="N5" s="47">
        <f>(IF((VLOOKUP(Table2[[#This Row],[SKU]],'All Skus'!$A:$AC,2,FALSE))="AMX",(VLOOKUP(Table2[[#This Row],[SKU]],'All Skus'!$A:$AC,19,FALSE)),""))</f>
        <v>5.04</v>
      </c>
      <c r="O5" s="47">
        <f>(IF((VLOOKUP(Table2[[#This Row],[SKU]],'All Skus'!$A:$AC,2,FALSE))="AMX",(VLOOKUP(Table2[[#This Row],[SKU]],'All Skus'!$A:$AC,20,FALSE)),""))</f>
        <v>5.14</v>
      </c>
      <c r="P5" s="47">
        <f>(IF((VLOOKUP(Table2[[#This Row],[SKU]],'All Skus'!$A:$AC,2,FALSE))="AMX",(VLOOKUP(Table2[[#This Row],[SKU]],'All Skus'!$A:$AC,21,FALSE)),""))</f>
        <v>1.18</v>
      </c>
      <c r="Q5" s="47" t="str">
        <f>(IF((VLOOKUP(Table2[[#This Row],[SKU]],'All Skus'!$A:$AC,2,FALSE))="AMX",(VLOOKUP(Table2[[#This Row],[SKU]],'All Skus'!$A:$AC,22,FALSE)),""))</f>
        <v>MX</v>
      </c>
      <c r="R5" s="47" t="str">
        <f>(IF((VLOOKUP(Table2[[#This Row],[SKU]],'All Skus'!$A:$AC,2,FALSE))="AMX",(VLOOKUP(Table2[[#This Row],[SKU]],'All Skus'!$A:$AC,23,FALSE)),""))</f>
        <v>Compliant</v>
      </c>
      <c r="S5" s="279" t="str">
        <f>HYPERLINK((IF((VLOOKUP(Table2[[#This Row],[SKU]],'All Skus'!$A:$AC,2,FALSE))="AMX",(VLOOKUP(Table2[[#This Row],[SKU]],'All Skus'!$A:$AC,24,FALSE)),"")))</f>
        <v>https://www.amx.com/en-US/products/mu-1000</v>
      </c>
      <c r="T5" s="47">
        <v>3</v>
      </c>
    </row>
    <row r="6" spans="1:20" ht="15" hidden="1" customHeight="1">
      <c r="A6" s="48" t="s">
        <v>8357</v>
      </c>
      <c r="B6" s="280" t="str">
        <f>(IF((VLOOKUP(Table2[[#This Row],[SKU]],'All Skus'!$A:$AC,2,FALSE))="AMX",(VLOOKUP(Table2[[#This Row],[SKU]],'All Skus'!$A:$AC,3,FALSE)),""))</f>
        <v>Central Controllers</v>
      </c>
      <c r="C6" s="280" t="str">
        <f>(IF((VLOOKUP(Table2[[#This Row],[SKU]],'All Skus'!$A:$AC,2,FALSE))="AMX",(VLOOKUP(Table2[[#This Row],[SKU]],'All Skus'!$A:$AC,4,FALSE)),""))</f>
        <v>MU-1300</v>
      </c>
      <c r="D6" s="47" t="str">
        <f>(IF((VLOOKUP(Table2[[#This Row],[SKU]],'All Skus'!$A:$AC,2,FALSE))="AMX",(VLOOKUP(Table2[[#This Row],[SKU]],'All Skus'!$A:$AC,5,FALSE)),""))</f>
        <v>AMX-DC</v>
      </c>
      <c r="E6" s="281" t="str">
        <f>(IF((VLOOKUP(Table2[[#This Row],[SKU]],'All Skus'!$A:$AC,2,FALSE))="AMX",(VLOOKUP(Table2[[#This Row],[SKU]],'All Skus'!$A:$AC,7,FALSE)),""))</f>
        <v>NEW</v>
      </c>
      <c r="F6" s="280" t="str">
        <f>(IF((VLOOKUP(Table2[[#This Row],[SKU]],'All Skus'!$A:$AC,2,FALSE))="AMX",(VLOOKUP(Table2[[#This Row],[SKU]],'All Skus'!$A:$AC,8,FALSE)),""))</f>
        <v>AMX MUSE Controller with 2 Serial, 2 IR, 4 IO</v>
      </c>
      <c r="G6" s="280" t="str">
        <f>(IF((VLOOKUP(Table2[[#This Row],[SKU]],'All Skus'!$A:$AC,2,FALSE))="AMX",(VLOOKUP(Table2[[#This Row],[SKU]],'All Skus'!$A:$AC,9,FALSE)),""))</f>
        <v>AMX MUSE Controller with 2 Serial, 2 IR, 4 IO</v>
      </c>
      <c r="H6" s="282">
        <f>(IF((VLOOKUP(Table2[[#This Row],[SKU]],'All Skus'!$A:$AC,2,FALSE))="AMX",(VLOOKUP(Table2[[#This Row],[SKU]],'All Skus'!$A:$AC,10,FALSE)),""))</f>
        <v>1190</v>
      </c>
      <c r="I6" s="282">
        <f>(IF((VLOOKUP(Table2[[#This Row],[SKU]],'All Skus'!$A:$AC,2,FALSE))="AMX",(VLOOKUP(Table2[[#This Row],[SKU]],'All Skus'!$A:$AC,11,FALSE)),""))</f>
        <v>1190</v>
      </c>
      <c r="J6" s="47">
        <f>(IF((VLOOKUP(Table2[[#This Row],[SKU]],'All Skus'!$A:$AC,2,FALSE))="AMX",(VLOOKUP(Table2[[#This Row],[SKU]],'All Skus'!$A:$AC,15,FALSE)),""))</f>
        <v>0</v>
      </c>
      <c r="K6" s="47">
        <f>(IF((VLOOKUP(Table2[[#This Row],[SKU]],'All Skus'!$A:$AC,2,FALSE))="AMX",(VLOOKUP(Table2[[#This Row],[SKU]],'All Skus'!$A:$AC,16,FALSE)),""))</f>
        <v>718878034842</v>
      </c>
      <c r="L6" s="47">
        <f>(IF((VLOOKUP(Table2[[#This Row],[SKU]],'All Skus'!$A:$AC,2,FALSE))="AMX",(VLOOKUP(Table2[[#This Row],[SKU]],'All Skus'!$A:$AC,17,FALSE)),""))</f>
        <v>0</v>
      </c>
      <c r="M6" s="63">
        <f>(IF((VLOOKUP(Table2[[#This Row],[SKU]],'All Skus'!$A:$AC,2,FALSE))="AMX",(VLOOKUP(Table2[[#This Row],[SKU]],'All Skus'!$A:$AC,18,FALSE)),""))</f>
        <v>1.58</v>
      </c>
      <c r="N6" s="47">
        <f>(IF((VLOOKUP(Table2[[#This Row],[SKU]],'All Skus'!$A:$AC,2,FALSE))="AMX",(VLOOKUP(Table2[[#This Row],[SKU]],'All Skus'!$A:$AC,19,FALSE)),""))</f>
        <v>5.16</v>
      </c>
      <c r="O6" s="47">
        <f>(IF((VLOOKUP(Table2[[#This Row],[SKU]],'All Skus'!$A:$AC,2,FALSE))="AMX",(VLOOKUP(Table2[[#This Row],[SKU]],'All Skus'!$A:$AC,20,FALSE)),""))</f>
        <v>5.8</v>
      </c>
      <c r="P6" s="47">
        <f>(IF((VLOOKUP(Table2[[#This Row],[SKU]],'All Skus'!$A:$AC,2,FALSE))="AMX",(VLOOKUP(Table2[[#This Row],[SKU]],'All Skus'!$A:$AC,21,FALSE)),""))</f>
        <v>1.66</v>
      </c>
      <c r="Q6" s="47" t="str">
        <f>(IF((VLOOKUP(Table2[[#This Row],[SKU]],'All Skus'!$A:$AC,2,FALSE))="AMX",(VLOOKUP(Table2[[#This Row],[SKU]],'All Skus'!$A:$AC,22,FALSE)),""))</f>
        <v>MX</v>
      </c>
      <c r="R6" s="47" t="str">
        <f>(IF((VLOOKUP(Table2[[#This Row],[SKU]],'All Skus'!$A:$AC,2,FALSE))="AMX",(VLOOKUP(Table2[[#This Row],[SKU]],'All Skus'!$A:$AC,23,FALSE)),""))</f>
        <v>Compliant</v>
      </c>
      <c r="S6" s="279" t="str">
        <f>HYPERLINK((IF((VLOOKUP(Table2[[#This Row],[SKU]],'All Skus'!$A:$AC,2,FALSE))="AMX",(VLOOKUP(Table2[[#This Row],[SKU]],'All Skus'!$A:$AC,24,FALSE)),"")))</f>
        <v>https://www.amx.com/en-US/products/mu-1300</v>
      </c>
      <c r="T6" s="47">
        <v>4</v>
      </c>
    </row>
    <row r="7" spans="1:20" ht="15" hidden="1" customHeight="1">
      <c r="A7" s="48" t="s">
        <v>8358</v>
      </c>
      <c r="B7" s="280" t="str">
        <f>(IF((VLOOKUP(Table2[[#This Row],[SKU]],'All Skus'!$A:$AC,2,FALSE))="AMX",(VLOOKUP(Table2[[#This Row],[SKU]],'All Skus'!$A:$AC,3,FALSE)),""))</f>
        <v>Central Controllers</v>
      </c>
      <c r="C7" s="280" t="str">
        <f>(IF((VLOOKUP(Table2[[#This Row],[SKU]],'All Skus'!$A:$AC,2,FALSE))="AMX",(VLOOKUP(Table2[[#This Row],[SKU]],'All Skus'!$A:$AC,4,FALSE)),""))</f>
        <v>MU-2300</v>
      </c>
      <c r="D7" s="47" t="str">
        <f>(IF((VLOOKUP(Table2[[#This Row],[SKU]],'All Skus'!$A:$AC,2,FALSE))="AMX",(VLOOKUP(Table2[[#This Row],[SKU]],'All Skus'!$A:$AC,5,FALSE)),""))</f>
        <v>AMX-DC</v>
      </c>
      <c r="E7" s="281" t="str">
        <f>(IF((VLOOKUP(Table2[[#This Row],[SKU]],'All Skus'!$A:$AC,2,FALSE))="AMX",(VLOOKUP(Table2[[#This Row],[SKU]],'All Skus'!$A:$AC,7,FALSE)),""))</f>
        <v>NEW</v>
      </c>
      <c r="F7" s="280" t="str">
        <f>(IF((VLOOKUP(Table2[[#This Row],[SKU]],'All Skus'!$A:$AC,2,FALSE))="AMX",(VLOOKUP(Table2[[#This Row],[SKU]],'All Skus'!$A:$AC,8,FALSE)),""))</f>
        <v>AMX MUSE Controller with 4 Serial, 4 IR, 4 IO, 4 Relay and ICSLan port</v>
      </c>
      <c r="G7" s="280" t="str">
        <f>(IF((VLOOKUP(Table2[[#This Row],[SKU]],'All Skus'!$A:$AC,2,FALSE))="AMX",(VLOOKUP(Table2[[#This Row],[SKU]],'All Skus'!$A:$AC,9,FALSE)),""))</f>
        <v>AMX MUSE Controller with 4 Serial, 4 IR, 4 IO, 4 Relay and ICSLan port</v>
      </c>
      <c r="H7" s="282">
        <f>(IF((VLOOKUP(Table2[[#This Row],[SKU]],'All Skus'!$A:$AC,2,FALSE))="AMX",(VLOOKUP(Table2[[#This Row],[SKU]],'All Skus'!$A:$AC,10,FALSE)),""))</f>
        <v>2270</v>
      </c>
      <c r="I7" s="282">
        <f>(IF((VLOOKUP(Table2[[#This Row],[SKU]],'All Skus'!$A:$AC,2,FALSE))="AMX",(VLOOKUP(Table2[[#This Row],[SKU]],'All Skus'!$A:$AC,11,FALSE)),""))</f>
        <v>2270</v>
      </c>
      <c r="J7" s="47">
        <f>(IF((VLOOKUP(Table2[[#This Row],[SKU]],'All Skus'!$A:$AC,2,FALSE))="AMX",(VLOOKUP(Table2[[#This Row],[SKU]],'All Skus'!$A:$AC,15,FALSE)),""))</f>
        <v>0</v>
      </c>
      <c r="K7" s="47">
        <f>(IF((VLOOKUP(Table2[[#This Row],[SKU]],'All Skus'!$A:$AC,2,FALSE))="AMX",(VLOOKUP(Table2[[#This Row],[SKU]],'All Skus'!$A:$AC,16,FALSE)),""))</f>
        <v>718878034880</v>
      </c>
      <c r="L7" s="47">
        <f>(IF((VLOOKUP(Table2[[#This Row],[SKU]],'All Skus'!$A:$AC,2,FALSE))="AMX",(VLOOKUP(Table2[[#This Row],[SKU]],'All Skus'!$A:$AC,17,FALSE)),""))</f>
        <v>0</v>
      </c>
      <c r="M7" s="63">
        <f>(IF((VLOOKUP(Table2[[#This Row],[SKU]],'All Skus'!$A:$AC,2,FALSE))="AMX",(VLOOKUP(Table2[[#This Row],[SKU]],'All Skus'!$A:$AC,18,FALSE)),""))</f>
        <v>6.05</v>
      </c>
      <c r="N7" s="47">
        <f>(IF((VLOOKUP(Table2[[#This Row],[SKU]],'All Skus'!$A:$AC,2,FALSE))="AMX",(VLOOKUP(Table2[[#This Row],[SKU]],'All Skus'!$A:$AC,19,FALSE)),""))</f>
        <v>9.14</v>
      </c>
      <c r="O7" s="47">
        <f>(IF((VLOOKUP(Table2[[#This Row],[SKU]],'All Skus'!$A:$AC,2,FALSE))="AMX",(VLOOKUP(Table2[[#This Row],[SKU]],'All Skus'!$A:$AC,20,FALSE)),""))</f>
        <v>17.32</v>
      </c>
      <c r="P7" s="47">
        <f>(IF((VLOOKUP(Table2[[#This Row],[SKU]],'All Skus'!$A:$AC,2,FALSE))="AMX",(VLOOKUP(Table2[[#This Row],[SKU]],'All Skus'!$A:$AC,21,FALSE)),""))</f>
        <v>1.7</v>
      </c>
      <c r="Q7" s="47" t="str">
        <f>(IF((VLOOKUP(Table2[[#This Row],[SKU]],'All Skus'!$A:$AC,2,FALSE))="AMX",(VLOOKUP(Table2[[#This Row],[SKU]],'All Skus'!$A:$AC,22,FALSE)),""))</f>
        <v>MX</v>
      </c>
      <c r="R7" s="47" t="str">
        <f>(IF((VLOOKUP(Table2[[#This Row],[SKU]],'All Skus'!$A:$AC,2,FALSE))="AMX",(VLOOKUP(Table2[[#This Row],[SKU]],'All Skus'!$A:$AC,23,FALSE)),""))</f>
        <v>Compliant</v>
      </c>
      <c r="S7" s="279" t="str">
        <f>HYPERLINK((IF((VLOOKUP(Table2[[#This Row],[SKU]],'All Skus'!$A:$AC,2,FALSE))="AMX",(VLOOKUP(Table2[[#This Row],[SKU]],'All Skus'!$A:$AC,24,FALSE)),"")))</f>
        <v>https://www.amx.com/en-US/products/mu-2300</v>
      </c>
      <c r="T7" s="47">
        <v>5</v>
      </c>
    </row>
    <row r="8" spans="1:20" ht="15" hidden="1" customHeight="1">
      <c r="A8" s="48" t="s">
        <v>8359</v>
      </c>
      <c r="B8" s="280" t="str">
        <f>(IF((VLOOKUP(Table2[[#This Row],[SKU]],'All Skus'!$A:$AC,2,FALSE))="AMX",(VLOOKUP(Table2[[#This Row],[SKU]],'All Skus'!$A:$AC,3,FALSE)),""))</f>
        <v>Central Controllers</v>
      </c>
      <c r="C8" s="280" t="str">
        <f>(IF((VLOOKUP(Table2[[#This Row],[SKU]],'All Skus'!$A:$AC,2,FALSE))="AMX",(VLOOKUP(Table2[[#This Row],[SKU]],'All Skus'!$A:$AC,4,FALSE)),""))</f>
        <v>MU-3300</v>
      </c>
      <c r="D8" s="47" t="str">
        <f>(IF((VLOOKUP(Table2[[#This Row],[SKU]],'All Skus'!$A:$AC,2,FALSE))="AMX",(VLOOKUP(Table2[[#This Row],[SKU]],'All Skus'!$A:$AC,5,FALSE)),""))</f>
        <v>AMX-DC</v>
      </c>
      <c r="E8" s="281" t="str">
        <f>(IF((VLOOKUP(Table2[[#This Row],[SKU]],'All Skus'!$A:$AC,2,FALSE))="AMX",(VLOOKUP(Table2[[#This Row],[SKU]],'All Skus'!$A:$AC,7,FALSE)),""))</f>
        <v>NEW</v>
      </c>
      <c r="F8" s="280" t="str">
        <f>(IF((VLOOKUP(Table2[[#This Row],[SKU]],'All Skus'!$A:$AC,2,FALSE))="AMX",(VLOOKUP(Table2[[#This Row],[SKU]],'All Skus'!$A:$AC,8,FALSE)),""))</f>
        <v>AMX MUSE Controller with 8 Serial, 8 IR, 8 IO, 8 Relay and ICSLan port</v>
      </c>
      <c r="G8" s="280" t="str">
        <f>(IF((VLOOKUP(Table2[[#This Row],[SKU]],'All Skus'!$A:$AC,2,FALSE))="AMX",(VLOOKUP(Table2[[#This Row],[SKU]],'All Skus'!$A:$AC,9,FALSE)),""))</f>
        <v>AMX MUSE Controller with 8 Serial, 8 IR, 8 IO, 8 Relay and ICSLan port</v>
      </c>
      <c r="H8" s="282">
        <f>(IF((VLOOKUP(Table2[[#This Row],[SKU]],'All Skus'!$A:$AC,2,FALSE))="AMX",(VLOOKUP(Table2[[#This Row],[SKU]],'All Skus'!$A:$AC,10,FALSE)),""))</f>
        <v>2990</v>
      </c>
      <c r="I8" s="282">
        <f>(IF((VLOOKUP(Table2[[#This Row],[SKU]],'All Skus'!$A:$AC,2,FALSE))="AMX",(VLOOKUP(Table2[[#This Row],[SKU]],'All Skus'!$A:$AC,11,FALSE)),""))</f>
        <v>2990</v>
      </c>
      <c r="J8" s="47">
        <f>(IF((VLOOKUP(Table2[[#This Row],[SKU]],'All Skus'!$A:$AC,2,FALSE))="AMX",(VLOOKUP(Table2[[#This Row],[SKU]],'All Skus'!$A:$AC,15,FALSE)),""))</f>
        <v>0</v>
      </c>
      <c r="K8" s="47">
        <f>(IF((VLOOKUP(Table2[[#This Row],[SKU]],'All Skus'!$A:$AC,2,FALSE))="AMX",(VLOOKUP(Table2[[#This Row],[SKU]],'All Skus'!$A:$AC,16,FALSE)),""))</f>
        <v>718878034897</v>
      </c>
      <c r="L8" s="47">
        <f>(IF((VLOOKUP(Table2[[#This Row],[SKU]],'All Skus'!$A:$AC,2,FALSE))="AMX",(VLOOKUP(Table2[[#This Row],[SKU]],'All Skus'!$A:$AC,17,FALSE)),""))</f>
        <v>0</v>
      </c>
      <c r="M8" s="63">
        <f>(IF((VLOOKUP(Table2[[#This Row],[SKU]],'All Skus'!$A:$AC,2,FALSE))="AMX",(VLOOKUP(Table2[[#This Row],[SKU]],'All Skus'!$A:$AC,18,FALSE)),""))</f>
        <v>6.26</v>
      </c>
      <c r="N8" s="47">
        <f>(IF((VLOOKUP(Table2[[#This Row],[SKU]],'All Skus'!$A:$AC,2,FALSE))="AMX",(VLOOKUP(Table2[[#This Row],[SKU]],'All Skus'!$A:$AC,19,FALSE)),""))</f>
        <v>9.14</v>
      </c>
      <c r="O8" s="47">
        <f>(IF((VLOOKUP(Table2[[#This Row],[SKU]],'All Skus'!$A:$AC,2,FALSE))="AMX",(VLOOKUP(Table2[[#This Row],[SKU]],'All Skus'!$A:$AC,20,FALSE)),""))</f>
        <v>17.32</v>
      </c>
      <c r="P8" s="47">
        <f>(IF((VLOOKUP(Table2[[#This Row],[SKU]],'All Skus'!$A:$AC,2,FALSE))="AMX",(VLOOKUP(Table2[[#This Row],[SKU]],'All Skus'!$A:$AC,21,FALSE)),""))</f>
        <v>1.7</v>
      </c>
      <c r="Q8" s="47" t="str">
        <f>(IF((VLOOKUP(Table2[[#This Row],[SKU]],'All Skus'!$A:$AC,2,FALSE))="AMX",(VLOOKUP(Table2[[#This Row],[SKU]],'All Skus'!$A:$AC,22,FALSE)),""))</f>
        <v>MX</v>
      </c>
      <c r="R8" s="47" t="str">
        <f>(IF((VLOOKUP(Table2[[#This Row],[SKU]],'All Skus'!$A:$AC,2,FALSE))="AMX",(VLOOKUP(Table2[[#This Row],[SKU]],'All Skus'!$A:$AC,23,FALSE)),""))</f>
        <v>Compliant</v>
      </c>
      <c r="S8" s="279" t="str">
        <f>HYPERLINK((IF((VLOOKUP(Table2[[#This Row],[SKU]],'All Skus'!$A:$AC,2,FALSE))="AMX",(VLOOKUP(Table2[[#This Row],[SKU]],'All Skus'!$A:$AC,24,FALSE)),"")))</f>
        <v>https://www.amx.com/en-US/products/mu-3300</v>
      </c>
      <c r="T8" s="47">
        <v>6</v>
      </c>
    </row>
    <row r="9" spans="1:20" ht="15" hidden="1" customHeight="1">
      <c r="A9" s="48" t="s">
        <v>5002</v>
      </c>
      <c r="B9" s="280" t="str">
        <f>(IF((VLOOKUP(Table2[[#This Row],[SKU]],'All Skus'!$A:$AC,2,FALSE))="AMX",(VLOOKUP(Table2[[#This Row],[SKU]],'All Skus'!$A:$AC,3,FALSE)),""))</f>
        <v>Control Extender</v>
      </c>
      <c r="C9" s="280" t="str">
        <f>(IF((VLOOKUP(Table2[[#This Row],[SKU]],'All Skus'!$A:$AC,2,FALSE))="AMX",(VLOOKUP(Table2[[#This Row],[SKU]],'All Skus'!$A:$AC,4,FALSE)),""))</f>
        <v>CE-IRS4</v>
      </c>
      <c r="D9" s="47" t="str">
        <f>(IF((VLOOKUP(Table2[[#This Row],[SKU]],'All Skus'!$A:$AC,2,FALSE))="AMX",(VLOOKUP(Table2[[#This Row],[SKU]],'All Skus'!$A:$AC,5,FALSE)),""))</f>
        <v>AMX-DC</v>
      </c>
      <c r="E9" s="281" t="str">
        <f>(IF((VLOOKUP(Table2[[#This Row],[SKU]],'All Skus'!$A:$AC,2,FALSE))="AMX",(VLOOKUP(Table2[[#This Row],[SKU]],'All Skus'!$A:$AC,7,FALSE)),""))</f>
        <v>NEW</v>
      </c>
      <c r="F9" s="280" t="str">
        <f>(IF((VLOOKUP(Table2[[#This Row],[SKU]],'All Skus'!$A:$AC,2,FALSE))="AMX",(VLOOKUP(Table2[[#This Row],[SKU]],'All Skus'!$A:$AC,8,FALSE)),""))</f>
        <v>Control Extender - 4 IR</v>
      </c>
      <c r="G9" s="280" t="str">
        <f>(IF((VLOOKUP(Table2[[#This Row],[SKU]],'All Skus'!$A:$AC,2,FALSE))="AMX",(VLOOKUP(Table2[[#This Row],[SKU]],'All Skus'!$A:$AC,9,FALSE)),""))</f>
        <v>Control Extender - 4 IR/Serial Ports</v>
      </c>
      <c r="H9" s="282">
        <f>(IF((VLOOKUP(Table2[[#This Row],[SKU]],'All Skus'!$A:$AC,2,FALSE))="AMX",(VLOOKUP(Table2[[#This Row],[SKU]],'All Skus'!$A:$AC,10,FALSE)),""))</f>
        <v>410</v>
      </c>
      <c r="I9" s="282">
        <f>(IF((VLOOKUP(Table2[[#This Row],[SKU]],'All Skus'!$A:$AC,2,FALSE))="AMX",(VLOOKUP(Table2[[#This Row],[SKU]],'All Skus'!$A:$AC,11,FALSE)),""))</f>
        <v>410</v>
      </c>
      <c r="J9" s="47">
        <f>(IF((VLOOKUP(Table2[[#This Row],[SKU]],'All Skus'!$A:$AC,2,FALSE))="AMX",(VLOOKUP(Table2[[#This Row],[SKU]],'All Skus'!$A:$AC,15,FALSE)),""))</f>
        <v>12</v>
      </c>
      <c r="K9" s="47">
        <f>(IF((VLOOKUP(Table2[[#This Row],[SKU]],'All Skus'!$A:$AC,2,FALSE))="AMX",(VLOOKUP(Table2[[#This Row],[SKU]],'All Skus'!$A:$AC,16,FALSE)),""))</f>
        <v>718878034835</v>
      </c>
      <c r="L9" s="47">
        <f>(IF((VLOOKUP(Table2[[#This Row],[SKU]],'All Skus'!$A:$AC,2,FALSE))="AMX",(VLOOKUP(Table2[[#This Row],[SKU]],'All Skus'!$A:$AC,17,FALSE)),""))</f>
        <v>0</v>
      </c>
      <c r="M9" s="63">
        <f>(IF((VLOOKUP(Table2[[#This Row],[SKU]],'All Skus'!$A:$AC,2,FALSE))="AMX",(VLOOKUP(Table2[[#This Row],[SKU]],'All Skus'!$A:$AC,18,FALSE)),""))</f>
        <v>1.2</v>
      </c>
      <c r="N9" s="47">
        <f>(IF((VLOOKUP(Table2[[#This Row],[SKU]],'All Skus'!$A:$AC,2,FALSE))="AMX",(VLOOKUP(Table2[[#This Row],[SKU]],'All Skus'!$A:$AC,19,FALSE)),""))</f>
        <v>8.25</v>
      </c>
      <c r="O9" s="47">
        <f>(IF((VLOOKUP(Table2[[#This Row],[SKU]],'All Skus'!$A:$AC,2,FALSE))="AMX",(VLOOKUP(Table2[[#This Row],[SKU]],'All Skus'!$A:$AC,20,FALSE)),""))</f>
        <v>7.5</v>
      </c>
      <c r="P9" s="47">
        <f>(IF((VLOOKUP(Table2[[#This Row],[SKU]],'All Skus'!$A:$AC,2,FALSE))="AMX",(VLOOKUP(Table2[[#This Row],[SKU]],'All Skus'!$A:$AC,21,FALSE)),""))</f>
        <v>3.25</v>
      </c>
      <c r="Q9" s="47" t="str">
        <f>(IF((VLOOKUP(Table2[[#This Row],[SKU]],'All Skus'!$A:$AC,2,FALSE))="AMX",(VLOOKUP(Table2[[#This Row],[SKU]],'All Skus'!$A:$AC,22,FALSE)),""))</f>
        <v>MX</v>
      </c>
      <c r="R9" s="47" t="str">
        <f>(IF((VLOOKUP(Table2[[#This Row],[SKU]],'All Skus'!$A:$AC,2,FALSE))="AMX",(VLOOKUP(Table2[[#This Row],[SKU]],'All Skus'!$A:$AC,23,FALSE)),""))</f>
        <v>Compliant</v>
      </c>
      <c r="S9" s="279" t="str">
        <f>HYPERLINK((IF((VLOOKUP(Table2[[#This Row],[SKU]],'All Skus'!$A:$AC,2,FALSE))="AMX",(VLOOKUP(Table2[[#This Row],[SKU]],'All Skus'!$A:$AC,24,FALSE)),"")))</f>
        <v>https://www.amx.com/en-US/products/ce-irs4</v>
      </c>
      <c r="T9" s="47">
        <v>7</v>
      </c>
    </row>
    <row r="10" spans="1:20" ht="15" hidden="1" customHeight="1">
      <c r="A10" s="48" t="s">
        <v>5005</v>
      </c>
      <c r="B10" s="280" t="str">
        <f>(IF((VLOOKUP(Table2[[#This Row],[SKU]],'All Skus'!$A:$AC,2,FALSE))="AMX",(VLOOKUP(Table2[[#This Row],[SKU]],'All Skus'!$A:$AC,3,FALSE)),""))</f>
        <v>Control Extender</v>
      </c>
      <c r="C10" s="280" t="str">
        <f>(IF((VLOOKUP(Table2[[#This Row],[SKU]],'All Skus'!$A:$AC,2,FALSE))="AMX",(VLOOKUP(Table2[[#This Row],[SKU]],'All Skus'!$A:$AC,4,FALSE)),""))</f>
        <v>CE-REL8</v>
      </c>
      <c r="D10" s="47" t="str">
        <f>(IF((VLOOKUP(Table2[[#This Row],[SKU]],'All Skus'!$A:$AC,2,FALSE))="AMX",(VLOOKUP(Table2[[#This Row],[SKU]],'All Skus'!$A:$AC,5,FALSE)),""))</f>
        <v>AMX-DC</v>
      </c>
      <c r="E10" s="281" t="str">
        <f>(IF((VLOOKUP(Table2[[#This Row],[SKU]],'All Skus'!$A:$AC,2,FALSE))="AMX",(VLOOKUP(Table2[[#This Row],[SKU]],'All Skus'!$A:$AC,7,FALSE)),""))</f>
        <v>NEW</v>
      </c>
      <c r="F10" s="280" t="str">
        <f>(IF((VLOOKUP(Table2[[#This Row],[SKU]],'All Skus'!$A:$AC,2,FALSE))="AMX",(VLOOKUP(Table2[[#This Row],[SKU]],'All Skus'!$A:$AC,8,FALSE)),""))</f>
        <v>Control Extender - 8 Relay</v>
      </c>
      <c r="G10" s="280" t="str">
        <f>(IF((VLOOKUP(Table2[[#This Row],[SKU]],'All Skus'!$A:$AC,2,FALSE))="AMX",(VLOOKUP(Table2[[#This Row],[SKU]],'All Skus'!$A:$AC,9,FALSE)),""))</f>
        <v>Control Extender - 8 Relay Ports</v>
      </c>
      <c r="H10" s="282">
        <f>(IF((VLOOKUP(Table2[[#This Row],[SKU]],'All Skus'!$A:$AC,2,FALSE))="AMX",(VLOOKUP(Table2[[#This Row],[SKU]],'All Skus'!$A:$AC,10,FALSE)),""))</f>
        <v>520</v>
      </c>
      <c r="I10" s="282">
        <f>(IF((VLOOKUP(Table2[[#This Row],[SKU]],'All Skus'!$A:$AC,2,FALSE))="AMX",(VLOOKUP(Table2[[#This Row],[SKU]],'All Skus'!$A:$AC,11,FALSE)),""))</f>
        <v>520</v>
      </c>
      <c r="J10" s="47">
        <f>(IF((VLOOKUP(Table2[[#This Row],[SKU]],'All Skus'!$A:$AC,2,FALSE))="AMX",(VLOOKUP(Table2[[#This Row],[SKU]],'All Skus'!$A:$AC,15,FALSE)),""))</f>
        <v>12</v>
      </c>
      <c r="K10" s="47">
        <f>(IF((VLOOKUP(Table2[[#This Row],[SKU]],'All Skus'!$A:$AC,2,FALSE))="AMX",(VLOOKUP(Table2[[#This Row],[SKU]],'All Skus'!$A:$AC,16,FALSE)),""))</f>
        <v>718878034859</v>
      </c>
      <c r="L10" s="47">
        <f>(IF((VLOOKUP(Table2[[#This Row],[SKU]],'All Skus'!$A:$AC,2,FALSE))="AMX",(VLOOKUP(Table2[[#This Row],[SKU]],'All Skus'!$A:$AC,17,FALSE)),""))</f>
        <v>0</v>
      </c>
      <c r="M10" s="63">
        <f>(IF((VLOOKUP(Table2[[#This Row],[SKU]],'All Skus'!$A:$AC,2,FALSE))="AMX",(VLOOKUP(Table2[[#This Row],[SKU]],'All Skus'!$A:$AC,18,FALSE)),""))</f>
        <v>1.2</v>
      </c>
      <c r="N10" s="47">
        <f>(IF((VLOOKUP(Table2[[#This Row],[SKU]],'All Skus'!$A:$AC,2,FALSE))="AMX",(VLOOKUP(Table2[[#This Row],[SKU]],'All Skus'!$A:$AC,19,FALSE)),""))</f>
        <v>8.25</v>
      </c>
      <c r="O10" s="47">
        <f>(IF((VLOOKUP(Table2[[#This Row],[SKU]],'All Skus'!$A:$AC,2,FALSE))="AMX",(VLOOKUP(Table2[[#This Row],[SKU]],'All Skus'!$A:$AC,20,FALSE)),""))</f>
        <v>7.5</v>
      </c>
      <c r="P10" s="47">
        <f>(IF((VLOOKUP(Table2[[#This Row],[SKU]],'All Skus'!$A:$AC,2,FALSE))="AMX",(VLOOKUP(Table2[[#This Row],[SKU]],'All Skus'!$A:$AC,21,FALSE)),""))</f>
        <v>3.25</v>
      </c>
      <c r="Q10" s="47" t="str">
        <f>(IF((VLOOKUP(Table2[[#This Row],[SKU]],'All Skus'!$A:$AC,2,FALSE))="AMX",(VLOOKUP(Table2[[#This Row],[SKU]],'All Skus'!$A:$AC,22,FALSE)),""))</f>
        <v>MX</v>
      </c>
      <c r="R10" s="47" t="str">
        <f>(IF((VLOOKUP(Table2[[#This Row],[SKU]],'All Skus'!$A:$AC,2,FALSE))="AMX",(VLOOKUP(Table2[[#This Row],[SKU]],'All Skus'!$A:$AC,23,FALSE)),""))</f>
        <v>Compliant</v>
      </c>
      <c r="S10" s="279" t="str">
        <f>HYPERLINK((IF((VLOOKUP(Table2[[#This Row],[SKU]],'All Skus'!$A:$AC,2,FALSE))="AMX",(VLOOKUP(Table2[[#This Row],[SKU]],'All Skus'!$A:$AC,24,FALSE)),"")))</f>
        <v>https://www.amx.com/en-US/products/ce-rel8</v>
      </c>
      <c r="T10" s="47">
        <v>8</v>
      </c>
    </row>
    <row r="11" spans="1:20" ht="15" hidden="1" customHeight="1">
      <c r="A11" s="48" t="s">
        <v>5007</v>
      </c>
      <c r="B11" s="280" t="str">
        <f>(IF((VLOOKUP(Table2[[#This Row],[SKU]],'All Skus'!$A:$AC,2,FALSE))="AMX",(VLOOKUP(Table2[[#This Row],[SKU]],'All Skus'!$A:$AC,3,FALSE)),""))</f>
        <v>Control Extender</v>
      </c>
      <c r="C11" s="280" t="str">
        <f>(IF((VLOOKUP(Table2[[#This Row],[SKU]],'All Skus'!$A:$AC,2,FALSE))="AMX",(VLOOKUP(Table2[[#This Row],[SKU]],'All Skus'!$A:$AC,4,FALSE)),""))</f>
        <v>CE-COM2</v>
      </c>
      <c r="D11" s="47" t="str">
        <f>(IF((VLOOKUP(Table2[[#This Row],[SKU]],'All Skus'!$A:$AC,2,FALSE))="AMX",(VLOOKUP(Table2[[#This Row],[SKU]],'All Skus'!$A:$AC,5,FALSE)),""))</f>
        <v>AMX-DC</v>
      </c>
      <c r="E11" s="281" t="str">
        <f>(IF((VLOOKUP(Table2[[#This Row],[SKU]],'All Skus'!$A:$AC,2,FALSE))="AMX",(VLOOKUP(Table2[[#This Row],[SKU]],'All Skus'!$A:$AC,7,FALSE)),""))</f>
        <v>NEW</v>
      </c>
      <c r="F11" s="280" t="str">
        <f>(IF((VLOOKUP(Table2[[#This Row],[SKU]],'All Skus'!$A:$AC,2,FALSE))="AMX",(VLOOKUP(Table2[[#This Row],[SKU]],'All Skus'!$A:$AC,8,FALSE)),""))</f>
        <v>Control Extender - 2 RS232 Ports</v>
      </c>
      <c r="G11" s="280" t="str">
        <f>(IF((VLOOKUP(Table2[[#This Row],[SKU]],'All Skus'!$A:$AC,2,FALSE))="AMX",(VLOOKUP(Table2[[#This Row],[SKU]],'All Skus'!$A:$AC,9,FALSE)),""))</f>
        <v>Control Extender - 2 RS232 Serial Ports</v>
      </c>
      <c r="H11" s="282">
        <f>(IF((VLOOKUP(Table2[[#This Row],[SKU]],'All Skus'!$A:$AC,2,FALSE))="AMX",(VLOOKUP(Table2[[#This Row],[SKU]],'All Skus'!$A:$AC,10,FALSE)),""))</f>
        <v>410</v>
      </c>
      <c r="I11" s="282">
        <f>(IF((VLOOKUP(Table2[[#This Row],[SKU]],'All Skus'!$A:$AC,2,FALSE))="AMX",(VLOOKUP(Table2[[#This Row],[SKU]],'All Skus'!$A:$AC,11,FALSE)),""))</f>
        <v>410</v>
      </c>
      <c r="J11" s="47">
        <f>(IF((VLOOKUP(Table2[[#This Row],[SKU]],'All Skus'!$A:$AC,2,FALSE))="AMX",(VLOOKUP(Table2[[#This Row],[SKU]],'All Skus'!$A:$AC,15,FALSE)),""))</f>
        <v>12</v>
      </c>
      <c r="K11" s="47">
        <f>(IF((VLOOKUP(Table2[[#This Row],[SKU]],'All Skus'!$A:$AC,2,FALSE))="AMX",(VLOOKUP(Table2[[#This Row],[SKU]],'All Skus'!$A:$AC,16,FALSE)),""))</f>
        <v>718878034866</v>
      </c>
      <c r="L11" s="47">
        <f>(IF((VLOOKUP(Table2[[#This Row],[SKU]],'All Skus'!$A:$AC,2,FALSE))="AMX",(VLOOKUP(Table2[[#This Row],[SKU]],'All Skus'!$A:$AC,17,FALSE)),""))</f>
        <v>0</v>
      </c>
      <c r="M11" s="63">
        <f>(IF((VLOOKUP(Table2[[#This Row],[SKU]],'All Skus'!$A:$AC,2,FALSE))="AMX",(VLOOKUP(Table2[[#This Row],[SKU]],'All Skus'!$A:$AC,18,FALSE)),""))</f>
        <v>1.2</v>
      </c>
      <c r="N11" s="47">
        <f>(IF((VLOOKUP(Table2[[#This Row],[SKU]],'All Skus'!$A:$AC,2,FALSE))="AMX",(VLOOKUP(Table2[[#This Row],[SKU]],'All Skus'!$A:$AC,19,FALSE)),""))</f>
        <v>8.25</v>
      </c>
      <c r="O11" s="47">
        <f>(IF((VLOOKUP(Table2[[#This Row],[SKU]],'All Skus'!$A:$AC,2,FALSE))="AMX",(VLOOKUP(Table2[[#This Row],[SKU]],'All Skus'!$A:$AC,20,FALSE)),""))</f>
        <v>7.5</v>
      </c>
      <c r="P11" s="47">
        <f>(IF((VLOOKUP(Table2[[#This Row],[SKU]],'All Skus'!$A:$AC,2,FALSE))="AMX",(VLOOKUP(Table2[[#This Row],[SKU]],'All Skus'!$A:$AC,21,FALSE)),""))</f>
        <v>3.25</v>
      </c>
      <c r="Q11" s="47" t="str">
        <f>(IF((VLOOKUP(Table2[[#This Row],[SKU]],'All Skus'!$A:$AC,2,FALSE))="AMX",(VLOOKUP(Table2[[#This Row],[SKU]],'All Skus'!$A:$AC,22,FALSE)),""))</f>
        <v>MX</v>
      </c>
      <c r="R11" s="47" t="str">
        <f>(IF((VLOOKUP(Table2[[#This Row],[SKU]],'All Skus'!$A:$AC,2,FALSE))="AMX",(VLOOKUP(Table2[[#This Row],[SKU]],'All Skus'!$A:$AC,23,FALSE)),""))</f>
        <v>Compliant</v>
      </c>
      <c r="S11" s="279" t="str">
        <f>HYPERLINK((IF((VLOOKUP(Table2[[#This Row],[SKU]],'All Skus'!$A:$AC,2,FALSE))="AMX",(VLOOKUP(Table2[[#This Row],[SKU]],'All Skus'!$A:$AC,24,FALSE)),"")))</f>
        <v>https://www.amx.com/en-US/products/ce-com2</v>
      </c>
      <c r="T11" s="47">
        <v>9</v>
      </c>
    </row>
    <row r="12" spans="1:20" ht="15" hidden="1" customHeight="1">
      <c r="A12" s="48" t="s">
        <v>5009</v>
      </c>
      <c r="B12" s="280" t="str">
        <f>(IF((VLOOKUP(Table2[[#This Row],[SKU]],'All Skus'!$A:$AC,2,FALSE))="AMX",(VLOOKUP(Table2[[#This Row],[SKU]],'All Skus'!$A:$AC,3,FALSE)),""))</f>
        <v>Control Extender</v>
      </c>
      <c r="C12" s="280" t="str">
        <f>(IF((VLOOKUP(Table2[[#This Row],[SKU]],'All Skus'!$A:$AC,2,FALSE))="AMX",(VLOOKUP(Table2[[#This Row],[SKU]],'All Skus'!$A:$AC,4,FALSE)),""))</f>
        <v>CE-IO4</v>
      </c>
      <c r="D12" s="47" t="str">
        <f>(IF((VLOOKUP(Table2[[#This Row],[SKU]],'All Skus'!$A:$AC,2,FALSE))="AMX",(VLOOKUP(Table2[[#This Row],[SKU]],'All Skus'!$A:$AC,5,FALSE)),""))</f>
        <v>AMX-DC</v>
      </c>
      <c r="E12" s="281" t="str">
        <f>(IF((VLOOKUP(Table2[[#This Row],[SKU]],'All Skus'!$A:$AC,2,FALSE))="AMX",(VLOOKUP(Table2[[#This Row],[SKU]],'All Skus'!$A:$AC,7,FALSE)),""))</f>
        <v>NEW</v>
      </c>
      <c r="F12" s="280" t="str">
        <f>(IF((VLOOKUP(Table2[[#This Row],[SKU]],'All Skus'!$A:$AC,2,FALSE))="AMX",(VLOOKUP(Table2[[#This Row],[SKU]],'All Skus'!$A:$AC,8,FALSE)),""))</f>
        <v>Control Extender - 4 IO Ports</v>
      </c>
      <c r="G12" s="280" t="str">
        <f>(IF((VLOOKUP(Table2[[#This Row],[SKU]],'All Skus'!$A:$AC,2,FALSE))="AMX",(VLOOKUP(Table2[[#This Row],[SKU]],'All Skus'!$A:$AC,9,FALSE)),""))</f>
        <v>Control Extender, 4 Analog Input / Digital Input / Digital Output Ports</v>
      </c>
      <c r="H12" s="282">
        <f>(IF((VLOOKUP(Table2[[#This Row],[SKU]],'All Skus'!$A:$AC,2,FALSE))="AMX",(VLOOKUP(Table2[[#This Row],[SKU]],'All Skus'!$A:$AC,10,FALSE)),""))</f>
        <v>410</v>
      </c>
      <c r="I12" s="282">
        <f>(IF((VLOOKUP(Table2[[#This Row],[SKU]],'All Skus'!$A:$AC,2,FALSE))="AMX",(VLOOKUP(Table2[[#This Row],[SKU]],'All Skus'!$A:$AC,11,FALSE)),""))</f>
        <v>410</v>
      </c>
      <c r="J12" s="47">
        <f>(IF((VLOOKUP(Table2[[#This Row],[SKU]],'All Skus'!$A:$AC,2,FALSE))="AMX",(VLOOKUP(Table2[[#This Row],[SKU]],'All Skus'!$A:$AC,15,FALSE)),""))</f>
        <v>12</v>
      </c>
      <c r="K12" s="47">
        <f>(IF((VLOOKUP(Table2[[#This Row],[SKU]],'All Skus'!$A:$AC,2,FALSE))="AMX",(VLOOKUP(Table2[[#This Row],[SKU]],'All Skus'!$A:$AC,16,FALSE)),""))</f>
        <v>718878034873</v>
      </c>
      <c r="L12" s="47">
        <f>(IF((VLOOKUP(Table2[[#This Row],[SKU]],'All Skus'!$A:$AC,2,FALSE))="AMX",(VLOOKUP(Table2[[#This Row],[SKU]],'All Skus'!$A:$AC,17,FALSE)),""))</f>
        <v>0</v>
      </c>
      <c r="M12" s="63">
        <f>(IF((VLOOKUP(Table2[[#This Row],[SKU]],'All Skus'!$A:$AC,2,FALSE))="AMX",(VLOOKUP(Table2[[#This Row],[SKU]],'All Skus'!$A:$AC,18,FALSE)),""))</f>
        <v>1.2</v>
      </c>
      <c r="N12" s="47">
        <f>(IF((VLOOKUP(Table2[[#This Row],[SKU]],'All Skus'!$A:$AC,2,FALSE))="AMX",(VLOOKUP(Table2[[#This Row],[SKU]],'All Skus'!$A:$AC,19,FALSE)),""))</f>
        <v>8.25</v>
      </c>
      <c r="O12" s="47">
        <f>(IF((VLOOKUP(Table2[[#This Row],[SKU]],'All Skus'!$A:$AC,2,FALSE))="AMX",(VLOOKUP(Table2[[#This Row],[SKU]],'All Skus'!$A:$AC,20,FALSE)),""))</f>
        <v>7.5</v>
      </c>
      <c r="P12" s="47">
        <f>(IF((VLOOKUP(Table2[[#This Row],[SKU]],'All Skus'!$A:$AC,2,FALSE))="AMX",(VLOOKUP(Table2[[#This Row],[SKU]],'All Skus'!$A:$AC,21,FALSE)),""))</f>
        <v>3.25</v>
      </c>
      <c r="Q12" s="47" t="str">
        <f>(IF((VLOOKUP(Table2[[#This Row],[SKU]],'All Skus'!$A:$AC,2,FALSE))="AMX",(VLOOKUP(Table2[[#This Row],[SKU]],'All Skus'!$A:$AC,22,FALSE)),""))</f>
        <v>MX</v>
      </c>
      <c r="R12" s="47" t="str">
        <f>(IF((VLOOKUP(Table2[[#This Row],[SKU]],'All Skus'!$A:$AC,2,FALSE))="AMX",(VLOOKUP(Table2[[#This Row],[SKU]],'All Skus'!$A:$AC,23,FALSE)),""))</f>
        <v>Compliant</v>
      </c>
      <c r="S12" s="279" t="str">
        <f>HYPERLINK((IF((VLOOKUP(Table2[[#This Row],[SKU]],'All Skus'!$A:$AC,2,FALSE))="AMX",(VLOOKUP(Table2[[#This Row],[SKU]],'All Skus'!$A:$AC,24,FALSE)),"")))</f>
        <v>https://www.amx.com/en-US/products/ce-io4</v>
      </c>
      <c r="T12" s="47">
        <v>10</v>
      </c>
    </row>
    <row r="13" spans="1:20" ht="15" hidden="1" customHeight="1">
      <c r="A13" s="48" t="s">
        <v>521</v>
      </c>
      <c r="B13" s="280" t="str">
        <f>(IF((VLOOKUP(Table2[[#This Row],[SKU]],'All Skus'!$A:$AC,2,FALSE))="AMX",(VLOOKUP(Table2[[#This Row],[SKU]],'All Skus'!$A:$AC,3,FALSE)),""))</f>
        <v>All-in-One Pres Switchers</v>
      </c>
      <c r="C13" s="280" t="str">
        <f>(IF((VLOOKUP(Table2[[#This Row],[SKU]],'All Skus'!$A:$AC,2,FALSE))="AMX",(VLOOKUP(Table2[[#This Row],[SKU]],'All Skus'!$A:$AC,4,FALSE)),""))</f>
        <v>DVX-2265-4K-TAA</v>
      </c>
      <c r="D13" s="47" t="str">
        <f>(IF((VLOOKUP(Table2[[#This Row],[SKU]],'All Skus'!$A:$AC,2,FALSE))="AMX",(VLOOKUP(Table2[[#This Row],[SKU]],'All Skus'!$A:$AC,5,FALSE)),""))</f>
        <v>AMX-ENV</v>
      </c>
      <c r="E13" s="281">
        <f>(IF((VLOOKUP(Table2[[#This Row],[SKU]],'All Skus'!$A:$AC,2,FALSE))="AMX",(VLOOKUP(Table2[[#This Row],[SKU]],'All Skus'!$A:$AC,7,FALSE)),""))</f>
        <v>0</v>
      </c>
      <c r="F13" s="280" t="str">
        <f>(IF((VLOOKUP(Table2[[#This Row],[SKU]],'All Skus'!$A:$AC,2,FALSE))="AMX",(VLOOKUP(Table2[[#This Row],[SKU]],'All Skus'!$A:$AC,8,FALSE)),""))</f>
        <v>6x2+1 4K60 4:4:4 All-In-One Presentation Switcher, TAA</v>
      </c>
      <c r="G13" s="280" t="str">
        <f>(IF((VLOOKUP(Table2[[#This Row],[SKU]],'All Skus'!$A:$AC,2,FALSE))="AMX",(VLOOKUP(Table2[[#This Row],[SKU]],'All Skus'!$A:$AC,9,FALSE)),""))</f>
        <v>6x2+1 4K60 4:4:4 Digital Video Presentation Switcher with HDR, HDCP 2.2, Video Scaling, Distance Transport, DSP, Advanced Feedback Suppression, 120W DriveCore Amplification, Integrated NX Controller</v>
      </c>
      <c r="H13" s="157">
        <f>(IF((VLOOKUP(Table2[[#This Row],[SKU]],'All Skus'!$A:$AC,2,FALSE))="AMX",(VLOOKUP(Table2[[#This Row],[SKU]],'All Skus'!$A:$AC,10,FALSE)),""))</f>
        <v>8003.1</v>
      </c>
      <c r="I13" s="157">
        <f>(IF((VLOOKUP(Table2[[#This Row],[SKU]],'All Skus'!$A:$AC,2,FALSE))="AMX",(VLOOKUP(Table2[[#This Row],[SKU]],'All Skus'!$A:$AC,11,FALSE)),""))</f>
        <v>8003.1</v>
      </c>
      <c r="J13" s="47">
        <f>(IF((VLOOKUP(Table2[[#This Row],[SKU]],'All Skus'!$A:$AC,2,FALSE))="AMX",(VLOOKUP(Table2[[#This Row],[SKU]],'All Skus'!$A:$AC,15,FALSE)),""))</f>
        <v>0</v>
      </c>
      <c r="K13" s="47">
        <f>(IF((VLOOKUP(Table2[[#This Row],[SKU]],'All Skus'!$A:$AC,2,FALSE))="AMX",(VLOOKUP(Table2[[#This Row],[SKU]],'All Skus'!$A:$AC,16,FALSE)),""))</f>
        <v>718878026434</v>
      </c>
      <c r="L13" s="47">
        <f>(IF((VLOOKUP(Table2[[#This Row],[SKU]],'All Skus'!$A:$AC,2,FALSE))="AMX",(VLOOKUP(Table2[[#This Row],[SKU]],'All Skus'!$A:$AC,17,FALSE)),""))</f>
        <v>0</v>
      </c>
      <c r="M13" s="63">
        <f>(IF((VLOOKUP(Table2[[#This Row],[SKU]],'All Skus'!$A:$AC,2,FALSE))="AMX",(VLOOKUP(Table2[[#This Row],[SKU]],'All Skus'!$A:$AC,18,FALSE)),""))</f>
        <v>23.37</v>
      </c>
      <c r="N13" s="47">
        <f>(IF((VLOOKUP(Table2[[#This Row],[SKU]],'All Skus'!$A:$AC,2,FALSE))="AMX",(VLOOKUP(Table2[[#This Row],[SKU]],'All Skus'!$A:$AC,19,FALSE)),""))</f>
        <v>19</v>
      </c>
      <c r="O13" s="47">
        <f>(IF((VLOOKUP(Table2[[#This Row],[SKU]],'All Skus'!$A:$AC,2,FALSE))="AMX",(VLOOKUP(Table2[[#This Row],[SKU]],'All Skus'!$A:$AC,20,FALSE)),""))</f>
        <v>15</v>
      </c>
      <c r="P13" s="47">
        <f>(IF((VLOOKUP(Table2[[#This Row],[SKU]],'All Skus'!$A:$AC,2,FALSE))="AMX",(VLOOKUP(Table2[[#This Row],[SKU]],'All Skus'!$A:$AC,21,FALSE)),""))</f>
        <v>3.5</v>
      </c>
      <c r="Q13" s="47" t="str">
        <f>(IF((VLOOKUP(Table2[[#This Row],[SKU]],'All Skus'!$A:$AC,2,FALSE))="AMX",(VLOOKUP(Table2[[#This Row],[SKU]],'All Skus'!$A:$AC,22,FALSE)),""))</f>
        <v>TW</v>
      </c>
      <c r="R13" s="47" t="str">
        <f>(IF((VLOOKUP(Table2[[#This Row],[SKU]],'All Skus'!$A:$AC,2,FALSE))="AMX",(VLOOKUP(Table2[[#This Row],[SKU]],'All Skus'!$A:$AC,23,FALSE)),""))</f>
        <v>Compliant</v>
      </c>
      <c r="S13" s="210" t="str">
        <f>HYPERLINK((IF((VLOOKUP(Table2[[#This Row],[SKU]],'All Skus'!$A:$AC,2,FALSE))="AMX",(VLOOKUP(Table2[[#This Row],[SKU]],'All Skus'!$A:$AC,24,FALSE)),"")))</f>
        <v>https://www.amx.com/en-US/products/dvx-2265-4k</v>
      </c>
      <c r="T13" s="151">
        <v>11</v>
      </c>
    </row>
    <row r="14" spans="1:20" ht="15" hidden="1" customHeight="1">
      <c r="A14" s="48" t="s">
        <v>522</v>
      </c>
      <c r="B14" s="280" t="str">
        <f>(IF((VLOOKUP(Table2[[#This Row],[SKU]],'All Skus'!$A:$AC,2,FALSE))="AMX",(VLOOKUP(Table2[[#This Row],[SKU]],'All Skus'!$A:$AC,3,FALSE)),""))</f>
        <v>All-in-One Pres Switchers</v>
      </c>
      <c r="C14" s="280" t="str">
        <f>(IF((VLOOKUP(Table2[[#This Row],[SKU]],'All Skus'!$A:$AC,2,FALSE))="AMX",(VLOOKUP(Table2[[#This Row],[SKU]],'All Skus'!$A:$AC,4,FALSE)),""))</f>
        <v>DVX-3266-4K-TAA</v>
      </c>
      <c r="D14" s="47" t="str">
        <f>(IF((VLOOKUP(Table2[[#This Row],[SKU]],'All Skus'!$A:$AC,2,FALSE))="AMX",(VLOOKUP(Table2[[#This Row],[SKU]],'All Skus'!$A:$AC,5,FALSE)),""))</f>
        <v>AMX-ENV</v>
      </c>
      <c r="E14" s="281">
        <f>(IF((VLOOKUP(Table2[[#This Row],[SKU]],'All Skus'!$A:$AC,2,FALSE))="AMX",(VLOOKUP(Table2[[#This Row],[SKU]],'All Skus'!$A:$AC,7,FALSE)),""))</f>
        <v>0</v>
      </c>
      <c r="F14" s="280" t="str">
        <f>(IF((VLOOKUP(Table2[[#This Row],[SKU]],'All Skus'!$A:$AC,2,FALSE))="AMX",(VLOOKUP(Table2[[#This Row],[SKU]],'All Skus'!$A:$AC,8,FALSE)),""))</f>
        <v>8x4+2 4K60 4:4:4 All-In-One Presentation Switcher, TAA</v>
      </c>
      <c r="G14" s="280" t="str">
        <f>(IF((VLOOKUP(Table2[[#This Row],[SKU]],'All Skus'!$A:$AC,2,FALSE))="AMX",(VLOOKUP(Table2[[#This Row],[SKU]],'All Skus'!$A:$AC,9,FALSE)),""))</f>
        <v>8x4+2 4K60 4:4:4 Digital Video Presentation Switcher with HDR, HDCP 2.2, Video Scaling, Distance Transport, DSP, Advanced Feedback Suppression, 120W DriveCore Amplification, Integrated NX Controller</v>
      </c>
      <c r="H14" s="157">
        <f>(IF((VLOOKUP(Table2[[#This Row],[SKU]],'All Skus'!$A:$AC,2,FALSE))="AMX",(VLOOKUP(Table2[[#This Row],[SKU]],'All Skus'!$A:$AC,10,FALSE)),""))</f>
        <v>10289.700000000001</v>
      </c>
      <c r="I14" s="157">
        <f>(IF((VLOOKUP(Table2[[#This Row],[SKU]],'All Skus'!$A:$AC,2,FALSE))="AMX",(VLOOKUP(Table2[[#This Row],[SKU]],'All Skus'!$A:$AC,11,FALSE)),""))</f>
        <v>10289.700000000001</v>
      </c>
      <c r="J14" s="47">
        <f>(IF((VLOOKUP(Table2[[#This Row],[SKU]],'All Skus'!$A:$AC,2,FALSE))="AMX",(VLOOKUP(Table2[[#This Row],[SKU]],'All Skus'!$A:$AC,15,FALSE)),""))</f>
        <v>0</v>
      </c>
      <c r="K14" s="47">
        <f>(IF((VLOOKUP(Table2[[#This Row],[SKU]],'All Skus'!$A:$AC,2,FALSE))="AMX",(VLOOKUP(Table2[[#This Row],[SKU]],'All Skus'!$A:$AC,16,FALSE)),""))</f>
        <v>718878026465</v>
      </c>
      <c r="L14" s="47">
        <f>(IF((VLOOKUP(Table2[[#This Row],[SKU]],'All Skus'!$A:$AC,2,FALSE))="AMX",(VLOOKUP(Table2[[#This Row],[SKU]],'All Skus'!$A:$AC,17,FALSE)),""))</f>
        <v>0</v>
      </c>
      <c r="M14" s="63">
        <f>(IF((VLOOKUP(Table2[[#This Row],[SKU]],'All Skus'!$A:$AC,2,FALSE))="AMX",(VLOOKUP(Table2[[#This Row],[SKU]],'All Skus'!$A:$AC,18,FALSE)),""))</f>
        <v>26.96</v>
      </c>
      <c r="N14" s="47">
        <f>(IF((VLOOKUP(Table2[[#This Row],[SKU]],'All Skus'!$A:$AC,2,FALSE))="AMX",(VLOOKUP(Table2[[#This Row],[SKU]],'All Skus'!$A:$AC,19,FALSE)),""))</f>
        <v>19</v>
      </c>
      <c r="O14" s="47">
        <f>(IF((VLOOKUP(Table2[[#This Row],[SKU]],'All Skus'!$A:$AC,2,FALSE))="AMX",(VLOOKUP(Table2[[#This Row],[SKU]],'All Skus'!$A:$AC,20,FALSE)),""))</f>
        <v>15</v>
      </c>
      <c r="P14" s="47">
        <f>(IF((VLOOKUP(Table2[[#This Row],[SKU]],'All Skus'!$A:$AC,2,FALSE))="AMX",(VLOOKUP(Table2[[#This Row],[SKU]],'All Skus'!$A:$AC,21,FALSE)),""))</f>
        <v>3.5</v>
      </c>
      <c r="Q14" s="47" t="str">
        <f>(IF((VLOOKUP(Table2[[#This Row],[SKU]],'All Skus'!$A:$AC,2,FALSE))="AMX",(VLOOKUP(Table2[[#This Row],[SKU]],'All Skus'!$A:$AC,22,FALSE)),""))</f>
        <v>TW</v>
      </c>
      <c r="R14" s="47" t="str">
        <f>(IF((VLOOKUP(Table2[[#This Row],[SKU]],'All Skus'!$A:$AC,2,FALSE))="AMX",(VLOOKUP(Table2[[#This Row],[SKU]],'All Skus'!$A:$AC,23,FALSE)),""))</f>
        <v>Compliant</v>
      </c>
      <c r="S14" s="210" t="str">
        <f>HYPERLINK((IF((VLOOKUP(Table2[[#This Row],[SKU]],'All Skus'!$A:$AC,2,FALSE))="AMX",(VLOOKUP(Table2[[#This Row],[SKU]],'All Skus'!$A:$AC,24,FALSE)),"")))</f>
        <v>https://www.amx.com/en-US/products/dvx-3266-4k</v>
      </c>
      <c r="T14" s="151">
        <v>12</v>
      </c>
    </row>
    <row r="15" spans="1:20" ht="15" hidden="1" customHeight="1">
      <c r="A15" s="48" t="s">
        <v>525</v>
      </c>
      <c r="B15" s="280" t="str">
        <f>(IF((VLOOKUP(Table2[[#This Row],[SKU]],'All Skus'!$A:$AC,2,FALSE))="AMX",(VLOOKUP(Table2[[#This Row],[SKU]],'All Skus'!$A:$AC,3,FALSE)),""))</f>
        <v>Networked AV</v>
      </c>
      <c r="C15" s="280" t="str">
        <f>(IF((VLOOKUP(Table2[[#This Row],[SKU]],'All Skus'!$A:$AC,2,FALSE))="AMX",(VLOOKUP(Table2[[#This Row],[SKU]],'All Skus'!$A:$AC,4,FALSE)),""))</f>
        <v>NMX-DEC-N2622S</v>
      </c>
      <c r="D15" s="47" t="str">
        <f>(IF((VLOOKUP(Table2[[#This Row],[SKU]],'All Skus'!$A:$AC,2,FALSE))="AMX",(VLOOKUP(Table2[[#This Row],[SKU]],'All Skus'!$A:$AC,5,FALSE)),""))</f>
        <v>AMX-NM</v>
      </c>
      <c r="E15" s="281" t="str">
        <f>(IF((VLOOKUP(Table2[[#This Row],[SKU]],'All Skus'!$A:$AC,2,FALSE))="AMX",(VLOOKUP(Table2[[#This Row],[SKU]],'All Skus'!$A:$AC,7,FALSE)),""))</f>
        <v>NEW</v>
      </c>
      <c r="F15" s="280" t="str">
        <f>(IF((VLOOKUP(Table2[[#This Row],[SKU]],'All Skus'!$A:$AC,2,FALSE))="AMX",(VLOOKUP(Table2[[#This Row],[SKU]],'All Skus'!$A:$AC,8,FALSE)),""))</f>
        <v>AMX N2600 Decoder, Dual Stream Codec</v>
      </c>
      <c r="G15" s="280" t="str">
        <f>(IF((VLOOKUP(Table2[[#This Row],[SKU]],'All Skus'!$A:$AC,2,FALSE))="AMX",(VLOOKUP(Table2[[#This Row],[SKU]],'All Skus'!$A:$AC,9,FALSE)),""))</f>
        <v>AMX N2600 Decoder, Dual Stream Codec, 4K60 4:4:4</v>
      </c>
      <c r="H15" s="157">
        <f>(IF((VLOOKUP(Table2[[#This Row],[SKU]],'All Skus'!$A:$AC,2,FALSE))="AMX",(VLOOKUP(Table2[[#This Row],[SKU]],'All Skus'!$A:$AC,10,FALSE)),""))</f>
        <v>1750</v>
      </c>
      <c r="I15" s="157">
        <f>(IF((VLOOKUP(Table2[[#This Row],[SKU]],'All Skus'!$A:$AC,2,FALSE))="AMX",(VLOOKUP(Table2[[#This Row],[SKU]],'All Skus'!$A:$AC,11,FALSE)),""))</f>
        <v>1750</v>
      </c>
      <c r="J15" s="47">
        <f>(IF((VLOOKUP(Table2[[#This Row],[SKU]],'All Skus'!$A:$AC,2,FALSE))="AMX",(VLOOKUP(Table2[[#This Row],[SKU]],'All Skus'!$A:$AC,15,FALSE)),""))</f>
        <v>0</v>
      </c>
      <c r="K15" s="47">
        <f>(IF((VLOOKUP(Table2[[#This Row],[SKU]],'All Skus'!$A:$AC,2,FALSE))="AMX",(VLOOKUP(Table2[[#This Row],[SKU]],'All Skus'!$A:$AC,16,FALSE)),""))</f>
        <v>718878035009</v>
      </c>
      <c r="L15" s="47">
        <f>(IF((VLOOKUP(Table2[[#This Row],[SKU]],'All Skus'!$A:$AC,2,FALSE))="AMX",(VLOOKUP(Table2[[#This Row],[SKU]],'All Skus'!$A:$AC,17,FALSE)),""))</f>
        <v>0</v>
      </c>
      <c r="M15" s="63">
        <f>(IF((VLOOKUP(Table2[[#This Row],[SKU]],'All Skus'!$A:$AC,2,FALSE))="AMX",(VLOOKUP(Table2[[#This Row],[SKU]],'All Skus'!$A:$AC,18,FALSE)),""))</f>
        <v>1.5</v>
      </c>
      <c r="N15" s="47">
        <f>(IF((VLOOKUP(Table2[[#This Row],[SKU]],'All Skus'!$A:$AC,2,FALSE))="AMX",(VLOOKUP(Table2[[#This Row],[SKU]],'All Skus'!$A:$AC,19,FALSE)),""))</f>
        <v>7.87</v>
      </c>
      <c r="O15" s="47">
        <f>(IF((VLOOKUP(Table2[[#This Row],[SKU]],'All Skus'!$A:$AC,2,FALSE))="AMX",(VLOOKUP(Table2[[#This Row],[SKU]],'All Skus'!$A:$AC,20,FALSE)),""))</f>
        <v>5</v>
      </c>
      <c r="P15" s="47">
        <f>(IF((VLOOKUP(Table2[[#This Row],[SKU]],'All Skus'!$A:$AC,2,FALSE))="AMX",(VLOOKUP(Table2[[#This Row],[SKU]],'All Skus'!$A:$AC,21,FALSE)),""))</f>
        <v>1.05</v>
      </c>
      <c r="Q15" s="47" t="str">
        <f>(IF((VLOOKUP(Table2[[#This Row],[SKU]],'All Skus'!$A:$AC,2,FALSE))="AMX",(VLOOKUP(Table2[[#This Row],[SKU]],'All Skus'!$A:$AC,22,FALSE)),""))</f>
        <v>TW</v>
      </c>
      <c r="R15" s="47" t="str">
        <f>(IF((VLOOKUP(Table2[[#This Row],[SKU]],'All Skus'!$A:$AC,2,FALSE))="AMX",(VLOOKUP(Table2[[#This Row],[SKU]],'All Skus'!$A:$AC,23,FALSE)),""))</f>
        <v>Compliant</v>
      </c>
      <c r="S15" s="210" t="str">
        <f>HYPERLINK((IF((VLOOKUP(Table2[[#This Row],[SKU]],'All Skus'!$A:$AC,2,FALSE))="AMX",(VLOOKUP(Table2[[#This Row],[SKU]],'All Skus'!$A:$AC,24,FALSE)),"")))</f>
        <v>https://www.amx.com/en-US/products/nmx-dec-n2622s-decoder</v>
      </c>
      <c r="T15" s="151">
        <v>13</v>
      </c>
    </row>
    <row r="16" spans="1:20" ht="15" hidden="1" customHeight="1">
      <c r="A16" s="48" t="s">
        <v>527</v>
      </c>
      <c r="B16" s="280" t="str">
        <f>(IF((VLOOKUP(Table2[[#This Row],[SKU]],'All Skus'!$A:$AC,2,FALSE))="AMX",(VLOOKUP(Table2[[#This Row],[SKU]],'All Skus'!$A:$AC,3,FALSE)),""))</f>
        <v>Networked AV</v>
      </c>
      <c r="C16" s="280" t="str">
        <f>(IF((VLOOKUP(Table2[[#This Row],[SKU]],'All Skus'!$A:$AC,2,FALSE))="AMX",(VLOOKUP(Table2[[#This Row],[SKU]],'All Skus'!$A:$AC,4,FALSE)),""))</f>
        <v>NMX-DEC-N2625-WP-NA</v>
      </c>
      <c r="D16" s="47" t="str">
        <f>(IF((VLOOKUP(Table2[[#This Row],[SKU]],'All Skus'!$A:$AC,2,FALSE))="AMX",(VLOOKUP(Table2[[#This Row],[SKU]],'All Skus'!$A:$AC,5,FALSE)),""))</f>
        <v>AMX-NM</v>
      </c>
      <c r="E16" s="281" t="str">
        <f>(IF((VLOOKUP(Table2[[#This Row],[SKU]],'All Skus'!$A:$AC,2,FALSE))="AMX",(VLOOKUP(Table2[[#This Row],[SKU]],'All Skus'!$A:$AC,7,FALSE)),""))</f>
        <v>NEW</v>
      </c>
      <c r="F16" s="280" t="str">
        <f>(IF((VLOOKUP(Table2[[#This Row],[SKU]],'All Skus'!$A:$AC,2,FALSE))="AMX",(VLOOKUP(Table2[[#This Row],[SKU]],'All Skus'!$A:$AC,8,FALSE)),""))</f>
        <v>AMX N2600 Decoder Wall Plate, Decora Style</v>
      </c>
      <c r="G16" s="280" t="str">
        <f>(IF((VLOOKUP(Table2[[#This Row],[SKU]],'All Skus'!$A:$AC,2,FALSE))="AMX",(VLOOKUP(Table2[[#This Row],[SKU]],'All Skus'!$A:$AC,9,FALSE)),""))</f>
        <v>AMX N2600 Decoder Wall Plate, Decora Style, 4K60 4:4:4</v>
      </c>
      <c r="H16" s="157">
        <f>(IF((VLOOKUP(Table2[[#This Row],[SKU]],'All Skus'!$A:$AC,2,FALSE))="AMX",(VLOOKUP(Table2[[#This Row],[SKU]],'All Skus'!$A:$AC,10,FALSE)),""))</f>
        <v>1500</v>
      </c>
      <c r="I16" s="157">
        <f>(IF((VLOOKUP(Table2[[#This Row],[SKU]],'All Skus'!$A:$AC,2,FALSE))="AMX",(VLOOKUP(Table2[[#This Row],[SKU]],'All Skus'!$A:$AC,11,FALSE)),""))</f>
        <v>1500</v>
      </c>
      <c r="J16" s="47">
        <f>(IF((VLOOKUP(Table2[[#This Row],[SKU]],'All Skus'!$A:$AC,2,FALSE))="AMX",(VLOOKUP(Table2[[#This Row],[SKU]],'All Skus'!$A:$AC,15,FALSE)),""))</f>
        <v>0</v>
      </c>
      <c r="K16" s="47">
        <f>(IF((VLOOKUP(Table2[[#This Row],[SKU]],'All Skus'!$A:$AC,2,FALSE))="AMX",(VLOOKUP(Table2[[#This Row],[SKU]],'All Skus'!$A:$AC,16,FALSE)),""))</f>
        <v>718878035146</v>
      </c>
      <c r="L16" s="47">
        <f>(IF((VLOOKUP(Table2[[#This Row],[SKU]],'All Skus'!$A:$AC,2,FALSE))="AMX",(VLOOKUP(Table2[[#This Row],[SKU]],'All Skus'!$A:$AC,17,FALSE)),""))</f>
        <v>0</v>
      </c>
      <c r="M16" s="63">
        <f>(IF((VLOOKUP(Table2[[#This Row],[SKU]],'All Skus'!$A:$AC,2,FALSE))="AMX",(VLOOKUP(Table2[[#This Row],[SKU]],'All Skus'!$A:$AC,18,FALSE)),""))</f>
        <v>0.9</v>
      </c>
      <c r="N16" s="47">
        <f>(IF((VLOOKUP(Table2[[#This Row],[SKU]],'All Skus'!$A:$AC,2,FALSE))="AMX",(VLOOKUP(Table2[[#This Row],[SKU]],'All Skus'!$A:$AC,19,FALSE)),""))</f>
        <v>5.2</v>
      </c>
      <c r="O16" s="47">
        <f>(IF((VLOOKUP(Table2[[#This Row],[SKU]],'All Skus'!$A:$AC,2,FALSE))="AMX",(VLOOKUP(Table2[[#This Row],[SKU]],'All Skus'!$A:$AC,20,FALSE)),""))</f>
        <v>2.2999999999999998</v>
      </c>
      <c r="P16" s="47">
        <f>(IF((VLOOKUP(Table2[[#This Row],[SKU]],'All Skus'!$A:$AC,2,FALSE))="AMX",(VLOOKUP(Table2[[#This Row],[SKU]],'All Skus'!$A:$AC,21,FALSE)),""))</f>
        <v>4.2</v>
      </c>
      <c r="Q16" s="47" t="str">
        <f>(IF((VLOOKUP(Table2[[#This Row],[SKU]],'All Skus'!$A:$AC,2,FALSE))="AMX",(VLOOKUP(Table2[[#This Row],[SKU]],'All Skus'!$A:$AC,22,FALSE)),""))</f>
        <v>TW</v>
      </c>
      <c r="R16" s="47" t="str">
        <f>(IF((VLOOKUP(Table2[[#This Row],[SKU]],'All Skus'!$A:$AC,2,FALSE))="AMX",(VLOOKUP(Table2[[#This Row],[SKU]],'All Skus'!$A:$AC,23,FALSE)),""))</f>
        <v>Compliant</v>
      </c>
      <c r="S16" s="210" t="str">
        <f>HYPERLINK((IF((VLOOKUP(Table2[[#This Row],[SKU]],'All Skus'!$A:$AC,2,FALSE))="AMX",(VLOOKUP(Table2[[#This Row],[SKU]],'All Skus'!$A:$AC,24,FALSE)),"")))</f>
        <v>https://www.amx.com/en-US/products/nmx-dec-n2625-wp-decoder-wallplate</v>
      </c>
      <c r="T16" s="151">
        <v>14</v>
      </c>
    </row>
    <row r="17" spans="1:20" ht="15" hidden="1" customHeight="1">
      <c r="A17" s="48" t="s">
        <v>523</v>
      </c>
      <c r="B17" s="280" t="str">
        <f>(IF((VLOOKUP(Table2[[#This Row],[SKU]],'All Skus'!$A:$AC,2,FALSE))="AMX",(VLOOKUP(Table2[[#This Row],[SKU]],'All Skus'!$A:$AC,3,FALSE)),""))</f>
        <v>Networked AV</v>
      </c>
      <c r="C17" s="280" t="str">
        <f>(IF((VLOOKUP(Table2[[#This Row],[SKU]],'All Skus'!$A:$AC,2,FALSE))="AMX",(VLOOKUP(Table2[[#This Row],[SKU]],'All Skus'!$A:$AC,4,FALSE)),""))</f>
        <v>NMX-ENC-N2612S</v>
      </c>
      <c r="D17" s="47" t="str">
        <f>(IF((VLOOKUP(Table2[[#This Row],[SKU]],'All Skus'!$A:$AC,2,FALSE))="AMX",(VLOOKUP(Table2[[#This Row],[SKU]],'All Skus'!$A:$AC,5,FALSE)),""))</f>
        <v>AMX-NM</v>
      </c>
      <c r="E17" s="281" t="str">
        <f>(IF((VLOOKUP(Table2[[#This Row],[SKU]],'All Skus'!$A:$AC,2,FALSE))="AMX",(VLOOKUP(Table2[[#This Row],[SKU]],'All Skus'!$A:$AC,7,FALSE)),""))</f>
        <v>NEW</v>
      </c>
      <c r="F17" s="280" t="str">
        <f>(IF((VLOOKUP(Table2[[#This Row],[SKU]],'All Skus'!$A:$AC,2,FALSE))="AMX",(VLOOKUP(Table2[[#This Row],[SKU]],'All Skus'!$A:$AC,8,FALSE)),""))</f>
        <v>AMX N2600 Encoder, Dual Stream Codec</v>
      </c>
      <c r="G17" s="280" t="str">
        <f>(IF((VLOOKUP(Table2[[#This Row],[SKU]],'All Skus'!$A:$AC,2,FALSE))="AMX",(VLOOKUP(Table2[[#This Row],[SKU]],'All Skus'!$A:$AC,9,FALSE)),""))</f>
        <v>AMX N2600 Encoder, Dual Stream Codec, 4K60 4:4:4</v>
      </c>
      <c r="H17" s="157">
        <f>(IF((VLOOKUP(Table2[[#This Row],[SKU]],'All Skus'!$A:$AC,2,FALSE))="AMX",(VLOOKUP(Table2[[#This Row],[SKU]],'All Skus'!$A:$AC,10,FALSE)),""))</f>
        <v>1750</v>
      </c>
      <c r="I17" s="157">
        <f>(IF((VLOOKUP(Table2[[#This Row],[SKU]],'All Skus'!$A:$AC,2,FALSE))="AMX",(VLOOKUP(Table2[[#This Row],[SKU]],'All Skus'!$A:$AC,11,FALSE)),""))</f>
        <v>1750</v>
      </c>
      <c r="J17" s="47">
        <f>(IF((VLOOKUP(Table2[[#This Row],[SKU]],'All Skus'!$A:$AC,2,FALSE))="AMX",(VLOOKUP(Table2[[#This Row],[SKU]],'All Skus'!$A:$AC,15,FALSE)),""))</f>
        <v>0</v>
      </c>
      <c r="K17" s="47">
        <f>(IF((VLOOKUP(Table2[[#This Row],[SKU]],'All Skus'!$A:$AC,2,FALSE))="AMX",(VLOOKUP(Table2[[#This Row],[SKU]],'All Skus'!$A:$AC,16,FALSE)),""))</f>
        <v>718878035016</v>
      </c>
      <c r="L17" s="47">
        <f>(IF((VLOOKUP(Table2[[#This Row],[SKU]],'All Skus'!$A:$AC,2,FALSE))="AMX",(VLOOKUP(Table2[[#This Row],[SKU]],'All Skus'!$A:$AC,17,FALSE)),""))</f>
        <v>0</v>
      </c>
      <c r="M17" s="63">
        <f>(IF((VLOOKUP(Table2[[#This Row],[SKU]],'All Skus'!$A:$AC,2,FALSE))="AMX",(VLOOKUP(Table2[[#This Row],[SKU]],'All Skus'!$A:$AC,18,FALSE)),""))</f>
        <v>1.5</v>
      </c>
      <c r="N17" s="47">
        <f>(IF((VLOOKUP(Table2[[#This Row],[SKU]],'All Skus'!$A:$AC,2,FALSE))="AMX",(VLOOKUP(Table2[[#This Row],[SKU]],'All Skus'!$A:$AC,19,FALSE)),""))</f>
        <v>7.87</v>
      </c>
      <c r="O17" s="47">
        <f>(IF((VLOOKUP(Table2[[#This Row],[SKU]],'All Skus'!$A:$AC,2,FALSE))="AMX",(VLOOKUP(Table2[[#This Row],[SKU]],'All Skus'!$A:$AC,20,FALSE)),""))</f>
        <v>5</v>
      </c>
      <c r="P17" s="47">
        <f>(IF((VLOOKUP(Table2[[#This Row],[SKU]],'All Skus'!$A:$AC,2,FALSE))="AMX",(VLOOKUP(Table2[[#This Row],[SKU]],'All Skus'!$A:$AC,21,FALSE)),""))</f>
        <v>1.05</v>
      </c>
      <c r="Q17" s="47" t="str">
        <f>(IF((VLOOKUP(Table2[[#This Row],[SKU]],'All Skus'!$A:$AC,2,FALSE))="AMX",(VLOOKUP(Table2[[#This Row],[SKU]],'All Skus'!$A:$AC,22,FALSE)),""))</f>
        <v>TW</v>
      </c>
      <c r="R17" s="47" t="str">
        <f>(IF((VLOOKUP(Table2[[#This Row],[SKU]],'All Skus'!$A:$AC,2,FALSE))="AMX",(VLOOKUP(Table2[[#This Row],[SKU]],'All Skus'!$A:$AC,23,FALSE)),""))</f>
        <v>Compliant</v>
      </c>
      <c r="S17" s="210" t="str">
        <f>HYPERLINK((IF((VLOOKUP(Table2[[#This Row],[SKU]],'All Skus'!$A:$AC,2,FALSE))="AMX",(VLOOKUP(Table2[[#This Row],[SKU]],'All Skus'!$A:$AC,24,FALSE)),"")))</f>
        <v>https://www.amx.com/en-US/products/nmx-enc-n2612s-encoder</v>
      </c>
      <c r="T17" s="151">
        <v>15</v>
      </c>
    </row>
    <row r="18" spans="1:20" ht="15" hidden="1" customHeight="1">
      <c r="A18" s="48" t="s">
        <v>524</v>
      </c>
      <c r="B18" s="280" t="str">
        <f>(IF((VLOOKUP(Table2[[#This Row],[SKU]],'All Skus'!$A:$AC,2,FALSE))="AMX",(VLOOKUP(Table2[[#This Row],[SKU]],'All Skus'!$A:$AC,3,FALSE)),""))</f>
        <v>Networked AV</v>
      </c>
      <c r="C18" s="280" t="str">
        <f>(IF((VLOOKUP(Table2[[#This Row],[SKU]],'All Skus'!$A:$AC,2,FALSE))="AMX",(VLOOKUP(Table2[[#This Row],[SKU]],'All Skus'!$A:$AC,4,FALSE)),""))</f>
        <v>NMX-ENC-N2612S-C</v>
      </c>
      <c r="D18" s="47" t="str">
        <f>(IF((VLOOKUP(Table2[[#This Row],[SKU]],'All Skus'!$A:$AC,2,FALSE))="AMX",(VLOOKUP(Table2[[#This Row],[SKU]],'All Skus'!$A:$AC,5,FALSE)),""))</f>
        <v>AMX-NM</v>
      </c>
      <c r="E18" s="281" t="str">
        <f>(IF((VLOOKUP(Table2[[#This Row],[SKU]],'All Skus'!$A:$AC,2,FALSE))="AMX",(VLOOKUP(Table2[[#This Row],[SKU]],'All Skus'!$A:$AC,7,FALSE)),""))</f>
        <v>NEW</v>
      </c>
      <c r="F18" s="280" t="str">
        <f>(IF((VLOOKUP(Table2[[#This Row],[SKU]],'All Skus'!$A:$AC,2,FALSE))="AMX",(VLOOKUP(Table2[[#This Row],[SKU]],'All Skus'!$A:$AC,8,FALSE)),""))</f>
        <v>AMX N2600 Encoder Card, Dual Stream Codec</v>
      </c>
      <c r="G18" s="280" t="str">
        <f>(IF((VLOOKUP(Table2[[#This Row],[SKU]],'All Skus'!$A:$AC,2,FALSE))="AMX",(VLOOKUP(Table2[[#This Row],[SKU]],'All Skus'!$A:$AC,9,FALSE)),""))</f>
        <v>AMX N2600 Encoder Card, Dual Stream Codec, 4K60 4:4:4</v>
      </c>
      <c r="H18" s="157">
        <f>(IF((VLOOKUP(Table2[[#This Row],[SKU]],'All Skus'!$A:$AC,2,FALSE))="AMX",(VLOOKUP(Table2[[#This Row],[SKU]],'All Skus'!$A:$AC,10,FALSE)),""))</f>
        <v>1725</v>
      </c>
      <c r="I18" s="157">
        <f>(IF((VLOOKUP(Table2[[#This Row],[SKU]],'All Skus'!$A:$AC,2,FALSE))="AMX",(VLOOKUP(Table2[[#This Row],[SKU]],'All Skus'!$A:$AC,11,FALSE)),""))</f>
        <v>1725</v>
      </c>
      <c r="J18" s="47">
        <f>(IF((VLOOKUP(Table2[[#This Row],[SKU]],'All Skus'!$A:$AC,2,FALSE))="AMX",(VLOOKUP(Table2[[#This Row],[SKU]],'All Skus'!$A:$AC,15,FALSE)),""))</f>
        <v>0</v>
      </c>
      <c r="K18" s="47">
        <f>(IF((VLOOKUP(Table2[[#This Row],[SKU]],'All Skus'!$A:$AC,2,FALSE))="AMX",(VLOOKUP(Table2[[#This Row],[SKU]],'All Skus'!$A:$AC,16,FALSE)),""))</f>
        <v>718878034811</v>
      </c>
      <c r="L18" s="47">
        <f>(IF((VLOOKUP(Table2[[#This Row],[SKU]],'All Skus'!$A:$AC,2,FALSE))="AMX",(VLOOKUP(Table2[[#This Row],[SKU]],'All Skus'!$A:$AC,17,FALSE)),""))</f>
        <v>0</v>
      </c>
      <c r="M18" s="63">
        <f>(IF((VLOOKUP(Table2[[#This Row],[SKU]],'All Skus'!$A:$AC,2,FALSE))="AMX",(VLOOKUP(Table2[[#This Row],[SKU]],'All Skus'!$A:$AC,18,FALSE)),""))</f>
        <v>1.5</v>
      </c>
      <c r="N18" s="47">
        <f>(IF((VLOOKUP(Table2[[#This Row],[SKU]],'All Skus'!$A:$AC,2,FALSE))="AMX",(VLOOKUP(Table2[[#This Row],[SKU]],'All Skus'!$A:$AC,19,FALSE)),""))</f>
        <v>7.87</v>
      </c>
      <c r="O18" s="47">
        <f>(IF((VLOOKUP(Table2[[#This Row],[SKU]],'All Skus'!$A:$AC,2,FALSE))="AMX",(VLOOKUP(Table2[[#This Row],[SKU]],'All Skus'!$A:$AC,20,FALSE)),""))</f>
        <v>5</v>
      </c>
      <c r="P18" s="47">
        <f>(IF((VLOOKUP(Table2[[#This Row],[SKU]],'All Skus'!$A:$AC,2,FALSE))="AMX",(VLOOKUP(Table2[[#This Row],[SKU]],'All Skus'!$A:$AC,21,FALSE)),""))</f>
        <v>1.05</v>
      </c>
      <c r="Q18" s="47" t="str">
        <f>(IF((VLOOKUP(Table2[[#This Row],[SKU]],'All Skus'!$A:$AC,2,FALSE))="AMX",(VLOOKUP(Table2[[#This Row],[SKU]],'All Skus'!$A:$AC,22,FALSE)),""))</f>
        <v>TW</v>
      </c>
      <c r="R18" s="47" t="str">
        <f>(IF((VLOOKUP(Table2[[#This Row],[SKU]],'All Skus'!$A:$AC,2,FALSE))="AMX",(VLOOKUP(Table2[[#This Row],[SKU]],'All Skus'!$A:$AC,23,FALSE)),""))</f>
        <v>Compliant</v>
      </c>
      <c r="S18" s="210" t="str">
        <f>HYPERLINK((IF((VLOOKUP(Table2[[#This Row],[SKU]],'All Skus'!$A:$AC,2,FALSE))="AMX",(VLOOKUP(Table2[[#This Row],[SKU]],'All Skus'!$A:$AC,24,FALSE)),"")))</f>
        <v>https://www.amx.com/en-US/products/nmx-enc-n2612s-c-encoder-card</v>
      </c>
      <c r="T18" s="151">
        <v>16</v>
      </c>
    </row>
    <row r="19" spans="1:20" ht="15" hidden="1" customHeight="1">
      <c r="A19" s="48" t="s">
        <v>526</v>
      </c>
      <c r="B19" s="280" t="str">
        <f>(IF((VLOOKUP(Table2[[#This Row],[SKU]],'All Skus'!$A:$AC,2,FALSE))="AMX",(VLOOKUP(Table2[[#This Row],[SKU]],'All Skus'!$A:$AC,3,FALSE)),""))</f>
        <v>Networked AV</v>
      </c>
      <c r="C19" s="280" t="str">
        <f>(IF((VLOOKUP(Table2[[#This Row],[SKU]],'All Skus'!$A:$AC,2,FALSE))="AMX",(VLOOKUP(Table2[[#This Row],[SKU]],'All Skus'!$A:$AC,4,FALSE)),""))</f>
        <v>NMX-ENC-N2615-WP-NA</v>
      </c>
      <c r="D19" s="47" t="str">
        <f>(IF((VLOOKUP(Table2[[#This Row],[SKU]],'All Skus'!$A:$AC,2,FALSE))="AMX",(VLOOKUP(Table2[[#This Row],[SKU]],'All Skus'!$A:$AC,5,FALSE)),""))</f>
        <v>AMX-NM</v>
      </c>
      <c r="E19" s="281" t="str">
        <f>(IF((VLOOKUP(Table2[[#This Row],[SKU]],'All Skus'!$A:$AC,2,FALSE))="AMX",(VLOOKUP(Table2[[#This Row],[SKU]],'All Skus'!$A:$AC,7,FALSE)),""))</f>
        <v>NEW</v>
      </c>
      <c r="F19" s="280" t="str">
        <f>(IF((VLOOKUP(Table2[[#This Row],[SKU]],'All Skus'!$A:$AC,2,FALSE))="AMX",(VLOOKUP(Table2[[#This Row],[SKU]],'All Skus'!$A:$AC,8,FALSE)),""))</f>
        <v>AMX N2600 Encoder Wall Plate, Decora Style</v>
      </c>
      <c r="G19" s="280" t="str">
        <f>(IF((VLOOKUP(Table2[[#This Row],[SKU]],'All Skus'!$A:$AC,2,FALSE))="AMX",(VLOOKUP(Table2[[#This Row],[SKU]],'All Skus'!$A:$AC,9,FALSE)),""))</f>
        <v>AMX N2600 Encoder Wall Plate, Decora Style, 4K60 4:4:4</v>
      </c>
      <c r="H19" s="157">
        <f>(IF((VLOOKUP(Table2[[#This Row],[SKU]],'All Skus'!$A:$AC,2,FALSE))="AMX",(VLOOKUP(Table2[[#This Row],[SKU]],'All Skus'!$A:$AC,10,FALSE)),""))</f>
        <v>1500</v>
      </c>
      <c r="I19" s="157">
        <f>(IF((VLOOKUP(Table2[[#This Row],[SKU]],'All Skus'!$A:$AC,2,FALSE))="AMX",(VLOOKUP(Table2[[#This Row],[SKU]],'All Skus'!$A:$AC,11,FALSE)),""))</f>
        <v>1500</v>
      </c>
      <c r="J19" s="47">
        <f>(IF((VLOOKUP(Table2[[#This Row],[SKU]],'All Skus'!$A:$AC,2,FALSE))="AMX",(VLOOKUP(Table2[[#This Row],[SKU]],'All Skus'!$A:$AC,15,FALSE)),""))</f>
        <v>0</v>
      </c>
      <c r="K19" s="47">
        <f>(IF((VLOOKUP(Table2[[#This Row],[SKU]],'All Skus'!$A:$AC,2,FALSE))="AMX",(VLOOKUP(Table2[[#This Row],[SKU]],'All Skus'!$A:$AC,16,FALSE)),""))</f>
        <v>718878034996</v>
      </c>
      <c r="L19" s="47">
        <f>(IF((VLOOKUP(Table2[[#This Row],[SKU]],'All Skus'!$A:$AC,2,FALSE))="AMX",(VLOOKUP(Table2[[#This Row],[SKU]],'All Skus'!$A:$AC,17,FALSE)),""))</f>
        <v>0</v>
      </c>
      <c r="M19" s="63">
        <f>(IF((VLOOKUP(Table2[[#This Row],[SKU]],'All Skus'!$A:$AC,2,FALSE))="AMX",(VLOOKUP(Table2[[#This Row],[SKU]],'All Skus'!$A:$AC,18,FALSE)),""))</f>
        <v>0.9</v>
      </c>
      <c r="N19" s="47">
        <f>(IF((VLOOKUP(Table2[[#This Row],[SKU]],'All Skus'!$A:$AC,2,FALSE))="AMX",(VLOOKUP(Table2[[#This Row],[SKU]],'All Skus'!$A:$AC,19,FALSE)),""))</f>
        <v>5.2</v>
      </c>
      <c r="O19" s="47">
        <f>(IF((VLOOKUP(Table2[[#This Row],[SKU]],'All Skus'!$A:$AC,2,FALSE))="AMX",(VLOOKUP(Table2[[#This Row],[SKU]],'All Skus'!$A:$AC,20,FALSE)),""))</f>
        <v>2.2999999999999998</v>
      </c>
      <c r="P19" s="47">
        <f>(IF((VLOOKUP(Table2[[#This Row],[SKU]],'All Skus'!$A:$AC,2,FALSE))="AMX",(VLOOKUP(Table2[[#This Row],[SKU]],'All Skus'!$A:$AC,21,FALSE)),""))</f>
        <v>4.2</v>
      </c>
      <c r="Q19" s="47" t="str">
        <f>(IF((VLOOKUP(Table2[[#This Row],[SKU]],'All Skus'!$A:$AC,2,FALSE))="AMX",(VLOOKUP(Table2[[#This Row],[SKU]],'All Skus'!$A:$AC,22,FALSE)),""))</f>
        <v>TW</v>
      </c>
      <c r="R19" s="47" t="str">
        <f>(IF((VLOOKUP(Table2[[#This Row],[SKU]],'All Skus'!$A:$AC,2,FALSE))="AMX",(VLOOKUP(Table2[[#This Row],[SKU]],'All Skus'!$A:$AC,23,FALSE)),""))</f>
        <v>Compliant</v>
      </c>
      <c r="S19" s="210" t="str">
        <f>HYPERLINK((IF((VLOOKUP(Table2[[#This Row],[SKU]],'All Skus'!$A:$AC,2,FALSE))="AMX",(VLOOKUP(Table2[[#This Row],[SKU]],'All Skus'!$A:$AC,24,FALSE)),"")))</f>
        <v>https://www.amx.com/en-US/products/nmx-enc-n2615-wp-encoder-wallplate</v>
      </c>
      <c r="T19" s="151">
        <v>17</v>
      </c>
    </row>
    <row r="20" spans="1:20" ht="15" hidden="1" customHeight="1">
      <c r="A20" s="48" t="s">
        <v>8345</v>
      </c>
      <c r="B20" s="280" t="str">
        <f>(IF((VLOOKUP(Table2[[#This Row],[SKU]],'All Skus'!$A:$AC,2,FALSE))="AMX",(VLOOKUP(Table2[[#This Row],[SKU]],'All Skus'!$A:$AC,3,FALSE)),""))</f>
        <v>Networked AV</v>
      </c>
      <c r="C20" s="280" t="str">
        <f>(IF((VLOOKUP(Table2[[#This Row],[SKU]],'All Skus'!$A:$AC,2,FALSE))="AMX",(VLOOKUP(Table2[[#This Row],[SKU]],'All Skus'!$A:$AC,4,FALSE)),""))</f>
        <v>NMX-ATC-N4321D</v>
      </c>
      <c r="D20" s="47" t="str">
        <f>(IF((VLOOKUP(Table2[[#This Row],[SKU]],'All Skus'!$A:$AC,2,FALSE))="AMX",(VLOOKUP(Table2[[#This Row],[SKU]],'All Skus'!$A:$AC,5,FALSE)),""))</f>
        <v>AMX-NM</v>
      </c>
      <c r="E20" s="281" t="str">
        <f>(IF((VLOOKUP(Table2[[#This Row],[SKU]],'All Skus'!$A:$AC,2,FALSE))="AMX",(VLOOKUP(Table2[[#This Row],[SKU]],'All Skus'!$A:$AC,7,FALSE)),""))</f>
        <v>NEW</v>
      </c>
      <c r="F20" s="280" t="str">
        <f>(IF((VLOOKUP(Table2[[#This Row],[SKU]],'All Skus'!$A:$AC,2,FALSE))="AMX",(VLOOKUP(Table2[[#This Row],[SKU]],'All Skus'!$A:$AC,8,FALSE)),""))</f>
        <v>AMX N4321D Audio Transceiver, Dante audio over IP Transceiver</v>
      </c>
      <c r="G20" s="280" t="str">
        <f>(IF((VLOOKUP(Table2[[#This Row],[SKU]],'All Skus'!$A:$AC,2,FALSE))="AMX",(VLOOKUP(Table2[[#This Row],[SKU]],'All Skus'!$A:$AC,9,FALSE)),""))</f>
        <v>AMX N4321D Audio Transceiver, Dante audio over IP Transceiver</v>
      </c>
      <c r="H20" s="282">
        <f>(IF((VLOOKUP(Table2[[#This Row],[SKU]],'All Skus'!$A:$AC,2,FALSE))="AMX",(VLOOKUP(Table2[[#This Row],[SKU]],'All Skus'!$A:$AC,10,FALSE)),""))</f>
        <v>1150</v>
      </c>
      <c r="I20" s="282">
        <f>(IF((VLOOKUP(Table2[[#This Row],[SKU]],'All Skus'!$A:$AC,2,FALSE))="AMX",(VLOOKUP(Table2[[#This Row],[SKU]],'All Skus'!$A:$AC,11,FALSE)),""))</f>
        <v>1150</v>
      </c>
      <c r="J20" s="47">
        <f>(IF((VLOOKUP(Table2[[#This Row],[SKU]],'All Skus'!$A:$AC,2,FALSE))="AMX",(VLOOKUP(Table2[[#This Row],[SKU]],'All Skus'!$A:$AC,15,FALSE)),""))</f>
        <v>0</v>
      </c>
      <c r="K20" s="47">
        <f>(IF((VLOOKUP(Table2[[#This Row],[SKU]],'All Skus'!$A:$AC,2,FALSE))="AMX",(VLOOKUP(Table2[[#This Row],[SKU]],'All Skus'!$A:$AC,16,FALSE)),""))</f>
        <v>718878034927</v>
      </c>
      <c r="L20" s="47">
        <f>(IF((VLOOKUP(Table2[[#This Row],[SKU]],'All Skus'!$A:$AC,2,FALSE))="AMX",(VLOOKUP(Table2[[#This Row],[SKU]],'All Skus'!$A:$AC,17,FALSE)),""))</f>
        <v>0</v>
      </c>
      <c r="M20" s="63">
        <f>(IF((VLOOKUP(Table2[[#This Row],[SKU]],'All Skus'!$A:$AC,2,FALSE))="AMX",(VLOOKUP(Table2[[#This Row],[SKU]],'All Skus'!$A:$AC,18,FALSE)),""))</f>
        <v>1.5</v>
      </c>
      <c r="N20" s="47">
        <f>(IF((VLOOKUP(Table2[[#This Row],[SKU]],'All Skus'!$A:$AC,2,FALSE))="AMX",(VLOOKUP(Table2[[#This Row],[SKU]],'All Skus'!$A:$AC,19,FALSE)),""))</f>
        <v>7.87</v>
      </c>
      <c r="O20" s="47">
        <f>(IF((VLOOKUP(Table2[[#This Row],[SKU]],'All Skus'!$A:$AC,2,FALSE))="AMX",(VLOOKUP(Table2[[#This Row],[SKU]],'All Skus'!$A:$AC,20,FALSE)),""))</f>
        <v>5</v>
      </c>
      <c r="P20" s="47">
        <f>(IF((VLOOKUP(Table2[[#This Row],[SKU]],'All Skus'!$A:$AC,2,FALSE))="AMX",(VLOOKUP(Table2[[#This Row],[SKU]],'All Skus'!$A:$AC,21,FALSE)),""))</f>
        <v>1.05</v>
      </c>
      <c r="Q20" s="47" t="str">
        <f>(IF((VLOOKUP(Table2[[#This Row],[SKU]],'All Skus'!$A:$AC,2,FALSE))="AMX",(VLOOKUP(Table2[[#This Row],[SKU]],'All Skus'!$A:$AC,22,FALSE)),""))</f>
        <v>TW</v>
      </c>
      <c r="R20" s="47" t="str">
        <f>(IF((VLOOKUP(Table2[[#This Row],[SKU]],'All Skus'!$A:$AC,2,FALSE))="AMX",(VLOOKUP(Table2[[#This Row],[SKU]],'All Skus'!$A:$AC,23,FALSE)),""))</f>
        <v>Compliant</v>
      </c>
      <c r="S20" s="279" t="str">
        <f>HYPERLINK((IF((VLOOKUP(Table2[[#This Row],[SKU]],'All Skus'!$A:$AC,2,FALSE))="AMX",(VLOOKUP(Table2[[#This Row],[SKU]],'All Skus'!$A:$AC,24,FALSE)),"")))</f>
        <v>https://www.amx.com/en-US/products/nmx-atc-n4321d</v>
      </c>
      <c r="T20" s="281">
        <v>18</v>
      </c>
    </row>
    <row r="21" spans="1:20" ht="15" hidden="1" customHeight="1">
      <c r="A21" s="48" t="s">
        <v>8346</v>
      </c>
      <c r="B21" s="280" t="str">
        <f>(IF((VLOOKUP(Table2[[#This Row],[SKU]],'All Skus'!$A:$AC,2,FALSE))="AMX",(VLOOKUP(Table2[[#This Row],[SKU]],'All Skus'!$A:$AC,3,FALSE)),""))</f>
        <v>Networked AV</v>
      </c>
      <c r="C21" s="280" t="str">
        <f>(IF((VLOOKUP(Table2[[#This Row],[SKU]],'All Skus'!$A:$AC,2,FALSE))="AMX",(VLOOKUP(Table2[[#This Row],[SKU]],'All Skus'!$A:$AC,4,FALSE)),""))</f>
        <v>NMX-ATC-N4321D-C</v>
      </c>
      <c r="D21" s="47" t="str">
        <f>(IF((VLOOKUP(Table2[[#This Row],[SKU]],'All Skus'!$A:$AC,2,FALSE))="AMX",(VLOOKUP(Table2[[#This Row],[SKU]],'All Skus'!$A:$AC,5,FALSE)),""))</f>
        <v>AMX-NM</v>
      </c>
      <c r="E21" s="281" t="str">
        <f>(IF((VLOOKUP(Table2[[#This Row],[SKU]],'All Skus'!$A:$AC,2,FALSE))="AMX",(VLOOKUP(Table2[[#This Row],[SKU]],'All Skus'!$A:$AC,7,FALSE)),""))</f>
        <v>NEW</v>
      </c>
      <c r="F21" s="280" t="str">
        <f>(IF((VLOOKUP(Table2[[#This Row],[SKU]],'All Skus'!$A:$AC,2,FALSE))="AMX",(VLOOKUP(Table2[[#This Row],[SKU]],'All Skus'!$A:$AC,8,FALSE)),""))</f>
        <v>AMX N4321D Audio Transceiver Card, Dante audio over IP Transceiver</v>
      </c>
      <c r="G21" s="280" t="str">
        <f>(IF((VLOOKUP(Table2[[#This Row],[SKU]],'All Skus'!$A:$AC,2,FALSE))="AMX",(VLOOKUP(Table2[[#This Row],[SKU]],'All Skus'!$A:$AC,9,FALSE)),""))</f>
        <v>AMX N4321D Audio Transceiver Card, Dante audio over IP Transceiver</v>
      </c>
      <c r="H21" s="282">
        <f>(IF((VLOOKUP(Table2[[#This Row],[SKU]],'All Skus'!$A:$AC,2,FALSE))="AMX",(VLOOKUP(Table2[[#This Row],[SKU]],'All Skus'!$A:$AC,10,FALSE)),""))</f>
        <v>1125</v>
      </c>
      <c r="I21" s="282">
        <f>(IF((VLOOKUP(Table2[[#This Row],[SKU]],'All Skus'!$A:$AC,2,FALSE))="AMX",(VLOOKUP(Table2[[#This Row],[SKU]],'All Skus'!$A:$AC,11,FALSE)),""))</f>
        <v>1125</v>
      </c>
      <c r="J21" s="47">
        <f>(IF((VLOOKUP(Table2[[#This Row],[SKU]],'All Skus'!$A:$AC,2,FALSE))="AMX",(VLOOKUP(Table2[[#This Row],[SKU]],'All Skus'!$A:$AC,15,FALSE)),""))</f>
        <v>0</v>
      </c>
      <c r="K21" s="47">
        <f>(IF((VLOOKUP(Table2[[#This Row],[SKU]],'All Skus'!$A:$AC,2,FALSE))="AMX",(VLOOKUP(Table2[[#This Row],[SKU]],'All Skus'!$A:$AC,16,FALSE)),""))</f>
        <v>718878034910</v>
      </c>
      <c r="L21" s="47">
        <f>(IF((VLOOKUP(Table2[[#This Row],[SKU]],'All Skus'!$A:$AC,2,FALSE))="AMX",(VLOOKUP(Table2[[#This Row],[SKU]],'All Skus'!$A:$AC,17,FALSE)),""))</f>
        <v>0</v>
      </c>
      <c r="M21" s="63">
        <f>(IF((VLOOKUP(Table2[[#This Row],[SKU]],'All Skus'!$A:$AC,2,FALSE))="AMX",(VLOOKUP(Table2[[#This Row],[SKU]],'All Skus'!$A:$AC,18,FALSE)),""))</f>
        <v>0.59</v>
      </c>
      <c r="N21" s="47">
        <f>(IF((VLOOKUP(Table2[[#This Row],[SKU]],'All Skus'!$A:$AC,2,FALSE))="AMX",(VLOOKUP(Table2[[#This Row],[SKU]],'All Skus'!$A:$AC,19,FALSE)),""))</f>
        <v>7.87</v>
      </c>
      <c r="O21" s="47">
        <f>(IF((VLOOKUP(Table2[[#This Row],[SKU]],'All Skus'!$A:$AC,2,FALSE))="AMX",(VLOOKUP(Table2[[#This Row],[SKU]],'All Skus'!$A:$AC,20,FALSE)),""))</f>
        <v>5</v>
      </c>
      <c r="P21" s="47">
        <f>(IF((VLOOKUP(Table2[[#This Row],[SKU]],'All Skus'!$A:$AC,2,FALSE))="AMX",(VLOOKUP(Table2[[#This Row],[SKU]],'All Skus'!$A:$AC,21,FALSE)),""))</f>
        <v>1.05</v>
      </c>
      <c r="Q21" s="47" t="str">
        <f>(IF((VLOOKUP(Table2[[#This Row],[SKU]],'All Skus'!$A:$AC,2,FALSE))="AMX",(VLOOKUP(Table2[[#This Row],[SKU]],'All Skus'!$A:$AC,22,FALSE)),""))</f>
        <v>TW</v>
      </c>
      <c r="R21" s="47" t="str">
        <f>(IF((VLOOKUP(Table2[[#This Row],[SKU]],'All Skus'!$A:$AC,2,FALSE))="AMX",(VLOOKUP(Table2[[#This Row],[SKU]],'All Skus'!$A:$AC,23,FALSE)),""))</f>
        <v>Compliant</v>
      </c>
      <c r="S21" s="279" t="str">
        <f>HYPERLINK((IF((VLOOKUP(Table2[[#This Row],[SKU]],'All Skus'!$A:$AC,2,FALSE))="AMX",(VLOOKUP(Table2[[#This Row],[SKU]],'All Skus'!$A:$AC,24,FALSE)),"")))</f>
        <v>https://www.amx.com/en-US/products/nmx-atc-n4321d-c</v>
      </c>
      <c r="T21" s="281">
        <v>19</v>
      </c>
    </row>
    <row r="22" spans="1:20" ht="15" hidden="1" customHeight="1">
      <c r="A22" s="48" t="s">
        <v>528</v>
      </c>
      <c r="B22" s="280" t="str">
        <f>(IF((VLOOKUP(Table2[[#This Row],[SKU]],'All Skus'!$A:$AC,2,FALSE))="AMX",(VLOOKUP(Table2[[#This Row],[SKU]],'All Skus'!$A:$AC,3,FALSE)),""))</f>
        <v>Digital Switchers</v>
      </c>
      <c r="C22" s="280" t="str">
        <f>(IF((VLOOKUP(Table2[[#This Row],[SKU]],'All Skus'!$A:$AC,2,FALSE))="AMX",(VLOOKUP(Table2[[#This Row],[SKU]],'All Skus'!$A:$AC,4,FALSE)),""))</f>
        <v>PR-0402</v>
      </c>
      <c r="D22" s="47" t="str">
        <f>(IF((VLOOKUP(Table2[[#This Row],[SKU]],'All Skus'!$A:$AC,2,FALSE))="AMX",(VLOOKUP(Table2[[#This Row],[SKU]],'All Skus'!$A:$AC,5,FALSE)),""))</f>
        <v>AMX-SIG</v>
      </c>
      <c r="E22" s="281">
        <f>(IF((VLOOKUP(Table2[[#This Row],[SKU]],'All Skus'!$A:$AC,2,FALSE))="AMX",(VLOOKUP(Table2[[#This Row],[SKU]],'All Skus'!$A:$AC,7,FALSE)),""))</f>
        <v>0</v>
      </c>
      <c r="F22" s="280" t="str">
        <f>(IF((VLOOKUP(Table2[[#This Row],[SKU]],'All Skus'!$A:$AC,2,FALSE))="AMX",(VLOOKUP(Table2[[#This Row],[SKU]],'All Skus'!$A:$AC,8,FALSE)),""))</f>
        <v>Precis 4x2 4K60 HDMI Switcher</v>
      </c>
      <c r="G22" s="280" t="str">
        <f>(IF((VLOOKUP(Table2[[#This Row],[SKU]],'All Skus'!$A:$AC,2,FALSE))="AMX",(VLOOKUP(Table2[[#This Row],[SKU]],'All Skus'!$A:$AC,9,FALSE)),""))</f>
        <v>Precis 4x2 4K60 HDMI Switcher</v>
      </c>
      <c r="H22" s="157">
        <f>(IF((VLOOKUP(Table2[[#This Row],[SKU]],'All Skus'!$A:$AC,2,FALSE))="AMX",(VLOOKUP(Table2[[#This Row],[SKU]],'All Skus'!$A:$AC,10,FALSE)),""))</f>
        <v>917.1</v>
      </c>
      <c r="I22" s="157">
        <f>(IF((VLOOKUP(Table2[[#This Row],[SKU]],'All Skus'!$A:$AC,2,FALSE))="AMX",(VLOOKUP(Table2[[#This Row],[SKU]],'All Skus'!$A:$AC,11,FALSE)),""))</f>
        <v>917.1</v>
      </c>
      <c r="J22" s="47">
        <f>(IF((VLOOKUP(Table2[[#This Row],[SKU]],'All Skus'!$A:$AC,2,FALSE))="AMX",(VLOOKUP(Table2[[#This Row],[SKU]],'All Skus'!$A:$AC,15,FALSE)),""))</f>
        <v>0</v>
      </c>
      <c r="K22" s="47">
        <f>(IF((VLOOKUP(Table2[[#This Row],[SKU]],'All Skus'!$A:$AC,2,FALSE))="AMX",(VLOOKUP(Table2[[#This Row],[SKU]],'All Skus'!$A:$AC,16,FALSE)),""))</f>
        <v>718878034538</v>
      </c>
      <c r="L22" s="47">
        <f>(IF((VLOOKUP(Table2[[#This Row],[SKU]],'All Skus'!$A:$AC,2,FALSE))="AMX",(VLOOKUP(Table2[[#This Row],[SKU]],'All Skus'!$A:$AC,17,FALSE)),""))</f>
        <v>0</v>
      </c>
      <c r="M22" s="63">
        <f>(IF((VLOOKUP(Table2[[#This Row],[SKU]],'All Skus'!$A:$AC,2,FALSE))="AMX",(VLOOKUP(Table2[[#This Row],[SKU]],'All Skus'!$A:$AC,18,FALSE)),""))</f>
        <v>2.9</v>
      </c>
      <c r="N22" s="47">
        <f>(IF((VLOOKUP(Table2[[#This Row],[SKU]],'All Skus'!$A:$AC,2,FALSE))="AMX",(VLOOKUP(Table2[[#This Row],[SKU]],'All Skus'!$A:$AC,19,FALSE)),""))</f>
        <v>8.4</v>
      </c>
      <c r="O22" s="47">
        <f>(IF((VLOOKUP(Table2[[#This Row],[SKU]],'All Skus'!$A:$AC,2,FALSE))="AMX",(VLOOKUP(Table2[[#This Row],[SKU]],'All Skus'!$A:$AC,20,FALSE)),""))</f>
        <v>8.07</v>
      </c>
      <c r="P22" s="47">
        <f>(IF((VLOOKUP(Table2[[#This Row],[SKU]],'All Skus'!$A:$AC,2,FALSE))="AMX",(VLOOKUP(Table2[[#This Row],[SKU]],'All Skus'!$A:$AC,21,FALSE)),""))</f>
        <v>1.73</v>
      </c>
      <c r="Q22" s="47" t="str">
        <f>(IF((VLOOKUP(Table2[[#This Row],[SKU]],'All Skus'!$A:$AC,2,FALSE))="AMX",(VLOOKUP(Table2[[#This Row],[SKU]],'All Skus'!$A:$AC,22,FALSE)),""))</f>
        <v>TW</v>
      </c>
      <c r="R22" s="47" t="str">
        <f>(IF((VLOOKUP(Table2[[#This Row],[SKU]],'All Skus'!$A:$AC,2,FALSE))="AMX",(VLOOKUP(Table2[[#This Row],[SKU]],'All Skus'!$A:$AC,23,FALSE)),""))</f>
        <v>Compliant</v>
      </c>
      <c r="S22" s="210" t="str">
        <f>HYPERLINK((IF((VLOOKUP(Table2[[#This Row],[SKU]],'All Skus'!$A:$AC,2,FALSE))="AMX",(VLOOKUP(Table2[[#This Row],[SKU]],'All Skus'!$A:$AC,24,FALSE)),"")))</f>
        <v>https://www.amx.com/en-US/products/pr-0402</v>
      </c>
      <c r="T22" s="151">
        <v>20</v>
      </c>
    </row>
    <row r="23" spans="1:20" ht="15" hidden="1" customHeight="1">
      <c r="A23" s="283" t="s">
        <v>529</v>
      </c>
      <c r="B23" s="280" t="str">
        <f>(IF((VLOOKUP(Table2[[#This Row],[SKU]],'All Skus'!$A:$AC,2,FALSE))="AMX",(VLOOKUP(Table2[[#This Row],[SKU]],'All Skus'!$A:$AC,3,FALSE)),""))</f>
        <v>Digital Switchers</v>
      </c>
      <c r="C23" s="280" t="str">
        <f>(IF((VLOOKUP(Table2[[#This Row],[SKU]],'All Skus'!$A:$AC,2,FALSE))="AMX",(VLOOKUP(Table2[[#This Row],[SKU]],'All Skus'!$A:$AC,4,FALSE)),""))</f>
        <v>PR-0404</v>
      </c>
      <c r="D23" s="47" t="str">
        <f>(IF((VLOOKUP(Table2[[#This Row],[SKU]],'All Skus'!$A:$AC,2,FALSE))="AMX",(VLOOKUP(Table2[[#This Row],[SKU]],'All Skus'!$A:$AC,5,FALSE)),""))</f>
        <v>AMX-SIG</v>
      </c>
      <c r="E23" s="281">
        <f>(IF((VLOOKUP(Table2[[#This Row],[SKU]],'All Skus'!$A:$AC,2,FALSE))="AMX",(VLOOKUP(Table2[[#This Row],[SKU]],'All Skus'!$A:$AC,7,FALSE)),""))</f>
        <v>0</v>
      </c>
      <c r="F23" s="280" t="str">
        <f>(IF((VLOOKUP(Table2[[#This Row],[SKU]],'All Skus'!$A:$AC,2,FALSE))="AMX",(VLOOKUP(Table2[[#This Row],[SKU]],'All Skus'!$A:$AC,8,FALSE)),""))</f>
        <v>Precis 4x4 4K60 HDMI Switcher</v>
      </c>
      <c r="G23" s="280" t="str">
        <f>(IF((VLOOKUP(Table2[[#This Row],[SKU]],'All Skus'!$A:$AC,2,FALSE))="AMX",(VLOOKUP(Table2[[#This Row],[SKU]],'All Skus'!$A:$AC,9,FALSE)),""))</f>
        <v>Precis 4x4 4K60 HDMI Switcher</v>
      </c>
      <c r="H23" s="157">
        <f>(IF((VLOOKUP(Table2[[#This Row],[SKU]],'All Skus'!$A:$AC,2,FALSE))="AMX",(VLOOKUP(Table2[[#This Row],[SKU]],'All Skus'!$A:$AC,10,FALSE)),""))</f>
        <v>2838.7</v>
      </c>
      <c r="I23" s="157">
        <f>(IF((VLOOKUP(Table2[[#This Row],[SKU]],'All Skus'!$A:$AC,2,FALSE))="AMX",(VLOOKUP(Table2[[#This Row],[SKU]],'All Skus'!$A:$AC,11,FALSE)),""))</f>
        <v>2838.7</v>
      </c>
      <c r="J23" s="47">
        <f>(IF((VLOOKUP(Table2[[#This Row],[SKU]],'All Skus'!$A:$AC,2,FALSE))="AMX",(VLOOKUP(Table2[[#This Row],[SKU]],'All Skus'!$A:$AC,15,FALSE)),""))</f>
        <v>0</v>
      </c>
      <c r="K23" s="47">
        <f>(IF((VLOOKUP(Table2[[#This Row],[SKU]],'All Skus'!$A:$AC,2,FALSE))="AMX",(VLOOKUP(Table2[[#This Row],[SKU]],'All Skus'!$A:$AC,16,FALSE)),""))</f>
        <v>718878034552</v>
      </c>
      <c r="L23" s="47">
        <f>(IF((VLOOKUP(Table2[[#This Row],[SKU]],'All Skus'!$A:$AC,2,FALSE))="AMX",(VLOOKUP(Table2[[#This Row],[SKU]],'All Skus'!$A:$AC,17,FALSE)),""))</f>
        <v>0</v>
      </c>
      <c r="M23" s="63">
        <f>(IF((VLOOKUP(Table2[[#This Row],[SKU]],'All Skus'!$A:$AC,2,FALSE))="AMX",(VLOOKUP(Table2[[#This Row],[SKU]],'All Skus'!$A:$AC,18,FALSE)),""))</f>
        <v>6.6</v>
      </c>
      <c r="N23" s="47">
        <f>(IF((VLOOKUP(Table2[[#This Row],[SKU]],'All Skus'!$A:$AC,2,FALSE))="AMX",(VLOOKUP(Table2[[#This Row],[SKU]],'All Skus'!$A:$AC,19,FALSE)),""))</f>
        <v>17.239999999999998</v>
      </c>
      <c r="O23" s="47">
        <f>(IF((VLOOKUP(Table2[[#This Row],[SKU]],'All Skus'!$A:$AC,2,FALSE))="AMX",(VLOOKUP(Table2[[#This Row],[SKU]],'All Skus'!$A:$AC,20,FALSE)),""))</f>
        <v>10.59</v>
      </c>
      <c r="P23" s="47">
        <f>(IF((VLOOKUP(Table2[[#This Row],[SKU]],'All Skus'!$A:$AC,2,FALSE))="AMX",(VLOOKUP(Table2[[#This Row],[SKU]],'All Skus'!$A:$AC,21,FALSE)),""))</f>
        <v>1.73</v>
      </c>
      <c r="Q23" s="47" t="str">
        <f>(IF((VLOOKUP(Table2[[#This Row],[SKU]],'All Skus'!$A:$AC,2,FALSE))="AMX",(VLOOKUP(Table2[[#This Row],[SKU]],'All Skus'!$A:$AC,22,FALSE)),""))</f>
        <v>TW</v>
      </c>
      <c r="R23" s="47" t="str">
        <f>(IF((VLOOKUP(Table2[[#This Row],[SKU]],'All Skus'!$A:$AC,2,FALSE))="AMX",(VLOOKUP(Table2[[#This Row],[SKU]],'All Skus'!$A:$AC,23,FALSE)),""))</f>
        <v>Compliant</v>
      </c>
      <c r="S23" s="210" t="str">
        <f>HYPERLINK((IF((VLOOKUP(Table2[[#This Row],[SKU]],'All Skus'!$A:$AC,2,FALSE))="AMX",(VLOOKUP(Table2[[#This Row],[SKU]],'All Skus'!$A:$AC,24,FALSE)),"")))</f>
        <v>https://www.amx.com/en-US/products/pr-0404</v>
      </c>
      <c r="T23" s="151">
        <v>21</v>
      </c>
    </row>
    <row r="24" spans="1:20" ht="15" hidden="1" customHeight="1">
      <c r="A24" s="48" t="s">
        <v>530</v>
      </c>
      <c r="B24" s="280" t="str">
        <f>(IF((VLOOKUP(Table2[[#This Row],[SKU]],'All Skus'!$A:$AC,2,FALSE))="AMX",(VLOOKUP(Table2[[#This Row],[SKU]],'All Skus'!$A:$AC,3,FALSE)),""))</f>
        <v>Digital Switchers</v>
      </c>
      <c r="C24" s="280" t="str">
        <f>(IF((VLOOKUP(Table2[[#This Row],[SKU]],'All Skus'!$A:$AC,2,FALSE))="AMX",(VLOOKUP(Table2[[#This Row],[SKU]],'All Skus'!$A:$AC,4,FALSE)),""))</f>
        <v>PR-0602</v>
      </c>
      <c r="D24" s="47" t="str">
        <f>(IF((VLOOKUP(Table2[[#This Row],[SKU]],'All Skus'!$A:$AC,2,FALSE))="AMX",(VLOOKUP(Table2[[#This Row],[SKU]],'All Skus'!$A:$AC,5,FALSE)),""))</f>
        <v>AMX-SIG</v>
      </c>
      <c r="E24" s="281">
        <f>(IF((VLOOKUP(Table2[[#This Row],[SKU]],'All Skus'!$A:$AC,2,FALSE))="AMX",(VLOOKUP(Table2[[#This Row],[SKU]],'All Skus'!$A:$AC,7,FALSE)),""))</f>
        <v>0</v>
      </c>
      <c r="F24" s="280" t="str">
        <f>(IF((VLOOKUP(Table2[[#This Row],[SKU]],'All Skus'!$A:$AC,2,FALSE))="AMX",(VLOOKUP(Table2[[#This Row],[SKU]],'All Skus'!$A:$AC,8,FALSE)),""))</f>
        <v>Precis 6x2 4K60 HDMI Switcher</v>
      </c>
      <c r="G24" s="280" t="str">
        <f>(IF((VLOOKUP(Table2[[#This Row],[SKU]],'All Skus'!$A:$AC,2,FALSE))="AMX",(VLOOKUP(Table2[[#This Row],[SKU]],'All Skus'!$A:$AC,9,FALSE)),""))</f>
        <v>Precis 6x2 4K60 HDMI Switcher</v>
      </c>
      <c r="H24" s="157">
        <f>(IF((VLOOKUP(Table2[[#This Row],[SKU]],'All Skus'!$A:$AC,2,FALSE))="AMX",(VLOOKUP(Table2[[#This Row],[SKU]],'All Skus'!$A:$AC,10,FALSE)),""))</f>
        <v>1715</v>
      </c>
      <c r="I24" s="157">
        <f>(IF((VLOOKUP(Table2[[#This Row],[SKU]],'All Skus'!$A:$AC,2,FALSE))="AMX",(VLOOKUP(Table2[[#This Row],[SKU]],'All Skus'!$A:$AC,11,FALSE)),""))</f>
        <v>1715</v>
      </c>
      <c r="J24" s="47">
        <f>(IF((VLOOKUP(Table2[[#This Row],[SKU]],'All Skus'!$A:$AC,2,FALSE))="AMX",(VLOOKUP(Table2[[#This Row],[SKU]],'All Skus'!$A:$AC,15,FALSE)),""))</f>
        <v>0</v>
      </c>
      <c r="K24" s="47">
        <f>(IF((VLOOKUP(Table2[[#This Row],[SKU]],'All Skus'!$A:$AC,2,FALSE))="AMX",(VLOOKUP(Table2[[#This Row],[SKU]],'All Skus'!$A:$AC,16,FALSE)),""))</f>
        <v>718878034545</v>
      </c>
      <c r="L24" s="47">
        <f>(IF((VLOOKUP(Table2[[#This Row],[SKU]],'All Skus'!$A:$AC,2,FALSE))="AMX",(VLOOKUP(Table2[[#This Row],[SKU]],'All Skus'!$A:$AC,17,FALSE)),""))</f>
        <v>0</v>
      </c>
      <c r="M24" s="63">
        <f>(IF((VLOOKUP(Table2[[#This Row],[SKU]],'All Skus'!$A:$AC,2,FALSE))="AMX",(VLOOKUP(Table2[[#This Row],[SKU]],'All Skus'!$A:$AC,18,FALSE)),""))</f>
        <v>6.3</v>
      </c>
      <c r="N24" s="47">
        <f>(IF((VLOOKUP(Table2[[#This Row],[SKU]],'All Skus'!$A:$AC,2,FALSE))="AMX",(VLOOKUP(Table2[[#This Row],[SKU]],'All Skus'!$A:$AC,19,FALSE)),""))</f>
        <v>17.239999999999998</v>
      </c>
      <c r="O24" s="47">
        <f>(IF((VLOOKUP(Table2[[#This Row],[SKU]],'All Skus'!$A:$AC,2,FALSE))="AMX",(VLOOKUP(Table2[[#This Row],[SKU]],'All Skus'!$A:$AC,20,FALSE)),""))</f>
        <v>10.59</v>
      </c>
      <c r="P24" s="47">
        <f>(IF((VLOOKUP(Table2[[#This Row],[SKU]],'All Skus'!$A:$AC,2,FALSE))="AMX",(VLOOKUP(Table2[[#This Row],[SKU]],'All Skus'!$A:$AC,21,FALSE)),""))</f>
        <v>1.73</v>
      </c>
      <c r="Q24" s="47" t="str">
        <f>(IF((VLOOKUP(Table2[[#This Row],[SKU]],'All Skus'!$A:$AC,2,FALSE))="AMX",(VLOOKUP(Table2[[#This Row],[SKU]],'All Skus'!$A:$AC,22,FALSE)),""))</f>
        <v>TW</v>
      </c>
      <c r="R24" s="47" t="str">
        <f>(IF((VLOOKUP(Table2[[#This Row],[SKU]],'All Skus'!$A:$AC,2,FALSE))="AMX",(VLOOKUP(Table2[[#This Row],[SKU]],'All Skus'!$A:$AC,23,FALSE)),""))</f>
        <v>Compliant</v>
      </c>
      <c r="S24" s="210" t="str">
        <f>HYPERLINK((IF((VLOOKUP(Table2[[#This Row],[SKU]],'All Skus'!$A:$AC,2,FALSE))="AMX",(VLOOKUP(Table2[[#This Row],[SKU]],'All Skus'!$A:$AC,24,FALSE)),"")))</f>
        <v>https://www.amx.com/en-US/products/pr-0602</v>
      </c>
      <c r="T24" s="151">
        <v>22</v>
      </c>
    </row>
    <row r="25" spans="1:20" ht="15" hidden="1" customHeight="1">
      <c r="A25" s="48" t="s">
        <v>531</v>
      </c>
      <c r="B25" s="280" t="str">
        <f>(IF((VLOOKUP(Table2[[#This Row],[SKU]],'All Skus'!$A:$AC,2,FALSE))="AMX",(VLOOKUP(Table2[[#This Row],[SKU]],'All Skus'!$A:$AC,3,FALSE)),""))</f>
        <v>Digital Switchers</v>
      </c>
      <c r="C25" s="280" t="str">
        <f>(IF((VLOOKUP(Table2[[#This Row],[SKU]],'All Skus'!$A:$AC,2,FALSE))="AMX",(VLOOKUP(Table2[[#This Row],[SKU]],'All Skus'!$A:$AC,4,FALSE)),""))</f>
        <v>PR-0808</v>
      </c>
      <c r="D25" s="47" t="str">
        <f>(IF((VLOOKUP(Table2[[#This Row],[SKU]],'All Skus'!$A:$AC,2,FALSE))="AMX",(VLOOKUP(Table2[[#This Row],[SKU]],'All Skus'!$A:$AC,5,FALSE)),""))</f>
        <v>AMX-SIG</v>
      </c>
      <c r="E25" s="281">
        <f>(IF((VLOOKUP(Table2[[#This Row],[SKU]],'All Skus'!$A:$AC,2,FALSE))="AMX",(VLOOKUP(Table2[[#This Row],[SKU]],'All Skus'!$A:$AC,7,FALSE)),""))</f>
        <v>0</v>
      </c>
      <c r="F25" s="280" t="str">
        <f>(IF((VLOOKUP(Table2[[#This Row],[SKU]],'All Skus'!$A:$AC,2,FALSE))="AMX",(VLOOKUP(Table2[[#This Row],[SKU]],'All Skus'!$A:$AC,8,FALSE)),""))</f>
        <v>Precis 8x8 4K60 HDMI Switcher</v>
      </c>
      <c r="G25" s="280" t="str">
        <f>(IF((VLOOKUP(Table2[[#This Row],[SKU]],'All Skus'!$A:$AC,2,FALSE))="AMX",(VLOOKUP(Table2[[#This Row],[SKU]],'All Skus'!$A:$AC,9,FALSE)),""))</f>
        <v>Precis 8x8 4K60 HDMI Switcher</v>
      </c>
      <c r="H25" s="157">
        <f>(IF((VLOOKUP(Table2[[#This Row],[SKU]],'All Skus'!$A:$AC,2,FALSE))="AMX",(VLOOKUP(Table2[[#This Row],[SKU]],'All Skus'!$A:$AC,10,FALSE)),""))</f>
        <v>5487.8</v>
      </c>
      <c r="I25" s="157">
        <f>(IF((VLOOKUP(Table2[[#This Row],[SKU]],'All Skus'!$A:$AC,2,FALSE))="AMX",(VLOOKUP(Table2[[#This Row],[SKU]],'All Skus'!$A:$AC,11,FALSE)),""))</f>
        <v>5487.8</v>
      </c>
      <c r="J25" s="47">
        <f>(IF((VLOOKUP(Table2[[#This Row],[SKU]],'All Skus'!$A:$AC,2,FALSE))="AMX",(VLOOKUP(Table2[[#This Row],[SKU]],'All Skus'!$A:$AC,15,FALSE)),""))</f>
        <v>0</v>
      </c>
      <c r="K25" s="47">
        <f>(IF((VLOOKUP(Table2[[#This Row],[SKU]],'All Skus'!$A:$AC,2,FALSE))="AMX",(VLOOKUP(Table2[[#This Row],[SKU]],'All Skus'!$A:$AC,16,FALSE)),""))</f>
        <v>718878034569</v>
      </c>
      <c r="L25" s="47">
        <f>(IF((VLOOKUP(Table2[[#This Row],[SKU]],'All Skus'!$A:$AC,2,FALSE))="AMX",(VLOOKUP(Table2[[#This Row],[SKU]],'All Skus'!$A:$AC,17,FALSE)),""))</f>
        <v>0</v>
      </c>
      <c r="M25" s="63">
        <f>(IF((VLOOKUP(Table2[[#This Row],[SKU]],'All Skus'!$A:$AC,2,FALSE))="AMX",(VLOOKUP(Table2[[#This Row],[SKU]],'All Skus'!$A:$AC,18,FALSE)),""))</f>
        <v>7.9</v>
      </c>
      <c r="N25" s="47">
        <f>(IF((VLOOKUP(Table2[[#This Row],[SKU]],'All Skus'!$A:$AC,2,FALSE))="AMX",(VLOOKUP(Table2[[#This Row],[SKU]],'All Skus'!$A:$AC,19,FALSE)),""))</f>
        <v>17.239999999999998</v>
      </c>
      <c r="O25" s="47">
        <f>(IF((VLOOKUP(Table2[[#This Row],[SKU]],'All Skus'!$A:$AC,2,FALSE))="AMX",(VLOOKUP(Table2[[#This Row],[SKU]],'All Skus'!$A:$AC,20,FALSE)),""))</f>
        <v>10.59</v>
      </c>
      <c r="P25" s="47">
        <f>(IF((VLOOKUP(Table2[[#This Row],[SKU]],'All Skus'!$A:$AC,2,FALSE))="AMX",(VLOOKUP(Table2[[#This Row],[SKU]],'All Skus'!$A:$AC,21,FALSE)),""))</f>
        <v>1.73</v>
      </c>
      <c r="Q25" s="47" t="str">
        <f>(IF((VLOOKUP(Table2[[#This Row],[SKU]],'All Skus'!$A:$AC,2,FALSE))="AMX",(VLOOKUP(Table2[[#This Row],[SKU]],'All Skus'!$A:$AC,22,FALSE)),""))</f>
        <v>TW</v>
      </c>
      <c r="R25" s="47" t="str">
        <f>(IF((VLOOKUP(Table2[[#This Row],[SKU]],'All Skus'!$A:$AC,2,FALSE))="AMX",(VLOOKUP(Table2[[#This Row],[SKU]],'All Skus'!$A:$AC,23,FALSE)),""))</f>
        <v>Compliant</v>
      </c>
      <c r="S25" s="210" t="str">
        <f>HYPERLINK((IF((VLOOKUP(Table2[[#This Row],[SKU]],'All Skus'!$A:$AC,2,FALSE))="AMX",(VLOOKUP(Table2[[#This Row],[SKU]],'All Skus'!$A:$AC,24,FALSE)),"")))</f>
        <v>https://www.amx.com/en-US/products/pr-0808</v>
      </c>
      <c r="T25" s="151">
        <v>23</v>
      </c>
    </row>
    <row r="26" spans="1:20" ht="15" hidden="1" customHeight="1">
      <c r="A26" s="48" t="s">
        <v>532</v>
      </c>
      <c r="B26" s="280" t="str">
        <f>(IF((VLOOKUP(Table2[[#This Row],[SKU]],'All Skus'!$A:$AC,2,FALSE))="AMX",(VLOOKUP(Table2[[#This Row],[SKU]],'All Skus'!$A:$AC,3,FALSE)),""))</f>
        <v>Digital Switchers</v>
      </c>
      <c r="C26" s="280" t="str">
        <f>(IF((VLOOKUP(Table2[[#This Row],[SKU]],'All Skus'!$A:$AC,2,FALSE))="AMX",(VLOOKUP(Table2[[#This Row],[SKU]],'All Skus'!$A:$AC,4,FALSE)),""))</f>
        <v>PR-WP-412</v>
      </c>
      <c r="D26" s="47" t="str">
        <f>(IF((VLOOKUP(Table2[[#This Row],[SKU]],'All Skus'!$A:$AC,2,FALSE))="AMX",(VLOOKUP(Table2[[#This Row],[SKU]],'All Skus'!$A:$AC,5,FALSE)),""))</f>
        <v>AMX-SIG</v>
      </c>
      <c r="E26" s="281">
        <f>(IF((VLOOKUP(Table2[[#This Row],[SKU]],'All Skus'!$A:$AC,2,FALSE))="AMX",(VLOOKUP(Table2[[#This Row],[SKU]],'All Skus'!$A:$AC,7,FALSE)),""))</f>
        <v>0</v>
      </c>
      <c r="F26" s="280" t="str">
        <f>(IF((VLOOKUP(Table2[[#This Row],[SKU]],'All Skus'!$A:$AC,2,FALSE))="AMX",(VLOOKUP(Table2[[#This Row],[SKU]],'All Skus'!$A:$AC,8,FALSE)),""))</f>
        <v>Precis 4x1:2 4K60 Windowing Processor</v>
      </c>
      <c r="G26" s="280" t="str">
        <f>(IF((VLOOKUP(Table2[[#This Row],[SKU]],'All Skus'!$A:$AC,2,FALSE))="AMX",(VLOOKUP(Table2[[#This Row],[SKU]],'All Skus'!$A:$AC,9,FALSE)),""))</f>
        <v>Precis 4x1:2 4K60 Windowing Processor</v>
      </c>
      <c r="H26" s="157">
        <f>(IF((VLOOKUP(Table2[[#This Row],[SKU]],'All Skus'!$A:$AC,2,FALSE))="AMX",(VLOOKUP(Table2[[#This Row],[SKU]],'All Skus'!$A:$AC,10,FALSE)),""))</f>
        <v>3201.2</v>
      </c>
      <c r="I26" s="157">
        <f>(IF((VLOOKUP(Table2[[#This Row],[SKU]],'All Skus'!$A:$AC,2,FALSE))="AMX",(VLOOKUP(Table2[[#This Row],[SKU]],'All Skus'!$A:$AC,11,FALSE)),""))</f>
        <v>3201.2</v>
      </c>
      <c r="J26" s="47">
        <f>(IF((VLOOKUP(Table2[[#This Row],[SKU]],'All Skus'!$A:$AC,2,FALSE))="AMX",(VLOOKUP(Table2[[#This Row],[SKU]],'All Skus'!$A:$AC,15,FALSE)),""))</f>
        <v>0</v>
      </c>
      <c r="K26" s="47">
        <f>(IF((VLOOKUP(Table2[[#This Row],[SKU]],'All Skus'!$A:$AC,2,FALSE))="AMX",(VLOOKUP(Table2[[#This Row],[SKU]],'All Skus'!$A:$AC,16,FALSE)),""))</f>
        <v>718878034521</v>
      </c>
      <c r="L26" s="47">
        <f>(IF((VLOOKUP(Table2[[#This Row],[SKU]],'All Skus'!$A:$AC,2,FALSE))="AMX",(VLOOKUP(Table2[[#This Row],[SKU]],'All Skus'!$A:$AC,17,FALSE)),""))</f>
        <v>0</v>
      </c>
      <c r="M26" s="63">
        <f>(IF((VLOOKUP(Table2[[#This Row],[SKU]],'All Skus'!$A:$AC,2,FALSE))="AMX",(VLOOKUP(Table2[[#This Row],[SKU]],'All Skus'!$A:$AC,18,FALSE)),""))</f>
        <v>3.1</v>
      </c>
      <c r="N26" s="47">
        <f>(IF((VLOOKUP(Table2[[#This Row],[SKU]],'All Skus'!$A:$AC,2,FALSE))="AMX",(VLOOKUP(Table2[[#This Row],[SKU]],'All Skus'!$A:$AC,19,FALSE)),""))</f>
        <v>8.4</v>
      </c>
      <c r="O26" s="47">
        <f>(IF((VLOOKUP(Table2[[#This Row],[SKU]],'All Skus'!$A:$AC,2,FALSE))="AMX",(VLOOKUP(Table2[[#This Row],[SKU]],'All Skus'!$A:$AC,20,FALSE)),""))</f>
        <v>8.07</v>
      </c>
      <c r="P26" s="47">
        <f>(IF((VLOOKUP(Table2[[#This Row],[SKU]],'All Skus'!$A:$AC,2,FALSE))="AMX",(VLOOKUP(Table2[[#This Row],[SKU]],'All Skus'!$A:$AC,21,FALSE)),""))</f>
        <v>1.73</v>
      </c>
      <c r="Q26" s="47" t="str">
        <f>(IF((VLOOKUP(Table2[[#This Row],[SKU]],'All Skus'!$A:$AC,2,FALSE))="AMX",(VLOOKUP(Table2[[#This Row],[SKU]],'All Skus'!$A:$AC,22,FALSE)),""))</f>
        <v>TW</v>
      </c>
      <c r="R26" s="47" t="str">
        <f>(IF((VLOOKUP(Table2[[#This Row],[SKU]],'All Skus'!$A:$AC,2,FALSE))="AMX",(VLOOKUP(Table2[[#This Row],[SKU]],'All Skus'!$A:$AC,23,FALSE)),""))</f>
        <v>Compliant</v>
      </c>
      <c r="S26" s="210" t="str">
        <f>HYPERLINK((IF((VLOOKUP(Table2[[#This Row],[SKU]],'All Skus'!$A:$AC,2,FALSE))="AMX",(VLOOKUP(Table2[[#This Row],[SKU]],'All Skus'!$A:$AC,24,FALSE)),"")))</f>
        <v>https://www.amx.com/en-US/products/pr-wp-412</v>
      </c>
      <c r="T26" s="151">
        <v>24</v>
      </c>
    </row>
    <row r="27" spans="1:20" ht="15" hidden="1" customHeight="1">
      <c r="A27" s="48" t="s">
        <v>533</v>
      </c>
      <c r="B27" s="280" t="str">
        <f>(IF((VLOOKUP(Table2[[#This Row],[SKU]],'All Skus'!$A:$AC,2,FALSE))="AMX",(VLOOKUP(Table2[[#This Row],[SKU]],'All Skus'!$A:$AC,3,FALSE)),""))</f>
        <v>User Interface Accessories</v>
      </c>
      <c r="C27" s="280" t="str">
        <f>(IF((VLOOKUP(Table2[[#This Row],[SKU]],'All Skus'!$A:$AC,2,FALSE))="AMX",(VLOOKUP(Table2[[#This Row],[SKU]],'All Skus'!$A:$AC,4,FALSE)),""))</f>
        <v>VARIA-ACS-80F</v>
      </c>
      <c r="D27" s="47" t="str">
        <f>(IF((VLOOKUP(Table2[[#This Row],[SKU]],'All Skus'!$A:$AC,2,FALSE))="AMX",(VLOOKUP(Table2[[#This Row],[SKU]],'All Skus'!$A:$AC,5,FALSE)),""))</f>
        <v>AMX-UI</v>
      </c>
      <c r="E27" s="281" t="str">
        <f>(IF((VLOOKUP(Table2[[#This Row],[SKU]],'All Skus'!$A:$AC,2,FALSE))="AMX",(VLOOKUP(Table2[[#This Row],[SKU]],'All Skus'!$A:$AC,7,FALSE)),""))</f>
        <v>NEW</v>
      </c>
      <c r="F27" s="280" t="str">
        <f>(IF((VLOOKUP(Table2[[#This Row],[SKU]],'All Skus'!$A:$AC,2,FALSE))="AMX",(VLOOKUP(Table2[[#This Row],[SKU]],'All Skus'!$A:$AC,8,FALSE)),""))</f>
        <v>AMX Varia, Fixed Tabletop Stand for VARIA-80</v>
      </c>
      <c r="G27" s="280" t="str">
        <f>(IF((VLOOKUP(Table2[[#This Row],[SKU]],'All Skus'!$A:$AC,2,FALSE))="AMX",(VLOOKUP(Table2[[#This Row],[SKU]],'All Skus'!$A:$AC,9,FALSE)),""))</f>
        <v>AMX Varia, Fixed Tabletop Stand for VARIA-80</v>
      </c>
      <c r="H27" s="157">
        <f>(IF((VLOOKUP(Table2[[#This Row],[SKU]],'All Skus'!$A:$AC,2,FALSE))="AMX",(VLOOKUP(Table2[[#This Row],[SKU]],'All Skus'!$A:$AC,10,FALSE)),""))</f>
        <v>200</v>
      </c>
      <c r="I27" s="157">
        <f>(IF((VLOOKUP(Table2[[#This Row],[SKU]],'All Skus'!$A:$AC,2,FALSE))="AMX",(VLOOKUP(Table2[[#This Row],[SKU]],'All Skus'!$A:$AC,11,FALSE)),""))</f>
        <v>200</v>
      </c>
      <c r="J27" s="47">
        <f>(IF((VLOOKUP(Table2[[#This Row],[SKU]],'All Skus'!$A:$AC,2,FALSE))="AMX",(VLOOKUP(Table2[[#This Row],[SKU]],'All Skus'!$A:$AC,15,FALSE)),""))</f>
        <v>0</v>
      </c>
      <c r="K27" s="47">
        <f>(IF((VLOOKUP(Table2[[#This Row],[SKU]],'All Skus'!$A:$AC,2,FALSE))="AMX",(VLOOKUP(Table2[[#This Row],[SKU]],'All Skus'!$A:$AC,16,FALSE)),""))</f>
        <v>718878035030</v>
      </c>
      <c r="L27" s="47">
        <f>(IF((VLOOKUP(Table2[[#This Row],[SKU]],'All Skus'!$A:$AC,2,FALSE))="AMX",(VLOOKUP(Table2[[#This Row],[SKU]],'All Skus'!$A:$AC,17,FALSE)),""))</f>
        <v>0</v>
      </c>
      <c r="M27" s="63">
        <f>(IF((VLOOKUP(Table2[[#This Row],[SKU]],'All Skus'!$A:$AC,2,FALSE))="AMX",(VLOOKUP(Table2[[#This Row],[SKU]],'All Skus'!$A:$AC,18,FALSE)),""))</f>
        <v>0.46</v>
      </c>
      <c r="N27" s="47">
        <f>(IF((VLOOKUP(Table2[[#This Row],[SKU]],'All Skus'!$A:$AC,2,FALSE))="AMX",(VLOOKUP(Table2[[#This Row],[SKU]],'All Skus'!$A:$AC,19,FALSE)),""))</f>
        <v>7.82</v>
      </c>
      <c r="O27" s="47">
        <f>(IF((VLOOKUP(Table2[[#This Row],[SKU]],'All Skus'!$A:$AC,2,FALSE))="AMX",(VLOOKUP(Table2[[#This Row],[SKU]],'All Skus'!$A:$AC,20,FALSE)),""))</f>
        <v>1.96</v>
      </c>
      <c r="P27" s="47">
        <f>(IF((VLOOKUP(Table2[[#This Row],[SKU]],'All Skus'!$A:$AC,2,FALSE))="AMX",(VLOOKUP(Table2[[#This Row],[SKU]],'All Skus'!$A:$AC,21,FALSE)),""))</f>
        <v>3.6</v>
      </c>
      <c r="Q27" s="47" t="str">
        <f>(IF((VLOOKUP(Table2[[#This Row],[SKU]],'All Skus'!$A:$AC,2,FALSE))="AMX",(VLOOKUP(Table2[[#This Row],[SKU]],'All Skus'!$A:$AC,22,FALSE)),""))</f>
        <v>TW</v>
      </c>
      <c r="R27" s="47" t="str">
        <f>(IF((VLOOKUP(Table2[[#This Row],[SKU]],'All Skus'!$A:$AC,2,FALSE))="AMX",(VLOOKUP(Table2[[#This Row],[SKU]],'All Skus'!$A:$AC,23,FALSE)),""))</f>
        <v>Compliant</v>
      </c>
      <c r="S27" s="210" t="str">
        <f>HYPERLINK((IF((VLOOKUP(Table2[[#This Row],[SKU]],'All Skus'!$A:$AC,2,FALSE))="AMX",(VLOOKUP(Table2[[#This Row],[SKU]],'All Skus'!$A:$AC,24,FALSE)),"")))</f>
        <v>https://www.amx.com/en-US/products/varia-acs-80f</v>
      </c>
      <c r="T27" s="151">
        <v>25</v>
      </c>
    </row>
    <row r="28" spans="1:20" ht="15" hidden="1" customHeight="1">
      <c r="A28" s="48" t="s">
        <v>534</v>
      </c>
      <c r="B28" s="280" t="str">
        <f>(IF((VLOOKUP(Table2[[#This Row],[SKU]],'All Skus'!$A:$AC,2,FALSE))="AMX",(VLOOKUP(Table2[[#This Row],[SKU]],'All Skus'!$A:$AC,3,FALSE)),""))</f>
        <v>User Interface Accessories</v>
      </c>
      <c r="C28" s="280" t="str">
        <f>(IF((VLOOKUP(Table2[[#This Row],[SKU]],'All Skus'!$A:$AC,2,FALSE))="AMX",(VLOOKUP(Table2[[#This Row],[SKU]],'All Skus'!$A:$AC,4,FALSE)),""))</f>
        <v>VARIA-ACS-100F</v>
      </c>
      <c r="D28" s="47" t="str">
        <f>(IF((VLOOKUP(Table2[[#This Row],[SKU]],'All Skus'!$A:$AC,2,FALSE))="AMX",(VLOOKUP(Table2[[#This Row],[SKU]],'All Skus'!$A:$AC,5,FALSE)),""))</f>
        <v>AMX-UI</v>
      </c>
      <c r="E28" s="281" t="str">
        <f>(IF((VLOOKUP(Table2[[#This Row],[SKU]],'All Skus'!$A:$AC,2,FALSE))="AMX",(VLOOKUP(Table2[[#This Row],[SKU]],'All Skus'!$A:$AC,7,FALSE)),""))</f>
        <v>NEW</v>
      </c>
      <c r="F28" s="280" t="str">
        <f>(IF((VLOOKUP(Table2[[#This Row],[SKU]],'All Skus'!$A:$AC,2,FALSE))="AMX",(VLOOKUP(Table2[[#This Row],[SKU]],'All Skus'!$A:$AC,8,FALSE)),""))</f>
        <v>AMX Varia, Fixed Tabletop Stand for VARIA-100 &amp; VARIA-100N</v>
      </c>
      <c r="G28" s="280" t="str">
        <f>(IF((VLOOKUP(Table2[[#This Row],[SKU]],'All Skus'!$A:$AC,2,FALSE))="AMX",(VLOOKUP(Table2[[#This Row],[SKU]],'All Skus'!$A:$AC,9,FALSE)),""))</f>
        <v>AMX Varia, Fixed Tabletop Stand for VARIA-100 &amp; VARIA-100N</v>
      </c>
      <c r="H28" s="157">
        <f>(IF((VLOOKUP(Table2[[#This Row],[SKU]],'All Skus'!$A:$AC,2,FALSE))="AMX",(VLOOKUP(Table2[[#This Row],[SKU]],'All Skus'!$A:$AC,10,FALSE)),""))</f>
        <v>225</v>
      </c>
      <c r="I28" s="157">
        <f>(IF((VLOOKUP(Table2[[#This Row],[SKU]],'All Skus'!$A:$AC,2,FALSE))="AMX",(VLOOKUP(Table2[[#This Row],[SKU]],'All Skus'!$A:$AC,11,FALSE)),""))</f>
        <v>225</v>
      </c>
      <c r="J28" s="47">
        <f>(IF((VLOOKUP(Table2[[#This Row],[SKU]],'All Skus'!$A:$AC,2,FALSE))="AMX",(VLOOKUP(Table2[[#This Row],[SKU]],'All Skus'!$A:$AC,15,FALSE)),""))</f>
        <v>0</v>
      </c>
      <c r="K28" s="47">
        <f>(IF((VLOOKUP(Table2[[#This Row],[SKU]],'All Skus'!$A:$AC,2,FALSE))="AMX",(VLOOKUP(Table2[[#This Row],[SKU]],'All Skus'!$A:$AC,16,FALSE)),""))</f>
        <v>718878035047</v>
      </c>
      <c r="L28" s="47">
        <f>(IF((VLOOKUP(Table2[[#This Row],[SKU]],'All Skus'!$A:$AC,2,FALSE))="AMX",(VLOOKUP(Table2[[#This Row],[SKU]],'All Skus'!$A:$AC,17,FALSE)),""))</f>
        <v>0</v>
      </c>
      <c r="M28" s="63">
        <f>(IF((VLOOKUP(Table2[[#This Row],[SKU]],'All Skus'!$A:$AC,2,FALSE))="AMX",(VLOOKUP(Table2[[#This Row],[SKU]],'All Skus'!$A:$AC,18,FALSE)),""))</f>
        <v>0.61</v>
      </c>
      <c r="N28" s="47">
        <f>(IF((VLOOKUP(Table2[[#This Row],[SKU]],'All Skus'!$A:$AC,2,FALSE))="AMX",(VLOOKUP(Table2[[#This Row],[SKU]],'All Skus'!$A:$AC,19,FALSE)),""))</f>
        <v>9.4700000000000006</v>
      </c>
      <c r="O28" s="47">
        <f>(IF((VLOOKUP(Table2[[#This Row],[SKU]],'All Skus'!$A:$AC,2,FALSE))="AMX",(VLOOKUP(Table2[[#This Row],[SKU]],'All Skus'!$A:$AC,20,FALSE)),""))</f>
        <v>2.75</v>
      </c>
      <c r="P28" s="47">
        <f>(IF((VLOOKUP(Table2[[#This Row],[SKU]],'All Skus'!$A:$AC,2,FALSE))="AMX",(VLOOKUP(Table2[[#This Row],[SKU]],'All Skus'!$A:$AC,21,FALSE)),""))</f>
        <v>3.82</v>
      </c>
      <c r="Q28" s="47" t="str">
        <f>(IF((VLOOKUP(Table2[[#This Row],[SKU]],'All Skus'!$A:$AC,2,FALSE))="AMX",(VLOOKUP(Table2[[#This Row],[SKU]],'All Skus'!$A:$AC,22,FALSE)),""))</f>
        <v>TW</v>
      </c>
      <c r="R28" s="47" t="str">
        <f>(IF((VLOOKUP(Table2[[#This Row],[SKU]],'All Skus'!$A:$AC,2,FALSE))="AMX",(VLOOKUP(Table2[[#This Row],[SKU]],'All Skus'!$A:$AC,23,FALSE)),""))</f>
        <v>Compliant</v>
      </c>
      <c r="S28" s="210" t="str">
        <f>HYPERLINK((IF((VLOOKUP(Table2[[#This Row],[SKU]],'All Skus'!$A:$AC,2,FALSE))="AMX",(VLOOKUP(Table2[[#This Row],[SKU]],'All Skus'!$A:$AC,24,FALSE)),"")))</f>
        <v>https://www.amx.com/en-US/products/varia-acs-100f</v>
      </c>
      <c r="T28" s="151">
        <v>26</v>
      </c>
    </row>
    <row r="29" spans="1:20" ht="15" hidden="1" customHeight="1">
      <c r="A29" s="48" t="s">
        <v>535</v>
      </c>
      <c r="B29" s="280" t="str">
        <f>(IF((VLOOKUP(Table2[[#This Row],[SKU]],'All Skus'!$A:$AC,2,FALSE))="AMX",(VLOOKUP(Table2[[#This Row],[SKU]],'All Skus'!$A:$AC,3,FALSE)),""))</f>
        <v>User Interface Accessories</v>
      </c>
      <c r="C29" s="280" t="str">
        <f>(IF((VLOOKUP(Table2[[#This Row],[SKU]],'All Skus'!$A:$AC,2,FALSE))="AMX",(VLOOKUP(Table2[[#This Row],[SKU]],'All Skus'!$A:$AC,4,FALSE)),""))</f>
        <v>VARIA-ACS-150A</v>
      </c>
      <c r="D29" s="47" t="str">
        <f>(IF((VLOOKUP(Table2[[#This Row],[SKU]],'All Skus'!$A:$AC,2,FALSE))="AMX",(VLOOKUP(Table2[[#This Row],[SKU]],'All Skus'!$A:$AC,5,FALSE)),""))</f>
        <v>AMX-UI</v>
      </c>
      <c r="E29" s="281" t="str">
        <f>(IF((VLOOKUP(Table2[[#This Row],[SKU]],'All Skus'!$A:$AC,2,FALSE))="AMX",(VLOOKUP(Table2[[#This Row],[SKU]],'All Skus'!$A:$AC,7,FALSE)),""))</f>
        <v>NEW</v>
      </c>
      <c r="F29" s="280" t="str">
        <f>(IF((VLOOKUP(Table2[[#This Row],[SKU]],'All Skus'!$A:$AC,2,FALSE))="AMX",(VLOOKUP(Table2[[#This Row],[SKU]],'All Skus'!$A:$AC,8,FALSE)),""))</f>
        <v>AMX Varia, Angle-Select Tabletop Stand for VARIA-150 &amp; VARIA-150N</v>
      </c>
      <c r="G29" s="280" t="str">
        <f>(IF((VLOOKUP(Table2[[#This Row],[SKU]],'All Skus'!$A:$AC,2,FALSE))="AMX",(VLOOKUP(Table2[[#This Row],[SKU]],'All Skus'!$A:$AC,9,FALSE)),""))</f>
        <v>AMX Varia, Angle-Select Tabletop Stand for VARIA-150 &amp; VARIA-150N</v>
      </c>
      <c r="H29" s="157">
        <f>(IF((VLOOKUP(Table2[[#This Row],[SKU]],'All Skus'!$A:$AC,2,FALSE))="AMX",(VLOOKUP(Table2[[#This Row],[SKU]],'All Skus'!$A:$AC,10,FALSE)),""))</f>
        <v>275</v>
      </c>
      <c r="I29" s="157">
        <f>(IF((VLOOKUP(Table2[[#This Row],[SKU]],'All Skus'!$A:$AC,2,FALSE))="AMX",(VLOOKUP(Table2[[#This Row],[SKU]],'All Skus'!$A:$AC,11,FALSE)),""))</f>
        <v>275</v>
      </c>
      <c r="J29" s="47">
        <f>(IF((VLOOKUP(Table2[[#This Row],[SKU]],'All Skus'!$A:$AC,2,FALSE))="AMX",(VLOOKUP(Table2[[#This Row],[SKU]],'All Skus'!$A:$AC,15,FALSE)),""))</f>
        <v>0</v>
      </c>
      <c r="K29" s="47">
        <f>(IF((VLOOKUP(Table2[[#This Row],[SKU]],'All Skus'!$A:$AC,2,FALSE))="AMX",(VLOOKUP(Table2[[#This Row],[SKU]],'All Skus'!$A:$AC,16,FALSE)),""))</f>
        <v>718878035061</v>
      </c>
      <c r="L29" s="47">
        <f>(IF((VLOOKUP(Table2[[#This Row],[SKU]],'All Skus'!$A:$AC,2,FALSE))="AMX",(VLOOKUP(Table2[[#This Row],[SKU]],'All Skus'!$A:$AC,17,FALSE)),""))</f>
        <v>0</v>
      </c>
      <c r="M29" s="63">
        <f>(IF((VLOOKUP(Table2[[#This Row],[SKU]],'All Skus'!$A:$AC,2,FALSE))="AMX",(VLOOKUP(Table2[[#This Row],[SKU]],'All Skus'!$A:$AC,18,FALSE)),""))</f>
        <v>0.92</v>
      </c>
      <c r="N29" s="47">
        <f>(IF((VLOOKUP(Table2[[#This Row],[SKU]],'All Skus'!$A:$AC,2,FALSE))="AMX",(VLOOKUP(Table2[[#This Row],[SKU]],'All Skus'!$A:$AC,19,FALSE)),""))</f>
        <v>6.39</v>
      </c>
      <c r="O29" s="47">
        <f>(IF((VLOOKUP(Table2[[#This Row],[SKU]],'All Skus'!$A:$AC,2,FALSE))="AMX",(VLOOKUP(Table2[[#This Row],[SKU]],'All Skus'!$A:$AC,20,FALSE)),""))</f>
        <v>5.71</v>
      </c>
      <c r="P29" s="47">
        <f>(IF((VLOOKUP(Table2[[#This Row],[SKU]],'All Skus'!$A:$AC,2,FALSE))="AMX",(VLOOKUP(Table2[[#This Row],[SKU]],'All Skus'!$A:$AC,21,FALSE)),""))</f>
        <v>5.76</v>
      </c>
      <c r="Q29" s="47" t="str">
        <f>(IF((VLOOKUP(Table2[[#This Row],[SKU]],'All Skus'!$A:$AC,2,FALSE))="AMX",(VLOOKUP(Table2[[#This Row],[SKU]],'All Skus'!$A:$AC,22,FALSE)),""))</f>
        <v>TW</v>
      </c>
      <c r="R29" s="47" t="str">
        <f>(IF((VLOOKUP(Table2[[#This Row],[SKU]],'All Skus'!$A:$AC,2,FALSE))="AMX",(VLOOKUP(Table2[[#This Row],[SKU]],'All Skus'!$A:$AC,23,FALSE)),""))</f>
        <v>Compliant</v>
      </c>
      <c r="S29" s="210" t="str">
        <f>HYPERLINK((IF((VLOOKUP(Table2[[#This Row],[SKU]],'All Skus'!$A:$AC,2,FALSE))="AMX",(VLOOKUP(Table2[[#This Row],[SKU]],'All Skus'!$A:$AC,24,FALSE)),"")))</f>
        <v>https://www.amx.com/en-US/products/varia-acs-150a</v>
      </c>
      <c r="T29" s="151">
        <v>27</v>
      </c>
    </row>
    <row r="30" spans="1:20" ht="15" hidden="1" customHeight="1">
      <c r="A30" s="48" t="s">
        <v>536</v>
      </c>
      <c r="B30" s="280" t="str">
        <f>(IF((VLOOKUP(Table2[[#This Row],[SKU]],'All Skus'!$A:$AC,2,FALSE))="AMX",(VLOOKUP(Table2[[#This Row],[SKU]],'All Skus'!$A:$AC,3,FALSE)),""))</f>
        <v>User Interface Accessories</v>
      </c>
      <c r="C30" s="280" t="str">
        <f>(IF((VLOOKUP(Table2[[#This Row],[SKU]],'All Skus'!$A:$AC,2,FALSE))="AMX",(VLOOKUP(Table2[[#This Row],[SKU]],'All Skus'!$A:$AC,4,FALSE)),""))</f>
        <v>VARIA-ACS-810A</v>
      </c>
      <c r="D30" s="47" t="str">
        <f>(IF((VLOOKUP(Table2[[#This Row],[SKU]],'All Skus'!$A:$AC,2,FALSE))="AMX",(VLOOKUP(Table2[[#This Row],[SKU]],'All Skus'!$A:$AC,5,FALSE)),""))</f>
        <v>AMX-UI</v>
      </c>
      <c r="E30" s="281" t="str">
        <f>(IF((VLOOKUP(Table2[[#This Row],[SKU]],'All Skus'!$A:$AC,2,FALSE))="AMX",(VLOOKUP(Table2[[#This Row],[SKU]],'All Skus'!$A:$AC,7,FALSE)),""))</f>
        <v>NEW</v>
      </c>
      <c r="F30" s="280" t="str">
        <f>(IF((VLOOKUP(Table2[[#This Row],[SKU]],'All Skus'!$A:$AC,2,FALSE))="AMX",(VLOOKUP(Table2[[#This Row],[SKU]],'All Skus'!$A:$AC,8,FALSE)),""))</f>
        <v>AMX Varia, Angle-Select Tabletop Stand for VARIA-80, VARIA-100, &amp; VARIA-100N</v>
      </c>
      <c r="G30" s="280" t="str">
        <f>(IF((VLOOKUP(Table2[[#This Row],[SKU]],'All Skus'!$A:$AC,2,FALSE))="AMX",(VLOOKUP(Table2[[#This Row],[SKU]],'All Skus'!$A:$AC,9,FALSE)),""))</f>
        <v>AMX Varia, Angle-Select Tabletop Stand for VARIA-80, VARIA-100, &amp; VARIA-100N</v>
      </c>
      <c r="H30" s="157">
        <f>(IF((VLOOKUP(Table2[[#This Row],[SKU]],'All Skus'!$A:$AC,2,FALSE))="AMX",(VLOOKUP(Table2[[#This Row],[SKU]],'All Skus'!$A:$AC,10,FALSE)),""))</f>
        <v>225</v>
      </c>
      <c r="I30" s="157">
        <f>(IF((VLOOKUP(Table2[[#This Row],[SKU]],'All Skus'!$A:$AC,2,FALSE))="AMX",(VLOOKUP(Table2[[#This Row],[SKU]],'All Skus'!$A:$AC,11,FALSE)),""))</f>
        <v>225</v>
      </c>
      <c r="J30" s="47">
        <f>(IF((VLOOKUP(Table2[[#This Row],[SKU]],'All Skus'!$A:$AC,2,FALSE))="AMX",(VLOOKUP(Table2[[#This Row],[SKU]],'All Skus'!$A:$AC,15,FALSE)),""))</f>
        <v>0</v>
      </c>
      <c r="K30" s="47">
        <f>(IF((VLOOKUP(Table2[[#This Row],[SKU]],'All Skus'!$A:$AC,2,FALSE))="AMX",(VLOOKUP(Table2[[#This Row],[SKU]],'All Skus'!$A:$AC,16,FALSE)),""))</f>
        <v>718878035054</v>
      </c>
      <c r="L30" s="47">
        <f>(IF((VLOOKUP(Table2[[#This Row],[SKU]],'All Skus'!$A:$AC,2,FALSE))="AMX",(VLOOKUP(Table2[[#This Row],[SKU]],'All Skus'!$A:$AC,17,FALSE)),""))</f>
        <v>0</v>
      </c>
      <c r="M30" s="63">
        <f>(IF((VLOOKUP(Table2[[#This Row],[SKU]],'All Skus'!$A:$AC,2,FALSE))="AMX",(VLOOKUP(Table2[[#This Row],[SKU]],'All Skus'!$A:$AC,18,FALSE)),""))</f>
        <v>0.43</v>
      </c>
      <c r="N30" s="47">
        <f>(IF((VLOOKUP(Table2[[#This Row],[SKU]],'All Skus'!$A:$AC,2,FALSE))="AMX",(VLOOKUP(Table2[[#This Row],[SKU]],'All Skus'!$A:$AC,19,FALSE)),""))</f>
        <v>4.79</v>
      </c>
      <c r="O30" s="47">
        <f>(IF((VLOOKUP(Table2[[#This Row],[SKU]],'All Skus'!$A:$AC,2,FALSE))="AMX",(VLOOKUP(Table2[[#This Row],[SKU]],'All Skus'!$A:$AC,20,FALSE)),""))</f>
        <v>2.84</v>
      </c>
      <c r="P30" s="47">
        <f>(IF((VLOOKUP(Table2[[#This Row],[SKU]],'All Skus'!$A:$AC,2,FALSE))="AMX",(VLOOKUP(Table2[[#This Row],[SKU]],'All Skus'!$A:$AC,21,FALSE)),""))</f>
        <v>4.32</v>
      </c>
      <c r="Q30" s="47" t="str">
        <f>(IF((VLOOKUP(Table2[[#This Row],[SKU]],'All Skus'!$A:$AC,2,FALSE))="AMX",(VLOOKUP(Table2[[#This Row],[SKU]],'All Skus'!$A:$AC,22,FALSE)),""))</f>
        <v>TW</v>
      </c>
      <c r="R30" s="47" t="str">
        <f>(IF((VLOOKUP(Table2[[#This Row],[SKU]],'All Skus'!$A:$AC,2,FALSE))="AMX",(VLOOKUP(Table2[[#This Row],[SKU]],'All Skus'!$A:$AC,23,FALSE)),""))</f>
        <v>Compliant</v>
      </c>
      <c r="S30" s="210" t="str">
        <f>HYPERLINK((IF((VLOOKUP(Table2[[#This Row],[SKU]],'All Skus'!$A:$AC,2,FALSE))="AMX",(VLOOKUP(Table2[[#This Row],[SKU]],'All Skus'!$A:$AC,24,FALSE)),"")))</f>
        <v>https://www.amx.com/en-US/products/varia-acs-810a</v>
      </c>
      <c r="T30" s="151">
        <v>28</v>
      </c>
    </row>
    <row r="31" spans="1:20" ht="15" hidden="1" customHeight="1">
      <c r="A31" s="48" t="s">
        <v>537</v>
      </c>
      <c r="B31" s="280" t="str">
        <f>(IF((VLOOKUP(Table2[[#This Row],[SKU]],'All Skus'!$A:$AC,2,FALSE))="AMX",(VLOOKUP(Table2[[#This Row],[SKU]],'All Skus'!$A:$AC,3,FALSE)),""))</f>
        <v>Touch Panels</v>
      </c>
      <c r="C31" s="280" t="str">
        <f>(IF((VLOOKUP(Table2[[#This Row],[SKU]],'All Skus'!$A:$AC,2,FALSE))="AMX",(VLOOKUP(Table2[[#This Row],[SKU]],'All Skus'!$A:$AC,4,FALSE)),""))</f>
        <v>VARIA-SL50</v>
      </c>
      <c r="D31" s="47" t="str">
        <f>(IF((VLOOKUP(Table2[[#This Row],[SKU]],'All Skus'!$A:$AC,2,FALSE))="AMX",(VLOOKUP(Table2[[#This Row],[SKU]],'All Skus'!$A:$AC,5,FALSE)),""))</f>
        <v>AMX-UI</v>
      </c>
      <c r="E31" s="281" t="str">
        <f>(IF((VLOOKUP(Table2[[#This Row],[SKU]],'All Skus'!$A:$AC,2,FALSE))="AMX",(VLOOKUP(Table2[[#This Row],[SKU]],'All Skus'!$A:$AC,7,FALSE)),""))</f>
        <v>NEW</v>
      </c>
      <c r="F31" s="280" t="str">
        <f>(IF((VLOOKUP(Table2[[#This Row],[SKU]],'All Skus'!$A:$AC,2,FALSE))="AMX",(VLOOKUP(Table2[[#This Row],[SKU]],'All Skus'!$A:$AC,8,FALSE)),""))</f>
        <v>AMX Varia SL, 5.5” Portrait Ultra-Slim Wall Mount Touch Panel</v>
      </c>
      <c r="G31" s="280" t="str">
        <f>(IF((VLOOKUP(Table2[[#This Row],[SKU]],'All Skus'!$A:$AC,2,FALSE))="AMX",(VLOOKUP(Table2[[#This Row],[SKU]],'All Skus'!$A:$AC,9,FALSE)),""))</f>
        <v>AMX Varia SL, 5.5” Portrait Ultra-Slim Wall-Mount, Professional-Grade Persona-Defined Touch Panel</v>
      </c>
      <c r="H31" s="157">
        <f>(IF((VLOOKUP(Table2[[#This Row],[SKU]],'All Skus'!$A:$AC,2,FALSE))="AMX",(VLOOKUP(Table2[[#This Row],[SKU]],'All Skus'!$A:$AC,10,FALSE)),""))</f>
        <v>1300</v>
      </c>
      <c r="I31" s="157">
        <f>(IF((VLOOKUP(Table2[[#This Row],[SKU]],'All Skus'!$A:$AC,2,FALSE))="AMX",(VLOOKUP(Table2[[#This Row],[SKU]],'All Skus'!$A:$AC,11,FALSE)),""))</f>
        <v>1300</v>
      </c>
      <c r="J31" s="47">
        <f>(IF((VLOOKUP(Table2[[#This Row],[SKU]],'All Skus'!$A:$AC,2,FALSE))="AMX",(VLOOKUP(Table2[[#This Row],[SKU]],'All Skus'!$A:$AC,15,FALSE)),""))</f>
        <v>0</v>
      </c>
      <c r="K31" s="47">
        <f>(IF((VLOOKUP(Table2[[#This Row],[SKU]],'All Skus'!$A:$AC,2,FALSE))="AMX",(VLOOKUP(Table2[[#This Row],[SKU]],'All Skus'!$A:$AC,16,FALSE)),""))</f>
        <v>718878035023</v>
      </c>
      <c r="L31" s="47">
        <f>(IF((VLOOKUP(Table2[[#This Row],[SKU]],'All Skus'!$A:$AC,2,FALSE))="AMX",(VLOOKUP(Table2[[#This Row],[SKU]],'All Skus'!$A:$AC,17,FALSE)),""))</f>
        <v>0</v>
      </c>
      <c r="M31" s="63">
        <f>(IF((VLOOKUP(Table2[[#This Row],[SKU]],'All Skus'!$A:$AC,2,FALSE))="AMX",(VLOOKUP(Table2[[#This Row],[SKU]],'All Skus'!$A:$AC,18,FALSE)),""))</f>
        <v>0.38</v>
      </c>
      <c r="N31" s="47">
        <f>(IF((VLOOKUP(Table2[[#This Row],[SKU]],'All Skus'!$A:$AC,2,FALSE))="AMX",(VLOOKUP(Table2[[#This Row],[SKU]],'All Skus'!$A:$AC,19,FALSE)),""))</f>
        <v>3.18</v>
      </c>
      <c r="O31" s="47">
        <f>(IF((VLOOKUP(Table2[[#This Row],[SKU]],'All Skus'!$A:$AC,2,FALSE))="AMX",(VLOOKUP(Table2[[#This Row],[SKU]],'All Skus'!$A:$AC,20,FALSE)),""))</f>
        <v>0.96</v>
      </c>
      <c r="P31" s="47">
        <f>(IF((VLOOKUP(Table2[[#This Row],[SKU]],'All Skus'!$A:$AC,2,FALSE))="AMX",(VLOOKUP(Table2[[#This Row],[SKU]],'All Skus'!$A:$AC,21,FALSE)),""))</f>
        <v>5.65</v>
      </c>
      <c r="Q31" s="47" t="str">
        <f>(IF((VLOOKUP(Table2[[#This Row],[SKU]],'All Skus'!$A:$AC,2,FALSE))="AMX",(VLOOKUP(Table2[[#This Row],[SKU]],'All Skus'!$A:$AC,22,FALSE)),""))</f>
        <v>TW</v>
      </c>
      <c r="R31" s="47" t="str">
        <f>(IF((VLOOKUP(Table2[[#This Row],[SKU]],'All Skus'!$A:$AC,2,FALSE))="AMX",(VLOOKUP(Table2[[#This Row],[SKU]],'All Skus'!$A:$AC,23,FALSE)),""))</f>
        <v>Compliant</v>
      </c>
      <c r="S31" s="210" t="str">
        <f>HYPERLINK((IF((VLOOKUP(Table2[[#This Row],[SKU]],'All Skus'!$A:$AC,2,FALSE))="AMX",(VLOOKUP(Table2[[#This Row],[SKU]],'All Skus'!$A:$AC,24,FALSE)),"")))</f>
        <v>https://www.amx.com/en-US/products/varia-sl50</v>
      </c>
      <c r="T31" s="151">
        <v>29</v>
      </c>
    </row>
    <row r="32" spans="1:20" ht="15" hidden="1" customHeight="1">
      <c r="A32" s="48" t="s">
        <v>538</v>
      </c>
      <c r="B32" s="280" t="str">
        <f>(IF((VLOOKUP(Table2[[#This Row],[SKU]],'All Skus'!$A:$AC,2,FALSE))="AMX",(VLOOKUP(Table2[[#This Row],[SKU]],'All Skus'!$A:$AC,3,FALSE)),""))</f>
        <v>Touch Panels</v>
      </c>
      <c r="C32" s="280" t="str">
        <f>(IF((VLOOKUP(Table2[[#This Row],[SKU]],'All Skus'!$A:$AC,2,FALSE))="AMX",(VLOOKUP(Table2[[#This Row],[SKU]],'All Skus'!$A:$AC,4,FALSE)),""))</f>
        <v>VARIA-SL80</v>
      </c>
      <c r="D32" s="47" t="str">
        <f>(IF((VLOOKUP(Table2[[#This Row],[SKU]],'All Skus'!$A:$AC,2,FALSE))="AMX",(VLOOKUP(Table2[[#This Row],[SKU]],'All Skus'!$A:$AC,5,FALSE)),""))</f>
        <v>AMX-UI</v>
      </c>
      <c r="E32" s="281" t="str">
        <f>(IF((VLOOKUP(Table2[[#This Row],[SKU]],'All Skus'!$A:$AC,2,FALSE))="AMX",(VLOOKUP(Table2[[#This Row],[SKU]],'All Skus'!$A:$AC,7,FALSE)),""))</f>
        <v>NEW</v>
      </c>
      <c r="F32" s="280" t="str">
        <f>(IF((VLOOKUP(Table2[[#This Row],[SKU]],'All Skus'!$A:$AC,2,FALSE))="AMX",(VLOOKUP(Table2[[#This Row],[SKU]],'All Skus'!$A:$AC,8,FALSE)),""))</f>
        <v>AMX Varia SL, 8” Ultra-Slim Wall Mount Touch Panel</v>
      </c>
      <c r="G32" s="280" t="str">
        <f>(IF((VLOOKUP(Table2[[#This Row],[SKU]],'All Skus'!$A:$AC,2,FALSE))="AMX",(VLOOKUP(Table2[[#This Row],[SKU]],'All Skus'!$A:$AC,9,FALSE)),""))</f>
        <v>AMX Varia SL, 8” Ultra-Slim Wall-Mount, Professional-Grade Persona-Defined Touch Panel</v>
      </c>
      <c r="H32" s="157">
        <f>(IF((VLOOKUP(Table2[[#This Row],[SKU]],'All Skus'!$A:$AC,2,FALSE))="AMX",(VLOOKUP(Table2[[#This Row],[SKU]],'All Skus'!$A:$AC,10,FALSE)),""))</f>
        <v>1988</v>
      </c>
      <c r="I32" s="157">
        <f>(IF((VLOOKUP(Table2[[#This Row],[SKU]],'All Skus'!$A:$AC,2,FALSE))="AMX",(VLOOKUP(Table2[[#This Row],[SKU]],'All Skus'!$A:$AC,11,FALSE)),""))</f>
        <v>1988</v>
      </c>
      <c r="J32" s="47">
        <f>(IF((VLOOKUP(Table2[[#This Row],[SKU]],'All Skus'!$A:$AC,2,FALSE))="AMX",(VLOOKUP(Table2[[#This Row],[SKU]],'All Skus'!$A:$AC,15,FALSE)),""))</f>
        <v>0</v>
      </c>
      <c r="K32" s="47">
        <f>(IF((VLOOKUP(Table2[[#This Row],[SKU]],'All Skus'!$A:$AC,2,FALSE))="AMX",(VLOOKUP(Table2[[#This Row],[SKU]],'All Skus'!$A:$AC,16,FALSE)),""))</f>
        <v>718878035078</v>
      </c>
      <c r="L32" s="47">
        <f>(IF((VLOOKUP(Table2[[#This Row],[SKU]],'All Skus'!$A:$AC,2,FALSE))="AMX",(VLOOKUP(Table2[[#This Row],[SKU]],'All Skus'!$A:$AC,17,FALSE)),""))</f>
        <v>0</v>
      </c>
      <c r="M32" s="63">
        <f>(IF((VLOOKUP(Table2[[#This Row],[SKU]],'All Skus'!$A:$AC,2,FALSE))="AMX",(VLOOKUP(Table2[[#This Row],[SKU]],'All Skus'!$A:$AC,18,FALSE)),""))</f>
        <v>1.06</v>
      </c>
      <c r="N32" s="47">
        <f>(IF((VLOOKUP(Table2[[#This Row],[SKU]],'All Skus'!$A:$AC,2,FALSE))="AMX",(VLOOKUP(Table2[[#This Row],[SKU]],'All Skus'!$A:$AC,19,FALSE)),""))</f>
        <v>8.39</v>
      </c>
      <c r="O32" s="47">
        <f>(IF((VLOOKUP(Table2[[#This Row],[SKU]],'All Skus'!$A:$AC,2,FALSE))="AMX",(VLOOKUP(Table2[[#This Row],[SKU]],'All Skus'!$A:$AC,20,FALSE)),""))</f>
        <v>1.05</v>
      </c>
      <c r="P32" s="47">
        <f>(IF((VLOOKUP(Table2[[#This Row],[SKU]],'All Skus'!$A:$AC,2,FALSE))="AMX",(VLOOKUP(Table2[[#This Row],[SKU]],'All Skus'!$A:$AC,21,FALSE)),""))</f>
        <v>5.03</v>
      </c>
      <c r="Q32" s="47" t="str">
        <f>(IF((VLOOKUP(Table2[[#This Row],[SKU]],'All Skus'!$A:$AC,2,FALSE))="AMX",(VLOOKUP(Table2[[#This Row],[SKU]],'All Skus'!$A:$AC,22,FALSE)),""))</f>
        <v>TW</v>
      </c>
      <c r="R32" s="47" t="str">
        <f>(IF((VLOOKUP(Table2[[#This Row],[SKU]],'All Skus'!$A:$AC,2,FALSE))="AMX",(VLOOKUP(Table2[[#This Row],[SKU]],'All Skus'!$A:$AC,23,FALSE)),""))</f>
        <v>Compliant</v>
      </c>
      <c r="S32" s="210" t="str">
        <f>HYPERLINK((IF((VLOOKUP(Table2[[#This Row],[SKU]],'All Skus'!$A:$AC,2,FALSE))="AMX",(VLOOKUP(Table2[[#This Row],[SKU]],'All Skus'!$A:$AC,24,FALSE)),"")))</f>
        <v>https://www.amx.com/en-US/products/varia-sl80</v>
      </c>
      <c r="T32" s="151">
        <v>30</v>
      </c>
    </row>
    <row r="33" spans="1:20" ht="15" hidden="1" customHeight="1">
      <c r="A33" s="48" t="s">
        <v>539</v>
      </c>
      <c r="B33" s="280" t="str">
        <f>(IF((VLOOKUP(Table2[[#This Row],[SKU]],'All Skus'!$A:$AC,2,FALSE))="AMX",(VLOOKUP(Table2[[#This Row],[SKU]],'All Skus'!$A:$AC,3,FALSE)),""))</f>
        <v>Touch Panels</v>
      </c>
      <c r="C33" s="280" t="str">
        <f>(IF((VLOOKUP(Table2[[#This Row],[SKU]],'All Skus'!$A:$AC,2,FALSE))="AMX",(VLOOKUP(Table2[[#This Row],[SKU]],'All Skus'!$A:$AC,4,FALSE)),""))</f>
        <v>VARIA-80</v>
      </c>
      <c r="D33" s="47" t="str">
        <f>(IF((VLOOKUP(Table2[[#This Row],[SKU]],'All Skus'!$A:$AC,2,FALSE))="AMX",(VLOOKUP(Table2[[#This Row],[SKU]],'All Skus'!$A:$AC,5,FALSE)),""))</f>
        <v>AMX-UI</v>
      </c>
      <c r="E33" s="281" t="str">
        <f>(IF((VLOOKUP(Table2[[#This Row],[SKU]],'All Skus'!$A:$AC,2,FALSE))="AMX",(VLOOKUP(Table2[[#This Row],[SKU]],'All Skus'!$A:$AC,7,FALSE)),""))</f>
        <v>NEW</v>
      </c>
      <c r="F33" s="280" t="str">
        <f>(IF((VLOOKUP(Table2[[#This Row],[SKU]],'All Skus'!$A:$AC,2,FALSE))="AMX",(VLOOKUP(Table2[[#This Row],[SKU]],'All Skus'!$A:$AC,8,FALSE)),""))</f>
        <v>AMX Varia, 8” Touch Panel</v>
      </c>
      <c r="G33" s="280" t="str">
        <f>(IF((VLOOKUP(Table2[[#This Row],[SKU]],'All Skus'!$A:$AC,2,FALSE))="AMX",(VLOOKUP(Table2[[#This Row],[SKU]],'All Skus'!$A:$AC,9,FALSE)),""))</f>
        <v>AMX Varia, 8” Professional-Grade Persona-Defined Touch Panel</v>
      </c>
      <c r="H33" s="157">
        <f>(IF((VLOOKUP(Table2[[#This Row],[SKU]],'All Skus'!$A:$AC,2,FALSE))="AMX",(VLOOKUP(Table2[[#This Row],[SKU]],'All Skus'!$A:$AC,10,FALSE)),""))</f>
        <v>1988</v>
      </c>
      <c r="I33" s="157">
        <f>(IF((VLOOKUP(Table2[[#This Row],[SKU]],'All Skus'!$A:$AC,2,FALSE))="AMX",(VLOOKUP(Table2[[#This Row],[SKU]],'All Skus'!$A:$AC,11,FALSE)),""))</f>
        <v>1988</v>
      </c>
      <c r="J33" s="47">
        <f>(IF((VLOOKUP(Table2[[#This Row],[SKU]],'All Skus'!$A:$AC,2,FALSE))="AMX",(VLOOKUP(Table2[[#This Row],[SKU]],'All Skus'!$A:$AC,15,FALSE)),""))</f>
        <v>0</v>
      </c>
      <c r="K33" s="47">
        <f>(IF((VLOOKUP(Table2[[#This Row],[SKU]],'All Skus'!$A:$AC,2,FALSE))="AMX",(VLOOKUP(Table2[[#This Row],[SKU]],'All Skus'!$A:$AC,16,FALSE)),""))</f>
        <v>718878035085</v>
      </c>
      <c r="L33" s="47">
        <f>(IF((VLOOKUP(Table2[[#This Row],[SKU]],'All Skus'!$A:$AC,2,FALSE))="AMX",(VLOOKUP(Table2[[#This Row],[SKU]],'All Skus'!$A:$AC,17,FALSE)),""))</f>
        <v>0</v>
      </c>
      <c r="M33" s="63">
        <f>(IF((VLOOKUP(Table2[[#This Row],[SKU]],'All Skus'!$A:$AC,2,FALSE))="AMX",(VLOOKUP(Table2[[#This Row],[SKU]],'All Skus'!$A:$AC,18,FALSE)),""))</f>
        <v>1.17</v>
      </c>
      <c r="N33" s="47">
        <f>(IF((VLOOKUP(Table2[[#This Row],[SKU]],'All Skus'!$A:$AC,2,FALSE))="AMX",(VLOOKUP(Table2[[#This Row],[SKU]],'All Skus'!$A:$AC,19,FALSE)),""))</f>
        <v>7.94</v>
      </c>
      <c r="O33" s="47">
        <f>(IF((VLOOKUP(Table2[[#This Row],[SKU]],'All Skus'!$A:$AC,2,FALSE))="AMX",(VLOOKUP(Table2[[#This Row],[SKU]],'All Skus'!$A:$AC,20,FALSE)),""))</f>
        <v>0.88</v>
      </c>
      <c r="P33" s="47">
        <f>(IF((VLOOKUP(Table2[[#This Row],[SKU]],'All Skus'!$A:$AC,2,FALSE))="AMX",(VLOOKUP(Table2[[#This Row],[SKU]],'All Skus'!$A:$AC,21,FALSE)),""))</f>
        <v>5.88</v>
      </c>
      <c r="Q33" s="47" t="str">
        <f>(IF((VLOOKUP(Table2[[#This Row],[SKU]],'All Skus'!$A:$AC,2,FALSE))="AMX",(VLOOKUP(Table2[[#This Row],[SKU]],'All Skus'!$A:$AC,22,FALSE)),""))</f>
        <v>TW</v>
      </c>
      <c r="R33" s="47" t="str">
        <f>(IF((VLOOKUP(Table2[[#This Row],[SKU]],'All Skus'!$A:$AC,2,FALSE))="AMX",(VLOOKUP(Table2[[#This Row],[SKU]],'All Skus'!$A:$AC,23,FALSE)),""))</f>
        <v>Compliant</v>
      </c>
      <c r="S33" s="210" t="str">
        <f>HYPERLINK((IF((VLOOKUP(Table2[[#This Row],[SKU]],'All Skus'!$A:$AC,2,FALSE))="AMX",(VLOOKUP(Table2[[#This Row],[SKU]],'All Skus'!$A:$AC,24,FALSE)),"")))</f>
        <v>https://www.amx.com/en-US/products/varia-80</v>
      </c>
      <c r="T33" s="151">
        <v>31</v>
      </c>
    </row>
    <row r="34" spans="1:20" ht="15" hidden="1" customHeight="1">
      <c r="A34" s="48" t="s">
        <v>540</v>
      </c>
      <c r="B34" s="280" t="str">
        <f>(IF((VLOOKUP(Table2[[#This Row],[SKU]],'All Skus'!$A:$AC,2,FALSE))="AMX",(VLOOKUP(Table2[[#This Row],[SKU]],'All Skus'!$A:$AC,3,FALSE)),""))</f>
        <v>Touch Panels</v>
      </c>
      <c r="C34" s="280" t="str">
        <f>(IF((VLOOKUP(Table2[[#This Row],[SKU]],'All Skus'!$A:$AC,2,FALSE))="AMX",(VLOOKUP(Table2[[#This Row],[SKU]],'All Skus'!$A:$AC,4,FALSE)),""))</f>
        <v>VARIA-100</v>
      </c>
      <c r="D34" s="47" t="str">
        <f>(IF((VLOOKUP(Table2[[#This Row],[SKU]],'All Skus'!$A:$AC,2,FALSE))="AMX",(VLOOKUP(Table2[[#This Row],[SKU]],'All Skus'!$A:$AC,5,FALSE)),""))</f>
        <v>AMX-UI</v>
      </c>
      <c r="E34" s="281" t="str">
        <f>(IF((VLOOKUP(Table2[[#This Row],[SKU]],'All Skus'!$A:$AC,2,FALSE))="AMX",(VLOOKUP(Table2[[#This Row],[SKU]],'All Skus'!$A:$AC,7,FALSE)),""))</f>
        <v>NEW</v>
      </c>
      <c r="F34" s="280" t="str">
        <f>(IF((VLOOKUP(Table2[[#This Row],[SKU]],'All Skus'!$A:$AC,2,FALSE))="AMX",(VLOOKUP(Table2[[#This Row],[SKU]],'All Skus'!$A:$AC,8,FALSE)),""))</f>
        <v>AMX Varia, 10.1” Touch Panel</v>
      </c>
      <c r="G34" s="280" t="str">
        <f>(IF((VLOOKUP(Table2[[#This Row],[SKU]],'All Skus'!$A:$AC,2,FALSE))="AMX",(VLOOKUP(Table2[[#This Row],[SKU]],'All Skus'!$A:$AC,9,FALSE)),""))</f>
        <v>AMX Varia, 10.1” Professional-Grade Persona-Defined Touch Panel</v>
      </c>
      <c r="H34" s="157">
        <f>(IF((VLOOKUP(Table2[[#This Row],[SKU]],'All Skus'!$A:$AC,2,FALSE))="AMX",(VLOOKUP(Table2[[#This Row],[SKU]],'All Skus'!$A:$AC,10,FALSE)),""))</f>
        <v>2800</v>
      </c>
      <c r="I34" s="157">
        <f>(IF((VLOOKUP(Table2[[#This Row],[SKU]],'All Skus'!$A:$AC,2,FALSE))="AMX",(VLOOKUP(Table2[[#This Row],[SKU]],'All Skus'!$A:$AC,11,FALSE)),""))</f>
        <v>2800</v>
      </c>
      <c r="J34" s="47">
        <f>(IF((VLOOKUP(Table2[[#This Row],[SKU]],'All Skus'!$A:$AC,2,FALSE))="AMX",(VLOOKUP(Table2[[#This Row],[SKU]],'All Skus'!$A:$AC,15,FALSE)),""))</f>
        <v>0</v>
      </c>
      <c r="K34" s="47">
        <f>(IF((VLOOKUP(Table2[[#This Row],[SKU]],'All Skus'!$A:$AC,2,FALSE))="AMX",(VLOOKUP(Table2[[#This Row],[SKU]],'All Skus'!$A:$AC,16,FALSE)),""))</f>
        <v>718878035092</v>
      </c>
      <c r="L34" s="47">
        <f>(IF((VLOOKUP(Table2[[#This Row],[SKU]],'All Skus'!$A:$AC,2,FALSE))="AMX",(VLOOKUP(Table2[[#This Row],[SKU]],'All Skus'!$A:$AC,17,FALSE)),""))</f>
        <v>0</v>
      </c>
      <c r="M34" s="63">
        <f>(IF((VLOOKUP(Table2[[#This Row],[SKU]],'All Skus'!$A:$AC,2,FALSE))="AMX",(VLOOKUP(Table2[[#This Row],[SKU]],'All Skus'!$A:$AC,18,FALSE)),""))</f>
        <v>1.25</v>
      </c>
      <c r="N34" s="47">
        <f>(IF((VLOOKUP(Table2[[#This Row],[SKU]],'All Skus'!$A:$AC,2,FALSE))="AMX",(VLOOKUP(Table2[[#This Row],[SKU]],'All Skus'!$A:$AC,19,FALSE)),""))</f>
        <v>9.56</v>
      </c>
      <c r="O34" s="47">
        <f>(IF((VLOOKUP(Table2[[#This Row],[SKU]],'All Skus'!$A:$AC,2,FALSE))="AMX",(VLOOKUP(Table2[[#This Row],[SKU]],'All Skus'!$A:$AC,20,FALSE)),""))</f>
        <v>0.81</v>
      </c>
      <c r="P34" s="47">
        <f>(IF((VLOOKUP(Table2[[#This Row],[SKU]],'All Skus'!$A:$AC,2,FALSE))="AMX",(VLOOKUP(Table2[[#This Row],[SKU]],'All Skus'!$A:$AC,21,FALSE)),""))</f>
        <v>6.88</v>
      </c>
      <c r="Q34" s="47" t="str">
        <f>(IF((VLOOKUP(Table2[[#This Row],[SKU]],'All Skus'!$A:$AC,2,FALSE))="AMX",(VLOOKUP(Table2[[#This Row],[SKU]],'All Skus'!$A:$AC,22,FALSE)),""))</f>
        <v>TW</v>
      </c>
      <c r="R34" s="47" t="str">
        <f>(IF((VLOOKUP(Table2[[#This Row],[SKU]],'All Skus'!$A:$AC,2,FALSE))="AMX",(VLOOKUP(Table2[[#This Row],[SKU]],'All Skus'!$A:$AC,23,FALSE)),""))</f>
        <v>Compliant</v>
      </c>
      <c r="S34" s="210" t="str">
        <f>HYPERLINK((IF((VLOOKUP(Table2[[#This Row],[SKU]],'All Skus'!$A:$AC,2,FALSE))="AMX",(VLOOKUP(Table2[[#This Row],[SKU]],'All Skus'!$A:$AC,24,FALSE)),"")))</f>
        <v>https://www.amx.com/en-US/products/varia-100</v>
      </c>
      <c r="T34" s="151">
        <v>32</v>
      </c>
    </row>
    <row r="35" spans="1:20" ht="15" hidden="1" customHeight="1">
      <c r="A35" s="48" t="s">
        <v>541</v>
      </c>
      <c r="B35" s="280" t="str">
        <f>(IF((VLOOKUP(Table2[[#This Row],[SKU]],'All Skus'!$A:$AC,2,FALSE))="AMX",(VLOOKUP(Table2[[#This Row],[SKU]],'All Skus'!$A:$AC,3,FALSE)),""))</f>
        <v>Touch Panels</v>
      </c>
      <c r="C35" s="280" t="str">
        <f>(IF((VLOOKUP(Table2[[#This Row],[SKU]],'All Skus'!$A:$AC,2,FALSE))="AMX",(VLOOKUP(Table2[[#This Row],[SKU]],'All Skus'!$A:$AC,4,FALSE)),""))</f>
        <v>VARIA-100N</v>
      </c>
      <c r="D35" s="47" t="str">
        <f>(IF((VLOOKUP(Table2[[#This Row],[SKU]],'All Skus'!$A:$AC,2,FALSE))="AMX",(VLOOKUP(Table2[[#This Row],[SKU]],'All Skus'!$A:$AC,5,FALSE)),""))</f>
        <v>AMX-UI</v>
      </c>
      <c r="E35" s="281" t="str">
        <f>(IF((VLOOKUP(Table2[[#This Row],[SKU]],'All Skus'!$A:$AC,2,FALSE))="AMX",(VLOOKUP(Table2[[#This Row],[SKU]],'All Skus'!$A:$AC,7,FALSE)),""))</f>
        <v>NEW</v>
      </c>
      <c r="F35" s="280" t="str">
        <f>(IF((VLOOKUP(Table2[[#This Row],[SKU]],'All Skus'!$A:$AC,2,FALSE))="AMX",(VLOOKUP(Table2[[#This Row],[SKU]],'All Skus'!$A:$AC,8,FALSE)),""))</f>
        <v>AMX Varia, 10.1” Touch Panel (No-Comm)</v>
      </c>
      <c r="G35" s="280" t="str">
        <f>(IF((VLOOKUP(Table2[[#This Row],[SKU]],'All Skus'!$A:$AC,2,FALSE))="AMX",(VLOOKUP(Table2[[#This Row],[SKU]],'All Skus'!$A:$AC,9,FALSE)),""))</f>
        <v>AMX Varia, 10.1” Professional-Grade Persona-Defined Touch Panel (No-Comm)</v>
      </c>
      <c r="H35" s="157">
        <f>(IF((VLOOKUP(Table2[[#This Row],[SKU]],'All Skus'!$A:$AC,2,FALSE))="AMX",(VLOOKUP(Table2[[#This Row],[SKU]],'All Skus'!$A:$AC,10,FALSE)),""))</f>
        <v>2800</v>
      </c>
      <c r="I35" s="157">
        <f>(IF((VLOOKUP(Table2[[#This Row],[SKU]],'All Skus'!$A:$AC,2,FALSE))="AMX",(VLOOKUP(Table2[[#This Row],[SKU]],'All Skus'!$A:$AC,11,FALSE)),""))</f>
        <v>2800</v>
      </c>
      <c r="J35" s="47">
        <f>(IF((VLOOKUP(Table2[[#This Row],[SKU]],'All Skus'!$A:$AC,2,FALSE))="AMX",(VLOOKUP(Table2[[#This Row],[SKU]],'All Skus'!$A:$AC,15,FALSE)),""))</f>
        <v>0</v>
      </c>
      <c r="K35" s="47">
        <f>(IF((VLOOKUP(Table2[[#This Row],[SKU]],'All Skus'!$A:$AC,2,FALSE))="AMX",(VLOOKUP(Table2[[#This Row],[SKU]],'All Skus'!$A:$AC,16,FALSE)),""))</f>
        <v>718878035108</v>
      </c>
      <c r="L35" s="47">
        <f>(IF((VLOOKUP(Table2[[#This Row],[SKU]],'All Skus'!$A:$AC,2,FALSE))="AMX",(VLOOKUP(Table2[[#This Row],[SKU]],'All Skus'!$A:$AC,17,FALSE)),""))</f>
        <v>0</v>
      </c>
      <c r="M35" s="63">
        <f>(IF((VLOOKUP(Table2[[#This Row],[SKU]],'All Skus'!$A:$AC,2,FALSE))="AMX",(VLOOKUP(Table2[[#This Row],[SKU]],'All Skus'!$A:$AC,18,FALSE)),""))</f>
        <v>1.25</v>
      </c>
      <c r="N35" s="47">
        <f>(IF((VLOOKUP(Table2[[#This Row],[SKU]],'All Skus'!$A:$AC,2,FALSE))="AMX",(VLOOKUP(Table2[[#This Row],[SKU]],'All Skus'!$A:$AC,19,FALSE)),""))</f>
        <v>9.56</v>
      </c>
      <c r="O35" s="47">
        <f>(IF((VLOOKUP(Table2[[#This Row],[SKU]],'All Skus'!$A:$AC,2,FALSE))="AMX",(VLOOKUP(Table2[[#This Row],[SKU]],'All Skus'!$A:$AC,20,FALSE)),""))</f>
        <v>0.81</v>
      </c>
      <c r="P35" s="47">
        <f>(IF((VLOOKUP(Table2[[#This Row],[SKU]],'All Skus'!$A:$AC,2,FALSE))="AMX",(VLOOKUP(Table2[[#This Row],[SKU]],'All Skus'!$A:$AC,21,FALSE)),""))</f>
        <v>6.88</v>
      </c>
      <c r="Q35" s="47" t="str">
        <f>(IF((VLOOKUP(Table2[[#This Row],[SKU]],'All Skus'!$A:$AC,2,FALSE))="AMX",(VLOOKUP(Table2[[#This Row],[SKU]],'All Skus'!$A:$AC,22,FALSE)),""))</f>
        <v>TW</v>
      </c>
      <c r="R35" s="47" t="str">
        <f>(IF((VLOOKUP(Table2[[#This Row],[SKU]],'All Skus'!$A:$AC,2,FALSE))="AMX",(VLOOKUP(Table2[[#This Row],[SKU]],'All Skus'!$A:$AC,23,FALSE)),""))</f>
        <v>Compliant</v>
      </c>
      <c r="S35" s="210" t="str">
        <f>HYPERLINK((IF((VLOOKUP(Table2[[#This Row],[SKU]],'All Skus'!$A:$AC,2,FALSE))="AMX",(VLOOKUP(Table2[[#This Row],[SKU]],'All Skus'!$A:$AC,24,FALSE)),"")))</f>
        <v>https://www.amx.com/en-US/products/varia-100n</v>
      </c>
      <c r="T35" s="151">
        <v>33</v>
      </c>
    </row>
    <row r="36" spans="1:20" ht="15" hidden="1" customHeight="1">
      <c r="A36" s="48" t="s">
        <v>542</v>
      </c>
      <c r="B36" s="280" t="str">
        <f>(IF((VLOOKUP(Table2[[#This Row],[SKU]],'All Skus'!$A:$AC,2,FALSE))="AMX",(VLOOKUP(Table2[[#This Row],[SKU]],'All Skus'!$A:$AC,3,FALSE)),""))</f>
        <v>Touch Panels</v>
      </c>
      <c r="C36" s="280" t="str">
        <f>(IF((VLOOKUP(Table2[[#This Row],[SKU]],'All Skus'!$A:$AC,2,FALSE))="AMX",(VLOOKUP(Table2[[#This Row],[SKU]],'All Skus'!$A:$AC,4,FALSE)),""))</f>
        <v>VARIA-150</v>
      </c>
      <c r="D36" s="47" t="str">
        <f>(IF((VLOOKUP(Table2[[#This Row],[SKU]],'All Skus'!$A:$AC,2,FALSE))="AMX",(VLOOKUP(Table2[[#This Row],[SKU]],'All Skus'!$A:$AC,5,FALSE)),""))</f>
        <v>AMX-UI</v>
      </c>
      <c r="E36" s="281" t="str">
        <f>(IF((VLOOKUP(Table2[[#This Row],[SKU]],'All Skus'!$A:$AC,2,FALSE))="AMX",(VLOOKUP(Table2[[#This Row],[SKU]],'All Skus'!$A:$AC,7,FALSE)),""))</f>
        <v>NEW</v>
      </c>
      <c r="F36" s="280" t="str">
        <f>(IF((VLOOKUP(Table2[[#This Row],[SKU]],'All Skus'!$A:$AC,2,FALSE))="AMX",(VLOOKUP(Table2[[#This Row],[SKU]],'All Skus'!$A:$AC,8,FALSE)),""))</f>
        <v>AMX Varia, 15.6” Touch Panel</v>
      </c>
      <c r="G36" s="280" t="str">
        <f>(IF((VLOOKUP(Table2[[#This Row],[SKU]],'All Skus'!$A:$AC,2,FALSE))="AMX",(VLOOKUP(Table2[[#This Row],[SKU]],'All Skus'!$A:$AC,9,FALSE)),""))</f>
        <v>AMX Varia, 15.6” Professional-Grade Persona-Defined Touch Panel</v>
      </c>
      <c r="H36" s="157">
        <f>(IF((VLOOKUP(Table2[[#This Row],[SKU]],'All Skus'!$A:$AC,2,FALSE))="AMX",(VLOOKUP(Table2[[#This Row],[SKU]],'All Skus'!$A:$AC,10,FALSE)),""))</f>
        <v>4500</v>
      </c>
      <c r="I36" s="157">
        <f>(IF((VLOOKUP(Table2[[#This Row],[SKU]],'All Skus'!$A:$AC,2,FALSE))="AMX",(VLOOKUP(Table2[[#This Row],[SKU]],'All Skus'!$A:$AC,11,FALSE)),""))</f>
        <v>4500</v>
      </c>
      <c r="J36" s="47">
        <f>(IF((VLOOKUP(Table2[[#This Row],[SKU]],'All Skus'!$A:$AC,2,FALSE))="AMX",(VLOOKUP(Table2[[#This Row],[SKU]],'All Skus'!$A:$AC,15,FALSE)),""))</f>
        <v>0</v>
      </c>
      <c r="K36" s="47">
        <f>(IF((VLOOKUP(Table2[[#This Row],[SKU]],'All Skus'!$A:$AC,2,FALSE))="AMX",(VLOOKUP(Table2[[#This Row],[SKU]],'All Skus'!$A:$AC,16,FALSE)),""))</f>
        <v>718878035115</v>
      </c>
      <c r="L36" s="47">
        <f>(IF((VLOOKUP(Table2[[#This Row],[SKU]],'All Skus'!$A:$AC,2,FALSE))="AMX",(VLOOKUP(Table2[[#This Row],[SKU]],'All Skus'!$A:$AC,17,FALSE)),""))</f>
        <v>0</v>
      </c>
      <c r="M36" s="63">
        <f>(IF((VLOOKUP(Table2[[#This Row],[SKU]],'All Skus'!$A:$AC,2,FALSE))="AMX",(VLOOKUP(Table2[[#This Row],[SKU]],'All Skus'!$A:$AC,18,FALSE)),""))</f>
        <v>3.86</v>
      </c>
      <c r="N36" s="47">
        <f>(IF((VLOOKUP(Table2[[#This Row],[SKU]],'All Skus'!$A:$AC,2,FALSE))="AMX",(VLOOKUP(Table2[[#This Row],[SKU]],'All Skus'!$A:$AC,19,FALSE)),""))</f>
        <v>14.7</v>
      </c>
      <c r="O36" s="47">
        <f>(IF((VLOOKUP(Table2[[#This Row],[SKU]],'All Skus'!$A:$AC,2,FALSE))="AMX",(VLOOKUP(Table2[[#This Row],[SKU]],'All Skus'!$A:$AC,20,FALSE)),""))</f>
        <v>1</v>
      </c>
      <c r="P36" s="47">
        <f>(IF((VLOOKUP(Table2[[#This Row],[SKU]],'All Skus'!$A:$AC,2,FALSE))="AMX",(VLOOKUP(Table2[[#This Row],[SKU]],'All Skus'!$A:$AC,21,FALSE)),""))</f>
        <v>9.5</v>
      </c>
      <c r="Q36" s="47" t="str">
        <f>(IF((VLOOKUP(Table2[[#This Row],[SKU]],'All Skus'!$A:$AC,2,FALSE))="AMX",(VLOOKUP(Table2[[#This Row],[SKU]],'All Skus'!$A:$AC,22,FALSE)),""))</f>
        <v>TW</v>
      </c>
      <c r="R36" s="47" t="str">
        <f>(IF((VLOOKUP(Table2[[#This Row],[SKU]],'All Skus'!$A:$AC,2,FALSE))="AMX",(VLOOKUP(Table2[[#This Row],[SKU]],'All Skus'!$A:$AC,23,FALSE)),""))</f>
        <v>Compliant</v>
      </c>
      <c r="S36" s="210" t="str">
        <f>HYPERLINK((IF((VLOOKUP(Table2[[#This Row],[SKU]],'All Skus'!$A:$AC,2,FALSE))="AMX",(VLOOKUP(Table2[[#This Row],[SKU]],'All Skus'!$A:$AC,24,FALSE)),"")))</f>
        <v>https://www.amx.com/en-US/products/varia-150</v>
      </c>
      <c r="T36" s="151">
        <v>34</v>
      </c>
    </row>
    <row r="37" spans="1:20" ht="15" hidden="1" customHeight="1">
      <c r="A37" s="48" t="s">
        <v>543</v>
      </c>
      <c r="B37" s="280" t="str">
        <f>(IF((VLOOKUP(Table2[[#This Row],[SKU]],'All Skus'!$A:$AC,2,FALSE))="AMX",(VLOOKUP(Table2[[#This Row],[SKU]],'All Skus'!$A:$AC,3,FALSE)),""))</f>
        <v>Touch Panels</v>
      </c>
      <c r="C37" s="280" t="str">
        <f>(IF((VLOOKUP(Table2[[#This Row],[SKU]],'All Skus'!$A:$AC,2,FALSE))="AMX",(VLOOKUP(Table2[[#This Row],[SKU]],'All Skus'!$A:$AC,4,FALSE)),""))</f>
        <v>VARIA-150N</v>
      </c>
      <c r="D37" s="47" t="str">
        <f>(IF((VLOOKUP(Table2[[#This Row],[SKU]],'All Skus'!$A:$AC,2,FALSE))="AMX",(VLOOKUP(Table2[[#This Row],[SKU]],'All Skus'!$A:$AC,5,FALSE)),""))</f>
        <v>AMX-UI</v>
      </c>
      <c r="E37" s="281" t="str">
        <f>(IF((VLOOKUP(Table2[[#This Row],[SKU]],'All Skus'!$A:$AC,2,FALSE))="AMX",(VLOOKUP(Table2[[#This Row],[SKU]],'All Skus'!$A:$AC,7,FALSE)),""))</f>
        <v>NEW</v>
      </c>
      <c r="F37" s="280" t="str">
        <f>(IF((VLOOKUP(Table2[[#This Row],[SKU]],'All Skus'!$A:$AC,2,FALSE))="AMX",(VLOOKUP(Table2[[#This Row],[SKU]],'All Skus'!$A:$AC,8,FALSE)),""))</f>
        <v>AMX Varia, 15.6” Touch Panel (No-Comm)</v>
      </c>
      <c r="G37" s="280" t="str">
        <f>(IF((VLOOKUP(Table2[[#This Row],[SKU]],'All Skus'!$A:$AC,2,FALSE))="AMX",(VLOOKUP(Table2[[#This Row],[SKU]],'All Skus'!$A:$AC,9,FALSE)),""))</f>
        <v>AMX Varia, 15.6” Professional-Grade Persona-Defined Touch Panel (No-Comm)</v>
      </c>
      <c r="H37" s="157">
        <f>(IF((VLOOKUP(Table2[[#This Row],[SKU]],'All Skus'!$A:$AC,2,FALSE))="AMX",(VLOOKUP(Table2[[#This Row],[SKU]],'All Skus'!$A:$AC,10,FALSE)),""))</f>
        <v>4500</v>
      </c>
      <c r="I37" s="157">
        <f>(IF((VLOOKUP(Table2[[#This Row],[SKU]],'All Skus'!$A:$AC,2,FALSE))="AMX",(VLOOKUP(Table2[[#This Row],[SKU]],'All Skus'!$A:$AC,11,FALSE)),""))</f>
        <v>4500</v>
      </c>
      <c r="J37" s="47">
        <f>(IF((VLOOKUP(Table2[[#This Row],[SKU]],'All Skus'!$A:$AC,2,FALSE))="AMX",(VLOOKUP(Table2[[#This Row],[SKU]],'All Skus'!$A:$AC,15,FALSE)),""))</f>
        <v>0</v>
      </c>
      <c r="K37" s="47">
        <f>(IF((VLOOKUP(Table2[[#This Row],[SKU]],'All Skus'!$A:$AC,2,FALSE))="AMX",(VLOOKUP(Table2[[#This Row],[SKU]],'All Skus'!$A:$AC,16,FALSE)),""))</f>
        <v>718878035122</v>
      </c>
      <c r="L37" s="47">
        <f>(IF((VLOOKUP(Table2[[#This Row],[SKU]],'All Skus'!$A:$AC,2,FALSE))="AMX",(VLOOKUP(Table2[[#This Row],[SKU]],'All Skus'!$A:$AC,17,FALSE)),""))</f>
        <v>0</v>
      </c>
      <c r="M37" s="63">
        <f>(IF((VLOOKUP(Table2[[#This Row],[SKU]],'All Skus'!$A:$AC,2,FALSE))="AMX",(VLOOKUP(Table2[[#This Row],[SKU]],'All Skus'!$A:$AC,18,FALSE)),""))</f>
        <v>3.86</v>
      </c>
      <c r="N37" s="47">
        <f>(IF((VLOOKUP(Table2[[#This Row],[SKU]],'All Skus'!$A:$AC,2,FALSE))="AMX",(VLOOKUP(Table2[[#This Row],[SKU]],'All Skus'!$A:$AC,19,FALSE)),""))</f>
        <v>14.7</v>
      </c>
      <c r="O37" s="47">
        <f>(IF((VLOOKUP(Table2[[#This Row],[SKU]],'All Skus'!$A:$AC,2,FALSE))="AMX",(VLOOKUP(Table2[[#This Row],[SKU]],'All Skus'!$A:$AC,20,FALSE)),""))</f>
        <v>1</v>
      </c>
      <c r="P37" s="47">
        <f>(IF((VLOOKUP(Table2[[#This Row],[SKU]],'All Skus'!$A:$AC,2,FALSE))="AMX",(VLOOKUP(Table2[[#This Row],[SKU]],'All Skus'!$A:$AC,21,FALSE)),""))</f>
        <v>9.5</v>
      </c>
      <c r="Q37" s="47" t="str">
        <f>(IF((VLOOKUP(Table2[[#This Row],[SKU]],'All Skus'!$A:$AC,2,FALSE))="AMX",(VLOOKUP(Table2[[#This Row],[SKU]],'All Skus'!$A:$AC,22,FALSE)),""))</f>
        <v>TW</v>
      </c>
      <c r="R37" s="47" t="str">
        <f>(IF((VLOOKUP(Table2[[#This Row],[SKU]],'All Skus'!$A:$AC,2,FALSE))="AMX",(VLOOKUP(Table2[[#This Row],[SKU]],'All Skus'!$A:$AC,23,FALSE)),""))</f>
        <v>Compliant</v>
      </c>
      <c r="S37" s="210" t="str">
        <f>HYPERLINK((IF((VLOOKUP(Table2[[#This Row],[SKU]],'All Skus'!$A:$AC,2,FALSE))="AMX",(VLOOKUP(Table2[[#This Row],[SKU]],'All Skus'!$A:$AC,24,FALSE)),"")))</f>
        <v>https://www.amx.com/en-US/products/varia-150n</v>
      </c>
      <c r="T37" s="151">
        <v>35</v>
      </c>
    </row>
    <row r="38" spans="1:20" ht="15" hidden="1" customHeight="1">
      <c r="A38" s="48" t="s">
        <v>544</v>
      </c>
      <c r="B38" s="280" t="str">
        <f>(IF((VLOOKUP(Table2[[#This Row],[SKU]],'All Skus'!$A:$AC,2,FALSE))="AMX",(VLOOKUP(Table2[[#This Row],[SKU]],'All Skus'!$A:$AC,3,FALSE)),""))</f>
        <v>Digital Switchers</v>
      </c>
      <c r="C38" s="280" t="str">
        <f>(IF((VLOOKUP(Table2[[#This Row],[SKU]],'All Skus'!$A:$AC,2,FALSE))="AMX",(VLOOKUP(Table2[[#This Row],[SKU]],'All Skus'!$A:$AC,4,FALSE)),""))</f>
        <v>UVC1-4K</v>
      </c>
      <c r="D38" s="47" t="str">
        <f>(IF((VLOOKUP(Table2[[#This Row],[SKU]],'All Skus'!$A:$AC,2,FALSE))="AMX",(VLOOKUP(Table2[[#This Row],[SKU]],'All Skus'!$A:$AC,5,FALSE)),""))</f>
        <v>AMX-SIG</v>
      </c>
      <c r="E38" s="281">
        <f>(IF((VLOOKUP(Table2[[#This Row],[SKU]],'All Skus'!$A:$AC,2,FALSE))="AMX",(VLOOKUP(Table2[[#This Row],[SKU]],'All Skus'!$A:$AC,7,FALSE)),""))</f>
        <v>0</v>
      </c>
      <c r="F38" s="280" t="str">
        <f>(IF((VLOOKUP(Table2[[#This Row],[SKU]],'All Skus'!$A:$AC,2,FALSE))="AMX",(VLOOKUP(Table2[[#This Row],[SKU]],'All Skus'!$A:$AC,8,FALSE)),""))</f>
        <v>4K HDMI to USB Capture</v>
      </c>
      <c r="G38" s="280" t="str">
        <f>(IF((VLOOKUP(Table2[[#This Row],[SKU]],'All Skus'!$A:$AC,2,FALSE))="AMX",(VLOOKUP(Table2[[#This Row],[SKU]],'All Skus'!$A:$AC,9,FALSE)),""))</f>
        <v>4K HDMI to USB Capture</v>
      </c>
      <c r="H38" s="157">
        <f>(IF((VLOOKUP(Table2[[#This Row],[SKU]],'All Skus'!$A:$AC,2,FALSE))="AMX",(VLOOKUP(Table2[[#This Row],[SKU]],'All Skus'!$A:$AC,10,FALSE)),""))</f>
        <v>848.3</v>
      </c>
      <c r="I38" s="157">
        <f>(IF((VLOOKUP(Table2[[#This Row],[SKU]],'All Skus'!$A:$AC,2,FALSE))="AMX",(VLOOKUP(Table2[[#This Row],[SKU]],'All Skus'!$A:$AC,11,FALSE)),""))</f>
        <v>848.3</v>
      </c>
      <c r="J38" s="47">
        <f>(IF((VLOOKUP(Table2[[#This Row],[SKU]],'All Skus'!$A:$AC,2,FALSE))="AMX",(VLOOKUP(Table2[[#This Row],[SKU]],'All Skus'!$A:$AC,15,FALSE)),""))</f>
        <v>0</v>
      </c>
      <c r="K38" s="47">
        <f>(IF((VLOOKUP(Table2[[#This Row],[SKU]],'All Skus'!$A:$AC,2,FALSE))="AMX",(VLOOKUP(Table2[[#This Row],[SKU]],'All Skus'!$A:$AC,16,FALSE)),""))</f>
        <v>718878034576</v>
      </c>
      <c r="L38" s="47">
        <f>(IF((VLOOKUP(Table2[[#This Row],[SKU]],'All Skus'!$A:$AC,2,FALSE))="AMX",(VLOOKUP(Table2[[#This Row],[SKU]],'All Skus'!$A:$AC,17,FALSE)),""))</f>
        <v>0</v>
      </c>
      <c r="M38" s="63">
        <f>(IF((VLOOKUP(Table2[[#This Row],[SKU]],'All Skus'!$A:$AC,2,FALSE))="AMX",(VLOOKUP(Table2[[#This Row],[SKU]],'All Skus'!$A:$AC,18,FALSE)),""))</f>
        <v>0.21</v>
      </c>
      <c r="N38" s="47">
        <f>(IF((VLOOKUP(Table2[[#This Row],[SKU]],'All Skus'!$A:$AC,2,FALSE))="AMX",(VLOOKUP(Table2[[#This Row],[SKU]],'All Skus'!$A:$AC,19,FALSE)),""))</f>
        <v>3.44</v>
      </c>
      <c r="O38" s="47">
        <f>(IF((VLOOKUP(Table2[[#This Row],[SKU]],'All Skus'!$A:$AC,2,FALSE))="AMX",(VLOOKUP(Table2[[#This Row],[SKU]],'All Skus'!$A:$AC,20,FALSE)),""))</f>
        <v>1.43</v>
      </c>
      <c r="P38" s="47">
        <f>(IF((VLOOKUP(Table2[[#This Row],[SKU]],'All Skus'!$A:$AC,2,FALSE))="AMX",(VLOOKUP(Table2[[#This Row],[SKU]],'All Skus'!$A:$AC,21,FALSE)),""))</f>
        <v>0.66</v>
      </c>
      <c r="Q38" s="47" t="str">
        <f>(IF((VLOOKUP(Table2[[#This Row],[SKU]],'All Skus'!$A:$AC,2,FALSE))="AMX",(VLOOKUP(Table2[[#This Row],[SKU]],'All Skus'!$A:$AC,22,FALSE)),""))</f>
        <v>TW</v>
      </c>
      <c r="R38" s="47" t="str">
        <f>(IF((VLOOKUP(Table2[[#This Row],[SKU]],'All Skus'!$A:$AC,2,FALSE))="AMX",(VLOOKUP(Table2[[#This Row],[SKU]],'All Skus'!$A:$AC,23,FALSE)),""))</f>
        <v>Compliant</v>
      </c>
      <c r="S38" s="210" t="str">
        <f>HYPERLINK((IF((VLOOKUP(Table2[[#This Row],[SKU]],'All Skus'!$A:$AC,2,FALSE))="AMX",(VLOOKUP(Table2[[#This Row],[SKU]],'All Skus'!$A:$AC,24,FALSE)),"")))</f>
        <v>https://www.amx.com/en-US/products/uvc1-4k</v>
      </c>
      <c r="T38" s="151">
        <v>36</v>
      </c>
    </row>
    <row r="39" spans="1:20" ht="15" hidden="1" customHeight="1">
      <c r="A39" s="48" t="s">
        <v>545</v>
      </c>
      <c r="B39" s="280" t="str">
        <f>(IF((VLOOKUP(Table2[[#This Row],[SKU]],'All Skus'!$A:$AC,2,FALSE))="AMX",(VLOOKUP(Table2[[#This Row],[SKU]],'All Skus'!$A:$AC,3,FALSE)),""))</f>
        <v>Digital Switcher</v>
      </c>
      <c r="C39" s="280" t="str">
        <f>(IF((VLOOKUP(Table2[[#This Row],[SKU]],'All Skus'!$A:$AC,2,FALSE))="AMX",(VLOOKUP(Table2[[#This Row],[SKU]],'All Skus'!$A:$AC,4,FALSE)),""))</f>
        <v>JPK-1300-UA</v>
      </c>
      <c r="D39" s="47" t="str">
        <f>(IF((VLOOKUP(Table2[[#This Row],[SKU]],'All Skus'!$A:$AC,2,FALSE))="AMX",(VLOOKUP(Table2[[#This Row],[SKU]],'All Skus'!$A:$AC,5,FALSE)),""))</f>
        <v>AMX-SIG</v>
      </c>
      <c r="E39" s="281" t="str">
        <f>(IF((VLOOKUP(Table2[[#This Row],[SKU]],'All Skus'!$A:$AC,2,FALSE))="AMX",(VLOOKUP(Table2[[#This Row],[SKU]],'All Skus'!$A:$AC,7,FALSE)),""))</f>
        <v>NEW</v>
      </c>
      <c r="F39" s="280" t="str">
        <f>(IF((VLOOKUP(Table2[[#This Row],[SKU]],'All Skus'!$A:$AC,2,FALSE))="AMX",(VLOOKUP(Table2[[#This Row],[SKU]],'All Skus'!$A:$AC,8,FALSE)),""))</f>
        <v>AMX Jetpack 3x1 Switching, Transport, and Control Solution (US &amp; AU)</v>
      </c>
      <c r="G39" s="280" t="str">
        <f>(IF((VLOOKUP(Table2[[#This Row],[SKU]],'All Skus'!$A:$AC,2,FALSE))="AMX",(VLOOKUP(Table2[[#This Row],[SKU]],'All Skus'!$A:$AC,9,FALSE)),""))</f>
        <v>AMX Jetpack 3x1 Switching, Transport, and Control Solution (US &amp; AU) for K12 classrooms and small-to-medium meeting spaces that provides simple AV operation</v>
      </c>
      <c r="H39" s="157">
        <f>(IF((VLOOKUP(Table2[[#This Row],[SKU]],'All Skus'!$A:$AC,2,FALSE))="AMX",(VLOOKUP(Table2[[#This Row],[SKU]],'All Skus'!$A:$AC,10,FALSE)),""))</f>
        <v>1750</v>
      </c>
      <c r="I39" s="157">
        <f>(IF((VLOOKUP(Table2[[#This Row],[SKU]],'All Skus'!$A:$AC,2,FALSE))="AMX",(VLOOKUP(Table2[[#This Row],[SKU]],'All Skus'!$A:$AC,11,FALSE)),""))</f>
        <v>1750</v>
      </c>
      <c r="J39" s="47">
        <f>(IF((VLOOKUP(Table2[[#This Row],[SKU]],'All Skus'!$A:$AC,2,FALSE))="AMX",(VLOOKUP(Table2[[#This Row],[SKU]],'All Skus'!$A:$AC,15,FALSE)),""))</f>
        <v>0</v>
      </c>
      <c r="K39" s="47">
        <f>(IF((VLOOKUP(Table2[[#This Row],[SKU]],'All Skus'!$A:$AC,2,FALSE))="AMX",(VLOOKUP(Table2[[#This Row],[SKU]],'All Skus'!$A:$AC,16,FALSE)),""))</f>
        <v>718878035184</v>
      </c>
      <c r="L39" s="47">
        <f>(IF((VLOOKUP(Table2[[#This Row],[SKU]],'All Skus'!$A:$AC,2,FALSE))="AMX",(VLOOKUP(Table2[[#This Row],[SKU]],'All Skus'!$A:$AC,17,FALSE)),""))</f>
        <v>0</v>
      </c>
      <c r="M39" s="63">
        <f>(IF((VLOOKUP(Table2[[#This Row],[SKU]],'All Skus'!$A:$AC,2,FALSE))="AMX",(VLOOKUP(Table2[[#This Row],[SKU]],'All Skus'!$A:$AC,18,FALSE)),""))</f>
        <v>2.98</v>
      </c>
      <c r="N39" s="47">
        <f>(IF((VLOOKUP(Table2[[#This Row],[SKU]],'All Skus'!$A:$AC,2,FALSE))="AMX",(VLOOKUP(Table2[[#This Row],[SKU]],'All Skus'!$A:$AC,19,FALSE)),""))</f>
        <v>0</v>
      </c>
      <c r="O39" s="47">
        <f>(IF((VLOOKUP(Table2[[#This Row],[SKU]],'All Skus'!$A:$AC,2,FALSE))="AMX",(VLOOKUP(Table2[[#This Row],[SKU]],'All Skus'!$A:$AC,20,FALSE)),""))</f>
        <v>0</v>
      </c>
      <c r="P39" s="47">
        <f>(IF((VLOOKUP(Table2[[#This Row],[SKU]],'All Skus'!$A:$AC,2,FALSE))="AMX",(VLOOKUP(Table2[[#This Row],[SKU]],'All Skus'!$A:$AC,21,FALSE)),""))</f>
        <v>0</v>
      </c>
      <c r="Q39" s="47" t="str">
        <f>(IF((VLOOKUP(Table2[[#This Row],[SKU]],'All Skus'!$A:$AC,2,FALSE))="AMX",(VLOOKUP(Table2[[#This Row],[SKU]],'All Skus'!$A:$AC,22,FALSE)),""))</f>
        <v>CN</v>
      </c>
      <c r="R39" s="47" t="str">
        <f>(IF((VLOOKUP(Table2[[#This Row],[SKU]],'All Skus'!$A:$AC,2,FALSE))="AMX",(VLOOKUP(Table2[[#This Row],[SKU]],'All Skus'!$A:$AC,23,FALSE)),""))</f>
        <v>NonCompliant</v>
      </c>
      <c r="S39" s="210" t="str">
        <f>HYPERLINK((IF((VLOOKUP(Table2[[#This Row],[SKU]],'All Skus'!$A:$AC,2,FALSE))="AMX",(VLOOKUP(Table2[[#This Row],[SKU]],'All Skus'!$A:$AC,24,FALSE)),"")))</f>
        <v>https://www.amx.com/en-US/products/jpk-1300</v>
      </c>
      <c r="T39" s="151">
        <v>37</v>
      </c>
    </row>
    <row r="40" spans="1:20" ht="15" hidden="1" customHeight="1">
      <c r="A40" s="48" t="s">
        <v>546</v>
      </c>
      <c r="B40" s="280" t="str">
        <f>(IF((VLOOKUP(Table2[[#This Row],[SKU]],'All Skus'!$A:$AC,2,FALSE))="AMX",(VLOOKUP(Table2[[#This Row],[SKU]],'All Skus'!$A:$AC,3,FALSE)),""))</f>
        <v>Digital Switcher</v>
      </c>
      <c r="C40" s="280" t="str">
        <f>(IF((VLOOKUP(Table2[[#This Row],[SKU]],'All Skus'!$A:$AC,2,FALSE))="AMX",(VLOOKUP(Table2[[#This Row],[SKU]],'All Skus'!$A:$AC,4,FALSE)),""))</f>
        <v>JPK-1300-EK</v>
      </c>
      <c r="D40" s="47" t="str">
        <f>(IF((VLOOKUP(Table2[[#This Row],[SKU]],'All Skus'!$A:$AC,2,FALSE))="AMX",(VLOOKUP(Table2[[#This Row],[SKU]],'All Skus'!$A:$AC,5,FALSE)),""))</f>
        <v>AMX-SIG</v>
      </c>
      <c r="E40" s="281" t="str">
        <f>(IF((VLOOKUP(Table2[[#This Row],[SKU]],'All Skus'!$A:$AC,2,FALSE))="AMX",(VLOOKUP(Table2[[#This Row],[SKU]],'All Skus'!$A:$AC,7,FALSE)),""))</f>
        <v>NEW</v>
      </c>
      <c r="F40" s="280" t="str">
        <f>(IF((VLOOKUP(Table2[[#This Row],[SKU]],'All Skus'!$A:$AC,2,FALSE))="AMX",(VLOOKUP(Table2[[#This Row],[SKU]],'All Skus'!$A:$AC,8,FALSE)),""))</f>
        <v>AMX Jetpack 3x1 Switching, Transport, and Control Solution (EU &amp; UK)</v>
      </c>
      <c r="G40" s="280" t="str">
        <f>(IF((VLOOKUP(Table2[[#This Row],[SKU]],'All Skus'!$A:$AC,2,FALSE))="AMX",(VLOOKUP(Table2[[#This Row],[SKU]],'All Skus'!$A:$AC,9,FALSE)),""))</f>
        <v>AMX Jetpack 3x1 Switching, Transport, and Control Solution (EU &amp; UK) for K12 classrooms and small-to-medium meeting spaces that provides simple AV operation</v>
      </c>
      <c r="H40" s="157">
        <f>(IF((VLOOKUP(Table2[[#This Row],[SKU]],'All Skus'!$A:$AC,2,FALSE))="AMX",(VLOOKUP(Table2[[#This Row],[SKU]],'All Skus'!$A:$AC,10,FALSE)),""))</f>
        <v>1750</v>
      </c>
      <c r="I40" s="157">
        <f>(IF((VLOOKUP(Table2[[#This Row],[SKU]],'All Skus'!$A:$AC,2,FALSE))="AMX",(VLOOKUP(Table2[[#This Row],[SKU]],'All Skus'!$A:$AC,11,FALSE)),""))</f>
        <v>1750</v>
      </c>
      <c r="J40" s="47">
        <f>(IF((VLOOKUP(Table2[[#This Row],[SKU]],'All Skus'!$A:$AC,2,FALSE))="AMX",(VLOOKUP(Table2[[#This Row],[SKU]],'All Skus'!$A:$AC,15,FALSE)),""))</f>
        <v>0</v>
      </c>
      <c r="K40" s="47">
        <f>(IF((VLOOKUP(Table2[[#This Row],[SKU]],'All Skus'!$A:$AC,2,FALSE))="AMX",(VLOOKUP(Table2[[#This Row],[SKU]],'All Skus'!$A:$AC,16,FALSE)),""))</f>
        <v>718878035177</v>
      </c>
      <c r="L40" s="47">
        <f>(IF((VLOOKUP(Table2[[#This Row],[SKU]],'All Skus'!$A:$AC,2,FALSE))="AMX",(VLOOKUP(Table2[[#This Row],[SKU]],'All Skus'!$A:$AC,17,FALSE)),""))</f>
        <v>0</v>
      </c>
      <c r="M40" s="63">
        <f>(IF((VLOOKUP(Table2[[#This Row],[SKU]],'All Skus'!$A:$AC,2,FALSE))="AMX",(VLOOKUP(Table2[[#This Row],[SKU]],'All Skus'!$A:$AC,18,FALSE)),""))</f>
        <v>3.02</v>
      </c>
      <c r="N40" s="47">
        <f>(IF((VLOOKUP(Table2[[#This Row],[SKU]],'All Skus'!$A:$AC,2,FALSE))="AMX",(VLOOKUP(Table2[[#This Row],[SKU]],'All Skus'!$A:$AC,19,FALSE)),""))</f>
        <v>0</v>
      </c>
      <c r="O40" s="47">
        <f>(IF((VLOOKUP(Table2[[#This Row],[SKU]],'All Skus'!$A:$AC,2,FALSE))="AMX",(VLOOKUP(Table2[[#This Row],[SKU]],'All Skus'!$A:$AC,20,FALSE)),""))</f>
        <v>0</v>
      </c>
      <c r="P40" s="47">
        <f>(IF((VLOOKUP(Table2[[#This Row],[SKU]],'All Skus'!$A:$AC,2,FALSE))="AMX",(VLOOKUP(Table2[[#This Row],[SKU]],'All Skus'!$A:$AC,21,FALSE)),""))</f>
        <v>0</v>
      </c>
      <c r="Q40" s="47" t="str">
        <f>(IF((VLOOKUP(Table2[[#This Row],[SKU]],'All Skus'!$A:$AC,2,FALSE))="AMX",(VLOOKUP(Table2[[#This Row],[SKU]],'All Skus'!$A:$AC,22,FALSE)),""))</f>
        <v>CN</v>
      </c>
      <c r="R40" s="47" t="str">
        <f>(IF((VLOOKUP(Table2[[#This Row],[SKU]],'All Skus'!$A:$AC,2,FALSE))="AMX",(VLOOKUP(Table2[[#This Row],[SKU]],'All Skus'!$A:$AC,23,FALSE)),""))</f>
        <v>NonCompliant</v>
      </c>
      <c r="S40" s="210" t="str">
        <f>HYPERLINK((IF((VLOOKUP(Table2[[#This Row],[SKU]],'All Skus'!$A:$AC,2,FALSE))="AMX",(VLOOKUP(Table2[[#This Row],[SKU]],'All Skus'!$A:$AC,24,FALSE)),"")))</f>
        <v>https://www.amx.com/en-US/products/jpk-1300</v>
      </c>
      <c r="T40" s="151">
        <v>38</v>
      </c>
    </row>
    <row r="41" spans="1:20" ht="15" hidden="1" customHeight="1">
      <c r="A41" s="48" t="s">
        <v>547</v>
      </c>
      <c r="B41" s="280" t="str">
        <f>(IF((VLOOKUP(Table2[[#This Row],[SKU]],'All Skus'!$A:$AC,2,FALSE))="AMX",(VLOOKUP(Table2[[#This Row],[SKU]],'All Skus'!$A:$AC,3,FALSE)),""))</f>
        <v>User Interface Accessories</v>
      </c>
      <c r="C41" s="280" t="str">
        <f>(IF((VLOOKUP(Table2[[#This Row],[SKU]],'All Skus'!$A:$AC,2,FALSE))="AMX",(VLOOKUP(Table2[[#This Row],[SKU]],'All Skus'!$A:$AC,4,FALSE)),""))</f>
        <v>CB-MXSA-07</v>
      </c>
      <c r="D41" s="47" t="str">
        <f>(IF((VLOOKUP(Table2[[#This Row],[SKU]],'All Skus'!$A:$AC,2,FALSE))="AMX",(VLOOKUP(Table2[[#This Row],[SKU]],'All Skus'!$A:$AC,5,FALSE)),""))</f>
        <v>AMX-UI</v>
      </c>
      <c r="E41" s="281">
        <f>(IF((VLOOKUP(Table2[[#This Row],[SKU]],'All Skus'!$A:$AC,2,FALSE))="AMX",(VLOOKUP(Table2[[#This Row],[SKU]],'All Skus'!$A:$AC,7,FALSE)),""))</f>
        <v>0</v>
      </c>
      <c r="F41" s="280" t="str">
        <f>(IF((VLOOKUP(Table2[[#This Row],[SKU]],'All Skus'!$A:$AC,2,FALSE))="AMX",(VLOOKUP(Table2[[#This Row],[SKU]],'All Skus'!$A:$AC,8,FALSE)),""))</f>
        <v>Rough-in Box for 7" Touch Panels</v>
      </c>
      <c r="G41" s="280" t="str">
        <f>(IF((VLOOKUP(Table2[[#This Row],[SKU]],'All Skus'!$A:$AC,2,FALSE))="AMX",(VLOOKUP(Table2[[#This Row],[SKU]],'All Skus'!$A:$AC,9,FALSE)),""))</f>
        <v>Rough-In Box &amp; Cover Plate for the 7" Wall-Mount Modero G5 &amp; Modero S Touch Panels.  Also fits 7” Acendo Book &amp; RoomBook.</v>
      </c>
      <c r="H41" s="157">
        <f>(IF((VLOOKUP(Table2[[#This Row],[SKU]],'All Skus'!$A:$AC,2,FALSE))="AMX",(VLOOKUP(Table2[[#This Row],[SKU]],'All Skus'!$A:$AC,10,FALSE)),""))</f>
        <v>228.7</v>
      </c>
      <c r="I41" s="157">
        <f>(IF((VLOOKUP(Table2[[#This Row],[SKU]],'All Skus'!$A:$AC,2,FALSE))="AMX",(VLOOKUP(Table2[[#This Row],[SKU]],'All Skus'!$A:$AC,11,FALSE)),""))</f>
        <v>228.7</v>
      </c>
      <c r="J41" s="47">
        <f>(IF((VLOOKUP(Table2[[#This Row],[SKU]],'All Skus'!$A:$AC,2,FALSE))="AMX",(VLOOKUP(Table2[[#This Row],[SKU]],'All Skus'!$A:$AC,15,FALSE)),""))</f>
        <v>0</v>
      </c>
      <c r="K41" s="47">
        <f>(IF((VLOOKUP(Table2[[#This Row],[SKU]],'All Skus'!$A:$AC,2,FALSE))="AMX",(VLOOKUP(Table2[[#This Row],[SKU]],'All Skus'!$A:$AC,16,FALSE)),""))</f>
        <v>718878022931</v>
      </c>
      <c r="L41" s="47">
        <f>(IF((VLOOKUP(Table2[[#This Row],[SKU]],'All Skus'!$A:$AC,2,FALSE))="AMX",(VLOOKUP(Table2[[#This Row],[SKU]],'All Skus'!$A:$AC,17,FALSE)),""))</f>
        <v>0</v>
      </c>
      <c r="M41" s="63">
        <f>(IF((VLOOKUP(Table2[[#This Row],[SKU]],'All Skus'!$A:$AC,2,FALSE))="AMX",(VLOOKUP(Table2[[#This Row],[SKU]],'All Skus'!$A:$AC,18,FALSE)),""))</f>
        <v>1.65</v>
      </c>
      <c r="N41" s="47">
        <f>(IF((VLOOKUP(Table2[[#This Row],[SKU]],'All Skus'!$A:$AC,2,FALSE))="AMX",(VLOOKUP(Table2[[#This Row],[SKU]],'All Skus'!$A:$AC,19,FALSE)),""))</f>
        <v>7.19</v>
      </c>
      <c r="O41" s="47">
        <f>(IF((VLOOKUP(Table2[[#This Row],[SKU]],'All Skus'!$A:$AC,2,FALSE))="AMX",(VLOOKUP(Table2[[#This Row],[SKU]],'All Skus'!$A:$AC,20,FALSE)),""))</f>
        <v>6.81</v>
      </c>
      <c r="P41" s="47">
        <f>(IF((VLOOKUP(Table2[[#This Row],[SKU]],'All Skus'!$A:$AC,2,FALSE))="AMX",(VLOOKUP(Table2[[#This Row],[SKU]],'All Skus'!$A:$AC,21,FALSE)),""))</f>
        <v>1.9</v>
      </c>
      <c r="Q41" s="47" t="str">
        <f>(IF((VLOOKUP(Table2[[#This Row],[SKU]],'All Skus'!$A:$AC,2,FALSE))="AMX",(VLOOKUP(Table2[[#This Row],[SKU]],'All Skus'!$A:$AC,22,FALSE)),""))</f>
        <v>US</v>
      </c>
      <c r="R41" s="47" t="str">
        <f>(IF((VLOOKUP(Table2[[#This Row],[SKU]],'All Skus'!$A:$AC,2,FALSE))="AMX",(VLOOKUP(Table2[[#This Row],[SKU]],'All Skus'!$A:$AC,23,FALSE)),""))</f>
        <v>Compliant</v>
      </c>
      <c r="S41" s="210" t="str">
        <f>HYPERLINK((IF((VLOOKUP(Table2[[#This Row],[SKU]],'All Skus'!$A:$AC,2,FALSE))="AMX",(VLOOKUP(Table2[[#This Row],[SKU]],'All Skus'!$A:$AC,24,FALSE)),"")))</f>
        <v>https://www.amx.com/en-US/products/cb-mxsa-07</v>
      </c>
      <c r="T41" s="151">
        <v>39</v>
      </c>
    </row>
    <row r="42" spans="1:20" ht="15" hidden="1" customHeight="1">
      <c r="A42" s="48" t="s">
        <v>548</v>
      </c>
      <c r="B42" s="280" t="str">
        <f>(IF((VLOOKUP(Table2[[#This Row],[SKU]],'All Skus'!$A:$AC,2,FALSE))="AMX",(VLOOKUP(Table2[[#This Row],[SKU]],'All Skus'!$A:$AC,3,FALSE)),""))</f>
        <v>Control System Accessories</v>
      </c>
      <c r="C42" s="280" t="str">
        <f>(IF((VLOOKUP(Table2[[#This Row],[SKU]],'All Skus'!$A:$AC,2,FALSE))="AMX",(VLOOKUP(Table2[[#This Row],[SKU]],'All Skus'!$A:$AC,4,FALSE)),""))</f>
        <v>CC-NIRC</v>
      </c>
      <c r="D42" s="47" t="str">
        <f>(IF((VLOOKUP(Table2[[#This Row],[SKU]],'All Skus'!$A:$AC,2,FALSE))="AMX",(VLOOKUP(Table2[[#This Row],[SKU]],'All Skus'!$A:$AC,5,FALSE)),""))</f>
        <v>AMX-DC</v>
      </c>
      <c r="E42" s="281">
        <f>(IF((VLOOKUP(Table2[[#This Row],[SKU]],'All Skus'!$A:$AC,2,FALSE))="AMX",(VLOOKUP(Table2[[#This Row],[SKU]],'All Skus'!$A:$AC,7,FALSE)),""))</f>
        <v>0</v>
      </c>
      <c r="F42" s="280" t="str">
        <f>(IF((VLOOKUP(Table2[[#This Row],[SKU]],'All Skus'!$A:$AC,2,FALSE))="AMX",(VLOOKUP(Table2[[#This Row],[SKU]],'All Skus'!$A:$AC,8,FALSE)),""))</f>
        <v>IR LED cable with 3.5mm Phoenix</v>
      </c>
      <c r="G42" s="280" t="str">
        <f>(IF((VLOOKUP(Table2[[#This Row],[SKU]],'All Skus'!$A:$AC,2,FALSE))="AMX",(VLOOKUP(Table2[[#This Row],[SKU]],'All Skus'!$A:$AC,9,FALSE)),""))</f>
        <v>IR LED cable with 3.5mm Phoenix for use with NetLinx control systems</v>
      </c>
      <c r="H42" s="157">
        <f>(IF((VLOOKUP(Table2[[#This Row],[SKU]],'All Skus'!$A:$AC,2,FALSE))="AMX",(VLOOKUP(Table2[[#This Row],[SKU]],'All Skus'!$A:$AC,10,FALSE)),""))</f>
        <v>62.9</v>
      </c>
      <c r="I42" s="157">
        <f>(IF((VLOOKUP(Table2[[#This Row],[SKU]],'All Skus'!$A:$AC,2,FALSE))="AMX",(VLOOKUP(Table2[[#This Row],[SKU]],'All Skus'!$A:$AC,11,FALSE)),""))</f>
        <v>62.9</v>
      </c>
      <c r="J42" s="47">
        <f>(IF((VLOOKUP(Table2[[#This Row],[SKU]],'All Skus'!$A:$AC,2,FALSE))="AMX",(VLOOKUP(Table2[[#This Row],[SKU]],'All Skus'!$A:$AC,15,FALSE)),""))</f>
        <v>0</v>
      </c>
      <c r="K42" s="47">
        <f>(IF((VLOOKUP(Table2[[#This Row],[SKU]],'All Skus'!$A:$AC,2,FALSE))="AMX",(VLOOKUP(Table2[[#This Row],[SKU]],'All Skus'!$A:$AC,16,FALSE)),""))</f>
        <v>718878000151</v>
      </c>
      <c r="L42" s="47">
        <f>(IF((VLOOKUP(Table2[[#This Row],[SKU]],'All Skus'!$A:$AC,2,FALSE))="AMX",(VLOOKUP(Table2[[#This Row],[SKU]],'All Skus'!$A:$AC,17,FALSE)),""))</f>
        <v>0</v>
      </c>
      <c r="M42" s="63">
        <f>(IF((VLOOKUP(Table2[[#This Row],[SKU]],'All Skus'!$A:$AC,2,FALSE))="AMX",(VLOOKUP(Table2[[#This Row],[SKU]],'All Skus'!$A:$AC,18,FALSE)),""))</f>
        <v>0.5</v>
      </c>
      <c r="N42" s="47">
        <f>(IF((VLOOKUP(Table2[[#This Row],[SKU]],'All Skus'!$A:$AC,2,FALSE))="AMX",(VLOOKUP(Table2[[#This Row],[SKU]],'All Skus'!$A:$AC,19,FALSE)),""))</f>
        <v>6</v>
      </c>
      <c r="O42" s="47">
        <f>(IF((VLOOKUP(Table2[[#This Row],[SKU]],'All Skus'!$A:$AC,2,FALSE))="AMX",(VLOOKUP(Table2[[#This Row],[SKU]],'All Skus'!$A:$AC,20,FALSE)),""))</f>
        <v>4</v>
      </c>
      <c r="P42" s="47">
        <f>(IF((VLOOKUP(Table2[[#This Row],[SKU]],'All Skus'!$A:$AC,2,FALSE))="AMX",(VLOOKUP(Table2[[#This Row],[SKU]],'All Skus'!$A:$AC,21,FALSE)),""))</f>
        <v>0.5</v>
      </c>
      <c r="Q42" s="47" t="str">
        <f>(IF((VLOOKUP(Table2[[#This Row],[SKU]],'All Skus'!$A:$AC,2,FALSE))="AMX",(VLOOKUP(Table2[[#This Row],[SKU]],'All Skus'!$A:$AC,22,FALSE)),""))</f>
        <v>CN</v>
      </c>
      <c r="R42" s="47" t="str">
        <f>(IF((VLOOKUP(Table2[[#This Row],[SKU]],'All Skus'!$A:$AC,2,FALSE))="AMX",(VLOOKUP(Table2[[#This Row],[SKU]],'All Skus'!$A:$AC,23,FALSE)),""))</f>
        <v>NonCompliant</v>
      </c>
      <c r="S42" s="210" t="str">
        <f>HYPERLINK((IF((VLOOKUP(Table2[[#This Row],[SKU]],'All Skus'!$A:$AC,2,FALSE))="AMX",(VLOOKUP(Table2[[#This Row],[SKU]],'All Skus'!$A:$AC,24,FALSE)),"")))</f>
        <v>https://www.amx.com/en/products/cc-nirc</v>
      </c>
      <c r="T42" s="151">
        <v>40</v>
      </c>
    </row>
    <row r="43" spans="1:20" ht="15" hidden="1" customHeight="1">
      <c r="A43" s="48" t="s">
        <v>3009</v>
      </c>
      <c r="B43" s="280" t="str">
        <f>(IF((VLOOKUP(Table2[[#This Row],[SKU]],'All Skus'!$A:$AC,2,FALSE))="AMX",(VLOOKUP(Table2[[#This Row],[SKU]],'All Skus'!$A:$AC,3,FALSE)),""))</f>
        <v>All-in-One Pres Switchers</v>
      </c>
      <c r="C43" s="280" t="str">
        <f>(IF((VLOOKUP(Table2[[#This Row],[SKU]],'All Skus'!$A:$AC,2,FALSE))="AMX",(VLOOKUP(Table2[[#This Row],[SKU]],'All Skus'!$A:$AC,4,FALSE)),""))</f>
        <v>CC-3.5ST5-RCA2F</v>
      </c>
      <c r="D43" s="47" t="str">
        <f>(IF((VLOOKUP(Table2[[#This Row],[SKU]],'All Skus'!$A:$AC,2,FALSE))="AMX",(VLOOKUP(Table2[[#This Row],[SKU]],'All Skus'!$A:$AC,5,FALSE)),""))</f>
        <v>AMX-DC</v>
      </c>
      <c r="E43" s="281">
        <f>(IF((VLOOKUP(Table2[[#This Row],[SKU]],'All Skus'!$A:$AC,2,FALSE))="AMX",(VLOOKUP(Table2[[#This Row],[SKU]],'All Skus'!$A:$AC,7,FALSE)),""))</f>
        <v>0</v>
      </c>
      <c r="F43" s="280" t="str">
        <f>(IF((VLOOKUP(Table2[[#This Row],[SKU]],'All Skus'!$A:$AC,2,FALSE))="AMX",(VLOOKUP(Table2[[#This Row],[SKU]],'All Skus'!$A:$AC,8,FALSE)),""))</f>
        <v>5-pin 3.5mm Phoenix to 2 RCA Female Cable</v>
      </c>
      <c r="G43" s="280" t="str">
        <f>(IF((VLOOKUP(Table2[[#This Row],[SKU]],'All Skus'!$A:$AC,2,FALSE))="AMX",(VLOOKUP(Table2[[#This Row],[SKU]],'All Skus'!$A:$AC,9,FALSE)),""))</f>
        <v>The CC-3.5ST5-RCA2F is a 6 inch cable used to connect 2 RCA Female to a 5-pin mini-Phoenix connector.</v>
      </c>
      <c r="H43" s="282">
        <f>(IF((VLOOKUP(Table2[[#This Row],[SKU]],'All Skus'!$A:$AC,2,FALSE))="AMX",(VLOOKUP(Table2[[#This Row],[SKU]],'All Skus'!$A:$AC,10,FALSE)),""))</f>
        <v>42</v>
      </c>
      <c r="I43" s="282">
        <f>(IF((VLOOKUP(Table2[[#This Row],[SKU]],'All Skus'!$A:$AC,2,FALSE))="AMX",(VLOOKUP(Table2[[#This Row],[SKU]],'All Skus'!$A:$AC,11,FALSE)),""))</f>
        <v>42</v>
      </c>
      <c r="J43" s="47">
        <f>(IF((VLOOKUP(Table2[[#This Row],[SKU]],'All Skus'!$A:$AC,2,FALSE))="AMX",(VLOOKUP(Table2[[#This Row],[SKU]],'All Skus'!$A:$AC,15,FALSE)),""))</f>
        <v>0</v>
      </c>
      <c r="K43" s="47">
        <f>(IF((VLOOKUP(Table2[[#This Row],[SKU]],'All Skus'!$A:$AC,2,FALSE))="AMX",(VLOOKUP(Table2[[#This Row],[SKU]],'All Skus'!$A:$AC,16,FALSE)),""))</f>
        <v>718878000168</v>
      </c>
      <c r="L43" s="47">
        <f>(IF((VLOOKUP(Table2[[#This Row],[SKU]],'All Skus'!$A:$AC,2,FALSE))="AMX",(VLOOKUP(Table2[[#This Row],[SKU]],'All Skus'!$A:$AC,17,FALSE)),""))</f>
        <v>0</v>
      </c>
      <c r="M43" s="63">
        <f>(IF((VLOOKUP(Table2[[#This Row],[SKU]],'All Skus'!$A:$AC,2,FALSE))="AMX",(VLOOKUP(Table2[[#This Row],[SKU]],'All Skus'!$A:$AC,18,FALSE)),""))</f>
        <v>0</v>
      </c>
      <c r="N43" s="47">
        <f>(IF((VLOOKUP(Table2[[#This Row],[SKU]],'All Skus'!$A:$AC,2,FALSE))="AMX",(VLOOKUP(Table2[[#This Row],[SKU]],'All Skus'!$A:$AC,19,FALSE)),""))</f>
        <v>6</v>
      </c>
      <c r="O43" s="47">
        <f>(IF((VLOOKUP(Table2[[#This Row],[SKU]],'All Skus'!$A:$AC,2,FALSE))="AMX",(VLOOKUP(Table2[[#This Row],[SKU]],'All Skus'!$A:$AC,20,FALSE)),""))</f>
        <v>0</v>
      </c>
      <c r="P43" s="47">
        <f>(IF((VLOOKUP(Table2[[#This Row],[SKU]],'All Skus'!$A:$AC,2,FALSE))="AMX",(VLOOKUP(Table2[[#This Row],[SKU]],'All Skus'!$A:$AC,21,FALSE)),""))</f>
        <v>0</v>
      </c>
      <c r="Q43" s="47" t="str">
        <f>(IF((VLOOKUP(Table2[[#This Row],[SKU]],'All Skus'!$A:$AC,2,FALSE))="AMX",(VLOOKUP(Table2[[#This Row],[SKU]],'All Skus'!$A:$AC,22,FALSE)),""))</f>
        <v>CN</v>
      </c>
      <c r="R43" s="47" t="str">
        <f>(IF((VLOOKUP(Table2[[#This Row],[SKU]],'All Skus'!$A:$AC,2,FALSE))="AMX",(VLOOKUP(Table2[[#This Row],[SKU]],'All Skus'!$A:$AC,23,FALSE)),""))</f>
        <v>NonCompliant</v>
      </c>
      <c r="S43" s="279" t="str">
        <f>HYPERLINK((IF((VLOOKUP(Table2[[#This Row],[SKU]],'All Skus'!$A:$AC,2,FALSE))="AMX",(VLOOKUP(Table2[[#This Row],[SKU]],'All Skus'!$A:$AC,24,FALSE)),"")))</f>
        <v>https://www.amx.com/en-US/products/cc-3-5st5-rca2f</v>
      </c>
      <c r="T43" s="47">
        <v>41</v>
      </c>
    </row>
    <row r="44" spans="1:20" ht="15" hidden="1" customHeight="1">
      <c r="A44" s="48" t="s">
        <v>549</v>
      </c>
      <c r="B44" s="280" t="str">
        <f>(IF((VLOOKUP(Table2[[#This Row],[SKU]],'All Skus'!$A:$AC,2,FALSE))="AMX",(VLOOKUP(Table2[[#This Row],[SKU]],'All Skus'!$A:$AC,3,FALSE)),""))</f>
        <v>Digital Media Switchers</v>
      </c>
      <c r="C44" s="280" t="str">
        <f>(IF((VLOOKUP(Table2[[#This Row],[SKU]],'All Skus'!$A:$AC,2,FALSE))="AMX",(VLOOKUP(Table2[[#This Row],[SKU]],'All Skus'!$A:$AC,4,FALSE)),""))</f>
        <v>DXL-TX-4K60</v>
      </c>
      <c r="D44" s="47" t="str">
        <f>(IF((VLOOKUP(Table2[[#This Row],[SKU]],'All Skus'!$A:$AC,2,FALSE))="AMX",(VLOOKUP(Table2[[#This Row],[SKU]],'All Skus'!$A:$AC,5,FALSE)),""))</f>
        <v>AMX-ENV</v>
      </c>
      <c r="E44" s="281">
        <f>(IF((VLOOKUP(Table2[[#This Row],[SKU]],'All Skus'!$A:$AC,2,FALSE))="AMX",(VLOOKUP(Table2[[#This Row],[SKU]],'All Skus'!$A:$AC,7,FALSE)),""))</f>
        <v>0</v>
      </c>
      <c r="F44" s="280" t="str">
        <f>(IF((VLOOKUP(Table2[[#This Row],[SKU]],'All Skus'!$A:$AC,2,FALSE))="AMX",(VLOOKUP(Table2[[#This Row],[SKU]],'All Skus'!$A:$AC,8,FALSE)),""))</f>
        <v>DXLite 4K60 4:4:4 HDBaseT Transmitter</v>
      </c>
      <c r="G44" s="280" t="str">
        <f>(IF((VLOOKUP(Table2[[#This Row],[SKU]],'All Skus'!$A:$AC,2,FALSE))="AMX",(VLOOKUP(Table2[[#This Row],[SKU]],'All Skus'!$A:$AC,9,FALSE)),""))</f>
        <v>DXLite 4K60 4:4:4 HDBaseT Transmitter</v>
      </c>
      <c r="H44" s="157">
        <f>(IF((VLOOKUP(Table2[[#This Row],[SKU]],'All Skus'!$A:$AC,2,FALSE))="AMX",(VLOOKUP(Table2[[#This Row],[SKU]],'All Skus'!$A:$AC,10,FALSE)),""))</f>
        <v>888.4</v>
      </c>
      <c r="I44" s="157">
        <f>(IF((VLOOKUP(Table2[[#This Row],[SKU]],'All Skus'!$A:$AC,2,FALSE))="AMX",(VLOOKUP(Table2[[#This Row],[SKU]],'All Skus'!$A:$AC,11,FALSE)),""))</f>
        <v>888.4</v>
      </c>
      <c r="J44" s="47">
        <f>(IF((VLOOKUP(Table2[[#This Row],[SKU]],'All Skus'!$A:$AC,2,FALSE))="AMX",(VLOOKUP(Table2[[#This Row],[SKU]],'All Skus'!$A:$AC,15,FALSE)),""))</f>
        <v>0</v>
      </c>
      <c r="K44" s="47">
        <f>(IF((VLOOKUP(Table2[[#This Row],[SKU]],'All Skus'!$A:$AC,2,FALSE))="AMX",(VLOOKUP(Table2[[#This Row],[SKU]],'All Skus'!$A:$AC,16,FALSE)),""))</f>
        <v>718878004982</v>
      </c>
      <c r="L44" s="47">
        <f>(IF((VLOOKUP(Table2[[#This Row],[SKU]],'All Skus'!$A:$AC,2,FALSE))="AMX",(VLOOKUP(Table2[[#This Row],[SKU]],'All Skus'!$A:$AC,17,FALSE)),""))</f>
        <v>0</v>
      </c>
      <c r="M44" s="63">
        <f>(IF((VLOOKUP(Table2[[#This Row],[SKU]],'All Skus'!$A:$AC,2,FALSE))="AMX",(VLOOKUP(Table2[[#This Row],[SKU]],'All Skus'!$A:$AC,18,FALSE)),""))</f>
        <v>1.1000000000000001</v>
      </c>
      <c r="N44" s="47">
        <f>(IF((VLOOKUP(Table2[[#This Row],[SKU]],'All Skus'!$A:$AC,2,FALSE))="AMX",(VLOOKUP(Table2[[#This Row],[SKU]],'All Skus'!$A:$AC,19,FALSE)),""))</f>
        <v>8.75</v>
      </c>
      <c r="O44" s="47">
        <f>(IF((VLOOKUP(Table2[[#This Row],[SKU]],'All Skus'!$A:$AC,2,FALSE))="AMX",(VLOOKUP(Table2[[#This Row],[SKU]],'All Skus'!$A:$AC,20,FALSE)),""))</f>
        <v>5.2</v>
      </c>
      <c r="P44" s="47">
        <f>(IF((VLOOKUP(Table2[[#This Row],[SKU]],'All Skus'!$A:$AC,2,FALSE))="AMX",(VLOOKUP(Table2[[#This Row],[SKU]],'All Skus'!$A:$AC,21,FALSE)),""))</f>
        <v>1</v>
      </c>
      <c r="Q44" s="47" t="str">
        <f>(IF((VLOOKUP(Table2[[#This Row],[SKU]],'All Skus'!$A:$AC,2,FALSE))="AMX",(VLOOKUP(Table2[[#This Row],[SKU]],'All Skus'!$A:$AC,22,FALSE)),""))</f>
        <v>CN</v>
      </c>
      <c r="R44" s="47" t="str">
        <f>(IF((VLOOKUP(Table2[[#This Row],[SKU]],'All Skus'!$A:$AC,2,FALSE))="AMX",(VLOOKUP(Table2[[#This Row],[SKU]],'All Skus'!$A:$AC,23,FALSE)),""))</f>
        <v>NonCompliant</v>
      </c>
      <c r="S44" s="210" t="str">
        <f>HYPERLINK((IF((VLOOKUP(Table2[[#This Row],[SKU]],'All Skus'!$A:$AC,2,FALSE))="AMX",(VLOOKUP(Table2[[#This Row],[SKU]],'All Skus'!$A:$AC,24,FALSE)),"")))</f>
        <v>https://www.amx.com/en-US/products/dxl-tx-4k60</v>
      </c>
      <c r="T44" s="151">
        <v>42</v>
      </c>
    </row>
    <row r="45" spans="1:20" ht="15" hidden="1" customHeight="1">
      <c r="A45" s="48" t="s">
        <v>550</v>
      </c>
      <c r="B45" s="280" t="str">
        <f>(IF((VLOOKUP(Table2[[#This Row],[SKU]],'All Skus'!$A:$AC,2,FALSE))="AMX",(VLOOKUP(Table2[[#This Row],[SKU]],'All Skus'!$A:$AC,3,FALSE)),""))</f>
        <v>Digital Media Switchers</v>
      </c>
      <c r="C45" s="280" t="str">
        <f>(IF((VLOOKUP(Table2[[#This Row],[SKU]],'All Skus'!$A:$AC,2,FALSE))="AMX",(VLOOKUP(Table2[[#This Row],[SKU]],'All Skus'!$A:$AC,4,FALSE)),""))</f>
        <v>DX-TX-4K60</v>
      </c>
      <c r="D45" s="47" t="str">
        <f>(IF((VLOOKUP(Table2[[#This Row],[SKU]],'All Skus'!$A:$AC,2,FALSE))="AMX",(VLOOKUP(Table2[[#This Row],[SKU]],'All Skus'!$A:$AC,5,FALSE)),""))</f>
        <v>AMX-ENV</v>
      </c>
      <c r="E45" s="281">
        <f>(IF((VLOOKUP(Table2[[#This Row],[SKU]],'All Skus'!$A:$AC,2,FALSE))="AMX",(VLOOKUP(Table2[[#This Row],[SKU]],'All Skus'!$A:$AC,7,FALSE)),""))</f>
        <v>0</v>
      </c>
      <c r="F45" s="280" t="str">
        <f>(IF((VLOOKUP(Table2[[#This Row],[SKU]],'All Skus'!$A:$AC,2,FALSE))="AMX",(VLOOKUP(Table2[[#This Row],[SKU]],'All Skus'!$A:$AC,8,FALSE)),""))</f>
        <v>DXLink Twisted Pair 4K60 Transmitter</v>
      </c>
      <c r="G45" s="280" t="str">
        <f>(IF((VLOOKUP(Table2[[#This Row],[SKU]],'All Skus'!$A:$AC,2,FALSE))="AMX",(VLOOKUP(Table2[[#This Row],[SKU]],'All Skus'!$A:$AC,9,FALSE)),""))</f>
        <v>DXLink Twisted Pair 4K60 Transmitter</v>
      </c>
      <c r="H45" s="157">
        <f>(IF((VLOOKUP(Table2[[#This Row],[SKU]],'All Skus'!$A:$AC,2,FALSE))="AMX",(VLOOKUP(Table2[[#This Row],[SKU]],'All Skus'!$A:$AC,10,FALSE)),""))</f>
        <v>1189</v>
      </c>
      <c r="I45" s="157">
        <f>(IF((VLOOKUP(Table2[[#This Row],[SKU]],'All Skus'!$A:$AC,2,FALSE))="AMX",(VLOOKUP(Table2[[#This Row],[SKU]],'All Skus'!$A:$AC,11,FALSE)),""))</f>
        <v>1189</v>
      </c>
      <c r="J45" s="47">
        <f>(IF((VLOOKUP(Table2[[#This Row],[SKU]],'All Skus'!$A:$AC,2,FALSE))="AMX",(VLOOKUP(Table2[[#This Row],[SKU]],'All Skus'!$A:$AC,15,FALSE)),""))</f>
        <v>0</v>
      </c>
      <c r="K45" s="47">
        <f>(IF((VLOOKUP(Table2[[#This Row],[SKU]],'All Skus'!$A:$AC,2,FALSE))="AMX",(VLOOKUP(Table2[[#This Row],[SKU]],'All Skus'!$A:$AC,16,FALSE)),""))</f>
        <v>718878026496</v>
      </c>
      <c r="L45" s="47">
        <f>(IF((VLOOKUP(Table2[[#This Row],[SKU]],'All Skus'!$A:$AC,2,FALSE))="AMX",(VLOOKUP(Table2[[#This Row],[SKU]],'All Skus'!$A:$AC,17,FALSE)),""))</f>
        <v>0</v>
      </c>
      <c r="M45" s="63">
        <f>(IF((VLOOKUP(Table2[[#This Row],[SKU]],'All Skus'!$A:$AC,2,FALSE))="AMX",(VLOOKUP(Table2[[#This Row],[SKU]],'All Skus'!$A:$AC,18,FALSE)),""))</f>
        <v>2</v>
      </c>
      <c r="N45" s="47">
        <f>(IF((VLOOKUP(Table2[[#This Row],[SKU]],'All Skus'!$A:$AC,2,FALSE))="AMX",(VLOOKUP(Table2[[#This Row],[SKU]],'All Skus'!$A:$AC,19,FALSE)),""))</f>
        <v>8.67</v>
      </c>
      <c r="O45" s="47">
        <f>(IF((VLOOKUP(Table2[[#This Row],[SKU]],'All Skus'!$A:$AC,2,FALSE))="AMX",(VLOOKUP(Table2[[#This Row],[SKU]],'All Skus'!$A:$AC,20,FALSE)),""))</f>
        <v>6.33</v>
      </c>
      <c r="P45" s="47">
        <f>(IF((VLOOKUP(Table2[[#This Row],[SKU]],'All Skus'!$A:$AC,2,FALSE))="AMX",(VLOOKUP(Table2[[#This Row],[SKU]],'All Skus'!$A:$AC,21,FALSE)),""))</f>
        <v>1</v>
      </c>
      <c r="Q45" s="47" t="str">
        <f>(IF((VLOOKUP(Table2[[#This Row],[SKU]],'All Skus'!$A:$AC,2,FALSE))="AMX",(VLOOKUP(Table2[[#This Row],[SKU]],'All Skus'!$A:$AC,22,FALSE)),""))</f>
        <v>CN</v>
      </c>
      <c r="R45" s="47" t="str">
        <f>(IF((VLOOKUP(Table2[[#This Row],[SKU]],'All Skus'!$A:$AC,2,FALSE))="AMX",(VLOOKUP(Table2[[#This Row],[SKU]],'All Skus'!$A:$AC,23,FALSE)),""))</f>
        <v>NonCompliant</v>
      </c>
      <c r="S45" s="210" t="str">
        <f>HYPERLINK((IF((VLOOKUP(Table2[[#This Row],[SKU]],'All Skus'!$A:$AC,2,FALSE))="AMX",(VLOOKUP(Table2[[#This Row],[SKU]],'All Skus'!$A:$AC,24,FALSE)),"")))</f>
        <v>https://www.amx.com/en-US/products/dx-tx-4k60</v>
      </c>
      <c r="T45" s="151">
        <v>43</v>
      </c>
    </row>
    <row r="46" spans="1:20" ht="15" hidden="1" customHeight="1">
      <c r="A46" s="48" t="s">
        <v>551</v>
      </c>
      <c r="B46" s="280" t="str">
        <f>(IF((VLOOKUP(Table2[[#This Row],[SKU]],'All Skus'!$A:$AC,2,FALSE))="AMX",(VLOOKUP(Table2[[#This Row],[SKU]],'All Skus'!$A:$AC,3,FALSE)),""))</f>
        <v>Digital Media Switchers</v>
      </c>
      <c r="C46" s="280" t="str">
        <f>(IF((VLOOKUP(Table2[[#This Row],[SKU]],'All Skus'!$A:$AC,2,FALSE))="AMX",(VLOOKUP(Table2[[#This Row],[SKU]],'All Skus'!$A:$AC,4,FALSE)),""))</f>
        <v>DX-TX-4K60-TAA</v>
      </c>
      <c r="D46" s="47" t="str">
        <f>(IF((VLOOKUP(Table2[[#This Row],[SKU]],'All Skus'!$A:$AC,2,FALSE))="AMX",(VLOOKUP(Table2[[#This Row],[SKU]],'All Skus'!$A:$AC,5,FALSE)),""))</f>
        <v>AMX-ENV</v>
      </c>
      <c r="E46" s="281">
        <f>(IF((VLOOKUP(Table2[[#This Row],[SKU]],'All Skus'!$A:$AC,2,FALSE))="AMX",(VLOOKUP(Table2[[#This Row],[SKU]],'All Skus'!$A:$AC,7,FALSE)),""))</f>
        <v>0</v>
      </c>
      <c r="F46" s="280" t="str">
        <f>(IF((VLOOKUP(Table2[[#This Row],[SKU]],'All Skus'!$A:$AC,2,FALSE))="AMX",(VLOOKUP(Table2[[#This Row],[SKU]],'All Skus'!$A:$AC,8,FALSE)),""))</f>
        <v>DXLink Twisted Pair 4K60 Transmitter, TAA</v>
      </c>
      <c r="G46" s="280" t="str">
        <f>(IF((VLOOKUP(Table2[[#This Row],[SKU]],'All Skus'!$A:$AC,2,FALSE))="AMX",(VLOOKUP(Table2[[#This Row],[SKU]],'All Skus'!$A:$AC,9,FALSE)),""))</f>
        <v>DXLink Twisted Pair 4K60 Transmitter, TAA</v>
      </c>
      <c r="H46" s="157">
        <f>(IF((VLOOKUP(Table2[[#This Row],[SKU]],'All Skus'!$A:$AC,2,FALSE))="AMX",(VLOOKUP(Table2[[#This Row],[SKU]],'All Skus'!$A:$AC,10,FALSE)),""))</f>
        <v>1189</v>
      </c>
      <c r="I46" s="157">
        <f>(IF((VLOOKUP(Table2[[#This Row],[SKU]],'All Skus'!$A:$AC,2,FALSE))="AMX",(VLOOKUP(Table2[[#This Row],[SKU]],'All Skus'!$A:$AC,11,FALSE)),""))</f>
        <v>1189</v>
      </c>
      <c r="J46" s="47">
        <f>(IF((VLOOKUP(Table2[[#This Row],[SKU]],'All Skus'!$A:$AC,2,FALSE))="AMX",(VLOOKUP(Table2[[#This Row],[SKU]],'All Skus'!$A:$AC,15,FALSE)),""))</f>
        <v>0</v>
      </c>
      <c r="K46" s="47">
        <f>(IF((VLOOKUP(Table2[[#This Row],[SKU]],'All Skus'!$A:$AC,2,FALSE))="AMX",(VLOOKUP(Table2[[#This Row],[SKU]],'All Skus'!$A:$AC,16,FALSE)),""))</f>
        <v>718878026496</v>
      </c>
      <c r="L46" s="47">
        <f>(IF((VLOOKUP(Table2[[#This Row],[SKU]],'All Skus'!$A:$AC,2,FALSE))="AMX",(VLOOKUP(Table2[[#This Row],[SKU]],'All Skus'!$A:$AC,17,FALSE)),""))</f>
        <v>0</v>
      </c>
      <c r="M46" s="63">
        <f>(IF((VLOOKUP(Table2[[#This Row],[SKU]],'All Skus'!$A:$AC,2,FALSE))="AMX",(VLOOKUP(Table2[[#This Row],[SKU]],'All Skus'!$A:$AC,18,FALSE)),""))</f>
        <v>2</v>
      </c>
      <c r="N46" s="47">
        <f>(IF((VLOOKUP(Table2[[#This Row],[SKU]],'All Skus'!$A:$AC,2,FALSE))="AMX",(VLOOKUP(Table2[[#This Row],[SKU]],'All Skus'!$A:$AC,19,FALSE)),""))</f>
        <v>8.67</v>
      </c>
      <c r="O46" s="47">
        <f>(IF((VLOOKUP(Table2[[#This Row],[SKU]],'All Skus'!$A:$AC,2,FALSE))="AMX",(VLOOKUP(Table2[[#This Row],[SKU]],'All Skus'!$A:$AC,20,FALSE)),""))</f>
        <v>6.33</v>
      </c>
      <c r="P46" s="47">
        <f>(IF((VLOOKUP(Table2[[#This Row],[SKU]],'All Skus'!$A:$AC,2,FALSE))="AMX",(VLOOKUP(Table2[[#This Row],[SKU]],'All Skus'!$A:$AC,21,FALSE)),""))</f>
        <v>1</v>
      </c>
      <c r="Q46" s="47" t="str">
        <f>(IF((VLOOKUP(Table2[[#This Row],[SKU]],'All Skus'!$A:$AC,2,FALSE))="AMX",(VLOOKUP(Table2[[#This Row],[SKU]],'All Skus'!$A:$AC,22,FALSE)),""))</f>
        <v>TW</v>
      </c>
      <c r="R46" s="47" t="str">
        <f>(IF((VLOOKUP(Table2[[#This Row],[SKU]],'All Skus'!$A:$AC,2,FALSE))="AMX",(VLOOKUP(Table2[[#This Row],[SKU]],'All Skus'!$A:$AC,23,FALSE)),""))</f>
        <v>Compliant</v>
      </c>
      <c r="S46" s="210" t="str">
        <f>HYPERLINK((IF((VLOOKUP(Table2[[#This Row],[SKU]],'All Skus'!$A:$AC,2,FALSE))="AMX",(VLOOKUP(Table2[[#This Row],[SKU]],'All Skus'!$A:$AC,24,FALSE)),"")))</f>
        <v>https://www.amx.com/en-US/products/dx-tx-4k60</v>
      </c>
      <c r="T46" s="151">
        <v>44</v>
      </c>
    </row>
    <row r="47" spans="1:20" ht="15" hidden="1" customHeight="1">
      <c r="A47" s="48" t="s">
        <v>3010</v>
      </c>
      <c r="B47" s="280" t="str">
        <f>(IF((VLOOKUP(Table2[[#This Row],[SKU]],'All Skus'!$A:$AC,2,FALSE))="AMX",(VLOOKUP(Table2[[#This Row],[SKU]],'All Skus'!$A:$AC,3,FALSE)),""))</f>
        <v>Digital Switchers</v>
      </c>
      <c r="C47" s="280" t="str">
        <f>(IF((VLOOKUP(Table2[[#This Row],[SKU]],'All Skus'!$A:$AC,2,FALSE))="AMX",(VLOOKUP(Table2[[#This Row],[SKU]],'All Skus'!$A:$AC,4,FALSE)),""))</f>
        <v>SDX-414-DX</v>
      </c>
      <c r="D47" s="47" t="str">
        <f>(IF((VLOOKUP(Table2[[#This Row],[SKU]],'All Skus'!$A:$AC,2,FALSE))="AMX",(VLOOKUP(Table2[[#This Row],[SKU]],'All Skus'!$A:$AC,5,FALSE)),""))</f>
        <v>AMX-SIG</v>
      </c>
      <c r="E47" s="281" t="str">
        <f>(IF((VLOOKUP(Table2[[#This Row],[SKU]],'All Skus'!$A:$AC,2,FALSE))="AMX",(VLOOKUP(Table2[[#This Row],[SKU]],'All Skus'!$A:$AC,7,FALSE)),""))</f>
        <v>Limited Quantity</v>
      </c>
      <c r="F47" s="280" t="str">
        <f>(IF((VLOOKUP(Table2[[#This Row],[SKU]],'All Skus'!$A:$AC,2,FALSE))="AMX",(VLOOKUP(Table2[[#This Row],[SKU]],'All Skus'!$A:$AC,8,FALSE)),""))</f>
        <v>Solecis 4x1 4K HDMI Digital Switcher with DXLink Output</v>
      </c>
      <c r="G47" s="280" t="str">
        <f>(IF((VLOOKUP(Table2[[#This Row],[SKU]],'All Skus'!$A:$AC,2,FALSE))="AMX",(VLOOKUP(Table2[[#This Row],[SKU]],'All Skus'!$A:$AC,9,FALSE)),""))</f>
        <v>Solecis 4x1 4K HDMI Digital Switcher with DXLink Output</v>
      </c>
      <c r="H47" s="282">
        <f>(IF((VLOOKUP(Table2[[#This Row],[SKU]],'All Skus'!$A:$AC,2,FALSE))="AMX",(VLOOKUP(Table2[[#This Row],[SKU]],'All Skus'!$A:$AC,10,FALSE)),""))</f>
        <v>1668.6</v>
      </c>
      <c r="I47" s="282">
        <f>(IF((VLOOKUP(Table2[[#This Row],[SKU]],'All Skus'!$A:$AC,2,FALSE))="AMX",(VLOOKUP(Table2[[#This Row],[SKU]],'All Skus'!$A:$AC,11,FALSE)),""))</f>
        <v>1668.6</v>
      </c>
      <c r="J47" s="47">
        <f>(IF((VLOOKUP(Table2[[#This Row],[SKU]],'All Skus'!$A:$AC,2,FALSE))="AMX",(VLOOKUP(Table2[[#This Row],[SKU]],'All Skus'!$A:$AC,15,FALSE)),""))</f>
        <v>0</v>
      </c>
      <c r="K47" s="47">
        <f>(IF((VLOOKUP(Table2[[#This Row],[SKU]],'All Skus'!$A:$AC,2,FALSE))="AMX",(VLOOKUP(Table2[[#This Row],[SKU]],'All Skus'!$A:$AC,16,FALSE)),""))</f>
        <v>718878024508</v>
      </c>
      <c r="L47" s="47">
        <f>(IF((VLOOKUP(Table2[[#This Row],[SKU]],'All Skus'!$A:$AC,2,FALSE))="AMX",(VLOOKUP(Table2[[#This Row],[SKU]],'All Skus'!$A:$AC,17,FALSE)),""))</f>
        <v>0</v>
      </c>
      <c r="M47" s="63">
        <f>(IF((VLOOKUP(Table2[[#This Row],[SKU]],'All Skus'!$A:$AC,2,FALSE))="AMX",(VLOOKUP(Table2[[#This Row],[SKU]],'All Skus'!$A:$AC,18,FALSE)),""))</f>
        <v>3</v>
      </c>
      <c r="N47" s="47">
        <f>(IF((VLOOKUP(Table2[[#This Row],[SKU]],'All Skus'!$A:$AC,2,FALSE))="AMX",(VLOOKUP(Table2[[#This Row],[SKU]],'All Skus'!$A:$AC,19,FALSE)),""))</f>
        <v>8.75</v>
      </c>
      <c r="O47" s="47">
        <f>(IF((VLOOKUP(Table2[[#This Row],[SKU]],'All Skus'!$A:$AC,2,FALSE))="AMX",(VLOOKUP(Table2[[#This Row],[SKU]],'All Skus'!$A:$AC,20,FALSE)),""))</f>
        <v>7</v>
      </c>
      <c r="P47" s="47">
        <f>(IF((VLOOKUP(Table2[[#This Row],[SKU]],'All Skus'!$A:$AC,2,FALSE))="AMX",(VLOOKUP(Table2[[#This Row],[SKU]],'All Skus'!$A:$AC,21,FALSE)),""))</f>
        <v>1.69</v>
      </c>
      <c r="Q47" s="47" t="str">
        <f>(IF((VLOOKUP(Table2[[#This Row],[SKU]],'All Skus'!$A:$AC,2,FALSE))="AMX",(VLOOKUP(Table2[[#This Row],[SKU]],'All Skus'!$A:$AC,22,FALSE)),""))</f>
        <v>US</v>
      </c>
      <c r="R47" s="47" t="str">
        <f>(IF((VLOOKUP(Table2[[#This Row],[SKU]],'All Skus'!$A:$AC,2,FALSE))="AMX",(VLOOKUP(Table2[[#This Row],[SKU]],'All Skus'!$A:$AC,23,FALSE)),""))</f>
        <v>Compliant</v>
      </c>
      <c r="S47" s="279" t="str">
        <f>HYPERLINK((IF((VLOOKUP(Table2[[#This Row],[SKU]],'All Skus'!$A:$AC,2,FALSE))="AMX",(VLOOKUP(Table2[[#This Row],[SKU]],'All Skus'!$A:$AC,24,FALSE)),"")))</f>
        <v>https://www.amx.com/en-US/products/sdx-414-dx</v>
      </c>
      <c r="T47" s="47">
        <v>45</v>
      </c>
    </row>
    <row r="48" spans="1:20" ht="15" hidden="1" customHeight="1">
      <c r="A48" s="48" t="s">
        <v>552</v>
      </c>
      <c r="B48" s="280" t="str">
        <f>(IF((VLOOKUP(Table2[[#This Row],[SKU]],'All Skus'!$A:$AC,2,FALSE))="AMX",(VLOOKUP(Table2[[#This Row],[SKU]],'All Skus'!$A:$AC,3,FALSE)),""))</f>
        <v>Digital Media Switchers</v>
      </c>
      <c r="C48" s="280" t="str">
        <f>(IF((VLOOKUP(Table2[[#This Row],[SKU]],'All Skus'!$A:$AC,2,FALSE))="AMX",(VLOOKUP(Table2[[#This Row],[SKU]],'All Skus'!$A:$AC,4,FALSE)),""))</f>
        <v>DX-TX-DWP-4K-BL</v>
      </c>
      <c r="D48" s="47" t="str">
        <f>(IF((VLOOKUP(Table2[[#This Row],[SKU]],'All Skus'!$A:$AC,2,FALSE))="AMX",(VLOOKUP(Table2[[#This Row],[SKU]],'All Skus'!$A:$AC,5,FALSE)),""))</f>
        <v>AMX-ENV</v>
      </c>
      <c r="E48" s="281">
        <f>(IF((VLOOKUP(Table2[[#This Row],[SKU]],'All Skus'!$A:$AC,2,FALSE))="AMX",(VLOOKUP(Table2[[#This Row],[SKU]],'All Skus'!$A:$AC,7,FALSE)),""))</f>
        <v>0</v>
      </c>
      <c r="F48" s="280" t="str">
        <f>(IF((VLOOKUP(Table2[[#This Row],[SKU]],'All Skus'!$A:$AC,2,FALSE))="AMX",(VLOOKUP(Table2[[#This Row],[SKU]],'All Skus'!$A:$AC,8,FALSE)),""))</f>
        <v>DXLink 4K HDMI Decor Style Wallplate Transmitte, Black</v>
      </c>
      <c r="G48" s="280" t="str">
        <f>(IF((VLOOKUP(Table2[[#This Row],[SKU]],'All Skus'!$A:$AC,2,FALSE))="AMX",(VLOOKUP(Table2[[#This Row],[SKU]],'All Skus'!$A:$AC,9,FALSE)),""))</f>
        <v>DXLink 4K HDMI Decor Style Wallplate Transmitter (US), 4K and UHD support, HDCP compliant, black</v>
      </c>
      <c r="H48" s="157">
        <f>(IF((VLOOKUP(Table2[[#This Row],[SKU]],'All Skus'!$A:$AC,2,FALSE))="AMX",(VLOOKUP(Table2[[#This Row],[SKU]],'All Skus'!$A:$AC,10,FALSE)),""))</f>
        <v>780.3</v>
      </c>
      <c r="I48" s="157">
        <f>(IF((VLOOKUP(Table2[[#This Row],[SKU]],'All Skus'!$A:$AC,2,FALSE))="AMX",(VLOOKUP(Table2[[#This Row],[SKU]],'All Skus'!$A:$AC,11,FALSE)),""))</f>
        <v>780.3</v>
      </c>
      <c r="J48" s="47">
        <f>(IF((VLOOKUP(Table2[[#This Row],[SKU]],'All Skus'!$A:$AC,2,FALSE))="AMX",(VLOOKUP(Table2[[#This Row],[SKU]],'All Skus'!$A:$AC,15,FALSE)),""))</f>
        <v>0</v>
      </c>
      <c r="K48" s="47">
        <f>(IF((VLOOKUP(Table2[[#This Row],[SKU]],'All Skus'!$A:$AC,2,FALSE))="AMX",(VLOOKUP(Table2[[#This Row],[SKU]],'All Skus'!$A:$AC,16,FALSE)),""))</f>
        <v>718878022160</v>
      </c>
      <c r="L48" s="47">
        <f>(IF((VLOOKUP(Table2[[#This Row],[SKU]],'All Skus'!$A:$AC,2,FALSE))="AMX",(VLOOKUP(Table2[[#This Row],[SKU]],'All Skus'!$A:$AC,17,FALSE)),""))</f>
        <v>0</v>
      </c>
      <c r="M48" s="63">
        <f>(IF((VLOOKUP(Table2[[#This Row],[SKU]],'All Skus'!$A:$AC,2,FALSE))="AMX",(VLOOKUP(Table2[[#This Row],[SKU]],'All Skus'!$A:$AC,18,FALSE)),""))</f>
        <v>0.45</v>
      </c>
      <c r="N48" s="47">
        <f>(IF((VLOOKUP(Table2[[#This Row],[SKU]],'All Skus'!$A:$AC,2,FALSE))="AMX",(VLOOKUP(Table2[[#This Row],[SKU]],'All Skus'!$A:$AC,19,FALSE)),""))</f>
        <v>1.75</v>
      </c>
      <c r="O48" s="47">
        <f>(IF((VLOOKUP(Table2[[#This Row],[SKU]],'All Skus'!$A:$AC,2,FALSE))="AMX",(VLOOKUP(Table2[[#This Row],[SKU]],'All Skus'!$A:$AC,20,FALSE)),""))</f>
        <v>1.25</v>
      </c>
      <c r="P48" s="47">
        <f>(IF((VLOOKUP(Table2[[#This Row],[SKU]],'All Skus'!$A:$AC,2,FALSE))="AMX",(VLOOKUP(Table2[[#This Row],[SKU]],'All Skus'!$A:$AC,21,FALSE)),""))</f>
        <v>4.2</v>
      </c>
      <c r="Q48" s="47" t="str">
        <f>(IF((VLOOKUP(Table2[[#This Row],[SKU]],'All Skus'!$A:$AC,2,FALSE))="AMX",(VLOOKUP(Table2[[#This Row],[SKU]],'All Skus'!$A:$AC,22,FALSE)),""))</f>
        <v>US</v>
      </c>
      <c r="R48" s="47" t="str">
        <f>(IF((VLOOKUP(Table2[[#This Row],[SKU]],'All Skus'!$A:$AC,2,FALSE))="AMX",(VLOOKUP(Table2[[#This Row],[SKU]],'All Skus'!$A:$AC,23,FALSE)),""))</f>
        <v>Compliant</v>
      </c>
      <c r="S48" s="210" t="str">
        <f>HYPERLINK((IF((VLOOKUP(Table2[[#This Row],[SKU]],'All Skus'!$A:$AC,2,FALSE))="AMX",(VLOOKUP(Table2[[#This Row],[SKU]],'All Skus'!$A:$AC,24,FALSE)),"")))</f>
        <v>https://www.amx.com/en-US/products/dx-tx-dwp-4k</v>
      </c>
      <c r="T48" s="151">
        <v>46</v>
      </c>
    </row>
    <row r="49" spans="1:20" ht="15" hidden="1" customHeight="1">
      <c r="A49" s="48" t="s">
        <v>553</v>
      </c>
      <c r="B49" s="280" t="str">
        <f>(IF((VLOOKUP(Table2[[#This Row],[SKU]],'All Skus'!$A:$AC,2,FALSE))="AMX",(VLOOKUP(Table2[[#This Row],[SKU]],'All Skus'!$A:$AC,3,FALSE)),""))</f>
        <v>Digital Media Switchers</v>
      </c>
      <c r="C49" s="280" t="str">
        <f>(IF((VLOOKUP(Table2[[#This Row],[SKU]],'All Skus'!$A:$AC,2,FALSE))="AMX",(VLOOKUP(Table2[[#This Row],[SKU]],'All Skus'!$A:$AC,4,FALSE)),""))</f>
        <v>DX-TX-DWP-4K-WH</v>
      </c>
      <c r="D49" s="47" t="str">
        <f>(IF((VLOOKUP(Table2[[#This Row],[SKU]],'All Skus'!$A:$AC,2,FALSE))="AMX",(VLOOKUP(Table2[[#This Row],[SKU]],'All Skus'!$A:$AC,5,FALSE)),""))</f>
        <v>AMX-ENV</v>
      </c>
      <c r="E49" s="281">
        <f>(IF((VLOOKUP(Table2[[#This Row],[SKU]],'All Skus'!$A:$AC,2,FALSE))="AMX",(VLOOKUP(Table2[[#This Row],[SKU]],'All Skus'!$A:$AC,7,FALSE)),""))</f>
        <v>0</v>
      </c>
      <c r="F49" s="280" t="str">
        <f>(IF((VLOOKUP(Table2[[#This Row],[SKU]],'All Skus'!$A:$AC,2,FALSE))="AMX",(VLOOKUP(Table2[[#This Row],[SKU]],'All Skus'!$A:$AC,8,FALSE)),""))</f>
        <v>DXLink 4K HDMI Decor Style Wallplate Transmitte, White</v>
      </c>
      <c r="G49" s="280" t="str">
        <f>(IF((VLOOKUP(Table2[[#This Row],[SKU]],'All Skus'!$A:$AC,2,FALSE))="AMX",(VLOOKUP(Table2[[#This Row],[SKU]],'All Skus'!$A:$AC,9,FALSE)),""))</f>
        <v>DXLink 4K HDMI Decor Style Wallplate Transmitter (US), 4K and UHD support, HDCP compliant, white</v>
      </c>
      <c r="H49" s="157">
        <f>(IF((VLOOKUP(Table2[[#This Row],[SKU]],'All Skus'!$A:$AC,2,FALSE))="AMX",(VLOOKUP(Table2[[#This Row],[SKU]],'All Skus'!$A:$AC,10,FALSE)),""))</f>
        <v>780.3</v>
      </c>
      <c r="I49" s="157">
        <f>(IF((VLOOKUP(Table2[[#This Row],[SKU]],'All Skus'!$A:$AC,2,FALSE))="AMX",(VLOOKUP(Table2[[#This Row],[SKU]],'All Skus'!$A:$AC,11,FALSE)),""))</f>
        <v>780.3</v>
      </c>
      <c r="J49" s="47">
        <f>(IF((VLOOKUP(Table2[[#This Row],[SKU]],'All Skus'!$A:$AC,2,FALSE))="AMX",(VLOOKUP(Table2[[#This Row],[SKU]],'All Skus'!$A:$AC,15,FALSE)),""))</f>
        <v>0</v>
      </c>
      <c r="K49" s="47">
        <f>(IF((VLOOKUP(Table2[[#This Row],[SKU]],'All Skus'!$A:$AC,2,FALSE))="AMX",(VLOOKUP(Table2[[#This Row],[SKU]],'All Skus'!$A:$AC,16,FALSE)),""))</f>
        <v>718878022177</v>
      </c>
      <c r="L49" s="47">
        <f>(IF((VLOOKUP(Table2[[#This Row],[SKU]],'All Skus'!$A:$AC,2,FALSE))="AMX",(VLOOKUP(Table2[[#This Row],[SKU]],'All Skus'!$A:$AC,17,FALSE)),""))</f>
        <v>0</v>
      </c>
      <c r="M49" s="63">
        <f>(IF((VLOOKUP(Table2[[#This Row],[SKU]],'All Skus'!$A:$AC,2,FALSE))="AMX",(VLOOKUP(Table2[[#This Row],[SKU]],'All Skus'!$A:$AC,18,FALSE)),""))</f>
        <v>0.45</v>
      </c>
      <c r="N49" s="47">
        <f>(IF((VLOOKUP(Table2[[#This Row],[SKU]],'All Skus'!$A:$AC,2,FALSE))="AMX",(VLOOKUP(Table2[[#This Row],[SKU]],'All Skus'!$A:$AC,19,FALSE)),""))</f>
        <v>1.75</v>
      </c>
      <c r="O49" s="47">
        <f>(IF((VLOOKUP(Table2[[#This Row],[SKU]],'All Skus'!$A:$AC,2,FALSE))="AMX",(VLOOKUP(Table2[[#This Row],[SKU]],'All Skus'!$A:$AC,20,FALSE)),""))</f>
        <v>1.25</v>
      </c>
      <c r="P49" s="47">
        <f>(IF((VLOOKUP(Table2[[#This Row],[SKU]],'All Skus'!$A:$AC,2,FALSE))="AMX",(VLOOKUP(Table2[[#This Row],[SKU]],'All Skus'!$A:$AC,21,FALSE)),""))</f>
        <v>4.2</v>
      </c>
      <c r="Q49" s="47" t="str">
        <f>(IF((VLOOKUP(Table2[[#This Row],[SKU]],'All Skus'!$A:$AC,2,FALSE))="AMX",(VLOOKUP(Table2[[#This Row],[SKU]],'All Skus'!$A:$AC,22,FALSE)),""))</f>
        <v>US</v>
      </c>
      <c r="R49" s="47" t="str">
        <f>(IF((VLOOKUP(Table2[[#This Row],[SKU]],'All Skus'!$A:$AC,2,FALSE))="AMX",(VLOOKUP(Table2[[#This Row],[SKU]],'All Skus'!$A:$AC,23,FALSE)),""))</f>
        <v>Compliant</v>
      </c>
      <c r="S49" s="210" t="str">
        <f>HYPERLINK((IF((VLOOKUP(Table2[[#This Row],[SKU]],'All Skus'!$A:$AC,2,FALSE))="AMX",(VLOOKUP(Table2[[#This Row],[SKU]],'All Skus'!$A:$AC,24,FALSE)),"")))</f>
        <v>https://www.amx.com/en-US/products/dx-tx-dwp-4k</v>
      </c>
      <c r="T49" s="151">
        <v>47</v>
      </c>
    </row>
    <row r="50" spans="1:20" ht="15" hidden="1" customHeight="1">
      <c r="A50" s="48" t="s">
        <v>554</v>
      </c>
      <c r="B50" s="280" t="str">
        <f>(IF((VLOOKUP(Table2[[#This Row],[SKU]],'All Skus'!$A:$AC,2,FALSE))="AMX",(VLOOKUP(Table2[[#This Row],[SKU]],'All Skus'!$A:$AC,3,FALSE)),""))</f>
        <v>Digital Switchers</v>
      </c>
      <c r="C50" s="280" t="str">
        <f>(IF((VLOOKUP(Table2[[#This Row],[SKU]],'All Skus'!$A:$AC,2,FALSE))="AMX",(VLOOKUP(Table2[[#This Row],[SKU]],'All Skus'!$A:$AC,4,FALSE)),""))</f>
        <v>VPX-1401</v>
      </c>
      <c r="D50" s="47" t="str">
        <f>(IF((VLOOKUP(Table2[[#This Row],[SKU]],'All Skus'!$A:$AC,2,FALSE))="AMX",(VLOOKUP(Table2[[#This Row],[SKU]],'All Skus'!$A:$AC,5,FALSE)),""))</f>
        <v>AMX-SIG</v>
      </c>
      <c r="E50" s="281">
        <f>(IF((VLOOKUP(Table2[[#This Row],[SKU]],'All Skus'!$A:$AC,2,FALSE))="AMX",(VLOOKUP(Table2[[#This Row],[SKU]],'All Skus'!$A:$AC,7,FALSE)),""))</f>
        <v>0</v>
      </c>
      <c r="F50" s="280" t="str">
        <f>(IF((VLOOKUP(Table2[[#This Row],[SKU]],'All Skus'!$A:$AC,2,FALSE))="AMX",(VLOOKUP(Table2[[#This Row],[SKU]],'All Skus'!$A:$AC,8,FALSE)),""))</f>
        <v>4x1+1 4K60 Presentation Switcher</v>
      </c>
      <c r="G50" s="280" t="str">
        <f>(IF((VLOOKUP(Table2[[#This Row],[SKU]],'All Skus'!$A:$AC,2,FALSE))="AMX",(VLOOKUP(Table2[[#This Row],[SKU]],'All Skus'!$A:$AC,9,FALSE)),""))</f>
        <v>4x1+1 4K60 Presentation Switcher</v>
      </c>
      <c r="H50" s="157">
        <f>(IF((VLOOKUP(Table2[[#This Row],[SKU]],'All Skus'!$A:$AC,2,FALSE))="AMX",(VLOOKUP(Table2[[#This Row],[SKU]],'All Skus'!$A:$AC,10,FALSE)),""))</f>
        <v>1776.7</v>
      </c>
      <c r="I50" s="157">
        <f>(IF((VLOOKUP(Table2[[#This Row],[SKU]],'All Skus'!$A:$AC,2,FALSE))="AMX",(VLOOKUP(Table2[[#This Row],[SKU]],'All Skus'!$A:$AC,11,FALSE)),""))</f>
        <v>1776.7</v>
      </c>
      <c r="J50" s="47">
        <f>(IF((VLOOKUP(Table2[[#This Row],[SKU]],'All Skus'!$A:$AC,2,FALSE))="AMX",(VLOOKUP(Table2[[#This Row],[SKU]],'All Skus'!$A:$AC,15,FALSE)),""))</f>
        <v>0</v>
      </c>
      <c r="K50" s="47">
        <f>(IF((VLOOKUP(Table2[[#This Row],[SKU]],'All Skus'!$A:$AC,2,FALSE))="AMX",(VLOOKUP(Table2[[#This Row],[SKU]],'All Skus'!$A:$AC,16,FALSE)),""))</f>
        <v>718878006047</v>
      </c>
      <c r="L50" s="47">
        <f>(IF((VLOOKUP(Table2[[#This Row],[SKU]],'All Skus'!$A:$AC,2,FALSE))="AMX",(VLOOKUP(Table2[[#This Row],[SKU]],'All Skus'!$A:$AC,17,FALSE)),""))</f>
        <v>0</v>
      </c>
      <c r="M50" s="63">
        <f>(IF((VLOOKUP(Table2[[#This Row],[SKU]],'All Skus'!$A:$AC,2,FALSE))="AMX",(VLOOKUP(Table2[[#This Row],[SKU]],'All Skus'!$A:$AC,18,FALSE)),""))</f>
        <v>2.97</v>
      </c>
      <c r="N50" s="47">
        <f>(IF((VLOOKUP(Table2[[#This Row],[SKU]],'All Skus'!$A:$AC,2,FALSE))="AMX",(VLOOKUP(Table2[[#This Row],[SKU]],'All Skus'!$A:$AC,19,FALSE)),""))</f>
        <v>9.4499999999999993</v>
      </c>
      <c r="O50" s="47">
        <f>(IF((VLOOKUP(Table2[[#This Row],[SKU]],'All Skus'!$A:$AC,2,FALSE))="AMX",(VLOOKUP(Table2[[#This Row],[SKU]],'All Skus'!$A:$AC,20,FALSE)),""))</f>
        <v>7.88</v>
      </c>
      <c r="P50" s="47">
        <f>(IF((VLOOKUP(Table2[[#This Row],[SKU]],'All Skus'!$A:$AC,2,FALSE))="AMX",(VLOOKUP(Table2[[#This Row],[SKU]],'All Skus'!$A:$AC,21,FALSE)),""))</f>
        <v>1.18</v>
      </c>
      <c r="Q50" s="47" t="str">
        <f>(IF((VLOOKUP(Table2[[#This Row],[SKU]],'All Skus'!$A:$AC,2,FALSE))="AMX",(VLOOKUP(Table2[[#This Row],[SKU]],'All Skus'!$A:$AC,22,FALSE)),""))</f>
        <v>MX</v>
      </c>
      <c r="R50" s="47" t="str">
        <f>(IF((VLOOKUP(Table2[[#This Row],[SKU]],'All Skus'!$A:$AC,2,FALSE))="AMX",(VLOOKUP(Table2[[#This Row],[SKU]],'All Skus'!$A:$AC,23,FALSE)),""))</f>
        <v>Compliant</v>
      </c>
      <c r="S50" s="210" t="str">
        <f>HYPERLINK((IF((VLOOKUP(Table2[[#This Row],[SKU]],'All Skus'!$A:$AC,2,FALSE))="AMX",(VLOOKUP(Table2[[#This Row],[SKU]],'All Skus'!$A:$AC,24,FALSE)),"")))</f>
        <v>https://www.amx.com/en-US/products/vpx-1401</v>
      </c>
      <c r="T50" s="151">
        <v>48</v>
      </c>
    </row>
    <row r="51" spans="1:20" ht="15" hidden="1" customHeight="1">
      <c r="A51" s="48" t="s">
        <v>555</v>
      </c>
      <c r="B51" s="280" t="str">
        <f>(IF((VLOOKUP(Table2[[#This Row],[SKU]],'All Skus'!$A:$AC,2,FALSE))="AMX",(VLOOKUP(Table2[[#This Row],[SKU]],'All Skus'!$A:$AC,3,FALSE)),""))</f>
        <v>Digital Switchers</v>
      </c>
      <c r="C51" s="280" t="str">
        <f>(IF((VLOOKUP(Table2[[#This Row],[SKU]],'All Skus'!$A:$AC,2,FALSE))="AMX",(VLOOKUP(Table2[[#This Row],[SKU]],'All Skus'!$A:$AC,4,FALSE)),""))</f>
        <v>SDX-514M-DX</v>
      </c>
      <c r="D51" s="47" t="str">
        <f>(IF((VLOOKUP(Table2[[#This Row],[SKU]],'All Skus'!$A:$AC,2,FALSE))="AMX",(VLOOKUP(Table2[[#This Row],[SKU]],'All Skus'!$A:$AC,5,FALSE)),""))</f>
        <v>AMX-SIG</v>
      </c>
      <c r="E51" s="281">
        <f>(IF((VLOOKUP(Table2[[#This Row],[SKU]],'All Skus'!$A:$AC,2,FALSE))="AMX",(VLOOKUP(Table2[[#This Row],[SKU]],'All Skus'!$A:$AC,7,FALSE)),""))</f>
        <v>0</v>
      </c>
      <c r="F51" s="280" t="str">
        <f>(IF((VLOOKUP(Table2[[#This Row],[SKU]],'All Skus'!$A:$AC,2,FALSE))="AMX",(VLOOKUP(Table2[[#This Row],[SKU]],'All Skus'!$A:$AC,8,FALSE)),""))</f>
        <v>Solecis 5x1 4K Muti-Format Digital Switcher with DXLink Output</v>
      </c>
      <c r="G51" s="280" t="str">
        <f>(IF((VLOOKUP(Table2[[#This Row],[SKU]],'All Skus'!$A:$AC,2,FALSE))="AMX",(VLOOKUP(Table2[[#This Row],[SKU]],'All Skus'!$A:$AC,9,FALSE)),""))</f>
        <v>Solecis 5x1 4K Muti-Format Digital Switcher with DXLink Output</v>
      </c>
      <c r="H51" s="157">
        <f>(IF((VLOOKUP(Table2[[#This Row],[SKU]],'All Skus'!$A:$AC,2,FALSE))="AMX",(VLOOKUP(Table2[[#This Row],[SKU]],'All Skus'!$A:$AC,10,FALSE)),""))</f>
        <v>1829.3</v>
      </c>
      <c r="I51" s="157">
        <f>(IF((VLOOKUP(Table2[[#This Row],[SKU]],'All Skus'!$A:$AC,2,FALSE))="AMX",(VLOOKUP(Table2[[#This Row],[SKU]],'All Skus'!$A:$AC,11,FALSE)),""))</f>
        <v>1829.3</v>
      </c>
      <c r="J51" s="47">
        <f>(IF((VLOOKUP(Table2[[#This Row],[SKU]],'All Skus'!$A:$AC,2,FALSE))="AMX",(VLOOKUP(Table2[[#This Row],[SKU]],'All Skus'!$A:$AC,15,FALSE)),""))</f>
        <v>0</v>
      </c>
      <c r="K51" s="47">
        <f>(IF((VLOOKUP(Table2[[#This Row],[SKU]],'All Skus'!$A:$AC,2,FALSE))="AMX",(VLOOKUP(Table2[[#This Row],[SKU]],'All Skus'!$A:$AC,16,FALSE)),""))</f>
        <v>718878024522</v>
      </c>
      <c r="L51" s="47">
        <f>(IF((VLOOKUP(Table2[[#This Row],[SKU]],'All Skus'!$A:$AC,2,FALSE))="AMX",(VLOOKUP(Table2[[#This Row],[SKU]],'All Skus'!$A:$AC,17,FALSE)),""))</f>
        <v>0</v>
      </c>
      <c r="M51" s="63">
        <f>(IF((VLOOKUP(Table2[[#This Row],[SKU]],'All Skus'!$A:$AC,2,FALSE))="AMX",(VLOOKUP(Table2[[#This Row],[SKU]],'All Skus'!$A:$AC,18,FALSE)),""))</f>
        <v>3.5</v>
      </c>
      <c r="N51" s="47">
        <f>(IF((VLOOKUP(Table2[[#This Row],[SKU]],'All Skus'!$A:$AC,2,FALSE))="AMX",(VLOOKUP(Table2[[#This Row],[SKU]],'All Skus'!$A:$AC,19,FALSE)),""))</f>
        <v>10</v>
      </c>
      <c r="O51" s="47">
        <f>(IF((VLOOKUP(Table2[[#This Row],[SKU]],'All Skus'!$A:$AC,2,FALSE))="AMX",(VLOOKUP(Table2[[#This Row],[SKU]],'All Skus'!$A:$AC,20,FALSE)),""))</f>
        <v>7</v>
      </c>
      <c r="P51" s="47">
        <f>(IF((VLOOKUP(Table2[[#This Row],[SKU]],'All Skus'!$A:$AC,2,FALSE))="AMX",(VLOOKUP(Table2[[#This Row],[SKU]],'All Skus'!$A:$AC,21,FALSE)),""))</f>
        <v>1.69</v>
      </c>
      <c r="Q51" s="47" t="str">
        <f>(IF((VLOOKUP(Table2[[#This Row],[SKU]],'All Skus'!$A:$AC,2,FALSE))="AMX",(VLOOKUP(Table2[[#This Row],[SKU]],'All Skus'!$A:$AC,22,FALSE)),""))</f>
        <v>US</v>
      </c>
      <c r="R51" s="47" t="str">
        <f>(IF((VLOOKUP(Table2[[#This Row],[SKU]],'All Skus'!$A:$AC,2,FALSE))="AMX",(VLOOKUP(Table2[[#This Row],[SKU]],'All Skus'!$A:$AC,23,FALSE)),""))</f>
        <v>Compliant</v>
      </c>
      <c r="S51" s="210" t="str">
        <f>HYPERLINK((IF((VLOOKUP(Table2[[#This Row],[SKU]],'All Skus'!$A:$AC,2,FALSE))="AMX",(VLOOKUP(Table2[[#This Row],[SKU]],'All Skus'!$A:$AC,24,FALSE)),"")))</f>
        <v>https://www.amx.com/en-US/products/sdx-514m-dx</v>
      </c>
      <c r="T51" s="151">
        <v>49</v>
      </c>
    </row>
    <row r="52" spans="1:20" ht="15" hidden="1" customHeight="1">
      <c r="A52" s="48" t="s">
        <v>556</v>
      </c>
      <c r="B52" s="280" t="str">
        <f>(IF((VLOOKUP(Table2[[#This Row],[SKU]],'All Skus'!$A:$AC,2,FALSE))="AMX",(VLOOKUP(Table2[[#This Row],[SKU]],'All Skus'!$A:$AC,3,FALSE)),""))</f>
        <v>Digital Switchers</v>
      </c>
      <c r="C52" s="280" t="str">
        <f>(IF((VLOOKUP(Table2[[#This Row],[SKU]],'All Skus'!$A:$AC,2,FALSE))="AMX",(VLOOKUP(Table2[[#This Row],[SKU]],'All Skus'!$A:$AC,4,FALSE)),""))</f>
        <v>VPX-1701</v>
      </c>
      <c r="D52" s="47" t="str">
        <f>(IF((VLOOKUP(Table2[[#This Row],[SKU]],'All Skus'!$A:$AC,2,FALSE))="AMX",(VLOOKUP(Table2[[#This Row],[SKU]],'All Skus'!$A:$AC,5,FALSE)),""))</f>
        <v>AMX-SIG</v>
      </c>
      <c r="E52" s="281">
        <f>(IF((VLOOKUP(Table2[[#This Row],[SKU]],'All Skus'!$A:$AC,2,FALSE))="AMX",(VLOOKUP(Table2[[#This Row],[SKU]],'All Skus'!$A:$AC,7,FALSE)),""))</f>
        <v>0</v>
      </c>
      <c r="F52" s="280" t="str">
        <f>(IF((VLOOKUP(Table2[[#This Row],[SKU]],'All Skus'!$A:$AC,2,FALSE))="AMX",(VLOOKUP(Table2[[#This Row],[SKU]],'All Skus'!$A:$AC,8,FALSE)),""))</f>
        <v>7x1+1 4K60 Presentation Switcher</v>
      </c>
      <c r="G52" s="280" t="str">
        <f>(IF((VLOOKUP(Table2[[#This Row],[SKU]],'All Skus'!$A:$AC,2,FALSE))="AMX",(VLOOKUP(Table2[[#This Row],[SKU]],'All Skus'!$A:$AC,9,FALSE)),""))</f>
        <v>7x1+1 4K60 Presentation Switcher</v>
      </c>
      <c r="H52" s="157">
        <f>(IF((VLOOKUP(Table2[[#This Row],[SKU]],'All Skus'!$A:$AC,2,FALSE))="AMX",(VLOOKUP(Table2[[#This Row],[SKU]],'All Skus'!$A:$AC,10,FALSE)),""))</f>
        <v>2206.6</v>
      </c>
      <c r="I52" s="157">
        <f>(IF((VLOOKUP(Table2[[#This Row],[SKU]],'All Skus'!$A:$AC,2,FALSE))="AMX",(VLOOKUP(Table2[[#This Row],[SKU]],'All Skus'!$A:$AC,11,FALSE)),""))</f>
        <v>2206.6</v>
      </c>
      <c r="J52" s="47">
        <f>(IF((VLOOKUP(Table2[[#This Row],[SKU]],'All Skus'!$A:$AC,2,FALSE))="AMX",(VLOOKUP(Table2[[#This Row],[SKU]],'All Skus'!$A:$AC,15,FALSE)),""))</f>
        <v>0</v>
      </c>
      <c r="K52" s="47">
        <f>(IF((VLOOKUP(Table2[[#This Row],[SKU]],'All Skus'!$A:$AC,2,FALSE))="AMX",(VLOOKUP(Table2[[#This Row],[SKU]],'All Skus'!$A:$AC,16,FALSE)),""))</f>
        <v>718878009833</v>
      </c>
      <c r="L52" s="47">
        <f>(IF((VLOOKUP(Table2[[#This Row],[SKU]],'All Skus'!$A:$AC,2,FALSE))="AMX",(VLOOKUP(Table2[[#This Row],[SKU]],'All Skus'!$A:$AC,17,FALSE)),""))</f>
        <v>0</v>
      </c>
      <c r="M52" s="63">
        <f>(IF((VLOOKUP(Table2[[#This Row],[SKU]],'All Skus'!$A:$AC,2,FALSE))="AMX",(VLOOKUP(Table2[[#This Row],[SKU]],'All Skus'!$A:$AC,18,FALSE)),""))</f>
        <v>8.3800000000000008</v>
      </c>
      <c r="N52" s="47">
        <f>(IF((VLOOKUP(Table2[[#This Row],[SKU]],'All Skus'!$A:$AC,2,FALSE))="AMX",(VLOOKUP(Table2[[#This Row],[SKU]],'All Skus'!$A:$AC,19,FALSE)),""))</f>
        <v>17.32</v>
      </c>
      <c r="O52" s="47">
        <f>(IF((VLOOKUP(Table2[[#This Row],[SKU]],'All Skus'!$A:$AC,2,FALSE))="AMX",(VLOOKUP(Table2[[#This Row],[SKU]],'All Skus'!$A:$AC,20,FALSE)),""))</f>
        <v>11.81</v>
      </c>
      <c r="P52" s="47">
        <f>(IF((VLOOKUP(Table2[[#This Row],[SKU]],'All Skus'!$A:$AC,2,FALSE))="AMX",(VLOOKUP(Table2[[#This Row],[SKU]],'All Skus'!$A:$AC,21,FALSE)),""))</f>
        <v>1.71</v>
      </c>
      <c r="Q52" s="47" t="str">
        <f>(IF((VLOOKUP(Table2[[#This Row],[SKU]],'All Skus'!$A:$AC,2,FALSE))="AMX",(VLOOKUP(Table2[[#This Row],[SKU]],'All Skus'!$A:$AC,22,FALSE)),""))</f>
        <v>CN</v>
      </c>
      <c r="R52" s="47" t="str">
        <f>(IF((VLOOKUP(Table2[[#This Row],[SKU]],'All Skus'!$A:$AC,2,FALSE))="AMX",(VLOOKUP(Table2[[#This Row],[SKU]],'All Skus'!$A:$AC,23,FALSE)),""))</f>
        <v>NonCompliant</v>
      </c>
      <c r="S52" s="210" t="str">
        <f>HYPERLINK((IF((VLOOKUP(Table2[[#This Row],[SKU]],'All Skus'!$A:$AC,2,FALSE))="AMX",(VLOOKUP(Table2[[#This Row],[SKU]],'All Skus'!$A:$AC,24,FALSE)),"")))</f>
        <v>https://www.amx.com/en-US/products/vpx-1701</v>
      </c>
      <c r="T52" s="151">
        <v>50</v>
      </c>
    </row>
    <row r="53" spans="1:20" ht="15" hidden="1" customHeight="1">
      <c r="A53" s="48" t="s">
        <v>557</v>
      </c>
      <c r="B53" s="280" t="str">
        <f>(IF((VLOOKUP(Table2[[#This Row],[SKU]],'All Skus'!$A:$AC,2,FALSE))="AMX",(VLOOKUP(Table2[[#This Row],[SKU]],'All Skus'!$A:$AC,3,FALSE)),""))</f>
        <v>Digital Media Switchers</v>
      </c>
      <c r="C53" s="280" t="str">
        <f>(IF((VLOOKUP(Table2[[#This Row],[SKU]],'All Skus'!$A:$AC,2,FALSE))="AMX",(VLOOKUP(Table2[[#This Row],[SKU]],'All Skus'!$A:$AC,4,FALSE)),""))</f>
        <v>DXF-TX-SMD</v>
      </c>
      <c r="D53" s="47" t="str">
        <f>(IF((VLOOKUP(Table2[[#This Row],[SKU]],'All Skus'!$A:$AC,2,FALSE))="AMX",(VLOOKUP(Table2[[#This Row],[SKU]],'All Skus'!$A:$AC,5,FALSE)),""))</f>
        <v>AMX-ENV</v>
      </c>
      <c r="E53" s="291" t="str">
        <f>(IF((VLOOKUP(Table2[[#This Row],[SKU]],'All Skus'!$A:$AC,2,FALSE))="AMX",(VLOOKUP(Table2[[#This Row],[SKU]],'All Skus'!$A:$AC,7,FALSE)),""))</f>
        <v>Limited Quantity - REDUCED</v>
      </c>
      <c r="F53" s="280" t="str">
        <f>(IF((VLOOKUP(Table2[[#This Row],[SKU]],'All Skus'!$A:$AC,2,FALSE))="AMX",(VLOOKUP(Table2[[#This Row],[SKU]],'All Skus'!$A:$AC,8,FALSE)),""))</f>
        <v>DXLink Multi-Format Single Mode Fiber Transmitter, Duplex</v>
      </c>
      <c r="G53" s="280" t="str">
        <f>(IF((VLOOKUP(Table2[[#This Row],[SKU]],'All Skus'!$A:$AC,2,FALSE))="AMX",(VLOOKUP(Table2[[#This Row],[SKU]],'All Skus'!$A:$AC,9,FALSE)),""))</f>
        <v>DXLink Fiber Multi-Format Transmitter Module (single mode/duplex), HDCP compliant, compatible with Enova DGX DXLink Single Mode Fiber Input Boards</v>
      </c>
      <c r="H53" s="157">
        <f>(IF((VLOOKUP(Table2[[#This Row],[SKU]],'All Skus'!$A:$AC,2,FALSE))="AMX",(VLOOKUP(Table2[[#This Row],[SKU]],'All Skus'!$A:$AC,10,FALSE)),""))</f>
        <v>2589.6</v>
      </c>
      <c r="I53" s="157">
        <f>(IF((VLOOKUP(Table2[[#This Row],[SKU]],'All Skus'!$A:$AC,2,FALSE))="AMX",(VLOOKUP(Table2[[#This Row],[SKU]],'All Skus'!$A:$AC,11,FALSE)),""))</f>
        <v>1198</v>
      </c>
      <c r="J53" s="47">
        <f>(IF((VLOOKUP(Table2[[#This Row],[SKU]],'All Skus'!$A:$AC,2,FALSE))="AMX",(VLOOKUP(Table2[[#This Row],[SKU]],'All Skus'!$A:$AC,15,FALSE)),""))</f>
        <v>0</v>
      </c>
      <c r="K53" s="47">
        <f>(IF((VLOOKUP(Table2[[#This Row],[SKU]],'All Skus'!$A:$AC,2,FALSE))="AMX",(VLOOKUP(Table2[[#This Row],[SKU]],'All Skus'!$A:$AC,16,FALSE)),""))</f>
        <v>718878023051</v>
      </c>
      <c r="L53" s="47">
        <f>(IF((VLOOKUP(Table2[[#This Row],[SKU]],'All Skus'!$A:$AC,2,FALSE))="AMX",(VLOOKUP(Table2[[#This Row],[SKU]],'All Skus'!$A:$AC,17,FALSE)),""))</f>
        <v>0</v>
      </c>
      <c r="M53" s="63">
        <f>(IF((VLOOKUP(Table2[[#This Row],[SKU]],'All Skus'!$A:$AC,2,FALSE))="AMX",(VLOOKUP(Table2[[#This Row],[SKU]],'All Skus'!$A:$AC,18,FALSE)),""))</f>
        <v>1.1000000000000001</v>
      </c>
      <c r="N53" s="47">
        <f>(IF((VLOOKUP(Table2[[#This Row],[SKU]],'All Skus'!$A:$AC,2,FALSE))="AMX",(VLOOKUP(Table2[[#This Row],[SKU]],'All Skus'!$A:$AC,19,FALSE)),""))</f>
        <v>8.75</v>
      </c>
      <c r="O53" s="47">
        <f>(IF((VLOOKUP(Table2[[#This Row],[SKU]],'All Skus'!$A:$AC,2,FALSE))="AMX",(VLOOKUP(Table2[[#This Row],[SKU]],'All Skus'!$A:$AC,20,FALSE)),""))</f>
        <v>5.2</v>
      </c>
      <c r="P53" s="47">
        <f>(IF((VLOOKUP(Table2[[#This Row],[SKU]],'All Skus'!$A:$AC,2,FALSE))="AMX",(VLOOKUP(Table2[[#This Row],[SKU]],'All Skus'!$A:$AC,21,FALSE)),""))</f>
        <v>1</v>
      </c>
      <c r="Q53" s="47" t="str">
        <f>(IF((VLOOKUP(Table2[[#This Row],[SKU]],'All Skus'!$A:$AC,2,FALSE))="AMX",(VLOOKUP(Table2[[#This Row],[SKU]],'All Skus'!$A:$AC,22,FALSE)),""))</f>
        <v>US</v>
      </c>
      <c r="R53" s="47" t="str">
        <f>(IF((VLOOKUP(Table2[[#This Row],[SKU]],'All Skus'!$A:$AC,2,FALSE))="AMX",(VLOOKUP(Table2[[#This Row],[SKU]],'All Skus'!$A:$AC,23,FALSE)),""))</f>
        <v>Compliant</v>
      </c>
      <c r="S53" s="210" t="str">
        <f>HYPERLINK((IF((VLOOKUP(Table2[[#This Row],[SKU]],'All Skus'!$A:$AC,2,FALSE))="AMX",(VLOOKUP(Table2[[#This Row],[SKU]],'All Skus'!$A:$AC,24,FALSE)),"")))</f>
        <v>https://www.amx.com/en-US/products/dxf-tx-smd</v>
      </c>
      <c r="T53" s="151">
        <v>51</v>
      </c>
    </row>
    <row r="54" spans="1:20" ht="15" hidden="1" customHeight="1">
      <c r="A54" s="48" t="s">
        <v>558</v>
      </c>
      <c r="B54" s="280" t="str">
        <f>(IF((VLOOKUP(Table2[[#This Row],[SKU]],'All Skus'!$A:$AC,2,FALSE))="AMX",(VLOOKUP(Table2[[#This Row],[SKU]],'All Skus'!$A:$AC,3,FALSE)),""))</f>
        <v>Digital Media Switchers</v>
      </c>
      <c r="C54" s="280" t="str">
        <f>(IF((VLOOKUP(Table2[[#This Row],[SKU]],'All Skus'!$A:$AC,2,FALSE))="AMX",(VLOOKUP(Table2[[#This Row],[SKU]],'All Skus'!$A:$AC,4,FALSE)),""))</f>
        <v>DXF-TX-SMS</v>
      </c>
      <c r="D54" s="47" t="str">
        <f>(IF((VLOOKUP(Table2[[#This Row],[SKU]],'All Skus'!$A:$AC,2,FALSE))="AMX",(VLOOKUP(Table2[[#This Row],[SKU]],'All Skus'!$A:$AC,5,FALSE)),""))</f>
        <v>AMX-ENV</v>
      </c>
      <c r="E54" s="291" t="str">
        <f>(IF((VLOOKUP(Table2[[#This Row],[SKU]],'All Skus'!$A:$AC,2,FALSE))="AMX",(VLOOKUP(Table2[[#This Row],[SKU]],'All Skus'!$A:$AC,7,FALSE)),""))</f>
        <v>Limited Quantity - REDUCED</v>
      </c>
      <c r="F54" s="280" t="str">
        <f>(IF((VLOOKUP(Table2[[#This Row],[SKU]],'All Skus'!$A:$AC,2,FALSE))="AMX",(VLOOKUP(Table2[[#This Row],[SKU]],'All Skus'!$A:$AC,8,FALSE)),""))</f>
        <v>DXLink Multi-Format Single Mode Fiber Transmitter, Simplex</v>
      </c>
      <c r="G54" s="280" t="str">
        <f>(IF((VLOOKUP(Table2[[#This Row],[SKU]],'All Skus'!$A:$AC,2,FALSE))="AMX",(VLOOKUP(Table2[[#This Row],[SKU]],'All Skus'!$A:$AC,9,FALSE)),""))</f>
        <v>DXLink Fiber Multi-Format Transmitter Module (single mode/simplex), HDCP compliant, compatible with Enova DGX DXLink Single Mode Fiber Input Boards</v>
      </c>
      <c r="H54" s="157">
        <f>(IF((VLOOKUP(Table2[[#This Row],[SKU]],'All Skus'!$A:$AC,2,FALSE))="AMX",(VLOOKUP(Table2[[#This Row],[SKU]],'All Skus'!$A:$AC,10,FALSE)),""))</f>
        <v>2589.6</v>
      </c>
      <c r="I54" s="157">
        <f>(IF((VLOOKUP(Table2[[#This Row],[SKU]],'All Skus'!$A:$AC,2,FALSE))="AMX",(VLOOKUP(Table2[[#This Row],[SKU]],'All Skus'!$A:$AC,11,FALSE)),""))</f>
        <v>1198</v>
      </c>
      <c r="J54" s="47">
        <f>(IF((VLOOKUP(Table2[[#This Row],[SKU]],'All Skus'!$A:$AC,2,FALSE))="AMX",(VLOOKUP(Table2[[#This Row],[SKU]],'All Skus'!$A:$AC,15,FALSE)),""))</f>
        <v>0</v>
      </c>
      <c r="K54" s="47">
        <f>(IF((VLOOKUP(Table2[[#This Row],[SKU]],'All Skus'!$A:$AC,2,FALSE))="AMX",(VLOOKUP(Table2[[#This Row],[SKU]],'All Skus'!$A:$AC,16,FALSE)),""))</f>
        <v>718878022214</v>
      </c>
      <c r="L54" s="47">
        <f>(IF((VLOOKUP(Table2[[#This Row],[SKU]],'All Skus'!$A:$AC,2,FALSE))="AMX",(VLOOKUP(Table2[[#This Row],[SKU]],'All Skus'!$A:$AC,17,FALSE)),""))</f>
        <v>0</v>
      </c>
      <c r="M54" s="63">
        <f>(IF((VLOOKUP(Table2[[#This Row],[SKU]],'All Skus'!$A:$AC,2,FALSE))="AMX",(VLOOKUP(Table2[[#This Row],[SKU]],'All Skus'!$A:$AC,18,FALSE)),""))</f>
        <v>1.1000000000000001</v>
      </c>
      <c r="N54" s="47">
        <f>(IF((VLOOKUP(Table2[[#This Row],[SKU]],'All Skus'!$A:$AC,2,FALSE))="AMX",(VLOOKUP(Table2[[#This Row],[SKU]],'All Skus'!$A:$AC,19,FALSE)),""))</f>
        <v>8.75</v>
      </c>
      <c r="O54" s="47">
        <f>(IF((VLOOKUP(Table2[[#This Row],[SKU]],'All Skus'!$A:$AC,2,FALSE))="AMX",(VLOOKUP(Table2[[#This Row],[SKU]],'All Skus'!$A:$AC,20,FALSE)),""))</f>
        <v>5.2</v>
      </c>
      <c r="P54" s="47">
        <f>(IF((VLOOKUP(Table2[[#This Row],[SKU]],'All Skus'!$A:$AC,2,FALSE))="AMX",(VLOOKUP(Table2[[#This Row],[SKU]],'All Skus'!$A:$AC,21,FALSE)),""))</f>
        <v>1</v>
      </c>
      <c r="Q54" s="47" t="str">
        <f>(IF((VLOOKUP(Table2[[#This Row],[SKU]],'All Skus'!$A:$AC,2,FALSE))="AMX",(VLOOKUP(Table2[[#This Row],[SKU]],'All Skus'!$A:$AC,22,FALSE)),""))</f>
        <v>US</v>
      </c>
      <c r="R54" s="47" t="str">
        <f>(IF((VLOOKUP(Table2[[#This Row],[SKU]],'All Skus'!$A:$AC,2,FALSE))="AMX",(VLOOKUP(Table2[[#This Row],[SKU]],'All Skus'!$A:$AC,23,FALSE)),""))</f>
        <v>Compliant</v>
      </c>
      <c r="S54" s="210" t="str">
        <f>HYPERLINK((IF((VLOOKUP(Table2[[#This Row],[SKU]],'All Skus'!$A:$AC,2,FALSE))="AMX",(VLOOKUP(Table2[[#This Row],[SKU]],'All Skus'!$A:$AC,24,FALSE)),"")))</f>
        <v>https://www.amx.com/en-US/products/dxf-tx-sms</v>
      </c>
      <c r="T54" s="151">
        <v>52</v>
      </c>
    </row>
    <row r="55" spans="1:20" ht="15" hidden="1" customHeight="1">
      <c r="A55" s="48" t="s">
        <v>559</v>
      </c>
      <c r="B55" s="280" t="str">
        <f>(IF((VLOOKUP(Table2[[#This Row],[SKU]],'All Skus'!$A:$AC,2,FALSE))="AMX",(VLOOKUP(Table2[[#This Row],[SKU]],'All Skus'!$A:$AC,3,FALSE)),""))</f>
        <v>Digital Media Switchers</v>
      </c>
      <c r="C55" s="280" t="str">
        <f>(IF((VLOOKUP(Table2[[#This Row],[SKU]],'All Skus'!$A:$AC,2,FALSE))="AMX",(VLOOKUP(Table2[[#This Row],[SKU]],'All Skus'!$A:$AC,4,FALSE)),""))</f>
        <v>DXF-TX-MMD</v>
      </c>
      <c r="D55" s="47" t="str">
        <f>(IF((VLOOKUP(Table2[[#This Row],[SKU]],'All Skus'!$A:$AC,2,FALSE))="AMX",(VLOOKUP(Table2[[#This Row],[SKU]],'All Skus'!$A:$AC,5,FALSE)),""))</f>
        <v>AMX-ENV</v>
      </c>
      <c r="E55" s="291" t="str">
        <f>(IF((VLOOKUP(Table2[[#This Row],[SKU]],'All Skus'!$A:$AC,2,FALSE))="AMX",(VLOOKUP(Table2[[#This Row],[SKU]],'All Skus'!$A:$AC,7,FALSE)),""))</f>
        <v>Limited Quantity - REDUCED</v>
      </c>
      <c r="F55" s="280" t="str">
        <f>(IF((VLOOKUP(Table2[[#This Row],[SKU]],'All Skus'!$A:$AC,2,FALSE))="AMX",(VLOOKUP(Table2[[#This Row],[SKU]],'All Skus'!$A:$AC,8,FALSE)),""))</f>
        <v>DXLink Multi-Format Multimode Fiber Transmitter, Duplex</v>
      </c>
      <c r="G55" s="280" t="str">
        <f>(IF((VLOOKUP(Table2[[#This Row],[SKU]],'All Skus'!$A:$AC,2,FALSE))="AMX",(VLOOKUP(Table2[[#This Row],[SKU]],'All Skus'!$A:$AC,9,FALSE)),""))</f>
        <v>DXLink Fiber Multi-Format Transmitter Module (multimode/duplex), HDCP compliant, compatible with Enova DGX DXLink Multimode Fiber Input Boards</v>
      </c>
      <c r="H55" s="157">
        <f>(IF((VLOOKUP(Table2[[#This Row],[SKU]],'All Skus'!$A:$AC,2,FALSE))="AMX",(VLOOKUP(Table2[[#This Row],[SKU]],'All Skus'!$A:$AC,10,FALSE)),""))</f>
        <v>2023.6</v>
      </c>
      <c r="I55" s="157">
        <f>(IF((VLOOKUP(Table2[[#This Row],[SKU]],'All Skus'!$A:$AC,2,FALSE))="AMX",(VLOOKUP(Table2[[#This Row],[SKU]],'All Skus'!$A:$AC,11,FALSE)),""))</f>
        <v>1198</v>
      </c>
      <c r="J55" s="47">
        <f>(IF((VLOOKUP(Table2[[#This Row],[SKU]],'All Skus'!$A:$AC,2,FALSE))="AMX",(VLOOKUP(Table2[[#This Row],[SKU]],'All Skus'!$A:$AC,15,FALSE)),""))</f>
        <v>0</v>
      </c>
      <c r="K55" s="47">
        <f>(IF((VLOOKUP(Table2[[#This Row],[SKU]],'All Skus'!$A:$AC,2,FALSE))="AMX",(VLOOKUP(Table2[[#This Row],[SKU]],'All Skus'!$A:$AC,16,FALSE)),""))</f>
        <v>718878022238</v>
      </c>
      <c r="L55" s="47">
        <f>(IF((VLOOKUP(Table2[[#This Row],[SKU]],'All Skus'!$A:$AC,2,FALSE))="AMX",(VLOOKUP(Table2[[#This Row],[SKU]],'All Skus'!$A:$AC,17,FALSE)),""))</f>
        <v>0</v>
      </c>
      <c r="M55" s="63">
        <f>(IF((VLOOKUP(Table2[[#This Row],[SKU]],'All Skus'!$A:$AC,2,FALSE))="AMX",(VLOOKUP(Table2[[#This Row],[SKU]],'All Skus'!$A:$AC,18,FALSE)),""))</f>
        <v>1.1000000000000001</v>
      </c>
      <c r="N55" s="47">
        <f>(IF((VLOOKUP(Table2[[#This Row],[SKU]],'All Skus'!$A:$AC,2,FALSE))="AMX",(VLOOKUP(Table2[[#This Row],[SKU]],'All Skus'!$A:$AC,19,FALSE)),""))</f>
        <v>8.75</v>
      </c>
      <c r="O55" s="47">
        <f>(IF((VLOOKUP(Table2[[#This Row],[SKU]],'All Skus'!$A:$AC,2,FALSE))="AMX",(VLOOKUP(Table2[[#This Row],[SKU]],'All Skus'!$A:$AC,20,FALSE)),""))</f>
        <v>5.2</v>
      </c>
      <c r="P55" s="47">
        <f>(IF((VLOOKUP(Table2[[#This Row],[SKU]],'All Skus'!$A:$AC,2,FALSE))="AMX",(VLOOKUP(Table2[[#This Row],[SKU]],'All Skus'!$A:$AC,21,FALSE)),""))</f>
        <v>1</v>
      </c>
      <c r="Q55" s="47" t="str">
        <f>(IF((VLOOKUP(Table2[[#This Row],[SKU]],'All Skus'!$A:$AC,2,FALSE))="AMX",(VLOOKUP(Table2[[#This Row],[SKU]],'All Skus'!$A:$AC,22,FALSE)),""))</f>
        <v>US</v>
      </c>
      <c r="R55" s="47" t="str">
        <f>(IF((VLOOKUP(Table2[[#This Row],[SKU]],'All Skus'!$A:$AC,2,FALSE))="AMX",(VLOOKUP(Table2[[#This Row],[SKU]],'All Skus'!$A:$AC,23,FALSE)),""))</f>
        <v>Compliant</v>
      </c>
      <c r="S55" s="210" t="str">
        <f>HYPERLINK((IF((VLOOKUP(Table2[[#This Row],[SKU]],'All Skus'!$A:$AC,2,FALSE))="AMX",(VLOOKUP(Table2[[#This Row],[SKU]],'All Skus'!$A:$AC,24,FALSE)),"")))</f>
        <v>https://www.amx.com/en-US/products/dxf-tx-mmd</v>
      </c>
      <c r="T55" s="151">
        <v>53</v>
      </c>
    </row>
    <row r="56" spans="1:20" ht="15" hidden="1" customHeight="1">
      <c r="A56" s="48" t="s">
        <v>560</v>
      </c>
      <c r="B56" s="280" t="str">
        <f>(IF((VLOOKUP(Table2[[#This Row],[SKU]],'All Skus'!$A:$AC,2,FALSE))="AMX",(VLOOKUP(Table2[[#This Row],[SKU]],'All Skus'!$A:$AC,3,FALSE)),""))</f>
        <v>Digital Media Switchers</v>
      </c>
      <c r="C56" s="280" t="str">
        <f>(IF((VLOOKUP(Table2[[#This Row],[SKU]],'All Skus'!$A:$AC,2,FALSE))="AMX",(VLOOKUP(Table2[[#This Row],[SKU]],'All Skus'!$A:$AC,4,FALSE)),""))</f>
        <v>DXF-TX-MMS</v>
      </c>
      <c r="D56" s="47" t="str">
        <f>(IF((VLOOKUP(Table2[[#This Row],[SKU]],'All Skus'!$A:$AC,2,FALSE))="AMX",(VLOOKUP(Table2[[#This Row],[SKU]],'All Skus'!$A:$AC,5,FALSE)),""))</f>
        <v>AMX-ENV</v>
      </c>
      <c r="E56" s="291" t="str">
        <f>(IF((VLOOKUP(Table2[[#This Row],[SKU]],'All Skus'!$A:$AC,2,FALSE))="AMX",(VLOOKUP(Table2[[#This Row],[SKU]],'All Skus'!$A:$AC,7,FALSE)),""))</f>
        <v>Limited Quantity - REDUCED</v>
      </c>
      <c r="F56" s="280" t="str">
        <f>(IF((VLOOKUP(Table2[[#This Row],[SKU]],'All Skus'!$A:$AC,2,FALSE))="AMX",(VLOOKUP(Table2[[#This Row],[SKU]],'All Skus'!$A:$AC,8,FALSE)),""))</f>
        <v>DXLink Multi-Format Multimode Fiber Transmitter, Simplex</v>
      </c>
      <c r="G56" s="280" t="str">
        <f>(IF((VLOOKUP(Table2[[#This Row],[SKU]],'All Skus'!$A:$AC,2,FALSE))="AMX",(VLOOKUP(Table2[[#This Row],[SKU]],'All Skus'!$A:$AC,9,FALSE)),""))</f>
        <v>DXLink Fiber Multi-Format Transmitter Module (multimode/simplex), HDCP compliant, compatible with Enova DGX DXLink Multimode Fiber Input Boards</v>
      </c>
      <c r="H56" s="157">
        <f>(IF((VLOOKUP(Table2[[#This Row],[SKU]],'All Skus'!$A:$AC,2,FALSE))="AMX",(VLOOKUP(Table2[[#This Row],[SKU]],'All Skus'!$A:$AC,10,FALSE)),""))</f>
        <v>2023.6</v>
      </c>
      <c r="I56" s="157">
        <f>(IF((VLOOKUP(Table2[[#This Row],[SKU]],'All Skus'!$A:$AC,2,FALSE))="AMX",(VLOOKUP(Table2[[#This Row],[SKU]],'All Skus'!$A:$AC,11,FALSE)),""))</f>
        <v>1198</v>
      </c>
      <c r="J56" s="47">
        <f>(IF((VLOOKUP(Table2[[#This Row],[SKU]],'All Skus'!$A:$AC,2,FALSE))="AMX",(VLOOKUP(Table2[[#This Row],[SKU]],'All Skus'!$A:$AC,15,FALSE)),""))</f>
        <v>0</v>
      </c>
      <c r="K56" s="47">
        <f>(IF((VLOOKUP(Table2[[#This Row],[SKU]],'All Skus'!$A:$AC,2,FALSE))="AMX",(VLOOKUP(Table2[[#This Row],[SKU]],'All Skus'!$A:$AC,16,FALSE)),""))</f>
        <v>718878249116</v>
      </c>
      <c r="L56" s="47">
        <f>(IF((VLOOKUP(Table2[[#This Row],[SKU]],'All Skus'!$A:$AC,2,FALSE))="AMX",(VLOOKUP(Table2[[#This Row],[SKU]],'All Skus'!$A:$AC,17,FALSE)),""))</f>
        <v>0</v>
      </c>
      <c r="M56" s="63">
        <f>(IF((VLOOKUP(Table2[[#This Row],[SKU]],'All Skus'!$A:$AC,2,FALSE))="AMX",(VLOOKUP(Table2[[#This Row],[SKU]],'All Skus'!$A:$AC,18,FALSE)),""))</f>
        <v>1.1000000000000001</v>
      </c>
      <c r="N56" s="47">
        <f>(IF((VLOOKUP(Table2[[#This Row],[SKU]],'All Skus'!$A:$AC,2,FALSE))="AMX",(VLOOKUP(Table2[[#This Row],[SKU]],'All Skus'!$A:$AC,19,FALSE)),""))</f>
        <v>8.75</v>
      </c>
      <c r="O56" s="47">
        <f>(IF((VLOOKUP(Table2[[#This Row],[SKU]],'All Skus'!$A:$AC,2,FALSE))="AMX",(VLOOKUP(Table2[[#This Row],[SKU]],'All Skus'!$A:$AC,20,FALSE)),""))</f>
        <v>5.2</v>
      </c>
      <c r="P56" s="47">
        <f>(IF((VLOOKUP(Table2[[#This Row],[SKU]],'All Skus'!$A:$AC,2,FALSE))="AMX",(VLOOKUP(Table2[[#This Row],[SKU]],'All Skus'!$A:$AC,21,FALSE)),""))</f>
        <v>1</v>
      </c>
      <c r="Q56" s="47" t="str">
        <f>(IF((VLOOKUP(Table2[[#This Row],[SKU]],'All Skus'!$A:$AC,2,FALSE))="AMX",(VLOOKUP(Table2[[#This Row],[SKU]],'All Skus'!$A:$AC,22,FALSE)),""))</f>
        <v>US</v>
      </c>
      <c r="R56" s="47" t="str">
        <f>(IF((VLOOKUP(Table2[[#This Row],[SKU]],'All Skus'!$A:$AC,2,FALSE))="AMX",(VLOOKUP(Table2[[#This Row],[SKU]],'All Skus'!$A:$AC,23,FALSE)),""))</f>
        <v>Compliant</v>
      </c>
      <c r="S56" s="210" t="str">
        <f>HYPERLINK((IF((VLOOKUP(Table2[[#This Row],[SKU]],'All Skus'!$A:$AC,2,FALSE))="AMX",(VLOOKUP(Table2[[#This Row],[SKU]],'All Skus'!$A:$AC,24,FALSE)),"")))</f>
        <v>https://www.amx.com/en-US/products/dxf-tx-mms</v>
      </c>
      <c r="T56" s="151">
        <v>54</v>
      </c>
    </row>
    <row r="57" spans="1:20" ht="15" hidden="1" customHeight="1">
      <c r="A57" s="48" t="s">
        <v>561</v>
      </c>
      <c r="B57" s="280" t="str">
        <f>(IF((VLOOKUP(Table2[[#This Row],[SKU]],'All Skus'!$A:$AC,2,FALSE))="AMX",(VLOOKUP(Table2[[#This Row],[SKU]],'All Skus'!$A:$AC,3,FALSE)),""))</f>
        <v>Digital Media Switchers</v>
      </c>
      <c r="C57" s="280" t="str">
        <f>(IF((VLOOKUP(Table2[[#This Row],[SKU]],'All Skus'!$A:$AC,2,FALSE))="AMX",(VLOOKUP(Table2[[#This Row],[SKU]],'All Skus'!$A:$AC,4,FALSE)),""))</f>
        <v>DXFP-TX-4K60</v>
      </c>
      <c r="D57" s="47" t="str">
        <f>(IF((VLOOKUP(Table2[[#This Row],[SKU]],'All Skus'!$A:$AC,2,FALSE))="AMX",(VLOOKUP(Table2[[#This Row],[SKU]],'All Skus'!$A:$AC,5,FALSE)),""))</f>
        <v>AMX-ENV</v>
      </c>
      <c r="E57" s="281">
        <f>(IF((VLOOKUP(Table2[[#This Row],[SKU]],'All Skus'!$A:$AC,2,FALSE))="AMX",(VLOOKUP(Table2[[#This Row],[SKU]],'All Skus'!$A:$AC,7,FALSE)),""))</f>
        <v>0</v>
      </c>
      <c r="F57" s="280" t="str">
        <f>(IF((VLOOKUP(Table2[[#This Row],[SKU]],'All Skus'!$A:$AC,2,FALSE))="AMX",(VLOOKUP(Table2[[#This Row],[SKU]],'All Skus'!$A:$AC,8,FALSE)),""))</f>
        <v>DXLink Fiber 4K60 Transmitter</v>
      </c>
      <c r="G57" s="280" t="str">
        <f>(IF((VLOOKUP(Table2[[#This Row],[SKU]],'All Skus'!$A:$AC,2,FALSE))="AMX",(VLOOKUP(Table2[[#This Row],[SKU]],'All Skus'!$A:$AC,9,FALSE)),""))</f>
        <v>DXLink Fiber 4K60 Transmitter</v>
      </c>
      <c r="H57" s="157">
        <f>(IF((VLOOKUP(Table2[[#This Row],[SKU]],'All Skus'!$A:$AC,2,FALSE))="AMX",(VLOOKUP(Table2[[#This Row],[SKU]],'All Skus'!$A:$AC,10,FALSE)),""))</f>
        <v>1966.5</v>
      </c>
      <c r="I57" s="157">
        <f>(IF((VLOOKUP(Table2[[#This Row],[SKU]],'All Skus'!$A:$AC,2,FALSE))="AMX",(VLOOKUP(Table2[[#This Row],[SKU]],'All Skus'!$A:$AC,11,FALSE)),""))</f>
        <v>1966.5</v>
      </c>
      <c r="J57" s="47">
        <f>(IF((VLOOKUP(Table2[[#This Row],[SKU]],'All Skus'!$A:$AC,2,FALSE))="AMX",(VLOOKUP(Table2[[#This Row],[SKU]],'All Skus'!$A:$AC,15,FALSE)),""))</f>
        <v>0</v>
      </c>
      <c r="K57" s="47">
        <f>(IF((VLOOKUP(Table2[[#This Row],[SKU]],'All Skus'!$A:$AC,2,FALSE))="AMX",(VLOOKUP(Table2[[#This Row],[SKU]],'All Skus'!$A:$AC,16,FALSE)),""))</f>
        <v>718878026519</v>
      </c>
      <c r="L57" s="47">
        <f>(IF((VLOOKUP(Table2[[#This Row],[SKU]],'All Skus'!$A:$AC,2,FALSE))="AMX",(VLOOKUP(Table2[[#This Row],[SKU]],'All Skus'!$A:$AC,17,FALSE)),""))</f>
        <v>0</v>
      </c>
      <c r="M57" s="63">
        <f>(IF((VLOOKUP(Table2[[#This Row],[SKU]],'All Skus'!$A:$AC,2,FALSE))="AMX",(VLOOKUP(Table2[[#This Row],[SKU]],'All Skus'!$A:$AC,18,FALSE)),""))</f>
        <v>1.94</v>
      </c>
      <c r="N57" s="47">
        <f>(IF((VLOOKUP(Table2[[#This Row],[SKU]],'All Skus'!$A:$AC,2,FALSE))="AMX",(VLOOKUP(Table2[[#This Row],[SKU]],'All Skus'!$A:$AC,19,FALSE)),""))</f>
        <v>8.66</v>
      </c>
      <c r="O57" s="47">
        <f>(IF((VLOOKUP(Table2[[#This Row],[SKU]],'All Skus'!$A:$AC,2,FALSE))="AMX",(VLOOKUP(Table2[[#This Row],[SKU]],'All Skus'!$A:$AC,20,FALSE)),""))</f>
        <v>6.3</v>
      </c>
      <c r="P57" s="47">
        <f>(IF((VLOOKUP(Table2[[#This Row],[SKU]],'All Skus'!$A:$AC,2,FALSE))="AMX",(VLOOKUP(Table2[[#This Row],[SKU]],'All Skus'!$A:$AC,21,FALSE)),""))</f>
        <v>0.98</v>
      </c>
      <c r="Q57" s="47" t="str">
        <f>(IF((VLOOKUP(Table2[[#This Row],[SKU]],'All Skus'!$A:$AC,2,FALSE))="AMX",(VLOOKUP(Table2[[#This Row],[SKU]],'All Skus'!$A:$AC,22,FALSE)),""))</f>
        <v>CN</v>
      </c>
      <c r="R57" s="47" t="str">
        <f>(IF((VLOOKUP(Table2[[#This Row],[SKU]],'All Skus'!$A:$AC,2,FALSE))="AMX",(VLOOKUP(Table2[[#This Row],[SKU]],'All Skus'!$A:$AC,23,FALSE)),""))</f>
        <v>NonCompliant</v>
      </c>
      <c r="S57" s="210" t="str">
        <f>HYPERLINK((IF((VLOOKUP(Table2[[#This Row],[SKU]],'All Skus'!$A:$AC,2,FALSE))="AMX",(VLOOKUP(Table2[[#This Row],[SKU]],'All Skus'!$A:$AC,24,FALSE)),"")))</f>
        <v>https://www.amx.com/en-US/products/dxfp-tx-4k60</v>
      </c>
      <c r="T57" s="151">
        <v>55</v>
      </c>
    </row>
    <row r="58" spans="1:20" ht="15" hidden="1" customHeight="1">
      <c r="A58" s="48" t="s">
        <v>562</v>
      </c>
      <c r="B58" s="280" t="str">
        <f>(IF((VLOOKUP(Table2[[#This Row],[SKU]],'All Skus'!$A:$AC,2,FALSE))="AMX",(VLOOKUP(Table2[[#This Row],[SKU]],'All Skus'!$A:$AC,3,FALSE)),""))</f>
        <v>Digital Media Switchers</v>
      </c>
      <c r="C58" s="280" t="str">
        <f>(IF((VLOOKUP(Table2[[#This Row],[SKU]],'All Skus'!$A:$AC,2,FALSE))="AMX",(VLOOKUP(Table2[[#This Row],[SKU]],'All Skus'!$A:$AC,4,FALSE)),""))</f>
        <v>DXFP-TX-4K60-TAA</v>
      </c>
      <c r="D58" s="47" t="str">
        <f>(IF((VLOOKUP(Table2[[#This Row],[SKU]],'All Skus'!$A:$AC,2,FALSE))="AMX",(VLOOKUP(Table2[[#This Row],[SKU]],'All Skus'!$A:$AC,5,FALSE)),""))</f>
        <v>AMX-ENV</v>
      </c>
      <c r="E58" s="281">
        <f>(IF((VLOOKUP(Table2[[#This Row],[SKU]],'All Skus'!$A:$AC,2,FALSE))="AMX",(VLOOKUP(Table2[[#This Row],[SKU]],'All Skus'!$A:$AC,7,FALSE)),""))</f>
        <v>0</v>
      </c>
      <c r="F58" s="280" t="str">
        <f>(IF((VLOOKUP(Table2[[#This Row],[SKU]],'All Skus'!$A:$AC,2,FALSE))="AMX",(VLOOKUP(Table2[[#This Row],[SKU]],'All Skus'!$A:$AC,8,FALSE)),""))</f>
        <v>DXLink Fiber 4K60 Transmitter, TAA</v>
      </c>
      <c r="G58" s="280" t="str">
        <f>(IF((VLOOKUP(Table2[[#This Row],[SKU]],'All Skus'!$A:$AC,2,FALSE))="AMX",(VLOOKUP(Table2[[#This Row],[SKU]],'All Skus'!$A:$AC,9,FALSE)),""))</f>
        <v>DXLink Fiber 4K60 Transmitter, TAA</v>
      </c>
      <c r="H58" s="157">
        <f>(IF((VLOOKUP(Table2[[#This Row],[SKU]],'All Skus'!$A:$AC,2,FALSE))="AMX",(VLOOKUP(Table2[[#This Row],[SKU]],'All Skus'!$A:$AC,10,FALSE)),""))</f>
        <v>1966.5</v>
      </c>
      <c r="I58" s="157">
        <f>(IF((VLOOKUP(Table2[[#This Row],[SKU]],'All Skus'!$A:$AC,2,FALSE))="AMX",(VLOOKUP(Table2[[#This Row],[SKU]],'All Skus'!$A:$AC,11,FALSE)),""))</f>
        <v>1966.5</v>
      </c>
      <c r="J58" s="47">
        <f>(IF((VLOOKUP(Table2[[#This Row],[SKU]],'All Skus'!$A:$AC,2,FALSE))="AMX",(VLOOKUP(Table2[[#This Row],[SKU]],'All Skus'!$A:$AC,15,FALSE)),""))</f>
        <v>0</v>
      </c>
      <c r="K58" s="47">
        <f>(IF((VLOOKUP(Table2[[#This Row],[SKU]],'All Skus'!$A:$AC,2,FALSE))="AMX",(VLOOKUP(Table2[[#This Row],[SKU]],'All Skus'!$A:$AC,16,FALSE)),""))</f>
        <v>718878026526</v>
      </c>
      <c r="L58" s="47">
        <f>(IF((VLOOKUP(Table2[[#This Row],[SKU]],'All Skus'!$A:$AC,2,FALSE))="AMX",(VLOOKUP(Table2[[#This Row],[SKU]],'All Skus'!$A:$AC,17,FALSE)),""))</f>
        <v>0</v>
      </c>
      <c r="M58" s="63">
        <f>(IF((VLOOKUP(Table2[[#This Row],[SKU]],'All Skus'!$A:$AC,2,FALSE))="AMX",(VLOOKUP(Table2[[#This Row],[SKU]],'All Skus'!$A:$AC,18,FALSE)),""))</f>
        <v>1.94</v>
      </c>
      <c r="N58" s="47">
        <f>(IF((VLOOKUP(Table2[[#This Row],[SKU]],'All Skus'!$A:$AC,2,FALSE))="AMX",(VLOOKUP(Table2[[#This Row],[SKU]],'All Skus'!$A:$AC,19,FALSE)),""))</f>
        <v>8.66</v>
      </c>
      <c r="O58" s="47">
        <f>(IF((VLOOKUP(Table2[[#This Row],[SKU]],'All Skus'!$A:$AC,2,FALSE))="AMX",(VLOOKUP(Table2[[#This Row],[SKU]],'All Skus'!$A:$AC,20,FALSE)),""))</f>
        <v>6.3</v>
      </c>
      <c r="P58" s="47">
        <f>(IF((VLOOKUP(Table2[[#This Row],[SKU]],'All Skus'!$A:$AC,2,FALSE))="AMX",(VLOOKUP(Table2[[#This Row],[SKU]],'All Skus'!$A:$AC,21,FALSE)),""))</f>
        <v>0.98</v>
      </c>
      <c r="Q58" s="47" t="str">
        <f>(IF((VLOOKUP(Table2[[#This Row],[SKU]],'All Skus'!$A:$AC,2,FALSE))="AMX",(VLOOKUP(Table2[[#This Row],[SKU]],'All Skus'!$A:$AC,22,FALSE)),""))</f>
        <v>TW</v>
      </c>
      <c r="R58" s="47" t="str">
        <f>(IF((VLOOKUP(Table2[[#This Row],[SKU]],'All Skus'!$A:$AC,2,FALSE))="AMX",(VLOOKUP(Table2[[#This Row],[SKU]],'All Skus'!$A:$AC,23,FALSE)),""))</f>
        <v>Compliant</v>
      </c>
      <c r="S58" s="210" t="str">
        <f>HYPERLINK((IF((VLOOKUP(Table2[[#This Row],[SKU]],'All Skus'!$A:$AC,2,FALSE))="AMX",(VLOOKUP(Table2[[#This Row],[SKU]],'All Skus'!$A:$AC,24,FALSE)),"")))</f>
        <v>https://www.amx.com/en-US/products/dxfp-tx-4k60</v>
      </c>
      <c r="T58" s="151">
        <v>56</v>
      </c>
    </row>
    <row r="59" spans="1:20" ht="15" hidden="1" customHeight="1">
      <c r="A59" s="48" t="s">
        <v>563</v>
      </c>
      <c r="B59" s="280" t="str">
        <f>(IF((VLOOKUP(Table2[[#This Row],[SKU]],'All Skus'!$A:$AC,2,FALSE))="AMX",(VLOOKUP(Table2[[#This Row],[SKU]],'All Skus'!$A:$AC,3,FALSE)),""))</f>
        <v>Digital Media Switchers</v>
      </c>
      <c r="C59" s="280" t="str">
        <f>(IF((VLOOKUP(Table2[[#This Row],[SKU]],'All Skus'!$A:$AC,2,FALSE))="AMX",(VLOOKUP(Table2[[#This Row],[SKU]],'All Skus'!$A:$AC,4,FALSE)),""))</f>
        <v>DXL-RX-4K60</v>
      </c>
      <c r="D59" s="47" t="str">
        <f>(IF((VLOOKUP(Table2[[#This Row],[SKU]],'All Skus'!$A:$AC,2,FALSE))="AMX",(VLOOKUP(Table2[[#This Row],[SKU]],'All Skus'!$A:$AC,5,FALSE)),""))</f>
        <v>AMX-ENV</v>
      </c>
      <c r="E59" s="281">
        <f>(IF((VLOOKUP(Table2[[#This Row],[SKU]],'All Skus'!$A:$AC,2,FALSE))="AMX",(VLOOKUP(Table2[[#This Row],[SKU]],'All Skus'!$A:$AC,7,FALSE)),""))</f>
        <v>0</v>
      </c>
      <c r="F59" s="280" t="str">
        <f>(IF((VLOOKUP(Table2[[#This Row],[SKU]],'All Skus'!$A:$AC,2,FALSE))="AMX",(VLOOKUP(Table2[[#This Row],[SKU]],'All Skus'!$A:$AC,8,FALSE)),""))</f>
        <v>DXLite 4K60 4:4:4 HDBaseT Receiver</v>
      </c>
      <c r="G59" s="280" t="str">
        <f>(IF((VLOOKUP(Table2[[#This Row],[SKU]],'All Skus'!$A:$AC,2,FALSE))="AMX",(VLOOKUP(Table2[[#This Row],[SKU]],'All Skus'!$A:$AC,9,FALSE)),""))</f>
        <v>DXLite 4K60 4:4:4 HDBaseT Receiver</v>
      </c>
      <c r="H59" s="157">
        <f>(IF((VLOOKUP(Table2[[#This Row],[SKU]],'All Skus'!$A:$AC,2,FALSE))="AMX",(VLOOKUP(Table2[[#This Row],[SKU]],'All Skus'!$A:$AC,10,FALSE)),""))</f>
        <v>742.6</v>
      </c>
      <c r="I59" s="157">
        <f>(IF((VLOOKUP(Table2[[#This Row],[SKU]],'All Skus'!$A:$AC,2,FALSE))="AMX",(VLOOKUP(Table2[[#This Row],[SKU]],'All Skus'!$A:$AC,11,FALSE)),""))</f>
        <v>742.6</v>
      </c>
      <c r="J59" s="47">
        <f>(IF((VLOOKUP(Table2[[#This Row],[SKU]],'All Skus'!$A:$AC,2,FALSE))="AMX",(VLOOKUP(Table2[[#This Row],[SKU]],'All Skus'!$A:$AC,15,FALSE)),""))</f>
        <v>0</v>
      </c>
      <c r="K59" s="47">
        <f>(IF((VLOOKUP(Table2[[#This Row],[SKU]],'All Skus'!$A:$AC,2,FALSE))="AMX",(VLOOKUP(Table2[[#This Row],[SKU]],'All Skus'!$A:$AC,16,FALSE)),""))</f>
        <v>718878003978</v>
      </c>
      <c r="L59" s="47">
        <f>(IF((VLOOKUP(Table2[[#This Row],[SKU]],'All Skus'!$A:$AC,2,FALSE))="AMX",(VLOOKUP(Table2[[#This Row],[SKU]],'All Skus'!$A:$AC,17,FALSE)),""))</f>
        <v>0</v>
      </c>
      <c r="M59" s="63">
        <f>(IF((VLOOKUP(Table2[[#This Row],[SKU]],'All Skus'!$A:$AC,2,FALSE))="AMX",(VLOOKUP(Table2[[#This Row],[SKU]],'All Skus'!$A:$AC,18,FALSE)),""))</f>
        <v>0</v>
      </c>
      <c r="N59" s="47">
        <f>(IF((VLOOKUP(Table2[[#This Row],[SKU]],'All Skus'!$A:$AC,2,FALSE))="AMX",(VLOOKUP(Table2[[#This Row],[SKU]],'All Skus'!$A:$AC,19,FALSE)),""))</f>
        <v>5.6260000000000003</v>
      </c>
      <c r="O59" s="47">
        <f>(IF((VLOOKUP(Table2[[#This Row],[SKU]],'All Skus'!$A:$AC,2,FALSE))="AMX",(VLOOKUP(Table2[[#This Row],[SKU]],'All Skus'!$A:$AC,20,FALSE)),""))</f>
        <v>5.15</v>
      </c>
      <c r="P59" s="47">
        <f>(IF((VLOOKUP(Table2[[#This Row],[SKU]],'All Skus'!$A:$AC,2,FALSE))="AMX",(VLOOKUP(Table2[[#This Row],[SKU]],'All Skus'!$A:$AC,21,FALSE)),""))</f>
        <v>1.0129999999999999</v>
      </c>
      <c r="Q59" s="47" t="str">
        <f>(IF((VLOOKUP(Table2[[#This Row],[SKU]],'All Skus'!$A:$AC,2,FALSE))="AMX",(VLOOKUP(Table2[[#This Row],[SKU]],'All Skus'!$A:$AC,22,FALSE)),""))</f>
        <v>MX</v>
      </c>
      <c r="R59" s="47" t="str">
        <f>(IF((VLOOKUP(Table2[[#This Row],[SKU]],'All Skus'!$A:$AC,2,FALSE))="AMX",(VLOOKUP(Table2[[#This Row],[SKU]],'All Skus'!$A:$AC,23,FALSE)),""))</f>
        <v>Compliant</v>
      </c>
      <c r="S59" s="210" t="str">
        <f>HYPERLINK((IF((VLOOKUP(Table2[[#This Row],[SKU]],'All Skus'!$A:$AC,2,FALSE))="AMX",(VLOOKUP(Table2[[#This Row],[SKU]],'All Skus'!$A:$AC,24,FALSE)),"")))</f>
        <v>https://www.amx.com/en-US/products/dxl-rx-4k60</v>
      </c>
      <c r="T59" s="151">
        <v>57</v>
      </c>
    </row>
    <row r="60" spans="1:20" ht="15" customHeight="1">
      <c r="A60" s="48" t="s">
        <v>564</v>
      </c>
      <c r="B60" s="280" t="str">
        <f>(IF((VLOOKUP(Table2[[#This Row],[SKU]],'All Skus'!$A:$AC,2,FALSE))="AMX",(VLOOKUP(Table2[[#This Row],[SKU]],'All Skus'!$A:$AC,3,FALSE)),""))</f>
        <v>Digital Media Switchers</v>
      </c>
      <c r="C60" s="280" t="str">
        <f>(IF((VLOOKUP(Table2[[#This Row],[SKU]],'All Skus'!$A:$AC,2,FALSE))="AMX",(VLOOKUP(Table2[[#This Row],[SKU]],'All Skus'!$A:$AC,4,FALSE)),""))</f>
        <v>DX-RX-4K60</v>
      </c>
      <c r="D60" s="47" t="str">
        <f>(IF((VLOOKUP(Table2[[#This Row],[SKU]],'All Skus'!$A:$AC,2,FALSE))="AMX",(VLOOKUP(Table2[[#This Row],[SKU]],'All Skus'!$A:$AC,5,FALSE)),""))</f>
        <v>AMX-ENV</v>
      </c>
      <c r="E60" s="281">
        <f>(IF((VLOOKUP(Table2[[#This Row],[SKU]],'All Skus'!$A:$AC,2,FALSE))="AMX",(VLOOKUP(Table2[[#This Row],[SKU]],'All Skus'!$A:$AC,7,FALSE)),""))</f>
        <v>0</v>
      </c>
      <c r="F60" s="280" t="str">
        <f>(IF((VLOOKUP(Table2[[#This Row],[SKU]],'All Skus'!$A:$AC,2,FALSE))="AMX",(VLOOKUP(Table2[[#This Row],[SKU]],'All Skus'!$A:$AC,8,FALSE)),""))</f>
        <v>DXLink 4K60 HDMI Twisted Pair Receiver</v>
      </c>
      <c r="G60" s="280" t="str">
        <f>(IF((VLOOKUP(Table2[[#This Row],[SKU]],'All Skus'!$A:$AC,2,FALSE))="AMX",(VLOOKUP(Table2[[#This Row],[SKU]],'All Skus'!$A:$AC,9,FALSE)),""))</f>
        <v>DXLink 4K60 HDMI Twisted Pair Receiver</v>
      </c>
      <c r="H60" s="157">
        <f>(IF((VLOOKUP(Table2[[#This Row],[SKU]],'All Skus'!$A:$AC,2,FALSE))="AMX",(VLOOKUP(Table2[[#This Row],[SKU]],'All Skus'!$A:$AC,10,FALSE)),""))</f>
        <v>1417.7</v>
      </c>
      <c r="I60" s="157">
        <f>(IF((VLOOKUP(Table2[[#This Row],[SKU]],'All Skus'!$A:$AC,2,FALSE))="AMX",(VLOOKUP(Table2[[#This Row],[SKU]],'All Skus'!$A:$AC,11,FALSE)),""))</f>
        <v>1417.7</v>
      </c>
      <c r="J60" s="47">
        <f>(IF((VLOOKUP(Table2[[#This Row],[SKU]],'All Skus'!$A:$AC,2,FALSE))="AMX",(VLOOKUP(Table2[[#This Row],[SKU]],'All Skus'!$A:$AC,15,FALSE)),""))</f>
        <v>0</v>
      </c>
      <c r="K60" s="47">
        <f>(IF((VLOOKUP(Table2[[#This Row],[SKU]],'All Skus'!$A:$AC,2,FALSE))="AMX",(VLOOKUP(Table2[[#This Row],[SKU]],'All Skus'!$A:$AC,16,FALSE)),""))</f>
        <v>718878026533</v>
      </c>
      <c r="L60" s="47">
        <f>(IF((VLOOKUP(Table2[[#This Row],[SKU]],'All Skus'!$A:$AC,2,FALSE))="AMX",(VLOOKUP(Table2[[#This Row],[SKU]],'All Skus'!$A:$AC,17,FALSE)),""))</f>
        <v>0</v>
      </c>
      <c r="M60" s="63">
        <f>(IF((VLOOKUP(Table2[[#This Row],[SKU]],'All Skus'!$A:$AC,2,FALSE))="AMX",(VLOOKUP(Table2[[#This Row],[SKU]],'All Skus'!$A:$AC,18,FALSE)),""))</f>
        <v>2.2000000000000002</v>
      </c>
      <c r="N60" s="47">
        <f>(IF((VLOOKUP(Table2[[#This Row],[SKU]],'All Skus'!$A:$AC,2,FALSE))="AMX",(VLOOKUP(Table2[[#This Row],[SKU]],'All Skus'!$A:$AC,19,FALSE)),""))</f>
        <v>8.67</v>
      </c>
      <c r="O60" s="47">
        <f>(IF((VLOOKUP(Table2[[#This Row],[SKU]],'All Skus'!$A:$AC,2,FALSE))="AMX",(VLOOKUP(Table2[[#This Row],[SKU]],'All Skus'!$A:$AC,20,FALSE)),""))</f>
        <v>6.33</v>
      </c>
      <c r="P60" s="47">
        <f>(IF((VLOOKUP(Table2[[#This Row],[SKU]],'All Skus'!$A:$AC,2,FALSE))="AMX",(VLOOKUP(Table2[[#This Row],[SKU]],'All Skus'!$A:$AC,21,FALSE)),""))</f>
        <v>1</v>
      </c>
      <c r="Q60" s="47" t="str">
        <f>(IF((VLOOKUP(Table2[[#This Row],[SKU]],'All Skus'!$A:$AC,2,FALSE))="AMX",(VLOOKUP(Table2[[#This Row],[SKU]],'All Skus'!$A:$AC,22,FALSE)),""))</f>
        <v>CN</v>
      </c>
      <c r="R60" s="47" t="str">
        <f>(IF((VLOOKUP(Table2[[#This Row],[SKU]],'All Skus'!$A:$AC,2,FALSE))="AMX",(VLOOKUP(Table2[[#This Row],[SKU]],'All Skus'!$A:$AC,23,FALSE)),""))</f>
        <v>NonCompliant</v>
      </c>
      <c r="S60" s="210" t="str">
        <f>HYPERLINK((IF((VLOOKUP(Table2[[#This Row],[SKU]],'All Skus'!$A:$AC,2,FALSE))="AMX",(VLOOKUP(Table2[[#This Row],[SKU]],'All Skus'!$A:$AC,24,FALSE)),"")))</f>
        <v>https://www.amx.com/en-US/products/dx-rx-4k60</v>
      </c>
      <c r="T60" s="151">
        <v>58</v>
      </c>
    </row>
    <row r="61" spans="1:20" ht="15" customHeight="1">
      <c r="A61" s="48" t="s">
        <v>565</v>
      </c>
      <c r="B61" s="280" t="str">
        <f>(IF((VLOOKUP(Table2[[#This Row],[SKU]],'All Skus'!$A:$AC,2,FALSE))="AMX",(VLOOKUP(Table2[[#This Row],[SKU]],'All Skus'!$A:$AC,3,FALSE)),""))</f>
        <v>Digital Media Switchers</v>
      </c>
      <c r="C61" s="280" t="str">
        <f>(IF((VLOOKUP(Table2[[#This Row],[SKU]],'All Skus'!$A:$AC,2,FALSE))="AMX",(VLOOKUP(Table2[[#This Row],[SKU]],'All Skus'!$A:$AC,4,FALSE)),""))</f>
        <v>DX-RX-4K60-TAA</v>
      </c>
      <c r="D61" s="47" t="str">
        <f>(IF((VLOOKUP(Table2[[#This Row],[SKU]],'All Skus'!$A:$AC,2,FALSE))="AMX",(VLOOKUP(Table2[[#This Row],[SKU]],'All Skus'!$A:$AC,5,FALSE)),""))</f>
        <v>AMX-ENV</v>
      </c>
      <c r="E61" s="281">
        <f>(IF((VLOOKUP(Table2[[#This Row],[SKU]],'All Skus'!$A:$AC,2,FALSE))="AMX",(VLOOKUP(Table2[[#This Row],[SKU]],'All Skus'!$A:$AC,7,FALSE)),""))</f>
        <v>0</v>
      </c>
      <c r="F61" s="280" t="str">
        <f>(IF((VLOOKUP(Table2[[#This Row],[SKU]],'All Skus'!$A:$AC,2,FALSE))="AMX",(VLOOKUP(Table2[[#This Row],[SKU]],'All Skus'!$A:$AC,8,FALSE)),""))</f>
        <v>DXLink 4K60 HDMI Twisted Pair Receiver，TAA</v>
      </c>
      <c r="G61" s="280" t="str">
        <f>(IF((VLOOKUP(Table2[[#This Row],[SKU]],'All Skus'!$A:$AC,2,FALSE))="AMX",(VLOOKUP(Table2[[#This Row],[SKU]],'All Skus'!$A:$AC,9,FALSE)),""))</f>
        <v>DXLink 4K60 HDMI Twisted Pair Receiver，TAA</v>
      </c>
      <c r="H61" s="157">
        <f>(IF((VLOOKUP(Table2[[#This Row],[SKU]],'All Skus'!$A:$AC,2,FALSE))="AMX",(VLOOKUP(Table2[[#This Row],[SKU]],'All Skus'!$A:$AC,10,FALSE)),""))</f>
        <v>1417.7</v>
      </c>
      <c r="I61" s="157">
        <f>(IF((VLOOKUP(Table2[[#This Row],[SKU]],'All Skus'!$A:$AC,2,FALSE))="AMX",(VLOOKUP(Table2[[#This Row],[SKU]],'All Skus'!$A:$AC,11,FALSE)),""))</f>
        <v>1417.7</v>
      </c>
      <c r="J61" s="47">
        <f>(IF((VLOOKUP(Table2[[#This Row],[SKU]],'All Skus'!$A:$AC,2,FALSE))="AMX",(VLOOKUP(Table2[[#This Row],[SKU]],'All Skus'!$A:$AC,15,FALSE)),""))</f>
        <v>0</v>
      </c>
      <c r="K61" s="47">
        <f>(IF((VLOOKUP(Table2[[#This Row],[SKU]],'All Skus'!$A:$AC,2,FALSE))="AMX",(VLOOKUP(Table2[[#This Row],[SKU]],'All Skus'!$A:$AC,16,FALSE)),""))</f>
        <v>718878026533</v>
      </c>
      <c r="L61" s="47">
        <f>(IF((VLOOKUP(Table2[[#This Row],[SKU]],'All Skus'!$A:$AC,2,FALSE))="AMX",(VLOOKUP(Table2[[#This Row],[SKU]],'All Skus'!$A:$AC,17,FALSE)),""))</f>
        <v>0</v>
      </c>
      <c r="M61" s="63">
        <f>(IF((VLOOKUP(Table2[[#This Row],[SKU]],'All Skus'!$A:$AC,2,FALSE))="AMX",(VLOOKUP(Table2[[#This Row],[SKU]],'All Skus'!$A:$AC,18,FALSE)),""))</f>
        <v>2.2000000000000002</v>
      </c>
      <c r="N61" s="47">
        <f>(IF((VLOOKUP(Table2[[#This Row],[SKU]],'All Skus'!$A:$AC,2,FALSE))="AMX",(VLOOKUP(Table2[[#This Row],[SKU]],'All Skus'!$A:$AC,19,FALSE)),""))</f>
        <v>8.67</v>
      </c>
      <c r="O61" s="47">
        <f>(IF((VLOOKUP(Table2[[#This Row],[SKU]],'All Skus'!$A:$AC,2,FALSE))="AMX",(VLOOKUP(Table2[[#This Row],[SKU]],'All Skus'!$A:$AC,20,FALSE)),""))</f>
        <v>6.33</v>
      </c>
      <c r="P61" s="47">
        <f>(IF((VLOOKUP(Table2[[#This Row],[SKU]],'All Skus'!$A:$AC,2,FALSE))="AMX",(VLOOKUP(Table2[[#This Row],[SKU]],'All Skus'!$A:$AC,21,FALSE)),""))</f>
        <v>1</v>
      </c>
      <c r="Q61" s="47" t="str">
        <f>(IF((VLOOKUP(Table2[[#This Row],[SKU]],'All Skus'!$A:$AC,2,FALSE))="AMX",(VLOOKUP(Table2[[#This Row],[SKU]],'All Skus'!$A:$AC,22,FALSE)),""))</f>
        <v>TW</v>
      </c>
      <c r="R61" s="47" t="str">
        <f>(IF((VLOOKUP(Table2[[#This Row],[SKU]],'All Skus'!$A:$AC,2,FALSE))="AMX",(VLOOKUP(Table2[[#This Row],[SKU]],'All Skus'!$A:$AC,23,FALSE)),""))</f>
        <v>Compliant</v>
      </c>
      <c r="S61" s="210" t="str">
        <f>HYPERLINK((IF((VLOOKUP(Table2[[#This Row],[SKU]],'All Skus'!$A:$AC,2,FALSE))="AMX",(VLOOKUP(Table2[[#This Row],[SKU]],'All Skus'!$A:$AC,24,FALSE)),"")))</f>
        <v>https://www.amx.com/en-US/products/dx-rx-4k60</v>
      </c>
      <c r="T61" s="151">
        <v>59</v>
      </c>
    </row>
    <row r="62" spans="1:20" ht="15" hidden="1" customHeight="1">
      <c r="A62" s="48" t="s">
        <v>566</v>
      </c>
      <c r="B62" s="280" t="str">
        <f>(IF((VLOOKUP(Table2[[#This Row],[SKU]],'All Skus'!$A:$AC,2,FALSE))="AMX",(VLOOKUP(Table2[[#This Row],[SKU]],'All Skus'!$A:$AC,3,FALSE)),""))</f>
        <v>Digital Media Switchers</v>
      </c>
      <c r="C62" s="280" t="str">
        <f>(IF((VLOOKUP(Table2[[#This Row],[SKU]],'All Skus'!$A:$AC,2,FALSE))="AMX",(VLOOKUP(Table2[[#This Row],[SKU]],'All Skus'!$A:$AC,4,FALSE)),""))</f>
        <v>DXF-RX-SMD</v>
      </c>
      <c r="D62" s="47" t="str">
        <f>(IF((VLOOKUP(Table2[[#This Row],[SKU]],'All Skus'!$A:$AC,2,FALSE))="AMX",(VLOOKUP(Table2[[#This Row],[SKU]],'All Skus'!$A:$AC,5,FALSE)),""))</f>
        <v>AMX-ENV</v>
      </c>
      <c r="E62" s="291" t="str">
        <f>(IF((VLOOKUP(Table2[[#This Row],[SKU]],'All Skus'!$A:$AC,2,FALSE))="AMX",(VLOOKUP(Table2[[#This Row],[SKU]],'All Skus'!$A:$AC,7,FALSE)),""))</f>
        <v>Limited Quantity - REDUCED</v>
      </c>
      <c r="F62" s="280" t="str">
        <f>(IF((VLOOKUP(Table2[[#This Row],[SKU]],'All Skus'!$A:$AC,2,FALSE))="AMX",(VLOOKUP(Table2[[#This Row],[SKU]],'All Skus'!$A:$AC,8,FALSE)),""))</f>
        <v>DXLink HDMI Single Mode Fiber Receiver, Duplex</v>
      </c>
      <c r="G62" s="280" t="str">
        <f>(IF((VLOOKUP(Table2[[#This Row],[SKU]],'All Skus'!$A:$AC,2,FALSE))="AMX",(VLOOKUP(Table2[[#This Row],[SKU]],'All Skus'!$A:$AC,9,FALSE)),""))</f>
        <v>DXLink Fiber HDMI Receiver Module (single mode/duplex), with SmartScale, HDCP compliant, compatible with Enova DGX DXLink Single Mode Fiber Output Boards</v>
      </c>
      <c r="H62" s="157">
        <f>(IF((VLOOKUP(Table2[[#This Row],[SKU]],'All Skus'!$A:$AC,2,FALSE))="AMX",(VLOOKUP(Table2[[#This Row],[SKU]],'All Skus'!$A:$AC,10,FALSE)),""))</f>
        <v>2590.6999999999998</v>
      </c>
      <c r="I62" s="157">
        <f>(IF((VLOOKUP(Table2[[#This Row],[SKU]],'All Skus'!$A:$AC,2,FALSE))="AMX",(VLOOKUP(Table2[[#This Row],[SKU]],'All Skus'!$A:$AC,11,FALSE)),""))</f>
        <v>1198</v>
      </c>
      <c r="J62" s="47">
        <f>(IF((VLOOKUP(Table2[[#This Row],[SKU]],'All Skus'!$A:$AC,2,FALSE))="AMX",(VLOOKUP(Table2[[#This Row],[SKU]],'All Skus'!$A:$AC,15,FALSE)),""))</f>
        <v>0</v>
      </c>
      <c r="K62" s="47">
        <f>(IF((VLOOKUP(Table2[[#This Row],[SKU]],'All Skus'!$A:$AC,2,FALSE))="AMX",(VLOOKUP(Table2[[#This Row],[SKU]],'All Skus'!$A:$AC,16,FALSE)),""))</f>
        <v>718878022306</v>
      </c>
      <c r="L62" s="47">
        <f>(IF((VLOOKUP(Table2[[#This Row],[SKU]],'All Skus'!$A:$AC,2,FALSE))="AMX",(VLOOKUP(Table2[[#This Row],[SKU]],'All Skus'!$A:$AC,17,FALSE)),""))</f>
        <v>0</v>
      </c>
      <c r="M62" s="63">
        <f>(IF((VLOOKUP(Table2[[#This Row],[SKU]],'All Skus'!$A:$AC,2,FALSE))="AMX",(VLOOKUP(Table2[[#This Row],[SKU]],'All Skus'!$A:$AC,18,FALSE)),""))</f>
        <v>1.1000000000000001</v>
      </c>
      <c r="N62" s="47">
        <f>(IF((VLOOKUP(Table2[[#This Row],[SKU]],'All Skus'!$A:$AC,2,FALSE))="AMX",(VLOOKUP(Table2[[#This Row],[SKU]],'All Skus'!$A:$AC,19,FALSE)),""))</f>
        <v>8.75</v>
      </c>
      <c r="O62" s="47">
        <f>(IF((VLOOKUP(Table2[[#This Row],[SKU]],'All Skus'!$A:$AC,2,FALSE))="AMX",(VLOOKUP(Table2[[#This Row],[SKU]],'All Skus'!$A:$AC,20,FALSE)),""))</f>
        <v>5.2</v>
      </c>
      <c r="P62" s="47">
        <f>(IF((VLOOKUP(Table2[[#This Row],[SKU]],'All Skus'!$A:$AC,2,FALSE))="AMX",(VLOOKUP(Table2[[#This Row],[SKU]],'All Skus'!$A:$AC,21,FALSE)),""))</f>
        <v>1</v>
      </c>
      <c r="Q62" s="47" t="str">
        <f>(IF((VLOOKUP(Table2[[#This Row],[SKU]],'All Skus'!$A:$AC,2,FALSE))="AMX",(VLOOKUP(Table2[[#This Row],[SKU]],'All Skus'!$A:$AC,22,FALSE)),""))</f>
        <v>US</v>
      </c>
      <c r="R62" s="47" t="str">
        <f>(IF((VLOOKUP(Table2[[#This Row],[SKU]],'All Skus'!$A:$AC,2,FALSE))="AMX",(VLOOKUP(Table2[[#This Row],[SKU]],'All Skus'!$A:$AC,23,FALSE)),""))</f>
        <v>Compliant</v>
      </c>
      <c r="S62" s="210" t="str">
        <f>HYPERLINK((IF((VLOOKUP(Table2[[#This Row],[SKU]],'All Skus'!$A:$AC,2,FALSE))="AMX",(VLOOKUP(Table2[[#This Row],[SKU]],'All Skus'!$A:$AC,24,FALSE)),"")))</f>
        <v>https://www.amx.com/en-US/products/dxf-rx-smd</v>
      </c>
      <c r="T62" s="151">
        <v>60</v>
      </c>
    </row>
    <row r="63" spans="1:20" ht="15" hidden="1" customHeight="1">
      <c r="A63" s="48" t="s">
        <v>567</v>
      </c>
      <c r="B63" s="280" t="str">
        <f>(IF((VLOOKUP(Table2[[#This Row],[SKU]],'All Skus'!$A:$AC,2,FALSE))="AMX",(VLOOKUP(Table2[[#This Row],[SKU]],'All Skus'!$A:$AC,3,FALSE)),""))</f>
        <v>Digital Media Switchers</v>
      </c>
      <c r="C63" s="280" t="str">
        <f>(IF((VLOOKUP(Table2[[#This Row],[SKU]],'All Skus'!$A:$AC,2,FALSE))="AMX",(VLOOKUP(Table2[[#This Row],[SKU]],'All Skus'!$A:$AC,4,FALSE)),""))</f>
        <v>DXF-RX-MMD</v>
      </c>
      <c r="D63" s="47" t="str">
        <f>(IF((VLOOKUP(Table2[[#This Row],[SKU]],'All Skus'!$A:$AC,2,FALSE))="AMX",(VLOOKUP(Table2[[#This Row],[SKU]],'All Skus'!$A:$AC,5,FALSE)),""))</f>
        <v>AMX-ENV</v>
      </c>
      <c r="E63" s="291" t="str">
        <f>(IF((VLOOKUP(Table2[[#This Row],[SKU]],'All Skus'!$A:$AC,2,FALSE))="AMX",(VLOOKUP(Table2[[#This Row],[SKU]],'All Skus'!$A:$AC,7,FALSE)),""))</f>
        <v>Limited Quantity - REDUCED</v>
      </c>
      <c r="F63" s="280" t="str">
        <f>(IF((VLOOKUP(Table2[[#This Row],[SKU]],'All Skus'!$A:$AC,2,FALSE))="AMX",(VLOOKUP(Table2[[#This Row],[SKU]],'All Skus'!$A:$AC,8,FALSE)),""))</f>
        <v>DXLink HDMI Multimode Fiber Receiver, Duplex</v>
      </c>
      <c r="G63" s="280" t="str">
        <f>(IF((VLOOKUP(Table2[[#This Row],[SKU]],'All Skus'!$A:$AC,2,FALSE))="AMX",(VLOOKUP(Table2[[#This Row],[SKU]],'All Skus'!$A:$AC,9,FALSE)),""))</f>
        <v>DXLink Fiber HDMI Receiver Module (multimode/duplex), with SmartScale, HDCP compliant, compatible with Enova DGX DXLink Multimode Fiber Output Boards</v>
      </c>
      <c r="H63" s="157">
        <f>(IF((VLOOKUP(Table2[[#This Row],[SKU]],'All Skus'!$A:$AC,2,FALSE))="AMX",(VLOOKUP(Table2[[#This Row],[SKU]],'All Skus'!$A:$AC,10,FALSE)),""))</f>
        <v>2023.6</v>
      </c>
      <c r="I63" s="157">
        <f>(IF((VLOOKUP(Table2[[#This Row],[SKU]],'All Skus'!$A:$AC,2,FALSE))="AMX",(VLOOKUP(Table2[[#This Row],[SKU]],'All Skus'!$A:$AC,11,FALSE)),""))</f>
        <v>1198</v>
      </c>
      <c r="J63" s="47">
        <f>(IF((VLOOKUP(Table2[[#This Row],[SKU]],'All Skus'!$A:$AC,2,FALSE))="AMX",(VLOOKUP(Table2[[#This Row],[SKU]],'All Skus'!$A:$AC,15,FALSE)),""))</f>
        <v>0</v>
      </c>
      <c r="K63" s="47">
        <f>(IF((VLOOKUP(Table2[[#This Row],[SKU]],'All Skus'!$A:$AC,2,FALSE))="AMX",(VLOOKUP(Table2[[#This Row],[SKU]],'All Skus'!$A:$AC,16,FALSE)),""))</f>
        <v>718878022337</v>
      </c>
      <c r="L63" s="47">
        <f>(IF((VLOOKUP(Table2[[#This Row],[SKU]],'All Skus'!$A:$AC,2,FALSE))="AMX",(VLOOKUP(Table2[[#This Row],[SKU]],'All Skus'!$A:$AC,17,FALSE)),""))</f>
        <v>0</v>
      </c>
      <c r="M63" s="63">
        <f>(IF((VLOOKUP(Table2[[#This Row],[SKU]],'All Skus'!$A:$AC,2,FALSE))="AMX",(VLOOKUP(Table2[[#This Row],[SKU]],'All Skus'!$A:$AC,18,FALSE)),""))</f>
        <v>1.1000000000000001</v>
      </c>
      <c r="N63" s="47">
        <f>(IF((VLOOKUP(Table2[[#This Row],[SKU]],'All Skus'!$A:$AC,2,FALSE))="AMX",(VLOOKUP(Table2[[#This Row],[SKU]],'All Skus'!$A:$AC,19,FALSE)),""))</f>
        <v>8.75</v>
      </c>
      <c r="O63" s="47">
        <f>(IF((VLOOKUP(Table2[[#This Row],[SKU]],'All Skus'!$A:$AC,2,FALSE))="AMX",(VLOOKUP(Table2[[#This Row],[SKU]],'All Skus'!$A:$AC,20,FALSE)),""))</f>
        <v>5.2</v>
      </c>
      <c r="P63" s="47">
        <f>(IF((VLOOKUP(Table2[[#This Row],[SKU]],'All Skus'!$A:$AC,2,FALSE))="AMX",(VLOOKUP(Table2[[#This Row],[SKU]],'All Skus'!$A:$AC,21,FALSE)),""))</f>
        <v>1</v>
      </c>
      <c r="Q63" s="47" t="str">
        <f>(IF((VLOOKUP(Table2[[#This Row],[SKU]],'All Skus'!$A:$AC,2,FALSE))="AMX",(VLOOKUP(Table2[[#This Row],[SKU]],'All Skus'!$A:$AC,22,FALSE)),""))</f>
        <v>US</v>
      </c>
      <c r="R63" s="47" t="str">
        <f>(IF((VLOOKUP(Table2[[#This Row],[SKU]],'All Skus'!$A:$AC,2,FALSE))="AMX",(VLOOKUP(Table2[[#This Row],[SKU]],'All Skus'!$A:$AC,23,FALSE)),""))</f>
        <v>Compliant</v>
      </c>
      <c r="S63" s="210" t="str">
        <f>HYPERLINK((IF((VLOOKUP(Table2[[#This Row],[SKU]],'All Skus'!$A:$AC,2,FALSE))="AMX",(VLOOKUP(Table2[[#This Row],[SKU]],'All Skus'!$A:$AC,24,FALSE)),"")))</f>
        <v>https://www.amx.com/en-US/products/dxf-rx-mmd</v>
      </c>
      <c r="T63" s="151">
        <v>61</v>
      </c>
    </row>
    <row r="64" spans="1:20" ht="15" hidden="1" customHeight="1">
      <c r="A64" s="48" t="s">
        <v>568</v>
      </c>
      <c r="B64" s="280" t="str">
        <f>(IF((VLOOKUP(Table2[[#This Row],[SKU]],'All Skus'!$A:$AC,2,FALSE))="AMX",(VLOOKUP(Table2[[#This Row],[SKU]],'All Skus'!$A:$AC,3,FALSE)),""))</f>
        <v>Digital Media Switchers</v>
      </c>
      <c r="C64" s="280" t="str">
        <f>(IF((VLOOKUP(Table2[[#This Row],[SKU]],'All Skus'!$A:$AC,2,FALSE))="AMX",(VLOOKUP(Table2[[#This Row],[SKU]],'All Skus'!$A:$AC,4,FALSE)),""))</f>
        <v>DXF-RX-MMS</v>
      </c>
      <c r="D64" s="47" t="str">
        <f>(IF((VLOOKUP(Table2[[#This Row],[SKU]],'All Skus'!$A:$AC,2,FALSE))="AMX",(VLOOKUP(Table2[[#This Row],[SKU]],'All Skus'!$A:$AC,5,FALSE)),""))</f>
        <v>AMX-ENV</v>
      </c>
      <c r="E64" s="291" t="str">
        <f>(IF((VLOOKUP(Table2[[#This Row],[SKU]],'All Skus'!$A:$AC,2,FALSE))="AMX",(VLOOKUP(Table2[[#This Row],[SKU]],'All Skus'!$A:$AC,7,FALSE)),""))</f>
        <v>Limited Quantity - REDUCED</v>
      </c>
      <c r="F64" s="280" t="str">
        <f>(IF((VLOOKUP(Table2[[#This Row],[SKU]],'All Skus'!$A:$AC,2,FALSE))="AMX",(VLOOKUP(Table2[[#This Row],[SKU]],'All Skus'!$A:$AC,8,FALSE)),""))</f>
        <v>DXLink HDMI Multimode Fiber Receiver, Simplex</v>
      </c>
      <c r="G64" s="280" t="str">
        <f>(IF((VLOOKUP(Table2[[#This Row],[SKU]],'All Skus'!$A:$AC,2,FALSE))="AMX",(VLOOKUP(Table2[[#This Row],[SKU]],'All Skus'!$A:$AC,9,FALSE)),""))</f>
        <v>DXLink Fiber HDMI Receiver Module (multimode/simplex), with SmartScale, HDCP compliant, compatible with Enova DGX DXLink Multimode Fiber Output Boards</v>
      </c>
      <c r="H64" s="157">
        <f>(IF((VLOOKUP(Table2[[#This Row],[SKU]],'All Skus'!$A:$AC,2,FALSE))="AMX",(VLOOKUP(Table2[[#This Row],[SKU]],'All Skus'!$A:$AC,10,FALSE)),""))</f>
        <v>2023.6</v>
      </c>
      <c r="I64" s="157">
        <f>(IF((VLOOKUP(Table2[[#This Row],[SKU]],'All Skus'!$A:$AC,2,FALSE))="AMX",(VLOOKUP(Table2[[#This Row],[SKU]],'All Skus'!$A:$AC,11,FALSE)),""))</f>
        <v>1198</v>
      </c>
      <c r="J64" s="47">
        <f>(IF((VLOOKUP(Table2[[#This Row],[SKU]],'All Skus'!$A:$AC,2,FALSE))="AMX",(VLOOKUP(Table2[[#This Row],[SKU]],'All Skus'!$A:$AC,15,FALSE)),""))</f>
        <v>0</v>
      </c>
      <c r="K64" s="47">
        <f>(IF((VLOOKUP(Table2[[#This Row],[SKU]],'All Skus'!$A:$AC,2,FALSE))="AMX",(VLOOKUP(Table2[[#This Row],[SKU]],'All Skus'!$A:$AC,16,FALSE)),""))</f>
        <v>718878249222</v>
      </c>
      <c r="L64" s="47">
        <f>(IF((VLOOKUP(Table2[[#This Row],[SKU]],'All Skus'!$A:$AC,2,FALSE))="AMX",(VLOOKUP(Table2[[#This Row],[SKU]],'All Skus'!$A:$AC,17,FALSE)),""))</f>
        <v>0</v>
      </c>
      <c r="M64" s="63">
        <f>(IF((VLOOKUP(Table2[[#This Row],[SKU]],'All Skus'!$A:$AC,2,FALSE))="AMX",(VLOOKUP(Table2[[#This Row],[SKU]],'All Skus'!$A:$AC,18,FALSE)),""))</f>
        <v>1.1000000000000001</v>
      </c>
      <c r="N64" s="47">
        <f>(IF((VLOOKUP(Table2[[#This Row],[SKU]],'All Skus'!$A:$AC,2,FALSE))="AMX",(VLOOKUP(Table2[[#This Row],[SKU]],'All Skus'!$A:$AC,19,FALSE)),""))</f>
        <v>8.75</v>
      </c>
      <c r="O64" s="47">
        <f>(IF((VLOOKUP(Table2[[#This Row],[SKU]],'All Skus'!$A:$AC,2,FALSE))="AMX",(VLOOKUP(Table2[[#This Row],[SKU]],'All Skus'!$A:$AC,20,FALSE)),""))</f>
        <v>5.2</v>
      </c>
      <c r="P64" s="47">
        <f>(IF((VLOOKUP(Table2[[#This Row],[SKU]],'All Skus'!$A:$AC,2,FALSE))="AMX",(VLOOKUP(Table2[[#This Row],[SKU]],'All Skus'!$A:$AC,21,FALSE)),""))</f>
        <v>1</v>
      </c>
      <c r="Q64" s="47" t="str">
        <f>(IF((VLOOKUP(Table2[[#This Row],[SKU]],'All Skus'!$A:$AC,2,FALSE))="AMX",(VLOOKUP(Table2[[#This Row],[SKU]],'All Skus'!$A:$AC,22,FALSE)),""))</f>
        <v>US</v>
      </c>
      <c r="R64" s="47" t="str">
        <f>(IF((VLOOKUP(Table2[[#This Row],[SKU]],'All Skus'!$A:$AC,2,FALSE))="AMX",(VLOOKUP(Table2[[#This Row],[SKU]],'All Skus'!$A:$AC,23,FALSE)),""))</f>
        <v>Compliant</v>
      </c>
      <c r="S64" s="210" t="str">
        <f>HYPERLINK((IF((VLOOKUP(Table2[[#This Row],[SKU]],'All Skus'!$A:$AC,2,FALSE))="AMX",(VLOOKUP(Table2[[#This Row],[SKU]],'All Skus'!$A:$AC,24,FALSE)),"")))</f>
        <v>https://www.amx.com/en-US/products/dxf-rx-mms</v>
      </c>
      <c r="T64" s="151">
        <v>62</v>
      </c>
    </row>
    <row r="65" spans="1:20" ht="15" hidden="1" customHeight="1">
      <c r="A65" s="48" t="s">
        <v>569</v>
      </c>
      <c r="B65" s="280" t="str">
        <f>(IF((VLOOKUP(Table2[[#This Row],[SKU]],'All Skus'!$A:$AC,2,FALSE))="AMX",(VLOOKUP(Table2[[#This Row],[SKU]],'All Skus'!$A:$AC,3,FALSE)),""))</f>
        <v>Digital Media Switchers</v>
      </c>
      <c r="C65" s="280" t="str">
        <f>(IF((VLOOKUP(Table2[[#This Row],[SKU]],'All Skus'!$A:$AC,2,FALSE))="AMX",(VLOOKUP(Table2[[#This Row],[SKU]],'All Skus'!$A:$AC,4,FALSE)),""))</f>
        <v>DXFP-RX-4K60</v>
      </c>
      <c r="D65" s="47" t="str">
        <f>(IF((VLOOKUP(Table2[[#This Row],[SKU]],'All Skus'!$A:$AC,2,FALSE))="AMX",(VLOOKUP(Table2[[#This Row],[SKU]],'All Skus'!$A:$AC,5,FALSE)),""))</f>
        <v>AMX-ENV</v>
      </c>
      <c r="E65" s="281">
        <f>(IF((VLOOKUP(Table2[[#This Row],[SKU]],'All Skus'!$A:$AC,2,FALSE))="AMX",(VLOOKUP(Table2[[#This Row],[SKU]],'All Skus'!$A:$AC,7,FALSE)),""))</f>
        <v>0</v>
      </c>
      <c r="F65" s="280" t="str">
        <f>(IF((VLOOKUP(Table2[[#This Row],[SKU]],'All Skus'!$A:$AC,2,FALSE))="AMX",(VLOOKUP(Table2[[#This Row],[SKU]],'All Skus'!$A:$AC,8,FALSE)),""))</f>
        <v>DXLink 4K60 HDMI Fiber Receiver</v>
      </c>
      <c r="G65" s="280" t="str">
        <f>(IF((VLOOKUP(Table2[[#This Row],[SKU]],'All Skus'!$A:$AC,2,FALSE))="AMX",(VLOOKUP(Table2[[#This Row],[SKU]],'All Skus'!$A:$AC,9,FALSE)),""))</f>
        <v>DXLink 4K60 HDMI Fiber Receiver</v>
      </c>
      <c r="H65" s="157">
        <f>(IF((VLOOKUP(Table2[[#This Row],[SKU]],'All Skus'!$A:$AC,2,FALSE))="AMX",(VLOOKUP(Table2[[#This Row],[SKU]],'All Skus'!$A:$AC,10,FALSE)),""))</f>
        <v>2195.1</v>
      </c>
      <c r="I65" s="157">
        <f>(IF((VLOOKUP(Table2[[#This Row],[SKU]],'All Skus'!$A:$AC,2,FALSE))="AMX",(VLOOKUP(Table2[[#This Row],[SKU]],'All Skus'!$A:$AC,11,FALSE)),""))</f>
        <v>2195.1</v>
      </c>
      <c r="J65" s="47">
        <f>(IF((VLOOKUP(Table2[[#This Row],[SKU]],'All Skus'!$A:$AC,2,FALSE))="AMX",(VLOOKUP(Table2[[#This Row],[SKU]],'All Skus'!$A:$AC,15,FALSE)),""))</f>
        <v>0</v>
      </c>
      <c r="K65" s="47">
        <f>(IF((VLOOKUP(Table2[[#This Row],[SKU]],'All Skus'!$A:$AC,2,FALSE))="AMX",(VLOOKUP(Table2[[#This Row],[SKU]],'All Skus'!$A:$AC,16,FALSE)),""))</f>
        <v>718878026557</v>
      </c>
      <c r="L65" s="47">
        <f>(IF((VLOOKUP(Table2[[#This Row],[SKU]],'All Skus'!$A:$AC,2,FALSE))="AMX",(VLOOKUP(Table2[[#This Row],[SKU]],'All Skus'!$A:$AC,17,FALSE)),""))</f>
        <v>0</v>
      </c>
      <c r="M65" s="63">
        <f>(IF((VLOOKUP(Table2[[#This Row],[SKU]],'All Skus'!$A:$AC,2,FALSE))="AMX",(VLOOKUP(Table2[[#This Row],[SKU]],'All Skus'!$A:$AC,18,FALSE)),""))</f>
        <v>2.25</v>
      </c>
      <c r="N65" s="47">
        <f>(IF((VLOOKUP(Table2[[#This Row],[SKU]],'All Skus'!$A:$AC,2,FALSE))="AMX",(VLOOKUP(Table2[[#This Row],[SKU]],'All Skus'!$A:$AC,19,FALSE)),""))</f>
        <v>8.66</v>
      </c>
      <c r="O65" s="47">
        <f>(IF((VLOOKUP(Table2[[#This Row],[SKU]],'All Skus'!$A:$AC,2,FALSE))="AMX",(VLOOKUP(Table2[[#This Row],[SKU]],'All Skus'!$A:$AC,20,FALSE)),""))</f>
        <v>8.66</v>
      </c>
      <c r="P65" s="47">
        <f>(IF((VLOOKUP(Table2[[#This Row],[SKU]],'All Skus'!$A:$AC,2,FALSE))="AMX",(VLOOKUP(Table2[[#This Row],[SKU]],'All Skus'!$A:$AC,21,FALSE)),""))</f>
        <v>0.98</v>
      </c>
      <c r="Q65" s="47" t="str">
        <f>(IF((VLOOKUP(Table2[[#This Row],[SKU]],'All Skus'!$A:$AC,2,FALSE))="AMX",(VLOOKUP(Table2[[#This Row],[SKU]],'All Skus'!$A:$AC,22,FALSE)),""))</f>
        <v>CN</v>
      </c>
      <c r="R65" s="47" t="str">
        <f>(IF((VLOOKUP(Table2[[#This Row],[SKU]],'All Skus'!$A:$AC,2,FALSE))="AMX",(VLOOKUP(Table2[[#This Row],[SKU]],'All Skus'!$A:$AC,23,FALSE)),""))</f>
        <v>NonCompliant</v>
      </c>
      <c r="S65" s="210" t="str">
        <f>HYPERLINK((IF((VLOOKUP(Table2[[#This Row],[SKU]],'All Skus'!$A:$AC,2,FALSE))="AMX",(VLOOKUP(Table2[[#This Row],[SKU]],'All Skus'!$A:$AC,24,FALSE)),"")))</f>
        <v>https://www.amx.com/en-US/products/dxfp-rx-4k60</v>
      </c>
      <c r="T65" s="151">
        <v>63</v>
      </c>
    </row>
    <row r="66" spans="1:20" ht="15" hidden="1" customHeight="1">
      <c r="A66" s="48" t="s">
        <v>570</v>
      </c>
      <c r="B66" s="280" t="str">
        <f>(IF((VLOOKUP(Table2[[#This Row],[SKU]],'All Skus'!$A:$AC,2,FALSE))="AMX",(VLOOKUP(Table2[[#This Row],[SKU]],'All Skus'!$A:$AC,3,FALSE)),""))</f>
        <v>Digital Media Switchers</v>
      </c>
      <c r="C66" s="280" t="str">
        <f>(IF((VLOOKUP(Table2[[#This Row],[SKU]],'All Skus'!$A:$AC,2,FALSE))="AMX",(VLOOKUP(Table2[[#This Row],[SKU]],'All Skus'!$A:$AC,4,FALSE)),""))</f>
        <v>DXFP-RX-4K60-TAA</v>
      </c>
      <c r="D66" s="47" t="str">
        <f>(IF((VLOOKUP(Table2[[#This Row],[SKU]],'All Skus'!$A:$AC,2,FALSE))="AMX",(VLOOKUP(Table2[[#This Row],[SKU]],'All Skus'!$A:$AC,5,FALSE)),""))</f>
        <v>AMX-ENV</v>
      </c>
      <c r="E66" s="281">
        <f>(IF((VLOOKUP(Table2[[#This Row],[SKU]],'All Skus'!$A:$AC,2,FALSE))="AMX",(VLOOKUP(Table2[[#This Row],[SKU]],'All Skus'!$A:$AC,7,FALSE)),""))</f>
        <v>0</v>
      </c>
      <c r="F66" s="280" t="str">
        <f>(IF((VLOOKUP(Table2[[#This Row],[SKU]],'All Skus'!$A:$AC,2,FALSE))="AMX",(VLOOKUP(Table2[[#This Row],[SKU]],'All Skus'!$A:$AC,8,FALSE)),""))</f>
        <v>DXLink 4K60 HDMI Fiber Receiver, TAA</v>
      </c>
      <c r="G66" s="280" t="str">
        <f>(IF((VLOOKUP(Table2[[#This Row],[SKU]],'All Skus'!$A:$AC,2,FALSE))="AMX",(VLOOKUP(Table2[[#This Row],[SKU]],'All Skus'!$A:$AC,9,FALSE)),""))</f>
        <v>DXLink 4K60 HDMI Fiber Receiver, TAA</v>
      </c>
      <c r="H66" s="157">
        <f>(IF((VLOOKUP(Table2[[#This Row],[SKU]],'All Skus'!$A:$AC,2,FALSE))="AMX",(VLOOKUP(Table2[[#This Row],[SKU]],'All Skus'!$A:$AC,10,FALSE)),""))</f>
        <v>2195.1</v>
      </c>
      <c r="I66" s="157">
        <f>(IF((VLOOKUP(Table2[[#This Row],[SKU]],'All Skus'!$A:$AC,2,FALSE))="AMX",(VLOOKUP(Table2[[#This Row],[SKU]],'All Skus'!$A:$AC,11,FALSE)),""))</f>
        <v>2195.1</v>
      </c>
      <c r="J66" s="47">
        <f>(IF((VLOOKUP(Table2[[#This Row],[SKU]],'All Skus'!$A:$AC,2,FALSE))="AMX",(VLOOKUP(Table2[[#This Row],[SKU]],'All Skus'!$A:$AC,15,FALSE)),""))</f>
        <v>0</v>
      </c>
      <c r="K66" s="47">
        <f>(IF((VLOOKUP(Table2[[#This Row],[SKU]],'All Skus'!$A:$AC,2,FALSE))="AMX",(VLOOKUP(Table2[[#This Row],[SKU]],'All Skus'!$A:$AC,16,FALSE)),""))</f>
        <v>718878026564</v>
      </c>
      <c r="L66" s="47">
        <f>(IF((VLOOKUP(Table2[[#This Row],[SKU]],'All Skus'!$A:$AC,2,FALSE))="AMX",(VLOOKUP(Table2[[#This Row],[SKU]],'All Skus'!$A:$AC,17,FALSE)),""))</f>
        <v>0</v>
      </c>
      <c r="M66" s="63">
        <f>(IF((VLOOKUP(Table2[[#This Row],[SKU]],'All Skus'!$A:$AC,2,FALSE))="AMX",(VLOOKUP(Table2[[#This Row],[SKU]],'All Skus'!$A:$AC,18,FALSE)),""))</f>
        <v>2.25</v>
      </c>
      <c r="N66" s="47">
        <f>(IF((VLOOKUP(Table2[[#This Row],[SKU]],'All Skus'!$A:$AC,2,FALSE))="AMX",(VLOOKUP(Table2[[#This Row],[SKU]],'All Skus'!$A:$AC,19,FALSE)),""))</f>
        <v>8.66</v>
      </c>
      <c r="O66" s="47">
        <f>(IF((VLOOKUP(Table2[[#This Row],[SKU]],'All Skus'!$A:$AC,2,FALSE))="AMX",(VLOOKUP(Table2[[#This Row],[SKU]],'All Skus'!$A:$AC,20,FALSE)),""))</f>
        <v>8.66</v>
      </c>
      <c r="P66" s="47">
        <f>(IF((VLOOKUP(Table2[[#This Row],[SKU]],'All Skus'!$A:$AC,2,FALSE))="AMX",(VLOOKUP(Table2[[#This Row],[SKU]],'All Skus'!$A:$AC,21,FALSE)),""))</f>
        <v>0.98</v>
      </c>
      <c r="Q66" s="47" t="str">
        <f>(IF((VLOOKUP(Table2[[#This Row],[SKU]],'All Skus'!$A:$AC,2,FALSE))="AMX",(VLOOKUP(Table2[[#This Row],[SKU]],'All Skus'!$A:$AC,22,FALSE)),""))</f>
        <v>TW</v>
      </c>
      <c r="R66" s="47" t="str">
        <f>(IF((VLOOKUP(Table2[[#This Row],[SKU]],'All Skus'!$A:$AC,2,FALSE))="AMX",(VLOOKUP(Table2[[#This Row],[SKU]],'All Skus'!$A:$AC,23,FALSE)),""))</f>
        <v>Compliant</v>
      </c>
      <c r="S66" s="210" t="str">
        <f>HYPERLINK((IF((VLOOKUP(Table2[[#This Row],[SKU]],'All Skus'!$A:$AC,2,FALSE))="AMX",(VLOOKUP(Table2[[#This Row],[SKU]],'All Skus'!$A:$AC,24,FALSE)),"")))</f>
        <v>https://www.amx.com/en-US/products/dxfp-rx-4k60</v>
      </c>
      <c r="T66" s="151">
        <v>64</v>
      </c>
    </row>
    <row r="67" spans="1:20" ht="15" hidden="1" customHeight="1">
      <c r="A67" s="48" t="s">
        <v>571</v>
      </c>
      <c r="B67" s="280" t="str">
        <f>(IF((VLOOKUP(Table2[[#This Row],[SKU]],'All Skus'!$A:$AC,2,FALSE))="AMX",(VLOOKUP(Table2[[#This Row],[SKU]],'All Skus'!$A:$AC,3,FALSE)),""))</f>
        <v>Digital Switchers</v>
      </c>
      <c r="C67" s="280" t="str">
        <f>(IF((VLOOKUP(Table2[[#This Row],[SKU]],'All Skus'!$A:$AC,2,FALSE))="AMX",(VLOOKUP(Table2[[#This Row],[SKU]],'All Skus'!$A:$AC,4,FALSE)),""))</f>
        <v>CTP-1301</v>
      </c>
      <c r="D67" s="47" t="str">
        <f>(IF((VLOOKUP(Table2[[#This Row],[SKU]],'All Skus'!$A:$AC,2,FALSE))="AMX",(VLOOKUP(Table2[[#This Row],[SKU]],'All Skus'!$A:$AC,5,FALSE)),""))</f>
        <v>AMX-SIG</v>
      </c>
      <c r="E67" s="291" t="str">
        <f>(IF((VLOOKUP(Table2[[#This Row],[SKU]],'All Skus'!$A:$AC,2,FALSE))="AMX",(VLOOKUP(Table2[[#This Row],[SKU]],'All Skus'!$A:$AC,7,FALSE)),""))</f>
        <v>REDUCED</v>
      </c>
      <c r="F67" s="280" t="str">
        <f>(IF((VLOOKUP(Table2[[#This Row],[SKU]],'All Skus'!$A:$AC,2,FALSE))="AMX",(VLOOKUP(Table2[[#This Row],[SKU]],'All Skus'!$A:$AC,8,FALSE)),""))</f>
        <v>Presentation Connectivity and Transport Kit</v>
      </c>
      <c r="G67" s="280" t="str">
        <f>(IF((VLOOKUP(Table2[[#This Row],[SKU]],'All Skus'!$A:$AC,2,FALSE))="AMX",(VLOOKUP(Table2[[#This Row],[SKU]],'All Skus'!$A:$AC,9,FALSE)),""))</f>
        <v>Presentation Connectivity and Transport Kit, 4K switching and distribution solution that combines switching, scaling and distance transport into a single kit that includes both transmitter and receiver.</v>
      </c>
      <c r="H67" s="157">
        <f>(IF((VLOOKUP(Table2[[#This Row],[SKU]],'All Skus'!$A:$AC,2,FALSE))="AMX",(VLOOKUP(Table2[[#This Row],[SKU]],'All Skus'!$A:$AC,10,FALSE)),""))</f>
        <v>1520.6</v>
      </c>
      <c r="I67" s="157">
        <f>(IF((VLOOKUP(Table2[[#This Row],[SKU]],'All Skus'!$A:$AC,2,FALSE))="AMX",(VLOOKUP(Table2[[#This Row],[SKU]],'All Skus'!$A:$AC,11,FALSE)),""))</f>
        <v>998</v>
      </c>
      <c r="J67" s="47">
        <f>(IF((VLOOKUP(Table2[[#This Row],[SKU]],'All Skus'!$A:$AC,2,FALSE))="AMX",(VLOOKUP(Table2[[#This Row],[SKU]],'All Skus'!$A:$AC,15,FALSE)),""))</f>
        <v>0</v>
      </c>
      <c r="K67" s="47">
        <f>(IF((VLOOKUP(Table2[[#This Row],[SKU]],'All Skus'!$A:$AC,2,FALSE))="AMX",(VLOOKUP(Table2[[#This Row],[SKU]],'All Skus'!$A:$AC,16,FALSE)),""))</f>
        <v>718878009840</v>
      </c>
      <c r="L67" s="47">
        <f>(IF((VLOOKUP(Table2[[#This Row],[SKU]],'All Skus'!$A:$AC,2,FALSE))="AMX",(VLOOKUP(Table2[[#This Row],[SKU]],'All Skus'!$A:$AC,17,FALSE)),""))</f>
        <v>0</v>
      </c>
      <c r="M67" s="63" t="str">
        <f>(IF((VLOOKUP(Table2[[#This Row],[SKU]],'All Skus'!$A:$AC,2,FALSE))="AMX",(VLOOKUP(Table2[[#This Row],[SKU]],'All Skus'!$A:$AC,18,FALSE)),""))</f>
        <v>2.14/2.07</v>
      </c>
      <c r="N67" s="47" t="str">
        <f>(IF((VLOOKUP(Table2[[#This Row],[SKU]],'All Skus'!$A:$AC,2,FALSE))="AMX",(VLOOKUP(Table2[[#This Row],[SKU]],'All Skus'!$A:$AC,19,FALSE)),""))</f>
        <v>7.67/8.78</v>
      </c>
      <c r="O67" s="47" t="str">
        <f>(IF((VLOOKUP(Table2[[#This Row],[SKU]],'All Skus'!$A:$AC,2,FALSE))="AMX",(VLOOKUP(Table2[[#This Row],[SKU]],'All Skus'!$A:$AC,20,FALSE)),""))</f>
        <v>3.7/6.03</v>
      </c>
      <c r="P67" s="47" t="str">
        <f>(IF((VLOOKUP(Table2[[#This Row],[SKU]],'All Skus'!$A:$AC,2,FALSE))="AMX",(VLOOKUP(Table2[[#This Row],[SKU]],'All Skus'!$A:$AC,21,FALSE)),""))</f>
        <v>0.98/0.98</v>
      </c>
      <c r="Q67" s="47" t="str">
        <f>(IF((VLOOKUP(Table2[[#This Row],[SKU]],'All Skus'!$A:$AC,2,FALSE))="AMX",(VLOOKUP(Table2[[#This Row],[SKU]],'All Skus'!$A:$AC,22,FALSE)),""))</f>
        <v>CN</v>
      </c>
      <c r="R67" s="47" t="str">
        <f>(IF((VLOOKUP(Table2[[#This Row],[SKU]],'All Skus'!$A:$AC,2,FALSE))="AMX",(VLOOKUP(Table2[[#This Row],[SKU]],'All Skus'!$A:$AC,23,FALSE)),""))</f>
        <v>NonCompliant</v>
      </c>
      <c r="S67" s="210" t="str">
        <f>HYPERLINK((IF((VLOOKUP(Table2[[#This Row],[SKU]],'All Skus'!$A:$AC,2,FALSE))="AMX",(VLOOKUP(Table2[[#This Row],[SKU]],'All Skus'!$A:$AC,24,FALSE)),"")))</f>
        <v>https://www.amx.com/en-US/products/ctp-1301</v>
      </c>
      <c r="T67" s="151">
        <v>65</v>
      </c>
    </row>
    <row r="68" spans="1:20" ht="15" hidden="1" customHeight="1">
      <c r="A68" s="48" t="s">
        <v>572</v>
      </c>
      <c r="B68" s="280" t="str">
        <f>(IF((VLOOKUP(Table2[[#This Row],[SKU]],'All Skus'!$A:$AC,2,FALSE))="AMX",(VLOOKUP(Table2[[#This Row],[SKU]],'All Skus'!$A:$AC,3,FALSE)),""))</f>
        <v>Analog Signal Distribution</v>
      </c>
      <c r="C68" s="280" t="str">
        <f>(IF((VLOOKUP(Table2[[#This Row],[SKU]],'All Skus'!$A:$AC,2,FALSE))="AMX",(VLOOKUP(Table2[[#This Row],[SKU]],'All Skus'!$A:$AC,4,FALSE)),""))</f>
        <v>AVB-VSTYLE-RMK-1U</v>
      </c>
      <c r="D68" s="47" t="str">
        <f>(IF((VLOOKUP(Table2[[#This Row],[SKU]],'All Skus'!$A:$AC,2,FALSE))="AMX",(VLOOKUP(Table2[[#This Row],[SKU]],'All Skus'!$A:$AC,5,FALSE)),""))</f>
        <v>AMX-SIG</v>
      </c>
      <c r="E68" s="281">
        <f>(IF((VLOOKUP(Table2[[#This Row],[SKU]],'All Skus'!$A:$AC,2,FALSE))="AMX",(VLOOKUP(Table2[[#This Row],[SKU]],'All Skus'!$A:$AC,7,FALSE)),""))</f>
        <v>0</v>
      </c>
      <c r="F68" s="280" t="str">
        <f>(IF((VLOOKUP(Table2[[#This Row],[SKU]],'All Skus'!$A:$AC,2,FALSE))="AMX",(VLOOKUP(Table2[[#This Row],[SKU]],'All Skus'!$A:$AC,8,FALSE)),""))</f>
        <v>V Style Module Rack Mounting Tray</v>
      </c>
      <c r="G68" s="280" t="str">
        <f>(IF((VLOOKUP(Table2[[#This Row],[SKU]],'All Skus'!$A:$AC,2,FALSE))="AMX",(VLOOKUP(Table2[[#This Row],[SKU]],'All Skus'!$A:$AC,9,FALSE)),""))</f>
        <v>V Style Module Rack Mounting Tray, use with Solecis Digital Switchers, DXLink Transmitter / Receiver, Converter, DAD Modules and more</v>
      </c>
      <c r="H68" s="157">
        <f>(IF((VLOOKUP(Table2[[#This Row],[SKU]],'All Skus'!$A:$AC,2,FALSE))="AMX",(VLOOKUP(Table2[[#This Row],[SKU]],'All Skus'!$A:$AC,10,FALSE)),""))</f>
        <v>85.5</v>
      </c>
      <c r="I68" s="157">
        <f>(IF((VLOOKUP(Table2[[#This Row],[SKU]],'All Skus'!$A:$AC,2,FALSE))="AMX",(VLOOKUP(Table2[[#This Row],[SKU]],'All Skus'!$A:$AC,11,FALSE)),""))</f>
        <v>85.5</v>
      </c>
      <c r="J68" s="47">
        <f>(IF((VLOOKUP(Table2[[#This Row],[SKU]],'All Skus'!$A:$AC,2,FALSE))="AMX",(VLOOKUP(Table2[[#This Row],[SKU]],'All Skus'!$A:$AC,15,FALSE)),""))</f>
        <v>0</v>
      </c>
      <c r="K68" s="47">
        <f>(IF((VLOOKUP(Table2[[#This Row],[SKU]],'All Skus'!$A:$AC,2,FALSE))="AMX",(VLOOKUP(Table2[[#This Row],[SKU]],'All Skus'!$A:$AC,16,FALSE)),""))</f>
        <v>718878022948</v>
      </c>
      <c r="L68" s="47">
        <f>(IF((VLOOKUP(Table2[[#This Row],[SKU]],'All Skus'!$A:$AC,2,FALSE))="AMX",(VLOOKUP(Table2[[#This Row],[SKU]],'All Skus'!$A:$AC,17,FALSE)),""))</f>
        <v>0</v>
      </c>
      <c r="M68" s="63">
        <f>(IF((VLOOKUP(Table2[[#This Row],[SKU]],'All Skus'!$A:$AC,2,FALSE))="AMX",(VLOOKUP(Table2[[#This Row],[SKU]],'All Skus'!$A:$AC,18,FALSE)),""))</f>
        <v>2.5</v>
      </c>
      <c r="N68" s="47">
        <f>(IF((VLOOKUP(Table2[[#This Row],[SKU]],'All Skus'!$A:$AC,2,FALSE))="AMX",(VLOOKUP(Table2[[#This Row],[SKU]],'All Skus'!$A:$AC,19,FALSE)),""))</f>
        <v>19</v>
      </c>
      <c r="O68" s="47">
        <f>(IF((VLOOKUP(Table2[[#This Row],[SKU]],'All Skus'!$A:$AC,2,FALSE))="AMX",(VLOOKUP(Table2[[#This Row],[SKU]],'All Skus'!$A:$AC,20,FALSE)),""))</f>
        <v>5.25</v>
      </c>
      <c r="P68" s="47">
        <f>(IF((VLOOKUP(Table2[[#This Row],[SKU]],'All Skus'!$A:$AC,2,FALSE))="AMX",(VLOOKUP(Table2[[#This Row],[SKU]],'All Skus'!$A:$AC,21,FALSE)),""))</f>
        <v>1.75</v>
      </c>
      <c r="Q68" s="47" t="str">
        <f>(IF((VLOOKUP(Table2[[#This Row],[SKU]],'All Skus'!$A:$AC,2,FALSE))="AMX",(VLOOKUP(Table2[[#This Row],[SKU]],'All Skus'!$A:$AC,22,FALSE)),""))</f>
        <v>US</v>
      </c>
      <c r="R68" s="47" t="str">
        <f>(IF((VLOOKUP(Table2[[#This Row],[SKU]],'All Skus'!$A:$AC,2,FALSE))="AMX",(VLOOKUP(Table2[[#This Row],[SKU]],'All Skus'!$A:$AC,23,FALSE)),""))</f>
        <v>Compliant</v>
      </c>
      <c r="S68" s="210" t="str">
        <f>HYPERLINK((IF((VLOOKUP(Table2[[#This Row],[SKU]],'All Skus'!$A:$AC,2,FALSE))="AMX",(VLOOKUP(Table2[[#This Row],[SKU]],'All Skus'!$A:$AC,24,FALSE)),"")))</f>
        <v>https://www.amx.com/en-US/products/avb-vstyle-rmk</v>
      </c>
      <c r="T68" s="151">
        <v>66</v>
      </c>
    </row>
    <row r="69" spans="1:20" ht="15" hidden="1" customHeight="1">
      <c r="A69" s="48" t="s">
        <v>573</v>
      </c>
      <c r="B69" s="280" t="str">
        <f>(IF((VLOOKUP(Table2[[#This Row],[SKU]],'All Skus'!$A:$AC,2,FALSE))="AMX",(VLOOKUP(Table2[[#This Row],[SKU]],'All Skus'!$A:$AC,3,FALSE)),""))</f>
        <v>Analog Signal Distribution</v>
      </c>
      <c r="C69" s="280" t="str">
        <f>(IF((VLOOKUP(Table2[[#This Row],[SKU]],'All Skus'!$A:$AC,2,FALSE))="AMX",(VLOOKUP(Table2[[#This Row],[SKU]],'All Skus'!$A:$AC,4,FALSE)),""))</f>
        <v>AVB-VSTYLE-RMK-FILL-1U</v>
      </c>
      <c r="D69" s="47" t="str">
        <f>(IF((VLOOKUP(Table2[[#This Row],[SKU]],'All Skus'!$A:$AC,2,FALSE))="AMX",(VLOOKUP(Table2[[#This Row],[SKU]],'All Skus'!$A:$AC,5,FALSE)),""))</f>
        <v>AMX-SIG</v>
      </c>
      <c r="E69" s="281">
        <f>(IF((VLOOKUP(Table2[[#This Row],[SKU]],'All Skus'!$A:$AC,2,FALSE))="AMX",(VLOOKUP(Table2[[#This Row],[SKU]],'All Skus'!$A:$AC,7,FALSE)),""))</f>
        <v>0</v>
      </c>
      <c r="F69" s="280" t="str">
        <f>(IF((VLOOKUP(Table2[[#This Row],[SKU]],'All Skus'!$A:$AC,2,FALSE))="AMX",(VLOOKUP(Table2[[#This Row],[SKU]],'All Skus'!$A:$AC,8,FALSE)),""))</f>
        <v>V Style Module Tray with Fill Plates Kit</v>
      </c>
      <c r="G69" s="280" t="str">
        <f>(IF((VLOOKUP(Table2[[#This Row],[SKU]],'All Skus'!$A:$AC,2,FALSE))="AMX",(VLOOKUP(Table2[[#This Row],[SKU]],'All Skus'!$A:$AC,9,FALSE)),""))</f>
        <v>V Style Module Rack Mounting Tray with fill plates, use with Solecis Digital Switchers, DXLink Transmitter / Receiver, Converter, DAD Modules and more</v>
      </c>
      <c r="H69" s="157">
        <f>(IF((VLOOKUP(Table2[[#This Row],[SKU]],'All Skus'!$A:$AC,2,FALSE))="AMX",(VLOOKUP(Table2[[#This Row],[SKU]],'All Skus'!$A:$AC,10,FALSE)),""))</f>
        <v>125.7</v>
      </c>
      <c r="I69" s="157">
        <f>(IF((VLOOKUP(Table2[[#This Row],[SKU]],'All Skus'!$A:$AC,2,FALSE))="AMX",(VLOOKUP(Table2[[#This Row],[SKU]],'All Skus'!$A:$AC,11,FALSE)),""))</f>
        <v>125.7</v>
      </c>
      <c r="J69" s="47">
        <f>(IF((VLOOKUP(Table2[[#This Row],[SKU]],'All Skus'!$A:$AC,2,FALSE))="AMX",(VLOOKUP(Table2[[#This Row],[SKU]],'All Skus'!$A:$AC,15,FALSE)),""))</f>
        <v>0</v>
      </c>
      <c r="K69" s="47">
        <f>(IF((VLOOKUP(Table2[[#This Row],[SKU]],'All Skus'!$A:$AC,2,FALSE))="AMX",(VLOOKUP(Table2[[#This Row],[SKU]],'All Skus'!$A:$AC,16,FALSE)),""))</f>
        <v>718878022849</v>
      </c>
      <c r="L69" s="47">
        <f>(IF((VLOOKUP(Table2[[#This Row],[SKU]],'All Skus'!$A:$AC,2,FALSE))="AMX",(VLOOKUP(Table2[[#This Row],[SKU]],'All Skus'!$A:$AC,17,FALSE)),""))</f>
        <v>0</v>
      </c>
      <c r="M69" s="63">
        <f>(IF((VLOOKUP(Table2[[#This Row],[SKU]],'All Skus'!$A:$AC,2,FALSE))="AMX",(VLOOKUP(Table2[[#This Row],[SKU]],'All Skus'!$A:$AC,18,FALSE)),""))</f>
        <v>2.65</v>
      </c>
      <c r="N69" s="47">
        <f>(IF((VLOOKUP(Table2[[#This Row],[SKU]],'All Skus'!$A:$AC,2,FALSE))="AMX",(VLOOKUP(Table2[[#This Row],[SKU]],'All Skus'!$A:$AC,19,FALSE)),""))</f>
        <v>19</v>
      </c>
      <c r="O69" s="47">
        <f>(IF((VLOOKUP(Table2[[#This Row],[SKU]],'All Skus'!$A:$AC,2,FALSE))="AMX",(VLOOKUP(Table2[[#This Row],[SKU]],'All Skus'!$A:$AC,20,FALSE)),""))</f>
        <v>5.25</v>
      </c>
      <c r="P69" s="47">
        <f>(IF((VLOOKUP(Table2[[#This Row],[SKU]],'All Skus'!$A:$AC,2,FALSE))="AMX",(VLOOKUP(Table2[[#This Row],[SKU]],'All Skus'!$A:$AC,21,FALSE)),""))</f>
        <v>1.75</v>
      </c>
      <c r="Q69" s="47" t="str">
        <f>(IF((VLOOKUP(Table2[[#This Row],[SKU]],'All Skus'!$A:$AC,2,FALSE))="AMX",(VLOOKUP(Table2[[#This Row],[SKU]],'All Skus'!$A:$AC,22,FALSE)),""))</f>
        <v>US</v>
      </c>
      <c r="R69" s="47" t="str">
        <f>(IF((VLOOKUP(Table2[[#This Row],[SKU]],'All Skus'!$A:$AC,2,FALSE))="AMX",(VLOOKUP(Table2[[#This Row],[SKU]],'All Skus'!$A:$AC,23,FALSE)),""))</f>
        <v>Compliant</v>
      </c>
      <c r="S69" s="210" t="str">
        <f>HYPERLINK((IF((VLOOKUP(Table2[[#This Row],[SKU]],'All Skus'!$A:$AC,2,FALSE))="AMX",(VLOOKUP(Table2[[#This Row],[SKU]],'All Skus'!$A:$AC,24,FALSE)),"")))</f>
        <v>https://www.amx.com/en-US/products/avb-vstyle-rmk</v>
      </c>
      <c r="T69" s="151">
        <v>67</v>
      </c>
    </row>
    <row r="70" spans="1:20" ht="15" hidden="1" customHeight="1">
      <c r="A70" s="48" t="s">
        <v>574</v>
      </c>
      <c r="B70" s="280" t="str">
        <f>(IF((VLOOKUP(Table2[[#This Row],[SKU]],'All Skus'!$A:$AC,2,FALSE))="AMX",(VLOOKUP(Table2[[#This Row],[SKU]],'All Skus'!$A:$AC,3,FALSE)),""))</f>
        <v>Analog Signal Distribution</v>
      </c>
      <c r="C70" s="280" t="str">
        <f>(IF((VLOOKUP(Table2[[#This Row],[SKU]],'All Skus'!$A:$AC,2,FALSE))="AMX",(VLOOKUP(Table2[[#This Row],[SKU]],'All Skus'!$A:$AC,4,FALSE)),""))</f>
        <v>AVB-VSTYLE-SURFACE-MNT</v>
      </c>
      <c r="D70" s="47" t="str">
        <f>(IF((VLOOKUP(Table2[[#This Row],[SKU]],'All Skus'!$A:$AC,2,FALSE))="AMX",(VLOOKUP(Table2[[#This Row],[SKU]],'All Skus'!$A:$AC,5,FALSE)),""))</f>
        <v>AMX-SIG</v>
      </c>
      <c r="E70" s="281">
        <f>(IF((VLOOKUP(Table2[[#This Row],[SKU]],'All Skus'!$A:$AC,2,FALSE))="AMX",(VLOOKUP(Table2[[#This Row],[SKU]],'All Skus'!$A:$AC,7,FALSE)),""))</f>
        <v>0</v>
      </c>
      <c r="F70" s="280" t="str">
        <f>(IF((VLOOKUP(Table2[[#This Row],[SKU]],'All Skus'!$A:$AC,2,FALSE))="AMX",(VLOOKUP(Table2[[#This Row],[SKU]],'All Skus'!$A:$AC,8,FALSE)),""))</f>
        <v>V Style Single Module Surface Mount Kit</v>
      </c>
      <c r="G70" s="280" t="str">
        <f>(IF((VLOOKUP(Table2[[#This Row],[SKU]],'All Skus'!$A:$AC,2,FALSE))="AMX",(VLOOKUP(Table2[[#This Row],[SKU]],'All Skus'!$A:$AC,9,FALSE)),""))</f>
        <v>V Style Single Module Surface Mount Brackets, use with Solecis Digital Switchers, DXLink Transmitter / Receiver, Converter, DAD Modules and more</v>
      </c>
      <c r="H70" s="157">
        <f>(IF((VLOOKUP(Table2[[#This Row],[SKU]],'All Skus'!$A:$AC,2,FALSE))="AMX",(VLOOKUP(Table2[[#This Row],[SKU]],'All Skus'!$A:$AC,10,FALSE)),""))</f>
        <v>48</v>
      </c>
      <c r="I70" s="157">
        <f>(IF((VLOOKUP(Table2[[#This Row],[SKU]],'All Skus'!$A:$AC,2,FALSE))="AMX",(VLOOKUP(Table2[[#This Row],[SKU]],'All Skus'!$A:$AC,11,FALSE)),""))</f>
        <v>48</v>
      </c>
      <c r="J70" s="47">
        <f>(IF((VLOOKUP(Table2[[#This Row],[SKU]],'All Skus'!$A:$AC,2,FALSE))="AMX",(VLOOKUP(Table2[[#This Row],[SKU]],'All Skus'!$A:$AC,15,FALSE)),""))</f>
        <v>0</v>
      </c>
      <c r="K70" s="47">
        <f>(IF((VLOOKUP(Table2[[#This Row],[SKU]],'All Skus'!$A:$AC,2,FALSE))="AMX",(VLOOKUP(Table2[[#This Row],[SKU]],'All Skus'!$A:$AC,16,FALSE)),""))</f>
        <v>718878022955</v>
      </c>
      <c r="L70" s="47">
        <f>(IF((VLOOKUP(Table2[[#This Row],[SKU]],'All Skus'!$A:$AC,2,FALSE))="AMX",(VLOOKUP(Table2[[#This Row],[SKU]],'All Skus'!$A:$AC,17,FALSE)),""))</f>
        <v>0</v>
      </c>
      <c r="M70" s="63">
        <f>(IF((VLOOKUP(Table2[[#This Row],[SKU]],'All Skus'!$A:$AC,2,FALSE))="AMX",(VLOOKUP(Table2[[#This Row],[SKU]],'All Skus'!$A:$AC,18,FALSE)),""))</f>
        <v>0.5</v>
      </c>
      <c r="N70" s="47">
        <f>(IF((VLOOKUP(Table2[[#This Row],[SKU]],'All Skus'!$A:$AC,2,FALSE))="AMX",(VLOOKUP(Table2[[#This Row],[SKU]],'All Skus'!$A:$AC,19,FALSE)),""))</f>
        <v>3.25</v>
      </c>
      <c r="O70" s="47">
        <f>(IF((VLOOKUP(Table2[[#This Row],[SKU]],'All Skus'!$A:$AC,2,FALSE))="AMX",(VLOOKUP(Table2[[#This Row],[SKU]],'All Skus'!$A:$AC,20,FALSE)),""))</f>
        <v>0.84</v>
      </c>
      <c r="P70" s="47">
        <f>(IF((VLOOKUP(Table2[[#This Row],[SKU]],'All Skus'!$A:$AC,2,FALSE))="AMX",(VLOOKUP(Table2[[#This Row],[SKU]],'All Skus'!$A:$AC,21,FALSE)),""))</f>
        <v>1</v>
      </c>
      <c r="Q70" s="47" t="str">
        <f>(IF((VLOOKUP(Table2[[#This Row],[SKU]],'All Skus'!$A:$AC,2,FALSE))="AMX",(VLOOKUP(Table2[[#This Row],[SKU]],'All Skus'!$A:$AC,22,FALSE)),""))</f>
        <v>US</v>
      </c>
      <c r="R70" s="47" t="str">
        <f>(IF((VLOOKUP(Table2[[#This Row],[SKU]],'All Skus'!$A:$AC,2,FALSE))="AMX",(VLOOKUP(Table2[[#This Row],[SKU]],'All Skus'!$A:$AC,23,FALSE)),""))</f>
        <v>Compliant</v>
      </c>
      <c r="S70" s="210" t="str">
        <f>HYPERLINK((IF((VLOOKUP(Table2[[#This Row],[SKU]],'All Skus'!$A:$AC,2,FALSE))="AMX",(VLOOKUP(Table2[[#This Row],[SKU]],'All Skus'!$A:$AC,24,FALSE)),"")))</f>
        <v>https://www.amx.com/en-US/products/avb-vstyle-surface-mnt</v>
      </c>
      <c r="T70" s="151">
        <v>68</v>
      </c>
    </row>
    <row r="71" spans="1:20" ht="15" hidden="1" customHeight="1">
      <c r="A71" s="48" t="s">
        <v>575</v>
      </c>
      <c r="B71" s="280" t="str">
        <f>(IF((VLOOKUP(Table2[[#This Row],[SKU]],'All Skus'!$A:$AC,2,FALSE))="AMX",(VLOOKUP(Table2[[#This Row],[SKU]],'All Skus'!$A:$AC,3,FALSE)),""))</f>
        <v>Analog Signal Distribution</v>
      </c>
      <c r="C71" s="280" t="str">
        <f>(IF((VLOOKUP(Table2[[#This Row],[SKU]],'All Skus'!$A:$AC,2,FALSE))="AMX",(VLOOKUP(Table2[[#This Row],[SKU]],'All Skus'!$A:$AC,4,FALSE)),""))</f>
        <v>AVB-VSTYLE-POLE-MNT</v>
      </c>
      <c r="D71" s="47" t="str">
        <f>(IF((VLOOKUP(Table2[[#This Row],[SKU]],'All Skus'!$A:$AC,2,FALSE))="AMX",(VLOOKUP(Table2[[#This Row],[SKU]],'All Skus'!$A:$AC,5,FALSE)),""))</f>
        <v>AMX-SIG</v>
      </c>
      <c r="E71" s="281">
        <f>(IF((VLOOKUP(Table2[[#This Row],[SKU]],'All Skus'!$A:$AC,2,FALSE))="AMX",(VLOOKUP(Table2[[#This Row],[SKU]],'All Skus'!$A:$AC,7,FALSE)),""))</f>
        <v>0</v>
      </c>
      <c r="F71" s="280" t="str">
        <f>(IF((VLOOKUP(Table2[[#This Row],[SKU]],'All Skus'!$A:$AC,2,FALSE))="AMX",(VLOOKUP(Table2[[#This Row],[SKU]],'All Skus'!$A:$AC,8,FALSE)),""))</f>
        <v>V Style Single Module Pole Mounting Kit</v>
      </c>
      <c r="G71" s="280" t="str">
        <f>(IF((VLOOKUP(Table2[[#This Row],[SKU]],'All Skus'!$A:$AC,2,FALSE))="AMX",(VLOOKUP(Table2[[#This Row],[SKU]],'All Skus'!$A:$AC,9,FALSE)),""))</f>
        <v>V Style Single Module Pole Mounting Kit, use with Solecis Digital Switchers, DXLink Transmitter / Receiver, Converter, DAD Modules and more</v>
      </c>
      <c r="H71" s="157">
        <f>(IF((VLOOKUP(Table2[[#This Row],[SKU]],'All Skus'!$A:$AC,2,FALSE))="AMX",(VLOOKUP(Table2[[#This Row],[SKU]],'All Skus'!$A:$AC,10,FALSE)),""))</f>
        <v>65.900000000000006</v>
      </c>
      <c r="I71" s="157">
        <f>(IF((VLOOKUP(Table2[[#This Row],[SKU]],'All Skus'!$A:$AC,2,FALSE))="AMX",(VLOOKUP(Table2[[#This Row],[SKU]],'All Skus'!$A:$AC,11,FALSE)),""))</f>
        <v>65.900000000000006</v>
      </c>
      <c r="J71" s="47">
        <f>(IF((VLOOKUP(Table2[[#This Row],[SKU]],'All Skus'!$A:$AC,2,FALSE))="AMX",(VLOOKUP(Table2[[#This Row],[SKU]],'All Skus'!$A:$AC,15,FALSE)),""))</f>
        <v>0</v>
      </c>
      <c r="K71" s="47">
        <f>(IF((VLOOKUP(Table2[[#This Row],[SKU]],'All Skus'!$A:$AC,2,FALSE))="AMX",(VLOOKUP(Table2[[#This Row],[SKU]],'All Skus'!$A:$AC,16,FALSE)),""))</f>
        <v>0</v>
      </c>
      <c r="L71" s="47">
        <f>(IF((VLOOKUP(Table2[[#This Row],[SKU]],'All Skus'!$A:$AC,2,FALSE))="AMX",(VLOOKUP(Table2[[#This Row],[SKU]],'All Skus'!$A:$AC,17,FALSE)),""))</f>
        <v>0</v>
      </c>
      <c r="M71" s="63">
        <f>(IF((VLOOKUP(Table2[[#This Row],[SKU]],'All Skus'!$A:$AC,2,FALSE))="AMX",(VLOOKUP(Table2[[#This Row],[SKU]],'All Skus'!$A:$AC,18,FALSE)),""))</f>
        <v>0</v>
      </c>
      <c r="N71" s="47">
        <f>(IF((VLOOKUP(Table2[[#This Row],[SKU]],'All Skus'!$A:$AC,2,FALSE))="AMX",(VLOOKUP(Table2[[#This Row],[SKU]],'All Skus'!$A:$AC,19,FALSE)),""))</f>
        <v>3.25</v>
      </c>
      <c r="O71" s="47">
        <f>(IF((VLOOKUP(Table2[[#This Row],[SKU]],'All Skus'!$A:$AC,2,FALSE))="AMX",(VLOOKUP(Table2[[#This Row],[SKU]],'All Skus'!$A:$AC,20,FALSE)),""))</f>
        <v>0.84</v>
      </c>
      <c r="P71" s="47">
        <f>(IF((VLOOKUP(Table2[[#This Row],[SKU]],'All Skus'!$A:$AC,2,FALSE))="AMX",(VLOOKUP(Table2[[#This Row],[SKU]],'All Skus'!$A:$AC,21,FALSE)),""))</f>
        <v>3.25</v>
      </c>
      <c r="Q71" s="47" t="str">
        <f>(IF((VLOOKUP(Table2[[#This Row],[SKU]],'All Skus'!$A:$AC,2,FALSE))="AMX",(VLOOKUP(Table2[[#This Row],[SKU]],'All Skus'!$A:$AC,22,FALSE)),""))</f>
        <v>US</v>
      </c>
      <c r="R71" s="47" t="str">
        <f>(IF((VLOOKUP(Table2[[#This Row],[SKU]],'All Skus'!$A:$AC,2,FALSE))="AMX",(VLOOKUP(Table2[[#This Row],[SKU]],'All Skus'!$A:$AC,23,FALSE)),""))</f>
        <v>Compliant</v>
      </c>
      <c r="S71" s="210" t="str">
        <f>HYPERLINK((IF((VLOOKUP(Table2[[#This Row],[SKU]],'All Skus'!$A:$AC,2,FALSE))="AMX",(VLOOKUP(Table2[[#This Row],[SKU]],'All Skus'!$A:$AC,24,FALSE)),"")))</f>
        <v>https://www.amx.com/en-US/products/avb-vstyle-pole-mnt</v>
      </c>
      <c r="T71" s="151">
        <v>69</v>
      </c>
    </row>
    <row r="72" spans="1:20" ht="15" hidden="1" customHeight="1">
      <c r="A72" s="48" t="s">
        <v>576</v>
      </c>
      <c r="B72" s="280" t="str">
        <f>(IF((VLOOKUP(Table2[[#This Row],[SKU]],'All Skus'!$A:$AC,2,FALSE))="AMX",(VLOOKUP(Table2[[#This Row],[SKU]],'All Skus'!$A:$AC,3,FALSE)),""))</f>
        <v>Digital Switchers</v>
      </c>
      <c r="C72" s="280" t="str">
        <f>(IF((VLOOKUP(Table2[[#This Row],[SKU]],'All Skus'!$A:$AC,2,FALSE))="AMX",(VLOOKUP(Table2[[#This Row],[SKU]],'All Skus'!$A:$AC,4,FALSE)),""))</f>
        <v>CTC-1402</v>
      </c>
      <c r="D72" s="47" t="str">
        <f>(IF((VLOOKUP(Table2[[#This Row],[SKU]],'All Skus'!$A:$AC,2,FALSE))="AMX",(VLOOKUP(Table2[[#This Row],[SKU]],'All Skus'!$A:$AC,5,FALSE)),""))</f>
        <v>AMX-SIG</v>
      </c>
      <c r="E72" s="291" t="str">
        <f>(IF((VLOOKUP(Table2[[#This Row],[SKU]],'All Skus'!$A:$AC,2,FALSE))="AMX",(VLOOKUP(Table2[[#This Row],[SKU]],'All Skus'!$A:$AC,7,FALSE)),""))</f>
        <v>REDUCED</v>
      </c>
      <c r="F72" s="280" t="str">
        <f>(IF((VLOOKUP(Table2[[#This Row],[SKU]],'All Skus'!$A:$AC,2,FALSE))="AMX",(VLOOKUP(Table2[[#This Row],[SKU]],'All Skus'!$A:$AC,8,FALSE)),""))</f>
        <v>Conferencing Connectivity and Transport Kit</v>
      </c>
      <c r="G72" s="280" t="str">
        <f>(IF((VLOOKUP(Table2[[#This Row],[SKU]],'All Skus'!$A:$AC,2,FALSE))="AMX",(VLOOKUP(Table2[[#This Row],[SKU]],'All Skus'!$A:$AC,9,FALSE)),""))</f>
        <v>Conferencing Connectivity and Transport Kit,  4K60 4:4:4 switching and distribution solution that combines switching, scaling and distance transport into a single kit that includes both a transmitter and receiver.</v>
      </c>
      <c r="H72" s="157">
        <f>(IF((VLOOKUP(Table2[[#This Row],[SKU]],'All Skus'!$A:$AC,2,FALSE))="AMX",(VLOOKUP(Table2[[#This Row],[SKU]],'All Skus'!$A:$AC,10,FALSE)),""))</f>
        <v>3178.4</v>
      </c>
      <c r="I72" s="157">
        <f>(IF((VLOOKUP(Table2[[#This Row],[SKU]],'All Skus'!$A:$AC,2,FALSE))="AMX",(VLOOKUP(Table2[[#This Row],[SKU]],'All Skus'!$A:$AC,11,FALSE)),""))</f>
        <v>1998</v>
      </c>
      <c r="J72" s="47">
        <f>(IF((VLOOKUP(Table2[[#This Row],[SKU]],'All Skus'!$A:$AC,2,FALSE))="AMX",(VLOOKUP(Table2[[#This Row],[SKU]],'All Skus'!$A:$AC,15,FALSE)),""))</f>
        <v>0</v>
      </c>
      <c r="K72" s="47">
        <f>(IF((VLOOKUP(Table2[[#This Row],[SKU]],'All Skus'!$A:$AC,2,FALSE))="AMX",(VLOOKUP(Table2[[#This Row],[SKU]],'All Skus'!$A:$AC,16,FALSE)),""))</f>
        <v>718878009857</v>
      </c>
      <c r="L72" s="47">
        <f>(IF((VLOOKUP(Table2[[#This Row],[SKU]],'All Skus'!$A:$AC,2,FALSE))="AMX",(VLOOKUP(Table2[[#This Row],[SKU]],'All Skus'!$A:$AC,17,FALSE)),""))</f>
        <v>0</v>
      </c>
      <c r="M72" s="63" t="str">
        <f>(IF((VLOOKUP(Table2[[#This Row],[SKU]],'All Skus'!$A:$AC,2,FALSE))="AMX",(VLOOKUP(Table2[[#This Row],[SKU]],'All Skus'!$A:$AC,18,FALSE)),""))</f>
        <v>0.97/0.94</v>
      </c>
      <c r="N72" s="47">
        <f>(IF((VLOOKUP(Table2[[#This Row],[SKU]],'All Skus'!$A:$AC,2,FALSE))="AMX",(VLOOKUP(Table2[[#This Row],[SKU]],'All Skus'!$A:$AC,19,FALSE)),""))</f>
        <v>8.66</v>
      </c>
      <c r="O72" s="47">
        <f>(IF((VLOOKUP(Table2[[#This Row],[SKU]],'All Skus'!$A:$AC,2,FALSE))="AMX",(VLOOKUP(Table2[[#This Row],[SKU]],'All Skus'!$A:$AC,20,FALSE)),""))</f>
        <v>5.9</v>
      </c>
      <c r="P72" s="47">
        <f>(IF((VLOOKUP(Table2[[#This Row],[SKU]],'All Skus'!$A:$AC,2,FALSE))="AMX",(VLOOKUP(Table2[[#This Row],[SKU]],'All Skus'!$A:$AC,21,FALSE)),""))</f>
        <v>1.65</v>
      </c>
      <c r="Q72" s="47" t="str">
        <f>(IF((VLOOKUP(Table2[[#This Row],[SKU]],'All Skus'!$A:$AC,2,FALSE))="AMX",(VLOOKUP(Table2[[#This Row],[SKU]],'All Skus'!$A:$AC,22,FALSE)),""))</f>
        <v>CN</v>
      </c>
      <c r="R72" s="47" t="str">
        <f>(IF((VLOOKUP(Table2[[#This Row],[SKU]],'All Skus'!$A:$AC,2,FALSE))="AMX",(VLOOKUP(Table2[[#This Row],[SKU]],'All Skus'!$A:$AC,23,FALSE)),""))</f>
        <v>NonCompliant</v>
      </c>
      <c r="S72" s="210" t="str">
        <f>HYPERLINK((IF((VLOOKUP(Table2[[#This Row],[SKU]],'All Skus'!$A:$AC,2,FALSE))="AMX",(VLOOKUP(Table2[[#This Row],[SKU]],'All Skus'!$A:$AC,24,FALSE)),"")))</f>
        <v>https://www.amx.com/en-US/products/ctc-1402</v>
      </c>
      <c r="T72" s="151">
        <v>70</v>
      </c>
    </row>
    <row r="73" spans="1:20" ht="15" hidden="1" customHeight="1">
      <c r="A73" s="48" t="s">
        <v>577</v>
      </c>
      <c r="B73" s="280" t="str">
        <f>(IF((VLOOKUP(Table2[[#This Row],[SKU]],'All Skus'!$A:$AC,2,FALSE))="AMX",(VLOOKUP(Table2[[#This Row],[SKU]],'All Skus'!$A:$AC,3,FALSE)),""))</f>
        <v>Digital Switchers</v>
      </c>
      <c r="C73" s="280" t="str">
        <f>(IF((VLOOKUP(Table2[[#This Row],[SKU]],'All Skus'!$A:$AC,2,FALSE))="AMX",(VLOOKUP(Table2[[#This Row],[SKU]],'All Skus'!$A:$AC,4,FALSE)),""))</f>
        <v>SCL-1</v>
      </c>
      <c r="D73" s="47" t="str">
        <f>(IF((VLOOKUP(Table2[[#This Row],[SKU]],'All Skus'!$A:$AC,2,FALSE))="AMX",(VLOOKUP(Table2[[#This Row],[SKU]],'All Skus'!$A:$AC,5,FALSE)),""))</f>
        <v>AMX-SIG</v>
      </c>
      <c r="E73" s="281">
        <f>(IF((VLOOKUP(Table2[[#This Row],[SKU]],'All Skus'!$A:$AC,2,FALSE))="AMX",(VLOOKUP(Table2[[#This Row],[SKU]],'All Skus'!$A:$AC,7,FALSE)),""))</f>
        <v>0</v>
      </c>
      <c r="F73" s="280" t="str">
        <f>(IF((VLOOKUP(Table2[[#This Row],[SKU]],'All Skus'!$A:$AC,2,FALSE))="AMX",(VLOOKUP(Table2[[#This Row],[SKU]],'All Skus'!$A:$AC,8,FALSE)),""))</f>
        <v>4K60 4:4:4 Video Scaler</v>
      </c>
      <c r="G73" s="280" t="str">
        <f>(IF((VLOOKUP(Table2[[#This Row],[SKU]],'All Skus'!$A:$AC,2,FALSE))="AMX",(VLOOKUP(Table2[[#This Row],[SKU]],'All Skus'!$A:$AC,9,FALSE)),""))</f>
        <v>4K60 4:4:4 Video Scaler, HDCP 2.2 compliant</v>
      </c>
      <c r="H73" s="157">
        <f>(IF((VLOOKUP(Table2[[#This Row],[SKU]],'All Skus'!$A:$AC,2,FALSE))="AMX",(VLOOKUP(Table2[[#This Row],[SKU]],'All Skus'!$A:$AC,10,FALSE)),""))</f>
        <v>648.29999999999995</v>
      </c>
      <c r="I73" s="157">
        <f>(IF((VLOOKUP(Table2[[#This Row],[SKU]],'All Skus'!$A:$AC,2,FALSE))="AMX",(VLOOKUP(Table2[[#This Row],[SKU]],'All Skus'!$A:$AC,11,FALSE)),""))</f>
        <v>648.29999999999995</v>
      </c>
      <c r="J73" s="47">
        <f>(IF((VLOOKUP(Table2[[#This Row],[SKU]],'All Skus'!$A:$AC,2,FALSE))="AMX",(VLOOKUP(Table2[[#This Row],[SKU]],'All Skus'!$A:$AC,15,FALSE)),""))</f>
        <v>0</v>
      </c>
      <c r="K73" s="47">
        <f>(IF((VLOOKUP(Table2[[#This Row],[SKU]],'All Skus'!$A:$AC,2,FALSE))="AMX",(VLOOKUP(Table2[[#This Row],[SKU]],'All Skus'!$A:$AC,16,FALSE)),""))</f>
        <v>718878009864</v>
      </c>
      <c r="L73" s="47">
        <f>(IF((VLOOKUP(Table2[[#This Row],[SKU]],'All Skus'!$A:$AC,2,FALSE))="AMX",(VLOOKUP(Table2[[#This Row],[SKU]],'All Skus'!$A:$AC,17,FALSE)),""))</f>
        <v>0</v>
      </c>
      <c r="M73" s="63">
        <f>(IF((VLOOKUP(Table2[[#This Row],[SKU]],'All Skus'!$A:$AC,2,FALSE))="AMX",(VLOOKUP(Table2[[#This Row],[SKU]],'All Skus'!$A:$AC,18,FALSE)),""))</f>
        <v>1.1000000000000001</v>
      </c>
      <c r="N73" s="47">
        <f>(IF((VLOOKUP(Table2[[#This Row],[SKU]],'All Skus'!$A:$AC,2,FALSE))="AMX",(VLOOKUP(Table2[[#This Row],[SKU]],'All Skus'!$A:$AC,19,FALSE)),""))</f>
        <v>4.33</v>
      </c>
      <c r="O73" s="47">
        <f>(IF((VLOOKUP(Table2[[#This Row],[SKU]],'All Skus'!$A:$AC,2,FALSE))="AMX",(VLOOKUP(Table2[[#This Row],[SKU]],'All Skus'!$A:$AC,20,FALSE)),""))</f>
        <v>5.91</v>
      </c>
      <c r="P73" s="47">
        <f>(IF((VLOOKUP(Table2[[#This Row],[SKU]],'All Skus'!$A:$AC,2,FALSE))="AMX",(VLOOKUP(Table2[[#This Row],[SKU]],'All Skus'!$A:$AC,21,FALSE)),""))</f>
        <v>0.98</v>
      </c>
      <c r="Q73" s="47" t="str">
        <f>(IF((VLOOKUP(Table2[[#This Row],[SKU]],'All Skus'!$A:$AC,2,FALSE))="AMX",(VLOOKUP(Table2[[#This Row],[SKU]],'All Skus'!$A:$AC,22,FALSE)),""))</f>
        <v>CN</v>
      </c>
      <c r="R73" s="47" t="str">
        <f>(IF((VLOOKUP(Table2[[#This Row],[SKU]],'All Skus'!$A:$AC,2,FALSE))="AMX",(VLOOKUP(Table2[[#This Row],[SKU]],'All Skus'!$A:$AC,23,FALSE)),""))</f>
        <v>NonCompliant</v>
      </c>
      <c r="S73" s="210" t="str">
        <f>HYPERLINK((IF((VLOOKUP(Table2[[#This Row],[SKU]],'All Skus'!$A:$AC,2,FALSE))="AMX",(VLOOKUP(Table2[[#This Row],[SKU]],'All Skus'!$A:$AC,24,FALSE)),"")))</f>
        <v>https://www.amx.com/en-US/products/scl-1-video-scaler</v>
      </c>
      <c r="T73" s="151">
        <v>71</v>
      </c>
    </row>
    <row r="74" spans="1:20" ht="15" hidden="1" customHeight="1">
      <c r="A74" s="48" t="s">
        <v>578</v>
      </c>
      <c r="B74" s="280" t="str">
        <f>(IF((VLOOKUP(Table2[[#This Row],[SKU]],'All Skus'!$A:$AC,2,FALSE))="AMX",(VLOOKUP(Table2[[#This Row],[SKU]],'All Skus'!$A:$AC,3,FALSE)),""))</f>
        <v>Digital Switchers</v>
      </c>
      <c r="C74" s="280" t="str">
        <f>(IF((VLOOKUP(Table2[[#This Row],[SKU]],'All Skus'!$A:$AC,2,FALSE))="AMX",(VLOOKUP(Table2[[#This Row],[SKU]],'All Skus'!$A:$AC,4,FALSE)),""))</f>
        <v>DCE-1</v>
      </c>
      <c r="D74" s="47" t="str">
        <f>(IF((VLOOKUP(Table2[[#This Row],[SKU]],'All Skus'!$A:$AC,2,FALSE))="AMX",(VLOOKUP(Table2[[#This Row],[SKU]],'All Skus'!$A:$AC,5,FALSE)),""))</f>
        <v>AMX-SIG</v>
      </c>
      <c r="E74" s="281">
        <f>(IF((VLOOKUP(Table2[[#This Row],[SKU]],'All Skus'!$A:$AC,2,FALSE))="AMX",(VLOOKUP(Table2[[#This Row],[SKU]],'All Skus'!$A:$AC,7,FALSE)),""))</f>
        <v>0</v>
      </c>
      <c r="F74" s="280" t="str">
        <f>(IF((VLOOKUP(Table2[[#This Row],[SKU]],'All Skus'!$A:$AC,2,FALSE))="AMX",(VLOOKUP(Table2[[#This Row],[SKU]],'All Skus'!$A:$AC,8,FALSE)),""))</f>
        <v>In-Line Controller</v>
      </c>
      <c r="G74" s="280" t="str">
        <f>(IF((VLOOKUP(Table2[[#This Row],[SKU]],'All Skus'!$A:$AC,2,FALSE))="AMX",(VLOOKUP(Table2[[#This Row],[SKU]],'All Skus'!$A:$AC,9,FALSE)),""))</f>
        <v>In-Line controller combines CEC control, EDID emulation and audio extraction. EDID emulation for resolutions up to 4K60 4:4:4, and includes HDCP 2.2 support</v>
      </c>
      <c r="H74" s="157">
        <f>(IF((VLOOKUP(Table2[[#This Row],[SKU]],'All Skus'!$A:$AC,2,FALSE))="AMX",(VLOOKUP(Table2[[#This Row],[SKU]],'All Skus'!$A:$AC,10,FALSE)),""))</f>
        <v>426.2</v>
      </c>
      <c r="I74" s="157">
        <f>(IF((VLOOKUP(Table2[[#This Row],[SKU]],'All Skus'!$A:$AC,2,FALSE))="AMX",(VLOOKUP(Table2[[#This Row],[SKU]],'All Skus'!$A:$AC,11,FALSE)),""))</f>
        <v>426.2</v>
      </c>
      <c r="J74" s="47">
        <f>(IF((VLOOKUP(Table2[[#This Row],[SKU]],'All Skus'!$A:$AC,2,FALSE))="AMX",(VLOOKUP(Table2[[#This Row],[SKU]],'All Skus'!$A:$AC,15,FALSE)),""))</f>
        <v>0</v>
      </c>
      <c r="K74" s="47">
        <f>(IF((VLOOKUP(Table2[[#This Row],[SKU]],'All Skus'!$A:$AC,2,FALSE))="AMX",(VLOOKUP(Table2[[#This Row],[SKU]],'All Skus'!$A:$AC,16,FALSE)),""))</f>
        <v>718878009871</v>
      </c>
      <c r="L74" s="47">
        <f>(IF((VLOOKUP(Table2[[#This Row],[SKU]],'All Skus'!$A:$AC,2,FALSE))="AMX",(VLOOKUP(Table2[[#This Row],[SKU]],'All Skus'!$A:$AC,17,FALSE)),""))</f>
        <v>0</v>
      </c>
      <c r="M74" s="63">
        <f>(IF((VLOOKUP(Table2[[#This Row],[SKU]],'All Skus'!$A:$AC,2,FALSE))="AMX",(VLOOKUP(Table2[[#This Row],[SKU]],'All Skus'!$A:$AC,18,FALSE)),""))</f>
        <v>1.1000000000000001</v>
      </c>
      <c r="N74" s="47">
        <f>(IF((VLOOKUP(Table2[[#This Row],[SKU]],'All Skus'!$A:$AC,2,FALSE))="AMX",(VLOOKUP(Table2[[#This Row],[SKU]],'All Skus'!$A:$AC,19,FALSE)),""))</f>
        <v>4.33</v>
      </c>
      <c r="O74" s="47">
        <f>(IF((VLOOKUP(Table2[[#This Row],[SKU]],'All Skus'!$A:$AC,2,FALSE))="AMX",(VLOOKUP(Table2[[#This Row],[SKU]],'All Skus'!$A:$AC,20,FALSE)),""))</f>
        <v>5.91</v>
      </c>
      <c r="P74" s="47">
        <f>(IF((VLOOKUP(Table2[[#This Row],[SKU]],'All Skus'!$A:$AC,2,FALSE))="AMX",(VLOOKUP(Table2[[#This Row],[SKU]],'All Skus'!$A:$AC,21,FALSE)),""))</f>
        <v>0.98</v>
      </c>
      <c r="Q74" s="47" t="str">
        <f>(IF((VLOOKUP(Table2[[#This Row],[SKU]],'All Skus'!$A:$AC,2,FALSE))="AMX",(VLOOKUP(Table2[[#This Row],[SKU]],'All Skus'!$A:$AC,22,FALSE)),""))</f>
        <v>CN</v>
      </c>
      <c r="R74" s="47" t="str">
        <f>(IF((VLOOKUP(Table2[[#This Row],[SKU]],'All Skus'!$A:$AC,2,FALSE))="AMX",(VLOOKUP(Table2[[#This Row],[SKU]],'All Skus'!$A:$AC,23,FALSE)),""))</f>
        <v>NonCompliant</v>
      </c>
      <c r="S74" s="210" t="str">
        <f>HYPERLINK((IF((VLOOKUP(Table2[[#This Row],[SKU]],'All Skus'!$A:$AC,2,FALSE))="AMX",(VLOOKUP(Table2[[#This Row],[SKU]],'All Skus'!$A:$AC,24,FALSE)),"")))</f>
        <v>https://www.amx.com/en-US/products/dce-1-in-line-controller</v>
      </c>
      <c r="T74" s="151">
        <v>72</v>
      </c>
    </row>
    <row r="75" spans="1:20" ht="15" hidden="1" customHeight="1">
      <c r="A75" s="48" t="s">
        <v>579</v>
      </c>
      <c r="B75" s="280" t="str">
        <f>(IF((VLOOKUP(Table2[[#This Row],[SKU]],'All Skus'!$A:$AC,2,FALSE))="AMX",(VLOOKUP(Table2[[#This Row],[SKU]],'All Skus'!$A:$AC,3,FALSE)),""))</f>
        <v>Digital Switchers</v>
      </c>
      <c r="C75" s="280" t="str">
        <f>(IF((VLOOKUP(Table2[[#This Row],[SKU]],'All Skus'!$A:$AC,2,FALSE))="AMX",(VLOOKUP(Table2[[#This Row],[SKU]],'All Skus'!$A:$AC,4,FALSE)),""))</f>
        <v>PR01-RX</v>
      </c>
      <c r="D75" s="47" t="str">
        <f>(IF((VLOOKUP(Table2[[#This Row],[SKU]],'All Skus'!$A:$AC,2,FALSE))="AMX",(VLOOKUP(Table2[[#This Row],[SKU]],'All Skus'!$A:$AC,5,FALSE)),""))</f>
        <v>AMX-SIG</v>
      </c>
      <c r="E75" s="281">
        <f>(IF((VLOOKUP(Table2[[#This Row],[SKU]],'All Skus'!$A:$AC,2,FALSE))="AMX",(VLOOKUP(Table2[[#This Row],[SKU]],'All Skus'!$A:$AC,7,FALSE)),""))</f>
        <v>0</v>
      </c>
      <c r="F75" s="280" t="str">
        <f>(IF((VLOOKUP(Table2[[#This Row],[SKU]],'All Skus'!$A:$AC,2,FALSE))="AMX",(VLOOKUP(Table2[[#This Row],[SKU]],'All Skus'!$A:$AC,8,FALSE)),""))</f>
        <v>Precis HDBaseT Receiver w/ Scaler</v>
      </c>
      <c r="G75" s="280" t="str">
        <f>(IF((VLOOKUP(Table2[[#This Row],[SKU]],'All Skus'!$A:$AC,2,FALSE))="AMX",(VLOOKUP(Table2[[#This Row],[SKU]],'All Skus'!$A:$AC,9,FALSE)),""))</f>
        <v>Precis HDBaseT Receiver w/ Scaler</v>
      </c>
      <c r="H75" s="157">
        <f>(IF((VLOOKUP(Table2[[#This Row],[SKU]],'All Skus'!$A:$AC,2,FALSE))="AMX",(VLOOKUP(Table2[[#This Row],[SKU]],'All Skus'!$A:$AC,10,FALSE)),""))</f>
        <v>1058.7</v>
      </c>
      <c r="I75" s="157">
        <f>(IF((VLOOKUP(Table2[[#This Row],[SKU]],'All Skus'!$A:$AC,2,FALSE))="AMX",(VLOOKUP(Table2[[#This Row],[SKU]],'All Skus'!$A:$AC,11,FALSE)),""))</f>
        <v>1058.7</v>
      </c>
      <c r="J75" s="47">
        <f>(IF((VLOOKUP(Table2[[#This Row],[SKU]],'All Skus'!$A:$AC,2,FALSE))="AMX",(VLOOKUP(Table2[[#This Row],[SKU]],'All Skus'!$A:$AC,15,FALSE)),""))</f>
        <v>0</v>
      </c>
      <c r="K75" s="47">
        <f>(IF((VLOOKUP(Table2[[#This Row],[SKU]],'All Skus'!$A:$AC,2,FALSE))="AMX",(VLOOKUP(Table2[[#This Row],[SKU]],'All Skus'!$A:$AC,16,FALSE)),""))</f>
        <v>718878009888</v>
      </c>
      <c r="L75" s="47">
        <f>(IF((VLOOKUP(Table2[[#This Row],[SKU]],'All Skus'!$A:$AC,2,FALSE))="AMX",(VLOOKUP(Table2[[#This Row],[SKU]],'All Skus'!$A:$AC,17,FALSE)),""))</f>
        <v>0</v>
      </c>
      <c r="M75" s="63">
        <f>(IF((VLOOKUP(Table2[[#This Row],[SKU]],'All Skus'!$A:$AC,2,FALSE))="AMX",(VLOOKUP(Table2[[#This Row],[SKU]],'All Skus'!$A:$AC,18,FALSE)),""))</f>
        <v>2.2000000000000002</v>
      </c>
      <c r="N75" s="47">
        <f>(IF((VLOOKUP(Table2[[#This Row],[SKU]],'All Skus'!$A:$AC,2,FALSE))="AMX",(VLOOKUP(Table2[[#This Row],[SKU]],'All Skus'!$A:$AC,19,FALSE)),""))</f>
        <v>9.2200000000000006</v>
      </c>
      <c r="O75" s="47">
        <f>(IF((VLOOKUP(Table2[[#This Row],[SKU]],'All Skus'!$A:$AC,2,FALSE))="AMX",(VLOOKUP(Table2[[#This Row],[SKU]],'All Skus'!$A:$AC,20,FALSE)),""))</f>
        <v>5.63</v>
      </c>
      <c r="P75" s="47">
        <f>(IF((VLOOKUP(Table2[[#This Row],[SKU]],'All Skus'!$A:$AC,2,FALSE))="AMX",(VLOOKUP(Table2[[#This Row],[SKU]],'All Skus'!$A:$AC,21,FALSE)),""))</f>
        <v>0.98</v>
      </c>
      <c r="Q75" s="47" t="str">
        <f>(IF((VLOOKUP(Table2[[#This Row],[SKU]],'All Skus'!$A:$AC,2,FALSE))="AMX",(VLOOKUP(Table2[[#This Row],[SKU]],'All Skus'!$A:$AC,22,FALSE)),""))</f>
        <v>CN</v>
      </c>
      <c r="R75" s="47" t="str">
        <f>(IF((VLOOKUP(Table2[[#This Row],[SKU]],'All Skus'!$A:$AC,2,FALSE))="AMX",(VLOOKUP(Table2[[#This Row],[SKU]],'All Skus'!$A:$AC,23,FALSE)),""))</f>
        <v>NonCompliant</v>
      </c>
      <c r="S75" s="210" t="str">
        <f>HYPERLINK((IF((VLOOKUP(Table2[[#This Row],[SKU]],'All Skus'!$A:$AC,2,FALSE))="AMX",(VLOOKUP(Table2[[#This Row],[SKU]],'All Skus'!$A:$AC,24,FALSE)),"")))</f>
        <v>https://www.amx.com/en-US/products/pr01-rx</v>
      </c>
      <c r="T75" s="151">
        <v>73</v>
      </c>
    </row>
    <row r="76" spans="1:20" ht="15" hidden="1" customHeight="1">
      <c r="A76" s="48" t="s">
        <v>580</v>
      </c>
      <c r="B76" s="280" t="str">
        <f>(IF((VLOOKUP(Table2[[#This Row],[SKU]],'All Skus'!$A:$AC,2,FALSE))="AMX",(VLOOKUP(Table2[[#This Row],[SKU]],'All Skus'!$A:$AC,3,FALSE)),""))</f>
        <v>Digital Switchers</v>
      </c>
      <c r="C76" s="280" t="str">
        <f>(IF((VLOOKUP(Table2[[#This Row],[SKU]],'All Skus'!$A:$AC,2,FALSE))="AMX",(VLOOKUP(Table2[[#This Row],[SKU]],'All Skus'!$A:$AC,4,FALSE)),""))</f>
        <v>PR01-0808</v>
      </c>
      <c r="D76" s="47" t="str">
        <f>(IF((VLOOKUP(Table2[[#This Row],[SKU]],'All Skus'!$A:$AC,2,FALSE))="AMX",(VLOOKUP(Table2[[#This Row],[SKU]],'All Skus'!$A:$AC,5,FALSE)),""))</f>
        <v>AMX-SIG</v>
      </c>
      <c r="E76" s="281">
        <f>(IF((VLOOKUP(Table2[[#This Row],[SKU]],'All Skus'!$A:$AC,2,FALSE))="AMX",(VLOOKUP(Table2[[#This Row],[SKU]],'All Skus'!$A:$AC,7,FALSE)),""))</f>
        <v>0</v>
      </c>
      <c r="F76" s="280" t="str">
        <f>(IF((VLOOKUP(Table2[[#This Row],[SKU]],'All Skus'!$A:$AC,2,FALSE))="AMX",(VLOOKUP(Table2[[#This Row],[SKU]],'All Skus'!$A:$AC,8,FALSE)),""))</f>
        <v>Precis 8x8+4 4K60 HDMI Matrix Switcher</v>
      </c>
      <c r="G76" s="280" t="str">
        <f>(IF((VLOOKUP(Table2[[#This Row],[SKU]],'All Skus'!$A:$AC,2,FALSE))="AMX",(VLOOKUP(Table2[[#This Row],[SKU]],'All Skus'!$A:$AC,9,FALSE)),""))</f>
        <v>Precis 8x8+4 4K60 HDMI Matrix Switcher</v>
      </c>
      <c r="H76" s="157">
        <f>(IF((VLOOKUP(Table2[[#This Row],[SKU]],'All Skus'!$A:$AC,2,FALSE))="AMX",(VLOOKUP(Table2[[#This Row],[SKU]],'All Skus'!$A:$AC,10,FALSE)),""))</f>
        <v>8489</v>
      </c>
      <c r="I76" s="157">
        <f>(IF((VLOOKUP(Table2[[#This Row],[SKU]],'All Skus'!$A:$AC,2,FALSE))="AMX",(VLOOKUP(Table2[[#This Row],[SKU]],'All Skus'!$A:$AC,11,FALSE)),""))</f>
        <v>8489</v>
      </c>
      <c r="J76" s="47">
        <f>(IF((VLOOKUP(Table2[[#This Row],[SKU]],'All Skus'!$A:$AC,2,FALSE))="AMX",(VLOOKUP(Table2[[#This Row],[SKU]],'All Skus'!$A:$AC,15,FALSE)),""))</f>
        <v>0</v>
      </c>
      <c r="K76" s="47">
        <f>(IF((VLOOKUP(Table2[[#This Row],[SKU]],'All Skus'!$A:$AC,2,FALSE))="AMX",(VLOOKUP(Table2[[#This Row],[SKU]],'All Skus'!$A:$AC,16,FALSE)),""))</f>
        <v>718878009895</v>
      </c>
      <c r="L76" s="47">
        <f>(IF((VLOOKUP(Table2[[#This Row],[SKU]],'All Skus'!$A:$AC,2,FALSE))="AMX",(VLOOKUP(Table2[[#This Row],[SKU]],'All Skus'!$A:$AC,17,FALSE)),""))</f>
        <v>0</v>
      </c>
      <c r="M76" s="63">
        <f>(IF((VLOOKUP(Table2[[#This Row],[SKU]],'All Skus'!$A:$AC,2,FALSE))="AMX",(VLOOKUP(Table2[[#This Row],[SKU]],'All Skus'!$A:$AC,18,FALSE)),""))</f>
        <v>4</v>
      </c>
      <c r="N76" s="47">
        <f>(IF((VLOOKUP(Table2[[#This Row],[SKU]],'All Skus'!$A:$AC,2,FALSE))="AMX",(VLOOKUP(Table2[[#This Row],[SKU]],'All Skus'!$A:$AC,19,FALSE)),""))</f>
        <v>17.32</v>
      </c>
      <c r="O76" s="47">
        <f>(IF((VLOOKUP(Table2[[#This Row],[SKU]],'All Skus'!$A:$AC,2,FALSE))="AMX",(VLOOKUP(Table2[[#This Row],[SKU]],'All Skus'!$A:$AC,20,FALSE)),""))</f>
        <v>12.6</v>
      </c>
      <c r="P76" s="47">
        <f>(IF((VLOOKUP(Table2[[#This Row],[SKU]],'All Skus'!$A:$AC,2,FALSE))="AMX",(VLOOKUP(Table2[[#This Row],[SKU]],'All Skus'!$A:$AC,21,FALSE)),""))</f>
        <v>1.71</v>
      </c>
      <c r="Q76" s="47" t="str">
        <f>(IF((VLOOKUP(Table2[[#This Row],[SKU]],'All Skus'!$A:$AC,2,FALSE))="AMX",(VLOOKUP(Table2[[#This Row],[SKU]],'All Skus'!$A:$AC,22,FALSE)),""))</f>
        <v>CN</v>
      </c>
      <c r="R76" s="47" t="str">
        <f>(IF((VLOOKUP(Table2[[#This Row],[SKU]],'All Skus'!$A:$AC,2,FALSE))="AMX",(VLOOKUP(Table2[[#This Row],[SKU]],'All Skus'!$A:$AC,23,FALSE)),""))</f>
        <v>NonCompliant</v>
      </c>
      <c r="S76" s="210" t="str">
        <f>HYPERLINK((IF((VLOOKUP(Table2[[#This Row],[SKU]],'All Skus'!$A:$AC,2,FALSE))="AMX",(VLOOKUP(Table2[[#This Row],[SKU]],'All Skus'!$A:$AC,24,FALSE)),"")))</f>
        <v>https://www.amx.com/en-US/products/pr01-0808</v>
      </c>
      <c r="T76" s="151">
        <v>74</v>
      </c>
    </row>
    <row r="77" spans="1:20" ht="15" hidden="1" customHeight="1">
      <c r="A77" s="48" t="s">
        <v>581</v>
      </c>
      <c r="B77" s="280" t="str">
        <f>(IF((VLOOKUP(Table2[[#This Row],[SKU]],'All Skus'!$A:$AC,2,FALSE))="AMX",(VLOOKUP(Table2[[#This Row],[SKU]],'All Skus'!$A:$AC,3,FALSE)),""))</f>
        <v>All-in-One Pres Switchers</v>
      </c>
      <c r="C77" s="280" t="str">
        <f>(IF((VLOOKUP(Table2[[#This Row],[SKU]],'All Skus'!$A:$AC,2,FALSE))="AMX",(VLOOKUP(Table2[[#This Row],[SKU]],'All Skus'!$A:$AC,4,FALSE)),""))</f>
        <v>CBL-HDMI-FL2-16</v>
      </c>
      <c r="D77" s="47" t="str">
        <f>(IF((VLOOKUP(Table2[[#This Row],[SKU]],'All Skus'!$A:$AC,2,FALSE))="AMX",(VLOOKUP(Table2[[#This Row],[SKU]],'All Skus'!$A:$AC,5,FALSE)),""))</f>
        <v>AMX-ENV</v>
      </c>
      <c r="E77" s="281" t="str">
        <f>(IF((VLOOKUP(Table2[[#This Row],[SKU]],'All Skus'!$A:$AC,2,FALSE))="AMX",(VLOOKUP(Table2[[#This Row],[SKU]],'All Skus'!$A:$AC,7,FALSE)),""))</f>
        <v>Limited Quantity</v>
      </c>
      <c r="F77" s="280" t="str">
        <f>(IF((VLOOKUP(Table2[[#This Row],[SKU]],'All Skus'!$A:$AC,2,FALSE))="AMX",(VLOOKUP(Table2[[#This Row],[SKU]],'All Skus'!$A:$AC,8,FALSE)),""))</f>
        <v>16-foot 4K60 HDMI Flat Cable</v>
      </c>
      <c r="G77" s="280" t="str">
        <f>(IF((VLOOKUP(Table2[[#This Row],[SKU]],'All Skus'!$A:$AC,2,FALSE))="AMX",(VLOOKUP(Table2[[#This Row],[SKU]],'All Skus'!$A:$AC,9,FALSE)),""))</f>
        <v>CBL-HDMI-FL2-16, 4K60 HDMI MyTurn ready 16 foot flat cable</v>
      </c>
      <c r="H77" s="157">
        <f>(IF((VLOOKUP(Table2[[#This Row],[SKU]],'All Skus'!$A:$AC,2,FALSE))="AMX",(VLOOKUP(Table2[[#This Row],[SKU]],'All Skus'!$A:$AC,10,FALSE)),""))</f>
        <v>112</v>
      </c>
      <c r="I77" s="157">
        <f>(IF((VLOOKUP(Table2[[#This Row],[SKU]],'All Skus'!$A:$AC,2,FALSE))="AMX",(VLOOKUP(Table2[[#This Row],[SKU]],'All Skus'!$A:$AC,11,FALSE)),""))</f>
        <v>112</v>
      </c>
      <c r="J77" s="47">
        <f>(IF((VLOOKUP(Table2[[#This Row],[SKU]],'All Skus'!$A:$AC,2,FALSE))="AMX",(VLOOKUP(Table2[[#This Row],[SKU]],'All Skus'!$A:$AC,15,FALSE)),""))</f>
        <v>0</v>
      </c>
      <c r="K77" s="47">
        <f>(IF((VLOOKUP(Table2[[#This Row],[SKU]],'All Skus'!$A:$AC,2,FALSE))="AMX",(VLOOKUP(Table2[[#This Row],[SKU]],'All Skus'!$A:$AC,16,FALSE)),""))</f>
        <v>718878023129</v>
      </c>
      <c r="L77" s="47">
        <f>(IF((VLOOKUP(Table2[[#This Row],[SKU]],'All Skus'!$A:$AC,2,FALSE))="AMX",(VLOOKUP(Table2[[#This Row],[SKU]],'All Skus'!$A:$AC,17,FALSE)),""))</f>
        <v>0</v>
      </c>
      <c r="M77" s="63">
        <f>(IF((VLOOKUP(Table2[[#This Row],[SKU]],'All Skus'!$A:$AC,2,FALSE))="AMX",(VLOOKUP(Table2[[#This Row],[SKU]],'All Skus'!$A:$AC,18,FALSE)),""))</f>
        <v>1</v>
      </c>
      <c r="N77" s="47">
        <f>(IF((VLOOKUP(Table2[[#This Row],[SKU]],'All Skus'!$A:$AC,2,FALSE))="AMX",(VLOOKUP(Table2[[#This Row],[SKU]],'All Skus'!$A:$AC,19,FALSE)),""))</f>
        <v>196</v>
      </c>
      <c r="O77" s="47">
        <f>(IF((VLOOKUP(Table2[[#This Row],[SKU]],'All Skus'!$A:$AC,2,FALSE))="AMX",(VLOOKUP(Table2[[#This Row],[SKU]],'All Skus'!$A:$AC,20,FALSE)),""))</f>
        <v>1</v>
      </c>
      <c r="P77" s="47">
        <f>(IF((VLOOKUP(Table2[[#This Row],[SKU]],'All Skus'!$A:$AC,2,FALSE))="AMX",(VLOOKUP(Table2[[#This Row],[SKU]],'All Skus'!$A:$AC,21,FALSE)),""))</f>
        <v>0.5</v>
      </c>
      <c r="Q77" s="47" t="str">
        <f>(IF((VLOOKUP(Table2[[#This Row],[SKU]],'All Skus'!$A:$AC,2,FALSE))="AMX",(VLOOKUP(Table2[[#This Row],[SKU]],'All Skus'!$A:$AC,22,FALSE)),""))</f>
        <v>CN</v>
      </c>
      <c r="R77" s="47" t="str">
        <f>(IF((VLOOKUP(Table2[[#This Row],[SKU]],'All Skus'!$A:$AC,2,FALSE))="AMX",(VLOOKUP(Table2[[#This Row],[SKU]],'All Skus'!$A:$AC,23,FALSE)),""))</f>
        <v>NonCompliant</v>
      </c>
      <c r="S77" s="210" t="str">
        <f>HYPERLINK((IF((VLOOKUP(Table2[[#This Row],[SKU]],'All Skus'!$A:$AC,2,FALSE))="AMX",(VLOOKUP(Table2[[#This Row],[SKU]],'All Skus'!$A:$AC,24,FALSE)),"")))</f>
        <v>https://www.amx.com/en-US/products/cbl-hdmi-fl2</v>
      </c>
      <c r="T77" s="151">
        <v>75</v>
      </c>
    </row>
    <row r="78" spans="1:20" ht="15" hidden="1" customHeight="1">
      <c r="A78" s="48" t="s">
        <v>582</v>
      </c>
      <c r="B78" s="280" t="str">
        <f>(IF((VLOOKUP(Table2[[#This Row],[SKU]],'All Skus'!$A:$AC,2,FALSE))="AMX",(VLOOKUP(Table2[[#This Row],[SKU]],'All Skus'!$A:$AC,3,FALSE)),""))</f>
        <v>All-in-One Pres Switchers</v>
      </c>
      <c r="C78" s="280" t="str">
        <f>(IF((VLOOKUP(Table2[[#This Row],[SKU]],'All Skus'!$A:$AC,2,FALSE))="AMX",(VLOOKUP(Table2[[#This Row],[SKU]],'All Skus'!$A:$AC,4,FALSE)),""))</f>
        <v>CBL-DP-FL2-16</v>
      </c>
      <c r="D78" s="47" t="str">
        <f>(IF((VLOOKUP(Table2[[#This Row],[SKU]],'All Skus'!$A:$AC,2,FALSE))="AMX",(VLOOKUP(Table2[[#This Row],[SKU]],'All Skus'!$A:$AC,5,FALSE)),""))</f>
        <v>AMX-ENV</v>
      </c>
      <c r="E78" s="281" t="str">
        <f>(IF((VLOOKUP(Table2[[#This Row],[SKU]],'All Skus'!$A:$AC,2,FALSE))="AMX",(VLOOKUP(Table2[[#This Row],[SKU]],'All Skus'!$A:$AC,7,FALSE)),""))</f>
        <v>Limited Quantity</v>
      </c>
      <c r="F78" s="280" t="str">
        <f>(IF((VLOOKUP(Table2[[#This Row],[SKU]],'All Skus'!$A:$AC,2,FALSE))="AMX",(VLOOKUP(Table2[[#This Row],[SKU]],'All Skus'!$A:$AC,8,FALSE)),""))</f>
        <v>16-foot 4K60 DisplayPort Flat Cable</v>
      </c>
      <c r="G78" s="280" t="str">
        <f>(IF((VLOOKUP(Table2[[#This Row],[SKU]],'All Skus'!$A:$AC,2,FALSE))="AMX",(VLOOKUP(Table2[[#This Row],[SKU]],'All Skus'!$A:$AC,9,FALSE)),""))</f>
        <v>CBL-DP-FL2-16, 4K60 DisplayPort MyTurn ready 16 foot flat cable</v>
      </c>
      <c r="H78" s="157">
        <f>(IF((VLOOKUP(Table2[[#This Row],[SKU]],'All Skus'!$A:$AC,2,FALSE))="AMX",(VLOOKUP(Table2[[#This Row],[SKU]],'All Skus'!$A:$AC,10,FALSE)),""))</f>
        <v>114.3</v>
      </c>
      <c r="I78" s="157">
        <f>(IF((VLOOKUP(Table2[[#This Row],[SKU]],'All Skus'!$A:$AC,2,FALSE))="AMX",(VLOOKUP(Table2[[#This Row],[SKU]],'All Skus'!$A:$AC,11,FALSE)),""))</f>
        <v>114.3</v>
      </c>
      <c r="J78" s="47">
        <f>(IF((VLOOKUP(Table2[[#This Row],[SKU]],'All Skus'!$A:$AC,2,FALSE))="AMX",(VLOOKUP(Table2[[#This Row],[SKU]],'All Skus'!$A:$AC,15,FALSE)),""))</f>
        <v>0</v>
      </c>
      <c r="K78" s="47">
        <f>(IF((VLOOKUP(Table2[[#This Row],[SKU]],'All Skus'!$A:$AC,2,FALSE))="AMX",(VLOOKUP(Table2[[#This Row],[SKU]],'All Skus'!$A:$AC,16,FALSE)),""))</f>
        <v>718878022887</v>
      </c>
      <c r="L78" s="47">
        <f>(IF((VLOOKUP(Table2[[#This Row],[SKU]],'All Skus'!$A:$AC,2,FALSE))="AMX",(VLOOKUP(Table2[[#This Row],[SKU]],'All Skus'!$A:$AC,17,FALSE)),""))</f>
        <v>0</v>
      </c>
      <c r="M78" s="63">
        <f>(IF((VLOOKUP(Table2[[#This Row],[SKU]],'All Skus'!$A:$AC,2,FALSE))="AMX",(VLOOKUP(Table2[[#This Row],[SKU]],'All Skus'!$A:$AC,18,FALSE)),""))</f>
        <v>1</v>
      </c>
      <c r="N78" s="47">
        <f>(IF((VLOOKUP(Table2[[#This Row],[SKU]],'All Skus'!$A:$AC,2,FALSE))="AMX",(VLOOKUP(Table2[[#This Row],[SKU]],'All Skus'!$A:$AC,19,FALSE)),""))</f>
        <v>196</v>
      </c>
      <c r="O78" s="47">
        <f>(IF((VLOOKUP(Table2[[#This Row],[SKU]],'All Skus'!$A:$AC,2,FALSE))="AMX",(VLOOKUP(Table2[[#This Row],[SKU]],'All Skus'!$A:$AC,20,FALSE)),""))</f>
        <v>1</v>
      </c>
      <c r="P78" s="47">
        <f>(IF((VLOOKUP(Table2[[#This Row],[SKU]],'All Skus'!$A:$AC,2,FALSE))="AMX",(VLOOKUP(Table2[[#This Row],[SKU]],'All Skus'!$A:$AC,21,FALSE)),""))</f>
        <v>0.5</v>
      </c>
      <c r="Q78" s="47" t="str">
        <f>(IF((VLOOKUP(Table2[[#This Row],[SKU]],'All Skus'!$A:$AC,2,FALSE))="AMX",(VLOOKUP(Table2[[#This Row],[SKU]],'All Skus'!$A:$AC,22,FALSE)),""))</f>
        <v>CN</v>
      </c>
      <c r="R78" s="47" t="str">
        <f>(IF((VLOOKUP(Table2[[#This Row],[SKU]],'All Skus'!$A:$AC,2,FALSE))="AMX",(VLOOKUP(Table2[[#This Row],[SKU]],'All Skus'!$A:$AC,23,FALSE)),""))</f>
        <v>NonCompliant</v>
      </c>
      <c r="S78" s="210" t="str">
        <f>HYPERLINK((IF((VLOOKUP(Table2[[#This Row],[SKU]],'All Skus'!$A:$AC,2,FALSE))="AMX",(VLOOKUP(Table2[[#This Row],[SKU]],'All Skus'!$A:$AC,24,FALSE)),"")))</f>
        <v>https://www.amx.com/en-US/products/cbl-dp-fl2</v>
      </c>
      <c r="T78" s="151">
        <v>76</v>
      </c>
    </row>
    <row r="79" spans="1:20" ht="15" hidden="1" customHeight="1">
      <c r="A79" s="48" t="s">
        <v>583</v>
      </c>
      <c r="B79" s="280" t="str">
        <f>(IF((VLOOKUP(Table2[[#This Row],[SKU]],'All Skus'!$A:$AC,2,FALSE))="AMX",(VLOOKUP(Table2[[#This Row],[SKU]],'All Skus'!$A:$AC,3,FALSE)),""))</f>
        <v>All-in-One Pres Switchers</v>
      </c>
      <c r="C79" s="280" t="str">
        <f>(IF((VLOOKUP(Table2[[#This Row],[SKU]],'All Skus'!$A:$AC,2,FALSE))="AMX",(VLOOKUP(Table2[[#This Row],[SKU]],'All Skus'!$A:$AC,4,FALSE)),""))</f>
        <v>CBL-ETH-FL2-16</v>
      </c>
      <c r="D79" s="47" t="str">
        <f>(IF((VLOOKUP(Table2[[#This Row],[SKU]],'All Skus'!$A:$AC,2,FALSE))="AMX",(VLOOKUP(Table2[[#This Row],[SKU]],'All Skus'!$A:$AC,5,FALSE)),""))</f>
        <v>AMX-ENV</v>
      </c>
      <c r="E79" s="281" t="str">
        <f>(IF((VLOOKUP(Table2[[#This Row],[SKU]],'All Skus'!$A:$AC,2,FALSE))="AMX",(VLOOKUP(Table2[[#This Row],[SKU]],'All Skus'!$A:$AC,7,FALSE)),""))</f>
        <v>Limited Quantity</v>
      </c>
      <c r="F79" s="280" t="str">
        <f>(IF((VLOOKUP(Table2[[#This Row],[SKU]],'All Skus'!$A:$AC,2,FALSE))="AMX",(VLOOKUP(Table2[[#This Row],[SKU]],'All Skus'!$A:$AC,8,FALSE)),""))</f>
        <v>16-foot CAT6 Ethernet Flat Cable</v>
      </c>
      <c r="G79" s="280" t="str">
        <f>(IF((VLOOKUP(Table2[[#This Row],[SKU]],'All Skus'!$A:$AC,2,FALSE))="AMX",(VLOOKUP(Table2[[#This Row],[SKU]],'All Skus'!$A:$AC,9,FALSE)),""))</f>
        <v>CBL-ETH-FL2-16, Cat6 Ethernet MyTurn ready 16 foot flat cable</v>
      </c>
      <c r="H79" s="157">
        <f>(IF((VLOOKUP(Table2[[#This Row],[SKU]],'All Skus'!$A:$AC,2,FALSE))="AMX",(VLOOKUP(Table2[[#This Row],[SKU]],'All Skus'!$A:$AC,10,FALSE)),""))</f>
        <v>54.9</v>
      </c>
      <c r="I79" s="157">
        <f>(IF((VLOOKUP(Table2[[#This Row],[SKU]],'All Skus'!$A:$AC,2,FALSE))="AMX",(VLOOKUP(Table2[[#This Row],[SKU]],'All Skus'!$A:$AC,11,FALSE)),""))</f>
        <v>54.9</v>
      </c>
      <c r="J79" s="47">
        <f>(IF((VLOOKUP(Table2[[#This Row],[SKU]],'All Skus'!$A:$AC,2,FALSE))="AMX",(VLOOKUP(Table2[[#This Row],[SKU]],'All Skus'!$A:$AC,15,FALSE)),""))</f>
        <v>0</v>
      </c>
      <c r="K79" s="47">
        <f>(IF((VLOOKUP(Table2[[#This Row],[SKU]],'All Skus'!$A:$AC,2,FALSE))="AMX",(VLOOKUP(Table2[[#This Row],[SKU]],'All Skus'!$A:$AC,16,FALSE)),""))</f>
        <v>718878023143</v>
      </c>
      <c r="L79" s="47">
        <f>(IF((VLOOKUP(Table2[[#This Row],[SKU]],'All Skus'!$A:$AC,2,FALSE))="AMX",(VLOOKUP(Table2[[#This Row],[SKU]],'All Skus'!$A:$AC,17,FALSE)),""))</f>
        <v>0</v>
      </c>
      <c r="M79" s="63">
        <f>(IF((VLOOKUP(Table2[[#This Row],[SKU]],'All Skus'!$A:$AC,2,FALSE))="AMX",(VLOOKUP(Table2[[#This Row],[SKU]],'All Skus'!$A:$AC,18,FALSE)),""))</f>
        <v>1</v>
      </c>
      <c r="N79" s="47">
        <f>(IF((VLOOKUP(Table2[[#This Row],[SKU]],'All Skus'!$A:$AC,2,FALSE))="AMX",(VLOOKUP(Table2[[#This Row],[SKU]],'All Skus'!$A:$AC,19,FALSE)),""))</f>
        <v>196</v>
      </c>
      <c r="O79" s="47">
        <f>(IF((VLOOKUP(Table2[[#This Row],[SKU]],'All Skus'!$A:$AC,2,FALSE))="AMX",(VLOOKUP(Table2[[#This Row],[SKU]],'All Skus'!$A:$AC,20,FALSE)),""))</f>
        <v>0.5</v>
      </c>
      <c r="P79" s="47">
        <f>(IF((VLOOKUP(Table2[[#This Row],[SKU]],'All Skus'!$A:$AC,2,FALSE))="AMX",(VLOOKUP(Table2[[#This Row],[SKU]],'All Skus'!$A:$AC,21,FALSE)),""))</f>
        <v>0.5</v>
      </c>
      <c r="Q79" s="47" t="str">
        <f>(IF((VLOOKUP(Table2[[#This Row],[SKU]],'All Skus'!$A:$AC,2,FALSE))="AMX",(VLOOKUP(Table2[[#This Row],[SKU]],'All Skus'!$A:$AC,22,FALSE)),""))</f>
        <v>CN</v>
      </c>
      <c r="R79" s="47" t="str">
        <f>(IF((VLOOKUP(Table2[[#This Row],[SKU]],'All Skus'!$A:$AC,2,FALSE))="AMX",(VLOOKUP(Table2[[#This Row],[SKU]],'All Skus'!$A:$AC,23,FALSE)),""))</f>
        <v>NonCompliant</v>
      </c>
      <c r="S79" s="210" t="str">
        <f>HYPERLINK((IF((VLOOKUP(Table2[[#This Row],[SKU]],'All Skus'!$A:$AC,2,FALSE))="AMX",(VLOOKUP(Table2[[#This Row],[SKU]],'All Skus'!$A:$AC,24,FALSE)),"")))</f>
        <v>https://www.amx.com/en-US/products/cbl-eth-fl2</v>
      </c>
      <c r="T79" s="151">
        <v>77</v>
      </c>
    </row>
    <row r="80" spans="1:20" ht="15" hidden="1" customHeight="1">
      <c r="A80" s="48" t="s">
        <v>584</v>
      </c>
      <c r="B80" s="280" t="str">
        <f>(IF((VLOOKUP(Table2[[#This Row],[SKU]],'All Skus'!$A:$AC,2,FALSE))="AMX",(VLOOKUP(Table2[[#This Row],[SKU]],'All Skus'!$A:$AC,3,FALSE)),""))</f>
        <v>All-in-One Pres Switchers</v>
      </c>
      <c r="C80" s="280" t="str">
        <f>(IF((VLOOKUP(Table2[[#This Row],[SKU]],'All Skus'!$A:$AC,2,FALSE))="AMX",(VLOOKUP(Table2[[#This Row],[SKU]],'All Skus'!$A:$AC,4,FALSE)),""))</f>
        <v>CBL-USB-FL2-16</v>
      </c>
      <c r="D80" s="47" t="str">
        <f>(IF((VLOOKUP(Table2[[#This Row],[SKU]],'All Skus'!$A:$AC,2,FALSE))="AMX",(VLOOKUP(Table2[[#This Row],[SKU]],'All Skus'!$A:$AC,5,FALSE)),""))</f>
        <v>AMX-DC</v>
      </c>
      <c r="E80" s="281" t="str">
        <f>(IF((VLOOKUP(Table2[[#This Row],[SKU]],'All Skus'!$A:$AC,2,FALSE))="AMX",(VLOOKUP(Table2[[#This Row],[SKU]],'All Skus'!$A:$AC,7,FALSE)),""))</f>
        <v>Limited Quantity</v>
      </c>
      <c r="F80" s="280" t="str">
        <f>(IF((VLOOKUP(Table2[[#This Row],[SKU]],'All Skus'!$A:$AC,2,FALSE))="AMX",(VLOOKUP(Table2[[#This Row],[SKU]],'All Skus'!$A:$AC,8,FALSE)),""))</f>
        <v>16-foot USB 3.0 Flat Cable</v>
      </c>
      <c r="G80" s="280" t="str">
        <f>(IF((VLOOKUP(Table2[[#This Row],[SKU]],'All Skus'!$A:$AC,2,FALSE))="AMX",(VLOOKUP(Table2[[#This Row],[SKU]],'All Skus'!$A:$AC,9,FALSE)),""))</f>
        <v>CBL-USB-FL2-16, USB MyTurn ready 16 foot flat cable</v>
      </c>
      <c r="H80" s="157">
        <f>(IF((VLOOKUP(Table2[[#This Row],[SKU]],'All Skus'!$A:$AC,2,FALSE))="AMX",(VLOOKUP(Table2[[#This Row],[SKU]],'All Skus'!$A:$AC,10,FALSE)),""))</f>
        <v>112</v>
      </c>
      <c r="I80" s="157">
        <f>(IF((VLOOKUP(Table2[[#This Row],[SKU]],'All Skus'!$A:$AC,2,FALSE))="AMX",(VLOOKUP(Table2[[#This Row],[SKU]],'All Skus'!$A:$AC,11,FALSE)),""))</f>
        <v>112</v>
      </c>
      <c r="J80" s="47">
        <f>(IF((VLOOKUP(Table2[[#This Row],[SKU]],'All Skus'!$A:$AC,2,FALSE))="AMX",(VLOOKUP(Table2[[#This Row],[SKU]],'All Skus'!$A:$AC,15,FALSE)),""))</f>
        <v>0</v>
      </c>
      <c r="K80" s="47">
        <f>(IF((VLOOKUP(Table2[[#This Row],[SKU]],'All Skus'!$A:$AC,2,FALSE))="AMX",(VLOOKUP(Table2[[#This Row],[SKU]],'All Skus'!$A:$AC,16,FALSE)),""))</f>
        <v>718878023167</v>
      </c>
      <c r="L80" s="47">
        <f>(IF((VLOOKUP(Table2[[#This Row],[SKU]],'All Skus'!$A:$AC,2,FALSE))="AMX",(VLOOKUP(Table2[[#This Row],[SKU]],'All Skus'!$A:$AC,17,FALSE)),""))</f>
        <v>0</v>
      </c>
      <c r="M80" s="63">
        <f>(IF((VLOOKUP(Table2[[#This Row],[SKU]],'All Skus'!$A:$AC,2,FALSE))="AMX",(VLOOKUP(Table2[[#This Row],[SKU]],'All Skus'!$A:$AC,18,FALSE)),""))</f>
        <v>1</v>
      </c>
      <c r="N80" s="47">
        <f>(IF((VLOOKUP(Table2[[#This Row],[SKU]],'All Skus'!$A:$AC,2,FALSE))="AMX",(VLOOKUP(Table2[[#This Row],[SKU]],'All Skus'!$A:$AC,19,FALSE)),""))</f>
        <v>9</v>
      </c>
      <c r="O80" s="47">
        <f>(IF((VLOOKUP(Table2[[#This Row],[SKU]],'All Skus'!$A:$AC,2,FALSE))="AMX",(VLOOKUP(Table2[[#This Row],[SKU]],'All Skus'!$A:$AC,20,FALSE)),""))</f>
        <v>6</v>
      </c>
      <c r="P80" s="47">
        <f>(IF((VLOOKUP(Table2[[#This Row],[SKU]],'All Skus'!$A:$AC,2,FALSE))="AMX",(VLOOKUP(Table2[[#This Row],[SKU]],'All Skus'!$A:$AC,21,FALSE)),""))</f>
        <v>0.5</v>
      </c>
      <c r="Q80" s="47" t="str">
        <f>(IF((VLOOKUP(Table2[[#This Row],[SKU]],'All Skus'!$A:$AC,2,FALSE))="AMX",(VLOOKUP(Table2[[#This Row],[SKU]],'All Skus'!$A:$AC,22,FALSE)),""))</f>
        <v>CN</v>
      </c>
      <c r="R80" s="47" t="str">
        <f>(IF((VLOOKUP(Table2[[#This Row],[SKU]],'All Skus'!$A:$AC,2,FALSE))="AMX",(VLOOKUP(Table2[[#This Row],[SKU]],'All Skus'!$A:$AC,23,FALSE)),""))</f>
        <v>NonCompliant</v>
      </c>
      <c r="S80" s="210" t="str">
        <f>HYPERLINK((IF((VLOOKUP(Table2[[#This Row],[SKU]],'All Skus'!$A:$AC,2,FALSE))="AMX",(VLOOKUP(Table2[[#This Row],[SKU]],'All Skus'!$A:$AC,24,FALSE)),"")))</f>
        <v>https://www.amx.com/en-US/products/cbl-usb-fl2</v>
      </c>
      <c r="T80" s="151">
        <v>78</v>
      </c>
    </row>
    <row r="81" spans="1:20" ht="15" hidden="1" customHeight="1">
      <c r="A81" s="48" t="s">
        <v>585</v>
      </c>
      <c r="B81" s="280" t="str">
        <f>(IF((VLOOKUP(Table2[[#This Row],[SKU]],'All Skus'!$A:$AC,2,FALSE))="AMX",(VLOOKUP(Table2[[#This Row],[SKU]],'All Skus'!$A:$AC,3,FALSE)),""))</f>
        <v>Camera &amp; Camera Control</v>
      </c>
      <c r="C81" s="280" t="str">
        <f>(IF((VLOOKUP(Table2[[#This Row],[SKU]],'All Skus'!$A:$AC,2,FALSE))="AMX",(VLOOKUP(Table2[[#This Row],[SKU]],'All Skus'!$A:$AC,4,FALSE)),""))</f>
        <v>CBL-USB2-FL-16</v>
      </c>
      <c r="D81" s="47" t="str">
        <f>(IF((VLOOKUP(Table2[[#This Row],[SKU]],'All Skus'!$A:$AC,2,FALSE))="AMX",(VLOOKUP(Table2[[#This Row],[SKU]],'All Skus'!$A:$AC,5,FALSE)),""))</f>
        <v>AMX-NM</v>
      </c>
      <c r="E81" s="281" t="str">
        <f>(IF((VLOOKUP(Table2[[#This Row],[SKU]],'All Skus'!$A:$AC,2,FALSE))="AMX",(VLOOKUP(Table2[[#This Row],[SKU]],'All Skus'!$A:$AC,7,FALSE)),""))</f>
        <v>Limited Quantity</v>
      </c>
      <c r="F81" s="280" t="str">
        <f>(IF((VLOOKUP(Table2[[#This Row],[SKU]],'All Skus'!$A:$AC,2,FALSE))="AMX",(VLOOKUP(Table2[[#This Row],[SKU]],'All Skus'!$A:$AC,8,FALSE)),""))</f>
        <v>16-foot USB 2.0 Flat Cable</v>
      </c>
      <c r="G81" s="280" t="str">
        <f>(IF((VLOOKUP(Table2[[#This Row],[SKU]],'All Skus'!$A:$AC,2,FALSE))="AMX",(VLOOKUP(Table2[[#This Row],[SKU]],'All Skus'!$A:$AC,9,FALSE)),""))</f>
        <v>16-foot USB Extension Cable.  Can be used with Acendo Core Meeting Space Collaboration System, Acendo Vibe Conferencing Sound Bar, Sereno Video Conferencing Camera, and similar USB peripherals.</v>
      </c>
      <c r="H81" s="157">
        <f>(IF((VLOOKUP(Table2[[#This Row],[SKU]],'All Skus'!$A:$AC,2,FALSE))="AMX",(VLOOKUP(Table2[[#This Row],[SKU]],'All Skus'!$A:$AC,10,FALSE)),""))</f>
        <v>61.7</v>
      </c>
      <c r="I81" s="157">
        <f>(IF((VLOOKUP(Table2[[#This Row],[SKU]],'All Skus'!$A:$AC,2,FALSE))="AMX",(VLOOKUP(Table2[[#This Row],[SKU]],'All Skus'!$A:$AC,11,FALSE)),""))</f>
        <v>61.7</v>
      </c>
      <c r="J81" s="47">
        <f>(IF((VLOOKUP(Table2[[#This Row],[SKU]],'All Skus'!$A:$AC,2,FALSE))="AMX",(VLOOKUP(Table2[[#This Row],[SKU]],'All Skus'!$A:$AC,15,FALSE)),""))</f>
        <v>0</v>
      </c>
      <c r="K81" s="47">
        <f>(IF((VLOOKUP(Table2[[#This Row],[SKU]],'All Skus'!$A:$AC,2,FALSE))="AMX",(VLOOKUP(Table2[[#This Row],[SKU]],'All Skus'!$A:$AC,16,FALSE)),""))</f>
        <v>718878022962</v>
      </c>
      <c r="L81" s="47">
        <f>(IF((VLOOKUP(Table2[[#This Row],[SKU]],'All Skus'!$A:$AC,2,FALSE))="AMX",(VLOOKUP(Table2[[#This Row],[SKU]],'All Skus'!$A:$AC,17,FALSE)),""))</f>
        <v>0</v>
      </c>
      <c r="M81" s="63">
        <f>(IF((VLOOKUP(Table2[[#This Row],[SKU]],'All Skus'!$A:$AC,2,FALSE))="AMX",(VLOOKUP(Table2[[#This Row],[SKU]],'All Skus'!$A:$AC,18,FALSE)),""))</f>
        <v>1</v>
      </c>
      <c r="N81" s="47">
        <f>(IF((VLOOKUP(Table2[[#This Row],[SKU]],'All Skus'!$A:$AC,2,FALSE))="AMX",(VLOOKUP(Table2[[#This Row],[SKU]],'All Skus'!$A:$AC,19,FALSE)),""))</f>
        <v>196</v>
      </c>
      <c r="O81" s="47">
        <f>(IF((VLOOKUP(Table2[[#This Row],[SKU]],'All Skus'!$A:$AC,2,FALSE))="AMX",(VLOOKUP(Table2[[#This Row],[SKU]],'All Skus'!$A:$AC,20,FALSE)),""))</f>
        <v>1</v>
      </c>
      <c r="P81" s="47">
        <f>(IF((VLOOKUP(Table2[[#This Row],[SKU]],'All Skus'!$A:$AC,2,FALSE))="AMX",(VLOOKUP(Table2[[#This Row],[SKU]],'All Skus'!$A:$AC,21,FALSE)),""))</f>
        <v>0.5</v>
      </c>
      <c r="Q81" s="47" t="str">
        <f>(IF((VLOOKUP(Table2[[#This Row],[SKU]],'All Skus'!$A:$AC,2,FALSE))="AMX",(VLOOKUP(Table2[[#This Row],[SKU]],'All Skus'!$A:$AC,22,FALSE)),""))</f>
        <v>CN</v>
      </c>
      <c r="R81" s="47" t="str">
        <f>(IF((VLOOKUP(Table2[[#This Row],[SKU]],'All Skus'!$A:$AC,2,FALSE))="AMX",(VLOOKUP(Table2[[#This Row],[SKU]],'All Skus'!$A:$AC,23,FALSE)),""))</f>
        <v>NonCompliant</v>
      </c>
      <c r="S81" s="210" t="str">
        <f>HYPERLINK((IF((VLOOKUP(Table2[[#This Row],[SKU]],'All Skus'!$A:$AC,2,FALSE))="AMX",(VLOOKUP(Table2[[#This Row],[SKU]],'All Skus'!$A:$AC,24,FALSE)),"")))</f>
        <v>https://www.amx.com/en-US/products/cbl-usb2-fl</v>
      </c>
      <c r="T81" s="151">
        <v>79</v>
      </c>
    </row>
    <row r="82" spans="1:20" ht="15" hidden="1" customHeight="1">
      <c r="A82" s="48" t="s">
        <v>586</v>
      </c>
      <c r="B82" s="280" t="str">
        <f>(IF((VLOOKUP(Table2[[#This Row],[SKU]],'All Skus'!$A:$AC,2,FALSE))="AMX",(VLOOKUP(Table2[[#This Row],[SKU]],'All Skus'!$A:$AC,3,FALSE)),""))</f>
        <v>Digital Matrix Switchers</v>
      </c>
      <c r="C82" s="280" t="str">
        <f>(IF((VLOOKUP(Table2[[#This Row],[SKU]],'All Skus'!$A:$AC,2,FALSE))="AMX",(VLOOKUP(Table2[[#This Row],[SKU]],'All Skus'!$A:$AC,4,FALSE)),""))</f>
        <v>EPICADGX288-ENC</v>
      </c>
      <c r="D82" s="47" t="str">
        <f>(IF((VLOOKUP(Table2[[#This Row],[SKU]],'All Skus'!$A:$AC,2,FALSE))="AMX",(VLOOKUP(Table2[[#This Row],[SKU]],'All Skus'!$A:$AC,5,FALSE)),""))</f>
        <v>AMX-SIG</v>
      </c>
      <c r="E82" s="281">
        <f>(IF((VLOOKUP(Table2[[#This Row],[SKU]],'All Skus'!$A:$AC,2,FALSE))="AMX",(VLOOKUP(Table2[[#This Row],[SKU]],'All Skus'!$A:$AC,7,FALSE)),""))</f>
        <v>0</v>
      </c>
      <c r="F82" s="280" t="str">
        <f>(IF((VLOOKUP(Table2[[#This Row],[SKU]],'All Skus'!$A:$AC,2,FALSE))="AMX",(VLOOKUP(Table2[[#This Row],[SKU]],'All Skus'!$A:$AC,8,FALSE)),""))</f>
        <v>Epica DGX 288 Enclosure</v>
      </c>
      <c r="G82" s="280" t="str">
        <f>(IF((VLOOKUP(Table2[[#This Row],[SKU]],'All Skus'!$A:$AC,2,FALSE))="AMX",(VLOOKUP(Table2[[#This Row],[SKU]],'All Skus'!$A:$AC,9,FALSE)),""))</f>
        <v>Epica DGX 288 Matrix Switcher Enclosure, 17RU compatible with Epica DGX 288 Single Mode Fiber and Multimode Fiber Boards for a maximum configuration of 288x288</v>
      </c>
      <c r="H82" s="157">
        <f>(IF((VLOOKUP(Table2[[#This Row],[SKU]],'All Skus'!$A:$AC,2,FALSE))="AMX",(VLOOKUP(Table2[[#This Row],[SKU]],'All Skus'!$A:$AC,10,FALSE)),""))</f>
        <v>201220.8</v>
      </c>
      <c r="I82" s="157">
        <f>(IF((VLOOKUP(Table2[[#This Row],[SKU]],'All Skus'!$A:$AC,2,FALSE))="AMX",(VLOOKUP(Table2[[#This Row],[SKU]],'All Skus'!$A:$AC,11,FALSE)),""))</f>
        <v>201220.8</v>
      </c>
      <c r="J82" s="47">
        <f>(IF((VLOOKUP(Table2[[#This Row],[SKU]],'All Skus'!$A:$AC,2,FALSE))="AMX",(VLOOKUP(Table2[[#This Row],[SKU]],'All Skus'!$A:$AC,15,FALSE)),""))</f>
        <v>0</v>
      </c>
      <c r="K82" s="47">
        <f>(IF((VLOOKUP(Table2[[#This Row],[SKU]],'All Skus'!$A:$AC,2,FALSE))="AMX",(VLOOKUP(Table2[[#This Row],[SKU]],'All Skus'!$A:$AC,16,FALSE)),""))</f>
        <v>718878023174</v>
      </c>
      <c r="L82" s="47">
        <f>(IF((VLOOKUP(Table2[[#This Row],[SKU]],'All Skus'!$A:$AC,2,FALSE))="AMX",(VLOOKUP(Table2[[#This Row],[SKU]],'All Skus'!$A:$AC,17,FALSE)),""))</f>
        <v>0</v>
      </c>
      <c r="M82" s="63">
        <f>(IF((VLOOKUP(Table2[[#This Row],[SKU]],'All Skus'!$A:$AC,2,FALSE))="AMX",(VLOOKUP(Table2[[#This Row],[SKU]],'All Skus'!$A:$AC,18,FALSE)),""))</f>
        <v>198</v>
      </c>
      <c r="N82" s="47">
        <f>(IF((VLOOKUP(Table2[[#This Row],[SKU]],'All Skus'!$A:$AC,2,FALSE))="AMX",(VLOOKUP(Table2[[#This Row],[SKU]],'All Skus'!$A:$AC,19,FALSE)),""))</f>
        <v>19</v>
      </c>
      <c r="O82" s="47">
        <f>(IF((VLOOKUP(Table2[[#This Row],[SKU]],'All Skus'!$A:$AC,2,FALSE))="AMX",(VLOOKUP(Table2[[#This Row],[SKU]],'All Skus'!$A:$AC,20,FALSE)),""))</f>
        <v>21.75</v>
      </c>
      <c r="P82" s="47">
        <f>(IF((VLOOKUP(Table2[[#This Row],[SKU]],'All Skus'!$A:$AC,2,FALSE))="AMX",(VLOOKUP(Table2[[#This Row],[SKU]],'All Skus'!$A:$AC,21,FALSE)),""))</f>
        <v>29.625</v>
      </c>
      <c r="Q82" s="47" t="str">
        <f>(IF((VLOOKUP(Table2[[#This Row],[SKU]],'All Skus'!$A:$AC,2,FALSE))="AMX",(VLOOKUP(Table2[[#This Row],[SKU]],'All Skus'!$A:$AC,22,FALSE)),""))</f>
        <v>US</v>
      </c>
      <c r="R82" s="47" t="str">
        <f>(IF((VLOOKUP(Table2[[#This Row],[SKU]],'All Skus'!$A:$AC,2,FALSE))="AMX",(VLOOKUP(Table2[[#This Row],[SKU]],'All Skus'!$A:$AC,23,FALSE)),""))</f>
        <v>Compliant</v>
      </c>
      <c r="S82" s="210" t="str">
        <f>HYPERLINK((IF((VLOOKUP(Table2[[#This Row],[SKU]],'All Skus'!$A:$AC,2,FALSE))="AMX",(VLOOKUP(Table2[[#This Row],[SKU]],'All Skus'!$A:$AC,24,FALSE)),"")))</f>
        <v>https://www.amx.com/en-US/products/epica-dgx-288-enclosure</v>
      </c>
      <c r="T82" s="151">
        <v>80</v>
      </c>
    </row>
    <row r="83" spans="1:20" ht="15" hidden="1" customHeight="1">
      <c r="A83" s="48" t="s">
        <v>587</v>
      </c>
      <c r="B83" s="280" t="str">
        <f>(IF((VLOOKUP(Table2[[#This Row],[SKU]],'All Skus'!$A:$AC,2,FALSE))="AMX",(VLOOKUP(Table2[[#This Row],[SKU]],'All Skus'!$A:$AC,3,FALSE)),""))</f>
        <v>Digital Matrix Switchers</v>
      </c>
      <c r="C83" s="280" t="str">
        <f>(IF((VLOOKUP(Table2[[#This Row],[SKU]],'All Skus'!$A:$AC,2,FALSE))="AMX",(VLOOKUP(Table2[[#This Row],[SKU]],'All Skus'!$A:$AC,4,FALSE)),""))</f>
        <v>EPICADGX288-VIO-SMF-S</v>
      </c>
      <c r="D83" s="47" t="str">
        <f>(IF((VLOOKUP(Table2[[#This Row],[SKU]],'All Skus'!$A:$AC,2,FALSE))="AMX",(VLOOKUP(Table2[[#This Row],[SKU]],'All Skus'!$A:$AC,5,FALSE)),""))</f>
        <v>AMX-SIG</v>
      </c>
      <c r="E83" s="281">
        <f>(IF((VLOOKUP(Table2[[#This Row],[SKU]],'All Skus'!$A:$AC,2,FALSE))="AMX",(VLOOKUP(Table2[[#This Row],[SKU]],'All Skus'!$A:$AC,7,FALSE)),""))</f>
        <v>0</v>
      </c>
      <c r="F83" s="280" t="str">
        <f>(IF((VLOOKUP(Table2[[#This Row],[SKU]],'All Skus'!$A:$AC,2,FALSE))="AMX",(VLOOKUP(Table2[[#This Row],[SKU]],'All Skus'!$A:$AC,8,FALSE)),""))</f>
        <v>Epica DGX 288 Single Mode Fiber Input/Output Board, Simplex</v>
      </c>
      <c r="G83" s="280" t="str">
        <f>(IF((VLOOKUP(Table2[[#This Row],[SKU]],'All Skus'!$A:$AC,2,FALSE))="AMX",(VLOOKUP(Table2[[#This Row],[SKU]],'All Skus'!$A:$AC,9,FALSE)),""))</f>
        <v>16 Connection Single Mode Fiber Input/Output Board; provides 16 inputs and 16 outputs</v>
      </c>
      <c r="H83" s="157">
        <f>(IF((VLOOKUP(Table2[[#This Row],[SKU]],'All Skus'!$A:$AC,2,FALSE))="AMX",(VLOOKUP(Table2[[#This Row],[SKU]],'All Skus'!$A:$AC,10,FALSE)),""))</f>
        <v>35213.599999999999</v>
      </c>
      <c r="I83" s="157">
        <f>(IF((VLOOKUP(Table2[[#This Row],[SKU]],'All Skus'!$A:$AC,2,FALSE))="AMX",(VLOOKUP(Table2[[#This Row],[SKU]],'All Skus'!$A:$AC,11,FALSE)),""))</f>
        <v>35213.599999999999</v>
      </c>
      <c r="J83" s="47">
        <f>(IF((VLOOKUP(Table2[[#This Row],[SKU]],'All Skus'!$A:$AC,2,FALSE))="AMX",(VLOOKUP(Table2[[#This Row],[SKU]],'All Skus'!$A:$AC,15,FALSE)),""))</f>
        <v>0</v>
      </c>
      <c r="K83" s="47">
        <f>(IF((VLOOKUP(Table2[[#This Row],[SKU]],'All Skus'!$A:$AC,2,FALSE))="AMX",(VLOOKUP(Table2[[#This Row],[SKU]],'All Skus'!$A:$AC,16,FALSE)),""))</f>
        <v>718878000151</v>
      </c>
      <c r="L83" s="47">
        <f>(IF((VLOOKUP(Table2[[#This Row],[SKU]],'All Skus'!$A:$AC,2,FALSE))="AMX",(VLOOKUP(Table2[[#This Row],[SKU]],'All Skus'!$A:$AC,17,FALSE)),""))</f>
        <v>0</v>
      </c>
      <c r="M83" s="63">
        <f>(IF((VLOOKUP(Table2[[#This Row],[SKU]],'All Skus'!$A:$AC,2,FALSE))="AMX",(VLOOKUP(Table2[[#This Row],[SKU]],'All Skus'!$A:$AC,18,FALSE)),""))</f>
        <v>198</v>
      </c>
      <c r="N83" s="47">
        <f>(IF((VLOOKUP(Table2[[#This Row],[SKU]],'All Skus'!$A:$AC,2,FALSE))="AMX",(VLOOKUP(Table2[[#This Row],[SKU]],'All Skus'!$A:$AC,19,FALSE)),""))</f>
        <v>19</v>
      </c>
      <c r="O83" s="47">
        <f>(IF((VLOOKUP(Table2[[#This Row],[SKU]],'All Skus'!$A:$AC,2,FALSE))="AMX",(VLOOKUP(Table2[[#This Row],[SKU]],'All Skus'!$A:$AC,20,FALSE)),""))</f>
        <v>21.75</v>
      </c>
      <c r="P83" s="47">
        <f>(IF((VLOOKUP(Table2[[#This Row],[SKU]],'All Skus'!$A:$AC,2,FALSE))="AMX",(VLOOKUP(Table2[[#This Row],[SKU]],'All Skus'!$A:$AC,21,FALSE)),""))</f>
        <v>29.625</v>
      </c>
      <c r="Q83" s="47" t="str">
        <f>(IF((VLOOKUP(Table2[[#This Row],[SKU]],'All Skus'!$A:$AC,2,FALSE))="AMX",(VLOOKUP(Table2[[#This Row],[SKU]],'All Skus'!$A:$AC,22,FALSE)),""))</f>
        <v>MX</v>
      </c>
      <c r="R83" s="47" t="str">
        <f>(IF((VLOOKUP(Table2[[#This Row],[SKU]],'All Skus'!$A:$AC,2,FALSE))="AMX",(VLOOKUP(Table2[[#This Row],[SKU]],'All Skus'!$A:$AC,23,FALSE)),""))</f>
        <v>Compliant</v>
      </c>
      <c r="S83" s="210" t="str">
        <f>HYPERLINK((IF((VLOOKUP(Table2[[#This Row],[SKU]],'All Skus'!$A:$AC,2,FALSE))="AMX",(VLOOKUP(Table2[[#This Row],[SKU]],'All Skus'!$A:$AC,24,FALSE)),"")))</f>
        <v>https://www.amx.com/en-US/products/epicadgx288-vio-smf-s</v>
      </c>
      <c r="T83" s="151">
        <v>81</v>
      </c>
    </row>
    <row r="84" spans="1:20" ht="15" hidden="1" customHeight="1">
      <c r="A84" s="48" t="s">
        <v>588</v>
      </c>
      <c r="B84" s="280" t="str">
        <f>(IF((VLOOKUP(Table2[[#This Row],[SKU]],'All Skus'!$A:$AC,2,FALSE))="AMX",(VLOOKUP(Table2[[#This Row],[SKU]],'All Skus'!$A:$AC,3,FALSE)),""))</f>
        <v>Digital Matrix Switchers</v>
      </c>
      <c r="C84" s="280" t="str">
        <f>(IF((VLOOKUP(Table2[[#This Row],[SKU]],'All Skus'!$A:$AC,2,FALSE))="AMX",(VLOOKUP(Table2[[#This Row],[SKU]],'All Skus'!$A:$AC,4,FALSE)),""))</f>
        <v>EPICADGX288-VIO-MMF-S</v>
      </c>
      <c r="D84" s="47" t="str">
        <f>(IF((VLOOKUP(Table2[[#This Row],[SKU]],'All Skus'!$A:$AC,2,FALSE))="AMX",(VLOOKUP(Table2[[#This Row],[SKU]],'All Skus'!$A:$AC,5,FALSE)),""))</f>
        <v>AMX-SIG</v>
      </c>
      <c r="E84" s="281">
        <f>(IF((VLOOKUP(Table2[[#This Row],[SKU]],'All Skus'!$A:$AC,2,FALSE))="AMX",(VLOOKUP(Table2[[#This Row],[SKU]],'All Skus'!$A:$AC,7,FALSE)),""))</f>
        <v>0</v>
      </c>
      <c r="F84" s="280" t="str">
        <f>(IF((VLOOKUP(Table2[[#This Row],[SKU]],'All Skus'!$A:$AC,2,FALSE))="AMX",(VLOOKUP(Table2[[#This Row],[SKU]],'All Skus'!$A:$AC,8,FALSE)),""))</f>
        <v>Epica DGX 288 MultiMode Fiber Input/Output Board, Simplex</v>
      </c>
      <c r="G84" s="280" t="str">
        <f>(IF((VLOOKUP(Table2[[#This Row],[SKU]],'All Skus'!$A:$AC,2,FALSE))="AMX",(VLOOKUP(Table2[[#This Row],[SKU]],'All Skus'!$A:$AC,9,FALSE)),""))</f>
        <v>16 Connection Multi Mode Fiber Input/Output Board; provides 16 inputs and 16 outputs</v>
      </c>
      <c r="H84" s="157">
        <f>(IF((VLOOKUP(Table2[[#This Row],[SKU]],'All Skus'!$A:$AC,2,FALSE))="AMX",(VLOOKUP(Table2[[#This Row],[SKU]],'All Skus'!$A:$AC,10,FALSE)),""))</f>
        <v>25152.6</v>
      </c>
      <c r="I84" s="157">
        <f>(IF((VLOOKUP(Table2[[#This Row],[SKU]],'All Skus'!$A:$AC,2,FALSE))="AMX",(VLOOKUP(Table2[[#This Row],[SKU]],'All Skus'!$A:$AC,11,FALSE)),""))</f>
        <v>25152.6</v>
      </c>
      <c r="J84" s="47">
        <f>(IF((VLOOKUP(Table2[[#This Row],[SKU]],'All Skus'!$A:$AC,2,FALSE))="AMX",(VLOOKUP(Table2[[#This Row],[SKU]],'All Skus'!$A:$AC,15,FALSE)),""))</f>
        <v>0</v>
      </c>
      <c r="K84" s="47">
        <f>(IF((VLOOKUP(Table2[[#This Row],[SKU]],'All Skus'!$A:$AC,2,FALSE))="AMX",(VLOOKUP(Table2[[#This Row],[SKU]],'All Skus'!$A:$AC,16,FALSE)),""))</f>
        <v>718878023204</v>
      </c>
      <c r="L84" s="47">
        <f>(IF((VLOOKUP(Table2[[#This Row],[SKU]],'All Skus'!$A:$AC,2,FALSE))="AMX",(VLOOKUP(Table2[[#This Row],[SKU]],'All Skus'!$A:$AC,17,FALSE)),""))</f>
        <v>0</v>
      </c>
      <c r="M84" s="63">
        <f>(IF((VLOOKUP(Table2[[#This Row],[SKU]],'All Skus'!$A:$AC,2,FALSE))="AMX",(VLOOKUP(Table2[[#This Row],[SKU]],'All Skus'!$A:$AC,18,FALSE)),""))</f>
        <v>5.48</v>
      </c>
      <c r="N84" s="47">
        <f>(IF((VLOOKUP(Table2[[#This Row],[SKU]],'All Skus'!$A:$AC,2,FALSE))="AMX",(VLOOKUP(Table2[[#This Row],[SKU]],'All Skus'!$A:$AC,19,FALSE)),""))</f>
        <v>3</v>
      </c>
      <c r="O84" s="47">
        <f>(IF((VLOOKUP(Table2[[#This Row],[SKU]],'All Skus'!$A:$AC,2,FALSE))="AMX",(VLOOKUP(Table2[[#This Row],[SKU]],'All Skus'!$A:$AC,20,FALSE)),""))</f>
        <v>2</v>
      </c>
      <c r="P84" s="47">
        <f>(IF((VLOOKUP(Table2[[#This Row],[SKU]],'All Skus'!$A:$AC,2,FALSE))="AMX",(VLOOKUP(Table2[[#This Row],[SKU]],'All Skus'!$A:$AC,21,FALSE)),""))</f>
        <v>0.4</v>
      </c>
      <c r="Q84" s="47" t="str">
        <f>(IF((VLOOKUP(Table2[[#This Row],[SKU]],'All Skus'!$A:$AC,2,FALSE))="AMX",(VLOOKUP(Table2[[#This Row],[SKU]],'All Skus'!$A:$AC,22,FALSE)),""))</f>
        <v>US</v>
      </c>
      <c r="R84" s="47" t="str">
        <f>(IF((VLOOKUP(Table2[[#This Row],[SKU]],'All Skus'!$A:$AC,2,FALSE))="AMX",(VLOOKUP(Table2[[#This Row],[SKU]],'All Skus'!$A:$AC,23,FALSE)),""))</f>
        <v>Compliant</v>
      </c>
      <c r="S84" s="210" t="str">
        <f>HYPERLINK((IF((VLOOKUP(Table2[[#This Row],[SKU]],'All Skus'!$A:$AC,2,FALSE))="AMX",(VLOOKUP(Table2[[#This Row],[SKU]],'All Skus'!$A:$AC,24,FALSE)),"")))</f>
        <v>https://www.amx.com/en-US/products/epicadgx288-vio-mmf-s</v>
      </c>
      <c r="T84" s="151">
        <v>82</v>
      </c>
    </row>
    <row r="85" spans="1:20" ht="15" hidden="1" customHeight="1">
      <c r="A85" s="48" t="s">
        <v>589</v>
      </c>
      <c r="B85" s="280" t="str">
        <f>(IF((VLOOKUP(Table2[[#This Row],[SKU]],'All Skus'!$A:$AC,2,FALSE))="AMX",(VLOOKUP(Table2[[#This Row],[SKU]],'All Skus'!$A:$AC,3,FALSE)),""))</f>
        <v>Digital Media Switchers</v>
      </c>
      <c r="C85" s="280" t="str">
        <f>(IF((VLOOKUP(Table2[[#This Row],[SKU]],'All Skus'!$A:$AC,2,FALSE))="AMX",(VLOOKUP(Table2[[#This Row],[SKU]],'All Skus'!$A:$AC,4,FALSE)),""))</f>
        <v>ENOVADGX-PS</v>
      </c>
      <c r="D85" s="47" t="str">
        <f>(IF((VLOOKUP(Table2[[#This Row],[SKU]],'All Skus'!$A:$AC,2,FALSE))="AMX",(VLOOKUP(Table2[[#This Row],[SKU]],'All Skus'!$A:$AC,5,FALSE)),""))</f>
        <v>AMX-SIG</v>
      </c>
      <c r="E85" s="281">
        <f>(IF((VLOOKUP(Table2[[#This Row],[SKU]],'All Skus'!$A:$AC,2,FALSE))="AMX",(VLOOKUP(Table2[[#This Row],[SKU]],'All Skus'!$A:$AC,7,FALSE)),""))</f>
        <v>0</v>
      </c>
      <c r="F85" s="280" t="str">
        <f>(IF((VLOOKUP(Table2[[#This Row],[SKU]],'All Skus'!$A:$AC,2,FALSE))="AMX",(VLOOKUP(Table2[[#This Row],[SKU]],'All Skus'!$A:$AC,8,FALSE)),""))</f>
        <v>ENOVADGX-PS,DGX 8/16/32/800/1600 PS KIT</v>
      </c>
      <c r="G85" s="280" t="str">
        <f>(IF((VLOOKUP(Table2[[#This Row],[SKU]],'All Skus'!$A:$AC,2,FALSE))="AMX",(VLOOKUP(Table2[[#This Row],[SKU]],'All Skus'!$A:$AC,9,FALSE)),""))</f>
        <v>ENOVADGX-PS,DGX 8/16/32/800/1600 PS KIT</v>
      </c>
      <c r="H85" s="157">
        <f>(IF((VLOOKUP(Table2[[#This Row],[SKU]],'All Skus'!$A:$AC,2,FALSE))="AMX",(VLOOKUP(Table2[[#This Row],[SKU]],'All Skus'!$A:$AC,10,FALSE)),""))</f>
        <v>1372</v>
      </c>
      <c r="I85" s="157">
        <f>(IF((VLOOKUP(Table2[[#This Row],[SKU]],'All Skus'!$A:$AC,2,FALSE))="AMX",(VLOOKUP(Table2[[#This Row],[SKU]],'All Skus'!$A:$AC,11,FALSE)),""))</f>
        <v>1372</v>
      </c>
      <c r="J85" s="47">
        <f>(IF((VLOOKUP(Table2[[#This Row],[SKU]],'All Skus'!$A:$AC,2,FALSE))="AMX",(VLOOKUP(Table2[[#This Row],[SKU]],'All Skus'!$A:$AC,15,FALSE)),""))</f>
        <v>0</v>
      </c>
      <c r="K85" s="47">
        <f>(IF((VLOOKUP(Table2[[#This Row],[SKU]],'All Skus'!$A:$AC,2,FALSE))="AMX",(VLOOKUP(Table2[[#This Row],[SKU]],'All Skus'!$A:$AC,16,FALSE)),""))</f>
        <v>718878000267</v>
      </c>
      <c r="L85" s="47">
        <f>(IF((VLOOKUP(Table2[[#This Row],[SKU]],'All Skus'!$A:$AC,2,FALSE))="AMX",(VLOOKUP(Table2[[#This Row],[SKU]],'All Skus'!$A:$AC,17,FALSE)),""))</f>
        <v>0</v>
      </c>
      <c r="M85" s="63">
        <f>(IF((VLOOKUP(Table2[[#This Row],[SKU]],'All Skus'!$A:$AC,2,FALSE))="AMX",(VLOOKUP(Table2[[#This Row],[SKU]],'All Skus'!$A:$AC,18,FALSE)),""))</f>
        <v>0</v>
      </c>
      <c r="N85" s="47">
        <f>(IF((VLOOKUP(Table2[[#This Row],[SKU]],'All Skus'!$A:$AC,2,FALSE))="AMX",(VLOOKUP(Table2[[#This Row],[SKU]],'All Skus'!$A:$AC,19,FALSE)),""))</f>
        <v>0</v>
      </c>
      <c r="O85" s="47">
        <f>(IF((VLOOKUP(Table2[[#This Row],[SKU]],'All Skus'!$A:$AC,2,FALSE))="AMX",(VLOOKUP(Table2[[#This Row],[SKU]],'All Skus'!$A:$AC,20,FALSE)),""))</f>
        <v>0</v>
      </c>
      <c r="P85" s="47">
        <f>(IF((VLOOKUP(Table2[[#This Row],[SKU]],'All Skus'!$A:$AC,2,FALSE))="AMX",(VLOOKUP(Table2[[#This Row],[SKU]],'All Skus'!$A:$AC,21,FALSE)),""))</f>
        <v>0</v>
      </c>
      <c r="Q85" s="47" t="str">
        <f>(IF((VLOOKUP(Table2[[#This Row],[SKU]],'All Skus'!$A:$AC,2,FALSE))="AMX",(VLOOKUP(Table2[[#This Row],[SKU]],'All Skus'!$A:$AC,22,FALSE)),""))</f>
        <v>MX</v>
      </c>
      <c r="R85" s="47" t="str">
        <f>(IF((VLOOKUP(Table2[[#This Row],[SKU]],'All Skus'!$A:$AC,2,FALSE))="AMX",(VLOOKUP(Table2[[#This Row],[SKU]],'All Skus'!$A:$AC,23,FALSE)),""))</f>
        <v>Compliant</v>
      </c>
      <c r="S85" s="210" t="str">
        <f>HYPERLINK((IF((VLOOKUP(Table2[[#This Row],[SKU]],'All Skus'!$A:$AC,2,FALSE))="AMX",(VLOOKUP(Table2[[#This Row],[SKU]],'All Skus'!$A:$AC,24,FALSE)),"")))</f>
        <v>0</v>
      </c>
      <c r="T85" s="151">
        <v>83</v>
      </c>
    </row>
    <row r="86" spans="1:20" ht="15" hidden="1" customHeight="1">
      <c r="A86" s="48" t="s">
        <v>590</v>
      </c>
      <c r="B86" s="280" t="str">
        <f>(IF((VLOOKUP(Table2[[#This Row],[SKU]],'All Skus'!$A:$AC,2,FALSE))="AMX",(VLOOKUP(Table2[[#This Row],[SKU]],'All Skus'!$A:$AC,3,FALSE)),""))</f>
        <v>Digital Media Switchers</v>
      </c>
      <c r="C86" s="280" t="str">
        <f>(IF((VLOOKUP(Table2[[#This Row],[SKU]],'All Skus'!$A:$AC,2,FALSE))="AMX",(VLOOKUP(Table2[[#This Row],[SKU]],'All Skus'!$A:$AC,4,FALSE)),""))</f>
        <v>DGX-I-HDMI</v>
      </c>
      <c r="D86" s="47" t="str">
        <f>(IF((VLOOKUP(Table2[[#This Row],[SKU]],'All Skus'!$A:$AC,2,FALSE))="AMX",(VLOOKUP(Table2[[#This Row],[SKU]],'All Skus'!$A:$AC,5,FALSE)),""))</f>
        <v>AMX-ENV</v>
      </c>
      <c r="E86" s="281" t="str">
        <f>(IF((VLOOKUP(Table2[[#This Row],[SKU]],'All Skus'!$A:$AC,2,FALSE))="AMX",(VLOOKUP(Table2[[#This Row],[SKU]],'All Skus'!$A:$AC,7,FALSE)),""))</f>
        <v>Limited Quantity</v>
      </c>
      <c r="F86" s="280" t="str">
        <f>(IF((VLOOKUP(Table2[[#This Row],[SKU]],'All Skus'!$A:$AC,2,FALSE))="AMX",(VLOOKUP(Table2[[#This Row],[SKU]],'All Skus'!$A:$AC,8,FALSE)),""))</f>
        <v>Enova DGX HDMI Input Board</v>
      </c>
      <c r="G86" s="280" t="str">
        <f>(IF((VLOOKUP(Table2[[#This Row],[SKU]],'All Skus'!$A:$AC,2,FALSE))="AMX",(VLOOKUP(Table2[[#This Row],[SKU]],'All Skus'!$A:$AC,9,FALSE)),""))</f>
        <v>4 connection HDMI Enova DGX Input Board includes HDCP compliance, compatible with Enova DGX 8, 16, 32 and 64 Enclosures</v>
      </c>
      <c r="H86" s="157">
        <f>(IF((VLOOKUP(Table2[[#This Row],[SKU]],'All Skus'!$A:$AC,2,FALSE))="AMX",(VLOOKUP(Table2[[#This Row],[SKU]],'All Skus'!$A:$AC,10,FALSE)),""))</f>
        <v>1772.1</v>
      </c>
      <c r="I86" s="157">
        <f>(IF((VLOOKUP(Table2[[#This Row],[SKU]],'All Skus'!$A:$AC,2,FALSE))="AMX",(VLOOKUP(Table2[[#This Row],[SKU]],'All Skus'!$A:$AC,11,FALSE)),""))</f>
        <v>1772.1</v>
      </c>
      <c r="J86" s="47">
        <f>(IF((VLOOKUP(Table2[[#This Row],[SKU]],'All Skus'!$A:$AC,2,FALSE))="AMX",(VLOOKUP(Table2[[#This Row],[SKU]],'All Skus'!$A:$AC,15,FALSE)),""))</f>
        <v>0</v>
      </c>
      <c r="K86" s="47">
        <f>(IF((VLOOKUP(Table2[[#This Row],[SKU]],'All Skus'!$A:$AC,2,FALSE))="AMX",(VLOOKUP(Table2[[#This Row],[SKU]],'All Skus'!$A:$AC,16,FALSE)),""))</f>
        <v>718878022368</v>
      </c>
      <c r="L86" s="47">
        <f>(IF((VLOOKUP(Table2[[#This Row],[SKU]],'All Skus'!$A:$AC,2,FALSE))="AMX",(VLOOKUP(Table2[[#This Row],[SKU]],'All Skus'!$A:$AC,17,FALSE)),""))</f>
        <v>0</v>
      </c>
      <c r="M86" s="63">
        <f>(IF((VLOOKUP(Table2[[#This Row],[SKU]],'All Skus'!$A:$AC,2,FALSE))="AMX",(VLOOKUP(Table2[[#This Row],[SKU]],'All Skus'!$A:$AC,18,FALSE)),""))</f>
        <v>0</v>
      </c>
      <c r="N86" s="47">
        <f>(IF((VLOOKUP(Table2[[#This Row],[SKU]],'All Skus'!$A:$AC,2,FALSE))="AMX",(VLOOKUP(Table2[[#This Row],[SKU]],'All Skus'!$A:$AC,19,FALSE)),""))</f>
        <v>0</v>
      </c>
      <c r="O86" s="47">
        <f>(IF((VLOOKUP(Table2[[#This Row],[SKU]],'All Skus'!$A:$AC,2,FALSE))="AMX",(VLOOKUP(Table2[[#This Row],[SKU]],'All Skus'!$A:$AC,20,FALSE)),""))</f>
        <v>0</v>
      </c>
      <c r="P86" s="47">
        <f>(IF((VLOOKUP(Table2[[#This Row],[SKU]],'All Skus'!$A:$AC,2,FALSE))="AMX",(VLOOKUP(Table2[[#This Row],[SKU]],'All Skus'!$A:$AC,21,FALSE)),""))</f>
        <v>0</v>
      </c>
      <c r="Q86" s="47" t="str">
        <f>(IF((VLOOKUP(Table2[[#This Row],[SKU]],'All Skus'!$A:$AC,2,FALSE))="AMX",(VLOOKUP(Table2[[#This Row],[SKU]],'All Skus'!$A:$AC,22,FALSE)),""))</f>
        <v>MX</v>
      </c>
      <c r="R86" s="47" t="str">
        <f>(IF((VLOOKUP(Table2[[#This Row],[SKU]],'All Skus'!$A:$AC,2,FALSE))="AMX",(VLOOKUP(Table2[[#This Row],[SKU]],'All Skus'!$A:$AC,23,FALSE)),""))</f>
        <v>Compliant</v>
      </c>
      <c r="S86" s="210" t="str">
        <f>HYPERLINK((IF((VLOOKUP(Table2[[#This Row],[SKU]],'All Skus'!$A:$AC,2,FALSE))="AMX",(VLOOKUP(Table2[[#This Row],[SKU]],'All Skus'!$A:$AC,24,FALSE)),"")))</f>
        <v>https://www.amx.com/en-US/products/dgx-i-hdmi</v>
      </c>
      <c r="T86" s="151">
        <v>84</v>
      </c>
    </row>
    <row r="87" spans="1:20" ht="15" hidden="1" customHeight="1">
      <c r="A87" s="48" t="s">
        <v>591</v>
      </c>
      <c r="B87" s="280" t="str">
        <f>(IF((VLOOKUP(Table2[[#This Row],[SKU]],'All Skus'!$A:$AC,2,FALSE))="AMX",(VLOOKUP(Table2[[#This Row],[SKU]],'All Skus'!$A:$AC,3,FALSE)),""))</f>
        <v>Digital Media Switchers</v>
      </c>
      <c r="C87" s="280" t="str">
        <f>(IF((VLOOKUP(Table2[[#This Row],[SKU]],'All Skus'!$A:$AC,2,FALSE))="AMX",(VLOOKUP(Table2[[#This Row],[SKU]],'All Skus'!$A:$AC,4,FALSE)),""))</f>
        <v>DGX-I-DXL</v>
      </c>
      <c r="D87" s="47" t="str">
        <f>(IF((VLOOKUP(Table2[[#This Row],[SKU]],'All Skus'!$A:$AC,2,FALSE))="AMX",(VLOOKUP(Table2[[#This Row],[SKU]],'All Skus'!$A:$AC,5,FALSE)),""))</f>
        <v>AMX-ENV</v>
      </c>
      <c r="E87" s="281" t="str">
        <f>(IF((VLOOKUP(Table2[[#This Row],[SKU]],'All Skus'!$A:$AC,2,FALSE))="AMX",(VLOOKUP(Table2[[#This Row],[SKU]],'All Skus'!$A:$AC,7,FALSE)),""))</f>
        <v>Limited Quantity</v>
      </c>
      <c r="F87" s="280" t="str">
        <f>(IF((VLOOKUP(Table2[[#This Row],[SKU]],'All Skus'!$A:$AC,2,FALSE))="AMX",(VLOOKUP(Table2[[#This Row],[SKU]],'All Skus'!$A:$AC,8,FALSE)),""))</f>
        <v>Enova DGX DXLink Twisted Pair Input Board</v>
      </c>
      <c r="G87" s="280" t="str">
        <f>(IF((VLOOKUP(Table2[[#This Row],[SKU]],'All Skus'!$A:$AC,2,FALSE))="AMX",(VLOOKUP(Table2[[#This Row],[SKU]],'All Skus'!$A:$AC,9,FALSE)),""))</f>
        <v>4 connection DXLink twisted pair Enova DGX Input Board, includes HDCP compliance, compatible with Enova DGX 8, 16, 32 and 64 Enclosures</v>
      </c>
      <c r="H87" s="157">
        <f>(IF((VLOOKUP(Table2[[#This Row],[SKU]],'All Skus'!$A:$AC,2,FALSE))="AMX",(VLOOKUP(Table2[[#This Row],[SKU]],'All Skus'!$A:$AC,10,FALSE)),""))</f>
        <v>2309.5</v>
      </c>
      <c r="I87" s="157">
        <f>(IF((VLOOKUP(Table2[[#This Row],[SKU]],'All Skus'!$A:$AC,2,FALSE))="AMX",(VLOOKUP(Table2[[#This Row],[SKU]],'All Skus'!$A:$AC,11,FALSE)),""))</f>
        <v>2309.5</v>
      </c>
      <c r="J87" s="47">
        <f>(IF((VLOOKUP(Table2[[#This Row],[SKU]],'All Skus'!$A:$AC,2,FALSE))="AMX",(VLOOKUP(Table2[[#This Row],[SKU]],'All Skus'!$A:$AC,15,FALSE)),""))</f>
        <v>0</v>
      </c>
      <c r="K87" s="47">
        <f>(IF((VLOOKUP(Table2[[#This Row],[SKU]],'All Skus'!$A:$AC,2,FALSE))="AMX",(VLOOKUP(Table2[[#This Row],[SKU]],'All Skus'!$A:$AC,16,FALSE)),""))</f>
        <v>718878022382</v>
      </c>
      <c r="L87" s="47">
        <f>(IF((VLOOKUP(Table2[[#This Row],[SKU]],'All Skus'!$A:$AC,2,FALSE))="AMX",(VLOOKUP(Table2[[#This Row],[SKU]],'All Skus'!$A:$AC,17,FALSE)),""))</f>
        <v>0</v>
      </c>
      <c r="M87" s="63">
        <f>(IF((VLOOKUP(Table2[[#This Row],[SKU]],'All Skus'!$A:$AC,2,FALSE))="AMX",(VLOOKUP(Table2[[#This Row],[SKU]],'All Skus'!$A:$AC,18,FALSE)),""))</f>
        <v>0</v>
      </c>
      <c r="N87" s="47">
        <f>(IF((VLOOKUP(Table2[[#This Row],[SKU]],'All Skus'!$A:$AC,2,FALSE))="AMX",(VLOOKUP(Table2[[#This Row],[SKU]],'All Skus'!$A:$AC,19,FALSE)),""))</f>
        <v>0</v>
      </c>
      <c r="O87" s="47">
        <f>(IF((VLOOKUP(Table2[[#This Row],[SKU]],'All Skus'!$A:$AC,2,FALSE))="AMX",(VLOOKUP(Table2[[#This Row],[SKU]],'All Skus'!$A:$AC,20,FALSE)),""))</f>
        <v>0</v>
      </c>
      <c r="P87" s="47">
        <f>(IF((VLOOKUP(Table2[[#This Row],[SKU]],'All Skus'!$A:$AC,2,FALSE))="AMX",(VLOOKUP(Table2[[#This Row],[SKU]],'All Skus'!$A:$AC,21,FALSE)),""))</f>
        <v>0</v>
      </c>
      <c r="Q87" s="47" t="str">
        <f>(IF((VLOOKUP(Table2[[#This Row],[SKU]],'All Skus'!$A:$AC,2,FALSE))="AMX",(VLOOKUP(Table2[[#This Row],[SKU]],'All Skus'!$A:$AC,22,FALSE)),""))</f>
        <v>MX</v>
      </c>
      <c r="R87" s="47" t="str">
        <f>(IF((VLOOKUP(Table2[[#This Row],[SKU]],'All Skus'!$A:$AC,2,FALSE))="AMX",(VLOOKUP(Table2[[#This Row],[SKU]],'All Skus'!$A:$AC,23,FALSE)),""))</f>
        <v>Compliant</v>
      </c>
      <c r="S87" s="210" t="str">
        <f>HYPERLINK((IF((VLOOKUP(Table2[[#This Row],[SKU]],'All Skus'!$A:$AC,2,FALSE))="AMX",(VLOOKUP(Table2[[#This Row],[SKU]],'All Skus'!$A:$AC,24,FALSE)),"")))</f>
        <v>https://www.amx.com/en-US/products/dgx-i-dxl</v>
      </c>
      <c r="T87" s="151">
        <v>85</v>
      </c>
    </row>
    <row r="88" spans="1:20" ht="15" hidden="1" customHeight="1">
      <c r="A88" s="48" t="s">
        <v>592</v>
      </c>
      <c r="B88" s="280" t="str">
        <f>(IF((VLOOKUP(Table2[[#This Row],[SKU]],'All Skus'!$A:$AC,2,FALSE))="AMX",(VLOOKUP(Table2[[#This Row],[SKU]],'All Skus'!$A:$AC,3,FALSE)),""))</f>
        <v>Digital Media Switchers</v>
      </c>
      <c r="C88" s="280" t="str">
        <f>(IF((VLOOKUP(Table2[[#This Row],[SKU]],'All Skus'!$A:$AC,2,FALSE))="AMX",(VLOOKUP(Table2[[#This Row],[SKU]],'All Skus'!$A:$AC,4,FALSE)),""))</f>
        <v>DGX-O-DXL</v>
      </c>
      <c r="D88" s="47" t="str">
        <f>(IF((VLOOKUP(Table2[[#This Row],[SKU]],'All Skus'!$A:$AC,2,FALSE))="AMX",(VLOOKUP(Table2[[#This Row],[SKU]],'All Skus'!$A:$AC,5,FALSE)),""))</f>
        <v>AMX-ENV</v>
      </c>
      <c r="E88" s="281" t="str">
        <f>(IF((VLOOKUP(Table2[[#This Row],[SKU]],'All Skus'!$A:$AC,2,FALSE))="AMX",(VLOOKUP(Table2[[#This Row],[SKU]],'All Skus'!$A:$AC,7,FALSE)),""))</f>
        <v>Limited Quantity</v>
      </c>
      <c r="F88" s="280" t="str">
        <f>(IF((VLOOKUP(Table2[[#This Row],[SKU]],'All Skus'!$A:$AC,2,FALSE))="AMX",(VLOOKUP(Table2[[#This Row],[SKU]],'All Skus'!$A:$AC,8,FALSE)),""))</f>
        <v>Enova DGX DXLink Twisted Pair Output Board</v>
      </c>
      <c r="G88" s="280" t="str">
        <f>(IF((VLOOKUP(Table2[[#This Row],[SKU]],'All Skus'!$A:$AC,2,FALSE))="AMX",(VLOOKUP(Table2[[#This Row],[SKU]],'All Skus'!$A:$AC,9,FALSE)),""))</f>
        <v>4 connection DXLink twisted pair Enova DGX Output Board includes HDCP compliance, compatible with Enova DGX 8, 16, 32 and 64 Enclosures</v>
      </c>
      <c r="H88" s="157">
        <f>(IF((VLOOKUP(Table2[[#This Row],[SKU]],'All Skus'!$A:$AC,2,FALSE))="AMX",(VLOOKUP(Table2[[#This Row],[SKU]],'All Skus'!$A:$AC,10,FALSE)),""))</f>
        <v>2309.5</v>
      </c>
      <c r="I88" s="157">
        <f>(IF((VLOOKUP(Table2[[#This Row],[SKU]],'All Skus'!$A:$AC,2,FALSE))="AMX",(VLOOKUP(Table2[[#This Row],[SKU]],'All Skus'!$A:$AC,11,FALSE)),""))</f>
        <v>2309.5</v>
      </c>
      <c r="J88" s="47">
        <f>(IF((VLOOKUP(Table2[[#This Row],[SKU]],'All Skus'!$A:$AC,2,FALSE))="AMX",(VLOOKUP(Table2[[#This Row],[SKU]],'All Skus'!$A:$AC,15,FALSE)),""))</f>
        <v>0</v>
      </c>
      <c r="K88" s="47">
        <f>(IF((VLOOKUP(Table2[[#This Row],[SKU]],'All Skus'!$A:$AC,2,FALSE))="AMX",(VLOOKUP(Table2[[#This Row],[SKU]],'All Skus'!$A:$AC,16,FALSE)),""))</f>
        <v>718878022399</v>
      </c>
      <c r="L88" s="47">
        <f>(IF((VLOOKUP(Table2[[#This Row],[SKU]],'All Skus'!$A:$AC,2,FALSE))="AMX",(VLOOKUP(Table2[[#This Row],[SKU]],'All Skus'!$A:$AC,17,FALSE)),""))</f>
        <v>0</v>
      </c>
      <c r="M88" s="63">
        <f>(IF((VLOOKUP(Table2[[#This Row],[SKU]],'All Skus'!$A:$AC,2,FALSE))="AMX",(VLOOKUP(Table2[[#This Row],[SKU]],'All Skus'!$A:$AC,18,FALSE)),""))</f>
        <v>0</v>
      </c>
      <c r="N88" s="47">
        <f>(IF((VLOOKUP(Table2[[#This Row],[SKU]],'All Skus'!$A:$AC,2,FALSE))="AMX",(VLOOKUP(Table2[[#This Row],[SKU]],'All Skus'!$A:$AC,19,FALSE)),""))</f>
        <v>0</v>
      </c>
      <c r="O88" s="47">
        <f>(IF((VLOOKUP(Table2[[#This Row],[SKU]],'All Skus'!$A:$AC,2,FALSE))="AMX",(VLOOKUP(Table2[[#This Row],[SKU]],'All Skus'!$A:$AC,20,FALSE)),""))</f>
        <v>0</v>
      </c>
      <c r="P88" s="47">
        <f>(IF((VLOOKUP(Table2[[#This Row],[SKU]],'All Skus'!$A:$AC,2,FALSE))="AMX",(VLOOKUP(Table2[[#This Row],[SKU]],'All Skus'!$A:$AC,21,FALSE)),""))</f>
        <v>0</v>
      </c>
      <c r="Q88" s="47" t="str">
        <f>(IF((VLOOKUP(Table2[[#This Row],[SKU]],'All Skus'!$A:$AC,2,FALSE))="AMX",(VLOOKUP(Table2[[#This Row],[SKU]],'All Skus'!$A:$AC,22,FALSE)),""))</f>
        <v>MX</v>
      </c>
      <c r="R88" s="47" t="str">
        <f>(IF((VLOOKUP(Table2[[#This Row],[SKU]],'All Skus'!$A:$AC,2,FALSE))="AMX",(VLOOKUP(Table2[[#This Row],[SKU]],'All Skus'!$A:$AC,23,FALSE)),""))</f>
        <v>Compliant</v>
      </c>
      <c r="S88" s="210" t="str">
        <f>HYPERLINK((IF((VLOOKUP(Table2[[#This Row],[SKU]],'All Skus'!$A:$AC,2,FALSE))="AMX",(VLOOKUP(Table2[[#This Row],[SKU]],'All Skus'!$A:$AC,24,FALSE)),"")))</f>
        <v>https://www.amx.com/en-US/products/dgx-o-dxl</v>
      </c>
      <c r="T88" s="151">
        <v>86</v>
      </c>
    </row>
    <row r="89" spans="1:20" ht="15" hidden="1" customHeight="1">
      <c r="A89" s="48" t="s">
        <v>593</v>
      </c>
      <c r="B89" s="280" t="str">
        <f>(IF((VLOOKUP(Table2[[#This Row],[SKU]],'All Skus'!$A:$AC,2,FALSE))="AMX",(VLOOKUP(Table2[[#This Row],[SKU]],'All Skus'!$A:$AC,3,FALSE)),""))</f>
        <v>Digital Media Switchers</v>
      </c>
      <c r="C89" s="280" t="str">
        <f>(IF((VLOOKUP(Table2[[#This Row],[SKU]],'All Skus'!$A:$AC,2,FALSE))="AMX",(VLOOKUP(Table2[[#This Row],[SKU]],'All Skus'!$A:$AC,4,FALSE)),""))</f>
        <v>DGX-I-DVI</v>
      </c>
      <c r="D89" s="47" t="str">
        <f>(IF((VLOOKUP(Table2[[#This Row],[SKU]],'All Skus'!$A:$AC,2,FALSE))="AMX",(VLOOKUP(Table2[[#This Row],[SKU]],'All Skus'!$A:$AC,5,FALSE)),""))</f>
        <v>AMX-ENV</v>
      </c>
      <c r="E89" s="281" t="str">
        <f>(IF((VLOOKUP(Table2[[#This Row],[SKU]],'All Skus'!$A:$AC,2,FALSE))="AMX",(VLOOKUP(Table2[[#This Row],[SKU]],'All Skus'!$A:$AC,7,FALSE)),""))</f>
        <v>Limited Quantity</v>
      </c>
      <c r="F89" s="280" t="str">
        <f>(IF((VLOOKUP(Table2[[#This Row],[SKU]],'All Skus'!$A:$AC,2,FALSE))="AMX",(VLOOKUP(Table2[[#This Row],[SKU]],'All Skus'!$A:$AC,8,FALSE)),""))</f>
        <v>Enova DGX DVI Input Board</v>
      </c>
      <c r="G89" s="280" t="str">
        <f>(IF((VLOOKUP(Table2[[#This Row],[SKU]],'All Skus'!$A:$AC,2,FALSE))="AMX",(VLOOKUP(Table2[[#This Row],[SKU]],'All Skus'!$A:$AC,9,FALSE)),""))</f>
        <v>4 connection DVI Enova DGX Input Board includes HDCP compliance, compatible with Enova DGX 8, 16, 32, and 64 Enclosures</v>
      </c>
      <c r="H89" s="157">
        <f>(IF((VLOOKUP(Table2[[#This Row],[SKU]],'All Skus'!$A:$AC,2,FALSE))="AMX",(VLOOKUP(Table2[[#This Row],[SKU]],'All Skus'!$A:$AC,10,FALSE)),""))</f>
        <v>1772.1</v>
      </c>
      <c r="I89" s="157">
        <f>(IF((VLOOKUP(Table2[[#This Row],[SKU]],'All Skus'!$A:$AC,2,FALSE))="AMX",(VLOOKUP(Table2[[#This Row],[SKU]],'All Skus'!$A:$AC,11,FALSE)),""))</f>
        <v>1772.1</v>
      </c>
      <c r="J89" s="47">
        <f>(IF((VLOOKUP(Table2[[#This Row],[SKU]],'All Skus'!$A:$AC,2,FALSE))="AMX",(VLOOKUP(Table2[[#This Row],[SKU]],'All Skus'!$A:$AC,15,FALSE)),""))</f>
        <v>0</v>
      </c>
      <c r="K89" s="47">
        <f>(IF((VLOOKUP(Table2[[#This Row],[SKU]],'All Skus'!$A:$AC,2,FALSE))="AMX",(VLOOKUP(Table2[[#This Row],[SKU]],'All Skus'!$A:$AC,16,FALSE)),""))</f>
        <v>718878240885</v>
      </c>
      <c r="L89" s="47">
        <f>(IF((VLOOKUP(Table2[[#This Row],[SKU]],'All Skus'!$A:$AC,2,FALSE))="AMX",(VLOOKUP(Table2[[#This Row],[SKU]],'All Skus'!$A:$AC,17,FALSE)),""))</f>
        <v>0</v>
      </c>
      <c r="M89" s="63">
        <f>(IF((VLOOKUP(Table2[[#This Row],[SKU]],'All Skus'!$A:$AC,2,FALSE))="AMX",(VLOOKUP(Table2[[#This Row],[SKU]],'All Skus'!$A:$AC,18,FALSE)),""))</f>
        <v>1.05</v>
      </c>
      <c r="N89" s="47">
        <f>(IF((VLOOKUP(Table2[[#This Row],[SKU]],'All Skus'!$A:$AC,2,FALSE))="AMX",(VLOOKUP(Table2[[#This Row],[SKU]],'All Skus'!$A:$AC,19,FALSE)),""))</f>
        <v>17.78</v>
      </c>
      <c r="O89" s="47">
        <f>(IF((VLOOKUP(Table2[[#This Row],[SKU]],'All Skus'!$A:$AC,2,FALSE))="AMX",(VLOOKUP(Table2[[#This Row],[SKU]],'All Skus'!$A:$AC,20,FALSE)),""))</f>
        <v>33.020000000000003</v>
      </c>
      <c r="P89" s="47">
        <f>(IF((VLOOKUP(Table2[[#This Row],[SKU]],'All Skus'!$A:$AC,2,FALSE))="AMX",(VLOOKUP(Table2[[#This Row],[SKU]],'All Skus'!$A:$AC,21,FALSE)),""))</f>
        <v>5.08</v>
      </c>
      <c r="Q89" s="47" t="str">
        <f>(IF((VLOOKUP(Table2[[#This Row],[SKU]],'All Skus'!$A:$AC,2,FALSE))="AMX",(VLOOKUP(Table2[[#This Row],[SKU]],'All Skus'!$A:$AC,22,FALSE)),""))</f>
        <v>MX</v>
      </c>
      <c r="R89" s="47" t="str">
        <f>(IF((VLOOKUP(Table2[[#This Row],[SKU]],'All Skus'!$A:$AC,2,FALSE))="AMX",(VLOOKUP(Table2[[#This Row],[SKU]],'All Skus'!$A:$AC,23,FALSE)),""))</f>
        <v>Compliant</v>
      </c>
      <c r="S89" s="210" t="str">
        <f>HYPERLINK((IF((VLOOKUP(Table2[[#This Row],[SKU]],'All Skus'!$A:$AC,2,FALSE))="AMX",(VLOOKUP(Table2[[#This Row],[SKU]],'All Skus'!$A:$AC,24,FALSE)),"")))</f>
        <v>https://www.amx.com/en-US/products/dgx-i-dvi</v>
      </c>
      <c r="T89" s="151">
        <v>87</v>
      </c>
    </row>
    <row r="90" spans="1:20" ht="15" hidden="1" customHeight="1">
      <c r="A90" s="48" t="s">
        <v>594</v>
      </c>
      <c r="B90" s="280" t="str">
        <f>(IF((VLOOKUP(Table2[[#This Row],[SKU]],'All Skus'!$A:$AC,2,FALSE))="AMX",(VLOOKUP(Table2[[#This Row],[SKU]],'All Skus'!$A:$AC,3,FALSE)),""))</f>
        <v>Digital Media Switchers</v>
      </c>
      <c r="C90" s="280" t="str">
        <f>(IF((VLOOKUP(Table2[[#This Row],[SKU]],'All Skus'!$A:$AC,2,FALSE))="AMX",(VLOOKUP(Table2[[#This Row],[SKU]],'All Skus'!$A:$AC,4,FALSE)),""))</f>
        <v>DGX-O-DVI</v>
      </c>
      <c r="D90" s="47" t="str">
        <f>(IF((VLOOKUP(Table2[[#This Row],[SKU]],'All Skus'!$A:$AC,2,FALSE))="AMX",(VLOOKUP(Table2[[#This Row],[SKU]],'All Skus'!$A:$AC,5,FALSE)),""))</f>
        <v>AMX-ENV</v>
      </c>
      <c r="E90" s="281" t="str">
        <f>(IF((VLOOKUP(Table2[[#This Row],[SKU]],'All Skus'!$A:$AC,2,FALSE))="AMX",(VLOOKUP(Table2[[#This Row],[SKU]],'All Skus'!$A:$AC,7,FALSE)),""))</f>
        <v>Limited Quantity</v>
      </c>
      <c r="F90" s="280" t="str">
        <f>(IF((VLOOKUP(Table2[[#This Row],[SKU]],'All Skus'!$A:$AC,2,FALSE))="AMX",(VLOOKUP(Table2[[#This Row],[SKU]],'All Skus'!$A:$AC,8,FALSE)),""))</f>
        <v>Enova DGX DVI Output Board</v>
      </c>
      <c r="G90" s="280" t="str">
        <f>(IF((VLOOKUP(Table2[[#This Row],[SKU]],'All Skus'!$A:$AC,2,FALSE))="AMX",(VLOOKUP(Table2[[#This Row],[SKU]],'All Skus'!$A:$AC,9,FALSE)),""))</f>
        <v>4 connection DVI Enova DGX Output Board includes HDCP compliance, SmartScale, compatible with Enova DGX 8, 16, 32 and 64 Enclosures</v>
      </c>
      <c r="H90" s="157">
        <f>(IF((VLOOKUP(Table2[[#This Row],[SKU]],'All Skus'!$A:$AC,2,FALSE))="AMX",(VLOOKUP(Table2[[#This Row],[SKU]],'All Skus'!$A:$AC,10,FALSE)),""))</f>
        <v>2400.9</v>
      </c>
      <c r="I90" s="157">
        <f>(IF((VLOOKUP(Table2[[#This Row],[SKU]],'All Skus'!$A:$AC,2,FALSE))="AMX",(VLOOKUP(Table2[[#This Row],[SKU]],'All Skus'!$A:$AC,11,FALSE)),""))</f>
        <v>2400.9</v>
      </c>
      <c r="J90" s="47">
        <f>(IF((VLOOKUP(Table2[[#This Row],[SKU]],'All Skus'!$A:$AC,2,FALSE))="AMX",(VLOOKUP(Table2[[#This Row],[SKU]],'All Skus'!$A:$AC,15,FALSE)),""))</f>
        <v>0</v>
      </c>
      <c r="K90" s="47">
        <f>(IF((VLOOKUP(Table2[[#This Row],[SKU]],'All Skus'!$A:$AC,2,FALSE))="AMX",(VLOOKUP(Table2[[#This Row],[SKU]],'All Skus'!$A:$AC,16,FALSE)),""))</f>
        <v>718878240991</v>
      </c>
      <c r="L90" s="47">
        <f>(IF((VLOOKUP(Table2[[#This Row],[SKU]],'All Skus'!$A:$AC,2,FALSE))="AMX",(VLOOKUP(Table2[[#This Row],[SKU]],'All Skus'!$A:$AC,17,FALSE)),""))</f>
        <v>0</v>
      </c>
      <c r="M90" s="63">
        <f>(IF((VLOOKUP(Table2[[#This Row],[SKU]],'All Skus'!$A:$AC,2,FALSE))="AMX",(VLOOKUP(Table2[[#This Row],[SKU]],'All Skus'!$A:$AC,18,FALSE)),""))</f>
        <v>3.15</v>
      </c>
      <c r="N90" s="47">
        <f>(IF((VLOOKUP(Table2[[#This Row],[SKU]],'All Skus'!$A:$AC,2,FALSE))="AMX",(VLOOKUP(Table2[[#This Row],[SKU]],'All Skus'!$A:$AC,19,FALSE)),""))</f>
        <v>16</v>
      </c>
      <c r="O90" s="47">
        <f>(IF((VLOOKUP(Table2[[#This Row],[SKU]],'All Skus'!$A:$AC,2,FALSE))="AMX",(VLOOKUP(Table2[[#This Row],[SKU]],'All Skus'!$A:$AC,20,FALSE)),""))</f>
        <v>5</v>
      </c>
      <c r="P90" s="47">
        <f>(IF((VLOOKUP(Table2[[#This Row],[SKU]],'All Skus'!$A:$AC,2,FALSE))="AMX",(VLOOKUP(Table2[[#This Row],[SKU]],'All Skus'!$A:$AC,21,FALSE)),""))</f>
        <v>6</v>
      </c>
      <c r="Q90" s="47" t="str">
        <f>(IF((VLOOKUP(Table2[[#This Row],[SKU]],'All Skus'!$A:$AC,2,FALSE))="AMX",(VLOOKUP(Table2[[#This Row],[SKU]],'All Skus'!$A:$AC,22,FALSE)),""))</f>
        <v>MX</v>
      </c>
      <c r="R90" s="47" t="str">
        <f>(IF((VLOOKUP(Table2[[#This Row],[SKU]],'All Skus'!$A:$AC,2,FALSE))="AMX",(VLOOKUP(Table2[[#This Row],[SKU]],'All Skus'!$A:$AC,23,FALSE)),""))</f>
        <v>Compliant</v>
      </c>
      <c r="S90" s="210" t="str">
        <f>HYPERLINK((IF((VLOOKUP(Table2[[#This Row],[SKU]],'All Skus'!$A:$AC,2,FALSE))="AMX",(VLOOKUP(Table2[[#This Row],[SKU]],'All Skus'!$A:$AC,24,FALSE)),"")))</f>
        <v>https://www.amx.com/en-US/products/dgx-o-dvi</v>
      </c>
      <c r="T90" s="151">
        <v>88</v>
      </c>
    </row>
    <row r="91" spans="1:20" ht="15" hidden="1" customHeight="1">
      <c r="A91" s="48" t="s">
        <v>595</v>
      </c>
      <c r="B91" s="280" t="str">
        <f>(IF((VLOOKUP(Table2[[#This Row],[SKU]],'All Skus'!$A:$AC,2,FALSE))="AMX",(VLOOKUP(Table2[[#This Row],[SKU]],'All Skus'!$A:$AC,3,FALSE)),""))</f>
        <v>Digital Media Switchers</v>
      </c>
      <c r="C91" s="280" t="str">
        <f>(IF((VLOOKUP(Table2[[#This Row],[SKU]],'All Skus'!$A:$AC,2,FALSE))="AMX",(VLOOKUP(Table2[[#This Row],[SKU]],'All Skus'!$A:$AC,4,FALSE)),""))</f>
        <v>DGX-O-DXF-SMD</v>
      </c>
      <c r="D91" s="47" t="str">
        <f>(IF((VLOOKUP(Table2[[#This Row],[SKU]],'All Skus'!$A:$AC,2,FALSE))="AMX",(VLOOKUP(Table2[[#This Row],[SKU]],'All Skus'!$A:$AC,5,FALSE)),""))</f>
        <v>AMX-ENV</v>
      </c>
      <c r="E91" s="281" t="str">
        <f>(IF((VLOOKUP(Table2[[#This Row],[SKU]],'All Skus'!$A:$AC,2,FALSE))="AMX",(VLOOKUP(Table2[[#This Row],[SKU]],'All Skus'!$A:$AC,7,FALSE)),""))</f>
        <v>Limited Quantity</v>
      </c>
      <c r="F91" s="280" t="str">
        <f>(IF((VLOOKUP(Table2[[#This Row],[SKU]],'All Skus'!$A:$AC,2,FALSE))="AMX",(VLOOKUP(Table2[[#This Row],[SKU]],'All Skus'!$A:$AC,8,FALSE)),""))</f>
        <v>Enova DGX DXLink Single Mode Fiber Output Board, Duplex</v>
      </c>
      <c r="G91" s="280" t="str">
        <f>(IF((VLOOKUP(Table2[[#This Row],[SKU]],'All Skus'!$A:$AC,2,FALSE))="AMX",(VLOOKUP(Table2[[#This Row],[SKU]],'All Skus'!$A:$AC,9,FALSE)),""))</f>
        <v>4 connection DXLink Fiber Enova DGX Output Board (single mode/duplex) includes HDCP compliance, compatible with Enova DGX 8, 16, 32 and 64 Enclosures</v>
      </c>
      <c r="H91" s="157">
        <f>(IF((VLOOKUP(Table2[[#This Row],[SKU]],'All Skus'!$A:$AC,2,FALSE))="AMX",(VLOOKUP(Table2[[#This Row],[SKU]],'All Skus'!$A:$AC,10,FALSE)),""))</f>
        <v>6448.2</v>
      </c>
      <c r="I91" s="157">
        <f>(IF((VLOOKUP(Table2[[#This Row],[SKU]],'All Skus'!$A:$AC,2,FALSE))="AMX",(VLOOKUP(Table2[[#This Row],[SKU]],'All Skus'!$A:$AC,11,FALSE)),""))</f>
        <v>6448.2</v>
      </c>
      <c r="J91" s="47">
        <f>(IF((VLOOKUP(Table2[[#This Row],[SKU]],'All Skus'!$A:$AC,2,FALSE))="AMX",(VLOOKUP(Table2[[#This Row],[SKU]],'All Skus'!$A:$AC,15,FALSE)),""))</f>
        <v>0</v>
      </c>
      <c r="K91" s="47">
        <f>(IF((VLOOKUP(Table2[[#This Row],[SKU]],'All Skus'!$A:$AC,2,FALSE))="AMX",(VLOOKUP(Table2[[#This Row],[SKU]],'All Skus'!$A:$AC,16,FALSE)),""))</f>
        <v>718878023280</v>
      </c>
      <c r="L91" s="47">
        <f>(IF((VLOOKUP(Table2[[#This Row],[SKU]],'All Skus'!$A:$AC,2,FALSE))="AMX",(VLOOKUP(Table2[[#This Row],[SKU]],'All Skus'!$A:$AC,17,FALSE)),""))</f>
        <v>0</v>
      </c>
      <c r="M91" s="63">
        <f>(IF((VLOOKUP(Table2[[#This Row],[SKU]],'All Skus'!$A:$AC,2,FALSE))="AMX",(VLOOKUP(Table2[[#This Row],[SKU]],'All Skus'!$A:$AC,18,FALSE)),""))</f>
        <v>2</v>
      </c>
      <c r="N91" s="47">
        <f>(IF((VLOOKUP(Table2[[#This Row],[SKU]],'All Skus'!$A:$AC,2,FALSE))="AMX",(VLOOKUP(Table2[[#This Row],[SKU]],'All Skus'!$A:$AC,19,FALSE)),""))</f>
        <v>16</v>
      </c>
      <c r="O91" s="47">
        <f>(IF((VLOOKUP(Table2[[#This Row],[SKU]],'All Skus'!$A:$AC,2,FALSE))="AMX",(VLOOKUP(Table2[[#This Row],[SKU]],'All Skus'!$A:$AC,20,FALSE)),""))</f>
        <v>5</v>
      </c>
      <c r="P91" s="47">
        <f>(IF((VLOOKUP(Table2[[#This Row],[SKU]],'All Skus'!$A:$AC,2,FALSE))="AMX",(VLOOKUP(Table2[[#This Row],[SKU]],'All Skus'!$A:$AC,21,FALSE)),""))</f>
        <v>6</v>
      </c>
      <c r="Q91" s="47" t="str">
        <f>(IF((VLOOKUP(Table2[[#This Row],[SKU]],'All Skus'!$A:$AC,2,FALSE))="AMX",(VLOOKUP(Table2[[#This Row],[SKU]],'All Skus'!$A:$AC,22,FALSE)),""))</f>
        <v>US</v>
      </c>
      <c r="R91" s="47" t="str">
        <f>(IF((VLOOKUP(Table2[[#This Row],[SKU]],'All Skus'!$A:$AC,2,FALSE))="AMX",(VLOOKUP(Table2[[#This Row],[SKU]],'All Skus'!$A:$AC,23,FALSE)),""))</f>
        <v>Compliant</v>
      </c>
      <c r="S91" s="210" t="str">
        <f>HYPERLINK((IF((VLOOKUP(Table2[[#This Row],[SKU]],'All Skus'!$A:$AC,2,FALSE))="AMX",(VLOOKUP(Table2[[#This Row],[SKU]],'All Skus'!$A:$AC,24,FALSE)),"")))</f>
        <v>https://www.amx.com/en-US/products/dgx-o-dxf-smd</v>
      </c>
      <c r="T91" s="151">
        <v>89</v>
      </c>
    </row>
    <row r="92" spans="1:20" ht="15" hidden="1" customHeight="1">
      <c r="A92" s="48" t="s">
        <v>596</v>
      </c>
      <c r="B92" s="280" t="str">
        <f>(IF((VLOOKUP(Table2[[#This Row],[SKU]],'All Skus'!$A:$AC,2,FALSE))="AMX",(VLOOKUP(Table2[[#This Row],[SKU]],'All Skus'!$A:$AC,3,FALSE)),""))</f>
        <v>Digital Media Switchers</v>
      </c>
      <c r="C92" s="280" t="str">
        <f>(IF((VLOOKUP(Table2[[#This Row],[SKU]],'All Skus'!$A:$AC,2,FALSE))="AMX",(VLOOKUP(Table2[[#This Row],[SKU]],'All Skus'!$A:$AC,4,FALSE)),""))</f>
        <v>DGX-O-DXF-MMD</v>
      </c>
      <c r="D92" s="47" t="str">
        <f>(IF((VLOOKUP(Table2[[#This Row],[SKU]],'All Skus'!$A:$AC,2,FALSE))="AMX",(VLOOKUP(Table2[[#This Row],[SKU]],'All Skus'!$A:$AC,5,FALSE)),""))</f>
        <v>AMX-ENV</v>
      </c>
      <c r="E92" s="281" t="str">
        <f>(IF((VLOOKUP(Table2[[#This Row],[SKU]],'All Skus'!$A:$AC,2,FALSE))="AMX",(VLOOKUP(Table2[[#This Row],[SKU]],'All Skus'!$A:$AC,7,FALSE)),""))</f>
        <v>Limited Quantity</v>
      </c>
      <c r="F92" s="280" t="str">
        <f>(IF((VLOOKUP(Table2[[#This Row],[SKU]],'All Skus'!$A:$AC,2,FALSE))="AMX",(VLOOKUP(Table2[[#This Row],[SKU]],'All Skus'!$A:$AC,8,FALSE)),""))</f>
        <v>Enova DGX DXLink Multimode Fiber Output Board, Duplex</v>
      </c>
      <c r="G92" s="280" t="str">
        <f>(IF((VLOOKUP(Table2[[#This Row],[SKU]],'All Skus'!$A:$AC,2,FALSE))="AMX",(VLOOKUP(Table2[[#This Row],[SKU]],'All Skus'!$A:$AC,9,FALSE)),""))</f>
        <v>4 connection DXLink Fiber Enova DGX Output Board (multimode/duplex) includes HDCP compliance, compatible with Enova DGX 8, 16, 32 and 64 Enclosures</v>
      </c>
      <c r="H92" s="157">
        <f>(IF((VLOOKUP(Table2[[#This Row],[SKU]],'All Skus'!$A:$AC,2,FALSE))="AMX",(VLOOKUP(Table2[[#This Row],[SKU]],'All Skus'!$A:$AC,10,FALSE)),""))</f>
        <v>3601.4</v>
      </c>
      <c r="I92" s="157">
        <f>(IF((VLOOKUP(Table2[[#This Row],[SKU]],'All Skus'!$A:$AC,2,FALSE))="AMX",(VLOOKUP(Table2[[#This Row],[SKU]],'All Skus'!$A:$AC,11,FALSE)),""))</f>
        <v>3601.4</v>
      </c>
      <c r="J92" s="47">
        <f>(IF((VLOOKUP(Table2[[#This Row],[SKU]],'All Skus'!$A:$AC,2,FALSE))="AMX",(VLOOKUP(Table2[[#This Row],[SKU]],'All Skus'!$A:$AC,15,FALSE)),""))</f>
        <v>0</v>
      </c>
      <c r="K92" s="47">
        <f>(IF((VLOOKUP(Table2[[#This Row],[SKU]],'All Skus'!$A:$AC,2,FALSE))="AMX",(VLOOKUP(Table2[[#This Row],[SKU]],'All Skus'!$A:$AC,16,FALSE)),""))</f>
        <v>718878022498</v>
      </c>
      <c r="L92" s="47">
        <f>(IF((VLOOKUP(Table2[[#This Row],[SKU]],'All Skus'!$A:$AC,2,FALSE))="AMX",(VLOOKUP(Table2[[#This Row],[SKU]],'All Skus'!$A:$AC,17,FALSE)),""))</f>
        <v>0</v>
      </c>
      <c r="M92" s="63">
        <f>(IF((VLOOKUP(Table2[[#This Row],[SKU]],'All Skus'!$A:$AC,2,FALSE))="AMX",(VLOOKUP(Table2[[#This Row],[SKU]],'All Skus'!$A:$AC,18,FALSE)),""))</f>
        <v>0</v>
      </c>
      <c r="N92" s="47">
        <f>(IF((VLOOKUP(Table2[[#This Row],[SKU]],'All Skus'!$A:$AC,2,FALSE))="AMX",(VLOOKUP(Table2[[#This Row],[SKU]],'All Skus'!$A:$AC,19,FALSE)),""))</f>
        <v>0</v>
      </c>
      <c r="O92" s="47">
        <f>(IF((VLOOKUP(Table2[[#This Row],[SKU]],'All Skus'!$A:$AC,2,FALSE))="AMX",(VLOOKUP(Table2[[#This Row],[SKU]],'All Skus'!$A:$AC,20,FALSE)),""))</f>
        <v>0</v>
      </c>
      <c r="P92" s="47">
        <f>(IF((VLOOKUP(Table2[[#This Row],[SKU]],'All Skus'!$A:$AC,2,FALSE))="AMX",(VLOOKUP(Table2[[#This Row],[SKU]],'All Skus'!$A:$AC,21,FALSE)),""))</f>
        <v>0</v>
      </c>
      <c r="Q92" s="47" t="str">
        <f>(IF((VLOOKUP(Table2[[#This Row],[SKU]],'All Skus'!$A:$AC,2,FALSE))="AMX",(VLOOKUP(Table2[[#This Row],[SKU]],'All Skus'!$A:$AC,22,FALSE)),""))</f>
        <v>MX</v>
      </c>
      <c r="R92" s="47" t="str">
        <f>(IF((VLOOKUP(Table2[[#This Row],[SKU]],'All Skus'!$A:$AC,2,FALSE))="AMX",(VLOOKUP(Table2[[#This Row],[SKU]],'All Skus'!$A:$AC,23,FALSE)),""))</f>
        <v>Compliant</v>
      </c>
      <c r="S92" s="210" t="str">
        <f>HYPERLINK((IF((VLOOKUP(Table2[[#This Row],[SKU]],'All Skus'!$A:$AC,2,FALSE))="AMX",(VLOOKUP(Table2[[#This Row],[SKU]],'All Skus'!$A:$AC,24,FALSE)),"")))</f>
        <v>https://www.amx.com/en-US/products/dgx-o-dxf-mmd</v>
      </c>
      <c r="T92" s="151">
        <v>90</v>
      </c>
    </row>
    <row r="93" spans="1:20" ht="15" hidden="1" customHeight="1">
      <c r="A93" s="48" t="s">
        <v>597</v>
      </c>
      <c r="B93" s="280" t="str">
        <f>(IF((VLOOKUP(Table2[[#This Row],[SKU]],'All Skus'!$A:$AC,2,FALSE))="AMX",(VLOOKUP(Table2[[#This Row],[SKU]],'All Skus'!$A:$AC,3,FALSE)),""))</f>
        <v>Digital Media Switchers</v>
      </c>
      <c r="C93" s="280" t="str">
        <f>(IF((VLOOKUP(Table2[[#This Row],[SKU]],'All Skus'!$A:$AC,2,FALSE))="AMX",(VLOOKUP(Table2[[#This Row],[SKU]],'All Skus'!$A:$AC,4,FALSE)),""))</f>
        <v>DGX-AIE</v>
      </c>
      <c r="D93" s="47" t="str">
        <f>(IF((VLOOKUP(Table2[[#This Row],[SKU]],'All Skus'!$A:$AC,2,FALSE))="AMX",(VLOOKUP(Table2[[#This Row],[SKU]],'All Skus'!$A:$AC,5,FALSE)),""))</f>
        <v>AMX-ENV</v>
      </c>
      <c r="E93" s="281">
        <f>(IF((VLOOKUP(Table2[[#This Row],[SKU]],'All Skus'!$A:$AC,2,FALSE))="AMX",(VLOOKUP(Table2[[#This Row],[SKU]],'All Skus'!$A:$AC,7,FALSE)),""))</f>
        <v>0</v>
      </c>
      <c r="F93" s="280" t="str">
        <f>(IF((VLOOKUP(Table2[[#This Row],[SKU]],'All Skus'!$A:$AC,2,FALSE))="AMX",(VLOOKUP(Table2[[#This Row],[SKU]],'All Skus'!$A:$AC,8,FALSE)),""))</f>
        <v>Enova DGX Audio Insert / Extract Board</v>
      </c>
      <c r="G93" s="280" t="str">
        <f>(IF((VLOOKUP(Table2[[#This Row],[SKU]],'All Skus'!$A:$AC,2,FALSE))="AMX",(VLOOKUP(Table2[[#This Row],[SKU]],'All Skus'!$A:$AC,9,FALSE)),""))</f>
        <v>Enova DGX Audio Insert / Extract Expansion Board allows audio insertion or extraction on 16 video connections, compatible with Enova DGX 8, 16, 32 and 64 Enclosures</v>
      </c>
      <c r="H93" s="157">
        <f>(IF((VLOOKUP(Table2[[#This Row],[SKU]],'All Skus'!$A:$AC,2,FALSE))="AMX",(VLOOKUP(Table2[[#This Row],[SKU]],'All Skus'!$A:$AC,10,FALSE)),""))</f>
        <v>1860.7</v>
      </c>
      <c r="I93" s="157">
        <f>(IF((VLOOKUP(Table2[[#This Row],[SKU]],'All Skus'!$A:$AC,2,FALSE))="AMX",(VLOOKUP(Table2[[#This Row],[SKU]],'All Skus'!$A:$AC,11,FALSE)),""))</f>
        <v>1860.7</v>
      </c>
      <c r="J93" s="47">
        <f>(IF((VLOOKUP(Table2[[#This Row],[SKU]],'All Skus'!$A:$AC,2,FALSE))="AMX",(VLOOKUP(Table2[[#This Row],[SKU]],'All Skus'!$A:$AC,15,FALSE)),""))</f>
        <v>0</v>
      </c>
      <c r="K93" s="47">
        <f>(IF((VLOOKUP(Table2[[#This Row],[SKU]],'All Skus'!$A:$AC,2,FALSE))="AMX",(VLOOKUP(Table2[[#This Row],[SKU]],'All Skus'!$A:$AC,16,FALSE)),""))</f>
        <v>718878022535</v>
      </c>
      <c r="L93" s="47">
        <f>(IF((VLOOKUP(Table2[[#This Row],[SKU]],'All Skus'!$A:$AC,2,FALSE))="AMX",(VLOOKUP(Table2[[#This Row],[SKU]],'All Skus'!$A:$AC,17,FALSE)),""))</f>
        <v>0</v>
      </c>
      <c r="M93" s="63">
        <f>(IF((VLOOKUP(Table2[[#This Row],[SKU]],'All Skus'!$A:$AC,2,FALSE))="AMX",(VLOOKUP(Table2[[#This Row],[SKU]],'All Skus'!$A:$AC,18,FALSE)),""))</f>
        <v>0</v>
      </c>
      <c r="N93" s="47">
        <f>(IF((VLOOKUP(Table2[[#This Row],[SKU]],'All Skus'!$A:$AC,2,FALSE))="AMX",(VLOOKUP(Table2[[#This Row],[SKU]],'All Skus'!$A:$AC,19,FALSE)),""))</f>
        <v>0</v>
      </c>
      <c r="O93" s="47">
        <f>(IF((VLOOKUP(Table2[[#This Row],[SKU]],'All Skus'!$A:$AC,2,FALSE))="AMX",(VLOOKUP(Table2[[#This Row],[SKU]],'All Skus'!$A:$AC,20,FALSE)),""))</f>
        <v>0</v>
      </c>
      <c r="P93" s="47">
        <f>(IF((VLOOKUP(Table2[[#This Row],[SKU]],'All Skus'!$A:$AC,2,FALSE))="AMX",(VLOOKUP(Table2[[#This Row],[SKU]],'All Skus'!$A:$AC,21,FALSE)),""))</f>
        <v>0</v>
      </c>
      <c r="Q93" s="47" t="str">
        <f>(IF((VLOOKUP(Table2[[#This Row],[SKU]],'All Skus'!$A:$AC,2,FALSE))="AMX",(VLOOKUP(Table2[[#This Row],[SKU]],'All Skus'!$A:$AC,22,FALSE)),""))</f>
        <v>MX</v>
      </c>
      <c r="R93" s="47" t="str">
        <f>(IF((VLOOKUP(Table2[[#This Row],[SKU]],'All Skus'!$A:$AC,2,FALSE))="AMX",(VLOOKUP(Table2[[#This Row],[SKU]],'All Skus'!$A:$AC,23,FALSE)),""))</f>
        <v>Compliant</v>
      </c>
      <c r="S93" s="210" t="str">
        <f>HYPERLINK((IF((VLOOKUP(Table2[[#This Row],[SKU]],'All Skus'!$A:$AC,2,FALSE))="AMX",(VLOOKUP(Table2[[#This Row],[SKU]],'All Skus'!$A:$AC,24,FALSE)),"")))</f>
        <v>https://www.amx.com/en-US/products/dgx-aie</v>
      </c>
      <c r="T93" s="151">
        <v>91</v>
      </c>
    </row>
    <row r="94" spans="1:20" ht="15" hidden="1" customHeight="1">
      <c r="A94" s="48" t="s">
        <v>598</v>
      </c>
      <c r="B94" s="280" t="str">
        <f>(IF((VLOOKUP(Table2[[#This Row],[SKU]],'All Skus'!$A:$AC,2,FALSE))="AMX",(VLOOKUP(Table2[[#This Row],[SKU]],'All Skus'!$A:$AC,3,FALSE)),""))</f>
        <v>Digital Media Switchers</v>
      </c>
      <c r="C94" s="280" t="str">
        <f>(IF((VLOOKUP(Table2[[#This Row],[SKU]],'All Skus'!$A:$AC,2,FALSE))="AMX",(VLOOKUP(Table2[[#This Row],[SKU]],'All Skus'!$A:$AC,4,FALSE)),""))</f>
        <v>ENOVADGX-P2-PS</v>
      </c>
      <c r="D94" s="47" t="str">
        <f>(IF((VLOOKUP(Table2[[#This Row],[SKU]],'All Skus'!$A:$AC,2,FALSE))="AMX",(VLOOKUP(Table2[[#This Row],[SKU]],'All Skus'!$A:$AC,5,FALSE)),""))</f>
        <v>AMX-ENV</v>
      </c>
      <c r="E94" s="281">
        <f>(IF((VLOOKUP(Table2[[#This Row],[SKU]],'All Skus'!$A:$AC,2,FALSE))="AMX",(VLOOKUP(Table2[[#This Row],[SKU]],'All Skus'!$A:$AC,7,FALSE)),""))</f>
        <v>0</v>
      </c>
      <c r="F94" s="280" t="str">
        <f>(IF((VLOOKUP(Table2[[#This Row],[SKU]],'All Skus'!$A:$AC,2,FALSE))="AMX",(VLOOKUP(Table2[[#This Row],[SKU]],'All Skus'!$A:$AC,8,FALSE)),""))</f>
        <v>Enova 1200 W Power supply replacement/spare</v>
      </c>
      <c r="G94" s="280" t="str">
        <f>(IF((VLOOKUP(Table2[[#This Row],[SKU]],'All Skus'!$A:$AC,2,FALSE))="AMX",(VLOOKUP(Table2[[#This Row],[SKU]],'All Skus'!$A:$AC,9,FALSE)),""))</f>
        <v>1200 W Power supply replacement/spare for AVS-ENOVADGX32-ENC-A (FG1059-33) and DGX32-ENC-A (FG1060-32).  Please contact technical support before ordering</v>
      </c>
      <c r="H94" s="157">
        <f>(IF((VLOOKUP(Table2[[#This Row],[SKU]],'All Skus'!$A:$AC,2,FALSE))="AMX",(VLOOKUP(Table2[[#This Row],[SKU]],'All Skus'!$A:$AC,10,FALSE)),""))</f>
        <v>2252.3000000000002</v>
      </c>
      <c r="I94" s="157">
        <f>(IF((VLOOKUP(Table2[[#This Row],[SKU]],'All Skus'!$A:$AC,2,FALSE))="AMX",(VLOOKUP(Table2[[#This Row],[SKU]],'All Skus'!$A:$AC,11,FALSE)),""))</f>
        <v>2252.3000000000002</v>
      </c>
      <c r="J94" s="47">
        <f>(IF((VLOOKUP(Table2[[#This Row],[SKU]],'All Skus'!$A:$AC,2,FALSE))="AMX",(VLOOKUP(Table2[[#This Row],[SKU]],'All Skus'!$A:$AC,15,FALSE)),""))</f>
        <v>0</v>
      </c>
      <c r="K94" s="47">
        <f>(IF((VLOOKUP(Table2[[#This Row],[SKU]],'All Skus'!$A:$AC,2,FALSE))="AMX",(VLOOKUP(Table2[[#This Row],[SKU]],'All Skus'!$A:$AC,16,FALSE)),""))</f>
        <v>718878022559</v>
      </c>
      <c r="L94" s="47">
        <f>(IF((VLOOKUP(Table2[[#This Row],[SKU]],'All Skus'!$A:$AC,2,FALSE))="AMX",(VLOOKUP(Table2[[#This Row],[SKU]],'All Skus'!$A:$AC,17,FALSE)),""))</f>
        <v>0</v>
      </c>
      <c r="M94" s="63">
        <f>(IF((VLOOKUP(Table2[[#This Row],[SKU]],'All Skus'!$A:$AC,2,FALSE))="AMX",(VLOOKUP(Table2[[#This Row],[SKU]],'All Skus'!$A:$AC,18,FALSE)),""))</f>
        <v>0</v>
      </c>
      <c r="N94" s="47">
        <f>(IF((VLOOKUP(Table2[[#This Row],[SKU]],'All Skus'!$A:$AC,2,FALSE))="AMX",(VLOOKUP(Table2[[#This Row],[SKU]],'All Skus'!$A:$AC,19,FALSE)),""))</f>
        <v>0</v>
      </c>
      <c r="O94" s="47">
        <f>(IF((VLOOKUP(Table2[[#This Row],[SKU]],'All Skus'!$A:$AC,2,FALSE))="AMX",(VLOOKUP(Table2[[#This Row],[SKU]],'All Skus'!$A:$AC,20,FALSE)),""))</f>
        <v>0</v>
      </c>
      <c r="P94" s="47">
        <f>(IF((VLOOKUP(Table2[[#This Row],[SKU]],'All Skus'!$A:$AC,2,FALSE))="AMX",(VLOOKUP(Table2[[#This Row],[SKU]],'All Skus'!$A:$AC,21,FALSE)),""))</f>
        <v>0</v>
      </c>
      <c r="Q94" s="47" t="str">
        <f>(IF((VLOOKUP(Table2[[#This Row],[SKU]],'All Skus'!$A:$AC,2,FALSE))="AMX",(VLOOKUP(Table2[[#This Row],[SKU]],'All Skus'!$A:$AC,22,FALSE)),""))</f>
        <v>MX</v>
      </c>
      <c r="R94" s="47" t="str">
        <f>(IF((VLOOKUP(Table2[[#This Row],[SKU]],'All Skus'!$A:$AC,2,FALSE))="AMX",(VLOOKUP(Table2[[#This Row],[SKU]],'All Skus'!$A:$AC,23,FALSE)),""))</f>
        <v>Compliant</v>
      </c>
      <c r="S94" s="210" t="str">
        <f>HYPERLINK((IF((VLOOKUP(Table2[[#This Row],[SKU]],'All Skus'!$A:$AC,2,FALSE))="AMX",(VLOOKUP(Table2[[#This Row],[SKU]],'All Skus'!$A:$AC,24,FALSE)),"")))</f>
        <v>0</v>
      </c>
      <c r="T94" s="151">
        <v>92</v>
      </c>
    </row>
    <row r="95" spans="1:20" ht="15" hidden="1" customHeight="1">
      <c r="A95" s="48" t="s">
        <v>599</v>
      </c>
      <c r="B95" s="280" t="str">
        <f>(IF((VLOOKUP(Table2[[#This Row],[SKU]],'All Skus'!$A:$AC,2,FALSE))="AMX",(VLOOKUP(Table2[[#This Row],[SKU]],'All Skus'!$A:$AC,3,FALSE)),""))</f>
        <v>Digital Media Switchers</v>
      </c>
      <c r="C95" s="280" t="str">
        <f>(IF((VLOOKUP(Table2[[#This Row],[SKU]],'All Skus'!$A:$AC,2,FALSE))="AMX",(VLOOKUP(Table2[[#This Row],[SKU]],'All Skus'!$A:$AC,4,FALSE)),""))</f>
        <v>DGX800-ENC</v>
      </c>
      <c r="D95" s="47" t="str">
        <f>(IF((VLOOKUP(Table2[[#This Row],[SKU]],'All Skus'!$A:$AC,2,FALSE))="AMX",(VLOOKUP(Table2[[#This Row],[SKU]],'All Skus'!$A:$AC,5,FALSE)),""))</f>
        <v>AMX-ENV</v>
      </c>
      <c r="E95" s="281">
        <f>(IF((VLOOKUP(Table2[[#This Row],[SKU]],'All Skus'!$A:$AC,2,FALSE))="AMX",(VLOOKUP(Table2[[#This Row],[SKU]],'All Skus'!$A:$AC,7,FALSE)),""))</f>
        <v>0</v>
      </c>
      <c r="F95" s="280" t="str">
        <f>(IF((VLOOKUP(Table2[[#This Row],[SKU]],'All Skus'!$A:$AC,2,FALSE))="AMX",(VLOOKUP(Table2[[#This Row],[SKU]],'All Skus'!$A:$AC,8,FALSE)),""))</f>
        <v>Enova DGX 800 Enclosure</v>
      </c>
      <c r="G95" s="280" t="str">
        <f>(IF((VLOOKUP(Table2[[#This Row],[SKU]],'All Skus'!$A:$AC,2,FALSE))="AMX",(VLOOKUP(Table2[[#This Row],[SKU]],'All Skus'!$A:$AC,9,FALSE)),""))</f>
        <v>Enova DGX 800 Digital Media Enclosure with Integrated NX Series Controller, 4 RU, 4K and Ultra High Definition (UHD) content ready, compatible with Enova DGX Boards for a maximum configuration of 8x8 (non standard discount)</v>
      </c>
      <c r="H95" s="157">
        <f>(IF((VLOOKUP(Table2[[#This Row],[SKU]],'All Skus'!$A:$AC,2,FALSE))="AMX",(VLOOKUP(Table2[[#This Row],[SKU]],'All Skus'!$A:$AC,10,FALSE)),""))</f>
        <v>14965</v>
      </c>
      <c r="I95" s="157">
        <f>(IF((VLOOKUP(Table2[[#This Row],[SKU]],'All Skus'!$A:$AC,2,FALSE))="AMX",(VLOOKUP(Table2[[#This Row],[SKU]],'All Skus'!$A:$AC,11,FALSE)),""))</f>
        <v>14965</v>
      </c>
      <c r="J95" s="47">
        <f>(IF((VLOOKUP(Table2[[#This Row],[SKU]],'All Skus'!$A:$AC,2,FALSE))="AMX",(VLOOKUP(Table2[[#This Row],[SKU]],'All Skus'!$A:$AC,15,FALSE)),""))</f>
        <v>0</v>
      </c>
      <c r="K95" s="47">
        <f>(IF((VLOOKUP(Table2[[#This Row],[SKU]],'All Skus'!$A:$AC,2,FALSE))="AMX",(VLOOKUP(Table2[[#This Row],[SKU]],'All Skus'!$A:$AC,16,FALSE)),""))</f>
        <v>718878022580</v>
      </c>
      <c r="L95" s="47">
        <f>(IF((VLOOKUP(Table2[[#This Row],[SKU]],'All Skus'!$A:$AC,2,FALSE))="AMX",(VLOOKUP(Table2[[#This Row],[SKU]],'All Skus'!$A:$AC,17,FALSE)),""))</f>
        <v>0</v>
      </c>
      <c r="M95" s="63">
        <f>(IF((VLOOKUP(Table2[[#This Row],[SKU]],'All Skus'!$A:$AC,2,FALSE))="AMX",(VLOOKUP(Table2[[#This Row],[SKU]],'All Skus'!$A:$AC,18,FALSE)),""))</f>
        <v>35</v>
      </c>
      <c r="N95" s="47">
        <f>(IF((VLOOKUP(Table2[[#This Row],[SKU]],'All Skus'!$A:$AC,2,FALSE))="AMX",(VLOOKUP(Table2[[#This Row],[SKU]],'All Skus'!$A:$AC,19,FALSE)),""))</f>
        <v>19</v>
      </c>
      <c r="O95" s="47">
        <f>(IF((VLOOKUP(Table2[[#This Row],[SKU]],'All Skus'!$A:$AC,2,FALSE))="AMX",(VLOOKUP(Table2[[#This Row],[SKU]],'All Skus'!$A:$AC,20,FALSE)),""))</f>
        <v>16</v>
      </c>
      <c r="P95" s="47">
        <f>(IF((VLOOKUP(Table2[[#This Row],[SKU]],'All Skus'!$A:$AC,2,FALSE))="AMX",(VLOOKUP(Table2[[#This Row],[SKU]],'All Skus'!$A:$AC,21,FALSE)),""))</f>
        <v>1.8125</v>
      </c>
      <c r="Q95" s="47" t="str">
        <f>(IF((VLOOKUP(Table2[[#This Row],[SKU]],'All Skus'!$A:$AC,2,FALSE))="AMX",(VLOOKUP(Table2[[#This Row],[SKU]],'All Skus'!$A:$AC,22,FALSE)),""))</f>
        <v>MX</v>
      </c>
      <c r="R95" s="47" t="str">
        <f>(IF((VLOOKUP(Table2[[#This Row],[SKU]],'All Skus'!$A:$AC,2,FALSE))="AMX",(VLOOKUP(Table2[[#This Row],[SKU]],'All Skus'!$A:$AC,23,FALSE)),""))</f>
        <v>Compliant</v>
      </c>
      <c r="S95" s="210" t="str">
        <f>HYPERLINK((IF((VLOOKUP(Table2[[#This Row],[SKU]],'All Skus'!$A:$AC,2,FALSE))="AMX",(VLOOKUP(Table2[[#This Row],[SKU]],'All Skus'!$A:$AC,24,FALSE)),"")))</f>
        <v>https://www.amx.com/en-US/products/dgx800-enc</v>
      </c>
      <c r="T95" s="151">
        <v>93</v>
      </c>
    </row>
    <row r="96" spans="1:20" ht="15" hidden="1" customHeight="1">
      <c r="A96" s="48" t="s">
        <v>600</v>
      </c>
      <c r="B96" s="280" t="str">
        <f>(IF((VLOOKUP(Table2[[#This Row],[SKU]],'All Skus'!$A:$AC,2,FALSE))="AMX",(VLOOKUP(Table2[[#This Row],[SKU]],'All Skus'!$A:$AC,3,FALSE)),""))</f>
        <v>Digital Media Switchers</v>
      </c>
      <c r="C96" s="280" t="str">
        <f>(IF((VLOOKUP(Table2[[#This Row],[SKU]],'All Skus'!$A:$AC,2,FALSE))="AMX",(VLOOKUP(Table2[[#This Row],[SKU]],'All Skus'!$A:$AC,4,FALSE)),""))</f>
        <v>DGX8/16/3200-CPU</v>
      </c>
      <c r="D96" s="47" t="str">
        <f>(IF((VLOOKUP(Table2[[#This Row],[SKU]],'All Skus'!$A:$AC,2,FALSE))="AMX",(VLOOKUP(Table2[[#This Row],[SKU]],'All Skus'!$A:$AC,5,FALSE)),""))</f>
        <v>AMX-ENV</v>
      </c>
      <c r="E96" s="281">
        <f>(IF((VLOOKUP(Table2[[#This Row],[SKU]],'All Skus'!$A:$AC,2,FALSE))="AMX",(VLOOKUP(Table2[[#This Row],[SKU]],'All Skus'!$A:$AC,7,FALSE)),""))</f>
        <v>0</v>
      </c>
      <c r="F96" s="280" t="str">
        <f>(IF((VLOOKUP(Table2[[#This Row],[SKU]],'All Skus'!$A:$AC,2,FALSE))="AMX",(VLOOKUP(Table2[[#This Row],[SKU]],'All Skus'!$A:$AC,8,FALSE)),""))</f>
        <v>Enova DGX 800 / 1600 / 3200 Enclosures CPU Replacement Kit</v>
      </c>
      <c r="G96" s="280" t="str">
        <f>(IF((VLOOKUP(Table2[[#This Row],[SKU]],'All Skus'!$A:$AC,2,FALSE))="AMX",(VLOOKUP(Table2[[#This Row],[SKU]],'All Skus'!$A:$AC,9,FALSE)),""))</f>
        <v>Enova DGX 800 / 1600 / 3200 Enclosures CPU Replacement Kit</v>
      </c>
      <c r="H96" s="157">
        <f>(IF((VLOOKUP(Table2[[#This Row],[SKU]],'All Skus'!$A:$AC,2,FALSE))="AMX",(VLOOKUP(Table2[[#This Row],[SKU]],'All Skus'!$A:$AC,10,FALSE)),""))</f>
        <v>4296</v>
      </c>
      <c r="I96" s="157">
        <f>(IF((VLOOKUP(Table2[[#This Row],[SKU]],'All Skus'!$A:$AC,2,FALSE))="AMX",(VLOOKUP(Table2[[#This Row],[SKU]],'All Skus'!$A:$AC,11,FALSE)),""))</f>
        <v>4296</v>
      </c>
      <c r="J96" s="47">
        <f>(IF((VLOOKUP(Table2[[#This Row],[SKU]],'All Skus'!$A:$AC,2,FALSE))="AMX",(VLOOKUP(Table2[[#This Row],[SKU]],'All Skus'!$A:$AC,15,FALSE)),""))</f>
        <v>0</v>
      </c>
      <c r="K96" s="47">
        <f>(IF((VLOOKUP(Table2[[#This Row],[SKU]],'All Skus'!$A:$AC,2,FALSE))="AMX",(VLOOKUP(Table2[[#This Row],[SKU]],'All Skus'!$A:$AC,16,FALSE)),""))</f>
        <v>718878022597</v>
      </c>
      <c r="L96" s="47">
        <f>(IF((VLOOKUP(Table2[[#This Row],[SKU]],'All Skus'!$A:$AC,2,FALSE))="AMX",(VLOOKUP(Table2[[#This Row],[SKU]],'All Skus'!$A:$AC,17,FALSE)),""))</f>
        <v>0</v>
      </c>
      <c r="M96" s="63">
        <f>(IF((VLOOKUP(Table2[[#This Row],[SKU]],'All Skus'!$A:$AC,2,FALSE))="AMX",(VLOOKUP(Table2[[#This Row],[SKU]],'All Skus'!$A:$AC,18,FALSE)),""))</f>
        <v>3</v>
      </c>
      <c r="N96" s="47">
        <f>(IF((VLOOKUP(Table2[[#This Row],[SKU]],'All Skus'!$A:$AC,2,FALSE))="AMX",(VLOOKUP(Table2[[#This Row],[SKU]],'All Skus'!$A:$AC,19,FALSE)),""))</f>
        <v>16</v>
      </c>
      <c r="O96" s="47">
        <f>(IF((VLOOKUP(Table2[[#This Row],[SKU]],'All Skus'!$A:$AC,2,FALSE))="AMX",(VLOOKUP(Table2[[#This Row],[SKU]],'All Skus'!$A:$AC,20,FALSE)),""))</f>
        <v>11</v>
      </c>
      <c r="P96" s="47">
        <f>(IF((VLOOKUP(Table2[[#This Row],[SKU]],'All Skus'!$A:$AC,2,FALSE))="AMX",(VLOOKUP(Table2[[#This Row],[SKU]],'All Skus'!$A:$AC,21,FALSE)),""))</f>
        <v>3</v>
      </c>
      <c r="Q96" s="47" t="str">
        <f>(IF((VLOOKUP(Table2[[#This Row],[SKU]],'All Skus'!$A:$AC,2,FALSE))="AMX",(VLOOKUP(Table2[[#This Row],[SKU]],'All Skus'!$A:$AC,22,FALSE)),""))</f>
        <v>MX</v>
      </c>
      <c r="R96" s="47" t="str">
        <f>(IF((VLOOKUP(Table2[[#This Row],[SKU]],'All Skus'!$A:$AC,2,FALSE))="AMX",(VLOOKUP(Table2[[#This Row],[SKU]],'All Skus'!$A:$AC,23,FALSE)),""))</f>
        <v>Compliant</v>
      </c>
      <c r="S96" s="210" t="str">
        <f>HYPERLINK((IF((VLOOKUP(Table2[[#This Row],[SKU]],'All Skus'!$A:$AC,2,FALSE))="AMX",(VLOOKUP(Table2[[#This Row],[SKU]],'All Skus'!$A:$AC,24,FALSE)),"")))</f>
        <v>https://www.amx.com/en-US/products/dgx800-1600-3200-cpu</v>
      </c>
      <c r="T96" s="151">
        <v>94</v>
      </c>
    </row>
    <row r="97" spans="1:20" ht="15" hidden="1" customHeight="1">
      <c r="A97" s="48" t="s">
        <v>601</v>
      </c>
      <c r="B97" s="280" t="str">
        <f>(IF((VLOOKUP(Table2[[#This Row],[SKU]],'All Skus'!$A:$AC,2,FALSE))="AMX",(VLOOKUP(Table2[[#This Row],[SKU]],'All Skus'!$A:$AC,3,FALSE)),""))</f>
        <v>Digital Media Switchers</v>
      </c>
      <c r="C97" s="280" t="str">
        <f>(IF((VLOOKUP(Table2[[#This Row],[SKU]],'All Skus'!$A:$AC,2,FALSE))="AMX",(VLOOKUP(Table2[[#This Row],[SKU]],'All Skus'!$A:$AC,4,FALSE)),""))</f>
        <v>DGX6400-CPU</v>
      </c>
      <c r="D97" s="47" t="str">
        <f>(IF((VLOOKUP(Table2[[#This Row],[SKU]],'All Skus'!$A:$AC,2,FALSE))="AMX",(VLOOKUP(Table2[[#This Row],[SKU]],'All Skus'!$A:$AC,5,FALSE)),""))</f>
        <v>AMX-ENV</v>
      </c>
      <c r="E97" s="281">
        <f>(IF((VLOOKUP(Table2[[#This Row],[SKU]],'All Skus'!$A:$AC,2,FALSE))="AMX",(VLOOKUP(Table2[[#This Row],[SKU]],'All Skus'!$A:$AC,7,FALSE)),""))</f>
        <v>0</v>
      </c>
      <c r="F97" s="280" t="str">
        <f>(IF((VLOOKUP(Table2[[#This Row],[SKU]],'All Skus'!$A:$AC,2,FALSE))="AMX",(VLOOKUP(Table2[[#This Row],[SKU]],'All Skus'!$A:$AC,8,FALSE)),""))</f>
        <v>Enova DGX 6400 Enclosure CPU Replacement Kit</v>
      </c>
      <c r="G97" s="280" t="str">
        <f>(IF((VLOOKUP(Table2[[#This Row],[SKU]],'All Skus'!$A:$AC,2,FALSE))="AMX",(VLOOKUP(Table2[[#This Row],[SKU]],'All Skus'!$A:$AC,9,FALSE)),""))</f>
        <v>Enova DGX 6400 Enclosure CPU Replacement Kit</v>
      </c>
      <c r="H97" s="157">
        <f>(IF((VLOOKUP(Table2[[#This Row],[SKU]],'All Skus'!$A:$AC,2,FALSE))="AMX",(VLOOKUP(Table2[[#This Row],[SKU]],'All Skus'!$A:$AC,10,FALSE)),""))</f>
        <v>6028</v>
      </c>
      <c r="I97" s="157">
        <f>(IF((VLOOKUP(Table2[[#This Row],[SKU]],'All Skus'!$A:$AC,2,FALSE))="AMX",(VLOOKUP(Table2[[#This Row],[SKU]],'All Skus'!$A:$AC,11,FALSE)),""))</f>
        <v>6028</v>
      </c>
      <c r="J97" s="47">
        <f>(IF((VLOOKUP(Table2[[#This Row],[SKU]],'All Skus'!$A:$AC,2,FALSE))="AMX",(VLOOKUP(Table2[[#This Row],[SKU]],'All Skus'!$A:$AC,15,FALSE)),""))</f>
        <v>0</v>
      </c>
      <c r="K97" s="47">
        <f>(IF((VLOOKUP(Table2[[#This Row],[SKU]],'All Skus'!$A:$AC,2,FALSE))="AMX",(VLOOKUP(Table2[[#This Row],[SKU]],'All Skus'!$A:$AC,16,FALSE)),""))</f>
        <v>718878023372</v>
      </c>
      <c r="L97" s="47">
        <f>(IF((VLOOKUP(Table2[[#This Row],[SKU]],'All Skus'!$A:$AC,2,FALSE))="AMX",(VLOOKUP(Table2[[#This Row],[SKU]],'All Skus'!$A:$AC,17,FALSE)),""))</f>
        <v>0</v>
      </c>
      <c r="M97" s="63">
        <f>(IF((VLOOKUP(Table2[[#This Row],[SKU]],'All Skus'!$A:$AC,2,FALSE))="AMX",(VLOOKUP(Table2[[#This Row],[SKU]],'All Skus'!$A:$AC,18,FALSE)),""))</f>
        <v>2</v>
      </c>
      <c r="N97" s="47">
        <f>(IF((VLOOKUP(Table2[[#This Row],[SKU]],'All Skus'!$A:$AC,2,FALSE))="AMX",(VLOOKUP(Table2[[#This Row],[SKU]],'All Skus'!$A:$AC,19,FALSE)),""))</f>
        <v>20</v>
      </c>
      <c r="O97" s="47">
        <f>(IF((VLOOKUP(Table2[[#This Row],[SKU]],'All Skus'!$A:$AC,2,FALSE))="AMX",(VLOOKUP(Table2[[#This Row],[SKU]],'All Skus'!$A:$AC,20,FALSE)),""))</f>
        <v>11</v>
      </c>
      <c r="P97" s="47">
        <f>(IF((VLOOKUP(Table2[[#This Row],[SKU]],'All Skus'!$A:$AC,2,FALSE))="AMX",(VLOOKUP(Table2[[#This Row],[SKU]],'All Skus'!$A:$AC,21,FALSE)),""))</f>
        <v>5</v>
      </c>
      <c r="Q97" s="47" t="str">
        <f>(IF((VLOOKUP(Table2[[#This Row],[SKU]],'All Skus'!$A:$AC,2,FALSE))="AMX",(VLOOKUP(Table2[[#This Row],[SKU]],'All Skus'!$A:$AC,22,FALSE)),""))</f>
        <v>US</v>
      </c>
      <c r="R97" s="47" t="str">
        <f>(IF((VLOOKUP(Table2[[#This Row],[SKU]],'All Skus'!$A:$AC,2,FALSE))="AMX",(VLOOKUP(Table2[[#This Row],[SKU]],'All Skus'!$A:$AC,23,FALSE)),""))</f>
        <v>Compliant</v>
      </c>
      <c r="S97" s="210" t="str">
        <f>HYPERLINK((IF((VLOOKUP(Table2[[#This Row],[SKU]],'All Skus'!$A:$AC,2,FALSE))="AMX",(VLOOKUP(Table2[[#This Row],[SKU]],'All Skus'!$A:$AC,24,FALSE)),"")))</f>
        <v>0</v>
      </c>
      <c r="T97" s="151">
        <v>95</v>
      </c>
    </row>
    <row r="98" spans="1:20" ht="15" hidden="1" customHeight="1">
      <c r="A98" s="48" t="s">
        <v>602</v>
      </c>
      <c r="B98" s="280" t="str">
        <f>(IF((VLOOKUP(Table2[[#This Row],[SKU]],'All Skus'!$A:$AC,2,FALSE))="AMX",(VLOOKUP(Table2[[#This Row],[SKU]],'All Skus'!$A:$AC,3,FALSE)),""))</f>
        <v>Digital Media Switchers</v>
      </c>
      <c r="C98" s="280" t="str">
        <f>(IF((VLOOKUP(Table2[[#This Row],[SKU]],'All Skus'!$A:$AC,2,FALSE))="AMX",(VLOOKUP(Table2[[#This Row],[SKU]],'All Skus'!$A:$AC,4,FALSE)),""))</f>
        <v>DGX1600-ENC</v>
      </c>
      <c r="D98" s="47" t="str">
        <f>(IF((VLOOKUP(Table2[[#This Row],[SKU]],'All Skus'!$A:$AC,2,FALSE))="AMX",(VLOOKUP(Table2[[#This Row],[SKU]],'All Skus'!$A:$AC,5,FALSE)),""))</f>
        <v>AMX-ENV</v>
      </c>
      <c r="E98" s="281">
        <f>(IF((VLOOKUP(Table2[[#This Row],[SKU]],'All Skus'!$A:$AC,2,FALSE))="AMX",(VLOOKUP(Table2[[#This Row],[SKU]],'All Skus'!$A:$AC,7,FALSE)),""))</f>
        <v>0</v>
      </c>
      <c r="F98" s="280" t="str">
        <f>(IF((VLOOKUP(Table2[[#This Row],[SKU]],'All Skus'!$A:$AC,2,FALSE))="AMX",(VLOOKUP(Table2[[#This Row],[SKU]],'All Skus'!$A:$AC,8,FALSE)),""))</f>
        <v>Enova DGX 1600 Enclosure</v>
      </c>
      <c r="G98" s="280" t="str">
        <f>(IF((VLOOKUP(Table2[[#This Row],[SKU]],'All Skus'!$A:$AC,2,FALSE))="AMX",(VLOOKUP(Table2[[#This Row],[SKU]],'All Skus'!$A:$AC,9,FALSE)),""))</f>
        <v>Enova DGX 1600 Digital Media Enclosure with Integrated NX Series Controller, 4 RU, 4K and Ultra High Definition (UHD) content ready, compatible with Enova DGX Boards for a maximum configuration of 16x16</v>
      </c>
      <c r="H98" s="157">
        <f>(IF((VLOOKUP(Table2[[#This Row],[SKU]],'All Skus'!$A:$AC,2,FALSE))="AMX",(VLOOKUP(Table2[[#This Row],[SKU]],'All Skus'!$A:$AC,10,FALSE)),""))</f>
        <v>16264</v>
      </c>
      <c r="I98" s="157">
        <f>(IF((VLOOKUP(Table2[[#This Row],[SKU]],'All Skus'!$A:$AC,2,FALSE))="AMX",(VLOOKUP(Table2[[#This Row],[SKU]],'All Skus'!$A:$AC,11,FALSE)),""))</f>
        <v>16264</v>
      </c>
      <c r="J98" s="47">
        <f>(IF((VLOOKUP(Table2[[#This Row],[SKU]],'All Skus'!$A:$AC,2,FALSE))="AMX",(VLOOKUP(Table2[[#This Row],[SKU]],'All Skus'!$A:$AC,15,FALSE)),""))</f>
        <v>0</v>
      </c>
      <c r="K98" s="47">
        <f>(IF((VLOOKUP(Table2[[#This Row],[SKU]],'All Skus'!$A:$AC,2,FALSE))="AMX",(VLOOKUP(Table2[[#This Row],[SKU]],'All Skus'!$A:$AC,16,FALSE)),""))</f>
        <v>718878022610</v>
      </c>
      <c r="L98" s="47">
        <f>(IF((VLOOKUP(Table2[[#This Row],[SKU]],'All Skus'!$A:$AC,2,FALSE))="AMX",(VLOOKUP(Table2[[#This Row],[SKU]],'All Skus'!$A:$AC,17,FALSE)),""))</f>
        <v>0</v>
      </c>
      <c r="M98" s="63">
        <f>(IF((VLOOKUP(Table2[[#This Row],[SKU]],'All Skus'!$A:$AC,2,FALSE))="AMX",(VLOOKUP(Table2[[#This Row],[SKU]],'All Skus'!$A:$AC,18,FALSE)),""))</f>
        <v>55</v>
      </c>
      <c r="N98" s="47">
        <f>(IF((VLOOKUP(Table2[[#This Row],[SKU]],'All Skus'!$A:$AC,2,FALSE))="AMX",(VLOOKUP(Table2[[#This Row],[SKU]],'All Skus'!$A:$AC,19,FALSE)),""))</f>
        <v>19</v>
      </c>
      <c r="O98" s="47">
        <f>(IF((VLOOKUP(Table2[[#This Row],[SKU]],'All Skus'!$A:$AC,2,FALSE))="AMX",(VLOOKUP(Table2[[#This Row],[SKU]],'All Skus'!$A:$AC,20,FALSE)),""))</f>
        <v>16</v>
      </c>
      <c r="P98" s="47">
        <f>(IF((VLOOKUP(Table2[[#This Row],[SKU]],'All Skus'!$A:$AC,2,FALSE))="AMX",(VLOOKUP(Table2[[#This Row],[SKU]],'All Skus'!$A:$AC,21,FALSE)),""))</f>
        <v>6.84</v>
      </c>
      <c r="Q98" s="47" t="str">
        <f>(IF((VLOOKUP(Table2[[#This Row],[SKU]],'All Skus'!$A:$AC,2,FALSE))="AMX",(VLOOKUP(Table2[[#This Row],[SKU]],'All Skus'!$A:$AC,22,FALSE)),""))</f>
        <v>MX</v>
      </c>
      <c r="R98" s="47" t="str">
        <f>(IF((VLOOKUP(Table2[[#This Row],[SKU]],'All Skus'!$A:$AC,2,FALSE))="AMX",(VLOOKUP(Table2[[#This Row],[SKU]],'All Skus'!$A:$AC,23,FALSE)),""))</f>
        <v>Compliant</v>
      </c>
      <c r="S98" s="210" t="str">
        <f>HYPERLINK((IF((VLOOKUP(Table2[[#This Row],[SKU]],'All Skus'!$A:$AC,2,FALSE))="AMX",(VLOOKUP(Table2[[#This Row],[SKU]],'All Skus'!$A:$AC,24,FALSE)),"")))</f>
        <v>https://www.amx.com/en-US/products/dgx1600-enc</v>
      </c>
      <c r="T98" s="151">
        <v>96</v>
      </c>
    </row>
    <row r="99" spans="1:20" ht="15" hidden="1" customHeight="1">
      <c r="A99" s="48" t="s">
        <v>603</v>
      </c>
      <c r="B99" s="280" t="str">
        <f>(IF((VLOOKUP(Table2[[#This Row],[SKU]],'All Skus'!$A:$AC,2,FALSE))="AMX",(VLOOKUP(Table2[[#This Row],[SKU]],'All Skus'!$A:$AC,3,FALSE)),""))</f>
        <v>Digital Media Switchers</v>
      </c>
      <c r="C99" s="280" t="str">
        <f>(IF((VLOOKUP(Table2[[#This Row],[SKU]],'All Skus'!$A:$AC,2,FALSE))="AMX",(VLOOKUP(Table2[[#This Row],[SKU]],'All Skus'!$A:$AC,4,FALSE)),""))</f>
        <v>DGX3200-ENC</v>
      </c>
      <c r="D99" s="47" t="str">
        <f>(IF((VLOOKUP(Table2[[#This Row],[SKU]],'All Skus'!$A:$AC,2,FALSE))="AMX",(VLOOKUP(Table2[[#This Row],[SKU]],'All Skus'!$A:$AC,5,FALSE)),""))</f>
        <v>AMX-ENV</v>
      </c>
      <c r="E99" s="281">
        <f>(IF((VLOOKUP(Table2[[#This Row],[SKU]],'All Skus'!$A:$AC,2,FALSE))="AMX",(VLOOKUP(Table2[[#This Row],[SKU]],'All Skus'!$A:$AC,7,FALSE)),""))</f>
        <v>0</v>
      </c>
      <c r="F99" s="280" t="str">
        <f>(IF((VLOOKUP(Table2[[#This Row],[SKU]],'All Skus'!$A:$AC,2,FALSE))="AMX",(VLOOKUP(Table2[[#This Row],[SKU]],'All Skus'!$A:$AC,8,FALSE)),""))</f>
        <v>Enova DGX 3200 Enclosure</v>
      </c>
      <c r="G99" s="280" t="str">
        <f>(IF((VLOOKUP(Table2[[#This Row],[SKU]],'All Skus'!$A:$AC,2,FALSE))="AMX",(VLOOKUP(Table2[[#This Row],[SKU]],'All Skus'!$A:$AC,9,FALSE)),""))</f>
        <v>Enova DGX 3200 Digital Media Enclosure with Integrated NX Series Controller, 6RU, 4K and Ultra High Definition (UHD) content ready, compatible with Enova DGX Boards for a maximum configuration of 32x32</v>
      </c>
      <c r="H99" s="157">
        <f>(IF((VLOOKUP(Table2[[#This Row],[SKU]],'All Skus'!$A:$AC,2,FALSE))="AMX",(VLOOKUP(Table2[[#This Row],[SKU]],'All Skus'!$A:$AC,10,FALSE)),""))</f>
        <v>29702</v>
      </c>
      <c r="I99" s="157">
        <f>(IF((VLOOKUP(Table2[[#This Row],[SKU]],'All Skus'!$A:$AC,2,FALSE))="AMX",(VLOOKUP(Table2[[#This Row],[SKU]],'All Skus'!$A:$AC,11,FALSE)),""))</f>
        <v>29702</v>
      </c>
      <c r="J99" s="47">
        <f>(IF((VLOOKUP(Table2[[#This Row],[SKU]],'All Skus'!$A:$AC,2,FALSE))="AMX",(VLOOKUP(Table2[[#This Row],[SKU]],'All Skus'!$A:$AC,15,FALSE)),""))</f>
        <v>0</v>
      </c>
      <c r="K99" s="47">
        <f>(IF((VLOOKUP(Table2[[#This Row],[SKU]],'All Skus'!$A:$AC,2,FALSE))="AMX",(VLOOKUP(Table2[[#This Row],[SKU]],'All Skus'!$A:$AC,16,FALSE)),""))</f>
        <v>718878022641</v>
      </c>
      <c r="L99" s="47">
        <f>(IF((VLOOKUP(Table2[[#This Row],[SKU]],'All Skus'!$A:$AC,2,FALSE))="AMX",(VLOOKUP(Table2[[#This Row],[SKU]],'All Skus'!$A:$AC,17,FALSE)),""))</f>
        <v>0</v>
      </c>
      <c r="M99" s="63">
        <f>(IF((VLOOKUP(Table2[[#This Row],[SKU]],'All Skus'!$A:$AC,2,FALSE))="AMX",(VLOOKUP(Table2[[#This Row],[SKU]],'All Skus'!$A:$AC,18,FALSE)),""))</f>
        <v>73</v>
      </c>
      <c r="N99" s="47">
        <f>(IF((VLOOKUP(Table2[[#This Row],[SKU]],'All Skus'!$A:$AC,2,FALSE))="AMX",(VLOOKUP(Table2[[#This Row],[SKU]],'All Skus'!$A:$AC,19,FALSE)),""))</f>
        <v>19</v>
      </c>
      <c r="O99" s="47">
        <f>(IF((VLOOKUP(Table2[[#This Row],[SKU]],'All Skus'!$A:$AC,2,FALSE))="AMX",(VLOOKUP(Table2[[#This Row],[SKU]],'All Skus'!$A:$AC,20,FALSE)),""))</f>
        <v>21</v>
      </c>
      <c r="P99" s="47">
        <f>(IF((VLOOKUP(Table2[[#This Row],[SKU]],'All Skus'!$A:$AC,2,FALSE))="AMX",(VLOOKUP(Table2[[#This Row],[SKU]],'All Skus'!$A:$AC,21,FALSE)),""))</f>
        <v>10.5</v>
      </c>
      <c r="Q99" s="47" t="str">
        <f>(IF((VLOOKUP(Table2[[#This Row],[SKU]],'All Skus'!$A:$AC,2,FALSE))="AMX",(VLOOKUP(Table2[[#This Row],[SKU]],'All Skus'!$A:$AC,22,FALSE)),""))</f>
        <v>MX</v>
      </c>
      <c r="R99" s="47" t="str">
        <f>(IF((VLOOKUP(Table2[[#This Row],[SKU]],'All Skus'!$A:$AC,2,FALSE))="AMX",(VLOOKUP(Table2[[#This Row],[SKU]],'All Skus'!$A:$AC,23,FALSE)),""))</f>
        <v>Compliant</v>
      </c>
      <c r="S99" s="210" t="str">
        <f>HYPERLINK((IF((VLOOKUP(Table2[[#This Row],[SKU]],'All Skus'!$A:$AC,2,FALSE))="AMX",(VLOOKUP(Table2[[#This Row],[SKU]],'All Skus'!$A:$AC,24,FALSE)),"")))</f>
        <v>https://www.amx.com/en-US/products/dgx3200-enc</v>
      </c>
      <c r="T99" s="151">
        <v>97</v>
      </c>
    </row>
    <row r="100" spans="1:20" ht="15" hidden="1" customHeight="1">
      <c r="A100" s="48" t="s">
        <v>604</v>
      </c>
      <c r="B100" s="280" t="str">
        <f>(IF((VLOOKUP(Table2[[#This Row],[SKU]],'All Skus'!$A:$AC,2,FALSE))="AMX",(VLOOKUP(Table2[[#This Row],[SKU]],'All Skus'!$A:$AC,3,FALSE)),""))</f>
        <v>Digital Media Switchers</v>
      </c>
      <c r="C100" s="280" t="str">
        <f>(IF((VLOOKUP(Table2[[#This Row],[SKU]],'All Skus'!$A:$AC,2,FALSE))="AMX",(VLOOKUP(Table2[[#This Row],[SKU]],'All Skus'!$A:$AC,4,FALSE)),""))</f>
        <v>DGX-I-HDMI-4K</v>
      </c>
      <c r="D100" s="47" t="str">
        <f>(IF((VLOOKUP(Table2[[#This Row],[SKU]],'All Skus'!$A:$AC,2,FALSE))="AMX",(VLOOKUP(Table2[[#This Row],[SKU]],'All Skus'!$A:$AC,5,FALSE)),""))</f>
        <v>AMX-ENV</v>
      </c>
      <c r="E100" s="281">
        <f>(IF((VLOOKUP(Table2[[#This Row],[SKU]],'All Skus'!$A:$AC,2,FALSE))="AMX",(VLOOKUP(Table2[[#This Row],[SKU]],'All Skus'!$A:$AC,7,FALSE)),""))</f>
        <v>0</v>
      </c>
      <c r="F100" s="280" t="str">
        <f>(IF((VLOOKUP(Table2[[#This Row],[SKU]],'All Skus'!$A:$AC,2,FALSE))="AMX",(VLOOKUP(Table2[[#This Row],[SKU]],'All Skus'!$A:$AC,8,FALSE)),""))</f>
        <v>Enova DGX 4K HDMI Input Board</v>
      </c>
      <c r="G100" s="280" t="str">
        <f>(IF((VLOOKUP(Table2[[#This Row],[SKU]],'All Skus'!$A:$AC,2,FALSE))="AMX",(VLOOKUP(Table2[[#This Row],[SKU]],'All Skus'!$A:$AC,9,FALSE)),""))</f>
        <v>4 connection 4K HDMI Enova DGX Input Board includes HDCP compliance, compatible with Enova DGX 800, 1600, 3200 and 6400 Enclosures</v>
      </c>
      <c r="H100" s="157">
        <f>(IF((VLOOKUP(Table2[[#This Row],[SKU]],'All Skus'!$A:$AC,2,FALSE))="AMX",(VLOOKUP(Table2[[#This Row],[SKU]],'All Skus'!$A:$AC,10,FALSE)),""))</f>
        <v>1772.1</v>
      </c>
      <c r="I100" s="157">
        <f>(IF((VLOOKUP(Table2[[#This Row],[SKU]],'All Skus'!$A:$AC,2,FALSE))="AMX",(VLOOKUP(Table2[[#This Row],[SKU]],'All Skus'!$A:$AC,11,FALSE)),""))</f>
        <v>1772.1</v>
      </c>
      <c r="J100" s="47">
        <f>(IF((VLOOKUP(Table2[[#This Row],[SKU]],'All Skus'!$A:$AC,2,FALSE))="AMX",(VLOOKUP(Table2[[#This Row],[SKU]],'All Skus'!$A:$AC,15,FALSE)),""))</f>
        <v>0</v>
      </c>
      <c r="K100" s="47">
        <f>(IF((VLOOKUP(Table2[[#This Row],[SKU]],'All Skus'!$A:$AC,2,FALSE))="AMX",(VLOOKUP(Table2[[#This Row],[SKU]],'All Skus'!$A:$AC,16,FALSE)),""))</f>
        <v>718878022658</v>
      </c>
      <c r="L100" s="47">
        <f>(IF((VLOOKUP(Table2[[#This Row],[SKU]],'All Skus'!$A:$AC,2,FALSE))="AMX",(VLOOKUP(Table2[[#This Row],[SKU]],'All Skus'!$A:$AC,17,FALSE)),""))</f>
        <v>0</v>
      </c>
      <c r="M100" s="63">
        <f>(IF((VLOOKUP(Table2[[#This Row],[SKU]],'All Skus'!$A:$AC,2,FALSE))="AMX",(VLOOKUP(Table2[[#This Row],[SKU]],'All Skus'!$A:$AC,18,FALSE)),""))</f>
        <v>2</v>
      </c>
      <c r="N100" s="47">
        <f>(IF((VLOOKUP(Table2[[#This Row],[SKU]],'All Skus'!$A:$AC,2,FALSE))="AMX",(VLOOKUP(Table2[[#This Row],[SKU]],'All Skus'!$A:$AC,19,FALSE)),""))</f>
        <v>16.25</v>
      </c>
      <c r="O100" s="47">
        <f>(IF((VLOOKUP(Table2[[#This Row],[SKU]],'All Skus'!$A:$AC,2,FALSE))="AMX",(VLOOKUP(Table2[[#This Row],[SKU]],'All Skus'!$A:$AC,20,FALSE)),""))</f>
        <v>11.75</v>
      </c>
      <c r="P100" s="47">
        <f>(IF((VLOOKUP(Table2[[#This Row],[SKU]],'All Skus'!$A:$AC,2,FALSE))="AMX",(VLOOKUP(Table2[[#This Row],[SKU]],'All Skus'!$A:$AC,21,FALSE)),""))</f>
        <v>3.25</v>
      </c>
      <c r="Q100" s="47" t="str">
        <f>(IF((VLOOKUP(Table2[[#This Row],[SKU]],'All Skus'!$A:$AC,2,FALSE))="AMX",(VLOOKUP(Table2[[#This Row],[SKU]],'All Skus'!$A:$AC,22,FALSE)),""))</f>
        <v>MX</v>
      </c>
      <c r="R100" s="47" t="str">
        <f>(IF((VLOOKUP(Table2[[#This Row],[SKU]],'All Skus'!$A:$AC,2,FALSE))="AMX",(VLOOKUP(Table2[[#This Row],[SKU]],'All Skus'!$A:$AC,23,FALSE)),""))</f>
        <v>Compliant</v>
      </c>
      <c r="S100" s="210" t="str">
        <f>HYPERLINK((IF((VLOOKUP(Table2[[#This Row],[SKU]],'All Skus'!$A:$AC,2,FALSE))="AMX",(VLOOKUP(Table2[[#This Row],[SKU]],'All Skus'!$A:$AC,24,FALSE)),"")))</f>
        <v>https://www.amx.com/en-US/products/dgx-i-hdmi-4k</v>
      </c>
      <c r="T100" s="151">
        <v>98</v>
      </c>
    </row>
    <row r="101" spans="1:20" ht="15" hidden="1" customHeight="1">
      <c r="A101" s="48" t="s">
        <v>605</v>
      </c>
      <c r="B101" s="280" t="str">
        <f>(IF((VLOOKUP(Table2[[#This Row],[SKU]],'All Skus'!$A:$AC,2,FALSE))="AMX",(VLOOKUP(Table2[[#This Row],[SKU]],'All Skus'!$A:$AC,3,FALSE)),""))</f>
        <v>Digital Media Switchers</v>
      </c>
      <c r="C101" s="280" t="str">
        <f>(IF((VLOOKUP(Table2[[#This Row],[SKU]],'All Skus'!$A:$AC,2,FALSE))="AMX",(VLOOKUP(Table2[[#This Row],[SKU]],'All Skus'!$A:$AC,4,FALSE)),""))</f>
        <v>DGX-I-HDMI-4K60</v>
      </c>
      <c r="D101" s="47" t="str">
        <f>(IF((VLOOKUP(Table2[[#This Row],[SKU]],'All Skus'!$A:$AC,2,FALSE))="AMX",(VLOOKUP(Table2[[#This Row],[SKU]],'All Skus'!$A:$AC,5,FALSE)),""))</f>
        <v>AMX-ENV</v>
      </c>
      <c r="E101" s="281">
        <f>(IF((VLOOKUP(Table2[[#This Row],[SKU]],'All Skus'!$A:$AC,2,FALSE))="AMX",(VLOOKUP(Table2[[#This Row],[SKU]],'All Skus'!$A:$AC,7,FALSE)),""))</f>
        <v>0</v>
      </c>
      <c r="F101" s="280" t="str">
        <f>(IF((VLOOKUP(Table2[[#This Row],[SKU]],'All Skus'!$A:$AC,2,FALSE))="AMX",(VLOOKUP(Table2[[#This Row],[SKU]],'All Skus'!$A:$AC,8,FALSE)),""))</f>
        <v>Enova DGX 4K60 4:4:4 HDMI Input Board</v>
      </c>
      <c r="G101" s="280" t="str">
        <f>(IF((VLOOKUP(Table2[[#This Row],[SKU]],'All Skus'!$A:$AC,2,FALSE))="AMX",(VLOOKUP(Table2[[#This Row],[SKU]],'All Skus'!$A:$AC,9,FALSE)),""))</f>
        <v>4 connection 4K60 4:4:4 HDMI Enova DGX Input Board includes HDCP 2.2 compliance and HDR support, compatible with Enova DGX 800, 1600, 3200 and 6400 Enclosures</v>
      </c>
      <c r="H101" s="157">
        <f>(IF((VLOOKUP(Table2[[#This Row],[SKU]],'All Skus'!$A:$AC,2,FALSE))="AMX",(VLOOKUP(Table2[[#This Row],[SKU]],'All Skus'!$A:$AC,10,FALSE)),""))</f>
        <v>2348</v>
      </c>
      <c r="I101" s="157">
        <f>(IF((VLOOKUP(Table2[[#This Row],[SKU]],'All Skus'!$A:$AC,2,FALSE))="AMX",(VLOOKUP(Table2[[#This Row],[SKU]],'All Skus'!$A:$AC,11,FALSE)),""))</f>
        <v>2348</v>
      </c>
      <c r="J101" s="47">
        <f>(IF((VLOOKUP(Table2[[#This Row],[SKU]],'All Skus'!$A:$AC,2,FALSE))="AMX",(VLOOKUP(Table2[[#This Row],[SKU]],'All Skus'!$A:$AC,15,FALSE)),""))</f>
        <v>0</v>
      </c>
      <c r="K101" s="47">
        <f>(IF((VLOOKUP(Table2[[#This Row],[SKU]],'All Skus'!$A:$AC,2,FALSE))="AMX",(VLOOKUP(Table2[[#This Row],[SKU]],'All Skus'!$A:$AC,16,FALSE)),""))</f>
        <v>718878020142</v>
      </c>
      <c r="L101" s="47">
        <f>(IF((VLOOKUP(Table2[[#This Row],[SKU]],'All Skus'!$A:$AC,2,FALSE))="AMX",(VLOOKUP(Table2[[#This Row],[SKU]],'All Skus'!$A:$AC,17,FALSE)),""))</f>
        <v>0</v>
      </c>
      <c r="M101" s="63">
        <f>(IF((VLOOKUP(Table2[[#This Row],[SKU]],'All Skus'!$A:$AC,2,FALSE))="AMX",(VLOOKUP(Table2[[#This Row],[SKU]],'All Skus'!$A:$AC,18,FALSE)),""))</f>
        <v>0</v>
      </c>
      <c r="N101" s="47">
        <f>(IF((VLOOKUP(Table2[[#This Row],[SKU]],'All Skus'!$A:$AC,2,FALSE))="AMX",(VLOOKUP(Table2[[#This Row],[SKU]],'All Skus'!$A:$AC,19,FALSE)),""))</f>
        <v>0</v>
      </c>
      <c r="O101" s="47">
        <f>(IF((VLOOKUP(Table2[[#This Row],[SKU]],'All Skus'!$A:$AC,2,FALSE))="AMX",(VLOOKUP(Table2[[#This Row],[SKU]],'All Skus'!$A:$AC,20,FALSE)),""))</f>
        <v>0</v>
      </c>
      <c r="P101" s="47">
        <f>(IF((VLOOKUP(Table2[[#This Row],[SKU]],'All Skus'!$A:$AC,2,FALSE))="AMX",(VLOOKUP(Table2[[#This Row],[SKU]],'All Skus'!$A:$AC,21,FALSE)),""))</f>
        <v>0</v>
      </c>
      <c r="Q101" s="47" t="str">
        <f>(IF((VLOOKUP(Table2[[#This Row],[SKU]],'All Skus'!$A:$AC,2,FALSE))="AMX",(VLOOKUP(Table2[[#This Row],[SKU]],'All Skus'!$A:$AC,22,FALSE)),""))</f>
        <v>MX</v>
      </c>
      <c r="R101" s="47" t="str">
        <f>(IF((VLOOKUP(Table2[[#This Row],[SKU]],'All Skus'!$A:$AC,2,FALSE))="AMX",(VLOOKUP(Table2[[#This Row],[SKU]],'All Skus'!$A:$AC,23,FALSE)),""))</f>
        <v>Compliant</v>
      </c>
      <c r="S101" s="210" t="str">
        <f>HYPERLINK((IF((VLOOKUP(Table2[[#This Row],[SKU]],'All Skus'!$A:$AC,2,FALSE))="AMX",(VLOOKUP(Table2[[#This Row],[SKU]],'All Skus'!$A:$AC,24,FALSE)),"")))</f>
        <v>https://www.amx.com/en-US/products/dgx-i-hdmi-4k60</v>
      </c>
      <c r="T101" s="151">
        <v>99</v>
      </c>
    </row>
    <row r="102" spans="1:20" ht="15" hidden="1" customHeight="1">
      <c r="A102" s="48" t="s">
        <v>606</v>
      </c>
      <c r="B102" s="280" t="str">
        <f>(IF((VLOOKUP(Table2[[#This Row],[SKU]],'All Skus'!$A:$AC,2,FALSE))="AMX",(VLOOKUP(Table2[[#This Row],[SKU]],'All Skus'!$A:$AC,3,FALSE)),""))</f>
        <v>Digital Media Switchers</v>
      </c>
      <c r="C102" s="280" t="str">
        <f>(IF((VLOOKUP(Table2[[#This Row],[SKU]],'All Skus'!$A:$AC,2,FALSE))="AMX",(VLOOKUP(Table2[[#This Row],[SKU]],'All Skus'!$A:$AC,4,FALSE)),""))</f>
        <v>DGX-O-HDMI-4K60</v>
      </c>
      <c r="D102" s="47" t="str">
        <f>(IF((VLOOKUP(Table2[[#This Row],[SKU]],'All Skus'!$A:$AC,2,FALSE))="AMX",(VLOOKUP(Table2[[#This Row],[SKU]],'All Skus'!$A:$AC,5,FALSE)),""))</f>
        <v>AMX-ENV</v>
      </c>
      <c r="E102" s="281">
        <f>(IF((VLOOKUP(Table2[[#This Row],[SKU]],'All Skus'!$A:$AC,2,FALSE))="AMX",(VLOOKUP(Table2[[#This Row],[SKU]],'All Skus'!$A:$AC,7,FALSE)),""))</f>
        <v>0</v>
      </c>
      <c r="F102" s="280" t="str">
        <f>(IF((VLOOKUP(Table2[[#This Row],[SKU]],'All Skus'!$A:$AC,2,FALSE))="AMX",(VLOOKUP(Table2[[#This Row],[SKU]],'All Skus'!$A:$AC,8,FALSE)),""))</f>
        <v>Enova DGX 4K60 4:4:4 HDMI Output Board</v>
      </c>
      <c r="G102" s="280" t="str">
        <f>(IF((VLOOKUP(Table2[[#This Row],[SKU]],'All Skus'!$A:$AC,2,FALSE))="AMX",(VLOOKUP(Table2[[#This Row],[SKU]],'All Skus'!$A:$AC,9,FALSE)),""))</f>
        <v>4 connection 4K60 4:4:4 HDMI Enova DGX Output Board includes HDCP 2.2 compliance and HDR support, compatible with Enova DGX 800, 1600, 3200 and 6400 Enclosures</v>
      </c>
      <c r="H102" s="157">
        <f>(IF((VLOOKUP(Table2[[#This Row],[SKU]],'All Skus'!$A:$AC,2,FALSE))="AMX",(VLOOKUP(Table2[[#This Row],[SKU]],'All Skus'!$A:$AC,10,FALSE)),""))</f>
        <v>2348</v>
      </c>
      <c r="I102" s="157">
        <f>(IF((VLOOKUP(Table2[[#This Row],[SKU]],'All Skus'!$A:$AC,2,FALSE))="AMX",(VLOOKUP(Table2[[#This Row],[SKU]],'All Skus'!$A:$AC,11,FALSE)),""))</f>
        <v>2348</v>
      </c>
      <c r="J102" s="47">
        <f>(IF((VLOOKUP(Table2[[#This Row],[SKU]],'All Skus'!$A:$AC,2,FALSE))="AMX",(VLOOKUP(Table2[[#This Row],[SKU]],'All Skus'!$A:$AC,15,FALSE)),""))</f>
        <v>0</v>
      </c>
      <c r="K102" s="47">
        <f>(IF((VLOOKUP(Table2[[#This Row],[SKU]],'All Skus'!$A:$AC,2,FALSE))="AMX",(VLOOKUP(Table2[[#This Row],[SKU]],'All Skus'!$A:$AC,16,FALSE)),""))</f>
        <v>718878020159</v>
      </c>
      <c r="L102" s="47">
        <f>(IF((VLOOKUP(Table2[[#This Row],[SKU]],'All Skus'!$A:$AC,2,FALSE))="AMX",(VLOOKUP(Table2[[#This Row],[SKU]],'All Skus'!$A:$AC,17,FALSE)),""))</f>
        <v>0</v>
      </c>
      <c r="M102" s="63">
        <f>(IF((VLOOKUP(Table2[[#This Row],[SKU]],'All Skus'!$A:$AC,2,FALSE))="AMX",(VLOOKUP(Table2[[#This Row],[SKU]],'All Skus'!$A:$AC,18,FALSE)),""))</f>
        <v>0</v>
      </c>
      <c r="N102" s="47">
        <f>(IF((VLOOKUP(Table2[[#This Row],[SKU]],'All Skus'!$A:$AC,2,FALSE))="AMX",(VLOOKUP(Table2[[#This Row],[SKU]],'All Skus'!$A:$AC,19,FALSE)),""))</f>
        <v>0</v>
      </c>
      <c r="O102" s="47">
        <f>(IF((VLOOKUP(Table2[[#This Row],[SKU]],'All Skus'!$A:$AC,2,FALSE))="AMX",(VLOOKUP(Table2[[#This Row],[SKU]],'All Skus'!$A:$AC,20,FALSE)),""))</f>
        <v>0</v>
      </c>
      <c r="P102" s="47">
        <f>(IF((VLOOKUP(Table2[[#This Row],[SKU]],'All Skus'!$A:$AC,2,FALSE))="AMX",(VLOOKUP(Table2[[#This Row],[SKU]],'All Skus'!$A:$AC,21,FALSE)),""))</f>
        <v>0</v>
      </c>
      <c r="Q102" s="47" t="str">
        <f>(IF((VLOOKUP(Table2[[#This Row],[SKU]],'All Skus'!$A:$AC,2,FALSE))="AMX",(VLOOKUP(Table2[[#This Row],[SKU]],'All Skus'!$A:$AC,22,FALSE)),""))</f>
        <v>MX</v>
      </c>
      <c r="R102" s="47" t="str">
        <f>(IF((VLOOKUP(Table2[[#This Row],[SKU]],'All Skus'!$A:$AC,2,FALSE))="AMX",(VLOOKUP(Table2[[#This Row],[SKU]],'All Skus'!$A:$AC,23,FALSE)),""))</f>
        <v>Compliant</v>
      </c>
      <c r="S102" s="210" t="str">
        <f>HYPERLINK((IF((VLOOKUP(Table2[[#This Row],[SKU]],'All Skus'!$A:$AC,2,FALSE))="AMX",(VLOOKUP(Table2[[#This Row],[SKU]],'All Skus'!$A:$AC,24,FALSE)),"")))</f>
        <v>https://www.amx.com/en-US/products/dgx-o-hdmi-4k60</v>
      </c>
      <c r="T102" s="151">
        <v>100</v>
      </c>
    </row>
    <row r="103" spans="1:20" ht="15" hidden="1" customHeight="1">
      <c r="A103" s="48" t="s">
        <v>607</v>
      </c>
      <c r="B103" s="280" t="str">
        <f>(IF((VLOOKUP(Table2[[#This Row],[SKU]],'All Skus'!$A:$AC,2,FALSE))="AMX",(VLOOKUP(Table2[[#This Row],[SKU]],'All Skus'!$A:$AC,3,FALSE)),""))</f>
        <v>Digital Media Switchers</v>
      </c>
      <c r="C103" s="280" t="str">
        <f>(IF((VLOOKUP(Table2[[#This Row],[SKU]],'All Skus'!$A:$AC,2,FALSE))="AMX",(VLOOKUP(Table2[[#This Row],[SKU]],'All Skus'!$A:$AC,4,FALSE)),""))</f>
        <v>DGX-I-DXL-4K</v>
      </c>
      <c r="D103" s="47" t="str">
        <f>(IF((VLOOKUP(Table2[[#This Row],[SKU]],'All Skus'!$A:$AC,2,FALSE))="AMX",(VLOOKUP(Table2[[#This Row],[SKU]],'All Skus'!$A:$AC,5,FALSE)),""))</f>
        <v>AMX-ENV</v>
      </c>
      <c r="E103" s="281">
        <f>(IF((VLOOKUP(Table2[[#This Row],[SKU]],'All Skus'!$A:$AC,2,FALSE))="AMX",(VLOOKUP(Table2[[#This Row],[SKU]],'All Skus'!$A:$AC,7,FALSE)),""))</f>
        <v>0</v>
      </c>
      <c r="F103" s="280" t="str">
        <f>(IF((VLOOKUP(Table2[[#This Row],[SKU]],'All Skus'!$A:$AC,2,FALSE))="AMX",(VLOOKUP(Table2[[#This Row],[SKU]],'All Skus'!$A:$AC,8,FALSE)),""))</f>
        <v>Enova DGX DXLink Twisted Pair 4K Input Board</v>
      </c>
      <c r="G103" s="280" t="str">
        <f>(IF((VLOOKUP(Table2[[#This Row],[SKU]],'All Skus'!$A:$AC,2,FALSE))="AMX",(VLOOKUP(Table2[[#This Row],[SKU]],'All Skus'!$A:$AC,9,FALSE)),""))</f>
        <v>4 connection 4K DXLink twisted pair Enova DGX Input Board, includes HDCP compliance, compatible with Enova DGX 800, 1600, 3200 and 6400 Enclosures</v>
      </c>
      <c r="H103" s="157">
        <f>(IF((VLOOKUP(Table2[[#This Row],[SKU]],'All Skus'!$A:$AC,2,FALSE))="AMX",(VLOOKUP(Table2[[#This Row],[SKU]],'All Skus'!$A:$AC,10,FALSE)),""))</f>
        <v>3106</v>
      </c>
      <c r="I103" s="157">
        <f>(IF((VLOOKUP(Table2[[#This Row],[SKU]],'All Skus'!$A:$AC,2,FALSE))="AMX",(VLOOKUP(Table2[[#This Row],[SKU]],'All Skus'!$A:$AC,11,FALSE)),""))</f>
        <v>3106</v>
      </c>
      <c r="J103" s="47">
        <f>(IF((VLOOKUP(Table2[[#This Row],[SKU]],'All Skus'!$A:$AC,2,FALSE))="AMX",(VLOOKUP(Table2[[#This Row],[SKU]],'All Skus'!$A:$AC,15,FALSE)),""))</f>
        <v>0</v>
      </c>
      <c r="K103" s="47">
        <f>(IF((VLOOKUP(Table2[[#This Row],[SKU]],'All Skus'!$A:$AC,2,FALSE))="AMX",(VLOOKUP(Table2[[#This Row],[SKU]],'All Skus'!$A:$AC,16,FALSE)),""))</f>
        <v>718878022672</v>
      </c>
      <c r="L103" s="47">
        <f>(IF((VLOOKUP(Table2[[#This Row],[SKU]],'All Skus'!$A:$AC,2,FALSE))="AMX",(VLOOKUP(Table2[[#This Row],[SKU]],'All Skus'!$A:$AC,17,FALSE)),""))</f>
        <v>0</v>
      </c>
      <c r="M103" s="63">
        <f>(IF((VLOOKUP(Table2[[#This Row],[SKU]],'All Skus'!$A:$AC,2,FALSE))="AMX",(VLOOKUP(Table2[[#This Row],[SKU]],'All Skus'!$A:$AC,18,FALSE)),""))</f>
        <v>0</v>
      </c>
      <c r="N103" s="47">
        <f>(IF((VLOOKUP(Table2[[#This Row],[SKU]],'All Skus'!$A:$AC,2,FALSE))="AMX",(VLOOKUP(Table2[[#This Row],[SKU]],'All Skus'!$A:$AC,19,FALSE)),""))</f>
        <v>0</v>
      </c>
      <c r="O103" s="47">
        <f>(IF((VLOOKUP(Table2[[#This Row],[SKU]],'All Skus'!$A:$AC,2,FALSE))="AMX",(VLOOKUP(Table2[[#This Row],[SKU]],'All Skus'!$A:$AC,20,FALSE)),""))</f>
        <v>0</v>
      </c>
      <c r="P103" s="47">
        <f>(IF((VLOOKUP(Table2[[#This Row],[SKU]],'All Skus'!$A:$AC,2,FALSE))="AMX",(VLOOKUP(Table2[[#This Row],[SKU]],'All Skus'!$A:$AC,21,FALSE)),""))</f>
        <v>0</v>
      </c>
      <c r="Q103" s="47" t="str">
        <f>(IF((VLOOKUP(Table2[[#This Row],[SKU]],'All Skus'!$A:$AC,2,FALSE))="AMX",(VLOOKUP(Table2[[#This Row],[SKU]],'All Skus'!$A:$AC,22,FALSE)),""))</f>
        <v>MX</v>
      </c>
      <c r="R103" s="47" t="str">
        <f>(IF((VLOOKUP(Table2[[#This Row],[SKU]],'All Skus'!$A:$AC,2,FALSE))="AMX",(VLOOKUP(Table2[[#This Row],[SKU]],'All Skus'!$A:$AC,23,FALSE)),""))</f>
        <v>Compliant</v>
      </c>
      <c r="S103" s="210" t="str">
        <f>HYPERLINK((IF((VLOOKUP(Table2[[#This Row],[SKU]],'All Skus'!$A:$AC,2,FALSE))="AMX",(VLOOKUP(Table2[[#This Row],[SKU]],'All Skus'!$A:$AC,24,FALSE)),"")))</f>
        <v>https://www.amx.com/en-US/products/dgx-i-dxl-4k</v>
      </c>
      <c r="T103" s="151">
        <v>101</v>
      </c>
    </row>
    <row r="104" spans="1:20" ht="15" hidden="1" customHeight="1">
      <c r="A104" s="48" t="s">
        <v>608</v>
      </c>
      <c r="B104" s="280" t="str">
        <f>(IF((VLOOKUP(Table2[[#This Row],[SKU]],'All Skus'!$A:$AC,2,FALSE))="AMX",(VLOOKUP(Table2[[#This Row],[SKU]],'All Skus'!$A:$AC,3,FALSE)),""))</f>
        <v>Digital Media Switchers</v>
      </c>
      <c r="C104" s="280" t="str">
        <f>(IF((VLOOKUP(Table2[[#This Row],[SKU]],'All Skus'!$A:$AC,2,FALSE))="AMX",(VLOOKUP(Table2[[#This Row],[SKU]],'All Skus'!$A:$AC,4,FALSE)),""))</f>
        <v>DGX-I-DXL-4K60</v>
      </c>
      <c r="D104" s="47" t="str">
        <f>(IF((VLOOKUP(Table2[[#This Row],[SKU]],'All Skus'!$A:$AC,2,FALSE))="AMX",(VLOOKUP(Table2[[#This Row],[SKU]],'All Skus'!$A:$AC,5,FALSE)),""))</f>
        <v>AMX-ENV</v>
      </c>
      <c r="E104" s="281">
        <f>(IF((VLOOKUP(Table2[[#This Row],[SKU]],'All Skus'!$A:$AC,2,FALSE))="AMX",(VLOOKUP(Table2[[#This Row],[SKU]],'All Skus'!$A:$AC,7,FALSE)),""))</f>
        <v>0</v>
      </c>
      <c r="F104" s="280" t="str">
        <f>(IF((VLOOKUP(Table2[[#This Row],[SKU]],'All Skus'!$A:$AC,2,FALSE))="AMX",(VLOOKUP(Table2[[#This Row],[SKU]],'All Skus'!$A:$AC,8,FALSE)),""))</f>
        <v>Enova DGX DXLink 4K60 Twisted Pair Input Board</v>
      </c>
      <c r="G104" s="280" t="str">
        <f>(IF((VLOOKUP(Table2[[#This Row],[SKU]],'All Skus'!$A:$AC,2,FALSE))="AMX",(VLOOKUP(Table2[[#This Row],[SKU]],'All Skus'!$A:$AC,9,FALSE)),""))</f>
        <v>4 connection 4K60 DXLink twisted pair Enova DGX Input Board includes HDCP 2.2 compliance and HDR support, compatible with Enova DGX 800, 1600, 3200 and 6400 Enclosures</v>
      </c>
      <c r="H104" s="157">
        <f>(IF((VLOOKUP(Table2[[#This Row],[SKU]],'All Skus'!$A:$AC,2,FALSE))="AMX",(VLOOKUP(Table2[[#This Row],[SKU]],'All Skus'!$A:$AC,10,FALSE)),""))</f>
        <v>3258</v>
      </c>
      <c r="I104" s="157">
        <f>(IF((VLOOKUP(Table2[[#This Row],[SKU]],'All Skus'!$A:$AC,2,FALSE))="AMX",(VLOOKUP(Table2[[#This Row],[SKU]],'All Skus'!$A:$AC,11,FALSE)),""))</f>
        <v>3258</v>
      </c>
      <c r="J104" s="47">
        <f>(IF((VLOOKUP(Table2[[#This Row],[SKU]],'All Skus'!$A:$AC,2,FALSE))="AMX",(VLOOKUP(Table2[[#This Row],[SKU]],'All Skus'!$A:$AC,15,FALSE)),""))</f>
        <v>0</v>
      </c>
      <c r="K104" s="47">
        <f>(IF((VLOOKUP(Table2[[#This Row],[SKU]],'All Skus'!$A:$AC,2,FALSE))="AMX",(VLOOKUP(Table2[[#This Row],[SKU]],'All Skus'!$A:$AC,16,FALSE)),""))</f>
        <v>718878026571</v>
      </c>
      <c r="L104" s="47">
        <f>(IF((VLOOKUP(Table2[[#This Row],[SKU]],'All Skus'!$A:$AC,2,FALSE))="AMX",(VLOOKUP(Table2[[#This Row],[SKU]],'All Skus'!$A:$AC,17,FALSE)),""))</f>
        <v>0</v>
      </c>
      <c r="M104" s="63">
        <f>(IF((VLOOKUP(Table2[[#This Row],[SKU]],'All Skus'!$A:$AC,2,FALSE))="AMX",(VLOOKUP(Table2[[#This Row],[SKU]],'All Skus'!$A:$AC,18,FALSE)),""))</f>
        <v>0</v>
      </c>
      <c r="N104" s="47">
        <f>(IF((VLOOKUP(Table2[[#This Row],[SKU]],'All Skus'!$A:$AC,2,FALSE))="AMX",(VLOOKUP(Table2[[#This Row],[SKU]],'All Skus'!$A:$AC,19,FALSE)),""))</f>
        <v>0</v>
      </c>
      <c r="O104" s="47">
        <f>(IF((VLOOKUP(Table2[[#This Row],[SKU]],'All Skus'!$A:$AC,2,FALSE))="AMX",(VLOOKUP(Table2[[#This Row],[SKU]],'All Skus'!$A:$AC,20,FALSE)),""))</f>
        <v>0</v>
      </c>
      <c r="P104" s="47">
        <f>(IF((VLOOKUP(Table2[[#This Row],[SKU]],'All Skus'!$A:$AC,2,FALSE))="AMX",(VLOOKUP(Table2[[#This Row],[SKU]],'All Skus'!$A:$AC,21,FALSE)),""))</f>
        <v>0</v>
      </c>
      <c r="Q104" s="47" t="str">
        <f>(IF((VLOOKUP(Table2[[#This Row],[SKU]],'All Skus'!$A:$AC,2,FALSE))="AMX",(VLOOKUP(Table2[[#This Row],[SKU]],'All Skus'!$A:$AC,22,FALSE)),""))</f>
        <v>TW</v>
      </c>
      <c r="R104" s="47" t="str">
        <f>(IF((VLOOKUP(Table2[[#This Row],[SKU]],'All Skus'!$A:$AC,2,FALSE))="AMX",(VLOOKUP(Table2[[#This Row],[SKU]],'All Skus'!$A:$AC,23,FALSE)),""))</f>
        <v>Compliant</v>
      </c>
      <c r="S104" s="210" t="str">
        <f>HYPERLINK((IF((VLOOKUP(Table2[[#This Row],[SKU]],'All Skus'!$A:$AC,2,FALSE))="AMX",(VLOOKUP(Table2[[#This Row],[SKU]],'All Skus'!$A:$AC,24,FALSE)),"")))</f>
        <v>https://www.amx.com/en-US/products/dgx-i-dxl-4k60</v>
      </c>
      <c r="T104" s="151">
        <v>102</v>
      </c>
    </row>
    <row r="105" spans="1:20" ht="15" hidden="1" customHeight="1">
      <c r="A105" s="48" t="s">
        <v>609</v>
      </c>
      <c r="B105" s="280" t="str">
        <f>(IF((VLOOKUP(Table2[[#This Row],[SKU]],'All Skus'!$A:$AC,2,FALSE))="AMX",(VLOOKUP(Table2[[#This Row],[SKU]],'All Skus'!$A:$AC,3,FALSE)),""))</f>
        <v>Digital Media Switchers</v>
      </c>
      <c r="C105" s="280" t="str">
        <f>(IF((VLOOKUP(Table2[[#This Row],[SKU]],'All Skus'!$A:$AC,2,FALSE))="AMX",(VLOOKUP(Table2[[#This Row],[SKU]],'All Skus'!$A:$AC,4,FALSE)),""))</f>
        <v>DGX-O-DXL-4K60</v>
      </c>
      <c r="D105" s="47" t="str">
        <f>(IF((VLOOKUP(Table2[[#This Row],[SKU]],'All Skus'!$A:$AC,2,FALSE))="AMX",(VLOOKUP(Table2[[#This Row],[SKU]],'All Skus'!$A:$AC,5,FALSE)),""))</f>
        <v>AMX-ENV</v>
      </c>
      <c r="E105" s="281">
        <f>(IF((VLOOKUP(Table2[[#This Row],[SKU]],'All Skus'!$A:$AC,2,FALSE))="AMX",(VLOOKUP(Table2[[#This Row],[SKU]],'All Skus'!$A:$AC,7,FALSE)),""))</f>
        <v>0</v>
      </c>
      <c r="F105" s="280" t="str">
        <f>(IF((VLOOKUP(Table2[[#This Row],[SKU]],'All Skus'!$A:$AC,2,FALSE))="AMX",(VLOOKUP(Table2[[#This Row],[SKU]],'All Skus'!$A:$AC,8,FALSE)),""))</f>
        <v>Enova DGX DXLink 4K60 Twisted Pair Output Board</v>
      </c>
      <c r="G105" s="280" t="str">
        <f>(IF((VLOOKUP(Table2[[#This Row],[SKU]],'All Skus'!$A:$AC,2,FALSE))="AMX",(VLOOKUP(Table2[[#This Row],[SKU]],'All Skus'!$A:$AC,9,FALSE)),""))</f>
        <v>4 connection 4K60 DXLink twisted pair Enova DGX Output Board includes HDCP 2.2 compliance and HDR support, compatible with Enova DGX 800, 1600, 3200 and 6400 Enclosures</v>
      </c>
      <c r="H105" s="157">
        <f>(IF((VLOOKUP(Table2[[#This Row],[SKU]],'All Skus'!$A:$AC,2,FALSE))="AMX",(VLOOKUP(Table2[[#This Row],[SKU]],'All Skus'!$A:$AC,10,FALSE)),""))</f>
        <v>3258</v>
      </c>
      <c r="I105" s="157">
        <f>(IF((VLOOKUP(Table2[[#This Row],[SKU]],'All Skus'!$A:$AC,2,FALSE))="AMX",(VLOOKUP(Table2[[#This Row],[SKU]],'All Skus'!$A:$AC,11,FALSE)),""))</f>
        <v>3258</v>
      </c>
      <c r="J105" s="47">
        <f>(IF((VLOOKUP(Table2[[#This Row],[SKU]],'All Skus'!$A:$AC,2,FALSE))="AMX",(VLOOKUP(Table2[[#This Row],[SKU]],'All Skus'!$A:$AC,15,FALSE)),""))</f>
        <v>0</v>
      </c>
      <c r="K105" s="47">
        <f>(IF((VLOOKUP(Table2[[#This Row],[SKU]],'All Skus'!$A:$AC,2,FALSE))="AMX",(VLOOKUP(Table2[[#This Row],[SKU]],'All Skus'!$A:$AC,16,FALSE)),""))</f>
        <v>718878026588</v>
      </c>
      <c r="L105" s="47">
        <f>(IF((VLOOKUP(Table2[[#This Row],[SKU]],'All Skus'!$A:$AC,2,FALSE))="AMX",(VLOOKUP(Table2[[#This Row],[SKU]],'All Skus'!$A:$AC,17,FALSE)),""))</f>
        <v>0</v>
      </c>
      <c r="M105" s="63">
        <f>(IF((VLOOKUP(Table2[[#This Row],[SKU]],'All Skus'!$A:$AC,2,FALSE))="AMX",(VLOOKUP(Table2[[#This Row],[SKU]],'All Skus'!$A:$AC,18,FALSE)),""))</f>
        <v>0</v>
      </c>
      <c r="N105" s="47">
        <f>(IF((VLOOKUP(Table2[[#This Row],[SKU]],'All Skus'!$A:$AC,2,FALSE))="AMX",(VLOOKUP(Table2[[#This Row],[SKU]],'All Skus'!$A:$AC,19,FALSE)),""))</f>
        <v>0</v>
      </c>
      <c r="O105" s="47">
        <f>(IF((VLOOKUP(Table2[[#This Row],[SKU]],'All Skus'!$A:$AC,2,FALSE))="AMX",(VLOOKUP(Table2[[#This Row],[SKU]],'All Skus'!$A:$AC,20,FALSE)),""))</f>
        <v>0</v>
      </c>
      <c r="P105" s="47">
        <f>(IF((VLOOKUP(Table2[[#This Row],[SKU]],'All Skus'!$A:$AC,2,FALSE))="AMX",(VLOOKUP(Table2[[#This Row],[SKU]],'All Skus'!$A:$AC,21,FALSE)),""))</f>
        <v>0</v>
      </c>
      <c r="Q105" s="47" t="str">
        <f>(IF((VLOOKUP(Table2[[#This Row],[SKU]],'All Skus'!$A:$AC,2,FALSE))="AMX",(VLOOKUP(Table2[[#This Row],[SKU]],'All Skus'!$A:$AC,22,FALSE)),""))</f>
        <v>TW</v>
      </c>
      <c r="R105" s="47" t="str">
        <f>(IF((VLOOKUP(Table2[[#This Row],[SKU]],'All Skus'!$A:$AC,2,FALSE))="AMX",(VLOOKUP(Table2[[#This Row],[SKU]],'All Skus'!$A:$AC,23,FALSE)),""))</f>
        <v>Compliant</v>
      </c>
      <c r="S105" s="210" t="str">
        <f>HYPERLINK((IF((VLOOKUP(Table2[[#This Row],[SKU]],'All Skus'!$A:$AC,2,FALSE))="AMX",(VLOOKUP(Table2[[#This Row],[SKU]],'All Skus'!$A:$AC,24,FALSE)),"")))</f>
        <v>https://www.amx.com/en-US/products/dgx-o-dxl-4k60</v>
      </c>
      <c r="T105" s="151">
        <v>103</v>
      </c>
    </row>
    <row r="106" spans="1:20" ht="15" hidden="1" customHeight="1">
      <c r="A106" s="48" t="s">
        <v>610</v>
      </c>
      <c r="B106" s="280" t="str">
        <f>(IF((VLOOKUP(Table2[[#This Row],[SKU]],'All Skus'!$A:$AC,2,FALSE))="AMX",(VLOOKUP(Table2[[#This Row],[SKU]],'All Skus'!$A:$AC,3,FALSE)),""))</f>
        <v>Digital Media Switchers</v>
      </c>
      <c r="C106" s="280" t="str">
        <f>(IF((VLOOKUP(Table2[[#This Row],[SKU]],'All Skus'!$A:$AC,2,FALSE))="AMX",(VLOOKUP(Table2[[#This Row],[SKU]],'All Skus'!$A:$AC,4,FALSE)),""))</f>
        <v>DGX-I-DXFP-4K60</v>
      </c>
      <c r="D106" s="47" t="str">
        <f>(IF((VLOOKUP(Table2[[#This Row],[SKU]],'All Skus'!$A:$AC,2,FALSE))="AMX",(VLOOKUP(Table2[[#This Row],[SKU]],'All Skus'!$A:$AC,5,FALSE)),""))</f>
        <v>AMX-ENV</v>
      </c>
      <c r="E106" s="281">
        <f>(IF((VLOOKUP(Table2[[#This Row],[SKU]],'All Skus'!$A:$AC,2,FALSE))="AMX",(VLOOKUP(Table2[[#This Row],[SKU]],'All Skus'!$A:$AC,7,FALSE)),""))</f>
        <v>0</v>
      </c>
      <c r="F106" s="280" t="str">
        <f>(IF((VLOOKUP(Table2[[#This Row],[SKU]],'All Skus'!$A:$AC,2,FALSE))="AMX",(VLOOKUP(Table2[[#This Row],[SKU]],'All Skus'!$A:$AC,8,FALSE)),""))</f>
        <v>Enova DGX DXLink 4K60 Fiber Input Board</v>
      </c>
      <c r="G106" s="280" t="str">
        <f>(IF((VLOOKUP(Table2[[#This Row],[SKU]],'All Skus'!$A:$AC,2,FALSE))="AMX",(VLOOKUP(Table2[[#This Row],[SKU]],'All Skus'!$A:$AC,9,FALSE)),""))</f>
        <v>4 connection 4K60 DXLink Fiber Enova DGX Input Board includes HDCP 2.2 compliance and HDR support, compatible with Enova DGX 800, 1600, 3200 and 6400 Enclosures</v>
      </c>
      <c r="H106" s="157">
        <f>(IF((VLOOKUP(Table2[[#This Row],[SKU]],'All Skus'!$A:$AC,2,FALSE))="AMX",(VLOOKUP(Table2[[#This Row],[SKU]],'All Skus'!$A:$AC,10,FALSE)),""))</f>
        <v>5060</v>
      </c>
      <c r="I106" s="157">
        <f>(IF((VLOOKUP(Table2[[#This Row],[SKU]],'All Skus'!$A:$AC,2,FALSE))="AMX",(VLOOKUP(Table2[[#This Row],[SKU]],'All Skus'!$A:$AC,11,FALSE)),""))</f>
        <v>5060</v>
      </c>
      <c r="J106" s="47">
        <f>(IF((VLOOKUP(Table2[[#This Row],[SKU]],'All Skus'!$A:$AC,2,FALSE))="AMX",(VLOOKUP(Table2[[#This Row],[SKU]],'All Skus'!$A:$AC,15,FALSE)),""))</f>
        <v>0</v>
      </c>
      <c r="K106" s="47">
        <f>(IF((VLOOKUP(Table2[[#This Row],[SKU]],'All Skus'!$A:$AC,2,FALSE))="AMX",(VLOOKUP(Table2[[#This Row],[SKU]],'All Skus'!$A:$AC,16,FALSE)),""))</f>
        <v>718878026595</v>
      </c>
      <c r="L106" s="47">
        <f>(IF((VLOOKUP(Table2[[#This Row],[SKU]],'All Skus'!$A:$AC,2,FALSE))="AMX",(VLOOKUP(Table2[[#This Row],[SKU]],'All Skus'!$A:$AC,17,FALSE)),""))</f>
        <v>0</v>
      </c>
      <c r="M106" s="63">
        <f>(IF((VLOOKUP(Table2[[#This Row],[SKU]],'All Skus'!$A:$AC,2,FALSE))="AMX",(VLOOKUP(Table2[[#This Row],[SKU]],'All Skus'!$A:$AC,18,FALSE)),""))</f>
        <v>2</v>
      </c>
      <c r="N106" s="47">
        <f>(IF((VLOOKUP(Table2[[#This Row],[SKU]],'All Skus'!$A:$AC,2,FALSE))="AMX",(VLOOKUP(Table2[[#This Row],[SKU]],'All Skus'!$A:$AC,19,FALSE)),""))</f>
        <v>16.25</v>
      </c>
      <c r="O106" s="47">
        <f>(IF((VLOOKUP(Table2[[#This Row],[SKU]],'All Skus'!$A:$AC,2,FALSE))="AMX",(VLOOKUP(Table2[[#This Row],[SKU]],'All Skus'!$A:$AC,20,FALSE)),""))</f>
        <v>11.75</v>
      </c>
      <c r="P106" s="47">
        <f>(IF((VLOOKUP(Table2[[#This Row],[SKU]],'All Skus'!$A:$AC,2,FALSE))="AMX",(VLOOKUP(Table2[[#This Row],[SKU]],'All Skus'!$A:$AC,21,FALSE)),""))</f>
        <v>3.25</v>
      </c>
      <c r="Q106" s="47" t="str">
        <f>(IF((VLOOKUP(Table2[[#This Row],[SKU]],'All Skus'!$A:$AC,2,FALSE))="AMX",(VLOOKUP(Table2[[#This Row],[SKU]],'All Skus'!$A:$AC,22,FALSE)),""))</f>
        <v>TW</v>
      </c>
      <c r="R106" s="47" t="str">
        <f>(IF((VLOOKUP(Table2[[#This Row],[SKU]],'All Skus'!$A:$AC,2,FALSE))="AMX",(VLOOKUP(Table2[[#This Row],[SKU]],'All Skus'!$A:$AC,23,FALSE)),""))</f>
        <v>Compliant</v>
      </c>
      <c r="S106" s="210" t="str">
        <f>HYPERLINK((IF((VLOOKUP(Table2[[#This Row],[SKU]],'All Skus'!$A:$AC,2,FALSE))="AMX",(VLOOKUP(Table2[[#This Row],[SKU]],'All Skus'!$A:$AC,24,FALSE)),"")))</f>
        <v>https://www.amx.com/en-US/products/dgx-i-dxfp-4k60</v>
      </c>
      <c r="T106" s="151">
        <v>104</v>
      </c>
    </row>
    <row r="107" spans="1:20" ht="15" hidden="1" customHeight="1">
      <c r="A107" s="48" t="s">
        <v>611</v>
      </c>
      <c r="B107" s="280" t="str">
        <f>(IF((VLOOKUP(Table2[[#This Row],[SKU]],'All Skus'!$A:$AC,2,FALSE))="AMX",(VLOOKUP(Table2[[#This Row],[SKU]],'All Skus'!$A:$AC,3,FALSE)),""))</f>
        <v>Digital Media Switchers</v>
      </c>
      <c r="C107" s="280" t="str">
        <f>(IF((VLOOKUP(Table2[[#This Row],[SKU]],'All Skus'!$A:$AC,2,FALSE))="AMX",(VLOOKUP(Table2[[#This Row],[SKU]],'All Skus'!$A:$AC,4,FALSE)),""))</f>
        <v>DGX-O-DXFP-4K60</v>
      </c>
      <c r="D107" s="47" t="str">
        <f>(IF((VLOOKUP(Table2[[#This Row],[SKU]],'All Skus'!$A:$AC,2,FALSE))="AMX",(VLOOKUP(Table2[[#This Row],[SKU]],'All Skus'!$A:$AC,5,FALSE)),""))</f>
        <v>AMX-ENV</v>
      </c>
      <c r="E107" s="281">
        <f>(IF((VLOOKUP(Table2[[#This Row],[SKU]],'All Skus'!$A:$AC,2,FALSE))="AMX",(VLOOKUP(Table2[[#This Row],[SKU]],'All Skus'!$A:$AC,7,FALSE)),""))</f>
        <v>0</v>
      </c>
      <c r="F107" s="280" t="str">
        <f>(IF((VLOOKUP(Table2[[#This Row],[SKU]],'All Skus'!$A:$AC,2,FALSE))="AMX",(VLOOKUP(Table2[[#This Row],[SKU]],'All Skus'!$A:$AC,8,FALSE)),""))</f>
        <v>Enova DGX DXLink 4K60 Fiber Output Board</v>
      </c>
      <c r="G107" s="280" t="str">
        <f>(IF((VLOOKUP(Table2[[#This Row],[SKU]],'All Skus'!$A:$AC,2,FALSE))="AMX",(VLOOKUP(Table2[[#This Row],[SKU]],'All Skus'!$A:$AC,9,FALSE)),""))</f>
        <v>4 connection 4K60 DXLink Fiber Enova DGX Output Board includes HDCP 2.2 compliance and HDR support, compatible with Enova DGX 800, 1600, 3200 and 6400 Enclosures</v>
      </c>
      <c r="H107" s="157">
        <f>(IF((VLOOKUP(Table2[[#This Row],[SKU]],'All Skus'!$A:$AC,2,FALSE))="AMX",(VLOOKUP(Table2[[#This Row],[SKU]],'All Skus'!$A:$AC,10,FALSE)),""))</f>
        <v>5060</v>
      </c>
      <c r="I107" s="157">
        <f>(IF((VLOOKUP(Table2[[#This Row],[SKU]],'All Skus'!$A:$AC,2,FALSE))="AMX",(VLOOKUP(Table2[[#This Row],[SKU]],'All Skus'!$A:$AC,11,FALSE)),""))</f>
        <v>5060</v>
      </c>
      <c r="J107" s="47">
        <f>(IF((VLOOKUP(Table2[[#This Row],[SKU]],'All Skus'!$A:$AC,2,FALSE))="AMX",(VLOOKUP(Table2[[#This Row],[SKU]],'All Skus'!$A:$AC,15,FALSE)),""))</f>
        <v>0</v>
      </c>
      <c r="K107" s="47">
        <f>(IF((VLOOKUP(Table2[[#This Row],[SKU]],'All Skus'!$A:$AC,2,FALSE))="AMX",(VLOOKUP(Table2[[#This Row],[SKU]],'All Skus'!$A:$AC,16,FALSE)),""))</f>
        <v>718878026601</v>
      </c>
      <c r="L107" s="47">
        <f>(IF((VLOOKUP(Table2[[#This Row],[SKU]],'All Skus'!$A:$AC,2,FALSE))="AMX",(VLOOKUP(Table2[[#This Row],[SKU]],'All Skus'!$A:$AC,17,FALSE)),""))</f>
        <v>0</v>
      </c>
      <c r="M107" s="63">
        <f>(IF((VLOOKUP(Table2[[#This Row],[SKU]],'All Skus'!$A:$AC,2,FALSE))="AMX",(VLOOKUP(Table2[[#This Row],[SKU]],'All Skus'!$A:$AC,18,FALSE)),""))</f>
        <v>2</v>
      </c>
      <c r="N107" s="47">
        <f>(IF((VLOOKUP(Table2[[#This Row],[SKU]],'All Skus'!$A:$AC,2,FALSE))="AMX",(VLOOKUP(Table2[[#This Row],[SKU]],'All Skus'!$A:$AC,19,FALSE)),""))</f>
        <v>16.25</v>
      </c>
      <c r="O107" s="47">
        <f>(IF((VLOOKUP(Table2[[#This Row],[SKU]],'All Skus'!$A:$AC,2,FALSE))="AMX",(VLOOKUP(Table2[[#This Row],[SKU]],'All Skus'!$A:$AC,20,FALSE)),""))</f>
        <v>11.75</v>
      </c>
      <c r="P107" s="47">
        <f>(IF((VLOOKUP(Table2[[#This Row],[SKU]],'All Skus'!$A:$AC,2,FALSE))="AMX",(VLOOKUP(Table2[[#This Row],[SKU]],'All Skus'!$A:$AC,21,FALSE)),""))</f>
        <v>3.25</v>
      </c>
      <c r="Q107" s="47" t="str">
        <f>(IF((VLOOKUP(Table2[[#This Row],[SKU]],'All Skus'!$A:$AC,2,FALSE))="AMX",(VLOOKUP(Table2[[#This Row],[SKU]],'All Skus'!$A:$AC,22,FALSE)),""))</f>
        <v>TW</v>
      </c>
      <c r="R107" s="47" t="str">
        <f>(IF((VLOOKUP(Table2[[#This Row],[SKU]],'All Skus'!$A:$AC,2,FALSE))="AMX",(VLOOKUP(Table2[[#This Row],[SKU]],'All Skus'!$A:$AC,23,FALSE)),""))</f>
        <v>Compliant</v>
      </c>
      <c r="S107" s="210" t="str">
        <f>HYPERLINK((IF((VLOOKUP(Table2[[#This Row],[SKU]],'All Skus'!$A:$AC,2,FALSE))="AMX",(VLOOKUP(Table2[[#This Row],[SKU]],'All Skus'!$A:$AC,24,FALSE)),"")))</f>
        <v>https://www.amx.com/en-US/products/dgx-o-dxfp-4k60</v>
      </c>
      <c r="T107" s="151">
        <v>105</v>
      </c>
    </row>
    <row r="108" spans="1:20" ht="15" hidden="1" customHeight="1">
      <c r="A108" s="48" t="s">
        <v>612</v>
      </c>
      <c r="B108" s="280" t="str">
        <f>(IF((VLOOKUP(Table2[[#This Row],[SKU]],'All Skus'!$A:$AC,2,FALSE))="AMX",(VLOOKUP(Table2[[#This Row],[SKU]],'All Skus'!$A:$AC,3,FALSE)),""))</f>
        <v>Digital Media Switchers</v>
      </c>
      <c r="C108" s="280" t="str">
        <f>(IF((VLOOKUP(Table2[[#This Row],[SKU]],'All Skus'!$A:$AC,2,FALSE))="AMX",(VLOOKUP(Table2[[#This Row],[SKU]],'All Skus'!$A:$AC,4,FALSE)),""))</f>
        <v>DGX6400-ENC</v>
      </c>
      <c r="D108" s="47" t="str">
        <f>(IF((VLOOKUP(Table2[[#This Row],[SKU]],'All Skus'!$A:$AC,2,FALSE))="AMX",(VLOOKUP(Table2[[#This Row],[SKU]],'All Skus'!$A:$AC,5,FALSE)),""))</f>
        <v>AMX-ENV</v>
      </c>
      <c r="E108" s="281">
        <f>(IF((VLOOKUP(Table2[[#This Row],[SKU]],'All Skus'!$A:$AC,2,FALSE))="AMX",(VLOOKUP(Table2[[#This Row],[SKU]],'All Skus'!$A:$AC,7,FALSE)),""))</f>
        <v>0</v>
      </c>
      <c r="F108" s="280" t="str">
        <f>(IF((VLOOKUP(Table2[[#This Row],[SKU]],'All Skus'!$A:$AC,2,FALSE))="AMX",(VLOOKUP(Table2[[#This Row],[SKU]],'All Skus'!$A:$AC,8,FALSE)),""))</f>
        <v>Enova DGX 6400 Enclosure</v>
      </c>
      <c r="G108" s="280" t="str">
        <f>(IF((VLOOKUP(Table2[[#This Row],[SKU]],'All Skus'!$A:$AC,2,FALSE))="AMX",(VLOOKUP(Table2[[#This Row],[SKU]],'All Skus'!$A:$AC,9,FALSE)),""))</f>
        <v>Enova DGX 6400 Digital Media Enclosure with Integrated NX Controller, 4K Ready, 13RU, compatible with Enova DGX Boards, DXLink Twisted Pair and Fiber Boards for a maximum configuration of 64x64</v>
      </c>
      <c r="H108" s="157">
        <f>(IF((VLOOKUP(Table2[[#This Row],[SKU]],'All Skus'!$A:$AC,2,FALSE))="AMX",(VLOOKUP(Table2[[#This Row],[SKU]],'All Skus'!$A:$AC,10,FALSE)),""))</f>
        <v>59408</v>
      </c>
      <c r="I108" s="157">
        <f>(IF((VLOOKUP(Table2[[#This Row],[SKU]],'All Skus'!$A:$AC,2,FALSE))="AMX",(VLOOKUP(Table2[[#This Row],[SKU]],'All Skus'!$A:$AC,11,FALSE)),""))</f>
        <v>59408</v>
      </c>
      <c r="J108" s="47">
        <f>(IF((VLOOKUP(Table2[[#This Row],[SKU]],'All Skus'!$A:$AC,2,FALSE))="AMX",(VLOOKUP(Table2[[#This Row],[SKU]],'All Skus'!$A:$AC,15,FALSE)),""))</f>
        <v>0</v>
      </c>
      <c r="K108" s="47">
        <f>(IF((VLOOKUP(Table2[[#This Row],[SKU]],'All Skus'!$A:$AC,2,FALSE))="AMX",(VLOOKUP(Table2[[#This Row],[SKU]],'All Skus'!$A:$AC,16,FALSE)),""))</f>
        <v>718878022726</v>
      </c>
      <c r="L108" s="47">
        <f>(IF((VLOOKUP(Table2[[#This Row],[SKU]],'All Skus'!$A:$AC,2,FALSE))="AMX",(VLOOKUP(Table2[[#This Row],[SKU]],'All Skus'!$A:$AC,17,FALSE)),""))</f>
        <v>0</v>
      </c>
      <c r="M108" s="63">
        <f>(IF((VLOOKUP(Table2[[#This Row],[SKU]],'All Skus'!$A:$AC,2,FALSE))="AMX",(VLOOKUP(Table2[[#This Row],[SKU]],'All Skus'!$A:$AC,18,FALSE)),""))</f>
        <v>150</v>
      </c>
      <c r="N108" s="47">
        <f>(IF((VLOOKUP(Table2[[#This Row],[SKU]],'All Skus'!$A:$AC,2,FALSE))="AMX",(VLOOKUP(Table2[[#This Row],[SKU]],'All Skus'!$A:$AC,19,FALSE)),""))</f>
        <v>22.75</v>
      </c>
      <c r="O108" s="47">
        <f>(IF((VLOOKUP(Table2[[#This Row],[SKU]],'All Skus'!$A:$AC,2,FALSE))="AMX",(VLOOKUP(Table2[[#This Row],[SKU]],'All Skus'!$A:$AC,20,FALSE)),""))</f>
        <v>20.125</v>
      </c>
      <c r="P108" s="47">
        <f>(IF((VLOOKUP(Table2[[#This Row],[SKU]],'All Skus'!$A:$AC,2,FALSE))="AMX",(VLOOKUP(Table2[[#This Row],[SKU]],'All Skus'!$A:$AC,21,FALSE)),""))</f>
        <v>18.9375</v>
      </c>
      <c r="Q108" s="47" t="str">
        <f>(IF((VLOOKUP(Table2[[#This Row],[SKU]],'All Skus'!$A:$AC,2,FALSE))="AMX",(VLOOKUP(Table2[[#This Row],[SKU]],'All Skus'!$A:$AC,22,FALSE)),""))</f>
        <v>MX</v>
      </c>
      <c r="R108" s="47" t="str">
        <f>(IF((VLOOKUP(Table2[[#This Row],[SKU]],'All Skus'!$A:$AC,2,FALSE))="AMX",(VLOOKUP(Table2[[#This Row],[SKU]],'All Skus'!$A:$AC,23,FALSE)),""))</f>
        <v>Compliant</v>
      </c>
      <c r="S108" s="210" t="str">
        <f>HYPERLINK((IF((VLOOKUP(Table2[[#This Row],[SKU]],'All Skus'!$A:$AC,2,FALSE))="AMX",(VLOOKUP(Table2[[#This Row],[SKU]],'All Skus'!$A:$AC,24,FALSE)),"")))</f>
        <v>https://www.amx.com/en-US/products/dgx6400-enc</v>
      </c>
      <c r="T108" s="151">
        <v>106</v>
      </c>
    </row>
    <row r="109" spans="1:20" ht="15" hidden="1" customHeight="1">
      <c r="A109" s="48" t="s">
        <v>613</v>
      </c>
      <c r="B109" s="280" t="str">
        <f>(IF((VLOOKUP(Table2[[#This Row],[SKU]],'All Skus'!$A:$AC,2,FALSE))="AMX",(VLOOKUP(Table2[[#This Row],[SKU]],'All Skus'!$A:$AC,3,FALSE)),""))</f>
        <v>Digital Media Switchers</v>
      </c>
      <c r="C109" s="280" t="str">
        <f>(IF((VLOOKUP(Table2[[#This Row],[SKU]],'All Skus'!$A:$AC,2,FALSE))="AMX",(VLOOKUP(Table2[[#This Row],[SKU]],'All Skus'!$A:$AC,4,FALSE)),""))</f>
        <v>DGX800/1600-ASB</v>
      </c>
      <c r="D109" s="47" t="str">
        <f>(IF((VLOOKUP(Table2[[#This Row],[SKU]],'All Skus'!$A:$AC,2,FALSE))="AMX",(VLOOKUP(Table2[[#This Row],[SKU]],'All Skus'!$A:$AC,5,FALSE)),""))</f>
        <v>AMX-ENV</v>
      </c>
      <c r="E109" s="281">
        <f>(IF((VLOOKUP(Table2[[#This Row],[SKU]],'All Skus'!$A:$AC,2,FALSE))="AMX",(VLOOKUP(Table2[[#This Row],[SKU]],'All Skus'!$A:$AC,7,FALSE)),""))</f>
        <v>0</v>
      </c>
      <c r="F109" s="280" t="str">
        <f>(IF((VLOOKUP(Table2[[#This Row],[SKU]],'All Skus'!$A:$AC,2,FALSE))="AMX",(VLOOKUP(Table2[[#This Row],[SKU]],'All Skus'!$A:$AC,8,FALSE)),""))</f>
        <v>Audio Switching Board Kit For Enova DGX 800/1600</v>
      </c>
      <c r="G109" s="280" t="str">
        <f>(IF((VLOOKUP(Table2[[#This Row],[SKU]],'All Skus'!$A:$AC,2,FALSE))="AMX",(VLOOKUP(Table2[[#This Row],[SKU]],'All Skus'!$A:$AC,9,FALSE)),""))</f>
        <v>The DGX800/1600-AS is a pair of audio switching boards that include both an Input and an Output board for the Enova DGX 800 and 1600, includes audio breakaway, downmixing, DSP and 10 band parametric EQ on every output</v>
      </c>
      <c r="H109" s="157">
        <f>(IF((VLOOKUP(Table2[[#This Row],[SKU]],'All Skus'!$A:$AC,2,FALSE))="AMX",(VLOOKUP(Table2[[#This Row],[SKU]],'All Skus'!$A:$AC,10,FALSE)),""))</f>
        <v>5956</v>
      </c>
      <c r="I109" s="157">
        <f>(IF((VLOOKUP(Table2[[#This Row],[SKU]],'All Skus'!$A:$AC,2,FALSE))="AMX",(VLOOKUP(Table2[[#This Row],[SKU]],'All Skus'!$A:$AC,11,FALSE)),""))</f>
        <v>5956</v>
      </c>
      <c r="J109" s="47">
        <f>(IF((VLOOKUP(Table2[[#This Row],[SKU]],'All Skus'!$A:$AC,2,FALSE))="AMX",(VLOOKUP(Table2[[#This Row],[SKU]],'All Skus'!$A:$AC,15,FALSE)),""))</f>
        <v>0</v>
      </c>
      <c r="K109" s="47">
        <f>(IF((VLOOKUP(Table2[[#This Row],[SKU]],'All Skus'!$A:$AC,2,FALSE))="AMX",(VLOOKUP(Table2[[#This Row],[SKU]],'All Skus'!$A:$AC,16,FALSE)),""))</f>
        <v>718878245996</v>
      </c>
      <c r="L109" s="47">
        <f>(IF((VLOOKUP(Table2[[#This Row],[SKU]],'All Skus'!$A:$AC,2,FALSE))="AMX",(VLOOKUP(Table2[[#This Row],[SKU]],'All Skus'!$A:$AC,17,FALSE)),""))</f>
        <v>0</v>
      </c>
      <c r="M109" s="63">
        <f>(IF((VLOOKUP(Table2[[#This Row],[SKU]],'All Skus'!$A:$AC,2,FALSE))="AMX",(VLOOKUP(Table2[[#This Row],[SKU]],'All Skus'!$A:$AC,18,FALSE)),""))</f>
        <v>0</v>
      </c>
      <c r="N109" s="47">
        <f>(IF((VLOOKUP(Table2[[#This Row],[SKU]],'All Skus'!$A:$AC,2,FALSE))="AMX",(VLOOKUP(Table2[[#This Row],[SKU]],'All Skus'!$A:$AC,19,FALSE)),""))</f>
        <v>0</v>
      </c>
      <c r="O109" s="47">
        <f>(IF((VLOOKUP(Table2[[#This Row],[SKU]],'All Skus'!$A:$AC,2,FALSE))="AMX",(VLOOKUP(Table2[[#This Row],[SKU]],'All Skus'!$A:$AC,20,FALSE)),""))</f>
        <v>0</v>
      </c>
      <c r="P109" s="47">
        <f>(IF((VLOOKUP(Table2[[#This Row],[SKU]],'All Skus'!$A:$AC,2,FALSE))="AMX",(VLOOKUP(Table2[[#This Row],[SKU]],'All Skus'!$A:$AC,21,FALSE)),""))</f>
        <v>0</v>
      </c>
      <c r="Q109" s="47" t="str">
        <f>(IF((VLOOKUP(Table2[[#This Row],[SKU]],'All Skus'!$A:$AC,2,FALSE))="AMX",(VLOOKUP(Table2[[#This Row],[SKU]],'All Skus'!$A:$AC,22,FALSE)),""))</f>
        <v>MX</v>
      </c>
      <c r="R109" s="47" t="str">
        <f>(IF((VLOOKUP(Table2[[#This Row],[SKU]],'All Skus'!$A:$AC,2,FALSE))="AMX",(VLOOKUP(Table2[[#This Row],[SKU]],'All Skus'!$A:$AC,23,FALSE)),""))</f>
        <v>Compliant</v>
      </c>
      <c r="S109" s="210" t="str">
        <f>HYPERLINK((IF((VLOOKUP(Table2[[#This Row],[SKU]],'All Skus'!$A:$AC,2,FALSE))="AMX",(VLOOKUP(Table2[[#This Row],[SKU]],'All Skus'!$A:$AC,24,FALSE)),"")))</f>
        <v>https://www.amx.com/en-US/products/dgx800-1600-asb</v>
      </c>
      <c r="T109" s="151">
        <v>107</v>
      </c>
    </row>
    <row r="110" spans="1:20" ht="15" hidden="1" customHeight="1">
      <c r="A110" s="48" t="s">
        <v>614</v>
      </c>
      <c r="B110" s="280" t="str">
        <f>(IF((VLOOKUP(Table2[[#This Row],[SKU]],'All Skus'!$A:$AC,2,FALSE))="AMX",(VLOOKUP(Table2[[#This Row],[SKU]],'All Skus'!$A:$AC,3,FALSE)),""))</f>
        <v>Digital Media Switchers</v>
      </c>
      <c r="C110" s="280" t="str">
        <f>(IF((VLOOKUP(Table2[[#This Row],[SKU]],'All Skus'!$A:$AC,2,FALSE))="AMX",(VLOOKUP(Table2[[#This Row],[SKU]],'All Skus'!$A:$AC,4,FALSE)),""))</f>
        <v>DGX3200-ASB</v>
      </c>
      <c r="D110" s="47" t="str">
        <f>(IF((VLOOKUP(Table2[[#This Row],[SKU]],'All Skus'!$A:$AC,2,FALSE))="AMX",(VLOOKUP(Table2[[#This Row],[SKU]],'All Skus'!$A:$AC,5,FALSE)),""))</f>
        <v>AMX-ENV</v>
      </c>
      <c r="E110" s="281">
        <f>(IF((VLOOKUP(Table2[[#This Row],[SKU]],'All Skus'!$A:$AC,2,FALSE))="AMX",(VLOOKUP(Table2[[#This Row],[SKU]],'All Skus'!$A:$AC,7,FALSE)),""))</f>
        <v>0</v>
      </c>
      <c r="F110" s="280" t="str">
        <f>(IF((VLOOKUP(Table2[[#This Row],[SKU]],'All Skus'!$A:$AC,2,FALSE))="AMX",(VLOOKUP(Table2[[#This Row],[SKU]],'All Skus'!$A:$AC,8,FALSE)),""))</f>
        <v>Audio Switching Board Kit For Enova DGX 3200</v>
      </c>
      <c r="G110" s="280" t="str">
        <f>(IF((VLOOKUP(Table2[[#This Row],[SKU]],'All Skus'!$A:$AC,2,FALSE))="AMX",(VLOOKUP(Table2[[#This Row],[SKU]],'All Skus'!$A:$AC,9,FALSE)),""))</f>
        <v>The DGX3200-ASB is a pair of audio switching boards that include both an Input and an Output board for the Enova DGX 3200, includes audio breakaway, downmixing, DSP and 10 band parametric EQ on every output</v>
      </c>
      <c r="H110" s="157">
        <f>(IF((VLOOKUP(Table2[[#This Row],[SKU]],'All Skus'!$A:$AC,2,FALSE))="AMX",(VLOOKUP(Table2[[#This Row],[SKU]],'All Skus'!$A:$AC,10,FALSE)),""))</f>
        <v>7500</v>
      </c>
      <c r="I110" s="157">
        <f>(IF((VLOOKUP(Table2[[#This Row],[SKU]],'All Skus'!$A:$AC,2,FALSE))="AMX",(VLOOKUP(Table2[[#This Row],[SKU]],'All Skus'!$A:$AC,11,FALSE)),""))</f>
        <v>7500</v>
      </c>
      <c r="J110" s="47">
        <f>(IF((VLOOKUP(Table2[[#This Row],[SKU]],'All Skus'!$A:$AC,2,FALSE))="AMX",(VLOOKUP(Table2[[#This Row],[SKU]],'All Skus'!$A:$AC,15,FALSE)),""))</f>
        <v>0</v>
      </c>
      <c r="K110" s="47">
        <f>(IF((VLOOKUP(Table2[[#This Row],[SKU]],'All Skus'!$A:$AC,2,FALSE))="AMX",(VLOOKUP(Table2[[#This Row],[SKU]],'All Skus'!$A:$AC,16,FALSE)),""))</f>
        <v>718878246009</v>
      </c>
      <c r="L110" s="47">
        <f>(IF((VLOOKUP(Table2[[#This Row],[SKU]],'All Skus'!$A:$AC,2,FALSE))="AMX",(VLOOKUP(Table2[[#This Row],[SKU]],'All Skus'!$A:$AC,17,FALSE)),""))</f>
        <v>0</v>
      </c>
      <c r="M110" s="63">
        <f>(IF((VLOOKUP(Table2[[#This Row],[SKU]],'All Skus'!$A:$AC,2,FALSE))="AMX",(VLOOKUP(Table2[[#This Row],[SKU]],'All Skus'!$A:$AC,18,FALSE)),""))</f>
        <v>0</v>
      </c>
      <c r="N110" s="47">
        <f>(IF((VLOOKUP(Table2[[#This Row],[SKU]],'All Skus'!$A:$AC,2,FALSE))="AMX",(VLOOKUP(Table2[[#This Row],[SKU]],'All Skus'!$A:$AC,19,FALSE)),""))</f>
        <v>0</v>
      </c>
      <c r="O110" s="47">
        <f>(IF((VLOOKUP(Table2[[#This Row],[SKU]],'All Skus'!$A:$AC,2,FALSE))="AMX",(VLOOKUP(Table2[[#This Row],[SKU]],'All Skus'!$A:$AC,20,FALSE)),""))</f>
        <v>0</v>
      </c>
      <c r="P110" s="47">
        <f>(IF((VLOOKUP(Table2[[#This Row],[SKU]],'All Skus'!$A:$AC,2,FALSE))="AMX",(VLOOKUP(Table2[[#This Row],[SKU]],'All Skus'!$A:$AC,21,FALSE)),""))</f>
        <v>0</v>
      </c>
      <c r="Q110" s="47" t="str">
        <f>(IF((VLOOKUP(Table2[[#This Row],[SKU]],'All Skus'!$A:$AC,2,FALSE))="AMX",(VLOOKUP(Table2[[#This Row],[SKU]],'All Skus'!$A:$AC,22,FALSE)),""))</f>
        <v>MX</v>
      </c>
      <c r="R110" s="47" t="str">
        <f>(IF((VLOOKUP(Table2[[#This Row],[SKU]],'All Skus'!$A:$AC,2,FALSE))="AMX",(VLOOKUP(Table2[[#This Row],[SKU]],'All Skus'!$A:$AC,23,FALSE)),""))</f>
        <v>Compliant</v>
      </c>
      <c r="S110" s="210" t="str">
        <f>HYPERLINK((IF((VLOOKUP(Table2[[#This Row],[SKU]],'All Skus'!$A:$AC,2,FALSE))="AMX",(VLOOKUP(Table2[[#This Row],[SKU]],'All Skus'!$A:$AC,24,FALSE)),"")))</f>
        <v>https://www.amx.com/en-US/products/dgx3200-asb</v>
      </c>
      <c r="T110" s="151">
        <v>108</v>
      </c>
    </row>
    <row r="111" spans="1:20" ht="15" hidden="1" customHeight="1">
      <c r="A111" s="48" t="s">
        <v>615</v>
      </c>
      <c r="B111" s="280" t="str">
        <f>(IF((VLOOKUP(Table2[[#This Row],[SKU]],'All Skus'!$A:$AC,2,FALSE))="AMX",(VLOOKUP(Table2[[#This Row],[SKU]],'All Skus'!$A:$AC,3,FALSE)),""))</f>
        <v>Digital Media Switchers</v>
      </c>
      <c r="C111" s="280" t="str">
        <f>(IF((VLOOKUP(Table2[[#This Row],[SKU]],'All Skus'!$A:$AC,2,FALSE))="AMX",(VLOOKUP(Table2[[#This Row],[SKU]],'All Skus'!$A:$AC,4,FALSE)),""))</f>
        <v>DGX6400-ASB</v>
      </c>
      <c r="D111" s="47" t="str">
        <f>(IF((VLOOKUP(Table2[[#This Row],[SKU]],'All Skus'!$A:$AC,2,FALSE))="AMX",(VLOOKUP(Table2[[#This Row],[SKU]],'All Skus'!$A:$AC,5,FALSE)),""))</f>
        <v>AMX-ENV</v>
      </c>
      <c r="E111" s="281">
        <f>(IF((VLOOKUP(Table2[[#This Row],[SKU]],'All Skus'!$A:$AC,2,FALSE))="AMX",(VLOOKUP(Table2[[#This Row],[SKU]],'All Skus'!$A:$AC,7,FALSE)),""))</f>
        <v>0</v>
      </c>
      <c r="F111" s="280" t="str">
        <f>(IF((VLOOKUP(Table2[[#This Row],[SKU]],'All Skus'!$A:$AC,2,FALSE))="AMX",(VLOOKUP(Table2[[#This Row],[SKU]],'All Skus'!$A:$AC,8,FALSE)),""))</f>
        <v>Audio Switching Board Kit For Enova DGX 6400</v>
      </c>
      <c r="G111" s="280" t="str">
        <f>(IF((VLOOKUP(Table2[[#This Row],[SKU]],'All Skus'!$A:$AC,2,FALSE))="AMX",(VLOOKUP(Table2[[#This Row],[SKU]],'All Skus'!$A:$AC,9,FALSE)),""))</f>
        <v>The DGX6400-ASB is two pairs of audio switching boards that include two Input and two Output boards for the Enova DGX 6400, includes audio breakaway, downmixing, DSP and 10 band parametric EQ on every output</v>
      </c>
      <c r="H111" s="157">
        <f>(IF((VLOOKUP(Table2[[#This Row],[SKU]],'All Skus'!$A:$AC,2,FALSE))="AMX",(VLOOKUP(Table2[[#This Row],[SKU]],'All Skus'!$A:$AC,10,FALSE)),""))</f>
        <v>15000</v>
      </c>
      <c r="I111" s="157">
        <f>(IF((VLOOKUP(Table2[[#This Row],[SKU]],'All Skus'!$A:$AC,2,FALSE))="AMX",(VLOOKUP(Table2[[#This Row],[SKU]],'All Skus'!$A:$AC,11,FALSE)),""))</f>
        <v>15000</v>
      </c>
      <c r="J111" s="47">
        <f>(IF((VLOOKUP(Table2[[#This Row],[SKU]],'All Skus'!$A:$AC,2,FALSE))="AMX",(VLOOKUP(Table2[[#This Row],[SKU]],'All Skus'!$A:$AC,15,FALSE)),""))</f>
        <v>0</v>
      </c>
      <c r="K111" s="47">
        <f>(IF((VLOOKUP(Table2[[#This Row],[SKU]],'All Skus'!$A:$AC,2,FALSE))="AMX",(VLOOKUP(Table2[[#This Row],[SKU]],'All Skus'!$A:$AC,16,FALSE)),""))</f>
        <v>718878246115</v>
      </c>
      <c r="L111" s="47">
        <f>(IF((VLOOKUP(Table2[[#This Row],[SKU]],'All Skus'!$A:$AC,2,FALSE))="AMX",(VLOOKUP(Table2[[#This Row],[SKU]],'All Skus'!$A:$AC,17,FALSE)),""))</f>
        <v>0</v>
      </c>
      <c r="M111" s="63">
        <f>(IF((VLOOKUP(Table2[[#This Row],[SKU]],'All Skus'!$A:$AC,2,FALSE))="AMX",(VLOOKUP(Table2[[#This Row],[SKU]],'All Skus'!$A:$AC,18,FALSE)),""))</f>
        <v>28.66</v>
      </c>
      <c r="N111" s="47">
        <f>(IF((VLOOKUP(Table2[[#This Row],[SKU]],'All Skus'!$A:$AC,2,FALSE))="AMX",(VLOOKUP(Table2[[#This Row],[SKU]],'All Skus'!$A:$AC,19,FALSE)),""))</f>
        <v>22</v>
      </c>
      <c r="O111" s="47">
        <f>(IF((VLOOKUP(Table2[[#This Row],[SKU]],'All Skus'!$A:$AC,2,FALSE))="AMX",(VLOOKUP(Table2[[#This Row],[SKU]],'All Skus'!$A:$AC,20,FALSE)),""))</f>
        <v>22</v>
      </c>
      <c r="P111" s="47">
        <f>(IF((VLOOKUP(Table2[[#This Row],[SKU]],'All Skus'!$A:$AC,2,FALSE))="AMX",(VLOOKUP(Table2[[#This Row],[SKU]],'All Skus'!$A:$AC,21,FALSE)),""))</f>
        <v>7</v>
      </c>
      <c r="Q111" s="47" t="str">
        <f>(IF((VLOOKUP(Table2[[#This Row],[SKU]],'All Skus'!$A:$AC,2,FALSE))="AMX",(VLOOKUP(Table2[[#This Row],[SKU]],'All Skus'!$A:$AC,22,FALSE)),""))</f>
        <v>US</v>
      </c>
      <c r="R111" s="47" t="str">
        <f>(IF((VLOOKUP(Table2[[#This Row],[SKU]],'All Skus'!$A:$AC,2,FALSE))="AMX",(VLOOKUP(Table2[[#This Row],[SKU]],'All Skus'!$A:$AC,23,FALSE)),""))</f>
        <v>Compliant</v>
      </c>
      <c r="S111" s="210" t="str">
        <f>HYPERLINK((IF((VLOOKUP(Table2[[#This Row],[SKU]],'All Skus'!$A:$AC,2,FALSE))="AMX",(VLOOKUP(Table2[[#This Row],[SKU]],'All Skus'!$A:$AC,24,FALSE)),"")))</f>
        <v>https://www.amx.com/en-US/products/dgx6400-asb</v>
      </c>
      <c r="T111" s="151">
        <v>109</v>
      </c>
    </row>
    <row r="112" spans="1:20" ht="15" hidden="1" customHeight="1">
      <c r="A112" s="48" t="s">
        <v>616</v>
      </c>
      <c r="B112" s="280" t="str">
        <f>(IF((VLOOKUP(Table2[[#This Row],[SKU]],'All Skus'!$A:$AC,2,FALSE))="AMX",(VLOOKUP(Table2[[#This Row],[SKU]],'All Skus'!$A:$AC,3,FALSE)),""))</f>
        <v>Digital Media Switchers</v>
      </c>
      <c r="C112" s="280" t="str">
        <f>(IF((VLOOKUP(Table2[[#This Row],[SKU]],'All Skus'!$A:$AC,2,FALSE))="AMX",(VLOOKUP(Table2[[#This Row],[SKU]],'All Skus'!$A:$AC,4,FALSE)),""))</f>
        <v>DGX3200-ASB-DAN</v>
      </c>
      <c r="D112" s="47" t="str">
        <f>(IF((VLOOKUP(Table2[[#This Row],[SKU]],'All Skus'!$A:$AC,2,FALSE))="AMX",(VLOOKUP(Table2[[#This Row],[SKU]],'All Skus'!$A:$AC,5,FALSE)),""))</f>
        <v>AMX-ENV</v>
      </c>
      <c r="E112" s="281">
        <f>(IF((VLOOKUP(Table2[[#This Row],[SKU]],'All Skus'!$A:$AC,2,FALSE))="AMX",(VLOOKUP(Table2[[#This Row],[SKU]],'All Skus'!$A:$AC,7,FALSE)),""))</f>
        <v>0</v>
      </c>
      <c r="F112" s="280" t="str">
        <f>(IF((VLOOKUP(Table2[[#This Row],[SKU]],'All Skus'!$A:$AC,2,FALSE))="AMX",(VLOOKUP(Table2[[#This Row],[SKU]],'All Skus'!$A:$AC,8,FALSE)),""))</f>
        <v>Enova DGX Dante Audio Switching Board Kit for 800/1600/3200</v>
      </c>
      <c r="G112" s="280" t="str">
        <f>(IF((VLOOKUP(Table2[[#This Row],[SKU]],'All Skus'!$A:$AC,2,FALSE))="AMX",(VLOOKUP(Table2[[#This Row],[SKU]],'All Skus'!$A:$AC,9,FALSE)),""))</f>
        <v>Enova DGX Dante Audio Switching Board Kit for 800/1600/3200</v>
      </c>
      <c r="H112" s="157">
        <f>(IF((VLOOKUP(Table2[[#This Row],[SKU]],'All Skus'!$A:$AC,2,FALSE))="AMX",(VLOOKUP(Table2[[#This Row],[SKU]],'All Skus'!$A:$AC,10,FALSE)),""))</f>
        <v>7500</v>
      </c>
      <c r="I112" s="157">
        <f>(IF((VLOOKUP(Table2[[#This Row],[SKU]],'All Skus'!$A:$AC,2,FALSE))="AMX",(VLOOKUP(Table2[[#This Row],[SKU]],'All Skus'!$A:$AC,11,FALSE)),""))</f>
        <v>7500</v>
      </c>
      <c r="J112" s="47">
        <f>(IF((VLOOKUP(Table2[[#This Row],[SKU]],'All Skus'!$A:$AC,2,FALSE))="AMX",(VLOOKUP(Table2[[#This Row],[SKU]],'All Skus'!$A:$AC,15,FALSE)),""))</f>
        <v>0</v>
      </c>
      <c r="K112" s="47">
        <f>(IF((VLOOKUP(Table2[[#This Row],[SKU]],'All Skus'!$A:$AC,2,FALSE))="AMX",(VLOOKUP(Table2[[#This Row],[SKU]],'All Skus'!$A:$AC,16,FALSE)),""))</f>
        <v>718878000250</v>
      </c>
      <c r="L112" s="47">
        <f>(IF((VLOOKUP(Table2[[#This Row],[SKU]],'All Skus'!$A:$AC,2,FALSE))="AMX",(VLOOKUP(Table2[[#This Row],[SKU]],'All Skus'!$A:$AC,17,FALSE)),""))</f>
        <v>0</v>
      </c>
      <c r="M112" s="63">
        <f>(IF((VLOOKUP(Table2[[#This Row],[SKU]],'All Skus'!$A:$AC,2,FALSE))="AMX",(VLOOKUP(Table2[[#This Row],[SKU]],'All Skus'!$A:$AC,18,FALSE)),""))</f>
        <v>0</v>
      </c>
      <c r="N112" s="47">
        <f>(IF((VLOOKUP(Table2[[#This Row],[SKU]],'All Skus'!$A:$AC,2,FALSE))="AMX",(VLOOKUP(Table2[[#This Row],[SKU]],'All Skus'!$A:$AC,19,FALSE)),""))</f>
        <v>0</v>
      </c>
      <c r="O112" s="47">
        <f>(IF((VLOOKUP(Table2[[#This Row],[SKU]],'All Skus'!$A:$AC,2,FALSE))="AMX",(VLOOKUP(Table2[[#This Row],[SKU]],'All Skus'!$A:$AC,20,FALSE)),""))</f>
        <v>0</v>
      </c>
      <c r="P112" s="47">
        <f>(IF((VLOOKUP(Table2[[#This Row],[SKU]],'All Skus'!$A:$AC,2,FALSE))="AMX",(VLOOKUP(Table2[[#This Row],[SKU]],'All Skus'!$A:$AC,21,FALSE)),""))</f>
        <v>0</v>
      </c>
      <c r="Q112" s="47" t="str">
        <f>(IF((VLOOKUP(Table2[[#This Row],[SKU]],'All Skus'!$A:$AC,2,FALSE))="AMX",(VLOOKUP(Table2[[#This Row],[SKU]],'All Skus'!$A:$AC,22,FALSE)),""))</f>
        <v>MX</v>
      </c>
      <c r="R112" s="47" t="str">
        <f>(IF((VLOOKUP(Table2[[#This Row],[SKU]],'All Skus'!$A:$AC,2,FALSE))="AMX",(VLOOKUP(Table2[[#This Row],[SKU]],'All Skus'!$A:$AC,23,FALSE)),""))</f>
        <v>Compliant</v>
      </c>
      <c r="S112" s="210" t="str">
        <f>HYPERLINK((IF((VLOOKUP(Table2[[#This Row],[SKU]],'All Skus'!$A:$AC,2,FALSE))="AMX",(VLOOKUP(Table2[[#This Row],[SKU]],'All Skus'!$A:$AC,24,FALSE)),"")))</f>
        <v>https://www.amx.com/en-US/products/dgx3200-asb-dan</v>
      </c>
      <c r="T112" s="151">
        <v>110</v>
      </c>
    </row>
    <row r="113" spans="1:20" ht="15" hidden="1" customHeight="1">
      <c r="A113" s="48" t="s">
        <v>617</v>
      </c>
      <c r="B113" s="280" t="str">
        <f>(IF((VLOOKUP(Table2[[#This Row],[SKU]],'All Skus'!$A:$AC,2,FALSE))="AMX",(VLOOKUP(Table2[[#This Row],[SKU]],'All Skus'!$A:$AC,3,FALSE)),""))</f>
        <v>Digital Media Switchers</v>
      </c>
      <c r="C113" s="280" t="str">
        <f>(IF((VLOOKUP(Table2[[#This Row],[SKU]],'All Skus'!$A:$AC,2,FALSE))="AMX",(VLOOKUP(Table2[[#This Row],[SKU]],'All Skus'!$A:$AC,4,FALSE)),""))</f>
        <v>DGX6400-ASB-DAN</v>
      </c>
      <c r="D113" s="47" t="str">
        <f>(IF((VLOOKUP(Table2[[#This Row],[SKU]],'All Skus'!$A:$AC,2,FALSE))="AMX",(VLOOKUP(Table2[[#This Row],[SKU]],'All Skus'!$A:$AC,5,FALSE)),""))</f>
        <v>AMX-ENV</v>
      </c>
      <c r="E113" s="281">
        <f>(IF((VLOOKUP(Table2[[#This Row],[SKU]],'All Skus'!$A:$AC,2,FALSE))="AMX",(VLOOKUP(Table2[[#This Row],[SKU]],'All Skus'!$A:$AC,7,FALSE)),""))</f>
        <v>0</v>
      </c>
      <c r="F113" s="280" t="str">
        <f>(IF((VLOOKUP(Table2[[#This Row],[SKU]],'All Skus'!$A:$AC,2,FALSE))="AMX",(VLOOKUP(Table2[[#This Row],[SKU]],'All Skus'!$A:$AC,8,FALSE)),""))</f>
        <v>Enova DGX Dante Audio Switching Board Kit for 6400</v>
      </c>
      <c r="G113" s="280" t="str">
        <f>(IF((VLOOKUP(Table2[[#This Row],[SKU]],'All Skus'!$A:$AC,2,FALSE))="AMX",(VLOOKUP(Table2[[#This Row],[SKU]],'All Skus'!$A:$AC,9,FALSE)),""))</f>
        <v>Enova DGX Dante Audio Switching Board Kit for 6400</v>
      </c>
      <c r="H113" s="157">
        <f>(IF((VLOOKUP(Table2[[#This Row],[SKU]],'All Skus'!$A:$AC,2,FALSE))="AMX",(VLOOKUP(Table2[[#This Row],[SKU]],'All Skus'!$A:$AC,10,FALSE)),""))</f>
        <v>15000</v>
      </c>
      <c r="I113" s="157">
        <f>(IF((VLOOKUP(Table2[[#This Row],[SKU]],'All Skus'!$A:$AC,2,FALSE))="AMX",(VLOOKUP(Table2[[#This Row],[SKU]],'All Skus'!$A:$AC,11,FALSE)),""))</f>
        <v>15000</v>
      </c>
      <c r="J113" s="47">
        <f>(IF((VLOOKUP(Table2[[#This Row],[SKU]],'All Skus'!$A:$AC,2,FALSE))="AMX",(VLOOKUP(Table2[[#This Row],[SKU]],'All Skus'!$A:$AC,15,FALSE)),""))</f>
        <v>0</v>
      </c>
      <c r="K113" s="47">
        <f>(IF((VLOOKUP(Table2[[#This Row],[SKU]],'All Skus'!$A:$AC,2,FALSE))="AMX",(VLOOKUP(Table2[[#This Row],[SKU]],'All Skus'!$A:$AC,16,FALSE)),""))</f>
        <v>718878003961</v>
      </c>
      <c r="L113" s="47">
        <f>(IF((VLOOKUP(Table2[[#This Row],[SKU]],'All Skus'!$A:$AC,2,FALSE))="AMX",(VLOOKUP(Table2[[#This Row],[SKU]],'All Skus'!$A:$AC,17,FALSE)),""))</f>
        <v>0</v>
      </c>
      <c r="M113" s="63">
        <f>(IF((VLOOKUP(Table2[[#This Row],[SKU]],'All Skus'!$A:$AC,2,FALSE))="AMX",(VLOOKUP(Table2[[#This Row],[SKU]],'All Skus'!$A:$AC,18,FALSE)),""))</f>
        <v>2</v>
      </c>
      <c r="N113" s="47">
        <f>(IF((VLOOKUP(Table2[[#This Row],[SKU]],'All Skus'!$A:$AC,2,FALSE))="AMX",(VLOOKUP(Table2[[#This Row],[SKU]],'All Skus'!$A:$AC,19,FALSE)),""))</f>
        <v>16</v>
      </c>
      <c r="O113" s="47">
        <f>(IF((VLOOKUP(Table2[[#This Row],[SKU]],'All Skus'!$A:$AC,2,FALSE))="AMX",(VLOOKUP(Table2[[#This Row],[SKU]],'All Skus'!$A:$AC,20,FALSE)),""))</f>
        <v>12</v>
      </c>
      <c r="P113" s="47">
        <f>(IF((VLOOKUP(Table2[[#This Row],[SKU]],'All Skus'!$A:$AC,2,FALSE))="AMX",(VLOOKUP(Table2[[#This Row],[SKU]],'All Skus'!$A:$AC,21,FALSE)),""))</f>
        <v>3.5</v>
      </c>
      <c r="Q113" s="47" t="str">
        <f>(IF((VLOOKUP(Table2[[#This Row],[SKU]],'All Skus'!$A:$AC,2,FALSE))="AMX",(VLOOKUP(Table2[[#This Row],[SKU]],'All Skus'!$A:$AC,22,FALSE)),""))</f>
        <v>MX</v>
      </c>
      <c r="R113" s="47" t="str">
        <f>(IF((VLOOKUP(Table2[[#This Row],[SKU]],'All Skus'!$A:$AC,2,FALSE))="AMX",(VLOOKUP(Table2[[#This Row],[SKU]],'All Skus'!$A:$AC,23,FALSE)),""))</f>
        <v>Compliant</v>
      </c>
      <c r="S113" s="210" t="str">
        <f>HYPERLINK((IF((VLOOKUP(Table2[[#This Row],[SKU]],'All Skus'!$A:$AC,2,FALSE))="AMX",(VLOOKUP(Table2[[#This Row],[SKU]],'All Skus'!$A:$AC,24,FALSE)),"")))</f>
        <v>https://www.amx.com/en-US/products/dgx6400-asb-dan</v>
      </c>
      <c r="T113" s="151">
        <v>111</v>
      </c>
    </row>
    <row r="114" spans="1:20" ht="15" hidden="1" customHeight="1">
      <c r="A114" s="48" t="s">
        <v>618</v>
      </c>
      <c r="B114" s="280" t="str">
        <f>(IF((VLOOKUP(Table2[[#This Row],[SKU]],'All Skus'!$A:$AC,2,FALSE))="AMX",(VLOOKUP(Table2[[#This Row],[SKU]],'All Skus'!$A:$AC,3,FALSE)),""))</f>
        <v>Control System Accessories</v>
      </c>
      <c r="C114" s="280" t="str">
        <f>(IF((VLOOKUP(Table2[[#This Row],[SKU]],'All Skus'!$A:$AC,2,FALSE))="AMX",(VLOOKUP(Table2[[#This Row],[SKU]],'All Skus'!$A:$AC,4,FALSE)),""))</f>
        <v>CC-C13-C14</v>
      </c>
      <c r="D114" s="47" t="str">
        <f>(IF((VLOOKUP(Table2[[#This Row],[SKU]],'All Skus'!$A:$AC,2,FALSE))="AMX",(VLOOKUP(Table2[[#This Row],[SKU]],'All Skus'!$A:$AC,5,FALSE)),""))</f>
        <v>AMX-DC</v>
      </c>
      <c r="E114" s="281">
        <f>(IF((VLOOKUP(Table2[[#This Row],[SKU]],'All Skus'!$A:$AC,2,FALSE))="AMX",(VLOOKUP(Table2[[#This Row],[SKU]],'All Skus'!$A:$AC,7,FALSE)),""))</f>
        <v>0</v>
      </c>
      <c r="F114" s="280" t="str">
        <f>(IF((VLOOKUP(Table2[[#This Row],[SKU]],'All Skus'!$A:$AC,2,FALSE))="AMX",(VLOOKUP(Table2[[#This Row],[SKU]],'All Skus'!$A:$AC,8,FALSE)),""))</f>
        <v>PDU Power Cable - C13 to C14</v>
      </c>
      <c r="G114" s="280" t="str">
        <f>(IF((VLOOKUP(Table2[[#This Row],[SKU]],'All Skus'!$A:$AC,2,FALSE))="AMX",(VLOOKUP(Table2[[#This Row],[SKU]],'All Skus'!$A:$AC,9,FALSE)),""))</f>
        <v>Power Cable with C14 and C13 plug types for connecting power to NXA-PDU-1508-8</v>
      </c>
      <c r="H114" s="157">
        <f>(IF((VLOOKUP(Table2[[#This Row],[SKU]],'All Skus'!$A:$AC,2,FALSE))="AMX",(VLOOKUP(Table2[[#This Row],[SKU]],'All Skus'!$A:$AC,10,FALSE)),""))</f>
        <v>40</v>
      </c>
      <c r="I114" s="157">
        <f>(IF((VLOOKUP(Table2[[#This Row],[SKU]],'All Skus'!$A:$AC,2,FALSE))="AMX",(VLOOKUP(Table2[[#This Row],[SKU]],'All Skus'!$A:$AC,11,FALSE)),""))</f>
        <v>40</v>
      </c>
      <c r="J114" s="47">
        <f>(IF((VLOOKUP(Table2[[#This Row],[SKU]],'All Skus'!$A:$AC,2,FALSE))="AMX",(VLOOKUP(Table2[[#This Row],[SKU]],'All Skus'!$A:$AC,15,FALSE)),""))</f>
        <v>0</v>
      </c>
      <c r="K114" s="47">
        <f>(IF((VLOOKUP(Table2[[#This Row],[SKU]],'All Skus'!$A:$AC,2,FALSE))="AMX",(VLOOKUP(Table2[[#This Row],[SKU]],'All Skus'!$A:$AC,16,FALSE)),""))</f>
        <v>718878001660</v>
      </c>
      <c r="L114" s="47">
        <f>(IF((VLOOKUP(Table2[[#This Row],[SKU]],'All Skus'!$A:$AC,2,FALSE))="AMX",(VLOOKUP(Table2[[#This Row],[SKU]],'All Skus'!$A:$AC,17,FALSE)),""))</f>
        <v>0</v>
      </c>
      <c r="M114" s="63">
        <f>(IF((VLOOKUP(Table2[[#This Row],[SKU]],'All Skus'!$A:$AC,2,FALSE))="AMX",(VLOOKUP(Table2[[#This Row],[SKU]],'All Skus'!$A:$AC,18,FALSE)),""))</f>
        <v>1</v>
      </c>
      <c r="N114" s="47">
        <f>(IF((VLOOKUP(Table2[[#This Row],[SKU]],'All Skus'!$A:$AC,2,FALSE))="AMX",(VLOOKUP(Table2[[#This Row],[SKU]],'All Skus'!$A:$AC,19,FALSE)),""))</f>
        <v>13</v>
      </c>
      <c r="O114" s="47">
        <f>(IF((VLOOKUP(Table2[[#This Row],[SKU]],'All Skus'!$A:$AC,2,FALSE))="AMX",(VLOOKUP(Table2[[#This Row],[SKU]],'All Skus'!$A:$AC,20,FALSE)),""))</f>
        <v>4</v>
      </c>
      <c r="P114" s="47">
        <f>(IF((VLOOKUP(Table2[[#This Row],[SKU]],'All Skus'!$A:$AC,2,FALSE))="AMX",(VLOOKUP(Table2[[#This Row],[SKU]],'All Skus'!$A:$AC,21,FALSE)),""))</f>
        <v>1</v>
      </c>
      <c r="Q114" s="47" t="str">
        <f>(IF((VLOOKUP(Table2[[#This Row],[SKU]],'All Skus'!$A:$AC,2,FALSE))="AMX",(VLOOKUP(Table2[[#This Row],[SKU]],'All Skus'!$A:$AC,22,FALSE)),""))</f>
        <v>CN</v>
      </c>
      <c r="R114" s="47" t="str">
        <f>(IF((VLOOKUP(Table2[[#This Row],[SKU]],'All Skus'!$A:$AC,2,FALSE))="AMX",(VLOOKUP(Table2[[#This Row],[SKU]],'All Skus'!$A:$AC,23,FALSE)),""))</f>
        <v>NonCompliant</v>
      </c>
      <c r="S114" s="210" t="str">
        <f>HYPERLINK((IF((VLOOKUP(Table2[[#This Row],[SKU]],'All Skus'!$A:$AC,2,FALSE))="AMX",(VLOOKUP(Table2[[#This Row],[SKU]],'All Skus'!$A:$AC,24,FALSE)),"")))</f>
        <v>https://www.amx.com/en-US/products/cc-c13-c14</v>
      </c>
      <c r="T114" s="151">
        <v>112</v>
      </c>
    </row>
    <row r="115" spans="1:20" ht="15" hidden="1" customHeight="1">
      <c r="A115" s="48" t="s">
        <v>619</v>
      </c>
      <c r="B115" s="280" t="str">
        <f>(IF((VLOOKUP(Table2[[#This Row],[SKU]],'All Skus'!$A:$AC,2,FALSE))="AMX",(VLOOKUP(Table2[[#This Row],[SKU]],'All Skus'!$A:$AC,3,FALSE)),""))</f>
        <v>Control System Accessories</v>
      </c>
      <c r="C115" s="280" t="str">
        <f>(IF((VLOOKUP(Table2[[#This Row],[SKU]],'All Skus'!$A:$AC,2,FALSE))="AMX",(VLOOKUP(Table2[[#This Row],[SKU]],'All Skus'!$A:$AC,4,FALSE)),""))</f>
        <v>CC-C14-NEMA</v>
      </c>
      <c r="D115" s="47" t="str">
        <f>(IF((VLOOKUP(Table2[[#This Row],[SKU]],'All Skus'!$A:$AC,2,FALSE))="AMX",(VLOOKUP(Table2[[#This Row],[SKU]],'All Skus'!$A:$AC,5,FALSE)),""))</f>
        <v>AMX-DC</v>
      </c>
      <c r="E115" s="281">
        <f>(IF((VLOOKUP(Table2[[#This Row],[SKU]],'All Skus'!$A:$AC,2,FALSE))="AMX",(VLOOKUP(Table2[[#This Row],[SKU]],'All Skus'!$A:$AC,7,FALSE)),""))</f>
        <v>0</v>
      </c>
      <c r="F115" s="280" t="str">
        <f>(IF((VLOOKUP(Table2[[#This Row],[SKU]],'All Skus'!$A:$AC,2,FALSE))="AMX",(VLOOKUP(Table2[[#This Row],[SKU]],'All Skus'!$A:$AC,8,FALSE)),""))</f>
        <v>PDU Power Cable - C14 to NEMA</v>
      </c>
      <c r="G115" s="280" t="str">
        <f>(IF((VLOOKUP(Table2[[#This Row],[SKU]],'All Skus'!$A:$AC,2,FALSE))="AMX",(VLOOKUP(Table2[[#This Row],[SKU]],'All Skus'!$A:$AC,9,FALSE)),""))</f>
        <v>Power Cable with C14 and NEMA plug types for connecting power to NXA-PDU-1508-8</v>
      </c>
      <c r="H115" s="157">
        <f>(IF((VLOOKUP(Table2[[#This Row],[SKU]],'All Skus'!$A:$AC,2,FALSE))="AMX",(VLOOKUP(Table2[[#This Row],[SKU]],'All Skus'!$A:$AC,10,FALSE)),""))</f>
        <v>20.6</v>
      </c>
      <c r="I115" s="157">
        <f>(IF((VLOOKUP(Table2[[#This Row],[SKU]],'All Skus'!$A:$AC,2,FALSE))="AMX",(VLOOKUP(Table2[[#This Row],[SKU]],'All Skus'!$A:$AC,11,FALSE)),""))</f>
        <v>20.6</v>
      </c>
      <c r="J115" s="47">
        <f>(IF((VLOOKUP(Table2[[#This Row],[SKU]],'All Skus'!$A:$AC,2,FALSE))="AMX",(VLOOKUP(Table2[[#This Row],[SKU]],'All Skus'!$A:$AC,15,FALSE)),""))</f>
        <v>0</v>
      </c>
      <c r="K115" s="47">
        <f>(IF((VLOOKUP(Table2[[#This Row],[SKU]],'All Skus'!$A:$AC,2,FALSE))="AMX",(VLOOKUP(Table2[[#This Row],[SKU]],'All Skus'!$A:$AC,16,FALSE)),""))</f>
        <v>718878001677</v>
      </c>
      <c r="L115" s="47">
        <f>(IF((VLOOKUP(Table2[[#This Row],[SKU]],'All Skus'!$A:$AC,2,FALSE))="AMX",(VLOOKUP(Table2[[#This Row],[SKU]],'All Skus'!$A:$AC,17,FALSE)),""))</f>
        <v>0</v>
      </c>
      <c r="M115" s="63">
        <f>(IF((VLOOKUP(Table2[[#This Row],[SKU]],'All Skus'!$A:$AC,2,FALSE))="AMX",(VLOOKUP(Table2[[#This Row],[SKU]],'All Skus'!$A:$AC,18,FALSE)),""))</f>
        <v>1</v>
      </c>
      <c r="N115" s="47">
        <f>(IF((VLOOKUP(Table2[[#This Row],[SKU]],'All Skus'!$A:$AC,2,FALSE))="AMX",(VLOOKUP(Table2[[#This Row],[SKU]],'All Skus'!$A:$AC,19,FALSE)),""))</f>
        <v>13</v>
      </c>
      <c r="O115" s="47">
        <f>(IF((VLOOKUP(Table2[[#This Row],[SKU]],'All Skus'!$A:$AC,2,FALSE))="AMX",(VLOOKUP(Table2[[#This Row],[SKU]],'All Skus'!$A:$AC,20,FALSE)),""))</f>
        <v>4</v>
      </c>
      <c r="P115" s="47">
        <f>(IF((VLOOKUP(Table2[[#This Row],[SKU]],'All Skus'!$A:$AC,2,FALSE))="AMX",(VLOOKUP(Table2[[#This Row],[SKU]],'All Skus'!$A:$AC,21,FALSE)),""))</f>
        <v>1</v>
      </c>
      <c r="Q115" s="47" t="str">
        <f>(IF((VLOOKUP(Table2[[#This Row],[SKU]],'All Skus'!$A:$AC,2,FALSE))="AMX",(VLOOKUP(Table2[[#This Row],[SKU]],'All Skus'!$A:$AC,22,FALSE)),""))</f>
        <v>CN</v>
      </c>
      <c r="R115" s="47" t="str">
        <f>(IF((VLOOKUP(Table2[[#This Row],[SKU]],'All Skus'!$A:$AC,2,FALSE))="AMX",(VLOOKUP(Table2[[#This Row],[SKU]],'All Skus'!$A:$AC,23,FALSE)),""))</f>
        <v>NonCompliant</v>
      </c>
      <c r="S115" s="210" t="str">
        <f>HYPERLINK((IF((VLOOKUP(Table2[[#This Row],[SKU]],'All Skus'!$A:$AC,2,FALSE))="AMX",(VLOOKUP(Table2[[#This Row],[SKU]],'All Skus'!$A:$AC,24,FALSE)),"")))</f>
        <v>https://www.amx.com/en-US/products/cc-c14-nema</v>
      </c>
      <c r="T115" s="151">
        <v>113</v>
      </c>
    </row>
    <row r="116" spans="1:20" ht="15" hidden="1" customHeight="1">
      <c r="A116" s="48" t="s">
        <v>620</v>
      </c>
      <c r="B116" s="280" t="str">
        <f>(IF((VLOOKUP(Table2[[#This Row],[SKU]],'All Skus'!$A:$AC,2,FALSE))="AMX",(VLOOKUP(Table2[[#This Row],[SKU]],'All Skus'!$A:$AC,3,FALSE)),""))</f>
        <v>Digital Media Switchers</v>
      </c>
      <c r="C116" s="280" t="str">
        <f>(IF((VLOOKUP(Table2[[#This Row],[SKU]],'All Skus'!$A:$AC,2,FALSE))="AMX",(VLOOKUP(Table2[[#This Row],[SKU]],'All Skus'!$A:$AC,4,FALSE)),""))</f>
        <v>AVX-PS-12VDC-2.5A</v>
      </c>
      <c r="D116" s="47" t="str">
        <f>(IF((VLOOKUP(Table2[[#This Row],[SKU]],'All Skus'!$A:$AC,2,FALSE))="AMX",(VLOOKUP(Table2[[#This Row],[SKU]],'All Skus'!$A:$AC,5,FALSE)),""))</f>
        <v>AMX-ENV</v>
      </c>
      <c r="E116" s="281">
        <f>(IF((VLOOKUP(Table2[[#This Row],[SKU]],'All Skus'!$A:$AC,2,FALSE))="AMX",(VLOOKUP(Table2[[#This Row],[SKU]],'All Skus'!$A:$AC,7,FALSE)),""))</f>
        <v>0</v>
      </c>
      <c r="F116" s="280" t="str">
        <f>(IF((VLOOKUP(Table2[[#This Row],[SKU]],'All Skus'!$A:$AC,2,FALSE))="AMX",(VLOOKUP(Table2[[#This Row],[SKU]],'All Skus'!$A:$AC,8,FALSE)),""))</f>
        <v>AVS-PS-12VDC-2.5A,12V 2.5A DESKTOP SPLY W/PCORD</v>
      </c>
      <c r="G116" s="280" t="str">
        <f>(IF((VLOOKUP(Table2[[#This Row],[SKU]],'All Skus'!$A:$AC,2,FALSE))="AMX",(VLOOKUP(Table2[[#This Row],[SKU]],'All Skus'!$A:$AC,9,FALSE)),""))</f>
        <v>AVS-PS-12VDC-2.5A,12V 2.5A DESKTOP SPLY W/PCORD</v>
      </c>
      <c r="H116" s="157">
        <f>(IF((VLOOKUP(Table2[[#This Row],[SKU]],'All Skus'!$A:$AC,2,FALSE))="AMX",(VLOOKUP(Table2[[#This Row],[SKU]],'All Skus'!$A:$AC,10,FALSE)),""))</f>
        <v>86</v>
      </c>
      <c r="I116" s="157">
        <f>(IF((VLOOKUP(Table2[[#This Row],[SKU]],'All Skus'!$A:$AC,2,FALSE))="AMX",(VLOOKUP(Table2[[#This Row],[SKU]],'All Skus'!$A:$AC,11,FALSE)),""))</f>
        <v>86</v>
      </c>
      <c r="J116" s="47">
        <f>(IF((VLOOKUP(Table2[[#This Row],[SKU]],'All Skus'!$A:$AC,2,FALSE))="AMX",(VLOOKUP(Table2[[#This Row],[SKU]],'All Skus'!$A:$AC,15,FALSE)),""))</f>
        <v>0</v>
      </c>
      <c r="K116" s="47">
        <f>(IF((VLOOKUP(Table2[[#This Row],[SKU]],'All Skus'!$A:$AC,2,FALSE))="AMX",(VLOOKUP(Table2[[#This Row],[SKU]],'All Skus'!$A:$AC,16,FALSE)),""))</f>
        <v>718878001462</v>
      </c>
      <c r="L116" s="47">
        <f>(IF((VLOOKUP(Table2[[#This Row],[SKU]],'All Skus'!$A:$AC,2,FALSE))="AMX",(VLOOKUP(Table2[[#This Row],[SKU]],'All Skus'!$A:$AC,17,FALSE)),""))</f>
        <v>0</v>
      </c>
      <c r="M116" s="63">
        <f>(IF((VLOOKUP(Table2[[#This Row],[SKU]],'All Skus'!$A:$AC,2,FALSE))="AMX",(VLOOKUP(Table2[[#This Row],[SKU]],'All Skus'!$A:$AC,18,FALSE)),""))</f>
        <v>1</v>
      </c>
      <c r="N116" s="47">
        <f>(IF((VLOOKUP(Table2[[#This Row],[SKU]],'All Skus'!$A:$AC,2,FALSE))="AMX",(VLOOKUP(Table2[[#This Row],[SKU]],'All Skus'!$A:$AC,19,FALSE)),""))</f>
        <v>8.5</v>
      </c>
      <c r="O116" s="47">
        <f>(IF((VLOOKUP(Table2[[#This Row],[SKU]],'All Skus'!$A:$AC,2,FALSE))="AMX",(VLOOKUP(Table2[[#This Row],[SKU]],'All Skus'!$A:$AC,20,FALSE)),""))</f>
        <v>6</v>
      </c>
      <c r="P116" s="47">
        <f>(IF((VLOOKUP(Table2[[#This Row],[SKU]],'All Skus'!$A:$AC,2,FALSE))="AMX",(VLOOKUP(Table2[[#This Row],[SKU]],'All Skus'!$A:$AC,21,FALSE)),""))</f>
        <v>2.5</v>
      </c>
      <c r="Q116" s="47" t="str">
        <f>(IF((VLOOKUP(Table2[[#This Row],[SKU]],'All Skus'!$A:$AC,2,FALSE))="AMX",(VLOOKUP(Table2[[#This Row],[SKU]],'All Skus'!$A:$AC,22,FALSE)),""))</f>
        <v>MX</v>
      </c>
      <c r="R116" s="47" t="str">
        <f>(IF((VLOOKUP(Table2[[#This Row],[SKU]],'All Skus'!$A:$AC,2,FALSE))="AMX",(VLOOKUP(Table2[[#This Row],[SKU]],'All Skus'!$A:$AC,23,FALSE)),""))</f>
        <v>Compliant</v>
      </c>
      <c r="S116" s="210" t="str">
        <f>HYPERLINK((IF((VLOOKUP(Table2[[#This Row],[SKU]],'All Skus'!$A:$AC,2,FALSE))="AMX",(VLOOKUP(Table2[[#This Row],[SKU]],'All Skus'!$A:$AC,24,FALSE)),"")))</f>
        <v>0</v>
      </c>
      <c r="T116" s="151">
        <v>114</v>
      </c>
    </row>
    <row r="117" spans="1:20" ht="15" hidden="1" customHeight="1">
      <c r="A117" s="48" t="s">
        <v>3012</v>
      </c>
      <c r="B117" s="280" t="str">
        <f>(IF((VLOOKUP(Table2[[#This Row],[SKU]],'All Skus'!$A:$AC,2,FALSE))="AMX",(VLOOKUP(Table2[[#This Row],[SKU]],'All Skus'!$A:$AC,3,FALSE)),""))</f>
        <v>All-in-One Pres Switchers</v>
      </c>
      <c r="C117" s="280" t="str">
        <f>(IF((VLOOKUP(Table2[[#This Row],[SKU]],'All Skus'!$A:$AC,2,FALSE))="AMX",(VLOOKUP(Table2[[#This Row],[SKU]],'All Skus'!$A:$AC,4,FALSE)),""))</f>
        <v>NCITE-813</v>
      </c>
      <c r="D117" s="47" t="str">
        <f>(IF((VLOOKUP(Table2[[#This Row],[SKU]],'All Skus'!$A:$AC,2,FALSE))="AMX",(VLOOKUP(Table2[[#This Row],[SKU]],'All Skus'!$A:$AC,5,FALSE)),""))</f>
        <v>AMX-ENV</v>
      </c>
      <c r="E117" s="291" t="str">
        <f>(IF((VLOOKUP(Table2[[#This Row],[SKU]],'All Skus'!$A:$AC,2,FALSE))="AMX",(VLOOKUP(Table2[[#This Row],[SKU]],'All Skus'!$A:$AC,7,FALSE)),""))</f>
        <v>Limited Quantity - REDUCED</v>
      </c>
      <c r="F117" s="280" t="str">
        <f>(IF((VLOOKUP(Table2[[#This Row],[SKU]],'All Skus'!$A:$AC,2,FALSE))="AMX",(VLOOKUP(Table2[[#This Row],[SKU]],'All Skus'!$A:$AC,8,FALSE)),""))</f>
        <v>8x1:3 4K60 4:4:4 Digital Video Presentation Switcher </v>
      </c>
      <c r="G117" s="280" t="str">
        <f>(IF((VLOOKUP(Table2[[#This Row],[SKU]],'All Skus'!$A:$AC,2,FALSE))="AMX",(VLOOKUP(Table2[[#This Row],[SKU]],'All Skus'!$A:$AC,9,FALSE)),""))</f>
        <v>8x1:3 4K60 4:4:4 Digital Video Presentation Switcher with HDCP 2.2, Video Scaling, Distance Transport, Advanced Windowing, DSP, Advanced Feedback Suppression</v>
      </c>
      <c r="H117" s="282">
        <f>(IF((VLOOKUP(Table2[[#This Row],[SKU]],'All Skus'!$A:$AC,2,FALSE))="AMX",(VLOOKUP(Table2[[#This Row],[SKU]],'All Skus'!$A:$AC,10,FALSE)),""))</f>
        <v>5636.5</v>
      </c>
      <c r="I117" s="282">
        <f>(IF((VLOOKUP(Table2[[#This Row],[SKU]],'All Skus'!$A:$AC,2,FALSE))="AMX",(VLOOKUP(Table2[[#This Row],[SKU]],'All Skus'!$A:$AC,11,FALSE)),""))</f>
        <v>2998</v>
      </c>
      <c r="J117" s="47">
        <f>(IF((VLOOKUP(Table2[[#This Row],[SKU]],'All Skus'!$A:$AC,2,FALSE))="AMX",(VLOOKUP(Table2[[#This Row],[SKU]],'All Skus'!$A:$AC,15,FALSE)),""))</f>
        <v>0</v>
      </c>
      <c r="K117" s="47">
        <f>(IF((VLOOKUP(Table2[[#This Row],[SKU]],'All Skus'!$A:$AC,2,FALSE))="AMX",(VLOOKUP(Table2[[#This Row],[SKU]],'All Skus'!$A:$AC,16,FALSE)),""))</f>
        <v>718878020074</v>
      </c>
      <c r="L117" s="47">
        <f>(IF((VLOOKUP(Table2[[#This Row],[SKU]],'All Skus'!$A:$AC,2,FALSE))="AMX",(VLOOKUP(Table2[[#This Row],[SKU]],'All Skus'!$A:$AC,17,FALSE)),""))</f>
        <v>0</v>
      </c>
      <c r="M117" s="63">
        <f>(IF((VLOOKUP(Table2[[#This Row],[SKU]],'All Skus'!$A:$AC,2,FALSE))="AMX",(VLOOKUP(Table2[[#This Row],[SKU]],'All Skus'!$A:$AC,18,FALSE)),""))</f>
        <v>0</v>
      </c>
      <c r="N117" s="47">
        <f>(IF((VLOOKUP(Table2[[#This Row],[SKU]],'All Skus'!$A:$AC,2,FALSE))="AMX",(VLOOKUP(Table2[[#This Row],[SKU]],'All Skus'!$A:$AC,19,FALSE)),""))</f>
        <v>19</v>
      </c>
      <c r="O117" s="47">
        <f>(IF((VLOOKUP(Table2[[#This Row],[SKU]],'All Skus'!$A:$AC,2,FALSE))="AMX",(VLOOKUP(Table2[[#This Row],[SKU]],'All Skus'!$A:$AC,20,FALSE)),""))</f>
        <v>14</v>
      </c>
      <c r="P117" s="47">
        <f>(IF((VLOOKUP(Table2[[#This Row],[SKU]],'All Skus'!$A:$AC,2,FALSE))="AMX",(VLOOKUP(Table2[[#This Row],[SKU]],'All Skus'!$A:$AC,21,FALSE)),""))</f>
        <v>1.6875</v>
      </c>
      <c r="Q117" s="47" t="str">
        <f>(IF((VLOOKUP(Table2[[#This Row],[SKU]],'All Skus'!$A:$AC,2,FALSE))="AMX",(VLOOKUP(Table2[[#This Row],[SKU]],'All Skus'!$A:$AC,22,FALSE)),""))</f>
        <v>MX</v>
      </c>
      <c r="R117" s="47" t="str">
        <f>(IF((VLOOKUP(Table2[[#This Row],[SKU]],'All Skus'!$A:$AC,2,FALSE))="AMX",(VLOOKUP(Table2[[#This Row],[SKU]],'All Skus'!$A:$AC,23,FALSE)),""))</f>
        <v>Compliant</v>
      </c>
      <c r="S117" s="279" t="str">
        <f>HYPERLINK((IF((VLOOKUP(Table2[[#This Row],[SKU]],'All Skus'!$A:$AC,2,FALSE))="AMX",(VLOOKUP(Table2[[#This Row],[SKU]],'All Skus'!$A:$AC,24,FALSE)),"")))</f>
        <v>https://www.amx.com/en-US/products/ncite-813</v>
      </c>
      <c r="T117" s="47">
        <v>115</v>
      </c>
    </row>
    <row r="118" spans="1:20" ht="15" hidden="1" customHeight="1">
      <c r="A118" s="48" t="s">
        <v>3013</v>
      </c>
      <c r="B118" s="280" t="str">
        <f>(IF((VLOOKUP(Table2[[#This Row],[SKU]],'All Skus'!$A:$AC,2,FALSE))="AMX",(VLOOKUP(Table2[[#This Row],[SKU]],'All Skus'!$A:$AC,3,FALSE)),""))</f>
        <v>All-in-One Pres Switchers</v>
      </c>
      <c r="C118" s="280" t="str">
        <f>(IF((VLOOKUP(Table2[[#This Row],[SKU]],'All Skus'!$A:$AC,2,FALSE))="AMX",(VLOOKUP(Table2[[#This Row],[SKU]],'All Skus'!$A:$AC,4,FALSE)),""))</f>
        <v>NCITE-813A</v>
      </c>
      <c r="D118" s="47" t="str">
        <f>(IF((VLOOKUP(Table2[[#This Row],[SKU]],'All Skus'!$A:$AC,2,FALSE))="AMX",(VLOOKUP(Table2[[#This Row],[SKU]],'All Skus'!$A:$AC,5,FALSE)),""))</f>
        <v>AMX-ENV</v>
      </c>
      <c r="E118" s="291" t="str">
        <f>(IF((VLOOKUP(Table2[[#This Row],[SKU]],'All Skus'!$A:$AC,2,FALSE))="AMX",(VLOOKUP(Table2[[#This Row],[SKU]],'All Skus'!$A:$AC,7,FALSE)),""))</f>
        <v>Limited Quantity - REDUCED</v>
      </c>
      <c r="F118" s="280" t="str">
        <f>(IF((VLOOKUP(Table2[[#This Row],[SKU]],'All Skus'!$A:$AC,2,FALSE))="AMX",(VLOOKUP(Table2[[#This Row],[SKU]],'All Skus'!$A:$AC,8,FALSE)),""))</f>
        <v>8x1:3 4K60 4:4:4 Digital Video Presentation Switcher with Amp</v>
      </c>
      <c r="G118" s="280" t="str">
        <f>(IF((VLOOKUP(Table2[[#This Row],[SKU]],'All Skus'!$A:$AC,2,FALSE))="AMX",(VLOOKUP(Table2[[#This Row],[SKU]],'All Skus'!$A:$AC,9,FALSE)),""))</f>
        <v>8x1:3 4K60 4:4:4 Digital Video Presentation Switcher with HDCP 2.2, Video Scaling, Distance Transport, Advanced Windowing, DSP, Advanced Feedback Suppression, DriveCore Amplification</v>
      </c>
      <c r="H118" s="282">
        <f>(IF((VLOOKUP(Table2[[#This Row],[SKU]],'All Skus'!$A:$AC,2,FALSE))="AMX",(VLOOKUP(Table2[[#This Row],[SKU]],'All Skus'!$A:$AC,10,FALSE)),""))</f>
        <v>6356.7</v>
      </c>
      <c r="I118" s="282">
        <f>(IF((VLOOKUP(Table2[[#This Row],[SKU]],'All Skus'!$A:$AC,2,FALSE))="AMX",(VLOOKUP(Table2[[#This Row],[SKU]],'All Skus'!$A:$AC,11,FALSE)),""))</f>
        <v>3398</v>
      </c>
      <c r="J118" s="47">
        <f>(IF((VLOOKUP(Table2[[#This Row],[SKU]],'All Skus'!$A:$AC,2,FALSE))="AMX",(VLOOKUP(Table2[[#This Row],[SKU]],'All Skus'!$A:$AC,15,FALSE)),""))</f>
        <v>0</v>
      </c>
      <c r="K118" s="47">
        <f>(IF((VLOOKUP(Table2[[#This Row],[SKU]],'All Skus'!$A:$AC,2,FALSE))="AMX",(VLOOKUP(Table2[[#This Row],[SKU]],'All Skus'!$A:$AC,16,FALSE)),""))</f>
        <v>718878020104</v>
      </c>
      <c r="L118" s="47">
        <f>(IF((VLOOKUP(Table2[[#This Row],[SKU]],'All Skus'!$A:$AC,2,FALSE))="AMX",(VLOOKUP(Table2[[#This Row],[SKU]],'All Skus'!$A:$AC,17,FALSE)),""))</f>
        <v>0</v>
      </c>
      <c r="M118" s="63">
        <f>(IF((VLOOKUP(Table2[[#This Row],[SKU]],'All Skus'!$A:$AC,2,FALSE))="AMX",(VLOOKUP(Table2[[#This Row],[SKU]],'All Skus'!$A:$AC,18,FALSE)),""))</f>
        <v>0</v>
      </c>
      <c r="N118" s="47">
        <f>(IF((VLOOKUP(Table2[[#This Row],[SKU]],'All Skus'!$A:$AC,2,FALSE))="AMX",(VLOOKUP(Table2[[#This Row],[SKU]],'All Skus'!$A:$AC,19,FALSE)),""))</f>
        <v>19</v>
      </c>
      <c r="O118" s="47">
        <f>(IF((VLOOKUP(Table2[[#This Row],[SKU]],'All Skus'!$A:$AC,2,FALSE))="AMX",(VLOOKUP(Table2[[#This Row],[SKU]],'All Skus'!$A:$AC,20,FALSE)),""))</f>
        <v>14</v>
      </c>
      <c r="P118" s="47">
        <f>(IF((VLOOKUP(Table2[[#This Row],[SKU]],'All Skus'!$A:$AC,2,FALSE))="AMX",(VLOOKUP(Table2[[#This Row],[SKU]],'All Skus'!$A:$AC,21,FALSE)),""))</f>
        <v>1.6875</v>
      </c>
      <c r="Q118" s="47" t="str">
        <f>(IF((VLOOKUP(Table2[[#This Row],[SKU]],'All Skus'!$A:$AC,2,FALSE))="AMX",(VLOOKUP(Table2[[#This Row],[SKU]],'All Skus'!$A:$AC,22,FALSE)),""))</f>
        <v>MX</v>
      </c>
      <c r="R118" s="47" t="str">
        <f>(IF((VLOOKUP(Table2[[#This Row],[SKU]],'All Skus'!$A:$AC,2,FALSE))="AMX",(VLOOKUP(Table2[[#This Row],[SKU]],'All Skus'!$A:$AC,23,FALSE)),""))</f>
        <v>Compliant</v>
      </c>
      <c r="S118" s="279" t="str">
        <f>HYPERLINK((IF((VLOOKUP(Table2[[#This Row],[SKU]],'All Skus'!$A:$AC,2,FALSE))="AMX",(VLOOKUP(Table2[[#This Row],[SKU]],'All Skus'!$A:$AC,24,FALSE)),"")))</f>
        <v>https://www.amx.com/en-US/products/ncite-813a</v>
      </c>
      <c r="T118" s="47">
        <v>116</v>
      </c>
    </row>
    <row r="119" spans="1:20" ht="15" hidden="1" customHeight="1">
      <c r="A119" s="48" t="s">
        <v>621</v>
      </c>
      <c r="B119" s="280" t="str">
        <f>(IF((VLOOKUP(Table2[[#This Row],[SKU]],'All Skus'!$A:$AC,2,FALSE))="AMX",(VLOOKUP(Table2[[#This Row],[SKU]],'All Skus'!$A:$AC,3,FALSE)),""))</f>
        <v>All-in-One Pres Switchers</v>
      </c>
      <c r="C119" s="280" t="str">
        <f>(IF((VLOOKUP(Table2[[#This Row],[SKU]],'All Skus'!$A:$AC,2,FALSE))="AMX",(VLOOKUP(Table2[[#This Row],[SKU]],'All Skus'!$A:$AC,4,FALSE)),""))</f>
        <v>DVX-2265-4K</v>
      </c>
      <c r="D119" s="47" t="str">
        <f>(IF((VLOOKUP(Table2[[#This Row],[SKU]],'All Skus'!$A:$AC,2,FALSE))="AMX",(VLOOKUP(Table2[[#This Row],[SKU]],'All Skus'!$A:$AC,5,FALSE)),""))</f>
        <v>AMX-ENV</v>
      </c>
      <c r="E119" s="281">
        <f>(IF((VLOOKUP(Table2[[#This Row],[SKU]],'All Skus'!$A:$AC,2,FALSE))="AMX",(VLOOKUP(Table2[[#This Row],[SKU]],'All Skus'!$A:$AC,7,FALSE)),""))</f>
        <v>0</v>
      </c>
      <c r="F119" s="280" t="str">
        <f>(IF((VLOOKUP(Table2[[#This Row],[SKU]],'All Skus'!$A:$AC,2,FALSE))="AMX",(VLOOKUP(Table2[[#This Row],[SKU]],'All Skus'!$A:$AC,8,FALSE)),""))</f>
        <v>6x2+1 4K60 4:4:4 All-In-One Presentation Switcher</v>
      </c>
      <c r="G119" s="280" t="str">
        <f>(IF((VLOOKUP(Table2[[#This Row],[SKU]],'All Skus'!$A:$AC,2,FALSE))="AMX",(VLOOKUP(Table2[[#This Row],[SKU]],'All Skus'!$A:$AC,9,FALSE)),""))</f>
        <v>6x2+1 4K60 4:4:4 Digital Video Presentation Switcher with HDR, HDCP 2.2, Video Scaling, Distance Transport, DSP, Advanced Feedback Suppression, 120W DriveCore Amplification, Integrated NX Controller</v>
      </c>
      <c r="H119" s="157">
        <f>(IF((VLOOKUP(Table2[[#This Row],[SKU]],'All Skus'!$A:$AC,2,FALSE))="AMX",(VLOOKUP(Table2[[#This Row],[SKU]],'All Skus'!$A:$AC,10,FALSE)),""))</f>
        <v>8003.1</v>
      </c>
      <c r="I119" s="157">
        <f>(IF((VLOOKUP(Table2[[#This Row],[SKU]],'All Skus'!$A:$AC,2,FALSE))="AMX",(VLOOKUP(Table2[[#This Row],[SKU]],'All Skus'!$A:$AC,11,FALSE)),""))</f>
        <v>8003.1</v>
      </c>
      <c r="J119" s="47">
        <f>(IF((VLOOKUP(Table2[[#This Row],[SKU]],'All Skus'!$A:$AC,2,FALSE))="AMX",(VLOOKUP(Table2[[#This Row],[SKU]],'All Skus'!$A:$AC,15,FALSE)),""))</f>
        <v>0</v>
      </c>
      <c r="K119" s="47">
        <f>(IF((VLOOKUP(Table2[[#This Row],[SKU]],'All Skus'!$A:$AC,2,FALSE))="AMX",(VLOOKUP(Table2[[#This Row],[SKU]],'All Skus'!$A:$AC,16,FALSE)),""))</f>
        <v>718878026434</v>
      </c>
      <c r="L119" s="47">
        <f>(IF((VLOOKUP(Table2[[#This Row],[SKU]],'All Skus'!$A:$AC,2,FALSE))="AMX",(VLOOKUP(Table2[[#This Row],[SKU]],'All Skus'!$A:$AC,17,FALSE)),""))</f>
        <v>0</v>
      </c>
      <c r="M119" s="63">
        <f>(IF((VLOOKUP(Table2[[#This Row],[SKU]],'All Skus'!$A:$AC,2,FALSE))="AMX",(VLOOKUP(Table2[[#This Row],[SKU]],'All Skus'!$A:$AC,18,FALSE)),""))</f>
        <v>22.64</v>
      </c>
      <c r="N119" s="47">
        <f>(IF((VLOOKUP(Table2[[#This Row],[SKU]],'All Skus'!$A:$AC,2,FALSE))="AMX",(VLOOKUP(Table2[[#This Row],[SKU]],'All Skus'!$A:$AC,19,FALSE)),""))</f>
        <v>17.329999999999998</v>
      </c>
      <c r="O119" s="47">
        <f>(IF((VLOOKUP(Table2[[#This Row],[SKU]],'All Skus'!$A:$AC,2,FALSE))="AMX",(VLOOKUP(Table2[[#This Row],[SKU]],'All Skus'!$A:$AC,20,FALSE)),""))</f>
        <v>15</v>
      </c>
      <c r="P119" s="47">
        <f>(IF((VLOOKUP(Table2[[#This Row],[SKU]],'All Skus'!$A:$AC,2,FALSE))="AMX",(VLOOKUP(Table2[[#This Row],[SKU]],'All Skus'!$A:$AC,21,FALSE)),""))</f>
        <v>3.5</v>
      </c>
      <c r="Q119" s="47" t="str">
        <f>(IF((VLOOKUP(Table2[[#This Row],[SKU]],'All Skus'!$A:$AC,2,FALSE))="AMX",(VLOOKUP(Table2[[#This Row],[SKU]],'All Skus'!$A:$AC,22,FALSE)),""))</f>
        <v>CN</v>
      </c>
      <c r="R119" s="47" t="str">
        <f>(IF((VLOOKUP(Table2[[#This Row],[SKU]],'All Skus'!$A:$AC,2,FALSE))="AMX",(VLOOKUP(Table2[[#This Row],[SKU]],'All Skus'!$A:$AC,23,FALSE)),""))</f>
        <v>NonCompliant</v>
      </c>
      <c r="S119" s="210" t="str">
        <f>HYPERLINK((IF((VLOOKUP(Table2[[#This Row],[SKU]],'All Skus'!$A:$AC,2,FALSE))="AMX",(VLOOKUP(Table2[[#This Row],[SKU]],'All Skus'!$A:$AC,24,FALSE)),"")))</f>
        <v>https://www.amx.com/en-US/products/dvx-2265-4k</v>
      </c>
      <c r="T119" s="151">
        <v>117</v>
      </c>
    </row>
    <row r="120" spans="1:20" ht="15" hidden="1" customHeight="1">
      <c r="A120" s="48" t="s">
        <v>622</v>
      </c>
      <c r="B120" s="280" t="str">
        <f>(IF((VLOOKUP(Table2[[#This Row],[SKU]],'All Skus'!$A:$AC,2,FALSE))="AMX",(VLOOKUP(Table2[[#This Row],[SKU]],'All Skus'!$A:$AC,3,FALSE)),""))</f>
        <v>All-in-One Pres Switchers</v>
      </c>
      <c r="C120" s="280" t="str">
        <f>(IF((VLOOKUP(Table2[[#This Row],[SKU]],'All Skus'!$A:$AC,2,FALSE))="AMX",(VLOOKUP(Table2[[#This Row],[SKU]],'All Skus'!$A:$AC,4,FALSE)),""))</f>
        <v>DVX-3266-4K</v>
      </c>
      <c r="D120" s="47" t="str">
        <f>(IF((VLOOKUP(Table2[[#This Row],[SKU]],'All Skus'!$A:$AC,2,FALSE))="AMX",(VLOOKUP(Table2[[#This Row],[SKU]],'All Skus'!$A:$AC,5,FALSE)),""))</f>
        <v>AMX-ENV</v>
      </c>
      <c r="E120" s="281">
        <f>(IF((VLOOKUP(Table2[[#This Row],[SKU]],'All Skus'!$A:$AC,2,FALSE))="AMX",(VLOOKUP(Table2[[#This Row],[SKU]],'All Skus'!$A:$AC,7,FALSE)),""))</f>
        <v>0</v>
      </c>
      <c r="F120" s="280" t="str">
        <f>(IF((VLOOKUP(Table2[[#This Row],[SKU]],'All Skus'!$A:$AC,2,FALSE))="AMX",(VLOOKUP(Table2[[#This Row],[SKU]],'All Skus'!$A:$AC,8,FALSE)),""))</f>
        <v>8x4+2 4K60 4:4:4 All-In-One Presentation Switcher</v>
      </c>
      <c r="G120" s="280" t="str">
        <f>(IF((VLOOKUP(Table2[[#This Row],[SKU]],'All Skus'!$A:$AC,2,FALSE))="AMX",(VLOOKUP(Table2[[#This Row],[SKU]],'All Skus'!$A:$AC,9,FALSE)),""))</f>
        <v>8x4+2 4K60 4:4:4 Digital Video Presentation Switcher with HDR, HDCP 2.2, Video Scaling, Distance Transport, DSP, Advanced Feedback Suppression, 120W DriveCore Amplification, Integrated NX Controller</v>
      </c>
      <c r="H120" s="157">
        <f>(IF((VLOOKUP(Table2[[#This Row],[SKU]],'All Skus'!$A:$AC,2,FALSE))="AMX",(VLOOKUP(Table2[[#This Row],[SKU]],'All Skus'!$A:$AC,10,FALSE)),""))</f>
        <v>10289.700000000001</v>
      </c>
      <c r="I120" s="157">
        <f>(IF((VLOOKUP(Table2[[#This Row],[SKU]],'All Skus'!$A:$AC,2,FALSE))="AMX",(VLOOKUP(Table2[[#This Row],[SKU]],'All Skus'!$A:$AC,11,FALSE)),""))</f>
        <v>10289.700000000001</v>
      </c>
      <c r="J120" s="47">
        <f>(IF((VLOOKUP(Table2[[#This Row],[SKU]],'All Skus'!$A:$AC,2,FALSE))="AMX",(VLOOKUP(Table2[[#This Row],[SKU]],'All Skus'!$A:$AC,15,FALSE)),""))</f>
        <v>0</v>
      </c>
      <c r="K120" s="47">
        <f>(IF((VLOOKUP(Table2[[#This Row],[SKU]],'All Skus'!$A:$AC,2,FALSE))="AMX",(VLOOKUP(Table2[[#This Row],[SKU]],'All Skus'!$A:$AC,16,FALSE)),""))</f>
        <v>718878026458</v>
      </c>
      <c r="L120" s="47">
        <f>(IF((VLOOKUP(Table2[[#This Row],[SKU]],'All Skus'!$A:$AC,2,FALSE))="AMX",(VLOOKUP(Table2[[#This Row],[SKU]],'All Skus'!$A:$AC,17,FALSE)),""))</f>
        <v>0</v>
      </c>
      <c r="M120" s="63">
        <f>(IF((VLOOKUP(Table2[[#This Row],[SKU]],'All Skus'!$A:$AC,2,FALSE))="AMX",(VLOOKUP(Table2[[#This Row],[SKU]],'All Skus'!$A:$AC,18,FALSE)),""))</f>
        <v>26.24</v>
      </c>
      <c r="N120" s="47">
        <f>(IF((VLOOKUP(Table2[[#This Row],[SKU]],'All Skus'!$A:$AC,2,FALSE))="AMX",(VLOOKUP(Table2[[#This Row],[SKU]],'All Skus'!$A:$AC,19,FALSE)),""))</f>
        <v>17.329999999999998</v>
      </c>
      <c r="O120" s="47">
        <f>(IF((VLOOKUP(Table2[[#This Row],[SKU]],'All Skus'!$A:$AC,2,FALSE))="AMX",(VLOOKUP(Table2[[#This Row],[SKU]],'All Skus'!$A:$AC,20,FALSE)),""))</f>
        <v>15</v>
      </c>
      <c r="P120" s="47">
        <f>(IF((VLOOKUP(Table2[[#This Row],[SKU]],'All Skus'!$A:$AC,2,FALSE))="AMX",(VLOOKUP(Table2[[#This Row],[SKU]],'All Skus'!$A:$AC,21,FALSE)),""))</f>
        <v>3.5</v>
      </c>
      <c r="Q120" s="47" t="str">
        <f>(IF((VLOOKUP(Table2[[#This Row],[SKU]],'All Skus'!$A:$AC,2,FALSE))="AMX",(VLOOKUP(Table2[[#This Row],[SKU]],'All Skus'!$A:$AC,22,FALSE)),""))</f>
        <v>CN</v>
      </c>
      <c r="R120" s="47" t="str">
        <f>(IF((VLOOKUP(Table2[[#This Row],[SKU]],'All Skus'!$A:$AC,2,FALSE))="AMX",(VLOOKUP(Table2[[#This Row],[SKU]],'All Skus'!$A:$AC,23,FALSE)),""))</f>
        <v>NonCompliant</v>
      </c>
      <c r="S120" s="210" t="str">
        <f>HYPERLINK((IF((VLOOKUP(Table2[[#This Row],[SKU]],'All Skus'!$A:$AC,2,FALSE))="AMX",(VLOOKUP(Table2[[#This Row],[SKU]],'All Skus'!$A:$AC,24,FALSE)),"")))</f>
        <v>https://www.amx.com/en-US/products/dvx-3266-4k</v>
      </c>
      <c r="T120" s="151">
        <v>118</v>
      </c>
    </row>
    <row r="121" spans="1:20" ht="15" hidden="1" customHeight="1">
      <c r="A121" s="48" t="s">
        <v>623</v>
      </c>
      <c r="B121" s="280" t="str">
        <f>(IF((VLOOKUP(Table2[[#This Row],[SKU]],'All Skus'!$A:$AC,2,FALSE))="AMX",(VLOOKUP(Table2[[#This Row],[SKU]],'All Skus'!$A:$AC,3,FALSE)),""))</f>
        <v>All-in-One Pres Switchers</v>
      </c>
      <c r="C121" s="280" t="str">
        <f>(IF((VLOOKUP(Table2[[#This Row],[SKU]],'All Skus'!$A:$AC,2,FALSE))="AMX",(VLOOKUP(Table2[[#This Row],[SKU]],'All Skus'!$A:$AC,4,FALSE)),""))</f>
        <v>DVX-2255HD-SP</v>
      </c>
      <c r="D121" s="47" t="str">
        <f>(IF((VLOOKUP(Table2[[#This Row],[SKU]],'All Skus'!$A:$AC,2,FALSE))="AMX",(VLOOKUP(Table2[[#This Row],[SKU]],'All Skus'!$A:$AC,5,FALSE)),""))</f>
        <v>AMX-ENV</v>
      </c>
      <c r="E121" s="291" t="str">
        <f>(IF((VLOOKUP(Table2[[#This Row],[SKU]],'All Skus'!$A:$AC,2,FALSE))="AMX",(VLOOKUP(Table2[[#This Row],[SKU]],'All Skus'!$A:$AC,7,FALSE)),""))</f>
        <v>Limited Quantity - REDUCED</v>
      </c>
      <c r="F121" s="280" t="str">
        <f>(IF((VLOOKUP(Table2[[#This Row],[SKU]],'All Skus'!$A:$AC,2,FALSE))="AMX",(VLOOKUP(Table2[[#This Row],[SKU]],'All Skus'!$A:$AC,8,FALSE)),""))</f>
        <v>6x3 All-In-One Presentation Switcher with 8 Ohms amplifier</v>
      </c>
      <c r="G121" s="280" t="str">
        <f>(IF((VLOOKUP(Table2[[#This Row],[SKU]],'All Skus'!$A:$AC,2,FALSE))="AMX",(VLOOKUP(Table2[[#This Row],[SKU]],'All Skus'!$A:$AC,9,FALSE)),""))</f>
        <v>6x3 All-In-One Presentation Switchers with NX Control (Multi-Format, HDMI and DXLink Inputs) - 2x25W 8-Ohm amplifier, includes integrated NX Controller and Multi-Format Matrix Switcher DXLink Output with InstaGate Pro, SmartScale, DSP Audio Processing</v>
      </c>
      <c r="H121" s="157">
        <f>(IF((VLOOKUP(Table2[[#This Row],[SKU]],'All Skus'!$A:$AC,2,FALSE))="AMX",(VLOOKUP(Table2[[#This Row],[SKU]],'All Skus'!$A:$AC,10,FALSE)),""))</f>
        <v>6345.3</v>
      </c>
      <c r="I121" s="157">
        <f>(IF((VLOOKUP(Table2[[#This Row],[SKU]],'All Skus'!$A:$AC,2,FALSE))="AMX",(VLOOKUP(Table2[[#This Row],[SKU]],'All Skus'!$A:$AC,11,FALSE)),""))</f>
        <v>4580</v>
      </c>
      <c r="J121" s="47">
        <f>(IF((VLOOKUP(Table2[[#This Row],[SKU]],'All Skus'!$A:$AC,2,FALSE))="AMX",(VLOOKUP(Table2[[#This Row],[SKU]],'All Skus'!$A:$AC,15,FALSE)),""))</f>
        <v>0</v>
      </c>
      <c r="K121" s="47">
        <f>(IF((VLOOKUP(Table2[[#This Row],[SKU]],'All Skus'!$A:$AC,2,FALSE))="AMX",(VLOOKUP(Table2[[#This Row],[SKU]],'All Skus'!$A:$AC,16,FALSE)),""))</f>
        <v>718878024768</v>
      </c>
      <c r="L121" s="47">
        <f>(IF((VLOOKUP(Table2[[#This Row],[SKU]],'All Skus'!$A:$AC,2,FALSE))="AMX",(VLOOKUP(Table2[[#This Row],[SKU]],'All Skus'!$A:$AC,17,FALSE)),""))</f>
        <v>0</v>
      </c>
      <c r="M121" s="63">
        <f>(IF((VLOOKUP(Table2[[#This Row],[SKU]],'All Skus'!$A:$AC,2,FALSE))="AMX",(VLOOKUP(Table2[[#This Row],[SKU]],'All Skus'!$A:$AC,18,FALSE)),""))</f>
        <v>18.2</v>
      </c>
      <c r="N121" s="47">
        <f>(IF((VLOOKUP(Table2[[#This Row],[SKU]],'All Skus'!$A:$AC,2,FALSE))="AMX",(VLOOKUP(Table2[[#This Row],[SKU]],'All Skus'!$A:$AC,19,FALSE)),""))</f>
        <v>17</v>
      </c>
      <c r="O121" s="47">
        <f>(IF((VLOOKUP(Table2[[#This Row],[SKU]],'All Skus'!$A:$AC,2,FALSE))="AMX",(VLOOKUP(Table2[[#This Row],[SKU]],'All Skus'!$A:$AC,20,FALSE)),""))</f>
        <v>14</v>
      </c>
      <c r="P121" s="47">
        <f>(IF((VLOOKUP(Table2[[#This Row],[SKU]],'All Skus'!$A:$AC,2,FALSE))="AMX",(VLOOKUP(Table2[[#This Row],[SKU]],'All Skus'!$A:$AC,21,FALSE)),""))</f>
        <v>5.1875</v>
      </c>
      <c r="Q121" s="47" t="str">
        <f>(IF((VLOOKUP(Table2[[#This Row],[SKU]],'All Skus'!$A:$AC,2,FALSE))="AMX",(VLOOKUP(Table2[[#This Row],[SKU]],'All Skus'!$A:$AC,22,FALSE)),""))</f>
        <v>MX</v>
      </c>
      <c r="R121" s="47" t="str">
        <f>(IF((VLOOKUP(Table2[[#This Row],[SKU]],'All Skus'!$A:$AC,2,FALSE))="AMX",(VLOOKUP(Table2[[#This Row],[SKU]],'All Skus'!$A:$AC,23,FALSE)),""))</f>
        <v>Compliant</v>
      </c>
      <c r="S121" s="210" t="str">
        <f>HYPERLINK((IF((VLOOKUP(Table2[[#This Row],[SKU]],'All Skus'!$A:$AC,2,FALSE))="AMX",(VLOOKUP(Table2[[#This Row],[SKU]],'All Skus'!$A:$AC,24,FALSE)),"")))</f>
        <v>https://www.amx.com/en-US/products/dvx-2255hd</v>
      </c>
      <c r="T121" s="151">
        <v>119</v>
      </c>
    </row>
    <row r="122" spans="1:20" ht="15" hidden="1" customHeight="1">
      <c r="A122" s="48" t="s">
        <v>624</v>
      </c>
      <c r="B122" s="280" t="str">
        <f>(IF((VLOOKUP(Table2[[#This Row],[SKU]],'All Skus'!$A:$AC,2,FALSE))="AMX",(VLOOKUP(Table2[[#This Row],[SKU]],'All Skus'!$A:$AC,3,FALSE)),""))</f>
        <v>All-in-One Pres Switchers</v>
      </c>
      <c r="C122" s="280" t="str">
        <f>(IF((VLOOKUP(Table2[[#This Row],[SKU]],'All Skus'!$A:$AC,2,FALSE))="AMX",(VLOOKUP(Table2[[#This Row],[SKU]],'All Skus'!$A:$AC,4,FALSE)),""))</f>
        <v>DVX-2255HD-T</v>
      </c>
      <c r="D122" s="47" t="str">
        <f>(IF((VLOOKUP(Table2[[#This Row],[SKU]],'All Skus'!$A:$AC,2,FALSE))="AMX",(VLOOKUP(Table2[[#This Row],[SKU]],'All Skus'!$A:$AC,5,FALSE)),""))</f>
        <v>AMX-ENV</v>
      </c>
      <c r="E122" s="291" t="str">
        <f>(IF((VLOOKUP(Table2[[#This Row],[SKU]],'All Skus'!$A:$AC,2,FALSE))="AMX",(VLOOKUP(Table2[[#This Row],[SKU]],'All Skus'!$A:$AC,7,FALSE)),""))</f>
        <v>Limited Quantity - REDUCED</v>
      </c>
      <c r="F122" s="280" t="str">
        <f>(IF((VLOOKUP(Table2[[#This Row],[SKU]],'All Skus'!$A:$AC,2,FALSE))="AMX",(VLOOKUP(Table2[[#This Row],[SKU]],'All Skus'!$A:$AC,8,FALSE)),""))</f>
        <v>6x3 All-In-One Presentation Switcher with  70/100V amplifier</v>
      </c>
      <c r="G122" s="280" t="str">
        <f>(IF((VLOOKUP(Table2[[#This Row],[SKU]],'All Skus'!$A:$AC,2,FALSE))="AMX",(VLOOKUP(Table2[[#This Row],[SKU]],'All Skus'!$A:$AC,9,FALSE)),""))</f>
        <v>6x3 All-In-One Presentation Switchers with NX Control (Multi-Format, HDMI and DXLink Inputs) - 75W, 70/100V amplifier, includes integrated NX Controller and Multi-Format Matrix Switcher with DXLink Output InstaGate Pro, SmartScale, DSP Audio Processing</v>
      </c>
      <c r="H122" s="157">
        <f>(IF((VLOOKUP(Table2[[#This Row],[SKU]],'All Skus'!$A:$AC,2,FALSE))="AMX",(VLOOKUP(Table2[[#This Row],[SKU]],'All Skus'!$A:$AC,10,FALSE)),""))</f>
        <v>6345.3</v>
      </c>
      <c r="I122" s="157">
        <f>(IF((VLOOKUP(Table2[[#This Row],[SKU]],'All Skus'!$A:$AC,2,FALSE))="AMX",(VLOOKUP(Table2[[#This Row],[SKU]],'All Skus'!$A:$AC,11,FALSE)),""))</f>
        <v>4780</v>
      </c>
      <c r="J122" s="47">
        <f>(IF((VLOOKUP(Table2[[#This Row],[SKU]],'All Skus'!$A:$AC,2,FALSE))="AMX",(VLOOKUP(Table2[[#This Row],[SKU]],'All Skus'!$A:$AC,15,FALSE)),""))</f>
        <v>0</v>
      </c>
      <c r="K122" s="47">
        <f>(IF((VLOOKUP(Table2[[#This Row],[SKU]],'All Skus'!$A:$AC,2,FALSE))="AMX",(VLOOKUP(Table2[[#This Row],[SKU]],'All Skus'!$A:$AC,16,FALSE)),""))</f>
        <v>718878247556</v>
      </c>
      <c r="L122" s="47">
        <f>(IF((VLOOKUP(Table2[[#This Row],[SKU]],'All Skus'!$A:$AC,2,FALSE))="AMX",(VLOOKUP(Table2[[#This Row],[SKU]],'All Skus'!$A:$AC,17,FALSE)),""))</f>
        <v>0</v>
      </c>
      <c r="M122" s="63">
        <f>(IF((VLOOKUP(Table2[[#This Row],[SKU]],'All Skus'!$A:$AC,2,FALSE))="AMX",(VLOOKUP(Table2[[#This Row],[SKU]],'All Skus'!$A:$AC,18,FALSE)),""))</f>
        <v>18.2</v>
      </c>
      <c r="N122" s="47">
        <f>(IF((VLOOKUP(Table2[[#This Row],[SKU]],'All Skus'!$A:$AC,2,FALSE))="AMX",(VLOOKUP(Table2[[#This Row],[SKU]],'All Skus'!$A:$AC,19,FALSE)),""))</f>
        <v>17</v>
      </c>
      <c r="O122" s="47">
        <f>(IF((VLOOKUP(Table2[[#This Row],[SKU]],'All Skus'!$A:$AC,2,FALSE))="AMX",(VLOOKUP(Table2[[#This Row],[SKU]],'All Skus'!$A:$AC,20,FALSE)),""))</f>
        <v>14</v>
      </c>
      <c r="P122" s="47">
        <f>(IF((VLOOKUP(Table2[[#This Row],[SKU]],'All Skus'!$A:$AC,2,FALSE))="AMX",(VLOOKUP(Table2[[#This Row],[SKU]],'All Skus'!$A:$AC,21,FALSE)),""))</f>
        <v>5.1875</v>
      </c>
      <c r="Q122" s="47" t="str">
        <f>(IF((VLOOKUP(Table2[[#This Row],[SKU]],'All Skus'!$A:$AC,2,FALSE))="AMX",(VLOOKUP(Table2[[#This Row],[SKU]],'All Skus'!$A:$AC,22,FALSE)),""))</f>
        <v>MX</v>
      </c>
      <c r="R122" s="47" t="str">
        <f>(IF((VLOOKUP(Table2[[#This Row],[SKU]],'All Skus'!$A:$AC,2,FALSE))="AMX",(VLOOKUP(Table2[[#This Row],[SKU]],'All Skus'!$A:$AC,23,FALSE)),""))</f>
        <v>Compliant</v>
      </c>
      <c r="S122" s="210" t="str">
        <f>HYPERLINK((IF((VLOOKUP(Table2[[#This Row],[SKU]],'All Skus'!$A:$AC,2,FALSE))="AMX",(VLOOKUP(Table2[[#This Row],[SKU]],'All Skus'!$A:$AC,24,FALSE)),"")))</f>
        <v>https://www.amx.com/en-US/products/dvx-2255hd</v>
      </c>
      <c r="T122" s="151">
        <v>120</v>
      </c>
    </row>
    <row r="123" spans="1:20" ht="15" hidden="1" customHeight="1">
      <c r="A123" s="48" t="s">
        <v>625</v>
      </c>
      <c r="B123" s="280" t="str">
        <f>(IF((VLOOKUP(Table2[[#This Row],[SKU]],'All Skus'!$A:$AC,2,FALSE))="AMX",(VLOOKUP(Table2[[#This Row],[SKU]],'All Skus'!$A:$AC,3,FALSE)),""))</f>
        <v>Central Controllers</v>
      </c>
      <c r="C123" s="280" t="str">
        <f>(IF((VLOOKUP(Table2[[#This Row],[SKU]],'All Skus'!$A:$AC,2,FALSE))="AMX",(VLOOKUP(Table2[[#This Row],[SKU]],'All Skus'!$A:$AC,4,FALSE)),""))</f>
        <v>EXB-REL8</v>
      </c>
      <c r="D123" s="47" t="str">
        <f>(IF((VLOOKUP(Table2[[#This Row],[SKU]],'All Skus'!$A:$AC,2,FALSE))="AMX",(VLOOKUP(Table2[[#This Row],[SKU]],'All Skus'!$A:$AC,5,FALSE)),""))</f>
        <v>AMX-DC</v>
      </c>
      <c r="E123" s="281">
        <f>(IF((VLOOKUP(Table2[[#This Row],[SKU]],'All Skus'!$A:$AC,2,FALSE))="AMX",(VLOOKUP(Table2[[#This Row],[SKU]],'All Skus'!$A:$AC,7,FALSE)),""))</f>
        <v>0</v>
      </c>
      <c r="F123" s="280" t="str">
        <f>(IF((VLOOKUP(Table2[[#This Row],[SKU]],'All Skus'!$A:$AC,2,FALSE))="AMX",(VLOOKUP(Table2[[#This Row],[SKU]],'All Skus'!$A:$AC,8,FALSE)),""))</f>
        <v>8 SPST NC 2A Relay expansion over Ethernet</v>
      </c>
      <c r="G123" s="280" t="str">
        <f>(IF((VLOOKUP(Table2[[#This Row],[SKU]],'All Skus'!$A:$AC,2,FALSE))="AMX",(VLOOKUP(Table2[[#This Row],[SKU]],'All Skus'!$A:$AC,9,FALSE)),""))</f>
        <v>ICSLan Relay Interface, 8 Channels</v>
      </c>
      <c r="H123" s="157">
        <f>(IF((VLOOKUP(Table2[[#This Row],[SKU]],'All Skus'!$A:$AC,2,FALSE))="AMX",(VLOOKUP(Table2[[#This Row],[SKU]],'All Skus'!$A:$AC,10,FALSE)),""))</f>
        <v>708.8</v>
      </c>
      <c r="I123" s="157">
        <f>(IF((VLOOKUP(Table2[[#This Row],[SKU]],'All Skus'!$A:$AC,2,FALSE))="AMX",(VLOOKUP(Table2[[#This Row],[SKU]],'All Skus'!$A:$AC,11,FALSE)),""))</f>
        <v>708.8</v>
      </c>
      <c r="J123" s="47">
        <f>(IF((VLOOKUP(Table2[[#This Row],[SKU]],'All Skus'!$A:$AC,2,FALSE))="AMX",(VLOOKUP(Table2[[#This Row],[SKU]],'All Skus'!$A:$AC,15,FALSE)),""))</f>
        <v>0</v>
      </c>
      <c r="K123" s="47">
        <f>(IF((VLOOKUP(Table2[[#This Row],[SKU]],'All Skus'!$A:$AC,2,FALSE))="AMX",(VLOOKUP(Table2[[#This Row],[SKU]],'All Skus'!$A:$AC,16,FALSE)),""))</f>
        <v>718878229996</v>
      </c>
      <c r="L123" s="47">
        <f>(IF((VLOOKUP(Table2[[#This Row],[SKU]],'All Skus'!$A:$AC,2,FALSE))="AMX",(VLOOKUP(Table2[[#This Row],[SKU]],'All Skus'!$A:$AC,17,FALSE)),""))</f>
        <v>0</v>
      </c>
      <c r="M123" s="63">
        <f>(IF((VLOOKUP(Table2[[#This Row],[SKU]],'All Skus'!$A:$AC,2,FALSE))="AMX",(VLOOKUP(Table2[[#This Row],[SKU]],'All Skus'!$A:$AC,18,FALSE)),""))</f>
        <v>1</v>
      </c>
      <c r="N123" s="47">
        <f>(IF((VLOOKUP(Table2[[#This Row],[SKU]],'All Skus'!$A:$AC,2,FALSE))="AMX",(VLOOKUP(Table2[[#This Row],[SKU]],'All Skus'!$A:$AC,19,FALSE)),""))</f>
        <v>4.38</v>
      </c>
      <c r="O123" s="47">
        <f>(IF((VLOOKUP(Table2[[#This Row],[SKU]],'All Skus'!$A:$AC,2,FALSE))="AMX",(VLOOKUP(Table2[[#This Row],[SKU]],'All Skus'!$A:$AC,20,FALSE)),""))</f>
        <v>5.13</v>
      </c>
      <c r="P123" s="47">
        <f>(IF((VLOOKUP(Table2[[#This Row],[SKU]],'All Skus'!$A:$AC,2,FALSE))="AMX",(VLOOKUP(Table2[[#This Row],[SKU]],'All Skus'!$A:$AC,21,FALSE)),""))</f>
        <v>1</v>
      </c>
      <c r="Q123" s="47" t="str">
        <f>(IF((VLOOKUP(Table2[[#This Row],[SKU]],'All Skus'!$A:$AC,2,FALSE))="AMX",(VLOOKUP(Table2[[#This Row],[SKU]],'All Skus'!$A:$AC,22,FALSE)),""))</f>
        <v>MX</v>
      </c>
      <c r="R123" s="47" t="str">
        <f>(IF((VLOOKUP(Table2[[#This Row],[SKU]],'All Skus'!$A:$AC,2,FALSE))="AMX",(VLOOKUP(Table2[[#This Row],[SKU]],'All Skus'!$A:$AC,23,FALSE)),""))</f>
        <v>Compliant</v>
      </c>
      <c r="S123" s="210" t="str">
        <f>HYPERLINK((IF((VLOOKUP(Table2[[#This Row],[SKU]],'All Skus'!$A:$AC,2,FALSE))="AMX",(VLOOKUP(Table2[[#This Row],[SKU]],'All Skus'!$A:$AC,24,FALSE)),"")))</f>
        <v>https://www.amx.com/en-US/products/exb-rel8</v>
      </c>
      <c r="T123" s="151">
        <v>121</v>
      </c>
    </row>
    <row r="124" spans="1:20" ht="15" hidden="1" customHeight="1">
      <c r="A124" s="48" t="s">
        <v>626</v>
      </c>
      <c r="B124" s="280" t="str">
        <f>(IF((VLOOKUP(Table2[[#This Row],[SKU]],'All Skus'!$A:$AC,2,FALSE))="AMX",(VLOOKUP(Table2[[#This Row],[SKU]],'All Skus'!$A:$AC,3,FALSE)),""))</f>
        <v>Central Controllers</v>
      </c>
      <c r="C124" s="280" t="str">
        <f>(IF((VLOOKUP(Table2[[#This Row],[SKU]],'All Skus'!$A:$AC,2,FALSE))="AMX",(VLOOKUP(Table2[[#This Row],[SKU]],'All Skus'!$A:$AC,4,FALSE)),""))</f>
        <v>EXB-I/O8</v>
      </c>
      <c r="D124" s="47" t="str">
        <f>(IF((VLOOKUP(Table2[[#This Row],[SKU]],'All Skus'!$A:$AC,2,FALSE))="AMX",(VLOOKUP(Table2[[#This Row],[SKU]],'All Skus'!$A:$AC,5,FALSE)),""))</f>
        <v>AMX-DC</v>
      </c>
      <c r="E124" s="281">
        <f>(IF((VLOOKUP(Table2[[#This Row],[SKU]],'All Skus'!$A:$AC,2,FALSE))="AMX",(VLOOKUP(Table2[[#This Row],[SKU]],'All Skus'!$A:$AC,7,FALSE)),""))</f>
        <v>0</v>
      </c>
      <c r="F124" s="280" t="str">
        <f>(IF((VLOOKUP(Table2[[#This Row],[SKU]],'All Skus'!$A:$AC,2,FALSE))="AMX",(VLOOKUP(Table2[[#This Row],[SKU]],'All Skus'!$A:$AC,8,FALSE)),""))</f>
        <v>8 Digital Input/Output Expansion over Ethernet</v>
      </c>
      <c r="G124" s="280" t="str">
        <f>(IF((VLOOKUP(Table2[[#This Row],[SKU]],'All Skus'!$A:$AC,2,FALSE))="AMX",(VLOOKUP(Table2[[#This Row],[SKU]],'All Skus'!$A:$AC,9,FALSE)),""))</f>
        <v>ICSLan Input/Output Interface, 8 Channels</v>
      </c>
      <c r="H124" s="157">
        <f>(IF((VLOOKUP(Table2[[#This Row],[SKU]],'All Skus'!$A:$AC,2,FALSE))="AMX",(VLOOKUP(Table2[[#This Row],[SKU]],'All Skus'!$A:$AC,10,FALSE)),""))</f>
        <v>708.8</v>
      </c>
      <c r="I124" s="157">
        <f>(IF((VLOOKUP(Table2[[#This Row],[SKU]],'All Skus'!$A:$AC,2,FALSE))="AMX",(VLOOKUP(Table2[[#This Row],[SKU]],'All Skus'!$A:$AC,11,FALSE)),""))</f>
        <v>708.8</v>
      </c>
      <c r="J124" s="47">
        <f>(IF((VLOOKUP(Table2[[#This Row],[SKU]],'All Skus'!$A:$AC,2,FALSE))="AMX",(VLOOKUP(Table2[[#This Row],[SKU]],'All Skus'!$A:$AC,15,FALSE)),""))</f>
        <v>0</v>
      </c>
      <c r="K124" s="47">
        <f>(IF((VLOOKUP(Table2[[#This Row],[SKU]],'All Skus'!$A:$AC,2,FALSE))="AMX",(VLOOKUP(Table2[[#This Row],[SKU]],'All Skus'!$A:$AC,16,FALSE)),""))</f>
        <v>718878230008</v>
      </c>
      <c r="L124" s="47">
        <f>(IF((VLOOKUP(Table2[[#This Row],[SKU]],'All Skus'!$A:$AC,2,FALSE))="AMX",(VLOOKUP(Table2[[#This Row],[SKU]],'All Skus'!$A:$AC,17,FALSE)),""))</f>
        <v>0</v>
      </c>
      <c r="M124" s="63">
        <f>(IF((VLOOKUP(Table2[[#This Row],[SKU]],'All Skus'!$A:$AC,2,FALSE))="AMX",(VLOOKUP(Table2[[#This Row],[SKU]],'All Skus'!$A:$AC,18,FALSE)),""))</f>
        <v>1</v>
      </c>
      <c r="N124" s="47">
        <f>(IF((VLOOKUP(Table2[[#This Row],[SKU]],'All Skus'!$A:$AC,2,FALSE))="AMX",(VLOOKUP(Table2[[#This Row],[SKU]],'All Skus'!$A:$AC,19,FALSE)),""))</f>
        <v>4.38</v>
      </c>
      <c r="O124" s="47">
        <f>(IF((VLOOKUP(Table2[[#This Row],[SKU]],'All Skus'!$A:$AC,2,FALSE))="AMX",(VLOOKUP(Table2[[#This Row],[SKU]],'All Skus'!$A:$AC,20,FALSE)),""))</f>
        <v>5.13</v>
      </c>
      <c r="P124" s="47">
        <f>(IF((VLOOKUP(Table2[[#This Row],[SKU]],'All Skus'!$A:$AC,2,FALSE))="AMX",(VLOOKUP(Table2[[#This Row],[SKU]],'All Skus'!$A:$AC,21,FALSE)),""))</f>
        <v>1</v>
      </c>
      <c r="Q124" s="47" t="str">
        <f>(IF((VLOOKUP(Table2[[#This Row],[SKU]],'All Skus'!$A:$AC,2,FALSE))="AMX",(VLOOKUP(Table2[[#This Row],[SKU]],'All Skus'!$A:$AC,22,FALSE)),""))</f>
        <v>MX</v>
      </c>
      <c r="R124" s="47" t="str">
        <f>(IF((VLOOKUP(Table2[[#This Row],[SKU]],'All Skus'!$A:$AC,2,FALSE))="AMX",(VLOOKUP(Table2[[#This Row],[SKU]],'All Skus'!$A:$AC,23,FALSE)),""))</f>
        <v>Compliant</v>
      </c>
      <c r="S124" s="210" t="str">
        <f>HYPERLINK((IF((VLOOKUP(Table2[[#This Row],[SKU]],'All Skus'!$A:$AC,2,FALSE))="AMX",(VLOOKUP(Table2[[#This Row],[SKU]],'All Skus'!$A:$AC,24,FALSE)),"")))</f>
        <v>https://www.amx.com/en-US/products/exb-io8</v>
      </c>
      <c r="T124" s="151">
        <v>122</v>
      </c>
    </row>
    <row r="125" spans="1:20" ht="15" hidden="1" customHeight="1">
      <c r="A125" s="48" t="s">
        <v>627</v>
      </c>
      <c r="B125" s="280" t="str">
        <f>(IF((VLOOKUP(Table2[[#This Row],[SKU]],'All Skus'!$A:$AC,2,FALSE))="AMX",(VLOOKUP(Table2[[#This Row],[SKU]],'All Skus'!$A:$AC,3,FALSE)),""))</f>
        <v>Central Controllers</v>
      </c>
      <c r="C125" s="280" t="str">
        <f>(IF((VLOOKUP(Table2[[#This Row],[SKU]],'All Skus'!$A:$AC,2,FALSE))="AMX",(VLOOKUP(Table2[[#This Row],[SKU]],'All Skus'!$A:$AC,4,FALSE)),""))</f>
        <v>EXB-COM2</v>
      </c>
      <c r="D125" s="47" t="str">
        <f>(IF((VLOOKUP(Table2[[#This Row],[SKU]],'All Skus'!$A:$AC,2,FALSE))="AMX",(VLOOKUP(Table2[[#This Row],[SKU]],'All Skus'!$A:$AC,5,FALSE)),""))</f>
        <v>AMX-DC</v>
      </c>
      <c r="E125" s="281">
        <f>(IF((VLOOKUP(Table2[[#This Row],[SKU]],'All Skus'!$A:$AC,2,FALSE))="AMX",(VLOOKUP(Table2[[#This Row],[SKU]],'All Skus'!$A:$AC,7,FALSE)),""))</f>
        <v>0</v>
      </c>
      <c r="F125" s="280" t="str">
        <f>(IF((VLOOKUP(Table2[[#This Row],[SKU]],'All Skus'!$A:$AC,2,FALSE))="AMX",(VLOOKUP(Table2[[#This Row],[SKU]],'All Skus'!$A:$AC,8,FALSE)),""))</f>
        <v>2 RS-232 COM Port Expansion over Ethernet</v>
      </c>
      <c r="G125" s="280" t="str">
        <f>(IF((VLOOKUP(Table2[[#This Row],[SKU]],'All Skus'!$A:$AC,2,FALSE))="AMX",(VLOOKUP(Table2[[#This Row],[SKU]],'All Skus'!$A:$AC,9,FALSE)),""))</f>
        <v>ICSLan Serial Interface, 2 Ports</v>
      </c>
      <c r="H125" s="157">
        <f>(IF((VLOOKUP(Table2[[#This Row],[SKU]],'All Skus'!$A:$AC,2,FALSE))="AMX",(VLOOKUP(Table2[[#This Row],[SKU]],'All Skus'!$A:$AC,10,FALSE)),""))</f>
        <v>823.2</v>
      </c>
      <c r="I125" s="157">
        <f>(IF((VLOOKUP(Table2[[#This Row],[SKU]],'All Skus'!$A:$AC,2,FALSE))="AMX",(VLOOKUP(Table2[[#This Row],[SKU]],'All Skus'!$A:$AC,11,FALSE)),""))</f>
        <v>823.2</v>
      </c>
      <c r="J125" s="47">
        <f>(IF((VLOOKUP(Table2[[#This Row],[SKU]],'All Skus'!$A:$AC,2,FALSE))="AMX",(VLOOKUP(Table2[[#This Row],[SKU]],'All Skus'!$A:$AC,15,FALSE)),""))</f>
        <v>0</v>
      </c>
      <c r="K125" s="47">
        <f>(IF((VLOOKUP(Table2[[#This Row],[SKU]],'All Skus'!$A:$AC,2,FALSE))="AMX",(VLOOKUP(Table2[[#This Row],[SKU]],'All Skus'!$A:$AC,16,FALSE)),""))</f>
        <v>718878230114</v>
      </c>
      <c r="L125" s="47">
        <f>(IF((VLOOKUP(Table2[[#This Row],[SKU]],'All Skus'!$A:$AC,2,FALSE))="AMX",(VLOOKUP(Table2[[#This Row],[SKU]],'All Skus'!$A:$AC,17,FALSE)),""))</f>
        <v>0</v>
      </c>
      <c r="M125" s="63">
        <f>(IF((VLOOKUP(Table2[[#This Row],[SKU]],'All Skus'!$A:$AC,2,FALSE))="AMX",(VLOOKUP(Table2[[#This Row],[SKU]],'All Skus'!$A:$AC,18,FALSE)),""))</f>
        <v>1</v>
      </c>
      <c r="N125" s="47">
        <f>(IF((VLOOKUP(Table2[[#This Row],[SKU]],'All Skus'!$A:$AC,2,FALSE))="AMX",(VLOOKUP(Table2[[#This Row],[SKU]],'All Skus'!$A:$AC,19,FALSE)),""))</f>
        <v>4.38</v>
      </c>
      <c r="O125" s="47">
        <f>(IF((VLOOKUP(Table2[[#This Row],[SKU]],'All Skus'!$A:$AC,2,FALSE))="AMX",(VLOOKUP(Table2[[#This Row],[SKU]],'All Skus'!$A:$AC,20,FALSE)),""))</f>
        <v>5.13</v>
      </c>
      <c r="P125" s="47">
        <f>(IF((VLOOKUP(Table2[[#This Row],[SKU]],'All Skus'!$A:$AC,2,FALSE))="AMX",(VLOOKUP(Table2[[#This Row],[SKU]],'All Skus'!$A:$AC,21,FALSE)),""))</f>
        <v>1</v>
      </c>
      <c r="Q125" s="47" t="str">
        <f>(IF((VLOOKUP(Table2[[#This Row],[SKU]],'All Skus'!$A:$AC,2,FALSE))="AMX",(VLOOKUP(Table2[[#This Row],[SKU]],'All Skus'!$A:$AC,22,FALSE)),""))</f>
        <v>MX</v>
      </c>
      <c r="R125" s="47" t="str">
        <f>(IF((VLOOKUP(Table2[[#This Row],[SKU]],'All Skus'!$A:$AC,2,FALSE))="AMX",(VLOOKUP(Table2[[#This Row],[SKU]],'All Skus'!$A:$AC,23,FALSE)),""))</f>
        <v>Compliant</v>
      </c>
      <c r="S125" s="210" t="str">
        <f>HYPERLINK((IF((VLOOKUP(Table2[[#This Row],[SKU]],'All Skus'!$A:$AC,2,FALSE))="AMX",(VLOOKUP(Table2[[#This Row],[SKU]],'All Skus'!$A:$AC,24,FALSE)),"")))</f>
        <v>https://www.amx.com/en-US/products/exb-com2</v>
      </c>
      <c r="T125" s="151">
        <v>123</v>
      </c>
    </row>
    <row r="126" spans="1:20" ht="15" hidden="1" customHeight="1">
      <c r="A126" s="48" t="s">
        <v>628</v>
      </c>
      <c r="B126" s="280" t="str">
        <f>(IF((VLOOKUP(Table2[[#This Row],[SKU]],'All Skus'!$A:$AC,2,FALSE))="AMX",(VLOOKUP(Table2[[#This Row],[SKU]],'All Skus'!$A:$AC,3,FALSE)),""))</f>
        <v>Central Controllers</v>
      </c>
      <c r="C126" s="280" t="str">
        <f>(IF((VLOOKUP(Table2[[#This Row],[SKU]],'All Skus'!$A:$AC,2,FALSE))="AMX",(VLOOKUP(Table2[[#This Row],[SKU]],'All Skus'!$A:$AC,4,FALSE)),""))</f>
        <v>EXB-IRS4</v>
      </c>
      <c r="D126" s="47" t="str">
        <f>(IF((VLOOKUP(Table2[[#This Row],[SKU]],'All Skus'!$A:$AC,2,FALSE))="AMX",(VLOOKUP(Table2[[#This Row],[SKU]],'All Skus'!$A:$AC,5,FALSE)),""))</f>
        <v>AMX-DC</v>
      </c>
      <c r="E126" s="281">
        <f>(IF((VLOOKUP(Table2[[#This Row],[SKU]],'All Skus'!$A:$AC,2,FALSE))="AMX",(VLOOKUP(Table2[[#This Row],[SKU]],'All Skus'!$A:$AC,7,FALSE)),""))</f>
        <v>0</v>
      </c>
      <c r="F126" s="280" t="str">
        <f>(IF((VLOOKUP(Table2[[#This Row],[SKU]],'All Skus'!$A:$AC,2,FALSE))="AMX",(VLOOKUP(Table2[[#This Row],[SKU]],'All Skus'!$A:$AC,8,FALSE)),""))</f>
        <v>4 Infrared control port expansion over Ethernet</v>
      </c>
      <c r="G126" s="280" t="str">
        <f>(IF((VLOOKUP(Table2[[#This Row],[SKU]],'All Skus'!$A:$AC,2,FALSE))="AMX",(VLOOKUP(Table2[[#This Row],[SKU]],'All Skus'!$A:$AC,9,FALSE)),""))</f>
        <v>ICSLan IR/S Interface, 4 IR/S and 4 Inputs</v>
      </c>
      <c r="H126" s="157">
        <f>(IF((VLOOKUP(Table2[[#This Row],[SKU]],'All Skus'!$A:$AC,2,FALSE))="AMX",(VLOOKUP(Table2[[#This Row],[SKU]],'All Skus'!$A:$AC,10,FALSE)),""))</f>
        <v>823.2</v>
      </c>
      <c r="I126" s="157">
        <f>(IF((VLOOKUP(Table2[[#This Row],[SKU]],'All Skus'!$A:$AC,2,FALSE))="AMX",(VLOOKUP(Table2[[#This Row],[SKU]],'All Skus'!$A:$AC,11,FALSE)),""))</f>
        <v>823.2</v>
      </c>
      <c r="J126" s="47">
        <f>(IF((VLOOKUP(Table2[[#This Row],[SKU]],'All Skus'!$A:$AC,2,FALSE))="AMX",(VLOOKUP(Table2[[#This Row],[SKU]],'All Skus'!$A:$AC,15,FALSE)),""))</f>
        <v>0</v>
      </c>
      <c r="K126" s="47">
        <f>(IF((VLOOKUP(Table2[[#This Row],[SKU]],'All Skus'!$A:$AC,2,FALSE))="AMX",(VLOOKUP(Table2[[#This Row],[SKU]],'All Skus'!$A:$AC,16,FALSE)),""))</f>
        <v>718878230220</v>
      </c>
      <c r="L126" s="47">
        <f>(IF((VLOOKUP(Table2[[#This Row],[SKU]],'All Skus'!$A:$AC,2,FALSE))="AMX",(VLOOKUP(Table2[[#This Row],[SKU]],'All Skus'!$A:$AC,17,FALSE)),""))</f>
        <v>0</v>
      </c>
      <c r="M126" s="63">
        <f>(IF((VLOOKUP(Table2[[#This Row],[SKU]],'All Skus'!$A:$AC,2,FALSE))="AMX",(VLOOKUP(Table2[[#This Row],[SKU]],'All Skus'!$A:$AC,18,FALSE)),""))</f>
        <v>1</v>
      </c>
      <c r="N126" s="47">
        <f>(IF((VLOOKUP(Table2[[#This Row],[SKU]],'All Skus'!$A:$AC,2,FALSE))="AMX",(VLOOKUP(Table2[[#This Row],[SKU]],'All Skus'!$A:$AC,19,FALSE)),""))</f>
        <v>4.38</v>
      </c>
      <c r="O126" s="47">
        <f>(IF((VLOOKUP(Table2[[#This Row],[SKU]],'All Skus'!$A:$AC,2,FALSE))="AMX",(VLOOKUP(Table2[[#This Row],[SKU]],'All Skus'!$A:$AC,20,FALSE)),""))</f>
        <v>5.13</v>
      </c>
      <c r="P126" s="47">
        <f>(IF((VLOOKUP(Table2[[#This Row],[SKU]],'All Skus'!$A:$AC,2,FALSE))="AMX",(VLOOKUP(Table2[[#This Row],[SKU]],'All Skus'!$A:$AC,21,FALSE)),""))</f>
        <v>1</v>
      </c>
      <c r="Q126" s="47" t="str">
        <f>(IF((VLOOKUP(Table2[[#This Row],[SKU]],'All Skus'!$A:$AC,2,FALSE))="AMX",(VLOOKUP(Table2[[#This Row],[SKU]],'All Skus'!$A:$AC,22,FALSE)),""))</f>
        <v>MX</v>
      </c>
      <c r="R126" s="47" t="str">
        <f>(IF((VLOOKUP(Table2[[#This Row],[SKU]],'All Skus'!$A:$AC,2,FALSE))="AMX",(VLOOKUP(Table2[[#This Row],[SKU]],'All Skus'!$A:$AC,23,FALSE)),""))</f>
        <v>Compliant</v>
      </c>
      <c r="S126" s="210" t="str">
        <f>HYPERLINK((IF((VLOOKUP(Table2[[#This Row],[SKU]],'All Skus'!$A:$AC,2,FALSE))="AMX",(VLOOKUP(Table2[[#This Row],[SKU]],'All Skus'!$A:$AC,24,FALSE)),"")))</f>
        <v>https://www.amx.com/en-US/products/exb-irs4</v>
      </c>
      <c r="T126" s="151">
        <v>124</v>
      </c>
    </row>
    <row r="127" spans="1:20" ht="15" hidden="1" customHeight="1">
      <c r="A127" s="48" t="s">
        <v>629</v>
      </c>
      <c r="B127" s="280" t="str">
        <f>(IF((VLOOKUP(Table2[[#This Row],[SKU]],'All Skus'!$A:$AC,2,FALSE))="AMX",(VLOOKUP(Table2[[#This Row],[SKU]],'All Skus'!$A:$AC,3,FALSE)),""))</f>
        <v>Central Controllers</v>
      </c>
      <c r="C127" s="280" t="str">
        <f>(IF((VLOOKUP(Table2[[#This Row],[SKU]],'All Skus'!$A:$AC,2,FALSE))="AMX",(VLOOKUP(Table2[[#This Row],[SKU]],'All Skus'!$A:$AC,4,FALSE)),""))</f>
        <v>EXB-MP1</v>
      </c>
      <c r="D127" s="47" t="str">
        <f>(IF((VLOOKUP(Table2[[#This Row],[SKU]],'All Skus'!$A:$AC,2,FALSE))="AMX",(VLOOKUP(Table2[[#This Row],[SKU]],'All Skus'!$A:$AC,5,FALSE)),""))</f>
        <v>AMX-DC</v>
      </c>
      <c r="E127" s="281">
        <f>(IF((VLOOKUP(Table2[[#This Row],[SKU]],'All Skus'!$A:$AC,2,FALSE))="AMX",(VLOOKUP(Table2[[#This Row],[SKU]],'All Skus'!$A:$AC,7,FALSE)),""))</f>
        <v>0</v>
      </c>
      <c r="F127" s="280" t="str">
        <f>(IF((VLOOKUP(Table2[[#This Row],[SKU]],'All Skus'!$A:$AC,2,FALSE))="AMX",(VLOOKUP(Table2[[#This Row],[SKU]],'All Skus'!$A:$AC,8,FALSE)),""))</f>
        <v>Multi-Port expansion over Ethernet</v>
      </c>
      <c r="G127" s="280" t="str">
        <f>(IF((VLOOKUP(Table2[[#This Row],[SKU]],'All Skus'!$A:$AC,2,FALSE))="AMX",(VLOOKUP(Table2[[#This Row],[SKU]],'All Skus'!$A:$AC,9,FALSE)),""))</f>
        <v>ICSLan Multi-Port, 1 COM, 1 IR/S, 2 I/O, 1 IR RX</v>
      </c>
      <c r="H127" s="157">
        <f>(IF((VLOOKUP(Table2[[#This Row],[SKU]],'All Skus'!$A:$AC,2,FALSE))="AMX",(VLOOKUP(Table2[[#This Row],[SKU]],'All Skus'!$A:$AC,10,FALSE)),""))</f>
        <v>823.2</v>
      </c>
      <c r="I127" s="157">
        <f>(IF((VLOOKUP(Table2[[#This Row],[SKU]],'All Skus'!$A:$AC,2,FALSE))="AMX",(VLOOKUP(Table2[[#This Row],[SKU]],'All Skus'!$A:$AC,11,FALSE)),""))</f>
        <v>823.2</v>
      </c>
      <c r="J127" s="47">
        <f>(IF((VLOOKUP(Table2[[#This Row],[SKU]],'All Skus'!$A:$AC,2,FALSE))="AMX",(VLOOKUP(Table2[[#This Row],[SKU]],'All Skus'!$A:$AC,15,FALSE)),""))</f>
        <v>0</v>
      </c>
      <c r="K127" s="47">
        <f>(IF((VLOOKUP(Table2[[#This Row],[SKU]],'All Skus'!$A:$AC,2,FALSE))="AMX",(VLOOKUP(Table2[[#This Row],[SKU]],'All Skus'!$A:$AC,16,FALSE)),""))</f>
        <v>718878230336</v>
      </c>
      <c r="L127" s="47">
        <f>(IF((VLOOKUP(Table2[[#This Row],[SKU]],'All Skus'!$A:$AC,2,FALSE))="AMX",(VLOOKUP(Table2[[#This Row],[SKU]],'All Skus'!$A:$AC,17,FALSE)),""))</f>
        <v>0</v>
      </c>
      <c r="M127" s="63">
        <f>(IF((VLOOKUP(Table2[[#This Row],[SKU]],'All Skus'!$A:$AC,2,FALSE))="AMX",(VLOOKUP(Table2[[#This Row],[SKU]],'All Skus'!$A:$AC,18,FALSE)),""))</f>
        <v>1</v>
      </c>
      <c r="N127" s="47">
        <f>(IF((VLOOKUP(Table2[[#This Row],[SKU]],'All Skus'!$A:$AC,2,FALSE))="AMX",(VLOOKUP(Table2[[#This Row],[SKU]],'All Skus'!$A:$AC,19,FALSE)),""))</f>
        <v>3</v>
      </c>
      <c r="O127" s="47">
        <f>(IF((VLOOKUP(Table2[[#This Row],[SKU]],'All Skus'!$A:$AC,2,FALSE))="AMX",(VLOOKUP(Table2[[#This Row],[SKU]],'All Skus'!$A:$AC,20,FALSE)),""))</f>
        <v>4.8099999999999996</v>
      </c>
      <c r="P127" s="47">
        <f>(IF((VLOOKUP(Table2[[#This Row],[SKU]],'All Skus'!$A:$AC,2,FALSE))="AMX",(VLOOKUP(Table2[[#This Row],[SKU]],'All Skus'!$A:$AC,21,FALSE)),""))</f>
        <v>3</v>
      </c>
      <c r="Q127" s="47" t="str">
        <f>(IF((VLOOKUP(Table2[[#This Row],[SKU]],'All Skus'!$A:$AC,2,FALSE))="AMX",(VLOOKUP(Table2[[#This Row],[SKU]],'All Skus'!$A:$AC,22,FALSE)),""))</f>
        <v>MX</v>
      </c>
      <c r="R127" s="47" t="str">
        <f>(IF((VLOOKUP(Table2[[#This Row],[SKU]],'All Skus'!$A:$AC,2,FALSE))="AMX",(VLOOKUP(Table2[[#This Row],[SKU]],'All Skus'!$A:$AC,23,FALSE)),""))</f>
        <v>Compliant</v>
      </c>
      <c r="S127" s="210" t="str">
        <f>HYPERLINK((IF((VLOOKUP(Table2[[#This Row],[SKU]],'All Skus'!$A:$AC,2,FALSE))="AMX",(VLOOKUP(Table2[[#This Row],[SKU]],'All Skus'!$A:$AC,24,FALSE)),"")))</f>
        <v>https://www.amx.com/en-US/products/exb-mp1</v>
      </c>
      <c r="T127" s="151">
        <v>125</v>
      </c>
    </row>
    <row r="128" spans="1:20" ht="15" hidden="1" customHeight="1">
      <c r="A128" s="48" t="s">
        <v>630</v>
      </c>
      <c r="B128" s="280" t="str">
        <f>(IF((VLOOKUP(Table2[[#This Row],[SKU]],'All Skus'!$A:$AC,2,FALSE))="AMX",(VLOOKUP(Table2[[#This Row],[SKU]],'All Skus'!$A:$AC,3,FALSE)),""))</f>
        <v>Control Pads</v>
      </c>
      <c r="C128" s="280" t="str">
        <f>(IF((VLOOKUP(Table2[[#This Row],[SKU]],'All Skus'!$A:$AC,2,FALSE))="AMX",(VLOOKUP(Table2[[#This Row],[SKU]],'All Skus'!$A:$AC,4,FALSE)),""))</f>
        <v>MCP-106L-BL</v>
      </c>
      <c r="D128" s="47" t="str">
        <f>(IF((VLOOKUP(Table2[[#This Row],[SKU]],'All Skus'!$A:$AC,2,FALSE))="AMX",(VLOOKUP(Table2[[#This Row],[SKU]],'All Skus'!$A:$AC,5,FALSE)),""))</f>
        <v>AMX-DC</v>
      </c>
      <c r="E128" s="281">
        <f>(IF((VLOOKUP(Table2[[#This Row],[SKU]],'All Skus'!$A:$AC,2,FALSE))="AMX",(VLOOKUP(Table2[[#This Row],[SKU]],'All Skus'!$A:$AC,7,FALSE)),""))</f>
        <v>0</v>
      </c>
      <c r="F128" s="280" t="str">
        <f>(IF((VLOOKUP(Table2[[#This Row],[SKU]],'All Skus'!$A:$AC,2,FALSE))="AMX",(VLOOKUP(Table2[[#This Row],[SKU]],'All Skus'!$A:$AC,8,FALSE)),""))</f>
        <v>Massio™ 6-Button ControlPad - Black - Landscape</v>
      </c>
      <c r="G128" s="280" t="str">
        <f>(IF((VLOOKUP(Table2[[#This Row],[SKU]],'All Skus'!$A:$AC,2,FALSE))="AMX",(VLOOKUP(Table2[[#This Row],[SKU]],'All Skus'!$A:$AC,9,FALSE)),""))</f>
        <v>Massio 6-Button Ethernet ControlPad, Landscape Black - Fits into standard 1 gang US, UK or EU back box</v>
      </c>
      <c r="H128" s="157">
        <f>(IF((VLOOKUP(Table2[[#This Row],[SKU]],'All Skus'!$A:$AC,2,FALSE))="AMX",(VLOOKUP(Table2[[#This Row],[SKU]],'All Skus'!$A:$AC,10,FALSE)),""))</f>
        <v>864.3</v>
      </c>
      <c r="I128" s="157">
        <f>(IF((VLOOKUP(Table2[[#This Row],[SKU]],'All Skus'!$A:$AC,2,FALSE))="AMX",(VLOOKUP(Table2[[#This Row],[SKU]],'All Skus'!$A:$AC,11,FALSE)),""))</f>
        <v>864.3</v>
      </c>
      <c r="J128" s="47">
        <f>(IF((VLOOKUP(Table2[[#This Row],[SKU]],'All Skus'!$A:$AC,2,FALSE))="AMX",(VLOOKUP(Table2[[#This Row],[SKU]],'All Skus'!$A:$AC,15,FALSE)),""))</f>
        <v>0</v>
      </c>
      <c r="K128" s="47">
        <f>(IF((VLOOKUP(Table2[[#This Row],[SKU]],'All Skus'!$A:$AC,2,FALSE))="AMX",(VLOOKUP(Table2[[#This Row],[SKU]],'All Skus'!$A:$AC,16,FALSE)),""))</f>
        <v>718878024805</v>
      </c>
      <c r="L128" s="47">
        <f>(IF((VLOOKUP(Table2[[#This Row],[SKU]],'All Skus'!$A:$AC,2,FALSE))="AMX",(VLOOKUP(Table2[[#This Row],[SKU]],'All Skus'!$A:$AC,17,FALSE)),""))</f>
        <v>0</v>
      </c>
      <c r="M128" s="63">
        <f>(IF((VLOOKUP(Table2[[#This Row],[SKU]],'All Skus'!$A:$AC,2,FALSE))="AMX",(VLOOKUP(Table2[[#This Row],[SKU]],'All Skus'!$A:$AC,18,FALSE)),""))</f>
        <v>0.25</v>
      </c>
      <c r="N128" s="47">
        <f>(IF((VLOOKUP(Table2[[#This Row],[SKU]],'All Skus'!$A:$AC,2,FALSE))="AMX",(VLOOKUP(Table2[[#This Row],[SKU]],'All Skus'!$A:$AC,19,FALSE)),""))</f>
        <v>3.44</v>
      </c>
      <c r="O128" s="47">
        <f>(IF((VLOOKUP(Table2[[#This Row],[SKU]],'All Skus'!$A:$AC,2,FALSE))="AMX",(VLOOKUP(Table2[[#This Row],[SKU]],'All Skus'!$A:$AC,20,FALSE)),""))</f>
        <v>4.6900000000000004</v>
      </c>
      <c r="P128" s="47">
        <f>(IF((VLOOKUP(Table2[[#This Row],[SKU]],'All Skus'!$A:$AC,2,FALSE))="AMX",(VLOOKUP(Table2[[#This Row],[SKU]],'All Skus'!$A:$AC,21,FALSE)),""))</f>
        <v>0.56000000000000005</v>
      </c>
      <c r="Q128" s="47" t="str">
        <f>(IF((VLOOKUP(Table2[[#This Row],[SKU]],'All Skus'!$A:$AC,2,FALSE))="AMX",(VLOOKUP(Table2[[#This Row],[SKU]],'All Skus'!$A:$AC,22,FALSE)),""))</f>
        <v>MX</v>
      </c>
      <c r="R128" s="47" t="str">
        <f>(IF((VLOOKUP(Table2[[#This Row],[SKU]],'All Skus'!$A:$AC,2,FALSE))="AMX",(VLOOKUP(Table2[[#This Row],[SKU]],'All Skus'!$A:$AC,23,FALSE)),""))</f>
        <v>Compliant</v>
      </c>
      <c r="S128" s="210" t="str">
        <f>HYPERLINK((IF((VLOOKUP(Table2[[#This Row],[SKU]],'All Skus'!$A:$AC,2,FALSE))="AMX",(VLOOKUP(Table2[[#This Row],[SKU]],'All Skus'!$A:$AC,24,FALSE)),"")))</f>
        <v>https://www.amx.com/en-US/products/mcp-106</v>
      </c>
      <c r="T128" s="151">
        <v>126</v>
      </c>
    </row>
    <row r="129" spans="1:20" ht="15" hidden="1" customHeight="1">
      <c r="A129" s="48" t="s">
        <v>631</v>
      </c>
      <c r="B129" s="280" t="str">
        <f>(IF((VLOOKUP(Table2[[#This Row],[SKU]],'All Skus'!$A:$AC,2,FALSE))="AMX",(VLOOKUP(Table2[[#This Row],[SKU]],'All Skus'!$A:$AC,3,FALSE)),""))</f>
        <v>Control Pads</v>
      </c>
      <c r="C129" s="280" t="str">
        <f>(IF((VLOOKUP(Table2[[#This Row],[SKU]],'All Skus'!$A:$AC,2,FALSE))="AMX",(VLOOKUP(Table2[[#This Row],[SKU]],'All Skus'!$A:$AC,4,FALSE)),""))</f>
        <v>MCP-106L-WH</v>
      </c>
      <c r="D129" s="47" t="str">
        <f>(IF((VLOOKUP(Table2[[#This Row],[SKU]],'All Skus'!$A:$AC,2,FALSE))="AMX",(VLOOKUP(Table2[[#This Row],[SKU]],'All Skus'!$A:$AC,5,FALSE)),""))</f>
        <v>AMX-DC</v>
      </c>
      <c r="E129" s="281">
        <f>(IF((VLOOKUP(Table2[[#This Row],[SKU]],'All Skus'!$A:$AC,2,FALSE))="AMX",(VLOOKUP(Table2[[#This Row],[SKU]],'All Skus'!$A:$AC,7,FALSE)),""))</f>
        <v>0</v>
      </c>
      <c r="F129" s="280" t="str">
        <f>(IF((VLOOKUP(Table2[[#This Row],[SKU]],'All Skus'!$A:$AC,2,FALSE))="AMX",(VLOOKUP(Table2[[#This Row],[SKU]],'All Skus'!$A:$AC,8,FALSE)),""))</f>
        <v>Massio™ 6-Button ControlPad - White - Landscape</v>
      </c>
      <c r="G129" s="280" t="str">
        <f>(IF((VLOOKUP(Table2[[#This Row],[SKU]],'All Skus'!$A:$AC,2,FALSE))="AMX",(VLOOKUP(Table2[[#This Row],[SKU]],'All Skus'!$A:$AC,9,FALSE)),""))</f>
        <v>Massio 6-Button Ethernet ControlPad, Landscape Black - Fits into standard 1 gang US, UK or EU back box</v>
      </c>
      <c r="H129" s="157">
        <f>(IF((VLOOKUP(Table2[[#This Row],[SKU]],'All Skus'!$A:$AC,2,FALSE))="AMX",(VLOOKUP(Table2[[#This Row],[SKU]],'All Skus'!$A:$AC,10,FALSE)),""))</f>
        <v>864.3</v>
      </c>
      <c r="I129" s="157">
        <f>(IF((VLOOKUP(Table2[[#This Row],[SKU]],'All Skus'!$A:$AC,2,FALSE))="AMX",(VLOOKUP(Table2[[#This Row],[SKU]],'All Skus'!$A:$AC,11,FALSE)),""))</f>
        <v>864.3</v>
      </c>
      <c r="J129" s="47">
        <f>(IF((VLOOKUP(Table2[[#This Row],[SKU]],'All Skus'!$A:$AC,2,FALSE))="AMX",(VLOOKUP(Table2[[#This Row],[SKU]],'All Skus'!$A:$AC,15,FALSE)),""))</f>
        <v>0</v>
      </c>
      <c r="K129" s="47">
        <f>(IF((VLOOKUP(Table2[[#This Row],[SKU]],'All Skus'!$A:$AC,2,FALSE))="AMX",(VLOOKUP(Table2[[#This Row],[SKU]],'All Skus'!$A:$AC,16,FALSE)),""))</f>
        <v>718878022863</v>
      </c>
      <c r="L129" s="47">
        <f>(IF((VLOOKUP(Table2[[#This Row],[SKU]],'All Skus'!$A:$AC,2,FALSE))="AMX",(VLOOKUP(Table2[[#This Row],[SKU]],'All Skus'!$A:$AC,17,FALSE)),""))</f>
        <v>0</v>
      </c>
      <c r="M129" s="63">
        <f>(IF((VLOOKUP(Table2[[#This Row],[SKU]],'All Skus'!$A:$AC,2,FALSE))="AMX",(VLOOKUP(Table2[[#This Row],[SKU]],'All Skus'!$A:$AC,18,FALSE)),""))</f>
        <v>0.25</v>
      </c>
      <c r="N129" s="47">
        <f>(IF((VLOOKUP(Table2[[#This Row],[SKU]],'All Skus'!$A:$AC,2,FALSE))="AMX",(VLOOKUP(Table2[[#This Row],[SKU]],'All Skus'!$A:$AC,19,FALSE)),""))</f>
        <v>3.44</v>
      </c>
      <c r="O129" s="47">
        <f>(IF((VLOOKUP(Table2[[#This Row],[SKU]],'All Skus'!$A:$AC,2,FALSE))="AMX",(VLOOKUP(Table2[[#This Row],[SKU]],'All Skus'!$A:$AC,20,FALSE)),""))</f>
        <v>4.6900000000000004</v>
      </c>
      <c r="P129" s="47">
        <f>(IF((VLOOKUP(Table2[[#This Row],[SKU]],'All Skus'!$A:$AC,2,FALSE))="AMX",(VLOOKUP(Table2[[#This Row],[SKU]],'All Skus'!$A:$AC,21,FALSE)),""))</f>
        <v>0.56000000000000005</v>
      </c>
      <c r="Q129" s="47" t="str">
        <f>(IF((VLOOKUP(Table2[[#This Row],[SKU]],'All Skus'!$A:$AC,2,FALSE))="AMX",(VLOOKUP(Table2[[#This Row],[SKU]],'All Skus'!$A:$AC,22,FALSE)),""))</f>
        <v>MX</v>
      </c>
      <c r="R129" s="47" t="str">
        <f>(IF((VLOOKUP(Table2[[#This Row],[SKU]],'All Skus'!$A:$AC,2,FALSE))="AMX",(VLOOKUP(Table2[[#This Row],[SKU]],'All Skus'!$A:$AC,23,FALSE)),""))</f>
        <v>Compliant</v>
      </c>
      <c r="S129" s="210" t="str">
        <f>HYPERLINK((IF((VLOOKUP(Table2[[#This Row],[SKU]],'All Skus'!$A:$AC,2,FALSE))="AMX",(VLOOKUP(Table2[[#This Row],[SKU]],'All Skus'!$A:$AC,24,FALSE)),"")))</f>
        <v>https://www.amx.com/en-US/products/mcp-106</v>
      </c>
      <c r="T129" s="151">
        <v>127</v>
      </c>
    </row>
    <row r="130" spans="1:20" ht="15" hidden="1" customHeight="1">
      <c r="A130" s="48" t="s">
        <v>632</v>
      </c>
      <c r="B130" s="280" t="str">
        <f>(IF((VLOOKUP(Table2[[#This Row],[SKU]],'All Skus'!$A:$AC,2,FALSE))="AMX",(VLOOKUP(Table2[[#This Row],[SKU]],'All Skus'!$A:$AC,3,FALSE)),""))</f>
        <v>Control Pads</v>
      </c>
      <c r="C130" s="280" t="str">
        <f>(IF((VLOOKUP(Table2[[#This Row],[SKU]],'All Skus'!$A:$AC,2,FALSE))="AMX",(VLOOKUP(Table2[[#This Row],[SKU]],'All Skus'!$A:$AC,4,FALSE)),""))</f>
        <v>MCP-106P-BL</v>
      </c>
      <c r="D130" s="47" t="str">
        <f>(IF((VLOOKUP(Table2[[#This Row],[SKU]],'All Skus'!$A:$AC,2,FALSE))="AMX",(VLOOKUP(Table2[[#This Row],[SKU]],'All Skus'!$A:$AC,5,FALSE)),""))</f>
        <v>AMX-DC</v>
      </c>
      <c r="E130" s="281">
        <f>(IF((VLOOKUP(Table2[[#This Row],[SKU]],'All Skus'!$A:$AC,2,FALSE))="AMX",(VLOOKUP(Table2[[#This Row],[SKU]],'All Skus'!$A:$AC,7,FALSE)),""))</f>
        <v>0</v>
      </c>
      <c r="F130" s="280" t="str">
        <f>(IF((VLOOKUP(Table2[[#This Row],[SKU]],'All Skus'!$A:$AC,2,FALSE))="AMX",(VLOOKUP(Table2[[#This Row],[SKU]],'All Skus'!$A:$AC,8,FALSE)),""))</f>
        <v>Massio™ 6-Button ControlPad - Black - Portrait</v>
      </c>
      <c r="G130" s="280" t="str">
        <f>(IF((VLOOKUP(Table2[[#This Row],[SKU]],'All Skus'!$A:$AC,2,FALSE))="AMX",(VLOOKUP(Table2[[#This Row],[SKU]],'All Skus'!$A:$AC,9,FALSE)),""))</f>
        <v>Massio 6-Button Ethernet ControlPad, Portrait, Black - Fits into standard 1 gang US, UK or EU back box</v>
      </c>
      <c r="H130" s="157">
        <f>(IF((VLOOKUP(Table2[[#This Row],[SKU]],'All Skus'!$A:$AC,2,FALSE))="AMX",(VLOOKUP(Table2[[#This Row],[SKU]],'All Skus'!$A:$AC,10,FALSE)),""))</f>
        <v>864.3</v>
      </c>
      <c r="I130" s="157">
        <f>(IF((VLOOKUP(Table2[[#This Row],[SKU]],'All Skus'!$A:$AC,2,FALSE))="AMX",(VLOOKUP(Table2[[#This Row],[SKU]],'All Skus'!$A:$AC,11,FALSE)),""))</f>
        <v>864.3</v>
      </c>
      <c r="J130" s="47">
        <f>(IF((VLOOKUP(Table2[[#This Row],[SKU]],'All Skus'!$A:$AC,2,FALSE))="AMX",(VLOOKUP(Table2[[#This Row],[SKU]],'All Skus'!$A:$AC,15,FALSE)),""))</f>
        <v>0</v>
      </c>
      <c r="K130" s="47">
        <f>(IF((VLOOKUP(Table2[[#This Row],[SKU]],'All Skus'!$A:$AC,2,FALSE))="AMX",(VLOOKUP(Table2[[#This Row],[SKU]],'All Skus'!$A:$AC,16,FALSE)),""))</f>
        <v>718878024812</v>
      </c>
      <c r="L130" s="47">
        <f>(IF((VLOOKUP(Table2[[#This Row],[SKU]],'All Skus'!$A:$AC,2,FALSE))="AMX",(VLOOKUP(Table2[[#This Row],[SKU]],'All Skus'!$A:$AC,17,FALSE)),""))</f>
        <v>0</v>
      </c>
      <c r="M130" s="63">
        <f>(IF((VLOOKUP(Table2[[#This Row],[SKU]],'All Skus'!$A:$AC,2,FALSE))="AMX",(VLOOKUP(Table2[[#This Row],[SKU]],'All Skus'!$A:$AC,18,FALSE)),""))</f>
        <v>0.25</v>
      </c>
      <c r="N130" s="47">
        <f>(IF((VLOOKUP(Table2[[#This Row],[SKU]],'All Skus'!$A:$AC,2,FALSE))="AMX",(VLOOKUP(Table2[[#This Row],[SKU]],'All Skus'!$A:$AC,19,FALSE)),""))</f>
        <v>3.44</v>
      </c>
      <c r="O130" s="47">
        <f>(IF((VLOOKUP(Table2[[#This Row],[SKU]],'All Skus'!$A:$AC,2,FALSE))="AMX",(VLOOKUP(Table2[[#This Row],[SKU]],'All Skus'!$A:$AC,20,FALSE)),""))</f>
        <v>4.6900000000000004</v>
      </c>
      <c r="P130" s="47">
        <f>(IF((VLOOKUP(Table2[[#This Row],[SKU]],'All Skus'!$A:$AC,2,FALSE))="AMX",(VLOOKUP(Table2[[#This Row],[SKU]],'All Skus'!$A:$AC,21,FALSE)),""))</f>
        <v>0.56000000000000005</v>
      </c>
      <c r="Q130" s="47" t="str">
        <f>(IF((VLOOKUP(Table2[[#This Row],[SKU]],'All Skus'!$A:$AC,2,FALSE))="AMX",(VLOOKUP(Table2[[#This Row],[SKU]],'All Skus'!$A:$AC,22,FALSE)),""))</f>
        <v>MX</v>
      </c>
      <c r="R130" s="47" t="str">
        <f>(IF((VLOOKUP(Table2[[#This Row],[SKU]],'All Skus'!$A:$AC,2,FALSE))="AMX",(VLOOKUP(Table2[[#This Row],[SKU]],'All Skus'!$A:$AC,23,FALSE)),""))</f>
        <v>Compliant</v>
      </c>
      <c r="S130" s="210" t="str">
        <f>HYPERLINK((IF((VLOOKUP(Table2[[#This Row],[SKU]],'All Skus'!$A:$AC,2,FALSE))="AMX",(VLOOKUP(Table2[[#This Row],[SKU]],'All Skus'!$A:$AC,24,FALSE)),"")))</f>
        <v>https://www.amx.com/en-US/products/mcp-106</v>
      </c>
      <c r="T130" s="151">
        <v>128</v>
      </c>
    </row>
    <row r="131" spans="1:20" ht="15" hidden="1" customHeight="1">
      <c r="A131" s="48" t="s">
        <v>633</v>
      </c>
      <c r="B131" s="280" t="str">
        <f>(IF((VLOOKUP(Table2[[#This Row],[SKU]],'All Skus'!$A:$AC,2,FALSE))="AMX",(VLOOKUP(Table2[[#This Row],[SKU]],'All Skus'!$A:$AC,3,FALSE)),""))</f>
        <v>Control Pads</v>
      </c>
      <c r="C131" s="280" t="str">
        <f>(IF((VLOOKUP(Table2[[#This Row],[SKU]],'All Skus'!$A:$AC,2,FALSE))="AMX",(VLOOKUP(Table2[[#This Row],[SKU]],'All Skus'!$A:$AC,4,FALSE)),""))</f>
        <v>MCP-106P-WH</v>
      </c>
      <c r="D131" s="47" t="str">
        <f>(IF((VLOOKUP(Table2[[#This Row],[SKU]],'All Skus'!$A:$AC,2,FALSE))="AMX",(VLOOKUP(Table2[[#This Row],[SKU]],'All Skus'!$A:$AC,5,FALSE)),""))</f>
        <v>AMX-DC</v>
      </c>
      <c r="E131" s="281">
        <f>(IF((VLOOKUP(Table2[[#This Row],[SKU]],'All Skus'!$A:$AC,2,FALSE))="AMX",(VLOOKUP(Table2[[#This Row],[SKU]],'All Skus'!$A:$AC,7,FALSE)),""))</f>
        <v>0</v>
      </c>
      <c r="F131" s="280" t="str">
        <f>(IF((VLOOKUP(Table2[[#This Row],[SKU]],'All Skus'!$A:$AC,2,FALSE))="AMX",(VLOOKUP(Table2[[#This Row],[SKU]],'All Skus'!$A:$AC,8,FALSE)),""))</f>
        <v>Massio™ 6-Button ControlPad - White - Portrait</v>
      </c>
      <c r="G131" s="280" t="str">
        <f>(IF((VLOOKUP(Table2[[#This Row],[SKU]],'All Skus'!$A:$AC,2,FALSE))="AMX",(VLOOKUP(Table2[[#This Row],[SKU]],'All Skus'!$A:$AC,9,FALSE)),""))</f>
        <v>Massio 6-Button Ethernet ControlPad, Portrait, White - Fits into standard 1 gang US, UK or EU back box</v>
      </c>
      <c r="H131" s="157">
        <f>(IF((VLOOKUP(Table2[[#This Row],[SKU]],'All Skus'!$A:$AC,2,FALSE))="AMX",(VLOOKUP(Table2[[#This Row],[SKU]],'All Skus'!$A:$AC,10,FALSE)),""))</f>
        <v>864.3</v>
      </c>
      <c r="I131" s="157">
        <f>(IF((VLOOKUP(Table2[[#This Row],[SKU]],'All Skus'!$A:$AC,2,FALSE))="AMX",(VLOOKUP(Table2[[#This Row],[SKU]],'All Skus'!$A:$AC,11,FALSE)),""))</f>
        <v>864.3</v>
      </c>
      <c r="J131" s="47">
        <f>(IF((VLOOKUP(Table2[[#This Row],[SKU]],'All Skus'!$A:$AC,2,FALSE))="AMX",(VLOOKUP(Table2[[#This Row],[SKU]],'All Skus'!$A:$AC,15,FALSE)),""))</f>
        <v>0</v>
      </c>
      <c r="K131" s="47">
        <f>(IF((VLOOKUP(Table2[[#This Row],[SKU]],'All Skus'!$A:$AC,2,FALSE))="AMX",(VLOOKUP(Table2[[#This Row],[SKU]],'All Skus'!$A:$AC,16,FALSE)),""))</f>
        <v>718878024829</v>
      </c>
      <c r="L131" s="47">
        <f>(IF((VLOOKUP(Table2[[#This Row],[SKU]],'All Skus'!$A:$AC,2,FALSE))="AMX",(VLOOKUP(Table2[[#This Row],[SKU]],'All Skus'!$A:$AC,17,FALSE)),""))</f>
        <v>0</v>
      </c>
      <c r="M131" s="63">
        <f>(IF((VLOOKUP(Table2[[#This Row],[SKU]],'All Skus'!$A:$AC,2,FALSE))="AMX",(VLOOKUP(Table2[[#This Row],[SKU]],'All Skus'!$A:$AC,18,FALSE)),""))</f>
        <v>0.25</v>
      </c>
      <c r="N131" s="47">
        <f>(IF((VLOOKUP(Table2[[#This Row],[SKU]],'All Skus'!$A:$AC,2,FALSE))="AMX",(VLOOKUP(Table2[[#This Row],[SKU]],'All Skus'!$A:$AC,19,FALSE)),""))</f>
        <v>4.6900000000000004</v>
      </c>
      <c r="O131" s="47">
        <f>(IF((VLOOKUP(Table2[[#This Row],[SKU]],'All Skus'!$A:$AC,2,FALSE))="AMX",(VLOOKUP(Table2[[#This Row],[SKU]],'All Skus'!$A:$AC,20,FALSE)),""))</f>
        <v>3.44</v>
      </c>
      <c r="P131" s="47">
        <f>(IF((VLOOKUP(Table2[[#This Row],[SKU]],'All Skus'!$A:$AC,2,FALSE))="AMX",(VLOOKUP(Table2[[#This Row],[SKU]],'All Skus'!$A:$AC,21,FALSE)),""))</f>
        <v>0.56000000000000005</v>
      </c>
      <c r="Q131" s="47" t="str">
        <f>(IF((VLOOKUP(Table2[[#This Row],[SKU]],'All Skus'!$A:$AC,2,FALSE))="AMX",(VLOOKUP(Table2[[#This Row],[SKU]],'All Skus'!$A:$AC,22,FALSE)),""))</f>
        <v>MX</v>
      </c>
      <c r="R131" s="47" t="str">
        <f>(IF((VLOOKUP(Table2[[#This Row],[SKU]],'All Skus'!$A:$AC,2,FALSE))="AMX",(VLOOKUP(Table2[[#This Row],[SKU]],'All Skus'!$A:$AC,23,FALSE)),""))</f>
        <v>Compliant</v>
      </c>
      <c r="S131" s="210" t="str">
        <f>HYPERLINK((IF((VLOOKUP(Table2[[#This Row],[SKU]],'All Skus'!$A:$AC,2,FALSE))="AMX",(VLOOKUP(Table2[[#This Row],[SKU]],'All Skus'!$A:$AC,24,FALSE)),"")))</f>
        <v>https://www.amx.com/en-US/products/mcp-106</v>
      </c>
      <c r="T131" s="151">
        <v>129</v>
      </c>
    </row>
    <row r="132" spans="1:20" ht="15" hidden="1" customHeight="1">
      <c r="A132" s="48" t="s">
        <v>634</v>
      </c>
      <c r="B132" s="280" t="str">
        <f>(IF((VLOOKUP(Table2[[#This Row],[SKU]],'All Skus'!$A:$AC,2,FALSE))="AMX",(VLOOKUP(Table2[[#This Row],[SKU]],'All Skus'!$A:$AC,3,FALSE)),""))</f>
        <v>Control Pads</v>
      </c>
      <c r="C132" s="280" t="str">
        <f>(IF((VLOOKUP(Table2[[#This Row],[SKU]],'All Skus'!$A:$AC,2,FALSE))="AMX",(VLOOKUP(Table2[[#This Row],[SKU]],'All Skus'!$A:$AC,4,FALSE)),""))</f>
        <v>MCP-108-BL</v>
      </c>
      <c r="D132" s="47" t="str">
        <f>(IF((VLOOKUP(Table2[[#This Row],[SKU]],'All Skus'!$A:$AC,2,FALSE))="AMX",(VLOOKUP(Table2[[#This Row],[SKU]],'All Skus'!$A:$AC,5,FALSE)),""))</f>
        <v>AMX-DC</v>
      </c>
      <c r="E132" s="281">
        <f>(IF((VLOOKUP(Table2[[#This Row],[SKU]],'All Skus'!$A:$AC,2,FALSE))="AMX",(VLOOKUP(Table2[[#This Row],[SKU]],'All Skus'!$A:$AC,7,FALSE)),""))</f>
        <v>0</v>
      </c>
      <c r="F132" s="280" t="str">
        <f>(IF((VLOOKUP(Table2[[#This Row],[SKU]],'All Skus'!$A:$AC,2,FALSE))="AMX",(VLOOKUP(Table2[[#This Row],[SKU]],'All Skus'!$A:$AC,8,FALSE)),""))</f>
        <v>Massio™ 8-Button ControlPad - Black</v>
      </c>
      <c r="G132" s="280" t="str">
        <f>(IF((VLOOKUP(Table2[[#This Row],[SKU]],'All Skus'!$A:$AC,2,FALSE))="AMX",(VLOOKUP(Table2[[#This Row],[SKU]],'All Skus'!$A:$AC,9,FALSE)),""))</f>
        <v>Massio 8-Button Ethernet ControlPad with Knob, Black - Fits into standard 2 gang US, UK or EU back box</v>
      </c>
      <c r="H132" s="157">
        <f>(IF((VLOOKUP(Table2[[#This Row],[SKU]],'All Skus'!$A:$AC,2,FALSE))="AMX",(VLOOKUP(Table2[[#This Row],[SKU]],'All Skus'!$A:$AC,10,FALSE)),""))</f>
        <v>1116.4000000000001</v>
      </c>
      <c r="I132" s="157">
        <f>(IF((VLOOKUP(Table2[[#This Row],[SKU]],'All Skus'!$A:$AC,2,FALSE))="AMX",(VLOOKUP(Table2[[#This Row],[SKU]],'All Skus'!$A:$AC,11,FALSE)),""))</f>
        <v>1116.4000000000001</v>
      </c>
      <c r="J132" s="47">
        <f>(IF((VLOOKUP(Table2[[#This Row],[SKU]],'All Skus'!$A:$AC,2,FALSE))="AMX",(VLOOKUP(Table2[[#This Row],[SKU]],'All Skus'!$A:$AC,15,FALSE)),""))</f>
        <v>0</v>
      </c>
      <c r="K132" s="47">
        <f>(IF((VLOOKUP(Table2[[#This Row],[SKU]],'All Skus'!$A:$AC,2,FALSE))="AMX",(VLOOKUP(Table2[[#This Row],[SKU]],'All Skus'!$A:$AC,16,FALSE)),""))</f>
        <v>718878024836</v>
      </c>
      <c r="L132" s="47">
        <f>(IF((VLOOKUP(Table2[[#This Row],[SKU]],'All Skus'!$A:$AC,2,FALSE))="AMX",(VLOOKUP(Table2[[#This Row],[SKU]],'All Skus'!$A:$AC,17,FALSE)),""))</f>
        <v>0</v>
      </c>
      <c r="M132" s="63">
        <f>(IF((VLOOKUP(Table2[[#This Row],[SKU]],'All Skus'!$A:$AC,2,FALSE))="AMX",(VLOOKUP(Table2[[#This Row],[SKU]],'All Skus'!$A:$AC,18,FALSE)),""))</f>
        <v>0.41</v>
      </c>
      <c r="N132" s="47">
        <f>(IF((VLOOKUP(Table2[[#This Row],[SKU]],'All Skus'!$A:$AC,2,FALSE))="AMX",(VLOOKUP(Table2[[#This Row],[SKU]],'All Skus'!$A:$AC,19,FALSE)),""))</f>
        <v>4.6900000000000004</v>
      </c>
      <c r="O132" s="47">
        <f>(IF((VLOOKUP(Table2[[#This Row],[SKU]],'All Skus'!$A:$AC,2,FALSE))="AMX",(VLOOKUP(Table2[[#This Row],[SKU]],'All Skus'!$A:$AC,20,FALSE)),""))</f>
        <v>6</v>
      </c>
      <c r="P132" s="47">
        <f>(IF((VLOOKUP(Table2[[#This Row],[SKU]],'All Skus'!$A:$AC,2,FALSE))="AMX",(VLOOKUP(Table2[[#This Row],[SKU]],'All Skus'!$A:$AC,21,FALSE)),""))</f>
        <v>1</v>
      </c>
      <c r="Q132" s="47" t="str">
        <f>(IF((VLOOKUP(Table2[[#This Row],[SKU]],'All Skus'!$A:$AC,2,FALSE))="AMX",(VLOOKUP(Table2[[#This Row],[SKU]],'All Skus'!$A:$AC,22,FALSE)),""))</f>
        <v>MX</v>
      </c>
      <c r="R132" s="47" t="str">
        <f>(IF((VLOOKUP(Table2[[#This Row],[SKU]],'All Skus'!$A:$AC,2,FALSE))="AMX",(VLOOKUP(Table2[[#This Row],[SKU]],'All Skus'!$A:$AC,23,FALSE)),""))</f>
        <v>Compliant</v>
      </c>
      <c r="S132" s="210" t="str">
        <f>HYPERLINK((IF((VLOOKUP(Table2[[#This Row],[SKU]],'All Skus'!$A:$AC,2,FALSE))="AMX",(VLOOKUP(Table2[[#This Row],[SKU]],'All Skus'!$A:$AC,24,FALSE)),"")))</f>
        <v>https://www.amx.com/en-US/products/mcp-108</v>
      </c>
      <c r="T132" s="151">
        <v>130</v>
      </c>
    </row>
    <row r="133" spans="1:20" ht="15" hidden="1" customHeight="1">
      <c r="A133" s="48" t="s">
        <v>635</v>
      </c>
      <c r="B133" s="280" t="str">
        <f>(IF((VLOOKUP(Table2[[#This Row],[SKU]],'All Skus'!$A:$AC,2,FALSE))="AMX",(VLOOKUP(Table2[[#This Row],[SKU]],'All Skus'!$A:$AC,3,FALSE)),""))</f>
        <v>Control Pads</v>
      </c>
      <c r="C133" s="280" t="str">
        <f>(IF((VLOOKUP(Table2[[#This Row],[SKU]],'All Skus'!$A:$AC,2,FALSE))="AMX",(VLOOKUP(Table2[[#This Row],[SKU]],'All Skus'!$A:$AC,4,FALSE)),""))</f>
        <v>MCP-108-WH</v>
      </c>
      <c r="D133" s="47" t="str">
        <f>(IF((VLOOKUP(Table2[[#This Row],[SKU]],'All Skus'!$A:$AC,2,FALSE))="AMX",(VLOOKUP(Table2[[#This Row],[SKU]],'All Skus'!$A:$AC,5,FALSE)),""))</f>
        <v>AMX-DC</v>
      </c>
      <c r="E133" s="281">
        <f>(IF((VLOOKUP(Table2[[#This Row],[SKU]],'All Skus'!$A:$AC,2,FALSE))="AMX",(VLOOKUP(Table2[[#This Row],[SKU]],'All Skus'!$A:$AC,7,FALSE)),""))</f>
        <v>0</v>
      </c>
      <c r="F133" s="280" t="str">
        <f>(IF((VLOOKUP(Table2[[#This Row],[SKU]],'All Skus'!$A:$AC,2,FALSE))="AMX",(VLOOKUP(Table2[[#This Row],[SKU]],'All Skus'!$A:$AC,8,FALSE)),""))</f>
        <v>Massio™ 8-Button ControlPad - White</v>
      </c>
      <c r="G133" s="280" t="str">
        <f>(IF((VLOOKUP(Table2[[#This Row],[SKU]],'All Skus'!$A:$AC,2,FALSE))="AMX",(VLOOKUP(Table2[[#This Row],[SKU]],'All Skus'!$A:$AC,9,FALSE)),""))</f>
        <v>Massio 8-Button  Ethernet ControlPad with Knob, White - Fits into standard 2 gang US, UK or EU back box</v>
      </c>
      <c r="H133" s="157">
        <f>(IF((VLOOKUP(Table2[[#This Row],[SKU]],'All Skus'!$A:$AC,2,FALSE))="AMX",(VLOOKUP(Table2[[#This Row],[SKU]],'All Skus'!$A:$AC,10,FALSE)),""))</f>
        <v>1116.4000000000001</v>
      </c>
      <c r="I133" s="157">
        <f>(IF((VLOOKUP(Table2[[#This Row],[SKU]],'All Skus'!$A:$AC,2,FALSE))="AMX",(VLOOKUP(Table2[[#This Row],[SKU]],'All Skus'!$A:$AC,11,FALSE)),""))</f>
        <v>1116.4000000000001</v>
      </c>
      <c r="J133" s="47">
        <f>(IF((VLOOKUP(Table2[[#This Row],[SKU]],'All Skus'!$A:$AC,2,FALSE))="AMX",(VLOOKUP(Table2[[#This Row],[SKU]],'All Skus'!$A:$AC,15,FALSE)),""))</f>
        <v>0</v>
      </c>
      <c r="K133" s="47">
        <f>(IF((VLOOKUP(Table2[[#This Row],[SKU]],'All Skus'!$A:$AC,2,FALSE))="AMX",(VLOOKUP(Table2[[#This Row],[SKU]],'All Skus'!$A:$AC,16,FALSE)),""))</f>
        <v>718878024843</v>
      </c>
      <c r="L133" s="47">
        <f>(IF((VLOOKUP(Table2[[#This Row],[SKU]],'All Skus'!$A:$AC,2,FALSE))="AMX",(VLOOKUP(Table2[[#This Row],[SKU]],'All Skus'!$A:$AC,17,FALSE)),""))</f>
        <v>0</v>
      </c>
      <c r="M133" s="63">
        <f>(IF((VLOOKUP(Table2[[#This Row],[SKU]],'All Skus'!$A:$AC,2,FALSE))="AMX",(VLOOKUP(Table2[[#This Row],[SKU]],'All Skus'!$A:$AC,18,FALSE)),""))</f>
        <v>0.41</v>
      </c>
      <c r="N133" s="47">
        <f>(IF((VLOOKUP(Table2[[#This Row],[SKU]],'All Skus'!$A:$AC,2,FALSE))="AMX",(VLOOKUP(Table2[[#This Row],[SKU]],'All Skus'!$A:$AC,19,FALSE)),""))</f>
        <v>4.6900000000000004</v>
      </c>
      <c r="O133" s="47">
        <f>(IF((VLOOKUP(Table2[[#This Row],[SKU]],'All Skus'!$A:$AC,2,FALSE))="AMX",(VLOOKUP(Table2[[#This Row],[SKU]],'All Skus'!$A:$AC,20,FALSE)),""))</f>
        <v>6</v>
      </c>
      <c r="P133" s="47">
        <f>(IF((VLOOKUP(Table2[[#This Row],[SKU]],'All Skus'!$A:$AC,2,FALSE))="AMX",(VLOOKUP(Table2[[#This Row],[SKU]],'All Skus'!$A:$AC,21,FALSE)),""))</f>
        <v>1</v>
      </c>
      <c r="Q133" s="47" t="str">
        <f>(IF((VLOOKUP(Table2[[#This Row],[SKU]],'All Skus'!$A:$AC,2,FALSE))="AMX",(VLOOKUP(Table2[[#This Row],[SKU]],'All Skus'!$A:$AC,22,FALSE)),""))</f>
        <v>MX</v>
      </c>
      <c r="R133" s="47" t="str">
        <f>(IF((VLOOKUP(Table2[[#This Row],[SKU]],'All Skus'!$A:$AC,2,FALSE))="AMX",(VLOOKUP(Table2[[#This Row],[SKU]],'All Skus'!$A:$AC,23,FALSE)),""))</f>
        <v>Compliant</v>
      </c>
      <c r="S133" s="210" t="str">
        <f>HYPERLINK((IF((VLOOKUP(Table2[[#This Row],[SKU]],'All Skus'!$A:$AC,2,FALSE))="AMX",(VLOOKUP(Table2[[#This Row],[SKU]],'All Skus'!$A:$AC,24,FALSE)),"")))</f>
        <v>https://www.amx.com/en-US/products/mcp-108</v>
      </c>
      <c r="T133" s="151">
        <v>131</v>
      </c>
    </row>
    <row r="134" spans="1:20" ht="15" hidden="1" customHeight="1">
      <c r="A134" s="48" t="s">
        <v>636</v>
      </c>
      <c r="B134" s="280" t="str">
        <f>(IF((VLOOKUP(Table2[[#This Row],[SKU]],'All Skus'!$A:$AC,2,FALSE))="AMX",(VLOOKUP(Table2[[#This Row],[SKU]],'All Skus'!$A:$AC,3,FALSE)),""))</f>
        <v>Central Controllers</v>
      </c>
      <c r="C134" s="280" t="str">
        <f>(IF((VLOOKUP(Table2[[#This Row],[SKU]],'All Skus'!$A:$AC,2,FALSE))="AMX",(VLOOKUP(Table2[[#This Row],[SKU]],'All Skus'!$A:$AC,4,FALSE)),""))</f>
        <v>NX-1200</v>
      </c>
      <c r="D134" s="47" t="str">
        <f>(IF((VLOOKUP(Table2[[#This Row],[SKU]],'All Skus'!$A:$AC,2,FALSE))="AMX",(VLOOKUP(Table2[[#This Row],[SKU]],'All Skus'!$A:$AC,5,FALSE)),""))</f>
        <v>AMX-DC</v>
      </c>
      <c r="E134" s="281">
        <f>(IF((VLOOKUP(Table2[[#This Row],[SKU]],'All Skus'!$A:$AC,2,FALSE))="AMX",(VLOOKUP(Table2[[#This Row],[SKU]],'All Skus'!$A:$AC,7,FALSE)),""))</f>
        <v>0</v>
      </c>
      <c r="F134" s="280" t="str">
        <f>(IF((VLOOKUP(Table2[[#This Row],[SKU]],'All Skus'!$A:$AC,2,FALSE))="AMX",(VLOOKUP(Table2[[#This Row],[SKU]],'All Skus'!$A:$AC,8,FALSE)),""))</f>
        <v>NetLinx Integrated Controller - Compact form factor</v>
      </c>
      <c r="G134" s="280" t="str">
        <f>(IF((VLOOKUP(Table2[[#This Row],[SKU]],'All Skus'!$A:$AC,2,FALSE))="AMX",(VLOOKUP(Table2[[#This Row],[SKU]],'All Skus'!$A:$AC,9,FALSE)),""))</f>
        <v>NX-1200 NetLinx NX Integrated Controller with 512 MB RAM, 1600 MIPS Processor, 4 UK of FLASH, 2 Serial Ports, 2 IR Ports, 4 I/O Ports, and IPv6</v>
      </c>
      <c r="H134" s="157">
        <f>(IF((VLOOKUP(Table2[[#This Row],[SKU]],'All Skus'!$A:$AC,2,FALSE))="AMX",(VLOOKUP(Table2[[#This Row],[SKU]],'All Skus'!$A:$AC,10,FALSE)),""))</f>
        <v>1401.7</v>
      </c>
      <c r="I134" s="157">
        <f>(IF((VLOOKUP(Table2[[#This Row],[SKU]],'All Skus'!$A:$AC,2,FALSE))="AMX",(VLOOKUP(Table2[[#This Row],[SKU]],'All Skus'!$A:$AC,11,FALSE)),""))</f>
        <v>1401.7</v>
      </c>
      <c r="J134" s="47">
        <f>(IF((VLOOKUP(Table2[[#This Row],[SKU]],'All Skus'!$A:$AC,2,FALSE))="AMX",(VLOOKUP(Table2[[#This Row],[SKU]],'All Skus'!$A:$AC,15,FALSE)),""))</f>
        <v>0</v>
      </c>
      <c r="K134" s="47">
        <f>(IF((VLOOKUP(Table2[[#This Row],[SKU]],'All Skus'!$A:$AC,2,FALSE))="AMX",(VLOOKUP(Table2[[#This Row],[SKU]],'All Skus'!$A:$AC,16,FALSE)),""))</f>
        <v>718878024287</v>
      </c>
      <c r="L134" s="47">
        <f>(IF((VLOOKUP(Table2[[#This Row],[SKU]],'All Skus'!$A:$AC,2,FALSE))="AMX",(VLOOKUP(Table2[[#This Row],[SKU]],'All Skus'!$A:$AC,17,FALSE)),""))</f>
        <v>0</v>
      </c>
      <c r="M134" s="63">
        <f>(IF((VLOOKUP(Table2[[#This Row],[SKU]],'All Skus'!$A:$AC,2,FALSE))="AMX",(VLOOKUP(Table2[[#This Row],[SKU]],'All Skus'!$A:$AC,18,FALSE)),""))</f>
        <v>1.6</v>
      </c>
      <c r="N134" s="47">
        <f>(IF((VLOOKUP(Table2[[#This Row],[SKU]],'All Skus'!$A:$AC,2,FALSE))="AMX",(VLOOKUP(Table2[[#This Row],[SKU]],'All Skus'!$A:$AC,19,FALSE)),""))</f>
        <v>5.81</v>
      </c>
      <c r="O134" s="47">
        <f>(IF((VLOOKUP(Table2[[#This Row],[SKU]],'All Skus'!$A:$AC,2,FALSE))="AMX",(VLOOKUP(Table2[[#This Row],[SKU]],'All Skus'!$A:$AC,20,FALSE)),""))</f>
        <v>5.13</v>
      </c>
      <c r="P134" s="47">
        <f>(IF((VLOOKUP(Table2[[#This Row],[SKU]],'All Skus'!$A:$AC,2,FALSE))="AMX",(VLOOKUP(Table2[[#This Row],[SKU]],'All Skus'!$A:$AC,21,FALSE)),""))</f>
        <v>1.69</v>
      </c>
      <c r="Q134" s="47" t="str">
        <f>(IF((VLOOKUP(Table2[[#This Row],[SKU]],'All Skus'!$A:$AC,2,FALSE))="AMX",(VLOOKUP(Table2[[#This Row],[SKU]],'All Skus'!$A:$AC,22,FALSE)),""))</f>
        <v>MX</v>
      </c>
      <c r="R134" s="47" t="str">
        <f>(IF((VLOOKUP(Table2[[#This Row],[SKU]],'All Skus'!$A:$AC,2,FALSE))="AMX",(VLOOKUP(Table2[[#This Row],[SKU]],'All Skus'!$A:$AC,23,FALSE)),""))</f>
        <v>Compliant</v>
      </c>
      <c r="S134" s="210" t="str">
        <f>HYPERLINK((IF((VLOOKUP(Table2[[#This Row],[SKU]],'All Skus'!$A:$AC,2,FALSE))="AMX",(VLOOKUP(Table2[[#This Row],[SKU]],'All Skus'!$A:$AC,24,FALSE)),"")))</f>
        <v>https://www.amx.com/en-US/products/nx-1200</v>
      </c>
      <c r="T134" s="151">
        <v>132</v>
      </c>
    </row>
    <row r="135" spans="1:20" ht="15" hidden="1" customHeight="1">
      <c r="A135" s="48" t="s">
        <v>637</v>
      </c>
      <c r="B135" s="280" t="str">
        <f>(IF((VLOOKUP(Table2[[#This Row],[SKU]],'All Skus'!$A:$AC,2,FALSE))="AMX",(VLOOKUP(Table2[[#This Row],[SKU]],'All Skus'!$A:$AC,3,FALSE)),""))</f>
        <v>Central Controllers</v>
      </c>
      <c r="C135" s="280" t="str">
        <f>(IF((VLOOKUP(Table2[[#This Row],[SKU]],'All Skus'!$A:$AC,2,FALSE))="AMX",(VLOOKUP(Table2[[#This Row],[SKU]],'All Skus'!$A:$AC,4,FALSE)),""))</f>
        <v>NX-2200</v>
      </c>
      <c r="D135" s="47" t="str">
        <f>(IF((VLOOKUP(Table2[[#This Row],[SKU]],'All Skus'!$A:$AC,2,FALSE))="AMX",(VLOOKUP(Table2[[#This Row],[SKU]],'All Skus'!$A:$AC,5,FALSE)),""))</f>
        <v>AMX-DC</v>
      </c>
      <c r="E135" s="281">
        <f>(IF((VLOOKUP(Table2[[#This Row],[SKU]],'All Skus'!$A:$AC,2,FALSE))="AMX",(VLOOKUP(Table2[[#This Row],[SKU]],'All Skus'!$A:$AC,7,FALSE)),""))</f>
        <v>0</v>
      </c>
      <c r="F135" s="280" t="str">
        <f>(IF((VLOOKUP(Table2[[#This Row],[SKU]],'All Skus'!$A:$AC,2,FALSE))="AMX",(VLOOKUP(Table2[[#This Row],[SKU]],'All Skus'!$A:$AC,8,FALSE)),""))</f>
        <v>NetLinx Integrated Controller - 1 RU</v>
      </c>
      <c r="G135" s="280" t="str">
        <f>(IF((VLOOKUP(Table2[[#This Row],[SKU]],'All Skus'!$A:$AC,2,FALSE))="AMX",(VLOOKUP(Table2[[#This Row],[SKU]],'All Skus'!$A:$AC,9,FALSE)),""))</f>
        <v>NX-2200 NetLinx NX Integrated Controller with 512 MB RAM, 1600 MIPS Processor, 8 UK of FLASH, 4 Serial Ports, 4 IR Ports, 4 I/O Ports, 4 Relays, IPv6, and Dual NIC</v>
      </c>
      <c r="H135" s="157">
        <f>(IF((VLOOKUP(Table2[[#This Row],[SKU]],'All Skus'!$A:$AC,2,FALSE))="AMX",(VLOOKUP(Table2[[#This Row],[SKU]],'All Skus'!$A:$AC,10,FALSE)),""))</f>
        <v>2590.6999999999998</v>
      </c>
      <c r="I135" s="157">
        <f>(IF((VLOOKUP(Table2[[#This Row],[SKU]],'All Skus'!$A:$AC,2,FALSE))="AMX",(VLOOKUP(Table2[[#This Row],[SKU]],'All Skus'!$A:$AC,11,FALSE)),""))</f>
        <v>2590.6999999999998</v>
      </c>
      <c r="J135" s="47">
        <f>(IF((VLOOKUP(Table2[[#This Row],[SKU]],'All Skus'!$A:$AC,2,FALSE))="AMX",(VLOOKUP(Table2[[#This Row],[SKU]],'All Skus'!$A:$AC,15,FALSE)),""))</f>
        <v>0</v>
      </c>
      <c r="K135" s="47">
        <f>(IF((VLOOKUP(Table2[[#This Row],[SKU]],'All Skus'!$A:$AC,2,FALSE))="AMX",(VLOOKUP(Table2[[#This Row],[SKU]],'All Skus'!$A:$AC,16,FALSE)),""))</f>
        <v>718878024294</v>
      </c>
      <c r="L135" s="47">
        <f>(IF((VLOOKUP(Table2[[#This Row],[SKU]],'All Skus'!$A:$AC,2,FALSE))="AMX",(VLOOKUP(Table2[[#This Row],[SKU]],'All Skus'!$A:$AC,17,FALSE)),""))</f>
        <v>0</v>
      </c>
      <c r="M135" s="63">
        <f>(IF((VLOOKUP(Table2[[#This Row],[SKU]],'All Skus'!$A:$AC,2,FALSE))="AMX",(VLOOKUP(Table2[[#This Row],[SKU]],'All Skus'!$A:$AC,18,FALSE)),""))</f>
        <v>6</v>
      </c>
      <c r="N135" s="47">
        <f>(IF((VLOOKUP(Table2[[#This Row],[SKU]],'All Skus'!$A:$AC,2,FALSE))="AMX",(VLOOKUP(Table2[[#This Row],[SKU]],'All Skus'!$A:$AC,19,FALSE)),""))</f>
        <v>17</v>
      </c>
      <c r="O135" s="47">
        <f>(IF((VLOOKUP(Table2[[#This Row],[SKU]],'All Skus'!$A:$AC,2,FALSE))="AMX",(VLOOKUP(Table2[[#This Row],[SKU]],'All Skus'!$A:$AC,20,FALSE)),""))</f>
        <v>9.1300000000000008</v>
      </c>
      <c r="P135" s="47">
        <f>(IF((VLOOKUP(Table2[[#This Row],[SKU]],'All Skus'!$A:$AC,2,FALSE))="AMX",(VLOOKUP(Table2[[#This Row],[SKU]],'All Skus'!$A:$AC,21,FALSE)),""))</f>
        <v>1.8</v>
      </c>
      <c r="Q135" s="47" t="str">
        <f>(IF((VLOOKUP(Table2[[#This Row],[SKU]],'All Skus'!$A:$AC,2,FALSE))="AMX",(VLOOKUP(Table2[[#This Row],[SKU]],'All Skus'!$A:$AC,22,FALSE)),""))</f>
        <v>MX</v>
      </c>
      <c r="R135" s="47" t="str">
        <f>(IF((VLOOKUP(Table2[[#This Row],[SKU]],'All Skus'!$A:$AC,2,FALSE))="AMX",(VLOOKUP(Table2[[#This Row],[SKU]],'All Skus'!$A:$AC,23,FALSE)),""))</f>
        <v>Compliant</v>
      </c>
      <c r="S135" s="210" t="str">
        <f>HYPERLINK((IF((VLOOKUP(Table2[[#This Row],[SKU]],'All Skus'!$A:$AC,2,FALSE))="AMX",(VLOOKUP(Table2[[#This Row],[SKU]],'All Skus'!$A:$AC,24,FALSE)),"")))</f>
        <v>https://www.amx.com/en-US/products/nx-2200</v>
      </c>
      <c r="T135" s="151">
        <v>133</v>
      </c>
    </row>
    <row r="136" spans="1:20" ht="15" hidden="1" customHeight="1">
      <c r="A136" s="48" t="s">
        <v>638</v>
      </c>
      <c r="B136" s="280" t="str">
        <f>(IF((VLOOKUP(Table2[[#This Row],[SKU]],'All Skus'!$A:$AC,2,FALSE))="AMX",(VLOOKUP(Table2[[#This Row],[SKU]],'All Skus'!$A:$AC,3,FALSE)),""))</f>
        <v>Central Controllers</v>
      </c>
      <c r="C136" s="280" t="str">
        <f>(IF((VLOOKUP(Table2[[#This Row],[SKU]],'All Skus'!$A:$AC,2,FALSE))="AMX",(VLOOKUP(Table2[[#This Row],[SKU]],'All Skus'!$A:$AC,4,FALSE)),""))</f>
        <v>NX-3200</v>
      </c>
      <c r="D136" s="47" t="str">
        <f>(IF((VLOOKUP(Table2[[#This Row],[SKU]],'All Skus'!$A:$AC,2,FALSE))="AMX",(VLOOKUP(Table2[[#This Row],[SKU]],'All Skus'!$A:$AC,5,FALSE)),""))</f>
        <v>AMX-DC</v>
      </c>
      <c r="E136" s="281">
        <f>(IF((VLOOKUP(Table2[[#This Row],[SKU]],'All Skus'!$A:$AC,2,FALSE))="AMX",(VLOOKUP(Table2[[#This Row],[SKU]],'All Skus'!$A:$AC,7,FALSE)),""))</f>
        <v>0</v>
      </c>
      <c r="F136" s="280" t="str">
        <f>(IF((VLOOKUP(Table2[[#This Row],[SKU]],'All Skus'!$A:$AC,2,FALSE))="AMX",(VLOOKUP(Table2[[#This Row],[SKU]],'All Skus'!$A:$AC,8,FALSE)),""))</f>
        <v>NetLinx Integrated Controller - 1RU - Dual LAN</v>
      </c>
      <c r="G136" s="280" t="str">
        <f>(IF((VLOOKUP(Table2[[#This Row],[SKU]],'All Skus'!$A:$AC,2,FALSE))="AMX",(VLOOKUP(Table2[[#This Row],[SKU]],'All Skus'!$A:$AC,9,FALSE)),""))</f>
        <v>NX-3200 NetLinx NX Integrated Controller with 512 MB RAM, 1600 MIPS Processor, 8 UK of FLASH, 8 Serial Ports, 8 IR Ports, 8 I/O Ports, 8 Relays,  IPv6,  and Dual NIC</v>
      </c>
      <c r="H136" s="157">
        <f>(IF((VLOOKUP(Table2[[#This Row],[SKU]],'All Skus'!$A:$AC,2,FALSE))="AMX",(VLOOKUP(Table2[[#This Row],[SKU]],'All Skus'!$A:$AC,10,FALSE)),""))</f>
        <v>4001.6</v>
      </c>
      <c r="I136" s="157">
        <f>(IF((VLOOKUP(Table2[[#This Row],[SKU]],'All Skus'!$A:$AC,2,FALSE))="AMX",(VLOOKUP(Table2[[#This Row],[SKU]],'All Skus'!$A:$AC,11,FALSE)),""))</f>
        <v>4001.6</v>
      </c>
      <c r="J136" s="47">
        <f>(IF((VLOOKUP(Table2[[#This Row],[SKU]],'All Skus'!$A:$AC,2,FALSE))="AMX",(VLOOKUP(Table2[[#This Row],[SKU]],'All Skus'!$A:$AC,15,FALSE)),""))</f>
        <v>0</v>
      </c>
      <c r="K136" s="47">
        <f>(IF((VLOOKUP(Table2[[#This Row],[SKU]],'All Skus'!$A:$AC,2,FALSE))="AMX",(VLOOKUP(Table2[[#This Row],[SKU]],'All Skus'!$A:$AC,16,FALSE)),""))</f>
        <v>718878024300</v>
      </c>
      <c r="L136" s="47">
        <f>(IF((VLOOKUP(Table2[[#This Row],[SKU]],'All Skus'!$A:$AC,2,FALSE))="AMX",(VLOOKUP(Table2[[#This Row],[SKU]],'All Skus'!$A:$AC,17,FALSE)),""))</f>
        <v>0</v>
      </c>
      <c r="M136" s="63">
        <f>(IF((VLOOKUP(Table2[[#This Row],[SKU]],'All Skus'!$A:$AC,2,FALSE))="AMX",(VLOOKUP(Table2[[#This Row],[SKU]],'All Skus'!$A:$AC,18,FALSE)),""))</f>
        <v>6</v>
      </c>
      <c r="N136" s="47">
        <f>(IF((VLOOKUP(Table2[[#This Row],[SKU]],'All Skus'!$A:$AC,2,FALSE))="AMX",(VLOOKUP(Table2[[#This Row],[SKU]],'All Skus'!$A:$AC,19,FALSE)),""))</f>
        <v>17</v>
      </c>
      <c r="O136" s="47">
        <f>(IF((VLOOKUP(Table2[[#This Row],[SKU]],'All Skus'!$A:$AC,2,FALSE))="AMX",(VLOOKUP(Table2[[#This Row],[SKU]],'All Skus'!$A:$AC,20,FALSE)),""))</f>
        <v>9.1300000000000008</v>
      </c>
      <c r="P136" s="47">
        <f>(IF((VLOOKUP(Table2[[#This Row],[SKU]],'All Skus'!$A:$AC,2,FALSE))="AMX",(VLOOKUP(Table2[[#This Row],[SKU]],'All Skus'!$A:$AC,21,FALSE)),""))</f>
        <v>1.8</v>
      </c>
      <c r="Q136" s="47" t="str">
        <f>(IF((VLOOKUP(Table2[[#This Row],[SKU]],'All Skus'!$A:$AC,2,FALSE))="AMX",(VLOOKUP(Table2[[#This Row],[SKU]],'All Skus'!$A:$AC,22,FALSE)),""))</f>
        <v>MX</v>
      </c>
      <c r="R136" s="47" t="str">
        <f>(IF((VLOOKUP(Table2[[#This Row],[SKU]],'All Skus'!$A:$AC,2,FALSE))="AMX",(VLOOKUP(Table2[[#This Row],[SKU]],'All Skus'!$A:$AC,23,FALSE)),""))</f>
        <v>Compliant</v>
      </c>
      <c r="S136" s="210" t="str">
        <f>HYPERLINK((IF((VLOOKUP(Table2[[#This Row],[SKU]],'All Skus'!$A:$AC,2,FALSE))="AMX",(VLOOKUP(Table2[[#This Row],[SKU]],'All Skus'!$A:$AC,24,FALSE)),"")))</f>
        <v>https://www.amx.com/en-US/products/nx-3200</v>
      </c>
      <c r="T136" s="151">
        <v>134</v>
      </c>
    </row>
    <row r="137" spans="1:20" ht="15" hidden="1" customHeight="1">
      <c r="A137" s="48" t="s">
        <v>639</v>
      </c>
      <c r="B137" s="280" t="str">
        <f>(IF((VLOOKUP(Table2[[#This Row],[SKU]],'All Skus'!$A:$AC,2,FALSE))="AMX",(VLOOKUP(Table2[[#This Row],[SKU]],'All Skus'!$A:$AC,3,FALSE)),""))</f>
        <v>Central Controllers</v>
      </c>
      <c r="C137" s="280" t="str">
        <f>(IF((VLOOKUP(Table2[[#This Row],[SKU]],'All Skus'!$A:$AC,2,FALSE))="AMX",(VLOOKUP(Table2[[#This Row],[SKU]],'All Skus'!$A:$AC,4,FALSE)),""))</f>
        <v>NX-4200</v>
      </c>
      <c r="D137" s="47" t="str">
        <f>(IF((VLOOKUP(Table2[[#This Row],[SKU]],'All Skus'!$A:$AC,2,FALSE))="AMX",(VLOOKUP(Table2[[#This Row],[SKU]],'All Skus'!$A:$AC,5,FALSE)),""))</f>
        <v>AMX-DC</v>
      </c>
      <c r="E137" s="281">
        <f>(IF((VLOOKUP(Table2[[#This Row],[SKU]],'All Skus'!$A:$AC,2,FALSE))="AMX",(VLOOKUP(Table2[[#This Row],[SKU]],'All Skus'!$A:$AC,7,FALSE)),""))</f>
        <v>0</v>
      </c>
      <c r="F137" s="280" t="str">
        <f>(IF((VLOOKUP(Table2[[#This Row],[SKU]],'All Skus'!$A:$AC,2,FALSE))="AMX",(VLOOKUP(Table2[[#This Row],[SKU]],'All Skus'!$A:$AC,8,FALSE)),""))</f>
        <v>NetLinx Integrated Controller - 1RU - LCD Display</v>
      </c>
      <c r="G137" s="280" t="str">
        <f>(IF((VLOOKUP(Table2[[#This Row],[SKU]],'All Skus'!$A:$AC,2,FALSE))="AMX",(VLOOKUP(Table2[[#This Row],[SKU]],'All Skus'!$A:$AC,9,FALSE)),""))</f>
        <v>NX-4200 NetLinx NX Integrated Controller with 1 UK RAM, 1600 MIPS Processor, 8 UK of FLASH, 8 Serial Ports, 8 IR Ports, 8 I/O Ports, 8 Relays, IPv6,  and Dual NIC with 4 port PoE Switch</v>
      </c>
      <c r="H137" s="157">
        <f>(IF((VLOOKUP(Table2[[#This Row],[SKU]],'All Skus'!$A:$AC,2,FALSE))="AMX",(VLOOKUP(Table2[[#This Row],[SKU]],'All Skus'!$A:$AC,10,FALSE)),""))</f>
        <v>5419.2</v>
      </c>
      <c r="I137" s="157">
        <f>(IF((VLOOKUP(Table2[[#This Row],[SKU]],'All Skus'!$A:$AC,2,FALSE))="AMX",(VLOOKUP(Table2[[#This Row],[SKU]],'All Skus'!$A:$AC,11,FALSE)),""))</f>
        <v>5419.2</v>
      </c>
      <c r="J137" s="47">
        <f>(IF((VLOOKUP(Table2[[#This Row],[SKU]],'All Skus'!$A:$AC,2,FALSE))="AMX",(VLOOKUP(Table2[[#This Row],[SKU]],'All Skus'!$A:$AC,15,FALSE)),""))</f>
        <v>0</v>
      </c>
      <c r="K137" s="47">
        <f>(IF((VLOOKUP(Table2[[#This Row],[SKU]],'All Skus'!$A:$AC,2,FALSE))="AMX",(VLOOKUP(Table2[[#This Row],[SKU]],'All Skus'!$A:$AC,16,FALSE)),""))</f>
        <v>718878247990</v>
      </c>
      <c r="L137" s="47">
        <f>(IF((VLOOKUP(Table2[[#This Row],[SKU]],'All Skus'!$A:$AC,2,FALSE))="AMX",(VLOOKUP(Table2[[#This Row],[SKU]],'All Skus'!$A:$AC,17,FALSE)),""))</f>
        <v>0</v>
      </c>
      <c r="M137" s="63">
        <f>(IF((VLOOKUP(Table2[[#This Row],[SKU]],'All Skus'!$A:$AC,2,FALSE))="AMX",(VLOOKUP(Table2[[#This Row],[SKU]],'All Skus'!$A:$AC,18,FALSE)),""))</f>
        <v>7.6</v>
      </c>
      <c r="N137" s="47">
        <f>(IF((VLOOKUP(Table2[[#This Row],[SKU]],'All Skus'!$A:$AC,2,FALSE))="AMX",(VLOOKUP(Table2[[#This Row],[SKU]],'All Skus'!$A:$AC,19,FALSE)),""))</f>
        <v>17</v>
      </c>
      <c r="O137" s="47">
        <f>(IF((VLOOKUP(Table2[[#This Row],[SKU]],'All Skus'!$A:$AC,2,FALSE))="AMX",(VLOOKUP(Table2[[#This Row],[SKU]],'All Skus'!$A:$AC,20,FALSE)),""))</f>
        <v>9.1300000000000008</v>
      </c>
      <c r="P137" s="47">
        <f>(IF((VLOOKUP(Table2[[#This Row],[SKU]],'All Skus'!$A:$AC,2,FALSE))="AMX",(VLOOKUP(Table2[[#This Row],[SKU]],'All Skus'!$A:$AC,21,FALSE)),""))</f>
        <v>1.8</v>
      </c>
      <c r="Q137" s="47" t="str">
        <f>(IF((VLOOKUP(Table2[[#This Row],[SKU]],'All Skus'!$A:$AC,2,FALSE))="AMX",(VLOOKUP(Table2[[#This Row],[SKU]],'All Skus'!$A:$AC,22,FALSE)),""))</f>
        <v>MX</v>
      </c>
      <c r="R137" s="47" t="str">
        <f>(IF((VLOOKUP(Table2[[#This Row],[SKU]],'All Skus'!$A:$AC,2,FALSE))="AMX",(VLOOKUP(Table2[[#This Row],[SKU]],'All Skus'!$A:$AC,23,FALSE)),""))</f>
        <v>Compliant</v>
      </c>
      <c r="S137" s="210" t="str">
        <f>HYPERLINK((IF((VLOOKUP(Table2[[#This Row],[SKU]],'All Skus'!$A:$AC,2,FALSE))="AMX",(VLOOKUP(Table2[[#This Row],[SKU]],'All Skus'!$A:$AC,24,FALSE)),"")))</f>
        <v>https://www.amx.com/en-US/products/nx-4200</v>
      </c>
      <c r="T137" s="151">
        <v>135</v>
      </c>
    </row>
    <row r="138" spans="1:20" ht="15" hidden="1" customHeight="1">
      <c r="A138" s="48" t="s">
        <v>647</v>
      </c>
      <c r="B138" s="280" t="str">
        <f>(IF((VLOOKUP(Table2[[#This Row],[SKU]],'All Skus'!$A:$AC,2,FALSE))="AMX",(VLOOKUP(Table2[[#This Row],[SKU]],'All Skus'!$A:$AC,3,FALSE)),""))</f>
        <v>Touch Panels</v>
      </c>
      <c r="C138" s="280" t="str">
        <f>(IF((VLOOKUP(Table2[[#This Row],[SKU]],'All Skus'!$A:$AC,2,FALSE))="AMX",(VLOOKUP(Table2[[#This Row],[SKU]],'All Skus'!$A:$AC,4,FALSE)),""))</f>
        <v>MST-701</v>
      </c>
      <c r="D138" s="47" t="str">
        <f>(IF((VLOOKUP(Table2[[#This Row],[SKU]],'All Skus'!$A:$AC,2,FALSE))="AMX",(VLOOKUP(Table2[[#This Row],[SKU]],'All Skus'!$A:$AC,5,FALSE)),""))</f>
        <v>AMX-UI</v>
      </c>
      <c r="E138" s="281" t="str">
        <f>(IF((VLOOKUP(Table2[[#This Row],[SKU]],'All Skus'!$A:$AC,2,FALSE))="AMX",(VLOOKUP(Table2[[#This Row],[SKU]],'All Skus'!$A:$AC,7,FALSE)),""))</f>
        <v>Limited Quantity</v>
      </c>
      <c r="F138" s="280" t="str">
        <f>(IF((VLOOKUP(Table2[[#This Row],[SKU]],'All Skus'!$A:$AC,2,FALSE))="AMX",(VLOOKUP(Table2[[#This Row],[SKU]],'All Skus'!$A:$AC,8,FALSE)),""))</f>
        <v>7" Modero S Tabletop Touch Panel</v>
      </c>
      <c r="G138" s="280" t="str">
        <f>(IF((VLOOKUP(Table2[[#This Row],[SKU]],'All Skus'!$A:$AC,2,FALSE))="AMX",(VLOOKUP(Table2[[#This Row],[SKU]],'All Skus'!$A:$AC,9,FALSE)),""))</f>
        <v>7" Modero S Tabletop Touch Panel, features include: brilliant 24-bit color depth, PoE, VoIP, Bluetooth, USB and streaming video, 1080x600 touch panel resolution</v>
      </c>
      <c r="H138" s="157">
        <f>(IF((VLOOKUP(Table2[[#This Row],[SKU]],'All Skus'!$A:$AC,2,FALSE))="AMX",(VLOOKUP(Table2[[#This Row],[SKU]],'All Skus'!$A:$AC,10,FALSE)),""))</f>
        <v>2349.5</v>
      </c>
      <c r="I138" s="157">
        <f>(IF((VLOOKUP(Table2[[#This Row],[SKU]],'All Skus'!$A:$AC,2,FALSE))="AMX",(VLOOKUP(Table2[[#This Row],[SKU]],'All Skus'!$A:$AC,11,FALSE)),""))</f>
        <v>2349.5</v>
      </c>
      <c r="J138" s="47">
        <f>(IF((VLOOKUP(Table2[[#This Row],[SKU]],'All Skus'!$A:$AC,2,FALSE))="AMX",(VLOOKUP(Table2[[#This Row],[SKU]],'All Skus'!$A:$AC,15,FALSE)),""))</f>
        <v>0</v>
      </c>
      <c r="K138" s="47">
        <f>(IF((VLOOKUP(Table2[[#This Row],[SKU]],'All Skus'!$A:$AC,2,FALSE))="AMX",(VLOOKUP(Table2[[#This Row],[SKU]],'All Skus'!$A:$AC,16,FALSE)),""))</f>
        <v>718878248225</v>
      </c>
      <c r="L138" s="47">
        <f>(IF((VLOOKUP(Table2[[#This Row],[SKU]],'All Skus'!$A:$AC,2,FALSE))="AMX",(VLOOKUP(Table2[[#This Row],[SKU]],'All Skus'!$A:$AC,17,FALSE)),""))</f>
        <v>0</v>
      </c>
      <c r="M138" s="63">
        <f>(IF((VLOOKUP(Table2[[#This Row],[SKU]],'All Skus'!$A:$AC,2,FALSE))="AMX",(VLOOKUP(Table2[[#This Row],[SKU]],'All Skus'!$A:$AC,18,FALSE)),""))</f>
        <v>1.4</v>
      </c>
      <c r="N138" s="47">
        <f>(IF((VLOOKUP(Table2[[#This Row],[SKU]],'All Skus'!$A:$AC,2,FALSE))="AMX",(VLOOKUP(Table2[[#This Row],[SKU]],'All Skus'!$A:$AC,19,FALSE)),""))</f>
        <v>7.375</v>
      </c>
      <c r="O138" s="47">
        <f>(IF((VLOOKUP(Table2[[#This Row],[SKU]],'All Skus'!$A:$AC,2,FALSE))="AMX",(VLOOKUP(Table2[[#This Row],[SKU]],'All Skus'!$A:$AC,20,FALSE)),""))</f>
        <v>4.5</v>
      </c>
      <c r="P138" s="47">
        <f>(IF((VLOOKUP(Table2[[#This Row],[SKU]],'All Skus'!$A:$AC,2,FALSE))="AMX",(VLOOKUP(Table2[[#This Row],[SKU]],'All Skus'!$A:$AC,21,FALSE)),""))</f>
        <v>3.1875</v>
      </c>
      <c r="Q138" s="47" t="str">
        <f>(IF((VLOOKUP(Table2[[#This Row],[SKU]],'All Skus'!$A:$AC,2,FALSE))="AMX",(VLOOKUP(Table2[[#This Row],[SKU]],'All Skus'!$A:$AC,22,FALSE)),""))</f>
        <v>MX</v>
      </c>
      <c r="R138" s="47" t="str">
        <f>(IF((VLOOKUP(Table2[[#This Row],[SKU]],'All Skus'!$A:$AC,2,FALSE))="AMX",(VLOOKUP(Table2[[#This Row],[SKU]],'All Skus'!$A:$AC,23,FALSE)),""))</f>
        <v>Compliant</v>
      </c>
      <c r="S138" s="210" t="str">
        <f>HYPERLINK((IF((VLOOKUP(Table2[[#This Row],[SKU]],'All Skus'!$A:$AC,2,FALSE))="AMX",(VLOOKUP(Table2[[#This Row],[SKU]],'All Skus'!$A:$AC,24,FALSE)),"")))</f>
        <v>https://www.amx.com/en-US/products/mst-701</v>
      </c>
      <c r="T138" s="151">
        <v>136</v>
      </c>
    </row>
    <row r="139" spans="1:20" ht="15" hidden="1" customHeight="1">
      <c r="A139" s="48" t="s">
        <v>648</v>
      </c>
      <c r="B139" s="280" t="str">
        <f>(IF((VLOOKUP(Table2[[#This Row],[SKU]],'All Skus'!$A:$AC,2,FALSE))="AMX",(VLOOKUP(Table2[[#This Row],[SKU]],'All Skus'!$A:$AC,3,FALSE)),""))</f>
        <v>User Interface Accessories</v>
      </c>
      <c r="C139" s="280" t="str">
        <f>(IF((VLOOKUP(Table2[[#This Row],[SKU]],'All Skus'!$A:$AC,2,FALSE))="AMX",(VLOOKUP(Table2[[#This Row],[SKU]],'All Skus'!$A:$AC,4,FALSE)),""))</f>
        <v>CB-MSA-10</v>
      </c>
      <c r="D139" s="47" t="str">
        <f>(IF((VLOOKUP(Table2[[#This Row],[SKU]],'All Skus'!$A:$AC,2,FALSE))="AMX",(VLOOKUP(Table2[[#This Row],[SKU]],'All Skus'!$A:$AC,5,FALSE)),""))</f>
        <v>AMX-UI</v>
      </c>
      <c r="E139" s="281">
        <f>(IF((VLOOKUP(Table2[[#This Row],[SKU]],'All Skus'!$A:$AC,2,FALSE))="AMX",(VLOOKUP(Table2[[#This Row],[SKU]],'All Skus'!$A:$AC,7,FALSE)),""))</f>
        <v>0</v>
      </c>
      <c r="F139" s="280" t="str">
        <f>(IF((VLOOKUP(Table2[[#This Row],[SKU]],'All Skus'!$A:$AC,2,FALSE))="AMX",(VLOOKUP(Table2[[#This Row],[SKU]],'All Skus'!$A:$AC,8,FALSE)),""))</f>
        <v>Rough-in Box for 10" Touch Panels</v>
      </c>
      <c r="G139" s="280" t="str">
        <f>(IF((VLOOKUP(Table2[[#This Row],[SKU]],'All Skus'!$A:$AC,2,FALSE))="AMX",(VLOOKUP(Table2[[#This Row],[SKU]],'All Skus'!$A:$AC,9,FALSE)),""))</f>
        <v>Rough-In Box &amp; Cover Plate for the 10.1" Wall-Mount Modero G5 &amp; Modero S Touch Panels.  Also fits 10.1” Acendo Book &amp; RoomBook.</v>
      </c>
      <c r="H139" s="157">
        <f>(IF((VLOOKUP(Table2[[#This Row],[SKU]],'All Skus'!$A:$AC,2,FALSE))="AMX",(VLOOKUP(Table2[[#This Row],[SKU]],'All Skus'!$A:$AC,10,FALSE)),""))</f>
        <v>288.10000000000002</v>
      </c>
      <c r="I139" s="157">
        <f>(IF((VLOOKUP(Table2[[#This Row],[SKU]],'All Skus'!$A:$AC,2,FALSE))="AMX",(VLOOKUP(Table2[[#This Row],[SKU]],'All Skus'!$A:$AC,11,FALSE)),""))</f>
        <v>288.10000000000002</v>
      </c>
      <c r="J139" s="47">
        <f>(IF((VLOOKUP(Table2[[#This Row],[SKU]],'All Skus'!$A:$AC,2,FALSE))="AMX",(VLOOKUP(Table2[[#This Row],[SKU]],'All Skus'!$A:$AC,15,FALSE)),""))</f>
        <v>0</v>
      </c>
      <c r="K139" s="47">
        <f>(IF((VLOOKUP(Table2[[#This Row],[SKU]],'All Skus'!$A:$AC,2,FALSE))="AMX",(VLOOKUP(Table2[[#This Row],[SKU]],'All Skus'!$A:$AC,16,FALSE)),""))</f>
        <v>718878022993</v>
      </c>
      <c r="L139" s="47">
        <f>(IF((VLOOKUP(Table2[[#This Row],[SKU]],'All Skus'!$A:$AC,2,FALSE))="AMX",(VLOOKUP(Table2[[#This Row],[SKU]],'All Skus'!$A:$AC,17,FALSE)),""))</f>
        <v>0</v>
      </c>
      <c r="M139" s="63">
        <f>(IF((VLOOKUP(Table2[[#This Row],[SKU]],'All Skus'!$A:$AC,2,FALSE))="AMX",(VLOOKUP(Table2[[#This Row],[SKU]],'All Skus'!$A:$AC,18,FALSE)),""))</f>
        <v>1.95</v>
      </c>
      <c r="N139" s="47">
        <f>(IF((VLOOKUP(Table2[[#This Row],[SKU]],'All Skus'!$A:$AC,2,FALSE))="AMX",(VLOOKUP(Table2[[#This Row],[SKU]],'All Skus'!$A:$AC,19,FALSE)),""))</f>
        <v>9.5299999999999994</v>
      </c>
      <c r="O139" s="47">
        <f>(IF((VLOOKUP(Table2[[#This Row],[SKU]],'All Skus'!$A:$AC,2,FALSE))="AMX",(VLOOKUP(Table2[[#This Row],[SKU]],'All Skus'!$A:$AC,20,FALSE)),""))</f>
        <v>9.02</v>
      </c>
      <c r="P139" s="47">
        <f>(IF((VLOOKUP(Table2[[#This Row],[SKU]],'All Skus'!$A:$AC,2,FALSE))="AMX",(VLOOKUP(Table2[[#This Row],[SKU]],'All Skus'!$A:$AC,21,FALSE)),""))</f>
        <v>2.2000000000000002</v>
      </c>
      <c r="Q139" s="47" t="str">
        <f>(IF((VLOOKUP(Table2[[#This Row],[SKU]],'All Skus'!$A:$AC,2,FALSE))="AMX",(VLOOKUP(Table2[[#This Row],[SKU]],'All Skus'!$A:$AC,22,FALSE)),""))</f>
        <v>US</v>
      </c>
      <c r="R139" s="47" t="str">
        <f>(IF((VLOOKUP(Table2[[#This Row],[SKU]],'All Skus'!$A:$AC,2,FALSE))="AMX",(VLOOKUP(Table2[[#This Row],[SKU]],'All Skus'!$A:$AC,23,FALSE)),""))</f>
        <v>Compliant</v>
      </c>
      <c r="S139" s="210" t="str">
        <f>HYPERLINK((IF((VLOOKUP(Table2[[#This Row],[SKU]],'All Skus'!$A:$AC,2,FALSE))="AMX",(VLOOKUP(Table2[[#This Row],[SKU]],'All Skus'!$A:$AC,24,FALSE)),"")))</f>
        <v>https://www.amx.com/en-US/products/mst-701</v>
      </c>
      <c r="T139" s="151">
        <v>137</v>
      </c>
    </row>
    <row r="140" spans="1:20" ht="15" hidden="1" customHeight="1">
      <c r="A140" s="48" t="s">
        <v>649</v>
      </c>
      <c r="B140" s="280" t="str">
        <f>(IF((VLOOKUP(Table2[[#This Row],[SKU]],'All Skus'!$A:$AC,2,FALSE))="AMX",(VLOOKUP(Table2[[#This Row],[SKU]],'All Skus'!$A:$AC,3,FALSE)),""))</f>
        <v>User Interface Accessories</v>
      </c>
      <c r="C140" s="280" t="str">
        <f>(IF((VLOOKUP(Table2[[#This Row],[SKU]],'All Skus'!$A:$AC,2,FALSE))="AMX",(VLOOKUP(Table2[[#This Row],[SKU]],'All Skus'!$A:$AC,4,FALSE)),""))</f>
        <v>MSA-RMK-10</v>
      </c>
      <c r="D140" s="47" t="str">
        <f>(IF((VLOOKUP(Table2[[#This Row],[SKU]],'All Skus'!$A:$AC,2,FALSE))="AMX",(VLOOKUP(Table2[[#This Row],[SKU]],'All Skus'!$A:$AC,5,FALSE)),""))</f>
        <v>AMX-UI</v>
      </c>
      <c r="E140" s="281">
        <f>(IF((VLOOKUP(Table2[[#This Row],[SKU]],'All Skus'!$A:$AC,2,FALSE))="AMX",(VLOOKUP(Table2[[#This Row],[SKU]],'All Skus'!$A:$AC,7,FALSE)),""))</f>
        <v>0</v>
      </c>
      <c r="F140" s="280" t="str">
        <f>(IF((VLOOKUP(Table2[[#This Row],[SKU]],'All Skus'!$A:$AC,2,FALSE))="AMX",(VLOOKUP(Table2[[#This Row],[SKU]],'All Skus'!$A:$AC,8,FALSE)),""))</f>
        <v>Rack Mount Kit for 10" Touch Panels</v>
      </c>
      <c r="G140" s="280" t="str">
        <f>(IF((VLOOKUP(Table2[[#This Row],[SKU]],'All Skus'!$A:$AC,2,FALSE))="AMX",(VLOOKUP(Table2[[#This Row],[SKU]],'All Skus'!$A:$AC,9,FALSE)),""))</f>
        <v>Rack Mount Kit for the 10.1” Wall-Mount Modero G5 &amp; Modero S Series Touch Panels.  Mounts panel directly to an equipment rack.</v>
      </c>
      <c r="H140" s="157">
        <f>(IF((VLOOKUP(Table2[[#This Row],[SKU]],'All Skus'!$A:$AC,2,FALSE))="AMX",(VLOOKUP(Table2[[#This Row],[SKU]],'All Skus'!$A:$AC,10,FALSE)),""))</f>
        <v>235.5</v>
      </c>
      <c r="I140" s="157">
        <f>(IF((VLOOKUP(Table2[[#This Row],[SKU]],'All Skus'!$A:$AC,2,FALSE))="AMX",(VLOOKUP(Table2[[#This Row],[SKU]],'All Skus'!$A:$AC,11,FALSE)),""))</f>
        <v>235.5</v>
      </c>
      <c r="J140" s="47">
        <f>(IF((VLOOKUP(Table2[[#This Row],[SKU]],'All Skus'!$A:$AC,2,FALSE))="AMX",(VLOOKUP(Table2[[#This Row],[SKU]],'All Skus'!$A:$AC,15,FALSE)),""))</f>
        <v>0</v>
      </c>
      <c r="K140" s="47">
        <f>(IF((VLOOKUP(Table2[[#This Row],[SKU]],'All Skus'!$A:$AC,2,FALSE))="AMX",(VLOOKUP(Table2[[#This Row],[SKU]],'All Skus'!$A:$AC,16,FALSE)),""))</f>
        <v>718878249000</v>
      </c>
      <c r="L140" s="47">
        <f>(IF((VLOOKUP(Table2[[#This Row],[SKU]],'All Skus'!$A:$AC,2,FALSE))="AMX",(VLOOKUP(Table2[[#This Row],[SKU]],'All Skus'!$A:$AC,17,FALSE)),""))</f>
        <v>0</v>
      </c>
      <c r="M140" s="63">
        <f>(IF((VLOOKUP(Table2[[#This Row],[SKU]],'All Skus'!$A:$AC,2,FALSE))="AMX",(VLOOKUP(Table2[[#This Row],[SKU]],'All Skus'!$A:$AC,18,FALSE)),""))</f>
        <v>3.25</v>
      </c>
      <c r="N140" s="47">
        <f>(IF((VLOOKUP(Table2[[#This Row],[SKU]],'All Skus'!$A:$AC,2,FALSE))="AMX",(VLOOKUP(Table2[[#This Row],[SKU]],'All Skus'!$A:$AC,19,FALSE)),""))</f>
        <v>19</v>
      </c>
      <c r="O140" s="47">
        <f>(IF((VLOOKUP(Table2[[#This Row],[SKU]],'All Skus'!$A:$AC,2,FALSE))="AMX",(VLOOKUP(Table2[[#This Row],[SKU]],'All Skus'!$A:$AC,20,FALSE)),""))</f>
        <v>6.97</v>
      </c>
      <c r="P140" s="47">
        <f>(IF((VLOOKUP(Table2[[#This Row],[SKU]],'All Skus'!$A:$AC,2,FALSE))="AMX",(VLOOKUP(Table2[[#This Row],[SKU]],'All Skus'!$A:$AC,21,FALSE)),""))</f>
        <v>2.145</v>
      </c>
      <c r="Q140" s="47" t="str">
        <f>(IF((VLOOKUP(Table2[[#This Row],[SKU]],'All Skus'!$A:$AC,2,FALSE))="AMX",(VLOOKUP(Table2[[#This Row],[SKU]],'All Skus'!$A:$AC,22,FALSE)),""))</f>
        <v>US</v>
      </c>
      <c r="R140" s="47" t="str">
        <f>(IF((VLOOKUP(Table2[[#This Row],[SKU]],'All Skus'!$A:$AC,2,FALSE))="AMX",(VLOOKUP(Table2[[#This Row],[SKU]],'All Skus'!$A:$AC,23,FALSE)),""))</f>
        <v>Compliant</v>
      </c>
      <c r="S140" s="210" t="str">
        <f>HYPERLINK((IF((VLOOKUP(Table2[[#This Row],[SKU]],'All Skus'!$A:$AC,2,FALSE))="AMX",(VLOOKUP(Table2[[#This Row],[SKU]],'All Skus'!$A:$AC,24,FALSE)),"")))</f>
        <v>https://www.amx.com/en-US/products/msa-rmk-10</v>
      </c>
      <c r="T140" s="151">
        <v>138</v>
      </c>
    </row>
    <row r="141" spans="1:20" ht="15" hidden="1" customHeight="1">
      <c r="A141" s="48" t="s">
        <v>650</v>
      </c>
      <c r="B141" s="280" t="str">
        <f>(IF((VLOOKUP(Table2[[#This Row],[SKU]],'All Skus'!$A:$AC,2,FALSE))="AMX",(VLOOKUP(Table2[[#This Row],[SKU]],'All Skus'!$A:$AC,3,FALSE)),""))</f>
        <v>User Interface Accessories</v>
      </c>
      <c r="C141" s="280" t="str">
        <f>(IF((VLOOKUP(Table2[[#This Row],[SKU]],'All Skus'!$A:$AC,2,FALSE))="AMX",(VLOOKUP(Table2[[#This Row],[SKU]],'All Skus'!$A:$AC,4,FALSE)),""))</f>
        <v>MSA-RMK-07</v>
      </c>
      <c r="D141" s="47" t="str">
        <f>(IF((VLOOKUP(Table2[[#This Row],[SKU]],'All Skus'!$A:$AC,2,FALSE))="AMX",(VLOOKUP(Table2[[#This Row],[SKU]],'All Skus'!$A:$AC,5,FALSE)),""))</f>
        <v>AMX-UI</v>
      </c>
      <c r="E141" s="281">
        <f>(IF((VLOOKUP(Table2[[#This Row],[SKU]],'All Skus'!$A:$AC,2,FALSE))="AMX",(VLOOKUP(Table2[[#This Row],[SKU]],'All Skus'!$A:$AC,7,FALSE)),""))</f>
        <v>0</v>
      </c>
      <c r="F141" s="280" t="str">
        <f>(IF((VLOOKUP(Table2[[#This Row],[SKU]],'All Skus'!$A:$AC,2,FALSE))="AMX",(VLOOKUP(Table2[[#This Row],[SKU]],'All Skus'!$A:$AC,8,FALSE)),""))</f>
        <v>Rack Mount Kit for 7" Touch Panels</v>
      </c>
      <c r="G141" s="280" t="str">
        <f>(IF((VLOOKUP(Table2[[#This Row],[SKU]],'All Skus'!$A:$AC,2,FALSE))="AMX",(VLOOKUP(Table2[[#This Row],[SKU]],'All Skus'!$A:$AC,9,FALSE)),""))</f>
        <v>Rack Mount Kit for the 7” Wall-Mount Modero G5 &amp; Modero S Series Touch Panels.  Mounts panel directly to an equipment rack.</v>
      </c>
      <c r="H141" s="157">
        <f>(IF((VLOOKUP(Table2[[#This Row],[SKU]],'All Skus'!$A:$AC,2,FALSE))="AMX",(VLOOKUP(Table2[[#This Row],[SKU]],'All Skus'!$A:$AC,10,FALSE)),""))</f>
        <v>235.5</v>
      </c>
      <c r="I141" s="157">
        <f>(IF((VLOOKUP(Table2[[#This Row],[SKU]],'All Skus'!$A:$AC,2,FALSE))="AMX",(VLOOKUP(Table2[[#This Row],[SKU]],'All Skus'!$A:$AC,11,FALSE)),""))</f>
        <v>235.5</v>
      </c>
      <c r="J141" s="47">
        <f>(IF((VLOOKUP(Table2[[#This Row],[SKU]],'All Skus'!$A:$AC,2,FALSE))="AMX",(VLOOKUP(Table2[[#This Row],[SKU]],'All Skus'!$A:$AC,15,FALSE)),""))</f>
        <v>0</v>
      </c>
      <c r="K141" s="47">
        <f>(IF((VLOOKUP(Table2[[#This Row],[SKU]],'All Skus'!$A:$AC,2,FALSE))="AMX",(VLOOKUP(Table2[[#This Row],[SKU]],'All Skus'!$A:$AC,16,FALSE)),""))</f>
        <v>718878024898</v>
      </c>
      <c r="L141" s="47">
        <f>(IF((VLOOKUP(Table2[[#This Row],[SKU]],'All Skus'!$A:$AC,2,FALSE))="AMX",(VLOOKUP(Table2[[#This Row],[SKU]],'All Skus'!$A:$AC,17,FALSE)),""))</f>
        <v>0</v>
      </c>
      <c r="M141" s="63">
        <f>(IF((VLOOKUP(Table2[[#This Row],[SKU]],'All Skus'!$A:$AC,2,FALSE))="AMX",(VLOOKUP(Table2[[#This Row],[SKU]],'All Skus'!$A:$AC,18,FALSE)),""))</f>
        <v>2.75</v>
      </c>
      <c r="N141" s="47">
        <f>(IF((VLOOKUP(Table2[[#This Row],[SKU]],'All Skus'!$A:$AC,2,FALSE))="AMX",(VLOOKUP(Table2[[#This Row],[SKU]],'All Skus'!$A:$AC,19,FALSE)),""))</f>
        <v>19</v>
      </c>
      <c r="O141" s="47">
        <f>(IF((VLOOKUP(Table2[[#This Row],[SKU]],'All Skus'!$A:$AC,2,FALSE))="AMX",(VLOOKUP(Table2[[#This Row],[SKU]],'All Skus'!$A:$AC,20,FALSE)),""))</f>
        <v>5.2190000000000003</v>
      </c>
      <c r="P141" s="47">
        <f>(IF((VLOOKUP(Table2[[#This Row],[SKU]],'All Skus'!$A:$AC,2,FALSE))="AMX",(VLOOKUP(Table2[[#This Row],[SKU]],'All Skus'!$A:$AC,21,FALSE)),""))</f>
        <v>2.1</v>
      </c>
      <c r="Q141" s="47" t="str">
        <f>(IF((VLOOKUP(Table2[[#This Row],[SKU]],'All Skus'!$A:$AC,2,FALSE))="AMX",(VLOOKUP(Table2[[#This Row],[SKU]],'All Skus'!$A:$AC,22,FALSE)),""))</f>
        <v>US</v>
      </c>
      <c r="R141" s="47" t="str">
        <f>(IF((VLOOKUP(Table2[[#This Row],[SKU]],'All Skus'!$A:$AC,2,FALSE))="AMX",(VLOOKUP(Table2[[#This Row],[SKU]],'All Skus'!$A:$AC,23,FALSE)),""))</f>
        <v>Compliant</v>
      </c>
      <c r="S141" s="210" t="str">
        <f>HYPERLINK((IF((VLOOKUP(Table2[[#This Row],[SKU]],'All Skus'!$A:$AC,2,FALSE))="AMX",(VLOOKUP(Table2[[#This Row],[SKU]],'All Skus'!$A:$AC,24,FALSE)),"")))</f>
        <v>https://www.amx.com/en-US/products/msa-rmk-07</v>
      </c>
      <c r="T141" s="151">
        <v>139</v>
      </c>
    </row>
    <row r="142" spans="1:20" ht="15" hidden="1" customHeight="1">
      <c r="A142" s="48" t="s">
        <v>651</v>
      </c>
      <c r="B142" s="280" t="str">
        <f>(IF((VLOOKUP(Table2[[#This Row],[SKU]],'All Skus'!$A:$AC,2,FALSE))="AMX",(VLOOKUP(Table2[[#This Row],[SKU]],'All Skus'!$A:$AC,3,FALSE)),""))</f>
        <v>User Interface Accessories</v>
      </c>
      <c r="C142" s="280" t="str">
        <f>(IF((VLOOKUP(Table2[[#This Row],[SKU]],'All Skus'!$A:$AC,2,FALSE))="AMX",(VLOOKUP(Table2[[#This Row],[SKU]],'All Skus'!$A:$AC,4,FALSE)),""))</f>
        <v>MSA-STMK-10</v>
      </c>
      <c r="D142" s="47" t="str">
        <f>(IF((VLOOKUP(Table2[[#This Row],[SKU]],'All Skus'!$A:$AC,2,FALSE))="AMX",(VLOOKUP(Table2[[#This Row],[SKU]],'All Skus'!$A:$AC,5,FALSE)),""))</f>
        <v>AMX-UI</v>
      </c>
      <c r="E142" s="281">
        <f>(IF((VLOOKUP(Table2[[#This Row],[SKU]],'All Skus'!$A:$AC,2,FALSE))="AMX",(VLOOKUP(Table2[[#This Row],[SKU]],'All Skus'!$A:$AC,7,FALSE)),""))</f>
        <v>0</v>
      </c>
      <c r="F142" s="280" t="str">
        <f>(IF((VLOOKUP(Table2[[#This Row],[SKU]],'All Skus'!$A:$AC,2,FALSE))="AMX",(VLOOKUP(Table2[[#This Row],[SKU]],'All Skus'!$A:$AC,8,FALSE)),""))</f>
        <v>Secure Table Mount Kit for 10" Touch Panels</v>
      </c>
      <c r="G142" s="280" t="str">
        <f>(IF((VLOOKUP(Table2[[#This Row],[SKU]],'All Skus'!$A:$AC,2,FALSE))="AMX",(VLOOKUP(Table2[[#This Row],[SKU]],'All Skus'!$A:$AC,9,FALSE)),""))</f>
        <v>Secure Table Mount Kit for the 10.1” Tabletop Modero G5 &amp; Modero S Series Touch Panels.  Securely mounts panel to a table top via a mounting plate and/or Kensington lock attachment.</v>
      </c>
      <c r="H142" s="157">
        <f>(IF((VLOOKUP(Table2[[#This Row],[SKU]],'All Skus'!$A:$AC,2,FALSE))="AMX",(VLOOKUP(Table2[[#This Row],[SKU]],'All Skus'!$A:$AC,10,FALSE)),""))</f>
        <v>364.9</v>
      </c>
      <c r="I142" s="157">
        <f>(IF((VLOOKUP(Table2[[#This Row],[SKU]],'All Skus'!$A:$AC,2,FALSE))="AMX",(VLOOKUP(Table2[[#This Row],[SKU]],'All Skus'!$A:$AC,11,FALSE)),""))</f>
        <v>364.9</v>
      </c>
      <c r="J142" s="47">
        <f>(IF((VLOOKUP(Table2[[#This Row],[SKU]],'All Skus'!$A:$AC,2,FALSE))="AMX",(VLOOKUP(Table2[[#This Row],[SKU]],'All Skus'!$A:$AC,15,FALSE)),""))</f>
        <v>0</v>
      </c>
      <c r="K142" s="47">
        <f>(IF((VLOOKUP(Table2[[#This Row],[SKU]],'All Skus'!$A:$AC,2,FALSE))="AMX",(VLOOKUP(Table2[[#This Row],[SKU]],'All Skus'!$A:$AC,16,FALSE)),""))</f>
        <v>718878023624</v>
      </c>
      <c r="L142" s="47">
        <f>(IF((VLOOKUP(Table2[[#This Row],[SKU]],'All Skus'!$A:$AC,2,FALSE))="AMX",(VLOOKUP(Table2[[#This Row],[SKU]],'All Skus'!$A:$AC,17,FALSE)),""))</f>
        <v>0</v>
      </c>
      <c r="M142" s="63">
        <f>(IF((VLOOKUP(Table2[[#This Row],[SKU]],'All Skus'!$A:$AC,2,FALSE))="AMX",(VLOOKUP(Table2[[#This Row],[SKU]],'All Skus'!$A:$AC,18,FALSE)),""))</f>
        <v>1.65</v>
      </c>
      <c r="N142" s="47">
        <f>(IF((VLOOKUP(Table2[[#This Row],[SKU]],'All Skus'!$A:$AC,2,FALSE))="AMX",(VLOOKUP(Table2[[#This Row],[SKU]],'All Skus'!$A:$AC,19,FALSE)),""))</f>
        <v>9.99</v>
      </c>
      <c r="O142" s="47">
        <f>(IF((VLOOKUP(Table2[[#This Row],[SKU]],'All Skus'!$A:$AC,2,FALSE))="AMX",(VLOOKUP(Table2[[#This Row],[SKU]],'All Skus'!$A:$AC,20,FALSE)),""))</f>
        <v>4.03</v>
      </c>
      <c r="P142" s="47">
        <f>(IF((VLOOKUP(Table2[[#This Row],[SKU]],'All Skus'!$A:$AC,2,FALSE))="AMX",(VLOOKUP(Table2[[#This Row],[SKU]],'All Skus'!$A:$AC,21,FALSE)),""))</f>
        <v>0.43</v>
      </c>
      <c r="Q142" s="47" t="str">
        <f>(IF((VLOOKUP(Table2[[#This Row],[SKU]],'All Skus'!$A:$AC,2,FALSE))="AMX",(VLOOKUP(Table2[[#This Row],[SKU]],'All Skus'!$A:$AC,22,FALSE)),""))</f>
        <v>CN</v>
      </c>
      <c r="R142" s="47" t="str">
        <f>(IF((VLOOKUP(Table2[[#This Row],[SKU]],'All Skus'!$A:$AC,2,FALSE))="AMX",(VLOOKUP(Table2[[#This Row],[SKU]],'All Skus'!$A:$AC,23,FALSE)),""))</f>
        <v>NonCompliant</v>
      </c>
      <c r="S142" s="210" t="str">
        <f>HYPERLINK((IF((VLOOKUP(Table2[[#This Row],[SKU]],'All Skus'!$A:$AC,2,FALSE))="AMX",(VLOOKUP(Table2[[#This Row],[SKU]],'All Skus'!$A:$AC,24,FALSE)),"")))</f>
        <v>https://www.amx.com/en-US/products/msa-stmk-10</v>
      </c>
      <c r="T142" s="151">
        <v>140</v>
      </c>
    </row>
    <row r="143" spans="1:20" ht="15" hidden="1" customHeight="1">
      <c r="A143" s="48" t="s">
        <v>652</v>
      </c>
      <c r="B143" s="280" t="str">
        <f>(IF((VLOOKUP(Table2[[#This Row],[SKU]],'All Skus'!$A:$AC,2,FALSE))="AMX",(VLOOKUP(Table2[[#This Row],[SKU]],'All Skus'!$A:$AC,3,FALSE)),""))</f>
        <v>User Interface Accessories</v>
      </c>
      <c r="C143" s="280" t="str">
        <f>(IF((VLOOKUP(Table2[[#This Row],[SKU]],'All Skus'!$A:$AC,2,FALSE))="AMX",(VLOOKUP(Table2[[#This Row],[SKU]],'All Skus'!$A:$AC,4,FALSE)),""))</f>
        <v>MSA-STMK-07</v>
      </c>
      <c r="D143" s="47" t="str">
        <f>(IF((VLOOKUP(Table2[[#This Row],[SKU]],'All Skus'!$A:$AC,2,FALSE))="AMX",(VLOOKUP(Table2[[#This Row],[SKU]],'All Skus'!$A:$AC,5,FALSE)),""))</f>
        <v>AMX-UI</v>
      </c>
      <c r="E143" s="281">
        <f>(IF((VLOOKUP(Table2[[#This Row],[SKU]],'All Skus'!$A:$AC,2,FALSE))="AMX",(VLOOKUP(Table2[[#This Row],[SKU]],'All Skus'!$A:$AC,7,FALSE)),""))</f>
        <v>0</v>
      </c>
      <c r="F143" s="280" t="str">
        <f>(IF((VLOOKUP(Table2[[#This Row],[SKU]],'All Skus'!$A:$AC,2,FALSE))="AMX",(VLOOKUP(Table2[[#This Row],[SKU]],'All Skus'!$A:$AC,8,FALSE)),""))</f>
        <v>Secure Table Mount Kit for 7" Touch Panels</v>
      </c>
      <c r="G143" s="280" t="str">
        <f>(IF((VLOOKUP(Table2[[#This Row],[SKU]],'All Skus'!$A:$AC,2,FALSE))="AMX",(VLOOKUP(Table2[[#This Row],[SKU]],'All Skus'!$A:$AC,9,FALSE)),""))</f>
        <v>Secure Table Mount Kit for the 7” Tabletop Modero G5 &amp; Modero S Series Touch Panels.  Securely mounts panel to a table top via a mounting plate and/or Kensington lock attachment.</v>
      </c>
      <c r="H143" s="157">
        <f>(IF((VLOOKUP(Table2[[#This Row],[SKU]],'All Skus'!$A:$AC,2,FALSE))="AMX",(VLOOKUP(Table2[[#This Row],[SKU]],'All Skus'!$A:$AC,10,FALSE)),""))</f>
        <v>278.5</v>
      </c>
      <c r="I143" s="157">
        <f>(IF((VLOOKUP(Table2[[#This Row],[SKU]],'All Skus'!$A:$AC,2,FALSE))="AMX",(VLOOKUP(Table2[[#This Row],[SKU]],'All Skus'!$A:$AC,11,FALSE)),""))</f>
        <v>278.5</v>
      </c>
      <c r="J143" s="47">
        <f>(IF((VLOOKUP(Table2[[#This Row],[SKU]],'All Skus'!$A:$AC,2,FALSE))="AMX",(VLOOKUP(Table2[[#This Row],[SKU]],'All Skus'!$A:$AC,15,FALSE)),""))</f>
        <v>0</v>
      </c>
      <c r="K143" s="47">
        <f>(IF((VLOOKUP(Table2[[#This Row],[SKU]],'All Skus'!$A:$AC,2,FALSE))="AMX",(VLOOKUP(Table2[[#This Row],[SKU]],'All Skus'!$A:$AC,16,FALSE)),""))</f>
        <v>718878022511</v>
      </c>
      <c r="L143" s="47">
        <f>(IF((VLOOKUP(Table2[[#This Row],[SKU]],'All Skus'!$A:$AC,2,FALSE))="AMX",(VLOOKUP(Table2[[#This Row],[SKU]],'All Skus'!$A:$AC,17,FALSE)),""))</f>
        <v>0</v>
      </c>
      <c r="M143" s="63">
        <f>(IF((VLOOKUP(Table2[[#This Row],[SKU]],'All Skus'!$A:$AC,2,FALSE))="AMX",(VLOOKUP(Table2[[#This Row],[SKU]],'All Skus'!$A:$AC,18,FALSE)),""))</f>
        <v>0.95</v>
      </c>
      <c r="N143" s="47">
        <f>(IF((VLOOKUP(Table2[[#This Row],[SKU]],'All Skus'!$A:$AC,2,FALSE))="AMX",(VLOOKUP(Table2[[#This Row],[SKU]],'All Skus'!$A:$AC,19,FALSE)),""))</f>
        <v>7.34</v>
      </c>
      <c r="O143" s="47">
        <f>(IF((VLOOKUP(Table2[[#This Row],[SKU]],'All Skus'!$A:$AC,2,FALSE))="AMX",(VLOOKUP(Table2[[#This Row],[SKU]],'All Skus'!$A:$AC,20,FALSE)),""))</f>
        <v>3.2</v>
      </c>
      <c r="P143" s="47">
        <f>(IF((VLOOKUP(Table2[[#This Row],[SKU]],'All Skus'!$A:$AC,2,FALSE))="AMX",(VLOOKUP(Table2[[#This Row],[SKU]],'All Skus'!$A:$AC,21,FALSE)),""))</f>
        <v>0.43</v>
      </c>
      <c r="Q143" s="47" t="str">
        <f>(IF((VLOOKUP(Table2[[#This Row],[SKU]],'All Skus'!$A:$AC,2,FALSE))="AMX",(VLOOKUP(Table2[[#This Row],[SKU]],'All Skus'!$A:$AC,22,FALSE)),""))</f>
        <v>CN</v>
      </c>
      <c r="R143" s="47" t="str">
        <f>(IF((VLOOKUP(Table2[[#This Row],[SKU]],'All Skus'!$A:$AC,2,FALSE))="AMX",(VLOOKUP(Table2[[#This Row],[SKU]],'All Skus'!$A:$AC,23,FALSE)),""))</f>
        <v>NonCompliant</v>
      </c>
      <c r="S143" s="210" t="str">
        <f>HYPERLINK((IF((VLOOKUP(Table2[[#This Row],[SKU]],'All Skus'!$A:$AC,2,FALSE))="AMX",(VLOOKUP(Table2[[#This Row],[SKU]],'All Skus'!$A:$AC,24,FALSE)),"")))</f>
        <v>https://www.amx.com/en-US/products/msa-stmk-07</v>
      </c>
      <c r="T143" s="151">
        <v>141</v>
      </c>
    </row>
    <row r="144" spans="1:20" ht="15" hidden="1" customHeight="1">
      <c r="A144" s="48" t="s">
        <v>653</v>
      </c>
      <c r="B144" s="280" t="str">
        <f>(IF((VLOOKUP(Table2[[#This Row],[SKU]],'All Skus'!$A:$AC,2,FALSE))="AMX",(VLOOKUP(Table2[[#This Row],[SKU]],'All Skus'!$A:$AC,3,FALSE)),""))</f>
        <v>User Interface Accessories</v>
      </c>
      <c r="C144" s="280" t="str">
        <f>(IF((VLOOKUP(Table2[[#This Row],[SKU]],'All Skus'!$A:$AC,2,FALSE))="AMX",(VLOOKUP(Table2[[#This Row],[SKU]],'All Skus'!$A:$AC,4,FALSE)),""))</f>
        <v>MSA-MMK2-10</v>
      </c>
      <c r="D144" s="47" t="str">
        <f>(IF((VLOOKUP(Table2[[#This Row],[SKU]],'All Skus'!$A:$AC,2,FALSE))="AMX",(VLOOKUP(Table2[[#This Row],[SKU]],'All Skus'!$A:$AC,5,FALSE)),""))</f>
        <v>AMX-UI</v>
      </c>
      <c r="E144" s="281">
        <f>(IF((VLOOKUP(Table2[[#This Row],[SKU]],'All Skus'!$A:$AC,2,FALSE))="AMX",(VLOOKUP(Table2[[#This Row],[SKU]],'All Skus'!$A:$AC,7,FALSE)),""))</f>
        <v>0</v>
      </c>
      <c r="F144" s="280" t="str">
        <f>(IF((VLOOKUP(Table2[[#This Row],[SKU]],'All Skus'!$A:$AC,2,FALSE))="AMX",(VLOOKUP(Table2[[#This Row],[SKU]],'All Skus'!$A:$AC,8,FALSE)),""))</f>
        <v>Multi-Mount Kit for 10" Touch Panels</v>
      </c>
      <c r="G144" s="280" t="str">
        <f>(IF((VLOOKUP(Table2[[#This Row],[SKU]],'All Skus'!$A:$AC,2,FALSE))="AMX",(VLOOKUP(Table2[[#This Row],[SKU]],'All Skus'!$A:$AC,9,FALSE)),""))</f>
        <v>Multi Mount Kit for 10.1" Wall-Mount Modero G5 &amp; Modero S Series Touch Panels.  Mounts to any smooth surface including glass without drilling or cutting.</v>
      </c>
      <c r="H144" s="157">
        <f>(IF((VLOOKUP(Table2[[#This Row],[SKU]],'All Skus'!$A:$AC,2,FALSE))="AMX",(VLOOKUP(Table2[[#This Row],[SKU]],'All Skus'!$A:$AC,10,FALSE)),""))</f>
        <v>247.3</v>
      </c>
      <c r="I144" s="157">
        <f>(IF((VLOOKUP(Table2[[#This Row],[SKU]],'All Skus'!$A:$AC,2,FALSE))="AMX",(VLOOKUP(Table2[[#This Row],[SKU]],'All Skus'!$A:$AC,11,FALSE)),""))</f>
        <v>247.3</v>
      </c>
      <c r="J144" s="47">
        <f>(IF((VLOOKUP(Table2[[#This Row],[SKU]],'All Skus'!$A:$AC,2,FALSE))="AMX",(VLOOKUP(Table2[[#This Row],[SKU]],'All Skus'!$A:$AC,15,FALSE)),""))</f>
        <v>0</v>
      </c>
      <c r="K144" s="47">
        <f>(IF((VLOOKUP(Table2[[#This Row],[SKU]],'All Skus'!$A:$AC,2,FALSE))="AMX",(VLOOKUP(Table2[[#This Row],[SKU]],'All Skus'!$A:$AC,16,FALSE)),""))</f>
        <v>718878023648</v>
      </c>
      <c r="L144" s="47">
        <f>(IF((VLOOKUP(Table2[[#This Row],[SKU]],'All Skus'!$A:$AC,2,FALSE))="AMX",(VLOOKUP(Table2[[#This Row],[SKU]],'All Skus'!$A:$AC,17,FALSE)),""))</f>
        <v>0</v>
      </c>
      <c r="M144" s="63">
        <f>(IF((VLOOKUP(Table2[[#This Row],[SKU]],'All Skus'!$A:$AC,2,FALSE))="AMX",(VLOOKUP(Table2[[#This Row],[SKU]],'All Skus'!$A:$AC,18,FALSE)),""))</f>
        <v>0.25</v>
      </c>
      <c r="N144" s="47">
        <f>(IF((VLOOKUP(Table2[[#This Row],[SKU]],'All Skus'!$A:$AC,2,FALSE))="AMX",(VLOOKUP(Table2[[#This Row],[SKU]],'All Skus'!$A:$AC,19,FALSE)),""))</f>
        <v>10.039999999999999</v>
      </c>
      <c r="O144" s="47">
        <f>(IF((VLOOKUP(Table2[[#This Row],[SKU]],'All Skus'!$A:$AC,2,FALSE))="AMX",(VLOOKUP(Table2[[#This Row],[SKU]],'All Skus'!$A:$AC,20,FALSE)),""))</f>
        <v>6.84</v>
      </c>
      <c r="P144" s="47">
        <f>(IF((VLOOKUP(Table2[[#This Row],[SKU]],'All Skus'!$A:$AC,2,FALSE))="AMX",(VLOOKUP(Table2[[#This Row],[SKU]],'All Skus'!$A:$AC,21,FALSE)),""))</f>
        <v>0.95</v>
      </c>
      <c r="Q144" s="47" t="str">
        <f>(IF((VLOOKUP(Table2[[#This Row],[SKU]],'All Skus'!$A:$AC,2,FALSE))="AMX",(VLOOKUP(Table2[[#This Row],[SKU]],'All Skus'!$A:$AC,22,FALSE)),""))</f>
        <v>CN</v>
      </c>
      <c r="R144" s="47" t="str">
        <f>(IF((VLOOKUP(Table2[[#This Row],[SKU]],'All Skus'!$A:$AC,2,FALSE))="AMX",(VLOOKUP(Table2[[#This Row],[SKU]],'All Skus'!$A:$AC,23,FALSE)),""))</f>
        <v>NonCompliant</v>
      </c>
      <c r="S144" s="210" t="str">
        <f>HYPERLINK((IF((VLOOKUP(Table2[[#This Row],[SKU]],'All Skus'!$A:$AC,2,FALSE))="AMX",(VLOOKUP(Table2[[#This Row],[SKU]],'All Skus'!$A:$AC,24,FALSE)),"")))</f>
        <v>https://www.amx.com/en-US/products/msa-mmk2-10</v>
      </c>
      <c r="T144" s="151">
        <v>142</v>
      </c>
    </row>
    <row r="145" spans="1:20" ht="15" hidden="1" customHeight="1">
      <c r="A145" s="48" t="s">
        <v>654</v>
      </c>
      <c r="B145" s="280" t="str">
        <f>(IF((VLOOKUP(Table2[[#This Row],[SKU]],'All Skus'!$A:$AC,2,FALSE))="AMX",(VLOOKUP(Table2[[#This Row],[SKU]],'All Skus'!$A:$AC,3,FALSE)),""))</f>
        <v>User Interface Accessories</v>
      </c>
      <c r="C145" s="280" t="str">
        <f>(IF((VLOOKUP(Table2[[#This Row],[SKU]],'All Skus'!$A:$AC,2,FALSE))="AMX",(VLOOKUP(Table2[[#This Row],[SKU]],'All Skus'!$A:$AC,4,FALSE)),""))</f>
        <v>MSA-MMK2-07</v>
      </c>
      <c r="D145" s="47" t="str">
        <f>(IF((VLOOKUP(Table2[[#This Row],[SKU]],'All Skus'!$A:$AC,2,FALSE))="AMX",(VLOOKUP(Table2[[#This Row],[SKU]],'All Skus'!$A:$AC,5,FALSE)),""))</f>
        <v>AMX-UI</v>
      </c>
      <c r="E145" s="281">
        <f>(IF((VLOOKUP(Table2[[#This Row],[SKU]],'All Skus'!$A:$AC,2,FALSE))="AMX",(VLOOKUP(Table2[[#This Row],[SKU]],'All Skus'!$A:$AC,7,FALSE)),""))</f>
        <v>0</v>
      </c>
      <c r="F145" s="280" t="str">
        <f>(IF((VLOOKUP(Table2[[#This Row],[SKU]],'All Skus'!$A:$AC,2,FALSE))="AMX",(VLOOKUP(Table2[[#This Row],[SKU]],'All Skus'!$A:$AC,8,FALSE)),""))</f>
        <v>Multi-Mount Kit for 7" Touch Panels</v>
      </c>
      <c r="G145" s="280" t="str">
        <f>(IF((VLOOKUP(Table2[[#This Row],[SKU]],'All Skus'!$A:$AC,2,FALSE))="AMX",(VLOOKUP(Table2[[#This Row],[SKU]],'All Skus'!$A:$AC,9,FALSE)),""))</f>
        <v>Multi Mount Kit for 7" Wall-Mount Modero G5 &amp; Modero S Series Touch Panels.  Mounts to any smooth surface including glass without drilling or cutting.</v>
      </c>
      <c r="H145" s="157">
        <f>(IF((VLOOKUP(Table2[[#This Row],[SKU]],'All Skus'!$A:$AC,2,FALSE))="AMX",(VLOOKUP(Table2[[#This Row],[SKU]],'All Skus'!$A:$AC,10,FALSE)),""))</f>
        <v>235.5</v>
      </c>
      <c r="I145" s="157">
        <f>(IF((VLOOKUP(Table2[[#This Row],[SKU]],'All Skus'!$A:$AC,2,FALSE))="AMX",(VLOOKUP(Table2[[#This Row],[SKU]],'All Skus'!$A:$AC,11,FALSE)),""))</f>
        <v>235.5</v>
      </c>
      <c r="J145" s="47">
        <f>(IF((VLOOKUP(Table2[[#This Row],[SKU]],'All Skus'!$A:$AC,2,FALSE))="AMX",(VLOOKUP(Table2[[#This Row],[SKU]],'All Skus'!$A:$AC,15,FALSE)),""))</f>
        <v>0</v>
      </c>
      <c r="K145" s="47">
        <f>(IF((VLOOKUP(Table2[[#This Row],[SKU]],'All Skus'!$A:$AC,2,FALSE))="AMX",(VLOOKUP(Table2[[#This Row],[SKU]],'All Skus'!$A:$AC,16,FALSE)),""))</f>
        <v>718878023006</v>
      </c>
      <c r="L145" s="47">
        <f>(IF((VLOOKUP(Table2[[#This Row],[SKU]],'All Skus'!$A:$AC,2,FALSE))="AMX",(VLOOKUP(Table2[[#This Row],[SKU]],'All Skus'!$A:$AC,17,FALSE)),""))</f>
        <v>0</v>
      </c>
      <c r="M145" s="63">
        <f>(IF((VLOOKUP(Table2[[#This Row],[SKU]],'All Skus'!$A:$AC,2,FALSE))="AMX",(VLOOKUP(Table2[[#This Row],[SKU]],'All Skus'!$A:$AC,18,FALSE)),""))</f>
        <v>0.1</v>
      </c>
      <c r="N145" s="47">
        <f>(IF((VLOOKUP(Table2[[#This Row],[SKU]],'All Skus'!$A:$AC,2,FALSE))="AMX",(VLOOKUP(Table2[[#This Row],[SKU]],'All Skus'!$A:$AC,19,FALSE)),""))</f>
        <v>7.38</v>
      </c>
      <c r="O145" s="47">
        <f>(IF((VLOOKUP(Table2[[#This Row],[SKU]],'All Skus'!$A:$AC,2,FALSE))="AMX",(VLOOKUP(Table2[[#This Row],[SKU]],'All Skus'!$A:$AC,20,FALSE)),""))</f>
        <v>4.88</v>
      </c>
      <c r="P145" s="47">
        <f>(IF((VLOOKUP(Table2[[#This Row],[SKU]],'All Skus'!$A:$AC,2,FALSE))="AMX",(VLOOKUP(Table2[[#This Row],[SKU]],'All Skus'!$A:$AC,21,FALSE)),""))</f>
        <v>0.91</v>
      </c>
      <c r="Q145" s="47" t="str">
        <f>(IF((VLOOKUP(Table2[[#This Row],[SKU]],'All Skus'!$A:$AC,2,FALSE))="AMX",(VLOOKUP(Table2[[#This Row],[SKU]],'All Skus'!$A:$AC,22,FALSE)),""))</f>
        <v>CN</v>
      </c>
      <c r="R145" s="47" t="str">
        <f>(IF((VLOOKUP(Table2[[#This Row],[SKU]],'All Skus'!$A:$AC,2,FALSE))="AMX",(VLOOKUP(Table2[[#This Row],[SKU]],'All Skus'!$A:$AC,23,FALSE)),""))</f>
        <v>NonCompliant</v>
      </c>
      <c r="S145" s="210" t="str">
        <f>HYPERLINK((IF((VLOOKUP(Table2[[#This Row],[SKU]],'All Skus'!$A:$AC,2,FALSE))="AMX",(VLOOKUP(Table2[[#This Row],[SKU]],'All Skus'!$A:$AC,24,FALSE)),"")))</f>
        <v>https://www.amx.com/en-US/products/msa-mmk2-07</v>
      </c>
      <c r="T145" s="151">
        <v>143</v>
      </c>
    </row>
    <row r="146" spans="1:20" ht="15" hidden="1" customHeight="1">
      <c r="A146" s="48" t="s">
        <v>655</v>
      </c>
      <c r="B146" s="280" t="str">
        <f>(IF((VLOOKUP(Table2[[#This Row],[SKU]],'All Skus'!$A:$AC,2,FALSE))="AMX",(VLOOKUP(Table2[[#This Row],[SKU]],'All Skus'!$A:$AC,3,FALSE)),""))</f>
        <v>Touch Panels</v>
      </c>
      <c r="C146" s="280" t="str">
        <f>(IF((VLOOKUP(Table2[[#This Row],[SKU]],'All Skus'!$A:$AC,2,FALSE))="AMX",(VLOOKUP(Table2[[#This Row],[SKU]],'All Skus'!$A:$AC,4,FALSE)),""))</f>
        <v>MSD-1001-L2</v>
      </c>
      <c r="D146" s="47" t="str">
        <f>(IF((VLOOKUP(Table2[[#This Row],[SKU]],'All Skus'!$A:$AC,2,FALSE))="AMX",(VLOOKUP(Table2[[#This Row],[SKU]],'All Skus'!$A:$AC,5,FALSE)),""))</f>
        <v>AMX-UI</v>
      </c>
      <c r="E146" s="291" t="str">
        <f>(IF((VLOOKUP(Table2[[#This Row],[SKU]],'All Skus'!$A:$AC,2,FALSE))="AMX",(VLOOKUP(Table2[[#This Row],[SKU]],'All Skus'!$A:$AC,7,FALSE)),""))</f>
        <v>Limited Quantity - REDUCED</v>
      </c>
      <c r="F146" s="280" t="str">
        <f>(IF((VLOOKUP(Table2[[#This Row],[SKU]],'All Skus'!$A:$AC,2,FALSE))="AMX",(VLOOKUP(Table2[[#This Row],[SKU]],'All Skus'!$A:$AC,8,FALSE)),""))</f>
        <v>10" Modero S Wall-Mount Touch Panel</v>
      </c>
      <c r="G146" s="280" t="str">
        <f>(IF((VLOOKUP(Table2[[#This Row],[SKU]],'All Skus'!$A:$AC,2,FALSE))="AMX",(VLOOKUP(Table2[[#This Row],[SKU]],'All Skus'!$A:$AC,9,FALSE)),""))</f>
        <v>10.1" Modero S Wall Landscape Mount Touch Panel, features include: room availability bar, brilliant 24-bit color depth, PoE, VoIP, Bluetooth, USB and streaming video, 1280x800 touch panel resolution</v>
      </c>
      <c r="H146" s="157">
        <f>(IF((VLOOKUP(Table2[[#This Row],[SKU]],'All Skus'!$A:$AC,2,FALSE))="AMX",(VLOOKUP(Table2[[#This Row],[SKU]],'All Skus'!$A:$AC,10,FALSE)),""))</f>
        <v>3064</v>
      </c>
      <c r="I146" s="157">
        <f>(IF((VLOOKUP(Table2[[#This Row],[SKU]],'All Skus'!$A:$AC,2,FALSE))="AMX",(VLOOKUP(Table2[[#This Row],[SKU]],'All Skus'!$A:$AC,11,FALSE)),""))</f>
        <v>1398</v>
      </c>
      <c r="J146" s="47">
        <f>(IF((VLOOKUP(Table2[[#This Row],[SKU]],'All Skus'!$A:$AC,2,FALSE))="AMX",(VLOOKUP(Table2[[#This Row],[SKU]],'All Skus'!$A:$AC,15,FALSE)),""))</f>
        <v>0</v>
      </c>
      <c r="K146" s="47">
        <f>(IF((VLOOKUP(Table2[[#This Row],[SKU]],'All Skus'!$A:$AC,2,FALSE))="AMX",(VLOOKUP(Table2[[#This Row],[SKU]],'All Skus'!$A:$AC,16,FALSE)),""))</f>
        <v>718878024188</v>
      </c>
      <c r="L146" s="47">
        <f>(IF((VLOOKUP(Table2[[#This Row],[SKU]],'All Skus'!$A:$AC,2,FALSE))="AMX",(VLOOKUP(Table2[[#This Row],[SKU]],'All Skus'!$A:$AC,17,FALSE)),""))</f>
        <v>0</v>
      </c>
      <c r="M146" s="63">
        <f>(IF((VLOOKUP(Table2[[#This Row],[SKU]],'All Skus'!$A:$AC,2,FALSE))="AMX",(VLOOKUP(Table2[[#This Row],[SKU]],'All Skus'!$A:$AC,18,FALSE)),""))</f>
        <v>1.95</v>
      </c>
      <c r="N146" s="47">
        <f>(IF((VLOOKUP(Table2[[#This Row],[SKU]],'All Skus'!$A:$AC,2,FALSE))="AMX",(VLOOKUP(Table2[[#This Row],[SKU]],'All Skus'!$A:$AC,19,FALSE)),""))</f>
        <v>10.0625</v>
      </c>
      <c r="O146" s="47">
        <f>(IF((VLOOKUP(Table2[[#This Row],[SKU]],'All Skus'!$A:$AC,2,FALSE))="AMX",(VLOOKUP(Table2[[#This Row],[SKU]],'All Skus'!$A:$AC,20,FALSE)),""))</f>
        <v>6.8125</v>
      </c>
      <c r="P146" s="47">
        <f>(IF((VLOOKUP(Table2[[#This Row],[SKU]],'All Skus'!$A:$AC,2,FALSE))="AMX",(VLOOKUP(Table2[[#This Row],[SKU]],'All Skus'!$A:$AC,21,FALSE)),""))</f>
        <v>2</v>
      </c>
      <c r="Q146" s="47" t="str">
        <f>(IF((VLOOKUP(Table2[[#This Row],[SKU]],'All Skus'!$A:$AC,2,FALSE))="AMX",(VLOOKUP(Table2[[#This Row],[SKU]],'All Skus'!$A:$AC,22,FALSE)),""))</f>
        <v>MX</v>
      </c>
      <c r="R146" s="47" t="str">
        <f>(IF((VLOOKUP(Table2[[#This Row],[SKU]],'All Skus'!$A:$AC,2,FALSE))="AMX",(VLOOKUP(Table2[[#This Row],[SKU]],'All Skus'!$A:$AC,23,FALSE)),""))</f>
        <v>Compliant</v>
      </c>
      <c r="S146" s="210" t="str">
        <f>HYPERLINK((IF((VLOOKUP(Table2[[#This Row],[SKU]],'All Skus'!$A:$AC,2,FALSE))="AMX",(VLOOKUP(Table2[[#This Row],[SKU]],'All Skus'!$A:$AC,24,FALSE)),"")))</f>
        <v>https://www.amx.com/en-US/products/msd-1001</v>
      </c>
      <c r="T146" s="151">
        <v>144</v>
      </c>
    </row>
    <row r="147" spans="1:20" ht="15" hidden="1" customHeight="1">
      <c r="A147" s="48" t="s">
        <v>656</v>
      </c>
      <c r="B147" s="280" t="str">
        <f>(IF((VLOOKUP(Table2[[#This Row],[SKU]],'All Skus'!$A:$AC,2,FALSE))="AMX",(VLOOKUP(Table2[[#This Row],[SKU]],'All Skus'!$A:$AC,3,FALSE)),""))</f>
        <v>User Interface Accessories</v>
      </c>
      <c r="C147" s="280" t="str">
        <f>(IF((VLOOKUP(Table2[[#This Row],[SKU]],'All Skus'!$A:$AC,2,FALSE))="AMX",(VLOOKUP(Table2[[#This Row],[SKU]],'All Skus'!$A:$AC,4,FALSE)),""))</f>
        <v>MSA-AMK2-07</v>
      </c>
      <c r="D147" s="47" t="str">
        <f>(IF((VLOOKUP(Table2[[#This Row],[SKU]],'All Skus'!$A:$AC,2,FALSE))="AMX",(VLOOKUP(Table2[[#This Row],[SKU]],'All Skus'!$A:$AC,5,FALSE)),""))</f>
        <v>AMX-UI</v>
      </c>
      <c r="E147" s="281">
        <f>(IF((VLOOKUP(Table2[[#This Row],[SKU]],'All Skus'!$A:$AC,2,FALSE))="AMX",(VLOOKUP(Table2[[#This Row],[SKU]],'All Skus'!$A:$AC,7,FALSE)),""))</f>
        <v>0</v>
      </c>
      <c r="F147" s="280" t="str">
        <f>(IF((VLOOKUP(Table2[[#This Row],[SKU]],'All Skus'!$A:$AC,2,FALSE))="AMX",(VLOOKUP(Table2[[#This Row],[SKU]],'All Skus'!$A:$AC,8,FALSE)),""))</f>
        <v>Any-Mount Kit for 7" Touch Panels</v>
      </c>
      <c r="G147" s="280" t="str">
        <f>(IF((VLOOKUP(Table2[[#This Row],[SKU]],'All Skus'!$A:$AC,2,FALSE))="AMX",(VLOOKUP(Table2[[#This Row],[SKU]],'All Skus'!$A:$AC,9,FALSE)),""))</f>
        <v>Any Mount Kit for 7" Wall-Mount Modero G5 &amp; Modero S Touch Panels.  Mounts to standard sized single &amp; double gang boxes in the US, EU, UK and Australia.</v>
      </c>
      <c r="H147" s="157">
        <f>(IF((VLOOKUP(Table2[[#This Row],[SKU]],'All Skus'!$A:$AC,2,FALSE))="AMX",(VLOOKUP(Table2[[#This Row],[SKU]],'All Skus'!$A:$AC,10,FALSE)),""))</f>
        <v>235.5</v>
      </c>
      <c r="I147" s="157">
        <f>(IF((VLOOKUP(Table2[[#This Row],[SKU]],'All Skus'!$A:$AC,2,FALSE))="AMX",(VLOOKUP(Table2[[#This Row],[SKU]],'All Skus'!$A:$AC,11,FALSE)),""))</f>
        <v>235.5</v>
      </c>
      <c r="J147" s="47">
        <f>(IF((VLOOKUP(Table2[[#This Row],[SKU]],'All Skus'!$A:$AC,2,FALSE))="AMX",(VLOOKUP(Table2[[#This Row],[SKU]],'All Skus'!$A:$AC,15,FALSE)),""))</f>
        <v>0</v>
      </c>
      <c r="K147" s="47">
        <f>(IF((VLOOKUP(Table2[[#This Row],[SKU]],'All Skus'!$A:$AC,2,FALSE))="AMX",(VLOOKUP(Table2[[#This Row],[SKU]],'All Skus'!$A:$AC,16,FALSE)),""))</f>
        <v>718878023679</v>
      </c>
      <c r="L147" s="47">
        <f>(IF((VLOOKUP(Table2[[#This Row],[SKU]],'All Skus'!$A:$AC,2,FALSE))="AMX",(VLOOKUP(Table2[[#This Row],[SKU]],'All Skus'!$A:$AC,17,FALSE)),""))</f>
        <v>0</v>
      </c>
      <c r="M147" s="63">
        <f>(IF((VLOOKUP(Table2[[#This Row],[SKU]],'All Skus'!$A:$AC,2,FALSE))="AMX",(VLOOKUP(Table2[[#This Row],[SKU]],'All Skus'!$A:$AC,18,FALSE)),""))</f>
        <v>0.1</v>
      </c>
      <c r="N147" s="47">
        <f>(IF((VLOOKUP(Table2[[#This Row],[SKU]],'All Skus'!$A:$AC,2,FALSE))="AMX",(VLOOKUP(Table2[[#This Row],[SKU]],'All Skus'!$A:$AC,19,FALSE)),""))</f>
        <v>7.38</v>
      </c>
      <c r="O147" s="47">
        <f>(IF((VLOOKUP(Table2[[#This Row],[SKU]],'All Skus'!$A:$AC,2,FALSE))="AMX",(VLOOKUP(Table2[[#This Row],[SKU]],'All Skus'!$A:$AC,20,FALSE)),""))</f>
        <v>4.88</v>
      </c>
      <c r="P147" s="47">
        <f>(IF((VLOOKUP(Table2[[#This Row],[SKU]],'All Skus'!$A:$AC,2,FALSE))="AMX",(VLOOKUP(Table2[[#This Row],[SKU]],'All Skus'!$A:$AC,21,FALSE)),""))</f>
        <v>0.91</v>
      </c>
      <c r="Q147" s="47" t="str">
        <f>(IF((VLOOKUP(Table2[[#This Row],[SKU]],'All Skus'!$A:$AC,2,FALSE))="AMX",(VLOOKUP(Table2[[#This Row],[SKU]],'All Skus'!$A:$AC,22,FALSE)),""))</f>
        <v>US</v>
      </c>
      <c r="R147" s="47" t="str">
        <f>(IF((VLOOKUP(Table2[[#This Row],[SKU]],'All Skus'!$A:$AC,2,FALSE))="AMX",(VLOOKUP(Table2[[#This Row],[SKU]],'All Skus'!$A:$AC,23,FALSE)),""))</f>
        <v>Compliant</v>
      </c>
      <c r="S147" s="210" t="str">
        <f>HYPERLINK((IF((VLOOKUP(Table2[[#This Row],[SKU]],'All Skus'!$A:$AC,2,FALSE))="AMX",(VLOOKUP(Table2[[#This Row],[SKU]],'All Skus'!$A:$AC,24,FALSE)),"")))</f>
        <v>https://www.amx.com/en-US/products/msa-amk2-07</v>
      </c>
      <c r="T147" s="151">
        <v>145</v>
      </c>
    </row>
    <row r="148" spans="1:20" ht="15" hidden="1" customHeight="1">
      <c r="A148" s="48" t="s">
        <v>657</v>
      </c>
      <c r="B148" s="280" t="str">
        <f>(IF((VLOOKUP(Table2[[#This Row],[SKU]],'All Skus'!$A:$AC,2,FALSE))="AMX",(VLOOKUP(Table2[[#This Row],[SKU]],'All Skus'!$A:$AC,3,FALSE)),""))</f>
        <v>User Interface Accessories</v>
      </c>
      <c r="C148" s="280" t="str">
        <f>(IF((VLOOKUP(Table2[[#This Row],[SKU]],'All Skus'!$A:$AC,2,FALSE))="AMX",(VLOOKUP(Table2[[#This Row],[SKU]],'All Skus'!$A:$AC,4,FALSE)),""))</f>
        <v>MSA-AMK2-10</v>
      </c>
      <c r="D148" s="47" t="str">
        <f>(IF((VLOOKUP(Table2[[#This Row],[SKU]],'All Skus'!$A:$AC,2,FALSE))="AMX",(VLOOKUP(Table2[[#This Row],[SKU]],'All Skus'!$A:$AC,5,FALSE)),""))</f>
        <v>AMX-UI</v>
      </c>
      <c r="E148" s="281">
        <f>(IF((VLOOKUP(Table2[[#This Row],[SKU]],'All Skus'!$A:$AC,2,FALSE))="AMX",(VLOOKUP(Table2[[#This Row],[SKU]],'All Skus'!$A:$AC,7,FALSE)),""))</f>
        <v>0</v>
      </c>
      <c r="F148" s="280" t="str">
        <f>(IF((VLOOKUP(Table2[[#This Row],[SKU]],'All Skus'!$A:$AC,2,FALSE))="AMX",(VLOOKUP(Table2[[#This Row],[SKU]],'All Skus'!$A:$AC,8,FALSE)),""))</f>
        <v>Any-Mount Kit for 10" Touch Panels</v>
      </c>
      <c r="G148" s="280" t="str">
        <f>(IF((VLOOKUP(Table2[[#This Row],[SKU]],'All Skus'!$A:$AC,2,FALSE))="AMX",(VLOOKUP(Table2[[#This Row],[SKU]],'All Skus'!$A:$AC,9,FALSE)),""))</f>
        <v>The MSA-AMK-10 Any Mount Kit is designed to mount the 10.1" Modero S Wall Mount Touch Panel to standard sized single and double gang boxes in the US, EU, UK and Australia, compatible with MSD-1001-L2 (FG2265-31) and ACB-2110 (FG4221-10)</v>
      </c>
      <c r="H148" s="157">
        <f>(IF((VLOOKUP(Table2[[#This Row],[SKU]],'All Skus'!$A:$AC,2,FALSE))="AMX",(VLOOKUP(Table2[[#This Row],[SKU]],'All Skus'!$A:$AC,10,FALSE)),""))</f>
        <v>235.5</v>
      </c>
      <c r="I148" s="157">
        <f>(IF((VLOOKUP(Table2[[#This Row],[SKU]],'All Skus'!$A:$AC,2,FALSE))="AMX",(VLOOKUP(Table2[[#This Row],[SKU]],'All Skus'!$A:$AC,11,FALSE)),""))</f>
        <v>235.5</v>
      </c>
      <c r="J148" s="47">
        <f>(IF((VLOOKUP(Table2[[#This Row],[SKU]],'All Skus'!$A:$AC,2,FALSE))="AMX",(VLOOKUP(Table2[[#This Row],[SKU]],'All Skus'!$A:$AC,15,FALSE)),""))</f>
        <v>0</v>
      </c>
      <c r="K148" s="47">
        <f>(IF((VLOOKUP(Table2[[#This Row],[SKU]],'All Skus'!$A:$AC,2,FALSE))="AMX",(VLOOKUP(Table2[[#This Row],[SKU]],'All Skus'!$A:$AC,16,FALSE)),""))</f>
        <v>718878001400</v>
      </c>
      <c r="L148" s="47">
        <f>(IF((VLOOKUP(Table2[[#This Row],[SKU]],'All Skus'!$A:$AC,2,FALSE))="AMX",(VLOOKUP(Table2[[#This Row],[SKU]],'All Skus'!$A:$AC,17,FALSE)),""))</f>
        <v>0</v>
      </c>
      <c r="M148" s="63">
        <f>(IF((VLOOKUP(Table2[[#This Row],[SKU]],'All Skus'!$A:$AC,2,FALSE))="AMX",(VLOOKUP(Table2[[#This Row],[SKU]],'All Skus'!$A:$AC,18,FALSE)),""))</f>
        <v>0.25</v>
      </c>
      <c r="N148" s="47">
        <f>(IF((VLOOKUP(Table2[[#This Row],[SKU]],'All Skus'!$A:$AC,2,FALSE))="AMX",(VLOOKUP(Table2[[#This Row],[SKU]],'All Skus'!$A:$AC,19,FALSE)),""))</f>
        <v>9.76</v>
      </c>
      <c r="O148" s="47">
        <f>(IF((VLOOKUP(Table2[[#This Row],[SKU]],'All Skus'!$A:$AC,2,FALSE))="AMX",(VLOOKUP(Table2[[#This Row],[SKU]],'All Skus'!$A:$AC,20,FALSE)),""))</f>
        <v>6.53</v>
      </c>
      <c r="P148" s="47">
        <f>(IF((VLOOKUP(Table2[[#This Row],[SKU]],'All Skus'!$A:$AC,2,FALSE))="AMX",(VLOOKUP(Table2[[#This Row],[SKU]],'All Skus'!$A:$AC,21,FALSE)),""))</f>
        <v>0.98</v>
      </c>
      <c r="Q148" s="47" t="str">
        <f>(IF((VLOOKUP(Table2[[#This Row],[SKU]],'All Skus'!$A:$AC,2,FALSE))="AMX",(VLOOKUP(Table2[[#This Row],[SKU]],'All Skus'!$A:$AC,22,FALSE)),""))</f>
        <v>US</v>
      </c>
      <c r="R148" s="47" t="str">
        <f>(IF((VLOOKUP(Table2[[#This Row],[SKU]],'All Skus'!$A:$AC,2,FALSE))="AMX",(VLOOKUP(Table2[[#This Row],[SKU]],'All Skus'!$A:$AC,23,FALSE)),""))</f>
        <v>Compliant</v>
      </c>
      <c r="S148" s="210" t="str">
        <f>HYPERLINK((IF((VLOOKUP(Table2[[#This Row],[SKU]],'All Skus'!$A:$AC,2,FALSE))="AMX",(VLOOKUP(Table2[[#This Row],[SKU]],'All Skus'!$A:$AC,24,FALSE)),"")))</f>
        <v>https://www.amx.com/en-US/products/msa-amk2-10</v>
      </c>
      <c r="T148" s="151">
        <v>146</v>
      </c>
    </row>
    <row r="149" spans="1:20" ht="15" hidden="1" customHeight="1">
      <c r="A149" s="48" t="s">
        <v>658</v>
      </c>
      <c r="B149" s="280" t="str">
        <f>(IF((VLOOKUP(Table2[[#This Row],[SKU]],'All Skus'!$A:$AC,2,FALSE))="AMX",(VLOOKUP(Table2[[#This Row],[SKU]],'All Skus'!$A:$AC,3,FALSE)),""))</f>
        <v>Integration Software</v>
      </c>
      <c r="C149" s="280" t="str">
        <f>(IF((VLOOKUP(Table2[[#This Row],[SKU]],'All Skus'!$A:$AC,2,FALSE))="AMX",(VLOOKUP(Table2[[#This Row],[SKU]],'All Skus'!$A:$AC,4,FALSE)),""))</f>
        <v>RMS-ENT-SCH</v>
      </c>
      <c r="D149" s="47" t="str">
        <f>(IF((VLOOKUP(Table2[[#This Row],[SKU]],'All Skus'!$A:$AC,2,FALSE))="AMX",(VLOOKUP(Table2[[#This Row],[SKU]],'All Skus'!$A:$AC,5,FALSE)),""))</f>
        <v>AMX-SFT</v>
      </c>
      <c r="E149" s="281">
        <f>(IF((VLOOKUP(Table2[[#This Row],[SKU]],'All Skus'!$A:$AC,2,FALSE))="AMX",(VLOOKUP(Table2[[#This Row],[SKU]],'All Skus'!$A:$AC,7,FALSE)),""))</f>
        <v>0</v>
      </c>
      <c r="F149" s="280" t="str">
        <f>(IF((VLOOKUP(Table2[[#This Row],[SKU]],'All Skus'!$A:$AC,2,FALSE))="AMX",(VLOOKUP(Table2[[#This Row],[SKU]],'All Skus'!$A:$AC,8,FALSE)),""))</f>
        <v>RMS Enterprise Scheduling License</v>
      </c>
      <c r="G149" s="280" t="str">
        <f>(IF((VLOOKUP(Table2[[#This Row],[SKU]],'All Skus'!$A:$AC,2,FALSE))="AMX",(VLOOKUP(Table2[[#This Row],[SKU]],'All Skus'!$A:$AC,9,FALSE)),""))</f>
        <v>RMS Enterprise Scheduler assists attendees in locating meeting rooms by displaying the scheduled appointments on a touch screen in the meeting room and adjacent room entrances, and it eliminates delays in meeting start times by allowing room technologies</v>
      </c>
      <c r="H149" s="157">
        <f>(IF((VLOOKUP(Table2[[#This Row],[SKU]],'All Skus'!$A:$AC,2,FALSE))="AMX",(VLOOKUP(Table2[[#This Row],[SKU]],'All Skus'!$A:$AC,10,FALSE)),""))</f>
        <v>0.01</v>
      </c>
      <c r="I149" s="157">
        <f>(IF((VLOOKUP(Table2[[#This Row],[SKU]],'All Skus'!$A:$AC,2,FALSE))="AMX",(VLOOKUP(Table2[[#This Row],[SKU]],'All Skus'!$A:$AC,11,FALSE)),""))</f>
        <v>0.01</v>
      </c>
      <c r="J149" s="47">
        <f>(IF((VLOOKUP(Table2[[#This Row],[SKU]],'All Skus'!$A:$AC,2,FALSE))="AMX",(VLOOKUP(Table2[[#This Row],[SKU]],'All Skus'!$A:$AC,15,FALSE)),""))</f>
        <v>0</v>
      </c>
      <c r="K149" s="47">
        <f>(IF((VLOOKUP(Table2[[#This Row],[SKU]],'All Skus'!$A:$AC,2,FALSE))="AMX",(VLOOKUP(Table2[[#This Row],[SKU]],'All Skus'!$A:$AC,16,FALSE)),""))</f>
        <v>718878026236</v>
      </c>
      <c r="L149" s="47">
        <f>(IF((VLOOKUP(Table2[[#This Row],[SKU]],'All Skus'!$A:$AC,2,FALSE))="AMX",(VLOOKUP(Table2[[#This Row],[SKU]],'All Skus'!$A:$AC,17,FALSE)),""))</f>
        <v>0</v>
      </c>
      <c r="M149" s="63">
        <f>(IF((VLOOKUP(Table2[[#This Row],[SKU]],'All Skus'!$A:$AC,2,FALSE))="AMX",(VLOOKUP(Table2[[#This Row],[SKU]],'All Skus'!$A:$AC,18,FALSE)),""))</f>
        <v>0</v>
      </c>
      <c r="N149" s="47">
        <f>(IF((VLOOKUP(Table2[[#This Row],[SKU]],'All Skus'!$A:$AC,2,FALSE))="AMX",(VLOOKUP(Table2[[#This Row],[SKU]],'All Skus'!$A:$AC,19,FALSE)),""))</f>
        <v>0</v>
      </c>
      <c r="O149" s="47">
        <f>(IF((VLOOKUP(Table2[[#This Row],[SKU]],'All Skus'!$A:$AC,2,FALSE))="AMX",(VLOOKUP(Table2[[#This Row],[SKU]],'All Skus'!$A:$AC,20,FALSE)),""))</f>
        <v>0</v>
      </c>
      <c r="P149" s="47">
        <f>(IF((VLOOKUP(Table2[[#This Row],[SKU]],'All Skus'!$A:$AC,2,FALSE))="AMX",(VLOOKUP(Table2[[#This Row],[SKU]],'All Skus'!$A:$AC,21,FALSE)),""))</f>
        <v>0</v>
      </c>
      <c r="Q149" s="47" t="str">
        <f>(IF((VLOOKUP(Table2[[#This Row],[SKU]],'All Skus'!$A:$AC,2,FALSE))="AMX",(VLOOKUP(Table2[[#This Row],[SKU]],'All Skus'!$A:$AC,22,FALSE)),""))</f>
        <v>US</v>
      </c>
      <c r="R149" s="47" t="str">
        <f>(IF((VLOOKUP(Table2[[#This Row],[SKU]],'All Skus'!$A:$AC,2,FALSE))="AMX",(VLOOKUP(Table2[[#This Row],[SKU]],'All Skus'!$A:$AC,23,FALSE)),""))</f>
        <v>Compliant</v>
      </c>
      <c r="S149" s="210" t="str">
        <f>HYPERLINK((IF((VLOOKUP(Table2[[#This Row],[SKU]],'All Skus'!$A:$AC,2,FALSE))="AMX",(VLOOKUP(Table2[[#This Row],[SKU]],'All Skus'!$A:$AC,24,FALSE)),"")))</f>
        <v>https://www.amx.com/en-US/products/rms-ent</v>
      </c>
      <c r="T149" s="151">
        <v>147</v>
      </c>
    </row>
    <row r="150" spans="1:20" ht="15" hidden="1" customHeight="1">
      <c r="A150" s="48" t="s">
        <v>659</v>
      </c>
      <c r="B150" s="280" t="str">
        <f>(IF((VLOOKUP(Table2[[#This Row],[SKU]],'All Skus'!$A:$AC,2,FALSE))="AMX",(VLOOKUP(Table2[[#This Row],[SKU]],'All Skus'!$A:$AC,3,FALSE)),""))</f>
        <v>Integration Software</v>
      </c>
      <c r="C150" s="280" t="str">
        <f>(IF((VLOOKUP(Table2[[#This Row],[SKU]],'All Skus'!$A:$AC,2,FALSE))="AMX",(VLOOKUP(Table2[[#This Row],[SKU]],'All Skus'!$A:$AC,4,FALSE)),""))</f>
        <v>RMS-ENT</v>
      </c>
      <c r="D150" s="47" t="str">
        <f>(IF((VLOOKUP(Table2[[#This Row],[SKU]],'All Skus'!$A:$AC,2,FALSE))="AMX",(VLOOKUP(Table2[[#This Row],[SKU]],'All Skus'!$A:$AC,5,FALSE)),""))</f>
        <v>AMX-SFT</v>
      </c>
      <c r="E150" s="281">
        <f>(IF((VLOOKUP(Table2[[#This Row],[SKU]],'All Skus'!$A:$AC,2,FALSE))="AMX",(VLOOKUP(Table2[[#This Row],[SKU]],'All Skus'!$A:$AC,7,FALSE)),""))</f>
        <v>0</v>
      </c>
      <c r="F150" s="280" t="str">
        <f>(IF((VLOOKUP(Table2[[#This Row],[SKU]],'All Skus'!$A:$AC,2,FALSE))="AMX",(VLOOKUP(Table2[[#This Row],[SKU]],'All Skus'!$A:$AC,8,FALSE)),""))</f>
        <v>RMS Enterprise 1000 Asset License</v>
      </c>
      <c r="G150" s="280" t="str">
        <f>(IF((VLOOKUP(Table2[[#This Row],[SKU]],'All Skus'!$A:$AC,2,FALSE))="AMX",(VLOOKUP(Table2[[#This Row],[SKU]],'All Skus'!$A:$AC,9,FALSE)),""))</f>
        <v>RMS Enterprise 1000 Location Licenses, Server License not included (non-standard discount)</v>
      </c>
      <c r="H150" s="157">
        <f>(IF((VLOOKUP(Table2[[#This Row],[SKU]],'All Skus'!$A:$AC,2,FALSE))="AMX",(VLOOKUP(Table2[[#This Row],[SKU]],'All Skus'!$A:$AC,10,FALSE)),""))</f>
        <v>9003.5</v>
      </c>
      <c r="I150" s="157">
        <f>(IF((VLOOKUP(Table2[[#This Row],[SKU]],'All Skus'!$A:$AC,2,FALSE))="AMX",(VLOOKUP(Table2[[#This Row],[SKU]],'All Skus'!$A:$AC,11,FALSE)),""))</f>
        <v>9003.5</v>
      </c>
      <c r="J150" s="47">
        <f>(IF((VLOOKUP(Table2[[#This Row],[SKU]],'All Skus'!$A:$AC,2,FALSE))="AMX",(VLOOKUP(Table2[[#This Row],[SKU]],'All Skus'!$A:$AC,15,FALSE)),""))</f>
        <v>0</v>
      </c>
      <c r="K150" s="47">
        <f>(IF((VLOOKUP(Table2[[#This Row],[SKU]],'All Skus'!$A:$AC,2,FALSE))="AMX",(VLOOKUP(Table2[[#This Row],[SKU]],'All Skus'!$A:$AC,16,FALSE)),""))</f>
        <v>718878024966</v>
      </c>
      <c r="L150" s="47">
        <f>(IF((VLOOKUP(Table2[[#This Row],[SKU]],'All Skus'!$A:$AC,2,FALSE))="AMX",(VLOOKUP(Table2[[#This Row],[SKU]],'All Skus'!$A:$AC,17,FALSE)),""))</f>
        <v>0</v>
      </c>
      <c r="M150" s="63">
        <f>(IF((VLOOKUP(Table2[[#This Row],[SKU]],'All Skus'!$A:$AC,2,FALSE))="AMX",(VLOOKUP(Table2[[#This Row],[SKU]],'All Skus'!$A:$AC,18,FALSE)),""))</f>
        <v>0</v>
      </c>
      <c r="N150" s="47">
        <f>(IF((VLOOKUP(Table2[[#This Row],[SKU]],'All Skus'!$A:$AC,2,FALSE))="AMX",(VLOOKUP(Table2[[#This Row],[SKU]],'All Skus'!$A:$AC,19,FALSE)),""))</f>
        <v>0</v>
      </c>
      <c r="O150" s="47">
        <f>(IF((VLOOKUP(Table2[[#This Row],[SKU]],'All Skus'!$A:$AC,2,FALSE))="AMX",(VLOOKUP(Table2[[#This Row],[SKU]],'All Skus'!$A:$AC,20,FALSE)),""))</f>
        <v>0</v>
      </c>
      <c r="P150" s="47">
        <f>(IF((VLOOKUP(Table2[[#This Row],[SKU]],'All Skus'!$A:$AC,2,FALSE))="AMX",(VLOOKUP(Table2[[#This Row],[SKU]],'All Skus'!$A:$AC,21,FALSE)),""))</f>
        <v>0</v>
      </c>
      <c r="Q150" s="47" t="str">
        <f>(IF((VLOOKUP(Table2[[#This Row],[SKU]],'All Skus'!$A:$AC,2,FALSE))="AMX",(VLOOKUP(Table2[[#This Row],[SKU]],'All Skus'!$A:$AC,22,FALSE)),""))</f>
        <v>US</v>
      </c>
      <c r="R150" s="47" t="str">
        <f>(IF((VLOOKUP(Table2[[#This Row],[SKU]],'All Skus'!$A:$AC,2,FALSE))="AMX",(VLOOKUP(Table2[[#This Row],[SKU]],'All Skus'!$A:$AC,23,FALSE)),""))</f>
        <v>Compliant</v>
      </c>
      <c r="S150" s="210" t="str">
        <f>HYPERLINK((IF((VLOOKUP(Table2[[#This Row],[SKU]],'All Skus'!$A:$AC,2,FALSE))="AMX",(VLOOKUP(Table2[[#This Row],[SKU]],'All Skus'!$A:$AC,24,FALSE)),"")))</f>
        <v>https://www.amx.com/en-US/products/rms-ent</v>
      </c>
      <c r="T150" s="151">
        <v>148</v>
      </c>
    </row>
    <row r="151" spans="1:20" ht="15" hidden="1" customHeight="1">
      <c r="A151" s="48" t="s">
        <v>660</v>
      </c>
      <c r="B151" s="280" t="str">
        <f>(IF((VLOOKUP(Table2[[#This Row],[SKU]],'All Skus'!$A:$AC,2,FALSE))="AMX",(VLOOKUP(Table2[[#This Row],[SKU]],'All Skus'!$A:$AC,3,FALSE)),""))</f>
        <v>Integration Software</v>
      </c>
      <c r="C151" s="280" t="str">
        <f>(IF((VLOOKUP(Table2[[#This Row],[SKU]],'All Skus'!$A:$AC,2,FALSE))="AMX",(VLOOKUP(Table2[[#This Row],[SKU]],'All Skus'!$A:$AC,4,FALSE)),""))</f>
        <v>RMS-SCH-EWS</v>
      </c>
      <c r="D151" s="47" t="str">
        <f>(IF((VLOOKUP(Table2[[#This Row],[SKU]],'All Skus'!$A:$AC,2,FALSE))="AMX",(VLOOKUP(Table2[[#This Row],[SKU]],'All Skus'!$A:$AC,5,FALSE)),""))</f>
        <v>AMX-SFT</v>
      </c>
      <c r="E151" s="281">
        <f>(IF((VLOOKUP(Table2[[#This Row],[SKU]],'All Skus'!$A:$AC,2,FALSE))="AMX",(VLOOKUP(Table2[[#This Row],[SKU]],'All Skus'!$A:$AC,7,FALSE)),""))</f>
        <v>0</v>
      </c>
      <c r="F151" s="280" t="str">
        <f>(IF((VLOOKUP(Table2[[#This Row],[SKU]],'All Skus'!$A:$AC,2,FALSE))="AMX",(VLOOKUP(Table2[[#This Row],[SKU]],'All Skus'!$A:$AC,8,FALSE)),""))</f>
        <v>Exchange/O365 Scheduling Plugin for RMS</v>
      </c>
      <c r="G151" s="280" t="str">
        <f>(IF((VLOOKUP(Table2[[#This Row],[SKU]],'All Skus'!$A:$AC,2,FALSE))="AMX",(VLOOKUP(Table2[[#This Row],[SKU]],'All Skus'!$A:$AC,9,FALSE)),""))</f>
        <v>RMS Enterprise Interface for Microsoft Exchange Web Services (EWS), utilizes Microsoft’s Exchange Web Services API to communicate with Exchange 2010 servers, available for download in the AMX Tech Center on AMX.com</v>
      </c>
      <c r="H151" s="157">
        <f>(IF((VLOOKUP(Table2[[#This Row],[SKU]],'All Skus'!$A:$AC,2,FALSE))="AMX",(VLOOKUP(Table2[[#This Row],[SKU]],'All Skus'!$A:$AC,10,FALSE)),""))</f>
        <v>0.01</v>
      </c>
      <c r="I151" s="157">
        <f>(IF((VLOOKUP(Table2[[#This Row],[SKU]],'All Skus'!$A:$AC,2,FALSE))="AMX",(VLOOKUP(Table2[[#This Row],[SKU]],'All Skus'!$A:$AC,11,FALSE)),""))</f>
        <v>0.01</v>
      </c>
      <c r="J151" s="47">
        <f>(IF((VLOOKUP(Table2[[#This Row],[SKU]],'All Skus'!$A:$AC,2,FALSE))="AMX",(VLOOKUP(Table2[[#This Row],[SKU]],'All Skus'!$A:$AC,15,FALSE)),""))</f>
        <v>0</v>
      </c>
      <c r="K151" s="47">
        <f>(IF((VLOOKUP(Table2[[#This Row],[SKU]],'All Skus'!$A:$AC,2,FALSE))="AMX",(VLOOKUP(Table2[[#This Row],[SKU]],'All Skus'!$A:$AC,16,FALSE)),""))</f>
        <v>718878024973</v>
      </c>
      <c r="L151" s="47">
        <f>(IF((VLOOKUP(Table2[[#This Row],[SKU]],'All Skus'!$A:$AC,2,FALSE))="AMX",(VLOOKUP(Table2[[#This Row],[SKU]],'All Skus'!$A:$AC,17,FALSE)),""))</f>
        <v>0</v>
      </c>
      <c r="M151" s="63">
        <f>(IF((VLOOKUP(Table2[[#This Row],[SKU]],'All Skus'!$A:$AC,2,FALSE))="AMX",(VLOOKUP(Table2[[#This Row],[SKU]],'All Skus'!$A:$AC,18,FALSE)),""))</f>
        <v>0</v>
      </c>
      <c r="N151" s="47">
        <f>(IF((VLOOKUP(Table2[[#This Row],[SKU]],'All Skus'!$A:$AC,2,FALSE))="AMX",(VLOOKUP(Table2[[#This Row],[SKU]],'All Skus'!$A:$AC,19,FALSE)),""))</f>
        <v>0</v>
      </c>
      <c r="O151" s="47">
        <f>(IF((VLOOKUP(Table2[[#This Row],[SKU]],'All Skus'!$A:$AC,2,FALSE))="AMX",(VLOOKUP(Table2[[#This Row],[SKU]],'All Skus'!$A:$AC,20,FALSE)),""))</f>
        <v>0</v>
      </c>
      <c r="P151" s="47">
        <f>(IF((VLOOKUP(Table2[[#This Row],[SKU]],'All Skus'!$A:$AC,2,FALSE))="AMX",(VLOOKUP(Table2[[#This Row],[SKU]],'All Skus'!$A:$AC,21,FALSE)),""))</f>
        <v>0</v>
      </c>
      <c r="Q151" s="47" t="str">
        <f>(IF((VLOOKUP(Table2[[#This Row],[SKU]],'All Skus'!$A:$AC,2,FALSE))="AMX",(VLOOKUP(Table2[[#This Row],[SKU]],'All Skus'!$A:$AC,22,FALSE)),""))</f>
        <v>IN</v>
      </c>
      <c r="R151" s="47" t="str">
        <f>(IF((VLOOKUP(Table2[[#This Row],[SKU]],'All Skus'!$A:$AC,2,FALSE))="AMX",(VLOOKUP(Table2[[#This Row],[SKU]],'All Skus'!$A:$AC,23,FALSE)),""))</f>
        <v>Compliant</v>
      </c>
      <c r="S151" s="210" t="str">
        <f>HYPERLINK((IF((VLOOKUP(Table2[[#This Row],[SKU]],'All Skus'!$A:$AC,2,FALSE))="AMX",(VLOOKUP(Table2[[#This Row],[SKU]],'All Skus'!$A:$AC,24,FALSE)),"")))</f>
        <v>https://www.amx.com/en-US/products/rms-ent</v>
      </c>
      <c r="T151" s="151">
        <v>149</v>
      </c>
    </row>
    <row r="152" spans="1:20" ht="15" hidden="1" customHeight="1">
      <c r="A152" s="48" t="s">
        <v>661</v>
      </c>
      <c r="B152" s="280" t="str">
        <f>(IF((VLOOKUP(Table2[[#This Row],[SKU]],'All Skus'!$A:$AC,2,FALSE))="AMX",(VLOOKUP(Table2[[#This Row],[SKU]],'All Skus'!$A:$AC,3,FALSE)),""))</f>
        <v>Integration Software</v>
      </c>
      <c r="C152" s="280" t="str">
        <f>(IF((VLOOKUP(Table2[[#This Row],[SKU]],'All Skus'!$A:$AC,2,FALSE))="AMX",(VLOOKUP(Table2[[#This Row],[SKU]],'All Skus'!$A:$AC,4,FALSE)),""))</f>
        <v>RMS-SCH-LN</v>
      </c>
      <c r="D152" s="47" t="str">
        <f>(IF((VLOOKUP(Table2[[#This Row],[SKU]],'All Skus'!$A:$AC,2,FALSE))="AMX",(VLOOKUP(Table2[[#This Row],[SKU]],'All Skus'!$A:$AC,5,FALSE)),""))</f>
        <v>AMX-SFT</v>
      </c>
      <c r="E152" s="281">
        <f>(IF((VLOOKUP(Table2[[#This Row],[SKU]],'All Skus'!$A:$AC,2,FALSE))="AMX",(VLOOKUP(Table2[[#This Row],[SKU]],'All Skus'!$A:$AC,7,FALSE)),""))</f>
        <v>0</v>
      </c>
      <c r="F152" s="280" t="str">
        <f>(IF((VLOOKUP(Table2[[#This Row],[SKU]],'All Skus'!$A:$AC,2,FALSE))="AMX",(VLOOKUP(Table2[[#This Row],[SKU]],'All Skus'!$A:$AC,8,FALSE)),""))</f>
        <v>Lotus Notes Scheduling Plugin for RMS</v>
      </c>
      <c r="G152" s="280" t="str">
        <f>(IF((VLOOKUP(Table2[[#This Row],[SKU]],'All Skus'!$A:$AC,2,FALSE))="AMX",(VLOOKUP(Table2[[#This Row],[SKU]],'All Skus'!$A:$AC,9,FALSE)),""))</f>
        <v>RMS Enterprise Interface for Lotus Notes Domino, available for download in the AMX Tech Center on AMX.com</v>
      </c>
      <c r="H152" s="157">
        <f>(IF((VLOOKUP(Table2[[#This Row],[SKU]],'All Skus'!$A:$AC,2,FALSE))="AMX",(VLOOKUP(Table2[[#This Row],[SKU]],'All Skus'!$A:$AC,10,FALSE)),""))</f>
        <v>0.01</v>
      </c>
      <c r="I152" s="157">
        <f>(IF((VLOOKUP(Table2[[#This Row],[SKU]],'All Skus'!$A:$AC,2,FALSE))="AMX",(VLOOKUP(Table2[[#This Row],[SKU]],'All Skus'!$A:$AC,11,FALSE)),""))</f>
        <v>0.01</v>
      </c>
      <c r="J152" s="47">
        <f>(IF((VLOOKUP(Table2[[#This Row],[SKU]],'All Skus'!$A:$AC,2,FALSE))="AMX",(VLOOKUP(Table2[[#This Row],[SKU]],'All Skus'!$A:$AC,15,FALSE)),""))</f>
        <v>0</v>
      </c>
      <c r="K152" s="47">
        <f>(IF((VLOOKUP(Table2[[#This Row],[SKU]],'All Skus'!$A:$AC,2,FALSE))="AMX",(VLOOKUP(Table2[[#This Row],[SKU]],'All Skus'!$A:$AC,16,FALSE)),""))</f>
        <v>718878024980</v>
      </c>
      <c r="L152" s="47">
        <f>(IF((VLOOKUP(Table2[[#This Row],[SKU]],'All Skus'!$A:$AC,2,FALSE))="AMX",(VLOOKUP(Table2[[#This Row],[SKU]],'All Skus'!$A:$AC,17,FALSE)),""))</f>
        <v>0</v>
      </c>
      <c r="M152" s="63">
        <f>(IF((VLOOKUP(Table2[[#This Row],[SKU]],'All Skus'!$A:$AC,2,FALSE))="AMX",(VLOOKUP(Table2[[#This Row],[SKU]],'All Skus'!$A:$AC,18,FALSE)),""))</f>
        <v>0</v>
      </c>
      <c r="N152" s="47">
        <f>(IF((VLOOKUP(Table2[[#This Row],[SKU]],'All Skus'!$A:$AC,2,FALSE))="AMX",(VLOOKUP(Table2[[#This Row],[SKU]],'All Skus'!$A:$AC,19,FALSE)),""))</f>
        <v>0</v>
      </c>
      <c r="O152" s="47">
        <f>(IF((VLOOKUP(Table2[[#This Row],[SKU]],'All Skus'!$A:$AC,2,FALSE))="AMX",(VLOOKUP(Table2[[#This Row],[SKU]],'All Skus'!$A:$AC,20,FALSE)),""))</f>
        <v>0</v>
      </c>
      <c r="P152" s="47">
        <f>(IF((VLOOKUP(Table2[[#This Row],[SKU]],'All Skus'!$A:$AC,2,FALSE))="AMX",(VLOOKUP(Table2[[#This Row],[SKU]],'All Skus'!$A:$AC,21,FALSE)),""))</f>
        <v>0</v>
      </c>
      <c r="Q152" s="47" t="str">
        <f>(IF((VLOOKUP(Table2[[#This Row],[SKU]],'All Skus'!$A:$AC,2,FALSE))="AMX",(VLOOKUP(Table2[[#This Row],[SKU]],'All Skus'!$A:$AC,22,FALSE)),""))</f>
        <v>US</v>
      </c>
      <c r="R152" s="47" t="str">
        <f>(IF((VLOOKUP(Table2[[#This Row],[SKU]],'All Skus'!$A:$AC,2,FALSE))="AMX",(VLOOKUP(Table2[[#This Row],[SKU]],'All Skus'!$A:$AC,23,FALSE)),""))</f>
        <v>Compliant</v>
      </c>
      <c r="S152" s="210" t="str">
        <f>HYPERLINK((IF((VLOOKUP(Table2[[#This Row],[SKU]],'All Skus'!$A:$AC,2,FALSE))="AMX",(VLOOKUP(Table2[[#This Row],[SKU]],'All Skus'!$A:$AC,24,FALSE)),"")))</f>
        <v>https://www.amx.com/en-US/products/rms-ent</v>
      </c>
      <c r="T152" s="151">
        <v>150</v>
      </c>
    </row>
    <row r="153" spans="1:20" ht="15" hidden="1" customHeight="1">
      <c r="A153" s="48" t="s">
        <v>662</v>
      </c>
      <c r="B153" s="280" t="str">
        <f>(IF((VLOOKUP(Table2[[#This Row],[SKU]],'All Skus'!$A:$AC,2,FALSE))="AMX",(VLOOKUP(Table2[[#This Row],[SKU]],'All Skus'!$A:$AC,3,FALSE)),""))</f>
        <v>Integration Software</v>
      </c>
      <c r="C153" s="280" t="str">
        <f>(IF((VLOOKUP(Table2[[#This Row],[SKU]],'All Skus'!$A:$AC,2,FALSE))="AMX",(VLOOKUP(Table2[[#This Row],[SKU]],'All Skus'!$A:$AC,4,FALSE)),""))</f>
        <v>RMS-ENT</v>
      </c>
      <c r="D153" s="47" t="str">
        <f>(IF((VLOOKUP(Table2[[#This Row],[SKU]],'All Skus'!$A:$AC,2,FALSE))="AMX",(VLOOKUP(Table2[[#This Row],[SKU]],'All Skus'!$A:$AC,5,FALSE)),""))</f>
        <v>AMX-SFT</v>
      </c>
      <c r="E153" s="281">
        <f>(IF((VLOOKUP(Table2[[#This Row],[SKU]],'All Skus'!$A:$AC,2,FALSE))="AMX",(VLOOKUP(Table2[[#This Row],[SKU]],'All Skus'!$A:$AC,7,FALSE)),""))</f>
        <v>0</v>
      </c>
      <c r="F153" s="280" t="str">
        <f>(IF((VLOOKUP(Table2[[#This Row],[SKU]],'All Skus'!$A:$AC,2,FALSE))="AMX",(VLOOKUP(Table2[[#This Row],[SKU]],'All Skus'!$A:$AC,8,FALSE)),""))</f>
        <v>RMS Enterprise Asset Monitoring Server</v>
      </c>
      <c r="G153" s="280" t="str">
        <f>(IF((VLOOKUP(Table2[[#This Row],[SKU]],'All Skus'!$A:$AC,2,FALSE))="AMX",(VLOOKUP(Table2[[#This Row],[SKU]],'All Skus'!$A:$AC,9,FALSE)),""))</f>
        <v>RMS Enterprise Server, 1000 Location Licenses and 3 Year Maintenance (non-standard discount)</v>
      </c>
      <c r="H153" s="157">
        <f>(IF((VLOOKUP(Table2[[#This Row],[SKU]],'All Skus'!$A:$AC,2,FALSE))="AMX",(VLOOKUP(Table2[[#This Row],[SKU]],'All Skus'!$A:$AC,10,FALSE)),""))</f>
        <v>9003.5</v>
      </c>
      <c r="I153" s="157">
        <f>(IF((VLOOKUP(Table2[[#This Row],[SKU]],'All Skus'!$A:$AC,2,FALSE))="AMX",(VLOOKUP(Table2[[#This Row],[SKU]],'All Skus'!$A:$AC,11,FALSE)),""))</f>
        <v>9003.5</v>
      </c>
      <c r="J153" s="47">
        <f>(IF((VLOOKUP(Table2[[#This Row],[SKU]],'All Skus'!$A:$AC,2,FALSE))="AMX",(VLOOKUP(Table2[[#This Row],[SKU]],'All Skus'!$A:$AC,15,FALSE)),""))</f>
        <v>0</v>
      </c>
      <c r="K153" s="47">
        <f>(IF((VLOOKUP(Table2[[#This Row],[SKU]],'All Skus'!$A:$AC,2,FALSE))="AMX",(VLOOKUP(Table2[[#This Row],[SKU]],'All Skus'!$A:$AC,16,FALSE)),""))</f>
        <v>718878243886</v>
      </c>
      <c r="L153" s="47">
        <f>(IF((VLOOKUP(Table2[[#This Row],[SKU]],'All Skus'!$A:$AC,2,FALSE))="AMX",(VLOOKUP(Table2[[#This Row],[SKU]],'All Skus'!$A:$AC,17,FALSE)),""))</f>
        <v>0</v>
      </c>
      <c r="M153" s="63">
        <f>(IF((VLOOKUP(Table2[[#This Row],[SKU]],'All Skus'!$A:$AC,2,FALSE))="AMX",(VLOOKUP(Table2[[#This Row],[SKU]],'All Skus'!$A:$AC,18,FALSE)),""))</f>
        <v>0</v>
      </c>
      <c r="N153" s="47">
        <f>(IF((VLOOKUP(Table2[[#This Row],[SKU]],'All Skus'!$A:$AC,2,FALSE))="AMX",(VLOOKUP(Table2[[#This Row],[SKU]],'All Skus'!$A:$AC,19,FALSE)),""))</f>
        <v>0</v>
      </c>
      <c r="O153" s="47">
        <f>(IF((VLOOKUP(Table2[[#This Row],[SKU]],'All Skus'!$A:$AC,2,FALSE))="AMX",(VLOOKUP(Table2[[#This Row],[SKU]],'All Skus'!$A:$AC,20,FALSE)),""))</f>
        <v>0</v>
      </c>
      <c r="P153" s="47">
        <f>(IF((VLOOKUP(Table2[[#This Row],[SKU]],'All Skus'!$A:$AC,2,FALSE))="AMX",(VLOOKUP(Table2[[#This Row],[SKU]],'All Skus'!$A:$AC,21,FALSE)),""))</f>
        <v>0</v>
      </c>
      <c r="Q153" s="47" t="str">
        <f>(IF((VLOOKUP(Table2[[#This Row],[SKU]],'All Skus'!$A:$AC,2,FALSE))="AMX",(VLOOKUP(Table2[[#This Row],[SKU]],'All Skus'!$A:$AC,22,FALSE)),""))</f>
        <v>US</v>
      </c>
      <c r="R153" s="47" t="str">
        <f>(IF((VLOOKUP(Table2[[#This Row],[SKU]],'All Skus'!$A:$AC,2,FALSE))="AMX",(VLOOKUP(Table2[[#This Row],[SKU]],'All Skus'!$A:$AC,23,FALSE)),""))</f>
        <v>Compliant</v>
      </c>
      <c r="S153" s="210" t="str">
        <f>HYPERLINK((IF((VLOOKUP(Table2[[#This Row],[SKU]],'All Skus'!$A:$AC,2,FALSE))="AMX",(VLOOKUP(Table2[[#This Row],[SKU]],'All Skus'!$A:$AC,24,FALSE)),"")))</f>
        <v>https://www.amx.com/en-US/products/rms-ent</v>
      </c>
      <c r="T153" s="151">
        <v>151</v>
      </c>
    </row>
    <row r="154" spans="1:20" ht="15" hidden="1" customHeight="1">
      <c r="A154" s="48" t="s">
        <v>663</v>
      </c>
      <c r="B154" s="280" t="str">
        <f>(IF((VLOOKUP(Table2[[#This Row],[SKU]],'All Skus'!$A:$AC,2,FALSE))="AMX",(VLOOKUP(Table2[[#This Row],[SKU]],'All Skus'!$A:$AC,3,FALSE)),""))</f>
        <v>Integration Software</v>
      </c>
      <c r="C154" s="280" t="str">
        <f>(IF((VLOOKUP(Table2[[#This Row],[SKU]],'All Skus'!$A:$AC,2,FALSE))="AMX",(VLOOKUP(Table2[[#This Row],[SKU]],'All Skus'!$A:$AC,4,FALSE)),""))</f>
        <v>RMS-ENT-SMA</v>
      </c>
      <c r="D154" s="47" t="str">
        <f>(IF((VLOOKUP(Table2[[#This Row],[SKU]],'All Skus'!$A:$AC,2,FALSE))="AMX",(VLOOKUP(Table2[[#This Row],[SKU]],'All Skus'!$A:$AC,5,FALSE)),""))</f>
        <v>AMX-SFT</v>
      </c>
      <c r="E154" s="281">
        <f>(IF((VLOOKUP(Table2[[#This Row],[SKU]],'All Skus'!$A:$AC,2,FALSE))="AMX",(VLOOKUP(Table2[[#This Row],[SKU]],'All Skus'!$A:$AC,7,FALSE)),""))</f>
        <v>0</v>
      </c>
      <c r="F154" s="280" t="str">
        <f>(IF((VLOOKUP(Table2[[#This Row],[SKU]],'All Skus'!$A:$AC,2,FALSE))="AMX",(VLOOKUP(Table2[[#This Row],[SKU]],'All Skus'!$A:$AC,8,FALSE)),""))</f>
        <v>RMS Enterprise Software Maintenance Agreement</v>
      </c>
      <c r="G154" s="280" t="str">
        <f>(IF((VLOOKUP(Table2[[#This Row],[SKU]],'All Skus'!$A:$AC,2,FALSE))="AMX",(VLOOKUP(Table2[[#This Row],[SKU]],'All Skus'!$A:$AC,9,FALSE)),""))</f>
        <v>RMS Software Maintenance Agreement Renewal</v>
      </c>
      <c r="H154" s="157">
        <f>(IF((VLOOKUP(Table2[[#This Row],[SKU]],'All Skus'!$A:$AC,2,FALSE))="AMX",(VLOOKUP(Table2[[#This Row],[SKU]],'All Skus'!$A:$AC,10,FALSE)),""))</f>
        <v>3001.2</v>
      </c>
      <c r="I154" s="157">
        <f>(IF((VLOOKUP(Table2[[#This Row],[SKU]],'All Skus'!$A:$AC,2,FALSE))="AMX",(VLOOKUP(Table2[[#This Row],[SKU]],'All Skus'!$A:$AC,11,FALSE)),""))</f>
        <v>3001.2</v>
      </c>
      <c r="J154" s="47">
        <f>(IF((VLOOKUP(Table2[[#This Row],[SKU]],'All Skus'!$A:$AC,2,FALSE))="AMX",(VLOOKUP(Table2[[#This Row],[SKU]],'All Skus'!$A:$AC,15,FALSE)),""))</f>
        <v>0</v>
      </c>
      <c r="K154" s="47">
        <f>(IF((VLOOKUP(Table2[[#This Row],[SKU]],'All Skus'!$A:$AC,2,FALSE))="AMX",(VLOOKUP(Table2[[#This Row],[SKU]],'All Skus'!$A:$AC,16,FALSE)),""))</f>
        <v>718878024997</v>
      </c>
      <c r="L154" s="47">
        <f>(IF((VLOOKUP(Table2[[#This Row],[SKU]],'All Skus'!$A:$AC,2,FALSE))="AMX",(VLOOKUP(Table2[[#This Row],[SKU]],'All Skus'!$A:$AC,17,FALSE)),""))</f>
        <v>0</v>
      </c>
      <c r="M154" s="63">
        <f>(IF((VLOOKUP(Table2[[#This Row],[SKU]],'All Skus'!$A:$AC,2,FALSE))="AMX",(VLOOKUP(Table2[[#This Row],[SKU]],'All Skus'!$A:$AC,18,FALSE)),""))</f>
        <v>0</v>
      </c>
      <c r="N154" s="47">
        <f>(IF((VLOOKUP(Table2[[#This Row],[SKU]],'All Skus'!$A:$AC,2,FALSE))="AMX",(VLOOKUP(Table2[[#This Row],[SKU]],'All Skus'!$A:$AC,19,FALSE)),""))</f>
        <v>0</v>
      </c>
      <c r="O154" s="47">
        <f>(IF((VLOOKUP(Table2[[#This Row],[SKU]],'All Skus'!$A:$AC,2,FALSE))="AMX",(VLOOKUP(Table2[[#This Row],[SKU]],'All Skus'!$A:$AC,20,FALSE)),""))</f>
        <v>0</v>
      </c>
      <c r="P154" s="47">
        <f>(IF((VLOOKUP(Table2[[#This Row],[SKU]],'All Skus'!$A:$AC,2,FALSE))="AMX",(VLOOKUP(Table2[[#This Row],[SKU]],'All Skus'!$A:$AC,21,FALSE)),""))</f>
        <v>0</v>
      </c>
      <c r="Q154" s="47" t="str">
        <f>(IF((VLOOKUP(Table2[[#This Row],[SKU]],'All Skus'!$A:$AC,2,FALSE))="AMX",(VLOOKUP(Table2[[#This Row],[SKU]],'All Skus'!$A:$AC,22,FALSE)),""))</f>
        <v>US</v>
      </c>
      <c r="R154" s="47" t="str">
        <f>(IF((VLOOKUP(Table2[[#This Row],[SKU]],'All Skus'!$A:$AC,2,FALSE))="AMX",(VLOOKUP(Table2[[#This Row],[SKU]],'All Skus'!$A:$AC,23,FALSE)),""))</f>
        <v>Compliant</v>
      </c>
      <c r="S154" s="210" t="str">
        <f>HYPERLINK((IF((VLOOKUP(Table2[[#This Row],[SKU]],'All Skus'!$A:$AC,2,FALSE))="AMX",(VLOOKUP(Table2[[#This Row],[SKU]],'All Skus'!$A:$AC,24,FALSE)),"")))</f>
        <v>https://www.amx.com/en-US/products/rms-ent</v>
      </c>
      <c r="T154" s="151">
        <v>152</v>
      </c>
    </row>
    <row r="155" spans="1:20" ht="15" hidden="1" customHeight="1">
      <c r="A155" s="48" t="s">
        <v>664</v>
      </c>
      <c r="B155" s="280" t="str">
        <f>(IF((VLOOKUP(Table2[[#This Row],[SKU]],'All Skus'!$A:$AC,2,FALSE))="AMX",(VLOOKUP(Table2[[#This Row],[SKU]],'All Skus'!$A:$AC,3,FALSE)),""))</f>
        <v>Networked AV</v>
      </c>
      <c r="C155" s="280" t="str">
        <f>(IF((VLOOKUP(Table2[[#This Row],[SKU]],'All Skus'!$A:$AC,2,FALSE))="AMX",(VLOOKUP(Table2[[#This Row],[SKU]],'All Skus'!$A:$AC,4,FALSE)),""))</f>
        <v>NMX-VRK</v>
      </c>
      <c r="D155" s="47" t="str">
        <f>(IF((VLOOKUP(Table2[[#This Row],[SKU]],'All Skus'!$A:$AC,2,FALSE))="AMX",(VLOOKUP(Table2[[#This Row],[SKU]],'All Skus'!$A:$AC,5,FALSE)),""))</f>
        <v>AMX-NM</v>
      </c>
      <c r="E155" s="281">
        <f>(IF((VLOOKUP(Table2[[#This Row],[SKU]],'All Skus'!$A:$AC,2,FALSE))="AMX",(VLOOKUP(Table2[[#This Row],[SKU]],'All Skus'!$A:$AC,7,FALSE)),""))</f>
        <v>0</v>
      </c>
      <c r="F155" s="280" t="str">
        <f>(IF((VLOOKUP(Table2[[#This Row],[SKU]],'All Skus'!$A:$AC,2,FALSE))="AMX",(VLOOKUP(Table2[[#This Row],[SKU]],'All Skus'!$A:$AC,8,FALSE)),""))</f>
        <v>V Style Rack Mounting Shelf, 12" Depth</v>
      </c>
      <c r="G155" s="280" t="str">
        <f>(IF((VLOOKUP(Table2[[#This Row],[SKU]],'All Skus'!$A:$AC,2,FALSE))="AMX",(VLOOKUP(Table2[[#This Row],[SKU]],'All Skus'!$A:$AC,9,FALSE)),""))</f>
        <v>NMX-VRK Rack Mount Shelf is designed for use with NMX-ENC H.264 Encoders with Record</v>
      </c>
      <c r="H155" s="157">
        <f>(IF((VLOOKUP(Table2[[#This Row],[SKU]],'All Skus'!$A:$AC,2,FALSE))="AMX",(VLOOKUP(Table2[[#This Row],[SKU]],'All Skus'!$A:$AC,10,FALSE)),""))</f>
        <v>372.1</v>
      </c>
      <c r="I155" s="157">
        <f>(IF((VLOOKUP(Table2[[#This Row],[SKU]],'All Skus'!$A:$AC,2,FALSE))="AMX",(VLOOKUP(Table2[[#This Row],[SKU]],'All Skus'!$A:$AC,11,FALSE)),""))</f>
        <v>372.1</v>
      </c>
      <c r="J155" s="47">
        <f>(IF((VLOOKUP(Table2[[#This Row],[SKU]],'All Skus'!$A:$AC,2,FALSE))="AMX",(VLOOKUP(Table2[[#This Row],[SKU]],'All Skus'!$A:$AC,15,FALSE)),""))</f>
        <v>0</v>
      </c>
      <c r="K155" s="47">
        <f>(IF((VLOOKUP(Table2[[#This Row],[SKU]],'All Skus'!$A:$AC,2,FALSE))="AMX",(VLOOKUP(Table2[[#This Row],[SKU]],'All Skus'!$A:$AC,16,FALSE)),""))</f>
        <v>718878023013</v>
      </c>
      <c r="L155" s="47">
        <f>(IF((VLOOKUP(Table2[[#This Row],[SKU]],'All Skus'!$A:$AC,2,FALSE))="AMX",(VLOOKUP(Table2[[#This Row],[SKU]],'All Skus'!$A:$AC,17,FALSE)),""))</f>
        <v>0</v>
      </c>
      <c r="M155" s="63">
        <f>(IF((VLOOKUP(Table2[[#This Row],[SKU]],'All Skus'!$A:$AC,2,FALSE))="AMX",(VLOOKUP(Table2[[#This Row],[SKU]],'All Skus'!$A:$AC,18,FALSE)),""))</f>
        <v>2</v>
      </c>
      <c r="N155" s="47">
        <f>(IF((VLOOKUP(Table2[[#This Row],[SKU]],'All Skus'!$A:$AC,2,FALSE))="AMX",(VLOOKUP(Table2[[#This Row],[SKU]],'All Skus'!$A:$AC,19,FALSE)),""))</f>
        <v>12</v>
      </c>
      <c r="O155" s="47">
        <f>(IF((VLOOKUP(Table2[[#This Row],[SKU]],'All Skus'!$A:$AC,2,FALSE))="AMX",(VLOOKUP(Table2[[#This Row],[SKU]],'All Skus'!$A:$AC,20,FALSE)),""))</f>
        <v>19</v>
      </c>
      <c r="P155" s="47">
        <f>(IF((VLOOKUP(Table2[[#This Row],[SKU]],'All Skus'!$A:$AC,2,FALSE))="AMX",(VLOOKUP(Table2[[#This Row],[SKU]],'All Skus'!$A:$AC,21,FALSE)),""))</f>
        <v>1.72</v>
      </c>
      <c r="Q155" s="47" t="str">
        <f>(IF((VLOOKUP(Table2[[#This Row],[SKU]],'All Skus'!$A:$AC,2,FALSE))="AMX",(VLOOKUP(Table2[[#This Row],[SKU]],'All Skus'!$A:$AC,22,FALSE)),""))</f>
        <v>US</v>
      </c>
      <c r="R155" s="47" t="str">
        <f>(IF((VLOOKUP(Table2[[#This Row],[SKU]],'All Skus'!$A:$AC,2,FALSE))="AMX",(VLOOKUP(Table2[[#This Row],[SKU]],'All Skus'!$A:$AC,23,FALSE)),""))</f>
        <v>Compliant</v>
      </c>
      <c r="S155" s="210" t="str">
        <f>HYPERLINK((IF((VLOOKUP(Table2[[#This Row],[SKU]],'All Skus'!$A:$AC,2,FALSE))="AMX",(VLOOKUP(Table2[[#This Row],[SKU]],'All Skus'!$A:$AC,24,FALSE)),"")))</f>
        <v>https://www.amx.com/en-US/products/nmx-vrk</v>
      </c>
      <c r="T155" s="151">
        <v>153</v>
      </c>
    </row>
    <row r="156" spans="1:20" ht="15" hidden="1" customHeight="1">
      <c r="A156" s="48" t="s">
        <v>665</v>
      </c>
      <c r="B156" s="280" t="str">
        <f>(IF((VLOOKUP(Table2[[#This Row],[SKU]],'All Skus'!$A:$AC,2,FALSE))="AMX",(VLOOKUP(Table2[[#This Row],[SKU]],'All Skus'!$A:$AC,3,FALSE)),""))</f>
        <v>Workspace Collaboration</v>
      </c>
      <c r="C156" s="280" t="str">
        <f>(IF((VLOOKUP(Table2[[#This Row],[SKU]],'All Skus'!$A:$AC,2,FALSE))="AMX",(VLOOKUP(Table2[[#This Row],[SKU]],'All Skus'!$A:$AC,4,FALSE)),""))</f>
        <v>ACV-2100BL</v>
      </c>
      <c r="D156" s="47" t="str">
        <f>(IF((VLOOKUP(Table2[[#This Row],[SKU]],'All Skus'!$A:$AC,2,FALSE))="AMX",(VLOOKUP(Table2[[#This Row],[SKU]],'All Skus'!$A:$AC,5,FALSE)),""))</f>
        <v>AMX-UI</v>
      </c>
      <c r="E156" s="291" t="str">
        <f>(IF((VLOOKUP(Table2[[#This Row],[SKU]],'All Skus'!$A:$AC,2,FALSE))="AMX",(VLOOKUP(Table2[[#This Row],[SKU]],'All Skus'!$A:$AC,7,FALSE)),""))</f>
        <v>Limited Quantity - REDUCED</v>
      </c>
      <c r="F156" s="280" t="str">
        <f>(IF((VLOOKUP(Table2[[#This Row],[SKU]],'All Skus'!$A:$AC,2,FALSE))="AMX",(VLOOKUP(Table2[[#This Row],[SKU]],'All Skus'!$A:$AC,8,FALSE)),""))</f>
        <v>Acendo Vibe Soundbar BLACK</v>
      </c>
      <c r="G156" s="280" t="str">
        <f>(IF((VLOOKUP(Table2[[#This Row],[SKU]],'All Skus'!$A:$AC,2,FALSE))="AMX",(VLOOKUP(Table2[[#This Row],[SKU]],'All Skus'!$A:$AC,9,FALSE)),""))</f>
        <v>Acendo Vibe Conferencing Sound Bar (Black), featuring sound by JBL, integrated JBL speakers, far-field microphones, and DSP algorithms ensure everyone in the room hears and is heard clearly</v>
      </c>
      <c r="H156" s="157">
        <f>(IF((VLOOKUP(Table2[[#This Row],[SKU]],'All Skus'!$A:$AC,2,FALSE))="AMX",(VLOOKUP(Table2[[#This Row],[SKU]],'All Skus'!$A:$AC,10,FALSE)),""))</f>
        <v>1140.7</v>
      </c>
      <c r="I156" s="157">
        <f>(IF((VLOOKUP(Table2[[#This Row],[SKU]],'All Skus'!$A:$AC,2,FALSE))="AMX",(VLOOKUP(Table2[[#This Row],[SKU]],'All Skus'!$A:$AC,11,FALSE)),""))</f>
        <v>338</v>
      </c>
      <c r="J156" s="47">
        <f>(IF((VLOOKUP(Table2[[#This Row],[SKU]],'All Skus'!$A:$AC,2,FALSE))="AMX",(VLOOKUP(Table2[[#This Row],[SKU]],'All Skus'!$A:$AC,15,FALSE)),""))</f>
        <v>0</v>
      </c>
      <c r="K156" s="47">
        <f>(IF((VLOOKUP(Table2[[#This Row],[SKU]],'All Skus'!$A:$AC,2,FALSE))="AMX",(VLOOKUP(Table2[[#This Row],[SKU]],'All Skus'!$A:$AC,16,FALSE)),""))</f>
        <v>718878009925</v>
      </c>
      <c r="L156" s="47">
        <f>(IF((VLOOKUP(Table2[[#This Row],[SKU]],'All Skus'!$A:$AC,2,FALSE))="AMX",(VLOOKUP(Table2[[#This Row],[SKU]],'All Skus'!$A:$AC,17,FALSE)),""))</f>
        <v>0</v>
      </c>
      <c r="M156" s="63">
        <f>(IF((VLOOKUP(Table2[[#This Row],[SKU]],'All Skus'!$A:$AC,2,FALSE))="AMX",(VLOOKUP(Table2[[#This Row],[SKU]],'All Skus'!$A:$AC,18,FALSE)),""))</f>
        <v>6.3</v>
      </c>
      <c r="N156" s="47">
        <f>(IF((VLOOKUP(Table2[[#This Row],[SKU]],'All Skus'!$A:$AC,2,FALSE))="AMX",(VLOOKUP(Table2[[#This Row],[SKU]],'All Skus'!$A:$AC,19,FALSE)),""))</f>
        <v>23.5</v>
      </c>
      <c r="O156" s="47">
        <f>(IF((VLOOKUP(Table2[[#This Row],[SKU]],'All Skus'!$A:$AC,2,FALSE))="AMX",(VLOOKUP(Table2[[#This Row],[SKU]],'All Skus'!$A:$AC,20,FALSE)),""))</f>
        <v>3</v>
      </c>
      <c r="P156" s="47">
        <f>(IF((VLOOKUP(Table2[[#This Row],[SKU]],'All Skus'!$A:$AC,2,FALSE))="AMX",(VLOOKUP(Table2[[#This Row],[SKU]],'All Skus'!$A:$AC,21,FALSE)),""))</f>
        <v>4.125</v>
      </c>
      <c r="Q156" s="47" t="str">
        <f>(IF((VLOOKUP(Table2[[#This Row],[SKU]],'All Skus'!$A:$AC,2,FALSE))="AMX",(VLOOKUP(Table2[[#This Row],[SKU]],'All Skus'!$A:$AC,22,FALSE)),""))</f>
        <v>CN</v>
      </c>
      <c r="R156" s="47" t="str">
        <f>(IF((VLOOKUP(Table2[[#This Row],[SKU]],'All Skus'!$A:$AC,2,FALSE))="AMX",(VLOOKUP(Table2[[#This Row],[SKU]],'All Skus'!$A:$AC,23,FALSE)),""))</f>
        <v>NonCompliant</v>
      </c>
      <c r="S156" s="210" t="str">
        <f>HYPERLINK((IF((VLOOKUP(Table2[[#This Row],[SKU]],'All Skus'!$A:$AC,2,FALSE))="AMX",(VLOOKUP(Table2[[#This Row],[SKU]],'All Skus'!$A:$AC,24,FALSE)),"")))</f>
        <v>https://www.amx.com/en-US/products/acv-2100</v>
      </c>
      <c r="T156" s="151">
        <v>154</v>
      </c>
    </row>
    <row r="157" spans="1:20" ht="15" hidden="1" customHeight="1">
      <c r="A157" s="48" t="s">
        <v>666</v>
      </c>
      <c r="B157" s="280" t="str">
        <f>(IF((VLOOKUP(Table2[[#This Row],[SKU]],'All Skus'!$A:$AC,2,FALSE))="AMX",(VLOOKUP(Table2[[#This Row],[SKU]],'All Skus'!$A:$AC,3,FALSE)),""))</f>
        <v>Workspace Collaboration</v>
      </c>
      <c r="C157" s="280" t="str">
        <f>(IF((VLOOKUP(Table2[[#This Row],[SKU]],'All Skus'!$A:$AC,2,FALSE))="AMX",(VLOOKUP(Table2[[#This Row],[SKU]],'All Skus'!$A:$AC,4,FALSE)),""))</f>
        <v>ACV-2100GR</v>
      </c>
      <c r="D157" s="47" t="str">
        <f>(IF((VLOOKUP(Table2[[#This Row],[SKU]],'All Skus'!$A:$AC,2,FALSE))="AMX",(VLOOKUP(Table2[[#This Row],[SKU]],'All Skus'!$A:$AC,5,FALSE)),""))</f>
        <v>AMX-UI</v>
      </c>
      <c r="E157" s="291" t="str">
        <f>(IF((VLOOKUP(Table2[[#This Row],[SKU]],'All Skus'!$A:$AC,2,FALSE))="AMX",(VLOOKUP(Table2[[#This Row],[SKU]],'All Skus'!$A:$AC,7,FALSE)),""))</f>
        <v>Limited Quantity - REDUCED</v>
      </c>
      <c r="F157" s="280" t="str">
        <f>(IF((VLOOKUP(Table2[[#This Row],[SKU]],'All Skus'!$A:$AC,2,FALSE))="AMX",(VLOOKUP(Table2[[#This Row],[SKU]],'All Skus'!$A:$AC,8,FALSE)),""))</f>
        <v>Acendo Vibe Soundbar GRAY</v>
      </c>
      <c r="G157" s="280" t="str">
        <f>(IF((VLOOKUP(Table2[[#This Row],[SKU]],'All Skus'!$A:$AC,2,FALSE))="AMX",(VLOOKUP(Table2[[#This Row],[SKU]],'All Skus'!$A:$AC,9,FALSE)),""))</f>
        <v>Acendo Vibe Conferencing Sound Bar (Grey), featuring sound by JBL, integrated JBL speakers, far-field microphones, and DSP algorithms ensure everyone in the room hears and is heard clearly</v>
      </c>
      <c r="H157" s="157">
        <f>(IF((VLOOKUP(Table2[[#This Row],[SKU]],'All Skus'!$A:$AC,2,FALSE))="AMX",(VLOOKUP(Table2[[#This Row],[SKU]],'All Skus'!$A:$AC,10,FALSE)),""))</f>
        <v>1140.7</v>
      </c>
      <c r="I157" s="157">
        <f>(IF((VLOOKUP(Table2[[#This Row],[SKU]],'All Skus'!$A:$AC,2,FALSE))="AMX",(VLOOKUP(Table2[[#This Row],[SKU]],'All Skus'!$A:$AC,11,FALSE)),""))</f>
        <v>338</v>
      </c>
      <c r="J157" s="47">
        <f>(IF((VLOOKUP(Table2[[#This Row],[SKU]],'All Skus'!$A:$AC,2,FALSE))="AMX",(VLOOKUP(Table2[[#This Row],[SKU]],'All Skus'!$A:$AC,15,FALSE)),""))</f>
        <v>0</v>
      </c>
      <c r="K157" s="47">
        <f>(IF((VLOOKUP(Table2[[#This Row],[SKU]],'All Skus'!$A:$AC,2,FALSE))="AMX",(VLOOKUP(Table2[[#This Row],[SKU]],'All Skus'!$A:$AC,16,FALSE)),""))</f>
        <v>718878019795</v>
      </c>
      <c r="L157" s="47">
        <f>(IF((VLOOKUP(Table2[[#This Row],[SKU]],'All Skus'!$A:$AC,2,FALSE))="AMX",(VLOOKUP(Table2[[#This Row],[SKU]],'All Skus'!$A:$AC,17,FALSE)),""))</f>
        <v>0</v>
      </c>
      <c r="M157" s="63">
        <f>(IF((VLOOKUP(Table2[[#This Row],[SKU]],'All Skus'!$A:$AC,2,FALSE))="AMX",(VLOOKUP(Table2[[#This Row],[SKU]],'All Skus'!$A:$AC,18,FALSE)),""))</f>
        <v>6.3</v>
      </c>
      <c r="N157" s="47">
        <f>(IF((VLOOKUP(Table2[[#This Row],[SKU]],'All Skus'!$A:$AC,2,FALSE))="AMX",(VLOOKUP(Table2[[#This Row],[SKU]],'All Skus'!$A:$AC,19,FALSE)),""))</f>
        <v>23.5</v>
      </c>
      <c r="O157" s="47">
        <f>(IF((VLOOKUP(Table2[[#This Row],[SKU]],'All Skus'!$A:$AC,2,FALSE))="AMX",(VLOOKUP(Table2[[#This Row],[SKU]],'All Skus'!$A:$AC,20,FALSE)),""))</f>
        <v>3</v>
      </c>
      <c r="P157" s="47">
        <f>(IF((VLOOKUP(Table2[[#This Row],[SKU]],'All Skus'!$A:$AC,2,FALSE))="AMX",(VLOOKUP(Table2[[#This Row],[SKU]],'All Skus'!$A:$AC,21,FALSE)),""))</f>
        <v>4.125</v>
      </c>
      <c r="Q157" s="47" t="str">
        <f>(IF((VLOOKUP(Table2[[#This Row],[SKU]],'All Skus'!$A:$AC,2,FALSE))="AMX",(VLOOKUP(Table2[[#This Row],[SKU]],'All Skus'!$A:$AC,22,FALSE)),""))</f>
        <v>CN</v>
      </c>
      <c r="R157" s="47" t="str">
        <f>(IF((VLOOKUP(Table2[[#This Row],[SKU]],'All Skus'!$A:$AC,2,FALSE))="AMX",(VLOOKUP(Table2[[#This Row],[SKU]],'All Skus'!$A:$AC,23,FALSE)),""))</f>
        <v>NonCompliant</v>
      </c>
      <c r="S157" s="210" t="str">
        <f>HYPERLINK((IF((VLOOKUP(Table2[[#This Row],[SKU]],'All Skus'!$A:$AC,2,FALSE))="AMX",(VLOOKUP(Table2[[#This Row],[SKU]],'All Skus'!$A:$AC,24,FALSE)),"")))</f>
        <v>https://www.amx.com/en-US/products/acv-2100</v>
      </c>
      <c r="T157" s="151">
        <v>155</v>
      </c>
    </row>
    <row r="158" spans="1:20" ht="15" hidden="1" customHeight="1">
      <c r="A158" s="48" t="s">
        <v>667</v>
      </c>
      <c r="B158" s="280" t="str">
        <f>(IF((VLOOKUP(Table2[[#This Row],[SKU]],'All Skus'!$A:$AC,2,FALSE))="AMX",(VLOOKUP(Table2[[#This Row],[SKU]],'All Skus'!$A:$AC,3,FALSE)),""))</f>
        <v>Workspace Collaboration</v>
      </c>
      <c r="C158" s="280" t="str">
        <f>(IF((VLOOKUP(Table2[[#This Row],[SKU]],'All Skus'!$A:$AC,2,FALSE))="AMX",(VLOOKUP(Table2[[#This Row],[SKU]],'All Skus'!$A:$AC,4,FALSE)),""))</f>
        <v>ACV-2100GR</v>
      </c>
      <c r="D158" s="47" t="str">
        <f>(IF((VLOOKUP(Table2[[#This Row],[SKU]],'All Skus'!$A:$AC,2,FALSE))="AMX",(VLOOKUP(Table2[[#This Row],[SKU]],'All Skus'!$A:$AC,5,FALSE)),""))</f>
        <v>AMX-UI</v>
      </c>
      <c r="E158" s="291" t="str">
        <f>(IF((VLOOKUP(Table2[[#This Row],[SKU]],'All Skus'!$A:$AC,2,FALSE))="AMX",(VLOOKUP(Table2[[#This Row],[SKU]],'All Skus'!$A:$AC,7,FALSE)),""))</f>
        <v>Limited Quantity - REDUCED</v>
      </c>
      <c r="F158" s="280" t="str">
        <f>(IF((VLOOKUP(Table2[[#This Row],[SKU]],'All Skus'!$A:$AC,2,FALSE))="AMX",(VLOOKUP(Table2[[#This Row],[SKU]],'All Skus'!$A:$AC,8,FALSE)),""))</f>
        <v>Acendo Vibe Soundbar GRAY</v>
      </c>
      <c r="G158" s="280" t="str">
        <f>(IF((VLOOKUP(Table2[[#This Row],[SKU]],'All Skus'!$A:$AC,2,FALSE))="AMX",(VLOOKUP(Table2[[#This Row],[SKU]],'All Skus'!$A:$AC,9,FALSE)),""))</f>
        <v>Acendo Vibe Conferencing Sound Bar (Grey), featuring sound by JBL, integrated JBL speakers, far-field microphones, and DSP algorithms ensure everyone in the room hears and is heard clearly</v>
      </c>
      <c r="H158" s="157">
        <f>(IF((VLOOKUP(Table2[[#This Row],[SKU]],'All Skus'!$A:$AC,2,FALSE))="AMX",(VLOOKUP(Table2[[#This Row],[SKU]],'All Skus'!$A:$AC,10,FALSE)),""))</f>
        <v>1140.7</v>
      </c>
      <c r="I158" s="157">
        <f>(IF((VLOOKUP(Table2[[#This Row],[SKU]],'All Skus'!$A:$AC,2,FALSE))="AMX",(VLOOKUP(Table2[[#This Row],[SKU]],'All Skus'!$A:$AC,11,FALSE)),""))</f>
        <v>338</v>
      </c>
      <c r="J158" s="47">
        <f>(IF((VLOOKUP(Table2[[#This Row],[SKU]],'All Skus'!$A:$AC,2,FALSE))="AMX",(VLOOKUP(Table2[[#This Row],[SKU]],'All Skus'!$A:$AC,15,FALSE)),""))</f>
        <v>0</v>
      </c>
      <c r="K158" s="47">
        <f>(IF((VLOOKUP(Table2[[#This Row],[SKU]],'All Skus'!$A:$AC,2,FALSE))="AMX",(VLOOKUP(Table2[[#This Row],[SKU]],'All Skus'!$A:$AC,16,FALSE)),""))</f>
        <v>718878019795</v>
      </c>
      <c r="L158" s="47">
        <f>(IF((VLOOKUP(Table2[[#This Row],[SKU]],'All Skus'!$A:$AC,2,FALSE))="AMX",(VLOOKUP(Table2[[#This Row],[SKU]],'All Skus'!$A:$AC,17,FALSE)),""))</f>
        <v>0</v>
      </c>
      <c r="M158" s="63">
        <f>(IF((VLOOKUP(Table2[[#This Row],[SKU]],'All Skus'!$A:$AC,2,FALSE))="AMX",(VLOOKUP(Table2[[#This Row],[SKU]],'All Skus'!$A:$AC,18,FALSE)),""))</f>
        <v>6.3</v>
      </c>
      <c r="N158" s="47">
        <f>(IF((VLOOKUP(Table2[[#This Row],[SKU]],'All Skus'!$A:$AC,2,FALSE))="AMX",(VLOOKUP(Table2[[#This Row],[SKU]],'All Skus'!$A:$AC,19,FALSE)),""))</f>
        <v>23.5</v>
      </c>
      <c r="O158" s="47">
        <f>(IF((VLOOKUP(Table2[[#This Row],[SKU]],'All Skus'!$A:$AC,2,FALSE))="AMX",(VLOOKUP(Table2[[#This Row],[SKU]],'All Skus'!$A:$AC,20,FALSE)),""))</f>
        <v>3</v>
      </c>
      <c r="P158" s="47">
        <f>(IF((VLOOKUP(Table2[[#This Row],[SKU]],'All Skus'!$A:$AC,2,FALSE))="AMX",(VLOOKUP(Table2[[#This Row],[SKU]],'All Skus'!$A:$AC,21,FALSE)),""))</f>
        <v>4.125</v>
      </c>
      <c r="Q158" s="47" t="str">
        <f>(IF((VLOOKUP(Table2[[#This Row],[SKU]],'All Skus'!$A:$AC,2,FALSE))="AMX",(VLOOKUP(Table2[[#This Row],[SKU]],'All Skus'!$A:$AC,22,FALSE)),""))</f>
        <v>CN</v>
      </c>
      <c r="R158" s="47" t="str">
        <f>(IF((VLOOKUP(Table2[[#This Row],[SKU]],'All Skus'!$A:$AC,2,FALSE))="AMX",(VLOOKUP(Table2[[#This Row],[SKU]],'All Skus'!$A:$AC,23,FALSE)),""))</f>
        <v>NonCompliant</v>
      </c>
      <c r="S158" s="210" t="str">
        <f>HYPERLINK((IF((VLOOKUP(Table2[[#This Row],[SKU]],'All Skus'!$A:$AC,2,FALSE))="AMX",(VLOOKUP(Table2[[#This Row],[SKU]],'All Skus'!$A:$AC,24,FALSE)),"")))</f>
        <v>https://www.amx.com/en-US/products/acv-2100</v>
      </c>
      <c r="T158" s="151">
        <v>156</v>
      </c>
    </row>
    <row r="159" spans="1:20" ht="15" hidden="1" customHeight="1">
      <c r="A159" s="48" t="s">
        <v>668</v>
      </c>
      <c r="B159" s="280" t="str">
        <f>(IF((VLOOKUP(Table2[[#This Row],[SKU]],'All Skus'!$A:$AC,2,FALSE))="AMX",(VLOOKUP(Table2[[#This Row],[SKU]],'All Skus'!$A:$AC,3,FALSE)),""))</f>
        <v>Workspace Collaboration</v>
      </c>
      <c r="C159" s="280" t="str">
        <f>(IF((VLOOKUP(Table2[[#This Row],[SKU]],'All Skus'!$A:$AC,2,FALSE))="AMX",(VLOOKUP(Table2[[#This Row],[SKU]],'All Skus'!$A:$AC,4,FALSE)),""))</f>
        <v>ACV-5100GR</v>
      </c>
      <c r="D159" s="47" t="str">
        <f>(IF((VLOOKUP(Table2[[#This Row],[SKU]],'All Skus'!$A:$AC,2,FALSE))="AMX",(VLOOKUP(Table2[[#This Row],[SKU]],'All Skus'!$A:$AC,5,FALSE)),""))</f>
        <v>AMX-UI</v>
      </c>
      <c r="E159" s="291" t="str">
        <f>(IF((VLOOKUP(Table2[[#This Row],[SKU]],'All Skus'!$A:$AC,2,FALSE))="AMX",(VLOOKUP(Table2[[#This Row],[SKU]],'All Skus'!$A:$AC,7,FALSE)),""))</f>
        <v>Limited Quantity - REDUCED</v>
      </c>
      <c r="F159" s="280" t="str">
        <f>(IF((VLOOKUP(Table2[[#This Row],[SKU]],'All Skus'!$A:$AC,2,FALSE))="AMX",(VLOOKUP(Table2[[#This Row],[SKU]],'All Skus'!$A:$AC,8,FALSE)),""))</f>
        <v>Acendo Vibe Conferencing Soundbar GRAY</v>
      </c>
      <c r="G159" s="280" t="str">
        <f>(IF((VLOOKUP(Table2[[#This Row],[SKU]],'All Skus'!$A:$AC,2,FALSE))="AMX",(VLOOKUP(Table2[[#This Row],[SKU]],'All Skus'!$A:$AC,9,FALSE)),""))</f>
        <v xml:space="preserve">Acendo Vibe Conferencing Sound Bar with Camera (Gray), featuring sound by JBL and a wide-angle camera. Features far-field microphones, and DSP algorithms users can be sure everyone in the room is seen and heard clearly. Additionally, because the camera and microphones are integrated into the same device the potential for echoing during the call is eliminated. </v>
      </c>
      <c r="H159" s="157">
        <f>(IF((VLOOKUP(Table2[[#This Row],[SKU]],'All Skus'!$A:$AC,2,FALSE))="AMX",(VLOOKUP(Table2[[#This Row],[SKU]],'All Skus'!$A:$AC,10,FALSE)),""))</f>
        <v>1656.5</v>
      </c>
      <c r="I159" s="157">
        <f>(IF((VLOOKUP(Table2[[#This Row],[SKU]],'All Skus'!$A:$AC,2,FALSE))="AMX",(VLOOKUP(Table2[[#This Row],[SKU]],'All Skus'!$A:$AC,11,FALSE)),""))</f>
        <v>458</v>
      </c>
      <c r="J159" s="47">
        <f>(IF((VLOOKUP(Table2[[#This Row],[SKU]],'All Skus'!$A:$AC,2,FALSE))="AMX",(VLOOKUP(Table2[[#This Row],[SKU]],'All Skus'!$A:$AC,15,FALSE)),""))</f>
        <v>0</v>
      </c>
      <c r="K159" s="47">
        <f>(IF((VLOOKUP(Table2[[#This Row],[SKU]],'All Skus'!$A:$AC,2,FALSE))="AMX",(VLOOKUP(Table2[[#This Row],[SKU]],'All Skus'!$A:$AC,16,FALSE)),""))</f>
        <v>718878009918</v>
      </c>
      <c r="L159" s="47">
        <f>(IF((VLOOKUP(Table2[[#This Row],[SKU]],'All Skus'!$A:$AC,2,FALSE))="AMX",(VLOOKUP(Table2[[#This Row],[SKU]],'All Skus'!$A:$AC,17,FALSE)),""))</f>
        <v>0</v>
      </c>
      <c r="M159" s="63">
        <f>(IF((VLOOKUP(Table2[[#This Row],[SKU]],'All Skus'!$A:$AC,2,FALSE))="AMX",(VLOOKUP(Table2[[#This Row],[SKU]],'All Skus'!$A:$AC,18,FALSE)),""))</f>
        <v>6.45</v>
      </c>
      <c r="N159" s="47">
        <f>(IF((VLOOKUP(Table2[[#This Row],[SKU]],'All Skus'!$A:$AC,2,FALSE))="AMX",(VLOOKUP(Table2[[#This Row],[SKU]],'All Skus'!$A:$AC,19,FALSE)),""))</f>
        <v>23.5</v>
      </c>
      <c r="O159" s="47">
        <f>(IF((VLOOKUP(Table2[[#This Row],[SKU]],'All Skus'!$A:$AC,2,FALSE))="AMX",(VLOOKUP(Table2[[#This Row],[SKU]],'All Skus'!$A:$AC,20,FALSE)),""))</f>
        <v>5.25</v>
      </c>
      <c r="P159" s="47">
        <f>(IF((VLOOKUP(Table2[[#This Row],[SKU]],'All Skus'!$A:$AC,2,FALSE))="AMX",(VLOOKUP(Table2[[#This Row],[SKU]],'All Skus'!$A:$AC,21,FALSE)),""))</f>
        <v>4.125</v>
      </c>
      <c r="Q159" s="47" t="str">
        <f>(IF((VLOOKUP(Table2[[#This Row],[SKU]],'All Skus'!$A:$AC,2,FALSE))="AMX",(VLOOKUP(Table2[[#This Row],[SKU]],'All Skus'!$A:$AC,22,FALSE)),""))</f>
        <v>CN</v>
      </c>
      <c r="R159" s="47" t="str">
        <f>(IF((VLOOKUP(Table2[[#This Row],[SKU]],'All Skus'!$A:$AC,2,FALSE))="AMX",(VLOOKUP(Table2[[#This Row],[SKU]],'All Skus'!$A:$AC,23,FALSE)),""))</f>
        <v>NonCompliant</v>
      </c>
      <c r="S159" s="210" t="str">
        <f>HYPERLINK((IF((VLOOKUP(Table2[[#This Row],[SKU]],'All Skus'!$A:$AC,2,FALSE))="AMX",(VLOOKUP(Table2[[#This Row],[SKU]],'All Skus'!$A:$AC,24,FALSE)),"")))</f>
        <v>https://www.amx.com/en-US/products/acv-5100</v>
      </c>
      <c r="T159" s="151">
        <v>157</v>
      </c>
    </row>
    <row r="160" spans="1:20" ht="15" hidden="1" customHeight="1">
      <c r="A160" s="48" t="s">
        <v>669</v>
      </c>
      <c r="B160" s="280" t="str">
        <f>(IF((VLOOKUP(Table2[[#This Row],[SKU]],'All Skus'!$A:$AC,2,FALSE))="AMX",(VLOOKUP(Table2[[#This Row],[SKU]],'All Skus'!$A:$AC,3,FALSE)),""))</f>
        <v xml:space="preserve">Scheduling Panels </v>
      </c>
      <c r="C160" s="280" t="str">
        <f>(IF((VLOOKUP(Table2[[#This Row],[SKU]],'All Skus'!$A:$AC,2,FALSE))="AMX",(VLOOKUP(Table2[[#This Row],[SKU]],'All Skus'!$A:$AC,4,FALSE)),""))</f>
        <v>ACB-2110</v>
      </c>
      <c r="D160" s="47" t="str">
        <f>(IF((VLOOKUP(Table2[[#This Row],[SKU]],'All Skus'!$A:$AC,2,FALSE))="AMX",(VLOOKUP(Table2[[#This Row],[SKU]],'All Skus'!$A:$AC,5,FALSE)),""))</f>
        <v>AMX-UI</v>
      </c>
      <c r="E160" s="291" t="str">
        <f>(IF((VLOOKUP(Table2[[#This Row],[SKU]],'All Skus'!$A:$AC,2,FALSE))="AMX",(VLOOKUP(Table2[[#This Row],[SKU]],'All Skus'!$A:$AC,7,FALSE)),""))</f>
        <v>Limited Quantity - REDUCED</v>
      </c>
      <c r="F160" s="280" t="str">
        <f>(IF((VLOOKUP(Table2[[#This Row],[SKU]],'All Skus'!$A:$AC,2,FALSE))="AMX",(VLOOKUP(Table2[[#This Row],[SKU]],'All Skus'!$A:$AC,8,FALSE)),""))</f>
        <v>10" Acendo Book scheduling touch panel</v>
      </c>
      <c r="G160" s="280" t="str">
        <f>(IF((VLOOKUP(Table2[[#This Row],[SKU]],'All Skus'!$A:$AC,2,FALSE))="AMX",(VLOOKUP(Table2[[#This Row],[SKU]],'All Skus'!$A:$AC,9,FALSE)),""))</f>
        <v>The ACB-2110 AMX Acendo Book 10.1” Touch Panel is a standalone scheduling panel that integrates directly with room scheduling software like Microsoft Exchange, Office 365, Google Calendar and IBM/Lotus Notes</v>
      </c>
      <c r="H160" s="157">
        <f>(IF((VLOOKUP(Table2[[#This Row],[SKU]],'All Skus'!$A:$AC,2,FALSE))="AMX",(VLOOKUP(Table2[[#This Row],[SKU]],'All Skus'!$A:$AC,10,FALSE)),""))</f>
        <v>2972.6</v>
      </c>
      <c r="I160" s="157">
        <f>(IF((VLOOKUP(Table2[[#This Row],[SKU]],'All Skus'!$A:$AC,2,FALSE))="AMX",(VLOOKUP(Table2[[#This Row],[SKU]],'All Skus'!$A:$AC,11,FALSE)),""))</f>
        <v>1398</v>
      </c>
      <c r="J160" s="47">
        <f>(IF((VLOOKUP(Table2[[#This Row],[SKU]],'All Skus'!$A:$AC,2,FALSE))="AMX",(VLOOKUP(Table2[[#This Row],[SKU]],'All Skus'!$A:$AC,15,FALSE)),""))</f>
        <v>0</v>
      </c>
      <c r="K160" s="47">
        <f>(IF((VLOOKUP(Table2[[#This Row],[SKU]],'All Skus'!$A:$AC,2,FALSE))="AMX",(VLOOKUP(Table2[[#This Row],[SKU]],'All Skus'!$A:$AC,16,FALSE)),""))</f>
        <v>718878022832</v>
      </c>
      <c r="L160" s="47">
        <f>(IF((VLOOKUP(Table2[[#This Row],[SKU]],'All Skus'!$A:$AC,2,FALSE))="AMX",(VLOOKUP(Table2[[#This Row],[SKU]],'All Skus'!$A:$AC,17,FALSE)),""))</f>
        <v>0</v>
      </c>
      <c r="M160" s="63">
        <f>(IF((VLOOKUP(Table2[[#This Row],[SKU]],'All Skus'!$A:$AC,2,FALSE))="AMX",(VLOOKUP(Table2[[#This Row],[SKU]],'All Skus'!$A:$AC,18,FALSE)),""))</f>
        <v>1.95</v>
      </c>
      <c r="N160" s="47">
        <f>(IF((VLOOKUP(Table2[[#This Row],[SKU]],'All Skus'!$A:$AC,2,FALSE))="AMX",(VLOOKUP(Table2[[#This Row],[SKU]],'All Skus'!$A:$AC,19,FALSE)),""))</f>
        <v>10.0625</v>
      </c>
      <c r="O160" s="47">
        <f>(IF((VLOOKUP(Table2[[#This Row],[SKU]],'All Skus'!$A:$AC,2,FALSE))="AMX",(VLOOKUP(Table2[[#This Row],[SKU]],'All Skus'!$A:$AC,20,FALSE)),""))</f>
        <v>6.8125</v>
      </c>
      <c r="P160" s="47">
        <f>(IF((VLOOKUP(Table2[[#This Row],[SKU]],'All Skus'!$A:$AC,2,FALSE))="AMX",(VLOOKUP(Table2[[#This Row],[SKU]],'All Skus'!$A:$AC,21,FALSE)),""))</f>
        <v>2</v>
      </c>
      <c r="Q160" s="47" t="str">
        <f>(IF((VLOOKUP(Table2[[#This Row],[SKU]],'All Skus'!$A:$AC,2,FALSE))="AMX",(VLOOKUP(Table2[[#This Row],[SKU]],'All Skus'!$A:$AC,22,FALSE)),""))</f>
        <v>MX</v>
      </c>
      <c r="R160" s="47" t="str">
        <f>(IF((VLOOKUP(Table2[[#This Row],[SKU]],'All Skus'!$A:$AC,2,FALSE))="AMX",(VLOOKUP(Table2[[#This Row],[SKU]],'All Skus'!$A:$AC,23,FALSE)),""))</f>
        <v>Compliant</v>
      </c>
      <c r="S160" s="210" t="str">
        <f>HYPERLINK((IF((VLOOKUP(Table2[[#This Row],[SKU]],'All Skus'!$A:$AC,2,FALSE))="AMX",(VLOOKUP(Table2[[#This Row],[SKU]],'All Skus'!$A:$AC,24,FALSE)),"")))</f>
        <v>https://www.amx.com/en-US/products/acb-2110</v>
      </c>
      <c r="T160" s="151">
        <v>158</v>
      </c>
    </row>
    <row r="161" spans="1:20" ht="15" hidden="1" customHeight="1">
      <c r="A161" s="48" t="s">
        <v>670</v>
      </c>
      <c r="B161" s="280" t="str">
        <f>(IF((VLOOKUP(Table2[[#This Row],[SKU]],'All Skus'!$A:$AC,2,FALSE))="AMX",(VLOOKUP(Table2[[#This Row],[SKU]],'All Skus'!$A:$AC,3,FALSE)),""))</f>
        <v>Control System Accessories</v>
      </c>
      <c r="C161" s="280" t="str">
        <f>(IF((VLOOKUP(Table2[[#This Row],[SKU]],'All Skus'!$A:$AC,2,FALSE))="AMX",(VLOOKUP(Table2[[#This Row],[SKU]],'All Skus'!$A:$AC,4,FALSE)),""))</f>
        <v>PS3.0</v>
      </c>
      <c r="D161" s="47" t="str">
        <f>(IF((VLOOKUP(Table2[[#This Row],[SKU]],'All Skus'!$A:$AC,2,FALSE))="AMX",(VLOOKUP(Table2[[#This Row],[SKU]],'All Skus'!$A:$AC,5,FALSE)),""))</f>
        <v>AMX-DC</v>
      </c>
      <c r="E161" s="281">
        <f>(IF((VLOOKUP(Table2[[#This Row],[SKU]],'All Skus'!$A:$AC,2,FALSE))="AMX",(VLOOKUP(Table2[[#This Row],[SKU]],'All Skus'!$A:$AC,7,FALSE)),""))</f>
        <v>0</v>
      </c>
      <c r="F161" s="280" t="str">
        <f>(IF((VLOOKUP(Table2[[#This Row],[SKU]],'All Skus'!$A:$AC,2,FALSE))="AMX",(VLOOKUP(Table2[[#This Row],[SKU]],'All Skus'!$A:$AC,8,FALSE)),""))</f>
        <v>Power Supply - 12VDC 3.0A 1.3mm Barrel Connector</v>
      </c>
      <c r="G161" s="280" t="str">
        <f>(IF((VLOOKUP(Table2[[#This Row],[SKU]],'All Skus'!$A:$AC,2,FALSE))="AMX",(VLOOKUP(Table2[[#This Row],[SKU]],'All Skus'!$A:$AC,9,FALSE)),""))</f>
        <v>The PS3.0 power supply provides 3.0 A of DC power for the MVP-5200i Modero Touch Panel and other NetLinx devices. This is  a Class 1 power supply which is CE approved and UL listed. The PS3.0 comes with an 0.43-inch (11mm) 1.3 mm barrel-plug.</v>
      </c>
      <c r="H161" s="157">
        <f>(IF((VLOOKUP(Table2[[#This Row],[SKU]],'All Skus'!$A:$AC,2,FALSE))="AMX",(VLOOKUP(Table2[[#This Row],[SKU]],'All Skus'!$A:$AC,10,FALSE)),""))</f>
        <v>188.6</v>
      </c>
      <c r="I161" s="157">
        <f>(IF((VLOOKUP(Table2[[#This Row],[SKU]],'All Skus'!$A:$AC,2,FALSE))="AMX",(VLOOKUP(Table2[[#This Row],[SKU]],'All Skus'!$A:$AC,11,FALSE)),""))</f>
        <v>188.6</v>
      </c>
      <c r="J161" s="47">
        <f>(IF((VLOOKUP(Table2[[#This Row],[SKU]],'All Skus'!$A:$AC,2,FALSE))="AMX",(VLOOKUP(Table2[[#This Row],[SKU]],'All Skus'!$A:$AC,15,FALSE)),""))</f>
        <v>0</v>
      </c>
      <c r="K161" s="47">
        <f>(IF((VLOOKUP(Table2[[#This Row],[SKU]],'All Skus'!$A:$AC,2,FALSE))="AMX",(VLOOKUP(Table2[[#This Row],[SKU]],'All Skus'!$A:$AC,16,FALSE)),""))</f>
        <v>718878007532</v>
      </c>
      <c r="L161" s="47">
        <f>(IF((VLOOKUP(Table2[[#This Row],[SKU]],'All Skus'!$A:$AC,2,FALSE))="AMX",(VLOOKUP(Table2[[#This Row],[SKU]],'All Skus'!$A:$AC,17,FALSE)),""))</f>
        <v>0</v>
      </c>
      <c r="M161" s="63">
        <f>(IF((VLOOKUP(Table2[[#This Row],[SKU]],'All Skus'!$A:$AC,2,FALSE))="AMX",(VLOOKUP(Table2[[#This Row],[SKU]],'All Skus'!$A:$AC,18,FALSE)),""))</f>
        <v>0.35</v>
      </c>
      <c r="N161" s="47">
        <f>(IF((VLOOKUP(Table2[[#This Row],[SKU]],'All Skus'!$A:$AC,2,FALSE))="AMX",(VLOOKUP(Table2[[#This Row],[SKU]],'All Skus'!$A:$AC,19,FALSE)),""))</f>
        <v>3.88</v>
      </c>
      <c r="O161" s="47">
        <f>(IF((VLOOKUP(Table2[[#This Row],[SKU]],'All Skus'!$A:$AC,2,FALSE))="AMX",(VLOOKUP(Table2[[#This Row],[SKU]],'All Skus'!$A:$AC,20,FALSE)),""))</f>
        <v>1.75</v>
      </c>
      <c r="P161" s="47">
        <f>(IF((VLOOKUP(Table2[[#This Row],[SKU]],'All Skus'!$A:$AC,2,FALSE))="AMX",(VLOOKUP(Table2[[#This Row],[SKU]],'All Skus'!$A:$AC,21,FALSE)),""))</f>
        <v>1.25</v>
      </c>
      <c r="Q161" s="47" t="str">
        <f>(IF((VLOOKUP(Table2[[#This Row],[SKU]],'All Skus'!$A:$AC,2,FALSE))="AMX",(VLOOKUP(Table2[[#This Row],[SKU]],'All Skus'!$A:$AC,22,FALSE)),""))</f>
        <v>CN</v>
      </c>
      <c r="R161" s="47" t="str">
        <f>(IF((VLOOKUP(Table2[[#This Row],[SKU]],'All Skus'!$A:$AC,2,FALSE))="AMX",(VLOOKUP(Table2[[#This Row],[SKU]],'All Skus'!$A:$AC,23,FALSE)),""))</f>
        <v>NonCompliant</v>
      </c>
      <c r="S161" s="210" t="str">
        <f>HYPERLINK((IF((VLOOKUP(Table2[[#This Row],[SKU]],'All Skus'!$A:$AC,2,FALSE))="AMX",(VLOOKUP(Table2[[#This Row],[SKU]],'All Skus'!$A:$AC,24,FALSE)),"")))</f>
        <v>https://www.amx.com/en-US/products/ps3-0</v>
      </c>
      <c r="T161" s="151">
        <v>159</v>
      </c>
    </row>
    <row r="162" spans="1:20" ht="15" hidden="1" customHeight="1">
      <c r="A162" s="48" t="s">
        <v>671</v>
      </c>
      <c r="B162" s="280" t="str">
        <f>(IF((VLOOKUP(Table2[[#This Row],[SKU]],'All Skus'!$A:$AC,2,FALSE))="AMX",(VLOOKUP(Table2[[#This Row],[SKU]],'All Skus'!$A:$AC,3,FALSE)),""))</f>
        <v>Power Supply</v>
      </c>
      <c r="C162" s="280" t="str">
        <f>(IF((VLOOKUP(Table2[[#This Row],[SKU]],'All Skus'!$A:$AC,2,FALSE))="AMX",(VLOOKUP(Table2[[#This Row],[SKU]],'All Skus'!$A:$AC,4,FALSE)),""))</f>
        <v>PSR5.4</v>
      </c>
      <c r="D162" s="47" t="str">
        <f>(IF((VLOOKUP(Table2[[#This Row],[SKU]],'All Skus'!$A:$AC,2,FALSE))="AMX",(VLOOKUP(Table2[[#This Row],[SKU]],'All Skus'!$A:$AC,5,FALSE)),""))</f>
        <v>AMX-DC</v>
      </c>
      <c r="E162" s="281">
        <f>(IF((VLOOKUP(Table2[[#This Row],[SKU]],'All Skus'!$A:$AC,2,FALSE))="AMX",(VLOOKUP(Table2[[#This Row],[SKU]],'All Skus'!$A:$AC,7,FALSE)),""))</f>
        <v>0</v>
      </c>
      <c r="F162" s="280" t="str">
        <f>(IF((VLOOKUP(Table2[[#This Row],[SKU]],'All Skus'!$A:$AC,2,FALSE))="AMX",(VLOOKUP(Table2[[#This Row],[SKU]],'All Skus'!$A:$AC,8,FALSE)),""))</f>
        <v>Power Supply - 12VDC 5.4A 1x 3.5mm Phoenix Connector, Retention Screws</v>
      </c>
      <c r="G162" s="280" t="str">
        <f>(IF((VLOOKUP(Table2[[#This Row],[SKU]],'All Skus'!$A:$AC,2,FALSE))="AMX",(VLOOKUP(Table2[[#This Row],[SKU]],'All Skus'!$A:$AC,9,FALSE)),""))</f>
        <v>PSR5.4, Power Supply, 12 VDC, 5.4 A Power Supply with 3.5 mm Phoenix Connector with Retention Screws</v>
      </c>
      <c r="H162" s="157">
        <f>(IF((VLOOKUP(Table2[[#This Row],[SKU]],'All Skus'!$A:$AC,2,FALSE))="AMX",(VLOOKUP(Table2[[#This Row],[SKU]],'All Skus'!$A:$AC,10,FALSE)),""))</f>
        <v>192.1</v>
      </c>
      <c r="I162" s="157">
        <f>(IF((VLOOKUP(Table2[[#This Row],[SKU]],'All Skus'!$A:$AC,2,FALSE))="AMX",(VLOOKUP(Table2[[#This Row],[SKU]],'All Skus'!$A:$AC,11,FALSE)),""))</f>
        <v>192.1</v>
      </c>
      <c r="J162" s="47">
        <f>(IF((VLOOKUP(Table2[[#This Row],[SKU]],'All Skus'!$A:$AC,2,FALSE))="AMX",(VLOOKUP(Table2[[#This Row],[SKU]],'All Skus'!$A:$AC,15,FALSE)),""))</f>
        <v>0</v>
      </c>
      <c r="K162" s="47">
        <f>(IF((VLOOKUP(Table2[[#This Row],[SKU]],'All Skus'!$A:$AC,2,FALSE))="AMX",(VLOOKUP(Table2[[#This Row],[SKU]],'All Skus'!$A:$AC,16,FALSE)),""))</f>
        <v>718878022917</v>
      </c>
      <c r="L162" s="47">
        <f>(IF((VLOOKUP(Table2[[#This Row],[SKU]],'All Skus'!$A:$AC,2,FALSE))="AMX",(VLOOKUP(Table2[[#This Row],[SKU]],'All Skus'!$A:$AC,17,FALSE)),""))</f>
        <v>0</v>
      </c>
      <c r="M162" s="63">
        <f>(IF((VLOOKUP(Table2[[#This Row],[SKU]],'All Skus'!$A:$AC,2,FALSE))="AMX",(VLOOKUP(Table2[[#This Row],[SKU]],'All Skus'!$A:$AC,18,FALSE)),""))</f>
        <v>1.1000000000000001</v>
      </c>
      <c r="N162" s="47">
        <f>(IF((VLOOKUP(Table2[[#This Row],[SKU]],'All Skus'!$A:$AC,2,FALSE))="AMX",(VLOOKUP(Table2[[#This Row],[SKU]],'All Skus'!$A:$AC,19,FALSE)),""))</f>
        <v>4.5</v>
      </c>
      <c r="O162" s="47">
        <f>(IF((VLOOKUP(Table2[[#This Row],[SKU]],'All Skus'!$A:$AC,2,FALSE))="AMX",(VLOOKUP(Table2[[#This Row],[SKU]],'All Skus'!$A:$AC,20,FALSE)),""))</f>
        <v>2</v>
      </c>
      <c r="P162" s="47">
        <f>(IF((VLOOKUP(Table2[[#This Row],[SKU]],'All Skus'!$A:$AC,2,FALSE))="AMX",(VLOOKUP(Table2[[#This Row],[SKU]],'All Skus'!$A:$AC,21,FALSE)),""))</f>
        <v>1.25</v>
      </c>
      <c r="Q162" s="47" t="str">
        <f>(IF((VLOOKUP(Table2[[#This Row],[SKU]],'All Skus'!$A:$AC,2,FALSE))="AMX",(VLOOKUP(Table2[[#This Row],[SKU]],'All Skus'!$A:$AC,22,FALSE)),""))</f>
        <v>CN</v>
      </c>
      <c r="R162" s="47" t="str">
        <f>(IF((VLOOKUP(Table2[[#This Row],[SKU]],'All Skus'!$A:$AC,2,FALSE))="AMX",(VLOOKUP(Table2[[#This Row],[SKU]],'All Skus'!$A:$AC,23,FALSE)),""))</f>
        <v>NonCompliant</v>
      </c>
      <c r="S162" s="210" t="str">
        <f>HYPERLINK((IF((VLOOKUP(Table2[[#This Row],[SKU]],'All Skus'!$A:$AC,2,FALSE))="AMX",(VLOOKUP(Table2[[#This Row],[SKU]],'All Skus'!$A:$AC,24,FALSE)),"")))</f>
        <v>https://www.amx.com/en-US/products/psr5-4</v>
      </c>
      <c r="T162" s="151">
        <v>160</v>
      </c>
    </row>
    <row r="163" spans="1:20" ht="15" hidden="1" customHeight="1">
      <c r="A163" s="48" t="s">
        <v>672</v>
      </c>
      <c r="B163" s="280" t="str">
        <f>(IF((VLOOKUP(Table2[[#This Row],[SKU]],'All Skus'!$A:$AC,2,FALSE))="AMX",(VLOOKUP(Table2[[#This Row],[SKU]],'All Skus'!$A:$AC,3,FALSE)),""))</f>
        <v>Power Supply</v>
      </c>
      <c r="C163" s="280" t="str">
        <f>(IF((VLOOKUP(Table2[[#This Row],[SKU]],'All Skus'!$A:$AC,2,FALSE))="AMX",(VLOOKUP(Table2[[#This Row],[SKU]],'All Skus'!$A:$AC,4,FALSE)),""))</f>
        <v>PSR7-V</v>
      </c>
      <c r="D163" s="47" t="str">
        <f>(IF((VLOOKUP(Table2[[#This Row],[SKU]],'All Skus'!$A:$AC,2,FALSE))="AMX",(VLOOKUP(Table2[[#This Row],[SKU]],'All Skus'!$A:$AC,5,FALSE)),""))</f>
        <v>AMX-DC</v>
      </c>
      <c r="E163" s="281">
        <f>(IF((VLOOKUP(Table2[[#This Row],[SKU]],'All Skus'!$A:$AC,2,FALSE))="AMX",(VLOOKUP(Table2[[#This Row],[SKU]],'All Skus'!$A:$AC,7,FALSE)),""))</f>
        <v>0</v>
      </c>
      <c r="F163" s="280" t="str">
        <f>(IF((VLOOKUP(Table2[[#This Row],[SKU]],'All Skus'!$A:$AC,2,FALSE))="AMX",(VLOOKUP(Table2[[#This Row],[SKU]],'All Skus'!$A:$AC,8,FALSE)),""))</f>
        <v>Power Supply - 12VDC 5.5A 3x 3.5mm Phoenix Connectors, Retention Screws</v>
      </c>
      <c r="G163" s="280" t="str">
        <f>(IF((VLOOKUP(Table2[[#This Row],[SKU]],'All Skus'!$A:$AC,2,FALSE))="AMX",(VLOOKUP(Table2[[#This Row],[SKU]],'All Skus'!$A:$AC,9,FALSE)),""))</f>
        <v>PSR7-V 12 VDC, 5.5 A Power Supply</v>
      </c>
      <c r="H163" s="157">
        <f>(IF((VLOOKUP(Table2[[#This Row],[SKU]],'All Skus'!$A:$AC,2,FALSE))="AMX",(VLOOKUP(Table2[[#This Row],[SKU]],'All Skus'!$A:$AC,10,FALSE)),""))</f>
        <v>612.20000000000005</v>
      </c>
      <c r="I163" s="157">
        <f>(IF((VLOOKUP(Table2[[#This Row],[SKU]],'All Skus'!$A:$AC,2,FALSE))="AMX",(VLOOKUP(Table2[[#This Row],[SKU]],'All Skus'!$A:$AC,11,FALSE)),""))</f>
        <v>612.20000000000005</v>
      </c>
      <c r="J163" s="47">
        <f>(IF((VLOOKUP(Table2[[#This Row],[SKU]],'All Skus'!$A:$AC,2,FALSE))="AMX",(VLOOKUP(Table2[[#This Row],[SKU]],'All Skus'!$A:$AC,15,FALSE)),""))</f>
        <v>0</v>
      </c>
      <c r="K163" s="47">
        <f>(IF((VLOOKUP(Table2[[#This Row],[SKU]],'All Skus'!$A:$AC,2,FALSE))="AMX",(VLOOKUP(Table2[[#This Row],[SKU]],'All Skus'!$A:$AC,16,FALSE)),""))</f>
        <v>718878026298</v>
      </c>
      <c r="L163" s="47">
        <f>(IF((VLOOKUP(Table2[[#This Row],[SKU]],'All Skus'!$A:$AC,2,FALSE))="AMX",(VLOOKUP(Table2[[#This Row],[SKU]],'All Skus'!$A:$AC,17,FALSE)),""))</f>
        <v>0</v>
      </c>
      <c r="M163" s="63">
        <f>(IF((VLOOKUP(Table2[[#This Row],[SKU]],'All Skus'!$A:$AC,2,FALSE))="AMX",(VLOOKUP(Table2[[#This Row],[SKU]],'All Skus'!$A:$AC,18,FALSE)),""))</f>
        <v>1.45</v>
      </c>
      <c r="N163" s="47">
        <f>(IF((VLOOKUP(Table2[[#This Row],[SKU]],'All Skus'!$A:$AC,2,FALSE))="AMX",(VLOOKUP(Table2[[#This Row],[SKU]],'All Skus'!$A:$AC,19,FALSE)),""))</f>
        <v>5.63</v>
      </c>
      <c r="O163" s="47">
        <f>(IF((VLOOKUP(Table2[[#This Row],[SKU]],'All Skus'!$A:$AC,2,FALSE))="AMX",(VLOOKUP(Table2[[#This Row],[SKU]],'All Skus'!$A:$AC,20,FALSE)),""))</f>
        <v>5.13</v>
      </c>
      <c r="P163" s="47">
        <f>(IF((VLOOKUP(Table2[[#This Row],[SKU]],'All Skus'!$A:$AC,2,FALSE))="AMX",(VLOOKUP(Table2[[#This Row],[SKU]],'All Skus'!$A:$AC,21,FALSE)),""))</f>
        <v>1.63</v>
      </c>
      <c r="Q163" s="47" t="str">
        <f>(IF((VLOOKUP(Table2[[#This Row],[SKU]],'All Skus'!$A:$AC,2,FALSE))="AMX",(VLOOKUP(Table2[[#This Row],[SKU]],'All Skus'!$A:$AC,22,FALSE)),""))</f>
        <v>CN</v>
      </c>
      <c r="R163" s="47" t="str">
        <f>(IF((VLOOKUP(Table2[[#This Row],[SKU]],'All Skus'!$A:$AC,2,FALSE))="AMX",(VLOOKUP(Table2[[#This Row],[SKU]],'All Skus'!$A:$AC,23,FALSE)),""))</f>
        <v>NonCompliant</v>
      </c>
      <c r="S163" s="210" t="str">
        <f>HYPERLINK((IF((VLOOKUP(Table2[[#This Row],[SKU]],'All Skus'!$A:$AC,2,FALSE))="AMX",(VLOOKUP(Table2[[#This Row],[SKU]],'All Skus'!$A:$AC,24,FALSE)),"")))</f>
        <v>https://www.amx.com/en-US/products/psr7-v</v>
      </c>
      <c r="T163" s="151">
        <v>161</v>
      </c>
    </row>
    <row r="164" spans="1:20" ht="15" hidden="1" customHeight="1">
      <c r="A164" s="48" t="s">
        <v>673</v>
      </c>
      <c r="B164" s="280" t="str">
        <f>(IF((VLOOKUP(Table2[[#This Row],[SKU]],'All Skus'!$A:$AC,2,FALSE))="AMX",(VLOOKUP(Table2[[#This Row],[SKU]],'All Skus'!$A:$AC,3,FALSE)),""))</f>
        <v>Control System Accessories</v>
      </c>
      <c r="C164" s="280" t="str">
        <f>(IF((VLOOKUP(Table2[[#This Row],[SKU]],'All Skus'!$A:$AC,2,FALSE))="AMX",(VLOOKUP(Table2[[#This Row],[SKU]],'All Skus'!$A:$AC,4,FALSE)),""))</f>
        <v>PS-POE-AF-TC</v>
      </c>
      <c r="D164" s="47" t="str">
        <f>(IF((VLOOKUP(Table2[[#This Row],[SKU]],'All Skus'!$A:$AC,2,FALSE))="AMX",(VLOOKUP(Table2[[#This Row],[SKU]],'All Skus'!$A:$AC,5,FALSE)),""))</f>
        <v>AMX-UI</v>
      </c>
      <c r="E164" s="281">
        <f>(IF((VLOOKUP(Table2[[#This Row],[SKU]],'All Skus'!$A:$AC,2,FALSE))="AMX",(VLOOKUP(Table2[[#This Row],[SKU]],'All Skus'!$A:$AC,7,FALSE)),""))</f>
        <v>0</v>
      </c>
      <c r="F164" s="280" t="str">
        <f>(IF((VLOOKUP(Table2[[#This Row],[SKU]],'All Skus'!$A:$AC,2,FALSE))="AMX",(VLOOKUP(Table2[[#This Row],[SKU]],'All Skus'!$A:$AC,8,FALSE)),""))</f>
        <v>PoE Injector - 802.3af</v>
      </c>
      <c r="G164" s="280" t="str">
        <f>(IF((VLOOKUP(Table2[[#This Row],[SKU]],'All Skus'!$A:$AC,2,FALSE))="AMX",(VLOOKUP(Table2[[#This Row],[SKU]],'All Skus'!$A:$AC,9,FALSE)),""))</f>
        <v>PoE Injector transmits both power and data through a single cable to a remotely located Power-over-Ethernet enabled device</v>
      </c>
      <c r="H164" s="157">
        <f>(IF((VLOOKUP(Table2[[#This Row],[SKU]],'All Skus'!$A:$AC,2,FALSE))="AMX",(VLOOKUP(Table2[[#This Row],[SKU]],'All Skus'!$A:$AC,10,FALSE)),""))</f>
        <v>153.19999999999999</v>
      </c>
      <c r="I164" s="157">
        <f>(IF((VLOOKUP(Table2[[#This Row],[SKU]],'All Skus'!$A:$AC,2,FALSE))="AMX",(VLOOKUP(Table2[[#This Row],[SKU]],'All Skus'!$A:$AC,11,FALSE)),""))</f>
        <v>153.19999999999999</v>
      </c>
      <c r="J164" s="47">
        <f>(IF((VLOOKUP(Table2[[#This Row],[SKU]],'All Skus'!$A:$AC,2,FALSE))="AMX",(VLOOKUP(Table2[[#This Row],[SKU]],'All Skus'!$A:$AC,15,FALSE)),""))</f>
        <v>0</v>
      </c>
      <c r="K164" s="47">
        <f>(IF((VLOOKUP(Table2[[#This Row],[SKU]],'All Skus'!$A:$AC,2,FALSE))="AMX",(VLOOKUP(Table2[[#This Row],[SKU]],'All Skus'!$A:$AC,16,FALSE)),""))</f>
        <v>718878244333</v>
      </c>
      <c r="L164" s="47">
        <f>(IF((VLOOKUP(Table2[[#This Row],[SKU]],'All Skus'!$A:$AC,2,FALSE))="AMX",(VLOOKUP(Table2[[#This Row],[SKU]],'All Skus'!$A:$AC,17,FALSE)),""))</f>
        <v>0</v>
      </c>
      <c r="M164" s="63">
        <f>(IF((VLOOKUP(Table2[[#This Row],[SKU]],'All Skus'!$A:$AC,2,FALSE))="AMX",(VLOOKUP(Table2[[#This Row],[SKU]],'All Skus'!$A:$AC,18,FALSE)),""))</f>
        <v>0.44</v>
      </c>
      <c r="N164" s="47">
        <f>(IF((VLOOKUP(Table2[[#This Row],[SKU]],'All Skus'!$A:$AC,2,FALSE))="AMX",(VLOOKUP(Table2[[#This Row],[SKU]],'All Skus'!$A:$AC,19,FALSE)),""))</f>
        <v>5.25</v>
      </c>
      <c r="O164" s="47">
        <f>(IF((VLOOKUP(Table2[[#This Row],[SKU]],'All Skus'!$A:$AC,2,FALSE))="AMX",(VLOOKUP(Table2[[#This Row],[SKU]],'All Skus'!$A:$AC,20,FALSE)),""))</f>
        <v>2.13</v>
      </c>
      <c r="P164" s="47">
        <f>(IF((VLOOKUP(Table2[[#This Row],[SKU]],'All Skus'!$A:$AC,2,FALSE))="AMX",(VLOOKUP(Table2[[#This Row],[SKU]],'All Skus'!$A:$AC,21,FALSE)),""))</f>
        <v>1.44</v>
      </c>
      <c r="Q164" s="47" t="str">
        <f>(IF((VLOOKUP(Table2[[#This Row],[SKU]],'All Skus'!$A:$AC,2,FALSE))="AMX",(VLOOKUP(Table2[[#This Row],[SKU]],'All Skus'!$A:$AC,22,FALSE)),""))</f>
        <v>CN</v>
      </c>
      <c r="R164" s="47" t="str">
        <f>(IF((VLOOKUP(Table2[[#This Row],[SKU]],'All Skus'!$A:$AC,2,FALSE))="AMX",(VLOOKUP(Table2[[#This Row],[SKU]],'All Skus'!$A:$AC,23,FALSE)),""))</f>
        <v>NonCompliant</v>
      </c>
      <c r="S164" s="210" t="str">
        <f>HYPERLINK((IF((VLOOKUP(Table2[[#This Row],[SKU]],'All Skus'!$A:$AC,2,FALSE))="AMX",(VLOOKUP(Table2[[#This Row],[SKU]],'All Skus'!$A:$AC,24,FALSE)),"")))</f>
        <v>https://www.amx.com/en-US/products/ps-poe-af-tc</v>
      </c>
      <c r="T164" s="151">
        <v>162</v>
      </c>
    </row>
    <row r="165" spans="1:20" ht="15" hidden="1" customHeight="1">
      <c r="A165" s="48" t="s">
        <v>674</v>
      </c>
      <c r="B165" s="280" t="str">
        <f>(IF((VLOOKUP(Table2[[#This Row],[SKU]],'All Skus'!$A:$AC,2,FALSE))="AMX",(VLOOKUP(Table2[[#This Row],[SKU]],'All Skus'!$A:$AC,3,FALSE)),""))</f>
        <v>Control System Accessories</v>
      </c>
      <c r="C165" s="280" t="str">
        <f>(IF((VLOOKUP(Table2[[#This Row],[SKU]],'All Skus'!$A:$AC,2,FALSE))="AMX",(VLOOKUP(Table2[[#This Row],[SKU]],'All Skus'!$A:$AC,4,FALSE)),""))</f>
        <v>PS-POE-AT-TC</v>
      </c>
      <c r="D165" s="47" t="str">
        <f>(IF((VLOOKUP(Table2[[#This Row],[SKU]],'All Skus'!$A:$AC,2,FALSE))="AMX",(VLOOKUP(Table2[[#This Row],[SKU]],'All Skus'!$A:$AC,5,FALSE)),""))</f>
        <v>AMX-UI</v>
      </c>
      <c r="E165" s="281">
        <f>(IF((VLOOKUP(Table2[[#This Row],[SKU]],'All Skus'!$A:$AC,2,FALSE))="AMX",(VLOOKUP(Table2[[#This Row],[SKU]],'All Skus'!$A:$AC,7,FALSE)),""))</f>
        <v>0</v>
      </c>
      <c r="F165" s="280" t="str">
        <f>(IF((VLOOKUP(Table2[[#This Row],[SKU]],'All Skus'!$A:$AC,2,FALSE))="AMX",(VLOOKUP(Table2[[#This Row],[SKU]],'All Skus'!$A:$AC,8,FALSE)),""))</f>
        <v>PoE Injector - 802.3at</v>
      </c>
      <c r="G165" s="280" t="str">
        <f>(IF((VLOOKUP(Table2[[#This Row],[SKU]],'All Skus'!$A:$AC,2,FALSE))="AMX",(VLOOKUP(Table2[[#This Row],[SKU]],'All Skus'!$A:$AC,9,FALSE)),""))</f>
        <v>High Power PoE Injector for DXLink Twisted Pair TX/RX and MVP-9000i, 802.3AT Compliant</v>
      </c>
      <c r="H165" s="157">
        <f>(IF((VLOOKUP(Table2[[#This Row],[SKU]],'All Skus'!$A:$AC,2,FALSE))="AMX",(VLOOKUP(Table2[[#This Row],[SKU]],'All Skus'!$A:$AC,10,FALSE)),""))</f>
        <v>240.1</v>
      </c>
      <c r="I165" s="157">
        <f>(IF((VLOOKUP(Table2[[#This Row],[SKU]],'All Skus'!$A:$AC,2,FALSE))="AMX",(VLOOKUP(Table2[[#This Row],[SKU]],'All Skus'!$A:$AC,11,FALSE)),""))</f>
        <v>240.1</v>
      </c>
      <c r="J165" s="47">
        <f>(IF((VLOOKUP(Table2[[#This Row],[SKU]],'All Skus'!$A:$AC,2,FALSE))="AMX",(VLOOKUP(Table2[[#This Row],[SKU]],'All Skus'!$A:$AC,15,FALSE)),""))</f>
        <v>0</v>
      </c>
      <c r="K165" s="47">
        <f>(IF((VLOOKUP(Table2[[#This Row],[SKU]],'All Skus'!$A:$AC,2,FALSE))="AMX",(VLOOKUP(Table2[[#This Row],[SKU]],'All Skus'!$A:$AC,16,FALSE)),""))</f>
        <v>718878246665</v>
      </c>
      <c r="L165" s="47">
        <f>(IF((VLOOKUP(Table2[[#This Row],[SKU]],'All Skus'!$A:$AC,2,FALSE))="AMX",(VLOOKUP(Table2[[#This Row],[SKU]],'All Skus'!$A:$AC,17,FALSE)),""))</f>
        <v>0</v>
      </c>
      <c r="M165" s="63">
        <f>(IF((VLOOKUP(Table2[[#This Row],[SKU]],'All Skus'!$A:$AC,2,FALSE))="AMX",(VLOOKUP(Table2[[#This Row],[SKU]],'All Skus'!$A:$AC,18,FALSE)),""))</f>
        <v>0.44</v>
      </c>
      <c r="N165" s="47">
        <f>(IF((VLOOKUP(Table2[[#This Row],[SKU]],'All Skus'!$A:$AC,2,FALSE))="AMX",(VLOOKUP(Table2[[#This Row],[SKU]],'All Skus'!$A:$AC,19,FALSE)),""))</f>
        <v>5.25</v>
      </c>
      <c r="O165" s="47">
        <f>(IF((VLOOKUP(Table2[[#This Row],[SKU]],'All Skus'!$A:$AC,2,FALSE))="AMX",(VLOOKUP(Table2[[#This Row],[SKU]],'All Skus'!$A:$AC,20,FALSE)),""))</f>
        <v>2.13</v>
      </c>
      <c r="P165" s="47">
        <f>(IF((VLOOKUP(Table2[[#This Row],[SKU]],'All Skus'!$A:$AC,2,FALSE))="AMX",(VLOOKUP(Table2[[#This Row],[SKU]],'All Skus'!$A:$AC,21,FALSE)),""))</f>
        <v>1.44</v>
      </c>
      <c r="Q165" s="47" t="str">
        <f>(IF((VLOOKUP(Table2[[#This Row],[SKU]],'All Skus'!$A:$AC,2,FALSE))="AMX",(VLOOKUP(Table2[[#This Row],[SKU]],'All Skus'!$A:$AC,22,FALSE)),""))</f>
        <v>CN</v>
      </c>
      <c r="R165" s="47" t="str">
        <f>(IF((VLOOKUP(Table2[[#This Row],[SKU]],'All Skus'!$A:$AC,2,FALSE))="AMX",(VLOOKUP(Table2[[#This Row],[SKU]],'All Skus'!$A:$AC,23,FALSE)),""))</f>
        <v>NonCompliant</v>
      </c>
      <c r="S165" s="210" t="str">
        <f>HYPERLINK((IF((VLOOKUP(Table2[[#This Row],[SKU]],'All Skus'!$A:$AC,2,FALSE))="AMX",(VLOOKUP(Table2[[#This Row],[SKU]],'All Skus'!$A:$AC,24,FALSE)),"")))</f>
        <v>https://www.amx.com/en-US/products/ps-poe-at-tc</v>
      </c>
      <c r="T165" s="151">
        <v>163</v>
      </c>
    </row>
    <row r="166" spans="1:20" ht="15" hidden="1" customHeight="1">
      <c r="A166" s="48" t="s">
        <v>675</v>
      </c>
      <c r="B166" s="280" t="str">
        <f>(IF((VLOOKUP(Table2[[#This Row],[SKU]],'All Skus'!$A:$AC,2,FALSE))="AMX",(VLOOKUP(Table2[[#This Row],[SKU]],'All Skus'!$A:$AC,3,FALSE)),""))</f>
        <v>Central Controllers</v>
      </c>
      <c r="C166" s="280" t="str">
        <f>(IF((VLOOKUP(Table2[[#This Row],[SKU]],'All Skus'!$A:$AC,2,FALSE))="AMX",(VLOOKUP(Table2[[#This Row],[SKU]],'All Skus'!$A:$AC,4,FALSE)),""))</f>
        <v>AC-RK</v>
      </c>
      <c r="D166" s="47" t="str">
        <f>(IF((VLOOKUP(Table2[[#This Row],[SKU]],'All Skus'!$A:$AC,2,FALSE))="AMX",(VLOOKUP(Table2[[#This Row],[SKU]],'All Skus'!$A:$AC,5,FALSE)),""))</f>
        <v>AMX-DC</v>
      </c>
      <c r="E166" s="281">
        <f>(IF((VLOOKUP(Table2[[#This Row],[SKU]],'All Skus'!$A:$AC,2,FALSE))="AMX",(VLOOKUP(Table2[[#This Row],[SKU]],'All Skus'!$A:$AC,7,FALSE)),""))</f>
        <v>0</v>
      </c>
      <c r="F166" s="280" t="str">
        <f>(IF((VLOOKUP(Table2[[#This Row],[SKU]],'All Skus'!$A:$AC,2,FALSE))="AMX",(VLOOKUP(Table2[[#This Row],[SKU]],'All Skus'!$A:$AC,8,FALSE)),""))</f>
        <v>Rack mount for AXB and NMS devices</v>
      </c>
      <c r="G166" s="280" t="str">
        <f>(IF((VLOOKUP(Table2[[#This Row],[SKU]],'All Skus'!$A:$AC,2,FALSE))="AMX",(VLOOKUP(Table2[[#This Row],[SKU]],'All Skus'!$A:$AC,9,FALSE)),""))</f>
        <v>Accessory Rack Kit holds up to three NetLinx modules and measures only one rack unit in height</v>
      </c>
      <c r="H166" s="157">
        <f>(IF((VLOOKUP(Table2[[#This Row],[SKU]],'All Skus'!$A:$AC,2,FALSE))="AMX",(VLOOKUP(Table2[[#This Row],[SKU]],'All Skus'!$A:$AC,10,FALSE)),""))</f>
        <v>98.3</v>
      </c>
      <c r="I166" s="157">
        <f>(IF((VLOOKUP(Table2[[#This Row],[SKU]],'All Skus'!$A:$AC,2,FALSE))="AMX",(VLOOKUP(Table2[[#This Row],[SKU]],'All Skus'!$A:$AC,11,FALSE)),""))</f>
        <v>98.3</v>
      </c>
      <c r="J166" s="47">
        <f>(IF((VLOOKUP(Table2[[#This Row],[SKU]],'All Skus'!$A:$AC,2,FALSE))="AMX",(VLOOKUP(Table2[[#This Row],[SKU]],'All Skus'!$A:$AC,15,FALSE)),""))</f>
        <v>0</v>
      </c>
      <c r="K166" s="47">
        <f>(IF((VLOOKUP(Table2[[#This Row],[SKU]],'All Skus'!$A:$AC,2,FALSE))="AMX",(VLOOKUP(Table2[[#This Row],[SKU]],'All Skus'!$A:$AC,16,FALSE)),""))</f>
        <v>718878007617</v>
      </c>
      <c r="L166" s="47">
        <f>(IF((VLOOKUP(Table2[[#This Row],[SKU]],'All Skus'!$A:$AC,2,FALSE))="AMX",(VLOOKUP(Table2[[#This Row],[SKU]],'All Skus'!$A:$AC,17,FALSE)),""))</f>
        <v>0</v>
      </c>
      <c r="M166" s="63">
        <f>(IF((VLOOKUP(Table2[[#This Row],[SKU]],'All Skus'!$A:$AC,2,FALSE))="AMX",(VLOOKUP(Table2[[#This Row],[SKU]],'All Skus'!$A:$AC,18,FALSE)),""))</f>
        <v>0.5</v>
      </c>
      <c r="N166" s="47">
        <f>(IF((VLOOKUP(Table2[[#This Row],[SKU]],'All Skus'!$A:$AC,2,FALSE))="AMX",(VLOOKUP(Table2[[#This Row],[SKU]],'All Skus'!$A:$AC,19,FALSE)),""))</f>
        <v>1.75</v>
      </c>
      <c r="O166" s="47">
        <f>(IF((VLOOKUP(Table2[[#This Row],[SKU]],'All Skus'!$A:$AC,2,FALSE))="AMX",(VLOOKUP(Table2[[#This Row],[SKU]],'All Skus'!$A:$AC,20,FALSE)),""))</f>
        <v>19</v>
      </c>
      <c r="P166" s="47">
        <f>(IF((VLOOKUP(Table2[[#This Row],[SKU]],'All Skus'!$A:$AC,2,FALSE))="AMX",(VLOOKUP(Table2[[#This Row],[SKU]],'All Skus'!$A:$AC,21,FALSE)),""))</f>
        <v>0.5</v>
      </c>
      <c r="Q166" s="47" t="str">
        <f>(IF((VLOOKUP(Table2[[#This Row],[SKU]],'All Skus'!$A:$AC,2,FALSE))="AMX",(VLOOKUP(Table2[[#This Row],[SKU]],'All Skus'!$A:$AC,22,FALSE)),""))</f>
        <v>US</v>
      </c>
      <c r="R166" s="47" t="str">
        <f>(IF((VLOOKUP(Table2[[#This Row],[SKU]],'All Skus'!$A:$AC,2,FALSE))="AMX",(VLOOKUP(Table2[[#This Row],[SKU]],'All Skus'!$A:$AC,23,FALSE)),""))</f>
        <v>Compliant</v>
      </c>
      <c r="S166" s="210" t="str">
        <f>HYPERLINK((IF((VLOOKUP(Table2[[#This Row],[SKU]],'All Skus'!$A:$AC,2,FALSE))="AMX",(VLOOKUP(Table2[[#This Row],[SKU]],'All Skus'!$A:$AC,24,FALSE)),"")))</f>
        <v>https://www.amx.com/en-US/products/ac-rk</v>
      </c>
      <c r="T166" s="151">
        <v>164</v>
      </c>
    </row>
    <row r="167" spans="1:20" ht="15" hidden="1" customHeight="1">
      <c r="A167" s="48" t="s">
        <v>676</v>
      </c>
      <c r="B167" s="280" t="str">
        <f>(IF((VLOOKUP(Table2[[#This Row],[SKU]],'All Skus'!$A:$AC,2,FALSE))="AMX",(VLOOKUP(Table2[[#This Row],[SKU]],'All Skus'!$A:$AC,3,FALSE)),""))</f>
        <v>Architectural Connectivity</v>
      </c>
      <c r="C167" s="280" t="str">
        <f>(IF((VLOOKUP(Table2[[#This Row],[SKU]],'All Skus'!$A:$AC,2,FALSE))="AMX",(VLOOKUP(Table2[[#This Row],[SKU]],'All Skus'!$A:$AC,4,FALSE)),""))</f>
        <v>HPX-AV102-DVI+A</v>
      </c>
      <c r="D167" s="47" t="str">
        <f>(IF((VLOOKUP(Table2[[#This Row],[SKU]],'All Skus'!$A:$AC,2,FALSE))="AMX",(VLOOKUP(Table2[[#This Row],[SKU]],'All Skus'!$A:$AC,5,FALSE)),""))</f>
        <v>AMX-ENV</v>
      </c>
      <c r="E167" s="281" t="str">
        <f>(IF((VLOOKUP(Table2[[#This Row],[SKU]],'All Skus'!$A:$AC,2,FALSE))="AMX",(VLOOKUP(Table2[[#This Row],[SKU]],'All Skus'!$A:$AC,7,FALSE)),""))</f>
        <v>Limited Quantity</v>
      </c>
      <c r="F167" s="280" t="str">
        <f>(IF((VLOOKUP(Table2[[#This Row],[SKU]],'All Skus'!$A:$AC,2,FALSE))="AMX",(VLOOKUP(Table2[[#This Row],[SKU]],'All Skus'!$A:$AC,8,FALSE)),""))</f>
        <v>DVI module for Hydraport</v>
      </c>
      <c r="G167" s="280" t="str">
        <f>(IF((VLOOKUP(Table2[[#This Row],[SKU]],'All Skus'!$A:$AC,2,FALSE))="AMX",(VLOOKUP(Table2[[#This Row],[SKU]],'All Skus'!$A:$AC,9,FALSE)),""))</f>
        <v>The HPX-AV102-DVI+A, DVI with Stereo Module with Integrated Cables, provides DVI video plus stereo audio connectivity to the Hydraport HPX-600,900,1200 and 1600 Connection Ports</v>
      </c>
      <c r="H167" s="157">
        <f>(IF((VLOOKUP(Table2[[#This Row],[SKU]],'All Skus'!$A:$AC,2,FALSE))="AMX",(VLOOKUP(Table2[[#This Row],[SKU]],'All Skus'!$A:$AC,10,FALSE)),""))</f>
        <v>174.1</v>
      </c>
      <c r="I167" s="157">
        <f>(IF((VLOOKUP(Table2[[#This Row],[SKU]],'All Skus'!$A:$AC,2,FALSE))="AMX",(VLOOKUP(Table2[[#This Row],[SKU]],'All Skus'!$A:$AC,11,FALSE)),""))</f>
        <v>174.1</v>
      </c>
      <c r="J167" s="47">
        <f>(IF((VLOOKUP(Table2[[#This Row],[SKU]],'All Skus'!$A:$AC,2,FALSE))="AMX",(VLOOKUP(Table2[[#This Row],[SKU]],'All Skus'!$A:$AC,15,FALSE)),""))</f>
        <v>0</v>
      </c>
      <c r="K167" s="47">
        <f>(IF((VLOOKUP(Table2[[#This Row],[SKU]],'All Skus'!$A:$AC,2,FALSE))="AMX",(VLOOKUP(Table2[[#This Row],[SKU]],'All Skus'!$A:$AC,16,FALSE)),""))</f>
        <v>718878244777</v>
      </c>
      <c r="L167" s="47">
        <f>(IF((VLOOKUP(Table2[[#This Row],[SKU]],'All Skus'!$A:$AC,2,FALSE))="AMX",(VLOOKUP(Table2[[#This Row],[SKU]],'All Skus'!$A:$AC,17,FALSE)),""))</f>
        <v>0</v>
      </c>
      <c r="M167" s="63">
        <f>(IF((VLOOKUP(Table2[[#This Row],[SKU]],'All Skus'!$A:$AC,2,FALSE))="AMX",(VLOOKUP(Table2[[#This Row],[SKU]],'All Skus'!$A:$AC,18,FALSE)),""))</f>
        <v>0.35</v>
      </c>
      <c r="N167" s="47">
        <f>(IF((VLOOKUP(Table2[[#This Row],[SKU]],'All Skus'!$A:$AC,2,FALSE))="AMX",(VLOOKUP(Table2[[#This Row],[SKU]],'All Skus'!$A:$AC,19,FALSE)),""))</f>
        <v>2.0499999999999998</v>
      </c>
      <c r="O167" s="47">
        <f>(IF((VLOOKUP(Table2[[#This Row],[SKU]],'All Skus'!$A:$AC,2,FALSE))="AMX",(VLOOKUP(Table2[[#This Row],[SKU]],'All Skus'!$A:$AC,20,FALSE)),""))</f>
        <v>1</v>
      </c>
      <c r="P167" s="47">
        <f>(IF((VLOOKUP(Table2[[#This Row],[SKU]],'All Skus'!$A:$AC,2,FALSE))="AMX",(VLOOKUP(Table2[[#This Row],[SKU]],'All Skus'!$A:$AC,21,FALSE)),""))</f>
        <v>78.75</v>
      </c>
      <c r="Q167" s="47" t="str">
        <f>(IF((VLOOKUP(Table2[[#This Row],[SKU]],'All Skus'!$A:$AC,2,FALSE))="AMX",(VLOOKUP(Table2[[#This Row],[SKU]],'All Skus'!$A:$AC,22,FALSE)),""))</f>
        <v>TW</v>
      </c>
      <c r="R167" s="47" t="str">
        <f>(IF((VLOOKUP(Table2[[#This Row],[SKU]],'All Skus'!$A:$AC,2,FALSE))="AMX",(VLOOKUP(Table2[[#This Row],[SKU]],'All Skus'!$A:$AC,23,FALSE)),""))</f>
        <v>Compliant</v>
      </c>
      <c r="S167" s="210" t="str">
        <f>HYPERLINK((IF((VLOOKUP(Table2[[#This Row],[SKU]],'All Skus'!$A:$AC,2,FALSE))="AMX",(VLOOKUP(Table2[[#This Row],[SKU]],'All Skus'!$A:$AC,24,FALSE)),"")))</f>
        <v>https://www.amx.com/en-US/products/hpx-av101-dvi-plusa</v>
      </c>
      <c r="T167" s="151">
        <v>165</v>
      </c>
    </row>
    <row r="168" spans="1:20" ht="15" hidden="1" customHeight="1">
      <c r="A168" s="48" t="s">
        <v>677</v>
      </c>
      <c r="B168" s="280" t="str">
        <f>(IF((VLOOKUP(Table2[[#This Row],[SKU]],'All Skus'!$A:$AC,2,FALSE))="AMX",(VLOOKUP(Table2[[#This Row],[SKU]],'All Skus'!$A:$AC,3,FALSE)),""))</f>
        <v>Architectural Connectivity</v>
      </c>
      <c r="C168" s="280" t="str">
        <f>(IF((VLOOKUP(Table2[[#This Row],[SKU]],'All Skus'!$A:$AC,2,FALSE))="AMX",(VLOOKUP(Table2[[#This Row],[SKU]],'All Skus'!$A:$AC,4,FALSE)),""))</f>
        <v>HPX-AV101-HDMI</v>
      </c>
      <c r="D168" s="47" t="str">
        <f>(IF((VLOOKUP(Table2[[#This Row],[SKU]],'All Skus'!$A:$AC,2,FALSE))="AMX",(VLOOKUP(Table2[[#This Row],[SKU]],'All Skus'!$A:$AC,5,FALSE)),""))</f>
        <v>AMX-ENV</v>
      </c>
      <c r="E168" s="281">
        <f>(IF((VLOOKUP(Table2[[#This Row],[SKU]],'All Skus'!$A:$AC,2,FALSE))="AMX",(VLOOKUP(Table2[[#This Row],[SKU]],'All Skus'!$A:$AC,7,FALSE)),""))</f>
        <v>0</v>
      </c>
      <c r="F168" s="280" t="str">
        <f>(IF((VLOOKUP(Table2[[#This Row],[SKU]],'All Skus'!$A:$AC,2,FALSE))="AMX",(VLOOKUP(Table2[[#This Row],[SKU]],'All Skus'!$A:$AC,8,FALSE)),""))</f>
        <v>HDMI module for Hydraport</v>
      </c>
      <c r="G168" s="280" t="str">
        <f>(IF((VLOOKUP(Table2[[#This Row],[SKU]],'All Skus'!$A:$AC,2,FALSE))="AMX",(VLOOKUP(Table2[[#This Row],[SKU]],'All Skus'!$A:$AC,9,FALSE)),""))</f>
        <v>HPX-AV101-HDMI, Single HDMI Module with Integrated Cable, provides an HDMI pass-through connection to Hydraport HPX-600,900,1200 and 1600 Connection Ports</v>
      </c>
      <c r="H168" s="157">
        <f>(IF((VLOOKUP(Table2[[#This Row],[SKU]],'All Skus'!$A:$AC,2,FALSE))="AMX",(VLOOKUP(Table2[[#This Row],[SKU]],'All Skus'!$A:$AC,10,FALSE)),""))</f>
        <v>199.3</v>
      </c>
      <c r="I168" s="157">
        <f>(IF((VLOOKUP(Table2[[#This Row],[SKU]],'All Skus'!$A:$AC,2,FALSE))="AMX",(VLOOKUP(Table2[[#This Row],[SKU]],'All Skus'!$A:$AC,11,FALSE)),""))</f>
        <v>199.3</v>
      </c>
      <c r="J168" s="47">
        <f>(IF((VLOOKUP(Table2[[#This Row],[SKU]],'All Skus'!$A:$AC,2,FALSE))="AMX",(VLOOKUP(Table2[[#This Row],[SKU]],'All Skus'!$A:$AC,15,FALSE)),""))</f>
        <v>0</v>
      </c>
      <c r="K168" s="47">
        <f>(IF((VLOOKUP(Table2[[#This Row],[SKU]],'All Skus'!$A:$AC,2,FALSE))="AMX",(VLOOKUP(Table2[[#This Row],[SKU]],'All Skus'!$A:$AC,16,FALSE)),""))</f>
        <v>718878007839</v>
      </c>
      <c r="L168" s="47">
        <f>(IF((VLOOKUP(Table2[[#This Row],[SKU]],'All Skus'!$A:$AC,2,FALSE))="AMX",(VLOOKUP(Table2[[#This Row],[SKU]],'All Skus'!$A:$AC,17,FALSE)),""))</f>
        <v>0</v>
      </c>
      <c r="M168" s="63">
        <f>(IF((VLOOKUP(Table2[[#This Row],[SKU]],'All Skus'!$A:$AC,2,FALSE))="AMX",(VLOOKUP(Table2[[#This Row],[SKU]],'All Skus'!$A:$AC,18,FALSE)),""))</f>
        <v>0.35</v>
      </c>
      <c r="N168" s="47">
        <f>(IF((VLOOKUP(Table2[[#This Row],[SKU]],'All Skus'!$A:$AC,2,FALSE))="AMX",(VLOOKUP(Table2[[#This Row],[SKU]],'All Skus'!$A:$AC,19,FALSE)),""))</f>
        <v>2.0499999999999998</v>
      </c>
      <c r="O168" s="47">
        <f>(IF((VLOOKUP(Table2[[#This Row],[SKU]],'All Skus'!$A:$AC,2,FALSE))="AMX",(VLOOKUP(Table2[[#This Row],[SKU]],'All Skus'!$A:$AC,20,FALSE)),""))</f>
        <v>1</v>
      </c>
      <c r="P168" s="47">
        <f>(IF((VLOOKUP(Table2[[#This Row],[SKU]],'All Skus'!$A:$AC,2,FALSE))="AMX",(VLOOKUP(Table2[[#This Row],[SKU]],'All Skus'!$A:$AC,21,FALSE)),""))</f>
        <v>78.75</v>
      </c>
      <c r="Q168" s="47" t="str">
        <f>(IF((VLOOKUP(Table2[[#This Row],[SKU]],'All Skus'!$A:$AC,2,FALSE))="AMX",(VLOOKUP(Table2[[#This Row],[SKU]],'All Skus'!$A:$AC,22,FALSE)),""))</f>
        <v>US</v>
      </c>
      <c r="R168" s="47" t="str">
        <f>(IF((VLOOKUP(Table2[[#This Row],[SKU]],'All Skus'!$A:$AC,2,FALSE))="AMX",(VLOOKUP(Table2[[#This Row],[SKU]],'All Skus'!$A:$AC,23,FALSE)),""))</f>
        <v>Compliant</v>
      </c>
      <c r="S168" s="210" t="str">
        <f>HYPERLINK((IF((VLOOKUP(Table2[[#This Row],[SKU]],'All Skus'!$A:$AC,2,FALSE))="AMX",(VLOOKUP(Table2[[#This Row],[SKU]],'All Skus'!$A:$AC,24,FALSE)),"")))</f>
        <v>https://www.amx.com/en-US/products/hpx-av101-hdmi</v>
      </c>
      <c r="T168" s="151">
        <v>166</v>
      </c>
    </row>
    <row r="169" spans="1:20" ht="15" hidden="1" customHeight="1">
      <c r="A169" s="48" t="s">
        <v>678</v>
      </c>
      <c r="B169" s="280" t="str">
        <f>(IF((VLOOKUP(Table2[[#This Row],[SKU]],'All Skus'!$A:$AC,2,FALSE))="AMX",(VLOOKUP(Table2[[#This Row],[SKU]],'All Skus'!$A:$AC,3,FALSE)),""))</f>
        <v>Architectural Connectivity</v>
      </c>
      <c r="C169" s="280" t="str">
        <f>(IF((VLOOKUP(Table2[[#This Row],[SKU]],'All Skus'!$A:$AC,2,FALSE))="AMX",(VLOOKUP(Table2[[#This Row],[SKU]],'All Skus'!$A:$AC,4,FALSE)),""))</f>
        <v>HPX-AV102-RGB+A</v>
      </c>
      <c r="D169" s="47" t="str">
        <f>(IF((VLOOKUP(Table2[[#This Row],[SKU]],'All Skus'!$A:$AC,2,FALSE))="AMX",(VLOOKUP(Table2[[#This Row],[SKU]],'All Skus'!$A:$AC,5,FALSE)),""))</f>
        <v>AMX-ENV</v>
      </c>
      <c r="E169" s="281" t="str">
        <f>(IF((VLOOKUP(Table2[[#This Row],[SKU]],'All Skus'!$A:$AC,2,FALSE))="AMX",(VLOOKUP(Table2[[#This Row],[SKU]],'All Skus'!$A:$AC,7,FALSE)),""))</f>
        <v>Limited Quantity</v>
      </c>
      <c r="F169" s="280" t="str">
        <f>(IF((VLOOKUP(Table2[[#This Row],[SKU]],'All Skus'!$A:$AC,2,FALSE))="AMX",(VLOOKUP(Table2[[#This Row],[SKU]],'All Skus'!$A:$AC,8,FALSE)),""))</f>
        <v>VGA module for Hydraport</v>
      </c>
      <c r="G169" s="280" t="str">
        <f>(IF((VLOOKUP(Table2[[#This Row],[SKU]],'All Skus'!$A:$AC,2,FALSE))="AMX",(VLOOKUP(Table2[[#This Row],[SKU]],'All Skus'!$A:$AC,9,FALSE)),""))</f>
        <v>HPX-AV102-RGB+A,VGA with Stereo Module with Integrated Cables, provides RUKHV Video with stereo audio pass-through connection to Hydraport HPX-600,900,1200 and 1600 Connection Ports</v>
      </c>
      <c r="H169" s="157">
        <f>(IF((VLOOKUP(Table2[[#This Row],[SKU]],'All Skus'!$A:$AC,2,FALSE))="AMX",(VLOOKUP(Table2[[#This Row],[SKU]],'All Skus'!$A:$AC,10,FALSE)),""))</f>
        <v>162.1</v>
      </c>
      <c r="I169" s="157">
        <f>(IF((VLOOKUP(Table2[[#This Row],[SKU]],'All Skus'!$A:$AC,2,FALSE))="AMX",(VLOOKUP(Table2[[#This Row],[SKU]],'All Skus'!$A:$AC,11,FALSE)),""))</f>
        <v>162.1</v>
      </c>
      <c r="J169" s="47">
        <f>(IF((VLOOKUP(Table2[[#This Row],[SKU]],'All Skus'!$A:$AC,2,FALSE))="AMX",(VLOOKUP(Table2[[#This Row],[SKU]],'All Skus'!$A:$AC,15,FALSE)),""))</f>
        <v>0</v>
      </c>
      <c r="K169" s="47">
        <f>(IF((VLOOKUP(Table2[[#This Row],[SKU]],'All Skus'!$A:$AC,2,FALSE))="AMX",(VLOOKUP(Table2[[#This Row],[SKU]],'All Skus'!$A:$AC,16,FALSE)),""))</f>
        <v>718878244883</v>
      </c>
      <c r="L169" s="47">
        <f>(IF((VLOOKUP(Table2[[#This Row],[SKU]],'All Skus'!$A:$AC,2,FALSE))="AMX",(VLOOKUP(Table2[[#This Row],[SKU]],'All Skus'!$A:$AC,17,FALSE)),""))</f>
        <v>0</v>
      </c>
      <c r="M169" s="63">
        <f>(IF((VLOOKUP(Table2[[#This Row],[SKU]],'All Skus'!$A:$AC,2,FALSE))="AMX",(VLOOKUP(Table2[[#This Row],[SKU]],'All Skus'!$A:$AC,18,FALSE)),""))</f>
        <v>0.35</v>
      </c>
      <c r="N169" s="47">
        <f>(IF((VLOOKUP(Table2[[#This Row],[SKU]],'All Skus'!$A:$AC,2,FALSE))="AMX",(VLOOKUP(Table2[[#This Row],[SKU]],'All Skus'!$A:$AC,19,FALSE)),""))</f>
        <v>2.0499999999999998</v>
      </c>
      <c r="O169" s="47">
        <f>(IF((VLOOKUP(Table2[[#This Row],[SKU]],'All Skus'!$A:$AC,2,FALSE))="AMX",(VLOOKUP(Table2[[#This Row],[SKU]],'All Skus'!$A:$AC,20,FALSE)),""))</f>
        <v>1</v>
      </c>
      <c r="P169" s="47">
        <f>(IF((VLOOKUP(Table2[[#This Row],[SKU]],'All Skus'!$A:$AC,2,FALSE))="AMX",(VLOOKUP(Table2[[#This Row],[SKU]],'All Skus'!$A:$AC,21,FALSE)),""))</f>
        <v>78.75</v>
      </c>
      <c r="Q169" s="47" t="str">
        <f>(IF((VLOOKUP(Table2[[#This Row],[SKU]],'All Skus'!$A:$AC,2,FALSE))="AMX",(VLOOKUP(Table2[[#This Row],[SKU]],'All Skus'!$A:$AC,22,FALSE)),""))</f>
        <v>US</v>
      </c>
      <c r="R169" s="47" t="str">
        <f>(IF((VLOOKUP(Table2[[#This Row],[SKU]],'All Skus'!$A:$AC,2,FALSE))="AMX",(VLOOKUP(Table2[[#This Row],[SKU]],'All Skus'!$A:$AC,23,FALSE)),""))</f>
        <v>Compliant</v>
      </c>
      <c r="S169" s="210" t="str">
        <f>HYPERLINK((IF((VLOOKUP(Table2[[#This Row],[SKU]],'All Skus'!$A:$AC,2,FALSE))="AMX",(VLOOKUP(Table2[[#This Row],[SKU]],'All Skus'!$A:$AC,24,FALSE)),"")))</f>
        <v>https://www.amx.com/en-US/products/hpx-av102-rgb-plusa</v>
      </c>
      <c r="T169" s="151">
        <v>167</v>
      </c>
    </row>
    <row r="170" spans="1:20" ht="15" hidden="1" customHeight="1">
      <c r="A170" s="48" t="s">
        <v>679</v>
      </c>
      <c r="B170" s="280" t="str">
        <f>(IF((VLOOKUP(Table2[[#This Row],[SKU]],'All Skus'!$A:$AC,2,FALSE))="AMX",(VLOOKUP(Table2[[#This Row],[SKU]],'All Skus'!$A:$AC,3,FALSE)),""))</f>
        <v>Architectural Connectivity</v>
      </c>
      <c r="C170" s="280" t="str">
        <f>(IF((VLOOKUP(Table2[[#This Row],[SKU]],'All Skus'!$A:$AC,2,FALSE))="AMX",(VLOOKUP(Table2[[#This Row],[SKU]],'All Skus'!$A:$AC,4,FALSE)),""))</f>
        <v>HPX-AV102-HDMI-R</v>
      </c>
      <c r="D170" s="47" t="str">
        <f>(IF((VLOOKUP(Table2[[#This Row],[SKU]],'All Skus'!$A:$AC,2,FALSE))="AMX",(VLOOKUP(Table2[[#This Row],[SKU]],'All Skus'!$A:$AC,5,FALSE)),""))</f>
        <v>AMX-ENV</v>
      </c>
      <c r="E170" s="281">
        <f>(IF((VLOOKUP(Table2[[#This Row],[SKU]],'All Skus'!$A:$AC,2,FALSE))="AMX",(VLOOKUP(Table2[[#This Row],[SKU]],'All Skus'!$A:$AC,7,FALSE)),""))</f>
        <v>0</v>
      </c>
      <c r="F170" s="280" t="str">
        <f>(IF((VLOOKUP(Table2[[#This Row],[SKU]],'All Skus'!$A:$AC,2,FALSE))="AMX",(VLOOKUP(Table2[[#This Row],[SKU]],'All Skus'!$A:$AC,8,FALSE)),""))</f>
        <v>HDMI retractable cable module for Hydraport</v>
      </c>
      <c r="G170" s="280" t="str">
        <f>(IF((VLOOKUP(Table2[[#This Row],[SKU]],'All Skus'!$A:$AC,2,FALSE))="AMX",(VLOOKUP(Table2[[#This Row],[SKU]],'All Skus'!$A:$AC,9,FALSE)),""))</f>
        <v>The HPX-AV102-HDMI-R 4K60 HDMI Module with Retractable MyTurn ready Cable delivers digital video in resolutions up to 4K @60hz with 5 feet available pullout from Hydraport HPX-600, 900 and 1200 Connection Ports or Touch Connection Ports</v>
      </c>
      <c r="H170" s="157">
        <f>(IF((VLOOKUP(Table2[[#This Row],[SKU]],'All Skus'!$A:$AC,2,FALSE))="AMX",(VLOOKUP(Table2[[#This Row],[SKU]],'All Skus'!$A:$AC,10,FALSE)),""))</f>
        <v>367.3</v>
      </c>
      <c r="I170" s="157">
        <f>(IF((VLOOKUP(Table2[[#This Row],[SKU]],'All Skus'!$A:$AC,2,FALSE))="AMX",(VLOOKUP(Table2[[#This Row],[SKU]],'All Skus'!$A:$AC,11,FALSE)),""))</f>
        <v>367.3</v>
      </c>
      <c r="J170" s="47">
        <f>(IF((VLOOKUP(Table2[[#This Row],[SKU]],'All Skus'!$A:$AC,2,FALSE))="AMX",(VLOOKUP(Table2[[#This Row],[SKU]],'All Skus'!$A:$AC,15,FALSE)),""))</f>
        <v>0</v>
      </c>
      <c r="K170" s="47">
        <f>(IF((VLOOKUP(Table2[[#This Row],[SKU]],'All Skus'!$A:$AC,2,FALSE))="AMX",(VLOOKUP(Table2[[#This Row],[SKU]],'All Skus'!$A:$AC,16,FALSE)),""))</f>
        <v>718878025116</v>
      </c>
      <c r="L170" s="47">
        <f>(IF((VLOOKUP(Table2[[#This Row],[SKU]],'All Skus'!$A:$AC,2,FALSE))="AMX",(VLOOKUP(Table2[[#This Row],[SKU]],'All Skus'!$A:$AC,17,FALSE)),""))</f>
        <v>0</v>
      </c>
      <c r="M170" s="63">
        <f>(IF((VLOOKUP(Table2[[#This Row],[SKU]],'All Skus'!$A:$AC,2,FALSE))="AMX",(VLOOKUP(Table2[[#This Row],[SKU]],'All Skus'!$A:$AC,18,FALSE)),""))</f>
        <v>1</v>
      </c>
      <c r="N170" s="47">
        <f>(IF((VLOOKUP(Table2[[#This Row],[SKU]],'All Skus'!$A:$AC,2,FALSE))="AMX",(VLOOKUP(Table2[[#This Row],[SKU]],'All Skus'!$A:$AC,19,FALSE)),""))</f>
        <v>8</v>
      </c>
      <c r="O170" s="47">
        <f>(IF((VLOOKUP(Table2[[#This Row],[SKU]],'All Skus'!$A:$AC,2,FALSE))="AMX",(VLOOKUP(Table2[[#This Row],[SKU]],'All Skus'!$A:$AC,20,FALSE)),""))</f>
        <v>1.5</v>
      </c>
      <c r="P170" s="47">
        <f>(IF((VLOOKUP(Table2[[#This Row],[SKU]],'All Skus'!$A:$AC,2,FALSE))="AMX",(VLOOKUP(Table2[[#This Row],[SKU]],'All Skus'!$A:$AC,21,FALSE)),""))</f>
        <v>11.2</v>
      </c>
      <c r="Q170" s="47" t="str">
        <f>(IF((VLOOKUP(Table2[[#This Row],[SKU]],'All Skus'!$A:$AC,2,FALSE))="AMX",(VLOOKUP(Table2[[#This Row],[SKU]],'All Skus'!$A:$AC,22,FALSE)),""))</f>
        <v>US</v>
      </c>
      <c r="R170" s="47" t="str">
        <f>(IF((VLOOKUP(Table2[[#This Row],[SKU]],'All Skus'!$A:$AC,2,FALSE))="AMX",(VLOOKUP(Table2[[#This Row],[SKU]],'All Skus'!$A:$AC,23,FALSE)),""))</f>
        <v>Compliant</v>
      </c>
      <c r="S170" s="210" t="str">
        <f>HYPERLINK((IF((VLOOKUP(Table2[[#This Row],[SKU]],'All Skus'!$A:$AC,2,FALSE))="AMX",(VLOOKUP(Table2[[#This Row],[SKU]],'All Skus'!$A:$AC,24,FALSE)),"")))</f>
        <v>https://www.amx.com/en-US/products/hpx-av102-hdmi-r</v>
      </c>
      <c r="T170" s="151">
        <v>168</v>
      </c>
    </row>
    <row r="171" spans="1:20" ht="15" hidden="1" customHeight="1">
      <c r="A171" s="48" t="s">
        <v>680</v>
      </c>
      <c r="B171" s="280" t="str">
        <f>(IF((VLOOKUP(Table2[[#This Row],[SKU]],'All Skus'!$A:$AC,2,FALSE))="AMX",(VLOOKUP(Table2[[#This Row],[SKU]],'All Skus'!$A:$AC,3,FALSE)),""))</f>
        <v>Architectural Connectivity</v>
      </c>
      <c r="C171" s="280" t="str">
        <f>(IF((VLOOKUP(Table2[[#This Row],[SKU]],'All Skus'!$A:$AC,2,FALSE))="AMX",(VLOOKUP(Table2[[#This Row],[SKU]],'All Skus'!$A:$AC,4,FALSE)),""))</f>
        <v>HPX-N102-ETH-R</v>
      </c>
      <c r="D171" s="47" t="str">
        <f>(IF((VLOOKUP(Table2[[#This Row],[SKU]],'All Skus'!$A:$AC,2,FALSE))="AMX",(VLOOKUP(Table2[[#This Row],[SKU]],'All Skus'!$A:$AC,5,FALSE)),""))</f>
        <v>AMX-ENV</v>
      </c>
      <c r="E171" s="281">
        <f>(IF((VLOOKUP(Table2[[#This Row],[SKU]],'All Skus'!$A:$AC,2,FALSE))="AMX",(VLOOKUP(Table2[[#This Row],[SKU]],'All Skus'!$A:$AC,7,FALSE)),""))</f>
        <v>0</v>
      </c>
      <c r="F171" s="280" t="str">
        <f>(IF((VLOOKUP(Table2[[#This Row],[SKU]],'All Skus'!$A:$AC,2,FALSE))="AMX",(VLOOKUP(Table2[[#This Row],[SKU]],'All Skus'!$A:$AC,8,FALSE)),""))</f>
        <v>Ethernet retractable cable module for Hydraport</v>
      </c>
      <c r="G171" s="280" t="str">
        <f>(IF((VLOOKUP(Table2[[#This Row],[SKU]],'All Skus'!$A:$AC,2,FALSE))="AMX",(VLOOKUP(Table2[[#This Row],[SKU]],'All Skus'!$A:$AC,9,FALSE)),""))</f>
        <v>The HPX-N102-ETH-R Cat6 Ethernet Module with Retractable MyTurn ready Cable provides a compact solution with 4 feet available pullout from Hydraport HPX-600, 900 and 1200 Connection Ports or Touch Connection Ports</v>
      </c>
      <c r="H171" s="157">
        <f>(IF((VLOOKUP(Table2[[#This Row],[SKU]],'All Skus'!$A:$AC,2,FALSE))="AMX",(VLOOKUP(Table2[[#This Row],[SKU]],'All Skus'!$A:$AC,10,FALSE)),""))</f>
        <v>348.7</v>
      </c>
      <c r="I171" s="157">
        <f>(IF((VLOOKUP(Table2[[#This Row],[SKU]],'All Skus'!$A:$AC,2,FALSE))="AMX",(VLOOKUP(Table2[[#This Row],[SKU]],'All Skus'!$A:$AC,11,FALSE)),""))</f>
        <v>348.7</v>
      </c>
      <c r="J171" s="47">
        <f>(IF((VLOOKUP(Table2[[#This Row],[SKU]],'All Skus'!$A:$AC,2,FALSE))="AMX",(VLOOKUP(Table2[[#This Row],[SKU]],'All Skus'!$A:$AC,15,FALSE)),""))</f>
        <v>0</v>
      </c>
      <c r="K171" s="47">
        <f>(IF((VLOOKUP(Table2[[#This Row],[SKU]],'All Skus'!$A:$AC,2,FALSE))="AMX",(VLOOKUP(Table2[[#This Row],[SKU]],'All Skus'!$A:$AC,16,FALSE)),""))</f>
        <v>718878025130</v>
      </c>
      <c r="L171" s="47">
        <f>(IF((VLOOKUP(Table2[[#This Row],[SKU]],'All Skus'!$A:$AC,2,FALSE))="AMX",(VLOOKUP(Table2[[#This Row],[SKU]],'All Skus'!$A:$AC,17,FALSE)),""))</f>
        <v>0</v>
      </c>
      <c r="M171" s="63">
        <f>(IF((VLOOKUP(Table2[[#This Row],[SKU]],'All Skus'!$A:$AC,2,FALSE))="AMX",(VLOOKUP(Table2[[#This Row],[SKU]],'All Skus'!$A:$AC,18,FALSE)),""))</f>
        <v>1</v>
      </c>
      <c r="N171" s="47">
        <f>(IF((VLOOKUP(Table2[[#This Row],[SKU]],'All Skus'!$A:$AC,2,FALSE))="AMX",(VLOOKUP(Table2[[#This Row],[SKU]],'All Skus'!$A:$AC,19,FALSE)),""))</f>
        <v>8</v>
      </c>
      <c r="O171" s="47">
        <f>(IF((VLOOKUP(Table2[[#This Row],[SKU]],'All Skus'!$A:$AC,2,FALSE))="AMX",(VLOOKUP(Table2[[#This Row],[SKU]],'All Skus'!$A:$AC,20,FALSE)),""))</f>
        <v>1.5</v>
      </c>
      <c r="P171" s="47">
        <f>(IF((VLOOKUP(Table2[[#This Row],[SKU]],'All Skus'!$A:$AC,2,FALSE))="AMX",(VLOOKUP(Table2[[#This Row],[SKU]],'All Skus'!$A:$AC,21,FALSE)),""))</f>
        <v>11.2</v>
      </c>
      <c r="Q171" s="47" t="str">
        <f>(IF((VLOOKUP(Table2[[#This Row],[SKU]],'All Skus'!$A:$AC,2,FALSE))="AMX",(VLOOKUP(Table2[[#This Row],[SKU]],'All Skus'!$A:$AC,22,FALSE)),""))</f>
        <v>US</v>
      </c>
      <c r="R171" s="47" t="str">
        <f>(IF((VLOOKUP(Table2[[#This Row],[SKU]],'All Skus'!$A:$AC,2,FALSE))="AMX",(VLOOKUP(Table2[[#This Row],[SKU]],'All Skus'!$A:$AC,23,FALSE)),""))</f>
        <v>Compliant</v>
      </c>
      <c r="S171" s="210" t="str">
        <f>HYPERLINK((IF((VLOOKUP(Table2[[#This Row],[SKU]],'All Skus'!$A:$AC,2,FALSE))="AMX",(VLOOKUP(Table2[[#This Row],[SKU]],'All Skus'!$A:$AC,24,FALSE)),"")))</f>
        <v>https://www.amx.com/en-US/products/hpx-n102-eth-r</v>
      </c>
      <c r="T171" s="151">
        <v>169</v>
      </c>
    </row>
    <row r="172" spans="1:20" ht="15" hidden="1" customHeight="1">
      <c r="A172" s="48" t="s">
        <v>681</v>
      </c>
      <c r="B172" s="280" t="str">
        <f>(IF((VLOOKUP(Table2[[#This Row],[SKU]],'All Skus'!$A:$AC,2,FALSE))="AMX",(VLOOKUP(Table2[[#This Row],[SKU]],'All Skus'!$A:$AC,3,FALSE)),""))</f>
        <v>Architectural Connectivity</v>
      </c>
      <c r="C172" s="280" t="str">
        <f>(IF((VLOOKUP(Table2[[#This Row],[SKU]],'All Skus'!$A:$AC,2,FALSE))="AMX",(VLOOKUP(Table2[[#This Row],[SKU]],'All Skus'!$A:$AC,4,FALSE)),""))</f>
        <v>HPX-AV103-RGB+A-R</v>
      </c>
      <c r="D172" s="47" t="str">
        <f>(IF((VLOOKUP(Table2[[#This Row],[SKU]],'All Skus'!$A:$AC,2,FALSE))="AMX",(VLOOKUP(Table2[[#This Row],[SKU]],'All Skus'!$A:$AC,5,FALSE)),""))</f>
        <v>AMX-ENV</v>
      </c>
      <c r="E172" s="291" t="str">
        <f>(IF((VLOOKUP(Table2[[#This Row],[SKU]],'All Skus'!$A:$AC,2,FALSE))="AMX",(VLOOKUP(Table2[[#This Row],[SKU]],'All Skus'!$A:$AC,7,FALSE)),""))</f>
        <v>Limited Quantity - REDUCED</v>
      </c>
      <c r="F172" s="280" t="str">
        <f>(IF((VLOOKUP(Table2[[#This Row],[SKU]],'All Skus'!$A:$AC,2,FALSE))="AMX",(VLOOKUP(Table2[[#This Row],[SKU]],'All Skus'!$A:$AC,8,FALSE)),""))</f>
        <v>VGA retractable cable module for Hydraport</v>
      </c>
      <c r="G172" s="280" t="str">
        <f>(IF((VLOOKUP(Table2[[#This Row],[SKU]],'All Skus'!$A:$AC,2,FALSE))="AMX",(VLOOKUP(Table2[[#This Row],[SKU]],'All Skus'!$A:$AC,9,FALSE)),""))</f>
        <v>The HPX-AV103-RGB+A-R, VGA with Stereo Module with Retractable MyTurn ready Cable provides a compact solution with 5 feet available pullout from Hydraport HPX-600, 900 and 1200 Connection Ports or Touch Connection Ports</v>
      </c>
      <c r="H172" s="157">
        <f>(IF((VLOOKUP(Table2[[#This Row],[SKU]],'All Skus'!$A:$AC,2,FALSE))="AMX",(VLOOKUP(Table2[[#This Row],[SKU]],'All Skus'!$A:$AC,10,FALSE)),""))</f>
        <v>348.7</v>
      </c>
      <c r="I172" s="157">
        <f>(IF((VLOOKUP(Table2[[#This Row],[SKU]],'All Skus'!$A:$AC,2,FALSE))="AMX",(VLOOKUP(Table2[[#This Row],[SKU]],'All Skus'!$A:$AC,11,FALSE)),""))</f>
        <v>203.13</v>
      </c>
      <c r="J172" s="47">
        <f>(IF((VLOOKUP(Table2[[#This Row],[SKU]],'All Skus'!$A:$AC,2,FALSE))="AMX",(VLOOKUP(Table2[[#This Row],[SKU]],'All Skus'!$A:$AC,15,FALSE)),""))</f>
        <v>0</v>
      </c>
      <c r="K172" s="47">
        <f>(IF((VLOOKUP(Table2[[#This Row],[SKU]],'All Skus'!$A:$AC,2,FALSE))="AMX",(VLOOKUP(Table2[[#This Row],[SKU]],'All Skus'!$A:$AC,16,FALSE)),""))</f>
        <v>718878025147</v>
      </c>
      <c r="L172" s="47">
        <f>(IF((VLOOKUP(Table2[[#This Row],[SKU]],'All Skus'!$A:$AC,2,FALSE))="AMX",(VLOOKUP(Table2[[#This Row],[SKU]],'All Skus'!$A:$AC,17,FALSE)),""))</f>
        <v>0</v>
      </c>
      <c r="M172" s="63">
        <f>(IF((VLOOKUP(Table2[[#This Row],[SKU]],'All Skus'!$A:$AC,2,FALSE))="AMX",(VLOOKUP(Table2[[#This Row],[SKU]],'All Skus'!$A:$AC,18,FALSE)),""))</f>
        <v>1</v>
      </c>
      <c r="N172" s="47">
        <f>(IF((VLOOKUP(Table2[[#This Row],[SKU]],'All Skus'!$A:$AC,2,FALSE))="AMX",(VLOOKUP(Table2[[#This Row],[SKU]],'All Skus'!$A:$AC,19,FALSE)),""))</f>
        <v>8</v>
      </c>
      <c r="O172" s="47">
        <f>(IF((VLOOKUP(Table2[[#This Row],[SKU]],'All Skus'!$A:$AC,2,FALSE))="AMX",(VLOOKUP(Table2[[#This Row],[SKU]],'All Skus'!$A:$AC,20,FALSE)),""))</f>
        <v>1.5</v>
      </c>
      <c r="P172" s="47">
        <f>(IF((VLOOKUP(Table2[[#This Row],[SKU]],'All Skus'!$A:$AC,2,FALSE))="AMX",(VLOOKUP(Table2[[#This Row],[SKU]],'All Skus'!$A:$AC,21,FALSE)),""))</f>
        <v>11.2</v>
      </c>
      <c r="Q172" s="47" t="str">
        <f>(IF((VLOOKUP(Table2[[#This Row],[SKU]],'All Skus'!$A:$AC,2,FALSE))="AMX",(VLOOKUP(Table2[[#This Row],[SKU]],'All Skus'!$A:$AC,22,FALSE)),""))</f>
        <v>US</v>
      </c>
      <c r="R172" s="47" t="str">
        <f>(IF((VLOOKUP(Table2[[#This Row],[SKU]],'All Skus'!$A:$AC,2,FALSE))="AMX",(VLOOKUP(Table2[[#This Row],[SKU]],'All Skus'!$A:$AC,23,FALSE)),""))</f>
        <v>Compliant</v>
      </c>
      <c r="S172" s="210" t="str">
        <f>HYPERLINK((IF((VLOOKUP(Table2[[#This Row],[SKU]],'All Skus'!$A:$AC,2,FALSE))="AMX",(VLOOKUP(Table2[[#This Row],[SKU]],'All Skus'!$A:$AC,24,FALSE)),"")))</f>
        <v>https://www.amx.com/en-US/products/hpx-av103-rgb-plusa-r</v>
      </c>
      <c r="T172" s="151">
        <v>170</v>
      </c>
    </row>
    <row r="173" spans="1:20" ht="15" hidden="1" customHeight="1">
      <c r="A173" s="48" t="s">
        <v>682</v>
      </c>
      <c r="B173" s="280" t="str">
        <f>(IF((VLOOKUP(Table2[[#This Row],[SKU]],'All Skus'!$A:$AC,2,FALSE))="AMX",(VLOOKUP(Table2[[#This Row],[SKU]],'All Skus'!$A:$AC,3,FALSE)),""))</f>
        <v>Architectural Connectivity</v>
      </c>
      <c r="C173" s="280" t="str">
        <f>(IF((VLOOKUP(Table2[[#This Row],[SKU]],'All Skus'!$A:$AC,2,FALSE))="AMX",(VLOOKUP(Table2[[#This Row],[SKU]],'All Skus'!$A:$AC,4,FALSE)),""))</f>
        <v>HPX-AV102-USB-R</v>
      </c>
      <c r="D173" s="47" t="str">
        <f>(IF((VLOOKUP(Table2[[#This Row],[SKU]],'All Skus'!$A:$AC,2,FALSE))="AMX",(VLOOKUP(Table2[[#This Row],[SKU]],'All Skus'!$A:$AC,5,FALSE)),""))</f>
        <v>AMX-ENV</v>
      </c>
      <c r="E173" s="281">
        <f>(IF((VLOOKUP(Table2[[#This Row],[SKU]],'All Skus'!$A:$AC,2,FALSE))="AMX",(VLOOKUP(Table2[[#This Row],[SKU]],'All Skus'!$A:$AC,7,FALSE)),""))</f>
        <v>0</v>
      </c>
      <c r="F173" s="280" t="str">
        <f>(IF((VLOOKUP(Table2[[#This Row],[SKU]],'All Skus'!$A:$AC,2,FALSE))="AMX",(VLOOKUP(Table2[[#This Row],[SKU]],'All Skus'!$A:$AC,8,FALSE)),""))</f>
        <v>USB 3.0 retractable cable module for Hydraport</v>
      </c>
      <c r="G173" s="280" t="str">
        <f>(IF((VLOOKUP(Table2[[#This Row],[SKU]],'All Skus'!$A:$AC,2,FALSE))="AMX",(VLOOKUP(Table2[[#This Row],[SKU]],'All Skus'!$A:$AC,9,FALSE)),""))</f>
        <v>The HPX-AV102-USB-R USB 3.0 Module with Retractable MyTurn ready Cable provides a compact solution with 4 feet available pullout from Hydraport HPX-600, 900 and 1200 Connection Ports or Touch Connection Ports</v>
      </c>
      <c r="H173" s="157">
        <f>(IF((VLOOKUP(Table2[[#This Row],[SKU]],'All Skus'!$A:$AC,2,FALSE))="AMX",(VLOOKUP(Table2[[#This Row],[SKU]],'All Skus'!$A:$AC,10,FALSE)),""))</f>
        <v>366.1</v>
      </c>
      <c r="I173" s="157">
        <f>(IF((VLOOKUP(Table2[[#This Row],[SKU]],'All Skus'!$A:$AC,2,FALSE))="AMX",(VLOOKUP(Table2[[#This Row],[SKU]],'All Skus'!$A:$AC,11,FALSE)),""))</f>
        <v>366.1</v>
      </c>
      <c r="J173" s="47">
        <f>(IF((VLOOKUP(Table2[[#This Row],[SKU]],'All Skus'!$A:$AC,2,FALSE))="AMX",(VLOOKUP(Table2[[#This Row],[SKU]],'All Skus'!$A:$AC,15,FALSE)),""))</f>
        <v>0</v>
      </c>
      <c r="K173" s="47">
        <f>(IF((VLOOKUP(Table2[[#This Row],[SKU]],'All Skus'!$A:$AC,2,FALSE))="AMX",(VLOOKUP(Table2[[#This Row],[SKU]],'All Skus'!$A:$AC,16,FALSE)),""))</f>
        <v>718878025161</v>
      </c>
      <c r="L173" s="47">
        <f>(IF((VLOOKUP(Table2[[#This Row],[SKU]],'All Skus'!$A:$AC,2,FALSE))="AMX",(VLOOKUP(Table2[[#This Row],[SKU]],'All Skus'!$A:$AC,17,FALSE)),""))</f>
        <v>0</v>
      </c>
      <c r="M173" s="63">
        <f>(IF((VLOOKUP(Table2[[#This Row],[SKU]],'All Skus'!$A:$AC,2,FALSE))="AMX",(VLOOKUP(Table2[[#This Row],[SKU]],'All Skus'!$A:$AC,18,FALSE)),""))</f>
        <v>1</v>
      </c>
      <c r="N173" s="47">
        <f>(IF((VLOOKUP(Table2[[#This Row],[SKU]],'All Skus'!$A:$AC,2,FALSE))="AMX",(VLOOKUP(Table2[[#This Row],[SKU]],'All Skus'!$A:$AC,19,FALSE)),""))</f>
        <v>8</v>
      </c>
      <c r="O173" s="47">
        <f>(IF((VLOOKUP(Table2[[#This Row],[SKU]],'All Skus'!$A:$AC,2,FALSE))="AMX",(VLOOKUP(Table2[[#This Row],[SKU]],'All Skus'!$A:$AC,20,FALSE)),""))</f>
        <v>1.5</v>
      </c>
      <c r="P173" s="47">
        <f>(IF((VLOOKUP(Table2[[#This Row],[SKU]],'All Skus'!$A:$AC,2,FALSE))="AMX",(VLOOKUP(Table2[[#This Row],[SKU]],'All Skus'!$A:$AC,21,FALSE)),""))</f>
        <v>11.2</v>
      </c>
      <c r="Q173" s="47" t="str">
        <f>(IF((VLOOKUP(Table2[[#This Row],[SKU]],'All Skus'!$A:$AC,2,FALSE))="AMX",(VLOOKUP(Table2[[#This Row],[SKU]],'All Skus'!$A:$AC,22,FALSE)),""))</f>
        <v>US</v>
      </c>
      <c r="R173" s="47" t="str">
        <f>(IF((VLOOKUP(Table2[[#This Row],[SKU]],'All Skus'!$A:$AC,2,FALSE))="AMX",(VLOOKUP(Table2[[#This Row],[SKU]],'All Skus'!$A:$AC,23,FALSE)),""))</f>
        <v>Compliant</v>
      </c>
      <c r="S173" s="210" t="str">
        <f>HYPERLINK((IF((VLOOKUP(Table2[[#This Row],[SKU]],'All Skus'!$A:$AC,2,FALSE))="AMX",(VLOOKUP(Table2[[#This Row],[SKU]],'All Skus'!$A:$AC,24,FALSE)),"")))</f>
        <v>https://www.amx.com/en-US/products/hpx-av102-usb-r</v>
      </c>
      <c r="T173" s="151">
        <v>171</v>
      </c>
    </row>
    <row r="174" spans="1:20" ht="15" hidden="1" customHeight="1">
      <c r="A174" s="48" t="s">
        <v>683</v>
      </c>
      <c r="B174" s="280" t="str">
        <f>(IF((VLOOKUP(Table2[[#This Row],[SKU]],'All Skus'!$A:$AC,2,FALSE))="AMX",(VLOOKUP(Table2[[#This Row],[SKU]],'All Skus'!$A:$AC,3,FALSE)),""))</f>
        <v>Architectural Connectivity</v>
      </c>
      <c r="C174" s="280" t="str">
        <f>(IF((VLOOKUP(Table2[[#This Row],[SKU]],'All Skus'!$A:$AC,2,FALSE))="AMX",(VLOOKUP(Table2[[#This Row],[SKU]],'All Skus'!$A:$AC,4,FALSE)),""))</f>
        <v>HPX-AV102A-DP-R</v>
      </c>
      <c r="D174" s="47" t="str">
        <f>(IF((VLOOKUP(Table2[[#This Row],[SKU]],'All Skus'!$A:$AC,2,FALSE))="AMX",(VLOOKUP(Table2[[#This Row],[SKU]],'All Skus'!$A:$AC,5,FALSE)),""))</f>
        <v>AMX-ENV</v>
      </c>
      <c r="E174" s="291" t="str">
        <f>(IF((VLOOKUP(Table2[[#This Row],[SKU]],'All Skus'!$A:$AC,2,FALSE))="AMX",(VLOOKUP(Table2[[#This Row],[SKU]],'All Skus'!$A:$AC,7,FALSE)),""))</f>
        <v>Limited Quantity - REDUCED</v>
      </c>
      <c r="F174" s="280" t="str">
        <f>(IF((VLOOKUP(Table2[[#This Row],[SKU]],'All Skus'!$A:$AC,2,FALSE))="AMX",(VLOOKUP(Table2[[#This Row],[SKU]],'All Skus'!$A:$AC,8,FALSE)),""))</f>
        <v>DisplayPort retractable cable module for Hydraport</v>
      </c>
      <c r="G174" s="280" t="str">
        <f>(IF((VLOOKUP(Table2[[#This Row],[SKU]],'All Skus'!$A:$AC,2,FALSE))="AMX",(VLOOKUP(Table2[[#This Row],[SKU]],'All Skus'!$A:$AC,9,FALSE)),""))</f>
        <v>The HPX-AV102A-DP-R 4K60 DisplayPort Module with Retractable MyTurn ready Cable provides a compact solution with 4 feet available pullout from Hydraport HPX-600, 900 and 1200 Connection Ports or Touch Connection Ports. This model replaces FG552-33 (HPX-AV102-DP-R). The new model provides a longer pigtail to simplify under table installation.</v>
      </c>
      <c r="H174" s="157">
        <f>(IF((VLOOKUP(Table2[[#This Row],[SKU]],'All Skus'!$A:$AC,2,FALSE))="AMX",(VLOOKUP(Table2[[#This Row],[SKU]],'All Skus'!$A:$AC,10,FALSE)),""))</f>
        <v>365.9</v>
      </c>
      <c r="I174" s="157">
        <f>(IF((VLOOKUP(Table2[[#This Row],[SKU]],'All Skus'!$A:$AC,2,FALSE))="AMX",(VLOOKUP(Table2[[#This Row],[SKU]],'All Skus'!$A:$AC,11,FALSE)),""))</f>
        <v>213.12</v>
      </c>
      <c r="J174" s="47">
        <f>(IF((VLOOKUP(Table2[[#This Row],[SKU]],'All Skus'!$A:$AC,2,FALSE))="AMX",(VLOOKUP(Table2[[#This Row],[SKU]],'All Skus'!$A:$AC,15,FALSE)),""))</f>
        <v>0</v>
      </c>
      <c r="K174" s="47">
        <f>(IF((VLOOKUP(Table2[[#This Row],[SKU]],'All Skus'!$A:$AC,2,FALSE))="AMX",(VLOOKUP(Table2[[#This Row],[SKU]],'All Skus'!$A:$AC,16,FALSE)),""))</f>
        <v>718878032930</v>
      </c>
      <c r="L174" s="47">
        <f>(IF((VLOOKUP(Table2[[#This Row],[SKU]],'All Skus'!$A:$AC,2,FALSE))="AMX",(VLOOKUP(Table2[[#This Row],[SKU]],'All Skus'!$A:$AC,17,FALSE)),""))</f>
        <v>0</v>
      </c>
      <c r="M174" s="63">
        <f>(IF((VLOOKUP(Table2[[#This Row],[SKU]],'All Skus'!$A:$AC,2,FALSE))="AMX",(VLOOKUP(Table2[[#This Row],[SKU]],'All Skus'!$A:$AC,18,FALSE)),""))</f>
        <v>1</v>
      </c>
      <c r="N174" s="47">
        <f>(IF((VLOOKUP(Table2[[#This Row],[SKU]],'All Skus'!$A:$AC,2,FALSE))="AMX",(VLOOKUP(Table2[[#This Row],[SKU]],'All Skus'!$A:$AC,19,FALSE)),""))</f>
        <v>8</v>
      </c>
      <c r="O174" s="47">
        <f>(IF((VLOOKUP(Table2[[#This Row],[SKU]],'All Skus'!$A:$AC,2,FALSE))="AMX",(VLOOKUP(Table2[[#This Row],[SKU]],'All Skus'!$A:$AC,20,FALSE)),""))</f>
        <v>1.5</v>
      </c>
      <c r="P174" s="47">
        <f>(IF((VLOOKUP(Table2[[#This Row],[SKU]],'All Skus'!$A:$AC,2,FALSE))="AMX",(VLOOKUP(Table2[[#This Row],[SKU]],'All Skus'!$A:$AC,21,FALSE)),""))</f>
        <v>11.2</v>
      </c>
      <c r="Q174" s="47" t="str">
        <f>(IF((VLOOKUP(Table2[[#This Row],[SKU]],'All Skus'!$A:$AC,2,FALSE))="AMX",(VLOOKUP(Table2[[#This Row],[SKU]],'All Skus'!$A:$AC,22,FALSE)),""))</f>
        <v>US</v>
      </c>
      <c r="R174" s="47" t="str">
        <f>(IF((VLOOKUP(Table2[[#This Row],[SKU]],'All Skus'!$A:$AC,2,FALSE))="AMX",(VLOOKUP(Table2[[#This Row],[SKU]],'All Skus'!$A:$AC,23,FALSE)),""))</f>
        <v>Compliant</v>
      </c>
      <c r="S174" s="210" t="str">
        <f>HYPERLINK((IF((VLOOKUP(Table2[[#This Row],[SKU]],'All Skus'!$A:$AC,2,FALSE))="AMX",(VLOOKUP(Table2[[#This Row],[SKU]],'All Skus'!$A:$AC,24,FALSE)),"")))</f>
        <v>https://www.amx.com/en-US/products/hpx-av102a-dp-r</v>
      </c>
      <c r="T174" s="151">
        <v>172</v>
      </c>
    </row>
    <row r="175" spans="1:20" ht="15" hidden="1" customHeight="1">
      <c r="A175" s="48" t="s">
        <v>684</v>
      </c>
      <c r="B175" s="280" t="str">
        <f>(IF((VLOOKUP(Table2[[#This Row],[SKU]],'All Skus'!$A:$AC,2,FALSE))="AMX",(VLOOKUP(Table2[[#This Row],[SKU]],'All Skus'!$A:$AC,3,FALSE)),""))</f>
        <v>Architectural Connectivity</v>
      </c>
      <c r="C175" s="280" t="str">
        <f>(IF((VLOOKUP(Table2[[#This Row],[SKU]],'All Skus'!$A:$AC,2,FALSE))="AMX",(VLOOKUP(Table2[[#This Row],[SKU]],'All Skus'!$A:$AC,4,FALSE)),""))</f>
        <v>HPX-AV102A-MDP-R</v>
      </c>
      <c r="D175" s="47" t="str">
        <f>(IF((VLOOKUP(Table2[[#This Row],[SKU]],'All Skus'!$A:$AC,2,FALSE))="AMX",(VLOOKUP(Table2[[#This Row],[SKU]],'All Skus'!$A:$AC,5,FALSE)),""))</f>
        <v>AMX-ENV</v>
      </c>
      <c r="E175" s="291" t="str">
        <f>(IF((VLOOKUP(Table2[[#This Row],[SKU]],'All Skus'!$A:$AC,2,FALSE))="AMX",(VLOOKUP(Table2[[#This Row],[SKU]],'All Skus'!$A:$AC,7,FALSE)),""))</f>
        <v>Limited Quantity - REDUCED</v>
      </c>
      <c r="F175" s="280" t="str">
        <f>(IF((VLOOKUP(Table2[[#This Row],[SKU]],'All Skus'!$A:$AC,2,FALSE))="AMX",(VLOOKUP(Table2[[#This Row],[SKU]],'All Skus'!$A:$AC,8,FALSE)),""))</f>
        <v>Mini-DisplayPort retractable cable module for Hydraport</v>
      </c>
      <c r="G175" s="280" t="str">
        <f>(IF((VLOOKUP(Table2[[#This Row],[SKU]],'All Skus'!$A:$AC,2,FALSE))="AMX",(VLOOKUP(Table2[[#This Row],[SKU]],'All Skus'!$A:$AC,9,FALSE)),""))</f>
        <v>The HPX-AV102-MDP-R 4K60 Mini DisplayPort Module with Retractable MyTurn ready Cable provides a compact solution with 5 feet available pullout from Hydraport HPX-600, 900 and 1200 Connection Ports or Touch Connection Ports. This model replaces FG552-36 (HPX-AV102-MDP-R). The new model provides a longer pigtail to simplify under table installation.</v>
      </c>
      <c r="H175" s="157">
        <f>(IF((VLOOKUP(Table2[[#This Row],[SKU]],'All Skus'!$A:$AC,2,FALSE))="AMX",(VLOOKUP(Table2[[#This Row],[SKU]],'All Skus'!$A:$AC,10,FALSE)),""))</f>
        <v>348.7</v>
      </c>
      <c r="I175" s="157">
        <f>(IF((VLOOKUP(Table2[[#This Row],[SKU]],'All Skus'!$A:$AC,2,FALSE))="AMX",(VLOOKUP(Table2[[#This Row],[SKU]],'All Skus'!$A:$AC,11,FALSE)),""))</f>
        <v>203.13</v>
      </c>
      <c r="J175" s="47">
        <f>(IF((VLOOKUP(Table2[[#This Row],[SKU]],'All Skus'!$A:$AC,2,FALSE))="AMX",(VLOOKUP(Table2[[#This Row],[SKU]],'All Skus'!$A:$AC,15,FALSE)),""))</f>
        <v>0</v>
      </c>
      <c r="K175" s="47">
        <f>(IF((VLOOKUP(Table2[[#This Row],[SKU]],'All Skus'!$A:$AC,2,FALSE))="AMX",(VLOOKUP(Table2[[#This Row],[SKU]],'All Skus'!$A:$AC,16,FALSE)),""))</f>
        <v>718878022818</v>
      </c>
      <c r="L175" s="47">
        <f>(IF((VLOOKUP(Table2[[#This Row],[SKU]],'All Skus'!$A:$AC,2,FALSE))="AMX",(VLOOKUP(Table2[[#This Row],[SKU]],'All Skus'!$A:$AC,17,FALSE)),""))</f>
        <v>0</v>
      </c>
      <c r="M175" s="63">
        <f>(IF((VLOOKUP(Table2[[#This Row],[SKU]],'All Skus'!$A:$AC,2,FALSE))="AMX",(VLOOKUP(Table2[[#This Row],[SKU]],'All Skus'!$A:$AC,18,FALSE)),""))</f>
        <v>1</v>
      </c>
      <c r="N175" s="47">
        <f>(IF((VLOOKUP(Table2[[#This Row],[SKU]],'All Skus'!$A:$AC,2,FALSE))="AMX",(VLOOKUP(Table2[[#This Row],[SKU]],'All Skus'!$A:$AC,19,FALSE)),""))</f>
        <v>8</v>
      </c>
      <c r="O175" s="47">
        <f>(IF((VLOOKUP(Table2[[#This Row],[SKU]],'All Skus'!$A:$AC,2,FALSE))="AMX",(VLOOKUP(Table2[[#This Row],[SKU]],'All Skus'!$A:$AC,20,FALSE)),""))</f>
        <v>1.5</v>
      </c>
      <c r="P175" s="47">
        <f>(IF((VLOOKUP(Table2[[#This Row],[SKU]],'All Skus'!$A:$AC,2,FALSE))="AMX",(VLOOKUP(Table2[[#This Row],[SKU]],'All Skus'!$A:$AC,21,FALSE)),""))</f>
        <v>11.2</v>
      </c>
      <c r="Q175" s="47" t="str">
        <f>(IF((VLOOKUP(Table2[[#This Row],[SKU]],'All Skus'!$A:$AC,2,FALSE))="AMX",(VLOOKUP(Table2[[#This Row],[SKU]],'All Skus'!$A:$AC,22,FALSE)),""))</f>
        <v>US</v>
      </c>
      <c r="R175" s="47" t="str">
        <f>(IF((VLOOKUP(Table2[[#This Row],[SKU]],'All Skus'!$A:$AC,2,FALSE))="AMX",(VLOOKUP(Table2[[#This Row],[SKU]],'All Skus'!$A:$AC,23,FALSE)),""))</f>
        <v>Compliant</v>
      </c>
      <c r="S175" s="210" t="str">
        <f>HYPERLINK((IF((VLOOKUP(Table2[[#This Row],[SKU]],'All Skus'!$A:$AC,2,FALSE))="AMX",(VLOOKUP(Table2[[#This Row],[SKU]],'All Skus'!$A:$AC,24,FALSE)),"")))</f>
        <v>https://www.amx.com/en-US/products/hpx-av102a-mdp-r</v>
      </c>
      <c r="T175" s="151">
        <v>173</v>
      </c>
    </row>
    <row r="176" spans="1:20" ht="15" hidden="1" customHeight="1">
      <c r="A176" s="48" t="s">
        <v>685</v>
      </c>
      <c r="B176" s="280" t="str">
        <f>(IF((VLOOKUP(Table2[[#This Row],[SKU]],'All Skus'!$A:$AC,2,FALSE))="AMX",(VLOOKUP(Table2[[#This Row],[SKU]],'All Skus'!$A:$AC,3,FALSE)),""))</f>
        <v>Architectural Connectivity</v>
      </c>
      <c r="C176" s="280" t="str">
        <f>(IF((VLOOKUP(Table2[[#This Row],[SKU]],'All Skus'!$A:$AC,2,FALSE))="AMX",(VLOOKUP(Table2[[#This Row],[SKU]],'All Skus'!$A:$AC,4,FALSE)),""))</f>
        <v>HPX-N100-RJ45</v>
      </c>
      <c r="D176" s="47" t="str">
        <f>(IF((VLOOKUP(Table2[[#This Row],[SKU]],'All Skus'!$A:$AC,2,FALSE))="AMX",(VLOOKUP(Table2[[#This Row],[SKU]],'All Skus'!$A:$AC,5,FALSE)),""))</f>
        <v>AMX-ENV</v>
      </c>
      <c r="E176" s="281">
        <f>(IF((VLOOKUP(Table2[[#This Row],[SKU]],'All Skus'!$A:$AC,2,FALSE))="AMX",(VLOOKUP(Table2[[#This Row],[SKU]],'All Skus'!$A:$AC,7,FALSE)),""))</f>
        <v>0</v>
      </c>
      <c r="F176" s="280" t="str">
        <f>(IF((VLOOKUP(Table2[[#This Row],[SKU]],'All Skus'!$A:$AC,2,FALSE))="AMX",(VLOOKUP(Table2[[#This Row],[SKU]],'All Skus'!$A:$AC,8,FALSE)),""))</f>
        <v>Single RJ-45 module for Hydraport</v>
      </c>
      <c r="G176" s="280" t="str">
        <f>(IF((VLOOKUP(Table2[[#This Row],[SKU]],'All Skus'!$A:$AC,2,FALSE))="AMX",(VLOOKUP(Table2[[#This Row],[SKU]],'All Skus'!$A:$AC,9,FALSE)),""))</f>
        <v>The HPX-N100-RJ45, Single Ethernet Module, provides a single RJ-45 connection to the Hydraport HPX-600,900,1200 and 1600 Connection Ports</v>
      </c>
      <c r="H176" s="157">
        <f>(IF((VLOOKUP(Table2[[#This Row],[SKU]],'All Skus'!$A:$AC,2,FALSE))="AMX",(VLOOKUP(Table2[[#This Row],[SKU]],'All Skus'!$A:$AC,10,FALSE)),""))</f>
        <v>62.4</v>
      </c>
      <c r="I176" s="157">
        <f>(IF((VLOOKUP(Table2[[#This Row],[SKU]],'All Skus'!$A:$AC,2,FALSE))="AMX",(VLOOKUP(Table2[[#This Row],[SKU]],'All Skus'!$A:$AC,11,FALSE)),""))</f>
        <v>62.4</v>
      </c>
      <c r="J176" s="47">
        <f>(IF((VLOOKUP(Table2[[#This Row],[SKU]],'All Skus'!$A:$AC,2,FALSE))="AMX",(VLOOKUP(Table2[[#This Row],[SKU]],'All Skus'!$A:$AC,15,FALSE)),""))</f>
        <v>0</v>
      </c>
      <c r="K176" s="47">
        <f>(IF((VLOOKUP(Table2[[#This Row],[SKU]],'All Skus'!$A:$AC,2,FALSE))="AMX",(VLOOKUP(Table2[[#This Row],[SKU]],'All Skus'!$A:$AC,16,FALSE)),""))</f>
        <v>718878007877</v>
      </c>
      <c r="L176" s="47">
        <f>(IF((VLOOKUP(Table2[[#This Row],[SKU]],'All Skus'!$A:$AC,2,FALSE))="AMX",(VLOOKUP(Table2[[#This Row],[SKU]],'All Skus'!$A:$AC,17,FALSE)),""))</f>
        <v>0</v>
      </c>
      <c r="M176" s="63">
        <f>(IF((VLOOKUP(Table2[[#This Row],[SKU]],'All Skus'!$A:$AC,2,FALSE))="AMX",(VLOOKUP(Table2[[#This Row],[SKU]],'All Skus'!$A:$AC,18,FALSE)),""))</f>
        <v>0.1</v>
      </c>
      <c r="N176" s="47">
        <f>(IF((VLOOKUP(Table2[[#This Row],[SKU]],'All Skus'!$A:$AC,2,FALSE))="AMX",(VLOOKUP(Table2[[#This Row],[SKU]],'All Skus'!$A:$AC,19,FALSE)),""))</f>
        <v>2.0499999999999998</v>
      </c>
      <c r="O176" s="47">
        <f>(IF((VLOOKUP(Table2[[#This Row],[SKU]],'All Skus'!$A:$AC,2,FALSE))="AMX",(VLOOKUP(Table2[[#This Row],[SKU]],'All Skus'!$A:$AC,20,FALSE)),""))</f>
        <v>1</v>
      </c>
      <c r="P176" s="47">
        <f>(IF((VLOOKUP(Table2[[#This Row],[SKU]],'All Skus'!$A:$AC,2,FALSE))="AMX",(VLOOKUP(Table2[[#This Row],[SKU]],'All Skus'!$A:$AC,21,FALSE)),""))</f>
        <v>2</v>
      </c>
      <c r="Q176" s="47" t="str">
        <f>(IF((VLOOKUP(Table2[[#This Row],[SKU]],'All Skus'!$A:$AC,2,FALSE))="AMX",(VLOOKUP(Table2[[#This Row],[SKU]],'All Skus'!$A:$AC,22,FALSE)),""))</f>
        <v>US</v>
      </c>
      <c r="R176" s="47" t="str">
        <f>(IF((VLOOKUP(Table2[[#This Row],[SKU]],'All Skus'!$A:$AC,2,FALSE))="AMX",(VLOOKUP(Table2[[#This Row],[SKU]],'All Skus'!$A:$AC,23,FALSE)),""))</f>
        <v>Compliant</v>
      </c>
      <c r="S176" s="210" t="str">
        <f>HYPERLINK((IF((VLOOKUP(Table2[[#This Row],[SKU]],'All Skus'!$A:$AC,2,FALSE))="AMX",(VLOOKUP(Table2[[#This Row],[SKU]],'All Skus'!$A:$AC,24,FALSE)),"")))</f>
        <v>https://www.amx.com/en-US/products/hpx-n100-rj45</v>
      </c>
      <c r="T176" s="151">
        <v>174</v>
      </c>
    </row>
    <row r="177" spans="1:20" ht="15" hidden="1" customHeight="1">
      <c r="A177" s="48" t="s">
        <v>686</v>
      </c>
      <c r="B177" s="280" t="str">
        <f>(IF((VLOOKUP(Table2[[#This Row],[SKU]],'All Skus'!$A:$AC,2,FALSE))="AMX",(VLOOKUP(Table2[[#This Row],[SKU]],'All Skus'!$A:$AC,3,FALSE)),""))</f>
        <v>Architectural Connectivity</v>
      </c>
      <c r="C177" s="280" t="str">
        <f>(IF((VLOOKUP(Table2[[#This Row],[SKU]],'All Skus'!$A:$AC,2,FALSE))="AMX",(VLOOKUP(Table2[[#This Row],[SKU]],'All Skus'!$A:$AC,4,FALSE)),""))</f>
        <v>HPX-N102-RJ45</v>
      </c>
      <c r="D177" s="47" t="str">
        <f>(IF((VLOOKUP(Table2[[#This Row],[SKU]],'All Skus'!$A:$AC,2,FALSE))="AMX",(VLOOKUP(Table2[[#This Row],[SKU]],'All Skus'!$A:$AC,5,FALSE)),""))</f>
        <v>AMX-ENV</v>
      </c>
      <c r="E177" s="281">
        <f>(IF((VLOOKUP(Table2[[#This Row],[SKU]],'All Skus'!$A:$AC,2,FALSE))="AMX",(VLOOKUP(Table2[[#This Row],[SKU]],'All Skus'!$A:$AC,7,FALSE)),""))</f>
        <v>0</v>
      </c>
      <c r="F177" s="280" t="str">
        <f>(IF((VLOOKUP(Table2[[#This Row],[SKU]],'All Skus'!$A:$AC,2,FALSE))="AMX",(VLOOKUP(Table2[[#This Row],[SKU]],'All Skus'!$A:$AC,8,FALSE)),""))</f>
        <v>Dual RJ-45 module for Hydraport</v>
      </c>
      <c r="G177" s="280" t="str">
        <f>(IF((VLOOKUP(Table2[[#This Row],[SKU]],'All Skus'!$A:$AC,2,FALSE))="AMX",(VLOOKUP(Table2[[#This Row],[SKU]],'All Skus'!$A:$AC,9,FALSE)),""))</f>
        <v>The HPX-N102-RJ45, Dual Ethernet Module, provides two RJ-45 connections to the Hydraport HPX-600,900,1200 and 1600 Connection Ports</v>
      </c>
      <c r="H177" s="157">
        <f>(IF((VLOOKUP(Table2[[#This Row],[SKU]],'All Skus'!$A:$AC,2,FALSE))="AMX",(VLOOKUP(Table2[[#This Row],[SKU]],'All Skus'!$A:$AC,10,FALSE)),""))</f>
        <v>97.2</v>
      </c>
      <c r="I177" s="157">
        <f>(IF((VLOOKUP(Table2[[#This Row],[SKU]],'All Skus'!$A:$AC,2,FALSE))="AMX",(VLOOKUP(Table2[[#This Row],[SKU]],'All Skus'!$A:$AC,11,FALSE)),""))</f>
        <v>97.2</v>
      </c>
      <c r="J177" s="47">
        <f>(IF((VLOOKUP(Table2[[#This Row],[SKU]],'All Skus'!$A:$AC,2,FALSE))="AMX",(VLOOKUP(Table2[[#This Row],[SKU]],'All Skus'!$A:$AC,15,FALSE)),""))</f>
        <v>0</v>
      </c>
      <c r="K177" s="47">
        <f>(IF((VLOOKUP(Table2[[#This Row],[SKU]],'All Skus'!$A:$AC,2,FALSE))="AMX",(VLOOKUP(Table2[[#This Row],[SKU]],'All Skus'!$A:$AC,16,FALSE)),""))</f>
        <v>718878007884</v>
      </c>
      <c r="L177" s="47">
        <f>(IF((VLOOKUP(Table2[[#This Row],[SKU]],'All Skus'!$A:$AC,2,FALSE))="AMX",(VLOOKUP(Table2[[#This Row],[SKU]],'All Skus'!$A:$AC,17,FALSE)),""))</f>
        <v>0</v>
      </c>
      <c r="M177" s="63">
        <f>(IF((VLOOKUP(Table2[[#This Row],[SKU]],'All Skus'!$A:$AC,2,FALSE))="AMX",(VLOOKUP(Table2[[#This Row],[SKU]],'All Skus'!$A:$AC,18,FALSE)),""))</f>
        <v>0.1</v>
      </c>
      <c r="N177" s="47">
        <f>(IF((VLOOKUP(Table2[[#This Row],[SKU]],'All Skus'!$A:$AC,2,FALSE))="AMX",(VLOOKUP(Table2[[#This Row],[SKU]],'All Skus'!$A:$AC,19,FALSE)),""))</f>
        <v>2.0499999999999998</v>
      </c>
      <c r="O177" s="47">
        <f>(IF((VLOOKUP(Table2[[#This Row],[SKU]],'All Skus'!$A:$AC,2,FALSE))="AMX",(VLOOKUP(Table2[[#This Row],[SKU]],'All Skus'!$A:$AC,20,FALSE)),""))</f>
        <v>1</v>
      </c>
      <c r="P177" s="47">
        <f>(IF((VLOOKUP(Table2[[#This Row],[SKU]],'All Skus'!$A:$AC,2,FALSE))="AMX",(VLOOKUP(Table2[[#This Row],[SKU]],'All Skus'!$A:$AC,21,FALSE)),""))</f>
        <v>2</v>
      </c>
      <c r="Q177" s="47" t="str">
        <f>(IF((VLOOKUP(Table2[[#This Row],[SKU]],'All Skus'!$A:$AC,2,FALSE))="AMX",(VLOOKUP(Table2[[#This Row],[SKU]],'All Skus'!$A:$AC,22,FALSE)),""))</f>
        <v>US</v>
      </c>
      <c r="R177" s="47" t="str">
        <f>(IF((VLOOKUP(Table2[[#This Row],[SKU]],'All Skus'!$A:$AC,2,FALSE))="AMX",(VLOOKUP(Table2[[#This Row],[SKU]],'All Skus'!$A:$AC,23,FALSE)),""))</f>
        <v>Compliant</v>
      </c>
      <c r="S177" s="210" t="str">
        <f>HYPERLINK((IF((VLOOKUP(Table2[[#This Row],[SKU]],'All Skus'!$A:$AC,2,FALSE))="AMX",(VLOOKUP(Table2[[#This Row],[SKU]],'All Skus'!$A:$AC,24,FALSE)),"")))</f>
        <v>https://www.amx.com/en-US/products/hpx-n102-rj45</v>
      </c>
      <c r="T177" s="151">
        <v>175</v>
      </c>
    </row>
    <row r="178" spans="1:20" ht="15" hidden="1" customHeight="1">
      <c r="A178" s="48" t="s">
        <v>687</v>
      </c>
      <c r="B178" s="280" t="str">
        <f>(IF((VLOOKUP(Table2[[#This Row],[SKU]],'All Skus'!$A:$AC,2,FALSE))="AMX",(VLOOKUP(Table2[[#This Row],[SKU]],'All Skus'!$A:$AC,3,FALSE)),""))</f>
        <v>Architectural Connectivity</v>
      </c>
      <c r="C178" s="280" t="str">
        <f>(IF((VLOOKUP(Table2[[#This Row],[SKU]],'All Skus'!$A:$AC,2,FALSE))="AMX",(VLOOKUP(Table2[[#This Row],[SKU]],'All Skus'!$A:$AC,4,FALSE)),""))</f>
        <v>HPX-N100-USB</v>
      </c>
      <c r="D178" s="47" t="str">
        <f>(IF((VLOOKUP(Table2[[#This Row],[SKU]],'All Skus'!$A:$AC,2,FALSE))="AMX",(VLOOKUP(Table2[[#This Row],[SKU]],'All Skus'!$A:$AC,5,FALSE)),""))</f>
        <v>AMX-ENV</v>
      </c>
      <c r="E178" s="281">
        <f>(IF((VLOOKUP(Table2[[#This Row],[SKU]],'All Skus'!$A:$AC,2,FALSE))="AMX",(VLOOKUP(Table2[[#This Row],[SKU]],'All Skus'!$A:$AC,7,FALSE)),""))</f>
        <v>0</v>
      </c>
      <c r="F178" s="280" t="str">
        <f>(IF((VLOOKUP(Table2[[#This Row],[SKU]],'All Skus'!$A:$AC,2,FALSE))="AMX",(VLOOKUP(Table2[[#This Row],[SKU]],'All Skus'!$A:$AC,8,FALSE)),""))</f>
        <v>Single USB Device  module for Hydraport</v>
      </c>
      <c r="G178" s="280" t="str">
        <f>(IF((VLOOKUP(Table2[[#This Row],[SKU]],'All Skus'!$A:$AC,2,FALSE))="AMX",(VLOOKUP(Table2[[#This Row],[SKU]],'All Skus'!$A:$AC,9,FALSE)),""))</f>
        <v>The HPX-N100-USB, Single USB Module, provides a single USB connection to the Hydraport HPX-600,900,1200 and 1600 Connection Ports</v>
      </c>
      <c r="H178" s="157">
        <f>(IF((VLOOKUP(Table2[[#This Row],[SKU]],'All Skus'!$A:$AC,2,FALSE))="AMX",(VLOOKUP(Table2[[#This Row],[SKU]],'All Skus'!$A:$AC,10,FALSE)),""))</f>
        <v>78</v>
      </c>
      <c r="I178" s="157">
        <f>(IF((VLOOKUP(Table2[[#This Row],[SKU]],'All Skus'!$A:$AC,2,FALSE))="AMX",(VLOOKUP(Table2[[#This Row],[SKU]],'All Skus'!$A:$AC,11,FALSE)),""))</f>
        <v>78</v>
      </c>
      <c r="J178" s="47">
        <f>(IF((VLOOKUP(Table2[[#This Row],[SKU]],'All Skus'!$A:$AC,2,FALSE))="AMX",(VLOOKUP(Table2[[#This Row],[SKU]],'All Skus'!$A:$AC,15,FALSE)),""))</f>
        <v>0</v>
      </c>
      <c r="K178" s="47">
        <f>(IF((VLOOKUP(Table2[[#This Row],[SKU]],'All Skus'!$A:$AC,2,FALSE))="AMX",(VLOOKUP(Table2[[#This Row],[SKU]],'All Skus'!$A:$AC,16,FALSE)),""))</f>
        <v>718878007891</v>
      </c>
      <c r="L178" s="47">
        <f>(IF((VLOOKUP(Table2[[#This Row],[SKU]],'All Skus'!$A:$AC,2,FALSE))="AMX",(VLOOKUP(Table2[[#This Row],[SKU]],'All Skus'!$A:$AC,17,FALSE)),""))</f>
        <v>0</v>
      </c>
      <c r="M178" s="63">
        <f>(IF((VLOOKUP(Table2[[#This Row],[SKU]],'All Skus'!$A:$AC,2,FALSE))="AMX",(VLOOKUP(Table2[[#This Row],[SKU]],'All Skus'!$A:$AC,18,FALSE)),""))</f>
        <v>0.25</v>
      </c>
      <c r="N178" s="47">
        <f>(IF((VLOOKUP(Table2[[#This Row],[SKU]],'All Skus'!$A:$AC,2,FALSE))="AMX",(VLOOKUP(Table2[[#This Row],[SKU]],'All Skus'!$A:$AC,19,FALSE)),""))</f>
        <v>2.0499999999999998</v>
      </c>
      <c r="O178" s="47">
        <f>(IF((VLOOKUP(Table2[[#This Row],[SKU]],'All Skus'!$A:$AC,2,FALSE))="AMX",(VLOOKUP(Table2[[#This Row],[SKU]],'All Skus'!$A:$AC,20,FALSE)),""))</f>
        <v>1</v>
      </c>
      <c r="P178" s="47">
        <f>(IF((VLOOKUP(Table2[[#This Row],[SKU]],'All Skus'!$A:$AC,2,FALSE))="AMX",(VLOOKUP(Table2[[#This Row],[SKU]],'All Skus'!$A:$AC,21,FALSE)),""))</f>
        <v>72</v>
      </c>
      <c r="Q178" s="47" t="str">
        <f>(IF((VLOOKUP(Table2[[#This Row],[SKU]],'All Skus'!$A:$AC,2,FALSE))="AMX",(VLOOKUP(Table2[[#This Row],[SKU]],'All Skus'!$A:$AC,22,FALSE)),""))</f>
        <v>US</v>
      </c>
      <c r="R178" s="47" t="str">
        <f>(IF((VLOOKUP(Table2[[#This Row],[SKU]],'All Skus'!$A:$AC,2,FALSE))="AMX",(VLOOKUP(Table2[[#This Row],[SKU]],'All Skus'!$A:$AC,23,FALSE)),""))</f>
        <v>Compliant</v>
      </c>
      <c r="S178" s="210" t="str">
        <f>HYPERLINK((IF((VLOOKUP(Table2[[#This Row],[SKU]],'All Skus'!$A:$AC,2,FALSE))="AMX",(VLOOKUP(Table2[[#This Row],[SKU]],'All Skus'!$A:$AC,24,FALSE)),"")))</f>
        <v>https://www.amx.com/en-US/products/hpx-n100-usb</v>
      </c>
      <c r="T178" s="151">
        <v>176</v>
      </c>
    </row>
    <row r="179" spans="1:20" ht="15" hidden="1" customHeight="1">
      <c r="A179" s="48" t="s">
        <v>688</v>
      </c>
      <c r="B179" s="280" t="str">
        <f>(IF((VLOOKUP(Table2[[#This Row],[SKU]],'All Skus'!$A:$AC,2,FALSE))="AMX",(VLOOKUP(Table2[[#This Row],[SKU]],'All Skus'!$A:$AC,3,FALSE)),""))</f>
        <v>Architectural Connectivity</v>
      </c>
      <c r="C179" s="280" t="str">
        <f>(IF((VLOOKUP(Table2[[#This Row],[SKU]],'All Skus'!$A:$AC,2,FALSE))="AMX",(VLOOKUP(Table2[[#This Row],[SKU]],'All Skus'!$A:$AC,4,FALSE)),""))</f>
        <v>HPX-N102-USB</v>
      </c>
      <c r="D179" s="47" t="str">
        <f>(IF((VLOOKUP(Table2[[#This Row],[SKU]],'All Skus'!$A:$AC,2,FALSE))="AMX",(VLOOKUP(Table2[[#This Row],[SKU]],'All Skus'!$A:$AC,5,FALSE)),""))</f>
        <v>AMX-ENV</v>
      </c>
      <c r="E179" s="281">
        <f>(IF((VLOOKUP(Table2[[#This Row],[SKU]],'All Skus'!$A:$AC,2,FALSE))="AMX",(VLOOKUP(Table2[[#This Row],[SKU]],'All Skus'!$A:$AC,7,FALSE)),""))</f>
        <v>0</v>
      </c>
      <c r="F179" s="280" t="str">
        <f>(IF((VLOOKUP(Table2[[#This Row],[SKU]],'All Skus'!$A:$AC,2,FALSE))="AMX",(VLOOKUP(Table2[[#This Row],[SKU]],'All Skus'!$A:$AC,8,FALSE)),""))</f>
        <v>Dual USB Device module for Hydraport</v>
      </c>
      <c r="G179" s="280" t="str">
        <f>(IF((VLOOKUP(Table2[[#This Row],[SKU]],'All Skus'!$A:$AC,2,FALSE))="AMX",(VLOOKUP(Table2[[#This Row],[SKU]],'All Skus'!$A:$AC,9,FALSE)),""))</f>
        <v>The HPX-N102-USB, Dual USB Module with Printed USB Symbol provides a dual USB connection to the Hydraport HPX-600,900,1200 and 1600 Connection Ports</v>
      </c>
      <c r="H179" s="157">
        <f>(IF((VLOOKUP(Table2[[#This Row],[SKU]],'All Skus'!$A:$AC,2,FALSE))="AMX",(VLOOKUP(Table2[[#This Row],[SKU]],'All Skus'!$A:$AC,10,FALSE)),""))</f>
        <v>99.6</v>
      </c>
      <c r="I179" s="157">
        <f>(IF((VLOOKUP(Table2[[#This Row],[SKU]],'All Skus'!$A:$AC,2,FALSE))="AMX",(VLOOKUP(Table2[[#This Row],[SKU]],'All Skus'!$A:$AC,11,FALSE)),""))</f>
        <v>99.6</v>
      </c>
      <c r="J179" s="47">
        <f>(IF((VLOOKUP(Table2[[#This Row],[SKU]],'All Skus'!$A:$AC,2,FALSE))="AMX",(VLOOKUP(Table2[[#This Row],[SKU]],'All Skus'!$A:$AC,15,FALSE)),""))</f>
        <v>0</v>
      </c>
      <c r="K179" s="47">
        <f>(IF((VLOOKUP(Table2[[#This Row],[SKU]],'All Skus'!$A:$AC,2,FALSE))="AMX",(VLOOKUP(Table2[[#This Row],[SKU]],'All Skus'!$A:$AC,16,FALSE)),""))</f>
        <v>718878025178</v>
      </c>
      <c r="L179" s="47">
        <f>(IF((VLOOKUP(Table2[[#This Row],[SKU]],'All Skus'!$A:$AC,2,FALSE))="AMX",(VLOOKUP(Table2[[#This Row],[SKU]],'All Skus'!$A:$AC,17,FALSE)),""))</f>
        <v>0</v>
      </c>
      <c r="M179" s="63">
        <f>(IF((VLOOKUP(Table2[[#This Row],[SKU]],'All Skus'!$A:$AC,2,FALSE))="AMX",(VLOOKUP(Table2[[#This Row],[SKU]],'All Skus'!$A:$AC,18,FALSE)),""))</f>
        <v>0.35</v>
      </c>
      <c r="N179" s="47">
        <f>(IF((VLOOKUP(Table2[[#This Row],[SKU]],'All Skus'!$A:$AC,2,FALSE))="AMX",(VLOOKUP(Table2[[#This Row],[SKU]],'All Skus'!$A:$AC,19,FALSE)),""))</f>
        <v>2.0499999999999998</v>
      </c>
      <c r="O179" s="47">
        <f>(IF((VLOOKUP(Table2[[#This Row],[SKU]],'All Skus'!$A:$AC,2,FALSE))="AMX",(VLOOKUP(Table2[[#This Row],[SKU]],'All Skus'!$A:$AC,20,FALSE)),""))</f>
        <v>1</v>
      </c>
      <c r="P179" s="47">
        <f>(IF((VLOOKUP(Table2[[#This Row],[SKU]],'All Skus'!$A:$AC,2,FALSE))="AMX",(VLOOKUP(Table2[[#This Row],[SKU]],'All Skus'!$A:$AC,21,FALSE)),""))</f>
        <v>72</v>
      </c>
      <c r="Q179" s="47" t="str">
        <f>(IF((VLOOKUP(Table2[[#This Row],[SKU]],'All Skus'!$A:$AC,2,FALSE))="AMX",(VLOOKUP(Table2[[#This Row],[SKU]],'All Skus'!$A:$AC,22,FALSE)),""))</f>
        <v>TW</v>
      </c>
      <c r="R179" s="47" t="str">
        <f>(IF((VLOOKUP(Table2[[#This Row],[SKU]],'All Skus'!$A:$AC,2,FALSE))="AMX",(VLOOKUP(Table2[[#This Row],[SKU]],'All Skus'!$A:$AC,23,FALSE)),""))</f>
        <v>Compliant</v>
      </c>
      <c r="S179" s="210" t="str">
        <f>HYPERLINK((IF((VLOOKUP(Table2[[#This Row],[SKU]],'All Skus'!$A:$AC,2,FALSE))="AMX",(VLOOKUP(Table2[[#This Row],[SKU]],'All Skus'!$A:$AC,24,FALSE)),"")))</f>
        <v>https://www.amx.com/en-US/products/hpx-n102-usb</v>
      </c>
      <c r="T179" s="151">
        <v>177</v>
      </c>
    </row>
    <row r="180" spans="1:20" ht="15" hidden="1" customHeight="1">
      <c r="A180" s="48" t="s">
        <v>689</v>
      </c>
      <c r="B180" s="280" t="str">
        <f>(IF((VLOOKUP(Table2[[#This Row],[SKU]],'All Skus'!$A:$AC,2,FALSE))="AMX",(VLOOKUP(Table2[[#This Row],[SKU]],'All Skus'!$A:$AC,3,FALSE)),""))</f>
        <v>Architectural Connectivity</v>
      </c>
      <c r="C180" s="280" t="str">
        <f>(IF((VLOOKUP(Table2[[#This Row],[SKU]],'All Skus'!$A:$AC,2,FALSE))="AMX",(VLOOKUP(Table2[[#This Row],[SKU]],'All Skus'!$A:$AC,4,FALSE)),""))</f>
        <v>HPX-N102-USB-PC</v>
      </c>
      <c r="D180" s="47" t="str">
        <f>(IF((VLOOKUP(Table2[[#This Row],[SKU]],'All Skus'!$A:$AC,2,FALSE))="AMX",(VLOOKUP(Table2[[#This Row],[SKU]],'All Skus'!$A:$AC,5,FALSE)),""))</f>
        <v>AMX-ENV</v>
      </c>
      <c r="E180" s="281">
        <f>(IF((VLOOKUP(Table2[[#This Row],[SKU]],'All Skus'!$A:$AC,2,FALSE))="AMX",(VLOOKUP(Table2[[#This Row],[SKU]],'All Skus'!$A:$AC,7,FALSE)),""))</f>
        <v>0</v>
      </c>
      <c r="F180" s="280" t="str">
        <f>(IF((VLOOKUP(Table2[[#This Row],[SKU]],'All Skus'!$A:$AC,2,FALSE))="AMX",(VLOOKUP(Table2[[#This Row],[SKU]],'All Skus'!$A:$AC,8,FALSE)),""))</f>
        <v>Dual USB Charging module for Hydraport</v>
      </c>
      <c r="G180" s="280" t="str">
        <f>(IF((VLOOKUP(Table2[[#This Row],[SKU]],'All Skus'!$A:$AC,2,FALSE))="AMX",(VLOOKUP(Table2[[#This Row],[SKU]],'All Skus'!$A:$AC,9,FALSE)),""))</f>
        <v>The HPX-N102-USB-PC, Dual USB Module with Printed Charging Symbol provides a dual USB connection to the Hydraport® chassis, it also allows the user to identify USB ports to be used for power charging, power source is included</v>
      </c>
      <c r="H180" s="157">
        <f>(IF((VLOOKUP(Table2[[#This Row],[SKU]],'All Skus'!$A:$AC,2,FALSE))="AMX",(VLOOKUP(Table2[[#This Row],[SKU]],'All Skus'!$A:$AC,10,FALSE)),""))</f>
        <v>226.4</v>
      </c>
      <c r="I180" s="157">
        <f>(IF((VLOOKUP(Table2[[#This Row],[SKU]],'All Skus'!$A:$AC,2,FALSE))="AMX",(VLOOKUP(Table2[[#This Row],[SKU]],'All Skus'!$A:$AC,11,FALSE)),""))</f>
        <v>226.4</v>
      </c>
      <c r="J180" s="47">
        <f>(IF((VLOOKUP(Table2[[#This Row],[SKU]],'All Skus'!$A:$AC,2,FALSE))="AMX",(VLOOKUP(Table2[[#This Row],[SKU]],'All Skus'!$A:$AC,15,FALSE)),""))</f>
        <v>0</v>
      </c>
      <c r="K180" s="47">
        <f>(IF((VLOOKUP(Table2[[#This Row],[SKU]],'All Skus'!$A:$AC,2,FALSE))="AMX",(VLOOKUP(Table2[[#This Row],[SKU]],'All Skus'!$A:$AC,16,FALSE)),""))</f>
        <v>718878249444</v>
      </c>
      <c r="L180" s="47">
        <f>(IF((VLOOKUP(Table2[[#This Row],[SKU]],'All Skus'!$A:$AC,2,FALSE))="AMX",(VLOOKUP(Table2[[#This Row],[SKU]],'All Skus'!$A:$AC,17,FALSE)),""))</f>
        <v>0</v>
      </c>
      <c r="M180" s="63">
        <f>(IF((VLOOKUP(Table2[[#This Row],[SKU]],'All Skus'!$A:$AC,2,FALSE))="AMX",(VLOOKUP(Table2[[#This Row],[SKU]],'All Skus'!$A:$AC,18,FALSE)),""))</f>
        <v>0.6</v>
      </c>
      <c r="N180" s="47">
        <f>(IF((VLOOKUP(Table2[[#This Row],[SKU]],'All Skus'!$A:$AC,2,FALSE))="AMX",(VLOOKUP(Table2[[#This Row],[SKU]],'All Skus'!$A:$AC,19,FALSE)),""))</f>
        <v>2.0499999999999998</v>
      </c>
      <c r="O180" s="47">
        <f>(IF((VLOOKUP(Table2[[#This Row],[SKU]],'All Skus'!$A:$AC,2,FALSE))="AMX",(VLOOKUP(Table2[[#This Row],[SKU]],'All Skus'!$A:$AC,20,FALSE)),""))</f>
        <v>1</v>
      </c>
      <c r="P180" s="47">
        <f>(IF((VLOOKUP(Table2[[#This Row],[SKU]],'All Skus'!$A:$AC,2,FALSE))="AMX",(VLOOKUP(Table2[[#This Row],[SKU]],'All Skus'!$A:$AC,21,FALSE)),""))</f>
        <v>72</v>
      </c>
      <c r="Q180" s="47" t="str">
        <f>(IF((VLOOKUP(Table2[[#This Row],[SKU]],'All Skus'!$A:$AC,2,FALSE))="AMX",(VLOOKUP(Table2[[#This Row],[SKU]],'All Skus'!$A:$AC,22,FALSE)),""))</f>
        <v>TW</v>
      </c>
      <c r="R180" s="47" t="str">
        <f>(IF((VLOOKUP(Table2[[#This Row],[SKU]],'All Skus'!$A:$AC,2,FALSE))="AMX",(VLOOKUP(Table2[[#This Row],[SKU]],'All Skus'!$A:$AC,23,FALSE)),""))</f>
        <v>Compliant</v>
      </c>
      <c r="S180" s="210" t="str">
        <f>HYPERLINK((IF((VLOOKUP(Table2[[#This Row],[SKU]],'All Skus'!$A:$AC,2,FALSE))="AMX",(VLOOKUP(Table2[[#This Row],[SKU]],'All Skus'!$A:$AC,24,FALSE)),"")))</f>
        <v>https://www.amx.com/en-US/products/hpx-n102-usb-pc</v>
      </c>
      <c r="T180" s="151">
        <v>178</v>
      </c>
    </row>
    <row r="181" spans="1:20" ht="15" hidden="1" customHeight="1">
      <c r="A181" s="48" t="s">
        <v>690</v>
      </c>
      <c r="B181" s="280" t="str">
        <f>(IF((VLOOKUP(Table2[[#This Row],[SKU]],'All Skus'!$A:$AC,2,FALSE))="AMX",(VLOOKUP(Table2[[#This Row],[SKU]],'All Skus'!$A:$AC,3,FALSE)),""))</f>
        <v>Architectural Connectivity</v>
      </c>
      <c r="C181" s="280" t="str">
        <f>(IF((VLOOKUP(Table2[[#This Row],[SKU]],'All Skus'!$A:$AC,2,FALSE))="AMX",(VLOOKUP(Table2[[#This Row],[SKU]],'All Skus'!$A:$AC,4,FALSE)),""))</f>
        <v>HPX-U100-BTN</v>
      </c>
      <c r="D181" s="47" t="str">
        <f>(IF((VLOOKUP(Table2[[#This Row],[SKU]],'All Skus'!$A:$AC,2,FALSE))="AMX",(VLOOKUP(Table2[[#This Row],[SKU]],'All Skus'!$A:$AC,5,FALSE)),""))</f>
        <v>AMX-ENV</v>
      </c>
      <c r="E181" s="281">
        <f>(IF((VLOOKUP(Table2[[#This Row],[SKU]],'All Skus'!$A:$AC,2,FALSE))="AMX",(VLOOKUP(Table2[[#This Row],[SKU]],'All Skus'!$A:$AC,7,FALSE)),""))</f>
        <v>0</v>
      </c>
      <c r="F181" s="280" t="str">
        <f>(IF((VLOOKUP(Table2[[#This Row],[SKU]],'All Skus'!$A:$AC,2,FALSE))="AMX",(VLOOKUP(Table2[[#This Row],[SKU]],'All Skus'!$A:$AC,8,FALSE)),""))</f>
        <v>Single Button module for Hydraport</v>
      </c>
      <c r="G181" s="280" t="str">
        <f>(IF((VLOOKUP(Table2[[#This Row],[SKU]],'All Skus'!$A:$AC,2,FALSE))="AMX",(VLOOKUP(Table2[[#This Row],[SKU]],'All Skus'!$A:$AC,9,FALSE)),""))</f>
        <v>Hydraport Single Button Module</v>
      </c>
      <c r="H181" s="157">
        <f>(IF((VLOOKUP(Table2[[#This Row],[SKU]],'All Skus'!$A:$AC,2,FALSE))="AMX",(VLOOKUP(Table2[[#This Row],[SKU]],'All Skus'!$A:$AC,10,FALSE)),""))</f>
        <v>72</v>
      </c>
      <c r="I181" s="157">
        <f>(IF((VLOOKUP(Table2[[#This Row],[SKU]],'All Skus'!$A:$AC,2,FALSE))="AMX",(VLOOKUP(Table2[[#This Row],[SKU]],'All Skus'!$A:$AC,11,FALSE)),""))</f>
        <v>72</v>
      </c>
      <c r="J181" s="47">
        <f>(IF((VLOOKUP(Table2[[#This Row],[SKU]],'All Skus'!$A:$AC,2,FALSE))="AMX",(VLOOKUP(Table2[[#This Row],[SKU]],'All Skus'!$A:$AC,15,FALSE)),""))</f>
        <v>0</v>
      </c>
      <c r="K181" s="47">
        <f>(IF((VLOOKUP(Table2[[#This Row],[SKU]],'All Skus'!$A:$AC,2,FALSE))="AMX",(VLOOKUP(Table2[[#This Row],[SKU]],'All Skus'!$A:$AC,16,FALSE)),""))</f>
        <v>718878007907</v>
      </c>
      <c r="L181" s="47">
        <f>(IF((VLOOKUP(Table2[[#This Row],[SKU]],'All Skus'!$A:$AC,2,FALSE))="AMX",(VLOOKUP(Table2[[#This Row],[SKU]],'All Skus'!$A:$AC,17,FALSE)),""))</f>
        <v>0</v>
      </c>
      <c r="M181" s="63">
        <f>(IF((VLOOKUP(Table2[[#This Row],[SKU]],'All Skus'!$A:$AC,2,FALSE))="AMX",(VLOOKUP(Table2[[#This Row],[SKU]],'All Skus'!$A:$AC,18,FALSE)),""))</f>
        <v>0.1</v>
      </c>
      <c r="N181" s="47">
        <f>(IF((VLOOKUP(Table2[[#This Row],[SKU]],'All Skus'!$A:$AC,2,FALSE))="AMX",(VLOOKUP(Table2[[#This Row],[SKU]],'All Skus'!$A:$AC,19,FALSE)),""))</f>
        <v>2.0499999999999998</v>
      </c>
      <c r="O181" s="47">
        <f>(IF((VLOOKUP(Table2[[#This Row],[SKU]],'All Skus'!$A:$AC,2,FALSE))="AMX",(VLOOKUP(Table2[[#This Row],[SKU]],'All Skus'!$A:$AC,20,FALSE)),""))</f>
        <v>1</v>
      </c>
      <c r="P181" s="47">
        <f>(IF((VLOOKUP(Table2[[#This Row],[SKU]],'All Skus'!$A:$AC,2,FALSE))="AMX",(VLOOKUP(Table2[[#This Row],[SKU]],'All Skus'!$A:$AC,21,FALSE)),""))</f>
        <v>1</v>
      </c>
      <c r="Q181" s="47" t="str">
        <f>(IF((VLOOKUP(Table2[[#This Row],[SKU]],'All Skus'!$A:$AC,2,FALSE))="AMX",(VLOOKUP(Table2[[#This Row],[SKU]],'All Skus'!$A:$AC,22,FALSE)),""))</f>
        <v>US</v>
      </c>
      <c r="R181" s="47" t="str">
        <f>(IF((VLOOKUP(Table2[[#This Row],[SKU]],'All Skus'!$A:$AC,2,FALSE))="AMX",(VLOOKUP(Table2[[#This Row],[SKU]],'All Skus'!$A:$AC,23,FALSE)),""))</f>
        <v>Compliant</v>
      </c>
      <c r="S181" s="210" t="str">
        <f>HYPERLINK((IF((VLOOKUP(Table2[[#This Row],[SKU]],'All Skus'!$A:$AC,2,FALSE))="AMX",(VLOOKUP(Table2[[#This Row],[SKU]],'All Skus'!$A:$AC,24,FALSE)),"")))</f>
        <v>https://www.amx.com/en-US/products/hpx-u100-btn</v>
      </c>
      <c r="T181" s="151">
        <v>179</v>
      </c>
    </row>
    <row r="182" spans="1:20" ht="15" hidden="1" customHeight="1">
      <c r="A182" s="48" t="s">
        <v>691</v>
      </c>
      <c r="B182" s="280" t="str">
        <f>(IF((VLOOKUP(Table2[[#This Row],[SKU]],'All Skus'!$A:$AC,2,FALSE))="AMX",(VLOOKUP(Table2[[#This Row],[SKU]],'All Skus'!$A:$AC,3,FALSE)),""))</f>
        <v>Architectural Connectivity</v>
      </c>
      <c r="C182" s="280" t="str">
        <f>(IF((VLOOKUP(Table2[[#This Row],[SKU]],'All Skus'!$A:$AC,2,FALSE))="AMX",(VLOOKUP(Table2[[#This Row],[SKU]],'All Skus'!$A:$AC,4,FALSE)),""))</f>
        <v>HPX-U100-2BTN</v>
      </c>
      <c r="D182" s="47" t="str">
        <f>(IF((VLOOKUP(Table2[[#This Row],[SKU]],'All Skus'!$A:$AC,2,FALSE))="AMX",(VLOOKUP(Table2[[#This Row],[SKU]],'All Skus'!$A:$AC,5,FALSE)),""))</f>
        <v>AMX-ENV</v>
      </c>
      <c r="E182" s="281">
        <f>(IF((VLOOKUP(Table2[[#This Row],[SKU]],'All Skus'!$A:$AC,2,FALSE))="AMX",(VLOOKUP(Table2[[#This Row],[SKU]],'All Skus'!$A:$AC,7,FALSE)),""))</f>
        <v>0</v>
      </c>
      <c r="F182" s="280" t="str">
        <f>(IF((VLOOKUP(Table2[[#This Row],[SKU]],'All Skus'!$A:$AC,2,FALSE))="AMX",(VLOOKUP(Table2[[#This Row],[SKU]],'All Skus'!$A:$AC,8,FALSE)),""))</f>
        <v>Dual button module for Hydraport</v>
      </c>
      <c r="G182" s="280" t="str">
        <f>(IF((VLOOKUP(Table2[[#This Row],[SKU]],'All Skus'!$A:$AC,2,FALSE))="AMX",(VLOOKUP(Table2[[#This Row],[SKU]],'All Skus'!$A:$AC,9,FALSE)),""))</f>
        <v>The HPX-U100-2BTN, 2-Button Keypad Module with LEDs is a Hydraport module with two buttons that enable users to switch to a specific device when pressed</v>
      </c>
      <c r="H182" s="157">
        <f>(IF((VLOOKUP(Table2[[#This Row],[SKU]],'All Skus'!$A:$AC,2,FALSE))="AMX",(VLOOKUP(Table2[[#This Row],[SKU]],'All Skus'!$A:$AC,10,FALSE)),""))</f>
        <v>156.1</v>
      </c>
      <c r="I182" s="157">
        <f>(IF((VLOOKUP(Table2[[#This Row],[SKU]],'All Skus'!$A:$AC,2,FALSE))="AMX",(VLOOKUP(Table2[[#This Row],[SKU]],'All Skus'!$A:$AC,11,FALSE)),""))</f>
        <v>156.1</v>
      </c>
      <c r="J182" s="47">
        <f>(IF((VLOOKUP(Table2[[#This Row],[SKU]],'All Skus'!$A:$AC,2,FALSE))="AMX",(VLOOKUP(Table2[[#This Row],[SKU]],'All Skus'!$A:$AC,15,FALSE)),""))</f>
        <v>0</v>
      </c>
      <c r="K182" s="47">
        <f>(IF((VLOOKUP(Table2[[#This Row],[SKU]],'All Skus'!$A:$AC,2,FALSE))="AMX",(VLOOKUP(Table2[[#This Row],[SKU]],'All Skus'!$A:$AC,16,FALSE)),""))</f>
        <v>718878025185</v>
      </c>
      <c r="L182" s="47">
        <f>(IF((VLOOKUP(Table2[[#This Row],[SKU]],'All Skus'!$A:$AC,2,FALSE))="AMX",(VLOOKUP(Table2[[#This Row],[SKU]],'All Skus'!$A:$AC,17,FALSE)),""))</f>
        <v>0</v>
      </c>
      <c r="M182" s="63">
        <f>(IF((VLOOKUP(Table2[[#This Row],[SKU]],'All Skus'!$A:$AC,2,FALSE))="AMX",(VLOOKUP(Table2[[#This Row],[SKU]],'All Skus'!$A:$AC,18,FALSE)),""))</f>
        <v>0.1</v>
      </c>
      <c r="N182" s="47">
        <f>(IF((VLOOKUP(Table2[[#This Row],[SKU]],'All Skus'!$A:$AC,2,FALSE))="AMX",(VLOOKUP(Table2[[#This Row],[SKU]],'All Skus'!$A:$AC,19,FALSE)),""))</f>
        <v>2.0499999999999998</v>
      </c>
      <c r="O182" s="47">
        <f>(IF((VLOOKUP(Table2[[#This Row],[SKU]],'All Skus'!$A:$AC,2,FALSE))="AMX",(VLOOKUP(Table2[[#This Row],[SKU]],'All Skus'!$A:$AC,20,FALSE)),""))</f>
        <v>1</v>
      </c>
      <c r="P182" s="47">
        <f>(IF((VLOOKUP(Table2[[#This Row],[SKU]],'All Skus'!$A:$AC,2,FALSE))="AMX",(VLOOKUP(Table2[[#This Row],[SKU]],'All Skus'!$A:$AC,21,FALSE)),""))</f>
        <v>1</v>
      </c>
      <c r="Q182" s="47" t="str">
        <f>(IF((VLOOKUP(Table2[[#This Row],[SKU]],'All Skus'!$A:$AC,2,FALSE))="AMX",(VLOOKUP(Table2[[#This Row],[SKU]],'All Skus'!$A:$AC,22,FALSE)),""))</f>
        <v>US</v>
      </c>
      <c r="R182" s="47" t="str">
        <f>(IF((VLOOKUP(Table2[[#This Row],[SKU]],'All Skus'!$A:$AC,2,FALSE))="AMX",(VLOOKUP(Table2[[#This Row],[SKU]],'All Skus'!$A:$AC,23,FALSE)),""))</f>
        <v>Compliant</v>
      </c>
      <c r="S182" s="210" t="str">
        <f>HYPERLINK((IF((VLOOKUP(Table2[[#This Row],[SKU]],'All Skus'!$A:$AC,2,FALSE))="AMX",(VLOOKUP(Table2[[#This Row],[SKU]],'All Skus'!$A:$AC,24,FALSE)),"")))</f>
        <v>https://www.amx.com/en-US/products/hpx-u100-2btn</v>
      </c>
      <c r="T182" s="151">
        <v>180</v>
      </c>
    </row>
    <row r="183" spans="1:20" ht="15" hidden="1" customHeight="1">
      <c r="A183" s="48" t="s">
        <v>692</v>
      </c>
      <c r="B183" s="280" t="str">
        <f>(IF((VLOOKUP(Table2[[#This Row],[SKU]],'All Skus'!$A:$AC,2,FALSE))="AMX",(VLOOKUP(Table2[[#This Row],[SKU]],'All Skus'!$A:$AC,3,FALSE)),""))</f>
        <v>Architectural Connectivity</v>
      </c>
      <c r="C183" s="280" t="str">
        <f>(IF((VLOOKUP(Table2[[#This Row],[SKU]],'All Skus'!$A:$AC,2,FALSE))="AMX",(VLOOKUP(Table2[[#This Row],[SKU]],'All Skus'!$A:$AC,4,FALSE)),""))</f>
        <v>HPX-B050</v>
      </c>
      <c r="D183" s="47" t="str">
        <f>(IF((VLOOKUP(Table2[[#This Row],[SKU]],'All Skus'!$A:$AC,2,FALSE))="AMX",(VLOOKUP(Table2[[#This Row],[SKU]],'All Skus'!$A:$AC,5,FALSE)),""))</f>
        <v>AMX-ENV</v>
      </c>
      <c r="E183" s="281">
        <f>(IF((VLOOKUP(Table2[[#This Row],[SKU]],'All Skus'!$A:$AC,2,FALSE))="AMX",(VLOOKUP(Table2[[#This Row],[SKU]],'All Skus'!$A:$AC,7,FALSE)),""))</f>
        <v>0</v>
      </c>
      <c r="F183" s="280" t="str">
        <f>(IF((VLOOKUP(Table2[[#This Row],[SKU]],'All Skus'!$A:$AC,2,FALSE))="AMX",(VLOOKUP(Table2[[#This Row],[SKU]],'All Skus'!$A:$AC,8,FALSE)),""))</f>
        <v>1/2M Half Blank module for Hydraport</v>
      </c>
      <c r="G183" s="280" t="str">
        <f>(IF((VLOOKUP(Table2[[#This Row],[SKU]],'All Skus'!$A:$AC,2,FALSE))="AMX",(VLOOKUP(Table2[[#This Row],[SKU]],'All Skus'!$A:$AC,9,FALSE)),""))</f>
        <v>1/2M high blank panel for filling unused slots in the Hydraport HPX-600,900,1200 and 1600 Connection Ports</v>
      </c>
      <c r="H183" s="157">
        <f>(IF((VLOOKUP(Table2[[#This Row],[SKU]],'All Skus'!$A:$AC,2,FALSE))="AMX",(VLOOKUP(Table2[[#This Row],[SKU]],'All Skus'!$A:$AC,10,FALSE)),""))</f>
        <v>17.100000000000001</v>
      </c>
      <c r="I183" s="157">
        <f>(IF((VLOOKUP(Table2[[#This Row],[SKU]],'All Skus'!$A:$AC,2,FALSE))="AMX",(VLOOKUP(Table2[[#This Row],[SKU]],'All Skus'!$A:$AC,11,FALSE)),""))</f>
        <v>17.100000000000001</v>
      </c>
      <c r="J183" s="47">
        <f>(IF((VLOOKUP(Table2[[#This Row],[SKU]],'All Skus'!$A:$AC,2,FALSE))="AMX",(VLOOKUP(Table2[[#This Row],[SKU]],'All Skus'!$A:$AC,15,FALSE)),""))</f>
        <v>0</v>
      </c>
      <c r="K183" s="47">
        <f>(IF((VLOOKUP(Table2[[#This Row],[SKU]],'All Skus'!$A:$AC,2,FALSE))="AMX",(VLOOKUP(Table2[[#This Row],[SKU]],'All Skus'!$A:$AC,16,FALSE)),""))</f>
        <v>718878007976</v>
      </c>
      <c r="L183" s="47">
        <f>(IF((VLOOKUP(Table2[[#This Row],[SKU]],'All Skus'!$A:$AC,2,FALSE))="AMX",(VLOOKUP(Table2[[#This Row],[SKU]],'All Skus'!$A:$AC,17,FALSE)),""))</f>
        <v>0</v>
      </c>
      <c r="M183" s="63">
        <f>(IF((VLOOKUP(Table2[[#This Row],[SKU]],'All Skus'!$A:$AC,2,FALSE))="AMX",(VLOOKUP(Table2[[#This Row],[SKU]],'All Skus'!$A:$AC,18,FALSE)),""))</f>
        <v>0.1</v>
      </c>
      <c r="N183" s="47">
        <f>(IF((VLOOKUP(Table2[[#This Row],[SKU]],'All Skus'!$A:$AC,2,FALSE))="AMX",(VLOOKUP(Table2[[#This Row],[SKU]],'All Skus'!$A:$AC,19,FALSE)),""))</f>
        <v>2.0499999999999998</v>
      </c>
      <c r="O183" s="47">
        <f>(IF((VLOOKUP(Table2[[#This Row],[SKU]],'All Skus'!$A:$AC,2,FALSE))="AMX",(VLOOKUP(Table2[[#This Row],[SKU]],'All Skus'!$A:$AC,20,FALSE)),""))</f>
        <v>0.5</v>
      </c>
      <c r="P183" s="47">
        <f>(IF((VLOOKUP(Table2[[#This Row],[SKU]],'All Skus'!$A:$AC,2,FALSE))="AMX",(VLOOKUP(Table2[[#This Row],[SKU]],'All Skus'!$A:$AC,21,FALSE)),""))</f>
        <v>0.5</v>
      </c>
      <c r="Q183" s="47" t="str">
        <f>(IF((VLOOKUP(Table2[[#This Row],[SKU]],'All Skus'!$A:$AC,2,FALSE))="AMX",(VLOOKUP(Table2[[#This Row],[SKU]],'All Skus'!$A:$AC,22,FALSE)),""))</f>
        <v>US</v>
      </c>
      <c r="R183" s="47" t="str">
        <f>(IF((VLOOKUP(Table2[[#This Row],[SKU]],'All Skus'!$A:$AC,2,FALSE))="AMX",(VLOOKUP(Table2[[#This Row],[SKU]],'All Skus'!$A:$AC,23,FALSE)),""))</f>
        <v>Compliant</v>
      </c>
      <c r="S183" s="210" t="str">
        <f>HYPERLINK((IF((VLOOKUP(Table2[[#This Row],[SKU]],'All Skus'!$A:$AC,2,FALSE))="AMX",(VLOOKUP(Table2[[#This Row],[SKU]],'All Skus'!$A:$AC,24,FALSE)),"")))</f>
        <v>https://www.amx.com/en-US/products/hpx-b050</v>
      </c>
      <c r="T183" s="151">
        <v>181</v>
      </c>
    </row>
    <row r="184" spans="1:20" ht="15" hidden="1" customHeight="1">
      <c r="A184" s="48" t="s">
        <v>693</v>
      </c>
      <c r="B184" s="280" t="str">
        <f>(IF((VLOOKUP(Table2[[#This Row],[SKU]],'All Skus'!$A:$AC,2,FALSE))="AMX",(VLOOKUP(Table2[[#This Row],[SKU]],'All Skus'!$A:$AC,3,FALSE)),""))</f>
        <v>Architectural Connectivity</v>
      </c>
      <c r="C184" s="280" t="str">
        <f>(IF((VLOOKUP(Table2[[#This Row],[SKU]],'All Skus'!$A:$AC,2,FALSE))="AMX",(VLOOKUP(Table2[[#This Row],[SKU]],'All Skus'!$A:$AC,4,FALSE)),""))</f>
        <v>HPX-B100</v>
      </c>
      <c r="D184" s="47" t="str">
        <f>(IF((VLOOKUP(Table2[[#This Row],[SKU]],'All Skus'!$A:$AC,2,FALSE))="AMX",(VLOOKUP(Table2[[#This Row],[SKU]],'All Skus'!$A:$AC,5,FALSE)),""))</f>
        <v>AMX-ENV</v>
      </c>
      <c r="E184" s="281">
        <f>(IF((VLOOKUP(Table2[[#This Row],[SKU]],'All Skus'!$A:$AC,2,FALSE))="AMX",(VLOOKUP(Table2[[#This Row],[SKU]],'All Skus'!$A:$AC,7,FALSE)),""))</f>
        <v>0</v>
      </c>
      <c r="F184" s="280" t="str">
        <f>(IF((VLOOKUP(Table2[[#This Row],[SKU]],'All Skus'!$A:$AC,2,FALSE))="AMX",(VLOOKUP(Table2[[#This Row],[SKU]],'All Skus'!$A:$AC,8,FALSE)),""))</f>
        <v>1M Single Blank module for Hydraport</v>
      </c>
      <c r="G184" s="280" t="str">
        <f>(IF((VLOOKUP(Table2[[#This Row],[SKU]],'All Skus'!$A:$AC,2,FALSE))="AMX",(VLOOKUP(Table2[[#This Row],[SKU]],'All Skus'!$A:$AC,9,FALSE)),""))</f>
        <v>1M high blank panel for filling unused slots in the Hydraport HPX-600,900,1200 and 1600 Connection Ports</v>
      </c>
      <c r="H184" s="157">
        <f>(IF((VLOOKUP(Table2[[#This Row],[SKU]],'All Skus'!$A:$AC,2,FALSE))="AMX",(VLOOKUP(Table2[[#This Row],[SKU]],'All Skus'!$A:$AC,10,FALSE)),""))</f>
        <v>19.399999999999999</v>
      </c>
      <c r="I184" s="157">
        <f>(IF((VLOOKUP(Table2[[#This Row],[SKU]],'All Skus'!$A:$AC,2,FALSE))="AMX",(VLOOKUP(Table2[[#This Row],[SKU]],'All Skus'!$A:$AC,11,FALSE)),""))</f>
        <v>19.399999999999999</v>
      </c>
      <c r="J184" s="47">
        <f>(IF((VLOOKUP(Table2[[#This Row],[SKU]],'All Skus'!$A:$AC,2,FALSE))="AMX",(VLOOKUP(Table2[[#This Row],[SKU]],'All Skus'!$A:$AC,15,FALSE)),""))</f>
        <v>0</v>
      </c>
      <c r="K184" s="47">
        <f>(IF((VLOOKUP(Table2[[#This Row],[SKU]],'All Skus'!$A:$AC,2,FALSE))="AMX",(VLOOKUP(Table2[[#This Row],[SKU]],'All Skus'!$A:$AC,16,FALSE)),""))</f>
        <v>718878007983</v>
      </c>
      <c r="L184" s="47">
        <f>(IF((VLOOKUP(Table2[[#This Row],[SKU]],'All Skus'!$A:$AC,2,FALSE))="AMX",(VLOOKUP(Table2[[#This Row],[SKU]],'All Skus'!$A:$AC,17,FALSE)),""))</f>
        <v>0</v>
      </c>
      <c r="M184" s="63">
        <f>(IF((VLOOKUP(Table2[[#This Row],[SKU]],'All Skus'!$A:$AC,2,FALSE))="AMX",(VLOOKUP(Table2[[#This Row],[SKU]],'All Skus'!$A:$AC,18,FALSE)),""))</f>
        <v>0.1</v>
      </c>
      <c r="N184" s="47">
        <f>(IF((VLOOKUP(Table2[[#This Row],[SKU]],'All Skus'!$A:$AC,2,FALSE))="AMX",(VLOOKUP(Table2[[#This Row],[SKU]],'All Skus'!$A:$AC,19,FALSE)),""))</f>
        <v>2.0499999999999998</v>
      </c>
      <c r="O184" s="47">
        <f>(IF((VLOOKUP(Table2[[#This Row],[SKU]],'All Skus'!$A:$AC,2,FALSE))="AMX",(VLOOKUP(Table2[[#This Row],[SKU]],'All Skus'!$A:$AC,20,FALSE)),""))</f>
        <v>1</v>
      </c>
      <c r="P184" s="47">
        <f>(IF((VLOOKUP(Table2[[#This Row],[SKU]],'All Skus'!$A:$AC,2,FALSE))="AMX",(VLOOKUP(Table2[[#This Row],[SKU]],'All Skus'!$A:$AC,21,FALSE)),""))</f>
        <v>0.5</v>
      </c>
      <c r="Q184" s="47" t="str">
        <f>(IF((VLOOKUP(Table2[[#This Row],[SKU]],'All Skus'!$A:$AC,2,FALSE))="AMX",(VLOOKUP(Table2[[#This Row],[SKU]],'All Skus'!$A:$AC,22,FALSE)),""))</f>
        <v>US</v>
      </c>
      <c r="R184" s="47" t="str">
        <f>(IF((VLOOKUP(Table2[[#This Row],[SKU]],'All Skus'!$A:$AC,2,FALSE))="AMX",(VLOOKUP(Table2[[#This Row],[SKU]],'All Skus'!$A:$AC,23,FALSE)),""))</f>
        <v>Compliant</v>
      </c>
      <c r="S184" s="210" t="str">
        <f>HYPERLINK((IF((VLOOKUP(Table2[[#This Row],[SKU]],'All Skus'!$A:$AC,2,FALSE))="AMX",(VLOOKUP(Table2[[#This Row],[SKU]],'All Skus'!$A:$AC,24,FALSE)),"")))</f>
        <v>https://www.amx.com/en-US/products/hpx-b100</v>
      </c>
      <c r="T184" s="151">
        <v>182</v>
      </c>
    </row>
    <row r="185" spans="1:20" ht="15" hidden="1" customHeight="1">
      <c r="A185" s="48" t="s">
        <v>694</v>
      </c>
      <c r="B185" s="280" t="str">
        <f>(IF((VLOOKUP(Table2[[#This Row],[SKU]],'All Skus'!$A:$AC,2,FALSE))="AMX",(VLOOKUP(Table2[[#This Row],[SKU]],'All Skus'!$A:$AC,3,FALSE)),""))</f>
        <v>Architectural Connectivity</v>
      </c>
      <c r="C185" s="280" t="str">
        <f>(IF((VLOOKUP(Table2[[#This Row],[SKU]],'All Skus'!$A:$AC,2,FALSE))="AMX",(VLOOKUP(Table2[[#This Row],[SKU]],'All Skus'!$A:$AC,4,FALSE)),""))</f>
        <v>HPX-AC-TMPLT-600</v>
      </c>
      <c r="D185" s="47" t="str">
        <f>(IF((VLOOKUP(Table2[[#This Row],[SKU]],'All Skus'!$A:$AC,2,FALSE))="AMX",(VLOOKUP(Table2[[#This Row],[SKU]],'All Skus'!$A:$AC,5,FALSE)),""))</f>
        <v>AMX-ENV</v>
      </c>
      <c r="E185" s="281">
        <f>(IF((VLOOKUP(Table2[[#This Row],[SKU]],'All Skus'!$A:$AC,2,FALSE))="AMX",(VLOOKUP(Table2[[#This Row],[SKU]],'All Skus'!$A:$AC,7,FALSE)),""))</f>
        <v>0</v>
      </c>
      <c r="F185" s="280" t="str">
        <f>(IF((VLOOKUP(Table2[[#This Row],[SKU]],'All Skus'!$A:$AC,2,FALSE))="AMX",(VLOOKUP(Table2[[#This Row],[SKU]],'All Skus'!$A:$AC,8,FALSE)),""))</f>
        <v>Hydraport Cutout Template for HPX-600</v>
      </c>
      <c r="G185" s="280" t="str">
        <f>(IF((VLOOKUP(Table2[[#This Row],[SKU]],'All Skus'!$A:$AC,2,FALSE))="AMX",(VLOOKUP(Table2[[#This Row],[SKU]],'All Skus'!$A:$AC,9,FALSE)),""))</f>
        <v>The Hydraport Installation Router Guide HPX-AC-TMPLT-600 is a sturdy, re-usable cutting template to simplify the installation of a 6-Module Hydraport chassis, HPX-600. Use this template for cutting the table or lectern, ensuring a correct fit every time</v>
      </c>
      <c r="H185" s="157">
        <f>(IF((VLOOKUP(Table2[[#This Row],[SKU]],'All Skus'!$A:$AC,2,FALSE))="AMX",(VLOOKUP(Table2[[#This Row],[SKU]],'All Skus'!$A:$AC,10,FALSE)),""))</f>
        <v>372.1</v>
      </c>
      <c r="I185" s="157">
        <f>(IF((VLOOKUP(Table2[[#This Row],[SKU]],'All Skus'!$A:$AC,2,FALSE))="AMX",(VLOOKUP(Table2[[#This Row],[SKU]],'All Skus'!$A:$AC,11,FALSE)),""))</f>
        <v>372.1</v>
      </c>
      <c r="J185" s="47">
        <f>(IF((VLOOKUP(Table2[[#This Row],[SKU]],'All Skus'!$A:$AC,2,FALSE))="AMX",(VLOOKUP(Table2[[#This Row],[SKU]],'All Skus'!$A:$AC,15,FALSE)),""))</f>
        <v>0</v>
      </c>
      <c r="K185" s="47">
        <f>(IF((VLOOKUP(Table2[[#This Row],[SKU]],'All Skus'!$A:$AC,2,FALSE))="AMX",(VLOOKUP(Table2[[#This Row],[SKU]],'All Skus'!$A:$AC,16,FALSE)),""))</f>
        <v>718878025246</v>
      </c>
      <c r="L185" s="47">
        <f>(IF((VLOOKUP(Table2[[#This Row],[SKU]],'All Skus'!$A:$AC,2,FALSE))="AMX",(VLOOKUP(Table2[[#This Row],[SKU]],'All Skus'!$A:$AC,17,FALSE)),""))</f>
        <v>0</v>
      </c>
      <c r="M185" s="63">
        <f>(IF((VLOOKUP(Table2[[#This Row],[SKU]],'All Skus'!$A:$AC,2,FALSE))="AMX",(VLOOKUP(Table2[[#This Row],[SKU]],'All Skus'!$A:$AC,18,FALSE)),""))</f>
        <v>3.85</v>
      </c>
      <c r="N185" s="47">
        <f>(IF((VLOOKUP(Table2[[#This Row],[SKU]],'All Skus'!$A:$AC,2,FALSE))="AMX",(VLOOKUP(Table2[[#This Row],[SKU]],'All Skus'!$A:$AC,19,FALSE)),""))</f>
        <v>18.899999999999999</v>
      </c>
      <c r="O185" s="47">
        <f>(IF((VLOOKUP(Table2[[#This Row],[SKU]],'All Skus'!$A:$AC,2,FALSE))="AMX",(VLOOKUP(Table2[[#This Row],[SKU]],'All Skus'!$A:$AC,20,FALSE)),""))</f>
        <v>11.61</v>
      </c>
      <c r="P185" s="47">
        <f>(IF((VLOOKUP(Table2[[#This Row],[SKU]],'All Skus'!$A:$AC,2,FALSE))="AMX",(VLOOKUP(Table2[[#This Row],[SKU]],'All Skus'!$A:$AC,21,FALSE)),""))</f>
        <v>0.25</v>
      </c>
      <c r="Q185" s="47" t="str">
        <f>(IF((VLOOKUP(Table2[[#This Row],[SKU]],'All Skus'!$A:$AC,2,FALSE))="AMX",(VLOOKUP(Table2[[#This Row],[SKU]],'All Skus'!$A:$AC,22,FALSE)),""))</f>
        <v>US</v>
      </c>
      <c r="R185" s="47" t="str">
        <f>(IF((VLOOKUP(Table2[[#This Row],[SKU]],'All Skus'!$A:$AC,2,FALSE))="AMX",(VLOOKUP(Table2[[#This Row],[SKU]],'All Skus'!$A:$AC,23,FALSE)),""))</f>
        <v>Compliant</v>
      </c>
      <c r="S185" s="210" t="str">
        <f>HYPERLINK((IF((VLOOKUP(Table2[[#This Row],[SKU]],'All Skus'!$A:$AC,2,FALSE))="AMX",(VLOOKUP(Table2[[#This Row],[SKU]],'All Skus'!$A:$AC,24,FALSE)),"")))</f>
        <v>https://www.amx.com/en-US/site_elements/quick-start-guide-hpx-ac-tmplt-hpx-600-900-1200-installation-router-guides</v>
      </c>
      <c r="T185" s="151">
        <v>183</v>
      </c>
    </row>
    <row r="186" spans="1:20" ht="15" hidden="1" customHeight="1">
      <c r="A186" s="48" t="s">
        <v>695</v>
      </c>
      <c r="B186" s="280" t="str">
        <f>(IF((VLOOKUP(Table2[[#This Row],[SKU]],'All Skus'!$A:$AC,2,FALSE))="AMX",(VLOOKUP(Table2[[#This Row],[SKU]],'All Skus'!$A:$AC,3,FALSE)),""))</f>
        <v>Architectural Connectivity</v>
      </c>
      <c r="C186" s="280" t="str">
        <f>(IF((VLOOKUP(Table2[[#This Row],[SKU]],'All Skus'!$A:$AC,2,FALSE))="AMX",(VLOOKUP(Table2[[#This Row],[SKU]],'All Skus'!$A:$AC,4,FALSE)),""))</f>
        <v>HPX-AC-TMPLT-1200</v>
      </c>
      <c r="D186" s="47" t="str">
        <f>(IF((VLOOKUP(Table2[[#This Row],[SKU]],'All Skus'!$A:$AC,2,FALSE))="AMX",(VLOOKUP(Table2[[#This Row],[SKU]],'All Skus'!$A:$AC,5,FALSE)),""))</f>
        <v>AMX-ENV</v>
      </c>
      <c r="E186" s="281">
        <f>(IF((VLOOKUP(Table2[[#This Row],[SKU]],'All Skus'!$A:$AC,2,FALSE))="AMX",(VLOOKUP(Table2[[#This Row],[SKU]],'All Skus'!$A:$AC,7,FALSE)),""))</f>
        <v>0</v>
      </c>
      <c r="F186" s="280" t="str">
        <f>(IF((VLOOKUP(Table2[[#This Row],[SKU]],'All Skus'!$A:$AC,2,FALSE))="AMX",(VLOOKUP(Table2[[#This Row],[SKU]],'All Skus'!$A:$AC,8,FALSE)),""))</f>
        <v>Hydraport Cutout Template for HPX-1200</v>
      </c>
      <c r="G186" s="280" t="str">
        <f>(IF((VLOOKUP(Table2[[#This Row],[SKU]],'All Skus'!$A:$AC,2,FALSE))="AMX",(VLOOKUP(Table2[[#This Row],[SKU]],'All Skus'!$A:$AC,9,FALSE)),""))</f>
        <v>The Hydraport Installation Router Guide HPX-AC-TMPLT-1200 is a sturdy, re-usable cutting template to simplify the installation of a 12-Module Hydraport chassis, HPX-1200. Use this template for cutting the table or lectern, ensuring a correct fit every time</v>
      </c>
      <c r="H186" s="157">
        <f>(IF((VLOOKUP(Table2[[#This Row],[SKU]],'All Skus'!$A:$AC,2,FALSE))="AMX",(VLOOKUP(Table2[[#This Row],[SKU]],'All Skus'!$A:$AC,10,FALSE)),""))</f>
        <v>372.1</v>
      </c>
      <c r="I186" s="157">
        <f>(IF((VLOOKUP(Table2[[#This Row],[SKU]],'All Skus'!$A:$AC,2,FALSE))="AMX",(VLOOKUP(Table2[[#This Row],[SKU]],'All Skus'!$A:$AC,11,FALSE)),""))</f>
        <v>372.1</v>
      </c>
      <c r="J186" s="47">
        <f>(IF((VLOOKUP(Table2[[#This Row],[SKU]],'All Skus'!$A:$AC,2,FALSE))="AMX",(VLOOKUP(Table2[[#This Row],[SKU]],'All Skus'!$A:$AC,15,FALSE)),""))</f>
        <v>0</v>
      </c>
      <c r="K186" s="47">
        <f>(IF((VLOOKUP(Table2[[#This Row],[SKU]],'All Skus'!$A:$AC,2,FALSE))="AMX",(VLOOKUP(Table2[[#This Row],[SKU]],'All Skus'!$A:$AC,16,FALSE)),""))</f>
        <v>718878025260</v>
      </c>
      <c r="L186" s="47">
        <f>(IF((VLOOKUP(Table2[[#This Row],[SKU]],'All Skus'!$A:$AC,2,FALSE))="AMX",(VLOOKUP(Table2[[#This Row],[SKU]],'All Skus'!$A:$AC,17,FALSE)),""))</f>
        <v>0</v>
      </c>
      <c r="M186" s="63">
        <f>(IF((VLOOKUP(Table2[[#This Row],[SKU]],'All Skus'!$A:$AC,2,FALSE))="AMX",(VLOOKUP(Table2[[#This Row],[SKU]],'All Skus'!$A:$AC,18,FALSE)),""))</f>
        <v>4.5999999999999996</v>
      </c>
      <c r="N186" s="47">
        <f>(IF((VLOOKUP(Table2[[#This Row],[SKU]],'All Skus'!$A:$AC,2,FALSE))="AMX",(VLOOKUP(Table2[[#This Row],[SKU]],'All Skus'!$A:$AC,19,FALSE)),""))</f>
        <v>18.899999999999999</v>
      </c>
      <c r="O186" s="47">
        <f>(IF((VLOOKUP(Table2[[#This Row],[SKU]],'All Skus'!$A:$AC,2,FALSE))="AMX",(VLOOKUP(Table2[[#This Row],[SKU]],'All Skus'!$A:$AC,20,FALSE)),""))</f>
        <v>11.61</v>
      </c>
      <c r="P186" s="47">
        <f>(IF((VLOOKUP(Table2[[#This Row],[SKU]],'All Skus'!$A:$AC,2,FALSE))="AMX",(VLOOKUP(Table2[[#This Row],[SKU]],'All Skus'!$A:$AC,21,FALSE)),""))</f>
        <v>0.25</v>
      </c>
      <c r="Q186" s="47" t="str">
        <f>(IF((VLOOKUP(Table2[[#This Row],[SKU]],'All Skus'!$A:$AC,2,FALSE))="AMX",(VLOOKUP(Table2[[#This Row],[SKU]],'All Skus'!$A:$AC,22,FALSE)),""))</f>
        <v>US</v>
      </c>
      <c r="R186" s="47" t="str">
        <f>(IF((VLOOKUP(Table2[[#This Row],[SKU]],'All Skus'!$A:$AC,2,FALSE))="AMX",(VLOOKUP(Table2[[#This Row],[SKU]],'All Skus'!$A:$AC,23,FALSE)),""))</f>
        <v>Compliant</v>
      </c>
      <c r="S186" s="210" t="str">
        <f>HYPERLINK((IF((VLOOKUP(Table2[[#This Row],[SKU]],'All Skus'!$A:$AC,2,FALSE))="AMX",(VLOOKUP(Table2[[#This Row],[SKU]],'All Skus'!$A:$AC,24,FALSE)),"")))</f>
        <v>https://www.amx.com/en-US/site_elements/quick-start-guide-hpx-ac-tmplt-hpx-600-900-1200-installation-router-guides</v>
      </c>
      <c r="T186" s="151">
        <v>184</v>
      </c>
    </row>
    <row r="187" spans="1:20" ht="15" hidden="1" customHeight="1">
      <c r="A187" s="48" t="s">
        <v>696</v>
      </c>
      <c r="B187" s="280" t="str">
        <f>(IF((VLOOKUP(Table2[[#This Row],[SKU]],'All Skus'!$A:$AC,2,FALSE))="AMX",(VLOOKUP(Table2[[#This Row],[SKU]],'All Skus'!$A:$AC,3,FALSE)),""))</f>
        <v>Architectural Connectivity</v>
      </c>
      <c r="C187" s="280" t="str">
        <f>(IF((VLOOKUP(Table2[[#This Row],[SKU]],'All Skus'!$A:$AC,2,FALSE))="AMX",(VLOOKUP(Table2[[#This Row],[SKU]],'All Skus'!$A:$AC,4,FALSE)),""))</f>
        <v>HPX-600BL</v>
      </c>
      <c r="D187" s="47" t="str">
        <f>(IF((VLOOKUP(Table2[[#This Row],[SKU]],'All Skus'!$A:$AC,2,FALSE))="AMX",(VLOOKUP(Table2[[#This Row],[SKU]],'All Skus'!$A:$AC,5,FALSE)),""))</f>
        <v>AMX-ENV</v>
      </c>
      <c r="E187" s="281">
        <f>(IF((VLOOKUP(Table2[[#This Row],[SKU]],'All Skus'!$A:$AC,2,FALSE))="AMX",(VLOOKUP(Table2[[#This Row],[SKU]],'All Skus'!$A:$AC,7,FALSE)),""))</f>
        <v>0</v>
      </c>
      <c r="F187" s="280" t="str">
        <f>(IF((VLOOKUP(Table2[[#This Row],[SKU]],'All Skus'!$A:$AC,2,FALSE))="AMX",(VLOOKUP(Table2[[#This Row],[SKU]],'All Skus'!$A:$AC,8,FALSE)),""))</f>
        <v>6-space Hydraport BLACK</v>
      </c>
      <c r="G187" s="280" t="str">
        <f>(IF((VLOOKUP(Table2[[#This Row],[SKU]],'All Skus'!$A:$AC,2,FALSE))="AMX",(VLOOKUP(Table2[[#This Row],[SKU]],'All Skus'!$A:$AC,9,FALSE)),""))</f>
        <v>Hydraport 6 Module Connection Port - Black Model - Modular connectivity system accommodates the diverse needs of conference and meeting room visitors. Elegant flush-mount design conveniently opens in both directions</v>
      </c>
      <c r="H187" s="157">
        <f>(IF((VLOOKUP(Table2[[#This Row],[SKU]],'All Skus'!$A:$AC,2,FALSE))="AMX",(VLOOKUP(Table2[[#This Row],[SKU]],'All Skus'!$A:$AC,10,FALSE)),""))</f>
        <v>413.9</v>
      </c>
      <c r="I187" s="157">
        <f>(IF((VLOOKUP(Table2[[#This Row],[SKU]],'All Skus'!$A:$AC,2,FALSE))="AMX",(VLOOKUP(Table2[[#This Row],[SKU]],'All Skus'!$A:$AC,11,FALSE)),""))</f>
        <v>413.9</v>
      </c>
      <c r="J187" s="47">
        <f>(IF((VLOOKUP(Table2[[#This Row],[SKU]],'All Skus'!$A:$AC,2,FALSE))="AMX",(VLOOKUP(Table2[[#This Row],[SKU]],'All Skus'!$A:$AC,15,FALSE)),""))</f>
        <v>0</v>
      </c>
      <c r="K187" s="47">
        <f>(IF((VLOOKUP(Table2[[#This Row],[SKU]],'All Skus'!$A:$AC,2,FALSE))="AMX",(VLOOKUP(Table2[[#This Row],[SKU]],'All Skus'!$A:$AC,16,FALSE)),""))</f>
        <v>718878233221</v>
      </c>
      <c r="L187" s="47">
        <f>(IF((VLOOKUP(Table2[[#This Row],[SKU]],'All Skus'!$A:$AC,2,FALSE))="AMX",(VLOOKUP(Table2[[#This Row],[SKU]],'All Skus'!$A:$AC,17,FALSE)),""))</f>
        <v>0</v>
      </c>
      <c r="M187" s="63">
        <f>(IF((VLOOKUP(Table2[[#This Row],[SKU]],'All Skus'!$A:$AC,2,FALSE))="AMX",(VLOOKUP(Table2[[#This Row],[SKU]],'All Skus'!$A:$AC,18,FALSE)),""))</f>
        <v>0</v>
      </c>
      <c r="N187" s="47">
        <f>(IF((VLOOKUP(Table2[[#This Row],[SKU]],'All Skus'!$A:$AC,2,FALSE))="AMX",(VLOOKUP(Table2[[#This Row],[SKU]],'All Skus'!$A:$AC,19,FALSE)),""))</f>
        <v>8.19</v>
      </c>
      <c r="O187" s="47">
        <f>(IF((VLOOKUP(Table2[[#This Row],[SKU]],'All Skus'!$A:$AC,2,FALSE))="AMX",(VLOOKUP(Table2[[#This Row],[SKU]],'All Skus'!$A:$AC,20,FALSE)),""))</f>
        <v>5.43</v>
      </c>
      <c r="P187" s="47">
        <f>(IF((VLOOKUP(Table2[[#This Row],[SKU]],'All Skus'!$A:$AC,2,FALSE))="AMX",(VLOOKUP(Table2[[#This Row],[SKU]],'All Skus'!$A:$AC,21,FALSE)),""))</f>
        <v>4.37</v>
      </c>
      <c r="Q187" s="47" t="str">
        <f>(IF((VLOOKUP(Table2[[#This Row],[SKU]],'All Skus'!$A:$AC,2,FALSE))="AMX",(VLOOKUP(Table2[[#This Row],[SKU]],'All Skus'!$A:$AC,22,FALSE)),""))</f>
        <v>US</v>
      </c>
      <c r="R187" s="47" t="str">
        <f>(IF((VLOOKUP(Table2[[#This Row],[SKU]],'All Skus'!$A:$AC,2,FALSE))="AMX",(VLOOKUP(Table2[[#This Row],[SKU]],'All Skus'!$A:$AC,23,FALSE)),""))</f>
        <v>Compliant</v>
      </c>
      <c r="S187" s="210" t="str">
        <f>HYPERLINK((IF((VLOOKUP(Table2[[#This Row],[SKU]],'All Skus'!$A:$AC,2,FALSE))="AMX",(VLOOKUP(Table2[[#This Row],[SKU]],'All Skus'!$A:$AC,24,FALSE)),"")))</f>
        <v>https://www.amx.com/en-US/products/hpx-600</v>
      </c>
      <c r="T187" s="151">
        <v>185</v>
      </c>
    </row>
    <row r="188" spans="1:20" ht="15" hidden="1" customHeight="1">
      <c r="A188" s="48" t="s">
        <v>697</v>
      </c>
      <c r="B188" s="280" t="str">
        <f>(IF((VLOOKUP(Table2[[#This Row],[SKU]],'All Skus'!$A:$AC,2,FALSE))="AMX",(VLOOKUP(Table2[[#This Row],[SKU]],'All Skus'!$A:$AC,3,FALSE)),""))</f>
        <v>Architectural Connectivity</v>
      </c>
      <c r="C188" s="280" t="str">
        <f>(IF((VLOOKUP(Table2[[#This Row],[SKU]],'All Skus'!$A:$AC,2,FALSE))="AMX",(VLOOKUP(Table2[[#This Row],[SKU]],'All Skus'!$A:$AC,4,FALSE)),""))</f>
        <v>HPX-600SL</v>
      </c>
      <c r="D188" s="47" t="str">
        <f>(IF((VLOOKUP(Table2[[#This Row],[SKU]],'All Skus'!$A:$AC,2,FALSE))="AMX",(VLOOKUP(Table2[[#This Row],[SKU]],'All Skus'!$A:$AC,5,FALSE)),""))</f>
        <v>AMX-ENV</v>
      </c>
      <c r="E188" s="281">
        <f>(IF((VLOOKUP(Table2[[#This Row],[SKU]],'All Skus'!$A:$AC,2,FALSE))="AMX",(VLOOKUP(Table2[[#This Row],[SKU]],'All Skus'!$A:$AC,7,FALSE)),""))</f>
        <v>0</v>
      </c>
      <c r="F188" s="280" t="str">
        <f>(IF((VLOOKUP(Table2[[#This Row],[SKU]],'All Skus'!$A:$AC,2,FALSE))="AMX",(VLOOKUP(Table2[[#This Row],[SKU]],'All Skus'!$A:$AC,8,FALSE)),""))</f>
        <v>6-space Hydraport SILVER</v>
      </c>
      <c r="G188" s="280" t="str">
        <f>(IF((VLOOKUP(Table2[[#This Row],[SKU]],'All Skus'!$A:$AC,2,FALSE))="AMX",(VLOOKUP(Table2[[#This Row],[SKU]],'All Skus'!$A:$AC,9,FALSE)),""))</f>
        <v>Hydraport 6 Module Connection Port - Silver Model - Modular connectivity system accommodates the diverse needs of conference and meeting room visitors. Elegant flush-mount design conveniently opens in both directions</v>
      </c>
      <c r="H188" s="157">
        <f>(IF((VLOOKUP(Table2[[#This Row],[SKU]],'All Skus'!$A:$AC,2,FALSE))="AMX",(VLOOKUP(Table2[[#This Row],[SKU]],'All Skus'!$A:$AC,10,FALSE)),""))</f>
        <v>413.9</v>
      </c>
      <c r="I188" s="157">
        <f>(IF((VLOOKUP(Table2[[#This Row],[SKU]],'All Skus'!$A:$AC,2,FALSE))="AMX",(VLOOKUP(Table2[[#This Row],[SKU]],'All Skus'!$A:$AC,11,FALSE)),""))</f>
        <v>413.9</v>
      </c>
      <c r="J188" s="47">
        <f>(IF((VLOOKUP(Table2[[#This Row],[SKU]],'All Skus'!$A:$AC,2,FALSE))="AMX",(VLOOKUP(Table2[[#This Row],[SKU]],'All Skus'!$A:$AC,15,FALSE)),""))</f>
        <v>0</v>
      </c>
      <c r="K188" s="47">
        <f>(IF((VLOOKUP(Table2[[#This Row],[SKU]],'All Skus'!$A:$AC,2,FALSE))="AMX",(VLOOKUP(Table2[[#This Row],[SKU]],'All Skus'!$A:$AC,16,FALSE)),""))</f>
        <v>718878233337</v>
      </c>
      <c r="L188" s="47">
        <f>(IF((VLOOKUP(Table2[[#This Row],[SKU]],'All Skus'!$A:$AC,2,FALSE))="AMX",(VLOOKUP(Table2[[#This Row],[SKU]],'All Skus'!$A:$AC,17,FALSE)),""))</f>
        <v>0</v>
      </c>
      <c r="M188" s="63">
        <f>(IF((VLOOKUP(Table2[[#This Row],[SKU]],'All Skus'!$A:$AC,2,FALSE))="AMX",(VLOOKUP(Table2[[#This Row],[SKU]],'All Skus'!$A:$AC,18,FALSE)),""))</f>
        <v>0</v>
      </c>
      <c r="N188" s="47">
        <f>(IF((VLOOKUP(Table2[[#This Row],[SKU]],'All Skus'!$A:$AC,2,FALSE))="AMX",(VLOOKUP(Table2[[#This Row],[SKU]],'All Skus'!$A:$AC,19,FALSE)),""))</f>
        <v>8.19</v>
      </c>
      <c r="O188" s="47">
        <f>(IF((VLOOKUP(Table2[[#This Row],[SKU]],'All Skus'!$A:$AC,2,FALSE))="AMX",(VLOOKUP(Table2[[#This Row],[SKU]],'All Skus'!$A:$AC,20,FALSE)),""))</f>
        <v>5.43</v>
      </c>
      <c r="P188" s="47">
        <f>(IF((VLOOKUP(Table2[[#This Row],[SKU]],'All Skus'!$A:$AC,2,FALSE))="AMX",(VLOOKUP(Table2[[#This Row],[SKU]],'All Skus'!$A:$AC,21,FALSE)),""))</f>
        <v>4.37</v>
      </c>
      <c r="Q188" s="47" t="str">
        <f>(IF((VLOOKUP(Table2[[#This Row],[SKU]],'All Skus'!$A:$AC,2,FALSE))="AMX",(VLOOKUP(Table2[[#This Row],[SKU]],'All Skus'!$A:$AC,22,FALSE)),""))</f>
        <v>US</v>
      </c>
      <c r="R188" s="47" t="str">
        <f>(IF((VLOOKUP(Table2[[#This Row],[SKU]],'All Skus'!$A:$AC,2,FALSE))="AMX",(VLOOKUP(Table2[[#This Row],[SKU]],'All Skus'!$A:$AC,23,FALSE)),""))</f>
        <v>Compliant</v>
      </c>
      <c r="S188" s="210" t="str">
        <f>HYPERLINK((IF((VLOOKUP(Table2[[#This Row],[SKU]],'All Skus'!$A:$AC,2,FALSE))="AMX",(VLOOKUP(Table2[[#This Row],[SKU]],'All Skus'!$A:$AC,24,FALSE)),"")))</f>
        <v>https://www.amx.com/en-US/products/hpx-600</v>
      </c>
      <c r="T188" s="151">
        <v>186</v>
      </c>
    </row>
    <row r="189" spans="1:20" ht="15" hidden="1" customHeight="1">
      <c r="A189" s="48" t="s">
        <v>698</v>
      </c>
      <c r="B189" s="280" t="str">
        <f>(IF((VLOOKUP(Table2[[#This Row],[SKU]],'All Skus'!$A:$AC,2,FALSE))="AMX",(VLOOKUP(Table2[[#This Row],[SKU]],'All Skus'!$A:$AC,3,FALSE)),""))</f>
        <v>Architectural Connectivity</v>
      </c>
      <c r="C189" s="280" t="str">
        <f>(IF((VLOOKUP(Table2[[#This Row],[SKU]],'All Skus'!$A:$AC,2,FALSE))="AMX",(VLOOKUP(Table2[[#This Row],[SKU]],'All Skus'!$A:$AC,4,FALSE)),""))</f>
        <v>HPX-900BL</v>
      </c>
      <c r="D189" s="47" t="str">
        <f>(IF((VLOOKUP(Table2[[#This Row],[SKU]],'All Skus'!$A:$AC,2,FALSE))="AMX",(VLOOKUP(Table2[[#This Row],[SKU]],'All Skus'!$A:$AC,5,FALSE)),""))</f>
        <v>AMX-ENV</v>
      </c>
      <c r="E189" s="281">
        <f>(IF((VLOOKUP(Table2[[#This Row],[SKU]],'All Skus'!$A:$AC,2,FALSE))="AMX",(VLOOKUP(Table2[[#This Row],[SKU]],'All Skus'!$A:$AC,7,FALSE)),""))</f>
        <v>0</v>
      </c>
      <c r="F189" s="280" t="str">
        <f>(IF((VLOOKUP(Table2[[#This Row],[SKU]],'All Skus'!$A:$AC,2,FALSE))="AMX",(VLOOKUP(Table2[[#This Row],[SKU]],'All Skus'!$A:$AC,8,FALSE)),""))</f>
        <v>9-space Hydraport BLACK</v>
      </c>
      <c r="G189" s="280" t="str">
        <f>(IF((VLOOKUP(Table2[[#This Row],[SKU]],'All Skus'!$A:$AC,2,FALSE))="AMX",(VLOOKUP(Table2[[#This Row],[SKU]],'All Skus'!$A:$AC,9,FALSE)),""))</f>
        <v>Hydraport 9 Module Connection Port - Black Model - Modular connectivity system accommodates the diverse needs of conference and meeting room visitors. Elegant flush-mount design conveniently opens in both directions</v>
      </c>
      <c r="H189" s="157">
        <f>(IF((VLOOKUP(Table2[[#This Row],[SKU]],'All Skus'!$A:$AC,2,FALSE))="AMX",(VLOOKUP(Table2[[#This Row],[SKU]],'All Skus'!$A:$AC,10,FALSE)),""))</f>
        <v>474.5</v>
      </c>
      <c r="I189" s="157">
        <f>(IF((VLOOKUP(Table2[[#This Row],[SKU]],'All Skus'!$A:$AC,2,FALSE))="AMX",(VLOOKUP(Table2[[#This Row],[SKU]],'All Skus'!$A:$AC,11,FALSE)),""))</f>
        <v>474.5</v>
      </c>
      <c r="J189" s="47">
        <f>(IF((VLOOKUP(Table2[[#This Row],[SKU]],'All Skus'!$A:$AC,2,FALSE))="AMX",(VLOOKUP(Table2[[#This Row],[SKU]],'All Skus'!$A:$AC,15,FALSE)),""))</f>
        <v>0</v>
      </c>
      <c r="K189" s="47">
        <f>(IF((VLOOKUP(Table2[[#This Row],[SKU]],'All Skus'!$A:$AC,2,FALSE))="AMX",(VLOOKUP(Table2[[#This Row],[SKU]],'All Skus'!$A:$AC,16,FALSE)),""))</f>
        <v>718878233443</v>
      </c>
      <c r="L189" s="47">
        <f>(IF((VLOOKUP(Table2[[#This Row],[SKU]],'All Skus'!$A:$AC,2,FALSE))="AMX",(VLOOKUP(Table2[[#This Row],[SKU]],'All Skus'!$A:$AC,17,FALSE)),""))</f>
        <v>0</v>
      </c>
      <c r="M189" s="63">
        <f>(IF((VLOOKUP(Table2[[#This Row],[SKU]],'All Skus'!$A:$AC,2,FALSE))="AMX",(VLOOKUP(Table2[[#This Row],[SKU]],'All Skus'!$A:$AC,18,FALSE)),""))</f>
        <v>0</v>
      </c>
      <c r="N189" s="47">
        <f>(IF((VLOOKUP(Table2[[#This Row],[SKU]],'All Skus'!$A:$AC,2,FALSE))="AMX",(VLOOKUP(Table2[[#This Row],[SKU]],'All Skus'!$A:$AC,19,FALSE)),""))</f>
        <v>11.14</v>
      </c>
      <c r="O189" s="47">
        <f>(IF((VLOOKUP(Table2[[#This Row],[SKU]],'All Skus'!$A:$AC,2,FALSE))="AMX",(VLOOKUP(Table2[[#This Row],[SKU]],'All Skus'!$A:$AC,20,FALSE)),""))</f>
        <v>5.43</v>
      </c>
      <c r="P189" s="47">
        <f>(IF((VLOOKUP(Table2[[#This Row],[SKU]],'All Skus'!$A:$AC,2,FALSE))="AMX",(VLOOKUP(Table2[[#This Row],[SKU]],'All Skus'!$A:$AC,21,FALSE)),""))</f>
        <v>4.37</v>
      </c>
      <c r="Q189" s="47" t="str">
        <f>(IF((VLOOKUP(Table2[[#This Row],[SKU]],'All Skus'!$A:$AC,2,FALSE))="AMX",(VLOOKUP(Table2[[#This Row],[SKU]],'All Skus'!$A:$AC,22,FALSE)),""))</f>
        <v>US</v>
      </c>
      <c r="R189" s="47" t="str">
        <f>(IF((VLOOKUP(Table2[[#This Row],[SKU]],'All Skus'!$A:$AC,2,FALSE))="AMX",(VLOOKUP(Table2[[#This Row],[SKU]],'All Skus'!$A:$AC,23,FALSE)),""))</f>
        <v>Compliant</v>
      </c>
      <c r="S189" s="210" t="str">
        <f>HYPERLINK((IF((VLOOKUP(Table2[[#This Row],[SKU]],'All Skus'!$A:$AC,2,FALSE))="AMX",(VLOOKUP(Table2[[#This Row],[SKU]],'All Skus'!$A:$AC,24,FALSE)),"")))</f>
        <v>https://www.amx.com/en-US/products/hpx-900</v>
      </c>
      <c r="T189" s="151">
        <v>187</v>
      </c>
    </row>
    <row r="190" spans="1:20" ht="15" hidden="1" customHeight="1">
      <c r="A190" s="48" t="s">
        <v>699</v>
      </c>
      <c r="B190" s="280" t="str">
        <f>(IF((VLOOKUP(Table2[[#This Row],[SKU]],'All Skus'!$A:$AC,2,FALSE))="AMX",(VLOOKUP(Table2[[#This Row],[SKU]],'All Skus'!$A:$AC,3,FALSE)),""))</f>
        <v>Architectural Connectivity</v>
      </c>
      <c r="C190" s="280" t="str">
        <f>(IF((VLOOKUP(Table2[[#This Row],[SKU]],'All Skus'!$A:$AC,2,FALSE))="AMX",(VLOOKUP(Table2[[#This Row],[SKU]],'All Skus'!$A:$AC,4,FALSE)),""))</f>
        <v>HPX-900SL</v>
      </c>
      <c r="D190" s="47" t="str">
        <f>(IF((VLOOKUP(Table2[[#This Row],[SKU]],'All Skus'!$A:$AC,2,FALSE))="AMX",(VLOOKUP(Table2[[#This Row],[SKU]],'All Skus'!$A:$AC,5,FALSE)),""))</f>
        <v>AMX-ENV</v>
      </c>
      <c r="E190" s="281">
        <f>(IF((VLOOKUP(Table2[[#This Row],[SKU]],'All Skus'!$A:$AC,2,FALSE))="AMX",(VLOOKUP(Table2[[#This Row],[SKU]],'All Skus'!$A:$AC,7,FALSE)),""))</f>
        <v>0</v>
      </c>
      <c r="F190" s="280" t="str">
        <f>(IF((VLOOKUP(Table2[[#This Row],[SKU]],'All Skus'!$A:$AC,2,FALSE))="AMX",(VLOOKUP(Table2[[#This Row],[SKU]],'All Skus'!$A:$AC,8,FALSE)),""))</f>
        <v>9-space Hydraport SILVER</v>
      </c>
      <c r="G190" s="280" t="str">
        <f>(IF((VLOOKUP(Table2[[#This Row],[SKU]],'All Skus'!$A:$AC,2,FALSE))="AMX",(VLOOKUP(Table2[[#This Row],[SKU]],'All Skus'!$A:$AC,9,FALSE)),""))</f>
        <v>Hydraport 9 Module Connection Port - Silver Model - Modular connectivity system accommodates the diverse needs of conference and meeting room visitors. Elegant flush-mount design conveniently opens in both directions</v>
      </c>
      <c r="H190" s="157">
        <f>(IF((VLOOKUP(Table2[[#This Row],[SKU]],'All Skus'!$A:$AC,2,FALSE))="AMX",(VLOOKUP(Table2[[#This Row],[SKU]],'All Skus'!$A:$AC,10,FALSE)),""))</f>
        <v>474.5</v>
      </c>
      <c r="I190" s="157">
        <f>(IF((VLOOKUP(Table2[[#This Row],[SKU]],'All Skus'!$A:$AC,2,FALSE))="AMX",(VLOOKUP(Table2[[#This Row],[SKU]],'All Skus'!$A:$AC,11,FALSE)),""))</f>
        <v>474.5</v>
      </c>
      <c r="J190" s="47">
        <f>(IF((VLOOKUP(Table2[[#This Row],[SKU]],'All Skus'!$A:$AC,2,FALSE))="AMX",(VLOOKUP(Table2[[#This Row],[SKU]],'All Skus'!$A:$AC,15,FALSE)),""))</f>
        <v>0</v>
      </c>
      <c r="K190" s="47">
        <f>(IF((VLOOKUP(Table2[[#This Row],[SKU]],'All Skus'!$A:$AC,2,FALSE))="AMX",(VLOOKUP(Table2[[#This Row],[SKU]],'All Skus'!$A:$AC,16,FALSE)),""))</f>
        <v>718878233559</v>
      </c>
      <c r="L190" s="47">
        <f>(IF((VLOOKUP(Table2[[#This Row],[SKU]],'All Skus'!$A:$AC,2,FALSE))="AMX",(VLOOKUP(Table2[[#This Row],[SKU]],'All Skus'!$A:$AC,17,FALSE)),""))</f>
        <v>0</v>
      </c>
      <c r="M190" s="63">
        <f>(IF((VLOOKUP(Table2[[#This Row],[SKU]],'All Skus'!$A:$AC,2,FALSE))="AMX",(VLOOKUP(Table2[[#This Row],[SKU]],'All Skus'!$A:$AC,18,FALSE)),""))</f>
        <v>0</v>
      </c>
      <c r="N190" s="47">
        <f>(IF((VLOOKUP(Table2[[#This Row],[SKU]],'All Skus'!$A:$AC,2,FALSE))="AMX",(VLOOKUP(Table2[[#This Row],[SKU]],'All Skus'!$A:$AC,19,FALSE)),""))</f>
        <v>11.14</v>
      </c>
      <c r="O190" s="47">
        <f>(IF((VLOOKUP(Table2[[#This Row],[SKU]],'All Skus'!$A:$AC,2,FALSE))="AMX",(VLOOKUP(Table2[[#This Row],[SKU]],'All Skus'!$A:$AC,20,FALSE)),""))</f>
        <v>5.43</v>
      </c>
      <c r="P190" s="47">
        <f>(IF((VLOOKUP(Table2[[#This Row],[SKU]],'All Skus'!$A:$AC,2,FALSE))="AMX",(VLOOKUP(Table2[[#This Row],[SKU]],'All Skus'!$A:$AC,21,FALSE)),""))</f>
        <v>4.37</v>
      </c>
      <c r="Q190" s="47" t="str">
        <f>(IF((VLOOKUP(Table2[[#This Row],[SKU]],'All Skus'!$A:$AC,2,FALSE))="AMX",(VLOOKUP(Table2[[#This Row],[SKU]],'All Skus'!$A:$AC,22,FALSE)),""))</f>
        <v>US</v>
      </c>
      <c r="R190" s="47" t="str">
        <f>(IF((VLOOKUP(Table2[[#This Row],[SKU]],'All Skus'!$A:$AC,2,FALSE))="AMX",(VLOOKUP(Table2[[#This Row],[SKU]],'All Skus'!$A:$AC,23,FALSE)),""))</f>
        <v>Compliant</v>
      </c>
      <c r="S190" s="210" t="str">
        <f>HYPERLINK((IF((VLOOKUP(Table2[[#This Row],[SKU]],'All Skus'!$A:$AC,2,FALSE))="AMX",(VLOOKUP(Table2[[#This Row],[SKU]],'All Skus'!$A:$AC,24,FALSE)),"")))</f>
        <v>https://www.amx.com/en-US/products/hpx-900</v>
      </c>
      <c r="T190" s="151">
        <v>188</v>
      </c>
    </row>
    <row r="191" spans="1:20" ht="15" hidden="1" customHeight="1">
      <c r="A191" s="48" t="s">
        <v>700</v>
      </c>
      <c r="B191" s="280" t="str">
        <f>(IF((VLOOKUP(Table2[[#This Row],[SKU]],'All Skus'!$A:$AC,2,FALSE))="AMX",(VLOOKUP(Table2[[#This Row],[SKU]],'All Skus'!$A:$AC,3,FALSE)),""))</f>
        <v>Architectural Connectivity</v>
      </c>
      <c r="C191" s="280" t="str">
        <f>(IF((VLOOKUP(Table2[[#This Row],[SKU]],'All Skus'!$A:$AC,2,FALSE))="AMX",(VLOOKUP(Table2[[#This Row],[SKU]],'All Skus'!$A:$AC,4,FALSE)),""))</f>
        <v>HPX-1200BL</v>
      </c>
      <c r="D191" s="47" t="str">
        <f>(IF((VLOOKUP(Table2[[#This Row],[SKU]],'All Skus'!$A:$AC,2,FALSE))="AMX",(VLOOKUP(Table2[[#This Row],[SKU]],'All Skus'!$A:$AC,5,FALSE)),""))</f>
        <v>AMX-ENV</v>
      </c>
      <c r="E191" s="281">
        <f>(IF((VLOOKUP(Table2[[#This Row],[SKU]],'All Skus'!$A:$AC,2,FALSE))="AMX",(VLOOKUP(Table2[[#This Row],[SKU]],'All Skus'!$A:$AC,7,FALSE)),""))</f>
        <v>0</v>
      </c>
      <c r="F191" s="280" t="str">
        <f>(IF((VLOOKUP(Table2[[#This Row],[SKU]],'All Skus'!$A:$AC,2,FALSE))="AMX",(VLOOKUP(Table2[[#This Row],[SKU]],'All Skus'!$A:$AC,8,FALSE)),""))</f>
        <v>12-space Hydraport BLACK</v>
      </c>
      <c r="G191" s="280" t="str">
        <f>(IF((VLOOKUP(Table2[[#This Row],[SKU]],'All Skus'!$A:$AC,2,FALSE))="AMX",(VLOOKUP(Table2[[#This Row],[SKU]],'All Skus'!$A:$AC,9,FALSE)),""))</f>
        <v>Hydraport 12 Module Connection Port - Black Model - Modular connectivity system accommodates the diverse needs of conference and meeting room visitors. Elegant flush-mount design conveniently opens in both directions</v>
      </c>
      <c r="H191" s="157">
        <f>(IF((VLOOKUP(Table2[[#This Row],[SKU]],'All Skus'!$A:$AC,2,FALSE))="AMX",(VLOOKUP(Table2[[#This Row],[SKU]],'All Skus'!$A:$AC,10,FALSE)),""))</f>
        <v>532.79999999999995</v>
      </c>
      <c r="I191" s="157">
        <f>(IF((VLOOKUP(Table2[[#This Row],[SKU]],'All Skus'!$A:$AC,2,FALSE))="AMX",(VLOOKUP(Table2[[#This Row],[SKU]],'All Skus'!$A:$AC,11,FALSE)),""))</f>
        <v>532.79999999999995</v>
      </c>
      <c r="J191" s="47">
        <f>(IF((VLOOKUP(Table2[[#This Row],[SKU]],'All Skus'!$A:$AC,2,FALSE))="AMX",(VLOOKUP(Table2[[#This Row],[SKU]],'All Skus'!$A:$AC,15,FALSE)),""))</f>
        <v>0</v>
      </c>
      <c r="K191" s="47">
        <f>(IF((VLOOKUP(Table2[[#This Row],[SKU]],'All Skus'!$A:$AC,2,FALSE))="AMX",(VLOOKUP(Table2[[#This Row],[SKU]],'All Skus'!$A:$AC,16,FALSE)),""))</f>
        <v>718878233665</v>
      </c>
      <c r="L191" s="47">
        <f>(IF((VLOOKUP(Table2[[#This Row],[SKU]],'All Skus'!$A:$AC,2,FALSE))="AMX",(VLOOKUP(Table2[[#This Row],[SKU]],'All Skus'!$A:$AC,17,FALSE)),""))</f>
        <v>0</v>
      </c>
      <c r="M191" s="63">
        <f>(IF((VLOOKUP(Table2[[#This Row],[SKU]],'All Skus'!$A:$AC,2,FALSE))="AMX",(VLOOKUP(Table2[[#This Row],[SKU]],'All Skus'!$A:$AC,18,FALSE)),""))</f>
        <v>0</v>
      </c>
      <c r="N191" s="47">
        <f>(IF((VLOOKUP(Table2[[#This Row],[SKU]],'All Skus'!$A:$AC,2,FALSE))="AMX",(VLOOKUP(Table2[[#This Row],[SKU]],'All Skus'!$A:$AC,19,FALSE)),""))</f>
        <v>14.09</v>
      </c>
      <c r="O191" s="47">
        <f>(IF((VLOOKUP(Table2[[#This Row],[SKU]],'All Skus'!$A:$AC,2,FALSE))="AMX",(VLOOKUP(Table2[[#This Row],[SKU]],'All Skus'!$A:$AC,20,FALSE)),""))</f>
        <v>5.43</v>
      </c>
      <c r="P191" s="47">
        <f>(IF((VLOOKUP(Table2[[#This Row],[SKU]],'All Skus'!$A:$AC,2,FALSE))="AMX",(VLOOKUP(Table2[[#This Row],[SKU]],'All Skus'!$A:$AC,21,FALSE)),""))</f>
        <v>4.37</v>
      </c>
      <c r="Q191" s="47" t="str">
        <f>(IF((VLOOKUP(Table2[[#This Row],[SKU]],'All Skus'!$A:$AC,2,FALSE))="AMX",(VLOOKUP(Table2[[#This Row],[SKU]],'All Skus'!$A:$AC,22,FALSE)),""))</f>
        <v>US</v>
      </c>
      <c r="R191" s="47" t="str">
        <f>(IF((VLOOKUP(Table2[[#This Row],[SKU]],'All Skus'!$A:$AC,2,FALSE))="AMX",(VLOOKUP(Table2[[#This Row],[SKU]],'All Skus'!$A:$AC,23,FALSE)),""))</f>
        <v>Compliant</v>
      </c>
      <c r="S191" s="210" t="str">
        <f>HYPERLINK((IF((VLOOKUP(Table2[[#This Row],[SKU]],'All Skus'!$A:$AC,2,FALSE))="AMX",(VLOOKUP(Table2[[#This Row],[SKU]],'All Skus'!$A:$AC,24,FALSE)),"")))</f>
        <v>https://www.amx.com/en-US/products/hpx-1200</v>
      </c>
      <c r="T191" s="151">
        <v>189</v>
      </c>
    </row>
    <row r="192" spans="1:20" ht="15" hidden="1" customHeight="1">
      <c r="A192" s="48" t="s">
        <v>701</v>
      </c>
      <c r="B192" s="280" t="str">
        <f>(IF((VLOOKUP(Table2[[#This Row],[SKU]],'All Skus'!$A:$AC,2,FALSE))="AMX",(VLOOKUP(Table2[[#This Row],[SKU]],'All Skus'!$A:$AC,3,FALSE)),""))</f>
        <v>Architectural Connectivity</v>
      </c>
      <c r="C192" s="280" t="str">
        <f>(IF((VLOOKUP(Table2[[#This Row],[SKU]],'All Skus'!$A:$AC,2,FALSE))="AMX",(VLOOKUP(Table2[[#This Row],[SKU]],'All Skus'!$A:$AC,4,FALSE)),""))</f>
        <v>HPX-1200SL</v>
      </c>
      <c r="D192" s="47" t="str">
        <f>(IF((VLOOKUP(Table2[[#This Row],[SKU]],'All Skus'!$A:$AC,2,FALSE))="AMX",(VLOOKUP(Table2[[#This Row],[SKU]],'All Skus'!$A:$AC,5,FALSE)),""))</f>
        <v>AMX-ENV</v>
      </c>
      <c r="E192" s="281">
        <f>(IF((VLOOKUP(Table2[[#This Row],[SKU]],'All Skus'!$A:$AC,2,FALSE))="AMX",(VLOOKUP(Table2[[#This Row],[SKU]],'All Skus'!$A:$AC,7,FALSE)),""))</f>
        <v>0</v>
      </c>
      <c r="F192" s="280" t="str">
        <f>(IF((VLOOKUP(Table2[[#This Row],[SKU]],'All Skus'!$A:$AC,2,FALSE))="AMX",(VLOOKUP(Table2[[#This Row],[SKU]],'All Skus'!$A:$AC,8,FALSE)),""))</f>
        <v>12-space Hydraport SILVER</v>
      </c>
      <c r="G192" s="280" t="str">
        <f>(IF((VLOOKUP(Table2[[#This Row],[SKU]],'All Skus'!$A:$AC,2,FALSE))="AMX",(VLOOKUP(Table2[[#This Row],[SKU]],'All Skus'!$A:$AC,9,FALSE)),""))</f>
        <v>Hydraport 12 Module Connection Port - Silver Model - Modular connectivity system accommodates the diverse needs of conference and meeting room visitors. Elegant flush-mount design conveniently opens in both directions</v>
      </c>
      <c r="H192" s="157">
        <f>(IF((VLOOKUP(Table2[[#This Row],[SKU]],'All Skus'!$A:$AC,2,FALSE))="AMX",(VLOOKUP(Table2[[#This Row],[SKU]],'All Skus'!$A:$AC,10,FALSE)),""))</f>
        <v>532.79999999999995</v>
      </c>
      <c r="I192" s="157">
        <f>(IF((VLOOKUP(Table2[[#This Row],[SKU]],'All Skus'!$A:$AC,2,FALSE))="AMX",(VLOOKUP(Table2[[#This Row],[SKU]],'All Skus'!$A:$AC,11,FALSE)),""))</f>
        <v>532.79999999999995</v>
      </c>
      <c r="J192" s="47">
        <f>(IF((VLOOKUP(Table2[[#This Row],[SKU]],'All Skus'!$A:$AC,2,FALSE))="AMX",(VLOOKUP(Table2[[#This Row],[SKU]],'All Skus'!$A:$AC,15,FALSE)),""))</f>
        <v>0</v>
      </c>
      <c r="K192" s="47">
        <f>(IF((VLOOKUP(Table2[[#This Row],[SKU]],'All Skus'!$A:$AC,2,FALSE))="AMX",(VLOOKUP(Table2[[#This Row],[SKU]],'All Skus'!$A:$AC,16,FALSE)),""))</f>
        <v>718878233771</v>
      </c>
      <c r="L192" s="47">
        <f>(IF((VLOOKUP(Table2[[#This Row],[SKU]],'All Skus'!$A:$AC,2,FALSE))="AMX",(VLOOKUP(Table2[[#This Row],[SKU]],'All Skus'!$A:$AC,17,FALSE)),""))</f>
        <v>0</v>
      </c>
      <c r="M192" s="63">
        <f>(IF((VLOOKUP(Table2[[#This Row],[SKU]],'All Skus'!$A:$AC,2,FALSE))="AMX",(VLOOKUP(Table2[[#This Row],[SKU]],'All Skus'!$A:$AC,18,FALSE)),""))</f>
        <v>0</v>
      </c>
      <c r="N192" s="47">
        <f>(IF((VLOOKUP(Table2[[#This Row],[SKU]],'All Skus'!$A:$AC,2,FALSE))="AMX",(VLOOKUP(Table2[[#This Row],[SKU]],'All Skus'!$A:$AC,19,FALSE)),""))</f>
        <v>14.09</v>
      </c>
      <c r="O192" s="47">
        <f>(IF((VLOOKUP(Table2[[#This Row],[SKU]],'All Skus'!$A:$AC,2,FALSE))="AMX",(VLOOKUP(Table2[[#This Row],[SKU]],'All Skus'!$A:$AC,20,FALSE)),""))</f>
        <v>5.43</v>
      </c>
      <c r="P192" s="47">
        <f>(IF((VLOOKUP(Table2[[#This Row],[SKU]],'All Skus'!$A:$AC,2,FALSE))="AMX",(VLOOKUP(Table2[[#This Row],[SKU]],'All Skus'!$A:$AC,21,FALSE)),""))</f>
        <v>4.37</v>
      </c>
      <c r="Q192" s="47" t="str">
        <f>(IF((VLOOKUP(Table2[[#This Row],[SKU]],'All Skus'!$A:$AC,2,FALSE))="AMX",(VLOOKUP(Table2[[#This Row],[SKU]],'All Skus'!$A:$AC,22,FALSE)),""))</f>
        <v>US</v>
      </c>
      <c r="R192" s="47" t="str">
        <f>(IF((VLOOKUP(Table2[[#This Row],[SKU]],'All Skus'!$A:$AC,2,FALSE))="AMX",(VLOOKUP(Table2[[#This Row],[SKU]],'All Skus'!$A:$AC,23,FALSE)),""))</f>
        <v>Compliant</v>
      </c>
      <c r="S192" s="210" t="str">
        <f>HYPERLINK((IF((VLOOKUP(Table2[[#This Row],[SKU]],'All Skus'!$A:$AC,2,FALSE))="AMX",(VLOOKUP(Table2[[#This Row],[SKU]],'All Skus'!$A:$AC,24,FALSE)),"")))</f>
        <v>https://www.amx.com/en-US/products/hpx-1200</v>
      </c>
      <c r="T192" s="151">
        <v>190</v>
      </c>
    </row>
    <row r="193" spans="1:20" ht="15" hidden="1" customHeight="1">
      <c r="A193" s="48" t="s">
        <v>702</v>
      </c>
      <c r="B193" s="280" t="str">
        <f>(IF((VLOOKUP(Table2[[#This Row],[SKU]],'All Skus'!$A:$AC,2,FALSE))="AMX",(VLOOKUP(Table2[[#This Row],[SKU]],'All Skus'!$A:$AC,3,FALSE)),""))</f>
        <v>Architectural Connectivity</v>
      </c>
      <c r="C193" s="280" t="str">
        <f>(IF((VLOOKUP(Table2[[#This Row],[SKU]],'All Skus'!$A:$AC,2,FALSE))="AMX",(VLOOKUP(Table2[[#This Row],[SKU]],'All Skus'!$A:$AC,4,FALSE)),""))</f>
        <v>HPX-P200-PC-US</v>
      </c>
      <c r="D193" s="47" t="str">
        <f>(IF((VLOOKUP(Table2[[#This Row],[SKU]],'All Skus'!$A:$AC,2,FALSE))="AMX",(VLOOKUP(Table2[[#This Row],[SKU]],'All Skus'!$A:$AC,5,FALSE)),""))</f>
        <v>AMX-ENV</v>
      </c>
      <c r="E193" s="281">
        <f>(IF((VLOOKUP(Table2[[#This Row],[SKU]],'All Skus'!$A:$AC,2,FALSE))="AMX",(VLOOKUP(Table2[[#This Row],[SKU]],'All Skus'!$A:$AC,7,FALSE)),""))</f>
        <v>0</v>
      </c>
      <c r="F193" s="280" t="str">
        <f>(IF((VLOOKUP(Table2[[#This Row],[SKU]],'All Skus'!$A:$AC,2,FALSE))="AMX",(VLOOKUP(Table2[[#This Row],[SKU]],'All Skus'!$A:$AC,8,FALSE)),""))</f>
        <v>US Power Outlet (Type A/B) with cord for Hydraport</v>
      </c>
      <c r="G193" s="280" t="str">
        <f>(IF((VLOOKUP(Table2[[#This Row],[SKU]],'All Skus'!$A:$AC,2,FALSE))="AMX",(VLOOKUP(Table2[[#This Row],[SKU]],'All Skus'!$A:$AC,9,FALSE)),""))</f>
        <v>The HPX-P200-PC-US, Power Outlet (US) Module with Cord, is a Hydraport Power Outlet Module for HPX-600/900/1200 - US</v>
      </c>
      <c r="H193" s="157">
        <f>(IF((VLOOKUP(Table2[[#This Row],[SKU]],'All Skus'!$A:$AC,2,FALSE))="AMX",(VLOOKUP(Table2[[#This Row],[SKU]],'All Skus'!$A:$AC,10,FALSE)),""))</f>
        <v>174.1</v>
      </c>
      <c r="I193" s="157">
        <f>(IF((VLOOKUP(Table2[[#This Row],[SKU]],'All Skus'!$A:$AC,2,FALSE))="AMX",(VLOOKUP(Table2[[#This Row],[SKU]],'All Skus'!$A:$AC,11,FALSE)),""))</f>
        <v>174.1</v>
      </c>
      <c r="J193" s="47">
        <f>(IF((VLOOKUP(Table2[[#This Row],[SKU]],'All Skus'!$A:$AC,2,FALSE))="AMX",(VLOOKUP(Table2[[#This Row],[SKU]],'All Skus'!$A:$AC,15,FALSE)),""))</f>
        <v>0</v>
      </c>
      <c r="K193" s="47">
        <f>(IF((VLOOKUP(Table2[[#This Row],[SKU]],'All Skus'!$A:$AC,2,FALSE))="AMX",(VLOOKUP(Table2[[#This Row],[SKU]],'All Skus'!$A:$AC,16,FALSE)),""))</f>
        <v>718878233887</v>
      </c>
      <c r="L193" s="47">
        <f>(IF((VLOOKUP(Table2[[#This Row],[SKU]],'All Skus'!$A:$AC,2,FALSE))="AMX",(VLOOKUP(Table2[[#This Row],[SKU]],'All Skus'!$A:$AC,17,FALSE)),""))</f>
        <v>0</v>
      </c>
      <c r="M193" s="63">
        <f>(IF((VLOOKUP(Table2[[#This Row],[SKU]],'All Skus'!$A:$AC,2,FALSE))="AMX",(VLOOKUP(Table2[[#This Row],[SKU]],'All Skus'!$A:$AC,18,FALSE)),""))</f>
        <v>0.5</v>
      </c>
      <c r="N193" s="47">
        <f>(IF((VLOOKUP(Table2[[#This Row],[SKU]],'All Skus'!$A:$AC,2,FALSE))="AMX",(VLOOKUP(Table2[[#This Row],[SKU]],'All Skus'!$A:$AC,19,FALSE)),""))</f>
        <v>2.0499999999999998</v>
      </c>
      <c r="O193" s="47">
        <f>(IF((VLOOKUP(Table2[[#This Row],[SKU]],'All Skus'!$A:$AC,2,FALSE))="AMX",(VLOOKUP(Table2[[#This Row],[SKU]],'All Skus'!$A:$AC,20,FALSE)),""))</f>
        <v>2</v>
      </c>
      <c r="P193" s="47">
        <f>(IF((VLOOKUP(Table2[[#This Row],[SKU]],'All Skus'!$A:$AC,2,FALSE))="AMX",(VLOOKUP(Table2[[#This Row],[SKU]],'All Skus'!$A:$AC,21,FALSE)),""))</f>
        <v>94.5</v>
      </c>
      <c r="Q193" s="47" t="str">
        <f>(IF((VLOOKUP(Table2[[#This Row],[SKU]],'All Skus'!$A:$AC,2,FALSE))="AMX",(VLOOKUP(Table2[[#This Row],[SKU]],'All Skus'!$A:$AC,22,FALSE)),""))</f>
        <v>US</v>
      </c>
      <c r="R193" s="47" t="str">
        <f>(IF((VLOOKUP(Table2[[#This Row],[SKU]],'All Skus'!$A:$AC,2,FALSE))="AMX",(VLOOKUP(Table2[[#This Row],[SKU]],'All Skus'!$A:$AC,23,FALSE)),""))</f>
        <v>Compliant</v>
      </c>
      <c r="S193" s="210" t="str">
        <f>HYPERLINK((IF((VLOOKUP(Table2[[#This Row],[SKU]],'All Skus'!$A:$AC,2,FALSE))="AMX",(VLOOKUP(Table2[[#This Row],[SKU]],'All Skus'!$A:$AC,24,FALSE)),"")))</f>
        <v>https://www.amx.com/en-US/products/hpx-p200-pc-us</v>
      </c>
      <c r="T193" s="151">
        <v>191</v>
      </c>
    </row>
    <row r="194" spans="1:20" ht="15" hidden="1" customHeight="1">
      <c r="A194" s="48" t="s">
        <v>703</v>
      </c>
      <c r="B194" s="280" t="str">
        <f>(IF((VLOOKUP(Table2[[#This Row],[SKU]],'All Skus'!$A:$AC,2,FALSE))="AMX",(VLOOKUP(Table2[[#This Row],[SKU]],'All Skus'!$A:$AC,3,FALSE)),""))</f>
        <v>Architectural Connectivity</v>
      </c>
      <c r="C194" s="280" t="str">
        <f>(IF((VLOOKUP(Table2[[#This Row],[SKU]],'All Skus'!$A:$AC,2,FALSE))="AMX",(VLOOKUP(Table2[[#This Row],[SKU]],'All Skus'!$A:$AC,4,FALSE)),""))</f>
        <v>HPX-P250-PC-UK</v>
      </c>
      <c r="D194" s="47" t="str">
        <f>(IF((VLOOKUP(Table2[[#This Row],[SKU]],'All Skus'!$A:$AC,2,FALSE))="AMX",(VLOOKUP(Table2[[#This Row],[SKU]],'All Skus'!$A:$AC,5,FALSE)),""))</f>
        <v>AMX-ENV</v>
      </c>
      <c r="E194" s="281">
        <f>(IF((VLOOKUP(Table2[[#This Row],[SKU]],'All Skus'!$A:$AC,2,FALSE))="AMX",(VLOOKUP(Table2[[#This Row],[SKU]],'All Skus'!$A:$AC,7,FALSE)),""))</f>
        <v>0</v>
      </c>
      <c r="F194" s="280" t="str">
        <f>(IF((VLOOKUP(Table2[[#This Row],[SKU]],'All Skus'!$A:$AC,2,FALSE))="AMX",(VLOOKUP(Table2[[#This Row],[SKU]],'All Skus'!$A:$AC,8,FALSE)),""))</f>
        <v>UK Power Outlet (Type G) for Hydraport</v>
      </c>
      <c r="G194" s="280" t="str">
        <f>(IF((VLOOKUP(Table2[[#This Row],[SKU]],'All Skus'!$A:$AC,2,FALSE))="AMX",(VLOOKUP(Table2[[#This Row],[SKU]],'All Skus'!$A:$AC,9,FALSE)),""))</f>
        <v>The HPX-P250-PC-UK, Power Outlet (UK) Module, is a Hydraport Power Outlet Module for HPX-600/900/1200 - UK</v>
      </c>
      <c r="H194" s="157">
        <f>(IF((VLOOKUP(Table2[[#This Row],[SKU]],'All Skus'!$A:$AC,2,FALSE))="AMX",(VLOOKUP(Table2[[#This Row],[SKU]],'All Skus'!$A:$AC,10,FALSE)),""))</f>
        <v>217.2</v>
      </c>
      <c r="I194" s="157">
        <f>(IF((VLOOKUP(Table2[[#This Row],[SKU]],'All Skus'!$A:$AC,2,FALSE))="AMX",(VLOOKUP(Table2[[#This Row],[SKU]],'All Skus'!$A:$AC,11,FALSE)),""))</f>
        <v>217.2</v>
      </c>
      <c r="J194" s="47">
        <f>(IF((VLOOKUP(Table2[[#This Row],[SKU]],'All Skus'!$A:$AC,2,FALSE))="AMX",(VLOOKUP(Table2[[#This Row],[SKU]],'All Skus'!$A:$AC,15,FALSE)),""))</f>
        <v>0</v>
      </c>
      <c r="K194" s="47">
        <f>(IF((VLOOKUP(Table2[[#This Row],[SKU]],'All Skus'!$A:$AC,2,FALSE))="AMX",(VLOOKUP(Table2[[#This Row],[SKU]],'All Skus'!$A:$AC,16,FALSE)),""))</f>
        <v>718878233993</v>
      </c>
      <c r="L194" s="47">
        <f>(IF((VLOOKUP(Table2[[#This Row],[SKU]],'All Skus'!$A:$AC,2,FALSE))="AMX",(VLOOKUP(Table2[[#This Row],[SKU]],'All Skus'!$A:$AC,17,FALSE)),""))</f>
        <v>0</v>
      </c>
      <c r="M194" s="63">
        <f>(IF((VLOOKUP(Table2[[#This Row],[SKU]],'All Skus'!$A:$AC,2,FALSE))="AMX",(VLOOKUP(Table2[[#This Row],[SKU]],'All Skus'!$A:$AC,18,FALSE)),""))</f>
        <v>0.15</v>
      </c>
      <c r="N194" s="47">
        <f>(IF((VLOOKUP(Table2[[#This Row],[SKU]],'All Skus'!$A:$AC,2,FALSE))="AMX",(VLOOKUP(Table2[[#This Row],[SKU]],'All Skus'!$A:$AC,19,FALSE)),""))</f>
        <v>2.0499999999999998</v>
      </c>
      <c r="O194" s="47">
        <f>(IF((VLOOKUP(Table2[[#This Row],[SKU]],'All Skus'!$A:$AC,2,FALSE))="AMX",(VLOOKUP(Table2[[#This Row],[SKU]],'All Skus'!$A:$AC,20,FALSE)),""))</f>
        <v>2.5</v>
      </c>
      <c r="P194" s="47">
        <f>(IF((VLOOKUP(Table2[[#This Row],[SKU]],'All Skus'!$A:$AC,2,FALSE))="AMX",(VLOOKUP(Table2[[#This Row],[SKU]],'All Skus'!$A:$AC,21,FALSE)),""))</f>
        <v>2</v>
      </c>
      <c r="Q194" s="47" t="str">
        <f>(IF((VLOOKUP(Table2[[#This Row],[SKU]],'All Skus'!$A:$AC,2,FALSE))="AMX",(VLOOKUP(Table2[[#This Row],[SKU]],'All Skus'!$A:$AC,22,FALSE)),""))</f>
        <v>TW</v>
      </c>
      <c r="R194" s="47" t="str">
        <f>(IF((VLOOKUP(Table2[[#This Row],[SKU]],'All Skus'!$A:$AC,2,FALSE))="AMX",(VLOOKUP(Table2[[#This Row],[SKU]],'All Skus'!$A:$AC,23,FALSE)),""))</f>
        <v>Compliant</v>
      </c>
      <c r="S194" s="210" t="str">
        <f>HYPERLINK((IF((VLOOKUP(Table2[[#This Row],[SKU]],'All Skus'!$A:$AC,2,FALSE))="AMX",(VLOOKUP(Table2[[#This Row],[SKU]],'All Skus'!$A:$AC,24,FALSE)),"")))</f>
        <v>https://www.amx.com/en-US/products/hpx-p250-pc-uk</v>
      </c>
      <c r="T194" s="151">
        <v>192</v>
      </c>
    </row>
    <row r="195" spans="1:20" ht="15" hidden="1" customHeight="1">
      <c r="A195" s="48" t="s">
        <v>704</v>
      </c>
      <c r="B195" s="280" t="str">
        <f>(IF((VLOOKUP(Table2[[#This Row],[SKU]],'All Skus'!$A:$AC,2,FALSE))="AMX",(VLOOKUP(Table2[[#This Row],[SKU]],'All Skus'!$A:$AC,3,FALSE)),""))</f>
        <v>Architectural Connectivity</v>
      </c>
      <c r="C195" s="280" t="str">
        <f>(IF((VLOOKUP(Table2[[#This Row],[SKU]],'All Skus'!$A:$AC,2,FALSE))="AMX",(VLOOKUP(Table2[[#This Row],[SKU]],'All Skus'!$A:$AC,4,FALSE)),""))</f>
        <v>HPX-P200-PC-EU</v>
      </c>
      <c r="D195" s="47" t="str">
        <f>(IF((VLOOKUP(Table2[[#This Row],[SKU]],'All Skus'!$A:$AC,2,FALSE))="AMX",(VLOOKUP(Table2[[#This Row],[SKU]],'All Skus'!$A:$AC,5,FALSE)),""))</f>
        <v>AMX-ENV</v>
      </c>
      <c r="E195" s="281">
        <f>(IF((VLOOKUP(Table2[[#This Row],[SKU]],'All Skus'!$A:$AC,2,FALSE))="AMX",(VLOOKUP(Table2[[#This Row],[SKU]],'All Skus'!$A:$AC,7,FALSE)),""))</f>
        <v>0</v>
      </c>
      <c r="F195" s="280" t="str">
        <f>(IF((VLOOKUP(Table2[[#This Row],[SKU]],'All Skus'!$A:$AC,2,FALSE))="AMX",(VLOOKUP(Table2[[#This Row],[SKU]],'All Skus'!$A:$AC,8,FALSE)),""))</f>
        <v>EU Power Outlet (Type F) for Hydraport</v>
      </c>
      <c r="G195" s="280" t="str">
        <f>(IF((VLOOKUP(Table2[[#This Row],[SKU]],'All Skus'!$A:$AC,2,FALSE))="AMX",(VLOOKUP(Table2[[#This Row],[SKU]],'All Skus'!$A:$AC,9,FALSE)),""))</f>
        <v>The HPX-P200-PC-EU, Power Outlet (EU) Module, is a Hydraport Power Outlet Module for HPX-600/900/1200 - EU</v>
      </c>
      <c r="H195" s="157">
        <f>(IF((VLOOKUP(Table2[[#This Row],[SKU]],'All Skus'!$A:$AC,2,FALSE))="AMX",(VLOOKUP(Table2[[#This Row],[SKU]],'All Skus'!$A:$AC,10,FALSE)),""))</f>
        <v>217.2</v>
      </c>
      <c r="I195" s="157">
        <f>(IF((VLOOKUP(Table2[[#This Row],[SKU]],'All Skus'!$A:$AC,2,FALSE))="AMX",(VLOOKUP(Table2[[#This Row],[SKU]],'All Skus'!$A:$AC,11,FALSE)),""))</f>
        <v>217.2</v>
      </c>
      <c r="J195" s="47">
        <f>(IF((VLOOKUP(Table2[[#This Row],[SKU]],'All Skus'!$A:$AC,2,FALSE))="AMX",(VLOOKUP(Table2[[#This Row],[SKU]],'All Skus'!$A:$AC,15,FALSE)),""))</f>
        <v>0</v>
      </c>
      <c r="K195" s="47">
        <f>(IF((VLOOKUP(Table2[[#This Row],[SKU]],'All Skus'!$A:$AC,2,FALSE))="AMX",(VLOOKUP(Table2[[#This Row],[SKU]],'All Skus'!$A:$AC,16,FALSE)),""))</f>
        <v>718878234006</v>
      </c>
      <c r="L195" s="47">
        <f>(IF((VLOOKUP(Table2[[#This Row],[SKU]],'All Skus'!$A:$AC,2,FALSE))="AMX",(VLOOKUP(Table2[[#This Row],[SKU]],'All Skus'!$A:$AC,17,FALSE)),""))</f>
        <v>0</v>
      </c>
      <c r="M195" s="63">
        <f>(IF((VLOOKUP(Table2[[#This Row],[SKU]],'All Skus'!$A:$AC,2,FALSE))="AMX",(VLOOKUP(Table2[[#This Row],[SKU]],'All Skus'!$A:$AC,18,FALSE)),""))</f>
        <v>0.15</v>
      </c>
      <c r="N195" s="47">
        <f>(IF((VLOOKUP(Table2[[#This Row],[SKU]],'All Skus'!$A:$AC,2,FALSE))="AMX",(VLOOKUP(Table2[[#This Row],[SKU]],'All Skus'!$A:$AC,19,FALSE)),""))</f>
        <v>2.0499999999999998</v>
      </c>
      <c r="O195" s="47">
        <f>(IF((VLOOKUP(Table2[[#This Row],[SKU]],'All Skus'!$A:$AC,2,FALSE))="AMX",(VLOOKUP(Table2[[#This Row],[SKU]],'All Skus'!$A:$AC,20,FALSE)),""))</f>
        <v>2</v>
      </c>
      <c r="P195" s="47">
        <f>(IF((VLOOKUP(Table2[[#This Row],[SKU]],'All Skus'!$A:$AC,2,FALSE))="AMX",(VLOOKUP(Table2[[#This Row],[SKU]],'All Skus'!$A:$AC,21,FALSE)),""))</f>
        <v>2</v>
      </c>
      <c r="Q195" s="47" t="str">
        <f>(IF((VLOOKUP(Table2[[#This Row],[SKU]],'All Skus'!$A:$AC,2,FALSE))="AMX",(VLOOKUP(Table2[[#This Row],[SKU]],'All Skus'!$A:$AC,22,FALSE)),""))</f>
        <v>TW</v>
      </c>
      <c r="R195" s="47" t="str">
        <f>(IF((VLOOKUP(Table2[[#This Row],[SKU]],'All Skus'!$A:$AC,2,FALSE))="AMX",(VLOOKUP(Table2[[#This Row],[SKU]],'All Skus'!$A:$AC,23,FALSE)),""))</f>
        <v>Compliant</v>
      </c>
      <c r="S195" s="210" t="str">
        <f>HYPERLINK((IF((VLOOKUP(Table2[[#This Row],[SKU]],'All Skus'!$A:$AC,2,FALSE))="AMX",(VLOOKUP(Table2[[#This Row],[SKU]],'All Skus'!$A:$AC,24,FALSE)),"")))</f>
        <v>https://www.amx.com/en-US/products/hpx-p200-pc-eu</v>
      </c>
      <c r="T195" s="151">
        <v>193</v>
      </c>
    </row>
    <row r="196" spans="1:20" ht="15" hidden="1" customHeight="1">
      <c r="A196" s="48" t="s">
        <v>705</v>
      </c>
      <c r="B196" s="280" t="str">
        <f>(IF((VLOOKUP(Table2[[#This Row],[SKU]],'All Skus'!$A:$AC,2,FALSE))="AMX",(VLOOKUP(Table2[[#This Row],[SKU]],'All Skus'!$A:$AC,3,FALSE)),""))</f>
        <v>Architectural Connectivity</v>
      </c>
      <c r="C196" s="280" t="str">
        <f>(IF((VLOOKUP(Table2[[#This Row],[SKU]],'All Skus'!$A:$AC,2,FALSE))="AMX",(VLOOKUP(Table2[[#This Row],[SKU]],'All Skus'!$A:$AC,4,FALSE)),""))</f>
        <v>HPX-P200-PC-AU</v>
      </c>
      <c r="D196" s="47" t="str">
        <f>(IF((VLOOKUP(Table2[[#This Row],[SKU]],'All Skus'!$A:$AC,2,FALSE))="AMX",(VLOOKUP(Table2[[#This Row],[SKU]],'All Skus'!$A:$AC,5,FALSE)),""))</f>
        <v>AMX-ENV</v>
      </c>
      <c r="E196" s="281">
        <f>(IF((VLOOKUP(Table2[[#This Row],[SKU]],'All Skus'!$A:$AC,2,FALSE))="AMX",(VLOOKUP(Table2[[#This Row],[SKU]],'All Skus'!$A:$AC,7,FALSE)),""))</f>
        <v>0</v>
      </c>
      <c r="F196" s="280" t="str">
        <f>(IF((VLOOKUP(Table2[[#This Row],[SKU]],'All Skus'!$A:$AC,2,FALSE))="AMX",(VLOOKUP(Table2[[#This Row],[SKU]],'All Skus'!$A:$AC,8,FALSE)),""))</f>
        <v>Australian Outlet (Type I) for Hydraport</v>
      </c>
      <c r="G196" s="280" t="str">
        <f>(IF((VLOOKUP(Table2[[#This Row],[SKU]],'All Skus'!$A:$AC,2,FALSE))="AMX",(VLOOKUP(Table2[[#This Row],[SKU]],'All Skus'!$A:$AC,9,FALSE)),""))</f>
        <v>HPX-P200-PC-AU, Power Outlet (AU) Module, is a Hydraport Power Outlet Module for HPX-600/900/1200 - AU</v>
      </c>
      <c r="H196" s="157">
        <f>(IF((VLOOKUP(Table2[[#This Row],[SKU]],'All Skus'!$A:$AC,2,FALSE))="AMX",(VLOOKUP(Table2[[#This Row],[SKU]],'All Skus'!$A:$AC,10,FALSE)),""))</f>
        <v>205.8</v>
      </c>
      <c r="I196" s="157">
        <f>(IF((VLOOKUP(Table2[[#This Row],[SKU]],'All Skus'!$A:$AC,2,FALSE))="AMX",(VLOOKUP(Table2[[#This Row],[SKU]],'All Skus'!$A:$AC,11,FALSE)),""))</f>
        <v>205.8</v>
      </c>
      <c r="J196" s="47">
        <f>(IF((VLOOKUP(Table2[[#This Row],[SKU]],'All Skus'!$A:$AC,2,FALSE))="AMX",(VLOOKUP(Table2[[#This Row],[SKU]],'All Skus'!$A:$AC,15,FALSE)),""))</f>
        <v>0</v>
      </c>
      <c r="K196" s="47">
        <f>(IF((VLOOKUP(Table2[[#This Row],[SKU]],'All Skus'!$A:$AC,2,FALSE))="AMX",(VLOOKUP(Table2[[#This Row],[SKU]],'All Skus'!$A:$AC,16,FALSE)),""))</f>
        <v>718878025291</v>
      </c>
      <c r="L196" s="47">
        <f>(IF((VLOOKUP(Table2[[#This Row],[SKU]],'All Skus'!$A:$AC,2,FALSE))="AMX",(VLOOKUP(Table2[[#This Row],[SKU]],'All Skus'!$A:$AC,17,FALSE)),""))</f>
        <v>0</v>
      </c>
      <c r="M196" s="63">
        <f>(IF((VLOOKUP(Table2[[#This Row],[SKU]],'All Skus'!$A:$AC,2,FALSE))="AMX",(VLOOKUP(Table2[[#This Row],[SKU]],'All Skus'!$A:$AC,18,FALSE)),""))</f>
        <v>0.15</v>
      </c>
      <c r="N196" s="47">
        <f>(IF((VLOOKUP(Table2[[#This Row],[SKU]],'All Skus'!$A:$AC,2,FALSE))="AMX",(VLOOKUP(Table2[[#This Row],[SKU]],'All Skus'!$A:$AC,19,FALSE)),""))</f>
        <v>2.0499999999999998</v>
      </c>
      <c r="O196" s="47">
        <f>(IF((VLOOKUP(Table2[[#This Row],[SKU]],'All Skus'!$A:$AC,2,FALSE))="AMX",(VLOOKUP(Table2[[#This Row],[SKU]],'All Skus'!$A:$AC,20,FALSE)),""))</f>
        <v>2</v>
      </c>
      <c r="P196" s="47">
        <f>(IF((VLOOKUP(Table2[[#This Row],[SKU]],'All Skus'!$A:$AC,2,FALSE))="AMX",(VLOOKUP(Table2[[#This Row],[SKU]],'All Skus'!$A:$AC,21,FALSE)),""))</f>
        <v>2</v>
      </c>
      <c r="Q196" s="47" t="str">
        <f>(IF((VLOOKUP(Table2[[#This Row],[SKU]],'All Skus'!$A:$AC,2,FALSE))="AMX",(VLOOKUP(Table2[[#This Row],[SKU]],'All Skus'!$A:$AC,22,FALSE)),""))</f>
        <v>TW</v>
      </c>
      <c r="R196" s="47" t="str">
        <f>(IF((VLOOKUP(Table2[[#This Row],[SKU]],'All Skus'!$A:$AC,2,FALSE))="AMX",(VLOOKUP(Table2[[#This Row],[SKU]],'All Skus'!$A:$AC,23,FALSE)),""))</f>
        <v>Compliant</v>
      </c>
      <c r="S196" s="210" t="str">
        <f>HYPERLINK((IF((VLOOKUP(Table2[[#This Row],[SKU]],'All Skus'!$A:$AC,2,FALSE))="AMX",(VLOOKUP(Table2[[#This Row],[SKU]],'All Skus'!$A:$AC,24,FALSE)),"")))</f>
        <v>https://www.amx.com/en-US/products/hpx-p200-pc-au</v>
      </c>
      <c r="T196" s="151">
        <v>194</v>
      </c>
    </row>
    <row r="197" spans="1:20" ht="15" hidden="1" customHeight="1">
      <c r="A197" s="48" t="s">
        <v>706</v>
      </c>
      <c r="B197" s="280" t="str">
        <f>(IF((VLOOKUP(Table2[[#This Row],[SKU]],'All Skus'!$A:$AC,2,FALSE))="AMX",(VLOOKUP(Table2[[#This Row],[SKU]],'All Skus'!$A:$AC,3,FALSE)),""))</f>
        <v>Architectural Connectivity</v>
      </c>
      <c r="C197" s="280" t="str">
        <f>(IF((VLOOKUP(Table2[[#This Row],[SKU]],'All Skus'!$A:$AC,2,FALSE))="AMX",(VLOOKUP(Table2[[#This Row],[SKU]],'All Skus'!$A:$AC,4,FALSE)),""))</f>
        <v>HPX-P250-PC-IN</v>
      </c>
      <c r="D197" s="47" t="str">
        <f>(IF((VLOOKUP(Table2[[#This Row],[SKU]],'All Skus'!$A:$AC,2,FALSE))="AMX",(VLOOKUP(Table2[[#This Row],[SKU]],'All Skus'!$A:$AC,5,FALSE)),""))</f>
        <v>AMX-ENV</v>
      </c>
      <c r="E197" s="281">
        <f>(IF((VLOOKUP(Table2[[#This Row],[SKU]],'All Skus'!$A:$AC,2,FALSE))="AMX",(VLOOKUP(Table2[[#This Row],[SKU]],'All Skus'!$A:$AC,7,FALSE)),""))</f>
        <v>0</v>
      </c>
      <c r="F197" s="280" t="str">
        <f>(IF((VLOOKUP(Table2[[#This Row],[SKU]],'All Skus'!$A:$AC,2,FALSE))="AMX",(VLOOKUP(Table2[[#This Row],[SKU]],'All Skus'!$A:$AC,8,FALSE)),""))</f>
        <v>India Power Outlet (Type D/M) for Hydraport</v>
      </c>
      <c r="G197" s="280" t="str">
        <f>(IF((VLOOKUP(Table2[[#This Row],[SKU]],'All Skus'!$A:$AC,2,FALSE))="AMX",(VLOOKUP(Table2[[#This Row],[SKU]],'All Skus'!$A:$AC,9,FALSE)),""))</f>
        <v>The HPX-P250-PC-IN, Power Outlet (IN) Module, is a Hydraport Power Outlet Module for HPX-600/900/1200 - IN</v>
      </c>
      <c r="H197" s="157">
        <f>(IF((VLOOKUP(Table2[[#This Row],[SKU]],'All Skus'!$A:$AC,2,FALSE))="AMX",(VLOOKUP(Table2[[#This Row],[SKU]],'All Skus'!$A:$AC,10,FALSE)),""))</f>
        <v>228.1</v>
      </c>
      <c r="I197" s="157">
        <f>(IF((VLOOKUP(Table2[[#This Row],[SKU]],'All Skus'!$A:$AC,2,FALSE))="AMX",(VLOOKUP(Table2[[#This Row],[SKU]],'All Skus'!$A:$AC,11,FALSE)),""))</f>
        <v>228.1</v>
      </c>
      <c r="J197" s="47">
        <f>(IF((VLOOKUP(Table2[[#This Row],[SKU]],'All Skus'!$A:$AC,2,FALSE))="AMX",(VLOOKUP(Table2[[#This Row],[SKU]],'All Skus'!$A:$AC,15,FALSE)),""))</f>
        <v>0</v>
      </c>
      <c r="K197" s="47">
        <f>(IF((VLOOKUP(Table2[[#This Row],[SKU]],'All Skus'!$A:$AC,2,FALSE))="AMX",(VLOOKUP(Table2[[#This Row],[SKU]],'All Skus'!$A:$AC,16,FALSE)),""))</f>
        <v>718878234228</v>
      </c>
      <c r="L197" s="47">
        <f>(IF((VLOOKUP(Table2[[#This Row],[SKU]],'All Skus'!$A:$AC,2,FALSE))="AMX",(VLOOKUP(Table2[[#This Row],[SKU]],'All Skus'!$A:$AC,17,FALSE)),""))</f>
        <v>0</v>
      </c>
      <c r="M197" s="63">
        <f>(IF((VLOOKUP(Table2[[#This Row],[SKU]],'All Skus'!$A:$AC,2,FALSE))="AMX",(VLOOKUP(Table2[[#This Row],[SKU]],'All Skus'!$A:$AC,18,FALSE)),""))</f>
        <v>0.15</v>
      </c>
      <c r="N197" s="47">
        <f>(IF((VLOOKUP(Table2[[#This Row],[SKU]],'All Skus'!$A:$AC,2,FALSE))="AMX",(VLOOKUP(Table2[[#This Row],[SKU]],'All Skus'!$A:$AC,19,FALSE)),""))</f>
        <v>2.0499999999999998</v>
      </c>
      <c r="O197" s="47">
        <f>(IF((VLOOKUP(Table2[[#This Row],[SKU]],'All Skus'!$A:$AC,2,FALSE))="AMX",(VLOOKUP(Table2[[#This Row],[SKU]],'All Skus'!$A:$AC,20,FALSE)),""))</f>
        <v>2.5</v>
      </c>
      <c r="P197" s="47">
        <f>(IF((VLOOKUP(Table2[[#This Row],[SKU]],'All Skus'!$A:$AC,2,FALSE))="AMX",(VLOOKUP(Table2[[#This Row],[SKU]],'All Skus'!$A:$AC,21,FALSE)),""))</f>
        <v>2</v>
      </c>
      <c r="Q197" s="47" t="str">
        <f>(IF((VLOOKUP(Table2[[#This Row],[SKU]],'All Skus'!$A:$AC,2,FALSE))="AMX",(VLOOKUP(Table2[[#This Row],[SKU]],'All Skus'!$A:$AC,22,FALSE)),""))</f>
        <v>TW</v>
      </c>
      <c r="R197" s="47" t="str">
        <f>(IF((VLOOKUP(Table2[[#This Row],[SKU]],'All Skus'!$A:$AC,2,FALSE))="AMX",(VLOOKUP(Table2[[#This Row],[SKU]],'All Skus'!$A:$AC,23,FALSE)),""))</f>
        <v>Compliant</v>
      </c>
      <c r="S197" s="210" t="str">
        <f>HYPERLINK((IF((VLOOKUP(Table2[[#This Row],[SKU]],'All Skus'!$A:$AC,2,FALSE))="AMX",(VLOOKUP(Table2[[#This Row],[SKU]],'All Skus'!$A:$AC,24,FALSE)),"")))</f>
        <v>https://www.amx.com/en-US/products/hpx-p250-pc-in</v>
      </c>
      <c r="T197" s="151">
        <v>195</v>
      </c>
    </row>
    <row r="198" spans="1:20" ht="15" hidden="1" customHeight="1">
      <c r="A198" s="48" t="s">
        <v>707</v>
      </c>
      <c r="B198" s="280" t="str">
        <f>(IF((VLOOKUP(Table2[[#This Row],[SKU]],'All Skus'!$A:$AC,2,FALSE))="AMX",(VLOOKUP(Table2[[#This Row],[SKU]],'All Skus'!$A:$AC,3,FALSE)),""))</f>
        <v>Architectural Connectivity</v>
      </c>
      <c r="C198" s="280" t="str">
        <f>(IF((VLOOKUP(Table2[[#This Row],[SKU]],'All Skus'!$A:$AC,2,FALSE))="AMX",(VLOOKUP(Table2[[#This Row],[SKU]],'All Skus'!$A:$AC,4,FALSE)),""))</f>
        <v>HPX-P200-PC-EU2</v>
      </c>
      <c r="D198" s="47" t="str">
        <f>(IF((VLOOKUP(Table2[[#This Row],[SKU]],'All Skus'!$A:$AC,2,FALSE))="AMX",(VLOOKUP(Table2[[#This Row],[SKU]],'All Skus'!$A:$AC,5,FALSE)),""))</f>
        <v>AMX-ENV</v>
      </c>
      <c r="E198" s="281">
        <f>(IF((VLOOKUP(Table2[[#This Row],[SKU]],'All Skus'!$A:$AC,2,FALSE))="AMX",(VLOOKUP(Table2[[#This Row],[SKU]],'All Skus'!$A:$AC,7,FALSE)),""))</f>
        <v>0</v>
      </c>
      <c r="F198" s="280" t="str">
        <f>(IF((VLOOKUP(Table2[[#This Row],[SKU]],'All Skus'!$A:$AC,2,FALSE))="AMX",(VLOOKUP(Table2[[#This Row],[SKU]],'All Skus'!$A:$AC,8,FALSE)),""))</f>
        <v>EU Power Outlet (Type E) for Hydraport</v>
      </c>
      <c r="G198" s="280" t="str">
        <f>(IF((VLOOKUP(Table2[[#This Row],[SKU]],'All Skus'!$A:$AC,2,FALSE))="AMX",(VLOOKUP(Table2[[#This Row],[SKU]],'All Skus'!$A:$AC,9,FALSE)),""))</f>
        <v>The HPX-P200-PC-EU2, Power Outlet (EU) Module provides power connectivity for Eastern European (Type E with Ground Pin) plug types</v>
      </c>
      <c r="H198" s="157">
        <f>(IF((VLOOKUP(Table2[[#This Row],[SKU]],'All Skus'!$A:$AC,2,FALSE))="AMX",(VLOOKUP(Table2[[#This Row],[SKU]],'All Skus'!$A:$AC,10,FALSE)),""))</f>
        <v>217.2</v>
      </c>
      <c r="I198" s="157">
        <f>(IF((VLOOKUP(Table2[[#This Row],[SKU]],'All Skus'!$A:$AC,2,FALSE))="AMX",(VLOOKUP(Table2[[#This Row],[SKU]],'All Skus'!$A:$AC,11,FALSE)),""))</f>
        <v>217.2</v>
      </c>
      <c r="J198" s="47">
        <f>(IF((VLOOKUP(Table2[[#This Row],[SKU]],'All Skus'!$A:$AC,2,FALSE))="AMX",(VLOOKUP(Table2[[#This Row],[SKU]],'All Skus'!$A:$AC,15,FALSE)),""))</f>
        <v>0</v>
      </c>
      <c r="K198" s="47">
        <f>(IF((VLOOKUP(Table2[[#This Row],[SKU]],'All Skus'!$A:$AC,2,FALSE))="AMX",(VLOOKUP(Table2[[#This Row],[SKU]],'All Skus'!$A:$AC,16,FALSE)),""))</f>
        <v>718878025291</v>
      </c>
      <c r="L198" s="47">
        <f>(IF((VLOOKUP(Table2[[#This Row],[SKU]],'All Skus'!$A:$AC,2,FALSE))="AMX",(VLOOKUP(Table2[[#This Row],[SKU]],'All Skus'!$A:$AC,17,FALSE)),""))</f>
        <v>0</v>
      </c>
      <c r="M198" s="63">
        <f>(IF((VLOOKUP(Table2[[#This Row],[SKU]],'All Skus'!$A:$AC,2,FALSE))="AMX",(VLOOKUP(Table2[[#This Row],[SKU]],'All Skus'!$A:$AC,18,FALSE)),""))</f>
        <v>0.15</v>
      </c>
      <c r="N198" s="47">
        <f>(IF((VLOOKUP(Table2[[#This Row],[SKU]],'All Skus'!$A:$AC,2,FALSE))="AMX",(VLOOKUP(Table2[[#This Row],[SKU]],'All Skus'!$A:$AC,19,FALSE)),""))</f>
        <v>2.0499999999999998</v>
      </c>
      <c r="O198" s="47">
        <f>(IF((VLOOKUP(Table2[[#This Row],[SKU]],'All Skus'!$A:$AC,2,FALSE))="AMX",(VLOOKUP(Table2[[#This Row],[SKU]],'All Skus'!$A:$AC,20,FALSE)),""))</f>
        <v>2</v>
      </c>
      <c r="P198" s="47">
        <f>(IF((VLOOKUP(Table2[[#This Row],[SKU]],'All Skus'!$A:$AC,2,FALSE))="AMX",(VLOOKUP(Table2[[#This Row],[SKU]],'All Skus'!$A:$AC,21,FALSE)),""))</f>
        <v>2</v>
      </c>
      <c r="Q198" s="47" t="str">
        <f>(IF((VLOOKUP(Table2[[#This Row],[SKU]],'All Skus'!$A:$AC,2,FALSE))="AMX",(VLOOKUP(Table2[[#This Row],[SKU]],'All Skus'!$A:$AC,22,FALSE)),""))</f>
        <v>TW</v>
      </c>
      <c r="R198" s="47" t="str">
        <f>(IF((VLOOKUP(Table2[[#This Row],[SKU]],'All Skus'!$A:$AC,2,FALSE))="AMX",(VLOOKUP(Table2[[#This Row],[SKU]],'All Skus'!$A:$AC,23,FALSE)),""))</f>
        <v>Compliant</v>
      </c>
      <c r="S198" s="210" t="str">
        <f>HYPERLINK((IF((VLOOKUP(Table2[[#This Row],[SKU]],'All Skus'!$A:$AC,2,FALSE))="AMX",(VLOOKUP(Table2[[#This Row],[SKU]],'All Skus'!$A:$AC,24,FALSE)),"")))</f>
        <v>https://www.amx.com/en-US/products/hpx-p200-pc-eu2</v>
      </c>
      <c r="T198" s="151">
        <v>196</v>
      </c>
    </row>
    <row r="199" spans="1:20" ht="15" hidden="1" customHeight="1">
      <c r="A199" s="48" t="s">
        <v>708</v>
      </c>
      <c r="B199" s="280" t="str">
        <f>(IF((VLOOKUP(Table2[[#This Row],[SKU]],'All Skus'!$A:$AC,2,FALSE))="AMX",(VLOOKUP(Table2[[#This Row],[SKU]],'All Skus'!$A:$AC,3,FALSE)),""))</f>
        <v>Architectural Connectivity</v>
      </c>
      <c r="C199" s="280" t="str">
        <f>(IF((VLOOKUP(Table2[[#This Row],[SKU]],'All Skus'!$A:$AC,2,FALSE))="AMX",(VLOOKUP(Table2[[#This Row],[SKU]],'All Skus'!$A:$AC,4,FALSE)),""))</f>
        <v>HPX-CPT200-W</v>
      </c>
      <c r="D199" s="47" t="str">
        <f>(IF((VLOOKUP(Table2[[#This Row],[SKU]],'All Skus'!$A:$AC,2,FALSE))="AMX",(VLOOKUP(Table2[[#This Row],[SKU]],'All Skus'!$A:$AC,5,FALSE)),""))</f>
        <v>AMX-ENV</v>
      </c>
      <c r="E199" s="281">
        <f>(IF((VLOOKUP(Table2[[#This Row],[SKU]],'All Skus'!$A:$AC,2,FALSE))="AMX",(VLOOKUP(Table2[[#This Row],[SKU]],'All Skus'!$A:$AC,7,FALSE)),""))</f>
        <v>0</v>
      </c>
      <c r="F199" s="280" t="str">
        <f>(IF((VLOOKUP(Table2[[#This Row],[SKU]],'All Skus'!$A:$AC,2,FALSE))="AMX",(VLOOKUP(Table2[[#This Row],[SKU]],'All Skus'!$A:$AC,8,FALSE)),""))</f>
        <v>Cable Passthru module for Hydraport</v>
      </c>
      <c r="G199" s="280" t="str">
        <f>(IF((VLOOKUP(Table2[[#This Row],[SKU]],'All Skus'!$A:$AC,2,FALSE))="AMX",(VLOOKUP(Table2[[#This Row],[SKU]],'All Skus'!$A:$AC,9,FALSE)),""))</f>
        <v>The HPX-CPT200-W, Cable Pass-Thru Well Module, provides a convenient way to keep cables out of site in an HPX-600, 900 or 1200 chassis</v>
      </c>
      <c r="H199" s="157">
        <f>(IF((VLOOKUP(Table2[[#This Row],[SKU]],'All Skus'!$A:$AC,2,FALSE))="AMX",(VLOOKUP(Table2[[#This Row],[SKU]],'All Skus'!$A:$AC,10,FALSE)),""))</f>
        <v>37.700000000000003</v>
      </c>
      <c r="I199" s="157">
        <f>(IF((VLOOKUP(Table2[[#This Row],[SKU]],'All Skus'!$A:$AC,2,FALSE))="AMX",(VLOOKUP(Table2[[#This Row],[SKU]],'All Skus'!$A:$AC,11,FALSE)),""))</f>
        <v>37.700000000000003</v>
      </c>
      <c r="J199" s="47">
        <f>(IF((VLOOKUP(Table2[[#This Row],[SKU]],'All Skus'!$A:$AC,2,FALSE))="AMX",(VLOOKUP(Table2[[#This Row],[SKU]],'All Skus'!$A:$AC,15,FALSE)),""))</f>
        <v>0</v>
      </c>
      <c r="K199" s="47">
        <f>(IF((VLOOKUP(Table2[[#This Row],[SKU]],'All Skus'!$A:$AC,2,FALSE))="AMX",(VLOOKUP(Table2[[#This Row],[SKU]],'All Skus'!$A:$AC,16,FALSE)),""))</f>
        <v>718878234334</v>
      </c>
      <c r="L199" s="47">
        <f>(IF((VLOOKUP(Table2[[#This Row],[SKU]],'All Skus'!$A:$AC,2,FALSE))="AMX",(VLOOKUP(Table2[[#This Row],[SKU]],'All Skus'!$A:$AC,17,FALSE)),""))</f>
        <v>0</v>
      </c>
      <c r="M199" s="63">
        <f>(IF((VLOOKUP(Table2[[#This Row],[SKU]],'All Skus'!$A:$AC,2,FALSE))="AMX",(VLOOKUP(Table2[[#This Row],[SKU]],'All Skus'!$A:$AC,18,FALSE)),""))</f>
        <v>0.05</v>
      </c>
      <c r="N199" s="47">
        <f>(IF((VLOOKUP(Table2[[#This Row],[SKU]],'All Skus'!$A:$AC,2,FALSE))="AMX",(VLOOKUP(Table2[[#This Row],[SKU]],'All Skus'!$A:$AC,19,FALSE)),""))</f>
        <v>2.0499999999999998</v>
      </c>
      <c r="O199" s="47">
        <f>(IF((VLOOKUP(Table2[[#This Row],[SKU]],'All Skus'!$A:$AC,2,FALSE))="AMX",(VLOOKUP(Table2[[#This Row],[SKU]],'All Skus'!$A:$AC,20,FALSE)),""))</f>
        <v>2</v>
      </c>
      <c r="P199" s="47">
        <f>(IF((VLOOKUP(Table2[[#This Row],[SKU]],'All Skus'!$A:$AC,2,FALSE))="AMX",(VLOOKUP(Table2[[#This Row],[SKU]],'All Skus'!$A:$AC,21,FALSE)),""))</f>
        <v>1</v>
      </c>
      <c r="Q199" s="47" t="str">
        <f>(IF((VLOOKUP(Table2[[#This Row],[SKU]],'All Skus'!$A:$AC,2,FALSE))="AMX",(VLOOKUP(Table2[[#This Row],[SKU]],'All Skus'!$A:$AC,22,FALSE)),""))</f>
        <v>US</v>
      </c>
      <c r="R199" s="47" t="str">
        <f>(IF((VLOOKUP(Table2[[#This Row],[SKU]],'All Skus'!$A:$AC,2,FALSE))="AMX",(VLOOKUP(Table2[[#This Row],[SKU]],'All Skus'!$A:$AC,23,FALSE)),""))</f>
        <v>Compliant</v>
      </c>
      <c r="S199" s="210" t="str">
        <f>HYPERLINK((IF((VLOOKUP(Table2[[#This Row],[SKU]],'All Skus'!$A:$AC,2,FALSE))="AMX",(VLOOKUP(Table2[[#This Row],[SKU]],'All Skus'!$A:$AC,24,FALSE)),"")))</f>
        <v>https://www.amx.com/en-US/products/hpx-cpt200-w</v>
      </c>
      <c r="T199" s="151">
        <v>197</v>
      </c>
    </row>
    <row r="200" spans="1:20" ht="15" hidden="1" customHeight="1">
      <c r="A200" s="48" t="s">
        <v>709</v>
      </c>
      <c r="B200" s="280" t="str">
        <f>(IF((VLOOKUP(Table2[[#This Row],[SKU]],'All Skus'!$A:$AC,2,FALSE))="AMX",(VLOOKUP(Table2[[#This Row],[SKU]],'All Skus'!$A:$AC,3,FALSE)),""))</f>
        <v>Architectural Connectivity</v>
      </c>
      <c r="C200" s="280" t="str">
        <f>(IF((VLOOKUP(Table2[[#This Row],[SKU]],'All Skus'!$A:$AC,2,FALSE))="AMX",(VLOOKUP(Table2[[#This Row],[SKU]],'All Skus'!$A:$AC,4,FALSE)),""))</f>
        <v>HPX-CPTS100-W</v>
      </c>
      <c r="D200" s="47" t="str">
        <f>(IF((VLOOKUP(Table2[[#This Row],[SKU]],'All Skus'!$A:$AC,2,FALSE))="AMX",(VLOOKUP(Table2[[#This Row],[SKU]],'All Skus'!$A:$AC,5,FALSE)),""))</f>
        <v>AMX-ENV</v>
      </c>
      <c r="E200" s="281">
        <f>(IF((VLOOKUP(Table2[[#This Row],[SKU]],'All Skus'!$A:$AC,2,FALSE))="AMX",(VLOOKUP(Table2[[#This Row],[SKU]],'All Skus'!$A:$AC,7,FALSE)),""))</f>
        <v>0</v>
      </c>
      <c r="F200" s="280" t="str">
        <f>(IF((VLOOKUP(Table2[[#This Row],[SKU]],'All Skus'!$A:$AC,2,FALSE))="AMX",(VLOOKUP(Table2[[#This Row],[SKU]],'All Skus'!$A:$AC,8,FALSE)),""))</f>
        <v>Cable Passthru Spacer module for Hydraport</v>
      </c>
      <c r="G200" s="280" t="str">
        <f>(IF((VLOOKUP(Table2[[#This Row],[SKU]],'All Skus'!$A:$AC,2,FALSE))="AMX",(VLOOKUP(Table2[[#This Row],[SKU]],'All Skus'!$A:$AC,9,FALSE)),""))</f>
        <v>The HPX-CPTS100-W when used in conjunction with the HPX-CPT200-W increases the number of cables that can be passed through from 2 to 4</v>
      </c>
      <c r="H200" s="157">
        <f>(IF((VLOOKUP(Table2[[#This Row],[SKU]],'All Skus'!$A:$AC,2,FALSE))="AMX",(VLOOKUP(Table2[[#This Row],[SKU]],'All Skus'!$A:$AC,10,FALSE)),""))</f>
        <v>26.4</v>
      </c>
      <c r="I200" s="157">
        <f>(IF((VLOOKUP(Table2[[#This Row],[SKU]],'All Skus'!$A:$AC,2,FALSE))="AMX",(VLOOKUP(Table2[[#This Row],[SKU]],'All Skus'!$A:$AC,11,FALSE)),""))</f>
        <v>26.4</v>
      </c>
      <c r="J200" s="47">
        <f>(IF((VLOOKUP(Table2[[#This Row],[SKU]],'All Skus'!$A:$AC,2,FALSE))="AMX",(VLOOKUP(Table2[[#This Row],[SKU]],'All Skus'!$A:$AC,15,FALSE)),""))</f>
        <v>0</v>
      </c>
      <c r="K200" s="47">
        <f>(IF((VLOOKUP(Table2[[#This Row],[SKU]],'All Skus'!$A:$AC,2,FALSE))="AMX",(VLOOKUP(Table2[[#This Row],[SKU]],'All Skus'!$A:$AC,16,FALSE)),""))</f>
        <v>718878025314</v>
      </c>
      <c r="L200" s="47">
        <f>(IF((VLOOKUP(Table2[[#This Row],[SKU]],'All Skus'!$A:$AC,2,FALSE))="AMX",(VLOOKUP(Table2[[#This Row],[SKU]],'All Skus'!$A:$AC,17,FALSE)),""))</f>
        <v>0</v>
      </c>
      <c r="M200" s="63">
        <f>(IF((VLOOKUP(Table2[[#This Row],[SKU]],'All Skus'!$A:$AC,2,FALSE))="AMX",(VLOOKUP(Table2[[#This Row],[SKU]],'All Skus'!$A:$AC,18,FALSE)),""))</f>
        <v>0.05</v>
      </c>
      <c r="N200" s="47">
        <f>(IF((VLOOKUP(Table2[[#This Row],[SKU]],'All Skus'!$A:$AC,2,FALSE))="AMX",(VLOOKUP(Table2[[#This Row],[SKU]],'All Skus'!$A:$AC,19,FALSE)),""))</f>
        <v>2.0499999999999998</v>
      </c>
      <c r="O200" s="47">
        <f>(IF((VLOOKUP(Table2[[#This Row],[SKU]],'All Skus'!$A:$AC,2,FALSE))="AMX",(VLOOKUP(Table2[[#This Row],[SKU]],'All Skus'!$A:$AC,20,FALSE)),""))</f>
        <v>1</v>
      </c>
      <c r="P200" s="47">
        <f>(IF((VLOOKUP(Table2[[#This Row],[SKU]],'All Skus'!$A:$AC,2,FALSE))="AMX",(VLOOKUP(Table2[[#This Row],[SKU]],'All Skus'!$A:$AC,21,FALSE)),""))</f>
        <v>1</v>
      </c>
      <c r="Q200" s="47" t="str">
        <f>(IF((VLOOKUP(Table2[[#This Row],[SKU]],'All Skus'!$A:$AC,2,FALSE))="AMX",(VLOOKUP(Table2[[#This Row],[SKU]],'All Skus'!$A:$AC,22,FALSE)),""))</f>
        <v>US</v>
      </c>
      <c r="R200" s="47" t="str">
        <f>(IF((VLOOKUP(Table2[[#This Row],[SKU]],'All Skus'!$A:$AC,2,FALSE))="AMX",(VLOOKUP(Table2[[#This Row],[SKU]],'All Skus'!$A:$AC,23,FALSE)),""))</f>
        <v>Compliant</v>
      </c>
      <c r="S200" s="210" t="str">
        <f>HYPERLINK((IF((VLOOKUP(Table2[[#This Row],[SKU]],'All Skus'!$A:$AC,2,FALSE))="AMX",(VLOOKUP(Table2[[#This Row],[SKU]],'All Skus'!$A:$AC,24,FALSE)),"")))</f>
        <v>https://www.amx.com/en-US/products/hpx-cpts100-w</v>
      </c>
      <c r="T200" s="151">
        <v>198</v>
      </c>
    </row>
    <row r="201" spans="1:20" ht="15" hidden="1" customHeight="1">
      <c r="A201" s="48" t="s">
        <v>710</v>
      </c>
      <c r="B201" s="280" t="str">
        <f>(IF((VLOOKUP(Table2[[#This Row],[SKU]],'All Skus'!$A:$AC,2,FALSE))="AMX",(VLOOKUP(Table2[[#This Row],[SKU]],'All Skus'!$A:$AC,3,FALSE)),""))</f>
        <v>Architectural Connectivity</v>
      </c>
      <c r="C201" s="280" t="str">
        <f>(IF((VLOOKUP(Table2[[#This Row],[SKU]],'All Skus'!$A:$AC,2,FALSE))="AMX",(VLOOKUP(Table2[[#This Row],[SKU]],'All Skus'!$A:$AC,4,FALSE)),""))</f>
        <v>HPX-N100-SRJ45</v>
      </c>
      <c r="D201" s="47" t="str">
        <f>(IF((VLOOKUP(Table2[[#This Row],[SKU]],'All Skus'!$A:$AC,2,FALSE))="AMX",(VLOOKUP(Table2[[#This Row],[SKU]],'All Skus'!$A:$AC,5,FALSE)),""))</f>
        <v>AMX-ENV</v>
      </c>
      <c r="E201" s="281">
        <f>(IF((VLOOKUP(Table2[[#This Row],[SKU]],'All Skus'!$A:$AC,2,FALSE))="AMX",(VLOOKUP(Table2[[#This Row],[SKU]],'All Skus'!$A:$AC,7,FALSE)),""))</f>
        <v>0</v>
      </c>
      <c r="F201" s="280" t="str">
        <f>(IF((VLOOKUP(Table2[[#This Row],[SKU]],'All Skus'!$A:$AC,2,FALSE))="AMX",(VLOOKUP(Table2[[#This Row],[SKU]],'All Skus'!$A:$AC,8,FALSE)),""))</f>
        <v>Single Shielded RJ-45 module for Hydraport</v>
      </c>
      <c r="G201" s="280" t="str">
        <f>(IF((VLOOKUP(Table2[[#This Row],[SKU]],'All Skus'!$A:$AC,2,FALSE))="AMX",(VLOOKUP(Table2[[#This Row],[SKU]],'All Skus'!$A:$AC,9,FALSE)),""))</f>
        <v>The HPX-N100-SRJ45 module provides one Shielded RJ-45 connection to a Hydraport 600, 900 or 1200. Due to the extended depth of this module it is not recommended for use with the HPX-1600</v>
      </c>
      <c r="H201" s="157">
        <f>(IF((VLOOKUP(Table2[[#This Row],[SKU]],'All Skus'!$A:$AC,2,FALSE))="AMX",(VLOOKUP(Table2[[#This Row],[SKU]],'All Skus'!$A:$AC,10,FALSE)),""))</f>
        <v>96</v>
      </c>
      <c r="I201" s="157">
        <f>(IF((VLOOKUP(Table2[[#This Row],[SKU]],'All Skus'!$A:$AC,2,FALSE))="AMX",(VLOOKUP(Table2[[#This Row],[SKU]],'All Skus'!$A:$AC,11,FALSE)),""))</f>
        <v>96</v>
      </c>
      <c r="J201" s="47">
        <f>(IF((VLOOKUP(Table2[[#This Row],[SKU]],'All Skus'!$A:$AC,2,FALSE))="AMX",(VLOOKUP(Table2[[#This Row],[SKU]],'All Skus'!$A:$AC,15,FALSE)),""))</f>
        <v>0</v>
      </c>
      <c r="K201" s="47">
        <f>(IF((VLOOKUP(Table2[[#This Row],[SKU]],'All Skus'!$A:$AC,2,FALSE))="AMX",(VLOOKUP(Table2[[#This Row],[SKU]],'All Skus'!$A:$AC,16,FALSE)),""))</f>
        <v>718878025321</v>
      </c>
      <c r="L201" s="47">
        <f>(IF((VLOOKUP(Table2[[#This Row],[SKU]],'All Skus'!$A:$AC,2,FALSE))="AMX",(VLOOKUP(Table2[[#This Row],[SKU]],'All Skus'!$A:$AC,17,FALSE)),""))</f>
        <v>0</v>
      </c>
      <c r="M201" s="63">
        <f>(IF((VLOOKUP(Table2[[#This Row],[SKU]],'All Skus'!$A:$AC,2,FALSE))="AMX",(VLOOKUP(Table2[[#This Row],[SKU]],'All Skus'!$A:$AC,18,FALSE)),""))</f>
        <v>0.1</v>
      </c>
      <c r="N201" s="47">
        <f>(IF((VLOOKUP(Table2[[#This Row],[SKU]],'All Skus'!$A:$AC,2,FALSE))="AMX",(VLOOKUP(Table2[[#This Row],[SKU]],'All Skus'!$A:$AC,19,FALSE)),""))</f>
        <v>2.0499999999999998</v>
      </c>
      <c r="O201" s="47">
        <f>(IF((VLOOKUP(Table2[[#This Row],[SKU]],'All Skus'!$A:$AC,2,FALSE))="AMX",(VLOOKUP(Table2[[#This Row],[SKU]],'All Skus'!$A:$AC,20,FALSE)),""))</f>
        <v>1</v>
      </c>
      <c r="P201" s="47">
        <f>(IF((VLOOKUP(Table2[[#This Row],[SKU]],'All Skus'!$A:$AC,2,FALSE))="AMX",(VLOOKUP(Table2[[#This Row],[SKU]],'All Skus'!$A:$AC,21,FALSE)),""))</f>
        <v>2</v>
      </c>
      <c r="Q201" s="47" t="str">
        <f>(IF((VLOOKUP(Table2[[#This Row],[SKU]],'All Skus'!$A:$AC,2,FALSE))="AMX",(VLOOKUP(Table2[[#This Row],[SKU]],'All Skus'!$A:$AC,22,FALSE)),""))</f>
        <v>US</v>
      </c>
      <c r="R201" s="47" t="str">
        <f>(IF((VLOOKUP(Table2[[#This Row],[SKU]],'All Skus'!$A:$AC,2,FALSE))="AMX",(VLOOKUP(Table2[[#This Row],[SKU]],'All Skus'!$A:$AC,23,FALSE)),""))</f>
        <v>Compliant</v>
      </c>
      <c r="S201" s="210" t="str">
        <f>HYPERLINK((IF((VLOOKUP(Table2[[#This Row],[SKU]],'All Skus'!$A:$AC,2,FALSE))="AMX",(VLOOKUP(Table2[[#This Row],[SKU]],'All Skus'!$A:$AC,24,FALSE)),"")))</f>
        <v>https://www.amx.com/en-US/products/hpx-n100-srj45</v>
      </c>
      <c r="T201" s="151">
        <v>199</v>
      </c>
    </row>
    <row r="202" spans="1:20" ht="15" hidden="1" customHeight="1">
      <c r="A202" s="48" t="s">
        <v>711</v>
      </c>
      <c r="B202" s="280" t="str">
        <f>(IF((VLOOKUP(Table2[[#This Row],[SKU]],'All Skus'!$A:$AC,2,FALSE))="AMX",(VLOOKUP(Table2[[#This Row],[SKU]],'All Skus'!$A:$AC,3,FALSE)),""))</f>
        <v>Architectural Connectivity</v>
      </c>
      <c r="C202" s="280" t="str">
        <f>(IF((VLOOKUP(Table2[[#This Row],[SKU]],'All Skus'!$A:$AC,2,FALSE))="AMX",(VLOOKUP(Table2[[#This Row],[SKU]],'All Skus'!$A:$AC,4,FALSE)),""))</f>
        <v>HPX-N102-SRJ45</v>
      </c>
      <c r="D202" s="47" t="str">
        <f>(IF((VLOOKUP(Table2[[#This Row],[SKU]],'All Skus'!$A:$AC,2,FALSE))="AMX",(VLOOKUP(Table2[[#This Row],[SKU]],'All Skus'!$A:$AC,5,FALSE)),""))</f>
        <v>AMX-ENV</v>
      </c>
      <c r="E202" s="281">
        <f>(IF((VLOOKUP(Table2[[#This Row],[SKU]],'All Skus'!$A:$AC,2,FALSE))="AMX",(VLOOKUP(Table2[[#This Row],[SKU]],'All Skus'!$A:$AC,7,FALSE)),""))</f>
        <v>0</v>
      </c>
      <c r="F202" s="280" t="str">
        <f>(IF((VLOOKUP(Table2[[#This Row],[SKU]],'All Skus'!$A:$AC,2,FALSE))="AMX",(VLOOKUP(Table2[[#This Row],[SKU]],'All Skus'!$A:$AC,8,FALSE)),""))</f>
        <v>Dual Shielded RJ-45 module for Hydraport</v>
      </c>
      <c r="G202" s="280" t="str">
        <f>(IF((VLOOKUP(Table2[[#This Row],[SKU]],'All Skus'!$A:$AC,2,FALSE))="AMX",(VLOOKUP(Table2[[#This Row],[SKU]],'All Skus'!$A:$AC,9,FALSE)),""))</f>
        <v>The HPX-N102-SRJ45 module provides two Shielded RJ-45 connections to the Hydraport 600, 900 or 1200. Due to the extended depth of this module it is not recommended for use with the HPX-1600</v>
      </c>
      <c r="H202" s="157">
        <f>(IF((VLOOKUP(Table2[[#This Row],[SKU]],'All Skus'!$A:$AC,2,FALSE))="AMX",(VLOOKUP(Table2[[#This Row],[SKU]],'All Skus'!$A:$AC,10,FALSE)),""))</f>
        <v>158.5</v>
      </c>
      <c r="I202" s="157">
        <f>(IF((VLOOKUP(Table2[[#This Row],[SKU]],'All Skus'!$A:$AC,2,FALSE))="AMX",(VLOOKUP(Table2[[#This Row],[SKU]],'All Skus'!$A:$AC,11,FALSE)),""))</f>
        <v>158.5</v>
      </c>
      <c r="J202" s="47">
        <f>(IF((VLOOKUP(Table2[[#This Row],[SKU]],'All Skus'!$A:$AC,2,FALSE))="AMX",(VLOOKUP(Table2[[#This Row],[SKU]],'All Skus'!$A:$AC,15,FALSE)),""))</f>
        <v>0</v>
      </c>
      <c r="K202" s="47">
        <f>(IF((VLOOKUP(Table2[[#This Row],[SKU]],'All Skus'!$A:$AC,2,FALSE))="AMX",(VLOOKUP(Table2[[#This Row],[SKU]],'All Skus'!$A:$AC,16,FALSE)),""))</f>
        <v>718878025338</v>
      </c>
      <c r="L202" s="47">
        <f>(IF((VLOOKUP(Table2[[#This Row],[SKU]],'All Skus'!$A:$AC,2,FALSE))="AMX",(VLOOKUP(Table2[[#This Row],[SKU]],'All Skus'!$A:$AC,17,FALSE)),""))</f>
        <v>0</v>
      </c>
      <c r="M202" s="63">
        <f>(IF((VLOOKUP(Table2[[#This Row],[SKU]],'All Skus'!$A:$AC,2,FALSE))="AMX",(VLOOKUP(Table2[[#This Row],[SKU]],'All Skus'!$A:$AC,18,FALSE)),""))</f>
        <v>0.1</v>
      </c>
      <c r="N202" s="47">
        <f>(IF((VLOOKUP(Table2[[#This Row],[SKU]],'All Skus'!$A:$AC,2,FALSE))="AMX",(VLOOKUP(Table2[[#This Row],[SKU]],'All Skus'!$A:$AC,19,FALSE)),""))</f>
        <v>2.0499999999999998</v>
      </c>
      <c r="O202" s="47">
        <f>(IF((VLOOKUP(Table2[[#This Row],[SKU]],'All Skus'!$A:$AC,2,FALSE))="AMX",(VLOOKUP(Table2[[#This Row],[SKU]],'All Skus'!$A:$AC,20,FALSE)),""))</f>
        <v>1</v>
      </c>
      <c r="P202" s="47">
        <f>(IF((VLOOKUP(Table2[[#This Row],[SKU]],'All Skus'!$A:$AC,2,FALSE))="AMX",(VLOOKUP(Table2[[#This Row],[SKU]],'All Skus'!$A:$AC,21,FALSE)),""))</f>
        <v>2</v>
      </c>
      <c r="Q202" s="47" t="str">
        <f>(IF((VLOOKUP(Table2[[#This Row],[SKU]],'All Skus'!$A:$AC,2,FALSE))="AMX",(VLOOKUP(Table2[[#This Row],[SKU]],'All Skus'!$A:$AC,22,FALSE)),""))</f>
        <v>US</v>
      </c>
      <c r="R202" s="47" t="str">
        <f>(IF((VLOOKUP(Table2[[#This Row],[SKU]],'All Skus'!$A:$AC,2,FALSE))="AMX",(VLOOKUP(Table2[[#This Row],[SKU]],'All Skus'!$A:$AC,23,FALSE)),""))</f>
        <v>Compliant</v>
      </c>
      <c r="S202" s="210" t="str">
        <f>HYPERLINK((IF((VLOOKUP(Table2[[#This Row],[SKU]],'All Skus'!$A:$AC,2,FALSE))="AMX",(VLOOKUP(Table2[[#This Row],[SKU]],'All Skus'!$A:$AC,24,FALSE)),"")))</f>
        <v>https://www.amx.com/en-US/products/hpx-n102-srj45</v>
      </c>
      <c r="T202" s="151">
        <v>200</v>
      </c>
    </row>
    <row r="203" spans="1:20" ht="15" hidden="1" customHeight="1">
      <c r="A203" s="48" t="s">
        <v>712</v>
      </c>
      <c r="B203" s="280" t="str">
        <f>(IF((VLOOKUP(Table2[[#This Row],[SKU]],'All Skus'!$A:$AC,2,FALSE))="AMX",(VLOOKUP(Table2[[#This Row],[SKU]],'All Skus'!$A:$AC,3,FALSE)),""))</f>
        <v>Architectural Connectivity</v>
      </c>
      <c r="C203" s="280" t="str">
        <f>(IF((VLOOKUP(Table2[[#This Row],[SKU]],'All Skus'!$A:$AC,2,FALSE))="AMX",(VLOOKUP(Table2[[#This Row],[SKU]],'All Skus'!$A:$AC,4,FALSE)),""))</f>
        <v>HPX-U400-R-MET-6NE</v>
      </c>
      <c r="D203" s="47" t="str">
        <f>(IF((VLOOKUP(Table2[[#This Row],[SKU]],'All Skus'!$A:$AC,2,FALSE))="AMX",(VLOOKUP(Table2[[#This Row],[SKU]],'All Skus'!$A:$AC,5,FALSE)),""))</f>
        <v>AMX-ENV</v>
      </c>
      <c r="E203" s="281">
        <f>(IF((VLOOKUP(Table2[[#This Row],[SKU]],'All Skus'!$A:$AC,2,FALSE))="AMX",(VLOOKUP(Table2[[#This Row],[SKU]],'All Skus'!$A:$AC,7,FALSE)),""))</f>
        <v>0</v>
      </c>
      <c r="F203" s="280" t="str">
        <f>(IF((VLOOKUP(Table2[[#This Row],[SKU]],'All Skus'!$A:$AC,2,FALSE))="AMX",(VLOOKUP(Table2[[#This Row],[SKU]],'All Skus'!$A:$AC,8,FALSE)),""))</f>
        <v>Metreau Keypad module for Hydraport</v>
      </c>
      <c r="G203" s="280" t="str">
        <f>(IF((VLOOKUP(Table2[[#This Row],[SKU]],'All Skus'!$A:$AC,2,FALSE))="AMX",(VLOOKUP(Table2[[#This Row],[SKU]],'All Skus'!$A:$AC,9,FALSE)),""))</f>
        <v>The HPX-U400-R-MET-6NE, Metreau 6-Button Ethernet Keypad Ramp Mount Kit, is a Metreau 6-Button Ethernet Keypad in a carrier that allows it to be installed into the Hydraport HPX-600,900 and 1200 Connection Ports</v>
      </c>
      <c r="H203" s="157">
        <f>(IF((VLOOKUP(Table2[[#This Row],[SKU]],'All Skus'!$A:$AC,2,FALSE))="AMX",(VLOOKUP(Table2[[#This Row],[SKU]],'All Skus'!$A:$AC,10,FALSE)),""))</f>
        <v>528.20000000000005</v>
      </c>
      <c r="I203" s="157">
        <f>(IF((VLOOKUP(Table2[[#This Row],[SKU]],'All Skus'!$A:$AC,2,FALSE))="AMX",(VLOOKUP(Table2[[#This Row],[SKU]],'All Skus'!$A:$AC,11,FALSE)),""))</f>
        <v>528.20000000000005</v>
      </c>
      <c r="J203" s="47">
        <f>(IF((VLOOKUP(Table2[[#This Row],[SKU]],'All Skus'!$A:$AC,2,FALSE))="AMX",(VLOOKUP(Table2[[#This Row],[SKU]],'All Skus'!$A:$AC,15,FALSE)),""))</f>
        <v>0</v>
      </c>
      <c r="K203" s="47">
        <f>(IF((VLOOKUP(Table2[[#This Row],[SKU]],'All Skus'!$A:$AC,2,FALSE))="AMX",(VLOOKUP(Table2[[#This Row],[SKU]],'All Skus'!$A:$AC,16,FALSE)),""))</f>
        <v>718878023884</v>
      </c>
      <c r="L203" s="47">
        <f>(IF((VLOOKUP(Table2[[#This Row],[SKU]],'All Skus'!$A:$AC,2,FALSE))="AMX",(VLOOKUP(Table2[[#This Row],[SKU]],'All Skus'!$A:$AC,17,FALSE)),""))</f>
        <v>0</v>
      </c>
      <c r="M203" s="63">
        <f>(IF((VLOOKUP(Table2[[#This Row],[SKU]],'All Skus'!$A:$AC,2,FALSE))="AMX",(VLOOKUP(Table2[[#This Row],[SKU]],'All Skus'!$A:$AC,18,FALSE)),""))</f>
        <v>0.4</v>
      </c>
      <c r="N203" s="47">
        <f>(IF((VLOOKUP(Table2[[#This Row],[SKU]],'All Skus'!$A:$AC,2,FALSE))="AMX",(VLOOKUP(Table2[[#This Row],[SKU]],'All Skus'!$A:$AC,19,FALSE)),""))</f>
        <v>2.0499999999999998</v>
      </c>
      <c r="O203" s="47">
        <f>(IF((VLOOKUP(Table2[[#This Row],[SKU]],'All Skus'!$A:$AC,2,FALSE))="AMX",(VLOOKUP(Table2[[#This Row],[SKU]],'All Skus'!$A:$AC,20,FALSE)),""))</f>
        <v>4</v>
      </c>
      <c r="P203" s="47">
        <f>(IF((VLOOKUP(Table2[[#This Row],[SKU]],'All Skus'!$A:$AC,2,FALSE))="AMX",(VLOOKUP(Table2[[#This Row],[SKU]],'All Skus'!$A:$AC,21,FALSE)),""))</f>
        <v>1</v>
      </c>
      <c r="Q203" s="47" t="str">
        <f>(IF((VLOOKUP(Table2[[#This Row],[SKU]],'All Skus'!$A:$AC,2,FALSE))="AMX",(VLOOKUP(Table2[[#This Row],[SKU]],'All Skus'!$A:$AC,22,FALSE)),""))</f>
        <v>US</v>
      </c>
      <c r="R203" s="47" t="str">
        <f>(IF((VLOOKUP(Table2[[#This Row],[SKU]],'All Skus'!$A:$AC,2,FALSE))="AMX",(VLOOKUP(Table2[[#This Row],[SKU]],'All Skus'!$A:$AC,23,FALSE)),""))</f>
        <v>Compliant</v>
      </c>
      <c r="S203" s="210" t="str">
        <f>HYPERLINK((IF((VLOOKUP(Table2[[#This Row],[SKU]],'All Skus'!$A:$AC,2,FALSE))="AMX",(VLOOKUP(Table2[[#This Row],[SKU]],'All Skus'!$A:$AC,24,FALSE)),"")))</f>
        <v>https://www.amx.com/en-US/products/hpx-u400-r-met-6ne</v>
      </c>
      <c r="T203" s="151">
        <v>201</v>
      </c>
    </row>
    <row r="204" spans="1:20" ht="15" hidden="1" customHeight="1">
      <c r="A204" s="48" t="s">
        <v>713</v>
      </c>
      <c r="B204" s="280" t="str">
        <f>(IF((VLOOKUP(Table2[[#This Row],[SKU]],'All Skus'!$A:$AC,2,FALSE))="AMX",(VLOOKUP(Table2[[#This Row],[SKU]],'All Skus'!$A:$AC,3,FALSE)),""))</f>
        <v>Architectural Connectivity</v>
      </c>
      <c r="C204" s="280" t="str">
        <f>(IF((VLOOKUP(Table2[[#This Row],[SKU]],'All Skus'!$A:$AC,2,FALSE))="AMX",(VLOOKUP(Table2[[#This Row],[SKU]],'All Skus'!$A:$AC,4,FALSE)),""))</f>
        <v>HPX-U400-R-MET-13E</v>
      </c>
      <c r="D204" s="47" t="str">
        <f>(IF((VLOOKUP(Table2[[#This Row],[SKU]],'All Skus'!$A:$AC,2,FALSE))="AMX",(VLOOKUP(Table2[[#This Row],[SKU]],'All Skus'!$A:$AC,5,FALSE)),""))</f>
        <v>AMX-ENV</v>
      </c>
      <c r="E204" s="281">
        <f>(IF((VLOOKUP(Table2[[#This Row],[SKU]],'All Skus'!$A:$AC,2,FALSE))="AMX",(VLOOKUP(Table2[[#This Row],[SKU]],'All Skus'!$A:$AC,7,FALSE)),""))</f>
        <v>0</v>
      </c>
      <c r="F204" s="280" t="str">
        <f>(IF((VLOOKUP(Table2[[#This Row],[SKU]],'All Skus'!$A:$AC,2,FALSE))="AMX",(VLOOKUP(Table2[[#This Row],[SKU]],'All Skus'!$A:$AC,8,FALSE)),""))</f>
        <v>Metreau Keypad module for Hydraport</v>
      </c>
      <c r="G204" s="280" t="str">
        <f>(IF((VLOOKUP(Table2[[#This Row],[SKU]],'All Skus'!$A:$AC,2,FALSE))="AMX",(VLOOKUP(Table2[[#This Row],[SKU]],'All Skus'!$A:$AC,9,FALSE)),""))</f>
        <v>The HPX-U400-R-MET-13E, Metreau 13-Button Ethernet Keypad Ramp Mount Kit, is a Metreau 13-Button Ethernet Keypad in a carrier that allows it to be installed into the Hydraport HPX-600,900 and 1200 Connection Ports</v>
      </c>
      <c r="H204" s="157">
        <f>(IF((VLOOKUP(Table2[[#This Row],[SKU]],'All Skus'!$A:$AC,2,FALSE))="AMX",(VLOOKUP(Table2[[#This Row],[SKU]],'All Skus'!$A:$AC,10,FALSE)),""))</f>
        <v>494.6</v>
      </c>
      <c r="I204" s="157">
        <f>(IF((VLOOKUP(Table2[[#This Row],[SKU]],'All Skus'!$A:$AC,2,FALSE))="AMX",(VLOOKUP(Table2[[#This Row],[SKU]],'All Skus'!$A:$AC,11,FALSE)),""))</f>
        <v>494.6</v>
      </c>
      <c r="J204" s="47">
        <f>(IF((VLOOKUP(Table2[[#This Row],[SKU]],'All Skus'!$A:$AC,2,FALSE))="AMX",(VLOOKUP(Table2[[#This Row],[SKU]],'All Skus'!$A:$AC,15,FALSE)),""))</f>
        <v>0</v>
      </c>
      <c r="K204" s="47">
        <f>(IF((VLOOKUP(Table2[[#This Row],[SKU]],'All Skus'!$A:$AC,2,FALSE))="AMX",(VLOOKUP(Table2[[#This Row],[SKU]],'All Skus'!$A:$AC,16,FALSE)),""))</f>
        <v>718878001431</v>
      </c>
      <c r="L204" s="47">
        <f>(IF((VLOOKUP(Table2[[#This Row],[SKU]],'All Skus'!$A:$AC,2,FALSE))="AMX",(VLOOKUP(Table2[[#This Row],[SKU]],'All Skus'!$A:$AC,17,FALSE)),""))</f>
        <v>0</v>
      </c>
      <c r="M204" s="63">
        <f>(IF((VLOOKUP(Table2[[#This Row],[SKU]],'All Skus'!$A:$AC,2,FALSE))="AMX",(VLOOKUP(Table2[[#This Row],[SKU]],'All Skus'!$A:$AC,18,FALSE)),""))</f>
        <v>0.4</v>
      </c>
      <c r="N204" s="47">
        <f>(IF((VLOOKUP(Table2[[#This Row],[SKU]],'All Skus'!$A:$AC,2,FALSE))="AMX",(VLOOKUP(Table2[[#This Row],[SKU]],'All Skus'!$A:$AC,19,FALSE)),""))</f>
        <v>2.0499999999999998</v>
      </c>
      <c r="O204" s="47">
        <f>(IF((VLOOKUP(Table2[[#This Row],[SKU]],'All Skus'!$A:$AC,2,FALSE))="AMX",(VLOOKUP(Table2[[#This Row],[SKU]],'All Skus'!$A:$AC,20,FALSE)),""))</f>
        <v>4</v>
      </c>
      <c r="P204" s="47">
        <f>(IF((VLOOKUP(Table2[[#This Row],[SKU]],'All Skus'!$A:$AC,2,FALSE))="AMX",(VLOOKUP(Table2[[#This Row],[SKU]],'All Skus'!$A:$AC,21,FALSE)),""))</f>
        <v>1</v>
      </c>
      <c r="Q204" s="47" t="str">
        <f>(IF((VLOOKUP(Table2[[#This Row],[SKU]],'All Skus'!$A:$AC,2,FALSE))="AMX",(VLOOKUP(Table2[[#This Row],[SKU]],'All Skus'!$A:$AC,22,FALSE)),""))</f>
        <v>US</v>
      </c>
      <c r="R204" s="47" t="str">
        <f>(IF((VLOOKUP(Table2[[#This Row],[SKU]],'All Skus'!$A:$AC,2,FALSE))="AMX",(VLOOKUP(Table2[[#This Row],[SKU]],'All Skus'!$A:$AC,23,FALSE)),""))</f>
        <v>Compliant</v>
      </c>
      <c r="S204" s="210" t="str">
        <f>HYPERLINK((IF((VLOOKUP(Table2[[#This Row],[SKU]],'All Skus'!$A:$AC,2,FALSE))="AMX",(VLOOKUP(Table2[[#This Row],[SKU]],'All Skus'!$A:$AC,24,FALSE)),"")))</f>
        <v>https://www.amx.com/en-US/products/hpx-u400-r-met-13e</v>
      </c>
      <c r="T204" s="151">
        <v>202</v>
      </c>
    </row>
    <row r="205" spans="1:20" ht="15" hidden="1" customHeight="1">
      <c r="A205" s="48" t="s">
        <v>714</v>
      </c>
      <c r="B205" s="280" t="str">
        <f>(IF((VLOOKUP(Table2[[#This Row],[SKU]],'All Skus'!$A:$AC,2,FALSE))="AMX",(VLOOKUP(Table2[[#This Row],[SKU]],'All Skus'!$A:$AC,3,FALSE)),""))</f>
        <v>Architectural Connectivity</v>
      </c>
      <c r="C205" s="280" t="str">
        <f>(IF((VLOOKUP(Table2[[#This Row],[SKU]],'All Skus'!$A:$AC,2,FALSE))="AMX",(VLOOKUP(Table2[[#This Row],[SKU]],'All Skus'!$A:$AC,4,FALSE)),""))</f>
        <v>HPX-U400-R-MET-7E</v>
      </c>
      <c r="D205" s="47" t="str">
        <f>(IF((VLOOKUP(Table2[[#This Row],[SKU]],'All Skus'!$A:$AC,2,FALSE))="AMX",(VLOOKUP(Table2[[#This Row],[SKU]],'All Skus'!$A:$AC,5,FALSE)),""))</f>
        <v>AMX-ENV</v>
      </c>
      <c r="E205" s="281">
        <f>(IF((VLOOKUP(Table2[[#This Row],[SKU]],'All Skus'!$A:$AC,2,FALSE))="AMX",(VLOOKUP(Table2[[#This Row],[SKU]],'All Skus'!$A:$AC,7,FALSE)),""))</f>
        <v>0</v>
      </c>
      <c r="F205" s="280" t="str">
        <f>(IF((VLOOKUP(Table2[[#This Row],[SKU]],'All Skus'!$A:$AC,2,FALSE))="AMX",(VLOOKUP(Table2[[#This Row],[SKU]],'All Skus'!$A:$AC,8,FALSE)),""))</f>
        <v>Metreau Keypad module for Hydraport</v>
      </c>
      <c r="G205" s="280" t="str">
        <f>(IF((VLOOKUP(Table2[[#This Row],[SKU]],'All Skus'!$A:$AC,2,FALSE))="AMX",(VLOOKUP(Table2[[#This Row],[SKU]],'All Skus'!$A:$AC,9,FALSE)),""))</f>
        <v>The HPX-U400-R-MET-7E, Metreau 7-Button Ethernet Keypad Ramp Mount Kit, is a Metreau 7-Button Ethernet Keypad in a carrier that allows it to be installed into the Hydraport HPX-600,900 and 1200 Connection Ports</v>
      </c>
      <c r="H205" s="157">
        <f>(IF((VLOOKUP(Table2[[#This Row],[SKU]],'All Skus'!$A:$AC,2,FALSE))="AMX",(VLOOKUP(Table2[[#This Row],[SKU]],'All Skus'!$A:$AC,10,FALSE)),""))</f>
        <v>494.6</v>
      </c>
      <c r="I205" s="157">
        <f>(IF((VLOOKUP(Table2[[#This Row],[SKU]],'All Skus'!$A:$AC,2,FALSE))="AMX",(VLOOKUP(Table2[[#This Row],[SKU]],'All Skus'!$A:$AC,11,FALSE)),""))</f>
        <v>494.6</v>
      </c>
      <c r="J205" s="47">
        <f>(IF((VLOOKUP(Table2[[#This Row],[SKU]],'All Skus'!$A:$AC,2,FALSE))="AMX",(VLOOKUP(Table2[[#This Row],[SKU]],'All Skus'!$A:$AC,15,FALSE)),""))</f>
        <v>0</v>
      </c>
      <c r="K205" s="47">
        <f>(IF((VLOOKUP(Table2[[#This Row],[SKU]],'All Skus'!$A:$AC,2,FALSE))="AMX",(VLOOKUP(Table2[[#This Row],[SKU]],'All Skus'!$A:$AC,16,FALSE)),""))</f>
        <v>0</v>
      </c>
      <c r="L205" s="47">
        <f>(IF((VLOOKUP(Table2[[#This Row],[SKU]],'All Skus'!$A:$AC,2,FALSE))="AMX",(VLOOKUP(Table2[[#This Row],[SKU]],'All Skus'!$A:$AC,17,FALSE)),""))</f>
        <v>0</v>
      </c>
      <c r="M205" s="63">
        <f>(IF((VLOOKUP(Table2[[#This Row],[SKU]],'All Skus'!$A:$AC,2,FALSE))="AMX",(VLOOKUP(Table2[[#This Row],[SKU]],'All Skus'!$A:$AC,18,FALSE)),""))</f>
        <v>0.4</v>
      </c>
      <c r="N205" s="47">
        <f>(IF((VLOOKUP(Table2[[#This Row],[SKU]],'All Skus'!$A:$AC,2,FALSE))="AMX",(VLOOKUP(Table2[[#This Row],[SKU]],'All Skus'!$A:$AC,19,FALSE)),""))</f>
        <v>2.0499999999999998</v>
      </c>
      <c r="O205" s="47">
        <f>(IF((VLOOKUP(Table2[[#This Row],[SKU]],'All Skus'!$A:$AC,2,FALSE))="AMX",(VLOOKUP(Table2[[#This Row],[SKU]],'All Skus'!$A:$AC,20,FALSE)),""))</f>
        <v>4</v>
      </c>
      <c r="P205" s="47">
        <f>(IF((VLOOKUP(Table2[[#This Row],[SKU]],'All Skus'!$A:$AC,2,FALSE))="AMX",(VLOOKUP(Table2[[#This Row],[SKU]],'All Skus'!$A:$AC,21,FALSE)),""))</f>
        <v>1</v>
      </c>
      <c r="Q205" s="47" t="str">
        <f>(IF((VLOOKUP(Table2[[#This Row],[SKU]],'All Skus'!$A:$AC,2,FALSE))="AMX",(VLOOKUP(Table2[[#This Row],[SKU]],'All Skus'!$A:$AC,22,FALSE)),""))</f>
        <v>US</v>
      </c>
      <c r="R205" s="47" t="str">
        <f>(IF((VLOOKUP(Table2[[#This Row],[SKU]],'All Skus'!$A:$AC,2,FALSE))="AMX",(VLOOKUP(Table2[[#This Row],[SKU]],'All Skus'!$A:$AC,23,FALSE)),""))</f>
        <v>Compliant</v>
      </c>
      <c r="S205" s="210" t="str">
        <f>HYPERLINK((IF((VLOOKUP(Table2[[#This Row],[SKU]],'All Skus'!$A:$AC,2,FALSE))="AMX",(VLOOKUP(Table2[[#This Row],[SKU]],'All Skus'!$A:$AC,24,FALSE)),"")))</f>
        <v>https://www.amx.com/en-US/products/hpx-u400-r-met-7e</v>
      </c>
      <c r="T205" s="151">
        <v>203</v>
      </c>
    </row>
    <row r="206" spans="1:20" ht="15" hidden="1" customHeight="1">
      <c r="A206" s="48" t="s">
        <v>715</v>
      </c>
      <c r="B206" s="280" t="str">
        <f>(IF((VLOOKUP(Table2[[#This Row],[SKU]],'All Skus'!$A:$AC,2,FALSE))="AMX",(VLOOKUP(Table2[[#This Row],[SKU]],'All Skus'!$A:$AC,3,FALSE)),""))</f>
        <v>Architectural Connectivity</v>
      </c>
      <c r="C206" s="280" t="str">
        <f>(IF((VLOOKUP(Table2[[#This Row],[SKU]],'All Skus'!$A:$AC,2,FALSE))="AMX",(VLOOKUP(Table2[[#This Row],[SKU]],'All Skus'!$A:$AC,4,FALSE)),""))</f>
        <v>HPG-10-10K</v>
      </c>
      <c r="D206" s="47" t="str">
        <f>(IF((VLOOKUP(Table2[[#This Row],[SKU]],'All Skus'!$A:$AC,2,FALSE))="AMX",(VLOOKUP(Table2[[#This Row],[SKU]],'All Skus'!$A:$AC,5,FALSE)),""))</f>
        <v>AMX-ENV</v>
      </c>
      <c r="E206" s="281">
        <f>(IF((VLOOKUP(Table2[[#This Row],[SKU]],'All Skus'!$A:$AC,2,FALSE))="AMX",(VLOOKUP(Table2[[#This Row],[SKU]],'All Skus'!$A:$AC,7,FALSE)),""))</f>
        <v>0</v>
      </c>
      <c r="F206" s="280" t="str">
        <f>(IF((VLOOKUP(Table2[[#This Row],[SKU]],'All Skus'!$A:$AC,2,FALSE))="AMX",(VLOOKUP(Table2[[#This Row],[SKU]],'All Skus'!$A:$AC,8,FALSE)),""))</f>
        <v>Hydraport Mini Grommet 10-pack</v>
      </c>
      <c r="G206" s="280" t="str">
        <f>(IF((VLOOKUP(Table2[[#This Row],[SKU]],'All Skus'!$A:$AC,2,FALSE))="AMX",(VLOOKUP(Table2[[#This Row],[SKU]],'All Skus'!$A:$AC,9,FALSE)),""))</f>
        <v>Hydraport 3/4" Mini-Grommet, 10-Pack</v>
      </c>
      <c r="H206" s="157">
        <f>(IF((VLOOKUP(Table2[[#This Row],[SKU]],'All Skus'!$A:$AC,2,FALSE))="AMX",(VLOOKUP(Table2[[#This Row],[SKU]],'All Skus'!$A:$AC,10,FALSE)),""))</f>
        <v>177.2</v>
      </c>
      <c r="I206" s="157">
        <f>(IF((VLOOKUP(Table2[[#This Row],[SKU]],'All Skus'!$A:$AC,2,FALSE))="AMX",(VLOOKUP(Table2[[#This Row],[SKU]],'All Skus'!$A:$AC,11,FALSE)),""))</f>
        <v>177.2</v>
      </c>
      <c r="J206" s="47">
        <f>(IF((VLOOKUP(Table2[[#This Row],[SKU]],'All Skus'!$A:$AC,2,FALSE))="AMX",(VLOOKUP(Table2[[#This Row],[SKU]],'All Skus'!$A:$AC,15,FALSE)),""))</f>
        <v>0</v>
      </c>
      <c r="K206" s="47">
        <f>(IF((VLOOKUP(Table2[[#This Row],[SKU]],'All Skus'!$A:$AC,2,FALSE))="AMX",(VLOOKUP(Table2[[#This Row],[SKU]],'All Skus'!$A:$AC,16,FALSE)),""))</f>
        <v>718878020081</v>
      </c>
      <c r="L206" s="47">
        <f>(IF((VLOOKUP(Table2[[#This Row],[SKU]],'All Skus'!$A:$AC,2,FALSE))="AMX",(VLOOKUP(Table2[[#This Row],[SKU]],'All Skus'!$A:$AC,17,FALSE)),""))</f>
        <v>0</v>
      </c>
      <c r="M206" s="63">
        <f>(IF((VLOOKUP(Table2[[#This Row],[SKU]],'All Skus'!$A:$AC,2,FALSE))="AMX",(VLOOKUP(Table2[[#This Row],[SKU]],'All Skus'!$A:$AC,18,FALSE)),""))</f>
        <v>0.5</v>
      </c>
      <c r="N206" s="47">
        <f>(IF((VLOOKUP(Table2[[#This Row],[SKU]],'All Skus'!$A:$AC,2,FALSE))="AMX",(VLOOKUP(Table2[[#This Row],[SKU]],'All Skus'!$A:$AC,19,FALSE)),""))</f>
        <v>2.75</v>
      </c>
      <c r="O206" s="47">
        <f>(IF((VLOOKUP(Table2[[#This Row],[SKU]],'All Skus'!$A:$AC,2,FALSE))="AMX",(VLOOKUP(Table2[[#This Row],[SKU]],'All Skus'!$A:$AC,20,FALSE)),""))</f>
        <v>2.75</v>
      </c>
      <c r="P206" s="47">
        <f>(IF((VLOOKUP(Table2[[#This Row],[SKU]],'All Skus'!$A:$AC,2,FALSE))="AMX",(VLOOKUP(Table2[[#This Row],[SKU]],'All Skus'!$A:$AC,21,FALSE)),""))</f>
        <v>1.75</v>
      </c>
      <c r="Q206" s="47" t="str">
        <f>(IF((VLOOKUP(Table2[[#This Row],[SKU]],'All Skus'!$A:$AC,2,FALSE))="AMX",(VLOOKUP(Table2[[#This Row],[SKU]],'All Skus'!$A:$AC,22,FALSE)),""))</f>
        <v>US</v>
      </c>
      <c r="R206" s="47" t="str">
        <f>(IF((VLOOKUP(Table2[[#This Row],[SKU]],'All Skus'!$A:$AC,2,FALSE))="AMX",(VLOOKUP(Table2[[#This Row],[SKU]],'All Skus'!$A:$AC,23,FALSE)),""))</f>
        <v>Compliant</v>
      </c>
      <c r="S206" s="210" t="str">
        <f>HYPERLINK((IF((VLOOKUP(Table2[[#This Row],[SKU]],'All Skus'!$A:$AC,2,FALSE))="AMX",(VLOOKUP(Table2[[#This Row],[SKU]],'All Skus'!$A:$AC,24,FALSE)),"")))</f>
        <v>https://www.amx.com/en-US/products/hpg-10</v>
      </c>
      <c r="T206" s="151">
        <v>204</v>
      </c>
    </row>
    <row r="207" spans="1:20" ht="15" hidden="1" customHeight="1">
      <c r="A207" s="48" t="s">
        <v>716</v>
      </c>
      <c r="B207" s="280" t="str">
        <f>(IF((VLOOKUP(Table2[[#This Row],[SKU]],'All Skus'!$A:$AC,2,FALSE))="AMX",(VLOOKUP(Table2[[#This Row],[SKU]],'All Skus'!$A:$AC,3,FALSE)),""))</f>
        <v>Architectural Connectivity</v>
      </c>
      <c r="C207" s="280" t="str">
        <f>(IF((VLOOKUP(Table2[[#This Row],[SKU]],'All Skus'!$A:$AC,2,FALSE))="AMX",(VLOOKUP(Table2[[#This Row],[SKU]],'All Skus'!$A:$AC,4,FALSE)),""))</f>
        <v>HPG-20B-GB</v>
      </c>
      <c r="D207" s="47" t="str">
        <f>(IF((VLOOKUP(Table2[[#This Row],[SKU]],'All Skus'!$A:$AC,2,FALSE))="AMX",(VLOOKUP(Table2[[#This Row],[SKU]],'All Skus'!$A:$AC,5,FALSE)),""))</f>
        <v>AMX-ENV</v>
      </c>
      <c r="E207" s="281" t="str">
        <f>(IF((VLOOKUP(Table2[[#This Row],[SKU]],'All Skus'!$A:$AC,2,FALSE))="AMX",(VLOOKUP(Table2[[#This Row],[SKU]],'All Skus'!$A:$AC,7,FALSE)),""))</f>
        <v>Limited Quantity</v>
      </c>
      <c r="F207" s="280" t="str">
        <f>(IF((VLOOKUP(Table2[[#This Row],[SKU]],'All Skus'!$A:$AC,2,FALSE))="AMX",(VLOOKUP(Table2[[#This Row],[SKU]],'All Skus'!$A:$AC,8,FALSE)),""))</f>
        <v>Hydraport Grommet 2-inch</v>
      </c>
      <c r="G207" s="280" t="str">
        <f>(IF((VLOOKUP(Table2[[#This Row],[SKU]],'All Skus'!$A:$AC,2,FALSE))="AMX",(VLOOKUP(Table2[[#This Row],[SKU]],'All Skus'!$A:$AC,9,FALSE)),""))</f>
        <v>Hydraport 2" Grommet, Gloss Black in Black Anodized Aluminum</v>
      </c>
      <c r="H207" s="157">
        <f>(IF((VLOOKUP(Table2[[#This Row],[SKU]],'All Skus'!$A:$AC,2,FALSE))="AMX",(VLOOKUP(Table2[[#This Row],[SKU]],'All Skus'!$A:$AC,10,FALSE)),""))</f>
        <v>126.1</v>
      </c>
      <c r="I207" s="157">
        <f>(IF((VLOOKUP(Table2[[#This Row],[SKU]],'All Skus'!$A:$AC,2,FALSE))="AMX",(VLOOKUP(Table2[[#This Row],[SKU]],'All Skus'!$A:$AC,11,FALSE)),""))</f>
        <v>126.1</v>
      </c>
      <c r="J207" s="47">
        <f>(IF((VLOOKUP(Table2[[#This Row],[SKU]],'All Skus'!$A:$AC,2,FALSE))="AMX",(VLOOKUP(Table2[[#This Row],[SKU]],'All Skus'!$A:$AC,15,FALSE)),""))</f>
        <v>0</v>
      </c>
      <c r="K207" s="47">
        <f>(IF((VLOOKUP(Table2[[#This Row],[SKU]],'All Skus'!$A:$AC,2,FALSE))="AMX",(VLOOKUP(Table2[[#This Row],[SKU]],'All Skus'!$A:$AC,16,FALSE)),""))</f>
        <v>718878020135</v>
      </c>
      <c r="L207" s="47">
        <f>(IF((VLOOKUP(Table2[[#This Row],[SKU]],'All Skus'!$A:$AC,2,FALSE))="AMX",(VLOOKUP(Table2[[#This Row],[SKU]],'All Skus'!$A:$AC,17,FALSE)),""))</f>
        <v>0</v>
      </c>
      <c r="M207" s="63">
        <f>(IF((VLOOKUP(Table2[[#This Row],[SKU]],'All Skus'!$A:$AC,2,FALSE))="AMX",(VLOOKUP(Table2[[#This Row],[SKU]],'All Skus'!$A:$AC,18,FALSE)),""))</f>
        <v>0.5</v>
      </c>
      <c r="N207" s="47">
        <f>(IF((VLOOKUP(Table2[[#This Row],[SKU]],'All Skus'!$A:$AC,2,FALSE))="AMX",(VLOOKUP(Table2[[#This Row],[SKU]],'All Skus'!$A:$AC,19,FALSE)),""))</f>
        <v>2.75</v>
      </c>
      <c r="O207" s="47">
        <f>(IF((VLOOKUP(Table2[[#This Row],[SKU]],'All Skus'!$A:$AC,2,FALSE))="AMX",(VLOOKUP(Table2[[#This Row],[SKU]],'All Skus'!$A:$AC,20,FALSE)),""))</f>
        <v>2.75</v>
      </c>
      <c r="P207" s="47">
        <f>(IF((VLOOKUP(Table2[[#This Row],[SKU]],'All Skus'!$A:$AC,2,FALSE))="AMX",(VLOOKUP(Table2[[#This Row],[SKU]],'All Skus'!$A:$AC,21,FALSE)),""))</f>
        <v>1.75</v>
      </c>
      <c r="Q207" s="47" t="str">
        <f>(IF((VLOOKUP(Table2[[#This Row],[SKU]],'All Skus'!$A:$AC,2,FALSE))="AMX",(VLOOKUP(Table2[[#This Row],[SKU]],'All Skus'!$A:$AC,22,FALSE)),""))</f>
        <v>US</v>
      </c>
      <c r="R207" s="47" t="str">
        <f>(IF((VLOOKUP(Table2[[#This Row],[SKU]],'All Skus'!$A:$AC,2,FALSE))="AMX",(VLOOKUP(Table2[[#This Row],[SKU]],'All Skus'!$A:$AC,23,FALSE)),""))</f>
        <v>Compliant</v>
      </c>
      <c r="S207" s="210" t="str">
        <f>HYPERLINK((IF((VLOOKUP(Table2[[#This Row],[SKU]],'All Skus'!$A:$AC,2,FALSE))="AMX",(VLOOKUP(Table2[[#This Row],[SKU]],'All Skus'!$A:$AC,24,FALSE)),"")))</f>
        <v>https://www.amx.com/en-US/products/hpg-20</v>
      </c>
      <c r="T207" s="151">
        <v>205</v>
      </c>
    </row>
    <row r="208" spans="1:20" ht="15" hidden="1" customHeight="1">
      <c r="A208" s="48" t="s">
        <v>717</v>
      </c>
      <c r="B208" s="280" t="str">
        <f>(IF((VLOOKUP(Table2[[#This Row],[SKU]],'All Skus'!$A:$AC,2,FALSE))="AMX",(VLOOKUP(Table2[[#This Row],[SKU]],'All Skus'!$A:$AC,3,FALSE)),""))</f>
        <v>Architectural Connectivity</v>
      </c>
      <c r="C208" s="280" t="str">
        <f>(IF((VLOOKUP(Table2[[#This Row],[SKU]],'All Skus'!$A:$AC,2,FALSE))="AMX",(VLOOKUP(Table2[[#This Row],[SKU]],'All Skus'!$A:$AC,4,FALSE)),""))</f>
        <v>HPG-20B-GS</v>
      </c>
      <c r="D208" s="47" t="str">
        <f>(IF((VLOOKUP(Table2[[#This Row],[SKU]],'All Skus'!$A:$AC,2,FALSE))="AMX",(VLOOKUP(Table2[[#This Row],[SKU]],'All Skus'!$A:$AC,5,FALSE)),""))</f>
        <v>AMX-ENV</v>
      </c>
      <c r="E208" s="281" t="str">
        <f>(IF((VLOOKUP(Table2[[#This Row],[SKU]],'All Skus'!$A:$AC,2,FALSE))="AMX",(VLOOKUP(Table2[[#This Row],[SKU]],'All Skus'!$A:$AC,7,FALSE)),""))</f>
        <v>Limited Quantity</v>
      </c>
      <c r="F208" s="280" t="str">
        <f>(IF((VLOOKUP(Table2[[#This Row],[SKU]],'All Skus'!$A:$AC,2,FALSE))="AMX",(VLOOKUP(Table2[[#This Row],[SKU]],'All Skus'!$A:$AC,8,FALSE)),""))</f>
        <v>Hydraport Grommet 2-inch</v>
      </c>
      <c r="G208" s="280" t="str">
        <f>(IF((VLOOKUP(Table2[[#This Row],[SKU]],'All Skus'!$A:$AC,2,FALSE))="AMX",(VLOOKUP(Table2[[#This Row],[SKU]],'All Skus'!$A:$AC,9,FALSE)),""))</f>
        <v>Hydraport 2" Grommet, Gloss Silver in Black Anodized Aluminum</v>
      </c>
      <c r="H208" s="157">
        <f>(IF((VLOOKUP(Table2[[#This Row],[SKU]],'All Skus'!$A:$AC,2,FALSE))="AMX",(VLOOKUP(Table2[[#This Row],[SKU]],'All Skus'!$A:$AC,10,FALSE)),""))</f>
        <v>126.1</v>
      </c>
      <c r="I208" s="157">
        <f>(IF((VLOOKUP(Table2[[#This Row],[SKU]],'All Skus'!$A:$AC,2,FALSE))="AMX",(VLOOKUP(Table2[[#This Row],[SKU]],'All Skus'!$A:$AC,11,FALSE)),""))</f>
        <v>126.1</v>
      </c>
      <c r="J208" s="47">
        <f>(IF((VLOOKUP(Table2[[#This Row],[SKU]],'All Skus'!$A:$AC,2,FALSE))="AMX",(VLOOKUP(Table2[[#This Row],[SKU]],'All Skus'!$A:$AC,15,FALSE)),""))</f>
        <v>0</v>
      </c>
      <c r="K208" s="47">
        <f>(IF((VLOOKUP(Table2[[#This Row],[SKU]],'All Skus'!$A:$AC,2,FALSE))="AMX",(VLOOKUP(Table2[[#This Row],[SKU]],'All Skus'!$A:$AC,16,FALSE)),""))</f>
        <v>718878228555</v>
      </c>
      <c r="L208" s="47">
        <f>(IF((VLOOKUP(Table2[[#This Row],[SKU]],'All Skus'!$A:$AC,2,FALSE))="AMX",(VLOOKUP(Table2[[#This Row],[SKU]],'All Skus'!$A:$AC,17,FALSE)),""))</f>
        <v>0</v>
      </c>
      <c r="M208" s="63">
        <f>(IF((VLOOKUP(Table2[[#This Row],[SKU]],'All Skus'!$A:$AC,2,FALSE))="AMX",(VLOOKUP(Table2[[#This Row],[SKU]],'All Skus'!$A:$AC,18,FALSE)),""))</f>
        <v>0.5</v>
      </c>
      <c r="N208" s="47">
        <f>(IF((VLOOKUP(Table2[[#This Row],[SKU]],'All Skus'!$A:$AC,2,FALSE))="AMX",(VLOOKUP(Table2[[#This Row],[SKU]],'All Skus'!$A:$AC,19,FALSE)),""))</f>
        <v>2.75</v>
      </c>
      <c r="O208" s="47">
        <f>(IF((VLOOKUP(Table2[[#This Row],[SKU]],'All Skus'!$A:$AC,2,FALSE))="AMX",(VLOOKUP(Table2[[#This Row],[SKU]],'All Skus'!$A:$AC,20,FALSE)),""))</f>
        <v>2.75</v>
      </c>
      <c r="P208" s="47">
        <f>(IF((VLOOKUP(Table2[[#This Row],[SKU]],'All Skus'!$A:$AC,2,FALSE))="AMX",(VLOOKUP(Table2[[#This Row],[SKU]],'All Skus'!$A:$AC,21,FALSE)),""))</f>
        <v>1.75</v>
      </c>
      <c r="Q208" s="47" t="str">
        <f>(IF((VLOOKUP(Table2[[#This Row],[SKU]],'All Skus'!$A:$AC,2,FALSE))="AMX",(VLOOKUP(Table2[[#This Row],[SKU]],'All Skus'!$A:$AC,22,FALSE)),""))</f>
        <v>US</v>
      </c>
      <c r="R208" s="47" t="str">
        <f>(IF((VLOOKUP(Table2[[#This Row],[SKU]],'All Skus'!$A:$AC,2,FALSE))="AMX",(VLOOKUP(Table2[[#This Row],[SKU]],'All Skus'!$A:$AC,23,FALSE)),""))</f>
        <v>Compliant</v>
      </c>
      <c r="S208" s="210" t="str">
        <f>HYPERLINK((IF((VLOOKUP(Table2[[#This Row],[SKU]],'All Skus'!$A:$AC,2,FALSE))="AMX",(VLOOKUP(Table2[[#This Row],[SKU]],'All Skus'!$A:$AC,24,FALSE)),"")))</f>
        <v>https://www.amx.com/en-US/products/hpg-20</v>
      </c>
      <c r="T208" s="151">
        <v>206</v>
      </c>
    </row>
    <row r="209" spans="1:20" ht="15" hidden="1" customHeight="1">
      <c r="A209" s="48" t="s">
        <v>718</v>
      </c>
      <c r="B209" s="280" t="str">
        <f>(IF((VLOOKUP(Table2[[#This Row],[SKU]],'All Skus'!$A:$AC,2,FALSE))="AMX",(VLOOKUP(Table2[[#This Row],[SKU]],'All Skus'!$A:$AC,3,FALSE)),""))</f>
        <v>Architectural Connectivity</v>
      </c>
      <c r="C209" s="280" t="str">
        <f>(IF((VLOOKUP(Table2[[#This Row],[SKU]],'All Skus'!$A:$AC,2,FALSE))="AMX",(VLOOKUP(Table2[[#This Row],[SKU]],'All Skus'!$A:$AC,4,FALSE)),""))</f>
        <v>HPG-20B-MB</v>
      </c>
      <c r="D209" s="47" t="str">
        <f>(IF((VLOOKUP(Table2[[#This Row],[SKU]],'All Skus'!$A:$AC,2,FALSE))="AMX",(VLOOKUP(Table2[[#This Row],[SKU]],'All Skus'!$A:$AC,5,FALSE)),""))</f>
        <v>AMX-ENV</v>
      </c>
      <c r="E209" s="281" t="str">
        <f>(IF((VLOOKUP(Table2[[#This Row],[SKU]],'All Skus'!$A:$AC,2,FALSE))="AMX",(VLOOKUP(Table2[[#This Row],[SKU]],'All Skus'!$A:$AC,7,FALSE)),""))</f>
        <v>Limited Quantity</v>
      </c>
      <c r="F209" s="280" t="str">
        <f>(IF((VLOOKUP(Table2[[#This Row],[SKU]],'All Skus'!$A:$AC,2,FALSE))="AMX",(VLOOKUP(Table2[[#This Row],[SKU]],'All Skus'!$A:$AC,8,FALSE)),""))</f>
        <v>Hydraport Grommet 2-inch</v>
      </c>
      <c r="G209" s="280" t="str">
        <f>(IF((VLOOKUP(Table2[[#This Row],[SKU]],'All Skus'!$A:$AC,2,FALSE))="AMX",(VLOOKUP(Table2[[#This Row],[SKU]],'All Skus'!$A:$AC,9,FALSE)),""))</f>
        <v>Hydraport 2" Grommet, Matte Black in Black Anodized Aluminum</v>
      </c>
      <c r="H209" s="157">
        <f>(IF((VLOOKUP(Table2[[#This Row],[SKU]],'All Skus'!$A:$AC,2,FALSE))="AMX",(VLOOKUP(Table2[[#This Row],[SKU]],'All Skus'!$A:$AC,10,FALSE)),""))</f>
        <v>126.1</v>
      </c>
      <c r="I209" s="157">
        <f>(IF((VLOOKUP(Table2[[#This Row],[SKU]],'All Skus'!$A:$AC,2,FALSE))="AMX",(VLOOKUP(Table2[[#This Row],[SKU]],'All Skus'!$A:$AC,11,FALSE)),""))</f>
        <v>126.1</v>
      </c>
      <c r="J209" s="47">
        <f>(IF((VLOOKUP(Table2[[#This Row],[SKU]],'All Skus'!$A:$AC,2,FALSE))="AMX",(VLOOKUP(Table2[[#This Row],[SKU]],'All Skus'!$A:$AC,15,FALSE)),""))</f>
        <v>0</v>
      </c>
      <c r="K209" s="47">
        <f>(IF((VLOOKUP(Table2[[#This Row],[SKU]],'All Skus'!$A:$AC,2,FALSE))="AMX",(VLOOKUP(Table2[[#This Row],[SKU]],'All Skus'!$A:$AC,16,FALSE)),""))</f>
        <v>718878235331</v>
      </c>
      <c r="L209" s="47">
        <f>(IF((VLOOKUP(Table2[[#This Row],[SKU]],'All Skus'!$A:$AC,2,FALSE))="AMX",(VLOOKUP(Table2[[#This Row],[SKU]],'All Skus'!$A:$AC,17,FALSE)),""))</f>
        <v>0</v>
      </c>
      <c r="M209" s="63">
        <f>(IF((VLOOKUP(Table2[[#This Row],[SKU]],'All Skus'!$A:$AC,2,FALSE))="AMX",(VLOOKUP(Table2[[#This Row],[SKU]],'All Skus'!$A:$AC,18,FALSE)),""))</f>
        <v>0.5</v>
      </c>
      <c r="N209" s="47">
        <f>(IF((VLOOKUP(Table2[[#This Row],[SKU]],'All Skus'!$A:$AC,2,FALSE))="AMX",(VLOOKUP(Table2[[#This Row],[SKU]],'All Skus'!$A:$AC,19,FALSE)),""))</f>
        <v>2.75</v>
      </c>
      <c r="O209" s="47">
        <f>(IF((VLOOKUP(Table2[[#This Row],[SKU]],'All Skus'!$A:$AC,2,FALSE))="AMX",(VLOOKUP(Table2[[#This Row],[SKU]],'All Skus'!$A:$AC,20,FALSE)),""))</f>
        <v>2.75</v>
      </c>
      <c r="P209" s="47">
        <f>(IF((VLOOKUP(Table2[[#This Row],[SKU]],'All Skus'!$A:$AC,2,FALSE))="AMX",(VLOOKUP(Table2[[#This Row],[SKU]],'All Skus'!$A:$AC,21,FALSE)),""))</f>
        <v>1.75</v>
      </c>
      <c r="Q209" s="47" t="str">
        <f>(IF((VLOOKUP(Table2[[#This Row],[SKU]],'All Skus'!$A:$AC,2,FALSE))="AMX",(VLOOKUP(Table2[[#This Row],[SKU]],'All Skus'!$A:$AC,22,FALSE)),""))</f>
        <v>US</v>
      </c>
      <c r="R209" s="47" t="str">
        <f>(IF((VLOOKUP(Table2[[#This Row],[SKU]],'All Skus'!$A:$AC,2,FALSE))="AMX",(VLOOKUP(Table2[[#This Row],[SKU]],'All Skus'!$A:$AC,23,FALSE)),""))</f>
        <v>Compliant</v>
      </c>
      <c r="S209" s="210" t="str">
        <f>HYPERLINK((IF((VLOOKUP(Table2[[#This Row],[SKU]],'All Skus'!$A:$AC,2,FALSE))="AMX",(VLOOKUP(Table2[[#This Row],[SKU]],'All Skus'!$A:$AC,24,FALSE)),"")))</f>
        <v>https://www.amx.com/en-US/products/hpg-20</v>
      </c>
      <c r="T209" s="151">
        <v>207</v>
      </c>
    </row>
    <row r="210" spans="1:20" ht="15" hidden="1" customHeight="1">
      <c r="A210" s="48" t="s">
        <v>719</v>
      </c>
      <c r="B210" s="280" t="str">
        <f>(IF((VLOOKUP(Table2[[#This Row],[SKU]],'All Skus'!$A:$AC,2,FALSE))="AMX",(VLOOKUP(Table2[[#This Row],[SKU]],'All Skus'!$A:$AC,3,FALSE)),""))</f>
        <v>Architectural Connectivity</v>
      </c>
      <c r="C210" s="280" t="str">
        <f>(IF((VLOOKUP(Table2[[#This Row],[SKU]],'All Skus'!$A:$AC,2,FALSE))="AMX",(VLOOKUP(Table2[[#This Row],[SKU]],'All Skus'!$A:$AC,4,FALSE)),""))</f>
        <v>HPG-20S-FG</v>
      </c>
      <c r="D210" s="47" t="str">
        <f>(IF((VLOOKUP(Table2[[#This Row],[SKU]],'All Skus'!$A:$AC,2,FALSE))="AMX",(VLOOKUP(Table2[[#This Row],[SKU]],'All Skus'!$A:$AC,5,FALSE)),""))</f>
        <v>AMX-ENV</v>
      </c>
      <c r="E210" s="281" t="str">
        <f>(IF((VLOOKUP(Table2[[#This Row],[SKU]],'All Skus'!$A:$AC,2,FALSE))="AMX",(VLOOKUP(Table2[[#This Row],[SKU]],'All Skus'!$A:$AC,7,FALSE)),""))</f>
        <v>Limited Quantity</v>
      </c>
      <c r="F210" s="280" t="str">
        <f>(IF((VLOOKUP(Table2[[#This Row],[SKU]],'All Skus'!$A:$AC,2,FALSE))="AMX",(VLOOKUP(Table2[[#This Row],[SKU]],'All Skus'!$A:$AC,8,FALSE)),""))</f>
        <v>Hydraport Grommet 2-inch</v>
      </c>
      <c r="G210" s="280" t="str">
        <f>(IF((VLOOKUP(Table2[[#This Row],[SKU]],'All Skus'!$A:$AC,2,FALSE))="AMX",(VLOOKUP(Table2[[#This Row],[SKU]],'All Skus'!$A:$AC,9,FALSE)),""))</f>
        <v>Hydraport 2" Grommet, Frosted in Silver Anodized Aluminum</v>
      </c>
      <c r="H210" s="157">
        <f>(IF((VLOOKUP(Table2[[#This Row],[SKU]],'All Skus'!$A:$AC,2,FALSE))="AMX",(VLOOKUP(Table2[[#This Row],[SKU]],'All Skus'!$A:$AC,10,FALSE)),""))</f>
        <v>126.1</v>
      </c>
      <c r="I210" s="157">
        <f>(IF((VLOOKUP(Table2[[#This Row],[SKU]],'All Skus'!$A:$AC,2,FALSE))="AMX",(VLOOKUP(Table2[[#This Row],[SKU]],'All Skus'!$A:$AC,11,FALSE)),""))</f>
        <v>126.1</v>
      </c>
      <c r="J210" s="47">
        <f>(IF((VLOOKUP(Table2[[#This Row],[SKU]],'All Skus'!$A:$AC,2,FALSE))="AMX",(VLOOKUP(Table2[[#This Row],[SKU]],'All Skus'!$A:$AC,15,FALSE)),""))</f>
        <v>0</v>
      </c>
      <c r="K210" s="47">
        <f>(IF((VLOOKUP(Table2[[#This Row],[SKU]],'All Skus'!$A:$AC,2,FALSE))="AMX",(VLOOKUP(Table2[[#This Row],[SKU]],'All Skus'!$A:$AC,16,FALSE)),""))</f>
        <v>718878235447</v>
      </c>
      <c r="L210" s="47">
        <f>(IF((VLOOKUP(Table2[[#This Row],[SKU]],'All Skus'!$A:$AC,2,FALSE))="AMX",(VLOOKUP(Table2[[#This Row],[SKU]],'All Skus'!$A:$AC,17,FALSE)),""))</f>
        <v>0</v>
      </c>
      <c r="M210" s="63">
        <f>(IF((VLOOKUP(Table2[[#This Row],[SKU]],'All Skus'!$A:$AC,2,FALSE))="AMX",(VLOOKUP(Table2[[#This Row],[SKU]],'All Skus'!$A:$AC,18,FALSE)),""))</f>
        <v>0.5</v>
      </c>
      <c r="N210" s="47">
        <f>(IF((VLOOKUP(Table2[[#This Row],[SKU]],'All Skus'!$A:$AC,2,FALSE))="AMX",(VLOOKUP(Table2[[#This Row],[SKU]],'All Skus'!$A:$AC,19,FALSE)),""))</f>
        <v>2.75</v>
      </c>
      <c r="O210" s="47">
        <f>(IF((VLOOKUP(Table2[[#This Row],[SKU]],'All Skus'!$A:$AC,2,FALSE))="AMX",(VLOOKUP(Table2[[#This Row],[SKU]],'All Skus'!$A:$AC,20,FALSE)),""))</f>
        <v>2.75</v>
      </c>
      <c r="P210" s="47">
        <f>(IF((VLOOKUP(Table2[[#This Row],[SKU]],'All Skus'!$A:$AC,2,FALSE))="AMX",(VLOOKUP(Table2[[#This Row],[SKU]],'All Skus'!$A:$AC,21,FALSE)),""))</f>
        <v>1.75</v>
      </c>
      <c r="Q210" s="47" t="str">
        <f>(IF((VLOOKUP(Table2[[#This Row],[SKU]],'All Skus'!$A:$AC,2,FALSE))="AMX",(VLOOKUP(Table2[[#This Row],[SKU]],'All Skus'!$A:$AC,22,FALSE)),""))</f>
        <v>US</v>
      </c>
      <c r="R210" s="47" t="str">
        <f>(IF((VLOOKUP(Table2[[#This Row],[SKU]],'All Skus'!$A:$AC,2,FALSE))="AMX",(VLOOKUP(Table2[[#This Row],[SKU]],'All Skus'!$A:$AC,23,FALSE)),""))</f>
        <v>Compliant</v>
      </c>
      <c r="S210" s="210" t="str">
        <f>HYPERLINK((IF((VLOOKUP(Table2[[#This Row],[SKU]],'All Skus'!$A:$AC,2,FALSE))="AMX",(VLOOKUP(Table2[[#This Row],[SKU]],'All Skus'!$A:$AC,24,FALSE)),"")))</f>
        <v>https://www.amx.com/en-US/products/hpg-20</v>
      </c>
      <c r="T210" s="151">
        <v>208</v>
      </c>
    </row>
    <row r="211" spans="1:20" ht="15" hidden="1" customHeight="1">
      <c r="A211" s="48" t="s">
        <v>720</v>
      </c>
      <c r="B211" s="280" t="str">
        <f>(IF((VLOOKUP(Table2[[#This Row],[SKU]],'All Skus'!$A:$AC,2,FALSE))="AMX",(VLOOKUP(Table2[[#This Row],[SKU]],'All Skus'!$A:$AC,3,FALSE)),""))</f>
        <v>Architectural Connectivity</v>
      </c>
      <c r="C211" s="280" t="str">
        <f>(IF((VLOOKUP(Table2[[#This Row],[SKU]],'All Skus'!$A:$AC,2,FALSE))="AMX",(VLOOKUP(Table2[[#This Row],[SKU]],'All Skus'!$A:$AC,4,FALSE)),""))</f>
        <v>HPG-20S-GS</v>
      </c>
      <c r="D211" s="47" t="str">
        <f>(IF((VLOOKUP(Table2[[#This Row],[SKU]],'All Skus'!$A:$AC,2,FALSE))="AMX",(VLOOKUP(Table2[[#This Row],[SKU]],'All Skus'!$A:$AC,5,FALSE)),""))</f>
        <v>AMX-ENV</v>
      </c>
      <c r="E211" s="281" t="str">
        <f>(IF((VLOOKUP(Table2[[#This Row],[SKU]],'All Skus'!$A:$AC,2,FALSE))="AMX",(VLOOKUP(Table2[[#This Row],[SKU]],'All Skus'!$A:$AC,7,FALSE)),""))</f>
        <v>Limited Quantity</v>
      </c>
      <c r="F211" s="280" t="str">
        <f>(IF((VLOOKUP(Table2[[#This Row],[SKU]],'All Skus'!$A:$AC,2,FALSE))="AMX",(VLOOKUP(Table2[[#This Row],[SKU]],'All Skus'!$A:$AC,8,FALSE)),""))</f>
        <v>Hydraport Grommet 2-inch</v>
      </c>
      <c r="G211" s="280" t="str">
        <f>(IF((VLOOKUP(Table2[[#This Row],[SKU]],'All Skus'!$A:$AC,2,FALSE))="AMX",(VLOOKUP(Table2[[#This Row],[SKU]],'All Skus'!$A:$AC,9,FALSE)),""))</f>
        <v>Hydraport 2" Grommet, Gloss Silver in Silver Anodized Aluminum</v>
      </c>
      <c r="H211" s="157">
        <f>(IF((VLOOKUP(Table2[[#This Row],[SKU]],'All Skus'!$A:$AC,2,FALSE))="AMX",(VLOOKUP(Table2[[#This Row],[SKU]],'All Skus'!$A:$AC,10,FALSE)),""))</f>
        <v>126.1</v>
      </c>
      <c r="I211" s="157">
        <f>(IF((VLOOKUP(Table2[[#This Row],[SKU]],'All Skus'!$A:$AC,2,FALSE))="AMX",(VLOOKUP(Table2[[#This Row],[SKU]],'All Skus'!$A:$AC,11,FALSE)),""))</f>
        <v>126.1</v>
      </c>
      <c r="J211" s="47">
        <f>(IF((VLOOKUP(Table2[[#This Row],[SKU]],'All Skus'!$A:$AC,2,FALSE))="AMX",(VLOOKUP(Table2[[#This Row],[SKU]],'All Skus'!$A:$AC,15,FALSE)),""))</f>
        <v>0</v>
      </c>
      <c r="K211" s="47">
        <f>(IF((VLOOKUP(Table2[[#This Row],[SKU]],'All Skus'!$A:$AC,2,FALSE))="AMX",(VLOOKUP(Table2[[#This Row],[SKU]],'All Skus'!$A:$AC,16,FALSE)),""))</f>
        <v>718878228661</v>
      </c>
      <c r="L211" s="47">
        <f>(IF((VLOOKUP(Table2[[#This Row],[SKU]],'All Skus'!$A:$AC,2,FALSE))="AMX",(VLOOKUP(Table2[[#This Row],[SKU]],'All Skus'!$A:$AC,17,FALSE)),""))</f>
        <v>0</v>
      </c>
      <c r="M211" s="63">
        <f>(IF((VLOOKUP(Table2[[#This Row],[SKU]],'All Skus'!$A:$AC,2,FALSE))="AMX",(VLOOKUP(Table2[[#This Row],[SKU]],'All Skus'!$A:$AC,18,FALSE)),""))</f>
        <v>0.5</v>
      </c>
      <c r="N211" s="47">
        <f>(IF((VLOOKUP(Table2[[#This Row],[SKU]],'All Skus'!$A:$AC,2,FALSE))="AMX",(VLOOKUP(Table2[[#This Row],[SKU]],'All Skus'!$A:$AC,19,FALSE)),""))</f>
        <v>2.75</v>
      </c>
      <c r="O211" s="47">
        <f>(IF((VLOOKUP(Table2[[#This Row],[SKU]],'All Skus'!$A:$AC,2,FALSE))="AMX",(VLOOKUP(Table2[[#This Row],[SKU]],'All Skus'!$A:$AC,20,FALSE)),""))</f>
        <v>2.75</v>
      </c>
      <c r="P211" s="47">
        <f>(IF((VLOOKUP(Table2[[#This Row],[SKU]],'All Skus'!$A:$AC,2,FALSE))="AMX",(VLOOKUP(Table2[[#This Row],[SKU]],'All Skus'!$A:$AC,21,FALSE)),""))</f>
        <v>1.75</v>
      </c>
      <c r="Q211" s="47" t="str">
        <f>(IF((VLOOKUP(Table2[[#This Row],[SKU]],'All Skus'!$A:$AC,2,FALSE))="AMX",(VLOOKUP(Table2[[#This Row],[SKU]],'All Skus'!$A:$AC,22,FALSE)),""))</f>
        <v>US</v>
      </c>
      <c r="R211" s="47" t="str">
        <f>(IF((VLOOKUP(Table2[[#This Row],[SKU]],'All Skus'!$A:$AC,2,FALSE))="AMX",(VLOOKUP(Table2[[#This Row],[SKU]],'All Skus'!$A:$AC,23,FALSE)),""))</f>
        <v>Compliant</v>
      </c>
      <c r="S211" s="210" t="str">
        <f>HYPERLINK((IF((VLOOKUP(Table2[[#This Row],[SKU]],'All Skus'!$A:$AC,2,FALSE))="AMX",(VLOOKUP(Table2[[#This Row],[SKU]],'All Skus'!$A:$AC,24,FALSE)),"")))</f>
        <v>https://www.amx.com/en-US/products/hpg-20</v>
      </c>
      <c r="T211" s="151">
        <v>209</v>
      </c>
    </row>
    <row r="212" spans="1:20" ht="15" hidden="1" customHeight="1">
      <c r="A212" s="48" t="s">
        <v>721</v>
      </c>
      <c r="B212" s="280" t="str">
        <f>(IF((VLOOKUP(Table2[[#This Row],[SKU]],'All Skus'!$A:$AC,2,FALSE))="AMX",(VLOOKUP(Table2[[#This Row],[SKU]],'All Skus'!$A:$AC,3,FALSE)),""))</f>
        <v>Architectural Connectivity</v>
      </c>
      <c r="C212" s="280" t="str">
        <f>(IF((VLOOKUP(Table2[[#This Row],[SKU]],'All Skus'!$A:$AC,2,FALSE))="AMX",(VLOOKUP(Table2[[#This Row],[SKU]],'All Skus'!$A:$AC,4,FALSE)),""))</f>
        <v>HPG-20-SL</v>
      </c>
      <c r="D212" s="47" t="str">
        <f>(IF((VLOOKUP(Table2[[#This Row],[SKU]],'All Skus'!$A:$AC,2,FALSE))="AMX",(VLOOKUP(Table2[[#This Row],[SKU]],'All Skus'!$A:$AC,5,FALSE)),""))</f>
        <v>AMX-ENV</v>
      </c>
      <c r="E212" s="281" t="str">
        <f>(IF((VLOOKUP(Table2[[#This Row],[SKU]],'All Skus'!$A:$AC,2,FALSE))="AMX",(VLOOKUP(Table2[[#This Row],[SKU]],'All Skus'!$A:$AC,7,FALSE)),""))</f>
        <v>Limited Quantity</v>
      </c>
      <c r="F212" s="280" t="str">
        <f>(IF((VLOOKUP(Table2[[#This Row],[SKU]],'All Skus'!$A:$AC,2,FALSE))="AMX",(VLOOKUP(Table2[[#This Row],[SKU]],'All Skus'!$A:$AC,8,FALSE)),""))</f>
        <v>Hydraport Grommet 2-inch</v>
      </c>
      <c r="G212" s="280" t="str">
        <f>(IF((VLOOKUP(Table2[[#This Row],[SKU]],'All Skus'!$A:$AC,2,FALSE))="AMX",(VLOOKUP(Table2[[#This Row],[SKU]],'All Skus'!$A:$AC,9,FALSE)),""))</f>
        <v>Hydraport 2" Grommet, Silver Plastic</v>
      </c>
      <c r="H212" s="157">
        <f>(IF((VLOOKUP(Table2[[#This Row],[SKU]],'All Skus'!$A:$AC,2,FALSE))="AMX",(VLOOKUP(Table2[[#This Row],[SKU]],'All Skus'!$A:$AC,10,FALSE)),""))</f>
        <v>58.3</v>
      </c>
      <c r="I212" s="157">
        <f>(IF((VLOOKUP(Table2[[#This Row],[SKU]],'All Skus'!$A:$AC,2,FALSE))="AMX",(VLOOKUP(Table2[[#This Row],[SKU]],'All Skus'!$A:$AC,11,FALSE)),""))</f>
        <v>58.3</v>
      </c>
      <c r="J212" s="47">
        <f>(IF((VLOOKUP(Table2[[#This Row],[SKU]],'All Skus'!$A:$AC,2,FALSE))="AMX",(VLOOKUP(Table2[[#This Row],[SKU]],'All Skus'!$A:$AC,15,FALSE)),""))</f>
        <v>0</v>
      </c>
      <c r="K212" s="47">
        <f>(IF((VLOOKUP(Table2[[#This Row],[SKU]],'All Skus'!$A:$AC,2,FALSE))="AMX",(VLOOKUP(Table2[[#This Row],[SKU]],'All Skus'!$A:$AC,16,FALSE)),""))</f>
        <v>718878235669</v>
      </c>
      <c r="L212" s="47">
        <f>(IF((VLOOKUP(Table2[[#This Row],[SKU]],'All Skus'!$A:$AC,2,FALSE))="AMX",(VLOOKUP(Table2[[#This Row],[SKU]],'All Skus'!$A:$AC,17,FALSE)),""))</f>
        <v>0</v>
      </c>
      <c r="M212" s="63">
        <f>(IF((VLOOKUP(Table2[[#This Row],[SKU]],'All Skus'!$A:$AC,2,FALSE))="AMX",(VLOOKUP(Table2[[#This Row],[SKU]],'All Skus'!$A:$AC,18,FALSE)),""))</f>
        <v>0.5</v>
      </c>
      <c r="N212" s="47">
        <f>(IF((VLOOKUP(Table2[[#This Row],[SKU]],'All Skus'!$A:$AC,2,FALSE))="AMX",(VLOOKUP(Table2[[#This Row],[SKU]],'All Skus'!$A:$AC,19,FALSE)),""))</f>
        <v>2.75</v>
      </c>
      <c r="O212" s="47">
        <f>(IF((VLOOKUP(Table2[[#This Row],[SKU]],'All Skus'!$A:$AC,2,FALSE))="AMX",(VLOOKUP(Table2[[#This Row],[SKU]],'All Skus'!$A:$AC,20,FALSE)),""))</f>
        <v>2.75</v>
      </c>
      <c r="P212" s="47">
        <f>(IF((VLOOKUP(Table2[[#This Row],[SKU]],'All Skus'!$A:$AC,2,FALSE))="AMX",(VLOOKUP(Table2[[#This Row],[SKU]],'All Skus'!$A:$AC,21,FALSE)),""))</f>
        <v>1.75</v>
      </c>
      <c r="Q212" s="47" t="str">
        <f>(IF((VLOOKUP(Table2[[#This Row],[SKU]],'All Skus'!$A:$AC,2,FALSE))="AMX",(VLOOKUP(Table2[[#This Row],[SKU]],'All Skus'!$A:$AC,22,FALSE)),""))</f>
        <v>US</v>
      </c>
      <c r="R212" s="47" t="str">
        <f>(IF((VLOOKUP(Table2[[#This Row],[SKU]],'All Skus'!$A:$AC,2,FALSE))="AMX",(VLOOKUP(Table2[[#This Row],[SKU]],'All Skus'!$A:$AC,23,FALSE)),""))</f>
        <v>Compliant</v>
      </c>
      <c r="S212" s="210" t="str">
        <f>HYPERLINK((IF((VLOOKUP(Table2[[#This Row],[SKU]],'All Skus'!$A:$AC,2,FALSE))="AMX",(VLOOKUP(Table2[[#This Row],[SKU]],'All Skus'!$A:$AC,24,FALSE)),"")))</f>
        <v>https://www.amx.com/en-US/products/hpg-20</v>
      </c>
      <c r="T212" s="151">
        <v>210</v>
      </c>
    </row>
    <row r="213" spans="1:20" ht="15" hidden="1" customHeight="1">
      <c r="A213" s="48" t="s">
        <v>722</v>
      </c>
      <c r="B213" s="280" t="str">
        <f>(IF((VLOOKUP(Table2[[#This Row],[SKU]],'All Skus'!$A:$AC,2,FALSE))="AMX",(VLOOKUP(Table2[[#This Row],[SKU]],'All Skus'!$A:$AC,3,FALSE)),""))</f>
        <v>Architectural Connectivity</v>
      </c>
      <c r="C213" s="280" t="str">
        <f>(IF((VLOOKUP(Table2[[#This Row],[SKU]],'All Skus'!$A:$AC,2,FALSE))="AMX",(VLOOKUP(Table2[[#This Row],[SKU]],'All Skus'!$A:$AC,4,FALSE)),""))</f>
        <v>HPG-20S-MB</v>
      </c>
      <c r="D213" s="47" t="str">
        <f>(IF((VLOOKUP(Table2[[#This Row],[SKU]],'All Skus'!$A:$AC,2,FALSE))="AMX",(VLOOKUP(Table2[[#This Row],[SKU]],'All Skus'!$A:$AC,5,FALSE)),""))</f>
        <v>AMX-ENV</v>
      </c>
      <c r="E213" s="281" t="str">
        <f>(IF((VLOOKUP(Table2[[#This Row],[SKU]],'All Skus'!$A:$AC,2,FALSE))="AMX",(VLOOKUP(Table2[[#This Row],[SKU]],'All Skus'!$A:$AC,7,FALSE)),""))</f>
        <v>Limited Quantity</v>
      </c>
      <c r="F213" s="280" t="str">
        <f>(IF((VLOOKUP(Table2[[#This Row],[SKU]],'All Skus'!$A:$AC,2,FALSE))="AMX",(VLOOKUP(Table2[[#This Row],[SKU]],'All Skus'!$A:$AC,8,FALSE)),""))</f>
        <v>Hydraport Grommet 2-inch</v>
      </c>
      <c r="G213" s="280" t="str">
        <f>(IF((VLOOKUP(Table2[[#This Row],[SKU]],'All Skus'!$A:$AC,2,FALSE))="AMX",(VLOOKUP(Table2[[#This Row],[SKU]],'All Skus'!$A:$AC,9,FALSE)),""))</f>
        <v>Hydraport 2" Grommet, Matte Black in Silver Anodized Aluminum</v>
      </c>
      <c r="H213" s="157">
        <f>(IF((VLOOKUP(Table2[[#This Row],[SKU]],'All Skus'!$A:$AC,2,FALSE))="AMX",(VLOOKUP(Table2[[#This Row],[SKU]],'All Skus'!$A:$AC,10,FALSE)),""))</f>
        <v>126.1</v>
      </c>
      <c r="I213" s="157">
        <f>(IF((VLOOKUP(Table2[[#This Row],[SKU]],'All Skus'!$A:$AC,2,FALSE))="AMX",(VLOOKUP(Table2[[#This Row],[SKU]],'All Skus'!$A:$AC,11,FALSE)),""))</f>
        <v>126.1</v>
      </c>
      <c r="J213" s="47">
        <f>(IF((VLOOKUP(Table2[[#This Row],[SKU]],'All Skus'!$A:$AC,2,FALSE))="AMX",(VLOOKUP(Table2[[#This Row],[SKU]],'All Skus'!$A:$AC,15,FALSE)),""))</f>
        <v>0</v>
      </c>
      <c r="K213" s="47">
        <f>(IF((VLOOKUP(Table2[[#This Row],[SKU]],'All Skus'!$A:$AC,2,FALSE))="AMX",(VLOOKUP(Table2[[#This Row],[SKU]],'All Skus'!$A:$AC,16,FALSE)),""))</f>
        <v>718878235775</v>
      </c>
      <c r="L213" s="47">
        <f>(IF((VLOOKUP(Table2[[#This Row],[SKU]],'All Skus'!$A:$AC,2,FALSE))="AMX",(VLOOKUP(Table2[[#This Row],[SKU]],'All Skus'!$A:$AC,17,FALSE)),""))</f>
        <v>0</v>
      </c>
      <c r="M213" s="63">
        <f>(IF((VLOOKUP(Table2[[#This Row],[SKU]],'All Skus'!$A:$AC,2,FALSE))="AMX",(VLOOKUP(Table2[[#This Row],[SKU]],'All Skus'!$A:$AC,18,FALSE)),""))</f>
        <v>0.5</v>
      </c>
      <c r="N213" s="47">
        <f>(IF((VLOOKUP(Table2[[#This Row],[SKU]],'All Skus'!$A:$AC,2,FALSE))="AMX",(VLOOKUP(Table2[[#This Row],[SKU]],'All Skus'!$A:$AC,19,FALSE)),""))</f>
        <v>2.75</v>
      </c>
      <c r="O213" s="47">
        <f>(IF((VLOOKUP(Table2[[#This Row],[SKU]],'All Skus'!$A:$AC,2,FALSE))="AMX",(VLOOKUP(Table2[[#This Row],[SKU]],'All Skus'!$A:$AC,20,FALSE)),""))</f>
        <v>2.75</v>
      </c>
      <c r="P213" s="47">
        <f>(IF((VLOOKUP(Table2[[#This Row],[SKU]],'All Skus'!$A:$AC,2,FALSE))="AMX",(VLOOKUP(Table2[[#This Row],[SKU]],'All Skus'!$A:$AC,21,FALSE)),""))</f>
        <v>1.75</v>
      </c>
      <c r="Q213" s="47" t="str">
        <f>(IF((VLOOKUP(Table2[[#This Row],[SKU]],'All Skus'!$A:$AC,2,FALSE))="AMX",(VLOOKUP(Table2[[#This Row],[SKU]],'All Skus'!$A:$AC,22,FALSE)),""))</f>
        <v>US</v>
      </c>
      <c r="R213" s="47" t="str">
        <f>(IF((VLOOKUP(Table2[[#This Row],[SKU]],'All Skus'!$A:$AC,2,FALSE))="AMX",(VLOOKUP(Table2[[#This Row],[SKU]],'All Skus'!$A:$AC,23,FALSE)),""))</f>
        <v>Compliant</v>
      </c>
      <c r="S213" s="210" t="str">
        <f>HYPERLINK((IF((VLOOKUP(Table2[[#This Row],[SKU]],'All Skus'!$A:$AC,2,FALSE))="AMX",(VLOOKUP(Table2[[#This Row],[SKU]],'All Skus'!$A:$AC,24,FALSE)),"")))</f>
        <v>https://www.amx.com/en-US/products/hpg-20</v>
      </c>
      <c r="T213" s="151">
        <v>211</v>
      </c>
    </row>
    <row r="214" spans="1:20" ht="15" hidden="1" customHeight="1">
      <c r="A214" s="48" t="s">
        <v>723</v>
      </c>
      <c r="B214" s="280" t="str">
        <f>(IF((VLOOKUP(Table2[[#This Row],[SKU]],'All Skus'!$A:$AC,2,FALSE))="AMX",(VLOOKUP(Table2[[#This Row],[SKU]],'All Skus'!$A:$AC,3,FALSE)),""))</f>
        <v>Architectural Connectivity</v>
      </c>
      <c r="C214" s="280" t="str">
        <f>(IF((VLOOKUP(Table2[[#This Row],[SKU]],'All Skus'!$A:$AC,2,FALSE))="AMX",(VLOOKUP(Table2[[#This Row],[SKU]],'All Skus'!$A:$AC,4,FALSE)),""))</f>
        <v>HPX-MSP-7-BL</v>
      </c>
      <c r="D214" s="47" t="str">
        <f>(IF((VLOOKUP(Table2[[#This Row],[SKU]],'All Skus'!$A:$AC,2,FALSE))="AMX",(VLOOKUP(Table2[[#This Row],[SKU]],'All Skus'!$A:$AC,5,FALSE)),""))</f>
        <v>AMX-ENV</v>
      </c>
      <c r="E214" s="291" t="str">
        <f>(IF((VLOOKUP(Table2[[#This Row],[SKU]],'All Skus'!$A:$AC,2,FALSE))="AMX",(VLOOKUP(Table2[[#This Row],[SKU]],'All Skus'!$A:$AC,7,FALSE)),""))</f>
        <v>Limited Quantity - REDUCED</v>
      </c>
      <c r="F214" s="280" t="str">
        <f>(IF((VLOOKUP(Table2[[#This Row],[SKU]],'All Skus'!$A:$AC,2,FALSE))="AMX",(VLOOKUP(Table2[[#This Row],[SKU]],'All Skus'!$A:$AC,8,FALSE)),""))</f>
        <v>Hydraport with 7" touch panel BLACK</v>
      </c>
      <c r="G214" s="280" t="str">
        <f>(IF((VLOOKUP(Table2[[#This Row],[SKU]],'All Skus'!$A:$AC,2,FALSE))="AMX",(VLOOKUP(Table2[[#This Row],[SKU]],'All Skus'!$A:$AC,9,FALSE)),""))</f>
        <v>Hydraport Touch Connection Port with 7" Panel, Black; 8 module connection port with Modero S Series Touch Panel built into the cover</v>
      </c>
      <c r="H214" s="157">
        <f>(IF((VLOOKUP(Table2[[#This Row],[SKU]],'All Skus'!$A:$AC,2,FALSE))="AMX",(VLOOKUP(Table2[[#This Row],[SKU]],'All Skus'!$A:$AC,10,FALSE)),""))</f>
        <v>2952</v>
      </c>
      <c r="I214" s="157">
        <f>(IF((VLOOKUP(Table2[[#This Row],[SKU]],'All Skus'!$A:$AC,2,FALSE))="AMX",(VLOOKUP(Table2[[#This Row],[SKU]],'All Skus'!$A:$AC,11,FALSE)),""))</f>
        <v>1719.61</v>
      </c>
      <c r="J214" s="47">
        <f>(IF((VLOOKUP(Table2[[#This Row],[SKU]],'All Skus'!$A:$AC,2,FALSE))="AMX",(VLOOKUP(Table2[[#This Row],[SKU]],'All Skus'!$A:$AC,15,FALSE)),""))</f>
        <v>0</v>
      </c>
      <c r="K214" s="47">
        <f>(IF((VLOOKUP(Table2[[#This Row],[SKU]],'All Skus'!$A:$AC,2,FALSE))="AMX",(VLOOKUP(Table2[[#This Row],[SKU]],'All Skus'!$A:$AC,16,FALSE)),""))</f>
        <v>718878025345</v>
      </c>
      <c r="L214" s="47">
        <f>(IF((VLOOKUP(Table2[[#This Row],[SKU]],'All Skus'!$A:$AC,2,FALSE))="AMX",(VLOOKUP(Table2[[#This Row],[SKU]],'All Skus'!$A:$AC,17,FALSE)),""))</f>
        <v>0</v>
      </c>
      <c r="M214" s="63">
        <f>(IF((VLOOKUP(Table2[[#This Row],[SKU]],'All Skus'!$A:$AC,2,FALSE))="AMX",(VLOOKUP(Table2[[#This Row],[SKU]],'All Skus'!$A:$AC,18,FALSE)),""))</f>
        <v>3.58</v>
      </c>
      <c r="N214" s="47">
        <f>(IF((VLOOKUP(Table2[[#This Row],[SKU]],'All Skus'!$A:$AC,2,FALSE))="AMX",(VLOOKUP(Table2[[#This Row],[SKU]],'All Skus'!$A:$AC,19,FALSE)),""))</f>
        <v>10.571</v>
      </c>
      <c r="O214" s="47">
        <f>(IF((VLOOKUP(Table2[[#This Row],[SKU]],'All Skus'!$A:$AC,2,FALSE))="AMX",(VLOOKUP(Table2[[#This Row],[SKU]],'All Skus'!$A:$AC,20,FALSE)),""))</f>
        <v>6.5259999999999998</v>
      </c>
      <c r="P214" s="47">
        <f>(IF((VLOOKUP(Table2[[#This Row],[SKU]],'All Skus'!$A:$AC,2,FALSE))="AMX",(VLOOKUP(Table2[[#This Row],[SKU]],'All Skus'!$A:$AC,21,FALSE)),""))</f>
        <v>4.5670000000000002</v>
      </c>
      <c r="Q214" s="47" t="str">
        <f>(IF((VLOOKUP(Table2[[#This Row],[SKU]],'All Skus'!$A:$AC,2,FALSE))="AMX",(VLOOKUP(Table2[[#This Row],[SKU]],'All Skus'!$A:$AC,22,FALSE)),""))</f>
        <v>MX</v>
      </c>
      <c r="R214" s="47" t="str">
        <f>(IF((VLOOKUP(Table2[[#This Row],[SKU]],'All Skus'!$A:$AC,2,FALSE))="AMX",(VLOOKUP(Table2[[#This Row],[SKU]],'All Skus'!$A:$AC,23,FALSE)),""))</f>
        <v>Compliant</v>
      </c>
      <c r="S214" s="210" t="str">
        <f>HYPERLINK((IF((VLOOKUP(Table2[[#This Row],[SKU]],'All Skus'!$A:$AC,2,FALSE))="AMX",(VLOOKUP(Table2[[#This Row],[SKU]],'All Skus'!$A:$AC,24,FALSE)),"")))</f>
        <v>https://www.amx.com/en-US/products/hpx-msp-7</v>
      </c>
      <c r="T214" s="151">
        <v>212</v>
      </c>
    </row>
    <row r="215" spans="1:20" ht="15" hidden="1" customHeight="1">
      <c r="A215" s="48" t="s">
        <v>724</v>
      </c>
      <c r="B215" s="280" t="str">
        <f>(IF((VLOOKUP(Table2[[#This Row],[SKU]],'All Skus'!$A:$AC,2,FALSE))="AMX",(VLOOKUP(Table2[[#This Row],[SKU]],'All Skus'!$A:$AC,3,FALSE)),""))</f>
        <v>Architectural Connectivity</v>
      </c>
      <c r="C215" s="280" t="str">
        <f>(IF((VLOOKUP(Table2[[#This Row],[SKU]],'All Skus'!$A:$AC,2,FALSE))="AMX",(VLOOKUP(Table2[[#This Row],[SKU]],'All Skus'!$A:$AC,4,FALSE)),""))</f>
        <v>HPX-MSP-7-SL</v>
      </c>
      <c r="D215" s="47" t="str">
        <f>(IF((VLOOKUP(Table2[[#This Row],[SKU]],'All Skus'!$A:$AC,2,FALSE))="AMX",(VLOOKUP(Table2[[#This Row],[SKU]],'All Skus'!$A:$AC,5,FALSE)),""))</f>
        <v>AMX-ENV</v>
      </c>
      <c r="E215" s="291" t="str">
        <f>(IF((VLOOKUP(Table2[[#This Row],[SKU]],'All Skus'!$A:$AC,2,FALSE))="AMX",(VLOOKUP(Table2[[#This Row],[SKU]],'All Skus'!$A:$AC,7,FALSE)),""))</f>
        <v>Limited Quantity - REDUCED</v>
      </c>
      <c r="F215" s="280" t="str">
        <f>(IF((VLOOKUP(Table2[[#This Row],[SKU]],'All Skus'!$A:$AC,2,FALSE))="AMX",(VLOOKUP(Table2[[#This Row],[SKU]],'All Skus'!$A:$AC,8,FALSE)),""))</f>
        <v>Hydraport with 7" touch panel SILVER</v>
      </c>
      <c r="G215" s="280" t="str">
        <f>(IF((VLOOKUP(Table2[[#This Row],[SKU]],'All Skus'!$A:$AC,2,FALSE))="AMX",(VLOOKUP(Table2[[#This Row],[SKU]],'All Skus'!$A:$AC,9,FALSE)),""))</f>
        <v>Hydraport Touch Connection Port with 7" Panel, Silver; 8 module connection port with Modero S Series Touch Panel built into the cover</v>
      </c>
      <c r="H215" s="157">
        <f>(IF((VLOOKUP(Table2[[#This Row],[SKU]],'All Skus'!$A:$AC,2,FALSE))="AMX",(VLOOKUP(Table2[[#This Row],[SKU]],'All Skus'!$A:$AC,10,FALSE)),""))</f>
        <v>2952</v>
      </c>
      <c r="I215" s="157">
        <f>(IF((VLOOKUP(Table2[[#This Row],[SKU]],'All Skus'!$A:$AC,2,FALSE))="AMX",(VLOOKUP(Table2[[#This Row],[SKU]],'All Skus'!$A:$AC,11,FALSE)),""))</f>
        <v>1719.61</v>
      </c>
      <c r="J215" s="47">
        <f>(IF((VLOOKUP(Table2[[#This Row],[SKU]],'All Skus'!$A:$AC,2,FALSE))="AMX",(VLOOKUP(Table2[[#This Row],[SKU]],'All Skus'!$A:$AC,15,FALSE)),""))</f>
        <v>0</v>
      </c>
      <c r="K215" s="47">
        <f>(IF((VLOOKUP(Table2[[#This Row],[SKU]],'All Skus'!$A:$AC,2,FALSE))="AMX",(VLOOKUP(Table2[[#This Row],[SKU]],'All Skus'!$A:$AC,16,FALSE)),""))</f>
        <v>718878025352</v>
      </c>
      <c r="L215" s="47">
        <f>(IF((VLOOKUP(Table2[[#This Row],[SKU]],'All Skus'!$A:$AC,2,FALSE))="AMX",(VLOOKUP(Table2[[#This Row],[SKU]],'All Skus'!$A:$AC,17,FALSE)),""))</f>
        <v>0</v>
      </c>
      <c r="M215" s="63">
        <f>(IF((VLOOKUP(Table2[[#This Row],[SKU]],'All Skus'!$A:$AC,2,FALSE))="AMX",(VLOOKUP(Table2[[#This Row],[SKU]],'All Skus'!$A:$AC,18,FALSE)),""))</f>
        <v>3.58</v>
      </c>
      <c r="N215" s="47">
        <f>(IF((VLOOKUP(Table2[[#This Row],[SKU]],'All Skus'!$A:$AC,2,FALSE))="AMX",(VLOOKUP(Table2[[#This Row],[SKU]],'All Skus'!$A:$AC,19,FALSE)),""))</f>
        <v>10.571</v>
      </c>
      <c r="O215" s="47">
        <f>(IF((VLOOKUP(Table2[[#This Row],[SKU]],'All Skus'!$A:$AC,2,FALSE))="AMX",(VLOOKUP(Table2[[#This Row],[SKU]],'All Skus'!$A:$AC,20,FALSE)),""))</f>
        <v>6.5259999999999998</v>
      </c>
      <c r="P215" s="47">
        <f>(IF((VLOOKUP(Table2[[#This Row],[SKU]],'All Skus'!$A:$AC,2,FALSE))="AMX",(VLOOKUP(Table2[[#This Row],[SKU]],'All Skus'!$A:$AC,21,FALSE)),""))</f>
        <v>4.5670000000000002</v>
      </c>
      <c r="Q215" s="47" t="str">
        <f>(IF((VLOOKUP(Table2[[#This Row],[SKU]],'All Skus'!$A:$AC,2,FALSE))="AMX",(VLOOKUP(Table2[[#This Row],[SKU]],'All Skus'!$A:$AC,22,FALSE)),""))</f>
        <v>MX</v>
      </c>
      <c r="R215" s="47" t="str">
        <f>(IF((VLOOKUP(Table2[[#This Row],[SKU]],'All Skus'!$A:$AC,2,FALSE))="AMX",(VLOOKUP(Table2[[#This Row],[SKU]],'All Skus'!$A:$AC,23,FALSE)),""))</f>
        <v>Compliant</v>
      </c>
      <c r="S215" s="210" t="str">
        <f>HYPERLINK((IF((VLOOKUP(Table2[[#This Row],[SKU]],'All Skus'!$A:$AC,2,FALSE))="AMX",(VLOOKUP(Table2[[#This Row],[SKU]],'All Skus'!$A:$AC,24,FALSE)),"")))</f>
        <v>https://www.amx.com/en-US/products/hpx-msp-7</v>
      </c>
      <c r="T215" s="151">
        <v>213</v>
      </c>
    </row>
    <row r="216" spans="1:20" ht="15" hidden="1" customHeight="1">
      <c r="A216" s="48" t="s">
        <v>725</v>
      </c>
      <c r="B216" s="280" t="str">
        <f>(IF((VLOOKUP(Table2[[#This Row],[SKU]],'All Skus'!$A:$AC,2,FALSE))="AMX",(VLOOKUP(Table2[[#This Row],[SKU]],'All Skus'!$A:$AC,3,FALSE)),""))</f>
        <v>Architectural Connectivity</v>
      </c>
      <c r="C216" s="280" t="str">
        <f>(IF((VLOOKUP(Table2[[#This Row],[SKU]],'All Skus'!$A:$AC,2,FALSE))="AMX",(VLOOKUP(Table2[[#This Row],[SKU]],'All Skus'!$A:$AC,4,FALSE)),""))</f>
        <v>HPX-MSP-10-SL</v>
      </c>
      <c r="D216" s="47" t="str">
        <f>(IF((VLOOKUP(Table2[[#This Row],[SKU]],'All Skus'!$A:$AC,2,FALSE))="AMX",(VLOOKUP(Table2[[#This Row],[SKU]],'All Skus'!$A:$AC,5,FALSE)),""))</f>
        <v>AMX-ENV</v>
      </c>
      <c r="E216" s="291" t="str">
        <f>(IF((VLOOKUP(Table2[[#This Row],[SKU]],'All Skus'!$A:$AC,2,FALSE))="AMX",(VLOOKUP(Table2[[#This Row],[SKU]],'All Skus'!$A:$AC,7,FALSE)),""))</f>
        <v>Limited Quantity - REDUCED</v>
      </c>
      <c r="F216" s="280" t="str">
        <f>(IF((VLOOKUP(Table2[[#This Row],[SKU]],'All Skus'!$A:$AC,2,FALSE))="AMX",(VLOOKUP(Table2[[#This Row],[SKU]],'All Skus'!$A:$AC,8,FALSE)),""))</f>
        <v>Hydraport with 10" touch panel SILVER</v>
      </c>
      <c r="G216" s="280" t="str">
        <f>(IF((VLOOKUP(Table2[[#This Row],[SKU]],'All Skus'!$A:$AC,2,FALSE))="AMX",(VLOOKUP(Table2[[#This Row],[SKU]],'All Skus'!$A:$AC,9,FALSE)),""))</f>
        <v>Hydraport Touch Connection Port with 10" Panel, Silver; 10 module connection port with Modero S Series Touch Panel built into the cover</v>
      </c>
      <c r="H216" s="157">
        <f>(IF((VLOOKUP(Table2[[#This Row],[SKU]],'All Skus'!$A:$AC,2,FALSE))="AMX",(VLOOKUP(Table2[[#This Row],[SKU]],'All Skus'!$A:$AC,10,FALSE)),""))</f>
        <v>4138.7</v>
      </c>
      <c r="I216" s="157">
        <f>(IF((VLOOKUP(Table2[[#This Row],[SKU]],'All Skus'!$A:$AC,2,FALSE))="AMX",(VLOOKUP(Table2[[#This Row],[SKU]],'All Skus'!$A:$AC,11,FALSE)),""))</f>
        <v>2410.92</v>
      </c>
      <c r="J216" s="47">
        <f>(IF((VLOOKUP(Table2[[#This Row],[SKU]],'All Skus'!$A:$AC,2,FALSE))="AMX",(VLOOKUP(Table2[[#This Row],[SKU]],'All Skus'!$A:$AC,15,FALSE)),""))</f>
        <v>0</v>
      </c>
      <c r="K216" s="47">
        <f>(IF((VLOOKUP(Table2[[#This Row],[SKU]],'All Skus'!$A:$AC,2,FALSE))="AMX",(VLOOKUP(Table2[[#This Row],[SKU]],'All Skus'!$A:$AC,16,FALSE)),""))</f>
        <v>718878025369</v>
      </c>
      <c r="L216" s="47">
        <f>(IF((VLOOKUP(Table2[[#This Row],[SKU]],'All Skus'!$A:$AC,2,FALSE))="AMX",(VLOOKUP(Table2[[#This Row],[SKU]],'All Skus'!$A:$AC,17,FALSE)),""))</f>
        <v>0</v>
      </c>
      <c r="M216" s="63">
        <f>(IF((VLOOKUP(Table2[[#This Row],[SKU]],'All Skus'!$A:$AC,2,FALSE))="AMX",(VLOOKUP(Table2[[#This Row],[SKU]],'All Skus'!$A:$AC,18,FALSE)),""))</f>
        <v>5.75</v>
      </c>
      <c r="N216" s="47">
        <f>(IF((VLOOKUP(Table2[[#This Row],[SKU]],'All Skus'!$A:$AC,2,FALSE))="AMX",(VLOOKUP(Table2[[#This Row],[SKU]],'All Skus'!$A:$AC,19,FALSE)),""))</f>
        <v>13.221</v>
      </c>
      <c r="O216" s="47">
        <f>(IF((VLOOKUP(Table2[[#This Row],[SKU]],'All Skus'!$A:$AC,2,FALSE))="AMX",(VLOOKUP(Table2[[#This Row],[SKU]],'All Skus'!$A:$AC,20,FALSE)),""))</f>
        <v>8.4879999999999995</v>
      </c>
      <c r="P216" s="47">
        <f>(IF((VLOOKUP(Table2[[#This Row],[SKU]],'All Skus'!$A:$AC,2,FALSE))="AMX",(VLOOKUP(Table2[[#This Row],[SKU]],'All Skus'!$A:$AC,21,FALSE)),""))</f>
        <v>4.5670000000000002</v>
      </c>
      <c r="Q216" s="47" t="str">
        <f>(IF((VLOOKUP(Table2[[#This Row],[SKU]],'All Skus'!$A:$AC,2,FALSE))="AMX",(VLOOKUP(Table2[[#This Row],[SKU]],'All Skus'!$A:$AC,22,FALSE)),""))</f>
        <v>MX</v>
      </c>
      <c r="R216" s="47" t="str">
        <f>(IF((VLOOKUP(Table2[[#This Row],[SKU]],'All Skus'!$A:$AC,2,FALSE))="AMX",(VLOOKUP(Table2[[#This Row],[SKU]],'All Skus'!$A:$AC,23,FALSE)),""))</f>
        <v>Compliant</v>
      </c>
      <c r="S216" s="210" t="str">
        <f>HYPERLINK((IF((VLOOKUP(Table2[[#This Row],[SKU]],'All Skus'!$A:$AC,2,FALSE))="AMX",(VLOOKUP(Table2[[#This Row],[SKU]],'All Skus'!$A:$AC,24,FALSE)),"")))</f>
        <v>https://www.amx.com/en-US/products/hpx-msp-10</v>
      </c>
      <c r="T216" s="151">
        <v>214</v>
      </c>
    </row>
    <row r="217" spans="1:20" ht="15" hidden="1" customHeight="1">
      <c r="A217" s="48" t="s">
        <v>726</v>
      </c>
      <c r="B217" s="280" t="str">
        <f>(IF((VLOOKUP(Table2[[#This Row],[SKU]],'All Skus'!$A:$AC,2,FALSE))="AMX",(VLOOKUP(Table2[[#This Row],[SKU]],'All Skus'!$A:$AC,3,FALSE)),""))</f>
        <v>Architectural Connectivity</v>
      </c>
      <c r="C217" s="280" t="str">
        <f>(IF((VLOOKUP(Table2[[#This Row],[SKU]],'All Skus'!$A:$AC,2,FALSE))="AMX",(VLOOKUP(Table2[[#This Row],[SKU]],'All Skus'!$A:$AC,4,FALSE)),""))</f>
        <v>HPX-MSP-10-BL</v>
      </c>
      <c r="D217" s="47" t="str">
        <f>(IF((VLOOKUP(Table2[[#This Row],[SKU]],'All Skus'!$A:$AC,2,FALSE))="AMX",(VLOOKUP(Table2[[#This Row],[SKU]],'All Skus'!$A:$AC,5,FALSE)),""))</f>
        <v>AMX-ENV</v>
      </c>
      <c r="E217" s="291" t="str">
        <f>(IF((VLOOKUP(Table2[[#This Row],[SKU]],'All Skus'!$A:$AC,2,FALSE))="AMX",(VLOOKUP(Table2[[#This Row],[SKU]],'All Skus'!$A:$AC,7,FALSE)),""))</f>
        <v>Limited Quantity - REDUCED</v>
      </c>
      <c r="F217" s="280" t="str">
        <f>(IF((VLOOKUP(Table2[[#This Row],[SKU]],'All Skus'!$A:$AC,2,FALSE))="AMX",(VLOOKUP(Table2[[#This Row],[SKU]],'All Skus'!$A:$AC,8,FALSE)),""))</f>
        <v>Hydraport with 10" touch panel BLACK</v>
      </c>
      <c r="G217" s="280" t="str">
        <f>(IF((VLOOKUP(Table2[[#This Row],[SKU]],'All Skus'!$A:$AC,2,FALSE))="AMX",(VLOOKUP(Table2[[#This Row],[SKU]],'All Skus'!$A:$AC,9,FALSE)),""))</f>
        <v>Hydraport Touch Connection Port with 10" Panel, Black; 10 module connection port with Modero S Series Touch Panel built into the cover</v>
      </c>
      <c r="H217" s="157">
        <f>(IF((VLOOKUP(Table2[[#This Row],[SKU]],'All Skus'!$A:$AC,2,FALSE))="AMX",(VLOOKUP(Table2[[#This Row],[SKU]],'All Skus'!$A:$AC,10,FALSE)),""))</f>
        <v>4138.7</v>
      </c>
      <c r="I217" s="157">
        <f>(IF((VLOOKUP(Table2[[#This Row],[SKU]],'All Skus'!$A:$AC,2,FALSE))="AMX",(VLOOKUP(Table2[[#This Row],[SKU]],'All Skus'!$A:$AC,11,FALSE)),""))</f>
        <v>2410.92</v>
      </c>
      <c r="J217" s="47">
        <f>(IF((VLOOKUP(Table2[[#This Row],[SKU]],'All Skus'!$A:$AC,2,FALSE))="AMX",(VLOOKUP(Table2[[#This Row],[SKU]],'All Skus'!$A:$AC,15,FALSE)),""))</f>
        <v>0</v>
      </c>
      <c r="K217" s="47">
        <f>(IF((VLOOKUP(Table2[[#This Row],[SKU]],'All Skus'!$A:$AC,2,FALSE))="AMX",(VLOOKUP(Table2[[#This Row],[SKU]],'All Skus'!$A:$AC,16,FALSE)),""))</f>
        <v>718878025376</v>
      </c>
      <c r="L217" s="47">
        <f>(IF((VLOOKUP(Table2[[#This Row],[SKU]],'All Skus'!$A:$AC,2,FALSE))="AMX",(VLOOKUP(Table2[[#This Row],[SKU]],'All Skus'!$A:$AC,17,FALSE)),""))</f>
        <v>0</v>
      </c>
      <c r="M217" s="63">
        <f>(IF((VLOOKUP(Table2[[#This Row],[SKU]],'All Skus'!$A:$AC,2,FALSE))="AMX",(VLOOKUP(Table2[[#This Row],[SKU]],'All Skus'!$A:$AC,18,FALSE)),""))</f>
        <v>5.75</v>
      </c>
      <c r="N217" s="47">
        <f>(IF((VLOOKUP(Table2[[#This Row],[SKU]],'All Skus'!$A:$AC,2,FALSE))="AMX",(VLOOKUP(Table2[[#This Row],[SKU]],'All Skus'!$A:$AC,19,FALSE)),""))</f>
        <v>13.221</v>
      </c>
      <c r="O217" s="47">
        <f>(IF((VLOOKUP(Table2[[#This Row],[SKU]],'All Skus'!$A:$AC,2,FALSE))="AMX",(VLOOKUP(Table2[[#This Row],[SKU]],'All Skus'!$A:$AC,20,FALSE)),""))</f>
        <v>8.4879999999999995</v>
      </c>
      <c r="P217" s="47">
        <f>(IF((VLOOKUP(Table2[[#This Row],[SKU]],'All Skus'!$A:$AC,2,FALSE))="AMX",(VLOOKUP(Table2[[#This Row],[SKU]],'All Skus'!$A:$AC,21,FALSE)),""))</f>
        <v>4.5670000000000002</v>
      </c>
      <c r="Q217" s="47" t="str">
        <f>(IF((VLOOKUP(Table2[[#This Row],[SKU]],'All Skus'!$A:$AC,2,FALSE))="AMX",(VLOOKUP(Table2[[#This Row],[SKU]],'All Skus'!$A:$AC,22,FALSE)),""))</f>
        <v>MX</v>
      </c>
      <c r="R217" s="47" t="str">
        <f>(IF((VLOOKUP(Table2[[#This Row],[SKU]],'All Skus'!$A:$AC,2,FALSE))="AMX",(VLOOKUP(Table2[[#This Row],[SKU]],'All Skus'!$A:$AC,23,FALSE)),""))</f>
        <v>Compliant</v>
      </c>
      <c r="S217" s="210" t="str">
        <f>HYPERLINK((IF((VLOOKUP(Table2[[#This Row],[SKU]],'All Skus'!$A:$AC,2,FALSE))="AMX",(VLOOKUP(Table2[[#This Row],[SKU]],'All Skus'!$A:$AC,24,FALSE)),"")))</f>
        <v>https://www.amx.com/en-US/products/hpx-msp-10</v>
      </c>
      <c r="T217" s="151">
        <v>215</v>
      </c>
    </row>
    <row r="218" spans="1:20" ht="15" hidden="1" customHeight="1">
      <c r="A218" s="48" t="s">
        <v>727</v>
      </c>
      <c r="B218" s="280" t="str">
        <f>(IF((VLOOKUP(Table2[[#This Row],[SKU]],'All Skus'!$A:$AC,2,FALSE))="AMX",(VLOOKUP(Table2[[#This Row],[SKU]],'All Skus'!$A:$AC,3,FALSE)),""))</f>
        <v>Keypads</v>
      </c>
      <c r="C218" s="280" t="str">
        <f>(IF((VLOOKUP(Table2[[#This Row],[SKU]],'All Skus'!$A:$AC,2,FALSE))="AMX",(VLOOKUP(Table2[[#This Row],[SKU]],'All Skus'!$A:$AC,4,FALSE)),""))</f>
        <v>MET-6NE-BL</v>
      </c>
      <c r="D218" s="47" t="str">
        <f>(IF((VLOOKUP(Table2[[#This Row],[SKU]],'All Skus'!$A:$AC,2,FALSE))="AMX",(VLOOKUP(Table2[[#This Row],[SKU]],'All Skus'!$A:$AC,5,FALSE)),""))</f>
        <v>AMX-UI</v>
      </c>
      <c r="E218" s="281">
        <f>(IF((VLOOKUP(Table2[[#This Row],[SKU]],'All Skus'!$A:$AC,2,FALSE))="AMX",(VLOOKUP(Table2[[#This Row],[SKU]],'All Skus'!$A:$AC,7,FALSE)),""))</f>
        <v>0</v>
      </c>
      <c r="F218" s="280" t="str">
        <f>(IF((VLOOKUP(Table2[[#This Row],[SKU]],'All Skus'!$A:$AC,2,FALSE))="AMX",(VLOOKUP(Table2[[#This Row],[SKU]],'All Skus'!$A:$AC,8,FALSE)),""))</f>
        <v>Metreau Keypad 6-button nav wheel BLACK</v>
      </c>
      <c r="G218" s="280" t="str">
        <f>(IF((VLOOKUP(Table2[[#This Row],[SKU]],'All Skus'!$A:$AC,2,FALSE))="AMX",(VLOOKUP(Table2[[#This Row],[SKU]],'All Skus'!$A:$AC,9,FALSE)),""))</f>
        <v>Metreau 6-Button Ethernet Keypad with Navigation, Install in Decora-style wallplates, Black</v>
      </c>
      <c r="H218" s="157">
        <f>(IF((VLOOKUP(Table2[[#This Row],[SKU]],'All Skus'!$A:$AC,2,FALSE))="AMX",(VLOOKUP(Table2[[#This Row],[SKU]],'All Skus'!$A:$AC,10,FALSE)),""))</f>
        <v>468.2</v>
      </c>
      <c r="I218" s="157">
        <f>(IF((VLOOKUP(Table2[[#This Row],[SKU]],'All Skus'!$A:$AC,2,FALSE))="AMX",(VLOOKUP(Table2[[#This Row],[SKU]],'All Skus'!$A:$AC,11,FALSE)),""))</f>
        <v>468.2</v>
      </c>
      <c r="J218" s="47">
        <f>(IF((VLOOKUP(Table2[[#This Row],[SKU]],'All Skus'!$A:$AC,2,FALSE))="AMX",(VLOOKUP(Table2[[#This Row],[SKU]],'All Skus'!$A:$AC,15,FALSE)),""))</f>
        <v>0</v>
      </c>
      <c r="K218" s="47">
        <f>(IF((VLOOKUP(Table2[[#This Row],[SKU]],'All Skus'!$A:$AC,2,FALSE))="AMX",(VLOOKUP(Table2[[#This Row],[SKU]],'All Skus'!$A:$AC,16,FALSE)),""))</f>
        <v>718878025383</v>
      </c>
      <c r="L218" s="47">
        <f>(IF((VLOOKUP(Table2[[#This Row],[SKU]],'All Skus'!$A:$AC,2,FALSE))="AMX",(VLOOKUP(Table2[[#This Row],[SKU]],'All Skus'!$A:$AC,17,FALSE)),""))</f>
        <v>0</v>
      </c>
      <c r="M218" s="63">
        <f>(IF((VLOOKUP(Table2[[#This Row],[SKU]],'All Skus'!$A:$AC,2,FALSE))="AMX",(VLOOKUP(Table2[[#This Row],[SKU]],'All Skus'!$A:$AC,18,FALSE)),""))</f>
        <v>0.35</v>
      </c>
      <c r="N218" s="47">
        <f>(IF((VLOOKUP(Table2[[#This Row],[SKU]],'All Skus'!$A:$AC,2,FALSE))="AMX",(VLOOKUP(Table2[[#This Row],[SKU]],'All Skus'!$A:$AC,19,FALSE)),""))</f>
        <v>4</v>
      </c>
      <c r="O218" s="47">
        <f>(IF((VLOOKUP(Table2[[#This Row],[SKU]],'All Skus'!$A:$AC,2,FALSE))="AMX",(VLOOKUP(Table2[[#This Row],[SKU]],'All Skus'!$A:$AC,20,FALSE)),""))</f>
        <v>1.75</v>
      </c>
      <c r="P218" s="47">
        <f>(IF((VLOOKUP(Table2[[#This Row],[SKU]],'All Skus'!$A:$AC,2,FALSE))="AMX",(VLOOKUP(Table2[[#This Row],[SKU]],'All Skus'!$A:$AC,21,FALSE)),""))</f>
        <v>1</v>
      </c>
      <c r="Q218" s="47" t="str">
        <f>(IF((VLOOKUP(Table2[[#This Row],[SKU]],'All Skus'!$A:$AC,2,FALSE))="AMX",(VLOOKUP(Table2[[#This Row],[SKU]],'All Skus'!$A:$AC,22,FALSE)),""))</f>
        <v>MX</v>
      </c>
      <c r="R218" s="47" t="str">
        <f>(IF((VLOOKUP(Table2[[#This Row],[SKU]],'All Skus'!$A:$AC,2,FALSE))="AMX",(VLOOKUP(Table2[[#This Row],[SKU]],'All Skus'!$A:$AC,23,FALSE)),""))</f>
        <v>Compliant</v>
      </c>
      <c r="S218" s="210" t="str">
        <f>HYPERLINK((IF((VLOOKUP(Table2[[#This Row],[SKU]],'All Skus'!$A:$AC,2,FALSE))="AMX",(VLOOKUP(Table2[[#This Row],[SKU]],'All Skus'!$A:$AC,24,FALSE)),"")))</f>
        <v>https://www.amx.com/en-US/products/met-6ne</v>
      </c>
      <c r="T218" s="151">
        <v>216</v>
      </c>
    </row>
    <row r="219" spans="1:20" ht="15" hidden="1" customHeight="1">
      <c r="A219" s="48" t="s">
        <v>728</v>
      </c>
      <c r="B219" s="280" t="str">
        <f>(IF((VLOOKUP(Table2[[#This Row],[SKU]],'All Skus'!$A:$AC,2,FALSE))="AMX",(VLOOKUP(Table2[[#This Row],[SKU]],'All Skus'!$A:$AC,3,FALSE)),""))</f>
        <v>Keypads</v>
      </c>
      <c r="C219" s="280" t="str">
        <f>(IF((VLOOKUP(Table2[[#This Row],[SKU]],'All Skus'!$A:$AC,2,FALSE))="AMX",(VLOOKUP(Table2[[#This Row],[SKU]],'All Skus'!$A:$AC,4,FALSE)),""))</f>
        <v>MET-6NE-WH</v>
      </c>
      <c r="D219" s="47" t="str">
        <f>(IF((VLOOKUP(Table2[[#This Row],[SKU]],'All Skus'!$A:$AC,2,FALSE))="AMX",(VLOOKUP(Table2[[#This Row],[SKU]],'All Skus'!$A:$AC,5,FALSE)),""))</f>
        <v>AMX-UI</v>
      </c>
      <c r="E219" s="281">
        <f>(IF((VLOOKUP(Table2[[#This Row],[SKU]],'All Skus'!$A:$AC,2,FALSE))="AMX",(VLOOKUP(Table2[[#This Row],[SKU]],'All Skus'!$A:$AC,7,FALSE)),""))</f>
        <v>0</v>
      </c>
      <c r="F219" s="280" t="str">
        <f>(IF((VLOOKUP(Table2[[#This Row],[SKU]],'All Skus'!$A:$AC,2,FALSE))="AMX",(VLOOKUP(Table2[[#This Row],[SKU]],'All Skus'!$A:$AC,8,FALSE)),""))</f>
        <v>Metreau Keypad 6-button nav wheel WHITE</v>
      </c>
      <c r="G219" s="280" t="str">
        <f>(IF((VLOOKUP(Table2[[#This Row],[SKU]],'All Skus'!$A:$AC,2,FALSE))="AMX",(VLOOKUP(Table2[[#This Row],[SKU]],'All Skus'!$A:$AC,9,FALSE)),""))</f>
        <v>Metreau 6-Button Ethernet Keypad with Navigation, Install in Decora-style wallplates, White</v>
      </c>
      <c r="H219" s="157">
        <f>(IF((VLOOKUP(Table2[[#This Row],[SKU]],'All Skus'!$A:$AC,2,FALSE))="AMX",(VLOOKUP(Table2[[#This Row],[SKU]],'All Skus'!$A:$AC,10,FALSE)),""))</f>
        <v>468.2</v>
      </c>
      <c r="I219" s="157">
        <f>(IF((VLOOKUP(Table2[[#This Row],[SKU]],'All Skus'!$A:$AC,2,FALSE))="AMX",(VLOOKUP(Table2[[#This Row],[SKU]],'All Skus'!$A:$AC,11,FALSE)),""))</f>
        <v>468.2</v>
      </c>
      <c r="J219" s="47">
        <f>(IF((VLOOKUP(Table2[[#This Row],[SKU]],'All Skus'!$A:$AC,2,FALSE))="AMX",(VLOOKUP(Table2[[#This Row],[SKU]],'All Skus'!$A:$AC,15,FALSE)),""))</f>
        <v>0</v>
      </c>
      <c r="K219" s="47">
        <f>(IF((VLOOKUP(Table2[[#This Row],[SKU]],'All Skus'!$A:$AC,2,FALSE))="AMX",(VLOOKUP(Table2[[#This Row],[SKU]],'All Skus'!$A:$AC,16,FALSE)),""))</f>
        <v>718878025390</v>
      </c>
      <c r="L219" s="47">
        <f>(IF((VLOOKUP(Table2[[#This Row],[SKU]],'All Skus'!$A:$AC,2,FALSE))="AMX",(VLOOKUP(Table2[[#This Row],[SKU]],'All Skus'!$A:$AC,17,FALSE)),""))</f>
        <v>0</v>
      </c>
      <c r="M219" s="63">
        <f>(IF((VLOOKUP(Table2[[#This Row],[SKU]],'All Skus'!$A:$AC,2,FALSE))="AMX",(VLOOKUP(Table2[[#This Row],[SKU]],'All Skus'!$A:$AC,18,FALSE)),""))</f>
        <v>0.35</v>
      </c>
      <c r="N219" s="47">
        <f>(IF((VLOOKUP(Table2[[#This Row],[SKU]],'All Skus'!$A:$AC,2,FALSE))="AMX",(VLOOKUP(Table2[[#This Row],[SKU]],'All Skus'!$A:$AC,19,FALSE)),""))</f>
        <v>4</v>
      </c>
      <c r="O219" s="47">
        <f>(IF((VLOOKUP(Table2[[#This Row],[SKU]],'All Skus'!$A:$AC,2,FALSE))="AMX",(VLOOKUP(Table2[[#This Row],[SKU]],'All Skus'!$A:$AC,20,FALSE)),""))</f>
        <v>1.75</v>
      </c>
      <c r="P219" s="47">
        <f>(IF((VLOOKUP(Table2[[#This Row],[SKU]],'All Skus'!$A:$AC,2,FALSE))="AMX",(VLOOKUP(Table2[[#This Row],[SKU]],'All Skus'!$A:$AC,21,FALSE)),""))</f>
        <v>1</v>
      </c>
      <c r="Q219" s="47" t="str">
        <f>(IF((VLOOKUP(Table2[[#This Row],[SKU]],'All Skus'!$A:$AC,2,FALSE))="AMX",(VLOOKUP(Table2[[#This Row],[SKU]],'All Skus'!$A:$AC,22,FALSE)),""))</f>
        <v>MX</v>
      </c>
      <c r="R219" s="47" t="str">
        <f>(IF((VLOOKUP(Table2[[#This Row],[SKU]],'All Skus'!$A:$AC,2,FALSE))="AMX",(VLOOKUP(Table2[[#This Row],[SKU]],'All Skus'!$A:$AC,23,FALSE)),""))</f>
        <v>Compliant</v>
      </c>
      <c r="S219" s="210" t="str">
        <f>HYPERLINK((IF((VLOOKUP(Table2[[#This Row],[SKU]],'All Skus'!$A:$AC,2,FALSE))="AMX",(VLOOKUP(Table2[[#This Row],[SKU]],'All Skus'!$A:$AC,24,FALSE)),"")))</f>
        <v>https://www.amx.com/en-US/products/met-6ne</v>
      </c>
      <c r="T219" s="151">
        <v>217</v>
      </c>
    </row>
    <row r="220" spans="1:20" ht="15" hidden="1" customHeight="1">
      <c r="A220" s="48" t="s">
        <v>729</v>
      </c>
      <c r="B220" s="280" t="str">
        <f>(IF((VLOOKUP(Table2[[#This Row],[SKU]],'All Skus'!$A:$AC,2,FALSE))="AMX",(VLOOKUP(Table2[[#This Row],[SKU]],'All Skus'!$A:$AC,3,FALSE)),""))</f>
        <v>Keypads</v>
      </c>
      <c r="C220" s="280" t="str">
        <f>(IF((VLOOKUP(Table2[[#This Row],[SKU]],'All Skus'!$A:$AC,2,FALSE))="AMX",(VLOOKUP(Table2[[#This Row],[SKU]],'All Skus'!$A:$AC,4,FALSE)),""))</f>
        <v>MET-13E-BL</v>
      </c>
      <c r="D220" s="47" t="str">
        <f>(IF((VLOOKUP(Table2[[#This Row],[SKU]],'All Skus'!$A:$AC,2,FALSE))="AMX",(VLOOKUP(Table2[[#This Row],[SKU]],'All Skus'!$A:$AC,5,FALSE)),""))</f>
        <v>AMX-UI</v>
      </c>
      <c r="E220" s="281">
        <f>(IF((VLOOKUP(Table2[[#This Row],[SKU]],'All Skus'!$A:$AC,2,FALSE))="AMX",(VLOOKUP(Table2[[#This Row],[SKU]],'All Skus'!$A:$AC,7,FALSE)),""))</f>
        <v>0</v>
      </c>
      <c r="F220" s="280" t="str">
        <f>(IF((VLOOKUP(Table2[[#This Row],[SKU]],'All Skus'!$A:$AC,2,FALSE))="AMX",(VLOOKUP(Table2[[#This Row],[SKU]],'All Skus'!$A:$AC,8,FALSE)),""))</f>
        <v>Metreau Keypad 13-button BLACK</v>
      </c>
      <c r="G220" s="280" t="str">
        <f>(IF((VLOOKUP(Table2[[#This Row],[SKU]],'All Skus'!$A:$AC,2,FALSE))="AMX",(VLOOKUP(Table2[[#This Row],[SKU]],'All Skus'!$A:$AC,9,FALSE)),""))</f>
        <v>Metreau 13-Button Ethernet Keypad, Install in Decora-style wallplates, Black</v>
      </c>
      <c r="H220" s="157">
        <f>(IF((VLOOKUP(Table2[[#This Row],[SKU]],'All Skus'!$A:$AC,2,FALSE))="AMX",(VLOOKUP(Table2[[#This Row],[SKU]],'All Skus'!$A:$AC,10,FALSE)),""))</f>
        <v>444.2</v>
      </c>
      <c r="I220" s="157">
        <f>(IF((VLOOKUP(Table2[[#This Row],[SKU]],'All Skus'!$A:$AC,2,FALSE))="AMX",(VLOOKUP(Table2[[#This Row],[SKU]],'All Skus'!$A:$AC,11,FALSE)),""))</f>
        <v>444.2</v>
      </c>
      <c r="J220" s="47">
        <f>(IF((VLOOKUP(Table2[[#This Row],[SKU]],'All Skus'!$A:$AC,2,FALSE))="AMX",(VLOOKUP(Table2[[#This Row],[SKU]],'All Skus'!$A:$AC,15,FALSE)),""))</f>
        <v>0</v>
      </c>
      <c r="K220" s="47">
        <f>(IF((VLOOKUP(Table2[[#This Row],[SKU]],'All Skus'!$A:$AC,2,FALSE))="AMX",(VLOOKUP(Table2[[#This Row],[SKU]],'All Skus'!$A:$AC,16,FALSE)),""))</f>
        <v>718878025406</v>
      </c>
      <c r="L220" s="47">
        <f>(IF((VLOOKUP(Table2[[#This Row],[SKU]],'All Skus'!$A:$AC,2,FALSE))="AMX",(VLOOKUP(Table2[[#This Row],[SKU]],'All Skus'!$A:$AC,17,FALSE)),""))</f>
        <v>0</v>
      </c>
      <c r="M220" s="63">
        <f>(IF((VLOOKUP(Table2[[#This Row],[SKU]],'All Skus'!$A:$AC,2,FALSE))="AMX",(VLOOKUP(Table2[[#This Row],[SKU]],'All Skus'!$A:$AC,18,FALSE)),""))</f>
        <v>0.35</v>
      </c>
      <c r="N220" s="47">
        <f>(IF((VLOOKUP(Table2[[#This Row],[SKU]],'All Skus'!$A:$AC,2,FALSE))="AMX",(VLOOKUP(Table2[[#This Row],[SKU]],'All Skus'!$A:$AC,19,FALSE)),""))</f>
        <v>4</v>
      </c>
      <c r="O220" s="47">
        <f>(IF((VLOOKUP(Table2[[#This Row],[SKU]],'All Skus'!$A:$AC,2,FALSE))="AMX",(VLOOKUP(Table2[[#This Row],[SKU]],'All Skus'!$A:$AC,20,FALSE)),""))</f>
        <v>1.75</v>
      </c>
      <c r="P220" s="47">
        <f>(IF((VLOOKUP(Table2[[#This Row],[SKU]],'All Skus'!$A:$AC,2,FALSE))="AMX",(VLOOKUP(Table2[[#This Row],[SKU]],'All Skus'!$A:$AC,21,FALSE)),""))</f>
        <v>1</v>
      </c>
      <c r="Q220" s="47" t="str">
        <f>(IF((VLOOKUP(Table2[[#This Row],[SKU]],'All Skus'!$A:$AC,2,FALSE))="AMX",(VLOOKUP(Table2[[#This Row],[SKU]],'All Skus'!$A:$AC,22,FALSE)),""))</f>
        <v>MX</v>
      </c>
      <c r="R220" s="47" t="str">
        <f>(IF((VLOOKUP(Table2[[#This Row],[SKU]],'All Skus'!$A:$AC,2,FALSE))="AMX",(VLOOKUP(Table2[[#This Row],[SKU]],'All Skus'!$A:$AC,23,FALSE)),""))</f>
        <v>Compliant</v>
      </c>
      <c r="S220" s="210" t="str">
        <f>HYPERLINK((IF((VLOOKUP(Table2[[#This Row],[SKU]],'All Skus'!$A:$AC,2,FALSE))="AMX",(VLOOKUP(Table2[[#This Row],[SKU]],'All Skus'!$A:$AC,24,FALSE)),"")))</f>
        <v>https://www.amx.com/en-US/products/met-13e</v>
      </c>
      <c r="T220" s="151">
        <v>218</v>
      </c>
    </row>
    <row r="221" spans="1:20" ht="15" hidden="1" customHeight="1">
      <c r="A221" s="48" t="s">
        <v>730</v>
      </c>
      <c r="B221" s="280" t="str">
        <f>(IF((VLOOKUP(Table2[[#This Row],[SKU]],'All Skus'!$A:$AC,2,FALSE))="AMX",(VLOOKUP(Table2[[#This Row],[SKU]],'All Skus'!$A:$AC,3,FALSE)),""))</f>
        <v>Keypads</v>
      </c>
      <c r="C221" s="280" t="str">
        <f>(IF((VLOOKUP(Table2[[#This Row],[SKU]],'All Skus'!$A:$AC,2,FALSE))="AMX",(VLOOKUP(Table2[[#This Row],[SKU]],'All Skus'!$A:$AC,4,FALSE)),""))</f>
        <v>MET-13E-WH</v>
      </c>
      <c r="D221" s="47" t="str">
        <f>(IF((VLOOKUP(Table2[[#This Row],[SKU]],'All Skus'!$A:$AC,2,FALSE))="AMX",(VLOOKUP(Table2[[#This Row],[SKU]],'All Skus'!$A:$AC,5,FALSE)),""))</f>
        <v>AMX-UI</v>
      </c>
      <c r="E221" s="281">
        <f>(IF((VLOOKUP(Table2[[#This Row],[SKU]],'All Skus'!$A:$AC,2,FALSE))="AMX",(VLOOKUP(Table2[[#This Row],[SKU]],'All Skus'!$A:$AC,7,FALSE)),""))</f>
        <v>0</v>
      </c>
      <c r="F221" s="280" t="str">
        <f>(IF((VLOOKUP(Table2[[#This Row],[SKU]],'All Skus'!$A:$AC,2,FALSE))="AMX",(VLOOKUP(Table2[[#This Row],[SKU]],'All Skus'!$A:$AC,8,FALSE)),""))</f>
        <v>Metreau Keypad 13-button WHITE</v>
      </c>
      <c r="G221" s="280" t="str">
        <f>(IF((VLOOKUP(Table2[[#This Row],[SKU]],'All Skus'!$A:$AC,2,FALSE))="AMX",(VLOOKUP(Table2[[#This Row],[SKU]],'All Skus'!$A:$AC,9,FALSE)),""))</f>
        <v>Metreau 13-Button Ethernet Keypad, Install in Decora-style wallplates, White</v>
      </c>
      <c r="H221" s="157">
        <f>(IF((VLOOKUP(Table2[[#This Row],[SKU]],'All Skus'!$A:$AC,2,FALSE))="AMX",(VLOOKUP(Table2[[#This Row],[SKU]],'All Skus'!$A:$AC,10,FALSE)),""))</f>
        <v>444.2</v>
      </c>
      <c r="I221" s="157">
        <f>(IF((VLOOKUP(Table2[[#This Row],[SKU]],'All Skus'!$A:$AC,2,FALSE))="AMX",(VLOOKUP(Table2[[#This Row],[SKU]],'All Skus'!$A:$AC,11,FALSE)),""))</f>
        <v>444.2</v>
      </c>
      <c r="J221" s="47">
        <f>(IF((VLOOKUP(Table2[[#This Row],[SKU]],'All Skus'!$A:$AC,2,FALSE))="AMX",(VLOOKUP(Table2[[#This Row],[SKU]],'All Skus'!$A:$AC,15,FALSE)),""))</f>
        <v>0</v>
      </c>
      <c r="K221" s="47">
        <f>(IF((VLOOKUP(Table2[[#This Row],[SKU]],'All Skus'!$A:$AC,2,FALSE))="AMX",(VLOOKUP(Table2[[#This Row],[SKU]],'All Skus'!$A:$AC,16,FALSE)),""))</f>
        <v>718878022764</v>
      </c>
      <c r="L221" s="47">
        <f>(IF((VLOOKUP(Table2[[#This Row],[SKU]],'All Skus'!$A:$AC,2,FALSE))="AMX",(VLOOKUP(Table2[[#This Row],[SKU]],'All Skus'!$A:$AC,17,FALSE)),""))</f>
        <v>0</v>
      </c>
      <c r="M221" s="63">
        <f>(IF((VLOOKUP(Table2[[#This Row],[SKU]],'All Skus'!$A:$AC,2,FALSE))="AMX",(VLOOKUP(Table2[[#This Row],[SKU]],'All Skus'!$A:$AC,18,FALSE)),""))</f>
        <v>0.35</v>
      </c>
      <c r="N221" s="47">
        <f>(IF((VLOOKUP(Table2[[#This Row],[SKU]],'All Skus'!$A:$AC,2,FALSE))="AMX",(VLOOKUP(Table2[[#This Row],[SKU]],'All Skus'!$A:$AC,19,FALSE)),""))</f>
        <v>4</v>
      </c>
      <c r="O221" s="47">
        <f>(IF((VLOOKUP(Table2[[#This Row],[SKU]],'All Skus'!$A:$AC,2,FALSE))="AMX",(VLOOKUP(Table2[[#This Row],[SKU]],'All Skus'!$A:$AC,20,FALSE)),""))</f>
        <v>1.75</v>
      </c>
      <c r="P221" s="47">
        <f>(IF((VLOOKUP(Table2[[#This Row],[SKU]],'All Skus'!$A:$AC,2,FALSE))="AMX",(VLOOKUP(Table2[[#This Row],[SKU]],'All Skus'!$A:$AC,21,FALSE)),""))</f>
        <v>1</v>
      </c>
      <c r="Q221" s="47" t="str">
        <f>(IF((VLOOKUP(Table2[[#This Row],[SKU]],'All Skus'!$A:$AC,2,FALSE))="AMX",(VLOOKUP(Table2[[#This Row],[SKU]],'All Skus'!$A:$AC,22,FALSE)),""))</f>
        <v>MX</v>
      </c>
      <c r="R221" s="47" t="str">
        <f>(IF((VLOOKUP(Table2[[#This Row],[SKU]],'All Skus'!$A:$AC,2,FALSE))="AMX",(VLOOKUP(Table2[[#This Row],[SKU]],'All Skus'!$A:$AC,23,FALSE)),""))</f>
        <v>Compliant</v>
      </c>
      <c r="S221" s="210" t="str">
        <f>HYPERLINK((IF((VLOOKUP(Table2[[#This Row],[SKU]],'All Skus'!$A:$AC,2,FALSE))="AMX",(VLOOKUP(Table2[[#This Row],[SKU]],'All Skus'!$A:$AC,24,FALSE)),"")))</f>
        <v>https://www.amx.com/en-US/products/met-13e</v>
      </c>
      <c r="T221" s="151">
        <v>219</v>
      </c>
    </row>
    <row r="222" spans="1:20" ht="15" hidden="1" customHeight="1">
      <c r="A222" s="48" t="s">
        <v>731</v>
      </c>
      <c r="B222" s="280" t="str">
        <f>(IF((VLOOKUP(Table2[[#This Row],[SKU]],'All Skus'!$A:$AC,2,FALSE))="AMX",(VLOOKUP(Table2[[#This Row],[SKU]],'All Skus'!$A:$AC,3,FALSE)),""))</f>
        <v>Keypads</v>
      </c>
      <c r="C222" s="280" t="str">
        <f>(IF((VLOOKUP(Table2[[#This Row],[SKU]],'All Skus'!$A:$AC,2,FALSE))="AMX",(VLOOKUP(Table2[[#This Row],[SKU]],'All Skus'!$A:$AC,4,FALSE)),""))</f>
        <v>MET-7E-BL</v>
      </c>
      <c r="D222" s="47" t="str">
        <f>(IF((VLOOKUP(Table2[[#This Row],[SKU]],'All Skus'!$A:$AC,2,FALSE))="AMX",(VLOOKUP(Table2[[#This Row],[SKU]],'All Skus'!$A:$AC,5,FALSE)),""))</f>
        <v>AMX-UI</v>
      </c>
      <c r="E222" s="281">
        <f>(IF((VLOOKUP(Table2[[#This Row],[SKU]],'All Skus'!$A:$AC,2,FALSE))="AMX",(VLOOKUP(Table2[[#This Row],[SKU]],'All Skus'!$A:$AC,7,FALSE)),""))</f>
        <v>0</v>
      </c>
      <c r="F222" s="280" t="str">
        <f>(IF((VLOOKUP(Table2[[#This Row],[SKU]],'All Skus'!$A:$AC,2,FALSE))="AMX",(VLOOKUP(Table2[[#This Row],[SKU]],'All Skus'!$A:$AC,8,FALSE)),""))</f>
        <v>Metreau Keypad 7-button BLACK</v>
      </c>
      <c r="G222" s="280" t="str">
        <f>(IF((VLOOKUP(Table2[[#This Row],[SKU]],'All Skus'!$A:$AC,2,FALSE))="AMX",(VLOOKUP(Table2[[#This Row],[SKU]],'All Skus'!$A:$AC,9,FALSE)),""))</f>
        <v>Metreau 7-Button Ethernet Keypad, Install in Decora-style wallplates, Black</v>
      </c>
      <c r="H222" s="157">
        <f>(IF((VLOOKUP(Table2[[#This Row],[SKU]],'All Skus'!$A:$AC,2,FALSE))="AMX",(VLOOKUP(Table2[[#This Row],[SKU]],'All Skus'!$A:$AC,10,FALSE)),""))</f>
        <v>444.2</v>
      </c>
      <c r="I222" s="157">
        <f>(IF((VLOOKUP(Table2[[#This Row],[SKU]],'All Skus'!$A:$AC,2,FALSE))="AMX",(VLOOKUP(Table2[[#This Row],[SKU]],'All Skus'!$A:$AC,11,FALSE)),""))</f>
        <v>444.2</v>
      </c>
      <c r="J222" s="47">
        <f>(IF((VLOOKUP(Table2[[#This Row],[SKU]],'All Skus'!$A:$AC,2,FALSE))="AMX",(VLOOKUP(Table2[[#This Row],[SKU]],'All Skus'!$A:$AC,15,FALSE)),""))</f>
        <v>0</v>
      </c>
      <c r="K222" s="47">
        <f>(IF((VLOOKUP(Table2[[#This Row],[SKU]],'All Skus'!$A:$AC,2,FALSE))="AMX",(VLOOKUP(Table2[[#This Row],[SKU]],'All Skus'!$A:$AC,16,FALSE)),""))</f>
        <v>718878025413</v>
      </c>
      <c r="L222" s="47">
        <f>(IF((VLOOKUP(Table2[[#This Row],[SKU]],'All Skus'!$A:$AC,2,FALSE))="AMX",(VLOOKUP(Table2[[#This Row],[SKU]],'All Skus'!$A:$AC,17,FALSE)),""))</f>
        <v>0</v>
      </c>
      <c r="M222" s="63">
        <f>(IF((VLOOKUP(Table2[[#This Row],[SKU]],'All Skus'!$A:$AC,2,FALSE))="AMX",(VLOOKUP(Table2[[#This Row],[SKU]],'All Skus'!$A:$AC,18,FALSE)),""))</f>
        <v>0.35</v>
      </c>
      <c r="N222" s="47">
        <f>(IF((VLOOKUP(Table2[[#This Row],[SKU]],'All Skus'!$A:$AC,2,FALSE))="AMX",(VLOOKUP(Table2[[#This Row],[SKU]],'All Skus'!$A:$AC,19,FALSE)),""))</f>
        <v>4</v>
      </c>
      <c r="O222" s="47">
        <f>(IF((VLOOKUP(Table2[[#This Row],[SKU]],'All Skus'!$A:$AC,2,FALSE))="AMX",(VLOOKUP(Table2[[#This Row],[SKU]],'All Skus'!$A:$AC,20,FALSE)),""))</f>
        <v>1.75</v>
      </c>
      <c r="P222" s="47">
        <f>(IF((VLOOKUP(Table2[[#This Row],[SKU]],'All Skus'!$A:$AC,2,FALSE))="AMX",(VLOOKUP(Table2[[#This Row],[SKU]],'All Skus'!$A:$AC,21,FALSE)),""))</f>
        <v>1</v>
      </c>
      <c r="Q222" s="47" t="str">
        <f>(IF((VLOOKUP(Table2[[#This Row],[SKU]],'All Skus'!$A:$AC,2,FALSE))="AMX",(VLOOKUP(Table2[[#This Row],[SKU]],'All Skus'!$A:$AC,22,FALSE)),""))</f>
        <v>MX</v>
      </c>
      <c r="R222" s="47" t="str">
        <f>(IF((VLOOKUP(Table2[[#This Row],[SKU]],'All Skus'!$A:$AC,2,FALSE))="AMX",(VLOOKUP(Table2[[#This Row],[SKU]],'All Skus'!$A:$AC,23,FALSE)),""))</f>
        <v>Compliant</v>
      </c>
      <c r="S222" s="210" t="str">
        <f>HYPERLINK((IF((VLOOKUP(Table2[[#This Row],[SKU]],'All Skus'!$A:$AC,2,FALSE))="AMX",(VLOOKUP(Table2[[#This Row],[SKU]],'All Skus'!$A:$AC,24,FALSE)),"")))</f>
        <v>https://www.amx.com/en-US/products/met-7e</v>
      </c>
      <c r="T222" s="151">
        <v>220</v>
      </c>
    </row>
    <row r="223" spans="1:20" ht="15" hidden="1" customHeight="1">
      <c r="A223" s="48" t="s">
        <v>732</v>
      </c>
      <c r="B223" s="280" t="str">
        <f>(IF((VLOOKUP(Table2[[#This Row],[SKU]],'All Skus'!$A:$AC,2,FALSE))="AMX",(VLOOKUP(Table2[[#This Row],[SKU]],'All Skus'!$A:$AC,3,FALSE)),""))</f>
        <v>Keypads</v>
      </c>
      <c r="C223" s="280" t="str">
        <f>(IF((VLOOKUP(Table2[[#This Row],[SKU]],'All Skus'!$A:$AC,2,FALSE))="AMX",(VLOOKUP(Table2[[#This Row],[SKU]],'All Skus'!$A:$AC,4,FALSE)),""))</f>
        <v>MET-7E-WH</v>
      </c>
      <c r="D223" s="47" t="str">
        <f>(IF((VLOOKUP(Table2[[#This Row],[SKU]],'All Skus'!$A:$AC,2,FALSE))="AMX",(VLOOKUP(Table2[[#This Row],[SKU]],'All Skus'!$A:$AC,5,FALSE)),""))</f>
        <v>AMX-UI</v>
      </c>
      <c r="E223" s="281">
        <f>(IF((VLOOKUP(Table2[[#This Row],[SKU]],'All Skus'!$A:$AC,2,FALSE))="AMX",(VLOOKUP(Table2[[#This Row],[SKU]],'All Skus'!$A:$AC,7,FALSE)),""))</f>
        <v>0</v>
      </c>
      <c r="F223" s="280" t="str">
        <f>(IF((VLOOKUP(Table2[[#This Row],[SKU]],'All Skus'!$A:$AC,2,FALSE))="AMX",(VLOOKUP(Table2[[#This Row],[SKU]],'All Skus'!$A:$AC,8,FALSE)),""))</f>
        <v>Metreau Keypad 7-button WHITE</v>
      </c>
      <c r="G223" s="280" t="str">
        <f>(IF((VLOOKUP(Table2[[#This Row],[SKU]],'All Skus'!$A:$AC,2,FALSE))="AMX",(VLOOKUP(Table2[[#This Row],[SKU]],'All Skus'!$A:$AC,9,FALSE)),""))</f>
        <v>Metreau 7-Button Ethernet Keypad, Install in Decora-style wallplates, White</v>
      </c>
      <c r="H223" s="157">
        <f>(IF((VLOOKUP(Table2[[#This Row],[SKU]],'All Skus'!$A:$AC,2,FALSE))="AMX",(VLOOKUP(Table2[[#This Row],[SKU]],'All Skus'!$A:$AC,10,FALSE)),""))</f>
        <v>444.2</v>
      </c>
      <c r="I223" s="157">
        <f>(IF((VLOOKUP(Table2[[#This Row],[SKU]],'All Skus'!$A:$AC,2,FALSE))="AMX",(VLOOKUP(Table2[[#This Row],[SKU]],'All Skus'!$A:$AC,11,FALSE)),""))</f>
        <v>444.2</v>
      </c>
      <c r="J223" s="47">
        <f>(IF((VLOOKUP(Table2[[#This Row],[SKU]],'All Skus'!$A:$AC,2,FALSE))="AMX",(VLOOKUP(Table2[[#This Row],[SKU]],'All Skus'!$A:$AC,15,FALSE)),""))</f>
        <v>0</v>
      </c>
      <c r="K223" s="47">
        <f>(IF((VLOOKUP(Table2[[#This Row],[SKU]],'All Skus'!$A:$AC,2,FALSE))="AMX",(VLOOKUP(Table2[[#This Row],[SKU]],'All Skus'!$A:$AC,16,FALSE)),""))</f>
        <v>718878025420</v>
      </c>
      <c r="L223" s="47">
        <f>(IF((VLOOKUP(Table2[[#This Row],[SKU]],'All Skus'!$A:$AC,2,FALSE))="AMX",(VLOOKUP(Table2[[#This Row],[SKU]],'All Skus'!$A:$AC,17,FALSE)),""))</f>
        <v>0</v>
      </c>
      <c r="M223" s="63">
        <f>(IF((VLOOKUP(Table2[[#This Row],[SKU]],'All Skus'!$A:$AC,2,FALSE))="AMX",(VLOOKUP(Table2[[#This Row],[SKU]],'All Skus'!$A:$AC,18,FALSE)),""))</f>
        <v>0.35</v>
      </c>
      <c r="N223" s="47">
        <f>(IF((VLOOKUP(Table2[[#This Row],[SKU]],'All Skus'!$A:$AC,2,FALSE))="AMX",(VLOOKUP(Table2[[#This Row],[SKU]],'All Skus'!$A:$AC,19,FALSE)),""))</f>
        <v>4</v>
      </c>
      <c r="O223" s="47">
        <f>(IF((VLOOKUP(Table2[[#This Row],[SKU]],'All Skus'!$A:$AC,2,FALSE))="AMX",(VLOOKUP(Table2[[#This Row],[SKU]],'All Skus'!$A:$AC,20,FALSE)),""))</f>
        <v>1.75</v>
      </c>
      <c r="P223" s="47">
        <f>(IF((VLOOKUP(Table2[[#This Row],[SKU]],'All Skus'!$A:$AC,2,FALSE))="AMX",(VLOOKUP(Table2[[#This Row],[SKU]],'All Skus'!$A:$AC,21,FALSE)),""))</f>
        <v>1</v>
      </c>
      <c r="Q223" s="47" t="str">
        <f>(IF((VLOOKUP(Table2[[#This Row],[SKU]],'All Skus'!$A:$AC,2,FALSE))="AMX",(VLOOKUP(Table2[[#This Row],[SKU]],'All Skus'!$A:$AC,22,FALSE)),""))</f>
        <v>MX</v>
      </c>
      <c r="R223" s="47" t="str">
        <f>(IF((VLOOKUP(Table2[[#This Row],[SKU]],'All Skus'!$A:$AC,2,FALSE))="AMX",(VLOOKUP(Table2[[#This Row],[SKU]],'All Skus'!$A:$AC,23,FALSE)),""))</f>
        <v>Compliant</v>
      </c>
      <c r="S223" s="210" t="str">
        <f>HYPERLINK((IF((VLOOKUP(Table2[[#This Row],[SKU]],'All Skus'!$A:$AC,2,FALSE))="AMX",(VLOOKUP(Table2[[#This Row],[SKU]],'All Skus'!$A:$AC,24,FALSE)),"")))</f>
        <v>https://www.amx.com/en-US/products/met-7e</v>
      </c>
      <c r="T223" s="151">
        <v>221</v>
      </c>
    </row>
    <row r="224" spans="1:20" ht="15" hidden="1" customHeight="1">
      <c r="A224" s="48" t="s">
        <v>733</v>
      </c>
      <c r="B224" s="280" t="str">
        <f>(IF((VLOOKUP(Table2[[#This Row],[SKU]],'All Skus'!$A:$AC,2,FALSE))="AMX",(VLOOKUP(Table2[[#This Row],[SKU]],'All Skus'!$A:$AC,3,FALSE)),""))</f>
        <v>Keypads</v>
      </c>
      <c r="C224" s="280" t="str">
        <f>(IF((VLOOKUP(Table2[[#This Row],[SKU]],'All Skus'!$A:$AC,2,FALSE))="AMX",(VLOOKUP(Table2[[#This Row],[SKU]],'All Skus'!$A:$AC,4,FALSE)),""))</f>
        <v>MKP-106L-BL</v>
      </c>
      <c r="D224" s="47" t="str">
        <f>(IF((VLOOKUP(Table2[[#This Row],[SKU]],'All Skus'!$A:$AC,2,FALSE))="AMX",(VLOOKUP(Table2[[#This Row],[SKU]],'All Skus'!$A:$AC,5,FALSE)),""))</f>
        <v>AMX-UI</v>
      </c>
      <c r="E224" s="281">
        <f>(IF((VLOOKUP(Table2[[#This Row],[SKU]],'All Skus'!$A:$AC,2,FALSE))="AMX",(VLOOKUP(Table2[[#This Row],[SKU]],'All Skus'!$A:$AC,7,FALSE)),""))</f>
        <v>0</v>
      </c>
      <c r="F224" s="280" t="str">
        <f>(IF((VLOOKUP(Table2[[#This Row],[SKU]],'All Skus'!$A:$AC,2,FALSE))="AMX",(VLOOKUP(Table2[[#This Row],[SKU]],'All Skus'!$A:$AC,8,FALSE)),""))</f>
        <v>Massio Keypad 6-button landscape BLACK</v>
      </c>
      <c r="G224" s="280" t="str">
        <f>(IF((VLOOKUP(Table2[[#This Row],[SKU]],'All Skus'!$A:$AC,2,FALSE))="AMX",(VLOOKUP(Table2[[#This Row],[SKU]],'All Skus'!$A:$AC,9,FALSE)),""))</f>
        <v>Massio 6-Button Ethernet Keypad, Landscape, Black - Fits into standard 1 gang US, UK, or EU back box. Use in conjunction with NetLinx control or as a secondary UI with Massio ControlPads</v>
      </c>
      <c r="H224" s="157">
        <f>(IF((VLOOKUP(Table2[[#This Row],[SKU]],'All Skus'!$A:$AC,2,FALSE))="AMX",(VLOOKUP(Table2[[#This Row],[SKU]],'All Skus'!$A:$AC,10,FALSE)),""))</f>
        <v>560.20000000000005</v>
      </c>
      <c r="I224" s="157">
        <f>(IF((VLOOKUP(Table2[[#This Row],[SKU]],'All Skus'!$A:$AC,2,FALSE))="AMX",(VLOOKUP(Table2[[#This Row],[SKU]],'All Skus'!$A:$AC,11,FALSE)),""))</f>
        <v>560.20000000000005</v>
      </c>
      <c r="J224" s="47">
        <f>(IF((VLOOKUP(Table2[[#This Row],[SKU]],'All Skus'!$A:$AC,2,FALSE))="AMX",(VLOOKUP(Table2[[#This Row],[SKU]],'All Skus'!$A:$AC,15,FALSE)),""))</f>
        <v>0</v>
      </c>
      <c r="K224" s="47">
        <f>(IF((VLOOKUP(Table2[[#This Row],[SKU]],'All Skus'!$A:$AC,2,FALSE))="AMX",(VLOOKUP(Table2[[#This Row],[SKU]],'All Skus'!$A:$AC,16,FALSE)),""))</f>
        <v>718878025437</v>
      </c>
      <c r="L224" s="47">
        <f>(IF((VLOOKUP(Table2[[#This Row],[SKU]],'All Skus'!$A:$AC,2,FALSE))="AMX",(VLOOKUP(Table2[[#This Row],[SKU]],'All Skus'!$A:$AC,17,FALSE)),""))</f>
        <v>0</v>
      </c>
      <c r="M224" s="63">
        <f>(IF((VLOOKUP(Table2[[#This Row],[SKU]],'All Skus'!$A:$AC,2,FALSE))="AMX",(VLOOKUP(Table2[[#This Row],[SKU]],'All Skus'!$A:$AC,18,FALSE)),""))</f>
        <v>0.25</v>
      </c>
      <c r="N224" s="47">
        <f>(IF((VLOOKUP(Table2[[#This Row],[SKU]],'All Skus'!$A:$AC,2,FALSE))="AMX",(VLOOKUP(Table2[[#This Row],[SKU]],'All Skus'!$A:$AC,19,FALSE)),""))</f>
        <v>3.4375</v>
      </c>
      <c r="O224" s="47">
        <f>(IF((VLOOKUP(Table2[[#This Row],[SKU]],'All Skus'!$A:$AC,2,FALSE))="AMX",(VLOOKUP(Table2[[#This Row],[SKU]],'All Skus'!$A:$AC,20,FALSE)),""))</f>
        <v>4.6875</v>
      </c>
      <c r="P224" s="47">
        <f>(IF((VLOOKUP(Table2[[#This Row],[SKU]],'All Skus'!$A:$AC,2,FALSE))="AMX",(VLOOKUP(Table2[[#This Row],[SKU]],'All Skus'!$A:$AC,21,FALSE)),""))</f>
        <v>0.5625</v>
      </c>
      <c r="Q224" s="47" t="str">
        <f>(IF((VLOOKUP(Table2[[#This Row],[SKU]],'All Skus'!$A:$AC,2,FALSE))="AMX",(VLOOKUP(Table2[[#This Row],[SKU]],'All Skus'!$A:$AC,22,FALSE)),""))</f>
        <v>MX</v>
      </c>
      <c r="R224" s="47" t="str">
        <f>(IF((VLOOKUP(Table2[[#This Row],[SKU]],'All Skus'!$A:$AC,2,FALSE))="AMX",(VLOOKUP(Table2[[#This Row],[SKU]],'All Skus'!$A:$AC,23,FALSE)),""))</f>
        <v>Compliant</v>
      </c>
      <c r="S224" s="210" t="str">
        <f>HYPERLINK((IF((VLOOKUP(Table2[[#This Row],[SKU]],'All Skus'!$A:$AC,2,FALSE))="AMX",(VLOOKUP(Table2[[#This Row],[SKU]],'All Skus'!$A:$AC,24,FALSE)),"")))</f>
        <v>https://www.amx.com/en-US/products/mkp-106</v>
      </c>
      <c r="T224" s="151">
        <v>222</v>
      </c>
    </row>
    <row r="225" spans="1:20" ht="15" hidden="1" customHeight="1">
      <c r="A225" s="48" t="s">
        <v>734</v>
      </c>
      <c r="B225" s="280" t="str">
        <f>(IF((VLOOKUP(Table2[[#This Row],[SKU]],'All Skus'!$A:$AC,2,FALSE))="AMX",(VLOOKUP(Table2[[#This Row],[SKU]],'All Skus'!$A:$AC,3,FALSE)),""))</f>
        <v>Keypads</v>
      </c>
      <c r="C225" s="280" t="str">
        <f>(IF((VLOOKUP(Table2[[#This Row],[SKU]],'All Skus'!$A:$AC,2,FALSE))="AMX",(VLOOKUP(Table2[[#This Row],[SKU]],'All Skus'!$A:$AC,4,FALSE)),""))</f>
        <v>MKP-106L-WH</v>
      </c>
      <c r="D225" s="47" t="str">
        <f>(IF((VLOOKUP(Table2[[#This Row],[SKU]],'All Skus'!$A:$AC,2,FALSE))="AMX",(VLOOKUP(Table2[[#This Row],[SKU]],'All Skus'!$A:$AC,5,FALSE)),""))</f>
        <v>AMX-UI</v>
      </c>
      <c r="E225" s="281">
        <f>(IF((VLOOKUP(Table2[[#This Row],[SKU]],'All Skus'!$A:$AC,2,FALSE))="AMX",(VLOOKUP(Table2[[#This Row],[SKU]],'All Skus'!$A:$AC,7,FALSE)),""))</f>
        <v>0</v>
      </c>
      <c r="F225" s="280" t="str">
        <f>(IF((VLOOKUP(Table2[[#This Row],[SKU]],'All Skus'!$A:$AC,2,FALSE))="AMX",(VLOOKUP(Table2[[#This Row],[SKU]],'All Skus'!$A:$AC,8,FALSE)),""))</f>
        <v>Massio Keypad 6-button landscape WHITE</v>
      </c>
      <c r="G225" s="280" t="str">
        <f>(IF((VLOOKUP(Table2[[#This Row],[SKU]],'All Skus'!$A:$AC,2,FALSE))="AMX",(VLOOKUP(Table2[[#This Row],[SKU]],'All Skus'!$A:$AC,9,FALSE)),""))</f>
        <v>Massio 6-Button Ethernet Keypad, Landscape, White - Fits into standard 1 gang US, UK, or EU back box. Use in conjunction with NetLinx control or as a secondary UI with Massio ControlPads</v>
      </c>
      <c r="H225" s="157">
        <f>(IF((VLOOKUP(Table2[[#This Row],[SKU]],'All Skus'!$A:$AC,2,FALSE))="AMX",(VLOOKUP(Table2[[#This Row],[SKU]],'All Skus'!$A:$AC,10,FALSE)),""))</f>
        <v>560.20000000000005</v>
      </c>
      <c r="I225" s="157">
        <f>(IF((VLOOKUP(Table2[[#This Row],[SKU]],'All Skus'!$A:$AC,2,FALSE))="AMX",(VLOOKUP(Table2[[#This Row],[SKU]],'All Skus'!$A:$AC,11,FALSE)),""))</f>
        <v>560.20000000000005</v>
      </c>
      <c r="J225" s="47">
        <f>(IF((VLOOKUP(Table2[[#This Row],[SKU]],'All Skus'!$A:$AC,2,FALSE))="AMX",(VLOOKUP(Table2[[#This Row],[SKU]],'All Skus'!$A:$AC,15,FALSE)),""))</f>
        <v>0</v>
      </c>
      <c r="K225" s="47">
        <f>(IF((VLOOKUP(Table2[[#This Row],[SKU]],'All Skus'!$A:$AC,2,FALSE))="AMX",(VLOOKUP(Table2[[#This Row],[SKU]],'All Skus'!$A:$AC,16,FALSE)),""))</f>
        <v>718878025444</v>
      </c>
      <c r="L225" s="47">
        <f>(IF((VLOOKUP(Table2[[#This Row],[SKU]],'All Skus'!$A:$AC,2,FALSE))="AMX",(VLOOKUP(Table2[[#This Row],[SKU]],'All Skus'!$A:$AC,17,FALSE)),""))</f>
        <v>0</v>
      </c>
      <c r="M225" s="63">
        <f>(IF((VLOOKUP(Table2[[#This Row],[SKU]],'All Skus'!$A:$AC,2,FALSE))="AMX",(VLOOKUP(Table2[[#This Row],[SKU]],'All Skus'!$A:$AC,18,FALSE)),""))</f>
        <v>0.25</v>
      </c>
      <c r="N225" s="47">
        <f>(IF((VLOOKUP(Table2[[#This Row],[SKU]],'All Skus'!$A:$AC,2,FALSE))="AMX",(VLOOKUP(Table2[[#This Row],[SKU]],'All Skus'!$A:$AC,19,FALSE)),""))</f>
        <v>3.4375</v>
      </c>
      <c r="O225" s="47">
        <f>(IF((VLOOKUP(Table2[[#This Row],[SKU]],'All Skus'!$A:$AC,2,FALSE))="AMX",(VLOOKUP(Table2[[#This Row],[SKU]],'All Skus'!$A:$AC,20,FALSE)),""))</f>
        <v>4.6875</v>
      </c>
      <c r="P225" s="47">
        <f>(IF((VLOOKUP(Table2[[#This Row],[SKU]],'All Skus'!$A:$AC,2,FALSE))="AMX",(VLOOKUP(Table2[[#This Row],[SKU]],'All Skus'!$A:$AC,21,FALSE)),""))</f>
        <v>0.5625</v>
      </c>
      <c r="Q225" s="47" t="str">
        <f>(IF((VLOOKUP(Table2[[#This Row],[SKU]],'All Skus'!$A:$AC,2,FALSE))="AMX",(VLOOKUP(Table2[[#This Row],[SKU]],'All Skus'!$A:$AC,22,FALSE)),""))</f>
        <v>MX</v>
      </c>
      <c r="R225" s="47" t="str">
        <f>(IF((VLOOKUP(Table2[[#This Row],[SKU]],'All Skus'!$A:$AC,2,FALSE))="AMX",(VLOOKUP(Table2[[#This Row],[SKU]],'All Skus'!$A:$AC,23,FALSE)),""))</f>
        <v>Compliant</v>
      </c>
      <c r="S225" s="210" t="str">
        <f>HYPERLINK((IF((VLOOKUP(Table2[[#This Row],[SKU]],'All Skus'!$A:$AC,2,FALSE))="AMX",(VLOOKUP(Table2[[#This Row],[SKU]],'All Skus'!$A:$AC,24,FALSE)),"")))</f>
        <v>https://www.amx.com/en-US/products/mkp-106</v>
      </c>
      <c r="T225" s="151">
        <v>223</v>
      </c>
    </row>
    <row r="226" spans="1:20" ht="15" hidden="1" customHeight="1">
      <c r="A226" s="48" t="s">
        <v>735</v>
      </c>
      <c r="B226" s="280" t="str">
        <f>(IF((VLOOKUP(Table2[[#This Row],[SKU]],'All Skus'!$A:$AC,2,FALSE))="AMX",(VLOOKUP(Table2[[#This Row],[SKU]],'All Skus'!$A:$AC,3,FALSE)),""))</f>
        <v>Keypads</v>
      </c>
      <c r="C226" s="280" t="str">
        <f>(IF((VLOOKUP(Table2[[#This Row],[SKU]],'All Skus'!$A:$AC,2,FALSE))="AMX",(VLOOKUP(Table2[[#This Row],[SKU]],'All Skus'!$A:$AC,4,FALSE)),""))</f>
        <v>MKP-106P-BL</v>
      </c>
      <c r="D226" s="47" t="str">
        <f>(IF((VLOOKUP(Table2[[#This Row],[SKU]],'All Skus'!$A:$AC,2,FALSE))="AMX",(VLOOKUP(Table2[[#This Row],[SKU]],'All Skus'!$A:$AC,5,FALSE)),""))</f>
        <v>AMX-UI</v>
      </c>
      <c r="E226" s="281">
        <f>(IF((VLOOKUP(Table2[[#This Row],[SKU]],'All Skus'!$A:$AC,2,FALSE))="AMX",(VLOOKUP(Table2[[#This Row],[SKU]],'All Skus'!$A:$AC,7,FALSE)),""))</f>
        <v>0</v>
      </c>
      <c r="F226" s="280" t="str">
        <f>(IF((VLOOKUP(Table2[[#This Row],[SKU]],'All Skus'!$A:$AC,2,FALSE))="AMX",(VLOOKUP(Table2[[#This Row],[SKU]],'All Skus'!$A:$AC,8,FALSE)),""))</f>
        <v>Massio Keypad 6-button portrait BLACK</v>
      </c>
      <c r="G226" s="280" t="str">
        <f>(IF((VLOOKUP(Table2[[#This Row],[SKU]],'All Skus'!$A:$AC,2,FALSE))="AMX",(VLOOKUP(Table2[[#This Row],[SKU]],'All Skus'!$A:$AC,9,FALSE)),""))</f>
        <v>Massio 6-Button Ethernet Keypad, Portrait, Black - Fits into standard 1 gang US, UK, or EU back box. Use in conjunction with NetLinx control or as a secondary UI with Massio ControlPads</v>
      </c>
      <c r="H226" s="157">
        <f>(IF((VLOOKUP(Table2[[#This Row],[SKU]],'All Skus'!$A:$AC,2,FALSE))="AMX",(VLOOKUP(Table2[[#This Row],[SKU]],'All Skus'!$A:$AC,10,FALSE)),""))</f>
        <v>560.20000000000005</v>
      </c>
      <c r="I226" s="157">
        <f>(IF((VLOOKUP(Table2[[#This Row],[SKU]],'All Skus'!$A:$AC,2,FALSE))="AMX",(VLOOKUP(Table2[[#This Row],[SKU]],'All Skus'!$A:$AC,11,FALSE)),""))</f>
        <v>560.20000000000005</v>
      </c>
      <c r="J226" s="47">
        <f>(IF((VLOOKUP(Table2[[#This Row],[SKU]],'All Skus'!$A:$AC,2,FALSE))="AMX",(VLOOKUP(Table2[[#This Row],[SKU]],'All Skus'!$A:$AC,15,FALSE)),""))</f>
        <v>0</v>
      </c>
      <c r="K226" s="47">
        <f>(IF((VLOOKUP(Table2[[#This Row],[SKU]],'All Skus'!$A:$AC,2,FALSE))="AMX",(VLOOKUP(Table2[[#This Row],[SKU]],'All Skus'!$A:$AC,16,FALSE)),""))</f>
        <v>718878025451</v>
      </c>
      <c r="L226" s="47">
        <f>(IF((VLOOKUP(Table2[[#This Row],[SKU]],'All Skus'!$A:$AC,2,FALSE))="AMX",(VLOOKUP(Table2[[#This Row],[SKU]],'All Skus'!$A:$AC,17,FALSE)),""))</f>
        <v>0</v>
      </c>
      <c r="M226" s="63">
        <f>(IF((VLOOKUP(Table2[[#This Row],[SKU]],'All Skus'!$A:$AC,2,FALSE))="AMX",(VLOOKUP(Table2[[#This Row],[SKU]],'All Skus'!$A:$AC,18,FALSE)),""))</f>
        <v>0.25</v>
      </c>
      <c r="N226" s="47">
        <f>(IF((VLOOKUP(Table2[[#This Row],[SKU]],'All Skus'!$A:$AC,2,FALSE))="AMX",(VLOOKUP(Table2[[#This Row],[SKU]],'All Skus'!$A:$AC,19,FALSE)),""))</f>
        <v>4.6875</v>
      </c>
      <c r="O226" s="47">
        <f>(IF((VLOOKUP(Table2[[#This Row],[SKU]],'All Skus'!$A:$AC,2,FALSE))="AMX",(VLOOKUP(Table2[[#This Row],[SKU]],'All Skus'!$A:$AC,20,FALSE)),""))</f>
        <v>3.4375</v>
      </c>
      <c r="P226" s="47">
        <f>(IF((VLOOKUP(Table2[[#This Row],[SKU]],'All Skus'!$A:$AC,2,FALSE))="AMX",(VLOOKUP(Table2[[#This Row],[SKU]],'All Skus'!$A:$AC,21,FALSE)),""))</f>
        <v>0.5625</v>
      </c>
      <c r="Q226" s="47" t="str">
        <f>(IF((VLOOKUP(Table2[[#This Row],[SKU]],'All Skus'!$A:$AC,2,FALSE))="AMX",(VLOOKUP(Table2[[#This Row],[SKU]],'All Skus'!$A:$AC,22,FALSE)),""))</f>
        <v>MX</v>
      </c>
      <c r="R226" s="47" t="str">
        <f>(IF((VLOOKUP(Table2[[#This Row],[SKU]],'All Skus'!$A:$AC,2,FALSE))="AMX",(VLOOKUP(Table2[[#This Row],[SKU]],'All Skus'!$A:$AC,23,FALSE)),""))</f>
        <v>Compliant</v>
      </c>
      <c r="S226" s="210" t="str">
        <f>HYPERLINK((IF((VLOOKUP(Table2[[#This Row],[SKU]],'All Skus'!$A:$AC,2,FALSE))="AMX",(VLOOKUP(Table2[[#This Row],[SKU]],'All Skus'!$A:$AC,24,FALSE)),"")))</f>
        <v>https://www.amx.com/en-US/products/mkp-106</v>
      </c>
      <c r="T226" s="151">
        <v>224</v>
      </c>
    </row>
    <row r="227" spans="1:20" ht="15" hidden="1" customHeight="1">
      <c r="A227" s="48" t="s">
        <v>736</v>
      </c>
      <c r="B227" s="280" t="str">
        <f>(IF((VLOOKUP(Table2[[#This Row],[SKU]],'All Skus'!$A:$AC,2,FALSE))="AMX",(VLOOKUP(Table2[[#This Row],[SKU]],'All Skus'!$A:$AC,3,FALSE)),""))</f>
        <v>Keypads</v>
      </c>
      <c r="C227" s="280" t="str">
        <f>(IF((VLOOKUP(Table2[[#This Row],[SKU]],'All Skus'!$A:$AC,2,FALSE))="AMX",(VLOOKUP(Table2[[#This Row],[SKU]],'All Skus'!$A:$AC,4,FALSE)),""))</f>
        <v>MKP-106P-WH</v>
      </c>
      <c r="D227" s="47" t="str">
        <f>(IF((VLOOKUP(Table2[[#This Row],[SKU]],'All Skus'!$A:$AC,2,FALSE))="AMX",(VLOOKUP(Table2[[#This Row],[SKU]],'All Skus'!$A:$AC,5,FALSE)),""))</f>
        <v>AMX-UI</v>
      </c>
      <c r="E227" s="281">
        <f>(IF((VLOOKUP(Table2[[#This Row],[SKU]],'All Skus'!$A:$AC,2,FALSE))="AMX",(VLOOKUP(Table2[[#This Row],[SKU]],'All Skus'!$A:$AC,7,FALSE)),""))</f>
        <v>0</v>
      </c>
      <c r="F227" s="280" t="str">
        <f>(IF((VLOOKUP(Table2[[#This Row],[SKU]],'All Skus'!$A:$AC,2,FALSE))="AMX",(VLOOKUP(Table2[[#This Row],[SKU]],'All Skus'!$A:$AC,8,FALSE)),""))</f>
        <v>Massio Keypad 6-button portrait WHITE</v>
      </c>
      <c r="G227" s="280" t="str">
        <f>(IF((VLOOKUP(Table2[[#This Row],[SKU]],'All Skus'!$A:$AC,2,FALSE))="AMX",(VLOOKUP(Table2[[#This Row],[SKU]],'All Skus'!$A:$AC,9,FALSE)),""))</f>
        <v>Massio 6-Button Ethernet Keypad, Portrait, White - Fits into standard 1 gang US, UK, or EU back box. Use in conjunction with NetLinx control or as a secondary UI with Massio ControlPads</v>
      </c>
      <c r="H227" s="157">
        <f>(IF((VLOOKUP(Table2[[#This Row],[SKU]],'All Skus'!$A:$AC,2,FALSE))="AMX",(VLOOKUP(Table2[[#This Row],[SKU]],'All Skus'!$A:$AC,10,FALSE)),""))</f>
        <v>560.20000000000005</v>
      </c>
      <c r="I227" s="157">
        <f>(IF((VLOOKUP(Table2[[#This Row],[SKU]],'All Skus'!$A:$AC,2,FALSE))="AMX",(VLOOKUP(Table2[[#This Row],[SKU]],'All Skus'!$A:$AC,11,FALSE)),""))</f>
        <v>560.20000000000005</v>
      </c>
      <c r="J227" s="47">
        <f>(IF((VLOOKUP(Table2[[#This Row],[SKU]],'All Skus'!$A:$AC,2,FALSE))="AMX",(VLOOKUP(Table2[[#This Row],[SKU]],'All Skus'!$A:$AC,15,FALSE)),""))</f>
        <v>0</v>
      </c>
      <c r="K227" s="47">
        <f>(IF((VLOOKUP(Table2[[#This Row],[SKU]],'All Skus'!$A:$AC,2,FALSE))="AMX",(VLOOKUP(Table2[[#This Row],[SKU]],'All Skus'!$A:$AC,16,FALSE)),""))</f>
        <v>718878025468</v>
      </c>
      <c r="L227" s="47">
        <f>(IF((VLOOKUP(Table2[[#This Row],[SKU]],'All Skus'!$A:$AC,2,FALSE))="AMX",(VLOOKUP(Table2[[#This Row],[SKU]],'All Skus'!$A:$AC,17,FALSE)),""))</f>
        <v>0</v>
      </c>
      <c r="M227" s="63">
        <f>(IF((VLOOKUP(Table2[[#This Row],[SKU]],'All Skus'!$A:$AC,2,FALSE))="AMX",(VLOOKUP(Table2[[#This Row],[SKU]],'All Skus'!$A:$AC,18,FALSE)),""))</f>
        <v>0.25</v>
      </c>
      <c r="N227" s="47">
        <f>(IF((VLOOKUP(Table2[[#This Row],[SKU]],'All Skus'!$A:$AC,2,FALSE))="AMX",(VLOOKUP(Table2[[#This Row],[SKU]],'All Skus'!$A:$AC,19,FALSE)),""))</f>
        <v>4.6875</v>
      </c>
      <c r="O227" s="47">
        <f>(IF((VLOOKUP(Table2[[#This Row],[SKU]],'All Skus'!$A:$AC,2,FALSE))="AMX",(VLOOKUP(Table2[[#This Row],[SKU]],'All Skus'!$A:$AC,20,FALSE)),""))</f>
        <v>3.4375</v>
      </c>
      <c r="P227" s="47">
        <f>(IF((VLOOKUP(Table2[[#This Row],[SKU]],'All Skus'!$A:$AC,2,FALSE))="AMX",(VLOOKUP(Table2[[#This Row],[SKU]],'All Skus'!$A:$AC,21,FALSE)),""))</f>
        <v>0.5625</v>
      </c>
      <c r="Q227" s="47" t="str">
        <f>(IF((VLOOKUP(Table2[[#This Row],[SKU]],'All Skus'!$A:$AC,2,FALSE))="AMX",(VLOOKUP(Table2[[#This Row],[SKU]],'All Skus'!$A:$AC,22,FALSE)),""))</f>
        <v>MX</v>
      </c>
      <c r="R227" s="47" t="str">
        <f>(IF((VLOOKUP(Table2[[#This Row],[SKU]],'All Skus'!$A:$AC,2,FALSE))="AMX",(VLOOKUP(Table2[[#This Row],[SKU]],'All Skus'!$A:$AC,23,FALSE)),""))</f>
        <v>Compliant</v>
      </c>
      <c r="S227" s="210" t="str">
        <f>HYPERLINK((IF((VLOOKUP(Table2[[#This Row],[SKU]],'All Skus'!$A:$AC,2,FALSE))="AMX",(VLOOKUP(Table2[[#This Row],[SKU]],'All Skus'!$A:$AC,24,FALSE)),"")))</f>
        <v>https://www.amx.com/en-US/products/mkp-106</v>
      </c>
      <c r="T227" s="151">
        <v>225</v>
      </c>
    </row>
    <row r="228" spans="1:20" ht="15" hidden="1" customHeight="1">
      <c r="A228" s="48" t="s">
        <v>737</v>
      </c>
      <c r="B228" s="280" t="str">
        <f>(IF((VLOOKUP(Table2[[#This Row],[SKU]],'All Skus'!$A:$AC,2,FALSE))="AMX",(VLOOKUP(Table2[[#This Row],[SKU]],'All Skus'!$A:$AC,3,FALSE)),""))</f>
        <v>Keypads</v>
      </c>
      <c r="C228" s="280" t="str">
        <f>(IF((VLOOKUP(Table2[[#This Row],[SKU]],'All Skus'!$A:$AC,2,FALSE))="AMX",(VLOOKUP(Table2[[#This Row],[SKU]],'All Skus'!$A:$AC,4,FALSE)),""))</f>
        <v>MKP-108L-BL</v>
      </c>
      <c r="D228" s="47" t="str">
        <f>(IF((VLOOKUP(Table2[[#This Row],[SKU]],'All Skus'!$A:$AC,2,FALSE))="AMX",(VLOOKUP(Table2[[#This Row],[SKU]],'All Skus'!$A:$AC,5,FALSE)),""))</f>
        <v>AMX-UI</v>
      </c>
      <c r="E228" s="281">
        <f>(IF((VLOOKUP(Table2[[#This Row],[SKU]],'All Skus'!$A:$AC,2,FALSE))="AMX",(VLOOKUP(Table2[[#This Row],[SKU]],'All Skus'!$A:$AC,7,FALSE)),""))</f>
        <v>0</v>
      </c>
      <c r="F228" s="280" t="str">
        <f>(IF((VLOOKUP(Table2[[#This Row],[SKU]],'All Skus'!$A:$AC,2,FALSE))="AMX",(VLOOKUP(Table2[[#This Row],[SKU]],'All Skus'!$A:$AC,8,FALSE)),""))</f>
        <v>Massio Keypad 8-button BLACK</v>
      </c>
      <c r="G228" s="280" t="str">
        <f>(IF((VLOOKUP(Table2[[#This Row],[SKU]],'All Skus'!$A:$AC,2,FALSE))="AMX",(VLOOKUP(Table2[[#This Row],[SKU]],'All Skus'!$A:$AC,9,FALSE)),""))</f>
        <v>Massio 8-Button Ethernet Keypad, Landscape, Black - Fits into standard 2 gang US, UK, or EU back box. Use in conjunction with NetLinx control or as a secondary UI with Massio ControlPads</v>
      </c>
      <c r="H228" s="157">
        <f>(IF((VLOOKUP(Table2[[#This Row],[SKU]],'All Skus'!$A:$AC,2,FALSE))="AMX",(VLOOKUP(Table2[[#This Row],[SKU]],'All Skus'!$A:$AC,10,FALSE)),""))</f>
        <v>674.5</v>
      </c>
      <c r="I228" s="157">
        <f>(IF((VLOOKUP(Table2[[#This Row],[SKU]],'All Skus'!$A:$AC,2,FALSE))="AMX",(VLOOKUP(Table2[[#This Row],[SKU]],'All Skus'!$A:$AC,11,FALSE)),""))</f>
        <v>674.5</v>
      </c>
      <c r="J228" s="47">
        <f>(IF((VLOOKUP(Table2[[#This Row],[SKU]],'All Skus'!$A:$AC,2,FALSE))="AMX",(VLOOKUP(Table2[[#This Row],[SKU]],'All Skus'!$A:$AC,15,FALSE)),""))</f>
        <v>0</v>
      </c>
      <c r="K228" s="47">
        <f>(IF((VLOOKUP(Table2[[#This Row],[SKU]],'All Skus'!$A:$AC,2,FALSE))="AMX",(VLOOKUP(Table2[[#This Row],[SKU]],'All Skus'!$A:$AC,16,FALSE)),""))</f>
        <v>718878025475</v>
      </c>
      <c r="L228" s="47">
        <f>(IF((VLOOKUP(Table2[[#This Row],[SKU]],'All Skus'!$A:$AC,2,FALSE))="AMX",(VLOOKUP(Table2[[#This Row],[SKU]],'All Skus'!$A:$AC,17,FALSE)),""))</f>
        <v>0</v>
      </c>
      <c r="M228" s="63">
        <f>(IF((VLOOKUP(Table2[[#This Row],[SKU]],'All Skus'!$A:$AC,2,FALSE))="AMX",(VLOOKUP(Table2[[#This Row],[SKU]],'All Skus'!$A:$AC,18,FALSE)),""))</f>
        <v>0.41</v>
      </c>
      <c r="N228" s="47">
        <f>(IF((VLOOKUP(Table2[[#This Row],[SKU]],'All Skus'!$A:$AC,2,FALSE))="AMX",(VLOOKUP(Table2[[#This Row],[SKU]],'All Skus'!$A:$AC,19,FALSE)),""))</f>
        <v>4.6875</v>
      </c>
      <c r="O228" s="47">
        <f>(IF((VLOOKUP(Table2[[#This Row],[SKU]],'All Skus'!$A:$AC,2,FALSE))="AMX",(VLOOKUP(Table2[[#This Row],[SKU]],'All Skus'!$A:$AC,20,FALSE)),""))</f>
        <v>6</v>
      </c>
      <c r="P228" s="47">
        <f>(IF((VLOOKUP(Table2[[#This Row],[SKU]],'All Skus'!$A:$AC,2,FALSE))="AMX",(VLOOKUP(Table2[[#This Row],[SKU]],'All Skus'!$A:$AC,21,FALSE)),""))</f>
        <v>1</v>
      </c>
      <c r="Q228" s="47" t="str">
        <f>(IF((VLOOKUP(Table2[[#This Row],[SKU]],'All Skus'!$A:$AC,2,FALSE))="AMX",(VLOOKUP(Table2[[#This Row],[SKU]],'All Skus'!$A:$AC,22,FALSE)),""))</f>
        <v>MX</v>
      </c>
      <c r="R228" s="47" t="str">
        <f>(IF((VLOOKUP(Table2[[#This Row],[SKU]],'All Skus'!$A:$AC,2,FALSE))="AMX",(VLOOKUP(Table2[[#This Row],[SKU]],'All Skus'!$A:$AC,23,FALSE)),""))</f>
        <v>Compliant</v>
      </c>
      <c r="S228" s="210" t="str">
        <f>HYPERLINK((IF((VLOOKUP(Table2[[#This Row],[SKU]],'All Skus'!$A:$AC,2,FALSE))="AMX",(VLOOKUP(Table2[[#This Row],[SKU]],'All Skus'!$A:$AC,24,FALSE)),"")))</f>
        <v>https://www.amx.com/en-US/products/mkp-108</v>
      </c>
      <c r="T228" s="151">
        <v>226</v>
      </c>
    </row>
    <row r="229" spans="1:20" ht="15" hidden="1" customHeight="1">
      <c r="A229" s="48" t="s">
        <v>738</v>
      </c>
      <c r="B229" s="280" t="str">
        <f>(IF((VLOOKUP(Table2[[#This Row],[SKU]],'All Skus'!$A:$AC,2,FALSE))="AMX",(VLOOKUP(Table2[[#This Row],[SKU]],'All Skus'!$A:$AC,3,FALSE)),""))</f>
        <v>Keypads</v>
      </c>
      <c r="C229" s="280" t="str">
        <f>(IF((VLOOKUP(Table2[[#This Row],[SKU]],'All Skus'!$A:$AC,2,FALSE))="AMX",(VLOOKUP(Table2[[#This Row],[SKU]],'All Skus'!$A:$AC,4,FALSE)),""))</f>
        <v>MKP-108L-WH</v>
      </c>
      <c r="D229" s="47" t="str">
        <f>(IF((VLOOKUP(Table2[[#This Row],[SKU]],'All Skus'!$A:$AC,2,FALSE))="AMX",(VLOOKUP(Table2[[#This Row],[SKU]],'All Skus'!$A:$AC,5,FALSE)),""))</f>
        <v>AMX-UI</v>
      </c>
      <c r="E229" s="281">
        <f>(IF((VLOOKUP(Table2[[#This Row],[SKU]],'All Skus'!$A:$AC,2,FALSE))="AMX",(VLOOKUP(Table2[[#This Row],[SKU]],'All Skus'!$A:$AC,7,FALSE)),""))</f>
        <v>0</v>
      </c>
      <c r="F229" s="280" t="str">
        <f>(IF((VLOOKUP(Table2[[#This Row],[SKU]],'All Skus'!$A:$AC,2,FALSE))="AMX",(VLOOKUP(Table2[[#This Row],[SKU]],'All Skus'!$A:$AC,8,FALSE)),""))</f>
        <v>Massio Keypad 8-button WHITE</v>
      </c>
      <c r="G229" s="280" t="str">
        <f>(IF((VLOOKUP(Table2[[#This Row],[SKU]],'All Skus'!$A:$AC,2,FALSE))="AMX",(VLOOKUP(Table2[[#This Row],[SKU]],'All Skus'!$A:$AC,9,FALSE)),""))</f>
        <v>Massio 8-Button Ethernet Keypad, Landscape, White - Fits into standard 2 gang US, UK, or EU back box. Use in conjunction with NetLinx control or as a secondary UI with Massio ControlPads</v>
      </c>
      <c r="H229" s="157">
        <f>(IF((VLOOKUP(Table2[[#This Row],[SKU]],'All Skus'!$A:$AC,2,FALSE))="AMX",(VLOOKUP(Table2[[#This Row],[SKU]],'All Skus'!$A:$AC,10,FALSE)),""))</f>
        <v>674.5</v>
      </c>
      <c r="I229" s="157">
        <f>(IF((VLOOKUP(Table2[[#This Row],[SKU]],'All Skus'!$A:$AC,2,FALSE))="AMX",(VLOOKUP(Table2[[#This Row],[SKU]],'All Skus'!$A:$AC,11,FALSE)),""))</f>
        <v>674.5</v>
      </c>
      <c r="J229" s="47">
        <f>(IF((VLOOKUP(Table2[[#This Row],[SKU]],'All Skus'!$A:$AC,2,FALSE))="AMX",(VLOOKUP(Table2[[#This Row],[SKU]],'All Skus'!$A:$AC,15,FALSE)),""))</f>
        <v>0</v>
      </c>
      <c r="K229" s="47">
        <f>(IF((VLOOKUP(Table2[[#This Row],[SKU]],'All Skus'!$A:$AC,2,FALSE))="AMX",(VLOOKUP(Table2[[#This Row],[SKU]],'All Skus'!$A:$AC,16,FALSE)),""))</f>
        <v>718878025482</v>
      </c>
      <c r="L229" s="47">
        <f>(IF((VLOOKUP(Table2[[#This Row],[SKU]],'All Skus'!$A:$AC,2,FALSE))="AMX",(VLOOKUP(Table2[[#This Row],[SKU]],'All Skus'!$A:$AC,17,FALSE)),""))</f>
        <v>0</v>
      </c>
      <c r="M229" s="63">
        <f>(IF((VLOOKUP(Table2[[#This Row],[SKU]],'All Skus'!$A:$AC,2,FALSE))="AMX",(VLOOKUP(Table2[[#This Row],[SKU]],'All Skus'!$A:$AC,18,FALSE)),""))</f>
        <v>0.41</v>
      </c>
      <c r="N229" s="47">
        <f>(IF((VLOOKUP(Table2[[#This Row],[SKU]],'All Skus'!$A:$AC,2,FALSE))="AMX",(VLOOKUP(Table2[[#This Row],[SKU]],'All Skus'!$A:$AC,19,FALSE)),""))</f>
        <v>4.6875</v>
      </c>
      <c r="O229" s="47">
        <f>(IF((VLOOKUP(Table2[[#This Row],[SKU]],'All Skus'!$A:$AC,2,FALSE))="AMX",(VLOOKUP(Table2[[#This Row],[SKU]],'All Skus'!$A:$AC,20,FALSE)),""))</f>
        <v>6</v>
      </c>
      <c r="P229" s="47">
        <f>(IF((VLOOKUP(Table2[[#This Row],[SKU]],'All Skus'!$A:$AC,2,FALSE))="AMX",(VLOOKUP(Table2[[#This Row],[SKU]],'All Skus'!$A:$AC,21,FALSE)),""))</f>
        <v>1</v>
      </c>
      <c r="Q229" s="47" t="str">
        <f>(IF((VLOOKUP(Table2[[#This Row],[SKU]],'All Skus'!$A:$AC,2,FALSE))="AMX",(VLOOKUP(Table2[[#This Row],[SKU]],'All Skus'!$A:$AC,22,FALSE)),""))</f>
        <v>MX</v>
      </c>
      <c r="R229" s="47" t="str">
        <f>(IF((VLOOKUP(Table2[[#This Row],[SKU]],'All Skus'!$A:$AC,2,FALSE))="AMX",(VLOOKUP(Table2[[#This Row],[SKU]],'All Skus'!$A:$AC,23,FALSE)),""))</f>
        <v>Compliant</v>
      </c>
      <c r="S229" s="210" t="str">
        <f>HYPERLINK((IF((VLOOKUP(Table2[[#This Row],[SKU]],'All Skus'!$A:$AC,2,FALSE))="AMX",(VLOOKUP(Table2[[#This Row],[SKU]],'All Skus'!$A:$AC,24,FALSE)),"")))</f>
        <v>https://www.amx.com/en-US/products/mkp-108</v>
      </c>
      <c r="T229" s="151">
        <v>227</v>
      </c>
    </row>
    <row r="230" spans="1:20" ht="15" hidden="1" customHeight="1">
      <c r="A230" s="48" t="s">
        <v>739</v>
      </c>
      <c r="B230" s="280" t="str">
        <f>(IF((VLOOKUP(Table2[[#This Row],[SKU]],'All Skus'!$A:$AC,2,FALSE))="AMX",(VLOOKUP(Table2[[#This Row],[SKU]],'All Skus'!$A:$AC,3,FALSE)),""))</f>
        <v>User Interface Accessories</v>
      </c>
      <c r="C230" s="280" t="str">
        <f>(IF((VLOOKUP(Table2[[#This Row],[SKU]],'All Skus'!$A:$AC,2,FALSE))="AMX",(VLOOKUP(Table2[[#This Row],[SKU]],'All Skus'!$A:$AC,4,FALSE)),""))</f>
        <v>MXA-MPL</v>
      </c>
      <c r="D230" s="47" t="str">
        <f>(IF((VLOOKUP(Table2[[#This Row],[SKU]],'All Skus'!$A:$AC,2,FALSE))="AMX",(VLOOKUP(Table2[[#This Row],[SKU]],'All Skus'!$A:$AC,5,FALSE)),""))</f>
        <v>AMX-UI</v>
      </c>
      <c r="E230" s="281">
        <f>(IF((VLOOKUP(Table2[[#This Row],[SKU]],'All Skus'!$A:$AC,2,FALSE))="AMX",(VLOOKUP(Table2[[#This Row],[SKU]],'All Skus'!$A:$AC,7,FALSE)),""))</f>
        <v>0</v>
      </c>
      <c r="F230" s="280" t="str">
        <f>(IF((VLOOKUP(Table2[[#This Row],[SKU]],'All Skus'!$A:$AC,2,FALSE))="AMX",(VLOOKUP(Table2[[#This Row],[SKU]],'All Skus'!$A:$AC,8,FALSE)),""))</f>
        <v>Multi Preview Live Video Accessory for Touch Panels</v>
      </c>
      <c r="G230" s="280" t="str">
        <f>(IF((VLOOKUP(Table2[[#This Row],[SKU]],'All Skus'!$A:$AC,2,FALSE))="AMX",(VLOOKUP(Table2[[#This Row],[SKU]],'All Skus'!$A:$AC,9,FALSE)),""))</f>
        <v>Modero Series Multi Preview Live.  Displays HD digital video streams on Modero Series Touch Panels when used in conjunction with an Enova DVX or Enova DGX.  It can also be used to display up to 10 preview images.</v>
      </c>
      <c r="H230" s="157">
        <f>(IF((VLOOKUP(Table2[[#This Row],[SKU]],'All Skus'!$A:$AC,2,FALSE))="AMX",(VLOOKUP(Table2[[#This Row],[SKU]],'All Skus'!$A:$AC,10,FALSE)),""))</f>
        <v>2938.3</v>
      </c>
      <c r="I230" s="157">
        <f>(IF((VLOOKUP(Table2[[#This Row],[SKU]],'All Skus'!$A:$AC,2,FALSE))="AMX",(VLOOKUP(Table2[[#This Row],[SKU]],'All Skus'!$A:$AC,11,FALSE)),""))</f>
        <v>2938.3</v>
      </c>
      <c r="J230" s="47">
        <f>(IF((VLOOKUP(Table2[[#This Row],[SKU]],'All Skus'!$A:$AC,2,FALSE))="AMX",(VLOOKUP(Table2[[#This Row],[SKU]],'All Skus'!$A:$AC,15,FALSE)),""))</f>
        <v>0</v>
      </c>
      <c r="K230" s="47">
        <f>(IF((VLOOKUP(Table2[[#This Row],[SKU]],'All Skus'!$A:$AC,2,FALSE))="AMX",(VLOOKUP(Table2[[#This Row],[SKU]],'All Skus'!$A:$AC,16,FALSE)),""))</f>
        <v>718878236772</v>
      </c>
      <c r="L230" s="47">
        <f>(IF((VLOOKUP(Table2[[#This Row],[SKU]],'All Skus'!$A:$AC,2,FALSE))="AMX",(VLOOKUP(Table2[[#This Row],[SKU]],'All Skus'!$A:$AC,17,FALSE)),""))</f>
        <v>0</v>
      </c>
      <c r="M230" s="63">
        <f>(IF((VLOOKUP(Table2[[#This Row],[SKU]],'All Skus'!$A:$AC,2,FALSE))="AMX",(VLOOKUP(Table2[[#This Row],[SKU]],'All Skus'!$A:$AC,18,FALSE)),""))</f>
        <v>2.8</v>
      </c>
      <c r="N230" s="47">
        <f>(IF((VLOOKUP(Table2[[#This Row],[SKU]],'All Skus'!$A:$AC,2,FALSE))="AMX",(VLOOKUP(Table2[[#This Row],[SKU]],'All Skus'!$A:$AC,19,FALSE)),""))</f>
        <v>8.25</v>
      </c>
      <c r="O230" s="47">
        <f>(IF((VLOOKUP(Table2[[#This Row],[SKU]],'All Skus'!$A:$AC,2,FALSE))="AMX",(VLOOKUP(Table2[[#This Row],[SKU]],'All Skus'!$A:$AC,20,FALSE)),""))</f>
        <v>7.1875</v>
      </c>
      <c r="P230" s="47">
        <f>(IF((VLOOKUP(Table2[[#This Row],[SKU]],'All Skus'!$A:$AC,2,FALSE))="AMX",(VLOOKUP(Table2[[#This Row],[SKU]],'All Skus'!$A:$AC,21,FALSE)),""))</f>
        <v>1.5625</v>
      </c>
      <c r="Q230" s="47" t="str">
        <f>(IF((VLOOKUP(Table2[[#This Row],[SKU]],'All Skus'!$A:$AC,2,FALSE))="AMX",(VLOOKUP(Table2[[#This Row],[SKU]],'All Skus'!$A:$AC,22,FALSE)),""))</f>
        <v>MX</v>
      </c>
      <c r="R230" s="47" t="str">
        <f>(IF((VLOOKUP(Table2[[#This Row],[SKU]],'All Skus'!$A:$AC,2,FALSE))="AMX",(VLOOKUP(Table2[[#This Row],[SKU]],'All Skus'!$A:$AC,23,FALSE)),""))</f>
        <v>Compliant</v>
      </c>
      <c r="S230" s="210" t="str">
        <f>HYPERLINK((IF((VLOOKUP(Table2[[#This Row],[SKU]],'All Skus'!$A:$AC,2,FALSE))="AMX",(VLOOKUP(Table2[[#This Row],[SKU]],'All Skus'!$A:$AC,24,FALSE)),"")))</f>
        <v>https://www.amx.com/en-US/products/mxa-mpl</v>
      </c>
      <c r="T230" s="151">
        <v>228</v>
      </c>
    </row>
    <row r="231" spans="1:20" ht="15" hidden="1" customHeight="1">
      <c r="A231" s="48" t="s">
        <v>740</v>
      </c>
      <c r="B231" s="280" t="str">
        <f>(IF((VLOOKUP(Table2[[#This Row],[SKU]],'All Skus'!$A:$AC,2,FALSE))="AMX",(VLOOKUP(Table2[[#This Row],[SKU]],'All Skus'!$A:$AC,3,FALSE)),""))</f>
        <v>User Interface Accessories</v>
      </c>
      <c r="C231" s="280" t="str">
        <f>(IF((VLOOKUP(Table2[[#This Row],[SKU]],'All Skus'!$A:$AC,2,FALSE))="AMX",(VLOOKUP(Table2[[#This Row],[SKU]],'All Skus'!$A:$AC,4,FALSE)),""))</f>
        <v>MXA-CLK</v>
      </c>
      <c r="D231" s="47" t="str">
        <f>(IF((VLOOKUP(Table2[[#This Row],[SKU]],'All Skus'!$A:$AC,2,FALSE))="AMX",(VLOOKUP(Table2[[#This Row],[SKU]],'All Skus'!$A:$AC,5,FALSE)),""))</f>
        <v>AMX-UI</v>
      </c>
      <c r="E231" s="281">
        <f>(IF((VLOOKUP(Table2[[#This Row],[SKU]],'All Skus'!$A:$AC,2,FALSE))="AMX",(VLOOKUP(Table2[[#This Row],[SKU]],'All Skus'!$A:$AC,7,FALSE)),""))</f>
        <v>0</v>
      </c>
      <c r="F231" s="280" t="str">
        <f>(IF((VLOOKUP(Table2[[#This Row],[SKU]],'All Skus'!$A:$AC,2,FALSE))="AMX",(VLOOKUP(Table2[[#This Row],[SKU]],'All Skus'!$A:$AC,8,FALSE)),""))</f>
        <v>Touch Panel Screen Cleaning Kit</v>
      </c>
      <c r="G231" s="280" t="str">
        <f>(IF((VLOOKUP(Table2[[#This Row],[SKU]],'All Skus'!$A:$AC,2,FALSE))="AMX",(VLOOKUP(Table2[[#This Row],[SKU]],'All Skus'!$A:$AC,9,FALSE)),""))</f>
        <v>Screen Cleaning Kit, Modero X/S Series</v>
      </c>
      <c r="H231" s="157">
        <f>(IF((VLOOKUP(Table2[[#This Row],[SKU]],'All Skus'!$A:$AC,2,FALSE))="AMX",(VLOOKUP(Table2[[#This Row],[SKU]],'All Skus'!$A:$AC,10,FALSE)),""))</f>
        <v>27.4</v>
      </c>
      <c r="I231" s="157">
        <f>(IF((VLOOKUP(Table2[[#This Row],[SKU]],'All Skus'!$A:$AC,2,FALSE))="AMX",(VLOOKUP(Table2[[#This Row],[SKU]],'All Skus'!$A:$AC,11,FALSE)),""))</f>
        <v>27.4</v>
      </c>
      <c r="J231" s="47">
        <f>(IF((VLOOKUP(Table2[[#This Row],[SKU]],'All Skus'!$A:$AC,2,FALSE))="AMX",(VLOOKUP(Table2[[#This Row],[SKU]],'All Skus'!$A:$AC,15,FALSE)),""))</f>
        <v>0</v>
      </c>
      <c r="K231" s="47">
        <f>(IF((VLOOKUP(Table2[[#This Row],[SKU]],'All Skus'!$A:$AC,2,FALSE))="AMX",(VLOOKUP(Table2[[#This Row],[SKU]],'All Skus'!$A:$AC,16,FALSE)),""))</f>
        <v>718878243442</v>
      </c>
      <c r="L231" s="47">
        <f>(IF((VLOOKUP(Table2[[#This Row],[SKU]],'All Skus'!$A:$AC,2,FALSE))="AMX",(VLOOKUP(Table2[[#This Row],[SKU]],'All Skus'!$A:$AC,17,FALSE)),""))</f>
        <v>0</v>
      </c>
      <c r="M231" s="63">
        <f>(IF((VLOOKUP(Table2[[#This Row],[SKU]],'All Skus'!$A:$AC,2,FALSE))="AMX",(VLOOKUP(Table2[[#This Row],[SKU]],'All Skus'!$A:$AC,18,FALSE)),""))</f>
        <v>0.2</v>
      </c>
      <c r="N231" s="47">
        <f>(IF((VLOOKUP(Table2[[#This Row],[SKU]],'All Skus'!$A:$AC,2,FALSE))="AMX",(VLOOKUP(Table2[[#This Row],[SKU]],'All Skus'!$A:$AC,19,FALSE)),""))</f>
        <v>2</v>
      </c>
      <c r="O231" s="47">
        <f>(IF((VLOOKUP(Table2[[#This Row],[SKU]],'All Skus'!$A:$AC,2,FALSE))="AMX",(VLOOKUP(Table2[[#This Row],[SKU]],'All Skus'!$A:$AC,20,FALSE)),""))</f>
        <v>2</v>
      </c>
      <c r="P231" s="47">
        <f>(IF((VLOOKUP(Table2[[#This Row],[SKU]],'All Skus'!$A:$AC,2,FALSE))="AMX",(VLOOKUP(Table2[[#This Row],[SKU]],'All Skus'!$A:$AC,21,FALSE)),""))</f>
        <v>0.5</v>
      </c>
      <c r="Q231" s="47" t="str">
        <f>(IF((VLOOKUP(Table2[[#This Row],[SKU]],'All Skus'!$A:$AC,2,FALSE))="AMX",(VLOOKUP(Table2[[#This Row],[SKU]],'All Skus'!$A:$AC,22,FALSE)),""))</f>
        <v>CN</v>
      </c>
      <c r="R231" s="47" t="str">
        <f>(IF((VLOOKUP(Table2[[#This Row],[SKU]],'All Skus'!$A:$AC,2,FALSE))="AMX",(VLOOKUP(Table2[[#This Row],[SKU]],'All Skus'!$A:$AC,23,FALSE)),""))</f>
        <v>NonCompliant</v>
      </c>
      <c r="S231" s="210" t="str">
        <f>HYPERLINK((IF((VLOOKUP(Table2[[#This Row],[SKU]],'All Skus'!$A:$AC,2,FALSE))="AMX",(VLOOKUP(Table2[[#This Row],[SKU]],'All Skus'!$A:$AC,24,FALSE)),"")))</f>
        <v>https://www.amx.com/en-US/products/mxa-clk</v>
      </c>
      <c r="T231" s="151">
        <v>229</v>
      </c>
    </row>
    <row r="232" spans="1:20" ht="15" hidden="1" customHeight="1">
      <c r="A232" s="48" t="s">
        <v>741</v>
      </c>
      <c r="B232" s="280" t="str">
        <f>(IF((VLOOKUP(Table2[[#This Row],[SKU]],'All Skus'!$A:$AC,2,FALSE))="AMX",(VLOOKUP(Table2[[#This Row],[SKU]],'All Skus'!$A:$AC,3,FALSE)),""))</f>
        <v>User Interface Accessories</v>
      </c>
      <c r="C232" s="280" t="str">
        <f>(IF((VLOOKUP(Table2[[#This Row],[SKU]],'All Skus'!$A:$AC,2,FALSE))="AMX",(VLOOKUP(Table2[[#This Row],[SKU]],'All Skus'!$A:$AC,4,FALSE)),""))</f>
        <v>MPA-VRK</v>
      </c>
      <c r="D232" s="47" t="str">
        <f>(IF((VLOOKUP(Table2[[#This Row],[SKU]],'All Skus'!$A:$AC,2,FALSE))="AMX",(VLOOKUP(Table2[[#This Row],[SKU]],'All Skus'!$A:$AC,5,FALSE)),""))</f>
        <v>AMX-UI</v>
      </c>
      <c r="E232" s="281">
        <f>(IF((VLOOKUP(Table2[[#This Row],[SKU]],'All Skus'!$A:$AC,2,FALSE))="AMX",(VLOOKUP(Table2[[#This Row],[SKU]],'All Skus'!$A:$AC,7,FALSE)),""))</f>
        <v>0</v>
      </c>
      <c r="F232" s="280" t="str">
        <f>(IF((VLOOKUP(Table2[[#This Row],[SKU]],'All Skus'!$A:$AC,2,FALSE))="AMX",(VLOOKUP(Table2[[#This Row],[SKU]],'All Skus'!$A:$AC,8,FALSE)),""))</f>
        <v>Rack Mount Shelf</v>
      </c>
      <c r="G232" s="280" t="str">
        <f>(IF((VLOOKUP(Table2[[#This Row],[SKU]],'All Skus'!$A:$AC,2,FALSE))="AMX",(VLOOKUP(Table2[[#This Row],[SKU]],'All Skus'!$A:$AC,9,FALSE)),""))</f>
        <v>Rack Mounting Tray for MXA-MPL and MXA-MP</v>
      </c>
      <c r="H232" s="157">
        <f>(IF((VLOOKUP(Table2[[#This Row],[SKU]],'All Skus'!$A:$AC,2,FALSE))="AMX",(VLOOKUP(Table2[[#This Row],[SKU]],'All Skus'!$A:$AC,10,FALSE)),""))</f>
        <v>318.10000000000002</v>
      </c>
      <c r="I232" s="157">
        <f>(IF((VLOOKUP(Table2[[#This Row],[SKU]],'All Skus'!$A:$AC,2,FALSE))="AMX",(VLOOKUP(Table2[[#This Row],[SKU]],'All Skus'!$A:$AC,11,FALSE)),""))</f>
        <v>318.10000000000002</v>
      </c>
      <c r="J232" s="47">
        <f>(IF((VLOOKUP(Table2[[#This Row],[SKU]],'All Skus'!$A:$AC,2,FALSE))="AMX",(VLOOKUP(Table2[[#This Row],[SKU]],'All Skus'!$A:$AC,15,FALSE)),""))</f>
        <v>0</v>
      </c>
      <c r="K232" s="47">
        <f>(IF((VLOOKUP(Table2[[#This Row],[SKU]],'All Skus'!$A:$AC,2,FALSE))="AMX",(VLOOKUP(Table2[[#This Row],[SKU]],'All Skus'!$A:$AC,16,FALSE)),""))</f>
        <v>0</v>
      </c>
      <c r="L232" s="47">
        <f>(IF((VLOOKUP(Table2[[#This Row],[SKU]],'All Skus'!$A:$AC,2,FALSE))="AMX",(VLOOKUP(Table2[[#This Row],[SKU]],'All Skus'!$A:$AC,17,FALSE)),""))</f>
        <v>0</v>
      </c>
      <c r="M232" s="63">
        <f>(IF((VLOOKUP(Table2[[#This Row],[SKU]],'All Skus'!$A:$AC,2,FALSE))="AMX",(VLOOKUP(Table2[[#This Row],[SKU]],'All Skus'!$A:$AC,18,FALSE)),""))</f>
        <v>1</v>
      </c>
      <c r="N232" s="47">
        <f>(IF((VLOOKUP(Table2[[#This Row],[SKU]],'All Skus'!$A:$AC,2,FALSE))="AMX",(VLOOKUP(Table2[[#This Row],[SKU]],'All Skus'!$A:$AC,19,FALSE)),""))</f>
        <v>19</v>
      </c>
      <c r="O232" s="47">
        <f>(IF((VLOOKUP(Table2[[#This Row],[SKU]],'All Skus'!$A:$AC,2,FALSE))="AMX",(VLOOKUP(Table2[[#This Row],[SKU]],'All Skus'!$A:$AC,20,FALSE)),""))</f>
        <v>7.75</v>
      </c>
      <c r="P232" s="47">
        <f>(IF((VLOOKUP(Table2[[#This Row],[SKU]],'All Skus'!$A:$AC,2,FALSE))="AMX",(VLOOKUP(Table2[[#This Row],[SKU]],'All Skus'!$A:$AC,21,FALSE)),""))</f>
        <v>1.75</v>
      </c>
      <c r="Q232" s="47" t="str">
        <f>(IF((VLOOKUP(Table2[[#This Row],[SKU]],'All Skus'!$A:$AC,2,FALSE))="AMX",(VLOOKUP(Table2[[#This Row],[SKU]],'All Skus'!$A:$AC,22,FALSE)),""))</f>
        <v>MX</v>
      </c>
      <c r="R232" s="47" t="str">
        <f>(IF((VLOOKUP(Table2[[#This Row],[SKU]],'All Skus'!$A:$AC,2,FALSE))="AMX",(VLOOKUP(Table2[[#This Row],[SKU]],'All Skus'!$A:$AC,23,FALSE)),""))</f>
        <v>Compliant</v>
      </c>
      <c r="S232" s="210" t="str">
        <f>HYPERLINK((IF((VLOOKUP(Table2[[#This Row],[SKU]],'All Skus'!$A:$AC,2,FALSE))="AMX",(VLOOKUP(Table2[[#This Row],[SKU]],'All Skus'!$A:$AC,24,FALSE)),"")))</f>
        <v>https://www.amx.com/en-US/products/mpa-vrk</v>
      </c>
      <c r="T232" s="151">
        <v>230</v>
      </c>
    </row>
    <row r="233" spans="1:20" ht="15" hidden="1" customHeight="1">
      <c r="A233" s="48" t="s">
        <v>742</v>
      </c>
      <c r="B233" s="280" t="str">
        <f>(IF((VLOOKUP(Table2[[#This Row],[SKU]],'All Skus'!$A:$AC,2,FALSE))="AMX",(VLOOKUP(Table2[[#This Row],[SKU]],'All Skus'!$A:$AC,3,FALSE)),""))</f>
        <v>Touch Panels</v>
      </c>
      <c r="C233" s="280" t="str">
        <f>(IF((VLOOKUP(Table2[[#This Row],[SKU]],'All Skus'!$A:$AC,2,FALSE))="AMX",(VLOOKUP(Table2[[#This Row],[SKU]],'All Skus'!$A:$AC,4,FALSE)),""))</f>
        <v>MXD-1001-P</v>
      </c>
      <c r="D233" s="47" t="str">
        <f>(IF((VLOOKUP(Table2[[#This Row],[SKU]],'All Skus'!$A:$AC,2,FALSE))="AMX",(VLOOKUP(Table2[[#This Row],[SKU]],'All Skus'!$A:$AC,5,FALSE)),""))</f>
        <v>AMX-UI</v>
      </c>
      <c r="E233" s="291" t="str">
        <f>(IF((VLOOKUP(Table2[[#This Row],[SKU]],'All Skus'!$A:$AC,2,FALSE))="AMX",(VLOOKUP(Table2[[#This Row],[SKU]],'All Skus'!$A:$AC,7,FALSE)),""))</f>
        <v>Limited Quantity - REDUCED</v>
      </c>
      <c r="F233" s="280" t="str">
        <f>(IF((VLOOKUP(Table2[[#This Row],[SKU]],'All Skus'!$A:$AC,2,FALSE))="AMX",(VLOOKUP(Table2[[#This Row],[SKU]],'All Skus'!$A:$AC,8,FALSE)),""))</f>
        <v>10" Modero X G5 Wall-mount TP, portrait</v>
      </c>
      <c r="G233" s="280" t="str">
        <f>(IF((VLOOKUP(Table2[[#This Row],[SKU]],'All Skus'!$A:$AC,2,FALSE))="AMX",(VLOOKUP(Table2[[#This Row],[SKU]],'All Skus'!$A:$AC,9,FALSE)),""))</f>
        <v>10.1" Modero X Series G5 Widescreen Portrait Wall Mount Touch Panel, features: G5 graphics engine, quad core processor, capacitive multi-touch screen, mic, intercom, speakers, NFC support, LED backlight &amp; 800x1280 resolution</v>
      </c>
      <c r="H233" s="157">
        <f>(IF((VLOOKUP(Table2[[#This Row],[SKU]],'All Skus'!$A:$AC,2,FALSE))="AMX",(VLOOKUP(Table2[[#This Row],[SKU]],'All Skus'!$A:$AC,10,FALSE)),""))</f>
        <v>6453.9</v>
      </c>
      <c r="I233" s="157">
        <f>(IF((VLOOKUP(Table2[[#This Row],[SKU]],'All Skus'!$A:$AC,2,FALSE))="AMX",(VLOOKUP(Table2[[#This Row],[SKU]],'All Skus'!$A:$AC,11,FALSE)),""))</f>
        <v>1398</v>
      </c>
      <c r="J233" s="47">
        <f>(IF((VLOOKUP(Table2[[#This Row],[SKU]],'All Skus'!$A:$AC,2,FALSE))="AMX",(VLOOKUP(Table2[[#This Row],[SKU]],'All Skus'!$A:$AC,15,FALSE)),""))</f>
        <v>0</v>
      </c>
      <c r="K233" s="47">
        <f>(IF((VLOOKUP(Table2[[#This Row],[SKU]],'All Skus'!$A:$AC,2,FALSE))="AMX",(VLOOKUP(Table2[[#This Row],[SKU]],'All Skus'!$A:$AC,16,FALSE)),""))</f>
        <v>718878247006</v>
      </c>
      <c r="L233" s="47">
        <f>(IF((VLOOKUP(Table2[[#This Row],[SKU]],'All Skus'!$A:$AC,2,FALSE))="AMX",(VLOOKUP(Table2[[#This Row],[SKU]],'All Skus'!$A:$AC,17,FALSE)),""))</f>
        <v>0</v>
      </c>
      <c r="M233" s="63">
        <f>(IF((VLOOKUP(Table2[[#This Row],[SKU]],'All Skus'!$A:$AC,2,FALSE))="AMX",(VLOOKUP(Table2[[#This Row],[SKU]],'All Skus'!$A:$AC,18,FALSE)),""))</f>
        <v>2</v>
      </c>
      <c r="N233" s="47">
        <f>(IF((VLOOKUP(Table2[[#This Row],[SKU]],'All Skus'!$A:$AC,2,FALSE))="AMX",(VLOOKUP(Table2[[#This Row],[SKU]],'All Skus'!$A:$AC,19,FALSE)),""))</f>
        <v>6.6875</v>
      </c>
      <c r="O233" s="47">
        <f>(IF((VLOOKUP(Table2[[#This Row],[SKU]],'All Skus'!$A:$AC,2,FALSE))="AMX",(VLOOKUP(Table2[[#This Row],[SKU]],'All Skus'!$A:$AC,20,FALSE)),""))</f>
        <v>9.875</v>
      </c>
      <c r="P233" s="47">
        <f>(IF((VLOOKUP(Table2[[#This Row],[SKU]],'All Skus'!$A:$AC,2,FALSE))="AMX",(VLOOKUP(Table2[[#This Row],[SKU]],'All Skus'!$A:$AC,21,FALSE)),""))</f>
        <v>2.625</v>
      </c>
      <c r="Q233" s="47" t="str">
        <f>(IF((VLOOKUP(Table2[[#This Row],[SKU]],'All Skus'!$A:$AC,2,FALSE))="AMX",(VLOOKUP(Table2[[#This Row],[SKU]],'All Skus'!$A:$AC,22,FALSE)),""))</f>
        <v>MX</v>
      </c>
      <c r="R233" s="47" t="str">
        <f>(IF((VLOOKUP(Table2[[#This Row],[SKU]],'All Skus'!$A:$AC,2,FALSE))="AMX",(VLOOKUP(Table2[[#This Row],[SKU]],'All Skus'!$A:$AC,23,FALSE)),""))</f>
        <v>Compliant</v>
      </c>
      <c r="S233" s="210" t="str">
        <f>HYPERLINK((IF((VLOOKUP(Table2[[#This Row],[SKU]],'All Skus'!$A:$AC,2,FALSE))="AMX",(VLOOKUP(Table2[[#This Row],[SKU]],'All Skus'!$A:$AC,24,FALSE)),"")))</f>
        <v>https://www.amx.com/en-US/products/mxd-1001</v>
      </c>
      <c r="T233" s="151">
        <v>231</v>
      </c>
    </row>
    <row r="234" spans="1:20" ht="15" hidden="1" customHeight="1">
      <c r="A234" s="48" t="s">
        <v>743</v>
      </c>
      <c r="B234" s="280" t="str">
        <f>(IF((VLOOKUP(Table2[[#This Row],[SKU]],'All Skus'!$A:$AC,2,FALSE))="AMX",(VLOOKUP(Table2[[#This Row],[SKU]],'All Skus'!$A:$AC,3,FALSE)),""))</f>
        <v>Touch Panels</v>
      </c>
      <c r="C234" s="280" t="str">
        <f>(IF((VLOOKUP(Table2[[#This Row],[SKU]],'All Skus'!$A:$AC,2,FALSE))="AMX",(VLOOKUP(Table2[[#This Row],[SKU]],'All Skus'!$A:$AC,4,FALSE)),""))</f>
        <v>MXD-701-P</v>
      </c>
      <c r="D234" s="47" t="str">
        <f>(IF((VLOOKUP(Table2[[#This Row],[SKU]],'All Skus'!$A:$AC,2,FALSE))="AMX",(VLOOKUP(Table2[[#This Row],[SKU]],'All Skus'!$A:$AC,5,FALSE)),""))</f>
        <v>AMX-UI</v>
      </c>
      <c r="E234" s="291" t="str">
        <f>(IF((VLOOKUP(Table2[[#This Row],[SKU]],'All Skus'!$A:$AC,2,FALSE))="AMX",(VLOOKUP(Table2[[#This Row],[SKU]],'All Skus'!$A:$AC,7,FALSE)),""))</f>
        <v>Limited Quantity - REDUCED</v>
      </c>
      <c r="F234" s="280" t="str">
        <f>(IF((VLOOKUP(Table2[[#This Row],[SKU]],'All Skus'!$A:$AC,2,FALSE))="AMX",(VLOOKUP(Table2[[#This Row],[SKU]],'All Skus'!$A:$AC,8,FALSE)),""))</f>
        <v>7" Modero X G5 Wall-mount TP, portrait</v>
      </c>
      <c r="G234" s="280" t="str">
        <f>(IF((VLOOKUP(Table2[[#This Row],[SKU]],'All Skus'!$A:$AC,2,FALSE))="AMX",(VLOOKUP(Table2[[#This Row],[SKU]],'All Skus'!$A:$AC,9,FALSE)),""))</f>
        <v>7" Modero X Series G5 Widescreen Portrait Wall Touch Panel, features: G5 graphics engine, quad core processor, capacitive multi-touch screen, mic, intercom, speakers, NFC support, LED backlight &amp; 600x1024 resolution</v>
      </c>
      <c r="H234" s="157">
        <f>(IF((VLOOKUP(Table2[[#This Row],[SKU]],'All Skus'!$A:$AC,2,FALSE))="AMX",(VLOOKUP(Table2[[#This Row],[SKU]],'All Skus'!$A:$AC,10,FALSE)),""))</f>
        <v>4333.1000000000004</v>
      </c>
      <c r="I234" s="157">
        <f>(IF((VLOOKUP(Table2[[#This Row],[SKU]],'All Skus'!$A:$AC,2,FALSE))="AMX",(VLOOKUP(Table2[[#This Row],[SKU]],'All Skus'!$A:$AC,11,FALSE)),""))</f>
        <v>998</v>
      </c>
      <c r="J234" s="47">
        <f>(IF((VLOOKUP(Table2[[#This Row],[SKU]],'All Skus'!$A:$AC,2,FALSE))="AMX",(VLOOKUP(Table2[[#This Row],[SKU]],'All Skus'!$A:$AC,15,FALSE)),""))</f>
        <v>0</v>
      </c>
      <c r="K234" s="47">
        <f>(IF((VLOOKUP(Table2[[#This Row],[SKU]],'All Skus'!$A:$AC,2,FALSE))="AMX",(VLOOKUP(Table2[[#This Row],[SKU]],'All Skus'!$A:$AC,16,FALSE)),""))</f>
        <v>718878024164</v>
      </c>
      <c r="L234" s="47">
        <f>(IF((VLOOKUP(Table2[[#This Row],[SKU]],'All Skus'!$A:$AC,2,FALSE))="AMX",(VLOOKUP(Table2[[#This Row],[SKU]],'All Skus'!$A:$AC,17,FALSE)),""))</f>
        <v>0</v>
      </c>
      <c r="M234" s="63">
        <f>(IF((VLOOKUP(Table2[[#This Row],[SKU]],'All Skus'!$A:$AC,2,FALSE))="AMX",(VLOOKUP(Table2[[#This Row],[SKU]],'All Skus'!$A:$AC,18,FALSE)),""))</f>
        <v>1.4</v>
      </c>
      <c r="N234" s="47">
        <f>(IF((VLOOKUP(Table2[[#This Row],[SKU]],'All Skus'!$A:$AC,2,FALSE))="AMX",(VLOOKUP(Table2[[#This Row],[SKU]],'All Skus'!$A:$AC,19,FALSE)),""))</f>
        <v>4.8125</v>
      </c>
      <c r="O234" s="47">
        <f>(IF((VLOOKUP(Table2[[#This Row],[SKU]],'All Skus'!$A:$AC,2,FALSE))="AMX",(VLOOKUP(Table2[[#This Row],[SKU]],'All Skus'!$A:$AC,20,FALSE)),""))</f>
        <v>7.3125</v>
      </c>
      <c r="P234" s="47">
        <f>(IF((VLOOKUP(Table2[[#This Row],[SKU]],'All Skus'!$A:$AC,2,FALSE))="AMX",(VLOOKUP(Table2[[#This Row],[SKU]],'All Skus'!$A:$AC,21,FALSE)),""))</f>
        <v>2.625</v>
      </c>
      <c r="Q234" s="47" t="str">
        <f>(IF((VLOOKUP(Table2[[#This Row],[SKU]],'All Skus'!$A:$AC,2,FALSE))="AMX",(VLOOKUP(Table2[[#This Row],[SKU]],'All Skus'!$A:$AC,22,FALSE)),""))</f>
        <v>MX</v>
      </c>
      <c r="R234" s="47" t="str">
        <f>(IF((VLOOKUP(Table2[[#This Row],[SKU]],'All Skus'!$A:$AC,2,FALSE))="AMX",(VLOOKUP(Table2[[#This Row],[SKU]],'All Skus'!$A:$AC,23,FALSE)),""))</f>
        <v>Compliant</v>
      </c>
      <c r="S234" s="210" t="str">
        <f>HYPERLINK((IF((VLOOKUP(Table2[[#This Row],[SKU]],'All Skus'!$A:$AC,2,FALSE))="AMX",(VLOOKUP(Table2[[#This Row],[SKU]],'All Skus'!$A:$AC,24,FALSE)),"")))</f>
        <v>https://www.amx.com/en-US/products/mxd-701</v>
      </c>
      <c r="T234" s="151">
        <v>232</v>
      </c>
    </row>
    <row r="235" spans="1:20" ht="15" hidden="1" customHeight="1">
      <c r="A235" s="48" t="s">
        <v>744</v>
      </c>
      <c r="B235" s="280" t="str">
        <f>(IF((VLOOKUP(Table2[[#This Row],[SKU]],'All Skus'!$A:$AC,2,FALSE))="AMX",(VLOOKUP(Table2[[#This Row],[SKU]],'All Skus'!$A:$AC,3,FALSE)),""))</f>
        <v>Touch Panels</v>
      </c>
      <c r="C235" s="280" t="str">
        <f>(IF((VLOOKUP(Table2[[#This Row],[SKU]],'All Skus'!$A:$AC,2,FALSE))="AMX",(VLOOKUP(Table2[[#This Row],[SKU]],'All Skus'!$A:$AC,4,FALSE)),""))</f>
        <v>MXR-1001-BL</v>
      </c>
      <c r="D235" s="47" t="str">
        <f>(IF((VLOOKUP(Table2[[#This Row],[SKU]],'All Skus'!$A:$AC,2,FALSE))="AMX",(VLOOKUP(Table2[[#This Row],[SKU]],'All Skus'!$A:$AC,5,FALSE)),""))</f>
        <v>AMX-UI</v>
      </c>
      <c r="E235" s="291" t="str">
        <f>(IF((VLOOKUP(Table2[[#This Row],[SKU]],'All Skus'!$A:$AC,2,FALSE))="AMX",(VLOOKUP(Table2[[#This Row],[SKU]],'All Skus'!$A:$AC,7,FALSE)),""))</f>
        <v>Limited Quantity - REDUCED</v>
      </c>
      <c r="F235" s="280" t="str">
        <f>(IF((VLOOKUP(Table2[[#This Row],[SKU]],'All Skus'!$A:$AC,2,FALSE))="AMX",(VLOOKUP(Table2[[#This Row],[SKU]],'All Skus'!$A:$AC,8,FALSE)),""))</f>
        <v>10" Modero X G5 Retractable TP, black</v>
      </c>
      <c r="G235" s="280" t="str">
        <f>(IF((VLOOKUP(Table2[[#This Row],[SKU]],'All Skus'!$A:$AC,2,FALSE))="AMX",(VLOOKUP(Table2[[#This Row],[SKU]],'All Skus'!$A:$AC,9,FALSE)),""))</f>
        <v>10.1" Modero X Series G5 Retractable Touch Panel, Black; the motorized mount raises and retracts the panel with the press of a button or via NetLinx control</v>
      </c>
      <c r="H235" s="157">
        <f>(IF((VLOOKUP(Table2[[#This Row],[SKU]],'All Skus'!$A:$AC,2,FALSE))="AMX",(VLOOKUP(Table2[[#This Row],[SKU]],'All Skus'!$A:$AC,10,FALSE)),""))</f>
        <v>8826.2999999999993</v>
      </c>
      <c r="I235" s="157">
        <f>(IF((VLOOKUP(Table2[[#This Row],[SKU]],'All Skus'!$A:$AC,2,FALSE))="AMX",(VLOOKUP(Table2[[#This Row],[SKU]],'All Skus'!$A:$AC,11,FALSE)),""))</f>
        <v>1398</v>
      </c>
      <c r="J235" s="47">
        <f>(IF((VLOOKUP(Table2[[#This Row],[SKU]],'All Skus'!$A:$AC,2,FALSE))="AMX",(VLOOKUP(Table2[[#This Row],[SKU]],'All Skus'!$A:$AC,15,FALSE)),""))</f>
        <v>0</v>
      </c>
      <c r="K235" s="47">
        <f>(IF((VLOOKUP(Table2[[#This Row],[SKU]],'All Skus'!$A:$AC,2,FALSE))="AMX",(VLOOKUP(Table2[[#This Row],[SKU]],'All Skus'!$A:$AC,16,FALSE)),""))</f>
        <v>718878025581</v>
      </c>
      <c r="L235" s="47">
        <f>(IF((VLOOKUP(Table2[[#This Row],[SKU]],'All Skus'!$A:$AC,2,FALSE))="AMX",(VLOOKUP(Table2[[#This Row],[SKU]],'All Skus'!$A:$AC,17,FALSE)),""))</f>
        <v>0</v>
      </c>
      <c r="M235" s="63">
        <f>(IF((VLOOKUP(Table2[[#This Row],[SKU]],'All Skus'!$A:$AC,2,FALSE))="AMX",(VLOOKUP(Table2[[#This Row],[SKU]],'All Skus'!$A:$AC,18,FALSE)),""))</f>
        <v>18.850000000000001</v>
      </c>
      <c r="N235" s="47">
        <f>(IF((VLOOKUP(Table2[[#This Row],[SKU]],'All Skus'!$A:$AC,2,FALSE))="AMX",(VLOOKUP(Table2[[#This Row],[SKU]],'All Skus'!$A:$AC,19,FALSE)),""))</f>
        <v>15.324999999999999</v>
      </c>
      <c r="O235" s="47">
        <f>(IF((VLOOKUP(Table2[[#This Row],[SKU]],'All Skus'!$A:$AC,2,FALSE))="AMX",(VLOOKUP(Table2[[#This Row],[SKU]],'All Skus'!$A:$AC,20,FALSE)),""))</f>
        <v>11.01</v>
      </c>
      <c r="P235" s="47">
        <f>(IF((VLOOKUP(Table2[[#This Row],[SKU]],'All Skus'!$A:$AC,2,FALSE))="AMX",(VLOOKUP(Table2[[#This Row],[SKU]],'All Skus'!$A:$AC,21,FALSE)),""))</f>
        <v>6.7530000000000001</v>
      </c>
      <c r="Q235" s="47" t="str">
        <f>(IF((VLOOKUP(Table2[[#This Row],[SKU]],'All Skus'!$A:$AC,2,FALSE))="AMX",(VLOOKUP(Table2[[#This Row],[SKU]],'All Skus'!$A:$AC,22,FALSE)),""))</f>
        <v>MX</v>
      </c>
      <c r="R235" s="47" t="str">
        <f>(IF((VLOOKUP(Table2[[#This Row],[SKU]],'All Skus'!$A:$AC,2,FALSE))="AMX",(VLOOKUP(Table2[[#This Row],[SKU]],'All Skus'!$A:$AC,23,FALSE)),""))</f>
        <v>Compliant</v>
      </c>
      <c r="S235" s="210" t="str">
        <f>HYPERLINK((IF((VLOOKUP(Table2[[#This Row],[SKU]],'All Skus'!$A:$AC,2,FALSE))="AMX",(VLOOKUP(Table2[[#This Row],[SKU]],'All Skus'!$A:$AC,24,FALSE)),"")))</f>
        <v>https://www.amx.com/en-US/products/mxr-1001</v>
      </c>
      <c r="T235" s="151">
        <v>233</v>
      </c>
    </row>
    <row r="236" spans="1:20" ht="15" hidden="1" customHeight="1">
      <c r="A236" s="48" t="s">
        <v>745</v>
      </c>
      <c r="B236" s="280" t="str">
        <f>(IF((VLOOKUP(Table2[[#This Row],[SKU]],'All Skus'!$A:$AC,2,FALSE))="AMX",(VLOOKUP(Table2[[#This Row],[SKU]],'All Skus'!$A:$AC,3,FALSE)),""))</f>
        <v>Touch Panels</v>
      </c>
      <c r="C236" s="280" t="str">
        <f>(IF((VLOOKUP(Table2[[#This Row],[SKU]],'All Skus'!$A:$AC,2,FALSE))="AMX",(VLOOKUP(Table2[[#This Row],[SKU]],'All Skus'!$A:$AC,4,FALSE)),""))</f>
        <v>MXR-1001-SL</v>
      </c>
      <c r="D236" s="47" t="str">
        <f>(IF((VLOOKUP(Table2[[#This Row],[SKU]],'All Skus'!$A:$AC,2,FALSE))="AMX",(VLOOKUP(Table2[[#This Row],[SKU]],'All Skus'!$A:$AC,5,FALSE)),""))</f>
        <v>AMX-UI</v>
      </c>
      <c r="E236" s="291" t="str">
        <f>(IF((VLOOKUP(Table2[[#This Row],[SKU]],'All Skus'!$A:$AC,2,FALSE))="AMX",(VLOOKUP(Table2[[#This Row],[SKU]],'All Skus'!$A:$AC,7,FALSE)),""))</f>
        <v>Limited Quantity - REDUCED</v>
      </c>
      <c r="F236" s="280" t="str">
        <f>(IF((VLOOKUP(Table2[[#This Row],[SKU]],'All Skus'!$A:$AC,2,FALSE))="AMX",(VLOOKUP(Table2[[#This Row],[SKU]],'All Skus'!$A:$AC,8,FALSE)),""))</f>
        <v>10" Modero X G5 Retractable TP, silver</v>
      </c>
      <c r="G236" s="280" t="str">
        <f>(IF((VLOOKUP(Table2[[#This Row],[SKU]],'All Skus'!$A:$AC,2,FALSE))="AMX",(VLOOKUP(Table2[[#This Row],[SKU]],'All Skus'!$A:$AC,9,FALSE)),""))</f>
        <v>10.1" Modero X Series G5 Retractable Touch Panel, Silver; the motorized mount raises and retracts the panel with the press of a button or via NetLinx control</v>
      </c>
      <c r="H236" s="157">
        <f>(IF((VLOOKUP(Table2[[#This Row],[SKU]],'All Skus'!$A:$AC,2,FALSE))="AMX",(VLOOKUP(Table2[[#This Row],[SKU]],'All Skus'!$A:$AC,10,FALSE)),""))</f>
        <v>8826.2999999999993</v>
      </c>
      <c r="I236" s="157">
        <f>(IF((VLOOKUP(Table2[[#This Row],[SKU]],'All Skus'!$A:$AC,2,FALSE))="AMX",(VLOOKUP(Table2[[#This Row],[SKU]],'All Skus'!$A:$AC,11,FALSE)),""))</f>
        <v>1398</v>
      </c>
      <c r="J236" s="47">
        <f>(IF((VLOOKUP(Table2[[#This Row],[SKU]],'All Skus'!$A:$AC,2,FALSE))="AMX",(VLOOKUP(Table2[[#This Row],[SKU]],'All Skus'!$A:$AC,15,FALSE)),""))</f>
        <v>0</v>
      </c>
      <c r="K236" s="47">
        <f>(IF((VLOOKUP(Table2[[#This Row],[SKU]],'All Skus'!$A:$AC,2,FALSE))="AMX",(VLOOKUP(Table2[[#This Row],[SKU]],'All Skus'!$A:$AC,16,FALSE)),""))</f>
        <v>718878022771</v>
      </c>
      <c r="L236" s="47">
        <f>(IF((VLOOKUP(Table2[[#This Row],[SKU]],'All Skus'!$A:$AC,2,FALSE))="AMX",(VLOOKUP(Table2[[#This Row],[SKU]],'All Skus'!$A:$AC,17,FALSE)),""))</f>
        <v>0</v>
      </c>
      <c r="M236" s="63">
        <f>(IF((VLOOKUP(Table2[[#This Row],[SKU]],'All Skus'!$A:$AC,2,FALSE))="AMX",(VLOOKUP(Table2[[#This Row],[SKU]],'All Skus'!$A:$AC,18,FALSE)),""))</f>
        <v>18.850000000000001</v>
      </c>
      <c r="N236" s="47">
        <f>(IF((VLOOKUP(Table2[[#This Row],[SKU]],'All Skus'!$A:$AC,2,FALSE))="AMX",(VLOOKUP(Table2[[#This Row],[SKU]],'All Skus'!$A:$AC,19,FALSE)),""))</f>
        <v>15.324999999999999</v>
      </c>
      <c r="O236" s="47">
        <f>(IF((VLOOKUP(Table2[[#This Row],[SKU]],'All Skus'!$A:$AC,2,FALSE))="AMX",(VLOOKUP(Table2[[#This Row],[SKU]],'All Skus'!$A:$AC,20,FALSE)),""))</f>
        <v>11.01</v>
      </c>
      <c r="P236" s="47">
        <f>(IF((VLOOKUP(Table2[[#This Row],[SKU]],'All Skus'!$A:$AC,2,FALSE))="AMX",(VLOOKUP(Table2[[#This Row],[SKU]],'All Skus'!$A:$AC,21,FALSE)),""))</f>
        <v>6.7530000000000001</v>
      </c>
      <c r="Q236" s="47" t="str">
        <f>(IF((VLOOKUP(Table2[[#This Row],[SKU]],'All Skus'!$A:$AC,2,FALSE))="AMX",(VLOOKUP(Table2[[#This Row],[SKU]],'All Skus'!$A:$AC,22,FALSE)),""))</f>
        <v>MX</v>
      </c>
      <c r="R236" s="47" t="str">
        <f>(IF((VLOOKUP(Table2[[#This Row],[SKU]],'All Skus'!$A:$AC,2,FALSE))="AMX",(VLOOKUP(Table2[[#This Row],[SKU]],'All Skus'!$A:$AC,23,FALSE)),""))</f>
        <v>Compliant</v>
      </c>
      <c r="S236" s="210" t="str">
        <f>HYPERLINK((IF((VLOOKUP(Table2[[#This Row],[SKU]],'All Skus'!$A:$AC,2,FALSE))="AMX",(VLOOKUP(Table2[[#This Row],[SKU]],'All Skus'!$A:$AC,24,FALSE)),"")))</f>
        <v>https://www.amx.com/en-US/products/mxr-1001</v>
      </c>
      <c r="T236" s="151">
        <v>234</v>
      </c>
    </row>
    <row r="237" spans="1:20" ht="15" hidden="1" customHeight="1">
      <c r="A237" s="48" t="s">
        <v>746</v>
      </c>
      <c r="B237" s="280" t="str">
        <f>(IF((VLOOKUP(Table2[[#This Row],[SKU]],'All Skus'!$A:$AC,2,FALSE))="AMX",(VLOOKUP(Table2[[#This Row],[SKU]],'All Skus'!$A:$AC,3,FALSE)),""))</f>
        <v>User Interface Accessories</v>
      </c>
      <c r="C237" s="280" t="str">
        <f>(IF((VLOOKUP(Table2[[#This Row],[SKU]],'All Skus'!$A:$AC,2,FALSE))="AMX",(VLOOKUP(Table2[[#This Row],[SKU]],'All Skus'!$A:$AC,4,FALSE)),""))</f>
        <v>MXA-STMK-10</v>
      </c>
      <c r="D237" s="47" t="str">
        <f>(IF((VLOOKUP(Table2[[#This Row],[SKU]],'All Skus'!$A:$AC,2,FALSE))="AMX",(VLOOKUP(Table2[[#This Row],[SKU]],'All Skus'!$A:$AC,5,FALSE)),""))</f>
        <v>AMX-UI</v>
      </c>
      <c r="E237" s="281" t="str">
        <f>(IF((VLOOKUP(Table2[[#This Row],[SKU]],'All Skus'!$A:$AC,2,FALSE))="AMX",(VLOOKUP(Table2[[#This Row],[SKU]],'All Skus'!$A:$AC,7,FALSE)),""))</f>
        <v>Limited Quantity</v>
      </c>
      <c r="F237" s="280" t="str">
        <f>(IF((VLOOKUP(Table2[[#This Row],[SKU]],'All Skus'!$A:$AC,2,FALSE))="AMX",(VLOOKUP(Table2[[#This Row],[SKU]],'All Skus'!$A:$AC,8,FALSE)),""))</f>
        <v>Secure Table Mount for 10" Modero X</v>
      </c>
      <c r="G237" s="280" t="str">
        <f>(IF((VLOOKUP(Table2[[#This Row],[SKU]],'All Skus'!$A:$AC,2,FALSE))="AMX",(VLOOKUP(Table2[[#This Row],[SKU]],'All Skus'!$A:$AC,9,FALSE)),""))</f>
        <v>Secure Table Mount Kit for the 10.1” Modero X Series Tabletop Touch Panel securely mounts panel to a table top via a mounting plate and/or Kensington lock attachment: Compatible with MXT-1001 (FG5968-47), MXT-1000 (FG5968-03) and MXT-1000-NC (FG5968-24)</v>
      </c>
      <c r="H237" s="157">
        <f>(IF((VLOOKUP(Table2[[#This Row],[SKU]],'All Skus'!$A:$AC,2,FALSE))="AMX",(VLOOKUP(Table2[[#This Row],[SKU]],'All Skus'!$A:$AC,10,FALSE)),""))</f>
        <v>354.4</v>
      </c>
      <c r="I237" s="157">
        <f>(IF((VLOOKUP(Table2[[#This Row],[SKU]],'All Skus'!$A:$AC,2,FALSE))="AMX",(VLOOKUP(Table2[[#This Row],[SKU]],'All Skus'!$A:$AC,11,FALSE)),""))</f>
        <v>354.4</v>
      </c>
      <c r="J237" s="47">
        <f>(IF((VLOOKUP(Table2[[#This Row],[SKU]],'All Skus'!$A:$AC,2,FALSE))="AMX",(VLOOKUP(Table2[[#This Row],[SKU]],'All Skus'!$A:$AC,15,FALSE)),""))</f>
        <v>0</v>
      </c>
      <c r="K237" s="47">
        <f>(IF((VLOOKUP(Table2[[#This Row],[SKU]],'All Skus'!$A:$AC,2,FALSE))="AMX",(VLOOKUP(Table2[[#This Row],[SKU]],'All Skus'!$A:$AC,16,FALSE)),""))</f>
        <v>718878034354</v>
      </c>
      <c r="L237" s="47">
        <f>(IF((VLOOKUP(Table2[[#This Row],[SKU]],'All Skus'!$A:$AC,2,FALSE))="AMX",(VLOOKUP(Table2[[#This Row],[SKU]],'All Skus'!$A:$AC,17,FALSE)),""))</f>
        <v>0</v>
      </c>
      <c r="M237" s="63">
        <f>(IF((VLOOKUP(Table2[[#This Row],[SKU]],'All Skus'!$A:$AC,2,FALSE))="AMX",(VLOOKUP(Table2[[#This Row],[SKU]],'All Skus'!$A:$AC,18,FALSE)),""))</f>
        <v>1.9</v>
      </c>
      <c r="N237" s="47">
        <f>(IF((VLOOKUP(Table2[[#This Row],[SKU]],'All Skus'!$A:$AC,2,FALSE))="AMX",(VLOOKUP(Table2[[#This Row],[SKU]],'All Skus'!$A:$AC,19,FALSE)),""))</f>
        <v>9.92</v>
      </c>
      <c r="O237" s="47">
        <f>(IF((VLOOKUP(Table2[[#This Row],[SKU]],'All Skus'!$A:$AC,2,FALSE))="AMX",(VLOOKUP(Table2[[#This Row],[SKU]],'All Skus'!$A:$AC,20,FALSE)),""))</f>
        <v>5.88</v>
      </c>
      <c r="P237" s="47">
        <f>(IF((VLOOKUP(Table2[[#This Row],[SKU]],'All Skus'!$A:$AC,2,FALSE))="AMX",(VLOOKUP(Table2[[#This Row],[SKU]],'All Skus'!$A:$AC,21,FALSE)),""))</f>
        <v>0.49</v>
      </c>
      <c r="Q237" s="47" t="str">
        <f>(IF((VLOOKUP(Table2[[#This Row],[SKU]],'All Skus'!$A:$AC,2,FALSE))="AMX",(VLOOKUP(Table2[[#This Row],[SKU]],'All Skus'!$A:$AC,22,FALSE)),""))</f>
        <v>CN</v>
      </c>
      <c r="R237" s="47" t="str">
        <f>(IF((VLOOKUP(Table2[[#This Row],[SKU]],'All Skus'!$A:$AC,2,FALSE))="AMX",(VLOOKUP(Table2[[#This Row],[SKU]],'All Skus'!$A:$AC,23,FALSE)),""))</f>
        <v>NonCompliant</v>
      </c>
      <c r="S237" s="210" t="str">
        <f>HYPERLINK((IF((VLOOKUP(Table2[[#This Row],[SKU]],'All Skus'!$A:$AC,2,FALSE))="AMX",(VLOOKUP(Table2[[#This Row],[SKU]],'All Skus'!$A:$AC,24,FALSE)),"")))</f>
        <v>https://www.amx.com/en-US/products/mxa-stmk-10</v>
      </c>
      <c r="T237" s="151">
        <v>235</v>
      </c>
    </row>
    <row r="238" spans="1:20" ht="15" hidden="1" customHeight="1">
      <c r="A238" s="48" t="s">
        <v>747</v>
      </c>
      <c r="B238" s="280" t="str">
        <f>(IF((VLOOKUP(Table2[[#This Row],[SKU]],'All Skus'!$A:$AC,2,FALSE))="AMX",(VLOOKUP(Table2[[#This Row],[SKU]],'All Skus'!$A:$AC,3,FALSE)),""))</f>
        <v>User Interface Accessories</v>
      </c>
      <c r="C238" s="280" t="str">
        <f>(IF((VLOOKUP(Table2[[#This Row],[SKU]],'All Skus'!$A:$AC,2,FALSE))="AMX",(VLOOKUP(Table2[[#This Row],[SKU]],'All Skus'!$A:$AC,4,FALSE)),""))</f>
        <v>MXA-STMK-07</v>
      </c>
      <c r="D238" s="47" t="str">
        <f>(IF((VLOOKUP(Table2[[#This Row],[SKU]],'All Skus'!$A:$AC,2,FALSE))="AMX",(VLOOKUP(Table2[[#This Row],[SKU]],'All Skus'!$A:$AC,5,FALSE)),""))</f>
        <v>AMX-UI</v>
      </c>
      <c r="E238" s="281" t="str">
        <f>(IF((VLOOKUP(Table2[[#This Row],[SKU]],'All Skus'!$A:$AC,2,FALSE))="AMX",(VLOOKUP(Table2[[#This Row],[SKU]],'All Skus'!$A:$AC,7,FALSE)),""))</f>
        <v>Limited Quantity</v>
      </c>
      <c r="F238" s="280" t="str">
        <f>(IF((VLOOKUP(Table2[[#This Row],[SKU]],'All Skus'!$A:$AC,2,FALSE))="AMX",(VLOOKUP(Table2[[#This Row],[SKU]],'All Skus'!$A:$AC,8,FALSE)),""))</f>
        <v>Secure Table Mount for 7" Modero X</v>
      </c>
      <c r="G238" s="280" t="str">
        <f>(IF((VLOOKUP(Table2[[#This Row],[SKU]],'All Skus'!$A:$AC,2,FALSE))="AMX",(VLOOKUP(Table2[[#This Row],[SKU]],'All Skus'!$A:$AC,9,FALSE)),""))</f>
        <v>Secure Table Mount Kit for the 7” Modero X Series Tabletop Touch Panel securely mounts panel to a table top via a mounting plate and/or Kensington lock attachment: Compatible with MXT-701 (FG5968-53), MXT-700 (FG5968-04) and MXT-700-NC (FG5968-27)</v>
      </c>
      <c r="H238" s="157">
        <f>(IF((VLOOKUP(Table2[[#This Row],[SKU]],'All Skus'!$A:$AC,2,FALSE))="AMX",(VLOOKUP(Table2[[#This Row],[SKU]],'All Skus'!$A:$AC,10,FALSE)),""))</f>
        <v>354.4</v>
      </c>
      <c r="I238" s="157">
        <f>(IF((VLOOKUP(Table2[[#This Row],[SKU]],'All Skus'!$A:$AC,2,FALSE))="AMX",(VLOOKUP(Table2[[#This Row],[SKU]],'All Skus'!$A:$AC,11,FALSE)),""))</f>
        <v>354.4</v>
      </c>
      <c r="J238" s="47">
        <f>(IF((VLOOKUP(Table2[[#This Row],[SKU]],'All Skus'!$A:$AC,2,FALSE))="AMX",(VLOOKUP(Table2[[#This Row],[SKU]],'All Skus'!$A:$AC,15,FALSE)),""))</f>
        <v>0</v>
      </c>
      <c r="K238" s="47">
        <f>(IF((VLOOKUP(Table2[[#This Row],[SKU]],'All Skus'!$A:$AC,2,FALSE))="AMX",(VLOOKUP(Table2[[#This Row],[SKU]],'All Skus'!$A:$AC,16,FALSE)),""))</f>
        <v>0</v>
      </c>
      <c r="L238" s="47">
        <f>(IF((VLOOKUP(Table2[[#This Row],[SKU]],'All Skus'!$A:$AC,2,FALSE))="AMX",(VLOOKUP(Table2[[#This Row],[SKU]],'All Skus'!$A:$AC,17,FALSE)),""))</f>
        <v>0</v>
      </c>
      <c r="M238" s="63">
        <f>(IF((VLOOKUP(Table2[[#This Row],[SKU]],'All Skus'!$A:$AC,2,FALSE))="AMX",(VLOOKUP(Table2[[#This Row],[SKU]],'All Skus'!$A:$AC,18,FALSE)),""))</f>
        <v>1.2</v>
      </c>
      <c r="N238" s="47">
        <f>(IF((VLOOKUP(Table2[[#This Row],[SKU]],'All Skus'!$A:$AC,2,FALSE))="AMX",(VLOOKUP(Table2[[#This Row],[SKU]],'All Skus'!$A:$AC,19,FALSE)),""))</f>
        <v>7.31</v>
      </c>
      <c r="O238" s="47">
        <f>(IF((VLOOKUP(Table2[[#This Row],[SKU]],'All Skus'!$A:$AC,2,FALSE))="AMX",(VLOOKUP(Table2[[#This Row],[SKU]],'All Skus'!$A:$AC,20,FALSE)),""))</f>
        <v>4.13</v>
      </c>
      <c r="P238" s="47">
        <f>(IF((VLOOKUP(Table2[[#This Row],[SKU]],'All Skus'!$A:$AC,2,FALSE))="AMX",(VLOOKUP(Table2[[#This Row],[SKU]],'All Skus'!$A:$AC,21,FALSE)),""))</f>
        <v>0.49</v>
      </c>
      <c r="Q238" s="47" t="str">
        <f>(IF((VLOOKUP(Table2[[#This Row],[SKU]],'All Skus'!$A:$AC,2,FALSE))="AMX",(VLOOKUP(Table2[[#This Row],[SKU]],'All Skus'!$A:$AC,22,FALSE)),""))</f>
        <v>CN</v>
      </c>
      <c r="R238" s="47" t="str">
        <f>(IF((VLOOKUP(Table2[[#This Row],[SKU]],'All Skus'!$A:$AC,2,FALSE))="AMX",(VLOOKUP(Table2[[#This Row],[SKU]],'All Skus'!$A:$AC,23,FALSE)),""))</f>
        <v>NonCompliant</v>
      </c>
      <c r="S238" s="210" t="str">
        <f>HYPERLINK((IF((VLOOKUP(Table2[[#This Row],[SKU]],'All Skus'!$A:$AC,2,FALSE))="AMX",(VLOOKUP(Table2[[#This Row],[SKU]],'All Skus'!$A:$AC,24,FALSE)),"")))</f>
        <v>https://www.amx.com/en-US/products/mxa-stmk-07</v>
      </c>
      <c r="T238" s="151">
        <v>236</v>
      </c>
    </row>
    <row r="239" spans="1:20" ht="15" hidden="1" customHeight="1">
      <c r="A239" s="48" t="s">
        <v>748</v>
      </c>
      <c r="B239" s="280" t="str">
        <f>(IF((VLOOKUP(Table2[[#This Row],[SKU]],'All Skus'!$A:$AC,2,FALSE))="AMX",(VLOOKUP(Table2[[#This Row],[SKU]],'All Skus'!$A:$AC,3,FALSE)),""))</f>
        <v>User Interface Accessories</v>
      </c>
      <c r="C239" s="280" t="str">
        <f>(IF((VLOOKUP(Table2[[#This Row],[SKU]],'All Skus'!$A:$AC,2,FALSE))="AMX",(VLOOKUP(Table2[[#This Row],[SKU]],'All Skus'!$A:$AC,4,FALSE)),""))</f>
        <v>MXA-FMK-10</v>
      </c>
      <c r="D239" s="47" t="str">
        <f>(IF((VLOOKUP(Table2[[#This Row],[SKU]],'All Skus'!$A:$AC,2,FALSE))="AMX",(VLOOKUP(Table2[[#This Row],[SKU]],'All Skus'!$A:$AC,5,FALSE)),""))</f>
        <v>AMX-UI</v>
      </c>
      <c r="E239" s="281" t="str">
        <f>(IF((VLOOKUP(Table2[[#This Row],[SKU]],'All Skus'!$A:$AC,2,FALSE))="AMX",(VLOOKUP(Table2[[#This Row],[SKU]],'All Skus'!$A:$AC,7,FALSE)),""))</f>
        <v>Limited Quantity</v>
      </c>
      <c r="F239" s="280" t="str">
        <f>(IF((VLOOKUP(Table2[[#This Row],[SKU]],'All Skus'!$A:$AC,2,FALSE))="AMX",(VLOOKUP(Table2[[#This Row],[SKU]],'All Skus'!$A:$AC,8,FALSE)),""))</f>
        <v>Flush Mount for 10" Modero X</v>
      </c>
      <c r="G239" s="280" t="str">
        <f>(IF((VLOOKUP(Table2[[#This Row],[SKU]],'All Skus'!$A:$AC,2,FALSE))="AMX",(VLOOKUP(Table2[[#This Row],[SKU]],'All Skus'!$A:$AC,9,FALSE)),""))</f>
        <v>Flush Mount Kit for 10.1" Modero X Series Wall Mount Touch Panels provides totally flush installation, compatible with MXD-1001-P (FG5968-48), MXD-1001-L (FG5968-49), MXD-1000-P (FG5968-07), MXD-1000-L (FG5968-13), MXD-1000-P-NC (FG5968-25), and MXD-1000-</v>
      </c>
      <c r="H239" s="157">
        <f>(IF((VLOOKUP(Table2[[#This Row],[SKU]],'All Skus'!$A:$AC,2,FALSE))="AMX",(VLOOKUP(Table2[[#This Row],[SKU]],'All Skus'!$A:$AC,10,FALSE)),""))</f>
        <v>498.2</v>
      </c>
      <c r="I239" s="157">
        <f>(IF((VLOOKUP(Table2[[#This Row],[SKU]],'All Skus'!$A:$AC,2,FALSE))="AMX",(VLOOKUP(Table2[[#This Row],[SKU]],'All Skus'!$A:$AC,11,FALSE)),""))</f>
        <v>498.2</v>
      </c>
      <c r="J239" s="47">
        <f>(IF((VLOOKUP(Table2[[#This Row],[SKU]],'All Skus'!$A:$AC,2,FALSE))="AMX",(VLOOKUP(Table2[[#This Row],[SKU]],'All Skus'!$A:$AC,15,FALSE)),""))</f>
        <v>0</v>
      </c>
      <c r="K239" s="47">
        <f>(IF((VLOOKUP(Table2[[#This Row],[SKU]],'All Skus'!$A:$AC,2,FALSE))="AMX",(VLOOKUP(Table2[[#This Row],[SKU]],'All Skus'!$A:$AC,16,FALSE)),""))</f>
        <v>718878024003</v>
      </c>
      <c r="L239" s="47">
        <f>(IF((VLOOKUP(Table2[[#This Row],[SKU]],'All Skus'!$A:$AC,2,FALSE))="AMX",(VLOOKUP(Table2[[#This Row],[SKU]],'All Skus'!$A:$AC,17,FALSE)),""))</f>
        <v>0</v>
      </c>
      <c r="M239" s="63">
        <f>(IF((VLOOKUP(Table2[[#This Row],[SKU]],'All Skus'!$A:$AC,2,FALSE))="AMX",(VLOOKUP(Table2[[#This Row],[SKU]],'All Skus'!$A:$AC,18,FALSE)),""))</f>
        <v>1.35</v>
      </c>
      <c r="N239" s="47">
        <f>(IF((VLOOKUP(Table2[[#This Row],[SKU]],'All Skus'!$A:$AC,2,FALSE))="AMX",(VLOOKUP(Table2[[#This Row],[SKU]],'All Skus'!$A:$AC,19,FALSE)),""))</f>
        <v>10.63</v>
      </c>
      <c r="O239" s="47">
        <f>(IF((VLOOKUP(Table2[[#This Row],[SKU]],'All Skus'!$A:$AC,2,FALSE))="AMX",(VLOOKUP(Table2[[#This Row],[SKU]],'All Skus'!$A:$AC,20,FALSE)),""))</f>
        <v>7.43</v>
      </c>
      <c r="P239" s="47">
        <f>(IF((VLOOKUP(Table2[[#This Row],[SKU]],'All Skus'!$A:$AC,2,FALSE))="AMX",(VLOOKUP(Table2[[#This Row],[SKU]],'All Skus'!$A:$AC,21,FALSE)),""))</f>
        <v>3.64</v>
      </c>
      <c r="Q239" s="47" t="str">
        <f>(IF((VLOOKUP(Table2[[#This Row],[SKU]],'All Skus'!$A:$AC,2,FALSE))="AMX",(VLOOKUP(Table2[[#This Row],[SKU]],'All Skus'!$A:$AC,22,FALSE)),""))</f>
        <v>CN</v>
      </c>
      <c r="R239" s="47" t="str">
        <f>(IF((VLOOKUP(Table2[[#This Row],[SKU]],'All Skus'!$A:$AC,2,FALSE))="AMX",(VLOOKUP(Table2[[#This Row],[SKU]],'All Skus'!$A:$AC,23,FALSE)),""))</f>
        <v>NonCompliant</v>
      </c>
      <c r="S239" s="210" t="str">
        <f>HYPERLINK((IF((VLOOKUP(Table2[[#This Row],[SKU]],'All Skus'!$A:$AC,2,FALSE))="AMX",(VLOOKUP(Table2[[#This Row],[SKU]],'All Skus'!$A:$AC,24,FALSE)),"")))</f>
        <v>https://www.amx.com/en-US/products/mxa-fmk-10</v>
      </c>
      <c r="T239" s="151">
        <v>237</v>
      </c>
    </row>
    <row r="240" spans="1:20" ht="15" hidden="1" customHeight="1">
      <c r="A240" s="48" t="s">
        <v>749</v>
      </c>
      <c r="B240" s="280" t="str">
        <f>(IF((VLOOKUP(Table2[[#This Row],[SKU]],'All Skus'!$A:$AC,2,FALSE))="AMX",(VLOOKUP(Table2[[#This Row],[SKU]],'All Skus'!$A:$AC,3,FALSE)),""))</f>
        <v>User Interface Accessories</v>
      </c>
      <c r="C240" s="280" t="str">
        <f>(IF((VLOOKUP(Table2[[#This Row],[SKU]],'All Skus'!$A:$AC,2,FALSE))="AMX",(VLOOKUP(Table2[[#This Row],[SKU]],'All Skus'!$A:$AC,4,FALSE)),""))</f>
        <v>MXA-FMK-07</v>
      </c>
      <c r="D240" s="47" t="str">
        <f>(IF((VLOOKUP(Table2[[#This Row],[SKU]],'All Skus'!$A:$AC,2,FALSE))="AMX",(VLOOKUP(Table2[[#This Row],[SKU]],'All Skus'!$A:$AC,5,FALSE)),""))</f>
        <v>AMX-UI</v>
      </c>
      <c r="E240" s="281" t="str">
        <f>(IF((VLOOKUP(Table2[[#This Row],[SKU]],'All Skus'!$A:$AC,2,FALSE))="AMX",(VLOOKUP(Table2[[#This Row],[SKU]],'All Skus'!$A:$AC,7,FALSE)),""))</f>
        <v>Limited Quantity</v>
      </c>
      <c r="F240" s="280" t="str">
        <f>(IF((VLOOKUP(Table2[[#This Row],[SKU]],'All Skus'!$A:$AC,2,FALSE))="AMX",(VLOOKUP(Table2[[#This Row],[SKU]],'All Skus'!$A:$AC,8,FALSE)),""))</f>
        <v>Flush Mount for 7" Modero X</v>
      </c>
      <c r="G240" s="280" t="str">
        <f>(IF((VLOOKUP(Table2[[#This Row],[SKU]],'All Skus'!$A:$AC,2,FALSE))="AMX",(VLOOKUP(Table2[[#This Row],[SKU]],'All Skus'!$A:$AC,9,FALSE)),""))</f>
        <v>Flush Mount Kit for 7" X Series Wall Mount Touch Panels provides totally flush installation, compatible with MXD-701-P (FG5968-54), MXD-701-L (FG5968-55), MXD-700-P (FG5968-08), MXD-700-L (FG5968-14), MXD-700-P-NC (FG5968-28) and MXD-700-L-NC (FG5968-29)</v>
      </c>
      <c r="H240" s="157">
        <f>(IF((VLOOKUP(Table2[[#This Row],[SKU]],'All Skus'!$A:$AC,2,FALSE))="AMX",(VLOOKUP(Table2[[#This Row],[SKU]],'All Skus'!$A:$AC,10,FALSE)),""))</f>
        <v>498.2</v>
      </c>
      <c r="I240" s="157">
        <f>(IF((VLOOKUP(Table2[[#This Row],[SKU]],'All Skus'!$A:$AC,2,FALSE))="AMX",(VLOOKUP(Table2[[#This Row],[SKU]],'All Skus'!$A:$AC,11,FALSE)),""))</f>
        <v>498.2</v>
      </c>
      <c r="J240" s="47">
        <f>(IF((VLOOKUP(Table2[[#This Row],[SKU]],'All Skus'!$A:$AC,2,FALSE))="AMX",(VLOOKUP(Table2[[#This Row],[SKU]],'All Skus'!$A:$AC,15,FALSE)),""))</f>
        <v>0</v>
      </c>
      <c r="K240" s="47">
        <f>(IF((VLOOKUP(Table2[[#This Row],[SKU]],'All Skus'!$A:$AC,2,FALSE))="AMX",(VLOOKUP(Table2[[#This Row],[SKU]],'All Skus'!$A:$AC,16,FALSE)),""))</f>
        <v>718878033364</v>
      </c>
      <c r="L240" s="47">
        <f>(IF((VLOOKUP(Table2[[#This Row],[SKU]],'All Skus'!$A:$AC,2,FALSE))="AMX",(VLOOKUP(Table2[[#This Row],[SKU]],'All Skus'!$A:$AC,17,FALSE)),""))</f>
        <v>0</v>
      </c>
      <c r="M240" s="63">
        <f>(IF((VLOOKUP(Table2[[#This Row],[SKU]],'All Skus'!$A:$AC,2,FALSE))="AMX",(VLOOKUP(Table2[[#This Row],[SKU]],'All Skus'!$A:$AC,18,FALSE)),""))</f>
        <v>1</v>
      </c>
      <c r="N240" s="47">
        <f>(IF((VLOOKUP(Table2[[#This Row],[SKU]],'All Skus'!$A:$AC,2,FALSE))="AMX",(VLOOKUP(Table2[[#This Row],[SKU]],'All Skus'!$A:$AC,19,FALSE)),""))</f>
        <v>8.01</v>
      </c>
      <c r="O240" s="47">
        <f>(IF((VLOOKUP(Table2[[#This Row],[SKU]],'All Skus'!$A:$AC,2,FALSE))="AMX",(VLOOKUP(Table2[[#This Row],[SKU]],'All Skus'!$A:$AC,20,FALSE)),""))</f>
        <v>5.5</v>
      </c>
      <c r="P240" s="47">
        <f>(IF((VLOOKUP(Table2[[#This Row],[SKU]],'All Skus'!$A:$AC,2,FALSE))="AMX",(VLOOKUP(Table2[[#This Row],[SKU]],'All Skus'!$A:$AC,21,FALSE)),""))</f>
        <v>3.48</v>
      </c>
      <c r="Q240" s="47" t="str">
        <f>(IF((VLOOKUP(Table2[[#This Row],[SKU]],'All Skus'!$A:$AC,2,FALSE))="AMX",(VLOOKUP(Table2[[#This Row],[SKU]],'All Skus'!$A:$AC,22,FALSE)),""))</f>
        <v>CN</v>
      </c>
      <c r="R240" s="47" t="str">
        <f>(IF((VLOOKUP(Table2[[#This Row],[SKU]],'All Skus'!$A:$AC,2,FALSE))="AMX",(VLOOKUP(Table2[[#This Row],[SKU]],'All Skus'!$A:$AC,23,FALSE)),""))</f>
        <v>NonCompliant</v>
      </c>
      <c r="S240" s="210" t="str">
        <f>HYPERLINK((IF((VLOOKUP(Table2[[#This Row],[SKU]],'All Skus'!$A:$AC,2,FALSE))="AMX",(VLOOKUP(Table2[[#This Row],[SKU]],'All Skus'!$A:$AC,24,FALSE)),"")))</f>
        <v>https://www.amx.com/en-US/products/mxa-fmk-07</v>
      </c>
      <c r="T240" s="151">
        <v>238</v>
      </c>
    </row>
    <row r="241" spans="1:20" ht="15" hidden="1" customHeight="1">
      <c r="A241" s="48" t="s">
        <v>750</v>
      </c>
      <c r="B241" s="280" t="str">
        <f>(IF((VLOOKUP(Table2[[#This Row],[SKU]],'All Skus'!$A:$AC,2,FALSE))="AMX",(VLOOKUP(Table2[[#This Row],[SKU]],'All Skus'!$A:$AC,3,FALSE)),""))</f>
        <v>User Interface Accessories</v>
      </c>
      <c r="C241" s="280" t="str">
        <f>(IF((VLOOKUP(Table2[[#This Row],[SKU]],'All Skus'!$A:$AC,2,FALSE))="AMX",(VLOOKUP(Table2[[#This Row],[SKU]],'All Skus'!$A:$AC,4,FALSE)),""))</f>
        <v>CB-MXP-07-F</v>
      </c>
      <c r="D241" s="47" t="str">
        <f>(IF((VLOOKUP(Table2[[#This Row],[SKU]],'All Skus'!$A:$AC,2,FALSE))="AMX",(VLOOKUP(Table2[[#This Row],[SKU]],'All Skus'!$A:$AC,5,FALSE)),""))</f>
        <v>AMX-UI</v>
      </c>
      <c r="E241" s="281" t="str">
        <f>(IF((VLOOKUP(Table2[[#This Row],[SKU]],'All Skus'!$A:$AC,2,FALSE))="AMX",(VLOOKUP(Table2[[#This Row],[SKU]],'All Skus'!$A:$AC,7,FALSE)),""))</f>
        <v>Limited Quantity</v>
      </c>
      <c r="F241" s="280" t="str">
        <f>(IF((VLOOKUP(Table2[[#This Row],[SKU]],'All Skus'!$A:$AC,2,FALSE))="AMX",(VLOOKUP(Table2[[#This Row],[SKU]],'All Skus'!$A:$AC,8,FALSE)),""))</f>
        <v>Rough-in Box for 7" Modero X</v>
      </c>
      <c r="G241" s="280" t="str">
        <f>(IF((VLOOKUP(Table2[[#This Row],[SKU]],'All Skus'!$A:$AC,2,FALSE))="AMX",(VLOOKUP(Table2[[#This Row],[SKU]],'All Skus'!$A:$AC,9,FALSE)),""))</f>
        <v>Flush Mount Rough-In Box and Cover Plate, for use with MXA-FMK-07 Flush Mount Kit for 7" Modero X Series Wall Mount Touch Panels</v>
      </c>
      <c r="H241" s="157">
        <f>(IF((VLOOKUP(Table2[[#This Row],[SKU]],'All Skus'!$A:$AC,2,FALSE))="AMX",(VLOOKUP(Table2[[#This Row],[SKU]],'All Skus'!$A:$AC,10,FALSE)),""))</f>
        <v>288.10000000000002</v>
      </c>
      <c r="I241" s="157">
        <f>(IF((VLOOKUP(Table2[[#This Row],[SKU]],'All Skus'!$A:$AC,2,FALSE))="AMX",(VLOOKUP(Table2[[#This Row],[SKU]],'All Skus'!$A:$AC,11,FALSE)),""))</f>
        <v>288.10000000000002</v>
      </c>
      <c r="J241" s="47">
        <f>(IF((VLOOKUP(Table2[[#This Row],[SKU]],'All Skus'!$A:$AC,2,FALSE))="AMX",(VLOOKUP(Table2[[#This Row],[SKU]],'All Skus'!$A:$AC,15,FALSE)),""))</f>
        <v>0</v>
      </c>
      <c r="K241" s="47">
        <f>(IF((VLOOKUP(Table2[[#This Row],[SKU]],'All Skus'!$A:$AC,2,FALSE))="AMX",(VLOOKUP(Table2[[#This Row],[SKU]],'All Skus'!$A:$AC,16,FALSE)),""))</f>
        <v>718878025635</v>
      </c>
      <c r="L241" s="47">
        <f>(IF((VLOOKUP(Table2[[#This Row],[SKU]],'All Skus'!$A:$AC,2,FALSE))="AMX",(VLOOKUP(Table2[[#This Row],[SKU]],'All Skus'!$A:$AC,17,FALSE)),""))</f>
        <v>0</v>
      </c>
      <c r="M241" s="63">
        <f>(IF((VLOOKUP(Table2[[#This Row],[SKU]],'All Skus'!$A:$AC,2,FALSE))="AMX",(VLOOKUP(Table2[[#This Row],[SKU]],'All Skus'!$A:$AC,18,FALSE)),""))</f>
        <v>1.8</v>
      </c>
      <c r="N241" s="47">
        <f>(IF((VLOOKUP(Table2[[#This Row],[SKU]],'All Skus'!$A:$AC,2,FALSE))="AMX",(VLOOKUP(Table2[[#This Row],[SKU]],'All Skus'!$A:$AC,19,FALSE)),""))</f>
        <v>8.19</v>
      </c>
      <c r="O241" s="47">
        <f>(IF((VLOOKUP(Table2[[#This Row],[SKU]],'All Skus'!$A:$AC,2,FALSE))="AMX",(VLOOKUP(Table2[[#This Row],[SKU]],'All Skus'!$A:$AC,20,FALSE)),""))</f>
        <v>7.68</v>
      </c>
      <c r="P241" s="47">
        <f>(IF((VLOOKUP(Table2[[#This Row],[SKU]],'All Skus'!$A:$AC,2,FALSE))="AMX",(VLOOKUP(Table2[[#This Row],[SKU]],'All Skus'!$A:$AC,21,FALSE)),""))</f>
        <v>3.47</v>
      </c>
      <c r="Q241" s="47" t="str">
        <f>(IF((VLOOKUP(Table2[[#This Row],[SKU]],'All Skus'!$A:$AC,2,FALSE))="AMX",(VLOOKUP(Table2[[#This Row],[SKU]],'All Skus'!$A:$AC,22,FALSE)),""))</f>
        <v>US</v>
      </c>
      <c r="R241" s="47" t="str">
        <f>(IF((VLOOKUP(Table2[[#This Row],[SKU]],'All Skus'!$A:$AC,2,FALSE))="AMX",(VLOOKUP(Table2[[#This Row],[SKU]],'All Skus'!$A:$AC,23,FALSE)),""))</f>
        <v>Compliant</v>
      </c>
      <c r="S241" s="210" t="str">
        <f>HYPERLINK((IF((VLOOKUP(Table2[[#This Row],[SKU]],'All Skus'!$A:$AC,2,FALSE))="AMX",(VLOOKUP(Table2[[#This Row],[SKU]],'All Skus'!$A:$AC,24,FALSE)),"")))</f>
        <v>https://www.amx.com/en-US/products/cb-mxp-07-f</v>
      </c>
      <c r="T241" s="151">
        <v>239</v>
      </c>
    </row>
    <row r="242" spans="1:20" ht="15" hidden="1" customHeight="1">
      <c r="A242" s="48" t="s">
        <v>751</v>
      </c>
      <c r="B242" s="280" t="str">
        <f>(IF((VLOOKUP(Table2[[#This Row],[SKU]],'All Skus'!$A:$AC,2,FALSE))="AMX",(VLOOKUP(Table2[[#This Row],[SKU]],'All Skus'!$A:$AC,3,FALSE)),""))</f>
        <v>Touch Panels</v>
      </c>
      <c r="C242" s="280" t="str">
        <f>(IF((VLOOKUP(Table2[[#This Row],[SKU]],'All Skus'!$A:$AC,2,FALSE))="AMX",(VLOOKUP(Table2[[#This Row],[SKU]],'All Skus'!$A:$AC,4,FALSE)),""))</f>
        <v>MT-1002</v>
      </c>
      <c r="D242" s="47" t="str">
        <f>(IF((VLOOKUP(Table2[[#This Row],[SKU]],'All Skus'!$A:$AC,2,FALSE))="AMX",(VLOOKUP(Table2[[#This Row],[SKU]],'All Skus'!$A:$AC,5,FALSE)),""))</f>
        <v>AMX-UI</v>
      </c>
      <c r="E242" s="281">
        <f>(IF((VLOOKUP(Table2[[#This Row],[SKU]],'All Skus'!$A:$AC,2,FALSE))="AMX",(VLOOKUP(Table2[[#This Row],[SKU]],'All Skus'!$A:$AC,7,FALSE)),""))</f>
        <v>0</v>
      </c>
      <c r="F242" s="280" t="str">
        <f>(IF((VLOOKUP(Table2[[#This Row],[SKU]],'All Skus'!$A:$AC,2,FALSE))="AMX",(VLOOKUP(Table2[[#This Row],[SKU]],'All Skus'!$A:$AC,8,FALSE)),""))</f>
        <v>10" Modero G5 Tabletop Touch Panel</v>
      </c>
      <c r="G242" s="280" t="str">
        <f>(IF((VLOOKUP(Table2[[#This Row],[SKU]],'All Skus'!$A:$AC,2,FALSE))="AMX",(VLOOKUP(Table2[[#This Row],[SKU]],'All Skus'!$A:$AC,9,FALSE)),""))</f>
        <v>MT-1002, 10.1" Modero G5 Tabletop Touch Panel</v>
      </c>
      <c r="H242" s="157">
        <f>(IF((VLOOKUP(Table2[[#This Row],[SKU]],'All Skus'!$A:$AC,2,FALSE))="AMX",(VLOOKUP(Table2[[#This Row],[SKU]],'All Skus'!$A:$AC,10,FALSE)),""))</f>
        <v>2599</v>
      </c>
      <c r="I242" s="157">
        <f>(IF((VLOOKUP(Table2[[#This Row],[SKU]],'All Skus'!$A:$AC,2,FALSE))="AMX",(VLOOKUP(Table2[[#This Row],[SKU]],'All Skus'!$A:$AC,11,FALSE)),""))</f>
        <v>2599</v>
      </c>
      <c r="J242" s="47">
        <f>(IF((VLOOKUP(Table2[[#This Row],[SKU]],'All Skus'!$A:$AC,2,FALSE))="AMX",(VLOOKUP(Table2[[#This Row],[SKU]],'All Skus'!$A:$AC,15,FALSE)),""))</f>
        <v>0</v>
      </c>
      <c r="K242" s="47">
        <f>(IF((VLOOKUP(Table2[[#This Row],[SKU]],'All Skus'!$A:$AC,2,FALSE))="AMX",(VLOOKUP(Table2[[#This Row],[SKU]],'All Skus'!$A:$AC,16,FALSE)),""))</f>
        <v>718878004289</v>
      </c>
      <c r="L242" s="47">
        <f>(IF((VLOOKUP(Table2[[#This Row],[SKU]],'All Skus'!$A:$AC,2,FALSE))="AMX",(VLOOKUP(Table2[[#This Row],[SKU]],'All Skus'!$A:$AC,17,FALSE)),""))</f>
        <v>0</v>
      </c>
      <c r="M242" s="63">
        <f>(IF((VLOOKUP(Table2[[#This Row],[SKU]],'All Skus'!$A:$AC,2,FALSE))="AMX",(VLOOKUP(Table2[[#This Row],[SKU]],'All Skus'!$A:$AC,18,FALSE)),""))</f>
        <v>2.6</v>
      </c>
      <c r="N242" s="47">
        <f>(IF((VLOOKUP(Table2[[#This Row],[SKU]],'All Skus'!$A:$AC,2,FALSE))="AMX",(VLOOKUP(Table2[[#This Row],[SKU]],'All Skus'!$A:$AC,19,FALSE)),""))</f>
        <v>10.0625</v>
      </c>
      <c r="O242" s="47">
        <f>(IF((VLOOKUP(Table2[[#This Row],[SKU]],'All Skus'!$A:$AC,2,FALSE))="AMX",(VLOOKUP(Table2[[#This Row],[SKU]],'All Skus'!$A:$AC,20,FALSE)),""))</f>
        <v>6.1875</v>
      </c>
      <c r="P242" s="47">
        <f>(IF((VLOOKUP(Table2[[#This Row],[SKU]],'All Skus'!$A:$AC,2,FALSE))="AMX",(VLOOKUP(Table2[[#This Row],[SKU]],'All Skus'!$A:$AC,21,FALSE)),""))</f>
        <v>4.0625</v>
      </c>
      <c r="Q242" s="47" t="str">
        <f>(IF((VLOOKUP(Table2[[#This Row],[SKU]],'All Skus'!$A:$AC,2,FALSE))="AMX",(VLOOKUP(Table2[[#This Row],[SKU]],'All Skus'!$A:$AC,22,FALSE)),""))</f>
        <v>MX</v>
      </c>
      <c r="R242" s="47" t="str">
        <f>(IF((VLOOKUP(Table2[[#This Row],[SKU]],'All Skus'!$A:$AC,2,FALSE))="AMX",(VLOOKUP(Table2[[#This Row],[SKU]],'All Skus'!$A:$AC,23,FALSE)),""))</f>
        <v>Compliant</v>
      </c>
      <c r="S242" s="210" t="str">
        <f>HYPERLINK((IF((VLOOKUP(Table2[[#This Row],[SKU]],'All Skus'!$A:$AC,2,FALSE))="AMX",(VLOOKUP(Table2[[#This Row],[SKU]],'All Skus'!$A:$AC,24,FALSE)),"")))</f>
        <v>https://www.amx.com/en-US/products/mt-1002</v>
      </c>
      <c r="T242" s="151">
        <v>240</v>
      </c>
    </row>
    <row r="243" spans="1:20" ht="15" hidden="1" customHeight="1">
      <c r="A243" s="48" t="s">
        <v>752</v>
      </c>
      <c r="B243" s="280" t="str">
        <f>(IF((VLOOKUP(Table2[[#This Row],[SKU]],'All Skus'!$A:$AC,2,FALSE))="AMX",(VLOOKUP(Table2[[#This Row],[SKU]],'All Skus'!$A:$AC,3,FALSE)),""))</f>
        <v>Touch Panels</v>
      </c>
      <c r="C243" s="280" t="str">
        <f>(IF((VLOOKUP(Table2[[#This Row],[SKU]],'All Skus'!$A:$AC,2,FALSE))="AMX",(VLOOKUP(Table2[[#This Row],[SKU]],'All Skus'!$A:$AC,4,FALSE)),""))</f>
        <v>MD-1002</v>
      </c>
      <c r="D243" s="47" t="str">
        <f>(IF((VLOOKUP(Table2[[#This Row],[SKU]],'All Skus'!$A:$AC,2,FALSE))="AMX",(VLOOKUP(Table2[[#This Row],[SKU]],'All Skus'!$A:$AC,5,FALSE)),""))</f>
        <v>AMX-UI</v>
      </c>
      <c r="E243" s="281">
        <f>(IF((VLOOKUP(Table2[[#This Row],[SKU]],'All Skus'!$A:$AC,2,FALSE))="AMX",(VLOOKUP(Table2[[#This Row],[SKU]],'All Skus'!$A:$AC,7,FALSE)),""))</f>
        <v>0</v>
      </c>
      <c r="F243" s="280" t="str">
        <f>(IF((VLOOKUP(Table2[[#This Row],[SKU]],'All Skus'!$A:$AC,2,FALSE))="AMX",(VLOOKUP(Table2[[#This Row],[SKU]],'All Skus'!$A:$AC,8,FALSE)),""))</f>
        <v>10" Modero G5 Wall-mount Touch Panel</v>
      </c>
      <c r="G243" s="280" t="str">
        <f>(IF((VLOOKUP(Table2[[#This Row],[SKU]],'All Skus'!$A:$AC,2,FALSE))="AMX",(VLOOKUP(Table2[[#This Row],[SKU]],'All Skus'!$A:$AC,9,FALSE)),""))</f>
        <v>MD-1002-BL, 10.1" Modero G5 Wall-Mount Touch Panel, Black</v>
      </c>
      <c r="H243" s="157">
        <f>(IF((VLOOKUP(Table2[[#This Row],[SKU]],'All Skus'!$A:$AC,2,FALSE))="AMX",(VLOOKUP(Table2[[#This Row],[SKU]],'All Skus'!$A:$AC,10,FALSE)),""))</f>
        <v>2352.9</v>
      </c>
      <c r="I243" s="157">
        <f>(IF((VLOOKUP(Table2[[#This Row],[SKU]],'All Skus'!$A:$AC,2,FALSE))="AMX",(VLOOKUP(Table2[[#This Row],[SKU]],'All Skus'!$A:$AC,11,FALSE)),""))</f>
        <v>2352.9</v>
      </c>
      <c r="J243" s="47">
        <f>(IF((VLOOKUP(Table2[[#This Row],[SKU]],'All Skus'!$A:$AC,2,FALSE))="AMX",(VLOOKUP(Table2[[#This Row],[SKU]],'All Skus'!$A:$AC,15,FALSE)),""))</f>
        <v>0</v>
      </c>
      <c r="K243" s="47">
        <f>(IF((VLOOKUP(Table2[[#This Row],[SKU]],'All Skus'!$A:$AC,2,FALSE))="AMX",(VLOOKUP(Table2[[#This Row],[SKU]],'All Skus'!$A:$AC,16,FALSE)),""))</f>
        <v>718878004258</v>
      </c>
      <c r="L243" s="47">
        <f>(IF((VLOOKUP(Table2[[#This Row],[SKU]],'All Skus'!$A:$AC,2,FALSE))="AMX",(VLOOKUP(Table2[[#This Row],[SKU]],'All Skus'!$A:$AC,17,FALSE)),""))</f>
        <v>0</v>
      </c>
      <c r="M243" s="63">
        <f>(IF((VLOOKUP(Table2[[#This Row],[SKU]],'All Skus'!$A:$AC,2,FALSE))="AMX",(VLOOKUP(Table2[[#This Row],[SKU]],'All Skus'!$A:$AC,18,FALSE)),""))</f>
        <v>1.95</v>
      </c>
      <c r="N243" s="47">
        <f>(IF((VLOOKUP(Table2[[#This Row],[SKU]],'All Skus'!$A:$AC,2,FALSE))="AMX",(VLOOKUP(Table2[[#This Row],[SKU]],'All Skus'!$A:$AC,19,FALSE)),""))</f>
        <v>10.0625</v>
      </c>
      <c r="O243" s="47">
        <f>(IF((VLOOKUP(Table2[[#This Row],[SKU]],'All Skus'!$A:$AC,2,FALSE))="AMX",(VLOOKUP(Table2[[#This Row],[SKU]],'All Skus'!$A:$AC,20,FALSE)),""))</f>
        <v>6.8125</v>
      </c>
      <c r="P243" s="47">
        <f>(IF((VLOOKUP(Table2[[#This Row],[SKU]],'All Skus'!$A:$AC,2,FALSE))="AMX",(VLOOKUP(Table2[[#This Row],[SKU]],'All Skus'!$A:$AC,21,FALSE)),""))</f>
        <v>2</v>
      </c>
      <c r="Q243" s="47" t="str">
        <f>(IF((VLOOKUP(Table2[[#This Row],[SKU]],'All Skus'!$A:$AC,2,FALSE))="AMX",(VLOOKUP(Table2[[#This Row],[SKU]],'All Skus'!$A:$AC,22,FALSE)),""))</f>
        <v>MX</v>
      </c>
      <c r="R243" s="47" t="str">
        <f>(IF((VLOOKUP(Table2[[#This Row],[SKU]],'All Skus'!$A:$AC,2,FALSE))="AMX",(VLOOKUP(Table2[[#This Row],[SKU]],'All Skus'!$A:$AC,23,FALSE)),""))</f>
        <v>Compliant</v>
      </c>
      <c r="S243" s="210" t="str">
        <f>HYPERLINK((IF((VLOOKUP(Table2[[#This Row],[SKU]],'All Skus'!$A:$AC,2,FALSE))="AMX",(VLOOKUP(Table2[[#This Row],[SKU]],'All Skus'!$A:$AC,24,FALSE)),"")))</f>
        <v>https://www.amx.com/en-US/products/md-1002</v>
      </c>
      <c r="T243" s="151">
        <v>241</v>
      </c>
    </row>
    <row r="244" spans="1:20" ht="15" hidden="1" customHeight="1">
      <c r="A244" s="48" t="s">
        <v>753</v>
      </c>
      <c r="B244" s="280" t="str">
        <f>(IF((VLOOKUP(Table2[[#This Row],[SKU]],'All Skus'!$A:$AC,2,FALSE))="AMX",(VLOOKUP(Table2[[#This Row],[SKU]],'All Skus'!$A:$AC,3,FALSE)),""))</f>
        <v>Touch Panels</v>
      </c>
      <c r="C244" s="280" t="str">
        <f>(IF((VLOOKUP(Table2[[#This Row],[SKU]],'All Skus'!$A:$AC,2,FALSE))="AMX",(VLOOKUP(Table2[[#This Row],[SKU]],'All Skus'!$A:$AC,4,FALSE)),""))</f>
        <v>MT-702</v>
      </c>
      <c r="D244" s="47" t="str">
        <f>(IF((VLOOKUP(Table2[[#This Row],[SKU]],'All Skus'!$A:$AC,2,FALSE))="AMX",(VLOOKUP(Table2[[#This Row],[SKU]],'All Skus'!$A:$AC,5,FALSE)),""))</f>
        <v>AMX-UI</v>
      </c>
      <c r="E244" s="281">
        <f>(IF((VLOOKUP(Table2[[#This Row],[SKU]],'All Skus'!$A:$AC,2,FALSE))="AMX",(VLOOKUP(Table2[[#This Row],[SKU]],'All Skus'!$A:$AC,7,FALSE)),""))</f>
        <v>0</v>
      </c>
      <c r="F244" s="280" t="str">
        <f>(IF((VLOOKUP(Table2[[#This Row],[SKU]],'All Skus'!$A:$AC,2,FALSE))="AMX",(VLOOKUP(Table2[[#This Row],[SKU]],'All Skus'!$A:$AC,8,FALSE)),""))</f>
        <v>7" Modero G5 Tabletop Touch Panel</v>
      </c>
      <c r="G244" s="280" t="str">
        <f>(IF((VLOOKUP(Table2[[#This Row],[SKU]],'All Skus'!$A:$AC,2,FALSE))="AMX",(VLOOKUP(Table2[[#This Row],[SKU]],'All Skus'!$A:$AC,9,FALSE)),""))</f>
        <v>MT-702, 7" Modero G5 Tabletop Touch Panel</v>
      </c>
      <c r="H244" s="157">
        <f>(IF((VLOOKUP(Table2[[#This Row],[SKU]],'All Skus'!$A:$AC,2,FALSE))="AMX",(VLOOKUP(Table2[[#This Row],[SKU]],'All Skus'!$A:$AC,10,FALSE)),""))</f>
        <v>1980.8</v>
      </c>
      <c r="I244" s="157">
        <f>(IF((VLOOKUP(Table2[[#This Row],[SKU]],'All Skus'!$A:$AC,2,FALSE))="AMX",(VLOOKUP(Table2[[#This Row],[SKU]],'All Skus'!$A:$AC,11,FALSE)),""))</f>
        <v>1980.8</v>
      </c>
      <c r="J244" s="47">
        <f>(IF((VLOOKUP(Table2[[#This Row],[SKU]],'All Skus'!$A:$AC,2,FALSE))="AMX",(VLOOKUP(Table2[[#This Row],[SKU]],'All Skus'!$A:$AC,15,FALSE)),""))</f>
        <v>0</v>
      </c>
      <c r="K244" s="47">
        <f>(IF((VLOOKUP(Table2[[#This Row],[SKU]],'All Skus'!$A:$AC,2,FALSE))="AMX",(VLOOKUP(Table2[[#This Row],[SKU]],'All Skus'!$A:$AC,16,FALSE)),""))</f>
        <v>718878004241</v>
      </c>
      <c r="L244" s="47">
        <f>(IF((VLOOKUP(Table2[[#This Row],[SKU]],'All Skus'!$A:$AC,2,FALSE))="AMX",(VLOOKUP(Table2[[#This Row],[SKU]],'All Skus'!$A:$AC,17,FALSE)),""))</f>
        <v>0</v>
      </c>
      <c r="M244" s="63">
        <f>(IF((VLOOKUP(Table2[[#This Row],[SKU]],'All Skus'!$A:$AC,2,FALSE))="AMX",(VLOOKUP(Table2[[#This Row],[SKU]],'All Skus'!$A:$AC,18,FALSE)),""))</f>
        <v>1.4</v>
      </c>
      <c r="N244" s="47">
        <f>(IF((VLOOKUP(Table2[[#This Row],[SKU]],'All Skus'!$A:$AC,2,FALSE))="AMX",(VLOOKUP(Table2[[#This Row],[SKU]],'All Skus'!$A:$AC,19,FALSE)),""))</f>
        <v>7.375</v>
      </c>
      <c r="O244" s="47">
        <f>(IF((VLOOKUP(Table2[[#This Row],[SKU]],'All Skus'!$A:$AC,2,FALSE))="AMX",(VLOOKUP(Table2[[#This Row],[SKU]],'All Skus'!$A:$AC,20,FALSE)),""))</f>
        <v>4.5</v>
      </c>
      <c r="P244" s="47">
        <f>(IF((VLOOKUP(Table2[[#This Row],[SKU]],'All Skus'!$A:$AC,2,FALSE))="AMX",(VLOOKUP(Table2[[#This Row],[SKU]],'All Skus'!$A:$AC,21,FALSE)),""))</f>
        <v>3.1875</v>
      </c>
      <c r="Q244" s="47" t="str">
        <f>(IF((VLOOKUP(Table2[[#This Row],[SKU]],'All Skus'!$A:$AC,2,FALSE))="AMX",(VLOOKUP(Table2[[#This Row],[SKU]],'All Skus'!$A:$AC,22,FALSE)),""))</f>
        <v>MX</v>
      </c>
      <c r="R244" s="47" t="str">
        <f>(IF((VLOOKUP(Table2[[#This Row],[SKU]],'All Skus'!$A:$AC,2,FALSE))="AMX",(VLOOKUP(Table2[[#This Row],[SKU]],'All Skus'!$A:$AC,23,FALSE)),""))</f>
        <v>Compliant</v>
      </c>
      <c r="S244" s="210" t="str">
        <f>HYPERLINK((IF((VLOOKUP(Table2[[#This Row],[SKU]],'All Skus'!$A:$AC,2,FALSE))="AMX",(VLOOKUP(Table2[[#This Row],[SKU]],'All Skus'!$A:$AC,24,FALSE)),"")))</f>
        <v>https://www.amx.com/en-US/products/mt-702</v>
      </c>
      <c r="T244" s="151">
        <v>242</v>
      </c>
    </row>
    <row r="245" spans="1:20" ht="15" hidden="1" customHeight="1">
      <c r="A245" s="48" t="s">
        <v>754</v>
      </c>
      <c r="B245" s="280" t="str">
        <f>(IF((VLOOKUP(Table2[[#This Row],[SKU]],'All Skus'!$A:$AC,2,FALSE))="AMX",(VLOOKUP(Table2[[#This Row],[SKU]],'All Skus'!$A:$AC,3,FALSE)),""))</f>
        <v>Touch Panels</v>
      </c>
      <c r="C245" s="280" t="str">
        <f>(IF((VLOOKUP(Table2[[#This Row],[SKU]],'All Skus'!$A:$AC,2,FALSE))="AMX",(VLOOKUP(Table2[[#This Row],[SKU]],'All Skus'!$A:$AC,4,FALSE)),""))</f>
        <v>MD-702</v>
      </c>
      <c r="D245" s="47" t="str">
        <f>(IF((VLOOKUP(Table2[[#This Row],[SKU]],'All Skus'!$A:$AC,2,FALSE))="AMX",(VLOOKUP(Table2[[#This Row],[SKU]],'All Skus'!$A:$AC,5,FALSE)),""))</f>
        <v>AMX-UI</v>
      </c>
      <c r="E245" s="281">
        <f>(IF((VLOOKUP(Table2[[#This Row],[SKU]],'All Skus'!$A:$AC,2,FALSE))="AMX",(VLOOKUP(Table2[[#This Row],[SKU]],'All Skus'!$A:$AC,7,FALSE)),""))</f>
        <v>0</v>
      </c>
      <c r="F245" s="280" t="str">
        <f>(IF((VLOOKUP(Table2[[#This Row],[SKU]],'All Skus'!$A:$AC,2,FALSE))="AMX",(VLOOKUP(Table2[[#This Row],[SKU]],'All Skus'!$A:$AC,8,FALSE)),""))</f>
        <v>7" Modero G5 Wall-mount Touch Panel</v>
      </c>
      <c r="G245" s="280" t="str">
        <f>(IF((VLOOKUP(Table2[[#This Row],[SKU]],'All Skus'!$A:$AC,2,FALSE))="AMX",(VLOOKUP(Table2[[#This Row],[SKU]],'All Skus'!$A:$AC,9,FALSE)),""))</f>
        <v>MD-702-BL, 7" Modero G5 Wall-Mount Touch Panel, Black</v>
      </c>
      <c r="H245" s="157">
        <f>(IF((VLOOKUP(Table2[[#This Row],[SKU]],'All Skus'!$A:$AC,2,FALSE))="AMX",(VLOOKUP(Table2[[#This Row],[SKU]],'All Skus'!$A:$AC,10,FALSE)),""))</f>
        <v>1728.7</v>
      </c>
      <c r="I245" s="157">
        <f>(IF((VLOOKUP(Table2[[#This Row],[SKU]],'All Skus'!$A:$AC,2,FALSE))="AMX",(VLOOKUP(Table2[[#This Row],[SKU]],'All Skus'!$A:$AC,11,FALSE)),""))</f>
        <v>1728.7</v>
      </c>
      <c r="J245" s="47">
        <f>(IF((VLOOKUP(Table2[[#This Row],[SKU]],'All Skus'!$A:$AC,2,FALSE))="AMX",(VLOOKUP(Table2[[#This Row],[SKU]],'All Skus'!$A:$AC,15,FALSE)),""))</f>
        <v>0</v>
      </c>
      <c r="K245" s="47">
        <f>(IF((VLOOKUP(Table2[[#This Row],[SKU]],'All Skus'!$A:$AC,2,FALSE))="AMX",(VLOOKUP(Table2[[#This Row],[SKU]],'All Skus'!$A:$AC,16,FALSE)),""))</f>
        <v>718878004210</v>
      </c>
      <c r="L245" s="47">
        <f>(IF((VLOOKUP(Table2[[#This Row],[SKU]],'All Skus'!$A:$AC,2,FALSE))="AMX",(VLOOKUP(Table2[[#This Row],[SKU]],'All Skus'!$A:$AC,17,FALSE)),""))</f>
        <v>0</v>
      </c>
      <c r="M245" s="63">
        <f>(IF((VLOOKUP(Table2[[#This Row],[SKU]],'All Skus'!$A:$AC,2,FALSE))="AMX",(VLOOKUP(Table2[[#This Row],[SKU]],'All Skus'!$A:$AC,18,FALSE)),""))</f>
        <v>1.05</v>
      </c>
      <c r="N245" s="47">
        <f>(IF((VLOOKUP(Table2[[#This Row],[SKU]],'All Skus'!$A:$AC,2,FALSE))="AMX",(VLOOKUP(Table2[[#This Row],[SKU]],'All Skus'!$A:$AC,19,FALSE)),""))</f>
        <v>7.375</v>
      </c>
      <c r="O245" s="47">
        <f>(IF((VLOOKUP(Table2[[#This Row],[SKU]],'All Skus'!$A:$AC,2,FALSE))="AMX",(VLOOKUP(Table2[[#This Row],[SKU]],'All Skus'!$A:$AC,20,FALSE)),""))</f>
        <v>4.875</v>
      </c>
      <c r="P245" s="47">
        <f>(IF((VLOOKUP(Table2[[#This Row],[SKU]],'All Skus'!$A:$AC,2,FALSE))="AMX",(VLOOKUP(Table2[[#This Row],[SKU]],'All Skus'!$A:$AC,21,FALSE)),""))</f>
        <v>2.25</v>
      </c>
      <c r="Q245" s="47" t="str">
        <f>(IF((VLOOKUP(Table2[[#This Row],[SKU]],'All Skus'!$A:$AC,2,FALSE))="AMX",(VLOOKUP(Table2[[#This Row],[SKU]],'All Skus'!$A:$AC,22,FALSE)),""))</f>
        <v>MX</v>
      </c>
      <c r="R245" s="47" t="str">
        <f>(IF((VLOOKUP(Table2[[#This Row],[SKU]],'All Skus'!$A:$AC,2,FALSE))="AMX",(VLOOKUP(Table2[[#This Row],[SKU]],'All Skus'!$A:$AC,23,FALSE)),""))</f>
        <v>Compliant</v>
      </c>
      <c r="S245" s="210" t="str">
        <f>HYPERLINK((IF((VLOOKUP(Table2[[#This Row],[SKU]],'All Skus'!$A:$AC,2,FALSE))="AMX",(VLOOKUP(Table2[[#This Row],[SKU]],'All Skus'!$A:$AC,24,FALSE)),"")))</f>
        <v>https://www.amx.com/en-US/products/md-702</v>
      </c>
      <c r="T245" s="151">
        <v>243</v>
      </c>
    </row>
    <row r="246" spans="1:20" ht="15" hidden="1" customHeight="1">
      <c r="A246" s="48" t="s">
        <v>755</v>
      </c>
      <c r="B246" s="280" t="str">
        <f>(IF((VLOOKUP(Table2[[#This Row],[SKU]],'All Skus'!$A:$AC,2,FALSE))="AMX",(VLOOKUP(Table2[[#This Row],[SKU]],'All Skus'!$A:$AC,3,FALSE)),""))</f>
        <v>User Interface Accessories</v>
      </c>
      <c r="C246" s="280" t="str">
        <f>(IF((VLOOKUP(Table2[[#This Row],[SKU]],'All Skus'!$A:$AC,2,FALSE))="AMX",(VLOOKUP(Table2[[#This Row],[SKU]],'All Skus'!$A:$AC,4,FALSE)),""))</f>
        <v>MXA-RMK-07</v>
      </c>
      <c r="D246" s="47" t="str">
        <f>(IF((VLOOKUP(Table2[[#This Row],[SKU]],'All Skus'!$A:$AC,2,FALSE))="AMX",(VLOOKUP(Table2[[#This Row],[SKU]],'All Skus'!$A:$AC,5,FALSE)),""))</f>
        <v>AMX-UI</v>
      </c>
      <c r="E246" s="281" t="str">
        <f>(IF((VLOOKUP(Table2[[#This Row],[SKU]],'All Skus'!$A:$AC,2,FALSE))="AMX",(VLOOKUP(Table2[[#This Row],[SKU]],'All Skus'!$A:$AC,7,FALSE)),""))</f>
        <v>Limited Quantity</v>
      </c>
      <c r="F246" s="280" t="str">
        <f>(IF((VLOOKUP(Table2[[#This Row],[SKU]],'All Skus'!$A:$AC,2,FALSE))="AMX",(VLOOKUP(Table2[[#This Row],[SKU]],'All Skus'!$A:$AC,8,FALSE)),""))</f>
        <v>Rack Mount Kit for 7" Modero X</v>
      </c>
      <c r="G246" s="280" t="str">
        <f>(IF((VLOOKUP(Table2[[#This Row],[SKU]],'All Skus'!$A:$AC,2,FALSE))="AMX",(VLOOKUP(Table2[[#This Row],[SKU]],'All Skus'!$A:$AC,9,FALSE)),""))</f>
        <v>Rack Mount Kit for the 7” Modero X Series Widescreen Landscape Wall Mount Touch Panel mounts panel directly to an equipment rack, compatible with MXD-701-L (FG5968-55), MXD-700-L (FG5968-14) and MXD-700-L-NC (FG5968-29)</v>
      </c>
      <c r="H246" s="157">
        <f>(IF((VLOOKUP(Table2[[#This Row],[SKU]],'All Skus'!$A:$AC,2,FALSE))="AMX",(VLOOKUP(Table2[[#This Row],[SKU]],'All Skus'!$A:$AC,10,FALSE)),""))</f>
        <v>348.7</v>
      </c>
      <c r="I246" s="157">
        <f>(IF((VLOOKUP(Table2[[#This Row],[SKU]],'All Skus'!$A:$AC,2,FALSE))="AMX",(VLOOKUP(Table2[[#This Row],[SKU]],'All Skus'!$A:$AC,11,FALSE)),""))</f>
        <v>348.7</v>
      </c>
      <c r="J246" s="47">
        <f>(IF((VLOOKUP(Table2[[#This Row],[SKU]],'All Skus'!$A:$AC,2,FALSE))="AMX",(VLOOKUP(Table2[[#This Row],[SKU]],'All Skus'!$A:$AC,15,FALSE)),""))</f>
        <v>0</v>
      </c>
      <c r="K246" s="47">
        <f>(IF((VLOOKUP(Table2[[#This Row],[SKU]],'All Skus'!$A:$AC,2,FALSE))="AMX",(VLOOKUP(Table2[[#This Row],[SKU]],'All Skus'!$A:$AC,16,FALSE)),""))</f>
        <v>718878025680</v>
      </c>
      <c r="L246" s="47">
        <f>(IF((VLOOKUP(Table2[[#This Row],[SKU]],'All Skus'!$A:$AC,2,FALSE))="AMX",(VLOOKUP(Table2[[#This Row],[SKU]],'All Skus'!$A:$AC,17,FALSE)),""))</f>
        <v>0</v>
      </c>
      <c r="M246" s="63">
        <f>(IF((VLOOKUP(Table2[[#This Row],[SKU]],'All Skus'!$A:$AC,2,FALSE))="AMX",(VLOOKUP(Table2[[#This Row],[SKU]],'All Skus'!$A:$AC,18,FALSE)),""))</f>
        <v>2.75</v>
      </c>
      <c r="N246" s="47">
        <f>(IF((VLOOKUP(Table2[[#This Row],[SKU]],'All Skus'!$A:$AC,2,FALSE))="AMX",(VLOOKUP(Table2[[#This Row],[SKU]],'All Skus'!$A:$AC,19,FALSE)),""))</f>
        <v>19</v>
      </c>
      <c r="O246" s="47">
        <f>(IF((VLOOKUP(Table2[[#This Row],[SKU]],'All Skus'!$A:$AC,2,FALSE))="AMX",(VLOOKUP(Table2[[#This Row],[SKU]],'All Skus'!$A:$AC,20,FALSE)),""))</f>
        <v>6.97</v>
      </c>
      <c r="P246" s="47">
        <f>(IF((VLOOKUP(Table2[[#This Row],[SKU]],'All Skus'!$A:$AC,2,FALSE))="AMX",(VLOOKUP(Table2[[#This Row],[SKU]],'All Skus'!$A:$AC,21,FALSE)),""))</f>
        <v>2.09</v>
      </c>
      <c r="Q246" s="47" t="str">
        <f>(IF((VLOOKUP(Table2[[#This Row],[SKU]],'All Skus'!$A:$AC,2,FALSE))="AMX",(VLOOKUP(Table2[[#This Row],[SKU]],'All Skus'!$A:$AC,22,FALSE)),""))</f>
        <v>US</v>
      </c>
      <c r="R246" s="47" t="str">
        <f>(IF((VLOOKUP(Table2[[#This Row],[SKU]],'All Skus'!$A:$AC,2,FALSE))="AMX",(VLOOKUP(Table2[[#This Row],[SKU]],'All Skus'!$A:$AC,23,FALSE)),""))</f>
        <v>Compliant</v>
      </c>
      <c r="S246" s="210" t="str">
        <f>HYPERLINK((IF((VLOOKUP(Table2[[#This Row],[SKU]],'All Skus'!$A:$AC,2,FALSE))="AMX",(VLOOKUP(Table2[[#This Row],[SKU]],'All Skus'!$A:$AC,24,FALSE)),"")))</f>
        <v>https://www.amx.com/en-US/products/mxa-rmk-07</v>
      </c>
      <c r="T246" s="151">
        <v>244</v>
      </c>
    </row>
    <row r="247" spans="1:20" ht="15" hidden="1" customHeight="1">
      <c r="A247" s="48" t="s">
        <v>756</v>
      </c>
      <c r="B247" s="280" t="str">
        <f>(IF((VLOOKUP(Table2[[#This Row],[SKU]],'All Skus'!$A:$AC,2,FALSE))="AMX",(VLOOKUP(Table2[[#This Row],[SKU]],'All Skus'!$A:$AC,3,FALSE)),""))</f>
        <v>Control System Accessories</v>
      </c>
      <c r="C247" s="280" t="str">
        <f>(IF((VLOOKUP(Table2[[#This Row],[SKU]],'All Skus'!$A:$AC,2,FALSE))="AMX",(VLOOKUP(Table2[[#This Row],[SKU]],'All Skus'!$A:$AC,4,FALSE)),""))</f>
        <v>PC1</v>
      </c>
      <c r="D247" s="47" t="str">
        <f>(IF((VLOOKUP(Table2[[#This Row],[SKU]],'All Skus'!$A:$AC,2,FALSE))="AMX",(VLOOKUP(Table2[[#This Row],[SKU]],'All Skus'!$A:$AC,5,FALSE)),""))</f>
        <v>AMX-DC</v>
      </c>
      <c r="E247" s="281">
        <f>(IF((VLOOKUP(Table2[[#This Row],[SKU]],'All Skus'!$A:$AC,2,FALSE))="AMX",(VLOOKUP(Table2[[#This Row],[SKU]],'All Skus'!$A:$AC,7,FALSE)),""))</f>
        <v>0</v>
      </c>
      <c r="F247" s="280" t="str">
        <f>(IF((VLOOKUP(Table2[[#This Row],[SKU]],'All Skus'!$A:$AC,2,FALSE))="AMX",(VLOOKUP(Table2[[#This Row],[SKU]],'All Skus'!$A:$AC,8,FALSE)),""))</f>
        <v>1 Switched Outlet, contact closure input</v>
      </c>
      <c r="G247" s="280" t="str">
        <f>(IF((VLOOKUP(Table2[[#This Row],[SKU]],'All Skus'!$A:$AC,2,FALSE))="AMX",(VLOOKUP(Table2[[#This Row],[SKU]],'All Skus'!$A:$AC,9,FALSE)),""))</f>
        <v>Power Controller, 10 A (110 VAC only)</v>
      </c>
      <c r="H247" s="157">
        <f>(IF((VLOOKUP(Table2[[#This Row],[SKU]],'All Skus'!$A:$AC,2,FALSE))="AMX",(VLOOKUP(Table2[[#This Row],[SKU]],'All Skus'!$A:$AC,10,FALSE)),""))</f>
        <v>588.20000000000005</v>
      </c>
      <c r="I247" s="157">
        <f>(IF((VLOOKUP(Table2[[#This Row],[SKU]],'All Skus'!$A:$AC,2,FALSE))="AMX",(VLOOKUP(Table2[[#This Row],[SKU]],'All Skus'!$A:$AC,11,FALSE)),""))</f>
        <v>588.20000000000005</v>
      </c>
      <c r="J247" s="47">
        <f>(IF((VLOOKUP(Table2[[#This Row],[SKU]],'All Skus'!$A:$AC,2,FALSE))="AMX",(VLOOKUP(Table2[[#This Row],[SKU]],'All Skus'!$A:$AC,15,FALSE)),""))</f>
        <v>0</v>
      </c>
      <c r="K247" s="47">
        <f>(IF((VLOOKUP(Table2[[#This Row],[SKU]],'All Skus'!$A:$AC,2,FALSE))="AMX",(VLOOKUP(Table2[[#This Row],[SKU]],'All Skus'!$A:$AC,16,FALSE)),""))</f>
        <v>718878009611</v>
      </c>
      <c r="L247" s="47">
        <f>(IF((VLOOKUP(Table2[[#This Row],[SKU]],'All Skus'!$A:$AC,2,FALSE))="AMX",(VLOOKUP(Table2[[#This Row],[SKU]],'All Skus'!$A:$AC,17,FALSE)),""))</f>
        <v>0</v>
      </c>
      <c r="M247" s="63">
        <f>(IF((VLOOKUP(Table2[[#This Row],[SKU]],'All Skus'!$A:$AC,2,FALSE))="AMX",(VLOOKUP(Table2[[#This Row],[SKU]],'All Skus'!$A:$AC,18,FALSE)),""))</f>
        <v>2</v>
      </c>
      <c r="N247" s="47">
        <f>(IF((VLOOKUP(Table2[[#This Row],[SKU]],'All Skus'!$A:$AC,2,FALSE))="AMX",(VLOOKUP(Table2[[#This Row],[SKU]],'All Skus'!$A:$AC,19,FALSE)),""))</f>
        <v>8.5</v>
      </c>
      <c r="O247" s="47">
        <f>(IF((VLOOKUP(Table2[[#This Row],[SKU]],'All Skus'!$A:$AC,2,FALSE))="AMX",(VLOOKUP(Table2[[#This Row],[SKU]],'All Skus'!$A:$AC,20,FALSE)),""))</f>
        <v>6</v>
      </c>
      <c r="P247" s="47">
        <f>(IF((VLOOKUP(Table2[[#This Row],[SKU]],'All Skus'!$A:$AC,2,FALSE))="AMX",(VLOOKUP(Table2[[#This Row],[SKU]],'All Skus'!$A:$AC,21,FALSE)),""))</f>
        <v>2</v>
      </c>
      <c r="Q247" s="47" t="str">
        <f>(IF((VLOOKUP(Table2[[#This Row],[SKU]],'All Skus'!$A:$AC,2,FALSE))="AMX",(VLOOKUP(Table2[[#This Row],[SKU]],'All Skus'!$A:$AC,22,FALSE)),""))</f>
        <v>US</v>
      </c>
      <c r="R247" s="47" t="str">
        <f>(IF((VLOOKUP(Table2[[#This Row],[SKU]],'All Skus'!$A:$AC,2,FALSE))="AMX",(VLOOKUP(Table2[[#This Row],[SKU]],'All Skus'!$A:$AC,23,FALSE)),""))</f>
        <v>Compliant</v>
      </c>
      <c r="S247" s="210" t="str">
        <f>HYPERLINK((IF((VLOOKUP(Table2[[#This Row],[SKU]],'All Skus'!$A:$AC,2,FALSE))="AMX",(VLOOKUP(Table2[[#This Row],[SKU]],'All Skus'!$A:$AC,24,FALSE)),"")))</f>
        <v>https://www.amx.com/en-US/products/pc1</v>
      </c>
      <c r="T247" s="151">
        <v>245</v>
      </c>
    </row>
    <row r="248" spans="1:20" ht="15" hidden="1" customHeight="1">
      <c r="A248" s="48" t="s">
        <v>757</v>
      </c>
      <c r="B248" s="280" t="str">
        <f>(IF((VLOOKUP(Table2[[#This Row],[SKU]],'All Skus'!$A:$AC,2,FALSE))="AMX",(VLOOKUP(Table2[[#This Row],[SKU]],'All Skus'!$A:$AC,3,FALSE)),""))</f>
        <v>Control System Accessories</v>
      </c>
      <c r="C248" s="280" t="str">
        <f>(IF((VLOOKUP(Table2[[#This Row],[SKU]],'All Skus'!$A:$AC,2,FALSE))="AMX",(VLOOKUP(Table2[[#This Row],[SKU]],'All Skus'!$A:$AC,4,FALSE)),""))</f>
        <v>ABS</v>
      </c>
      <c r="D248" s="47" t="str">
        <f>(IF((VLOOKUP(Table2[[#This Row],[SKU]],'All Skus'!$A:$AC,2,FALSE))="AMX",(VLOOKUP(Table2[[#This Row],[SKU]],'All Skus'!$A:$AC,5,FALSE)),""))</f>
        <v>AMX-DC</v>
      </c>
      <c r="E248" s="281" t="str">
        <f>(IF((VLOOKUP(Table2[[#This Row],[SKU]],'All Skus'!$A:$AC,2,FALSE))="AMX",(VLOOKUP(Table2[[#This Row],[SKU]],'All Skus'!$A:$AC,7,FALSE)),""))</f>
        <v>Limited Quantity</v>
      </c>
      <c r="F248" s="280" t="str">
        <f>(IF((VLOOKUP(Table2[[#This Row],[SKU]],'All Skus'!$A:$AC,2,FALSE))="AMX",(VLOOKUP(Table2[[#This Row],[SKU]],'All Skus'!$A:$AC,8,FALSE)),""))</f>
        <v>AxLink Bus Strip</v>
      </c>
      <c r="G248" s="280" t="str">
        <f>(IF((VLOOKUP(Table2[[#This Row],[SKU]],'All Skus'!$A:$AC,2,FALSE))="AMX",(VLOOKUP(Table2[[#This Row],[SKU]],'All Skus'!$A:$AC,9,FALSE)),""))</f>
        <v>AxLink Power and data distribution with power indicator</v>
      </c>
      <c r="H248" s="157">
        <f>(IF((VLOOKUP(Table2[[#This Row],[SKU]],'All Skus'!$A:$AC,2,FALSE))="AMX",(VLOOKUP(Table2[[#This Row],[SKU]],'All Skus'!$A:$AC,10,FALSE)),""))</f>
        <v>185.2</v>
      </c>
      <c r="I248" s="157">
        <f>(IF((VLOOKUP(Table2[[#This Row],[SKU]],'All Skus'!$A:$AC,2,FALSE))="AMX",(VLOOKUP(Table2[[#This Row],[SKU]],'All Skus'!$A:$AC,11,FALSE)),""))</f>
        <v>185.2</v>
      </c>
      <c r="J248" s="47">
        <f>(IF((VLOOKUP(Table2[[#This Row],[SKU]],'All Skus'!$A:$AC,2,FALSE))="AMX",(VLOOKUP(Table2[[#This Row],[SKU]],'All Skus'!$A:$AC,15,FALSE)),""))</f>
        <v>0</v>
      </c>
      <c r="K248" s="47">
        <f>(IF((VLOOKUP(Table2[[#This Row],[SKU]],'All Skus'!$A:$AC,2,FALSE))="AMX",(VLOOKUP(Table2[[#This Row],[SKU]],'All Skus'!$A:$AC,16,FALSE)),""))</f>
        <v>718878009826</v>
      </c>
      <c r="L248" s="47">
        <f>(IF((VLOOKUP(Table2[[#This Row],[SKU]],'All Skus'!$A:$AC,2,FALSE))="AMX",(VLOOKUP(Table2[[#This Row],[SKU]],'All Skus'!$A:$AC,17,FALSE)),""))</f>
        <v>0</v>
      </c>
      <c r="M248" s="63">
        <f>(IF((VLOOKUP(Table2[[#This Row],[SKU]],'All Skus'!$A:$AC,2,FALSE))="AMX",(VLOOKUP(Table2[[#This Row],[SKU]],'All Skus'!$A:$AC,18,FALSE)),""))</f>
        <v>1</v>
      </c>
      <c r="N248" s="47">
        <f>(IF((VLOOKUP(Table2[[#This Row],[SKU]],'All Skus'!$A:$AC,2,FALSE))="AMX",(VLOOKUP(Table2[[#This Row],[SKU]],'All Skus'!$A:$AC,19,FALSE)),""))</f>
        <v>12.5</v>
      </c>
      <c r="O248" s="47">
        <f>(IF((VLOOKUP(Table2[[#This Row],[SKU]],'All Skus'!$A:$AC,2,FALSE))="AMX",(VLOOKUP(Table2[[#This Row],[SKU]],'All Skus'!$A:$AC,20,FALSE)),""))</f>
        <v>1.5</v>
      </c>
      <c r="P248" s="47">
        <f>(IF((VLOOKUP(Table2[[#This Row],[SKU]],'All Skus'!$A:$AC,2,FALSE))="AMX",(VLOOKUP(Table2[[#This Row],[SKU]],'All Skus'!$A:$AC,21,FALSE)),""))</f>
        <v>1.5</v>
      </c>
      <c r="Q248" s="47" t="str">
        <f>(IF((VLOOKUP(Table2[[#This Row],[SKU]],'All Skus'!$A:$AC,2,FALSE))="AMX",(VLOOKUP(Table2[[#This Row],[SKU]],'All Skus'!$A:$AC,22,FALSE)),""))</f>
        <v>US</v>
      </c>
      <c r="R248" s="47" t="str">
        <f>(IF((VLOOKUP(Table2[[#This Row],[SKU]],'All Skus'!$A:$AC,2,FALSE))="AMX",(VLOOKUP(Table2[[#This Row],[SKU]],'All Skus'!$A:$AC,23,FALSE)),""))</f>
        <v>Compliant</v>
      </c>
      <c r="S248" s="210" t="str">
        <f>HYPERLINK((IF((VLOOKUP(Table2[[#This Row],[SKU]],'All Skus'!$A:$AC,2,FALSE))="AMX",(VLOOKUP(Table2[[#This Row],[SKU]],'All Skus'!$A:$AC,24,FALSE)),"")))</f>
        <v>0</v>
      </c>
      <c r="T248" s="151">
        <v>246</v>
      </c>
    </row>
    <row r="249" spans="1:20" ht="12.6" hidden="1" customHeight="1">
      <c r="A249" s="48" t="s">
        <v>758</v>
      </c>
      <c r="B249" s="280" t="str">
        <f>(IF((VLOOKUP(Table2[[#This Row],[SKU]],'All Skus'!$A:$AC,2,FALSE))="AMX",(VLOOKUP(Table2[[#This Row],[SKU]],'All Skus'!$A:$AC,3,FALSE)),""))</f>
        <v>Networked AV</v>
      </c>
      <c r="C249" s="280" t="str">
        <f>(IF((VLOOKUP(Table2[[#This Row],[SKU]],'All Skus'!$A:$AC,2,FALSE))="AMX",(VLOOKUP(Table2[[#This Row],[SKU]],'All Skus'!$A:$AC,4,FALSE)),""))</f>
        <v>NMX-ENC-N1115-WP-BL</v>
      </c>
      <c r="D249" s="47" t="str">
        <f>(IF((VLOOKUP(Table2[[#This Row],[SKU]],'All Skus'!$A:$AC,2,FALSE))="AMX",(VLOOKUP(Table2[[#This Row],[SKU]],'All Skus'!$A:$AC,5,FALSE)),""))</f>
        <v>AMX-NM</v>
      </c>
      <c r="E249" s="281">
        <f>(IF((VLOOKUP(Table2[[#This Row],[SKU]],'All Skus'!$A:$AC,2,FALSE))="AMX",(VLOOKUP(Table2[[#This Row],[SKU]],'All Skus'!$A:$AC,7,FALSE)),""))</f>
        <v>0</v>
      </c>
      <c r="F249" s="280" t="str">
        <f>(IF((VLOOKUP(Table2[[#This Row],[SKU]],'All Skus'!$A:$AC,2,FALSE))="AMX",(VLOOKUP(Table2[[#This Row],[SKU]],'All Skus'!$A:$AC,8,FALSE)),""))</f>
        <v>N1000 Series AV Over IP Decor Style Wallplate Encoder with KVM in Black</v>
      </c>
      <c r="G249" s="280" t="str">
        <f>(IF((VLOOKUP(Table2[[#This Row],[SKU]],'All Skus'!$A:$AC,2,FALSE))="AMX",(VLOOKUP(Table2[[#This Row],[SKU]],'All Skus'!$A:$AC,9,FALSE)),""))</f>
        <v>SVSI Decor Style Wallplate Minimal Compression Video over IP Encoder with Ethernet port, KVM-over-IP keyboard and mouse operation, serial, audio, VGA, and HDMI video connections, black</v>
      </c>
      <c r="H249" s="157">
        <f>(IF((VLOOKUP(Table2[[#This Row],[SKU]],'All Skus'!$A:$AC,2,FALSE))="AMX",(VLOOKUP(Table2[[#This Row],[SKU]],'All Skus'!$A:$AC,10,FALSE)),""))</f>
        <v>1886.4</v>
      </c>
      <c r="I249" s="157">
        <f>(IF((VLOOKUP(Table2[[#This Row],[SKU]],'All Skus'!$A:$AC,2,FALSE))="AMX",(VLOOKUP(Table2[[#This Row],[SKU]],'All Skus'!$A:$AC,11,FALSE)),""))</f>
        <v>1886.4</v>
      </c>
      <c r="J249" s="47">
        <f>(IF((VLOOKUP(Table2[[#This Row],[SKU]],'All Skus'!$A:$AC,2,FALSE))="AMX",(VLOOKUP(Table2[[#This Row],[SKU]],'All Skus'!$A:$AC,15,FALSE)),""))</f>
        <v>0</v>
      </c>
      <c r="K249" s="47">
        <f>(IF((VLOOKUP(Table2[[#This Row],[SKU]],'All Skus'!$A:$AC,2,FALSE))="AMX",(VLOOKUP(Table2[[#This Row],[SKU]],'All Skus'!$A:$AC,16,FALSE)),""))</f>
        <v>718878025697</v>
      </c>
      <c r="L249" s="47">
        <f>(IF((VLOOKUP(Table2[[#This Row],[SKU]],'All Skus'!$A:$AC,2,FALSE))="AMX",(VLOOKUP(Table2[[#This Row],[SKU]],'All Skus'!$A:$AC,17,FALSE)),""))</f>
        <v>0</v>
      </c>
      <c r="M249" s="63">
        <f>(IF((VLOOKUP(Table2[[#This Row],[SKU]],'All Skus'!$A:$AC,2,FALSE))="AMX",(VLOOKUP(Table2[[#This Row],[SKU]],'All Skus'!$A:$AC,18,FALSE)),""))</f>
        <v>0.75</v>
      </c>
      <c r="N249" s="47">
        <f>(IF((VLOOKUP(Table2[[#This Row],[SKU]],'All Skus'!$A:$AC,2,FALSE))="AMX",(VLOOKUP(Table2[[#This Row],[SKU]],'All Skus'!$A:$AC,19,FALSE)),""))</f>
        <v>3.5</v>
      </c>
      <c r="O249" s="47">
        <f>(IF((VLOOKUP(Table2[[#This Row],[SKU]],'All Skus'!$A:$AC,2,FALSE))="AMX",(VLOOKUP(Table2[[#This Row],[SKU]],'All Skus'!$A:$AC,20,FALSE)),""))</f>
        <v>2.25</v>
      </c>
      <c r="P249" s="47">
        <f>(IF((VLOOKUP(Table2[[#This Row],[SKU]],'All Skus'!$A:$AC,2,FALSE))="AMX",(VLOOKUP(Table2[[#This Row],[SKU]],'All Skus'!$A:$AC,21,FALSE)),""))</f>
        <v>4.0599999999999996</v>
      </c>
      <c r="Q249" s="47" t="str">
        <f>(IF((VLOOKUP(Table2[[#This Row],[SKU]],'All Skus'!$A:$AC,2,FALSE))="AMX",(VLOOKUP(Table2[[#This Row],[SKU]],'All Skus'!$A:$AC,22,FALSE)),""))</f>
        <v>CN</v>
      </c>
      <c r="R249" s="47" t="str">
        <f>(IF((VLOOKUP(Table2[[#This Row],[SKU]],'All Skus'!$A:$AC,2,FALSE))="AMX",(VLOOKUP(Table2[[#This Row],[SKU]],'All Skus'!$A:$AC,23,FALSE)),""))</f>
        <v>NonCompliant</v>
      </c>
      <c r="S249" s="210" t="str">
        <f>HYPERLINK((IF((VLOOKUP(Table2[[#This Row],[SKU]],'All Skus'!$A:$AC,2,FALSE))="AMX",(VLOOKUP(Table2[[#This Row],[SKU]],'All Skus'!$A:$AC,24,FALSE)),"")))</f>
        <v>https://www.amx.com/en-US/products/nmx-enc-n1115-wp-wallplate-encoder</v>
      </c>
      <c r="T249" s="151">
        <v>247</v>
      </c>
    </row>
    <row r="250" spans="1:20" ht="15" hidden="1" customHeight="1">
      <c r="A250" s="48" t="s">
        <v>759</v>
      </c>
      <c r="B250" s="280" t="str">
        <f>(IF((VLOOKUP(Table2[[#This Row],[SKU]],'All Skus'!$A:$AC,2,FALSE))="AMX",(VLOOKUP(Table2[[#This Row],[SKU]],'All Skus'!$A:$AC,3,FALSE)),""))</f>
        <v>Networked AV</v>
      </c>
      <c r="C250" s="280" t="str">
        <f>(IF((VLOOKUP(Table2[[#This Row],[SKU]],'All Skus'!$A:$AC,2,FALSE))="AMX",(VLOOKUP(Table2[[#This Row],[SKU]],'All Skus'!$A:$AC,4,FALSE)),""))</f>
        <v>NMX-ENC-N1115-WP-WH</v>
      </c>
      <c r="D250" s="47" t="str">
        <f>(IF((VLOOKUP(Table2[[#This Row],[SKU]],'All Skus'!$A:$AC,2,FALSE))="AMX",(VLOOKUP(Table2[[#This Row],[SKU]],'All Skus'!$A:$AC,5,FALSE)),""))</f>
        <v>AMX-NM</v>
      </c>
      <c r="E250" s="281">
        <f>(IF((VLOOKUP(Table2[[#This Row],[SKU]],'All Skus'!$A:$AC,2,FALSE))="AMX",(VLOOKUP(Table2[[#This Row],[SKU]],'All Skus'!$A:$AC,7,FALSE)),""))</f>
        <v>0</v>
      </c>
      <c r="F250" s="280" t="str">
        <f>(IF((VLOOKUP(Table2[[#This Row],[SKU]],'All Skus'!$A:$AC,2,FALSE))="AMX",(VLOOKUP(Table2[[#This Row],[SKU]],'All Skus'!$A:$AC,8,FALSE)),""))</f>
        <v>N1000 Series AV Over IP Decor Style Wallplate Encoder with KVM in White</v>
      </c>
      <c r="G250" s="280" t="str">
        <f>(IF((VLOOKUP(Table2[[#This Row],[SKU]],'All Skus'!$A:$AC,2,FALSE))="AMX",(VLOOKUP(Table2[[#This Row],[SKU]],'All Skus'!$A:$AC,9,FALSE)),""))</f>
        <v>SVSI Decor Style Wallplate Minimal Compression Video over IP Encoder with Ethernet port, KVM-over-IP keyboard and mouse operation, serial, audio, VGA, and HDMI video connections, white</v>
      </c>
      <c r="H250" s="157">
        <f>(IF((VLOOKUP(Table2[[#This Row],[SKU]],'All Skus'!$A:$AC,2,FALSE))="AMX",(VLOOKUP(Table2[[#This Row],[SKU]],'All Skus'!$A:$AC,10,FALSE)),""))</f>
        <v>1886.4</v>
      </c>
      <c r="I250" s="157">
        <f>(IF((VLOOKUP(Table2[[#This Row],[SKU]],'All Skus'!$A:$AC,2,FALSE))="AMX",(VLOOKUP(Table2[[#This Row],[SKU]],'All Skus'!$A:$AC,11,FALSE)),""))</f>
        <v>1886.4</v>
      </c>
      <c r="J250" s="47">
        <f>(IF((VLOOKUP(Table2[[#This Row],[SKU]],'All Skus'!$A:$AC,2,FALSE))="AMX",(VLOOKUP(Table2[[#This Row],[SKU]],'All Skus'!$A:$AC,15,FALSE)),""))</f>
        <v>0</v>
      </c>
      <c r="K250" s="47">
        <f>(IF((VLOOKUP(Table2[[#This Row],[SKU]],'All Skus'!$A:$AC,2,FALSE))="AMX",(VLOOKUP(Table2[[#This Row],[SKU]],'All Skus'!$A:$AC,16,FALSE)),""))</f>
        <v>718878025703</v>
      </c>
      <c r="L250" s="47">
        <f>(IF((VLOOKUP(Table2[[#This Row],[SKU]],'All Skus'!$A:$AC,2,FALSE))="AMX",(VLOOKUP(Table2[[#This Row],[SKU]],'All Skus'!$A:$AC,17,FALSE)),""))</f>
        <v>0</v>
      </c>
      <c r="M250" s="63">
        <f>(IF((VLOOKUP(Table2[[#This Row],[SKU]],'All Skus'!$A:$AC,2,FALSE))="AMX",(VLOOKUP(Table2[[#This Row],[SKU]],'All Skus'!$A:$AC,18,FALSE)),""))</f>
        <v>0.75</v>
      </c>
      <c r="N250" s="47">
        <f>(IF((VLOOKUP(Table2[[#This Row],[SKU]],'All Skus'!$A:$AC,2,FALSE))="AMX",(VLOOKUP(Table2[[#This Row],[SKU]],'All Skus'!$A:$AC,19,FALSE)),""))</f>
        <v>3.5</v>
      </c>
      <c r="O250" s="47">
        <f>(IF((VLOOKUP(Table2[[#This Row],[SKU]],'All Skus'!$A:$AC,2,FALSE))="AMX",(VLOOKUP(Table2[[#This Row],[SKU]],'All Skus'!$A:$AC,20,FALSE)),""))</f>
        <v>2.25</v>
      </c>
      <c r="P250" s="47">
        <f>(IF((VLOOKUP(Table2[[#This Row],[SKU]],'All Skus'!$A:$AC,2,FALSE))="AMX",(VLOOKUP(Table2[[#This Row],[SKU]],'All Skus'!$A:$AC,21,FALSE)),""))</f>
        <v>4.0599999999999996</v>
      </c>
      <c r="Q250" s="47" t="str">
        <f>(IF((VLOOKUP(Table2[[#This Row],[SKU]],'All Skus'!$A:$AC,2,FALSE))="AMX",(VLOOKUP(Table2[[#This Row],[SKU]],'All Skus'!$A:$AC,22,FALSE)),""))</f>
        <v>CN</v>
      </c>
      <c r="R250" s="47" t="str">
        <f>(IF((VLOOKUP(Table2[[#This Row],[SKU]],'All Skus'!$A:$AC,2,FALSE))="AMX",(VLOOKUP(Table2[[#This Row],[SKU]],'All Skus'!$A:$AC,23,FALSE)),""))</f>
        <v>NonCompliant</v>
      </c>
      <c r="S250" s="210" t="str">
        <f>HYPERLINK((IF((VLOOKUP(Table2[[#This Row],[SKU]],'All Skus'!$A:$AC,2,FALSE))="AMX",(VLOOKUP(Table2[[#This Row],[SKU]],'All Skus'!$A:$AC,24,FALSE)),"")))</f>
        <v>https://www.amx.com/en-US/products/nmx-enc-n1115-wp-wallplate-encoder</v>
      </c>
      <c r="T250" s="151">
        <v>248</v>
      </c>
    </row>
    <row r="251" spans="1:20" hidden="1">
      <c r="A251" s="48" t="s">
        <v>760</v>
      </c>
      <c r="B251" s="280" t="str">
        <f>(IF((VLOOKUP(Table2[[#This Row],[SKU]],'All Skus'!$A:$AC,2,FALSE))="AMX",(VLOOKUP(Table2[[#This Row],[SKU]],'All Skus'!$A:$AC,3,FALSE)),""))</f>
        <v>Networked AV</v>
      </c>
      <c r="C251" s="280" t="str">
        <f>(IF((VLOOKUP(Table2[[#This Row],[SKU]],'All Skus'!$A:$AC,2,FALSE))="AMX",(VLOOKUP(Table2[[#This Row],[SKU]],'All Skus'!$A:$AC,4,FALSE)),""))</f>
        <v>NMX-ENC-N1122A-C</v>
      </c>
      <c r="D251" s="47" t="str">
        <f>(IF((VLOOKUP(Table2[[#This Row],[SKU]],'All Skus'!$A:$AC,2,FALSE))="AMX",(VLOOKUP(Table2[[#This Row],[SKU]],'All Skus'!$A:$AC,5,FALSE)),""))</f>
        <v>AMX-NM</v>
      </c>
      <c r="E251" s="281">
        <f>(IF((VLOOKUP(Table2[[#This Row],[SKU]],'All Skus'!$A:$AC,2,FALSE))="AMX",(VLOOKUP(Table2[[#This Row],[SKU]],'All Skus'!$A:$AC,7,FALSE)),""))</f>
        <v>0</v>
      </c>
      <c r="F251" s="280" t="str">
        <f>(IF((VLOOKUP(Table2[[#This Row],[SKU]],'All Skus'!$A:$AC,2,FALSE))="AMX",(VLOOKUP(Table2[[#This Row],[SKU]],'All Skus'!$A:$AC,8,FALSE)),""))</f>
        <v>N1000 Series AV Over IP Decoder with AES67 Support, Card</v>
      </c>
      <c r="G251" s="280" t="str">
        <f>(IF((VLOOKUP(Table2[[#This Row],[SKU]],'All Skus'!$A:$AC,2,FALSE))="AMX",(VLOOKUP(Table2[[#This Row],[SKU]],'All Skus'!$A:$AC,9,FALSE)),""))</f>
        <v>SVSI Minimal Compression Video over IP Encoder Card with two RJ45 network ports (one POE), IR, serial, balanced audio, VGA, and HDMI video connections - must be used in conjunction with NMX-ACC-N9206 Rack Mount Cage</v>
      </c>
      <c r="H251" s="157">
        <f>(IF((VLOOKUP(Table2[[#This Row],[SKU]],'All Skus'!$A:$AC,2,FALSE))="AMX",(VLOOKUP(Table2[[#This Row],[SKU]],'All Skus'!$A:$AC,10,FALSE)),""))</f>
        <v>1484</v>
      </c>
      <c r="I251" s="157">
        <f>(IF((VLOOKUP(Table2[[#This Row],[SKU]],'All Skus'!$A:$AC,2,FALSE))="AMX",(VLOOKUP(Table2[[#This Row],[SKU]],'All Skus'!$A:$AC,11,FALSE)),""))</f>
        <v>1484</v>
      </c>
      <c r="J251" s="47">
        <f>(IF((VLOOKUP(Table2[[#This Row],[SKU]],'All Skus'!$A:$AC,2,FALSE))="AMX",(VLOOKUP(Table2[[#This Row],[SKU]],'All Skus'!$A:$AC,15,FALSE)),""))</f>
        <v>0</v>
      </c>
      <c r="K251" s="47">
        <f>(IF((VLOOKUP(Table2[[#This Row],[SKU]],'All Skus'!$A:$AC,2,FALSE))="AMX",(VLOOKUP(Table2[[#This Row],[SKU]],'All Skus'!$A:$AC,16,FALSE)),""))</f>
        <v>718878024331</v>
      </c>
      <c r="L251" s="47">
        <f>(IF((VLOOKUP(Table2[[#This Row],[SKU]],'All Skus'!$A:$AC,2,FALSE))="AMX",(VLOOKUP(Table2[[#This Row],[SKU]],'All Skus'!$A:$AC,17,FALSE)),""))</f>
        <v>0</v>
      </c>
      <c r="M251" s="63">
        <f>(IF((VLOOKUP(Table2[[#This Row],[SKU]],'All Skus'!$A:$AC,2,FALSE))="AMX",(VLOOKUP(Table2[[#This Row],[SKU]],'All Skus'!$A:$AC,18,FALSE)),""))</f>
        <v>1.55</v>
      </c>
      <c r="N251" s="47">
        <f>(IF((VLOOKUP(Table2[[#This Row],[SKU]],'All Skus'!$A:$AC,2,FALSE))="AMX",(VLOOKUP(Table2[[#This Row],[SKU]],'All Skus'!$A:$AC,19,FALSE)),""))</f>
        <v>7.88</v>
      </c>
      <c r="O251" s="47">
        <f>(IF((VLOOKUP(Table2[[#This Row],[SKU]],'All Skus'!$A:$AC,2,FALSE))="AMX",(VLOOKUP(Table2[[#This Row],[SKU]],'All Skus'!$A:$AC,20,FALSE)),""))</f>
        <v>5.5</v>
      </c>
      <c r="P251" s="47">
        <f>(IF((VLOOKUP(Table2[[#This Row],[SKU]],'All Skus'!$A:$AC,2,FALSE))="AMX",(VLOOKUP(Table2[[#This Row],[SKU]],'All Skus'!$A:$AC,21,FALSE)),""))</f>
        <v>1.05</v>
      </c>
      <c r="Q251" s="47" t="str">
        <f>(IF((VLOOKUP(Table2[[#This Row],[SKU]],'All Skus'!$A:$AC,2,FALSE))="AMX",(VLOOKUP(Table2[[#This Row],[SKU]],'All Skus'!$A:$AC,22,FALSE)),""))</f>
        <v>US</v>
      </c>
      <c r="R251" s="47" t="str">
        <f>(IF((VLOOKUP(Table2[[#This Row],[SKU]],'All Skus'!$A:$AC,2,FALSE))="AMX",(VLOOKUP(Table2[[#This Row],[SKU]],'All Skus'!$A:$AC,23,FALSE)),""))</f>
        <v>Compliant</v>
      </c>
      <c r="S251" s="210" t="str">
        <f>HYPERLINK((IF((VLOOKUP(Table2[[#This Row],[SKU]],'All Skus'!$A:$AC,2,FALSE))="AMX",(VLOOKUP(Table2[[#This Row],[SKU]],'All Skus'!$A:$AC,24,FALSE)),"")))</f>
        <v>https://www.amx.com/en-US/products/nmx-enc-n1122a-c-encoder-card</v>
      </c>
      <c r="T251" s="151">
        <v>249</v>
      </c>
    </row>
    <row r="252" spans="1:20" hidden="1">
      <c r="A252" s="48" t="s">
        <v>761</v>
      </c>
      <c r="B252" s="280" t="str">
        <f>(IF((VLOOKUP(Table2[[#This Row],[SKU]],'All Skus'!$A:$AC,2,FALSE))="AMX",(VLOOKUP(Table2[[#This Row],[SKU]],'All Skus'!$A:$AC,3,FALSE)),""))</f>
        <v>Networked AV</v>
      </c>
      <c r="C252" s="280" t="str">
        <f>(IF((VLOOKUP(Table2[[#This Row],[SKU]],'All Skus'!$A:$AC,2,FALSE))="AMX",(VLOOKUP(Table2[[#This Row],[SKU]],'All Skus'!$A:$AC,4,FALSE)),""))</f>
        <v>NMX-ENC-N1122A</v>
      </c>
      <c r="D252" s="47" t="str">
        <f>(IF((VLOOKUP(Table2[[#This Row],[SKU]],'All Skus'!$A:$AC,2,FALSE))="AMX",(VLOOKUP(Table2[[#This Row],[SKU]],'All Skus'!$A:$AC,5,FALSE)),""))</f>
        <v>AMX-NM</v>
      </c>
      <c r="E252" s="281">
        <f>(IF((VLOOKUP(Table2[[#This Row],[SKU]],'All Skus'!$A:$AC,2,FALSE))="AMX",(VLOOKUP(Table2[[#This Row],[SKU]],'All Skus'!$A:$AC,7,FALSE)),""))</f>
        <v>0</v>
      </c>
      <c r="F252" s="280" t="str">
        <f>(IF((VLOOKUP(Table2[[#This Row],[SKU]],'All Skus'!$A:$AC,2,FALSE))="AMX",(VLOOKUP(Table2[[#This Row],[SKU]],'All Skus'!$A:$AC,8,FALSE)),""))</f>
        <v>N1000 Series AV Over IP Encoder with PoE, AES67 Support, Stand-alone</v>
      </c>
      <c r="G252" s="280" t="str">
        <f>(IF((VLOOKUP(Table2[[#This Row],[SKU]],'All Skus'!$A:$AC,2,FALSE))="AMX",(VLOOKUP(Table2[[#This Row],[SKU]],'All Skus'!$A:$AC,9,FALSE)),""))</f>
        <v>SVSI Stand-alone Minimal Compression Video over IP Encoder with two RJ45 network ports (one POE), IR, serial, balanced audio, VGA, and HDMI video connections</v>
      </c>
      <c r="H252" s="157">
        <f>(IF((VLOOKUP(Table2[[#This Row],[SKU]],'All Skus'!$A:$AC,2,FALSE))="AMX",(VLOOKUP(Table2[[#This Row],[SKU]],'All Skus'!$A:$AC,10,FALSE)),""))</f>
        <v>1532</v>
      </c>
      <c r="I252" s="157">
        <f>(IF((VLOOKUP(Table2[[#This Row],[SKU]],'All Skus'!$A:$AC,2,FALSE))="AMX",(VLOOKUP(Table2[[#This Row],[SKU]],'All Skus'!$A:$AC,11,FALSE)),""))</f>
        <v>1532</v>
      </c>
      <c r="J252" s="47">
        <f>(IF((VLOOKUP(Table2[[#This Row],[SKU]],'All Skus'!$A:$AC,2,FALSE))="AMX",(VLOOKUP(Table2[[#This Row],[SKU]],'All Skus'!$A:$AC,15,FALSE)),""))</f>
        <v>0</v>
      </c>
      <c r="K252" s="47">
        <f>(IF((VLOOKUP(Table2[[#This Row],[SKU]],'All Skus'!$A:$AC,2,FALSE))="AMX",(VLOOKUP(Table2[[#This Row],[SKU]],'All Skus'!$A:$AC,16,FALSE)),""))</f>
        <v>718878033456</v>
      </c>
      <c r="L252" s="47">
        <f>(IF((VLOOKUP(Table2[[#This Row],[SKU]],'All Skus'!$A:$AC,2,FALSE))="AMX",(VLOOKUP(Table2[[#This Row],[SKU]],'All Skus'!$A:$AC,17,FALSE)),""))</f>
        <v>0</v>
      </c>
      <c r="M252" s="63">
        <f>(IF((VLOOKUP(Table2[[#This Row],[SKU]],'All Skus'!$A:$AC,2,FALSE))="AMX",(VLOOKUP(Table2[[#This Row],[SKU]],'All Skus'!$A:$AC,18,FALSE)),""))</f>
        <v>1.55</v>
      </c>
      <c r="N252" s="47">
        <f>(IF((VLOOKUP(Table2[[#This Row],[SKU]],'All Skus'!$A:$AC,2,FALSE))="AMX",(VLOOKUP(Table2[[#This Row],[SKU]],'All Skus'!$A:$AC,19,FALSE)),""))</f>
        <v>7.88</v>
      </c>
      <c r="O252" s="47">
        <f>(IF((VLOOKUP(Table2[[#This Row],[SKU]],'All Skus'!$A:$AC,2,FALSE))="AMX",(VLOOKUP(Table2[[#This Row],[SKU]],'All Skus'!$A:$AC,20,FALSE)),""))</f>
        <v>5.5</v>
      </c>
      <c r="P252" s="47">
        <f>(IF((VLOOKUP(Table2[[#This Row],[SKU]],'All Skus'!$A:$AC,2,FALSE))="AMX",(VLOOKUP(Table2[[#This Row],[SKU]],'All Skus'!$A:$AC,21,FALSE)),""))</f>
        <v>1.05</v>
      </c>
      <c r="Q252" s="47" t="str">
        <f>(IF((VLOOKUP(Table2[[#This Row],[SKU]],'All Skus'!$A:$AC,2,FALSE))="AMX",(VLOOKUP(Table2[[#This Row],[SKU]],'All Skus'!$A:$AC,22,FALSE)),""))</f>
        <v>US</v>
      </c>
      <c r="R252" s="47" t="str">
        <f>(IF((VLOOKUP(Table2[[#This Row],[SKU]],'All Skus'!$A:$AC,2,FALSE))="AMX",(VLOOKUP(Table2[[#This Row],[SKU]],'All Skus'!$A:$AC,23,FALSE)),""))</f>
        <v>Compliant</v>
      </c>
      <c r="S252" s="210" t="str">
        <f>HYPERLINK((IF((VLOOKUP(Table2[[#This Row],[SKU]],'All Skus'!$A:$AC,2,FALSE))="AMX",(VLOOKUP(Table2[[#This Row],[SKU]],'All Skus'!$A:$AC,24,FALSE)),"")))</f>
        <v>https://www.amx.com/en-US/products/nmx-enc-n1122a-encoder</v>
      </c>
      <c r="T252" s="151">
        <v>250</v>
      </c>
    </row>
    <row r="253" spans="1:20" hidden="1">
      <c r="A253" s="48" t="s">
        <v>762</v>
      </c>
      <c r="B253" s="280" t="str">
        <f>(IF((VLOOKUP(Table2[[#This Row],[SKU]],'All Skus'!$A:$AC,2,FALSE))="AMX",(VLOOKUP(Table2[[#This Row],[SKU]],'All Skus'!$A:$AC,3,FALSE)),""))</f>
        <v>Networked AV</v>
      </c>
      <c r="C253" s="280" t="str">
        <f>(IF((VLOOKUP(Table2[[#This Row],[SKU]],'All Skus'!$A:$AC,2,FALSE))="AMX",(VLOOKUP(Table2[[#This Row],[SKU]],'All Skus'!$A:$AC,4,FALSE)),""))</f>
        <v>NMX-ENC-N1133A-C</v>
      </c>
      <c r="D253" s="47" t="str">
        <f>(IF((VLOOKUP(Table2[[#This Row],[SKU]],'All Skus'!$A:$AC,2,FALSE))="AMX",(VLOOKUP(Table2[[#This Row],[SKU]],'All Skus'!$A:$AC,5,FALSE)),""))</f>
        <v>AMX-NM</v>
      </c>
      <c r="E253" s="281" t="str">
        <f>(IF((VLOOKUP(Table2[[#This Row],[SKU]],'All Skus'!$A:$AC,2,FALSE))="AMX",(VLOOKUP(Table2[[#This Row],[SKU]],'All Skus'!$A:$AC,7,FALSE)),""))</f>
        <v>Limited Quantity</v>
      </c>
      <c r="F253" s="280" t="str">
        <f>(IF((VLOOKUP(Table2[[#This Row],[SKU]],'All Skus'!$A:$AC,2,FALSE))="AMX",(VLOOKUP(Table2[[#This Row],[SKU]],'All Skus'!$A:$AC,8,FALSE)),""))</f>
        <v>N1000 Series AV Over IP Encoder with KVM, AES67 Support, Card</v>
      </c>
      <c r="G253" s="280" t="str">
        <f>(IF((VLOOKUP(Table2[[#This Row],[SKU]],'All Skus'!$A:$AC,2,FALSE))="AMX",(VLOOKUP(Table2[[#This Row],[SKU]],'All Skus'!$A:$AC,9,FALSE)),""))</f>
        <v>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v>
      </c>
      <c r="H253" s="282">
        <f>(IF((VLOOKUP(Table2[[#This Row],[SKU]],'All Skus'!$A:$AC,2,FALSE))="AMX",(VLOOKUP(Table2[[#This Row],[SKU]],'All Skus'!$A:$AC,10,FALSE)),""))</f>
        <v>1825.9</v>
      </c>
      <c r="I253" s="282">
        <f>(IF((VLOOKUP(Table2[[#This Row],[SKU]],'All Skus'!$A:$AC,2,FALSE))="AMX",(VLOOKUP(Table2[[#This Row],[SKU]],'All Skus'!$A:$AC,11,FALSE)),""))</f>
        <v>1825.9</v>
      </c>
      <c r="J253" s="47">
        <f>(IF((VLOOKUP(Table2[[#This Row],[SKU]],'All Skus'!$A:$AC,2,FALSE))="AMX",(VLOOKUP(Table2[[#This Row],[SKU]],'All Skus'!$A:$AC,15,FALSE)),""))</f>
        <v>0</v>
      </c>
      <c r="K253" s="47">
        <f>(IF((VLOOKUP(Table2[[#This Row],[SKU]],'All Skus'!$A:$AC,2,FALSE))="AMX",(VLOOKUP(Table2[[#This Row],[SKU]],'All Skus'!$A:$AC,16,FALSE)),""))</f>
        <v>718878033463</v>
      </c>
      <c r="L253" s="47">
        <f>(IF((VLOOKUP(Table2[[#This Row],[SKU]],'All Skus'!$A:$AC,2,FALSE))="AMX",(VLOOKUP(Table2[[#This Row],[SKU]],'All Skus'!$A:$AC,17,FALSE)),""))</f>
        <v>0</v>
      </c>
      <c r="M253" s="63">
        <f>(IF((VLOOKUP(Table2[[#This Row],[SKU]],'All Skus'!$A:$AC,2,FALSE))="AMX",(VLOOKUP(Table2[[#This Row],[SKU]],'All Skus'!$A:$AC,18,FALSE)),""))</f>
        <v>1.55</v>
      </c>
      <c r="N253" s="47">
        <f>(IF((VLOOKUP(Table2[[#This Row],[SKU]],'All Skus'!$A:$AC,2,FALSE))="AMX",(VLOOKUP(Table2[[#This Row],[SKU]],'All Skus'!$A:$AC,19,FALSE)),""))</f>
        <v>7.88</v>
      </c>
      <c r="O253" s="47">
        <f>(IF((VLOOKUP(Table2[[#This Row],[SKU]],'All Skus'!$A:$AC,2,FALSE))="AMX",(VLOOKUP(Table2[[#This Row],[SKU]],'All Skus'!$A:$AC,20,FALSE)),""))</f>
        <v>5.5</v>
      </c>
      <c r="P253" s="47">
        <f>(IF((VLOOKUP(Table2[[#This Row],[SKU]],'All Skus'!$A:$AC,2,FALSE))="AMX",(VLOOKUP(Table2[[#This Row],[SKU]],'All Skus'!$A:$AC,21,FALSE)),""))</f>
        <v>1.05</v>
      </c>
      <c r="Q253" s="47" t="str">
        <f>(IF((VLOOKUP(Table2[[#This Row],[SKU]],'All Skus'!$A:$AC,2,FALSE))="AMX",(VLOOKUP(Table2[[#This Row],[SKU]],'All Skus'!$A:$AC,22,FALSE)),""))</f>
        <v>MX</v>
      </c>
      <c r="R253" s="47" t="str">
        <f>(IF((VLOOKUP(Table2[[#This Row],[SKU]],'All Skus'!$A:$AC,2,FALSE))="AMX",(VLOOKUP(Table2[[#This Row],[SKU]],'All Skus'!$A:$AC,23,FALSE)),""))</f>
        <v>Compliant</v>
      </c>
      <c r="S253" s="279" t="str">
        <f>HYPERLINK((IF((VLOOKUP(Table2[[#This Row],[SKU]],'All Skus'!$A:$AC,2,FALSE))="AMX",(VLOOKUP(Table2[[#This Row],[SKU]],'All Skus'!$A:$AC,24,FALSE)),"")))</f>
        <v>https://www.amx.com/en-US/products/nmx-enc-n1133a-c-encoder-card</v>
      </c>
      <c r="T253" s="47">
        <v>251</v>
      </c>
    </row>
    <row r="254" spans="1:20" hidden="1">
      <c r="A254" s="48" t="s">
        <v>763</v>
      </c>
      <c r="B254" s="280" t="str">
        <f>(IF((VLOOKUP(Table2[[#This Row],[SKU]],'All Skus'!$A:$AC,2,FALSE))="AMX",(VLOOKUP(Table2[[#This Row],[SKU]],'All Skus'!$A:$AC,3,FALSE)),""))</f>
        <v>Networked AV</v>
      </c>
      <c r="C254" s="280" t="str">
        <f>(IF((VLOOKUP(Table2[[#This Row],[SKU]],'All Skus'!$A:$AC,2,FALSE))="AMX",(VLOOKUP(Table2[[#This Row],[SKU]],'All Skus'!$A:$AC,4,FALSE)),""))</f>
        <v>NMX-ENC-N1133A</v>
      </c>
      <c r="D254" s="47" t="str">
        <f>(IF((VLOOKUP(Table2[[#This Row],[SKU]],'All Skus'!$A:$AC,2,FALSE))="AMX",(VLOOKUP(Table2[[#This Row],[SKU]],'All Skus'!$A:$AC,5,FALSE)),""))</f>
        <v>AMX-NM</v>
      </c>
      <c r="E254" s="281" t="str">
        <f>(IF((VLOOKUP(Table2[[#This Row],[SKU]],'All Skus'!$A:$AC,2,FALSE))="AMX",(VLOOKUP(Table2[[#This Row],[SKU]],'All Skus'!$A:$AC,7,FALSE)),""))</f>
        <v>Limited Quantity</v>
      </c>
      <c r="F254" s="280" t="str">
        <f>(IF((VLOOKUP(Table2[[#This Row],[SKU]],'All Skus'!$A:$AC,2,FALSE))="AMX",(VLOOKUP(Table2[[#This Row],[SKU]],'All Skus'!$A:$AC,8,FALSE)),""))</f>
        <v>N1000 Series AV Over IP Encoder with KVM, AES67 Support, Stand-alone</v>
      </c>
      <c r="G254" s="280" t="str">
        <f>(IF((VLOOKUP(Table2[[#This Row],[SKU]],'All Skus'!$A:$AC,2,FALSE))="AMX",(VLOOKUP(Table2[[#This Row],[SKU]],'All Skus'!$A:$AC,9,FALSE)),""))</f>
        <v>SVSI Stand-alone Minimal Compression Video over IP Encoder with one SFP fiber/RJ45 copper network port cage and one RJ45 (with PoE) port, IR, KVM-over-IP keyboard and mouse operation, serial, balanced audio, VGA, and HDMI video connections, AES67 compatible (SFP module not included)</v>
      </c>
      <c r="H254" s="282">
        <f>(IF((VLOOKUP(Table2[[#This Row],[SKU]],'All Skus'!$A:$AC,2,FALSE))="AMX",(VLOOKUP(Table2[[#This Row],[SKU]],'All Skus'!$A:$AC,10,FALSE)),""))</f>
        <v>1886.4</v>
      </c>
      <c r="I254" s="282">
        <f>(IF((VLOOKUP(Table2[[#This Row],[SKU]],'All Skus'!$A:$AC,2,FALSE))="AMX",(VLOOKUP(Table2[[#This Row],[SKU]],'All Skus'!$A:$AC,11,FALSE)),""))</f>
        <v>1886.4</v>
      </c>
      <c r="J254" s="47">
        <f>(IF((VLOOKUP(Table2[[#This Row],[SKU]],'All Skus'!$A:$AC,2,FALSE))="AMX",(VLOOKUP(Table2[[#This Row],[SKU]],'All Skus'!$A:$AC,15,FALSE)),""))</f>
        <v>0</v>
      </c>
      <c r="K254" s="47">
        <f>(IF((VLOOKUP(Table2[[#This Row],[SKU]],'All Skus'!$A:$AC,2,FALSE))="AMX",(VLOOKUP(Table2[[#This Row],[SKU]],'All Skus'!$A:$AC,16,FALSE)),""))</f>
        <v>718878033470</v>
      </c>
      <c r="L254" s="47">
        <f>(IF((VLOOKUP(Table2[[#This Row],[SKU]],'All Skus'!$A:$AC,2,FALSE))="AMX",(VLOOKUP(Table2[[#This Row],[SKU]],'All Skus'!$A:$AC,17,FALSE)),""))</f>
        <v>0</v>
      </c>
      <c r="M254" s="63">
        <f>(IF((VLOOKUP(Table2[[#This Row],[SKU]],'All Skus'!$A:$AC,2,FALSE))="AMX",(VLOOKUP(Table2[[#This Row],[SKU]],'All Skus'!$A:$AC,18,FALSE)),""))</f>
        <v>1.55</v>
      </c>
      <c r="N254" s="47">
        <f>(IF((VLOOKUP(Table2[[#This Row],[SKU]],'All Skus'!$A:$AC,2,FALSE))="AMX",(VLOOKUP(Table2[[#This Row],[SKU]],'All Skus'!$A:$AC,19,FALSE)),""))</f>
        <v>7.88</v>
      </c>
      <c r="O254" s="47">
        <f>(IF((VLOOKUP(Table2[[#This Row],[SKU]],'All Skus'!$A:$AC,2,FALSE))="AMX",(VLOOKUP(Table2[[#This Row],[SKU]],'All Skus'!$A:$AC,20,FALSE)),""))</f>
        <v>5.5</v>
      </c>
      <c r="P254" s="47">
        <f>(IF((VLOOKUP(Table2[[#This Row],[SKU]],'All Skus'!$A:$AC,2,FALSE))="AMX",(VLOOKUP(Table2[[#This Row],[SKU]],'All Skus'!$A:$AC,21,FALSE)),""))</f>
        <v>1.05</v>
      </c>
      <c r="Q254" s="47" t="str">
        <f>(IF((VLOOKUP(Table2[[#This Row],[SKU]],'All Skus'!$A:$AC,2,FALSE))="AMX",(VLOOKUP(Table2[[#This Row],[SKU]],'All Skus'!$A:$AC,22,FALSE)),""))</f>
        <v>MX</v>
      </c>
      <c r="R254" s="47" t="str">
        <f>(IF((VLOOKUP(Table2[[#This Row],[SKU]],'All Skus'!$A:$AC,2,FALSE))="AMX",(VLOOKUP(Table2[[#This Row],[SKU]],'All Skus'!$A:$AC,23,FALSE)),""))</f>
        <v>Compliant</v>
      </c>
      <c r="S254" s="279" t="str">
        <f>HYPERLINK((IF((VLOOKUP(Table2[[#This Row],[SKU]],'All Skus'!$A:$AC,2,FALSE))="AMX",(VLOOKUP(Table2[[#This Row],[SKU]],'All Skus'!$A:$AC,24,FALSE)),"")))</f>
        <v>https://www.amx.com/en-US/products/nmx-enc-n1133a-encoder</v>
      </c>
      <c r="T254" s="47">
        <v>252</v>
      </c>
    </row>
    <row r="255" spans="1:20" hidden="1">
      <c r="A255" s="48" t="s">
        <v>764</v>
      </c>
      <c r="B255" s="280" t="str">
        <f>(IF((VLOOKUP(Table2[[#This Row],[SKU]],'All Skus'!$A:$AC,2,FALSE))="AMX",(VLOOKUP(Table2[[#This Row],[SKU]],'All Skus'!$A:$AC,3,FALSE)),""))</f>
        <v>Networked AV</v>
      </c>
      <c r="C255" s="280" t="str">
        <f>(IF((VLOOKUP(Table2[[#This Row],[SKU]],'All Skus'!$A:$AC,2,FALSE))="AMX",(VLOOKUP(Table2[[#This Row],[SKU]],'All Skus'!$A:$AC,4,FALSE)),""))</f>
        <v>NMX-ENC-N1134A</v>
      </c>
      <c r="D255" s="47" t="str">
        <f>(IF((VLOOKUP(Table2[[#This Row],[SKU]],'All Skus'!$A:$AC,2,FALSE))="AMX",(VLOOKUP(Table2[[#This Row],[SKU]],'All Skus'!$A:$AC,5,FALSE)),""))</f>
        <v>AMX-NM</v>
      </c>
      <c r="E255" s="281">
        <f>(IF((VLOOKUP(Table2[[#This Row],[SKU]],'All Skus'!$A:$AC,2,FALSE))="AMX",(VLOOKUP(Table2[[#This Row],[SKU]],'All Skus'!$A:$AC,7,FALSE)),""))</f>
        <v>0</v>
      </c>
      <c r="F255" s="280" t="str">
        <f>(IF((VLOOKUP(Table2[[#This Row],[SKU]],'All Skus'!$A:$AC,2,FALSE))="AMX",(VLOOKUP(Table2[[#This Row],[SKU]],'All Skus'!$A:$AC,8,FALSE)),""))</f>
        <v>N1000 Series HD-SDI AV over IP Encoder, Stand-alone</v>
      </c>
      <c r="G255" s="280" t="str">
        <f>(IF((VLOOKUP(Table2[[#This Row],[SKU]],'All Skus'!$A:$AC,2,FALSE))="AMX",(VLOOKUP(Table2[[#This Row],[SKU]],'All Skus'!$A:$AC,9,FALSE)),""))</f>
        <v>SVSi Stand-alone Minimal Compression Video over IP featuring SDI input</v>
      </c>
      <c r="H255" s="157">
        <f>(IF((VLOOKUP(Table2[[#This Row],[SKU]],'All Skus'!$A:$AC,2,FALSE))="AMX",(VLOOKUP(Table2[[#This Row],[SKU]],'All Skus'!$A:$AC,10,FALSE)),""))</f>
        <v>2000.8</v>
      </c>
      <c r="I255" s="157">
        <f>(IF((VLOOKUP(Table2[[#This Row],[SKU]],'All Skus'!$A:$AC,2,FALSE))="AMX",(VLOOKUP(Table2[[#This Row],[SKU]],'All Skus'!$A:$AC,11,FALSE)),""))</f>
        <v>2000.8</v>
      </c>
      <c r="J255" s="47">
        <f>(IF((VLOOKUP(Table2[[#This Row],[SKU]],'All Skus'!$A:$AC,2,FALSE))="AMX",(VLOOKUP(Table2[[#This Row],[SKU]],'All Skus'!$A:$AC,15,FALSE)),""))</f>
        <v>0</v>
      </c>
      <c r="K255" s="47">
        <f>(IF((VLOOKUP(Table2[[#This Row],[SKU]],'All Skus'!$A:$AC,2,FALSE))="AMX",(VLOOKUP(Table2[[#This Row],[SKU]],'All Skus'!$A:$AC,16,FALSE)),""))</f>
        <v>718878033487</v>
      </c>
      <c r="L255" s="47">
        <f>(IF((VLOOKUP(Table2[[#This Row],[SKU]],'All Skus'!$A:$AC,2,FALSE))="AMX",(VLOOKUP(Table2[[#This Row],[SKU]],'All Skus'!$A:$AC,17,FALSE)),""))</f>
        <v>0</v>
      </c>
      <c r="M255" s="63">
        <f>(IF((VLOOKUP(Table2[[#This Row],[SKU]],'All Skus'!$A:$AC,2,FALSE))="AMX",(VLOOKUP(Table2[[#This Row],[SKU]],'All Skus'!$A:$AC,18,FALSE)),""))</f>
        <v>1.55</v>
      </c>
      <c r="N255" s="47">
        <f>(IF((VLOOKUP(Table2[[#This Row],[SKU]],'All Skus'!$A:$AC,2,FALSE))="AMX",(VLOOKUP(Table2[[#This Row],[SKU]],'All Skus'!$A:$AC,19,FALSE)),""))</f>
        <v>7.88</v>
      </c>
      <c r="O255" s="47">
        <f>(IF((VLOOKUP(Table2[[#This Row],[SKU]],'All Skus'!$A:$AC,2,FALSE))="AMX",(VLOOKUP(Table2[[#This Row],[SKU]],'All Skus'!$A:$AC,20,FALSE)),""))</f>
        <v>5.5</v>
      </c>
      <c r="P255" s="47">
        <f>(IF((VLOOKUP(Table2[[#This Row],[SKU]],'All Skus'!$A:$AC,2,FALSE))="AMX",(VLOOKUP(Table2[[#This Row],[SKU]],'All Skus'!$A:$AC,21,FALSE)),""))</f>
        <v>1.05</v>
      </c>
      <c r="Q255" s="47" t="str">
        <f>(IF((VLOOKUP(Table2[[#This Row],[SKU]],'All Skus'!$A:$AC,2,FALSE))="AMX",(VLOOKUP(Table2[[#This Row],[SKU]],'All Skus'!$A:$AC,22,FALSE)),""))</f>
        <v>MX</v>
      </c>
      <c r="R255" s="47" t="str">
        <f>(IF((VLOOKUP(Table2[[#This Row],[SKU]],'All Skus'!$A:$AC,2,FALSE))="AMX",(VLOOKUP(Table2[[#This Row],[SKU]],'All Skus'!$A:$AC,23,FALSE)),""))</f>
        <v>Compliant</v>
      </c>
      <c r="S255" s="210" t="str">
        <f>HYPERLINK((IF((VLOOKUP(Table2[[#This Row],[SKU]],'All Skus'!$A:$AC,2,FALSE))="AMX",(VLOOKUP(Table2[[#This Row],[SKU]],'All Skus'!$A:$AC,24,FALSE)),"")))</f>
        <v>https://www.amx.com/en-US/products/nmx-enc-n1134a-encoder</v>
      </c>
      <c r="T255" s="151">
        <v>253</v>
      </c>
    </row>
    <row r="256" spans="1:20" hidden="1">
      <c r="A256" s="48" t="s">
        <v>765</v>
      </c>
      <c r="B256" s="280" t="str">
        <f>(IF((VLOOKUP(Table2[[#This Row],[SKU]],'All Skus'!$A:$AC,2,FALSE))="AMX",(VLOOKUP(Table2[[#This Row],[SKU]],'All Skus'!$A:$AC,3,FALSE)),""))</f>
        <v>Networked AV</v>
      </c>
      <c r="C256" s="280" t="str">
        <f>(IF((VLOOKUP(Table2[[#This Row],[SKU]],'All Skus'!$A:$AC,2,FALSE))="AMX",(VLOOKUP(Table2[[#This Row],[SKU]],'All Skus'!$A:$AC,4,FALSE)),""))</f>
        <v>NMX-DEC-N1222A-C</v>
      </c>
      <c r="D256" s="47" t="str">
        <f>(IF((VLOOKUP(Table2[[#This Row],[SKU]],'All Skus'!$A:$AC,2,FALSE))="AMX",(VLOOKUP(Table2[[#This Row],[SKU]],'All Skus'!$A:$AC,5,FALSE)),""))</f>
        <v>AMX-NM</v>
      </c>
      <c r="E256" s="281">
        <f>(IF((VLOOKUP(Table2[[#This Row],[SKU]],'All Skus'!$A:$AC,2,FALSE))="AMX",(VLOOKUP(Table2[[#This Row],[SKU]],'All Skus'!$A:$AC,7,FALSE)),""))</f>
        <v>0</v>
      </c>
      <c r="F256" s="280" t="str">
        <f>(IF((VLOOKUP(Table2[[#This Row],[SKU]],'All Skus'!$A:$AC,2,FALSE))="AMX",(VLOOKUP(Table2[[#This Row],[SKU]],'All Skus'!$A:$AC,8,FALSE)),""))</f>
        <v>N1000 Series AV Over IP Decoder with AES67 Support, Card</v>
      </c>
      <c r="G256" s="280" t="str">
        <f>(IF((VLOOKUP(Table2[[#This Row],[SKU]],'All Skus'!$A:$AC,2,FALSE))="AMX",(VLOOKUP(Table2[[#This Row],[SKU]],'All Skus'!$A:$AC,9,FALSE)),""))</f>
        <v>SVSI Minimal Compression Video over IP Decoder Card with two RJ45 network ports (one POE), IR, serial, balanced audio, and HDMI video out - must be used in conjunction with NMX-ACC-N9206 Rack Mount Cage</v>
      </c>
      <c r="H256" s="157">
        <f>(IF((VLOOKUP(Table2[[#This Row],[SKU]],'All Skus'!$A:$AC,2,FALSE))="AMX",(VLOOKUP(Table2[[#This Row],[SKU]],'All Skus'!$A:$AC,10,FALSE)),""))</f>
        <v>1484</v>
      </c>
      <c r="I256" s="157">
        <f>(IF((VLOOKUP(Table2[[#This Row],[SKU]],'All Skus'!$A:$AC,2,FALSE))="AMX",(VLOOKUP(Table2[[#This Row],[SKU]],'All Skus'!$A:$AC,11,FALSE)),""))</f>
        <v>1484</v>
      </c>
      <c r="J256" s="47">
        <f>(IF((VLOOKUP(Table2[[#This Row],[SKU]],'All Skus'!$A:$AC,2,FALSE))="AMX",(VLOOKUP(Table2[[#This Row],[SKU]],'All Skus'!$A:$AC,15,FALSE)),""))</f>
        <v>0</v>
      </c>
      <c r="K256" s="47">
        <f>(IF((VLOOKUP(Table2[[#This Row],[SKU]],'All Skus'!$A:$AC,2,FALSE))="AMX",(VLOOKUP(Table2[[#This Row],[SKU]],'All Skus'!$A:$AC,16,FALSE)),""))</f>
        <v>718878026311</v>
      </c>
      <c r="L256" s="47">
        <f>(IF((VLOOKUP(Table2[[#This Row],[SKU]],'All Skus'!$A:$AC,2,FALSE))="AMX",(VLOOKUP(Table2[[#This Row],[SKU]],'All Skus'!$A:$AC,17,FALSE)),""))</f>
        <v>0</v>
      </c>
      <c r="M256" s="63">
        <f>(IF((VLOOKUP(Table2[[#This Row],[SKU]],'All Skus'!$A:$AC,2,FALSE))="AMX",(VLOOKUP(Table2[[#This Row],[SKU]],'All Skus'!$A:$AC,18,FALSE)),""))</f>
        <v>1.55</v>
      </c>
      <c r="N256" s="47">
        <f>(IF((VLOOKUP(Table2[[#This Row],[SKU]],'All Skus'!$A:$AC,2,FALSE))="AMX",(VLOOKUP(Table2[[#This Row],[SKU]],'All Skus'!$A:$AC,19,FALSE)),""))</f>
        <v>7.88</v>
      </c>
      <c r="O256" s="47">
        <f>(IF((VLOOKUP(Table2[[#This Row],[SKU]],'All Skus'!$A:$AC,2,FALSE))="AMX",(VLOOKUP(Table2[[#This Row],[SKU]],'All Skus'!$A:$AC,20,FALSE)),""))</f>
        <v>5.5</v>
      </c>
      <c r="P256" s="47">
        <f>(IF((VLOOKUP(Table2[[#This Row],[SKU]],'All Skus'!$A:$AC,2,FALSE))="AMX",(VLOOKUP(Table2[[#This Row],[SKU]],'All Skus'!$A:$AC,21,FALSE)),""))</f>
        <v>1.05</v>
      </c>
      <c r="Q256" s="47" t="str">
        <f>(IF((VLOOKUP(Table2[[#This Row],[SKU]],'All Skus'!$A:$AC,2,FALSE))="AMX",(VLOOKUP(Table2[[#This Row],[SKU]],'All Skus'!$A:$AC,22,FALSE)),""))</f>
        <v>US</v>
      </c>
      <c r="R256" s="47" t="str">
        <f>(IF((VLOOKUP(Table2[[#This Row],[SKU]],'All Skus'!$A:$AC,2,FALSE))="AMX",(VLOOKUP(Table2[[#This Row],[SKU]],'All Skus'!$A:$AC,23,FALSE)),""))</f>
        <v>Compliant</v>
      </c>
      <c r="S256" s="210" t="str">
        <f>HYPERLINK((IF((VLOOKUP(Table2[[#This Row],[SKU]],'All Skus'!$A:$AC,2,FALSE))="AMX",(VLOOKUP(Table2[[#This Row],[SKU]],'All Skus'!$A:$AC,24,FALSE)),"")))</f>
        <v>https://www.amx.com/en-US/products/nmx-dec-n1222a-c-decoder-card</v>
      </c>
      <c r="T256" s="151">
        <v>254</v>
      </c>
    </row>
    <row r="257" spans="1:20" hidden="1">
      <c r="A257" s="48" t="s">
        <v>766</v>
      </c>
      <c r="B257" s="280" t="str">
        <f>(IF((VLOOKUP(Table2[[#This Row],[SKU]],'All Skus'!$A:$AC,2,FALSE))="AMX",(VLOOKUP(Table2[[#This Row],[SKU]],'All Skus'!$A:$AC,3,FALSE)),""))</f>
        <v>Networked AV</v>
      </c>
      <c r="C257" s="280" t="str">
        <f>(IF((VLOOKUP(Table2[[#This Row],[SKU]],'All Skus'!$A:$AC,2,FALSE))="AMX",(VLOOKUP(Table2[[#This Row],[SKU]],'All Skus'!$A:$AC,4,FALSE)),""))</f>
        <v>NMX-DEC-N1222A</v>
      </c>
      <c r="D257" s="47" t="str">
        <f>(IF((VLOOKUP(Table2[[#This Row],[SKU]],'All Skus'!$A:$AC,2,FALSE))="AMX",(VLOOKUP(Table2[[#This Row],[SKU]],'All Skus'!$A:$AC,5,FALSE)),""))</f>
        <v>AMX-NM</v>
      </c>
      <c r="E257" s="281">
        <f>(IF((VLOOKUP(Table2[[#This Row],[SKU]],'All Skus'!$A:$AC,2,FALSE))="AMX",(VLOOKUP(Table2[[#This Row],[SKU]],'All Skus'!$A:$AC,7,FALSE)),""))</f>
        <v>0</v>
      </c>
      <c r="F257" s="280" t="str">
        <f>(IF((VLOOKUP(Table2[[#This Row],[SKU]],'All Skus'!$A:$AC,2,FALSE))="AMX",(VLOOKUP(Table2[[#This Row],[SKU]],'All Skus'!$A:$AC,8,FALSE)),""))</f>
        <v>N1000 Series AV Over IP Decoder with PoE, AES67 Support, Stand-alone</v>
      </c>
      <c r="G257" s="280" t="str">
        <f>(IF((VLOOKUP(Table2[[#This Row],[SKU]],'All Skus'!$A:$AC,2,FALSE))="AMX",(VLOOKUP(Table2[[#This Row],[SKU]],'All Skus'!$A:$AC,9,FALSE)),""))</f>
        <v>SVSI Stand-alone Minimal Compression Video over IP Decoder with two RJ45 network ports (one POE), IR, serial, balanced audio, and HDMI video out, AES67 compatible</v>
      </c>
      <c r="H257" s="157">
        <f>(IF((VLOOKUP(Table2[[#This Row],[SKU]],'All Skus'!$A:$AC,2,FALSE))="AMX",(VLOOKUP(Table2[[#This Row],[SKU]],'All Skus'!$A:$AC,10,FALSE)),""))</f>
        <v>1532</v>
      </c>
      <c r="I257" s="157">
        <f>(IF((VLOOKUP(Table2[[#This Row],[SKU]],'All Skus'!$A:$AC,2,FALSE))="AMX",(VLOOKUP(Table2[[#This Row],[SKU]],'All Skus'!$A:$AC,11,FALSE)),""))</f>
        <v>1532</v>
      </c>
      <c r="J257" s="47">
        <f>(IF((VLOOKUP(Table2[[#This Row],[SKU]],'All Skus'!$A:$AC,2,FALSE))="AMX",(VLOOKUP(Table2[[#This Row],[SKU]],'All Skus'!$A:$AC,15,FALSE)),""))</f>
        <v>0</v>
      </c>
      <c r="K257" s="47">
        <f>(IF((VLOOKUP(Table2[[#This Row],[SKU]],'All Skus'!$A:$AC,2,FALSE))="AMX",(VLOOKUP(Table2[[#This Row],[SKU]],'All Skus'!$A:$AC,16,FALSE)),""))</f>
        <v>718878022757</v>
      </c>
      <c r="L257" s="47">
        <f>(IF((VLOOKUP(Table2[[#This Row],[SKU]],'All Skus'!$A:$AC,2,FALSE))="AMX",(VLOOKUP(Table2[[#This Row],[SKU]],'All Skus'!$A:$AC,17,FALSE)),""))</f>
        <v>0</v>
      </c>
      <c r="M257" s="63">
        <f>(IF((VLOOKUP(Table2[[#This Row],[SKU]],'All Skus'!$A:$AC,2,FALSE))="AMX",(VLOOKUP(Table2[[#This Row],[SKU]],'All Skus'!$A:$AC,18,FALSE)),""))</f>
        <v>1.55</v>
      </c>
      <c r="N257" s="47">
        <f>(IF((VLOOKUP(Table2[[#This Row],[SKU]],'All Skus'!$A:$AC,2,FALSE))="AMX",(VLOOKUP(Table2[[#This Row],[SKU]],'All Skus'!$A:$AC,19,FALSE)),""))</f>
        <v>7.88</v>
      </c>
      <c r="O257" s="47">
        <f>(IF((VLOOKUP(Table2[[#This Row],[SKU]],'All Skus'!$A:$AC,2,FALSE))="AMX",(VLOOKUP(Table2[[#This Row],[SKU]],'All Skus'!$A:$AC,20,FALSE)),""))</f>
        <v>5.5</v>
      </c>
      <c r="P257" s="47">
        <f>(IF((VLOOKUP(Table2[[#This Row],[SKU]],'All Skus'!$A:$AC,2,FALSE))="AMX",(VLOOKUP(Table2[[#This Row],[SKU]],'All Skus'!$A:$AC,21,FALSE)),""))</f>
        <v>1.05</v>
      </c>
      <c r="Q257" s="47" t="str">
        <f>(IF((VLOOKUP(Table2[[#This Row],[SKU]],'All Skus'!$A:$AC,2,FALSE))="AMX",(VLOOKUP(Table2[[#This Row],[SKU]],'All Skus'!$A:$AC,22,FALSE)),""))</f>
        <v>MX</v>
      </c>
      <c r="R257" s="47" t="str">
        <f>(IF((VLOOKUP(Table2[[#This Row],[SKU]],'All Skus'!$A:$AC,2,FALSE))="AMX",(VLOOKUP(Table2[[#This Row],[SKU]],'All Skus'!$A:$AC,23,FALSE)),""))</f>
        <v>Compliant</v>
      </c>
      <c r="S257" s="210" t="str">
        <f>HYPERLINK((IF((VLOOKUP(Table2[[#This Row],[SKU]],'All Skus'!$A:$AC,2,FALSE))="AMX",(VLOOKUP(Table2[[#This Row],[SKU]],'All Skus'!$A:$AC,24,FALSE)),"")))</f>
        <v>https://www.amx.com/en-US/products/nmx-dec-n1222a-decoder</v>
      </c>
      <c r="T257" s="151">
        <v>255</v>
      </c>
    </row>
    <row r="258" spans="1:20" hidden="1">
      <c r="A258" s="48" t="s">
        <v>767</v>
      </c>
      <c r="B258" s="280" t="str">
        <f>(IF((VLOOKUP(Table2[[#This Row],[SKU]],'All Skus'!$A:$AC,2,FALSE))="AMX",(VLOOKUP(Table2[[#This Row],[SKU]],'All Skus'!$A:$AC,3,FALSE)),""))</f>
        <v>Networked AV</v>
      </c>
      <c r="C258" s="280" t="str">
        <f>(IF((VLOOKUP(Table2[[#This Row],[SKU]],'All Skus'!$A:$AC,2,FALSE))="AMX",(VLOOKUP(Table2[[#This Row],[SKU]],'All Skus'!$A:$AC,4,FALSE)),""))</f>
        <v>NMX-DEC-N1233A-C</v>
      </c>
      <c r="D258" s="47" t="str">
        <f>(IF((VLOOKUP(Table2[[#This Row],[SKU]],'All Skus'!$A:$AC,2,FALSE))="AMX",(VLOOKUP(Table2[[#This Row],[SKU]],'All Skus'!$A:$AC,5,FALSE)),""))</f>
        <v>AMX-NM</v>
      </c>
      <c r="E258" s="281" t="str">
        <f>(IF((VLOOKUP(Table2[[#This Row],[SKU]],'All Skus'!$A:$AC,2,FALSE))="AMX",(VLOOKUP(Table2[[#This Row],[SKU]],'All Skus'!$A:$AC,7,FALSE)),""))</f>
        <v>Limited Quantity</v>
      </c>
      <c r="F258" s="280" t="str">
        <f>(IF((VLOOKUP(Table2[[#This Row],[SKU]],'All Skus'!$A:$AC,2,FALSE))="AMX",(VLOOKUP(Table2[[#This Row],[SKU]],'All Skus'!$A:$AC,8,FALSE)),""))</f>
        <v>N1000 Series AV Over IP Decoder with KVM AES67 Support, Card</v>
      </c>
      <c r="G258" s="280" t="str">
        <f>(IF((VLOOKUP(Table2[[#This Row],[SKU]],'All Skus'!$A:$AC,2,FALSE))="AMX",(VLOOKUP(Table2[[#This Row],[SKU]],'All Skus'!$A:$AC,9,FALSE)),""))</f>
        <v>SVSI Minimal Compression Video over IP Decoder Card  with one SFP fiber/RJ45 copper network port cage and one RJ45 (with PoE) port, IR, KVM-over-IP keyboard and mouse operation, serial, balanced audio, and HDMI video out, AES67 compatible (SFP module not included) - must be used in conjunction with NMX-ACC-N9206 Rack Mount Cage</v>
      </c>
      <c r="H258" s="157">
        <f>(IF((VLOOKUP(Table2[[#This Row],[SKU]],'All Skus'!$A:$AC,2,FALSE))="AMX",(VLOOKUP(Table2[[#This Row],[SKU]],'All Skus'!$A:$AC,10,FALSE)),""))</f>
        <v>1825.9</v>
      </c>
      <c r="I258" s="157">
        <f>(IF((VLOOKUP(Table2[[#This Row],[SKU]],'All Skus'!$A:$AC,2,FALSE))="AMX",(VLOOKUP(Table2[[#This Row],[SKU]],'All Skus'!$A:$AC,11,FALSE)),""))</f>
        <v>1825.9</v>
      </c>
      <c r="J258" s="47">
        <f>(IF((VLOOKUP(Table2[[#This Row],[SKU]],'All Skus'!$A:$AC,2,FALSE))="AMX",(VLOOKUP(Table2[[#This Row],[SKU]],'All Skus'!$A:$AC,15,FALSE)),""))</f>
        <v>0</v>
      </c>
      <c r="K258" s="47">
        <f>(IF((VLOOKUP(Table2[[#This Row],[SKU]],'All Skus'!$A:$AC,2,FALSE))="AMX",(VLOOKUP(Table2[[#This Row],[SKU]],'All Skus'!$A:$AC,16,FALSE)),""))</f>
        <v>0</v>
      </c>
      <c r="L258" s="47">
        <f>(IF((VLOOKUP(Table2[[#This Row],[SKU]],'All Skus'!$A:$AC,2,FALSE))="AMX",(VLOOKUP(Table2[[#This Row],[SKU]],'All Skus'!$A:$AC,17,FALSE)),""))</f>
        <v>0</v>
      </c>
      <c r="M258" s="63">
        <f>(IF((VLOOKUP(Table2[[#This Row],[SKU]],'All Skus'!$A:$AC,2,FALSE))="AMX",(VLOOKUP(Table2[[#This Row],[SKU]],'All Skus'!$A:$AC,18,FALSE)),""))</f>
        <v>1.55</v>
      </c>
      <c r="N258" s="47">
        <f>(IF((VLOOKUP(Table2[[#This Row],[SKU]],'All Skus'!$A:$AC,2,FALSE))="AMX",(VLOOKUP(Table2[[#This Row],[SKU]],'All Skus'!$A:$AC,19,FALSE)),""))</f>
        <v>7.88</v>
      </c>
      <c r="O258" s="47">
        <f>(IF((VLOOKUP(Table2[[#This Row],[SKU]],'All Skus'!$A:$AC,2,FALSE))="AMX",(VLOOKUP(Table2[[#This Row],[SKU]],'All Skus'!$A:$AC,20,FALSE)),""))</f>
        <v>5.5</v>
      </c>
      <c r="P258" s="47">
        <f>(IF((VLOOKUP(Table2[[#This Row],[SKU]],'All Skus'!$A:$AC,2,FALSE))="AMX",(VLOOKUP(Table2[[#This Row],[SKU]],'All Skus'!$A:$AC,21,FALSE)),""))</f>
        <v>1.05</v>
      </c>
      <c r="Q258" s="47" t="str">
        <f>(IF((VLOOKUP(Table2[[#This Row],[SKU]],'All Skus'!$A:$AC,2,FALSE))="AMX",(VLOOKUP(Table2[[#This Row],[SKU]],'All Skus'!$A:$AC,22,FALSE)),""))</f>
        <v>MX</v>
      </c>
      <c r="R258" s="47" t="str">
        <f>(IF((VLOOKUP(Table2[[#This Row],[SKU]],'All Skus'!$A:$AC,2,FALSE))="AMX",(VLOOKUP(Table2[[#This Row],[SKU]],'All Skus'!$A:$AC,23,FALSE)),""))</f>
        <v>Compliant</v>
      </c>
      <c r="S258" s="210" t="str">
        <f>HYPERLINK((IF((VLOOKUP(Table2[[#This Row],[SKU]],'All Skus'!$A:$AC,2,FALSE))="AMX",(VLOOKUP(Table2[[#This Row],[SKU]],'All Skus'!$A:$AC,24,FALSE)),"")))</f>
        <v>https://www.amx.com/en-US/products/nmx-dec-n1233a-c-decoder-card</v>
      </c>
      <c r="T258" s="151">
        <v>256</v>
      </c>
    </row>
    <row r="259" spans="1:20" hidden="1">
      <c r="A259" s="48" t="s">
        <v>768</v>
      </c>
      <c r="B259" s="280" t="str">
        <f>(IF((VLOOKUP(Table2[[#This Row],[SKU]],'All Skus'!$A:$AC,2,FALSE))="AMX",(VLOOKUP(Table2[[#This Row],[SKU]],'All Skus'!$A:$AC,3,FALSE)),""))</f>
        <v>Networked AV</v>
      </c>
      <c r="C259" s="280" t="str">
        <f>(IF((VLOOKUP(Table2[[#This Row],[SKU]],'All Skus'!$A:$AC,2,FALSE))="AMX",(VLOOKUP(Table2[[#This Row],[SKU]],'All Skus'!$A:$AC,4,FALSE)),""))</f>
        <v>NMX-WP-N1512</v>
      </c>
      <c r="D259" s="47" t="str">
        <f>(IF((VLOOKUP(Table2[[#This Row],[SKU]],'All Skus'!$A:$AC,2,FALSE))="AMX",(VLOOKUP(Table2[[#This Row],[SKU]],'All Skus'!$A:$AC,5,FALSE)),""))</f>
        <v>AMX-NM</v>
      </c>
      <c r="E259" s="281">
        <f>(IF((VLOOKUP(Table2[[#This Row],[SKU]],'All Skus'!$A:$AC,2,FALSE))="AMX",(VLOOKUP(Table2[[#This Row],[SKU]],'All Skus'!$A:$AC,7,FALSE)),""))</f>
        <v>0</v>
      </c>
      <c r="F259" s="280" t="str">
        <f>(IF((VLOOKUP(Table2[[#This Row],[SKU]],'All Skus'!$A:$AC,2,FALSE))="AMX",(VLOOKUP(Table2[[#This Row],[SKU]],'All Skus'!$A:$AC,8,FALSE)),""))</f>
        <v>N1000 Series HD Windowing Processor, 4x1</v>
      </c>
      <c r="G259" s="280" t="str">
        <f>(IF((VLOOKUP(Table2[[#This Row],[SKU]],'All Skus'!$A:$AC,2,FALSE))="AMX",(VLOOKUP(Table2[[#This Row],[SKU]],'All Skus'!$A:$AC,9,FALSE)),""))</f>
        <v>N1000 Windowing Processor, 4x1 + Stacking; functions with the N1000 Encoders and Decoders and is capable of handling multiple real-time HD streams</v>
      </c>
      <c r="H259" s="157">
        <f>(IF((VLOOKUP(Table2[[#This Row],[SKU]],'All Skus'!$A:$AC,2,FALSE))="AMX",(VLOOKUP(Table2[[#This Row],[SKU]],'All Skus'!$A:$AC,10,FALSE)),""))</f>
        <v>6465.4</v>
      </c>
      <c r="I259" s="157">
        <f>(IF((VLOOKUP(Table2[[#This Row],[SKU]],'All Skus'!$A:$AC,2,FALSE))="AMX",(VLOOKUP(Table2[[#This Row],[SKU]],'All Skus'!$A:$AC,11,FALSE)),""))</f>
        <v>6465.4</v>
      </c>
      <c r="J259" s="47">
        <f>(IF((VLOOKUP(Table2[[#This Row],[SKU]],'All Skus'!$A:$AC,2,FALSE))="AMX",(VLOOKUP(Table2[[#This Row],[SKU]],'All Skus'!$A:$AC,15,FALSE)),""))</f>
        <v>0</v>
      </c>
      <c r="K259" s="47">
        <f>(IF((VLOOKUP(Table2[[#This Row],[SKU]],'All Skus'!$A:$AC,2,FALSE))="AMX",(VLOOKUP(Table2[[#This Row],[SKU]],'All Skus'!$A:$AC,16,FALSE)),""))</f>
        <v>718878025734</v>
      </c>
      <c r="L259" s="47">
        <f>(IF((VLOOKUP(Table2[[#This Row],[SKU]],'All Skus'!$A:$AC,2,FALSE))="AMX",(VLOOKUP(Table2[[#This Row],[SKU]],'All Skus'!$A:$AC,17,FALSE)),""))</f>
        <v>0</v>
      </c>
      <c r="M259" s="63">
        <f>(IF((VLOOKUP(Table2[[#This Row],[SKU]],'All Skus'!$A:$AC,2,FALSE))="AMX",(VLOOKUP(Table2[[#This Row],[SKU]],'All Skus'!$A:$AC,18,FALSE)),""))</f>
        <v>7.15</v>
      </c>
      <c r="N259" s="47">
        <f>(IF((VLOOKUP(Table2[[#This Row],[SKU]],'All Skus'!$A:$AC,2,FALSE))="AMX",(VLOOKUP(Table2[[#This Row],[SKU]],'All Skus'!$A:$AC,19,FALSE)),""))</f>
        <v>17.25</v>
      </c>
      <c r="O259" s="47">
        <f>(IF((VLOOKUP(Table2[[#This Row],[SKU]],'All Skus'!$A:$AC,2,FALSE))="AMX",(VLOOKUP(Table2[[#This Row],[SKU]],'All Skus'!$A:$AC,20,FALSE)),""))</f>
        <v>12</v>
      </c>
      <c r="P259" s="47">
        <f>(IF((VLOOKUP(Table2[[#This Row],[SKU]],'All Skus'!$A:$AC,2,FALSE))="AMX",(VLOOKUP(Table2[[#This Row],[SKU]],'All Skus'!$A:$AC,21,FALSE)),""))</f>
        <v>1.75</v>
      </c>
      <c r="Q259" s="47" t="str">
        <f>(IF((VLOOKUP(Table2[[#This Row],[SKU]],'All Skus'!$A:$AC,2,FALSE))="AMX",(VLOOKUP(Table2[[#This Row],[SKU]],'All Skus'!$A:$AC,22,FALSE)),""))</f>
        <v>US</v>
      </c>
      <c r="R259" s="47" t="str">
        <f>(IF((VLOOKUP(Table2[[#This Row],[SKU]],'All Skus'!$A:$AC,2,FALSE))="AMX",(VLOOKUP(Table2[[#This Row],[SKU]],'All Skus'!$A:$AC,23,FALSE)),""))</f>
        <v>Compliant</v>
      </c>
      <c r="S259" s="210" t="str">
        <f>HYPERLINK((IF((VLOOKUP(Table2[[#This Row],[SKU]],'All Skus'!$A:$AC,2,FALSE))="AMX",(VLOOKUP(Table2[[#This Row],[SKU]],'All Skus'!$A:$AC,24,FALSE)),"")))</f>
        <v>https://www.amx.com/en-US/products/nmx-wp-n1512-windowing-processor</v>
      </c>
      <c r="T259" s="151">
        <v>257</v>
      </c>
    </row>
    <row r="260" spans="1:20" hidden="1">
      <c r="A260" s="48" t="s">
        <v>769</v>
      </c>
      <c r="B260" s="280" t="str">
        <f>(IF((VLOOKUP(Table2[[#This Row],[SKU]],'All Skus'!$A:$AC,2,FALSE))="AMX",(VLOOKUP(Table2[[#This Row],[SKU]],'All Skus'!$A:$AC,3,FALSE)),""))</f>
        <v>Networked AV</v>
      </c>
      <c r="C260" s="280" t="str">
        <f>(IF((VLOOKUP(Table2[[#This Row],[SKU]],'All Skus'!$A:$AC,2,FALSE))="AMX",(VLOOKUP(Table2[[#This Row],[SKU]],'All Skus'!$A:$AC,4,FALSE)),""))</f>
        <v>NMX-ENC-N2122A-C</v>
      </c>
      <c r="D260" s="47" t="str">
        <f>(IF((VLOOKUP(Table2[[#This Row],[SKU]],'All Skus'!$A:$AC,2,FALSE))="AMX",(VLOOKUP(Table2[[#This Row],[SKU]],'All Skus'!$A:$AC,5,FALSE)),""))</f>
        <v>AMX-NM</v>
      </c>
      <c r="E260" s="281">
        <f>(IF((VLOOKUP(Table2[[#This Row],[SKU]],'All Skus'!$A:$AC,2,FALSE))="AMX",(VLOOKUP(Table2[[#This Row],[SKU]],'All Skus'!$A:$AC,7,FALSE)),""))</f>
        <v>0</v>
      </c>
      <c r="F260" s="280" t="str">
        <f>(IF((VLOOKUP(Table2[[#This Row],[SKU]],'All Skus'!$A:$AC,2,FALSE))="AMX",(VLOOKUP(Table2[[#This Row],[SKU]],'All Skus'!$A:$AC,8,FALSE)),""))</f>
        <v>JPEG 2000 Digital Cinema Grade AV over IP Encoder, PoE, HDMI, AES67 Support, Card</v>
      </c>
      <c r="G260" s="280" t="str">
        <f>(IF((VLOOKUP(Table2[[#This Row],[SKU]],'All Skus'!$A:$AC,2,FALSE))="AMX",(VLOOKUP(Table2[[#This Row],[SKU]],'All Skus'!$A:$AC,9,FALSE)),""))</f>
        <v>SVSI JPEG2000 Encoder Card with ultra-low latency for 1080p/60hz, RJ45 (with PoE), IR, serial, balanced audio, VGA, and HDMI connectors, AES67 compatible - must be used in conjunction with NMX-ACC-N9206 Rack Mount Cage</v>
      </c>
      <c r="H260" s="157">
        <f>(IF((VLOOKUP(Table2[[#This Row],[SKU]],'All Skus'!$A:$AC,2,FALSE))="AMX",(VLOOKUP(Table2[[#This Row],[SKU]],'All Skus'!$A:$AC,10,FALSE)),""))</f>
        <v>3258.4</v>
      </c>
      <c r="I260" s="157">
        <f>(IF((VLOOKUP(Table2[[#This Row],[SKU]],'All Skus'!$A:$AC,2,FALSE))="AMX",(VLOOKUP(Table2[[#This Row],[SKU]],'All Skus'!$A:$AC,11,FALSE)),""))</f>
        <v>3258.4</v>
      </c>
      <c r="J260" s="47">
        <f>(IF((VLOOKUP(Table2[[#This Row],[SKU]],'All Skus'!$A:$AC,2,FALSE))="AMX",(VLOOKUP(Table2[[#This Row],[SKU]],'All Skus'!$A:$AC,15,FALSE)),""))</f>
        <v>0</v>
      </c>
      <c r="K260" s="47">
        <f>(IF((VLOOKUP(Table2[[#This Row],[SKU]],'All Skus'!$A:$AC,2,FALSE))="AMX",(VLOOKUP(Table2[[#This Row],[SKU]],'All Skus'!$A:$AC,16,FALSE)),""))</f>
        <v>718878034781</v>
      </c>
      <c r="L260" s="47">
        <f>(IF((VLOOKUP(Table2[[#This Row],[SKU]],'All Skus'!$A:$AC,2,FALSE))="AMX",(VLOOKUP(Table2[[#This Row],[SKU]],'All Skus'!$A:$AC,17,FALSE)),""))</f>
        <v>0</v>
      </c>
      <c r="M260" s="63">
        <f>(IF((VLOOKUP(Table2[[#This Row],[SKU]],'All Skus'!$A:$AC,2,FALSE))="AMX",(VLOOKUP(Table2[[#This Row],[SKU]],'All Skus'!$A:$AC,18,FALSE)),""))</f>
        <v>1.55</v>
      </c>
      <c r="N260" s="47">
        <f>(IF((VLOOKUP(Table2[[#This Row],[SKU]],'All Skus'!$A:$AC,2,FALSE))="AMX",(VLOOKUP(Table2[[#This Row],[SKU]],'All Skus'!$A:$AC,19,FALSE)),""))</f>
        <v>7.88</v>
      </c>
      <c r="O260" s="47">
        <f>(IF((VLOOKUP(Table2[[#This Row],[SKU]],'All Skus'!$A:$AC,2,FALSE))="AMX",(VLOOKUP(Table2[[#This Row],[SKU]],'All Skus'!$A:$AC,20,FALSE)),""))</f>
        <v>5.5</v>
      </c>
      <c r="P260" s="47">
        <f>(IF((VLOOKUP(Table2[[#This Row],[SKU]],'All Skus'!$A:$AC,2,FALSE))="AMX",(VLOOKUP(Table2[[#This Row],[SKU]],'All Skus'!$A:$AC,21,FALSE)),""))</f>
        <v>1.05</v>
      </c>
      <c r="Q260" s="47" t="str">
        <f>(IF((VLOOKUP(Table2[[#This Row],[SKU]],'All Skus'!$A:$AC,2,FALSE))="AMX",(VLOOKUP(Table2[[#This Row],[SKU]],'All Skus'!$A:$AC,22,FALSE)),""))</f>
        <v>MX</v>
      </c>
      <c r="R260" s="47" t="str">
        <f>(IF((VLOOKUP(Table2[[#This Row],[SKU]],'All Skus'!$A:$AC,2,FALSE))="AMX",(VLOOKUP(Table2[[#This Row],[SKU]],'All Skus'!$A:$AC,23,FALSE)),""))</f>
        <v>Compliant</v>
      </c>
      <c r="S260" s="210" t="str">
        <f>HYPERLINK((IF((VLOOKUP(Table2[[#This Row],[SKU]],'All Skus'!$A:$AC,2,FALSE))="AMX",(VLOOKUP(Table2[[#This Row],[SKU]],'All Skus'!$A:$AC,24,FALSE)),"")))</f>
        <v>https://www.amx.com/en-US/products/nmx-enc-n2122a-c-encoder-card</v>
      </c>
      <c r="T260" s="151">
        <v>258</v>
      </c>
    </row>
    <row r="261" spans="1:20" hidden="1">
      <c r="A261" s="48" t="s">
        <v>771</v>
      </c>
      <c r="B261" s="280" t="str">
        <f>(IF((VLOOKUP(Table2[[#This Row],[SKU]],'All Skus'!$A:$AC,2,FALSE))="AMX",(VLOOKUP(Table2[[#This Row],[SKU]],'All Skus'!$A:$AC,3,FALSE)),""))</f>
        <v>Networked AV</v>
      </c>
      <c r="C261" s="280" t="str">
        <f>(IF((VLOOKUP(Table2[[#This Row],[SKU]],'All Skus'!$A:$AC,2,FALSE))="AMX",(VLOOKUP(Table2[[#This Row],[SKU]],'All Skus'!$A:$AC,4,FALSE)),""))</f>
        <v>NMX-ENC-N2135A-C</v>
      </c>
      <c r="D261" s="47" t="str">
        <f>(IF((VLOOKUP(Table2[[#This Row],[SKU]],'All Skus'!$A:$AC,2,FALSE))="AMX",(VLOOKUP(Table2[[#This Row],[SKU]],'All Skus'!$A:$AC,5,FALSE)),""))</f>
        <v>AMX-NM</v>
      </c>
      <c r="E261" s="291" t="str">
        <f>(IF((VLOOKUP(Table2[[#This Row],[SKU]],'All Skus'!$A:$AC,2,FALSE))="AMX",(VLOOKUP(Table2[[#This Row],[SKU]],'All Skus'!$A:$AC,7,FALSE)),""))</f>
        <v>Limited Quantity - REDUCED</v>
      </c>
      <c r="F261" s="280" t="str">
        <f>(IF((VLOOKUP(Table2[[#This Row],[SKU]],'All Skus'!$A:$AC,2,FALSE))="AMX",(VLOOKUP(Table2[[#This Row],[SKU]],'All Skus'!$A:$AC,8,FALSE)),""))</f>
        <v>JPEG 2000 1080p Low Latency AV over IP Encoder with KVM, PoE, SFP, HDMI, AES67 Support, Card</v>
      </c>
      <c r="G261" s="280" t="str">
        <f>(IF((VLOOKUP(Table2[[#This Row],[SKU]],'All Skus'!$A:$AC,2,FALSE))="AMX",(VLOOKUP(Table2[[#This Row],[SKU]],'All Skus'!$A:$AC,9,FALSE)),""))</f>
        <v>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v>
      </c>
      <c r="H261" s="157">
        <f>(IF((VLOOKUP(Table2[[#This Row],[SKU]],'All Skus'!$A:$AC,2,FALSE))="AMX",(VLOOKUP(Table2[[#This Row],[SKU]],'All Skus'!$A:$AC,10,FALSE)),""))</f>
        <v>3555.7</v>
      </c>
      <c r="I261" s="157">
        <f>(IF((VLOOKUP(Table2[[#This Row],[SKU]],'All Skus'!$A:$AC,2,FALSE))="AMX",(VLOOKUP(Table2[[#This Row],[SKU]],'All Skus'!$A:$AC,11,FALSE)),""))</f>
        <v>998</v>
      </c>
      <c r="J261" s="47">
        <f>(IF((VLOOKUP(Table2[[#This Row],[SKU]],'All Skus'!$A:$AC,2,FALSE))="AMX",(VLOOKUP(Table2[[#This Row],[SKU]],'All Skus'!$A:$AC,15,FALSE)),""))</f>
        <v>0</v>
      </c>
      <c r="K261" s="47">
        <f>(IF((VLOOKUP(Table2[[#This Row],[SKU]],'All Skus'!$A:$AC,2,FALSE))="AMX",(VLOOKUP(Table2[[#This Row],[SKU]],'All Skus'!$A:$AC,16,FALSE)),""))</f>
        <v>718878033555</v>
      </c>
      <c r="L261" s="47">
        <f>(IF((VLOOKUP(Table2[[#This Row],[SKU]],'All Skus'!$A:$AC,2,FALSE))="AMX",(VLOOKUP(Table2[[#This Row],[SKU]],'All Skus'!$A:$AC,17,FALSE)),""))</f>
        <v>0</v>
      </c>
      <c r="M261" s="63">
        <f>(IF((VLOOKUP(Table2[[#This Row],[SKU]],'All Skus'!$A:$AC,2,FALSE))="AMX",(VLOOKUP(Table2[[#This Row],[SKU]],'All Skus'!$A:$AC,18,FALSE)),""))</f>
        <v>1.55</v>
      </c>
      <c r="N261" s="47">
        <f>(IF((VLOOKUP(Table2[[#This Row],[SKU]],'All Skus'!$A:$AC,2,FALSE))="AMX",(VLOOKUP(Table2[[#This Row],[SKU]],'All Skus'!$A:$AC,19,FALSE)),""))</f>
        <v>7.88</v>
      </c>
      <c r="O261" s="47">
        <f>(IF((VLOOKUP(Table2[[#This Row],[SKU]],'All Skus'!$A:$AC,2,FALSE))="AMX",(VLOOKUP(Table2[[#This Row],[SKU]],'All Skus'!$A:$AC,20,FALSE)),""))</f>
        <v>5.5</v>
      </c>
      <c r="P261" s="47">
        <f>(IF((VLOOKUP(Table2[[#This Row],[SKU]],'All Skus'!$A:$AC,2,FALSE))="AMX",(VLOOKUP(Table2[[#This Row],[SKU]],'All Skus'!$A:$AC,21,FALSE)),""))</f>
        <v>1.05</v>
      </c>
      <c r="Q261" s="47" t="str">
        <f>(IF((VLOOKUP(Table2[[#This Row],[SKU]],'All Skus'!$A:$AC,2,FALSE))="AMX",(VLOOKUP(Table2[[#This Row],[SKU]],'All Skus'!$A:$AC,22,FALSE)),""))</f>
        <v>MX</v>
      </c>
      <c r="R261" s="47" t="str">
        <f>(IF((VLOOKUP(Table2[[#This Row],[SKU]],'All Skus'!$A:$AC,2,FALSE))="AMX",(VLOOKUP(Table2[[#This Row],[SKU]],'All Skus'!$A:$AC,23,FALSE)),""))</f>
        <v>Compliant</v>
      </c>
      <c r="S261" s="210" t="str">
        <f>HYPERLINK((IF((VLOOKUP(Table2[[#This Row],[SKU]],'All Skus'!$A:$AC,2,FALSE))="AMX",(VLOOKUP(Table2[[#This Row],[SKU]],'All Skus'!$A:$AC,24,FALSE)),"")))</f>
        <v>https://www.amx.com/en-US/products/nmx-enc-n2135a-c-encoder-card</v>
      </c>
      <c r="T261" s="151">
        <v>259</v>
      </c>
    </row>
    <row r="262" spans="1:20" hidden="1">
      <c r="A262" s="48" t="s">
        <v>772</v>
      </c>
      <c r="B262" s="280" t="str">
        <f>(IF((VLOOKUP(Table2[[#This Row],[SKU]],'All Skus'!$A:$AC,2,FALSE))="AMX",(VLOOKUP(Table2[[#This Row],[SKU]],'All Skus'!$A:$AC,3,FALSE)),""))</f>
        <v>Networked AV</v>
      </c>
      <c r="C262" s="280" t="str">
        <f>(IF((VLOOKUP(Table2[[#This Row],[SKU]],'All Skus'!$A:$AC,2,FALSE))="AMX",(VLOOKUP(Table2[[#This Row],[SKU]],'All Skus'!$A:$AC,4,FALSE)),""))</f>
        <v>NMX-ENC-N2135A</v>
      </c>
      <c r="D262" s="47" t="str">
        <f>(IF((VLOOKUP(Table2[[#This Row],[SKU]],'All Skus'!$A:$AC,2,FALSE))="AMX",(VLOOKUP(Table2[[#This Row],[SKU]],'All Skus'!$A:$AC,5,FALSE)),""))</f>
        <v>AMX-NM</v>
      </c>
      <c r="E262" s="291" t="str">
        <f>(IF((VLOOKUP(Table2[[#This Row],[SKU]],'All Skus'!$A:$AC,2,FALSE))="AMX",(VLOOKUP(Table2[[#This Row],[SKU]],'All Skus'!$A:$AC,7,FALSE)),""))</f>
        <v>Limited Quantity - REDUCED</v>
      </c>
      <c r="F262" s="280" t="str">
        <f>(IF((VLOOKUP(Table2[[#This Row],[SKU]],'All Skus'!$A:$AC,2,FALSE))="AMX",(VLOOKUP(Table2[[#This Row],[SKU]],'All Skus'!$A:$AC,8,FALSE)),""))</f>
        <v>JPEG 2000 1080p Low Latency AV over IP Encoder with KVM, PoE, SFP, HDMI, AES67 Support, Stand-alone</v>
      </c>
      <c r="G262" s="280" t="str">
        <f>(IF((VLOOKUP(Table2[[#This Row],[SKU]],'All Skus'!$A:$AC,2,FALSE))="AMX",(VLOOKUP(Table2[[#This Row],[SKU]],'All Skus'!$A:$AC,9,FALSE)),""))</f>
        <v>SVSI Stand-alone JPEG2000 Encoder with ultra-low latency for 1080p/60hz, KVM control, one SFP fiber/RJ45 copper network port cage, and one RJ45 (with PoE), IR, serial, KVM-over-IP keyboard and mouse operation, balanced audio, VGA, and HDMI connectors, AES67 compatible (SFP module not included, power supply not included)</v>
      </c>
      <c r="H262" s="157">
        <f>(IF((VLOOKUP(Table2[[#This Row],[SKU]],'All Skus'!$A:$AC,2,FALSE))="AMX",(VLOOKUP(Table2[[#This Row],[SKU]],'All Skus'!$A:$AC,10,FALSE)),""))</f>
        <v>3601.4</v>
      </c>
      <c r="I262" s="157">
        <f>(IF((VLOOKUP(Table2[[#This Row],[SKU]],'All Skus'!$A:$AC,2,FALSE))="AMX",(VLOOKUP(Table2[[#This Row],[SKU]],'All Skus'!$A:$AC,11,FALSE)),""))</f>
        <v>998</v>
      </c>
      <c r="J262" s="47">
        <f>(IF((VLOOKUP(Table2[[#This Row],[SKU]],'All Skus'!$A:$AC,2,FALSE))="AMX",(VLOOKUP(Table2[[#This Row],[SKU]],'All Skus'!$A:$AC,15,FALSE)),""))</f>
        <v>0</v>
      </c>
      <c r="K262" s="47">
        <f>(IF((VLOOKUP(Table2[[#This Row],[SKU]],'All Skus'!$A:$AC,2,FALSE))="AMX",(VLOOKUP(Table2[[#This Row],[SKU]],'All Skus'!$A:$AC,16,FALSE)),""))</f>
        <v>718878033555</v>
      </c>
      <c r="L262" s="47">
        <f>(IF((VLOOKUP(Table2[[#This Row],[SKU]],'All Skus'!$A:$AC,2,FALSE))="AMX",(VLOOKUP(Table2[[#This Row],[SKU]],'All Skus'!$A:$AC,17,FALSE)),""))</f>
        <v>0</v>
      </c>
      <c r="M262" s="63">
        <f>(IF((VLOOKUP(Table2[[#This Row],[SKU]],'All Skus'!$A:$AC,2,FALSE))="AMX",(VLOOKUP(Table2[[#This Row],[SKU]],'All Skus'!$A:$AC,18,FALSE)),""))</f>
        <v>1.55</v>
      </c>
      <c r="N262" s="47">
        <f>(IF((VLOOKUP(Table2[[#This Row],[SKU]],'All Skus'!$A:$AC,2,FALSE))="AMX",(VLOOKUP(Table2[[#This Row],[SKU]],'All Skus'!$A:$AC,19,FALSE)),""))</f>
        <v>7.88</v>
      </c>
      <c r="O262" s="47">
        <f>(IF((VLOOKUP(Table2[[#This Row],[SKU]],'All Skus'!$A:$AC,2,FALSE))="AMX",(VLOOKUP(Table2[[#This Row],[SKU]],'All Skus'!$A:$AC,20,FALSE)),""))</f>
        <v>5.5</v>
      </c>
      <c r="P262" s="47">
        <f>(IF((VLOOKUP(Table2[[#This Row],[SKU]],'All Skus'!$A:$AC,2,FALSE))="AMX",(VLOOKUP(Table2[[#This Row],[SKU]],'All Skus'!$A:$AC,21,FALSE)),""))</f>
        <v>1.05</v>
      </c>
      <c r="Q262" s="47" t="str">
        <f>(IF((VLOOKUP(Table2[[#This Row],[SKU]],'All Skus'!$A:$AC,2,FALSE))="AMX",(VLOOKUP(Table2[[#This Row],[SKU]],'All Skus'!$A:$AC,22,FALSE)),""))</f>
        <v>MX</v>
      </c>
      <c r="R262" s="47" t="str">
        <f>(IF((VLOOKUP(Table2[[#This Row],[SKU]],'All Skus'!$A:$AC,2,FALSE))="AMX",(VLOOKUP(Table2[[#This Row],[SKU]],'All Skus'!$A:$AC,23,FALSE)),""))</f>
        <v>Compliant</v>
      </c>
      <c r="S262" s="210" t="str">
        <f>HYPERLINK((IF((VLOOKUP(Table2[[#This Row],[SKU]],'All Skus'!$A:$AC,2,FALSE))="AMX",(VLOOKUP(Table2[[#This Row],[SKU]],'All Skus'!$A:$AC,24,FALSE)),"")))</f>
        <v>https://www.amx.com/en-US/products/nmx-enc-n2135a-encoder</v>
      </c>
      <c r="T262" s="151">
        <v>260</v>
      </c>
    </row>
    <row r="263" spans="1:20" hidden="1">
      <c r="A263" s="48" t="s">
        <v>773</v>
      </c>
      <c r="B263" s="280" t="str">
        <f>(IF((VLOOKUP(Table2[[#This Row],[SKU]],'All Skus'!$A:$AC,2,FALSE))="AMX",(VLOOKUP(Table2[[#This Row],[SKU]],'All Skus'!$A:$AC,3,FALSE)),""))</f>
        <v>Networked AV</v>
      </c>
      <c r="C263" s="280" t="str">
        <f>(IF((VLOOKUP(Table2[[#This Row],[SKU]],'All Skus'!$A:$AC,2,FALSE))="AMX",(VLOOKUP(Table2[[#This Row],[SKU]],'All Skus'!$A:$AC,4,FALSE)),""))</f>
        <v>NMX-DEC-N2212A</v>
      </c>
      <c r="D263" s="47" t="str">
        <f>(IF((VLOOKUP(Table2[[#This Row],[SKU]],'All Skus'!$A:$AC,2,FALSE))="AMX",(VLOOKUP(Table2[[#This Row],[SKU]],'All Skus'!$A:$AC,5,FALSE)),""))</f>
        <v>AMX-NM</v>
      </c>
      <c r="E263" s="281" t="str">
        <f>(IF((VLOOKUP(Table2[[#This Row],[SKU]],'All Skus'!$A:$AC,2,FALSE))="AMX",(VLOOKUP(Table2[[#This Row],[SKU]],'All Skus'!$A:$AC,7,FALSE)),""))</f>
        <v>Limited Quantity</v>
      </c>
      <c r="F263" s="280" t="str">
        <f>(IF((VLOOKUP(Table2[[#This Row],[SKU]],'All Skus'!$A:$AC,2,FALSE))="AMX",(VLOOKUP(Table2[[#This Row],[SKU]],'All Skus'!$A:$AC,8,FALSE)),""))</f>
        <v>JPEG 2000 Digital Cinema Grade AV over IP Decoder, HDMI, AES67 Support, Stand-alone</v>
      </c>
      <c r="G263" s="280" t="str">
        <f>(IF((VLOOKUP(Table2[[#This Row],[SKU]],'All Skus'!$A:$AC,2,FALSE))="AMX",(VLOOKUP(Table2[[#This Row],[SKU]],'All Skus'!$A:$AC,9,FALSE)),""))</f>
        <v>SVSI Stand-alone JPEG2000 Decoder with ultra-low latency for 1080p/60hz, RJ45, serial, balanced audio, VGA, and HDMI connectors, AES67 compatible (power supply included)</v>
      </c>
      <c r="H263" s="157">
        <f>(IF((VLOOKUP(Table2[[#This Row],[SKU]],'All Skus'!$A:$AC,2,FALSE))="AMX",(VLOOKUP(Table2[[#This Row],[SKU]],'All Skus'!$A:$AC,10,FALSE)),""))</f>
        <v>1560.6</v>
      </c>
      <c r="I263" s="157">
        <f>(IF((VLOOKUP(Table2[[#This Row],[SKU]],'All Skus'!$A:$AC,2,FALSE))="AMX",(VLOOKUP(Table2[[#This Row],[SKU]],'All Skus'!$A:$AC,11,FALSE)),""))</f>
        <v>1560.6</v>
      </c>
      <c r="J263" s="47">
        <f>(IF((VLOOKUP(Table2[[#This Row],[SKU]],'All Skus'!$A:$AC,2,FALSE))="AMX",(VLOOKUP(Table2[[#This Row],[SKU]],'All Skus'!$A:$AC,15,FALSE)),""))</f>
        <v>0</v>
      </c>
      <c r="K263" s="47">
        <f>(IF((VLOOKUP(Table2[[#This Row],[SKU]],'All Skus'!$A:$AC,2,FALSE))="AMX",(VLOOKUP(Table2[[#This Row],[SKU]],'All Skus'!$A:$AC,16,FALSE)),""))</f>
        <v>0</v>
      </c>
      <c r="L263" s="47">
        <f>(IF((VLOOKUP(Table2[[#This Row],[SKU]],'All Skus'!$A:$AC,2,FALSE))="AMX",(VLOOKUP(Table2[[#This Row],[SKU]],'All Skus'!$A:$AC,17,FALSE)),""))</f>
        <v>0</v>
      </c>
      <c r="M263" s="63">
        <f>(IF((VLOOKUP(Table2[[#This Row],[SKU]],'All Skus'!$A:$AC,2,FALSE))="AMX",(VLOOKUP(Table2[[#This Row],[SKU]],'All Skus'!$A:$AC,18,FALSE)),""))</f>
        <v>1.55</v>
      </c>
      <c r="N263" s="47">
        <f>(IF((VLOOKUP(Table2[[#This Row],[SKU]],'All Skus'!$A:$AC,2,FALSE))="AMX",(VLOOKUP(Table2[[#This Row],[SKU]],'All Skus'!$A:$AC,19,FALSE)),""))</f>
        <v>7.88</v>
      </c>
      <c r="O263" s="47">
        <f>(IF((VLOOKUP(Table2[[#This Row],[SKU]],'All Skus'!$A:$AC,2,FALSE))="AMX",(VLOOKUP(Table2[[#This Row],[SKU]],'All Skus'!$A:$AC,20,FALSE)),""))</f>
        <v>5.5</v>
      </c>
      <c r="P263" s="47">
        <f>(IF((VLOOKUP(Table2[[#This Row],[SKU]],'All Skus'!$A:$AC,2,FALSE))="AMX",(VLOOKUP(Table2[[#This Row],[SKU]],'All Skus'!$A:$AC,21,FALSE)),""))</f>
        <v>1.05</v>
      </c>
      <c r="Q263" s="47" t="str">
        <f>(IF((VLOOKUP(Table2[[#This Row],[SKU]],'All Skus'!$A:$AC,2,FALSE))="AMX",(VLOOKUP(Table2[[#This Row],[SKU]],'All Skus'!$A:$AC,22,FALSE)),""))</f>
        <v>MX</v>
      </c>
      <c r="R263" s="47" t="str">
        <f>(IF((VLOOKUP(Table2[[#This Row],[SKU]],'All Skus'!$A:$AC,2,FALSE))="AMX",(VLOOKUP(Table2[[#This Row],[SKU]],'All Skus'!$A:$AC,23,FALSE)),""))</f>
        <v>Compliant</v>
      </c>
      <c r="S263" s="210" t="str">
        <f>HYPERLINK((IF((VLOOKUP(Table2[[#This Row],[SKU]],'All Skus'!$A:$AC,2,FALSE))="AMX",(VLOOKUP(Table2[[#This Row],[SKU]],'All Skus'!$A:$AC,24,FALSE)),"")))</f>
        <v>https://www.amx.com/en-US/products/nmx-dec-n2212a-decoder</v>
      </c>
      <c r="T263" s="151">
        <v>261</v>
      </c>
    </row>
    <row r="264" spans="1:20" hidden="1">
      <c r="A264" s="48" t="s">
        <v>775</v>
      </c>
      <c r="B264" s="280" t="str">
        <f>(IF((VLOOKUP(Table2[[#This Row],[SKU]],'All Skus'!$A:$AC,2,FALSE))="AMX",(VLOOKUP(Table2[[#This Row],[SKU]],'All Skus'!$A:$AC,3,FALSE)),""))</f>
        <v>Networked AV</v>
      </c>
      <c r="C264" s="280" t="str">
        <f>(IF((VLOOKUP(Table2[[#This Row],[SKU]],'All Skus'!$A:$AC,2,FALSE))="AMX",(VLOOKUP(Table2[[#This Row],[SKU]],'All Skus'!$A:$AC,4,FALSE)),""))</f>
        <v>NMX-ENC-N2312-C</v>
      </c>
      <c r="D264" s="47" t="str">
        <f>(IF((VLOOKUP(Table2[[#This Row],[SKU]],'All Skus'!$A:$AC,2,FALSE))="AMX",(VLOOKUP(Table2[[#This Row],[SKU]],'All Skus'!$A:$AC,5,FALSE)),""))</f>
        <v>AMX-NM</v>
      </c>
      <c r="E264" s="281">
        <f>(IF((VLOOKUP(Table2[[#This Row],[SKU]],'All Skus'!$A:$AC,2,FALSE))="AMX",(VLOOKUP(Table2[[#This Row],[SKU]],'All Skus'!$A:$AC,7,FALSE)),""))</f>
        <v>0</v>
      </c>
      <c r="F264" s="280" t="str">
        <f>(IF((VLOOKUP(Table2[[#This Row],[SKU]],'All Skus'!$A:$AC,2,FALSE))="AMX",(VLOOKUP(Table2[[#This Row],[SKU]],'All Skus'!$A:$AC,8,FALSE)),""))</f>
        <v>N2300 Series 4K UHD Video over IP Card Encoder with KVM, PoE, Card</v>
      </c>
      <c r="G264" s="280" t="str">
        <f>(IF((VLOOKUP(Table2[[#This Row],[SKU]],'All Skus'!$A:$AC,2,FALSE))="AMX",(VLOOKUP(Table2[[#This Row],[SKU]],'All Skus'!$A:$AC,9,FALSE)),""))</f>
        <v>SVSI N2300 Series  4K Encoder card with one SFP fiber/RJ45 copper network port cage, and one RJ45 (with PoE), IR, serial, KVM-over IP keyboard and mouse operation, balanced audio, HDMI connection, (SFP module included) - must be used in conjunction with NMX-ACC-N9206 Rack Mount Cage</v>
      </c>
      <c r="H264" s="157">
        <f>(IF((VLOOKUP(Table2[[#This Row],[SKU]],'All Skus'!$A:$AC,2,FALSE))="AMX",(VLOOKUP(Table2[[#This Row],[SKU]],'All Skus'!$A:$AC,10,FALSE)),""))</f>
        <v>1223.3</v>
      </c>
      <c r="I264" s="157">
        <f>(IF((VLOOKUP(Table2[[#This Row],[SKU]],'All Skus'!$A:$AC,2,FALSE))="AMX",(VLOOKUP(Table2[[#This Row],[SKU]],'All Skus'!$A:$AC,11,FALSE)),""))</f>
        <v>1223.3</v>
      </c>
      <c r="J264" s="47">
        <f>(IF((VLOOKUP(Table2[[#This Row],[SKU]],'All Skus'!$A:$AC,2,FALSE))="AMX",(VLOOKUP(Table2[[#This Row],[SKU]],'All Skus'!$A:$AC,15,FALSE)),""))</f>
        <v>0</v>
      </c>
      <c r="K264" s="47">
        <f>(IF((VLOOKUP(Table2[[#This Row],[SKU]],'All Skus'!$A:$AC,2,FALSE))="AMX",(VLOOKUP(Table2[[#This Row],[SKU]],'All Skus'!$A:$AC,16,FALSE)),""))</f>
        <v>718878024423</v>
      </c>
      <c r="L264" s="47">
        <f>(IF((VLOOKUP(Table2[[#This Row],[SKU]],'All Skus'!$A:$AC,2,FALSE))="AMX",(VLOOKUP(Table2[[#This Row],[SKU]],'All Skus'!$A:$AC,17,FALSE)),""))</f>
        <v>0</v>
      </c>
      <c r="M264" s="63">
        <f>(IF((VLOOKUP(Table2[[#This Row],[SKU]],'All Skus'!$A:$AC,2,FALSE))="AMX",(VLOOKUP(Table2[[#This Row],[SKU]],'All Skus'!$A:$AC,18,FALSE)),""))</f>
        <v>1.55</v>
      </c>
      <c r="N264" s="47">
        <f>(IF((VLOOKUP(Table2[[#This Row],[SKU]],'All Skus'!$A:$AC,2,FALSE))="AMX",(VLOOKUP(Table2[[#This Row],[SKU]],'All Skus'!$A:$AC,19,FALSE)),""))</f>
        <v>7.88</v>
      </c>
      <c r="O264" s="47">
        <f>(IF((VLOOKUP(Table2[[#This Row],[SKU]],'All Skus'!$A:$AC,2,FALSE))="AMX",(VLOOKUP(Table2[[#This Row],[SKU]],'All Skus'!$A:$AC,20,FALSE)),""))</f>
        <v>5.5</v>
      </c>
      <c r="P264" s="47">
        <f>(IF((VLOOKUP(Table2[[#This Row],[SKU]],'All Skus'!$A:$AC,2,FALSE))="AMX",(VLOOKUP(Table2[[#This Row],[SKU]],'All Skus'!$A:$AC,21,FALSE)),""))</f>
        <v>1.05</v>
      </c>
      <c r="Q264" s="47" t="str">
        <f>(IF((VLOOKUP(Table2[[#This Row],[SKU]],'All Skus'!$A:$AC,2,FALSE))="AMX",(VLOOKUP(Table2[[#This Row],[SKU]],'All Skus'!$A:$AC,22,FALSE)),""))</f>
        <v>TW</v>
      </c>
      <c r="R264" s="47" t="str">
        <f>(IF((VLOOKUP(Table2[[#This Row],[SKU]],'All Skus'!$A:$AC,2,FALSE))="AMX",(VLOOKUP(Table2[[#This Row],[SKU]],'All Skus'!$A:$AC,23,FALSE)),""))</f>
        <v>Compliant</v>
      </c>
      <c r="S264" s="210" t="str">
        <f>HYPERLINK((IF((VLOOKUP(Table2[[#This Row],[SKU]],'All Skus'!$A:$AC,2,FALSE))="AMX",(VLOOKUP(Table2[[#This Row],[SKU]],'All Skus'!$A:$AC,24,FALSE)),"")))</f>
        <v>https://www.amx.com/en-US/products/nmx-enc-n2312-c-encoder-card</v>
      </c>
      <c r="T264" s="151">
        <v>262</v>
      </c>
    </row>
    <row r="265" spans="1:20" hidden="1">
      <c r="A265" s="48" t="s">
        <v>776</v>
      </c>
      <c r="B265" s="280" t="str">
        <f>(IF((VLOOKUP(Table2[[#This Row],[SKU]],'All Skus'!$A:$AC,2,FALSE))="AMX",(VLOOKUP(Table2[[#This Row],[SKU]],'All Skus'!$A:$AC,3,FALSE)),""))</f>
        <v>Networked AV</v>
      </c>
      <c r="C265" s="280" t="str">
        <f>(IF((VLOOKUP(Table2[[#This Row],[SKU]],'All Skus'!$A:$AC,2,FALSE))="AMX",(VLOOKUP(Table2[[#This Row],[SKU]],'All Skus'!$A:$AC,4,FALSE)),""))</f>
        <v>NMX-ENC-N2312</v>
      </c>
      <c r="D265" s="47" t="str">
        <f>(IF((VLOOKUP(Table2[[#This Row],[SKU]],'All Skus'!$A:$AC,2,FALSE))="AMX",(VLOOKUP(Table2[[#This Row],[SKU]],'All Skus'!$A:$AC,5,FALSE)),""))</f>
        <v>AMX-NM</v>
      </c>
      <c r="E265" s="281">
        <f>(IF((VLOOKUP(Table2[[#This Row],[SKU]],'All Skus'!$A:$AC,2,FALSE))="AMX",(VLOOKUP(Table2[[#This Row],[SKU]],'All Skus'!$A:$AC,7,FALSE)),""))</f>
        <v>0</v>
      </c>
      <c r="F265" s="280" t="str">
        <f>(IF((VLOOKUP(Table2[[#This Row],[SKU]],'All Skus'!$A:$AC,2,FALSE))="AMX",(VLOOKUP(Table2[[#This Row],[SKU]],'All Skus'!$A:$AC,8,FALSE)),""))</f>
        <v>N2300 Series 4K UHD Video over IP Stand Alone Encoder with KVM, PoE, Stand-alone</v>
      </c>
      <c r="G265" s="280" t="str">
        <f>(IF((VLOOKUP(Table2[[#This Row],[SKU]],'All Skus'!$A:$AC,2,FALSE))="AMX",(VLOOKUP(Table2[[#This Row],[SKU]],'All Skus'!$A:$AC,9,FALSE)),""))</f>
        <v xml:space="preserve">SVSI N2300 Series stand-alone 4K Encoder with one SFP fiber/RJ45 copper network port cage, and one RJ45 (with PoE), IR, serial, KVM-over IP keyboard and mouse operation, balanced audio, HDMI connection, (SFP module included, power supply not included) </v>
      </c>
      <c r="H265" s="157">
        <f>(IF((VLOOKUP(Table2[[#This Row],[SKU]],'All Skus'!$A:$AC,2,FALSE))="AMX",(VLOOKUP(Table2[[#This Row],[SKU]],'All Skus'!$A:$AC,10,FALSE)),""))</f>
        <v>1229</v>
      </c>
      <c r="I265" s="157">
        <f>(IF((VLOOKUP(Table2[[#This Row],[SKU]],'All Skus'!$A:$AC,2,FALSE))="AMX",(VLOOKUP(Table2[[#This Row],[SKU]],'All Skus'!$A:$AC,11,FALSE)),""))</f>
        <v>1229</v>
      </c>
      <c r="J265" s="47">
        <f>(IF((VLOOKUP(Table2[[#This Row],[SKU]],'All Skus'!$A:$AC,2,FALSE))="AMX",(VLOOKUP(Table2[[#This Row],[SKU]],'All Skus'!$A:$AC,15,FALSE)),""))</f>
        <v>0</v>
      </c>
      <c r="K265" s="47">
        <f>(IF((VLOOKUP(Table2[[#This Row],[SKU]],'All Skus'!$A:$AC,2,FALSE))="AMX",(VLOOKUP(Table2[[#This Row],[SKU]],'All Skus'!$A:$AC,16,FALSE)),""))</f>
        <v>718878025758</v>
      </c>
      <c r="L265" s="47">
        <f>(IF((VLOOKUP(Table2[[#This Row],[SKU]],'All Skus'!$A:$AC,2,FALSE))="AMX",(VLOOKUP(Table2[[#This Row],[SKU]],'All Skus'!$A:$AC,17,FALSE)),""))</f>
        <v>0</v>
      </c>
      <c r="M265" s="63">
        <f>(IF((VLOOKUP(Table2[[#This Row],[SKU]],'All Skus'!$A:$AC,2,FALSE))="AMX",(VLOOKUP(Table2[[#This Row],[SKU]],'All Skus'!$A:$AC,18,FALSE)),""))</f>
        <v>1.55</v>
      </c>
      <c r="N265" s="47">
        <f>(IF((VLOOKUP(Table2[[#This Row],[SKU]],'All Skus'!$A:$AC,2,FALSE))="AMX",(VLOOKUP(Table2[[#This Row],[SKU]],'All Skus'!$A:$AC,19,FALSE)),""))</f>
        <v>7.88</v>
      </c>
      <c r="O265" s="47">
        <f>(IF((VLOOKUP(Table2[[#This Row],[SKU]],'All Skus'!$A:$AC,2,FALSE))="AMX",(VLOOKUP(Table2[[#This Row],[SKU]],'All Skus'!$A:$AC,20,FALSE)),""))</f>
        <v>5.5</v>
      </c>
      <c r="P265" s="47">
        <f>(IF((VLOOKUP(Table2[[#This Row],[SKU]],'All Skus'!$A:$AC,2,FALSE))="AMX",(VLOOKUP(Table2[[#This Row],[SKU]],'All Skus'!$A:$AC,21,FALSE)),""))</f>
        <v>1.05</v>
      </c>
      <c r="Q265" s="47" t="str">
        <f>(IF((VLOOKUP(Table2[[#This Row],[SKU]],'All Skus'!$A:$AC,2,FALSE))="AMX",(VLOOKUP(Table2[[#This Row],[SKU]],'All Skus'!$A:$AC,22,FALSE)),""))</f>
        <v>TW</v>
      </c>
      <c r="R265" s="47" t="str">
        <f>(IF((VLOOKUP(Table2[[#This Row],[SKU]],'All Skus'!$A:$AC,2,FALSE))="AMX",(VLOOKUP(Table2[[#This Row],[SKU]],'All Skus'!$A:$AC,23,FALSE)),""))</f>
        <v>Compliant</v>
      </c>
      <c r="S265" s="210" t="str">
        <f>HYPERLINK((IF((VLOOKUP(Table2[[#This Row],[SKU]],'All Skus'!$A:$AC,2,FALSE))="AMX",(VLOOKUP(Table2[[#This Row],[SKU]],'All Skus'!$A:$AC,24,FALSE)),"")))</f>
        <v>https://www.amx.com/en-US/products/nmx-enc-n2312-encoder</v>
      </c>
      <c r="T265" s="151">
        <v>263</v>
      </c>
    </row>
    <row r="266" spans="1:20" hidden="1">
      <c r="A266" s="48" t="s">
        <v>777</v>
      </c>
      <c r="B266" s="280" t="str">
        <f>(IF((VLOOKUP(Table2[[#This Row],[SKU]],'All Skus'!$A:$AC,2,FALSE))="AMX",(VLOOKUP(Table2[[#This Row],[SKU]],'All Skus'!$A:$AC,3,FALSE)),""))</f>
        <v>Networked AV</v>
      </c>
      <c r="C266" s="280" t="str">
        <f>(IF((VLOOKUP(Table2[[#This Row],[SKU]],'All Skus'!$A:$AC,2,FALSE))="AMX",(VLOOKUP(Table2[[#This Row],[SKU]],'All Skus'!$A:$AC,4,FALSE)),""))</f>
        <v>NMX-ENC-N2315-WP-BL</v>
      </c>
      <c r="D266" s="47" t="str">
        <f>(IF((VLOOKUP(Table2[[#This Row],[SKU]],'All Skus'!$A:$AC,2,FALSE))="AMX",(VLOOKUP(Table2[[#This Row],[SKU]],'All Skus'!$A:$AC,5,FALSE)),""))</f>
        <v>AMX-NM</v>
      </c>
      <c r="E266" s="281">
        <f>(IF((VLOOKUP(Table2[[#This Row],[SKU]],'All Skus'!$A:$AC,2,FALSE))="AMX",(VLOOKUP(Table2[[#This Row],[SKU]],'All Skus'!$A:$AC,7,FALSE)),""))</f>
        <v>0</v>
      </c>
      <c r="F266" s="280" t="str">
        <f>(IF((VLOOKUP(Table2[[#This Row],[SKU]],'All Skus'!$A:$AC,2,FALSE))="AMX",(VLOOKUP(Table2[[#This Row],[SKU]],'All Skus'!$A:$AC,8,FALSE)),""))</f>
        <v>N2300 Series 4K UHD Video Over IP Decor Style Wallplate Encoder with KVM, PoE, Black</v>
      </c>
      <c r="G266" s="280" t="str">
        <f>(IF((VLOOKUP(Table2[[#This Row],[SKU]],'All Skus'!$A:$AC,2,FALSE))="AMX",(VLOOKUP(Table2[[#This Row],[SKU]],'All Skus'!$A:$AC,9,FALSE)),""))</f>
        <v>SVSI N2300 Series Decor Style Wallplate 4K Video over IP Encoder with Ethernet port, KVM-over-IP keyboard and mouse operation, serial, audio, VGA, and HDMI video connections, black</v>
      </c>
      <c r="H266" s="157">
        <f>(IF((VLOOKUP(Table2[[#This Row],[SKU]],'All Skus'!$A:$AC,2,FALSE))="AMX",(VLOOKUP(Table2[[#This Row],[SKU]],'All Skus'!$A:$AC,10,FALSE)),""))</f>
        <v>1284.5</v>
      </c>
      <c r="I266" s="157">
        <f>(IF((VLOOKUP(Table2[[#This Row],[SKU]],'All Skus'!$A:$AC,2,FALSE))="AMX",(VLOOKUP(Table2[[#This Row],[SKU]],'All Skus'!$A:$AC,11,FALSE)),""))</f>
        <v>1284.5</v>
      </c>
      <c r="J266" s="47">
        <f>(IF((VLOOKUP(Table2[[#This Row],[SKU]],'All Skus'!$A:$AC,2,FALSE))="AMX",(VLOOKUP(Table2[[#This Row],[SKU]],'All Skus'!$A:$AC,15,FALSE)),""))</f>
        <v>0</v>
      </c>
      <c r="K266" s="47">
        <f>(IF((VLOOKUP(Table2[[#This Row],[SKU]],'All Skus'!$A:$AC,2,FALSE))="AMX",(VLOOKUP(Table2[[#This Row],[SKU]],'All Skus'!$A:$AC,16,FALSE)),""))</f>
        <v>718878019986</v>
      </c>
      <c r="L266" s="47">
        <f>(IF((VLOOKUP(Table2[[#This Row],[SKU]],'All Skus'!$A:$AC,2,FALSE))="AMX",(VLOOKUP(Table2[[#This Row],[SKU]],'All Skus'!$A:$AC,17,FALSE)),""))</f>
        <v>0</v>
      </c>
      <c r="M266" s="63">
        <f>(IF((VLOOKUP(Table2[[#This Row],[SKU]],'All Skus'!$A:$AC,2,FALSE))="AMX",(VLOOKUP(Table2[[#This Row],[SKU]],'All Skus'!$A:$AC,18,FALSE)),""))</f>
        <v>0.75</v>
      </c>
      <c r="N266" s="47">
        <f>(IF((VLOOKUP(Table2[[#This Row],[SKU]],'All Skus'!$A:$AC,2,FALSE))="AMX",(VLOOKUP(Table2[[#This Row],[SKU]],'All Skus'!$A:$AC,19,FALSE)),""))</f>
        <v>3.5</v>
      </c>
      <c r="O266" s="47">
        <f>(IF((VLOOKUP(Table2[[#This Row],[SKU]],'All Skus'!$A:$AC,2,FALSE))="AMX",(VLOOKUP(Table2[[#This Row],[SKU]],'All Skus'!$A:$AC,20,FALSE)),""))</f>
        <v>2.25</v>
      </c>
      <c r="P266" s="47">
        <f>(IF((VLOOKUP(Table2[[#This Row],[SKU]],'All Skus'!$A:$AC,2,FALSE))="AMX",(VLOOKUP(Table2[[#This Row],[SKU]],'All Skus'!$A:$AC,21,FALSE)),""))</f>
        <v>4.0599999999999996</v>
      </c>
      <c r="Q266" s="47" t="str">
        <f>(IF((VLOOKUP(Table2[[#This Row],[SKU]],'All Skus'!$A:$AC,2,FALSE))="AMX",(VLOOKUP(Table2[[#This Row],[SKU]],'All Skus'!$A:$AC,22,FALSE)),""))</f>
        <v>TW</v>
      </c>
      <c r="R266" s="47" t="str">
        <f>(IF((VLOOKUP(Table2[[#This Row],[SKU]],'All Skus'!$A:$AC,2,FALSE))="AMX",(VLOOKUP(Table2[[#This Row],[SKU]],'All Skus'!$A:$AC,23,FALSE)),""))</f>
        <v>Compliant</v>
      </c>
      <c r="S266" s="210" t="str">
        <f>HYPERLINK((IF((VLOOKUP(Table2[[#This Row],[SKU]],'All Skus'!$A:$AC,2,FALSE))="AMX",(VLOOKUP(Table2[[#This Row],[SKU]],'All Skus'!$A:$AC,24,FALSE)),"")))</f>
        <v>https://www.amx.com/en-US/products/nmx-enc-n2315-wp-wallplate-encoder</v>
      </c>
      <c r="T266" s="151">
        <v>264</v>
      </c>
    </row>
    <row r="267" spans="1:20" ht="15" hidden="1" customHeight="1">
      <c r="A267" s="48" t="s">
        <v>778</v>
      </c>
      <c r="B267" s="280" t="str">
        <f>(IF((VLOOKUP(Table2[[#This Row],[SKU]],'All Skus'!$A:$AC,2,FALSE))="AMX",(VLOOKUP(Table2[[#This Row],[SKU]],'All Skus'!$A:$AC,3,FALSE)),""))</f>
        <v>Networked AV</v>
      </c>
      <c r="C267" s="280" t="str">
        <f>(IF((VLOOKUP(Table2[[#This Row],[SKU]],'All Skus'!$A:$AC,2,FALSE))="AMX",(VLOOKUP(Table2[[#This Row],[SKU]],'All Skus'!$A:$AC,4,FALSE)),""))</f>
        <v>NMX-ENC-N2315-WP-WH</v>
      </c>
      <c r="D267" s="47" t="str">
        <f>(IF((VLOOKUP(Table2[[#This Row],[SKU]],'All Skus'!$A:$AC,2,FALSE))="AMX",(VLOOKUP(Table2[[#This Row],[SKU]],'All Skus'!$A:$AC,5,FALSE)),""))</f>
        <v>AMX-NM</v>
      </c>
      <c r="E267" s="281">
        <f>(IF((VLOOKUP(Table2[[#This Row],[SKU]],'All Skus'!$A:$AC,2,FALSE))="AMX",(VLOOKUP(Table2[[#This Row],[SKU]],'All Skus'!$A:$AC,7,FALSE)),""))</f>
        <v>0</v>
      </c>
      <c r="F267" s="280" t="str">
        <f>(IF((VLOOKUP(Table2[[#This Row],[SKU]],'All Skus'!$A:$AC,2,FALSE))="AMX",(VLOOKUP(Table2[[#This Row],[SKU]],'All Skus'!$A:$AC,8,FALSE)),""))</f>
        <v>N2300 Series 4K UHD Video Over IP Decor Style Wallplate Encoder with KVM, PoE, White</v>
      </c>
      <c r="G267" s="280" t="str">
        <f>(IF((VLOOKUP(Table2[[#This Row],[SKU]],'All Skus'!$A:$AC,2,FALSE))="AMX",(VLOOKUP(Table2[[#This Row],[SKU]],'All Skus'!$A:$AC,9,FALSE)),""))</f>
        <v>SVSI N2300 Series Decor Style Wallplate 4K Video over IP Encoder with Ethernet port, KVM-over-IP keyboard and mouse operation, serial, audio, VGA, and HDMI video connections, white</v>
      </c>
      <c r="H267" s="157">
        <f>(IF((VLOOKUP(Table2[[#This Row],[SKU]],'All Skus'!$A:$AC,2,FALSE))="AMX",(VLOOKUP(Table2[[#This Row],[SKU]],'All Skus'!$A:$AC,10,FALSE)),""))</f>
        <v>1284.5</v>
      </c>
      <c r="I267" s="157">
        <f>(IF((VLOOKUP(Table2[[#This Row],[SKU]],'All Skus'!$A:$AC,2,FALSE))="AMX",(VLOOKUP(Table2[[#This Row],[SKU]],'All Skus'!$A:$AC,11,FALSE)),""))</f>
        <v>1284.5</v>
      </c>
      <c r="J267" s="47">
        <f>(IF((VLOOKUP(Table2[[#This Row],[SKU]],'All Skus'!$A:$AC,2,FALSE))="AMX",(VLOOKUP(Table2[[#This Row],[SKU]],'All Skus'!$A:$AC,15,FALSE)),""))</f>
        <v>0</v>
      </c>
      <c r="K267" s="47">
        <f>(IF((VLOOKUP(Table2[[#This Row],[SKU]],'All Skus'!$A:$AC,2,FALSE))="AMX",(VLOOKUP(Table2[[#This Row],[SKU]],'All Skus'!$A:$AC,16,FALSE)),""))</f>
        <v>718878019795</v>
      </c>
      <c r="L267" s="47">
        <f>(IF((VLOOKUP(Table2[[#This Row],[SKU]],'All Skus'!$A:$AC,2,FALSE))="AMX",(VLOOKUP(Table2[[#This Row],[SKU]],'All Skus'!$A:$AC,17,FALSE)),""))</f>
        <v>0</v>
      </c>
      <c r="M267" s="63">
        <f>(IF((VLOOKUP(Table2[[#This Row],[SKU]],'All Skus'!$A:$AC,2,FALSE))="AMX",(VLOOKUP(Table2[[#This Row],[SKU]],'All Skus'!$A:$AC,18,FALSE)),""))</f>
        <v>0.75</v>
      </c>
      <c r="N267" s="47">
        <f>(IF((VLOOKUP(Table2[[#This Row],[SKU]],'All Skus'!$A:$AC,2,FALSE))="AMX",(VLOOKUP(Table2[[#This Row],[SKU]],'All Skus'!$A:$AC,19,FALSE)),""))</f>
        <v>3.5</v>
      </c>
      <c r="O267" s="47">
        <f>(IF((VLOOKUP(Table2[[#This Row],[SKU]],'All Skus'!$A:$AC,2,FALSE))="AMX",(VLOOKUP(Table2[[#This Row],[SKU]],'All Skus'!$A:$AC,20,FALSE)),""))</f>
        <v>2.25</v>
      </c>
      <c r="P267" s="47">
        <f>(IF((VLOOKUP(Table2[[#This Row],[SKU]],'All Skus'!$A:$AC,2,FALSE))="AMX",(VLOOKUP(Table2[[#This Row],[SKU]],'All Skus'!$A:$AC,21,FALSE)),""))</f>
        <v>4.0599999999999996</v>
      </c>
      <c r="Q267" s="47" t="str">
        <f>(IF((VLOOKUP(Table2[[#This Row],[SKU]],'All Skus'!$A:$AC,2,FALSE))="AMX",(VLOOKUP(Table2[[#This Row],[SKU]],'All Skus'!$A:$AC,22,FALSE)),""))</f>
        <v>TW</v>
      </c>
      <c r="R267" s="47" t="str">
        <f>(IF((VLOOKUP(Table2[[#This Row],[SKU]],'All Skus'!$A:$AC,2,FALSE))="AMX",(VLOOKUP(Table2[[#This Row],[SKU]],'All Skus'!$A:$AC,23,FALSE)),""))</f>
        <v>Compliant</v>
      </c>
      <c r="S267" s="210" t="str">
        <f>HYPERLINK((IF((VLOOKUP(Table2[[#This Row],[SKU]],'All Skus'!$A:$AC,2,FALSE))="AMX",(VLOOKUP(Table2[[#This Row],[SKU]],'All Skus'!$A:$AC,24,FALSE)),"")))</f>
        <v>https://www.amx.com/en-US/products/nmx-enc-n2315-wp-wallplate-encoder</v>
      </c>
      <c r="T267" s="151">
        <v>265</v>
      </c>
    </row>
    <row r="268" spans="1:20" hidden="1">
      <c r="A268" s="48" t="s">
        <v>779</v>
      </c>
      <c r="B268" s="280" t="str">
        <f>(IF((VLOOKUP(Table2[[#This Row],[SKU]],'All Skus'!$A:$AC,2,FALSE))="AMX",(VLOOKUP(Table2[[#This Row],[SKU]],'All Skus'!$A:$AC,3,FALSE)),""))</f>
        <v>Networked AV</v>
      </c>
      <c r="C268" s="280" t="str">
        <f>(IF((VLOOKUP(Table2[[#This Row],[SKU]],'All Skus'!$A:$AC,2,FALSE))="AMX",(VLOOKUP(Table2[[#This Row],[SKU]],'All Skus'!$A:$AC,4,FALSE)),""))</f>
        <v>NMX-DEC-N2322</v>
      </c>
      <c r="D268" s="47" t="str">
        <f>(IF((VLOOKUP(Table2[[#This Row],[SKU]],'All Skus'!$A:$AC,2,FALSE))="AMX",(VLOOKUP(Table2[[#This Row],[SKU]],'All Skus'!$A:$AC,5,FALSE)),""))</f>
        <v>AMX-NM</v>
      </c>
      <c r="E268" s="281">
        <f>(IF((VLOOKUP(Table2[[#This Row],[SKU]],'All Skus'!$A:$AC,2,FALSE))="AMX",(VLOOKUP(Table2[[#This Row],[SKU]],'All Skus'!$A:$AC,7,FALSE)),""))</f>
        <v>0</v>
      </c>
      <c r="F268" s="280" t="str">
        <f>(IF((VLOOKUP(Table2[[#This Row],[SKU]],'All Skus'!$A:$AC,2,FALSE))="AMX",(VLOOKUP(Table2[[#This Row],[SKU]],'All Skus'!$A:$AC,8,FALSE)),""))</f>
        <v>N2300 Series 4K UHD Video over IP Stand Alone Decoder with KVM, PoE, Stand-alone</v>
      </c>
      <c r="G268" s="280" t="str">
        <f>(IF((VLOOKUP(Table2[[#This Row],[SKU]],'All Skus'!$A:$AC,2,FALSE))="AMX",(VLOOKUP(Table2[[#This Row],[SKU]],'All Skus'!$A:$AC,9,FALSE)),""))</f>
        <v xml:space="preserve">SVSI N2300 Series stand-alone 4K Decoder with one SFP fiber/RJ45 copper network port cage, and one RJ45 (with PoE), IR, serial, KVM-over IP keyboard and mouse operation, balanced audio, HDMI connection, (SFP module included, power supply not included) </v>
      </c>
      <c r="H268" s="157">
        <f>(IF((VLOOKUP(Table2[[#This Row],[SKU]],'All Skus'!$A:$AC,2,FALSE))="AMX",(VLOOKUP(Table2[[#This Row],[SKU]],'All Skus'!$A:$AC,10,FALSE)),""))</f>
        <v>1109</v>
      </c>
      <c r="I268" s="157">
        <f>(IF((VLOOKUP(Table2[[#This Row],[SKU]],'All Skus'!$A:$AC,2,FALSE))="AMX",(VLOOKUP(Table2[[#This Row],[SKU]],'All Skus'!$A:$AC,11,FALSE)),""))</f>
        <v>1109</v>
      </c>
      <c r="J268" s="47">
        <f>(IF((VLOOKUP(Table2[[#This Row],[SKU]],'All Skus'!$A:$AC,2,FALSE))="AMX",(VLOOKUP(Table2[[#This Row],[SKU]],'All Skus'!$A:$AC,15,FALSE)),""))</f>
        <v>0</v>
      </c>
      <c r="K268" s="47">
        <f>(IF((VLOOKUP(Table2[[#This Row],[SKU]],'All Skus'!$A:$AC,2,FALSE))="AMX",(VLOOKUP(Table2[[#This Row],[SKU]],'All Skus'!$A:$AC,16,FALSE)),""))</f>
        <v>718878025765</v>
      </c>
      <c r="L268" s="47">
        <f>(IF((VLOOKUP(Table2[[#This Row],[SKU]],'All Skus'!$A:$AC,2,FALSE))="AMX",(VLOOKUP(Table2[[#This Row],[SKU]],'All Skus'!$A:$AC,17,FALSE)),""))</f>
        <v>0</v>
      </c>
      <c r="M268" s="63">
        <f>(IF((VLOOKUP(Table2[[#This Row],[SKU]],'All Skus'!$A:$AC,2,FALSE))="AMX",(VLOOKUP(Table2[[#This Row],[SKU]],'All Skus'!$A:$AC,18,FALSE)),""))</f>
        <v>1.55</v>
      </c>
      <c r="N268" s="47">
        <f>(IF((VLOOKUP(Table2[[#This Row],[SKU]],'All Skus'!$A:$AC,2,FALSE))="AMX",(VLOOKUP(Table2[[#This Row],[SKU]],'All Skus'!$A:$AC,19,FALSE)),""))</f>
        <v>7.88</v>
      </c>
      <c r="O268" s="47">
        <f>(IF((VLOOKUP(Table2[[#This Row],[SKU]],'All Skus'!$A:$AC,2,FALSE))="AMX",(VLOOKUP(Table2[[#This Row],[SKU]],'All Skus'!$A:$AC,20,FALSE)),""))</f>
        <v>5.5</v>
      </c>
      <c r="P268" s="47">
        <f>(IF((VLOOKUP(Table2[[#This Row],[SKU]],'All Skus'!$A:$AC,2,FALSE))="AMX",(VLOOKUP(Table2[[#This Row],[SKU]],'All Skus'!$A:$AC,21,FALSE)),""))</f>
        <v>1.05</v>
      </c>
      <c r="Q268" s="47" t="str">
        <f>(IF((VLOOKUP(Table2[[#This Row],[SKU]],'All Skus'!$A:$AC,2,FALSE))="AMX",(VLOOKUP(Table2[[#This Row],[SKU]],'All Skus'!$A:$AC,22,FALSE)),""))</f>
        <v>TW</v>
      </c>
      <c r="R268" s="47" t="str">
        <f>(IF((VLOOKUP(Table2[[#This Row],[SKU]],'All Skus'!$A:$AC,2,FALSE))="AMX",(VLOOKUP(Table2[[#This Row],[SKU]],'All Skus'!$A:$AC,23,FALSE)),""))</f>
        <v>Compliant</v>
      </c>
      <c r="S268" s="210" t="str">
        <f>HYPERLINK((IF((VLOOKUP(Table2[[#This Row],[SKU]],'All Skus'!$A:$AC,2,FALSE))="AMX",(VLOOKUP(Table2[[#This Row],[SKU]],'All Skus'!$A:$AC,24,FALSE)),"")))</f>
        <v>https://www.amx.com/en-US/products/nmx-dec-n2322-decoder</v>
      </c>
      <c r="T268" s="151">
        <v>266</v>
      </c>
    </row>
    <row r="269" spans="1:20" hidden="1">
      <c r="A269" s="48" t="s">
        <v>780</v>
      </c>
      <c r="B269" s="280" t="str">
        <f>(IF((VLOOKUP(Table2[[#This Row],[SKU]],'All Skus'!$A:$AC,2,FALSE))="AMX",(VLOOKUP(Table2[[#This Row],[SKU]],'All Skus'!$A:$AC,3,FALSE)),""))</f>
        <v>Networked AV</v>
      </c>
      <c r="C269" s="280" t="str">
        <f>(IF((VLOOKUP(Table2[[#This Row],[SKU]],'All Skus'!$A:$AC,2,FALSE))="AMX",(VLOOKUP(Table2[[#This Row],[SKU]],'All Skus'!$A:$AC,4,FALSE)),""))</f>
        <v>NMX-WP-N2410</v>
      </c>
      <c r="D269" s="47" t="str">
        <f>(IF((VLOOKUP(Table2[[#This Row],[SKU]],'All Skus'!$A:$AC,2,FALSE))="AMX",(VLOOKUP(Table2[[#This Row],[SKU]],'All Skus'!$A:$AC,5,FALSE)),""))</f>
        <v>AMX-NM</v>
      </c>
      <c r="E269" s="281">
        <f>(IF((VLOOKUP(Table2[[#This Row],[SKU]],'All Skus'!$A:$AC,2,FALSE))="AMX",(VLOOKUP(Table2[[#This Row],[SKU]],'All Skus'!$A:$AC,7,FALSE)),""))</f>
        <v>0</v>
      </c>
      <c r="F269" s="280" t="str">
        <f>(IF((VLOOKUP(Table2[[#This Row],[SKU]],'All Skus'!$A:$AC,2,FALSE))="AMX",(VLOOKUP(Table2[[#This Row],[SKU]],'All Skus'!$A:$AC,8,FALSE)),""))</f>
        <v>N2400 Series 4K60 4:4:4 Windowing Processor, 4x1</v>
      </c>
      <c r="G269" s="280" t="str">
        <f>(IF((VLOOKUP(Table2[[#This Row],[SKU]],'All Skus'!$A:$AC,2,FALSE))="AMX",(VLOOKUP(Table2[[#This Row],[SKU]],'All Skus'!$A:$AC,9,FALSE)),""))</f>
        <v>NMX-WP-N2410, WINDOW PROC,N2400,4X1</v>
      </c>
      <c r="H269" s="157">
        <f>(IF((VLOOKUP(Table2[[#This Row],[SKU]],'All Skus'!$A:$AC,2,FALSE))="AMX",(VLOOKUP(Table2[[#This Row],[SKU]],'All Skus'!$A:$AC,10,FALSE)),""))</f>
        <v>12257</v>
      </c>
      <c r="I269" s="157">
        <f>(IF((VLOOKUP(Table2[[#This Row],[SKU]],'All Skus'!$A:$AC,2,FALSE))="AMX",(VLOOKUP(Table2[[#This Row],[SKU]],'All Skus'!$A:$AC,11,FALSE)),""))</f>
        <v>12257</v>
      </c>
      <c r="J269" s="47">
        <f>(IF((VLOOKUP(Table2[[#This Row],[SKU]],'All Skus'!$A:$AC,2,FALSE))="AMX",(VLOOKUP(Table2[[#This Row],[SKU]],'All Skus'!$A:$AC,15,FALSE)),""))</f>
        <v>0</v>
      </c>
      <c r="K269" s="47">
        <f>(IF((VLOOKUP(Table2[[#This Row],[SKU]],'All Skus'!$A:$AC,2,FALSE))="AMX",(VLOOKUP(Table2[[#This Row],[SKU]],'All Skus'!$A:$AC,16,FALSE)),""))</f>
        <v>718878026328</v>
      </c>
      <c r="L269" s="47">
        <f>(IF((VLOOKUP(Table2[[#This Row],[SKU]],'All Skus'!$A:$AC,2,FALSE))="AMX",(VLOOKUP(Table2[[#This Row],[SKU]],'All Skus'!$A:$AC,17,FALSE)),""))</f>
        <v>0</v>
      </c>
      <c r="M269" s="63">
        <f>(IF((VLOOKUP(Table2[[#This Row],[SKU]],'All Skus'!$A:$AC,2,FALSE))="AMX",(VLOOKUP(Table2[[#This Row],[SKU]],'All Skus'!$A:$AC,18,FALSE)),""))</f>
        <v>7.15</v>
      </c>
      <c r="N269" s="47">
        <f>(IF((VLOOKUP(Table2[[#This Row],[SKU]],'All Skus'!$A:$AC,2,FALSE))="AMX",(VLOOKUP(Table2[[#This Row],[SKU]],'All Skus'!$A:$AC,19,FALSE)),""))</f>
        <v>17.25</v>
      </c>
      <c r="O269" s="47">
        <f>(IF((VLOOKUP(Table2[[#This Row],[SKU]],'All Skus'!$A:$AC,2,FALSE))="AMX",(VLOOKUP(Table2[[#This Row],[SKU]],'All Skus'!$A:$AC,20,FALSE)),""))</f>
        <v>12</v>
      </c>
      <c r="P269" s="47">
        <f>(IF((VLOOKUP(Table2[[#This Row],[SKU]],'All Skus'!$A:$AC,2,FALSE))="AMX",(VLOOKUP(Table2[[#This Row],[SKU]],'All Skus'!$A:$AC,21,FALSE)),""))</f>
        <v>1.75</v>
      </c>
      <c r="Q269" s="47" t="str">
        <f>(IF((VLOOKUP(Table2[[#This Row],[SKU]],'All Skus'!$A:$AC,2,FALSE))="AMX",(VLOOKUP(Table2[[#This Row],[SKU]],'All Skus'!$A:$AC,22,FALSE)),""))</f>
        <v>US</v>
      </c>
      <c r="R269" s="47" t="str">
        <f>(IF((VLOOKUP(Table2[[#This Row],[SKU]],'All Skus'!$A:$AC,2,FALSE))="AMX",(VLOOKUP(Table2[[#This Row],[SKU]],'All Skus'!$A:$AC,23,FALSE)),""))</f>
        <v>Compliant</v>
      </c>
      <c r="S269" s="210" t="str">
        <f>HYPERLINK((IF((VLOOKUP(Table2[[#This Row],[SKU]],'All Skus'!$A:$AC,2,FALSE))="AMX",(VLOOKUP(Table2[[#This Row],[SKU]],'All Skus'!$A:$AC,24,FALSE)),"")))</f>
        <v>https://www.amx.com/en-US/products/nmx-wp-n2410-windowing-processor</v>
      </c>
      <c r="T269" s="151">
        <v>267</v>
      </c>
    </row>
    <row r="270" spans="1:20" hidden="1">
      <c r="A270" s="48" t="s">
        <v>781</v>
      </c>
      <c r="B270" s="280" t="str">
        <f>(IF((VLOOKUP(Table2[[#This Row],[SKU]],'All Skus'!$A:$AC,2,FALSE))="AMX",(VLOOKUP(Table2[[#This Row],[SKU]],'All Skus'!$A:$AC,3,FALSE)),""))</f>
        <v>Networked AV</v>
      </c>
      <c r="C270" s="280" t="str">
        <f>(IF((VLOOKUP(Table2[[#This Row],[SKU]],'All Skus'!$A:$AC,2,FALSE))="AMX",(VLOOKUP(Table2[[#This Row],[SKU]],'All Skus'!$A:$AC,4,FALSE)),""))</f>
        <v>NMX-ENC-N2412A-C</v>
      </c>
      <c r="D270" s="47" t="str">
        <f>(IF((VLOOKUP(Table2[[#This Row],[SKU]],'All Skus'!$A:$AC,2,FALSE))="AMX",(VLOOKUP(Table2[[#This Row],[SKU]],'All Skus'!$A:$AC,5,FALSE)),""))</f>
        <v>AMX-NM</v>
      </c>
      <c r="E270" s="281">
        <f>(IF((VLOOKUP(Table2[[#This Row],[SKU]],'All Skus'!$A:$AC,2,FALSE))="AMX",(VLOOKUP(Table2[[#This Row],[SKU]],'All Skus'!$A:$AC,7,FALSE)),""))</f>
        <v>0</v>
      </c>
      <c r="F270" s="280" t="str">
        <f>(IF((VLOOKUP(Table2[[#This Row],[SKU]],'All Skus'!$A:$AC,2,FALSE))="AMX",(VLOOKUP(Table2[[#This Row],[SKU]],'All Skus'!$A:$AC,8,FALSE)),""))</f>
        <v>JPEG 2000 4K60 4:4:4 &amp; HDR Video Over IP Encoder Card with POE+, KVM, &amp; AES67, Card</v>
      </c>
      <c r="G270" s="280" t="str">
        <f>(IF((VLOOKUP(Table2[[#This Row],[SKU]],'All Skus'!$A:$AC,2,FALSE))="AMX",(VLOOKUP(Table2[[#This Row],[SKU]],'All Skus'!$A:$AC,9,FALSE)),""))</f>
        <v>N2400 Series JPEG2000 4K Encoder card, 4K 60 4:4:4 with one SFP fiber/RJ45 copper network port cage, one RJ45 (with PoE), serial, KVM-over IP keyboard and mouse operation, balanced audio, AES67 interoperability, HDMI connection - must be used in conjunction with NMX-ACC-N9206 Rack Mount Cage</v>
      </c>
      <c r="H270" s="157">
        <f>(IF((VLOOKUP(Table2[[#This Row],[SKU]],'All Skus'!$A:$AC,2,FALSE))="AMX",(VLOOKUP(Table2[[#This Row],[SKU]],'All Skus'!$A:$AC,10,FALSE)),""))</f>
        <v>2781</v>
      </c>
      <c r="I270" s="157">
        <f>(IF((VLOOKUP(Table2[[#This Row],[SKU]],'All Skus'!$A:$AC,2,FALSE))="AMX",(VLOOKUP(Table2[[#This Row],[SKU]],'All Skus'!$A:$AC,11,FALSE)),""))</f>
        <v>2781</v>
      </c>
      <c r="J270" s="47">
        <f>(IF((VLOOKUP(Table2[[#This Row],[SKU]],'All Skus'!$A:$AC,2,FALSE))="AMX",(VLOOKUP(Table2[[#This Row],[SKU]],'All Skus'!$A:$AC,15,FALSE)),""))</f>
        <v>0</v>
      </c>
      <c r="K270" s="47">
        <f>(IF((VLOOKUP(Table2[[#This Row],[SKU]],'All Skus'!$A:$AC,2,FALSE))="AMX",(VLOOKUP(Table2[[#This Row],[SKU]],'All Skus'!$A:$AC,16,FALSE)),""))</f>
        <v>718878026359</v>
      </c>
      <c r="L270" s="47">
        <f>(IF((VLOOKUP(Table2[[#This Row],[SKU]],'All Skus'!$A:$AC,2,FALSE))="AMX",(VLOOKUP(Table2[[#This Row],[SKU]],'All Skus'!$A:$AC,17,FALSE)),""))</f>
        <v>0</v>
      </c>
      <c r="M270" s="63">
        <f>(IF((VLOOKUP(Table2[[#This Row],[SKU]],'All Skus'!$A:$AC,2,FALSE))="AMX",(VLOOKUP(Table2[[#This Row],[SKU]],'All Skus'!$A:$AC,18,FALSE)),""))</f>
        <v>1.65</v>
      </c>
      <c r="N270" s="47">
        <f>(IF((VLOOKUP(Table2[[#This Row],[SKU]],'All Skus'!$A:$AC,2,FALSE))="AMX",(VLOOKUP(Table2[[#This Row],[SKU]],'All Skus'!$A:$AC,19,FALSE)),""))</f>
        <v>7.88</v>
      </c>
      <c r="O270" s="47">
        <f>(IF((VLOOKUP(Table2[[#This Row],[SKU]],'All Skus'!$A:$AC,2,FALSE))="AMX",(VLOOKUP(Table2[[#This Row],[SKU]],'All Skus'!$A:$AC,20,FALSE)),""))</f>
        <v>5.5</v>
      </c>
      <c r="P270" s="47">
        <f>(IF((VLOOKUP(Table2[[#This Row],[SKU]],'All Skus'!$A:$AC,2,FALSE))="AMX",(VLOOKUP(Table2[[#This Row],[SKU]],'All Skus'!$A:$AC,21,FALSE)),""))</f>
        <v>1.05</v>
      </c>
      <c r="Q270" s="47" t="str">
        <f>(IF((VLOOKUP(Table2[[#This Row],[SKU]],'All Skus'!$A:$AC,2,FALSE))="AMX",(VLOOKUP(Table2[[#This Row],[SKU]],'All Skus'!$A:$AC,22,FALSE)),""))</f>
        <v>US</v>
      </c>
      <c r="R270" s="47" t="str">
        <f>(IF((VLOOKUP(Table2[[#This Row],[SKU]],'All Skus'!$A:$AC,2,FALSE))="AMX",(VLOOKUP(Table2[[#This Row],[SKU]],'All Skus'!$A:$AC,23,FALSE)),""))</f>
        <v>Compliant</v>
      </c>
      <c r="S270" s="210" t="str">
        <f>HYPERLINK((IF((VLOOKUP(Table2[[#This Row],[SKU]],'All Skus'!$A:$AC,2,FALSE))="AMX",(VLOOKUP(Table2[[#This Row],[SKU]],'All Skus'!$A:$AC,24,FALSE)),"")))</f>
        <v>https://www.amx.com/en-US/products/nmx-enc-n2412a-c-encoder-card</v>
      </c>
      <c r="T270" s="151">
        <v>268</v>
      </c>
    </row>
    <row r="271" spans="1:20" hidden="1">
      <c r="A271" s="48" t="s">
        <v>782</v>
      </c>
      <c r="B271" s="280" t="str">
        <f>(IF((VLOOKUP(Table2[[#This Row],[SKU]],'All Skus'!$A:$AC,2,FALSE))="AMX",(VLOOKUP(Table2[[#This Row],[SKU]],'All Skus'!$A:$AC,3,FALSE)),""))</f>
        <v>Networked AV</v>
      </c>
      <c r="C271" s="280" t="str">
        <f>(IF((VLOOKUP(Table2[[#This Row],[SKU]],'All Skus'!$A:$AC,2,FALSE))="AMX",(VLOOKUP(Table2[[#This Row],[SKU]],'All Skus'!$A:$AC,4,FALSE)),""))</f>
        <v>NMX-ENC-N2412A</v>
      </c>
      <c r="D271" s="47" t="str">
        <f>(IF((VLOOKUP(Table2[[#This Row],[SKU]],'All Skus'!$A:$AC,2,FALSE))="AMX",(VLOOKUP(Table2[[#This Row],[SKU]],'All Skus'!$A:$AC,5,FALSE)),""))</f>
        <v>AMX-NM</v>
      </c>
      <c r="E271" s="281">
        <f>(IF((VLOOKUP(Table2[[#This Row],[SKU]],'All Skus'!$A:$AC,2,FALSE))="AMX",(VLOOKUP(Table2[[#This Row],[SKU]],'All Skus'!$A:$AC,7,FALSE)),""))</f>
        <v>0</v>
      </c>
      <c r="F271" s="280" t="str">
        <f>(IF((VLOOKUP(Table2[[#This Row],[SKU]],'All Skus'!$A:$AC,2,FALSE))="AMX",(VLOOKUP(Table2[[#This Row],[SKU]],'All Skus'!$A:$AC,8,FALSE)),""))</f>
        <v>JPEG 2000 4K60 4:4:4 &amp; HDR Video Over IP Encoder, Stand Alone with POE+, KVM, &amp; AES67, Stand-alone</v>
      </c>
      <c r="G271" s="280" t="str">
        <f>(IF((VLOOKUP(Table2[[#This Row],[SKU]],'All Skus'!$A:$AC,2,FALSE))="AMX",(VLOOKUP(Table2[[#This Row],[SKU]],'All Skus'!$A:$AC,9,FALSE)),""))</f>
        <v>N2400 Series JPEG2000 stand-alone 4K Encoder, 4K 60 4:4:4 with one SFP fiber/RJ45 copper network port cage, one RJ45 (with PoE), serial, KVM-over IP keyboard and mouse operation, balanced audio, AES67 interoperability, HDMI connection (SFP module not included)</v>
      </c>
      <c r="H271" s="157">
        <f>(IF((VLOOKUP(Table2[[#This Row],[SKU]],'All Skus'!$A:$AC,2,FALSE))="AMX",(VLOOKUP(Table2[[#This Row],[SKU]],'All Skus'!$A:$AC,10,FALSE)),""))</f>
        <v>2842.8</v>
      </c>
      <c r="I271" s="157">
        <f>(IF((VLOOKUP(Table2[[#This Row],[SKU]],'All Skus'!$A:$AC,2,FALSE))="AMX",(VLOOKUP(Table2[[#This Row],[SKU]],'All Skus'!$A:$AC,11,FALSE)),""))</f>
        <v>2842.8</v>
      </c>
      <c r="J271" s="47">
        <f>(IF((VLOOKUP(Table2[[#This Row],[SKU]],'All Skus'!$A:$AC,2,FALSE))="AMX",(VLOOKUP(Table2[[#This Row],[SKU]],'All Skus'!$A:$AC,15,FALSE)),""))</f>
        <v>0</v>
      </c>
      <c r="K271" s="47">
        <f>(IF((VLOOKUP(Table2[[#This Row],[SKU]],'All Skus'!$A:$AC,2,FALSE))="AMX",(VLOOKUP(Table2[[#This Row],[SKU]],'All Skus'!$A:$AC,16,FALSE)),""))</f>
        <v>718878034798</v>
      </c>
      <c r="L271" s="47">
        <f>(IF((VLOOKUP(Table2[[#This Row],[SKU]],'All Skus'!$A:$AC,2,FALSE))="AMX",(VLOOKUP(Table2[[#This Row],[SKU]],'All Skus'!$A:$AC,17,FALSE)),""))</f>
        <v>0</v>
      </c>
      <c r="M271" s="63">
        <f>(IF((VLOOKUP(Table2[[#This Row],[SKU]],'All Skus'!$A:$AC,2,FALSE))="AMX",(VLOOKUP(Table2[[#This Row],[SKU]],'All Skus'!$A:$AC,18,FALSE)),""))</f>
        <v>1.65</v>
      </c>
      <c r="N271" s="47">
        <f>(IF((VLOOKUP(Table2[[#This Row],[SKU]],'All Skus'!$A:$AC,2,FALSE))="AMX",(VLOOKUP(Table2[[#This Row],[SKU]],'All Skus'!$A:$AC,19,FALSE)),""))</f>
        <v>7.88</v>
      </c>
      <c r="O271" s="47">
        <f>(IF((VLOOKUP(Table2[[#This Row],[SKU]],'All Skus'!$A:$AC,2,FALSE))="AMX",(VLOOKUP(Table2[[#This Row],[SKU]],'All Skus'!$A:$AC,20,FALSE)),""))</f>
        <v>5.5</v>
      </c>
      <c r="P271" s="47">
        <f>(IF((VLOOKUP(Table2[[#This Row],[SKU]],'All Skus'!$A:$AC,2,FALSE))="AMX",(VLOOKUP(Table2[[#This Row],[SKU]],'All Skus'!$A:$AC,21,FALSE)),""))</f>
        <v>1.05</v>
      </c>
      <c r="Q271" s="47" t="str">
        <f>(IF((VLOOKUP(Table2[[#This Row],[SKU]],'All Skus'!$A:$AC,2,FALSE))="AMX",(VLOOKUP(Table2[[#This Row],[SKU]],'All Skus'!$A:$AC,22,FALSE)),""))</f>
        <v>US</v>
      </c>
      <c r="R271" s="47" t="str">
        <f>(IF((VLOOKUP(Table2[[#This Row],[SKU]],'All Skus'!$A:$AC,2,FALSE))="AMX",(VLOOKUP(Table2[[#This Row],[SKU]],'All Skus'!$A:$AC,23,FALSE)),""))</f>
        <v>Compliant</v>
      </c>
      <c r="S271" s="210" t="str">
        <f>HYPERLINK((IF((VLOOKUP(Table2[[#This Row],[SKU]],'All Skus'!$A:$AC,2,FALSE))="AMX",(VLOOKUP(Table2[[#This Row],[SKU]],'All Skus'!$A:$AC,24,FALSE)),"")))</f>
        <v>https://www.amx.com/en-US/products/nmx-enc-n2412a-encoder</v>
      </c>
      <c r="T271" s="151">
        <v>269</v>
      </c>
    </row>
    <row r="272" spans="1:20" hidden="1">
      <c r="A272" s="48" t="s">
        <v>783</v>
      </c>
      <c r="B272" s="280" t="str">
        <f>(IF((VLOOKUP(Table2[[#This Row],[SKU]],'All Skus'!$A:$AC,2,FALSE))="AMX",(VLOOKUP(Table2[[#This Row],[SKU]],'All Skus'!$A:$AC,3,FALSE)),""))</f>
        <v>Networked AV</v>
      </c>
      <c r="C272" s="280" t="str">
        <f>(IF((VLOOKUP(Table2[[#This Row],[SKU]],'All Skus'!$A:$AC,2,FALSE))="AMX",(VLOOKUP(Table2[[#This Row],[SKU]],'All Skus'!$A:$AC,4,FALSE)),""))</f>
        <v>NMX-DEC-N2422A</v>
      </c>
      <c r="D272" s="47" t="str">
        <f>(IF((VLOOKUP(Table2[[#This Row],[SKU]],'All Skus'!$A:$AC,2,FALSE))="AMX",(VLOOKUP(Table2[[#This Row],[SKU]],'All Skus'!$A:$AC,5,FALSE)),""))</f>
        <v>AMX-NM</v>
      </c>
      <c r="E272" s="281">
        <f>(IF((VLOOKUP(Table2[[#This Row],[SKU]],'All Skus'!$A:$AC,2,FALSE))="AMX",(VLOOKUP(Table2[[#This Row],[SKU]],'All Skus'!$A:$AC,7,FALSE)),""))</f>
        <v>0</v>
      </c>
      <c r="F272" s="280" t="str">
        <f>(IF((VLOOKUP(Table2[[#This Row],[SKU]],'All Skus'!$A:$AC,2,FALSE))="AMX",(VLOOKUP(Table2[[#This Row],[SKU]],'All Skus'!$A:$AC,8,FALSE)),""))</f>
        <v>JPEG 2000 4K60 4:4:4 &amp; HDR Video Over IP Decoder, Stand Alone with POE+, KVM, &amp; AES67, Stand-alone</v>
      </c>
      <c r="G272" s="280" t="str">
        <f>(IF((VLOOKUP(Table2[[#This Row],[SKU]],'All Skus'!$A:$AC,2,FALSE))="AMX",(VLOOKUP(Table2[[#This Row],[SKU]],'All Skus'!$A:$AC,9,FALSE)),""))</f>
        <v>N2400 Series JPEG2000 stand-alone 4K Decoder 4K 60 4:4:4 with one SFP fiber/RJ45 copper network port cage, one RJ45 (with PoE), serial, KVM-over IP keyboard and mouse operation, balanced audio, AES67 interoperability, HDMI connection</v>
      </c>
      <c r="H272" s="157">
        <f>(IF((VLOOKUP(Table2[[#This Row],[SKU]],'All Skus'!$A:$AC,2,FALSE))="AMX",(VLOOKUP(Table2[[#This Row],[SKU]],'All Skus'!$A:$AC,10,FALSE)),""))</f>
        <v>2513.1999999999998</v>
      </c>
      <c r="I272" s="157">
        <f>(IF((VLOOKUP(Table2[[#This Row],[SKU]],'All Skus'!$A:$AC,2,FALSE))="AMX",(VLOOKUP(Table2[[#This Row],[SKU]],'All Skus'!$A:$AC,11,FALSE)),""))</f>
        <v>2513.1999999999998</v>
      </c>
      <c r="J272" s="47">
        <f>(IF((VLOOKUP(Table2[[#This Row],[SKU]],'All Skus'!$A:$AC,2,FALSE))="AMX",(VLOOKUP(Table2[[#This Row],[SKU]],'All Skus'!$A:$AC,15,FALSE)),""))</f>
        <v>0</v>
      </c>
      <c r="K272" s="47">
        <f>(IF((VLOOKUP(Table2[[#This Row],[SKU]],'All Skus'!$A:$AC,2,FALSE))="AMX",(VLOOKUP(Table2[[#This Row],[SKU]],'All Skus'!$A:$AC,16,FALSE)),""))</f>
        <v>718878033661</v>
      </c>
      <c r="L272" s="47">
        <f>(IF((VLOOKUP(Table2[[#This Row],[SKU]],'All Skus'!$A:$AC,2,FALSE))="AMX",(VLOOKUP(Table2[[#This Row],[SKU]],'All Skus'!$A:$AC,17,FALSE)),""))</f>
        <v>0</v>
      </c>
      <c r="M272" s="63">
        <f>(IF((VLOOKUP(Table2[[#This Row],[SKU]],'All Skus'!$A:$AC,2,FALSE))="AMX",(VLOOKUP(Table2[[#This Row],[SKU]],'All Skus'!$A:$AC,18,FALSE)),""))</f>
        <v>1.65</v>
      </c>
      <c r="N272" s="47">
        <f>(IF((VLOOKUP(Table2[[#This Row],[SKU]],'All Skus'!$A:$AC,2,FALSE))="AMX",(VLOOKUP(Table2[[#This Row],[SKU]],'All Skus'!$A:$AC,19,FALSE)),""))</f>
        <v>7.88</v>
      </c>
      <c r="O272" s="47">
        <f>(IF((VLOOKUP(Table2[[#This Row],[SKU]],'All Skus'!$A:$AC,2,FALSE))="AMX",(VLOOKUP(Table2[[#This Row],[SKU]],'All Skus'!$A:$AC,20,FALSE)),""))</f>
        <v>5.5</v>
      </c>
      <c r="P272" s="47">
        <f>(IF((VLOOKUP(Table2[[#This Row],[SKU]],'All Skus'!$A:$AC,2,FALSE))="AMX",(VLOOKUP(Table2[[#This Row],[SKU]],'All Skus'!$A:$AC,21,FALSE)),""))</f>
        <v>1.05</v>
      </c>
      <c r="Q272" s="47" t="str">
        <f>(IF((VLOOKUP(Table2[[#This Row],[SKU]],'All Skus'!$A:$AC,2,FALSE))="AMX",(VLOOKUP(Table2[[#This Row],[SKU]],'All Skus'!$A:$AC,22,FALSE)),""))</f>
        <v>US</v>
      </c>
      <c r="R272" s="47" t="str">
        <f>(IF((VLOOKUP(Table2[[#This Row],[SKU]],'All Skus'!$A:$AC,2,FALSE))="AMX",(VLOOKUP(Table2[[#This Row],[SKU]],'All Skus'!$A:$AC,23,FALSE)),""))</f>
        <v>Compliant</v>
      </c>
      <c r="S272" s="210" t="str">
        <f>HYPERLINK((IF((VLOOKUP(Table2[[#This Row],[SKU]],'All Skus'!$A:$AC,2,FALSE))="AMX",(VLOOKUP(Table2[[#This Row],[SKU]],'All Skus'!$A:$AC,24,FALSE)),"")))</f>
        <v>https://www.amx.com/en-US/products/nmx-dec-n2422a-decoder</v>
      </c>
      <c r="T272" s="151">
        <v>270</v>
      </c>
    </row>
    <row r="273" spans="1:20" hidden="1">
      <c r="A273" s="48" t="s">
        <v>784</v>
      </c>
      <c r="B273" s="280" t="str">
        <f>(IF((VLOOKUP(Table2[[#This Row],[SKU]],'All Skus'!$A:$AC,2,FALSE))="AMX",(VLOOKUP(Table2[[#This Row],[SKU]],'All Skus'!$A:$AC,3,FALSE)),""))</f>
        <v>Networked AV</v>
      </c>
      <c r="C273" s="280" t="str">
        <f>(IF((VLOOKUP(Table2[[#This Row],[SKU]],'All Skus'!$A:$AC,2,FALSE))="AMX",(VLOOKUP(Table2[[#This Row],[SKU]],'All Skus'!$A:$AC,4,FALSE)),""))</f>
        <v>NMX-DEC-N2424A</v>
      </c>
      <c r="D273" s="47" t="str">
        <f>(IF((VLOOKUP(Table2[[#This Row],[SKU]],'All Skus'!$A:$AC,2,FALSE))="AMX",(VLOOKUP(Table2[[#This Row],[SKU]],'All Skus'!$A:$AC,5,FALSE)),""))</f>
        <v>AMX-NM</v>
      </c>
      <c r="E273" s="281">
        <f>(IF((VLOOKUP(Table2[[#This Row],[SKU]],'All Skus'!$A:$AC,2,FALSE))="AMX",(VLOOKUP(Table2[[#This Row],[SKU]],'All Skus'!$A:$AC,7,FALSE)),""))</f>
        <v>0</v>
      </c>
      <c r="F273" s="280" t="str">
        <f>(IF((VLOOKUP(Table2[[#This Row],[SKU]],'All Skus'!$A:$AC,2,FALSE))="AMX",(VLOOKUP(Table2[[#This Row],[SKU]],'All Skus'!$A:$AC,8,FALSE)),""))</f>
        <v>JPEG 2000 4K60 4:4:4 &amp; HDR Video Over IP Decoder, Stand Alone with POE+, KVM, &amp; AES67, Stand-alone</v>
      </c>
      <c r="G273" s="280" t="str">
        <f>(IF((VLOOKUP(Table2[[#This Row],[SKU]],'All Skus'!$A:$AC,2,FALSE))="AMX",(VLOOKUP(Table2[[#This Row],[SKU]],'All Skus'!$A:$AC,9,FALSE)),""))</f>
        <v>N2400 Series JPEG2000 stand-alone 4K Decoder 4K 60 4:4:4 with two two RJ45 (one with PoE), serial, KVM-over IP keyboard and mouse operation, balanced audio, AES67 interoperability, HDMI connection</v>
      </c>
      <c r="H273" s="157">
        <f>(IF((VLOOKUP(Table2[[#This Row],[SKU]],'All Skus'!$A:$AC,2,FALSE))="AMX",(VLOOKUP(Table2[[#This Row],[SKU]],'All Skus'!$A:$AC,10,FALSE)),""))</f>
        <v>2575</v>
      </c>
      <c r="I273" s="157">
        <f>(IF((VLOOKUP(Table2[[#This Row],[SKU]],'All Skus'!$A:$AC,2,FALSE))="AMX",(VLOOKUP(Table2[[#This Row],[SKU]],'All Skus'!$A:$AC,11,FALSE)),""))</f>
        <v>2575</v>
      </c>
      <c r="J273" s="47">
        <f>(IF((VLOOKUP(Table2[[#This Row],[SKU]],'All Skus'!$A:$AC,2,FALSE))="AMX",(VLOOKUP(Table2[[#This Row],[SKU]],'All Skus'!$A:$AC,15,FALSE)),""))</f>
        <v>0</v>
      </c>
      <c r="K273" s="47">
        <f>(IF((VLOOKUP(Table2[[#This Row],[SKU]],'All Skus'!$A:$AC,2,FALSE))="AMX",(VLOOKUP(Table2[[#This Row],[SKU]],'All Skus'!$A:$AC,16,FALSE)),""))</f>
        <v>718878026427</v>
      </c>
      <c r="L273" s="47">
        <f>(IF((VLOOKUP(Table2[[#This Row],[SKU]],'All Skus'!$A:$AC,2,FALSE))="AMX",(VLOOKUP(Table2[[#This Row],[SKU]],'All Skus'!$A:$AC,17,FALSE)),""))</f>
        <v>0</v>
      </c>
      <c r="M273" s="63">
        <f>(IF((VLOOKUP(Table2[[#This Row],[SKU]],'All Skus'!$A:$AC,2,FALSE))="AMX",(VLOOKUP(Table2[[#This Row],[SKU]],'All Skus'!$A:$AC,18,FALSE)),""))</f>
        <v>1.65</v>
      </c>
      <c r="N273" s="47">
        <f>(IF((VLOOKUP(Table2[[#This Row],[SKU]],'All Skus'!$A:$AC,2,FALSE))="AMX",(VLOOKUP(Table2[[#This Row],[SKU]],'All Skus'!$A:$AC,19,FALSE)),""))</f>
        <v>7.88</v>
      </c>
      <c r="O273" s="47">
        <f>(IF((VLOOKUP(Table2[[#This Row],[SKU]],'All Skus'!$A:$AC,2,FALSE))="AMX",(VLOOKUP(Table2[[#This Row],[SKU]],'All Skus'!$A:$AC,20,FALSE)),""))</f>
        <v>5.5</v>
      </c>
      <c r="P273" s="47">
        <f>(IF((VLOOKUP(Table2[[#This Row],[SKU]],'All Skus'!$A:$AC,2,FALSE))="AMX",(VLOOKUP(Table2[[#This Row],[SKU]],'All Skus'!$A:$AC,21,FALSE)),""))</f>
        <v>1.05</v>
      </c>
      <c r="Q273" s="47" t="str">
        <f>(IF((VLOOKUP(Table2[[#This Row],[SKU]],'All Skus'!$A:$AC,2,FALSE))="AMX",(VLOOKUP(Table2[[#This Row],[SKU]],'All Skus'!$A:$AC,22,FALSE)),""))</f>
        <v>US</v>
      </c>
      <c r="R273" s="47" t="str">
        <f>(IF((VLOOKUP(Table2[[#This Row],[SKU]],'All Skus'!$A:$AC,2,FALSE))="AMX",(VLOOKUP(Table2[[#This Row],[SKU]],'All Skus'!$A:$AC,23,FALSE)),""))</f>
        <v>Compliant</v>
      </c>
      <c r="S273" s="210" t="str">
        <f>HYPERLINK((IF((VLOOKUP(Table2[[#This Row],[SKU]],'All Skus'!$A:$AC,2,FALSE))="AMX",(VLOOKUP(Table2[[#This Row],[SKU]],'All Skus'!$A:$AC,24,FALSE)),"")))</f>
        <v>https://www.amx.com/en-US/products/nmx-dec-n2424a-decoder</v>
      </c>
      <c r="T273" s="151">
        <v>271</v>
      </c>
    </row>
    <row r="274" spans="1:20" hidden="1">
      <c r="A274" s="48" t="s">
        <v>785</v>
      </c>
      <c r="B274" s="280" t="str">
        <f>(IF((VLOOKUP(Table2[[#This Row],[SKU]],'All Skus'!$A:$AC,2,FALSE))="AMX",(VLOOKUP(Table2[[#This Row],[SKU]],'All Skus'!$A:$AC,3,FALSE)),""))</f>
        <v>Networked AV</v>
      </c>
      <c r="C274" s="280" t="str">
        <f>(IF((VLOOKUP(Table2[[#This Row],[SKU]],'All Skus'!$A:$AC,2,FALSE))="AMX",(VLOOKUP(Table2[[#This Row],[SKU]],'All Skus'!$A:$AC,4,FALSE)),""))</f>
        <v>NMX-WP-2510</v>
      </c>
      <c r="D274" s="47" t="str">
        <f>(IF((VLOOKUP(Table2[[#This Row],[SKU]],'All Skus'!$A:$AC,2,FALSE))="AMX",(VLOOKUP(Table2[[#This Row],[SKU]],'All Skus'!$A:$AC,5,FALSE)),""))</f>
        <v>AMX-NM</v>
      </c>
      <c r="E274" s="281">
        <f>(IF((VLOOKUP(Table2[[#This Row],[SKU]],'All Skus'!$A:$AC,2,FALSE))="AMX",(VLOOKUP(Table2[[#This Row],[SKU]],'All Skus'!$A:$AC,7,FALSE)),""))</f>
        <v>0</v>
      </c>
      <c r="F274" s="280" t="str">
        <f>(IF((VLOOKUP(Table2[[#This Row],[SKU]],'All Skus'!$A:$AC,2,FALSE))="AMX",(VLOOKUP(Table2[[#This Row],[SKU]],'All Skus'!$A:$AC,8,FALSE)),""))</f>
        <v>N2000 Series HD Windowing Processor, 4x1</v>
      </c>
      <c r="G274" s="280" t="str">
        <f>(IF((VLOOKUP(Table2[[#This Row],[SKU]],'All Skus'!$A:$AC,2,FALSE))="AMX",(VLOOKUP(Table2[[#This Row],[SKU]],'All Skus'!$A:$AC,9,FALSE)),""))</f>
        <v>The SVSI NMX-WP-N2510 Windowing Processor functions with the N2000 JPGEG2000 family of Video over IP Encoders and Decoders and are capable of handling multiple real-time HD streams with no video input or output connectors – only a single network port</v>
      </c>
      <c r="H274" s="157">
        <f>(IF((VLOOKUP(Table2[[#This Row],[SKU]],'All Skus'!$A:$AC,2,FALSE))="AMX",(VLOOKUP(Table2[[#This Row],[SKU]],'All Skus'!$A:$AC,10,FALSE)),""))</f>
        <v>8820.6</v>
      </c>
      <c r="I274" s="157">
        <f>(IF((VLOOKUP(Table2[[#This Row],[SKU]],'All Skus'!$A:$AC,2,FALSE))="AMX",(VLOOKUP(Table2[[#This Row],[SKU]],'All Skus'!$A:$AC,11,FALSE)),""))</f>
        <v>8820.6</v>
      </c>
      <c r="J274" s="47">
        <f>(IF((VLOOKUP(Table2[[#This Row],[SKU]],'All Skus'!$A:$AC,2,FALSE))="AMX",(VLOOKUP(Table2[[#This Row],[SKU]],'All Skus'!$A:$AC,15,FALSE)),""))</f>
        <v>0</v>
      </c>
      <c r="K274" s="47">
        <f>(IF((VLOOKUP(Table2[[#This Row],[SKU]],'All Skus'!$A:$AC,2,FALSE))="AMX",(VLOOKUP(Table2[[#This Row],[SKU]],'All Skus'!$A:$AC,16,FALSE)),""))</f>
        <v>718878022795</v>
      </c>
      <c r="L274" s="47">
        <f>(IF((VLOOKUP(Table2[[#This Row],[SKU]],'All Skus'!$A:$AC,2,FALSE))="AMX",(VLOOKUP(Table2[[#This Row],[SKU]],'All Skus'!$A:$AC,17,FALSE)),""))</f>
        <v>0</v>
      </c>
      <c r="M274" s="63">
        <f>(IF((VLOOKUP(Table2[[#This Row],[SKU]],'All Skus'!$A:$AC,2,FALSE))="AMX",(VLOOKUP(Table2[[#This Row],[SKU]],'All Skus'!$A:$AC,18,FALSE)),""))</f>
        <v>7.15</v>
      </c>
      <c r="N274" s="47">
        <f>(IF((VLOOKUP(Table2[[#This Row],[SKU]],'All Skus'!$A:$AC,2,FALSE))="AMX",(VLOOKUP(Table2[[#This Row],[SKU]],'All Skus'!$A:$AC,19,FALSE)),""))</f>
        <v>17.25</v>
      </c>
      <c r="O274" s="47">
        <f>(IF((VLOOKUP(Table2[[#This Row],[SKU]],'All Skus'!$A:$AC,2,FALSE))="AMX",(VLOOKUP(Table2[[#This Row],[SKU]],'All Skus'!$A:$AC,20,FALSE)),""))</f>
        <v>12</v>
      </c>
      <c r="P274" s="47">
        <f>(IF((VLOOKUP(Table2[[#This Row],[SKU]],'All Skus'!$A:$AC,2,FALSE))="AMX",(VLOOKUP(Table2[[#This Row],[SKU]],'All Skus'!$A:$AC,21,FALSE)),""))</f>
        <v>1.75</v>
      </c>
      <c r="Q274" s="47" t="str">
        <f>(IF((VLOOKUP(Table2[[#This Row],[SKU]],'All Skus'!$A:$AC,2,FALSE))="AMX",(VLOOKUP(Table2[[#This Row],[SKU]],'All Skus'!$A:$AC,22,FALSE)),""))</f>
        <v>US</v>
      </c>
      <c r="R274" s="47" t="str">
        <f>(IF((VLOOKUP(Table2[[#This Row],[SKU]],'All Skus'!$A:$AC,2,FALSE))="AMX",(VLOOKUP(Table2[[#This Row],[SKU]],'All Skus'!$A:$AC,23,FALSE)),""))</f>
        <v>Compliant</v>
      </c>
      <c r="S274" s="210" t="str">
        <f>HYPERLINK((IF((VLOOKUP(Table2[[#This Row],[SKU]],'All Skus'!$A:$AC,2,FALSE))="AMX",(VLOOKUP(Table2[[#This Row],[SKU]],'All Skus'!$A:$AC,24,FALSE)),"")))</f>
        <v>https://www.amx.com/en-US/products/nmx-wp-n2510-windowing-processor</v>
      </c>
      <c r="T274" s="151">
        <v>272</v>
      </c>
    </row>
    <row r="275" spans="1:20" hidden="1">
      <c r="A275" s="48" t="s">
        <v>786</v>
      </c>
      <c r="B275" s="280" t="str">
        <f>(IF((VLOOKUP(Table2[[#This Row],[SKU]],'All Skus'!$A:$AC,2,FALSE))="AMX",(VLOOKUP(Table2[[#This Row],[SKU]],'All Skus'!$A:$AC,3,FALSE)),""))</f>
        <v>Networked AV</v>
      </c>
      <c r="C275" s="280" t="str">
        <f>(IF((VLOOKUP(Table2[[#This Row],[SKU]],'All Skus'!$A:$AC,2,FALSE))="AMX",(VLOOKUP(Table2[[#This Row],[SKU]],'All Skus'!$A:$AC,4,FALSE)),""))</f>
        <v>NMX-ENC-N3132-C</v>
      </c>
      <c r="D275" s="47" t="str">
        <f>(IF((VLOOKUP(Table2[[#This Row],[SKU]],'All Skus'!$A:$AC,2,FALSE))="AMX",(VLOOKUP(Table2[[#This Row],[SKU]],'All Skus'!$A:$AC,5,FALSE)),""))</f>
        <v>AMX-NM</v>
      </c>
      <c r="E275" s="281">
        <f>(IF((VLOOKUP(Table2[[#This Row],[SKU]],'All Skus'!$A:$AC,2,FALSE))="AMX",(VLOOKUP(Table2[[#This Row],[SKU]],'All Skus'!$A:$AC,7,FALSE)),""))</f>
        <v>0</v>
      </c>
      <c r="F275" s="280" t="str">
        <f>(IF((VLOOKUP(Table2[[#This Row],[SKU]],'All Skus'!$A:$AC,2,FALSE))="AMX",(VLOOKUP(Table2[[#This Row],[SKU]],'All Skus'!$A:$AC,8,FALSE)),""))</f>
        <v>H.264 Compressed Video over IP Encoder, PoE, SFP, HDMI, USB for Record, Card</v>
      </c>
      <c r="G275" s="280" t="str">
        <f>(IF((VLOOKUP(Table2[[#This Row],[SKU]],'All Skus'!$A:$AC,2,FALSE))="AMX",(VLOOKUP(Table2[[#This Row],[SKU]],'All Skus'!$A:$AC,9,FALSE)),""))</f>
        <v>SVSI H.264 Encoder Card with USB for record, one SFP fiber/RJ45 copper network port cage, and one RJ45 (with PoE), IR, serial, VGA and HDMI connection (SFP module not included) - must be used in conjunction with NMX-ACC-N9206 Rack Mount Cage</v>
      </c>
      <c r="H275" s="157">
        <f>(IF((VLOOKUP(Table2[[#This Row],[SKU]],'All Skus'!$A:$AC,2,FALSE))="AMX",(VLOOKUP(Table2[[#This Row],[SKU]],'All Skus'!$A:$AC,10,FALSE)),""))</f>
        <v>1333.9</v>
      </c>
      <c r="I275" s="157">
        <f>(IF((VLOOKUP(Table2[[#This Row],[SKU]],'All Skus'!$A:$AC,2,FALSE))="AMX",(VLOOKUP(Table2[[#This Row],[SKU]],'All Skus'!$A:$AC,11,FALSE)),""))</f>
        <v>1333.9</v>
      </c>
      <c r="J275" s="47">
        <f>(IF((VLOOKUP(Table2[[#This Row],[SKU]],'All Skus'!$A:$AC,2,FALSE))="AMX",(VLOOKUP(Table2[[#This Row],[SKU]],'All Skus'!$A:$AC,15,FALSE)),""))</f>
        <v>0</v>
      </c>
      <c r="K275" s="47">
        <f>(IF((VLOOKUP(Table2[[#This Row],[SKU]],'All Skus'!$A:$AC,2,FALSE))="AMX",(VLOOKUP(Table2[[#This Row],[SKU]],'All Skus'!$A:$AC,16,FALSE)),""))</f>
        <v>718878024430</v>
      </c>
      <c r="L275" s="47">
        <f>(IF((VLOOKUP(Table2[[#This Row],[SKU]],'All Skus'!$A:$AC,2,FALSE))="AMX",(VLOOKUP(Table2[[#This Row],[SKU]],'All Skus'!$A:$AC,17,FALSE)),""))</f>
        <v>0</v>
      </c>
      <c r="M275" s="63">
        <f>(IF((VLOOKUP(Table2[[#This Row],[SKU]],'All Skus'!$A:$AC,2,FALSE))="AMX",(VLOOKUP(Table2[[#This Row],[SKU]],'All Skus'!$A:$AC,18,FALSE)),""))</f>
        <v>1.55</v>
      </c>
      <c r="N275" s="47">
        <f>(IF((VLOOKUP(Table2[[#This Row],[SKU]],'All Skus'!$A:$AC,2,FALSE))="AMX",(VLOOKUP(Table2[[#This Row],[SKU]],'All Skus'!$A:$AC,19,FALSE)),""))</f>
        <v>7.88</v>
      </c>
      <c r="O275" s="47">
        <f>(IF((VLOOKUP(Table2[[#This Row],[SKU]],'All Skus'!$A:$AC,2,FALSE))="AMX",(VLOOKUP(Table2[[#This Row],[SKU]],'All Skus'!$A:$AC,20,FALSE)),""))</f>
        <v>5.5</v>
      </c>
      <c r="P275" s="47">
        <f>(IF((VLOOKUP(Table2[[#This Row],[SKU]],'All Skus'!$A:$AC,2,FALSE))="AMX",(VLOOKUP(Table2[[#This Row],[SKU]],'All Skus'!$A:$AC,21,FALSE)),""))</f>
        <v>1.05</v>
      </c>
      <c r="Q275" s="47" t="str">
        <f>(IF((VLOOKUP(Table2[[#This Row],[SKU]],'All Skus'!$A:$AC,2,FALSE))="AMX",(VLOOKUP(Table2[[#This Row],[SKU]],'All Skus'!$A:$AC,22,FALSE)),""))</f>
        <v>US</v>
      </c>
      <c r="R275" s="47" t="str">
        <f>(IF((VLOOKUP(Table2[[#This Row],[SKU]],'All Skus'!$A:$AC,2,FALSE))="AMX",(VLOOKUP(Table2[[#This Row],[SKU]],'All Skus'!$A:$AC,23,FALSE)),""))</f>
        <v>Compliant</v>
      </c>
      <c r="S275" s="210" t="str">
        <f>HYPERLINK((IF((VLOOKUP(Table2[[#This Row],[SKU]],'All Skus'!$A:$AC,2,FALSE))="AMX",(VLOOKUP(Table2[[#This Row],[SKU]],'All Skus'!$A:$AC,24,FALSE)),"")))</f>
        <v>https://www.amx.com/en-US/products/nmx-enc-n3132-c-encoder-card</v>
      </c>
      <c r="T275" s="151">
        <v>273</v>
      </c>
    </row>
    <row r="276" spans="1:20" hidden="1">
      <c r="A276" s="48" t="s">
        <v>787</v>
      </c>
      <c r="B276" s="280" t="str">
        <f>(IF((VLOOKUP(Table2[[#This Row],[SKU]],'All Skus'!$A:$AC,2,FALSE))="AMX",(VLOOKUP(Table2[[#This Row],[SKU]],'All Skus'!$A:$AC,3,FALSE)),""))</f>
        <v>Networked AV</v>
      </c>
      <c r="C276" s="280" t="str">
        <f>(IF((VLOOKUP(Table2[[#This Row],[SKU]],'All Skus'!$A:$AC,2,FALSE))="AMX",(VLOOKUP(Table2[[#This Row],[SKU]],'All Skus'!$A:$AC,4,FALSE)),""))</f>
        <v>NMX-ENC-N3132</v>
      </c>
      <c r="D276" s="47" t="str">
        <f>(IF((VLOOKUP(Table2[[#This Row],[SKU]],'All Skus'!$A:$AC,2,FALSE))="AMX",(VLOOKUP(Table2[[#This Row],[SKU]],'All Skus'!$A:$AC,5,FALSE)),""))</f>
        <v>AMX-NM</v>
      </c>
      <c r="E276" s="281">
        <f>(IF((VLOOKUP(Table2[[#This Row],[SKU]],'All Skus'!$A:$AC,2,FALSE))="AMX",(VLOOKUP(Table2[[#This Row],[SKU]],'All Skus'!$A:$AC,7,FALSE)),""))</f>
        <v>0</v>
      </c>
      <c r="F276" s="280" t="str">
        <f>(IF((VLOOKUP(Table2[[#This Row],[SKU]],'All Skus'!$A:$AC,2,FALSE))="AMX",(VLOOKUP(Table2[[#This Row],[SKU]],'All Skus'!$A:$AC,8,FALSE)),""))</f>
        <v>H.264 Compressed Video over IP Encoder, PoE, SFP, HDMI, USB for Record, Stand-alone</v>
      </c>
      <c r="G276" s="280" t="str">
        <f>(IF((VLOOKUP(Table2[[#This Row],[SKU]],'All Skus'!$A:$AC,2,FALSE))="AMX",(VLOOKUP(Table2[[#This Row],[SKU]],'All Skus'!$A:$AC,9,FALSE)),""))</f>
        <v>SVSI Stand-alone H.264 Encoder with USB for record, one  SFP fiber/RJ45 copper network port cage, and one RJ45 (with PoE), IR, serial, VGA and HDMI connection (SFP module not included, power supply is not included)</v>
      </c>
      <c r="H276" s="157">
        <f>(IF((VLOOKUP(Table2[[#This Row],[SKU]],'All Skus'!$A:$AC,2,FALSE))="AMX",(VLOOKUP(Table2[[#This Row],[SKU]],'All Skus'!$A:$AC,10,FALSE)),""))</f>
        <v>1359.6</v>
      </c>
      <c r="I276" s="157">
        <f>(IF((VLOOKUP(Table2[[#This Row],[SKU]],'All Skus'!$A:$AC,2,FALSE))="AMX",(VLOOKUP(Table2[[#This Row],[SKU]],'All Skus'!$A:$AC,11,FALSE)),""))</f>
        <v>1359.6</v>
      </c>
      <c r="J276" s="47">
        <f>(IF((VLOOKUP(Table2[[#This Row],[SKU]],'All Skus'!$A:$AC,2,FALSE))="AMX",(VLOOKUP(Table2[[#This Row],[SKU]],'All Skus'!$A:$AC,15,FALSE)),""))</f>
        <v>0</v>
      </c>
      <c r="K276" s="47">
        <f>(IF((VLOOKUP(Table2[[#This Row],[SKU]],'All Skus'!$A:$AC,2,FALSE))="AMX",(VLOOKUP(Table2[[#This Row],[SKU]],'All Skus'!$A:$AC,16,FALSE)),""))</f>
        <v>718878025772</v>
      </c>
      <c r="L276" s="47">
        <f>(IF((VLOOKUP(Table2[[#This Row],[SKU]],'All Skus'!$A:$AC,2,FALSE))="AMX",(VLOOKUP(Table2[[#This Row],[SKU]],'All Skus'!$A:$AC,17,FALSE)),""))</f>
        <v>0</v>
      </c>
      <c r="M276" s="63">
        <f>(IF((VLOOKUP(Table2[[#This Row],[SKU]],'All Skus'!$A:$AC,2,FALSE))="AMX",(VLOOKUP(Table2[[#This Row],[SKU]],'All Skus'!$A:$AC,18,FALSE)),""))</f>
        <v>1.55</v>
      </c>
      <c r="N276" s="47">
        <f>(IF((VLOOKUP(Table2[[#This Row],[SKU]],'All Skus'!$A:$AC,2,FALSE))="AMX",(VLOOKUP(Table2[[#This Row],[SKU]],'All Skus'!$A:$AC,19,FALSE)),""))</f>
        <v>7.88</v>
      </c>
      <c r="O276" s="47">
        <f>(IF((VLOOKUP(Table2[[#This Row],[SKU]],'All Skus'!$A:$AC,2,FALSE))="AMX",(VLOOKUP(Table2[[#This Row],[SKU]],'All Skus'!$A:$AC,20,FALSE)),""))</f>
        <v>5.5</v>
      </c>
      <c r="P276" s="47">
        <f>(IF((VLOOKUP(Table2[[#This Row],[SKU]],'All Skus'!$A:$AC,2,FALSE))="AMX",(VLOOKUP(Table2[[#This Row],[SKU]],'All Skus'!$A:$AC,21,FALSE)),""))</f>
        <v>1.05</v>
      </c>
      <c r="Q276" s="47" t="str">
        <f>(IF((VLOOKUP(Table2[[#This Row],[SKU]],'All Skus'!$A:$AC,2,FALSE))="AMX",(VLOOKUP(Table2[[#This Row],[SKU]],'All Skus'!$A:$AC,22,FALSE)),""))</f>
        <v>US</v>
      </c>
      <c r="R276" s="47" t="str">
        <f>(IF((VLOOKUP(Table2[[#This Row],[SKU]],'All Skus'!$A:$AC,2,FALSE))="AMX",(VLOOKUP(Table2[[#This Row],[SKU]],'All Skus'!$A:$AC,23,FALSE)),""))</f>
        <v>Compliant</v>
      </c>
      <c r="S276" s="210" t="str">
        <f>HYPERLINK((IF((VLOOKUP(Table2[[#This Row],[SKU]],'All Skus'!$A:$AC,2,FALSE))="AMX",(VLOOKUP(Table2[[#This Row],[SKU]],'All Skus'!$A:$AC,24,FALSE)),"")))</f>
        <v>https://www.amx.com/en-US/products/nmx-enc-n3132-encoder</v>
      </c>
      <c r="T276" s="151">
        <v>274</v>
      </c>
    </row>
    <row r="277" spans="1:20" hidden="1">
      <c r="A277" s="48" t="s">
        <v>788</v>
      </c>
      <c r="B277" s="280" t="str">
        <f>(IF((VLOOKUP(Table2[[#This Row],[SKU]],'All Skus'!$A:$AC,2,FALSE))="AMX",(VLOOKUP(Table2[[#This Row],[SKU]],'All Skus'!$A:$AC,3,FALSE)),""))</f>
        <v>Networked AV</v>
      </c>
      <c r="C277" s="280" t="str">
        <f>(IF((VLOOKUP(Table2[[#This Row],[SKU]],'All Skus'!$A:$AC,2,FALSE))="AMX",(VLOOKUP(Table2[[#This Row],[SKU]],'All Skus'!$A:$AC,4,FALSE)),""))</f>
        <v>NMX-DEC-N3232-C</v>
      </c>
      <c r="D277" s="47" t="str">
        <f>(IF((VLOOKUP(Table2[[#This Row],[SKU]],'All Skus'!$A:$AC,2,FALSE))="AMX",(VLOOKUP(Table2[[#This Row],[SKU]],'All Skus'!$A:$AC,5,FALSE)),""))</f>
        <v>AMX-NM</v>
      </c>
      <c r="E277" s="281">
        <f>(IF((VLOOKUP(Table2[[#This Row],[SKU]],'All Skus'!$A:$AC,2,FALSE))="AMX",(VLOOKUP(Table2[[#This Row],[SKU]],'All Skus'!$A:$AC,7,FALSE)),""))</f>
        <v>0</v>
      </c>
      <c r="F277" s="280" t="str">
        <f>(IF((VLOOKUP(Table2[[#This Row],[SKU]],'All Skus'!$A:$AC,2,FALSE))="AMX",(VLOOKUP(Table2[[#This Row],[SKU]],'All Skus'!$A:$AC,8,FALSE)),""))</f>
        <v>H.264 Compressed Video over IP Decoder, PoE, SFP, HDMI, USB for Recordv, Card</v>
      </c>
      <c r="G277" s="280" t="str">
        <f>(IF((VLOOKUP(Table2[[#This Row],[SKU]],'All Skus'!$A:$AC,2,FALSE))="AMX",(VLOOKUP(Table2[[#This Row],[SKU]],'All Skus'!$A:$AC,9,FALSE)),""))</f>
        <v>SVSI H.264 Decoder Card with USB for record, one  SFP fiber/RJ45 copper network port cage, and one RJ45 (with PoE), IR, serial, VGA and HDMI connection (SFP module not included) - must be used in conjunction with NMX-ACC-N9206 Rack Mount Cage</v>
      </c>
      <c r="H277" s="157">
        <f>(IF((VLOOKUP(Table2[[#This Row],[SKU]],'All Skus'!$A:$AC,2,FALSE))="AMX",(VLOOKUP(Table2[[#This Row],[SKU]],'All Skus'!$A:$AC,10,FALSE)),""))</f>
        <v>1230.9000000000001</v>
      </c>
      <c r="I277" s="157">
        <f>(IF((VLOOKUP(Table2[[#This Row],[SKU]],'All Skus'!$A:$AC,2,FALSE))="AMX",(VLOOKUP(Table2[[#This Row],[SKU]],'All Skus'!$A:$AC,11,FALSE)),""))</f>
        <v>1230.9000000000001</v>
      </c>
      <c r="J277" s="47">
        <f>(IF((VLOOKUP(Table2[[#This Row],[SKU]],'All Skus'!$A:$AC,2,FALSE))="AMX",(VLOOKUP(Table2[[#This Row],[SKU]],'All Skus'!$A:$AC,15,FALSE)),""))</f>
        <v>0</v>
      </c>
      <c r="K277" s="47">
        <f>(IF((VLOOKUP(Table2[[#This Row],[SKU]],'All Skus'!$A:$AC,2,FALSE))="AMX",(VLOOKUP(Table2[[#This Row],[SKU]],'All Skus'!$A:$AC,16,FALSE)),""))</f>
        <v>718878024447</v>
      </c>
      <c r="L277" s="47">
        <f>(IF((VLOOKUP(Table2[[#This Row],[SKU]],'All Skus'!$A:$AC,2,FALSE))="AMX",(VLOOKUP(Table2[[#This Row],[SKU]],'All Skus'!$A:$AC,17,FALSE)),""))</f>
        <v>0</v>
      </c>
      <c r="M277" s="63">
        <f>(IF((VLOOKUP(Table2[[#This Row],[SKU]],'All Skus'!$A:$AC,2,FALSE))="AMX",(VLOOKUP(Table2[[#This Row],[SKU]],'All Skus'!$A:$AC,18,FALSE)),""))</f>
        <v>1.55</v>
      </c>
      <c r="N277" s="47">
        <f>(IF((VLOOKUP(Table2[[#This Row],[SKU]],'All Skus'!$A:$AC,2,FALSE))="AMX",(VLOOKUP(Table2[[#This Row],[SKU]],'All Skus'!$A:$AC,19,FALSE)),""))</f>
        <v>7.88</v>
      </c>
      <c r="O277" s="47">
        <f>(IF((VLOOKUP(Table2[[#This Row],[SKU]],'All Skus'!$A:$AC,2,FALSE))="AMX",(VLOOKUP(Table2[[#This Row],[SKU]],'All Skus'!$A:$AC,20,FALSE)),""))</f>
        <v>5.5</v>
      </c>
      <c r="P277" s="47">
        <f>(IF((VLOOKUP(Table2[[#This Row],[SKU]],'All Skus'!$A:$AC,2,FALSE))="AMX",(VLOOKUP(Table2[[#This Row],[SKU]],'All Skus'!$A:$AC,21,FALSE)),""))</f>
        <v>1.05</v>
      </c>
      <c r="Q277" s="47" t="str">
        <f>(IF((VLOOKUP(Table2[[#This Row],[SKU]],'All Skus'!$A:$AC,2,FALSE))="AMX",(VLOOKUP(Table2[[#This Row],[SKU]],'All Skus'!$A:$AC,22,FALSE)),""))</f>
        <v>US</v>
      </c>
      <c r="R277" s="47" t="str">
        <f>(IF((VLOOKUP(Table2[[#This Row],[SKU]],'All Skus'!$A:$AC,2,FALSE))="AMX",(VLOOKUP(Table2[[#This Row],[SKU]],'All Skus'!$A:$AC,23,FALSE)),""))</f>
        <v>Compliant</v>
      </c>
      <c r="S277" s="210" t="str">
        <f>HYPERLINK((IF((VLOOKUP(Table2[[#This Row],[SKU]],'All Skus'!$A:$AC,2,FALSE))="AMX",(VLOOKUP(Table2[[#This Row],[SKU]],'All Skus'!$A:$AC,24,FALSE)),"")))</f>
        <v>https://www.amx.com/en-US/products/nmx-dec-n3232-c-decoder-card</v>
      </c>
      <c r="T277" s="151">
        <v>275</v>
      </c>
    </row>
    <row r="278" spans="1:20" hidden="1">
      <c r="A278" s="48" t="s">
        <v>789</v>
      </c>
      <c r="B278" s="280" t="str">
        <f>(IF((VLOOKUP(Table2[[#This Row],[SKU]],'All Skus'!$A:$AC,2,FALSE))="AMX",(VLOOKUP(Table2[[#This Row],[SKU]],'All Skus'!$A:$AC,3,FALSE)),""))</f>
        <v>Networked AV</v>
      </c>
      <c r="C278" s="280" t="str">
        <f>(IF((VLOOKUP(Table2[[#This Row],[SKU]],'All Skus'!$A:$AC,2,FALSE))="AMX",(VLOOKUP(Table2[[#This Row],[SKU]],'All Skus'!$A:$AC,4,FALSE)),""))</f>
        <v>NMX-DEC-N3232</v>
      </c>
      <c r="D278" s="47" t="str">
        <f>(IF((VLOOKUP(Table2[[#This Row],[SKU]],'All Skus'!$A:$AC,2,FALSE))="AMX",(VLOOKUP(Table2[[#This Row],[SKU]],'All Skus'!$A:$AC,5,FALSE)),""))</f>
        <v>AMX-NM</v>
      </c>
      <c r="E278" s="281">
        <f>(IF((VLOOKUP(Table2[[#This Row],[SKU]],'All Skus'!$A:$AC,2,FALSE))="AMX",(VLOOKUP(Table2[[#This Row],[SKU]],'All Skus'!$A:$AC,7,FALSE)),""))</f>
        <v>0</v>
      </c>
      <c r="F278" s="280" t="str">
        <f>(IF((VLOOKUP(Table2[[#This Row],[SKU]],'All Skus'!$A:$AC,2,FALSE))="AMX",(VLOOKUP(Table2[[#This Row],[SKU]],'All Skus'!$A:$AC,8,FALSE)),""))</f>
        <v>H.264 Compressed Video over IP Decoder, PoE, SFP, HDMI, USB for Record, Stand-alone</v>
      </c>
      <c r="G278" s="280" t="str">
        <f>(IF((VLOOKUP(Table2[[#This Row],[SKU]],'All Skus'!$A:$AC,2,FALSE))="AMX",(VLOOKUP(Table2[[#This Row],[SKU]],'All Skus'!$A:$AC,9,FALSE)),""))</f>
        <v>SVSI Stand-alone H.264 Decoder with USB for record, one SFP fiber/RJ45 copper network port cage, and one RJ45 (with PoE), IR, serial, VGA and HDMI connection (SFP module not included, power supply is not included)</v>
      </c>
      <c r="H278" s="157">
        <f>(IF((VLOOKUP(Table2[[#This Row],[SKU]],'All Skus'!$A:$AC,2,FALSE))="AMX",(VLOOKUP(Table2[[#This Row],[SKU]],'All Skus'!$A:$AC,10,FALSE)),""))</f>
        <v>1256.5999999999999</v>
      </c>
      <c r="I278" s="157">
        <f>(IF((VLOOKUP(Table2[[#This Row],[SKU]],'All Skus'!$A:$AC,2,FALSE))="AMX",(VLOOKUP(Table2[[#This Row],[SKU]],'All Skus'!$A:$AC,11,FALSE)),""))</f>
        <v>1256.5999999999999</v>
      </c>
      <c r="J278" s="47">
        <f>(IF((VLOOKUP(Table2[[#This Row],[SKU]],'All Skus'!$A:$AC,2,FALSE))="AMX",(VLOOKUP(Table2[[#This Row],[SKU]],'All Skus'!$A:$AC,15,FALSE)),""))</f>
        <v>0</v>
      </c>
      <c r="K278" s="47">
        <f>(IF((VLOOKUP(Table2[[#This Row],[SKU]],'All Skus'!$A:$AC,2,FALSE))="AMX",(VLOOKUP(Table2[[#This Row],[SKU]],'All Skus'!$A:$AC,16,FALSE)),""))</f>
        <v>718878025789</v>
      </c>
      <c r="L278" s="47">
        <f>(IF((VLOOKUP(Table2[[#This Row],[SKU]],'All Skus'!$A:$AC,2,FALSE))="AMX",(VLOOKUP(Table2[[#This Row],[SKU]],'All Skus'!$A:$AC,17,FALSE)),""))</f>
        <v>0</v>
      </c>
      <c r="M278" s="63">
        <f>(IF((VLOOKUP(Table2[[#This Row],[SKU]],'All Skus'!$A:$AC,2,FALSE))="AMX",(VLOOKUP(Table2[[#This Row],[SKU]],'All Skus'!$A:$AC,18,FALSE)),""))</f>
        <v>1.55</v>
      </c>
      <c r="N278" s="47">
        <f>(IF((VLOOKUP(Table2[[#This Row],[SKU]],'All Skus'!$A:$AC,2,FALSE))="AMX",(VLOOKUP(Table2[[#This Row],[SKU]],'All Skus'!$A:$AC,19,FALSE)),""))</f>
        <v>7.88</v>
      </c>
      <c r="O278" s="47">
        <f>(IF((VLOOKUP(Table2[[#This Row],[SKU]],'All Skus'!$A:$AC,2,FALSE))="AMX",(VLOOKUP(Table2[[#This Row],[SKU]],'All Skus'!$A:$AC,20,FALSE)),""))</f>
        <v>5.5</v>
      </c>
      <c r="P278" s="47">
        <f>(IF((VLOOKUP(Table2[[#This Row],[SKU]],'All Skus'!$A:$AC,2,FALSE))="AMX",(VLOOKUP(Table2[[#This Row],[SKU]],'All Skus'!$A:$AC,21,FALSE)),""))</f>
        <v>1.05</v>
      </c>
      <c r="Q278" s="47" t="str">
        <f>(IF((VLOOKUP(Table2[[#This Row],[SKU]],'All Skus'!$A:$AC,2,FALSE))="AMX",(VLOOKUP(Table2[[#This Row],[SKU]],'All Skus'!$A:$AC,22,FALSE)),""))</f>
        <v>US</v>
      </c>
      <c r="R278" s="47" t="str">
        <f>(IF((VLOOKUP(Table2[[#This Row],[SKU]],'All Skus'!$A:$AC,2,FALSE))="AMX",(VLOOKUP(Table2[[#This Row],[SKU]],'All Skus'!$A:$AC,23,FALSE)),""))</f>
        <v>Compliant</v>
      </c>
      <c r="S278" s="210" t="str">
        <f>HYPERLINK((IF((VLOOKUP(Table2[[#This Row],[SKU]],'All Skus'!$A:$AC,2,FALSE))="AMX",(VLOOKUP(Table2[[#This Row],[SKU]],'All Skus'!$A:$AC,24,FALSE)),"")))</f>
        <v>https://www.amx.com/en-US/products/nmx-dec-n3232-decoder</v>
      </c>
      <c r="T278" s="151">
        <v>276</v>
      </c>
    </row>
    <row r="279" spans="1:20" hidden="1">
      <c r="A279" s="48" t="s">
        <v>790</v>
      </c>
      <c r="B279" s="280" t="str">
        <f>(IF((VLOOKUP(Table2[[#This Row],[SKU]],'All Skus'!$A:$AC,2,FALSE))="AMX",(VLOOKUP(Table2[[#This Row],[SKU]],'All Skus'!$A:$AC,3,FALSE)),""))</f>
        <v>Networked AV</v>
      </c>
      <c r="C279" s="280" t="str">
        <f>(IF((VLOOKUP(Table2[[#This Row],[SKU]],'All Skus'!$A:$AC,2,FALSE))="AMX",(VLOOKUP(Table2[[#This Row],[SKU]],'All Skus'!$A:$AC,4,FALSE)),""))</f>
        <v>NMX-WP-N3510</v>
      </c>
      <c r="D279" s="47" t="str">
        <f>(IF((VLOOKUP(Table2[[#This Row],[SKU]],'All Skus'!$A:$AC,2,FALSE))="AMX",(VLOOKUP(Table2[[#This Row],[SKU]],'All Skus'!$A:$AC,5,FALSE)),""))</f>
        <v>AMX-NM</v>
      </c>
      <c r="E279" s="281">
        <f>(IF((VLOOKUP(Table2[[#This Row],[SKU]],'All Skus'!$A:$AC,2,FALSE))="AMX",(VLOOKUP(Table2[[#This Row],[SKU]],'All Skus'!$A:$AC,7,FALSE)),""))</f>
        <v>0</v>
      </c>
      <c r="F279" s="280" t="str">
        <f>(IF((VLOOKUP(Table2[[#This Row],[SKU]],'All Skus'!$A:$AC,2,FALSE))="AMX",(VLOOKUP(Table2[[#This Row],[SKU]],'All Skus'!$A:$AC,8,FALSE)),""))</f>
        <v>N3000 Series Windowing Processor, 9x1</v>
      </c>
      <c r="G279" s="280" t="str">
        <f>(IF((VLOOKUP(Table2[[#This Row],[SKU]],'All Skus'!$A:$AC,2,FALSE))="AMX",(VLOOKUP(Table2[[#This Row],[SKU]],'All Skus'!$A:$AC,9,FALSE)),""))</f>
        <v>The SVSI NMX-WP-N3510 H.264 Multi-Channel Windowing Processor functions with the N3000 3121/3221 Series family of Video over IP Encoders and Decoders and are capable of handling multiple real-time H.264 streams</v>
      </c>
      <c r="H279" s="157">
        <f>(IF((VLOOKUP(Table2[[#This Row],[SKU]],'All Skus'!$A:$AC,2,FALSE))="AMX",(VLOOKUP(Table2[[#This Row],[SKU]],'All Skus'!$A:$AC,10,FALSE)),""))</f>
        <v>13330.9</v>
      </c>
      <c r="I279" s="157">
        <f>(IF((VLOOKUP(Table2[[#This Row],[SKU]],'All Skus'!$A:$AC,2,FALSE))="AMX",(VLOOKUP(Table2[[#This Row],[SKU]],'All Skus'!$A:$AC,11,FALSE)),""))</f>
        <v>13330.9</v>
      </c>
      <c r="J279" s="47">
        <f>(IF((VLOOKUP(Table2[[#This Row],[SKU]],'All Skus'!$A:$AC,2,FALSE))="AMX",(VLOOKUP(Table2[[#This Row],[SKU]],'All Skus'!$A:$AC,15,FALSE)),""))</f>
        <v>0</v>
      </c>
      <c r="K279" s="47">
        <f>(IF((VLOOKUP(Table2[[#This Row],[SKU]],'All Skus'!$A:$AC,2,FALSE))="AMX",(VLOOKUP(Table2[[#This Row],[SKU]],'All Skus'!$A:$AC,16,FALSE)),""))</f>
        <v>718878025796</v>
      </c>
      <c r="L279" s="47">
        <f>(IF((VLOOKUP(Table2[[#This Row],[SKU]],'All Skus'!$A:$AC,2,FALSE))="AMX",(VLOOKUP(Table2[[#This Row],[SKU]],'All Skus'!$A:$AC,17,FALSE)),""))</f>
        <v>0</v>
      </c>
      <c r="M279" s="63">
        <f>(IF((VLOOKUP(Table2[[#This Row],[SKU]],'All Skus'!$A:$AC,2,FALSE))="AMX",(VLOOKUP(Table2[[#This Row],[SKU]],'All Skus'!$A:$AC,18,FALSE)),""))</f>
        <v>19</v>
      </c>
      <c r="N279" s="47">
        <f>(IF((VLOOKUP(Table2[[#This Row],[SKU]],'All Skus'!$A:$AC,2,FALSE))="AMX",(VLOOKUP(Table2[[#This Row],[SKU]],'All Skus'!$A:$AC,19,FALSE)),""))</f>
        <v>17.25</v>
      </c>
      <c r="O279" s="47">
        <f>(IF((VLOOKUP(Table2[[#This Row],[SKU]],'All Skus'!$A:$AC,2,FALSE))="AMX",(VLOOKUP(Table2[[#This Row],[SKU]],'All Skus'!$A:$AC,20,FALSE)),""))</f>
        <v>15.5</v>
      </c>
      <c r="P279" s="47">
        <f>(IF((VLOOKUP(Table2[[#This Row],[SKU]],'All Skus'!$A:$AC,2,FALSE))="AMX",(VLOOKUP(Table2[[#This Row],[SKU]],'All Skus'!$A:$AC,21,FALSE)),""))</f>
        <v>3.5</v>
      </c>
      <c r="Q279" s="47" t="str">
        <f>(IF((VLOOKUP(Table2[[#This Row],[SKU]],'All Skus'!$A:$AC,2,FALSE))="AMX",(VLOOKUP(Table2[[#This Row],[SKU]],'All Skus'!$A:$AC,22,FALSE)),""))</f>
        <v>US</v>
      </c>
      <c r="R279" s="47" t="str">
        <f>(IF((VLOOKUP(Table2[[#This Row],[SKU]],'All Skus'!$A:$AC,2,FALSE))="AMX",(VLOOKUP(Table2[[#This Row],[SKU]],'All Skus'!$A:$AC,23,FALSE)),""))</f>
        <v>Compliant</v>
      </c>
      <c r="S279" s="210" t="str">
        <f>HYPERLINK((IF((VLOOKUP(Table2[[#This Row],[SKU]],'All Skus'!$A:$AC,2,FALSE))="AMX",(VLOOKUP(Table2[[#This Row],[SKU]],'All Skus'!$A:$AC,24,FALSE)),"")))</f>
        <v>https://www.amx.com/en-US/products/nmx-wp-n3510-windowing-processor</v>
      </c>
      <c r="T279" s="151">
        <v>277</v>
      </c>
    </row>
    <row r="280" spans="1:20" hidden="1">
      <c r="A280" s="48" t="s">
        <v>791</v>
      </c>
      <c r="B280" s="280" t="str">
        <f>(IF((VLOOKUP(Table2[[#This Row],[SKU]],'All Skus'!$A:$AC,2,FALSE))="AMX",(VLOOKUP(Table2[[#This Row],[SKU]],'All Skus'!$A:$AC,3,FALSE)),""))</f>
        <v>Networked AV</v>
      </c>
      <c r="C280" s="280" t="str">
        <f>(IF((VLOOKUP(Table2[[#This Row],[SKU]],'All Skus'!$A:$AC,2,FALSE))="AMX",(VLOOKUP(Table2[[#This Row],[SKU]],'All Skus'!$A:$AC,4,FALSE)),""))</f>
        <v>NMX-ATC-N4321-C</v>
      </c>
      <c r="D280" s="47" t="str">
        <f>(IF((VLOOKUP(Table2[[#This Row],[SKU]],'All Skus'!$A:$AC,2,FALSE))="AMX",(VLOOKUP(Table2[[#This Row],[SKU]],'All Skus'!$A:$AC,5,FALSE)),""))</f>
        <v>AMX-NM</v>
      </c>
      <c r="E280" s="281">
        <f>(IF((VLOOKUP(Table2[[#This Row],[SKU]],'All Skus'!$A:$AC,2,FALSE))="AMX",(VLOOKUP(Table2[[#This Row],[SKU]],'All Skus'!$A:$AC,7,FALSE)),""))</f>
        <v>0</v>
      </c>
      <c r="F280" s="280" t="str">
        <f>(IF((VLOOKUP(Table2[[#This Row],[SKU]],'All Skus'!$A:$AC,2,FALSE))="AMX",(VLOOKUP(Table2[[#This Row],[SKU]],'All Skus'!$A:$AC,8,FALSE)),""))</f>
        <v>Audio over IP Transceiver Card</v>
      </c>
      <c r="G280" s="280" t="str">
        <f>(IF((VLOOKUP(Table2[[#This Row],[SKU]],'All Skus'!$A:$AC,2,FALSE))="AMX",(VLOOKUP(Table2[[#This Row],[SKU]],'All Skus'!$A:$AC,9,FALSE)),""))</f>
        <v>The SVSI NMX-ATC-N4321-C Audio Transceiver Card is an audio-over-IP solution that both sends and receives two-channel balanced or unbalanced audio over IP - must be used in conjunction with NMX-ACC-N9206 Rack Mount Cage</v>
      </c>
      <c r="H280" s="157">
        <f>(IF((VLOOKUP(Table2[[#This Row],[SKU]],'All Skus'!$A:$AC,2,FALSE))="AMX",(VLOOKUP(Table2[[#This Row],[SKU]],'All Skus'!$A:$AC,10,FALSE)),""))</f>
        <v>1063.3</v>
      </c>
      <c r="I280" s="157">
        <f>(IF((VLOOKUP(Table2[[#This Row],[SKU]],'All Skus'!$A:$AC,2,FALSE))="AMX",(VLOOKUP(Table2[[#This Row],[SKU]],'All Skus'!$A:$AC,11,FALSE)),""))</f>
        <v>1063.3</v>
      </c>
      <c r="J280" s="47">
        <f>(IF((VLOOKUP(Table2[[#This Row],[SKU]],'All Skus'!$A:$AC,2,FALSE))="AMX",(VLOOKUP(Table2[[#This Row],[SKU]],'All Skus'!$A:$AC,15,FALSE)),""))</f>
        <v>0</v>
      </c>
      <c r="K280" s="47">
        <f>(IF((VLOOKUP(Table2[[#This Row],[SKU]],'All Skus'!$A:$AC,2,FALSE))="AMX",(VLOOKUP(Table2[[#This Row],[SKU]],'All Skus'!$A:$AC,16,FALSE)),""))</f>
        <v>718878024454</v>
      </c>
      <c r="L280" s="47">
        <f>(IF((VLOOKUP(Table2[[#This Row],[SKU]],'All Skus'!$A:$AC,2,FALSE))="AMX",(VLOOKUP(Table2[[#This Row],[SKU]],'All Skus'!$A:$AC,17,FALSE)),""))</f>
        <v>0</v>
      </c>
      <c r="M280" s="63">
        <f>(IF((VLOOKUP(Table2[[#This Row],[SKU]],'All Skus'!$A:$AC,2,FALSE))="AMX",(VLOOKUP(Table2[[#This Row],[SKU]],'All Skus'!$A:$AC,18,FALSE)),""))</f>
        <v>1</v>
      </c>
      <c r="N280" s="47">
        <f>(IF((VLOOKUP(Table2[[#This Row],[SKU]],'All Skus'!$A:$AC,2,FALSE))="AMX",(VLOOKUP(Table2[[#This Row],[SKU]],'All Skus'!$A:$AC,19,FALSE)),""))</f>
        <v>10.5</v>
      </c>
      <c r="O280" s="47">
        <f>(IF((VLOOKUP(Table2[[#This Row],[SKU]],'All Skus'!$A:$AC,2,FALSE))="AMX",(VLOOKUP(Table2[[#This Row],[SKU]],'All Skus'!$A:$AC,20,FALSE)),""))</f>
        <v>8</v>
      </c>
      <c r="P280" s="47">
        <f>(IF((VLOOKUP(Table2[[#This Row],[SKU]],'All Skus'!$A:$AC,2,FALSE))="AMX",(VLOOKUP(Table2[[#This Row],[SKU]],'All Skus'!$A:$AC,21,FALSE)),""))</f>
        <v>2.5</v>
      </c>
      <c r="Q280" s="47" t="str">
        <f>(IF((VLOOKUP(Table2[[#This Row],[SKU]],'All Skus'!$A:$AC,2,FALSE))="AMX",(VLOOKUP(Table2[[#This Row],[SKU]],'All Skus'!$A:$AC,22,FALSE)),""))</f>
        <v>US</v>
      </c>
      <c r="R280" s="47" t="str">
        <f>(IF((VLOOKUP(Table2[[#This Row],[SKU]],'All Skus'!$A:$AC,2,FALSE))="AMX",(VLOOKUP(Table2[[#This Row],[SKU]],'All Skus'!$A:$AC,23,FALSE)),""))</f>
        <v>Compliant</v>
      </c>
      <c r="S280" s="210" t="str">
        <f>HYPERLINK((IF((VLOOKUP(Table2[[#This Row],[SKU]],'All Skus'!$A:$AC,2,FALSE))="AMX",(VLOOKUP(Table2[[#This Row],[SKU]],'All Skus'!$A:$AC,24,FALSE)),"")))</f>
        <v>https://www.amx.com/en-US/products/nmx-atc-n4321-c-audio-transceiver-card</v>
      </c>
      <c r="T280" s="151">
        <v>278</v>
      </c>
    </row>
    <row r="281" spans="1:20" hidden="1">
      <c r="A281" s="48" t="s">
        <v>792</v>
      </c>
      <c r="B281" s="280" t="str">
        <f>(IF((VLOOKUP(Table2[[#This Row],[SKU]],'All Skus'!$A:$AC,2,FALSE))="AMX",(VLOOKUP(Table2[[#This Row],[SKU]],'All Skus'!$A:$AC,3,FALSE)),""))</f>
        <v>Networked AV</v>
      </c>
      <c r="C281" s="280" t="str">
        <f>(IF((VLOOKUP(Table2[[#This Row],[SKU]],'All Skus'!$A:$AC,2,FALSE))="AMX",(VLOOKUP(Table2[[#This Row],[SKU]],'All Skus'!$A:$AC,4,FALSE)),""))</f>
        <v>NMX-ATC-N4321</v>
      </c>
      <c r="D281" s="47" t="str">
        <f>(IF((VLOOKUP(Table2[[#This Row],[SKU]],'All Skus'!$A:$AC,2,FALSE))="AMX",(VLOOKUP(Table2[[#This Row],[SKU]],'All Skus'!$A:$AC,5,FALSE)),""))</f>
        <v>AMX-NM</v>
      </c>
      <c r="E281" s="281">
        <f>(IF((VLOOKUP(Table2[[#This Row],[SKU]],'All Skus'!$A:$AC,2,FALSE))="AMX",(VLOOKUP(Table2[[#This Row],[SKU]],'All Skus'!$A:$AC,7,FALSE)),""))</f>
        <v>0</v>
      </c>
      <c r="F281" s="280" t="str">
        <f>(IF((VLOOKUP(Table2[[#This Row],[SKU]],'All Skus'!$A:$AC,2,FALSE))="AMX",(VLOOKUP(Table2[[#This Row],[SKU]],'All Skus'!$A:$AC,8,FALSE)),""))</f>
        <v>Audio over IP Transceiver, Stand-alone</v>
      </c>
      <c r="G281" s="280" t="str">
        <f>(IF((VLOOKUP(Table2[[#This Row],[SKU]],'All Skus'!$A:$AC,2,FALSE))="AMX",(VLOOKUP(Table2[[#This Row],[SKU]],'All Skus'!$A:$AC,9,FALSE)),""))</f>
        <v>SVSI NMX-ATC-N4321 Audio Transceiver is an audio-over-IP solution that both sends and receives two-channel balanced or unbalanced audio over IP</v>
      </c>
      <c r="H281" s="157">
        <f>(IF((VLOOKUP(Table2[[#This Row],[SKU]],'All Skus'!$A:$AC,2,FALSE))="AMX",(VLOOKUP(Table2[[#This Row],[SKU]],'All Skus'!$A:$AC,10,FALSE)),""))</f>
        <v>1097.5999999999999</v>
      </c>
      <c r="I281" s="157">
        <f>(IF((VLOOKUP(Table2[[#This Row],[SKU]],'All Skus'!$A:$AC,2,FALSE))="AMX",(VLOOKUP(Table2[[#This Row],[SKU]],'All Skus'!$A:$AC,11,FALSE)),""))</f>
        <v>1097.5999999999999</v>
      </c>
      <c r="J281" s="47">
        <f>(IF((VLOOKUP(Table2[[#This Row],[SKU]],'All Skus'!$A:$AC,2,FALSE))="AMX",(VLOOKUP(Table2[[#This Row],[SKU]],'All Skus'!$A:$AC,15,FALSE)),""))</f>
        <v>0</v>
      </c>
      <c r="K281" s="47">
        <f>(IF((VLOOKUP(Table2[[#This Row],[SKU]],'All Skus'!$A:$AC,2,FALSE))="AMX",(VLOOKUP(Table2[[#This Row],[SKU]],'All Skus'!$A:$AC,16,FALSE)),""))</f>
        <v>718878004968</v>
      </c>
      <c r="L281" s="47">
        <f>(IF((VLOOKUP(Table2[[#This Row],[SKU]],'All Skus'!$A:$AC,2,FALSE))="AMX",(VLOOKUP(Table2[[#This Row],[SKU]],'All Skus'!$A:$AC,17,FALSE)),""))</f>
        <v>0</v>
      </c>
      <c r="M281" s="63">
        <f>(IF((VLOOKUP(Table2[[#This Row],[SKU]],'All Skus'!$A:$AC,2,FALSE))="AMX",(VLOOKUP(Table2[[#This Row],[SKU]],'All Skus'!$A:$AC,18,FALSE)),""))</f>
        <v>1.95</v>
      </c>
      <c r="N281" s="47">
        <f>(IF((VLOOKUP(Table2[[#This Row],[SKU]],'All Skus'!$A:$AC,2,FALSE))="AMX",(VLOOKUP(Table2[[#This Row],[SKU]],'All Skus'!$A:$AC,19,FALSE)),""))</f>
        <v>9.5</v>
      </c>
      <c r="O281" s="47">
        <f>(IF((VLOOKUP(Table2[[#This Row],[SKU]],'All Skus'!$A:$AC,2,FALSE))="AMX",(VLOOKUP(Table2[[#This Row],[SKU]],'All Skus'!$A:$AC,20,FALSE)),""))</f>
        <v>9.75</v>
      </c>
      <c r="P281" s="47">
        <f>(IF((VLOOKUP(Table2[[#This Row],[SKU]],'All Skus'!$A:$AC,2,FALSE))="AMX",(VLOOKUP(Table2[[#This Row],[SKU]],'All Skus'!$A:$AC,21,FALSE)),""))</f>
        <v>2.5</v>
      </c>
      <c r="Q281" s="47" t="str">
        <f>(IF((VLOOKUP(Table2[[#This Row],[SKU]],'All Skus'!$A:$AC,2,FALSE))="AMX",(VLOOKUP(Table2[[#This Row],[SKU]],'All Skus'!$A:$AC,22,FALSE)),""))</f>
        <v>US</v>
      </c>
      <c r="R281" s="47" t="str">
        <f>(IF((VLOOKUP(Table2[[#This Row],[SKU]],'All Skus'!$A:$AC,2,FALSE))="AMX",(VLOOKUP(Table2[[#This Row],[SKU]],'All Skus'!$A:$AC,23,FALSE)),""))</f>
        <v>Compliant</v>
      </c>
      <c r="S281" s="210" t="str">
        <f>HYPERLINK((IF((VLOOKUP(Table2[[#This Row],[SKU]],'All Skus'!$A:$AC,2,FALSE))="AMX",(VLOOKUP(Table2[[#This Row],[SKU]],'All Skus'!$A:$AC,24,FALSE)),"")))</f>
        <v>https://www.amx.com/en-US/products/nmx-atc-n4321-audio-transceiver</v>
      </c>
      <c r="T281" s="151">
        <v>279</v>
      </c>
    </row>
    <row r="282" spans="1:20" hidden="1">
      <c r="A282" s="48" t="s">
        <v>3014</v>
      </c>
      <c r="B282" s="280" t="str">
        <f>(IF((VLOOKUP(Table2[[#This Row],[SKU]],'All Skus'!$A:$AC,2,FALSE))="AMX",(VLOOKUP(Table2[[#This Row],[SKU]],'All Skus'!$A:$AC,3,FALSE)),""))</f>
        <v>Networked AV</v>
      </c>
      <c r="C282" s="280" t="str">
        <f>(IF((VLOOKUP(Table2[[#This Row],[SKU]],'All Skus'!$A:$AC,2,FALSE))="AMX",(VLOOKUP(Table2[[#This Row],[SKU]],'All Skus'!$A:$AC,4,FALSE)),""))</f>
        <v>NMX-PRS-N7142</v>
      </c>
      <c r="D282" s="47" t="str">
        <f>(IF((VLOOKUP(Table2[[#This Row],[SKU]],'All Skus'!$A:$AC,2,FALSE))="AMX",(VLOOKUP(Table2[[#This Row],[SKU]],'All Skus'!$A:$AC,5,FALSE)),""))</f>
        <v>AMX-NM</v>
      </c>
      <c r="E282" s="291" t="str">
        <f>(IF((VLOOKUP(Table2[[#This Row],[SKU]],'All Skus'!$A:$AC,2,FALSE))="AMX",(VLOOKUP(Table2[[#This Row],[SKU]],'All Skus'!$A:$AC,7,FALSE)),""))</f>
        <v>Limited Quantity - REDUCED</v>
      </c>
      <c r="F282" s="280" t="str">
        <f>(IF((VLOOKUP(Table2[[#This Row],[SKU]],'All Skus'!$A:$AC,2,FALSE))="AMX",(VLOOKUP(Table2[[#This Row],[SKU]],'All Skus'!$A:$AC,8,FALSE)),""))</f>
        <v>NMX-PRS-N7142</v>
      </c>
      <c r="G282" s="280" t="str">
        <f>(IF((VLOOKUP(Table2[[#This Row],[SKU]],'All Skus'!$A:$AC,2,FALSE))="AMX",(VLOOKUP(Table2[[#This Row],[SKU]],'All Skus'!$A:$AC,9,FALSE)),""))</f>
        <v>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 has two available slots that can hold any netwokred AV card (sold separately)</v>
      </c>
      <c r="H282" s="282">
        <f>(IF((VLOOKUP(Table2[[#This Row],[SKU]],'All Skus'!$A:$AC,2,FALSE))="AMX",(VLOOKUP(Table2[[#This Row],[SKU]],'All Skus'!$A:$AC,10,FALSE)),""))</f>
        <v>5476.4</v>
      </c>
      <c r="I282" s="282">
        <f>(IF((VLOOKUP(Table2[[#This Row],[SKU]],'All Skus'!$A:$AC,2,FALSE))="AMX",(VLOOKUP(Table2[[#This Row],[SKU]],'All Skus'!$A:$AC,11,FALSE)),""))</f>
        <v>2398</v>
      </c>
      <c r="J282" s="47">
        <f>(IF((VLOOKUP(Table2[[#This Row],[SKU]],'All Skus'!$A:$AC,2,FALSE))="AMX",(VLOOKUP(Table2[[#This Row],[SKU]],'All Skus'!$A:$AC,15,FALSE)),""))</f>
        <v>0</v>
      </c>
      <c r="K282" s="47">
        <f>(IF((VLOOKUP(Table2[[#This Row],[SKU]],'All Skus'!$A:$AC,2,FALSE))="AMX",(VLOOKUP(Table2[[#This Row],[SKU]],'All Skus'!$A:$AC,16,FALSE)),""))</f>
        <v>718878033760</v>
      </c>
      <c r="L282" s="47">
        <f>(IF((VLOOKUP(Table2[[#This Row],[SKU]],'All Skus'!$A:$AC,2,FALSE))="AMX",(VLOOKUP(Table2[[#This Row],[SKU]],'All Skus'!$A:$AC,17,FALSE)),""))</f>
        <v>0</v>
      </c>
      <c r="M282" s="63">
        <f>(IF((VLOOKUP(Table2[[#This Row],[SKU]],'All Skus'!$A:$AC,2,FALSE))="AMX",(VLOOKUP(Table2[[#This Row],[SKU]],'All Skus'!$A:$AC,18,FALSE)),""))</f>
        <v>19</v>
      </c>
      <c r="N282" s="47">
        <f>(IF((VLOOKUP(Table2[[#This Row],[SKU]],'All Skus'!$A:$AC,2,FALSE))="AMX",(VLOOKUP(Table2[[#This Row],[SKU]],'All Skus'!$A:$AC,19,FALSE)),""))</f>
        <v>17.25</v>
      </c>
      <c r="O282" s="47">
        <f>(IF((VLOOKUP(Table2[[#This Row],[SKU]],'All Skus'!$A:$AC,2,FALSE))="AMX",(VLOOKUP(Table2[[#This Row],[SKU]],'All Skus'!$A:$AC,20,FALSE)),""))</f>
        <v>14</v>
      </c>
      <c r="P282" s="47">
        <f>(IF((VLOOKUP(Table2[[#This Row],[SKU]],'All Skus'!$A:$AC,2,FALSE))="AMX",(VLOOKUP(Table2[[#This Row],[SKU]],'All Skus'!$A:$AC,21,FALSE)),""))</f>
        <v>3.5</v>
      </c>
      <c r="Q282" s="47" t="str">
        <f>(IF((VLOOKUP(Table2[[#This Row],[SKU]],'All Skus'!$A:$AC,2,FALSE))="AMX",(VLOOKUP(Table2[[#This Row],[SKU]],'All Skus'!$A:$AC,22,FALSE)),""))</f>
        <v>TW</v>
      </c>
      <c r="R282" s="47" t="str">
        <f>(IF((VLOOKUP(Table2[[#This Row],[SKU]],'All Skus'!$A:$AC,2,FALSE))="AMX",(VLOOKUP(Table2[[#This Row],[SKU]],'All Skus'!$A:$AC,23,FALSE)),""))</f>
        <v>Compliant</v>
      </c>
      <c r="S282" s="279" t="str">
        <f>HYPERLINK((IF((VLOOKUP(Table2[[#This Row],[SKU]],'All Skus'!$A:$AC,2,FALSE))="AMX",(VLOOKUP(Table2[[#This Row],[SKU]],'All Skus'!$A:$AC,24,FALSE)),"")))</f>
        <v>https://www.amx.com/en-US/products/nmx-prs-n7142</v>
      </c>
      <c r="T282" s="47">
        <v>280</v>
      </c>
    </row>
    <row r="283" spans="1:20" hidden="1">
      <c r="A283" s="48" t="s">
        <v>794</v>
      </c>
      <c r="B283" s="280" t="str">
        <f>(IF((VLOOKUP(Table2[[#This Row],[SKU]],'All Skus'!$A:$AC,2,FALSE))="AMX",(VLOOKUP(Table2[[#This Row],[SKU]],'All Skus'!$A:$AC,3,FALSE)),""))</f>
        <v>Networked AV</v>
      </c>
      <c r="C283" s="280" t="str">
        <f>(IF((VLOOKUP(Table2[[#This Row],[SKU]],'All Skus'!$A:$AC,2,FALSE))="AMX",(VLOOKUP(Table2[[#This Row],[SKU]],'All Skus'!$A:$AC,4,FALSE)),""))</f>
        <v>NMX-PRS-N7142-23</v>
      </c>
      <c r="D283" s="47" t="str">
        <f>(IF((VLOOKUP(Table2[[#This Row],[SKU]],'All Skus'!$A:$AC,2,FALSE))="AMX",(VLOOKUP(Table2[[#This Row],[SKU]],'All Skus'!$A:$AC,5,FALSE)),""))</f>
        <v>AMX-NM</v>
      </c>
      <c r="E283" s="291" t="str">
        <f>(IF((VLOOKUP(Table2[[#This Row],[SKU]],'All Skus'!$A:$AC,2,FALSE))="AMX",(VLOOKUP(Table2[[#This Row],[SKU]],'All Skus'!$A:$AC,7,FALSE)),""))</f>
        <v>Limited Quantity - REDUCED</v>
      </c>
      <c r="F283" s="280" t="str">
        <f>(IF((VLOOKUP(Table2[[#This Row],[SKU]],'All Skus'!$A:$AC,2,FALSE))="AMX",(VLOOKUP(Table2[[#This Row],[SKU]],'All Skus'!$A:$AC,8,FALSE)),""))</f>
        <v>NMX-PRS-N7142-23</v>
      </c>
      <c r="G283" s="280" t="str">
        <f>(IF((VLOOKUP(Table2[[#This Row],[SKU]],'All Skus'!$A:$AC,2,FALSE))="AMX",(VLOOKUP(Table2[[#This Row],[SKU]],'All Skus'!$A:$AC,9,FALSE)),""))</f>
        <v>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v>
      </c>
      <c r="H283" s="157">
        <f>(IF((VLOOKUP(Table2[[#This Row],[SKU]],'All Skus'!$A:$AC,2,FALSE))="AMX",(VLOOKUP(Table2[[#This Row],[SKU]],'All Skus'!$A:$AC,10,FALSE)),""))</f>
        <v>7460</v>
      </c>
      <c r="I283" s="157">
        <f>(IF((VLOOKUP(Table2[[#This Row],[SKU]],'All Skus'!$A:$AC,2,FALSE))="AMX",(VLOOKUP(Table2[[#This Row],[SKU]],'All Skus'!$A:$AC,11,FALSE)),""))</f>
        <v>2998</v>
      </c>
      <c r="J283" s="47">
        <f>(IF((VLOOKUP(Table2[[#This Row],[SKU]],'All Skus'!$A:$AC,2,FALSE))="AMX",(VLOOKUP(Table2[[#This Row],[SKU]],'All Skus'!$A:$AC,15,FALSE)),""))</f>
        <v>0</v>
      </c>
      <c r="K283" s="47">
        <f>(IF((VLOOKUP(Table2[[#This Row],[SKU]],'All Skus'!$A:$AC,2,FALSE))="AMX",(VLOOKUP(Table2[[#This Row],[SKU]],'All Skus'!$A:$AC,16,FALSE)),""))</f>
        <v>0</v>
      </c>
      <c r="L283" s="47">
        <f>(IF((VLOOKUP(Table2[[#This Row],[SKU]],'All Skus'!$A:$AC,2,FALSE))="AMX",(VLOOKUP(Table2[[#This Row],[SKU]],'All Skus'!$A:$AC,17,FALSE)),""))</f>
        <v>0</v>
      </c>
      <c r="M283" s="63">
        <f>(IF((VLOOKUP(Table2[[#This Row],[SKU]],'All Skus'!$A:$AC,2,FALSE))="AMX",(VLOOKUP(Table2[[#This Row],[SKU]],'All Skus'!$A:$AC,18,FALSE)),""))</f>
        <v>19</v>
      </c>
      <c r="N283" s="47">
        <f>(IF((VLOOKUP(Table2[[#This Row],[SKU]],'All Skus'!$A:$AC,2,FALSE))="AMX",(VLOOKUP(Table2[[#This Row],[SKU]],'All Skus'!$A:$AC,19,FALSE)),""))</f>
        <v>17.25</v>
      </c>
      <c r="O283" s="47">
        <f>(IF((VLOOKUP(Table2[[#This Row],[SKU]],'All Skus'!$A:$AC,2,FALSE))="AMX",(VLOOKUP(Table2[[#This Row],[SKU]],'All Skus'!$A:$AC,20,FALSE)),""))</f>
        <v>14</v>
      </c>
      <c r="P283" s="47">
        <f>(IF((VLOOKUP(Table2[[#This Row],[SKU]],'All Skus'!$A:$AC,2,FALSE))="AMX",(VLOOKUP(Table2[[#This Row],[SKU]],'All Skus'!$A:$AC,21,FALSE)),""))</f>
        <v>3.5</v>
      </c>
      <c r="Q283" s="47" t="str">
        <f>(IF((VLOOKUP(Table2[[#This Row],[SKU]],'All Skus'!$A:$AC,2,FALSE))="AMX",(VLOOKUP(Table2[[#This Row],[SKU]],'All Skus'!$A:$AC,22,FALSE)),""))</f>
        <v>TW</v>
      </c>
      <c r="R283" s="47" t="str">
        <f>(IF((VLOOKUP(Table2[[#This Row],[SKU]],'All Skus'!$A:$AC,2,FALSE))="AMX",(VLOOKUP(Table2[[#This Row],[SKU]],'All Skus'!$A:$AC,23,FALSE)),""))</f>
        <v>Compliant</v>
      </c>
      <c r="S283" s="210" t="str">
        <f>HYPERLINK((IF((VLOOKUP(Table2[[#This Row],[SKU]],'All Skus'!$A:$AC,2,FALSE))="AMX",(VLOOKUP(Table2[[#This Row],[SKU]],'All Skus'!$A:$AC,24,FALSE)),"")))</f>
        <v>https://www.amx.com/en-US/products/nmx-prs-n7142</v>
      </c>
      <c r="T283" s="151">
        <v>281</v>
      </c>
    </row>
    <row r="284" spans="1:20" hidden="1">
      <c r="A284" s="48" t="s">
        <v>794</v>
      </c>
      <c r="B284" s="280" t="str">
        <f>(IF((VLOOKUP(Table2[[#This Row],[SKU]],'All Skus'!$A:$AC,2,FALSE))="AMX",(VLOOKUP(Table2[[#This Row],[SKU]],'All Skus'!$A:$AC,3,FALSE)),""))</f>
        <v>Networked AV</v>
      </c>
      <c r="C284" s="280" t="str">
        <f>(IF((VLOOKUP(Table2[[#This Row],[SKU]],'All Skus'!$A:$AC,2,FALSE))="AMX",(VLOOKUP(Table2[[#This Row],[SKU]],'All Skus'!$A:$AC,4,FALSE)),""))</f>
        <v>NMX-PRS-N7142-23</v>
      </c>
      <c r="D284" s="47" t="str">
        <f>(IF((VLOOKUP(Table2[[#This Row],[SKU]],'All Skus'!$A:$AC,2,FALSE))="AMX",(VLOOKUP(Table2[[#This Row],[SKU]],'All Skus'!$A:$AC,5,FALSE)),""))</f>
        <v>AMX-NM</v>
      </c>
      <c r="E284" s="291" t="str">
        <f>(IF((VLOOKUP(Table2[[#This Row],[SKU]],'All Skus'!$A:$AC,2,FALSE))="AMX",(VLOOKUP(Table2[[#This Row],[SKU]],'All Skus'!$A:$AC,7,FALSE)),""))</f>
        <v>Limited Quantity - REDUCED</v>
      </c>
      <c r="F284" s="280" t="str">
        <f>(IF((VLOOKUP(Table2[[#This Row],[SKU]],'All Skus'!$A:$AC,2,FALSE))="AMX",(VLOOKUP(Table2[[#This Row],[SKU]],'All Skus'!$A:$AC,8,FALSE)),""))</f>
        <v>NMX-PRS-N7142-23</v>
      </c>
      <c r="G284" s="280" t="str">
        <f>(IF((VLOOKUP(Table2[[#This Row],[SKU]],'All Skus'!$A:$AC,2,FALSE))="AMX",(VLOOKUP(Table2[[#This Row],[SKU]],'All Skus'!$A:$AC,9,FALSE)),""))</f>
        <v>Networked AV Presentation Switcher with six local inputs (4 4K60 and 2 VGA), two outputs (HDMI, one scaled, on unscaled, each with mirrored HDMI port). Audio support includes built-in DSP and 60W stereo amplifier capable of operating in 4Ω/8Ω, 70V, or 100V modes. In addition to audio from the HDMI inputs, the N7142 has six independent balanced stereo inputs and two independent microphone inputs with phantom power. The NMX-PRS-N7142-23 is prepopulated with one N2312 encoder card and one N2322 decoder card.</v>
      </c>
      <c r="H284" s="282">
        <f>(IF((VLOOKUP(Table2[[#This Row],[SKU]],'All Skus'!$A:$AC,2,FALSE))="AMX",(VLOOKUP(Table2[[#This Row],[SKU]],'All Skus'!$A:$AC,10,FALSE)),""))</f>
        <v>7460</v>
      </c>
      <c r="I284" s="282">
        <f>(IF((VLOOKUP(Table2[[#This Row],[SKU]],'All Skus'!$A:$AC,2,FALSE))="AMX",(VLOOKUP(Table2[[#This Row],[SKU]],'All Skus'!$A:$AC,11,FALSE)),""))</f>
        <v>2998</v>
      </c>
      <c r="J284" s="47">
        <f>(IF((VLOOKUP(Table2[[#This Row],[SKU]],'All Skus'!$A:$AC,2,FALSE))="AMX",(VLOOKUP(Table2[[#This Row],[SKU]],'All Skus'!$A:$AC,15,FALSE)),""))</f>
        <v>0</v>
      </c>
      <c r="K284" s="47">
        <f>(IF((VLOOKUP(Table2[[#This Row],[SKU]],'All Skus'!$A:$AC,2,FALSE))="AMX",(VLOOKUP(Table2[[#This Row],[SKU]],'All Skus'!$A:$AC,16,FALSE)),""))</f>
        <v>0</v>
      </c>
      <c r="L284" s="47">
        <f>(IF((VLOOKUP(Table2[[#This Row],[SKU]],'All Skus'!$A:$AC,2,FALSE))="AMX",(VLOOKUP(Table2[[#This Row],[SKU]],'All Skus'!$A:$AC,17,FALSE)),""))</f>
        <v>0</v>
      </c>
      <c r="M284" s="63">
        <f>(IF((VLOOKUP(Table2[[#This Row],[SKU]],'All Skus'!$A:$AC,2,FALSE))="AMX",(VLOOKUP(Table2[[#This Row],[SKU]],'All Skus'!$A:$AC,18,FALSE)),""))</f>
        <v>19</v>
      </c>
      <c r="N284" s="47">
        <f>(IF((VLOOKUP(Table2[[#This Row],[SKU]],'All Skus'!$A:$AC,2,FALSE))="AMX",(VLOOKUP(Table2[[#This Row],[SKU]],'All Skus'!$A:$AC,19,FALSE)),""))</f>
        <v>17.25</v>
      </c>
      <c r="O284" s="47">
        <f>(IF((VLOOKUP(Table2[[#This Row],[SKU]],'All Skus'!$A:$AC,2,FALSE))="AMX",(VLOOKUP(Table2[[#This Row],[SKU]],'All Skus'!$A:$AC,20,FALSE)),""))</f>
        <v>14</v>
      </c>
      <c r="P284" s="47">
        <f>(IF((VLOOKUP(Table2[[#This Row],[SKU]],'All Skus'!$A:$AC,2,FALSE))="AMX",(VLOOKUP(Table2[[#This Row],[SKU]],'All Skus'!$A:$AC,21,FALSE)),""))</f>
        <v>3.5</v>
      </c>
      <c r="Q284" s="47" t="str">
        <f>(IF((VLOOKUP(Table2[[#This Row],[SKU]],'All Skus'!$A:$AC,2,FALSE))="AMX",(VLOOKUP(Table2[[#This Row],[SKU]],'All Skus'!$A:$AC,22,FALSE)),""))</f>
        <v>TW</v>
      </c>
      <c r="R284" s="47" t="str">
        <f>(IF((VLOOKUP(Table2[[#This Row],[SKU]],'All Skus'!$A:$AC,2,FALSE))="AMX",(VLOOKUP(Table2[[#This Row],[SKU]],'All Skus'!$A:$AC,23,FALSE)),""))</f>
        <v>Compliant</v>
      </c>
      <c r="S284" s="279" t="str">
        <f>HYPERLINK((IF((VLOOKUP(Table2[[#This Row],[SKU]],'All Skus'!$A:$AC,2,FALSE))="AMX",(VLOOKUP(Table2[[#This Row],[SKU]],'All Skus'!$A:$AC,24,FALSE)),"")))</f>
        <v>https://www.amx.com/en-US/products/nmx-prs-n7142</v>
      </c>
      <c r="T284" s="47">
        <v>282</v>
      </c>
    </row>
    <row r="285" spans="1:20" hidden="1">
      <c r="A285" s="48" t="s">
        <v>795</v>
      </c>
      <c r="B285" s="280" t="str">
        <f>(IF((VLOOKUP(Table2[[#This Row],[SKU]],'All Skus'!$A:$AC,2,FALSE))="AMX",(VLOOKUP(Table2[[#This Row],[SKU]],'All Skus'!$A:$AC,3,FALSE)),""))</f>
        <v>Networked AV</v>
      </c>
      <c r="C285" s="280" t="str">
        <f>(IF((VLOOKUP(Table2[[#This Row],[SKU]],'All Skus'!$A:$AC,2,FALSE))="AMX",(VLOOKUP(Table2[[#This Row],[SKU]],'All Skus'!$A:$AC,4,FALSE)),""))</f>
        <v>SC-N8002</v>
      </c>
      <c r="D285" s="47" t="str">
        <f>(IF((VLOOKUP(Table2[[#This Row],[SKU]],'All Skus'!$A:$AC,2,FALSE))="AMX",(VLOOKUP(Table2[[#This Row],[SKU]],'All Skus'!$A:$AC,5,FALSE)),""))</f>
        <v>AMX-NM</v>
      </c>
      <c r="E285" s="281">
        <f>(IF((VLOOKUP(Table2[[#This Row],[SKU]],'All Skus'!$A:$AC,2,FALSE))="AMX",(VLOOKUP(Table2[[#This Row],[SKU]],'All Skus'!$A:$AC,7,FALSE)),""))</f>
        <v>0</v>
      </c>
      <c r="F285" s="280" t="str">
        <f>(IF((VLOOKUP(Table2[[#This Row],[SKU]],'All Skus'!$A:$AC,2,FALSE))="AMX",(VLOOKUP(Table2[[#This Row],[SKU]],'All Skus'!$A:$AC,8,FALSE)),""))</f>
        <v>N-Series Controller for Unlimited Users/Devices</v>
      </c>
      <c r="G285" s="280" t="str">
        <f>(IF((VLOOKUP(Table2[[#This Row],[SKU]],'All Skus'!$A:$AC,2,FALSE))="AMX",(VLOOKUP(Table2[[#This Row],[SKU]],'All Skus'!$A:$AC,9,FALSE)),""))</f>
        <v>The SVSI SC-N8002 N-Command Control Appliance provides intuitive and powerful management of equipment configuration, content management, NVR recording and playback, bandwidth utilization, and AV switching for unlimited users and devices</v>
      </c>
      <c r="H285" s="157">
        <f>(IF((VLOOKUP(Table2[[#This Row],[SKU]],'All Skus'!$A:$AC,2,FALSE))="AMX",(VLOOKUP(Table2[[#This Row],[SKU]],'All Skus'!$A:$AC,10,FALSE)),""))</f>
        <v>5390.1</v>
      </c>
      <c r="I285" s="157">
        <f>(IF((VLOOKUP(Table2[[#This Row],[SKU]],'All Skus'!$A:$AC,2,FALSE))="AMX",(VLOOKUP(Table2[[#This Row],[SKU]],'All Skus'!$A:$AC,11,FALSE)),""))</f>
        <v>5390.1</v>
      </c>
      <c r="J285" s="47">
        <f>(IF((VLOOKUP(Table2[[#This Row],[SKU]],'All Skus'!$A:$AC,2,FALSE))="AMX",(VLOOKUP(Table2[[#This Row],[SKU]],'All Skus'!$A:$AC,15,FALSE)),""))</f>
        <v>0</v>
      </c>
      <c r="K285" s="47">
        <f>(IF((VLOOKUP(Table2[[#This Row],[SKU]],'All Skus'!$A:$AC,2,FALSE))="AMX",(VLOOKUP(Table2[[#This Row],[SKU]],'All Skus'!$A:$AC,16,FALSE)),""))</f>
        <v>718878025826</v>
      </c>
      <c r="L285" s="47">
        <f>(IF((VLOOKUP(Table2[[#This Row],[SKU]],'All Skus'!$A:$AC,2,FALSE))="AMX",(VLOOKUP(Table2[[#This Row],[SKU]],'All Skus'!$A:$AC,17,FALSE)),""))</f>
        <v>0</v>
      </c>
      <c r="M285" s="63">
        <f>(IF((VLOOKUP(Table2[[#This Row],[SKU]],'All Skus'!$A:$AC,2,FALSE))="AMX",(VLOOKUP(Table2[[#This Row],[SKU]],'All Skus'!$A:$AC,18,FALSE)),""))</f>
        <v>19</v>
      </c>
      <c r="N285" s="47">
        <f>(IF((VLOOKUP(Table2[[#This Row],[SKU]],'All Skus'!$A:$AC,2,FALSE))="AMX",(VLOOKUP(Table2[[#This Row],[SKU]],'All Skus'!$A:$AC,19,FALSE)),""))</f>
        <v>17.25</v>
      </c>
      <c r="O285" s="47">
        <f>(IF((VLOOKUP(Table2[[#This Row],[SKU]],'All Skus'!$A:$AC,2,FALSE))="AMX",(VLOOKUP(Table2[[#This Row],[SKU]],'All Skus'!$A:$AC,20,FALSE)),""))</f>
        <v>15.5</v>
      </c>
      <c r="P285" s="47">
        <f>(IF((VLOOKUP(Table2[[#This Row],[SKU]],'All Skus'!$A:$AC,2,FALSE))="AMX",(VLOOKUP(Table2[[#This Row],[SKU]],'All Skus'!$A:$AC,21,FALSE)),""))</f>
        <v>3.5</v>
      </c>
      <c r="Q285" s="47" t="str">
        <f>(IF((VLOOKUP(Table2[[#This Row],[SKU]],'All Skus'!$A:$AC,2,FALSE))="AMX",(VLOOKUP(Table2[[#This Row],[SKU]],'All Skus'!$A:$AC,22,FALSE)),""))</f>
        <v>US</v>
      </c>
      <c r="R285" s="47" t="str">
        <f>(IF((VLOOKUP(Table2[[#This Row],[SKU]],'All Skus'!$A:$AC,2,FALSE))="AMX",(VLOOKUP(Table2[[#This Row],[SKU]],'All Skus'!$A:$AC,23,FALSE)),""))</f>
        <v>Compliant</v>
      </c>
      <c r="S285" s="210" t="str">
        <f>HYPERLINK((IF((VLOOKUP(Table2[[#This Row],[SKU]],'All Skus'!$A:$AC,2,FALSE))="AMX",(VLOOKUP(Table2[[#This Row],[SKU]],'All Skus'!$A:$AC,24,FALSE)),"")))</f>
        <v>https://www.amx.com/en-US/products/sc-n8002</v>
      </c>
      <c r="T285" s="151">
        <v>283</v>
      </c>
    </row>
    <row r="286" spans="1:20" hidden="1">
      <c r="A286" s="48" t="s">
        <v>796</v>
      </c>
      <c r="B286" s="280" t="str">
        <f>(IF((VLOOKUP(Table2[[#This Row],[SKU]],'All Skus'!$A:$AC,2,FALSE))="AMX",(VLOOKUP(Table2[[#This Row],[SKU]],'All Skus'!$A:$AC,3,FALSE)),""))</f>
        <v>Networked AV</v>
      </c>
      <c r="C286" s="280" t="str">
        <f>(IF((VLOOKUP(Table2[[#This Row],[SKU]],'All Skus'!$A:$AC,2,FALSE))="AMX",(VLOOKUP(Table2[[#This Row],[SKU]],'All Skus'!$A:$AC,4,FALSE)),""))</f>
        <v>SC-N8012</v>
      </c>
      <c r="D286" s="47" t="str">
        <f>(IF((VLOOKUP(Table2[[#This Row],[SKU]],'All Skus'!$A:$AC,2,FALSE))="AMX",(VLOOKUP(Table2[[#This Row],[SKU]],'All Skus'!$A:$AC,5,FALSE)),""))</f>
        <v>AMX-NM</v>
      </c>
      <c r="E286" s="291" t="str">
        <f>(IF((VLOOKUP(Table2[[#This Row],[SKU]],'All Skus'!$A:$AC,2,FALSE))="AMX",(VLOOKUP(Table2[[#This Row],[SKU]],'All Skus'!$A:$AC,7,FALSE)),""))</f>
        <v>Limited Quantity - REDUCED</v>
      </c>
      <c r="F286" s="280" t="str">
        <f>(IF((VLOOKUP(Table2[[#This Row],[SKU]],'All Skus'!$A:$AC,2,FALSE))="AMX",(VLOOKUP(Table2[[#This Row],[SKU]],'All Skus'!$A:$AC,8,FALSE)),""))</f>
        <v>N-Series Controller for Enterprise</v>
      </c>
      <c r="G286" s="280" t="str">
        <f>(IF((VLOOKUP(Table2[[#This Row],[SKU]],'All Skus'!$A:$AC,2,FALSE))="AMX",(VLOOKUP(Table2[[#This Row],[SKU]],'All Skus'!$A:$AC,9,FALSE)),""))</f>
        <v>The SVSI SC-N8012 N-Command Control Appliance provides intuitive and powerful management of equipment configuration, content management, NVR recording and playback, bandwidth utilization, and AV switching for unlimited users and devices</v>
      </c>
      <c r="H286" s="157">
        <f>(IF((VLOOKUP(Table2[[#This Row],[SKU]],'All Skus'!$A:$AC,2,FALSE))="AMX",(VLOOKUP(Table2[[#This Row],[SKU]],'All Skus'!$A:$AC,10,FALSE)),""))</f>
        <v>17138.099999999999</v>
      </c>
      <c r="I286" s="157">
        <f>(IF((VLOOKUP(Table2[[#This Row],[SKU]],'All Skus'!$A:$AC,2,FALSE))="AMX",(VLOOKUP(Table2[[#This Row],[SKU]],'All Skus'!$A:$AC,11,FALSE)),""))</f>
        <v>5798</v>
      </c>
      <c r="J286" s="47">
        <f>(IF((VLOOKUP(Table2[[#This Row],[SKU]],'All Skus'!$A:$AC,2,FALSE))="AMX",(VLOOKUP(Table2[[#This Row],[SKU]],'All Skus'!$A:$AC,15,FALSE)),""))</f>
        <v>0</v>
      </c>
      <c r="K286" s="47">
        <f>(IF((VLOOKUP(Table2[[#This Row],[SKU]],'All Skus'!$A:$AC,2,FALSE))="AMX",(VLOOKUP(Table2[[#This Row],[SKU]],'All Skus'!$A:$AC,16,FALSE)),""))</f>
        <v>718878025833</v>
      </c>
      <c r="L286" s="47">
        <f>(IF((VLOOKUP(Table2[[#This Row],[SKU]],'All Skus'!$A:$AC,2,FALSE))="AMX",(VLOOKUP(Table2[[#This Row],[SKU]],'All Skus'!$A:$AC,17,FALSE)),""))</f>
        <v>0</v>
      </c>
      <c r="M286" s="63">
        <f>(IF((VLOOKUP(Table2[[#This Row],[SKU]],'All Skus'!$A:$AC,2,FALSE))="AMX",(VLOOKUP(Table2[[#This Row],[SKU]],'All Skus'!$A:$AC,18,FALSE)),""))</f>
        <v>28</v>
      </c>
      <c r="N286" s="47">
        <f>(IF((VLOOKUP(Table2[[#This Row],[SKU]],'All Skus'!$A:$AC,2,FALSE))="AMX",(VLOOKUP(Table2[[#This Row],[SKU]],'All Skus'!$A:$AC,19,FALSE)),""))</f>
        <v>17.75</v>
      </c>
      <c r="O286" s="47">
        <f>(IF((VLOOKUP(Table2[[#This Row],[SKU]],'All Skus'!$A:$AC,2,FALSE))="AMX",(VLOOKUP(Table2[[#This Row],[SKU]],'All Skus'!$A:$AC,20,FALSE)),""))</f>
        <v>17.5</v>
      </c>
      <c r="P286" s="47">
        <f>(IF((VLOOKUP(Table2[[#This Row],[SKU]],'All Skus'!$A:$AC,2,FALSE))="AMX",(VLOOKUP(Table2[[#This Row],[SKU]],'All Skus'!$A:$AC,21,FALSE)),""))</f>
        <v>3.625</v>
      </c>
      <c r="Q286" s="47" t="str">
        <f>(IF((VLOOKUP(Table2[[#This Row],[SKU]],'All Skus'!$A:$AC,2,FALSE))="AMX",(VLOOKUP(Table2[[#This Row],[SKU]],'All Skus'!$A:$AC,22,FALSE)),""))</f>
        <v>US</v>
      </c>
      <c r="R286" s="47" t="str">
        <f>(IF((VLOOKUP(Table2[[#This Row],[SKU]],'All Skus'!$A:$AC,2,FALSE))="AMX",(VLOOKUP(Table2[[#This Row],[SKU]],'All Skus'!$A:$AC,23,FALSE)),""))</f>
        <v>Compliant</v>
      </c>
      <c r="S286" s="210" t="str">
        <f>HYPERLINK((IF((VLOOKUP(Table2[[#This Row],[SKU]],'All Skus'!$A:$AC,2,FALSE))="AMX",(VLOOKUP(Table2[[#This Row],[SKU]],'All Skus'!$A:$AC,24,FALSE)),"")))</f>
        <v>https://www.amx.com/en-US/products/sc-n8012</v>
      </c>
      <c r="T286" s="151">
        <v>284</v>
      </c>
    </row>
    <row r="287" spans="1:20" hidden="1">
      <c r="A287" s="48" t="s">
        <v>3015</v>
      </c>
      <c r="B287" s="280" t="str">
        <f>(IF((VLOOKUP(Table2[[#This Row],[SKU]],'All Skus'!$A:$AC,2,FALSE))="AMX",(VLOOKUP(Table2[[#This Row],[SKU]],'All Skus'!$A:$AC,3,FALSE)),""))</f>
        <v>Networked AV</v>
      </c>
      <c r="C287" s="280" t="str">
        <f>(IF((VLOOKUP(Table2[[#This Row],[SKU]],'All Skus'!$A:$AC,2,FALSE))="AMX",(VLOOKUP(Table2[[#This Row],[SKU]],'All Skus'!$A:$AC,4,FALSE)),""))</f>
        <v>NT-SD-701</v>
      </c>
      <c r="D287" s="47" t="str">
        <f>(IF((VLOOKUP(Table2[[#This Row],[SKU]],'All Skus'!$A:$AC,2,FALSE))="AMX",(VLOOKUP(Table2[[#This Row],[SKU]],'All Skus'!$A:$AC,5,FALSE)),""))</f>
        <v>AMX-NM</v>
      </c>
      <c r="E287" s="291" t="str">
        <f>(IF((VLOOKUP(Table2[[#This Row],[SKU]],'All Skus'!$A:$AC,2,FALSE))="AMX",(VLOOKUP(Table2[[#This Row],[SKU]],'All Skus'!$A:$AC,7,FALSE)),""))</f>
        <v>Limited Quantity - REDUCED</v>
      </c>
      <c r="F287" s="280" t="str">
        <f>(IF((VLOOKUP(Table2[[#This Row],[SKU]],'All Skus'!$A:$AC,2,FALSE))="AMX",(VLOOKUP(Table2[[#This Row],[SKU]],'All Skus'!$A:$AC,8,FALSE)),""))</f>
        <v>7" N-Touch Wall Mount Touch Panel</v>
      </c>
      <c r="G287" s="280" t="str">
        <f>(IF((VLOOKUP(Table2[[#This Row],[SKU]],'All Skus'!$A:$AC,2,FALSE))="AMX",(VLOOKUP(Table2[[#This Row],[SKU]],'All Skus'!$A:$AC,9,FALSE)),""))</f>
        <v>7" N-Touch Wall Mount Touch Panel, high-quality user interface and controller in a single unit enables control of SVSI devices. Compatible with Modero S wall mount options</v>
      </c>
      <c r="H287" s="282">
        <f>(IF((VLOOKUP(Table2[[#This Row],[SKU]],'All Skus'!$A:$AC,2,FALSE))="AMX",(VLOOKUP(Table2[[#This Row],[SKU]],'All Skus'!$A:$AC,10,FALSE)),""))</f>
        <v>2172.3000000000002</v>
      </c>
      <c r="I287" s="282">
        <f>(IF((VLOOKUP(Table2[[#This Row],[SKU]],'All Skus'!$A:$AC,2,FALSE))="AMX",(VLOOKUP(Table2[[#This Row],[SKU]],'All Skus'!$A:$AC,11,FALSE)),""))</f>
        <v>558</v>
      </c>
      <c r="J287" s="47">
        <f>(IF((VLOOKUP(Table2[[#This Row],[SKU]],'All Skus'!$A:$AC,2,FALSE))="AMX",(VLOOKUP(Table2[[#This Row],[SKU]],'All Skus'!$A:$AC,15,FALSE)),""))</f>
        <v>0</v>
      </c>
      <c r="K287" s="47">
        <f>(IF((VLOOKUP(Table2[[#This Row],[SKU]],'All Skus'!$A:$AC,2,FALSE))="AMX",(VLOOKUP(Table2[[#This Row],[SKU]],'All Skus'!$A:$AC,16,FALSE)),""))</f>
        <v>718878025918</v>
      </c>
      <c r="L287" s="47">
        <f>(IF((VLOOKUP(Table2[[#This Row],[SKU]],'All Skus'!$A:$AC,2,FALSE))="AMX",(VLOOKUP(Table2[[#This Row],[SKU]],'All Skus'!$A:$AC,17,FALSE)),""))</f>
        <v>0</v>
      </c>
      <c r="M287" s="63">
        <f>(IF((VLOOKUP(Table2[[#This Row],[SKU]],'All Skus'!$A:$AC,2,FALSE))="AMX",(VLOOKUP(Table2[[#This Row],[SKU]],'All Skus'!$A:$AC,18,FALSE)),""))</f>
        <v>1</v>
      </c>
      <c r="N287" s="47">
        <f>(IF((VLOOKUP(Table2[[#This Row],[SKU]],'All Skus'!$A:$AC,2,FALSE))="AMX",(VLOOKUP(Table2[[#This Row],[SKU]],'All Skus'!$A:$AC,19,FALSE)),""))</f>
        <v>2.25</v>
      </c>
      <c r="O287" s="47">
        <f>(IF((VLOOKUP(Table2[[#This Row],[SKU]],'All Skus'!$A:$AC,2,FALSE))="AMX",(VLOOKUP(Table2[[#This Row],[SKU]],'All Skus'!$A:$AC,20,FALSE)),""))</f>
        <v>7.5</v>
      </c>
      <c r="P287" s="47">
        <f>(IF((VLOOKUP(Table2[[#This Row],[SKU]],'All Skus'!$A:$AC,2,FALSE))="AMX",(VLOOKUP(Table2[[#This Row],[SKU]],'All Skus'!$A:$AC,21,FALSE)),""))</f>
        <v>4.8</v>
      </c>
      <c r="Q287" s="47" t="str">
        <f>(IF((VLOOKUP(Table2[[#This Row],[SKU]],'All Skus'!$A:$AC,2,FALSE))="AMX",(VLOOKUP(Table2[[#This Row],[SKU]],'All Skus'!$A:$AC,22,FALSE)),""))</f>
        <v>MX</v>
      </c>
      <c r="R287" s="47" t="str">
        <f>(IF((VLOOKUP(Table2[[#This Row],[SKU]],'All Skus'!$A:$AC,2,FALSE))="AMX",(VLOOKUP(Table2[[#This Row],[SKU]],'All Skus'!$A:$AC,23,FALSE)),""))</f>
        <v>Compliant</v>
      </c>
      <c r="S287" s="279" t="str">
        <f>HYPERLINK((IF((VLOOKUP(Table2[[#This Row],[SKU]],'All Skus'!$A:$AC,2,FALSE))="AMX",(VLOOKUP(Table2[[#This Row],[SKU]],'All Skus'!$A:$AC,24,FALSE)),"")))</f>
        <v>https://www.amx.com/en-US/products/nt-sd-701</v>
      </c>
      <c r="T287" s="47">
        <v>285</v>
      </c>
    </row>
    <row r="288" spans="1:20" hidden="1">
      <c r="A288" s="48" t="s">
        <v>3016</v>
      </c>
      <c r="B288" s="280" t="str">
        <f>(IF((VLOOKUP(Table2[[#This Row],[SKU]],'All Skus'!$A:$AC,2,FALSE))="AMX",(VLOOKUP(Table2[[#This Row],[SKU]],'All Skus'!$A:$AC,3,FALSE)),""))</f>
        <v>Networked AV</v>
      </c>
      <c r="C288" s="280" t="str">
        <f>(IF((VLOOKUP(Table2[[#This Row],[SKU]],'All Skus'!$A:$AC,2,FALSE))="AMX",(VLOOKUP(Table2[[#This Row],[SKU]],'All Skus'!$A:$AC,4,FALSE)),""))</f>
        <v>NT-ST-701</v>
      </c>
      <c r="D288" s="47" t="str">
        <f>(IF((VLOOKUP(Table2[[#This Row],[SKU]],'All Skus'!$A:$AC,2,FALSE))="AMX",(VLOOKUP(Table2[[#This Row],[SKU]],'All Skus'!$A:$AC,5,FALSE)),""))</f>
        <v>AMX-NM</v>
      </c>
      <c r="E288" s="291" t="str">
        <f>(IF((VLOOKUP(Table2[[#This Row],[SKU]],'All Skus'!$A:$AC,2,FALSE))="AMX",(VLOOKUP(Table2[[#This Row],[SKU]],'All Skus'!$A:$AC,7,FALSE)),""))</f>
        <v>Limited Quantity - REDUCED</v>
      </c>
      <c r="F288" s="280" t="str">
        <f>(IF((VLOOKUP(Table2[[#This Row],[SKU]],'All Skus'!$A:$AC,2,FALSE))="AMX",(VLOOKUP(Table2[[#This Row],[SKU]],'All Skus'!$A:$AC,8,FALSE)),""))</f>
        <v>7" N-Touch Tabletop Touch Panel</v>
      </c>
      <c r="G288" s="280" t="str">
        <f>(IF((VLOOKUP(Table2[[#This Row],[SKU]],'All Skus'!$A:$AC,2,FALSE))="AMX",(VLOOKUP(Table2[[#This Row],[SKU]],'All Skus'!$A:$AC,9,FALSE)),""))</f>
        <v>7" N-Touch Tabletop Touch Panel, high-quality user interface and controller in a single unit enables control of SVSI devices</v>
      </c>
      <c r="H288" s="282">
        <f>(IF((VLOOKUP(Table2[[#This Row],[SKU]],'All Skus'!$A:$AC,2,FALSE))="AMX",(VLOOKUP(Table2[[#This Row],[SKU]],'All Skus'!$A:$AC,10,FALSE)),""))</f>
        <v>2280.9</v>
      </c>
      <c r="I288" s="282">
        <f>(IF((VLOOKUP(Table2[[#This Row],[SKU]],'All Skus'!$A:$AC,2,FALSE))="AMX",(VLOOKUP(Table2[[#This Row],[SKU]],'All Skus'!$A:$AC,11,FALSE)),""))</f>
        <v>518</v>
      </c>
      <c r="J288" s="47">
        <f>(IF((VLOOKUP(Table2[[#This Row],[SKU]],'All Skus'!$A:$AC,2,FALSE))="AMX",(VLOOKUP(Table2[[#This Row],[SKU]],'All Skus'!$A:$AC,15,FALSE)),""))</f>
        <v>0</v>
      </c>
      <c r="K288" s="47">
        <f>(IF((VLOOKUP(Table2[[#This Row],[SKU]],'All Skus'!$A:$AC,2,FALSE))="AMX",(VLOOKUP(Table2[[#This Row],[SKU]],'All Skus'!$A:$AC,16,FALSE)),""))</f>
        <v>718878025925</v>
      </c>
      <c r="L288" s="47">
        <f>(IF((VLOOKUP(Table2[[#This Row],[SKU]],'All Skus'!$A:$AC,2,FALSE))="AMX",(VLOOKUP(Table2[[#This Row],[SKU]],'All Skus'!$A:$AC,17,FALSE)),""))</f>
        <v>0</v>
      </c>
      <c r="M288" s="63">
        <f>(IF((VLOOKUP(Table2[[#This Row],[SKU]],'All Skus'!$A:$AC,2,FALSE))="AMX",(VLOOKUP(Table2[[#This Row],[SKU]],'All Skus'!$A:$AC,18,FALSE)),""))</f>
        <v>1</v>
      </c>
      <c r="N288" s="47">
        <f>(IF((VLOOKUP(Table2[[#This Row],[SKU]],'All Skus'!$A:$AC,2,FALSE))="AMX",(VLOOKUP(Table2[[#This Row],[SKU]],'All Skus'!$A:$AC,19,FALSE)),""))</f>
        <v>2.25</v>
      </c>
      <c r="O288" s="47">
        <f>(IF((VLOOKUP(Table2[[#This Row],[SKU]],'All Skus'!$A:$AC,2,FALSE))="AMX",(VLOOKUP(Table2[[#This Row],[SKU]],'All Skus'!$A:$AC,20,FALSE)),""))</f>
        <v>7.5</v>
      </c>
      <c r="P288" s="47">
        <f>(IF((VLOOKUP(Table2[[#This Row],[SKU]],'All Skus'!$A:$AC,2,FALSE))="AMX",(VLOOKUP(Table2[[#This Row],[SKU]],'All Skus'!$A:$AC,21,FALSE)),""))</f>
        <v>4.8</v>
      </c>
      <c r="Q288" s="47" t="str">
        <f>(IF((VLOOKUP(Table2[[#This Row],[SKU]],'All Skus'!$A:$AC,2,FALSE))="AMX",(VLOOKUP(Table2[[#This Row],[SKU]],'All Skus'!$A:$AC,22,FALSE)),""))</f>
        <v>MX</v>
      </c>
      <c r="R288" s="47" t="str">
        <f>(IF((VLOOKUP(Table2[[#This Row],[SKU]],'All Skus'!$A:$AC,2,FALSE))="AMX",(VLOOKUP(Table2[[#This Row],[SKU]],'All Skus'!$A:$AC,23,FALSE)),""))</f>
        <v>Compliant</v>
      </c>
      <c r="S288" s="279" t="str">
        <f>HYPERLINK((IF((VLOOKUP(Table2[[#This Row],[SKU]],'All Skus'!$A:$AC,2,FALSE))="AMX",(VLOOKUP(Table2[[#This Row],[SKU]],'All Skus'!$A:$AC,24,FALSE)),"")))</f>
        <v>https://www.amx.com/en-US/products/nt-st-701</v>
      </c>
      <c r="T288" s="47">
        <v>286</v>
      </c>
    </row>
    <row r="289" spans="1:20" hidden="1">
      <c r="A289" s="48" t="s">
        <v>797</v>
      </c>
      <c r="B289" s="280" t="str">
        <f>(IF((VLOOKUP(Table2[[#This Row],[SKU]],'All Skus'!$A:$AC,2,FALSE))="AMX",(VLOOKUP(Table2[[#This Row],[SKU]],'All Skus'!$A:$AC,3,FALSE)),""))</f>
        <v>Networked AV</v>
      </c>
      <c r="C289" s="280" t="str">
        <f>(IF((VLOOKUP(Table2[[#This Row],[SKU]],'All Skus'!$A:$AC,2,FALSE))="AMX",(VLOOKUP(Table2[[#This Row],[SKU]],'All Skus'!$A:$AC,4,FALSE)),""))</f>
        <v>NMX-ACC-N9101</v>
      </c>
      <c r="D289" s="47" t="str">
        <f>(IF((VLOOKUP(Table2[[#This Row],[SKU]],'All Skus'!$A:$AC,2,FALSE))="AMX",(VLOOKUP(Table2[[#This Row],[SKU]],'All Skus'!$A:$AC,5,FALSE)),""))</f>
        <v>AMX-NM</v>
      </c>
      <c r="E289" s="281">
        <f>(IF((VLOOKUP(Table2[[#This Row],[SKU]],'All Skus'!$A:$AC,2,FALSE))="AMX",(VLOOKUP(Table2[[#This Row],[SKU]],'All Skus'!$A:$AC,7,FALSE)),""))</f>
        <v>0</v>
      </c>
      <c r="F289" s="280" t="str">
        <f>(IF((VLOOKUP(Table2[[#This Row],[SKU]],'All Skus'!$A:$AC,2,FALSE))="AMX",(VLOOKUP(Table2[[#This Row],[SKU]],'All Skus'!$A:$AC,8,FALSE)),""))</f>
        <v>Mounting Wings for SVSI N-Series Encoders, Decoders and Audio Transceiver</v>
      </c>
      <c r="G289" s="280" t="str">
        <f>(IF((VLOOKUP(Table2[[#This Row],[SKU]],'All Skus'!$A:$AC,2,FALSE))="AMX",(VLOOKUP(Table2[[#This Row],[SKU]],'All Skus'!$A:$AC,9,FALSE)),""))</f>
        <v>Mounting wings for N-Series SVSI Encoders, Decoders and Audio Transceiver, designed for mounting to surface or wall</v>
      </c>
      <c r="H289" s="157">
        <f>(IF((VLOOKUP(Table2[[#This Row],[SKU]],'All Skus'!$A:$AC,2,FALSE))="AMX",(VLOOKUP(Table2[[#This Row],[SKU]],'All Skus'!$A:$AC,10,FALSE)),""))</f>
        <v>41.2</v>
      </c>
      <c r="I289" s="157">
        <f>(IF((VLOOKUP(Table2[[#This Row],[SKU]],'All Skus'!$A:$AC,2,FALSE))="AMX",(VLOOKUP(Table2[[#This Row],[SKU]],'All Skus'!$A:$AC,11,FALSE)),""))</f>
        <v>41.2</v>
      </c>
      <c r="J289" s="47">
        <f>(IF((VLOOKUP(Table2[[#This Row],[SKU]],'All Skus'!$A:$AC,2,FALSE))="AMX",(VLOOKUP(Table2[[#This Row],[SKU]],'All Skus'!$A:$AC,15,FALSE)),""))</f>
        <v>0</v>
      </c>
      <c r="K289" s="47">
        <f>(IF((VLOOKUP(Table2[[#This Row],[SKU]],'All Skus'!$A:$AC,2,FALSE))="AMX",(VLOOKUP(Table2[[#This Row],[SKU]],'All Skus'!$A:$AC,16,FALSE)),""))</f>
        <v>718878025932</v>
      </c>
      <c r="L289" s="47">
        <f>(IF((VLOOKUP(Table2[[#This Row],[SKU]],'All Skus'!$A:$AC,2,FALSE))="AMX",(VLOOKUP(Table2[[#This Row],[SKU]],'All Skus'!$A:$AC,17,FALSE)),""))</f>
        <v>0</v>
      </c>
      <c r="M289" s="63">
        <f>(IF((VLOOKUP(Table2[[#This Row],[SKU]],'All Skus'!$A:$AC,2,FALSE))="AMX",(VLOOKUP(Table2[[#This Row],[SKU]],'All Skus'!$A:$AC,18,FALSE)),""))</f>
        <v>0.15</v>
      </c>
      <c r="N289" s="47">
        <f>(IF((VLOOKUP(Table2[[#This Row],[SKU]],'All Skus'!$A:$AC,2,FALSE))="AMX",(VLOOKUP(Table2[[#This Row],[SKU]],'All Skus'!$A:$AC,19,FALSE)),""))</f>
        <v>0.5</v>
      </c>
      <c r="O289" s="47">
        <f>(IF((VLOOKUP(Table2[[#This Row],[SKU]],'All Skus'!$A:$AC,2,FALSE))="AMX",(VLOOKUP(Table2[[#This Row],[SKU]],'All Skus'!$A:$AC,20,FALSE)),""))</f>
        <v>3</v>
      </c>
      <c r="P289" s="47">
        <f>(IF((VLOOKUP(Table2[[#This Row],[SKU]],'All Skus'!$A:$AC,2,FALSE))="AMX",(VLOOKUP(Table2[[#This Row],[SKU]],'All Skus'!$A:$AC,21,FALSE)),""))</f>
        <v>0.5</v>
      </c>
      <c r="Q289" s="47" t="str">
        <f>(IF((VLOOKUP(Table2[[#This Row],[SKU]],'All Skus'!$A:$AC,2,FALSE))="AMX",(VLOOKUP(Table2[[#This Row],[SKU]],'All Skus'!$A:$AC,22,FALSE)),""))</f>
        <v>US</v>
      </c>
      <c r="R289" s="47" t="str">
        <f>(IF((VLOOKUP(Table2[[#This Row],[SKU]],'All Skus'!$A:$AC,2,FALSE))="AMX",(VLOOKUP(Table2[[#This Row],[SKU]],'All Skus'!$A:$AC,23,FALSE)),""))</f>
        <v>Compliant</v>
      </c>
      <c r="S289" s="210" t="str">
        <f>HYPERLINK((IF((VLOOKUP(Table2[[#This Row],[SKU]],'All Skus'!$A:$AC,2,FALSE))="AMX",(VLOOKUP(Table2[[#This Row],[SKU]],'All Skus'!$A:$AC,24,FALSE)),"")))</f>
        <v>https://www.amx.com/en-US/products/nmx-acc-n9101</v>
      </c>
      <c r="T289" s="151">
        <v>287</v>
      </c>
    </row>
    <row r="290" spans="1:20" hidden="1">
      <c r="A290" s="48" t="s">
        <v>798</v>
      </c>
      <c r="B290" s="280" t="str">
        <f>(IF((VLOOKUP(Table2[[#This Row],[SKU]],'All Skus'!$A:$AC,2,FALSE))="AMX",(VLOOKUP(Table2[[#This Row],[SKU]],'All Skus'!$A:$AC,3,FALSE)),""))</f>
        <v>Networked AV</v>
      </c>
      <c r="C290" s="280" t="str">
        <f>(IF((VLOOKUP(Table2[[#This Row],[SKU]],'All Skus'!$A:$AC,2,FALSE))="AMX",(VLOOKUP(Table2[[#This Row],[SKU]],'All Skus'!$A:$AC,4,FALSE)),""))</f>
        <v>NMX-ACC-N9102</v>
      </c>
      <c r="D290" s="47" t="str">
        <f>(IF((VLOOKUP(Table2[[#This Row],[SKU]],'All Skus'!$A:$AC,2,FALSE))="AMX",(VLOOKUP(Table2[[#This Row],[SKU]],'All Skus'!$A:$AC,5,FALSE)),""))</f>
        <v>AMX-NM</v>
      </c>
      <c r="E290" s="281">
        <f>(IF((VLOOKUP(Table2[[#This Row],[SKU]],'All Skus'!$A:$AC,2,FALSE))="AMX",(VLOOKUP(Table2[[#This Row],[SKU]],'All Skus'!$A:$AC,7,FALSE)),""))</f>
        <v>0</v>
      </c>
      <c r="F290" s="280" t="str">
        <f>(IF((VLOOKUP(Table2[[#This Row],[SKU]],'All Skus'!$A:$AC,2,FALSE))="AMX",(VLOOKUP(Table2[[#This Row],[SKU]],'All Skus'!$A:$AC,8,FALSE)),""))</f>
        <v>1RU Rack Shelf for Two Side-by-Side SVSI N-Series Encoders, Decoders and Audio Transceiver</v>
      </c>
      <c r="G290" s="280" t="str">
        <f>(IF((VLOOKUP(Table2[[#This Row],[SKU]],'All Skus'!$A:$AC,2,FALSE))="AMX",(VLOOKUP(Table2[[#This Row],[SKU]],'All Skus'!$A:$AC,9,FALSE)),""))</f>
        <v>1RU rack shelf for rack mounting two side-by-side SVSI N-Series Encoders, Decoders, and Audio Transceiver</v>
      </c>
      <c r="H290" s="157">
        <f>(IF((VLOOKUP(Table2[[#This Row],[SKU]],'All Skus'!$A:$AC,2,FALSE))="AMX",(VLOOKUP(Table2[[#This Row],[SKU]],'All Skus'!$A:$AC,10,FALSE)),""))</f>
        <v>274.39999999999998</v>
      </c>
      <c r="I290" s="157">
        <f>(IF((VLOOKUP(Table2[[#This Row],[SKU]],'All Skus'!$A:$AC,2,FALSE))="AMX",(VLOOKUP(Table2[[#This Row],[SKU]],'All Skus'!$A:$AC,11,FALSE)),""))</f>
        <v>274.39999999999998</v>
      </c>
      <c r="J290" s="47">
        <f>(IF((VLOOKUP(Table2[[#This Row],[SKU]],'All Skus'!$A:$AC,2,FALSE))="AMX",(VLOOKUP(Table2[[#This Row],[SKU]],'All Skus'!$A:$AC,15,FALSE)),""))</f>
        <v>0</v>
      </c>
      <c r="K290" s="47">
        <f>(IF((VLOOKUP(Table2[[#This Row],[SKU]],'All Skus'!$A:$AC,2,FALSE))="AMX",(VLOOKUP(Table2[[#This Row],[SKU]],'All Skus'!$A:$AC,16,FALSE)),""))</f>
        <v>718878025949</v>
      </c>
      <c r="L290" s="47">
        <f>(IF((VLOOKUP(Table2[[#This Row],[SKU]],'All Skus'!$A:$AC,2,FALSE))="AMX",(VLOOKUP(Table2[[#This Row],[SKU]],'All Skus'!$A:$AC,17,FALSE)),""))</f>
        <v>0</v>
      </c>
      <c r="M290" s="63">
        <f>(IF((VLOOKUP(Table2[[#This Row],[SKU]],'All Skus'!$A:$AC,2,FALSE))="AMX",(VLOOKUP(Table2[[#This Row],[SKU]],'All Skus'!$A:$AC,18,FALSE)),""))</f>
        <v>2</v>
      </c>
      <c r="N290" s="47">
        <f>(IF((VLOOKUP(Table2[[#This Row],[SKU]],'All Skus'!$A:$AC,2,FALSE))="AMX",(VLOOKUP(Table2[[#This Row],[SKU]],'All Skus'!$A:$AC,19,FALSE)),""))</f>
        <v>17</v>
      </c>
      <c r="O290" s="47">
        <f>(IF((VLOOKUP(Table2[[#This Row],[SKU]],'All Skus'!$A:$AC,2,FALSE))="AMX",(VLOOKUP(Table2[[#This Row],[SKU]],'All Skus'!$A:$AC,20,FALSE)),""))</f>
        <v>5</v>
      </c>
      <c r="P290" s="47">
        <f>(IF((VLOOKUP(Table2[[#This Row],[SKU]],'All Skus'!$A:$AC,2,FALSE))="AMX",(VLOOKUP(Table2[[#This Row],[SKU]],'All Skus'!$A:$AC,21,FALSE)),""))</f>
        <v>0.5</v>
      </c>
      <c r="Q290" s="47" t="str">
        <f>(IF((VLOOKUP(Table2[[#This Row],[SKU]],'All Skus'!$A:$AC,2,FALSE))="AMX",(VLOOKUP(Table2[[#This Row],[SKU]],'All Skus'!$A:$AC,22,FALSE)),""))</f>
        <v>US</v>
      </c>
      <c r="R290" s="47" t="str">
        <f>(IF((VLOOKUP(Table2[[#This Row],[SKU]],'All Skus'!$A:$AC,2,FALSE))="AMX",(VLOOKUP(Table2[[#This Row],[SKU]],'All Skus'!$A:$AC,23,FALSE)),""))</f>
        <v>Compliant</v>
      </c>
      <c r="S290" s="210" t="str">
        <f>HYPERLINK((IF((VLOOKUP(Table2[[#This Row],[SKU]],'All Skus'!$A:$AC,2,FALSE))="AMX",(VLOOKUP(Table2[[#This Row],[SKU]],'All Skus'!$A:$AC,24,FALSE)),"")))</f>
        <v>https://www.amx.com/en-US/products/nmx-acc-n9102</v>
      </c>
      <c r="T290" s="151">
        <v>288</v>
      </c>
    </row>
    <row r="291" spans="1:20" hidden="1">
      <c r="A291" s="48" t="s">
        <v>799</v>
      </c>
      <c r="B291" s="280" t="str">
        <f>(IF((VLOOKUP(Table2[[#This Row],[SKU]],'All Skus'!$A:$AC,2,FALSE))="AMX",(VLOOKUP(Table2[[#This Row],[SKU]],'All Skus'!$A:$AC,3,FALSE)),""))</f>
        <v>Networked AV</v>
      </c>
      <c r="C291" s="280" t="str">
        <f>(IF((VLOOKUP(Table2[[#This Row],[SKU]],'All Skus'!$A:$AC,2,FALSE))="AMX",(VLOOKUP(Table2[[#This Row],[SKU]],'All Skus'!$A:$AC,4,FALSE)),""))</f>
        <v>NMX-ACC-N9206</v>
      </c>
      <c r="D291" s="47" t="str">
        <f>(IF((VLOOKUP(Table2[[#This Row],[SKU]],'All Skus'!$A:$AC,2,FALSE))="AMX",(VLOOKUP(Table2[[#This Row],[SKU]],'All Skus'!$A:$AC,5,FALSE)),""))</f>
        <v>AMX-NM</v>
      </c>
      <c r="E291" s="281">
        <f>(IF((VLOOKUP(Table2[[#This Row],[SKU]],'All Skus'!$A:$AC,2,FALSE))="AMX",(VLOOKUP(Table2[[#This Row],[SKU]],'All Skus'!$A:$AC,7,FALSE)),""))</f>
        <v>0</v>
      </c>
      <c r="F291" s="280" t="str">
        <f>(IF((VLOOKUP(Table2[[#This Row],[SKU]],'All Skus'!$A:$AC,2,FALSE))="AMX",(VLOOKUP(Table2[[#This Row],[SKU]],'All Skus'!$A:$AC,8,FALSE)),""))</f>
        <v>2RU Rack Mount Cage with Power for Six SVSI N-Series Card Units</v>
      </c>
      <c r="G291" s="280" t="str">
        <f>(IF((VLOOKUP(Table2[[#This Row],[SKU]],'All Skus'!$A:$AC,2,FALSE))="AMX",(VLOOKUP(Table2[[#This Row],[SKU]],'All Skus'!$A:$AC,9,FALSE)),""))</f>
        <v>2RU rack mount cage for rack mounting up to six SVSI N-Series Encoder, Decoder, and Audio Transceiver Cards, includes power supply</v>
      </c>
      <c r="H291" s="157">
        <f>(IF((VLOOKUP(Table2[[#This Row],[SKU]],'All Skus'!$A:$AC,2,FALSE))="AMX",(VLOOKUP(Table2[[#This Row],[SKU]],'All Skus'!$A:$AC,10,FALSE)),""))</f>
        <v>1596.5</v>
      </c>
      <c r="I291" s="157">
        <f>(IF((VLOOKUP(Table2[[#This Row],[SKU]],'All Skus'!$A:$AC,2,FALSE))="AMX",(VLOOKUP(Table2[[#This Row],[SKU]],'All Skus'!$A:$AC,11,FALSE)),""))</f>
        <v>1596.5</v>
      </c>
      <c r="J291" s="47">
        <f>(IF((VLOOKUP(Table2[[#This Row],[SKU]],'All Skus'!$A:$AC,2,FALSE))="AMX",(VLOOKUP(Table2[[#This Row],[SKU]],'All Skus'!$A:$AC,15,FALSE)),""))</f>
        <v>0</v>
      </c>
      <c r="K291" s="47">
        <f>(IF((VLOOKUP(Table2[[#This Row],[SKU]],'All Skus'!$A:$AC,2,FALSE))="AMX",(VLOOKUP(Table2[[#This Row],[SKU]],'All Skus'!$A:$AC,16,FALSE)),""))</f>
        <v>718878025956</v>
      </c>
      <c r="L291" s="47">
        <f>(IF((VLOOKUP(Table2[[#This Row],[SKU]],'All Skus'!$A:$AC,2,FALSE))="AMX",(VLOOKUP(Table2[[#This Row],[SKU]],'All Skus'!$A:$AC,17,FALSE)),""))</f>
        <v>0</v>
      </c>
      <c r="M291" s="63">
        <f>(IF((VLOOKUP(Table2[[#This Row],[SKU]],'All Skus'!$A:$AC,2,FALSE))="AMX",(VLOOKUP(Table2[[#This Row],[SKU]],'All Skus'!$A:$AC,18,FALSE)),""))</f>
        <v>9</v>
      </c>
      <c r="N291" s="47">
        <f>(IF((VLOOKUP(Table2[[#This Row],[SKU]],'All Skus'!$A:$AC,2,FALSE))="AMX",(VLOOKUP(Table2[[#This Row],[SKU]],'All Skus'!$A:$AC,19,FALSE)),""))</f>
        <v>20</v>
      </c>
      <c r="O291" s="47">
        <f>(IF((VLOOKUP(Table2[[#This Row],[SKU]],'All Skus'!$A:$AC,2,FALSE))="AMX",(VLOOKUP(Table2[[#This Row],[SKU]],'All Skus'!$A:$AC,20,FALSE)),""))</f>
        <v>6.5</v>
      </c>
      <c r="P291" s="47">
        <f>(IF((VLOOKUP(Table2[[#This Row],[SKU]],'All Skus'!$A:$AC,2,FALSE))="AMX",(VLOOKUP(Table2[[#This Row],[SKU]],'All Skus'!$A:$AC,21,FALSE)),""))</f>
        <v>6.5</v>
      </c>
      <c r="Q291" s="47" t="str">
        <f>(IF((VLOOKUP(Table2[[#This Row],[SKU]],'All Skus'!$A:$AC,2,FALSE))="AMX",(VLOOKUP(Table2[[#This Row],[SKU]],'All Skus'!$A:$AC,22,FALSE)),""))</f>
        <v>US</v>
      </c>
      <c r="R291" s="47" t="str">
        <f>(IF((VLOOKUP(Table2[[#This Row],[SKU]],'All Skus'!$A:$AC,2,FALSE))="AMX",(VLOOKUP(Table2[[#This Row],[SKU]],'All Skus'!$A:$AC,23,FALSE)),""))</f>
        <v>Compliant</v>
      </c>
      <c r="S291" s="210" t="str">
        <f>HYPERLINK((IF((VLOOKUP(Table2[[#This Row],[SKU]],'All Skus'!$A:$AC,2,FALSE))="AMX",(VLOOKUP(Table2[[#This Row],[SKU]],'All Skus'!$A:$AC,24,FALSE)),"")))</f>
        <v>https://www.amx.com/en-US/products/nmx-acc-n9206</v>
      </c>
      <c r="T291" s="151">
        <v>289</v>
      </c>
    </row>
    <row r="292" spans="1:20" hidden="1">
      <c r="A292" s="48" t="s">
        <v>800</v>
      </c>
      <c r="B292" s="280" t="str">
        <f>(IF((VLOOKUP(Table2[[#This Row],[SKU]],'All Skus'!$A:$AC,2,FALSE))="AMX",(VLOOKUP(Table2[[#This Row],[SKU]],'All Skus'!$A:$AC,3,FALSE)),""))</f>
        <v>Networked AV</v>
      </c>
      <c r="C292" s="280" t="str">
        <f>(IF((VLOOKUP(Table2[[#This Row],[SKU]],'All Skus'!$A:$AC,2,FALSE))="AMX",(VLOOKUP(Table2[[#This Row],[SKU]],'All Skus'!$A:$AC,4,FALSE)),""))</f>
        <v>NMX-ACC-N9210</v>
      </c>
      <c r="D292" s="47" t="str">
        <f>(IF((VLOOKUP(Table2[[#This Row],[SKU]],'All Skus'!$A:$AC,2,FALSE))="AMX",(VLOOKUP(Table2[[#This Row],[SKU]],'All Skus'!$A:$AC,5,FALSE)),""))</f>
        <v>AMX-NM</v>
      </c>
      <c r="E292" s="281">
        <f>(IF((VLOOKUP(Table2[[#This Row],[SKU]],'All Skus'!$A:$AC,2,FALSE))="AMX",(VLOOKUP(Table2[[#This Row],[SKU]],'All Skus'!$A:$AC,7,FALSE)),""))</f>
        <v>0</v>
      </c>
      <c r="F292" s="280" t="str">
        <f>(IF((VLOOKUP(Table2[[#This Row],[SKU]],'All Skus'!$A:$AC,2,FALSE))="AMX",(VLOOKUP(Table2[[#This Row],[SKU]],'All Skus'!$A:$AC,8,FALSE)),""))</f>
        <v>Blank cover for card slot on N9206</v>
      </c>
      <c r="G292" s="280" t="str">
        <f>(IF((VLOOKUP(Table2[[#This Row],[SKU]],'All Skus'!$A:$AC,2,FALSE))="AMX",(VLOOKUP(Table2[[#This Row],[SKU]],'All Skus'!$A:$AC,9,FALSE)),""))</f>
        <v>Plate for the N9206 to cover unpopulated slots in the frame.</v>
      </c>
      <c r="H292" s="157">
        <f>(IF((VLOOKUP(Table2[[#This Row],[SKU]],'All Skus'!$A:$AC,2,FALSE))="AMX",(VLOOKUP(Table2[[#This Row],[SKU]],'All Skus'!$A:$AC,10,FALSE)),""))</f>
        <v>20</v>
      </c>
      <c r="I292" s="157">
        <f>(IF((VLOOKUP(Table2[[#This Row],[SKU]],'All Skus'!$A:$AC,2,FALSE))="AMX",(VLOOKUP(Table2[[#This Row],[SKU]],'All Skus'!$A:$AC,11,FALSE)),""))</f>
        <v>20</v>
      </c>
      <c r="J292" s="47">
        <f>(IF((VLOOKUP(Table2[[#This Row],[SKU]],'All Skus'!$A:$AC,2,FALSE))="AMX",(VLOOKUP(Table2[[#This Row],[SKU]],'All Skus'!$A:$AC,15,FALSE)),""))</f>
        <v>0</v>
      </c>
      <c r="K292" s="47">
        <f>(IF((VLOOKUP(Table2[[#This Row],[SKU]],'All Skus'!$A:$AC,2,FALSE))="AMX",(VLOOKUP(Table2[[#This Row],[SKU]],'All Skus'!$A:$AC,16,FALSE)),""))</f>
        <v>718878033784</v>
      </c>
      <c r="L292" s="47">
        <f>(IF((VLOOKUP(Table2[[#This Row],[SKU]],'All Skus'!$A:$AC,2,FALSE))="AMX",(VLOOKUP(Table2[[#This Row],[SKU]],'All Skus'!$A:$AC,17,FALSE)),""))</f>
        <v>0</v>
      </c>
      <c r="M292" s="63">
        <f>(IF((VLOOKUP(Table2[[#This Row],[SKU]],'All Skus'!$A:$AC,2,FALSE))="AMX",(VLOOKUP(Table2[[#This Row],[SKU]],'All Skus'!$A:$AC,18,FALSE)),""))</f>
        <v>0.5</v>
      </c>
      <c r="N292" s="47">
        <f>(IF((VLOOKUP(Table2[[#This Row],[SKU]],'All Skus'!$A:$AC,2,FALSE))="AMX",(VLOOKUP(Table2[[#This Row],[SKU]],'All Skus'!$A:$AC,19,FALSE)),""))</f>
        <v>8.4</v>
      </c>
      <c r="O292" s="47">
        <f>(IF((VLOOKUP(Table2[[#This Row],[SKU]],'All Skus'!$A:$AC,2,FALSE))="AMX",(VLOOKUP(Table2[[#This Row],[SKU]],'All Skus'!$A:$AC,20,FALSE)),""))</f>
        <v>0.81</v>
      </c>
      <c r="P292" s="47">
        <f>(IF((VLOOKUP(Table2[[#This Row],[SKU]],'All Skus'!$A:$AC,2,FALSE))="AMX",(VLOOKUP(Table2[[#This Row],[SKU]],'All Skus'!$A:$AC,21,FALSE)),""))</f>
        <v>0.71</v>
      </c>
      <c r="Q292" s="47" t="str">
        <f>(IF((VLOOKUP(Table2[[#This Row],[SKU]],'All Skus'!$A:$AC,2,FALSE))="AMX",(VLOOKUP(Table2[[#This Row],[SKU]],'All Skus'!$A:$AC,22,FALSE)),""))</f>
        <v>US</v>
      </c>
      <c r="R292" s="47" t="str">
        <f>(IF((VLOOKUP(Table2[[#This Row],[SKU]],'All Skus'!$A:$AC,2,FALSE))="AMX",(VLOOKUP(Table2[[#This Row],[SKU]],'All Skus'!$A:$AC,23,FALSE)),""))</f>
        <v>Compliant</v>
      </c>
      <c r="S292" s="210" t="str">
        <f>HYPERLINK((IF((VLOOKUP(Table2[[#This Row],[SKU]],'All Skus'!$A:$AC,2,FALSE))="AMX",(VLOOKUP(Table2[[#This Row],[SKU]],'All Skus'!$A:$AC,24,FALSE)),"")))</f>
        <v>0</v>
      </c>
      <c r="T292" s="151">
        <v>290</v>
      </c>
    </row>
    <row r="293" spans="1:20" hidden="1">
      <c r="A293" s="48" t="s">
        <v>801</v>
      </c>
      <c r="B293" s="280" t="str">
        <f>(IF((VLOOKUP(Table2[[#This Row],[SKU]],'All Skus'!$A:$AC,2,FALSE))="AMX",(VLOOKUP(Table2[[#This Row],[SKU]],'All Skus'!$A:$AC,3,FALSE)),""))</f>
        <v>Networked AV</v>
      </c>
      <c r="C293" s="280" t="str">
        <f>(IF((VLOOKUP(Table2[[#This Row],[SKU]],'All Skus'!$A:$AC,2,FALSE))="AMX",(VLOOKUP(Table2[[#This Row],[SKU]],'All Skus'!$A:$AC,4,FALSE)),""))</f>
        <v>NMX-ACC-N9312</v>
      </c>
      <c r="D293" s="47" t="str">
        <f>(IF((VLOOKUP(Table2[[#This Row],[SKU]],'All Skus'!$A:$AC,2,FALSE))="AMX",(VLOOKUP(Table2[[#This Row],[SKU]],'All Skus'!$A:$AC,5,FALSE)),""))</f>
        <v>AMX-NM</v>
      </c>
      <c r="E293" s="281">
        <f>(IF((VLOOKUP(Table2[[#This Row],[SKU]],'All Skus'!$A:$AC,2,FALSE))="AMX",(VLOOKUP(Table2[[#This Row],[SKU]],'All Skus'!$A:$AC,7,FALSE)),""))</f>
        <v>0</v>
      </c>
      <c r="F293" s="280" t="str">
        <f>(IF((VLOOKUP(Table2[[#This Row],[SKU]],'All Skus'!$A:$AC,2,FALSE))="AMX",(VLOOKUP(Table2[[#This Row],[SKU]],'All Skus'!$A:$AC,8,FALSE)),""))</f>
        <v>Power Supply 12V 2A External</v>
      </c>
      <c r="G293" s="280" t="str">
        <f>(IF((VLOOKUP(Table2[[#This Row],[SKU]],'All Skus'!$A:$AC,2,FALSE))="AMX",(VLOOKUP(Table2[[#This Row],[SKU]],'All Skus'!$A:$AC,9,FALSE)),""))</f>
        <v>12V 2A external wall-wart supply with 2-pin Phoenix connector for SVSI N-Series Encoders, Decoders, and Audio Transceiver</v>
      </c>
      <c r="H293" s="157">
        <f>(IF((VLOOKUP(Table2[[#This Row],[SKU]],'All Skus'!$A:$AC,2,FALSE))="AMX",(VLOOKUP(Table2[[#This Row],[SKU]],'All Skus'!$A:$AC,10,FALSE)),""))</f>
        <v>114.3</v>
      </c>
      <c r="I293" s="157">
        <f>(IF((VLOOKUP(Table2[[#This Row],[SKU]],'All Skus'!$A:$AC,2,FALSE))="AMX",(VLOOKUP(Table2[[#This Row],[SKU]],'All Skus'!$A:$AC,11,FALSE)),""))</f>
        <v>114.3</v>
      </c>
      <c r="J293" s="47">
        <f>(IF((VLOOKUP(Table2[[#This Row],[SKU]],'All Skus'!$A:$AC,2,FALSE))="AMX",(VLOOKUP(Table2[[#This Row],[SKU]],'All Skus'!$A:$AC,15,FALSE)),""))</f>
        <v>0</v>
      </c>
      <c r="K293" s="47">
        <f>(IF((VLOOKUP(Table2[[#This Row],[SKU]],'All Skus'!$A:$AC,2,FALSE))="AMX",(VLOOKUP(Table2[[#This Row],[SKU]],'All Skus'!$A:$AC,16,FALSE)),""))</f>
        <v>718878025963</v>
      </c>
      <c r="L293" s="47">
        <f>(IF((VLOOKUP(Table2[[#This Row],[SKU]],'All Skus'!$A:$AC,2,FALSE))="AMX",(VLOOKUP(Table2[[#This Row],[SKU]],'All Skus'!$A:$AC,17,FALSE)),""))</f>
        <v>0</v>
      </c>
      <c r="M293" s="63">
        <f>(IF((VLOOKUP(Table2[[#This Row],[SKU]],'All Skus'!$A:$AC,2,FALSE))="AMX",(VLOOKUP(Table2[[#This Row],[SKU]],'All Skus'!$A:$AC,18,FALSE)),""))</f>
        <v>1</v>
      </c>
      <c r="N293" s="47">
        <f>(IF((VLOOKUP(Table2[[#This Row],[SKU]],'All Skus'!$A:$AC,2,FALSE))="AMX",(VLOOKUP(Table2[[#This Row],[SKU]],'All Skus'!$A:$AC,19,FALSE)),""))</f>
        <v>6</v>
      </c>
      <c r="O293" s="47">
        <f>(IF((VLOOKUP(Table2[[#This Row],[SKU]],'All Skus'!$A:$AC,2,FALSE))="AMX",(VLOOKUP(Table2[[#This Row],[SKU]],'All Skus'!$A:$AC,20,FALSE)),""))</f>
        <v>4.5</v>
      </c>
      <c r="P293" s="47">
        <f>(IF((VLOOKUP(Table2[[#This Row],[SKU]],'All Skus'!$A:$AC,2,FALSE))="AMX",(VLOOKUP(Table2[[#This Row],[SKU]],'All Skus'!$A:$AC,21,FALSE)),""))</f>
        <v>2.5</v>
      </c>
      <c r="Q293" s="47" t="str">
        <f>(IF((VLOOKUP(Table2[[#This Row],[SKU]],'All Skus'!$A:$AC,2,FALSE))="AMX",(VLOOKUP(Table2[[#This Row],[SKU]],'All Skus'!$A:$AC,22,FALSE)),""))</f>
        <v>US</v>
      </c>
      <c r="R293" s="47" t="str">
        <f>(IF((VLOOKUP(Table2[[#This Row],[SKU]],'All Skus'!$A:$AC,2,FALSE))="AMX",(VLOOKUP(Table2[[#This Row],[SKU]],'All Skus'!$A:$AC,23,FALSE)),""))</f>
        <v>Compliant</v>
      </c>
      <c r="S293" s="210" t="str">
        <f>HYPERLINK((IF((VLOOKUP(Table2[[#This Row],[SKU]],'All Skus'!$A:$AC,2,FALSE))="AMX",(VLOOKUP(Table2[[#This Row],[SKU]],'All Skus'!$A:$AC,24,FALSE)),"")))</f>
        <v>https://www.amx.com/en-US/products/nmx-acc-n9312</v>
      </c>
      <c r="T293" s="151">
        <v>291</v>
      </c>
    </row>
    <row r="294" spans="1:20" hidden="1">
      <c r="A294" s="48" t="s">
        <v>802</v>
      </c>
      <c r="B294" s="280" t="str">
        <f>(IF((VLOOKUP(Table2[[#This Row],[SKU]],'All Skus'!$A:$AC,2,FALSE))="AMX",(VLOOKUP(Table2[[#This Row],[SKU]],'All Skus'!$A:$AC,3,FALSE)),""))</f>
        <v>Networked AV</v>
      </c>
      <c r="C294" s="280" t="str">
        <f>(IF((VLOOKUP(Table2[[#This Row],[SKU]],'All Skus'!$A:$AC,2,FALSE))="AMX",(VLOOKUP(Table2[[#This Row],[SKU]],'All Skus'!$A:$AC,4,FALSE)),""))</f>
        <v>NMX-ACC-N9313</v>
      </c>
      <c r="D294" s="47" t="str">
        <f>(IF((VLOOKUP(Table2[[#This Row],[SKU]],'All Skus'!$A:$AC,2,FALSE))="AMX",(VLOOKUP(Table2[[#This Row],[SKU]],'All Skus'!$A:$AC,5,FALSE)),""))</f>
        <v>AMX-NM</v>
      </c>
      <c r="E294" s="281">
        <f>(IF((VLOOKUP(Table2[[#This Row],[SKU]],'All Skus'!$A:$AC,2,FALSE))="AMX",(VLOOKUP(Table2[[#This Row],[SKU]],'All Skus'!$A:$AC,7,FALSE)),""))</f>
        <v>0</v>
      </c>
      <c r="F294" s="280" t="str">
        <f>(IF((VLOOKUP(Table2[[#This Row],[SKU]],'All Skus'!$A:$AC,2,FALSE))="AMX",(VLOOKUP(Table2[[#This Row],[SKU]],'All Skus'!$A:$AC,8,FALSE)),""))</f>
        <v>Power Supply 12V 3A External</v>
      </c>
      <c r="G294" s="280" t="str">
        <f>(IF((VLOOKUP(Table2[[#This Row],[SKU]],'All Skus'!$A:$AC,2,FALSE))="AMX",(VLOOKUP(Table2[[#This Row],[SKU]],'All Skus'!$A:$AC,9,FALSE)),""))</f>
        <v>12V 3A external wall-wart supply with 2-pin Phoenix connector for SVSI N-Series Encoders, Decoders, and Audio Transceiver</v>
      </c>
      <c r="H294" s="157">
        <f>(IF((VLOOKUP(Table2[[#This Row],[SKU]],'All Skus'!$A:$AC,2,FALSE))="AMX",(VLOOKUP(Table2[[#This Row],[SKU]],'All Skus'!$A:$AC,10,FALSE)),""))</f>
        <v>114.3</v>
      </c>
      <c r="I294" s="157">
        <f>(IF((VLOOKUP(Table2[[#This Row],[SKU]],'All Skus'!$A:$AC,2,FALSE))="AMX",(VLOOKUP(Table2[[#This Row],[SKU]],'All Skus'!$A:$AC,11,FALSE)),""))</f>
        <v>114.3</v>
      </c>
      <c r="J294" s="47">
        <f>(IF((VLOOKUP(Table2[[#This Row],[SKU]],'All Skus'!$A:$AC,2,FALSE))="AMX",(VLOOKUP(Table2[[#This Row],[SKU]],'All Skus'!$A:$AC,15,FALSE)),""))</f>
        <v>0</v>
      </c>
      <c r="K294" s="47">
        <f>(IF((VLOOKUP(Table2[[#This Row],[SKU]],'All Skus'!$A:$AC,2,FALSE))="AMX",(VLOOKUP(Table2[[#This Row],[SKU]],'All Skus'!$A:$AC,16,FALSE)),""))</f>
        <v>718878034491</v>
      </c>
      <c r="L294" s="47">
        <f>(IF((VLOOKUP(Table2[[#This Row],[SKU]],'All Skus'!$A:$AC,2,FALSE))="AMX",(VLOOKUP(Table2[[#This Row],[SKU]],'All Skus'!$A:$AC,17,FALSE)),""))</f>
        <v>0</v>
      </c>
      <c r="M294" s="63">
        <f>(IF((VLOOKUP(Table2[[#This Row],[SKU]],'All Skus'!$A:$AC,2,FALSE))="AMX",(VLOOKUP(Table2[[#This Row],[SKU]],'All Skus'!$A:$AC,18,FALSE)),""))</f>
        <v>1</v>
      </c>
      <c r="N294" s="47">
        <f>(IF((VLOOKUP(Table2[[#This Row],[SKU]],'All Skus'!$A:$AC,2,FALSE))="AMX",(VLOOKUP(Table2[[#This Row],[SKU]],'All Skus'!$A:$AC,19,FALSE)),""))</f>
        <v>3.1</v>
      </c>
      <c r="O294" s="47">
        <f>(IF((VLOOKUP(Table2[[#This Row],[SKU]],'All Skus'!$A:$AC,2,FALSE))="AMX",(VLOOKUP(Table2[[#This Row],[SKU]],'All Skus'!$A:$AC,20,FALSE)),""))</f>
        <v>2.6</v>
      </c>
      <c r="P294" s="47">
        <f>(IF((VLOOKUP(Table2[[#This Row],[SKU]],'All Skus'!$A:$AC,2,FALSE))="AMX",(VLOOKUP(Table2[[#This Row],[SKU]],'All Skus'!$A:$AC,21,FALSE)),""))</f>
        <v>1.4</v>
      </c>
      <c r="Q294" s="47" t="str">
        <f>(IF((VLOOKUP(Table2[[#This Row],[SKU]],'All Skus'!$A:$AC,2,FALSE))="AMX",(VLOOKUP(Table2[[#This Row],[SKU]],'All Skus'!$A:$AC,22,FALSE)),""))</f>
        <v>TW</v>
      </c>
      <c r="R294" s="47" t="str">
        <f>(IF((VLOOKUP(Table2[[#This Row],[SKU]],'All Skus'!$A:$AC,2,FALSE))="AMX",(VLOOKUP(Table2[[#This Row],[SKU]],'All Skus'!$A:$AC,23,FALSE)),""))</f>
        <v>Compliant</v>
      </c>
      <c r="S294" s="210" t="str">
        <f>HYPERLINK((IF((VLOOKUP(Table2[[#This Row],[SKU]],'All Skus'!$A:$AC,2,FALSE))="AMX",(VLOOKUP(Table2[[#This Row],[SKU]],'All Skus'!$A:$AC,24,FALSE)),"")))</f>
        <v>0</v>
      </c>
      <c r="T294" s="151">
        <v>292</v>
      </c>
    </row>
    <row r="295" spans="1:20" hidden="1">
      <c r="A295" s="48" t="s">
        <v>803</v>
      </c>
      <c r="B295" s="280" t="str">
        <f>(IF((VLOOKUP(Table2[[#This Row],[SKU]],'All Skus'!$A:$AC,2,FALSE))="AMX",(VLOOKUP(Table2[[#This Row],[SKU]],'All Skus'!$A:$AC,3,FALSE)),""))</f>
        <v>Networked AV</v>
      </c>
      <c r="C295" s="280" t="str">
        <f>(IF((VLOOKUP(Table2[[#This Row],[SKU]],'All Skus'!$A:$AC,2,FALSE))="AMX",(VLOOKUP(Table2[[#This Row],[SKU]],'All Skus'!$A:$AC,4,FALSE)),""))</f>
        <v>NMX-ACC-N9430</v>
      </c>
      <c r="D295" s="47" t="str">
        <f>(IF((VLOOKUP(Table2[[#This Row],[SKU]],'All Skus'!$A:$AC,2,FALSE))="AMX",(VLOOKUP(Table2[[#This Row],[SKU]],'All Skus'!$A:$AC,5,FALSE)),""))</f>
        <v>AMX-NM</v>
      </c>
      <c r="E295" s="281">
        <f>(IF((VLOOKUP(Table2[[#This Row],[SKU]],'All Skus'!$A:$AC,2,FALSE))="AMX",(VLOOKUP(Table2[[#This Row],[SKU]],'All Skus'!$A:$AC,7,FALSE)),""))</f>
        <v>0</v>
      </c>
      <c r="F295" s="280" t="str">
        <f>(IF((VLOOKUP(Table2[[#This Row],[SKU]],'All Skus'!$A:$AC,2,FALSE))="AMX",(VLOOKUP(Table2[[#This Row],[SKU]],'All Skus'!$A:$AC,8,FALSE)),""))</f>
        <v>IR Receiver Cable</v>
      </c>
      <c r="G295" s="280" t="str">
        <f>(IF((VLOOKUP(Table2[[#This Row],[SKU]],'All Skus'!$A:$AC,2,FALSE))="AMX",(VLOOKUP(Table2[[#This Row],[SKU]],'All Skus'!$A:$AC,9,FALSE)),""))</f>
        <v xml:space="preserve"> 3-Pin IR Rx cable</v>
      </c>
      <c r="H295" s="157">
        <f>(IF((VLOOKUP(Table2[[#This Row],[SKU]],'All Skus'!$A:$AC,2,FALSE))="AMX",(VLOOKUP(Table2[[#This Row],[SKU]],'All Skus'!$A:$AC,10,FALSE)),""))</f>
        <v>16</v>
      </c>
      <c r="I295" s="157">
        <f>(IF((VLOOKUP(Table2[[#This Row],[SKU]],'All Skus'!$A:$AC,2,FALSE))="AMX",(VLOOKUP(Table2[[#This Row],[SKU]],'All Skus'!$A:$AC,11,FALSE)),""))</f>
        <v>16</v>
      </c>
      <c r="J295" s="47">
        <f>(IF((VLOOKUP(Table2[[#This Row],[SKU]],'All Skus'!$A:$AC,2,FALSE))="AMX",(VLOOKUP(Table2[[#This Row],[SKU]],'All Skus'!$A:$AC,15,FALSE)),""))</f>
        <v>0</v>
      </c>
      <c r="K295" s="47">
        <f>(IF((VLOOKUP(Table2[[#This Row],[SKU]],'All Skus'!$A:$AC,2,FALSE))="AMX",(VLOOKUP(Table2[[#This Row],[SKU]],'All Skus'!$A:$AC,16,FALSE)),""))</f>
        <v>718878034484</v>
      </c>
      <c r="L295" s="47">
        <f>(IF((VLOOKUP(Table2[[#This Row],[SKU]],'All Skus'!$A:$AC,2,FALSE))="AMX",(VLOOKUP(Table2[[#This Row],[SKU]],'All Skus'!$A:$AC,17,FALSE)),""))</f>
        <v>0</v>
      </c>
      <c r="M295" s="63">
        <f>(IF((VLOOKUP(Table2[[#This Row],[SKU]],'All Skus'!$A:$AC,2,FALSE))="AMX",(VLOOKUP(Table2[[#This Row],[SKU]],'All Skus'!$A:$AC,18,FALSE)),""))</f>
        <v>0.25</v>
      </c>
      <c r="N295" s="47">
        <f>(IF((VLOOKUP(Table2[[#This Row],[SKU]],'All Skus'!$A:$AC,2,FALSE))="AMX",(VLOOKUP(Table2[[#This Row],[SKU]],'All Skus'!$A:$AC,19,FALSE)),""))</f>
        <v>0</v>
      </c>
      <c r="O295" s="47">
        <f>(IF((VLOOKUP(Table2[[#This Row],[SKU]],'All Skus'!$A:$AC,2,FALSE))="AMX",(VLOOKUP(Table2[[#This Row],[SKU]],'All Skus'!$A:$AC,20,FALSE)),""))</f>
        <v>0</v>
      </c>
      <c r="P295" s="47">
        <f>(IF((VLOOKUP(Table2[[#This Row],[SKU]],'All Skus'!$A:$AC,2,FALSE))="AMX",(VLOOKUP(Table2[[#This Row],[SKU]],'All Skus'!$A:$AC,21,FALSE)),""))</f>
        <v>0</v>
      </c>
      <c r="Q295" s="47" t="str">
        <f>(IF((VLOOKUP(Table2[[#This Row],[SKU]],'All Skus'!$A:$AC,2,FALSE))="AMX",(VLOOKUP(Table2[[#This Row],[SKU]],'All Skus'!$A:$AC,22,FALSE)),""))</f>
        <v>TW</v>
      </c>
      <c r="R295" s="47" t="str">
        <f>(IF((VLOOKUP(Table2[[#This Row],[SKU]],'All Skus'!$A:$AC,2,FALSE))="AMX",(VLOOKUP(Table2[[#This Row],[SKU]],'All Skus'!$A:$AC,23,FALSE)),""))</f>
        <v>Compliant</v>
      </c>
      <c r="S295" s="210" t="str">
        <f>HYPERLINK((IF((VLOOKUP(Table2[[#This Row],[SKU]],'All Skus'!$A:$AC,2,FALSE))="AMX",(VLOOKUP(Table2[[#This Row],[SKU]],'All Skus'!$A:$AC,24,FALSE)),"")))</f>
        <v>0</v>
      </c>
      <c r="T295" s="151">
        <v>293</v>
      </c>
    </row>
    <row r="296" spans="1:20" hidden="1">
      <c r="A296" s="48" t="s">
        <v>804</v>
      </c>
      <c r="B296" s="280" t="str">
        <f>(IF((VLOOKUP(Table2[[#This Row],[SKU]],'All Skus'!$A:$AC,2,FALSE))="AMX",(VLOOKUP(Table2[[#This Row],[SKU]],'All Skus'!$A:$AC,3,FALSE)),""))</f>
        <v>Networked AV</v>
      </c>
      <c r="C296" s="280" t="str">
        <f>(IF((VLOOKUP(Table2[[#This Row],[SKU]],'All Skus'!$A:$AC,2,FALSE))="AMX",(VLOOKUP(Table2[[#This Row],[SKU]],'All Skus'!$A:$AC,4,FALSE)),""))</f>
        <v>NMX-SFP-SM,</v>
      </c>
      <c r="D296" s="47" t="str">
        <f>(IF((VLOOKUP(Table2[[#This Row],[SKU]],'All Skus'!$A:$AC,2,FALSE))="AMX",(VLOOKUP(Table2[[#This Row],[SKU]],'All Skus'!$A:$AC,5,FALSE)),""))</f>
        <v>AMX-NM</v>
      </c>
      <c r="E296" s="281">
        <f>(IF((VLOOKUP(Table2[[#This Row],[SKU]],'All Skus'!$A:$AC,2,FALSE))="AMX",(VLOOKUP(Table2[[#This Row],[SKU]],'All Skus'!$A:$AC,7,FALSE)),""))</f>
        <v>0</v>
      </c>
      <c r="F296" s="280" t="str">
        <f>(IF((VLOOKUP(Table2[[#This Row],[SKU]],'All Skus'!$A:$AC,2,FALSE))="AMX",(VLOOKUP(Table2[[#This Row],[SKU]],'All Skus'!$A:$AC,8,FALSE)),""))</f>
        <v>NMX-SFP-SM,</v>
      </c>
      <c r="G296" s="280" t="str">
        <f>(IF((VLOOKUP(Table2[[#This Row],[SKU]],'All Skus'!$A:$AC,2,FALSE))="AMX",(VLOOKUP(Table2[[#This Row],[SKU]],'All Skus'!$A:$AC,9,FALSE)),""))</f>
        <v>Single-mode 10-UKps SFP fiber transceiver module for Cisco switches, dual LC connectors, up to 10-km</v>
      </c>
      <c r="H296" s="157">
        <f>(IF((VLOOKUP(Table2[[#This Row],[SKU]],'All Skus'!$A:$AC,2,FALSE))="AMX",(VLOOKUP(Table2[[#This Row],[SKU]],'All Skus'!$A:$AC,10,FALSE)),""))</f>
        <v>109.8</v>
      </c>
      <c r="I296" s="157">
        <f>(IF((VLOOKUP(Table2[[#This Row],[SKU]],'All Skus'!$A:$AC,2,FALSE))="AMX",(VLOOKUP(Table2[[#This Row],[SKU]],'All Skus'!$A:$AC,11,FALSE)),""))</f>
        <v>109.8</v>
      </c>
      <c r="J296" s="47">
        <f>(IF((VLOOKUP(Table2[[#This Row],[SKU]],'All Skus'!$A:$AC,2,FALSE))="AMX",(VLOOKUP(Table2[[#This Row],[SKU]],'All Skus'!$A:$AC,15,FALSE)),""))</f>
        <v>0</v>
      </c>
      <c r="K296" s="47">
        <f>(IF((VLOOKUP(Table2[[#This Row],[SKU]],'All Skus'!$A:$AC,2,FALSE))="AMX",(VLOOKUP(Table2[[#This Row],[SKU]],'All Skus'!$A:$AC,16,FALSE)),""))</f>
        <v>718878026076</v>
      </c>
      <c r="L296" s="47">
        <f>(IF((VLOOKUP(Table2[[#This Row],[SKU]],'All Skus'!$A:$AC,2,FALSE))="AMX",(VLOOKUP(Table2[[#This Row],[SKU]],'All Skus'!$A:$AC,17,FALSE)),""))</f>
        <v>0</v>
      </c>
      <c r="M296" s="63">
        <f>(IF((VLOOKUP(Table2[[#This Row],[SKU]],'All Skus'!$A:$AC,2,FALSE))="AMX",(VLOOKUP(Table2[[#This Row],[SKU]],'All Skus'!$A:$AC,18,FALSE)),""))</f>
        <v>0.5</v>
      </c>
      <c r="N296" s="47">
        <f>(IF((VLOOKUP(Table2[[#This Row],[SKU]],'All Skus'!$A:$AC,2,FALSE))="AMX",(VLOOKUP(Table2[[#This Row],[SKU]],'All Skus'!$A:$AC,19,FALSE)),""))</f>
        <v>7</v>
      </c>
      <c r="O296" s="47">
        <f>(IF((VLOOKUP(Table2[[#This Row],[SKU]],'All Skus'!$A:$AC,2,FALSE))="AMX",(VLOOKUP(Table2[[#This Row],[SKU]],'All Skus'!$A:$AC,20,FALSE)),""))</f>
        <v>5</v>
      </c>
      <c r="P296" s="47">
        <f>(IF((VLOOKUP(Table2[[#This Row],[SKU]],'All Skus'!$A:$AC,2,FALSE))="AMX",(VLOOKUP(Table2[[#This Row],[SKU]],'All Skus'!$A:$AC,21,FALSE)),""))</f>
        <v>0.5</v>
      </c>
      <c r="Q296" s="47" t="str">
        <f>(IF((VLOOKUP(Table2[[#This Row],[SKU]],'All Skus'!$A:$AC,2,FALSE))="AMX",(VLOOKUP(Table2[[#This Row],[SKU]],'All Skus'!$A:$AC,22,FALSE)),""))</f>
        <v>US</v>
      </c>
      <c r="R296" s="47" t="str">
        <f>(IF((VLOOKUP(Table2[[#This Row],[SKU]],'All Skus'!$A:$AC,2,FALSE))="AMX",(VLOOKUP(Table2[[#This Row],[SKU]],'All Skus'!$A:$AC,23,FALSE)),""))</f>
        <v>Compliant</v>
      </c>
      <c r="S296" s="210" t="str">
        <f>HYPERLINK((IF((VLOOKUP(Table2[[#This Row],[SKU]],'All Skus'!$A:$AC,2,FALSE))="AMX",(VLOOKUP(Table2[[#This Row],[SKU]],'All Skus'!$A:$AC,24,FALSE)),"")))</f>
        <v>0</v>
      </c>
      <c r="T296" s="151">
        <v>294</v>
      </c>
    </row>
    <row r="297" spans="1:20" hidden="1">
      <c r="A297" s="48" t="s">
        <v>805</v>
      </c>
      <c r="B297" s="280" t="str">
        <f>(IF((VLOOKUP(Table2[[#This Row],[SKU]],'All Skus'!$A:$AC,2,FALSE))="AMX",(VLOOKUP(Table2[[#This Row],[SKU]],'All Skus'!$A:$AC,3,FALSE)),""))</f>
        <v>Networked AV</v>
      </c>
      <c r="C297" s="280" t="str">
        <f>(IF((VLOOKUP(Table2[[#This Row],[SKU]],'All Skus'!$A:$AC,2,FALSE))="AMX",(VLOOKUP(Table2[[#This Row],[SKU]],'All Skus'!$A:$AC,4,FALSE)),""))</f>
        <v>NMX-SFP-1GRJ</v>
      </c>
      <c r="D297" s="47" t="str">
        <f>(IF((VLOOKUP(Table2[[#This Row],[SKU]],'All Skus'!$A:$AC,2,FALSE))="AMX",(VLOOKUP(Table2[[#This Row],[SKU]],'All Skus'!$A:$AC,5,FALSE)),""))</f>
        <v>AMX-NM</v>
      </c>
      <c r="E297" s="281">
        <f>(IF((VLOOKUP(Table2[[#This Row],[SKU]],'All Skus'!$A:$AC,2,FALSE))="AMX",(VLOOKUP(Table2[[#This Row],[SKU]],'All Skus'!$A:$AC,7,FALSE)),""))</f>
        <v>0</v>
      </c>
      <c r="F297" s="280" t="str">
        <f>(IF((VLOOKUP(Table2[[#This Row],[SKU]],'All Skus'!$A:$AC,2,FALSE))="AMX",(VLOOKUP(Table2[[#This Row],[SKU]],'All Skus'!$A:$AC,8,FALSE)),""))</f>
        <v>SFP 1GB, RJ45 Module</v>
      </c>
      <c r="G297" s="280" t="str">
        <f>(IF((VLOOKUP(Table2[[#This Row],[SKU]],'All Skus'!$A:$AC,2,FALSE))="AMX",(VLOOKUP(Table2[[#This Row],[SKU]],'All Skus'!$A:$AC,9,FALSE)),""))</f>
        <v>RJ45 module for the SVSi N-Series of product</v>
      </c>
      <c r="H297" s="157">
        <f>(IF((VLOOKUP(Table2[[#This Row],[SKU]],'All Skus'!$A:$AC,2,FALSE))="AMX",(VLOOKUP(Table2[[#This Row],[SKU]],'All Skus'!$A:$AC,10,FALSE)),""))</f>
        <v>194.4</v>
      </c>
      <c r="I297" s="157">
        <f>(IF((VLOOKUP(Table2[[#This Row],[SKU]],'All Skus'!$A:$AC,2,FALSE))="AMX",(VLOOKUP(Table2[[#This Row],[SKU]],'All Skus'!$A:$AC,11,FALSE)),""))</f>
        <v>194.4</v>
      </c>
      <c r="J297" s="47">
        <f>(IF((VLOOKUP(Table2[[#This Row],[SKU]],'All Skus'!$A:$AC,2,FALSE))="AMX",(VLOOKUP(Table2[[#This Row],[SKU]],'All Skus'!$A:$AC,15,FALSE)),""))</f>
        <v>0</v>
      </c>
      <c r="K297" s="47">
        <f>(IF((VLOOKUP(Table2[[#This Row],[SKU]],'All Skus'!$A:$AC,2,FALSE))="AMX",(VLOOKUP(Table2[[#This Row],[SKU]],'All Skus'!$A:$AC,16,FALSE)),""))</f>
        <v>718878026090</v>
      </c>
      <c r="L297" s="47">
        <f>(IF((VLOOKUP(Table2[[#This Row],[SKU]],'All Skus'!$A:$AC,2,FALSE))="AMX",(VLOOKUP(Table2[[#This Row],[SKU]],'All Skus'!$A:$AC,17,FALSE)),""))</f>
        <v>0</v>
      </c>
      <c r="M297" s="63">
        <f>(IF((VLOOKUP(Table2[[#This Row],[SKU]],'All Skus'!$A:$AC,2,FALSE))="AMX",(VLOOKUP(Table2[[#This Row],[SKU]],'All Skus'!$A:$AC,18,FALSE)),""))</f>
        <v>0.25</v>
      </c>
      <c r="N297" s="47">
        <f>(IF((VLOOKUP(Table2[[#This Row],[SKU]],'All Skus'!$A:$AC,2,FALSE))="AMX",(VLOOKUP(Table2[[#This Row],[SKU]],'All Skus'!$A:$AC,19,FALSE)),""))</f>
        <v>2.67</v>
      </c>
      <c r="O297" s="47">
        <f>(IF((VLOOKUP(Table2[[#This Row],[SKU]],'All Skus'!$A:$AC,2,FALSE))="AMX",(VLOOKUP(Table2[[#This Row],[SKU]],'All Skus'!$A:$AC,20,FALSE)),""))</f>
        <v>0.5</v>
      </c>
      <c r="P297" s="47">
        <f>(IF((VLOOKUP(Table2[[#This Row],[SKU]],'All Skus'!$A:$AC,2,FALSE))="AMX",(VLOOKUP(Table2[[#This Row],[SKU]],'All Skus'!$A:$AC,21,FALSE)),""))</f>
        <v>0.6</v>
      </c>
      <c r="Q297" s="47" t="str">
        <f>(IF((VLOOKUP(Table2[[#This Row],[SKU]],'All Skus'!$A:$AC,2,FALSE))="AMX",(VLOOKUP(Table2[[#This Row],[SKU]],'All Skus'!$A:$AC,22,FALSE)),""))</f>
        <v>CN</v>
      </c>
      <c r="R297" s="47" t="str">
        <f>(IF((VLOOKUP(Table2[[#This Row],[SKU]],'All Skus'!$A:$AC,2,FALSE))="AMX",(VLOOKUP(Table2[[#This Row],[SKU]],'All Skus'!$A:$AC,23,FALSE)),""))</f>
        <v>NonCompliant</v>
      </c>
      <c r="S297" s="210" t="str">
        <f>HYPERLINK((IF((VLOOKUP(Table2[[#This Row],[SKU]],'All Skus'!$A:$AC,2,FALSE))="AMX",(VLOOKUP(Table2[[#This Row],[SKU]],'All Skus'!$A:$AC,24,FALSE)),"")))</f>
        <v>0</v>
      </c>
      <c r="T297" s="151">
        <v>295</v>
      </c>
    </row>
    <row r="298" spans="1:20" hidden="1">
      <c r="A298" s="48" t="s">
        <v>806</v>
      </c>
      <c r="B298" s="280" t="str">
        <f>(IF((VLOOKUP(Table2[[#This Row],[SKU]],'All Skus'!$A:$AC,2,FALSE))="AMX",(VLOOKUP(Table2[[#This Row],[SKU]],'All Skus'!$A:$AC,3,FALSE)),""))</f>
        <v>Networked AV</v>
      </c>
      <c r="C298" s="280" t="str">
        <f>(IF((VLOOKUP(Table2[[#This Row],[SKU]],'All Skus'!$A:$AC,2,FALSE))="AMX",(VLOOKUP(Table2[[#This Row],[SKU]],'All Skus'!$A:$AC,4,FALSE)),""))</f>
        <v>NMX-SFP-MM</v>
      </c>
      <c r="D298" s="47" t="str">
        <f>(IF((VLOOKUP(Table2[[#This Row],[SKU]],'All Skus'!$A:$AC,2,FALSE))="AMX",(VLOOKUP(Table2[[#This Row],[SKU]],'All Skus'!$A:$AC,5,FALSE)),""))</f>
        <v>AMX-NM</v>
      </c>
      <c r="E298" s="281">
        <f>(IF((VLOOKUP(Table2[[#This Row],[SKU]],'All Skus'!$A:$AC,2,FALSE))="AMX",(VLOOKUP(Table2[[#This Row],[SKU]],'All Skus'!$A:$AC,7,FALSE)),""))</f>
        <v>0</v>
      </c>
      <c r="F298" s="280" t="str">
        <f>(IF((VLOOKUP(Table2[[#This Row],[SKU]],'All Skus'!$A:$AC,2,FALSE))="AMX",(VLOOKUP(Table2[[#This Row],[SKU]],'All Skus'!$A:$AC,8,FALSE)),""))</f>
        <v>NMX-SFP-MM</v>
      </c>
      <c r="G298" s="280" t="str">
        <f>(IF((VLOOKUP(Table2[[#This Row],[SKU]],'All Skus'!$A:$AC,2,FALSE))="AMX",(VLOOKUP(Table2[[#This Row],[SKU]],'All Skus'!$A:$AC,9,FALSE)),""))</f>
        <v>Multi-mode 10-UKps SFP fiber transceiver module for Cisco switches, dual LC connectors, up to 300m</v>
      </c>
      <c r="H298" s="282">
        <f>(IF((VLOOKUP(Table2[[#This Row],[SKU]],'All Skus'!$A:$AC,2,FALSE))="AMX",(VLOOKUP(Table2[[#This Row],[SKU]],'All Skus'!$A:$AC,10,FALSE)),""))</f>
        <v>548.79999999999995</v>
      </c>
      <c r="I298" s="282">
        <f>(IF((VLOOKUP(Table2[[#This Row],[SKU]],'All Skus'!$A:$AC,2,FALSE))="AMX",(VLOOKUP(Table2[[#This Row],[SKU]],'All Skus'!$A:$AC,11,FALSE)),""))</f>
        <v>548.79999999999995</v>
      </c>
      <c r="J298" s="47">
        <f>(IF((VLOOKUP(Table2[[#This Row],[SKU]],'All Skus'!$A:$AC,2,FALSE))="AMX",(VLOOKUP(Table2[[#This Row],[SKU]],'All Skus'!$A:$AC,15,FALSE)),""))</f>
        <v>0</v>
      </c>
      <c r="K298" s="47">
        <f>(IF((VLOOKUP(Table2[[#This Row],[SKU]],'All Skus'!$A:$AC,2,FALSE))="AMX",(VLOOKUP(Table2[[#This Row],[SKU]],'All Skus'!$A:$AC,16,FALSE)),""))</f>
        <v>718878026106</v>
      </c>
      <c r="L298" s="47">
        <f>(IF((VLOOKUP(Table2[[#This Row],[SKU]],'All Skus'!$A:$AC,2,FALSE))="AMX",(VLOOKUP(Table2[[#This Row],[SKU]],'All Skus'!$A:$AC,17,FALSE)),""))</f>
        <v>0</v>
      </c>
      <c r="M298" s="63">
        <f>(IF((VLOOKUP(Table2[[#This Row],[SKU]],'All Skus'!$A:$AC,2,FALSE))="AMX",(VLOOKUP(Table2[[#This Row],[SKU]],'All Skus'!$A:$AC,18,FALSE)),""))</f>
        <v>0.5</v>
      </c>
      <c r="N298" s="47">
        <f>(IF((VLOOKUP(Table2[[#This Row],[SKU]],'All Skus'!$A:$AC,2,FALSE))="AMX",(VLOOKUP(Table2[[#This Row],[SKU]],'All Skus'!$A:$AC,19,FALSE)),""))</f>
        <v>7</v>
      </c>
      <c r="O298" s="47">
        <f>(IF((VLOOKUP(Table2[[#This Row],[SKU]],'All Skus'!$A:$AC,2,FALSE))="AMX",(VLOOKUP(Table2[[#This Row],[SKU]],'All Skus'!$A:$AC,20,FALSE)),""))</f>
        <v>5</v>
      </c>
      <c r="P298" s="47">
        <f>(IF((VLOOKUP(Table2[[#This Row],[SKU]],'All Skus'!$A:$AC,2,FALSE))="AMX",(VLOOKUP(Table2[[#This Row],[SKU]],'All Skus'!$A:$AC,21,FALSE)),""))</f>
        <v>0.5</v>
      </c>
      <c r="Q298" s="47" t="str">
        <f>(IF((VLOOKUP(Table2[[#This Row],[SKU]],'All Skus'!$A:$AC,2,FALSE))="AMX",(VLOOKUP(Table2[[#This Row],[SKU]],'All Skus'!$A:$AC,22,FALSE)),""))</f>
        <v>US</v>
      </c>
      <c r="R298" s="47" t="str">
        <f>(IF((VLOOKUP(Table2[[#This Row],[SKU]],'All Skus'!$A:$AC,2,FALSE))="AMX",(VLOOKUP(Table2[[#This Row],[SKU]],'All Skus'!$A:$AC,23,FALSE)),""))</f>
        <v>Compliant</v>
      </c>
      <c r="S298" s="279" t="str">
        <f>HYPERLINK((IF((VLOOKUP(Table2[[#This Row],[SKU]],'All Skus'!$A:$AC,2,FALSE))="AMX",(VLOOKUP(Table2[[#This Row],[SKU]],'All Skus'!$A:$AC,24,FALSE)),"")))</f>
        <v>0</v>
      </c>
      <c r="T298" s="47">
        <v>296</v>
      </c>
    </row>
    <row r="299" spans="1:20" hidden="1">
      <c r="A299" s="48" t="s">
        <v>807</v>
      </c>
      <c r="B299" s="280" t="str">
        <f>(IF((VLOOKUP(Table2[[#This Row],[SKU]],'All Skus'!$A:$AC,2,FALSE))="AMX",(VLOOKUP(Table2[[#This Row],[SKU]],'All Skus'!$A:$AC,3,FALSE)),""))</f>
        <v>Networked AV</v>
      </c>
      <c r="C299" s="280" t="str">
        <f>(IF((VLOOKUP(Table2[[#This Row],[SKU]],'All Skus'!$A:$AC,2,FALSE))="AMX",(VLOOKUP(Table2[[#This Row],[SKU]],'All Skus'!$A:$AC,4,FALSE)),""))</f>
        <v>NMX-SFP-1GMM</v>
      </c>
      <c r="D299" s="47" t="str">
        <f>(IF((VLOOKUP(Table2[[#This Row],[SKU]],'All Skus'!$A:$AC,2,FALSE))="AMX",(VLOOKUP(Table2[[#This Row],[SKU]],'All Skus'!$A:$AC,5,FALSE)),""))</f>
        <v>AMX-NM</v>
      </c>
      <c r="E299" s="281">
        <f>(IF((VLOOKUP(Table2[[#This Row],[SKU]],'All Skus'!$A:$AC,2,FALSE))="AMX",(VLOOKUP(Table2[[#This Row],[SKU]],'All Skus'!$A:$AC,7,FALSE)),""))</f>
        <v>0</v>
      </c>
      <c r="F299" s="280" t="str">
        <f>(IF((VLOOKUP(Table2[[#This Row],[SKU]],'All Skus'!$A:$AC,2,FALSE))="AMX",(VLOOKUP(Table2[[#This Row],[SKU]],'All Skus'!$A:$AC,8,FALSE)),""))</f>
        <v>NMX-SFP-1GMM</v>
      </c>
      <c r="G299" s="280" t="str">
        <f>(IF((VLOOKUP(Table2[[#This Row],[SKU]],'All Skus'!$A:$AC,2,FALSE))="AMX",(VLOOKUP(Table2[[#This Row],[SKU]],'All Skus'!$A:$AC,9,FALSE)),""))</f>
        <v>MULTIMODE MODULE FOR N1X33/ N2X35 SFP CAGE</v>
      </c>
      <c r="H299" s="282">
        <f>(IF((VLOOKUP(Table2[[#This Row],[SKU]],'All Skus'!$A:$AC,2,FALSE))="AMX",(VLOOKUP(Table2[[#This Row],[SKU]],'All Skus'!$A:$AC,10,FALSE)),""))</f>
        <v>132</v>
      </c>
      <c r="I299" s="282">
        <f>(IF((VLOOKUP(Table2[[#This Row],[SKU]],'All Skus'!$A:$AC,2,FALSE))="AMX",(VLOOKUP(Table2[[#This Row],[SKU]],'All Skus'!$A:$AC,11,FALSE)),""))</f>
        <v>132</v>
      </c>
      <c r="J299" s="47">
        <f>(IF((VLOOKUP(Table2[[#This Row],[SKU]],'All Skus'!$A:$AC,2,FALSE))="AMX",(VLOOKUP(Table2[[#This Row],[SKU]],'All Skus'!$A:$AC,15,FALSE)),""))</f>
        <v>0</v>
      </c>
      <c r="K299" s="47">
        <f>(IF((VLOOKUP(Table2[[#This Row],[SKU]],'All Skus'!$A:$AC,2,FALSE))="AMX",(VLOOKUP(Table2[[#This Row],[SKU]],'All Skus'!$A:$AC,16,FALSE)),""))</f>
        <v>718878026113</v>
      </c>
      <c r="L299" s="47">
        <f>(IF((VLOOKUP(Table2[[#This Row],[SKU]],'All Skus'!$A:$AC,2,FALSE))="AMX",(VLOOKUP(Table2[[#This Row],[SKU]],'All Skus'!$A:$AC,17,FALSE)),""))</f>
        <v>0</v>
      </c>
      <c r="M299" s="63">
        <f>(IF((VLOOKUP(Table2[[#This Row],[SKU]],'All Skus'!$A:$AC,2,FALSE))="AMX",(VLOOKUP(Table2[[#This Row],[SKU]],'All Skus'!$A:$AC,18,FALSE)),""))</f>
        <v>0.5</v>
      </c>
      <c r="N299" s="47">
        <f>(IF((VLOOKUP(Table2[[#This Row],[SKU]],'All Skus'!$A:$AC,2,FALSE))="AMX",(VLOOKUP(Table2[[#This Row],[SKU]],'All Skus'!$A:$AC,19,FALSE)),""))</f>
        <v>4.5</v>
      </c>
      <c r="O299" s="47">
        <f>(IF((VLOOKUP(Table2[[#This Row],[SKU]],'All Skus'!$A:$AC,2,FALSE))="AMX",(VLOOKUP(Table2[[#This Row],[SKU]],'All Skus'!$A:$AC,20,FALSE)),""))</f>
        <v>4.5</v>
      </c>
      <c r="P299" s="47">
        <f>(IF((VLOOKUP(Table2[[#This Row],[SKU]],'All Skus'!$A:$AC,2,FALSE))="AMX",(VLOOKUP(Table2[[#This Row],[SKU]],'All Skus'!$A:$AC,21,FALSE)),""))</f>
        <v>0.5</v>
      </c>
      <c r="Q299" s="47" t="str">
        <f>(IF((VLOOKUP(Table2[[#This Row],[SKU]],'All Skus'!$A:$AC,2,FALSE))="AMX",(VLOOKUP(Table2[[#This Row],[SKU]],'All Skus'!$A:$AC,22,FALSE)),""))</f>
        <v>CN</v>
      </c>
      <c r="R299" s="47" t="str">
        <f>(IF((VLOOKUP(Table2[[#This Row],[SKU]],'All Skus'!$A:$AC,2,FALSE))="AMX",(VLOOKUP(Table2[[#This Row],[SKU]],'All Skus'!$A:$AC,23,FALSE)),""))</f>
        <v>NonCompliant</v>
      </c>
      <c r="S299" s="279" t="str">
        <f>HYPERLINK((IF((VLOOKUP(Table2[[#This Row],[SKU]],'All Skus'!$A:$AC,2,FALSE))="AMX",(VLOOKUP(Table2[[#This Row],[SKU]],'All Skus'!$A:$AC,24,FALSE)),"")))</f>
        <v>0</v>
      </c>
      <c r="T299" s="47">
        <v>297</v>
      </c>
    </row>
  </sheetData>
  <conditionalFormatting sqref="A288:A299">
    <cfRule type="duplicateValues" dxfId="37" priority="1"/>
    <cfRule type="duplicateValues" dxfId="36" priority="2"/>
  </conditionalFormatting>
  <conditionalFormatting sqref="A2:S299">
    <cfRule type="cellIs" dxfId="35" priority="6" operator="equal">
      <formula>0</formula>
    </cfRule>
  </conditionalFormatting>
  <conditionalFormatting sqref="S3:S299">
    <cfRule type="cellIs" dxfId="34" priority="4" operator="equal">
      <formula>0</formula>
    </cfRule>
    <cfRule type="cellIs" dxfId="33" priority="5" operator="equal">
      <formula>3.45996E+110</formula>
    </cfRule>
  </conditionalFormatting>
  <pageMargins left="0.7" right="0.7" top="0.75" bottom="0.75" header="0.3" footer="0.3"/>
  <pageSetup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44BA8-FD93-431E-B81E-C93F93012528}">
  <dimension ref="A1:U49"/>
  <sheetViews>
    <sheetView zoomScale="75" zoomScaleNormal="75" workbookViewId="0">
      <pane xSplit="1" ySplit="1" topLeftCell="H2" activePane="bottomRight" state="frozen"/>
      <selection pane="topRight" activeCell="D35" sqref="D35"/>
      <selection pane="bottomLeft" activeCell="D35" sqref="D35"/>
      <selection pane="bottomRight" activeCell="K1" sqref="K1:K1048576"/>
    </sheetView>
  </sheetViews>
  <sheetFormatPr defaultColWidth="9.28515625" defaultRowHeight="15"/>
  <cols>
    <col min="1" max="1" width="21.42578125" style="52" bestFit="1" customWidth="1"/>
    <col min="2" max="2" width="42.85546875" style="52" bestFit="1" customWidth="1"/>
    <col min="3" max="3" width="19.5703125" style="52" customWidth="1"/>
    <col min="4" max="4" width="20.85546875" style="60" bestFit="1" customWidth="1"/>
    <col min="5" max="5" width="19.42578125" style="60" bestFit="1" customWidth="1"/>
    <col min="6" max="6" width="16.5703125" style="52" bestFit="1" customWidth="1"/>
    <col min="7" max="7" width="28.5703125" style="52" bestFit="1" customWidth="1"/>
    <col min="8" max="8" width="73.7109375" style="45" customWidth="1"/>
    <col min="9" max="9" width="12.85546875" style="45" bestFit="1" customWidth="1"/>
    <col min="10" max="10" width="12.140625" style="45" bestFit="1" customWidth="1"/>
    <col min="11" max="11" width="18" style="60" bestFit="1" customWidth="1"/>
    <col min="12" max="12" width="15.140625" style="47" customWidth="1"/>
    <col min="13" max="13" width="11" style="60" bestFit="1" customWidth="1"/>
    <col min="14" max="14" width="18.28515625" style="64" bestFit="1" customWidth="1"/>
    <col min="15" max="15" width="16.28515625" style="64" bestFit="1" customWidth="1"/>
    <col min="16" max="16" width="17.28515625" style="64" bestFit="1" customWidth="1"/>
    <col min="17" max="17" width="16.7109375" style="64" bestFit="1" customWidth="1"/>
    <col min="18" max="18" width="18.42578125" style="60" bestFit="1" customWidth="1"/>
    <col min="19" max="19" width="22" style="52" bestFit="1" customWidth="1"/>
    <col min="20" max="20" width="52.140625" style="45" bestFit="1" customWidth="1"/>
    <col min="21" max="21" width="15.140625" style="60" bestFit="1" customWidth="1"/>
    <col min="22" max="16384" width="9.28515625" style="52"/>
  </cols>
  <sheetData>
    <row r="1" spans="1:21" s="67" customFormat="1" ht="61.5" customHeight="1">
      <c r="A1" s="66"/>
      <c r="B1" s="66"/>
      <c r="C1" s="66"/>
      <c r="D1" s="65"/>
      <c r="E1" s="65"/>
      <c r="F1" s="66"/>
      <c r="G1" s="95"/>
      <c r="H1" s="96"/>
      <c r="I1" s="84"/>
      <c r="J1" s="84"/>
      <c r="K1" s="86"/>
      <c r="L1" s="86"/>
      <c r="M1" s="65"/>
      <c r="N1" s="131"/>
      <c r="O1" s="131"/>
      <c r="P1" s="131"/>
      <c r="Q1" s="131"/>
      <c r="R1" s="65"/>
      <c r="T1" s="66"/>
      <c r="U1" s="65"/>
    </row>
    <row r="2" spans="1:21" s="62" customFormat="1" ht="35.25" customHeight="1">
      <c r="A2" s="100" t="s">
        <v>138</v>
      </c>
      <c r="B2" s="75" t="s">
        <v>139</v>
      </c>
      <c r="C2" s="75" t="s">
        <v>140</v>
      </c>
      <c r="D2" s="75" t="s">
        <v>141</v>
      </c>
      <c r="E2" s="75" t="s">
        <v>142</v>
      </c>
      <c r="F2" s="75" t="s">
        <v>143</v>
      </c>
      <c r="G2" s="75" t="s">
        <v>144</v>
      </c>
      <c r="H2" s="75" t="s">
        <v>145</v>
      </c>
      <c r="I2" s="87" t="s">
        <v>146</v>
      </c>
      <c r="J2" s="87" t="s">
        <v>808</v>
      </c>
      <c r="K2" s="75" t="s">
        <v>149</v>
      </c>
      <c r="L2" s="88" t="s">
        <v>150</v>
      </c>
      <c r="M2" s="75" t="s">
        <v>151</v>
      </c>
      <c r="N2" s="145" t="s">
        <v>152</v>
      </c>
      <c r="O2" s="145" t="s">
        <v>153</v>
      </c>
      <c r="P2" s="145" t="s">
        <v>154</v>
      </c>
      <c r="Q2" s="145" t="s">
        <v>155</v>
      </c>
      <c r="R2" s="75" t="s">
        <v>156</v>
      </c>
      <c r="S2" s="75" t="s">
        <v>809</v>
      </c>
      <c r="T2" s="75" t="s">
        <v>158</v>
      </c>
      <c r="U2" s="148" t="s">
        <v>159</v>
      </c>
    </row>
    <row r="3" spans="1:21" ht="15" customHeight="1">
      <c r="A3" s="48" t="s">
        <v>810</v>
      </c>
      <c r="B3" s="52" t="str">
        <f>(IF((VLOOKUP(Table3[[#This Row],[SKU]],'All Skus'!$A:$AC,2,FALSE))="BSS",(VLOOKUP(Table3[[#This Row],[SKU]],'All Skus'!$A:$AC,3,FALSE)),""))</f>
        <v>Soundweb London Chassis</v>
      </c>
      <c r="C3" s="52" t="str">
        <f>(IF((VLOOKUP(Table3[[#This Row],[SKU]],'All Skus'!$A:$AC,2,FALSE))="BSS",(VLOOKUP(Table3[[#This Row],[SKU]],'All Skus'!$A:$AC,4,FALSE)),""))</f>
        <v>32-0290</v>
      </c>
      <c r="D3" s="60">
        <f>(IF((VLOOKUP(Table3[[#This Row],[SKU]],'All Skus'!$A:$AC,2,FALSE))="BSS",(VLOOKUP(Table3[[#This Row],[SKU]],'All Skus'!$A:$AC,5,FALSE)),""))</f>
        <v>40700000</v>
      </c>
      <c r="E3" s="60">
        <f>(IF((VLOOKUP(Table3[[#This Row],[SKU]],'All Skus'!$A:$AC,2,FALSE))="BSS",(VLOOKUP(Table3[[#This Row],[SKU]],'All Skus'!$A:$AC,6,FALSE)),""))</f>
        <v>0</v>
      </c>
      <c r="F3" s="52">
        <f>(IF((VLOOKUP(Table3[[#This Row],[SKU]],'All Skus'!$A:$AC,2,FALSE))="BSS",(VLOOKUP(Table3[[#This Row],[SKU]],'All Skus'!$A:$AC,7,FALSE)),""))</f>
        <v>0</v>
      </c>
      <c r="G3" s="52" t="str">
        <f>(IF((VLOOKUP(Table3[[#This Row],[SKU]],'All Skus'!$A:$AC,2,FALSE))="BSS",(VLOOKUP(Table3[[#This Row],[SKU]],'All Skus'!$A:$AC,8,FALSE)),""))</f>
        <v>Connector</v>
      </c>
      <c r="H3" s="45" t="str">
        <f>(IF((VLOOKUP(Table3[[#This Row],[SKU]],'All Skus'!$A:$AC,2,FALSE))="BSS",(VLOOKUP(Table3[[#This Row],[SKU]],'All Skus'!$A:$AC,9,FALSE)),""))</f>
        <v xml:space="preserve">Individual additional 6-way Phoenix/Combicon connector (Soundweb devices are shipped with a complete set) </v>
      </c>
      <c r="I3" s="94">
        <f>(IF((VLOOKUP(Table3[[#This Row],[SKU]],'All Skus'!$A:$AC,2,FALSE))="BSS",(VLOOKUP(Table3[[#This Row],[SKU]],'All Skus'!$A:$AC,10,FALSE)),""))</f>
        <v>18.010000000000002</v>
      </c>
      <c r="J3" s="94">
        <f>(IF((VLOOKUP(Table3[[#This Row],[SKU]],'All Skus'!$A:$AC,2,FALSE))="BSS",(VLOOKUP(Table3[[#This Row],[SKU]],'All Skus'!$A:$AC,11,FALSE)),""))</f>
        <v>18.010000000000002</v>
      </c>
      <c r="K3" s="60">
        <f>(IF((VLOOKUP(Table3[[#This Row],[SKU]],'All Skus'!$A:$AC,2,FALSE))="BSS",(VLOOKUP(Table3[[#This Row],[SKU]],'All Skus'!$A:$AC,15,FALSE)),""))</f>
        <v>0</v>
      </c>
      <c r="L3" s="47">
        <f>(IF((VLOOKUP(Table3[[#This Row],[SKU]],'All Skus'!$A:$AC,2,FALSE))="BSS",(VLOOKUP(Table3[[#This Row],[SKU]],'All Skus'!$A:$AC,16,FALSE)),""))</f>
        <v>0</v>
      </c>
      <c r="M3" s="60">
        <f>(IF((VLOOKUP(Table3[[#This Row],[SKU]],'All Skus'!$A:$AC,2,FALSE))="BSS",(VLOOKUP(Table3[[#This Row],[SKU]],'All Skus'!$A:$AC,17,FALSE)),""))</f>
        <v>0</v>
      </c>
      <c r="N3" s="64">
        <f>(IF((VLOOKUP(Table3[[#This Row],[SKU]],'All Skus'!$A:$AC,2,FALSE))="BSS",(VLOOKUP(Table3[[#This Row],[SKU]],'All Skus'!$A:$AC,18,FALSE)),""))</f>
        <v>0</v>
      </c>
      <c r="O3" s="64">
        <f>(IF((VLOOKUP(Table3[[#This Row],[SKU]],'All Skus'!$A:$AC,2,FALSE))="BSS",(VLOOKUP(Table3[[#This Row],[SKU]],'All Skus'!$A:$AC,19,FALSE)),""))</f>
        <v>0</v>
      </c>
      <c r="P3" s="64">
        <f>(IF((VLOOKUP(Table3[[#This Row],[SKU]],'All Skus'!$A:$AC,2,FALSE))="BSS",(VLOOKUP(Table3[[#This Row],[SKU]],'All Skus'!$A:$AC,20,FALSE)),""))</f>
        <v>0</v>
      </c>
      <c r="Q3" s="64">
        <f>(IF((VLOOKUP(Table3[[#This Row],[SKU]],'All Skus'!$A:$AC,2,FALSE))="BSS",(VLOOKUP(Table3[[#This Row],[SKU]],'All Skus'!$A:$AC,21,FALSE)),""))</f>
        <v>0</v>
      </c>
      <c r="R3" s="60" t="str">
        <f>(IF((VLOOKUP(Table3[[#This Row],[SKU]],'All Skus'!$A:$AC,2,FALSE))="BSS",(VLOOKUP(Table3[[#This Row],[SKU]],'All Skus'!$A:$AC,22,FALSE)),""))</f>
        <v>US</v>
      </c>
      <c r="S3" s="52" t="str">
        <f>(IF((VLOOKUP(Table3[[#This Row],[SKU]],'All Skus'!$A:$AC,2,FALSE))="BSS",(VLOOKUP(Table3[[#This Row],[SKU]],'All Skus'!$A:$AC,23,FALSE)),""))</f>
        <v>Compliant</v>
      </c>
      <c r="T3" s="206" t="str">
        <f>HYPERLINK((IF((VLOOKUP(Table3[[#This Row],[SKU]],'All Skus'!$A:$AC,2,FALSE))="BSS",(VLOOKUP(Table3[[#This Row],[SKU]],'All Skus'!$A:$AC,24,FALSE)),"")))</f>
        <v/>
      </c>
      <c r="U3" s="151">
        <v>1</v>
      </c>
    </row>
    <row r="4" spans="1:21" ht="15" customHeight="1">
      <c r="A4" s="48" t="s">
        <v>811</v>
      </c>
      <c r="B4" s="52" t="str">
        <f>(IF((VLOOKUP(Table3[[#This Row],[SKU]],'All Skus'!$A:$AC,2,FALSE))="BSS",(VLOOKUP(Table3[[#This Row],[SKU]],'All Skus'!$A:$AC,3,FALSE)),""))</f>
        <v>Soundweb London Chassis</v>
      </c>
      <c r="C4" s="52" t="str">
        <f>(IF((VLOOKUP(Table3[[#This Row],[SKU]],'All Skus'!$A:$AC,2,FALSE))="BSS",(VLOOKUP(Table3[[#This Row],[SKU]],'All Skus'!$A:$AC,4,FALSE)),""))</f>
        <v xml:space="preserve">3RSU9010-1 </v>
      </c>
      <c r="D4" s="60" t="str">
        <f>(IF((VLOOKUP(Table3[[#This Row],[SKU]],'All Skus'!$A:$AC,2,FALSE))="BSS",(VLOOKUP(Table3[[#This Row],[SKU]],'All Skus'!$A:$AC,5,FALSE)),""))</f>
        <v>BSSACC</v>
      </c>
      <c r="E4" s="60" t="str">
        <f>(IF((VLOOKUP(Table3[[#This Row],[SKU]],'All Skus'!$A:$AC,2,FALSE))="BSS",(VLOOKUP(Table3[[#This Row],[SKU]],'All Skus'!$A:$AC,6,FALSE)),""))</f>
        <v>YES</v>
      </c>
      <c r="F4" s="52">
        <f>(IF((VLOOKUP(Table3[[#This Row],[SKU]],'All Skus'!$A:$AC,2,FALSE))="BSS",(VLOOKUP(Table3[[#This Row],[SKU]],'All Skus'!$A:$AC,7,FALSE)),""))</f>
        <v>0</v>
      </c>
      <c r="G4" s="52" t="str">
        <f>(IF((VLOOKUP(Table3[[#This Row],[SKU]],'All Skus'!$A:$AC,2,FALSE))="BSS",(VLOOKUP(Table3[[#This Row],[SKU]],'All Skus'!$A:$AC,8,FALSE)),""))</f>
        <v>Rack Panel</v>
      </c>
      <c r="H4" s="45" t="str">
        <f>(IF((VLOOKUP(Table3[[#This Row],[SKU]],'All Skus'!$A:$AC,2,FALSE))="BSS",(VLOOKUP(Table3[[#This Row],[SKU]],'All Skus'!$A:$AC,9,FALSE)),""))</f>
        <v>Rack panel for mounting 1 BLU-10 / BLU-8 wall controllers (3U)</v>
      </c>
      <c r="I4" s="94">
        <f>(IF((VLOOKUP(Table3[[#This Row],[SKU]],'All Skus'!$A:$AC,2,FALSE))="BSS",(VLOOKUP(Table3[[#This Row],[SKU]],'All Skus'!$A:$AC,10,FALSE)),""))</f>
        <v>157.56</v>
      </c>
      <c r="J4" s="94">
        <f>(IF((VLOOKUP(Table3[[#This Row],[SKU]],'All Skus'!$A:$AC,2,FALSE))="BSS",(VLOOKUP(Table3[[#This Row],[SKU]],'All Skus'!$A:$AC,11,FALSE)),""))</f>
        <v>157.56</v>
      </c>
      <c r="K4" s="60">
        <f>(IF((VLOOKUP(Table3[[#This Row],[SKU]],'All Skus'!$A:$AC,2,FALSE))="BSS",(VLOOKUP(Table3[[#This Row],[SKU]],'All Skus'!$A:$AC,15,FALSE)),""))</f>
        <v>0</v>
      </c>
      <c r="L4" s="47">
        <f>(IF((VLOOKUP(Table3[[#This Row],[SKU]],'All Skus'!$A:$AC,2,FALSE))="BSS",(VLOOKUP(Table3[[#This Row],[SKU]],'All Skus'!$A:$AC,16,FALSE)),""))</f>
        <v>691991013522</v>
      </c>
      <c r="M4" s="60">
        <f>(IF((VLOOKUP(Table3[[#This Row],[SKU]],'All Skus'!$A:$AC,2,FALSE))="BSS",(VLOOKUP(Table3[[#This Row],[SKU]],'All Skus'!$A:$AC,17,FALSE)),""))</f>
        <v>0</v>
      </c>
      <c r="N4" s="64">
        <f>(IF((VLOOKUP(Table3[[#This Row],[SKU]],'All Skus'!$A:$AC,2,FALSE))="BSS",(VLOOKUP(Table3[[#This Row],[SKU]],'All Skus'!$A:$AC,18,FALSE)),""))</f>
        <v>0</v>
      </c>
      <c r="O4" s="64">
        <f>(IF((VLOOKUP(Table3[[#This Row],[SKU]],'All Skus'!$A:$AC,2,FALSE))="BSS",(VLOOKUP(Table3[[#This Row],[SKU]],'All Skus'!$A:$AC,19,FALSE)),""))</f>
        <v>0</v>
      </c>
      <c r="P4" s="64">
        <f>(IF((VLOOKUP(Table3[[#This Row],[SKU]],'All Skus'!$A:$AC,2,FALSE))="BSS",(VLOOKUP(Table3[[#This Row],[SKU]],'All Skus'!$A:$AC,20,FALSE)),""))</f>
        <v>0</v>
      </c>
      <c r="Q4" s="64">
        <f>(IF((VLOOKUP(Table3[[#This Row],[SKU]],'All Skus'!$A:$AC,2,FALSE))="BSS",(VLOOKUP(Table3[[#This Row],[SKU]],'All Skus'!$A:$AC,21,FALSE)),""))</f>
        <v>0</v>
      </c>
      <c r="R4" s="60" t="str">
        <f>(IF((VLOOKUP(Table3[[#This Row],[SKU]],'All Skus'!$A:$AC,2,FALSE))="BSS",(VLOOKUP(Table3[[#This Row],[SKU]],'All Skus'!$A:$AC,22,FALSE)),""))</f>
        <v>MX</v>
      </c>
      <c r="S4" s="52" t="str">
        <f>(IF((VLOOKUP(Table3[[#This Row],[SKU]],'All Skus'!$A:$AC,2,FALSE))="BSS",(VLOOKUP(Table3[[#This Row],[SKU]],'All Skus'!$A:$AC,23,FALSE)),""))</f>
        <v>Compliant</v>
      </c>
      <c r="T4" s="206" t="str">
        <f>HYPERLINK((IF((VLOOKUP(Table3[[#This Row],[SKU]],'All Skus'!$A:$AC,2,FALSE))="BSS",(VLOOKUP(Table3[[#This Row],[SKU]],'All Skus'!$A:$AC,24,FALSE)),"")))</f>
        <v/>
      </c>
      <c r="U4" s="151">
        <v>2</v>
      </c>
    </row>
    <row r="5" spans="1:21" ht="15" customHeight="1">
      <c r="A5" s="48" t="s">
        <v>812</v>
      </c>
      <c r="B5" s="52" t="str">
        <f>(IF((VLOOKUP(Table3[[#This Row],[SKU]],'All Skus'!$A:$AC,2,FALSE))="BSS",(VLOOKUP(Table3[[#This Row],[SKU]],'All Skus'!$A:$AC,3,FALSE)),""))</f>
        <v>Soundweb London Input/Output Cards</v>
      </c>
      <c r="C5" s="52" t="str">
        <f>(IF((VLOOKUP(Table3[[#This Row],[SKU]],'All Skus'!$A:$AC,2,FALSE))="BSS",(VLOOKUP(Table3[[#This Row],[SKU]],'All Skus'!$A:$AC,4,FALSE)),""))</f>
        <v>AC-5S-BLK-US</v>
      </c>
      <c r="D5" s="60" t="str">
        <f>(IF((VLOOKUP(Table3[[#This Row],[SKU]],'All Skus'!$A:$AC,2,FALSE))="BSS",(VLOOKUP(Table3[[#This Row],[SKU]],'All Skus'!$A:$AC,5,FALSE)),""))</f>
        <v>BSSLONDON</v>
      </c>
      <c r="E5" s="60">
        <f>(IF((VLOOKUP(Table3[[#This Row],[SKU]],'All Skus'!$A:$AC,2,FALSE))="BSS",(VLOOKUP(Table3[[#This Row],[SKU]],'All Skus'!$A:$AC,6,FALSE)),""))</f>
        <v>0</v>
      </c>
      <c r="F5" s="52">
        <f>(IF((VLOOKUP(Table3[[#This Row],[SKU]],'All Skus'!$A:$AC,2,FALSE))="BSS",(VLOOKUP(Table3[[#This Row],[SKU]],'All Skus'!$A:$AC,7,FALSE)),""))</f>
        <v>0</v>
      </c>
      <c r="G5" s="52" t="str">
        <f>(IF((VLOOKUP(Table3[[#This Row],[SKU]],'All Skus'!$A:$AC,2,FALSE))="BSS",(VLOOKUP(Table3[[#This Row],[SKU]],'All Skus'!$A:$AC,8,FALSE)),""))</f>
        <v>Analog Controller</v>
      </c>
      <c r="H5" s="45" t="str">
        <f>(IF((VLOOKUP(Table3[[#This Row],[SKU]],'All Skus'!$A:$AC,2,FALSE))="BSS",(VLOOKUP(Table3[[#This Row],[SKU]],'All Skus'!$A:$AC,9,FALSE)),""))</f>
        <v xml:space="preserve">Analog Controller with 5 Sources (Black - US) </v>
      </c>
      <c r="I5" s="94">
        <f>(IF((VLOOKUP(Table3[[#This Row],[SKU]],'All Skus'!$A:$AC,2,FALSE))="BSS",(VLOOKUP(Table3[[#This Row],[SKU]],'All Skus'!$A:$AC,10,FALSE)),""))</f>
        <v>113.49</v>
      </c>
      <c r="J5" s="94">
        <f>(IF((VLOOKUP(Table3[[#This Row],[SKU]],'All Skus'!$A:$AC,2,FALSE))="BSS",(VLOOKUP(Table3[[#This Row],[SKU]],'All Skus'!$A:$AC,11,FALSE)),""))</f>
        <v>113.49</v>
      </c>
      <c r="K5" s="60">
        <f>(IF((VLOOKUP(Table3[[#This Row],[SKU]],'All Skus'!$A:$AC,2,FALSE))="BSS",(VLOOKUP(Table3[[#This Row],[SKU]],'All Skus'!$A:$AC,15,FALSE)),""))</f>
        <v>0</v>
      </c>
      <c r="L5" s="47">
        <f>(IF((VLOOKUP(Table3[[#This Row],[SKU]],'All Skus'!$A:$AC,2,FALSE))="BSS",(VLOOKUP(Table3[[#This Row],[SKU]],'All Skus'!$A:$AC,16,FALSE)),""))</f>
        <v>691991600845</v>
      </c>
      <c r="M5" s="60">
        <f>(IF((VLOOKUP(Table3[[#This Row],[SKU]],'All Skus'!$A:$AC,2,FALSE))="BSS",(VLOOKUP(Table3[[#This Row],[SKU]],'All Skus'!$A:$AC,17,FALSE)),""))</f>
        <v>0</v>
      </c>
      <c r="N5" s="64">
        <f>(IF((VLOOKUP(Table3[[#This Row],[SKU]],'All Skus'!$A:$AC,2,FALSE))="BSS",(VLOOKUP(Table3[[#This Row],[SKU]],'All Skus'!$A:$AC,18,FALSE)),""))</f>
        <v>1.5</v>
      </c>
      <c r="O5" s="64">
        <f>(IF((VLOOKUP(Table3[[#This Row],[SKU]],'All Skus'!$A:$AC,2,FALSE))="BSS",(VLOOKUP(Table3[[#This Row],[SKU]],'All Skus'!$A:$AC,19,FALSE)),""))</f>
        <v>10</v>
      </c>
      <c r="P5" s="64">
        <f>(IF((VLOOKUP(Table3[[#This Row],[SKU]],'All Skus'!$A:$AC,2,FALSE))="BSS",(VLOOKUP(Table3[[#This Row],[SKU]],'All Skus'!$A:$AC,20,FALSE)),""))</f>
        <v>4</v>
      </c>
      <c r="Q5" s="64">
        <f>(IF((VLOOKUP(Table3[[#This Row],[SKU]],'All Skus'!$A:$AC,2,FALSE))="BSS",(VLOOKUP(Table3[[#This Row],[SKU]],'All Skus'!$A:$AC,21,FALSE)),""))</f>
        <v>6.5</v>
      </c>
      <c r="R5" s="60" t="str">
        <f>(IF((VLOOKUP(Table3[[#This Row],[SKU]],'All Skus'!$A:$AC,2,FALSE))="BSS",(VLOOKUP(Table3[[#This Row],[SKU]],'All Skus'!$A:$AC,22,FALSE)),""))</f>
        <v>CN</v>
      </c>
      <c r="S5" s="52" t="str">
        <f>(IF((VLOOKUP(Table3[[#This Row],[SKU]],'All Skus'!$A:$AC,2,FALSE))="BSS",(VLOOKUP(Table3[[#This Row],[SKU]],'All Skus'!$A:$AC,23,FALSE)),""))</f>
        <v>Non Compliant</v>
      </c>
      <c r="T5" s="206" t="str">
        <f>HYPERLINK((IF((VLOOKUP(Table3[[#This Row],[SKU]],'All Skus'!$A:$AC,2,FALSE))="BSS",(VLOOKUP(Table3[[#This Row],[SKU]],'All Skus'!$A:$AC,24,FALSE)),"")))</f>
        <v>https://bssaudio.com/en/products/ac-5s</v>
      </c>
      <c r="U5" s="151">
        <v>3</v>
      </c>
    </row>
    <row r="6" spans="1:21" ht="15" customHeight="1">
      <c r="A6" s="48" t="s">
        <v>813</v>
      </c>
      <c r="B6" s="52" t="str">
        <f>(IF((VLOOKUP(Table3[[#This Row],[SKU]],'All Skus'!$A:$AC,2,FALSE))="BSS",(VLOOKUP(Table3[[#This Row],[SKU]],'All Skus'!$A:$AC,3,FALSE)),""))</f>
        <v>Soundweb London Break-In / Break-Out Boxes</v>
      </c>
      <c r="C6" s="52" t="str">
        <f>(IF((VLOOKUP(Table3[[#This Row],[SKU]],'All Skus'!$A:$AC,2,FALSE))="BSS",(VLOOKUP(Table3[[#This Row],[SKU]],'All Skus'!$A:$AC,4,FALSE)),""))</f>
        <v>AC-5S-WHT-US</v>
      </c>
      <c r="D6" s="60" t="str">
        <f>(IF((VLOOKUP(Table3[[#This Row],[SKU]],'All Skus'!$A:$AC,2,FALSE))="BSS",(VLOOKUP(Table3[[#This Row],[SKU]],'All Skus'!$A:$AC,5,FALSE)),""))</f>
        <v>BSSLONDON</v>
      </c>
      <c r="E6" s="60">
        <f>(IF((VLOOKUP(Table3[[#This Row],[SKU]],'All Skus'!$A:$AC,2,FALSE))="BSS",(VLOOKUP(Table3[[#This Row],[SKU]],'All Skus'!$A:$AC,6,FALSE)),""))</f>
        <v>0</v>
      </c>
      <c r="F6" s="52">
        <f>(IF((VLOOKUP(Table3[[#This Row],[SKU]],'All Skus'!$A:$AC,2,FALSE))="BSS",(VLOOKUP(Table3[[#This Row],[SKU]],'All Skus'!$A:$AC,7,FALSE)),""))</f>
        <v>0</v>
      </c>
      <c r="G6" s="52" t="str">
        <f>(IF((VLOOKUP(Table3[[#This Row],[SKU]],'All Skus'!$A:$AC,2,FALSE))="BSS",(VLOOKUP(Table3[[#This Row],[SKU]],'All Skus'!$A:$AC,8,FALSE)),""))</f>
        <v>Analog Controller</v>
      </c>
      <c r="H6" s="45" t="str">
        <f>(IF((VLOOKUP(Table3[[#This Row],[SKU]],'All Skus'!$A:$AC,2,FALSE))="BSS",(VLOOKUP(Table3[[#This Row],[SKU]],'All Skus'!$A:$AC,9,FALSE)),""))</f>
        <v xml:space="preserve">Analog Controller with 5 Sources (White - US) </v>
      </c>
      <c r="I6" s="94">
        <f>(IF((VLOOKUP(Table3[[#This Row],[SKU]],'All Skus'!$A:$AC,2,FALSE))="BSS",(VLOOKUP(Table3[[#This Row],[SKU]],'All Skus'!$A:$AC,10,FALSE)),""))</f>
        <v>105.04</v>
      </c>
      <c r="J6" s="94">
        <f>(IF((VLOOKUP(Table3[[#This Row],[SKU]],'All Skus'!$A:$AC,2,FALSE))="BSS",(VLOOKUP(Table3[[#This Row],[SKU]],'All Skus'!$A:$AC,11,FALSE)),""))</f>
        <v>82</v>
      </c>
      <c r="K6" s="60">
        <f>(IF((VLOOKUP(Table3[[#This Row],[SKU]],'All Skus'!$A:$AC,2,FALSE))="BSS",(VLOOKUP(Table3[[#This Row],[SKU]],'All Skus'!$A:$AC,15,FALSE)),""))</f>
        <v>0</v>
      </c>
      <c r="L6" s="47">
        <f>(IF((VLOOKUP(Table3[[#This Row],[SKU]],'All Skus'!$A:$AC,2,FALSE))="BSS",(VLOOKUP(Table3[[#This Row],[SKU]],'All Skus'!$A:$AC,16,FALSE)),""))</f>
        <v>691991600838</v>
      </c>
      <c r="M6" s="60">
        <f>(IF((VLOOKUP(Table3[[#This Row],[SKU]],'All Skus'!$A:$AC,2,FALSE))="BSS",(VLOOKUP(Table3[[#This Row],[SKU]],'All Skus'!$A:$AC,17,FALSE)),""))</f>
        <v>0</v>
      </c>
      <c r="N6" s="64">
        <f>(IF((VLOOKUP(Table3[[#This Row],[SKU]],'All Skus'!$A:$AC,2,FALSE))="BSS",(VLOOKUP(Table3[[#This Row],[SKU]],'All Skus'!$A:$AC,18,FALSE)),""))</f>
        <v>1</v>
      </c>
      <c r="O6" s="64">
        <f>(IF((VLOOKUP(Table3[[#This Row],[SKU]],'All Skus'!$A:$AC,2,FALSE))="BSS",(VLOOKUP(Table3[[#This Row],[SKU]],'All Skus'!$A:$AC,19,FALSE)),""))</f>
        <v>10</v>
      </c>
      <c r="P6" s="64">
        <f>(IF((VLOOKUP(Table3[[#This Row],[SKU]],'All Skus'!$A:$AC,2,FALSE))="BSS",(VLOOKUP(Table3[[#This Row],[SKU]],'All Skus'!$A:$AC,20,FALSE)),""))</f>
        <v>4</v>
      </c>
      <c r="Q6" s="64">
        <f>(IF((VLOOKUP(Table3[[#This Row],[SKU]],'All Skus'!$A:$AC,2,FALSE))="BSS",(VLOOKUP(Table3[[#This Row],[SKU]],'All Skus'!$A:$AC,21,FALSE)),""))</f>
        <v>6.5</v>
      </c>
      <c r="R6" s="60" t="str">
        <f>(IF((VLOOKUP(Table3[[#This Row],[SKU]],'All Skus'!$A:$AC,2,FALSE))="BSS",(VLOOKUP(Table3[[#This Row],[SKU]],'All Skus'!$A:$AC,22,FALSE)),""))</f>
        <v>CN</v>
      </c>
      <c r="S6" s="52" t="str">
        <f>(IF((VLOOKUP(Table3[[#This Row],[SKU]],'All Skus'!$A:$AC,2,FALSE))="BSS",(VLOOKUP(Table3[[#This Row],[SKU]],'All Skus'!$A:$AC,23,FALSE)),""))</f>
        <v>Non Compliant</v>
      </c>
      <c r="T6" s="206" t="str">
        <f>HYPERLINK((IF((VLOOKUP(Table3[[#This Row],[SKU]],'All Skus'!$A:$AC,2,FALSE))="BSS",(VLOOKUP(Table3[[#This Row],[SKU]],'All Skus'!$A:$AC,24,FALSE)),"")))</f>
        <v>https://bssaudio.com/en/products/ac-5s</v>
      </c>
      <c r="U6" s="151">
        <v>4</v>
      </c>
    </row>
    <row r="7" spans="1:21" ht="15" customHeight="1">
      <c r="A7" s="48" t="s">
        <v>814</v>
      </c>
      <c r="B7" s="52" t="str">
        <f>(IF((VLOOKUP(Table3[[#This Row],[SKU]],'All Skus'!$A:$AC,2,FALSE))="BSS",(VLOOKUP(Table3[[#This Row],[SKU]],'All Skus'!$A:$AC,3,FALSE)),""))</f>
        <v>Soundweb London Input/Output Cards</v>
      </c>
      <c r="C7" s="52" t="str">
        <f>(IF((VLOOKUP(Table3[[#This Row],[SKU]],'All Skus'!$A:$AC,2,FALSE))="BSS",(VLOOKUP(Table3[[#This Row],[SKU]],'All Skus'!$A:$AC,4,FALSE)),""))</f>
        <v>AC-V-BLK-US</v>
      </c>
      <c r="D7" s="60" t="str">
        <f>(IF((VLOOKUP(Table3[[#This Row],[SKU]],'All Skus'!$A:$AC,2,FALSE))="BSS",(VLOOKUP(Table3[[#This Row],[SKU]],'All Skus'!$A:$AC,5,FALSE)),""))</f>
        <v>BSSLONDON</v>
      </c>
      <c r="E7" s="60">
        <f>(IF((VLOOKUP(Table3[[#This Row],[SKU]],'All Skus'!$A:$AC,2,FALSE))="BSS",(VLOOKUP(Table3[[#This Row],[SKU]],'All Skus'!$A:$AC,6,FALSE)),""))</f>
        <v>0</v>
      </c>
      <c r="F7" s="52">
        <f>(IF((VLOOKUP(Table3[[#This Row],[SKU]],'All Skus'!$A:$AC,2,FALSE))="BSS",(VLOOKUP(Table3[[#This Row],[SKU]],'All Skus'!$A:$AC,7,FALSE)),""))</f>
        <v>0</v>
      </c>
      <c r="G7" s="52" t="str">
        <f>(IF((VLOOKUP(Table3[[#This Row],[SKU]],'All Skus'!$A:$AC,2,FALSE))="BSS",(VLOOKUP(Table3[[#This Row],[SKU]],'All Skus'!$A:$AC,8,FALSE)),""))</f>
        <v>Analog Controller</v>
      </c>
      <c r="H7" s="45" t="str">
        <f>(IF((VLOOKUP(Table3[[#This Row],[SKU]],'All Skus'!$A:$AC,2,FALSE))="BSS",(VLOOKUP(Table3[[#This Row],[SKU]],'All Skus'!$A:$AC,9,FALSE)),""))</f>
        <v xml:space="preserve">Analog Controller with Volume (Black - US) </v>
      </c>
      <c r="I7" s="94">
        <f>(IF((VLOOKUP(Table3[[#This Row],[SKU]],'All Skus'!$A:$AC,2,FALSE))="BSS",(VLOOKUP(Table3[[#This Row],[SKU]],'All Skus'!$A:$AC,10,FALSE)),""))</f>
        <v>105.04</v>
      </c>
      <c r="J7" s="94">
        <f>(IF((VLOOKUP(Table3[[#This Row],[SKU]],'All Skus'!$A:$AC,2,FALSE))="BSS",(VLOOKUP(Table3[[#This Row],[SKU]],'All Skus'!$A:$AC,11,FALSE)),""))</f>
        <v>82</v>
      </c>
      <c r="K7" s="60">
        <f>(IF((VLOOKUP(Table3[[#This Row],[SKU]],'All Skus'!$A:$AC,2,FALSE))="BSS",(VLOOKUP(Table3[[#This Row],[SKU]],'All Skus'!$A:$AC,15,FALSE)),""))</f>
        <v>0</v>
      </c>
      <c r="L7" s="47">
        <f>(IF((VLOOKUP(Table3[[#This Row],[SKU]],'All Skus'!$A:$AC,2,FALSE))="BSS",(VLOOKUP(Table3[[#This Row],[SKU]],'All Skus'!$A:$AC,16,FALSE)),""))</f>
        <v>691991600821</v>
      </c>
      <c r="M7" s="60">
        <f>(IF((VLOOKUP(Table3[[#This Row],[SKU]],'All Skus'!$A:$AC,2,FALSE))="BSS",(VLOOKUP(Table3[[#This Row],[SKU]],'All Skus'!$A:$AC,17,FALSE)),""))</f>
        <v>0</v>
      </c>
      <c r="N7" s="64">
        <f>(IF((VLOOKUP(Table3[[#This Row],[SKU]],'All Skus'!$A:$AC,2,FALSE))="BSS",(VLOOKUP(Table3[[#This Row],[SKU]],'All Skus'!$A:$AC,18,FALSE)),""))</f>
        <v>1</v>
      </c>
      <c r="O7" s="64">
        <f>(IF((VLOOKUP(Table3[[#This Row],[SKU]],'All Skus'!$A:$AC,2,FALSE))="BSS",(VLOOKUP(Table3[[#This Row],[SKU]],'All Skus'!$A:$AC,19,FALSE)),""))</f>
        <v>10</v>
      </c>
      <c r="P7" s="64">
        <f>(IF((VLOOKUP(Table3[[#This Row],[SKU]],'All Skus'!$A:$AC,2,FALSE))="BSS",(VLOOKUP(Table3[[#This Row],[SKU]],'All Skus'!$A:$AC,20,FALSE)),""))</f>
        <v>4</v>
      </c>
      <c r="Q7" s="64">
        <f>(IF((VLOOKUP(Table3[[#This Row],[SKU]],'All Skus'!$A:$AC,2,FALSE))="BSS",(VLOOKUP(Table3[[#This Row],[SKU]],'All Skus'!$A:$AC,21,FALSE)),""))</f>
        <v>6.5</v>
      </c>
      <c r="R7" s="60" t="str">
        <f>(IF((VLOOKUP(Table3[[#This Row],[SKU]],'All Skus'!$A:$AC,2,FALSE))="BSS",(VLOOKUP(Table3[[#This Row],[SKU]],'All Skus'!$A:$AC,22,FALSE)),""))</f>
        <v>CN</v>
      </c>
      <c r="S7" s="52" t="str">
        <f>(IF((VLOOKUP(Table3[[#This Row],[SKU]],'All Skus'!$A:$AC,2,FALSE))="BSS",(VLOOKUP(Table3[[#This Row],[SKU]],'All Skus'!$A:$AC,23,FALSE)),""))</f>
        <v>Non Compliant</v>
      </c>
      <c r="T7" s="206" t="str">
        <f>HYPERLINK((IF((VLOOKUP(Table3[[#This Row],[SKU]],'All Skus'!$A:$AC,2,FALSE))="BSS",(VLOOKUP(Table3[[#This Row],[SKU]],'All Skus'!$A:$AC,24,FALSE)),"")))</f>
        <v>https://bssaudio.com/en/products/ac-v</v>
      </c>
      <c r="U7" s="151">
        <v>5</v>
      </c>
    </row>
    <row r="8" spans="1:21" ht="15" customHeight="1">
      <c r="A8" s="48" t="s">
        <v>815</v>
      </c>
      <c r="B8" s="52" t="str">
        <f>(IF((VLOOKUP(Table3[[#This Row],[SKU]],'All Skus'!$A:$AC,2,FALSE))="BSS",(VLOOKUP(Table3[[#This Row],[SKU]],'All Skus'!$A:$AC,3,FALSE)),""))</f>
        <v>BLU806+AE67 : BLU808 +SVSi</v>
      </c>
      <c r="C8" s="52" t="str">
        <f>(IF((VLOOKUP(Table3[[#This Row],[SKU]],'All Skus'!$A:$AC,2,FALSE))="BSS",(VLOOKUP(Table3[[#This Row],[SKU]],'All Skus'!$A:$AC,4,FALSE)),""))</f>
        <v>AC-V-WHT-US</v>
      </c>
      <c r="D8" s="60" t="str">
        <f>(IF((VLOOKUP(Table3[[#This Row],[SKU]],'All Skus'!$A:$AC,2,FALSE))="BSS",(VLOOKUP(Table3[[#This Row],[SKU]],'All Skus'!$A:$AC,5,FALSE)),""))</f>
        <v>BSSLONDON</v>
      </c>
      <c r="E8" s="60">
        <f>(IF((VLOOKUP(Table3[[#This Row],[SKU]],'All Skus'!$A:$AC,2,FALSE))="BSS",(VLOOKUP(Table3[[#This Row],[SKU]],'All Skus'!$A:$AC,6,FALSE)),""))</f>
        <v>0</v>
      </c>
      <c r="F8" s="52">
        <f>(IF((VLOOKUP(Table3[[#This Row],[SKU]],'All Skus'!$A:$AC,2,FALSE))="BSS",(VLOOKUP(Table3[[#This Row],[SKU]],'All Skus'!$A:$AC,7,FALSE)),""))</f>
        <v>0</v>
      </c>
      <c r="G8" s="52" t="str">
        <f>(IF((VLOOKUP(Table3[[#This Row],[SKU]],'All Skus'!$A:$AC,2,FALSE))="BSS",(VLOOKUP(Table3[[#This Row],[SKU]],'All Skus'!$A:$AC,8,FALSE)),""))</f>
        <v>Analog Controller</v>
      </c>
      <c r="H8" s="45" t="str">
        <f>(IF((VLOOKUP(Table3[[#This Row],[SKU]],'All Skus'!$A:$AC,2,FALSE))="BSS",(VLOOKUP(Table3[[#This Row],[SKU]],'All Skus'!$A:$AC,9,FALSE)),""))</f>
        <v xml:space="preserve">Analog Controller with Volume (White - US) </v>
      </c>
      <c r="I8" s="94">
        <f>(IF((VLOOKUP(Table3[[#This Row],[SKU]],'All Skus'!$A:$AC,2,FALSE))="BSS",(VLOOKUP(Table3[[#This Row],[SKU]],'All Skus'!$A:$AC,10,FALSE)),""))</f>
        <v>105.04</v>
      </c>
      <c r="J8" s="94">
        <f>(IF((VLOOKUP(Table3[[#This Row],[SKU]],'All Skus'!$A:$AC,2,FALSE))="BSS",(VLOOKUP(Table3[[#This Row],[SKU]],'All Skus'!$A:$AC,11,FALSE)),""))</f>
        <v>82</v>
      </c>
      <c r="K8" s="60">
        <f>(IF((VLOOKUP(Table3[[#This Row],[SKU]],'All Skus'!$A:$AC,2,FALSE))="BSS",(VLOOKUP(Table3[[#This Row],[SKU]],'All Skus'!$A:$AC,15,FALSE)),""))</f>
        <v>0</v>
      </c>
      <c r="L8" s="47">
        <f>(IF((VLOOKUP(Table3[[#This Row],[SKU]],'All Skus'!$A:$AC,2,FALSE))="BSS",(VLOOKUP(Table3[[#This Row],[SKU]],'All Skus'!$A:$AC,16,FALSE)),""))</f>
        <v>691991600814</v>
      </c>
      <c r="M8" s="60">
        <f>(IF((VLOOKUP(Table3[[#This Row],[SKU]],'All Skus'!$A:$AC,2,FALSE))="BSS",(VLOOKUP(Table3[[#This Row],[SKU]],'All Skus'!$A:$AC,17,FALSE)),""))</f>
        <v>0</v>
      </c>
      <c r="N8" s="64">
        <f>(IF((VLOOKUP(Table3[[#This Row],[SKU]],'All Skus'!$A:$AC,2,FALSE))="BSS",(VLOOKUP(Table3[[#This Row],[SKU]],'All Skus'!$A:$AC,18,FALSE)),""))</f>
        <v>1</v>
      </c>
      <c r="O8" s="64">
        <f>(IF((VLOOKUP(Table3[[#This Row],[SKU]],'All Skus'!$A:$AC,2,FALSE))="BSS",(VLOOKUP(Table3[[#This Row],[SKU]],'All Skus'!$A:$AC,19,FALSE)),""))</f>
        <v>10</v>
      </c>
      <c r="P8" s="64">
        <f>(IF((VLOOKUP(Table3[[#This Row],[SKU]],'All Skus'!$A:$AC,2,FALSE))="BSS",(VLOOKUP(Table3[[#This Row],[SKU]],'All Skus'!$A:$AC,20,FALSE)),""))</f>
        <v>4</v>
      </c>
      <c r="Q8" s="64">
        <f>(IF((VLOOKUP(Table3[[#This Row],[SKU]],'All Skus'!$A:$AC,2,FALSE))="BSS",(VLOOKUP(Table3[[#This Row],[SKU]],'All Skus'!$A:$AC,21,FALSE)),""))</f>
        <v>6.5</v>
      </c>
      <c r="R8" s="60" t="str">
        <f>(IF((VLOOKUP(Table3[[#This Row],[SKU]],'All Skus'!$A:$AC,2,FALSE))="BSS",(VLOOKUP(Table3[[#This Row],[SKU]],'All Skus'!$A:$AC,22,FALSE)),""))</f>
        <v>CN</v>
      </c>
      <c r="S8" s="52" t="str">
        <f>(IF((VLOOKUP(Table3[[#This Row],[SKU]],'All Skus'!$A:$AC,2,FALSE))="BSS",(VLOOKUP(Table3[[#This Row],[SKU]],'All Skus'!$A:$AC,23,FALSE)),""))</f>
        <v>Non Compliant</v>
      </c>
      <c r="T8" s="206" t="str">
        <f>HYPERLINK((IF((VLOOKUP(Table3[[#This Row],[SKU]],'All Skus'!$A:$AC,2,FALSE))="BSS",(VLOOKUP(Table3[[#This Row],[SKU]],'All Skus'!$A:$AC,24,FALSE)),"")))</f>
        <v>https://bssaudio.com/en/products/ac-v</v>
      </c>
      <c r="U8" s="151">
        <v>6</v>
      </c>
    </row>
    <row r="9" spans="1:21" ht="15" customHeight="1">
      <c r="A9" s="48" t="s">
        <v>816</v>
      </c>
      <c r="B9" s="52" t="str">
        <f>(IF((VLOOKUP(Table3[[#This Row],[SKU]],'All Skus'!$A:$AC,2,FALSE))="BSS",(VLOOKUP(Table3[[#This Row],[SKU]],'All Skus'!$A:$AC,3,FALSE)),""))</f>
        <v>Soundweb London Input/Output Cards</v>
      </c>
      <c r="C9" s="52" t="str">
        <f>(IF((VLOOKUP(Table3[[#This Row],[SKU]],'All Skus'!$A:$AC,2,FALSE))="BSS",(VLOOKUP(Table3[[#This Row],[SKU]],'All Skus'!$A:$AC,4,FALSE)),""))</f>
        <v>AR-133</v>
      </c>
      <c r="D9" s="60" t="str">
        <f>(IF((VLOOKUP(Table3[[#This Row],[SKU]],'All Skus'!$A:$AC,2,FALSE))="BSS",(VLOOKUP(Table3[[#This Row],[SKU]],'All Skus'!$A:$AC,5,FALSE)),""))</f>
        <v>BSSACC</v>
      </c>
      <c r="E9" s="60">
        <f>(IF((VLOOKUP(Table3[[#This Row],[SKU]],'All Skus'!$A:$AC,2,FALSE))="BSS",(VLOOKUP(Table3[[#This Row],[SKU]],'All Skus'!$A:$AC,6,FALSE)),""))</f>
        <v>0</v>
      </c>
      <c r="F9" s="52">
        <f>(IF((VLOOKUP(Table3[[#This Row],[SKU]],'All Skus'!$A:$AC,2,FALSE))="BSS",(VLOOKUP(Table3[[#This Row],[SKU]],'All Skus'!$A:$AC,7,FALSE)),""))</f>
        <v>0</v>
      </c>
      <c r="G9" s="52" t="str">
        <f>(IF((VLOOKUP(Table3[[#This Row],[SKU]],'All Skus'!$A:$AC,2,FALSE))="BSS",(VLOOKUP(Table3[[#This Row],[SKU]],'All Skus'!$A:$AC,8,FALSE)),""))</f>
        <v>DI box</v>
      </c>
      <c r="H9" s="45" t="str">
        <f>(IF((VLOOKUP(Table3[[#This Row],[SKU]],'All Skus'!$A:$AC,2,FALSE))="BSS",(VLOOKUP(Table3[[#This Row],[SKU]],'All Skus'!$A:$AC,9,FALSE)),""))</f>
        <v>Active Direct Injection (DI) box  (1 - 5 pcs.)</v>
      </c>
      <c r="I9" s="94">
        <f>(IF((VLOOKUP(Table3[[#This Row],[SKU]],'All Skus'!$A:$AC,2,FALSE))="BSS",(VLOOKUP(Table3[[#This Row],[SKU]],'All Skus'!$A:$AC,10,FALSE)),""))</f>
        <v>234.09</v>
      </c>
      <c r="J9" s="94">
        <f>(IF((VLOOKUP(Table3[[#This Row],[SKU]],'All Skus'!$A:$AC,2,FALSE))="BSS",(VLOOKUP(Table3[[#This Row],[SKU]],'All Skus'!$A:$AC,11,FALSE)),""))</f>
        <v>232</v>
      </c>
      <c r="K9" s="60">
        <f>(IF((VLOOKUP(Table3[[#This Row],[SKU]],'All Skus'!$A:$AC,2,FALSE))="BSS",(VLOOKUP(Table3[[#This Row],[SKU]],'All Skus'!$A:$AC,15,FALSE)),""))</f>
        <v>6</v>
      </c>
      <c r="L9" s="47">
        <f>(IF((VLOOKUP(Table3[[#This Row],[SKU]],'All Skus'!$A:$AC,2,FALSE))="BSS",(VLOOKUP(Table3[[#This Row],[SKU]],'All Skus'!$A:$AC,16,FALSE)),""))</f>
        <v>691991600005</v>
      </c>
      <c r="M9" s="60">
        <f>(IF((VLOOKUP(Table3[[#This Row],[SKU]],'All Skus'!$A:$AC,2,FALSE))="BSS",(VLOOKUP(Table3[[#This Row],[SKU]],'All Skus'!$A:$AC,17,FALSE)),""))</f>
        <v>0</v>
      </c>
      <c r="N9" s="64">
        <f>(IF((VLOOKUP(Table3[[#This Row],[SKU]],'All Skus'!$A:$AC,2,FALSE))="BSS",(VLOOKUP(Table3[[#This Row],[SKU]],'All Skus'!$A:$AC,18,FALSE)),""))</f>
        <v>1.5</v>
      </c>
      <c r="O9" s="64">
        <f>(IF((VLOOKUP(Table3[[#This Row],[SKU]],'All Skus'!$A:$AC,2,FALSE))="BSS",(VLOOKUP(Table3[[#This Row],[SKU]],'All Skus'!$A:$AC,19,FALSE)),""))</f>
        <v>8.5</v>
      </c>
      <c r="P9" s="64">
        <f>(IF((VLOOKUP(Table3[[#This Row],[SKU]],'All Skus'!$A:$AC,2,FALSE))="BSS",(VLOOKUP(Table3[[#This Row],[SKU]],'All Skus'!$A:$AC,20,FALSE)),""))</f>
        <v>2.5</v>
      </c>
      <c r="Q9" s="64">
        <f>(IF((VLOOKUP(Table3[[#This Row],[SKU]],'All Skus'!$A:$AC,2,FALSE))="BSS",(VLOOKUP(Table3[[#This Row],[SKU]],'All Skus'!$A:$AC,21,FALSE)),""))</f>
        <v>7.4</v>
      </c>
      <c r="R9" s="60" t="str">
        <f>(IF((VLOOKUP(Table3[[#This Row],[SKU]],'All Skus'!$A:$AC,2,FALSE))="BSS",(VLOOKUP(Table3[[#This Row],[SKU]],'All Skus'!$A:$AC,22,FALSE)),""))</f>
        <v>CN</v>
      </c>
      <c r="S9" s="52" t="str">
        <f>(IF((VLOOKUP(Table3[[#This Row],[SKU]],'All Skus'!$A:$AC,2,FALSE))="BSS",(VLOOKUP(Table3[[#This Row],[SKU]],'All Skus'!$A:$AC,23,FALSE)),""))</f>
        <v>Non Compliant</v>
      </c>
      <c r="T9" s="206" t="str">
        <f>HYPERLINK((IF((VLOOKUP(Table3[[#This Row],[SKU]],'All Skus'!$A:$AC,2,FALSE))="BSS",(VLOOKUP(Table3[[#This Row],[SKU]],'All Skus'!$A:$AC,24,FALSE)),"")))</f>
        <v>http://bssaudio.com/en-US/products/ar-133</v>
      </c>
      <c r="U9" s="151">
        <v>7</v>
      </c>
    </row>
    <row r="10" spans="1:21" ht="15" customHeight="1">
      <c r="A10" s="48" t="s">
        <v>817</v>
      </c>
      <c r="B10" s="52" t="str">
        <f>(IF((VLOOKUP(Table3[[#This Row],[SKU]],'All Skus'!$A:$AC,2,FALSE))="BSS",(VLOOKUP(Table3[[#This Row],[SKU]],'All Skus'!$A:$AC,3,FALSE)),""))</f>
        <v>Soundweb London Input/Output Cards</v>
      </c>
      <c r="C10" s="52" t="str">
        <f>(IF((VLOOKUP(Table3[[#This Row],[SKU]],'All Skus'!$A:$AC,2,FALSE))="BSS",(VLOOKUP(Table3[[#This Row],[SKU]],'All Skus'!$A:$AC,4,FALSE)),""))</f>
        <v>BLU-100</v>
      </c>
      <c r="D10" s="60" t="str">
        <f>(IF((VLOOKUP(Table3[[#This Row],[SKU]],'All Skus'!$A:$AC,2,FALSE))="BSS",(VLOOKUP(Table3[[#This Row],[SKU]],'All Skus'!$A:$AC,5,FALSE)),""))</f>
        <v>BSSLONDON</v>
      </c>
      <c r="E10" s="60">
        <f>(IF((VLOOKUP(Table3[[#This Row],[SKU]],'All Skus'!$A:$AC,2,FALSE))="BSS",(VLOOKUP(Table3[[#This Row],[SKU]],'All Skus'!$A:$AC,6,FALSE)),""))</f>
        <v>0</v>
      </c>
      <c r="F10" s="52">
        <f>(IF((VLOOKUP(Table3[[#This Row],[SKU]],'All Skus'!$A:$AC,2,FALSE))="BSS",(VLOOKUP(Table3[[#This Row],[SKU]],'All Skus'!$A:$AC,7,FALSE)),""))</f>
        <v>0</v>
      </c>
      <c r="G10" s="52" t="str">
        <f>(IF((VLOOKUP(Table3[[#This Row],[SKU]],'All Skus'!$A:$AC,2,FALSE))="BSS",(VLOOKUP(Table3[[#This Row],[SKU]],'All Skus'!$A:$AC,8,FALSE)),""))</f>
        <v>I/O device</v>
      </c>
      <c r="H10" s="45" t="str">
        <f>(IF((VLOOKUP(Table3[[#This Row],[SKU]],'All Skus'!$A:$AC,2,FALSE))="BSS",(VLOOKUP(Table3[[#This Row],[SKU]],'All Skus'!$A:$AC,9,FALSE)),""))</f>
        <v>12 analog mic/line input, 8 analog output, networked signal processor w/ BLU link</v>
      </c>
      <c r="I10" s="94">
        <f>(IF((VLOOKUP(Table3[[#This Row],[SKU]],'All Skus'!$A:$AC,2,FALSE))="BSS",(VLOOKUP(Table3[[#This Row],[SKU]],'All Skus'!$A:$AC,10,FALSE)),""))</f>
        <v>3151.43</v>
      </c>
      <c r="J10" s="94">
        <f>(IF((VLOOKUP(Table3[[#This Row],[SKU]],'All Skus'!$A:$AC,2,FALSE))="BSS",(VLOOKUP(Table3[[#This Row],[SKU]],'All Skus'!$A:$AC,11,FALSE)),""))</f>
        <v>3151.43</v>
      </c>
      <c r="K10" s="60">
        <f>(IF((VLOOKUP(Table3[[#This Row],[SKU]],'All Skus'!$A:$AC,2,FALSE))="BSS",(VLOOKUP(Table3[[#This Row],[SKU]],'All Skus'!$A:$AC,15,FALSE)),""))</f>
        <v>0</v>
      </c>
      <c r="L10" s="47">
        <f>(IF((VLOOKUP(Table3[[#This Row],[SKU]],'All Skus'!$A:$AC,2,FALSE))="BSS",(VLOOKUP(Table3[[#This Row],[SKU]],'All Skus'!$A:$AC,16,FALSE)),""))</f>
        <v>691991004223</v>
      </c>
      <c r="M10" s="60">
        <f>(IF((VLOOKUP(Table3[[#This Row],[SKU]],'All Skus'!$A:$AC,2,FALSE))="BSS",(VLOOKUP(Table3[[#This Row],[SKU]],'All Skus'!$A:$AC,17,FALSE)),""))</f>
        <v>0</v>
      </c>
      <c r="N10" s="64">
        <f>(IF((VLOOKUP(Table3[[#This Row],[SKU]],'All Skus'!$A:$AC,2,FALSE))="BSS",(VLOOKUP(Table3[[#This Row],[SKU]],'All Skus'!$A:$AC,18,FALSE)),""))</f>
        <v>10</v>
      </c>
      <c r="O10" s="64">
        <f>(IF((VLOOKUP(Table3[[#This Row],[SKU]],'All Skus'!$A:$AC,2,FALSE))="BSS",(VLOOKUP(Table3[[#This Row],[SKU]],'All Skus'!$A:$AC,19,FALSE)),""))</f>
        <v>24</v>
      </c>
      <c r="P10" s="64">
        <f>(IF((VLOOKUP(Table3[[#This Row],[SKU]],'All Skus'!$A:$AC,2,FALSE))="BSS",(VLOOKUP(Table3[[#This Row],[SKU]],'All Skus'!$A:$AC,20,FALSE)),""))</f>
        <v>15.7</v>
      </c>
      <c r="Q10" s="64">
        <f>(IF((VLOOKUP(Table3[[#This Row],[SKU]],'All Skus'!$A:$AC,2,FALSE))="BSS",(VLOOKUP(Table3[[#This Row],[SKU]],'All Skus'!$A:$AC,21,FALSE)),""))</f>
        <v>4.5</v>
      </c>
      <c r="R10" s="60" t="str">
        <f>(IF((VLOOKUP(Table3[[#This Row],[SKU]],'All Skus'!$A:$AC,2,FALSE))="BSS",(VLOOKUP(Table3[[#This Row],[SKU]],'All Skus'!$A:$AC,22,FALSE)),""))</f>
        <v>MY</v>
      </c>
      <c r="S10" s="52" t="str">
        <f>(IF((VLOOKUP(Table3[[#This Row],[SKU]],'All Skus'!$A:$AC,2,FALSE))="BSS",(VLOOKUP(Table3[[#This Row],[SKU]],'All Skus'!$A:$AC,23,FALSE)),""))</f>
        <v>Compliant</v>
      </c>
      <c r="T10" s="206" t="str">
        <f>HYPERLINK((IF((VLOOKUP(Table3[[#This Row],[SKU]],'All Skus'!$A:$AC,2,FALSE))="BSS",(VLOOKUP(Table3[[#This Row],[SKU]],'All Skus'!$A:$AC,24,FALSE)),"")))</f>
        <v>https://bssaudio.com/en/products/blu-100</v>
      </c>
      <c r="U10" s="151">
        <v>8</v>
      </c>
    </row>
    <row r="11" spans="1:21" ht="15" customHeight="1">
      <c r="A11" s="48" t="s">
        <v>818</v>
      </c>
      <c r="B11" s="52" t="str">
        <f>(IF((VLOOKUP(Table3[[#This Row],[SKU]],'All Skus'!$A:$AC,2,FALSE))="BSS",(VLOOKUP(Table3[[#This Row],[SKU]],'All Skus'!$A:$AC,3,FALSE)),""))</f>
        <v>Soundweb London Accessories</v>
      </c>
      <c r="C11" s="52" t="str">
        <f>(IF((VLOOKUP(Table3[[#This Row],[SKU]],'All Skus'!$A:$AC,2,FALSE))="BSS",(VLOOKUP(Table3[[#This Row],[SKU]],'All Skus'!$A:$AC,4,FALSE)),""))</f>
        <v>BLU-101</v>
      </c>
      <c r="D11" s="60" t="str">
        <f>(IF((VLOOKUP(Table3[[#This Row],[SKU]],'All Skus'!$A:$AC,2,FALSE))="BSS",(VLOOKUP(Table3[[#This Row],[SKU]],'All Skus'!$A:$AC,5,FALSE)),""))</f>
        <v>BSSLONDON</v>
      </c>
      <c r="E11" s="60">
        <f>(IF((VLOOKUP(Table3[[#This Row],[SKU]],'All Skus'!$A:$AC,2,FALSE))="BSS",(VLOOKUP(Table3[[#This Row],[SKU]],'All Skus'!$A:$AC,6,FALSE)),""))</f>
        <v>0</v>
      </c>
      <c r="F11" s="52">
        <f>(IF((VLOOKUP(Table3[[#This Row],[SKU]],'All Skus'!$A:$AC,2,FALSE))="BSS",(VLOOKUP(Table3[[#This Row],[SKU]],'All Skus'!$A:$AC,7,FALSE)),""))</f>
        <v>0</v>
      </c>
      <c r="G11" s="52" t="str">
        <f>(IF((VLOOKUP(Table3[[#This Row],[SKU]],'All Skus'!$A:$AC,2,FALSE))="BSS",(VLOOKUP(Table3[[#This Row],[SKU]],'All Skus'!$A:$AC,8,FALSE)),""))</f>
        <v>I/O device</v>
      </c>
      <c r="H11" s="45" t="str">
        <f>(IF((VLOOKUP(Table3[[#This Row],[SKU]],'All Skus'!$A:$AC,2,FALSE))="BSS",(VLOOKUP(Table3[[#This Row],[SKU]],'All Skus'!$A:$AC,9,FALSE)),""))</f>
        <v>12 analog mic/line input, 8 analog output, networked signal processor w/ 12 independent AEC algorithms &amp; BLU link</v>
      </c>
      <c r="I11" s="94">
        <f>(IF((VLOOKUP(Table3[[#This Row],[SKU]],'All Skus'!$A:$AC,2,FALSE))="BSS",(VLOOKUP(Table3[[#This Row],[SKU]],'All Skus'!$A:$AC,10,FALSE)),""))</f>
        <v>4247.37</v>
      </c>
      <c r="J11" s="94">
        <f>(IF((VLOOKUP(Table3[[#This Row],[SKU]],'All Skus'!$A:$AC,2,FALSE))="BSS",(VLOOKUP(Table3[[#This Row],[SKU]],'All Skus'!$A:$AC,11,FALSE)),""))</f>
        <v>4247.37</v>
      </c>
      <c r="K11" s="60">
        <f>(IF((VLOOKUP(Table3[[#This Row],[SKU]],'All Skus'!$A:$AC,2,FALSE))="BSS",(VLOOKUP(Table3[[#This Row],[SKU]],'All Skus'!$A:$AC,15,FALSE)),""))</f>
        <v>0</v>
      </c>
      <c r="L11" s="47">
        <f>(IF((VLOOKUP(Table3[[#This Row],[SKU]],'All Skus'!$A:$AC,2,FALSE))="BSS",(VLOOKUP(Table3[[#This Row],[SKU]],'All Skus'!$A:$AC,16,FALSE)),""))</f>
        <v>0</v>
      </c>
      <c r="M11" s="60">
        <f>(IF((VLOOKUP(Table3[[#This Row],[SKU]],'All Skus'!$A:$AC,2,FALSE))="BSS",(VLOOKUP(Table3[[#This Row],[SKU]],'All Skus'!$A:$AC,17,FALSE)),""))</f>
        <v>0</v>
      </c>
      <c r="N11" s="64">
        <f>(IF((VLOOKUP(Table3[[#This Row],[SKU]],'All Skus'!$A:$AC,2,FALSE))="BSS",(VLOOKUP(Table3[[#This Row],[SKU]],'All Skus'!$A:$AC,18,FALSE)),""))</f>
        <v>13.5</v>
      </c>
      <c r="O11" s="64">
        <f>(IF((VLOOKUP(Table3[[#This Row],[SKU]],'All Skus'!$A:$AC,2,FALSE))="BSS",(VLOOKUP(Table3[[#This Row],[SKU]],'All Skus'!$A:$AC,19,FALSE)),""))</f>
        <v>24.75</v>
      </c>
      <c r="P11" s="64">
        <f>(IF((VLOOKUP(Table3[[#This Row],[SKU]],'All Skus'!$A:$AC,2,FALSE))="BSS",(VLOOKUP(Table3[[#This Row],[SKU]],'All Skus'!$A:$AC,20,FALSE)),""))</f>
        <v>4.5</v>
      </c>
      <c r="Q11" s="64">
        <f>(IF((VLOOKUP(Table3[[#This Row],[SKU]],'All Skus'!$A:$AC,2,FALSE))="BSS",(VLOOKUP(Table3[[#This Row],[SKU]],'All Skus'!$A:$AC,21,FALSE)),""))</f>
        <v>19.5</v>
      </c>
      <c r="R11" s="60" t="str">
        <f>(IF((VLOOKUP(Table3[[#This Row],[SKU]],'All Skus'!$A:$AC,2,FALSE))="BSS",(VLOOKUP(Table3[[#This Row],[SKU]],'All Skus'!$A:$AC,22,FALSE)),""))</f>
        <v>MY</v>
      </c>
      <c r="S11" s="52" t="str">
        <f>(IF((VLOOKUP(Table3[[#This Row],[SKU]],'All Skus'!$A:$AC,2,FALSE))="BSS",(VLOOKUP(Table3[[#This Row],[SKU]],'All Skus'!$A:$AC,23,FALSE)),""))</f>
        <v>Compliant</v>
      </c>
      <c r="T11" s="206" t="str">
        <f>HYPERLINK((IF((VLOOKUP(Table3[[#This Row],[SKU]],'All Skus'!$A:$AC,2,FALSE))="BSS",(VLOOKUP(Table3[[#This Row],[SKU]],'All Skus'!$A:$AC,24,FALSE)),"")))</f>
        <v>https://bssaudio.com/en/products/blu-101</v>
      </c>
      <c r="U11" s="151">
        <v>9</v>
      </c>
    </row>
    <row r="12" spans="1:21" ht="15" customHeight="1">
      <c r="A12" s="48" t="s">
        <v>819</v>
      </c>
      <c r="B12" s="52" t="str">
        <f>(IF((VLOOKUP(Table3[[#This Row],[SKU]],'All Skus'!$A:$AC,2,FALSE))="BSS",(VLOOKUP(Table3[[#This Row],[SKU]],'All Skus'!$A:$AC,3,FALSE)),""))</f>
        <v>Soundweb London Accessories</v>
      </c>
      <c r="C12" s="52" t="str">
        <f>(IF((VLOOKUP(Table3[[#This Row],[SKU]],'All Skus'!$A:$AC,2,FALSE))="BSS",(VLOOKUP(Table3[[#This Row],[SKU]],'All Skus'!$A:$AC,4,FALSE)),""))</f>
        <v>BLU-102</v>
      </c>
      <c r="D12" s="60" t="str">
        <f>(IF((VLOOKUP(Table3[[#This Row],[SKU]],'All Skus'!$A:$AC,2,FALSE))="BSS",(VLOOKUP(Table3[[#This Row],[SKU]],'All Skus'!$A:$AC,5,FALSE)),""))</f>
        <v>BSSLONDON</v>
      </c>
      <c r="E12" s="60">
        <f>(IF((VLOOKUP(Table3[[#This Row],[SKU]],'All Skus'!$A:$AC,2,FALSE))="BSS",(VLOOKUP(Table3[[#This Row],[SKU]],'All Skus'!$A:$AC,6,FALSE)),""))</f>
        <v>0</v>
      </c>
      <c r="F12" s="52">
        <f>(IF((VLOOKUP(Table3[[#This Row],[SKU]],'All Skus'!$A:$AC,2,FALSE))="BSS",(VLOOKUP(Table3[[#This Row],[SKU]],'All Skus'!$A:$AC,7,FALSE)),""))</f>
        <v>0</v>
      </c>
      <c r="G12" s="52" t="str">
        <f>(IF((VLOOKUP(Table3[[#This Row],[SKU]],'All Skus'!$A:$AC,2,FALSE))="BSS",(VLOOKUP(Table3[[#This Row],[SKU]],'All Skus'!$A:$AC,8,FALSE)),""))</f>
        <v>I/O device</v>
      </c>
      <c r="H12" s="45" t="str">
        <f>(IF((VLOOKUP(Table3[[#This Row],[SKU]],'All Skus'!$A:$AC,2,FALSE))="BSS",(VLOOKUP(Table3[[#This Row],[SKU]],'All Skus'!$A:$AC,9,FALSE)),""))</f>
        <v>10 analog mic/line input, 8 analog output, networked signal processor w/ 8 independent AEC algorithms, telephone hybrid &amp; BLU link</v>
      </c>
      <c r="I12" s="94">
        <f>(IF((VLOOKUP(Table3[[#This Row],[SKU]],'All Skus'!$A:$AC,2,FALSE))="BSS",(VLOOKUP(Table3[[#This Row],[SKU]],'All Skus'!$A:$AC,10,FALSE)),""))</f>
        <v>4298.96</v>
      </c>
      <c r="J12" s="94">
        <f>(IF((VLOOKUP(Table3[[#This Row],[SKU]],'All Skus'!$A:$AC,2,FALSE))="BSS",(VLOOKUP(Table3[[#This Row],[SKU]],'All Skus'!$A:$AC,11,FALSE)),""))</f>
        <v>4298.96</v>
      </c>
      <c r="K12" s="60">
        <f>(IF((VLOOKUP(Table3[[#This Row],[SKU]],'All Skus'!$A:$AC,2,FALSE))="BSS",(VLOOKUP(Table3[[#This Row],[SKU]],'All Skus'!$A:$AC,15,FALSE)),""))</f>
        <v>0</v>
      </c>
      <c r="L12" s="47">
        <f>(IF((VLOOKUP(Table3[[#This Row],[SKU]],'All Skus'!$A:$AC,2,FALSE))="BSS",(VLOOKUP(Table3[[#This Row],[SKU]],'All Skus'!$A:$AC,16,FALSE)),""))</f>
        <v>691991016424</v>
      </c>
      <c r="M12" s="60">
        <f>(IF((VLOOKUP(Table3[[#This Row],[SKU]],'All Skus'!$A:$AC,2,FALSE))="BSS",(VLOOKUP(Table3[[#This Row],[SKU]],'All Skus'!$A:$AC,17,FALSE)),""))</f>
        <v>0</v>
      </c>
      <c r="N12" s="64">
        <f>(IF((VLOOKUP(Table3[[#This Row],[SKU]],'All Skus'!$A:$AC,2,FALSE))="BSS",(VLOOKUP(Table3[[#This Row],[SKU]],'All Skus'!$A:$AC,18,FALSE)),""))</f>
        <v>12</v>
      </c>
      <c r="O12" s="64">
        <f>(IF((VLOOKUP(Table3[[#This Row],[SKU]],'All Skus'!$A:$AC,2,FALSE))="BSS",(VLOOKUP(Table3[[#This Row],[SKU]],'All Skus'!$A:$AC,19,FALSE)),""))</f>
        <v>24.5</v>
      </c>
      <c r="P12" s="64">
        <f>(IF((VLOOKUP(Table3[[#This Row],[SKU]],'All Skus'!$A:$AC,2,FALSE))="BSS",(VLOOKUP(Table3[[#This Row],[SKU]],'All Skus'!$A:$AC,20,FALSE)),""))</f>
        <v>20</v>
      </c>
      <c r="Q12" s="64">
        <f>(IF((VLOOKUP(Table3[[#This Row],[SKU]],'All Skus'!$A:$AC,2,FALSE))="BSS",(VLOOKUP(Table3[[#This Row],[SKU]],'All Skus'!$A:$AC,21,FALSE)),""))</f>
        <v>5</v>
      </c>
      <c r="R12" s="60" t="str">
        <f>(IF((VLOOKUP(Table3[[#This Row],[SKU]],'All Skus'!$A:$AC,2,FALSE))="BSS",(VLOOKUP(Table3[[#This Row],[SKU]],'All Skus'!$A:$AC,22,FALSE)),""))</f>
        <v>MY</v>
      </c>
      <c r="S12" s="52" t="str">
        <f>(IF((VLOOKUP(Table3[[#This Row],[SKU]],'All Skus'!$A:$AC,2,FALSE))="BSS",(VLOOKUP(Table3[[#This Row],[SKU]],'All Skus'!$A:$AC,23,FALSE)),""))</f>
        <v>Compliant</v>
      </c>
      <c r="T12" s="206" t="str">
        <f>HYPERLINK((IF((VLOOKUP(Table3[[#This Row],[SKU]],'All Skus'!$A:$AC,2,FALSE))="BSS",(VLOOKUP(Table3[[#This Row],[SKU]],'All Skus'!$A:$AC,24,FALSE)),"")))</f>
        <v>https://bssaudio.com/en/products/blu-102</v>
      </c>
      <c r="U12" s="151">
        <v>10</v>
      </c>
    </row>
    <row r="13" spans="1:21" ht="15" customHeight="1">
      <c r="A13" s="48" t="s">
        <v>820</v>
      </c>
      <c r="B13" s="52" t="str">
        <f>(IF((VLOOKUP(Table3[[#This Row],[SKU]],'All Skus'!$A:$AC,2,FALSE))="BSS",(VLOOKUP(Table3[[#This Row],[SKU]],'All Skus'!$A:$AC,3,FALSE)),""))</f>
        <v>Soundweb London Input/Output Cards</v>
      </c>
      <c r="C13" s="52" t="str">
        <f>(IF((VLOOKUP(Table3[[#This Row],[SKU]],'All Skus'!$A:$AC,2,FALSE))="BSS",(VLOOKUP(Table3[[#This Row],[SKU]],'All Skus'!$A:$AC,4,FALSE)),""))</f>
        <v>BLU-103</v>
      </c>
      <c r="D13" s="60" t="str">
        <f>(IF((VLOOKUP(Table3[[#This Row],[SKU]],'All Skus'!$A:$AC,2,FALSE))="BSS",(VLOOKUP(Table3[[#This Row],[SKU]],'All Skus'!$A:$AC,5,FALSE)),""))</f>
        <v>BSSLONDON</v>
      </c>
      <c r="E13" s="60">
        <f>(IF((VLOOKUP(Table3[[#This Row],[SKU]],'All Skus'!$A:$AC,2,FALSE))="BSS",(VLOOKUP(Table3[[#This Row],[SKU]],'All Skus'!$A:$AC,6,FALSE)),""))</f>
        <v>0</v>
      </c>
      <c r="F13" s="52">
        <f>(IF((VLOOKUP(Table3[[#This Row],[SKU]],'All Skus'!$A:$AC,2,FALSE))="BSS",(VLOOKUP(Table3[[#This Row],[SKU]],'All Skus'!$A:$AC,7,FALSE)),""))</f>
        <v>0</v>
      </c>
      <c r="G13" s="52" t="str">
        <f>(IF((VLOOKUP(Table3[[#This Row],[SKU]],'All Skus'!$A:$AC,2,FALSE))="BSS",(VLOOKUP(Table3[[#This Row],[SKU]],'All Skus'!$A:$AC,8,FALSE)),""))</f>
        <v>I/O device</v>
      </c>
      <c r="H13" s="45" t="str">
        <f>(IF((VLOOKUP(Table3[[#This Row],[SKU]],'All Skus'!$A:$AC,2,FALSE))="BSS",(VLOOKUP(Table3[[#This Row],[SKU]],'All Skus'!$A:$AC,9,FALSE)),""))</f>
        <v>8 analog mic/line input, 8 analog output, networked signal processor w/ 8 independent AEC algorithms, VoIP &amp; BLU link</v>
      </c>
      <c r="I13" s="94">
        <f>(IF((VLOOKUP(Table3[[#This Row],[SKU]],'All Skus'!$A:$AC,2,FALSE))="BSS",(VLOOKUP(Table3[[#This Row],[SKU]],'All Skus'!$A:$AC,10,FALSE)),""))</f>
        <v>4247.37</v>
      </c>
      <c r="J13" s="94">
        <f>(IF((VLOOKUP(Table3[[#This Row],[SKU]],'All Skus'!$A:$AC,2,FALSE))="BSS",(VLOOKUP(Table3[[#This Row],[SKU]],'All Skus'!$A:$AC,11,FALSE)),""))</f>
        <v>4247.37</v>
      </c>
      <c r="K13" s="60">
        <f>(IF((VLOOKUP(Table3[[#This Row],[SKU]],'All Skus'!$A:$AC,2,FALSE))="BSS",(VLOOKUP(Table3[[#This Row],[SKU]],'All Skus'!$A:$AC,15,FALSE)),""))</f>
        <v>0</v>
      </c>
      <c r="L13" s="47">
        <f>(IF((VLOOKUP(Table3[[#This Row],[SKU]],'All Skus'!$A:$AC,2,FALSE))="BSS",(VLOOKUP(Table3[[#This Row],[SKU]],'All Skus'!$A:$AC,16,FALSE)),""))</f>
        <v>0</v>
      </c>
      <c r="M13" s="60">
        <f>(IF((VLOOKUP(Table3[[#This Row],[SKU]],'All Skus'!$A:$AC,2,FALSE))="BSS",(VLOOKUP(Table3[[#This Row],[SKU]],'All Skus'!$A:$AC,17,FALSE)),""))</f>
        <v>0</v>
      </c>
      <c r="N13" s="64">
        <f>(IF((VLOOKUP(Table3[[#This Row],[SKU]],'All Skus'!$A:$AC,2,FALSE))="BSS",(VLOOKUP(Table3[[#This Row],[SKU]],'All Skus'!$A:$AC,18,FALSE)),""))</f>
        <v>13</v>
      </c>
      <c r="O13" s="64">
        <f>(IF((VLOOKUP(Table3[[#This Row],[SKU]],'All Skus'!$A:$AC,2,FALSE))="BSS",(VLOOKUP(Table3[[#This Row],[SKU]],'All Skus'!$A:$AC,19,FALSE)),""))</f>
        <v>25</v>
      </c>
      <c r="P13" s="64">
        <f>(IF((VLOOKUP(Table3[[#This Row],[SKU]],'All Skus'!$A:$AC,2,FALSE))="BSS",(VLOOKUP(Table3[[#This Row],[SKU]],'All Skus'!$A:$AC,20,FALSE)),""))</f>
        <v>4.5</v>
      </c>
      <c r="Q13" s="64">
        <f>(IF((VLOOKUP(Table3[[#This Row],[SKU]],'All Skus'!$A:$AC,2,FALSE))="BSS",(VLOOKUP(Table3[[#This Row],[SKU]],'All Skus'!$A:$AC,21,FALSE)),""))</f>
        <v>19.5</v>
      </c>
      <c r="R13" s="60" t="str">
        <f>(IF((VLOOKUP(Table3[[#This Row],[SKU]],'All Skus'!$A:$AC,2,FALSE))="BSS",(VLOOKUP(Table3[[#This Row],[SKU]],'All Skus'!$A:$AC,22,FALSE)),""))</f>
        <v>MY</v>
      </c>
      <c r="S13" s="52" t="str">
        <f>(IF((VLOOKUP(Table3[[#This Row],[SKU]],'All Skus'!$A:$AC,2,FALSE))="BSS",(VLOOKUP(Table3[[#This Row],[SKU]],'All Skus'!$A:$AC,23,FALSE)),""))</f>
        <v>Compliant</v>
      </c>
      <c r="T13" s="206" t="str">
        <f>HYPERLINK((IF((VLOOKUP(Table3[[#This Row],[SKU]],'All Skus'!$A:$AC,2,FALSE))="BSS",(VLOOKUP(Table3[[#This Row],[SKU]],'All Skus'!$A:$AC,24,FALSE)),"")))</f>
        <v>https://bssaudio.com/en/products/blu-103</v>
      </c>
      <c r="U13" s="151">
        <v>11</v>
      </c>
    </row>
    <row r="14" spans="1:21" ht="15" customHeight="1">
      <c r="A14" s="48" t="s">
        <v>821</v>
      </c>
      <c r="B14" s="52" t="str">
        <f>(IF((VLOOKUP(Table3[[#This Row],[SKU]],'All Skus'!$A:$AC,2,FALSE))="BSS",(VLOOKUP(Table3[[#This Row],[SKU]],'All Skus'!$A:$AC,3,FALSE)),""))</f>
        <v>Soundweb London Accessories</v>
      </c>
      <c r="C14" s="52" t="str">
        <f>(IF((VLOOKUP(Table3[[#This Row],[SKU]],'All Skus'!$A:$AC,2,FALSE))="BSS",(VLOOKUP(Table3[[#This Row],[SKU]],'All Skus'!$A:$AC,4,FALSE)),""))</f>
        <v>BLU-10-BLK</v>
      </c>
      <c r="D14" s="60" t="str">
        <f>(IF((VLOOKUP(Table3[[#This Row],[SKU]],'All Skus'!$A:$AC,2,FALSE))="BSS",(VLOOKUP(Table3[[#This Row],[SKU]],'All Skus'!$A:$AC,5,FALSE)),""))</f>
        <v>BSSLONDON</v>
      </c>
      <c r="E14" s="60">
        <f>(IF((VLOOKUP(Table3[[#This Row],[SKU]],'All Skus'!$A:$AC,2,FALSE))="BSS",(VLOOKUP(Table3[[#This Row],[SKU]],'All Skus'!$A:$AC,6,FALSE)),""))</f>
        <v>0</v>
      </c>
      <c r="F14" s="52">
        <f>(IF((VLOOKUP(Table3[[#This Row],[SKU]],'All Skus'!$A:$AC,2,FALSE))="BSS",(VLOOKUP(Table3[[#This Row],[SKU]],'All Skus'!$A:$AC,7,FALSE)),""))</f>
        <v>0</v>
      </c>
      <c r="G14" s="52" t="str">
        <f>(IF((VLOOKUP(Table3[[#This Row],[SKU]],'All Skus'!$A:$AC,2,FALSE))="BSS",(VLOOKUP(Table3[[#This Row],[SKU]],'All Skus'!$A:$AC,8,FALSE)),""))</f>
        <v>Touchscreen controller, wall</v>
      </c>
      <c r="H14" s="45" t="str">
        <f>(IF((VLOOKUP(Table3[[#This Row],[SKU]],'All Skus'!$A:$AC,2,FALSE))="BSS",(VLOOKUP(Table3[[#This Row],[SKU]],'All Skus'!$A:$AC,9,FALSE)),""))</f>
        <v>Touch screen programmable remote wall controller (Black)</v>
      </c>
      <c r="I14" s="94">
        <f>(IF((VLOOKUP(Table3[[#This Row],[SKU]],'All Skus'!$A:$AC,2,FALSE))="BSS",(VLOOKUP(Table3[[#This Row],[SKU]],'All Skus'!$A:$AC,10,FALSE)),""))</f>
        <v>2126.5500000000002</v>
      </c>
      <c r="J14" s="94">
        <f>(IF((VLOOKUP(Table3[[#This Row],[SKU]],'All Skus'!$A:$AC,2,FALSE))="BSS",(VLOOKUP(Table3[[#This Row],[SKU]],'All Skus'!$A:$AC,11,FALSE)),""))</f>
        <v>2126.5500000000002</v>
      </c>
      <c r="K14" s="60">
        <f>(IF((VLOOKUP(Table3[[#This Row],[SKU]],'All Skus'!$A:$AC,2,FALSE))="BSS",(VLOOKUP(Table3[[#This Row],[SKU]],'All Skus'!$A:$AC,15,FALSE)),""))</f>
        <v>0</v>
      </c>
      <c r="L14" s="47">
        <f>(IF((VLOOKUP(Table3[[#This Row],[SKU]],'All Skus'!$A:$AC,2,FALSE))="BSS",(VLOOKUP(Table3[[#This Row],[SKU]],'All Skus'!$A:$AC,16,FALSE)),""))</f>
        <v>691991600623</v>
      </c>
      <c r="M14" s="60">
        <f>(IF((VLOOKUP(Table3[[#This Row],[SKU]],'All Skus'!$A:$AC,2,FALSE))="BSS",(VLOOKUP(Table3[[#This Row],[SKU]],'All Skus'!$A:$AC,17,FALSE)),""))</f>
        <v>0</v>
      </c>
      <c r="N14" s="64">
        <f>(IF((VLOOKUP(Table3[[#This Row],[SKU]],'All Skus'!$A:$AC,2,FALSE))="BSS",(VLOOKUP(Table3[[#This Row],[SKU]],'All Skus'!$A:$AC,18,FALSE)),""))</f>
        <v>1</v>
      </c>
      <c r="O14" s="64">
        <f>(IF((VLOOKUP(Table3[[#This Row],[SKU]],'All Skus'!$A:$AC,2,FALSE))="BSS",(VLOOKUP(Table3[[#This Row],[SKU]],'All Skus'!$A:$AC,19,FALSE)),""))</f>
        <v>10</v>
      </c>
      <c r="P14" s="64">
        <f>(IF((VLOOKUP(Table3[[#This Row],[SKU]],'All Skus'!$A:$AC,2,FALSE))="BSS",(VLOOKUP(Table3[[#This Row],[SKU]],'All Skus'!$A:$AC,20,FALSE)),""))</f>
        <v>6.5</v>
      </c>
      <c r="Q14" s="64">
        <f>(IF((VLOOKUP(Table3[[#This Row],[SKU]],'All Skus'!$A:$AC,2,FALSE))="BSS",(VLOOKUP(Table3[[#This Row],[SKU]],'All Skus'!$A:$AC,21,FALSE)),""))</f>
        <v>4</v>
      </c>
      <c r="R14" s="60" t="str">
        <f>(IF((VLOOKUP(Table3[[#This Row],[SKU]],'All Skus'!$A:$AC,2,FALSE))="BSS",(VLOOKUP(Table3[[#This Row],[SKU]],'All Skus'!$A:$AC,22,FALSE)),""))</f>
        <v>MY</v>
      </c>
      <c r="S14" s="52" t="str">
        <f>(IF((VLOOKUP(Table3[[#This Row],[SKU]],'All Skus'!$A:$AC,2,FALSE))="BSS",(VLOOKUP(Table3[[#This Row],[SKU]],'All Skus'!$A:$AC,23,FALSE)),""))</f>
        <v>Compliant</v>
      </c>
      <c r="T14" s="206" t="str">
        <f>HYPERLINK((IF((VLOOKUP(Table3[[#This Row],[SKU]],'All Skus'!$A:$AC,2,FALSE))="BSS",(VLOOKUP(Table3[[#This Row],[SKU]],'All Skus'!$A:$AC,24,FALSE)),"")))</f>
        <v>https://bssaudio.com/en/products/blu-10blk</v>
      </c>
      <c r="U14" s="151">
        <v>12</v>
      </c>
    </row>
    <row r="15" spans="1:21" ht="15" customHeight="1">
      <c r="A15" s="48" t="s">
        <v>822</v>
      </c>
      <c r="B15" s="52" t="str">
        <f>(IF((VLOOKUP(Table3[[#This Row],[SKU]],'All Skus'!$A:$AC,2,FALSE))="BSS",(VLOOKUP(Table3[[#This Row],[SKU]],'All Skus'!$A:$AC,3,FALSE)),""))</f>
        <v>Processor</v>
      </c>
      <c r="C15" s="52" t="str">
        <f>(IF((VLOOKUP(Table3[[#This Row],[SKU]],'All Skus'!$A:$AC,2,FALSE))="BSS",(VLOOKUP(Table3[[#This Row],[SKU]],'All Skus'!$A:$AC,4,FALSE)),""))</f>
        <v>BLU-120</v>
      </c>
      <c r="D15" s="60" t="str">
        <f>(IF((VLOOKUP(Table3[[#This Row],[SKU]],'All Skus'!$A:$AC,2,FALSE))="BSS",(VLOOKUP(Table3[[#This Row],[SKU]],'All Skus'!$A:$AC,5,FALSE)),""))</f>
        <v>BSSLONDON</v>
      </c>
      <c r="E15" s="60" t="str">
        <f>(IF((VLOOKUP(Table3[[#This Row],[SKU]],'All Skus'!$A:$AC,2,FALSE))="BSS",(VLOOKUP(Table3[[#This Row],[SKU]],'All Skus'!$A:$AC,6,FALSE)),""))</f>
        <v>YES</v>
      </c>
      <c r="F15" s="52">
        <f>(IF((VLOOKUP(Table3[[#This Row],[SKU]],'All Skus'!$A:$AC,2,FALSE))="BSS",(VLOOKUP(Table3[[#This Row],[SKU]],'All Skus'!$A:$AC,7,FALSE)),""))</f>
        <v>0</v>
      </c>
      <c r="G15" s="52" t="str">
        <f>(IF((VLOOKUP(Table3[[#This Row],[SKU]],'All Skus'!$A:$AC,2,FALSE))="BSS",(VLOOKUP(Table3[[#This Row],[SKU]],'All Skus'!$A:$AC,8,FALSE)),""))</f>
        <v>Networked I/O expander</v>
      </c>
      <c r="H15" s="45" t="str">
        <f>(IF((VLOOKUP(Table3[[#This Row],[SKU]],'All Skus'!$A:$AC,2,FALSE))="BSS",(VLOOKUP(Table3[[#This Row],[SKU]],'All Skus'!$A:$AC,9,FALSE)),""))</f>
        <v>Networked I/O expander w/ BLU link chassis (no CobraNet™)**</v>
      </c>
      <c r="I15" s="94">
        <f>(IF((VLOOKUP(Table3[[#This Row],[SKU]],'All Skus'!$A:$AC,2,FALSE))="BSS",(VLOOKUP(Table3[[#This Row],[SKU]],'All Skus'!$A:$AC,10,FALSE)),""))</f>
        <v>3277.53</v>
      </c>
      <c r="J15" s="94">
        <f>(IF((VLOOKUP(Table3[[#This Row],[SKU]],'All Skus'!$A:$AC,2,FALSE))="BSS",(VLOOKUP(Table3[[#This Row],[SKU]],'All Skus'!$A:$AC,11,FALSE)),""))</f>
        <v>3277.53</v>
      </c>
      <c r="K15" s="60">
        <f>(IF((VLOOKUP(Table3[[#This Row],[SKU]],'All Skus'!$A:$AC,2,FALSE))="BSS",(VLOOKUP(Table3[[#This Row],[SKU]],'All Skus'!$A:$AC,15,FALSE)),""))</f>
        <v>0</v>
      </c>
      <c r="L15" s="47">
        <f>(IF((VLOOKUP(Table3[[#This Row],[SKU]],'All Skus'!$A:$AC,2,FALSE))="BSS",(VLOOKUP(Table3[[#This Row],[SKU]],'All Skus'!$A:$AC,16,FALSE)),""))</f>
        <v>0</v>
      </c>
      <c r="M15" s="60">
        <f>(IF((VLOOKUP(Table3[[#This Row],[SKU]],'All Skus'!$A:$AC,2,FALSE))="BSS",(VLOOKUP(Table3[[#This Row],[SKU]],'All Skus'!$A:$AC,17,FALSE)),""))</f>
        <v>0</v>
      </c>
      <c r="N15" s="64">
        <f>(IF((VLOOKUP(Table3[[#This Row],[SKU]],'All Skus'!$A:$AC,2,FALSE))="BSS",(VLOOKUP(Table3[[#This Row],[SKU]],'All Skus'!$A:$AC,18,FALSE)),""))</f>
        <v>0</v>
      </c>
      <c r="O15" s="64">
        <f>(IF((VLOOKUP(Table3[[#This Row],[SKU]],'All Skus'!$A:$AC,2,FALSE))="BSS",(VLOOKUP(Table3[[#This Row],[SKU]],'All Skus'!$A:$AC,19,FALSE)),""))</f>
        <v>0</v>
      </c>
      <c r="P15" s="64">
        <f>(IF((VLOOKUP(Table3[[#This Row],[SKU]],'All Skus'!$A:$AC,2,FALSE))="BSS",(VLOOKUP(Table3[[#This Row],[SKU]],'All Skus'!$A:$AC,20,FALSE)),""))</f>
        <v>0</v>
      </c>
      <c r="Q15" s="64">
        <f>(IF((VLOOKUP(Table3[[#This Row],[SKU]],'All Skus'!$A:$AC,2,FALSE))="BSS",(VLOOKUP(Table3[[#This Row],[SKU]],'All Skus'!$A:$AC,21,FALSE)),""))</f>
        <v>0</v>
      </c>
      <c r="R15" s="60" t="str">
        <f>(IF((VLOOKUP(Table3[[#This Row],[SKU]],'All Skus'!$A:$AC,2,FALSE))="BSS",(VLOOKUP(Table3[[#This Row],[SKU]],'All Skus'!$A:$AC,22,FALSE)),""))</f>
        <v>MY</v>
      </c>
      <c r="S15" s="52" t="str">
        <f>(IF((VLOOKUP(Table3[[#This Row],[SKU]],'All Skus'!$A:$AC,2,FALSE))="BSS",(VLOOKUP(Table3[[#This Row],[SKU]],'All Skus'!$A:$AC,23,FALSE)),""))</f>
        <v>Compliant</v>
      </c>
      <c r="T15" s="206" t="str">
        <f>HYPERLINK((IF((VLOOKUP(Table3[[#This Row],[SKU]],'All Skus'!$A:$AC,2,FALSE))="BSS",(VLOOKUP(Table3[[#This Row],[SKU]],'All Skus'!$A:$AC,24,FALSE)),"")))</f>
        <v>https://bssaudio.com/en/products/blu-120</v>
      </c>
      <c r="U15" s="151">
        <v>13</v>
      </c>
    </row>
    <row r="16" spans="1:21" ht="15" customHeight="1">
      <c r="A16" s="48" t="s">
        <v>823</v>
      </c>
      <c r="B16" s="52" t="str">
        <f>(IF((VLOOKUP(Table3[[#This Row],[SKU]],'All Skus'!$A:$AC,2,FALSE))="BSS",(VLOOKUP(Table3[[#This Row],[SKU]],'All Skus'!$A:$AC,3,FALSE)),""))</f>
        <v>Soundweb Contrio Controllers</v>
      </c>
      <c r="C16" s="52" t="str">
        <f>(IF((VLOOKUP(Table3[[#This Row],[SKU]],'All Skus'!$A:$AC,2,FALSE))="BSS",(VLOOKUP(Table3[[#This Row],[SKU]],'All Skus'!$A:$AC,4,FALSE)),""))</f>
        <v>BLU-160</v>
      </c>
      <c r="D16" s="60" t="str">
        <f>(IF((VLOOKUP(Table3[[#This Row],[SKU]],'All Skus'!$A:$AC,2,FALSE))="BSS",(VLOOKUP(Table3[[#This Row],[SKU]],'All Skus'!$A:$AC,5,FALSE)),""))</f>
        <v>BSSLONDON</v>
      </c>
      <c r="E16" s="60" t="str">
        <f>(IF((VLOOKUP(Table3[[#This Row],[SKU]],'All Skus'!$A:$AC,2,FALSE))="BSS",(VLOOKUP(Table3[[#This Row],[SKU]],'All Skus'!$A:$AC,6,FALSE)),""))</f>
        <v>YES</v>
      </c>
      <c r="F16" s="52">
        <f>(IF((VLOOKUP(Table3[[#This Row],[SKU]],'All Skus'!$A:$AC,2,FALSE))="BSS",(VLOOKUP(Table3[[#This Row],[SKU]],'All Skus'!$A:$AC,7,FALSE)),""))</f>
        <v>0</v>
      </c>
      <c r="G16" s="52" t="str">
        <f>(IF((VLOOKUP(Table3[[#This Row],[SKU]],'All Skus'!$A:$AC,2,FALSE))="BSS",(VLOOKUP(Table3[[#This Row],[SKU]],'All Skus'!$A:$AC,8,FALSE)),""))</f>
        <v>Networked processor</v>
      </c>
      <c r="H16" s="45" t="str">
        <f>(IF((VLOOKUP(Table3[[#This Row],[SKU]],'All Skus'!$A:$AC,2,FALSE))="BSS",(VLOOKUP(Table3[[#This Row],[SKU]],'All Skus'!$A:$AC,9,FALSE)),""))</f>
        <v>Networked signal processor &amp; BLU link chassis (no CobraNet™)</v>
      </c>
      <c r="I16" s="94">
        <f>(IF((VLOOKUP(Table3[[#This Row],[SKU]],'All Skus'!$A:$AC,2,FALSE))="BSS",(VLOOKUP(Table3[[#This Row],[SKU]],'All Skus'!$A:$AC,10,FALSE)),""))</f>
        <v>4556.8999999999996</v>
      </c>
      <c r="J16" s="94">
        <f>(IF((VLOOKUP(Table3[[#This Row],[SKU]],'All Skus'!$A:$AC,2,FALSE))="BSS",(VLOOKUP(Table3[[#This Row],[SKU]],'All Skus'!$A:$AC,11,FALSE)),""))</f>
        <v>4556.8999999999996</v>
      </c>
      <c r="K16" s="60">
        <f>(IF((VLOOKUP(Table3[[#This Row],[SKU]],'All Skus'!$A:$AC,2,FALSE))="BSS",(VLOOKUP(Table3[[#This Row],[SKU]],'All Skus'!$A:$AC,15,FALSE)),""))</f>
        <v>0</v>
      </c>
      <c r="L16" s="47">
        <f>(IF((VLOOKUP(Table3[[#This Row],[SKU]],'All Skus'!$A:$AC,2,FALSE))="BSS",(VLOOKUP(Table3[[#This Row],[SKU]],'All Skus'!$A:$AC,16,FALSE)),""))</f>
        <v>691991016301</v>
      </c>
      <c r="M16" s="60">
        <f>(IF((VLOOKUP(Table3[[#This Row],[SKU]],'All Skus'!$A:$AC,2,FALSE))="BSS",(VLOOKUP(Table3[[#This Row],[SKU]],'All Skus'!$A:$AC,17,FALSE)),""))</f>
        <v>0</v>
      </c>
      <c r="N16" s="64">
        <f>(IF((VLOOKUP(Table3[[#This Row],[SKU]],'All Skus'!$A:$AC,2,FALSE))="BSS",(VLOOKUP(Table3[[#This Row],[SKU]],'All Skus'!$A:$AC,18,FALSE)),""))</f>
        <v>0</v>
      </c>
      <c r="O16" s="64">
        <f>(IF((VLOOKUP(Table3[[#This Row],[SKU]],'All Skus'!$A:$AC,2,FALSE))="BSS",(VLOOKUP(Table3[[#This Row],[SKU]],'All Skus'!$A:$AC,19,FALSE)),""))</f>
        <v>0</v>
      </c>
      <c r="P16" s="64">
        <f>(IF((VLOOKUP(Table3[[#This Row],[SKU]],'All Skus'!$A:$AC,2,FALSE))="BSS",(VLOOKUP(Table3[[#This Row],[SKU]],'All Skus'!$A:$AC,20,FALSE)),""))</f>
        <v>0</v>
      </c>
      <c r="Q16" s="64">
        <f>(IF((VLOOKUP(Table3[[#This Row],[SKU]],'All Skus'!$A:$AC,2,FALSE))="BSS",(VLOOKUP(Table3[[#This Row],[SKU]],'All Skus'!$A:$AC,21,FALSE)),""))</f>
        <v>0</v>
      </c>
      <c r="R16" s="60" t="str">
        <f>(IF((VLOOKUP(Table3[[#This Row],[SKU]],'All Skus'!$A:$AC,2,FALSE))="BSS",(VLOOKUP(Table3[[#This Row],[SKU]],'All Skus'!$A:$AC,22,FALSE)),""))</f>
        <v>MY</v>
      </c>
      <c r="S16" s="52" t="str">
        <f>(IF((VLOOKUP(Table3[[#This Row],[SKU]],'All Skus'!$A:$AC,2,FALSE))="BSS",(VLOOKUP(Table3[[#This Row],[SKU]],'All Skus'!$A:$AC,23,FALSE)),""))</f>
        <v>Compliant</v>
      </c>
      <c r="T16" s="206" t="str">
        <f>HYPERLINK((IF((VLOOKUP(Table3[[#This Row],[SKU]],'All Skus'!$A:$AC,2,FALSE))="BSS",(VLOOKUP(Table3[[#This Row],[SKU]],'All Skus'!$A:$AC,24,FALSE)),"")))</f>
        <v>https://bssaudio.com/en/products/blu-160</v>
      </c>
      <c r="U16" s="151">
        <v>14</v>
      </c>
    </row>
    <row r="17" spans="1:21" ht="15" customHeight="1">
      <c r="A17" s="48" t="s">
        <v>825</v>
      </c>
      <c r="B17" s="52" t="str">
        <f>(IF((VLOOKUP(Table3[[#This Row],[SKU]],'All Skus'!$A:$AC,2,FALSE))="BSS",(VLOOKUP(Table3[[#This Row],[SKU]],'All Skus'!$A:$AC,3,FALSE)),""))</f>
        <v>Soundweb Contrio Controllers</v>
      </c>
      <c r="C17" s="52" t="str">
        <f>(IF((VLOOKUP(Table3[[#This Row],[SKU]],'All Skus'!$A:$AC,2,FALSE))="BSS",(VLOOKUP(Table3[[#This Row],[SKU]],'All Skus'!$A:$AC,4,FALSE)),""))</f>
        <v>BLU-326</v>
      </c>
      <c r="D17" s="60" t="str">
        <f>(IF((VLOOKUP(Table3[[#This Row],[SKU]],'All Skus'!$A:$AC,2,FALSE))="BSS",(VLOOKUP(Table3[[#This Row],[SKU]],'All Skus'!$A:$AC,5,FALSE)),""))</f>
        <v>BSSLONDON</v>
      </c>
      <c r="E17" s="60" t="str">
        <f>(IF((VLOOKUP(Table3[[#This Row],[SKU]],'All Skus'!$A:$AC,2,FALSE))="BSS",(VLOOKUP(Table3[[#This Row],[SKU]],'All Skus'!$A:$AC,6,FALSE)),""))</f>
        <v>YES</v>
      </c>
      <c r="F17" s="52">
        <f>(IF((VLOOKUP(Table3[[#This Row],[SKU]],'All Skus'!$A:$AC,2,FALSE))="BSS",(VLOOKUP(Table3[[#This Row],[SKU]],'All Skus'!$A:$AC,7,FALSE)),""))</f>
        <v>0</v>
      </c>
      <c r="G17" s="52" t="str">
        <f>(IF((VLOOKUP(Table3[[#This Row],[SKU]],'All Skus'!$A:$AC,2,FALSE))="BSS",(VLOOKUP(Table3[[#This Row],[SKU]],'All Skus'!$A:$AC,8,FALSE)),""))</f>
        <v>Networked I/O expander</v>
      </c>
      <c r="H17" s="45" t="str">
        <f>(IF((VLOOKUP(Table3[[#This Row],[SKU]],'All Skus'!$A:$AC,2,FALSE))="BSS",(VLOOKUP(Table3[[#This Row],[SKU]],'All Skus'!$A:$AC,9,FALSE)),""))</f>
        <v>BSS,BLU326,SIGNAL PROCESSOR W/DANTE</v>
      </c>
      <c r="I17" s="94">
        <f>(IF((VLOOKUP(Table3[[#This Row],[SKU]],'All Skus'!$A:$AC,2,FALSE))="BSS",(VLOOKUP(Table3[[#This Row],[SKU]],'All Skus'!$A:$AC,10,FALSE)),""))</f>
        <v>4750.84</v>
      </c>
      <c r="J17" s="94">
        <f>(IF((VLOOKUP(Table3[[#This Row],[SKU]],'All Skus'!$A:$AC,2,FALSE))="BSS",(VLOOKUP(Table3[[#This Row],[SKU]],'All Skus'!$A:$AC,11,FALSE)),""))</f>
        <v>3800</v>
      </c>
      <c r="K17" s="60">
        <f>(IF((VLOOKUP(Table3[[#This Row],[SKU]],'All Skus'!$A:$AC,2,FALSE))="BSS",(VLOOKUP(Table3[[#This Row],[SKU]],'All Skus'!$A:$AC,15,FALSE)),""))</f>
        <v>0</v>
      </c>
      <c r="L17" s="47">
        <f>(IF((VLOOKUP(Table3[[#This Row],[SKU]],'All Skus'!$A:$AC,2,FALSE))="BSS",(VLOOKUP(Table3[[#This Row],[SKU]],'All Skus'!$A:$AC,16,FALSE)),""))</f>
        <v>691991016325</v>
      </c>
      <c r="M17" s="60">
        <f>(IF((VLOOKUP(Table3[[#This Row],[SKU]],'All Skus'!$A:$AC,2,FALSE))="BSS",(VLOOKUP(Table3[[#This Row],[SKU]],'All Skus'!$A:$AC,17,FALSE)),""))</f>
        <v>0</v>
      </c>
      <c r="N17" s="64">
        <f>(IF((VLOOKUP(Table3[[#This Row],[SKU]],'All Skus'!$A:$AC,2,FALSE))="BSS",(VLOOKUP(Table3[[#This Row],[SKU]],'All Skus'!$A:$AC,18,FALSE)),""))</f>
        <v>0</v>
      </c>
      <c r="O17" s="64">
        <f>(IF((VLOOKUP(Table3[[#This Row],[SKU]],'All Skus'!$A:$AC,2,FALSE))="BSS",(VLOOKUP(Table3[[#This Row],[SKU]],'All Skus'!$A:$AC,19,FALSE)),""))</f>
        <v>0</v>
      </c>
      <c r="P17" s="64">
        <f>(IF((VLOOKUP(Table3[[#This Row],[SKU]],'All Skus'!$A:$AC,2,FALSE))="BSS",(VLOOKUP(Table3[[#This Row],[SKU]],'All Skus'!$A:$AC,20,FALSE)),""))</f>
        <v>0</v>
      </c>
      <c r="Q17" s="64">
        <f>(IF((VLOOKUP(Table3[[#This Row],[SKU]],'All Skus'!$A:$AC,2,FALSE))="BSS",(VLOOKUP(Table3[[#This Row],[SKU]],'All Skus'!$A:$AC,21,FALSE)),""))</f>
        <v>0</v>
      </c>
      <c r="R17" s="60" t="str">
        <f>(IF((VLOOKUP(Table3[[#This Row],[SKU]],'All Skus'!$A:$AC,2,FALSE))="BSS",(VLOOKUP(Table3[[#This Row],[SKU]],'All Skus'!$A:$AC,22,FALSE)),""))</f>
        <v>MY</v>
      </c>
      <c r="S17" s="52" t="str">
        <f>(IF((VLOOKUP(Table3[[#This Row],[SKU]],'All Skus'!$A:$AC,2,FALSE))="BSS",(VLOOKUP(Table3[[#This Row],[SKU]],'All Skus'!$A:$AC,23,FALSE)),""))</f>
        <v>Non Compliant</v>
      </c>
      <c r="T17" s="206" t="str">
        <f>HYPERLINK((IF((VLOOKUP(Table3[[#This Row],[SKU]],'All Skus'!$A:$AC,2,FALSE))="BSS",(VLOOKUP(Table3[[#This Row],[SKU]],'All Skus'!$A:$AC,24,FALSE)),"")))</f>
        <v>https://bssaudio.com/en/products/blu-326da-blu-326</v>
      </c>
      <c r="U17" s="151">
        <v>15</v>
      </c>
    </row>
    <row r="18" spans="1:21" ht="15" customHeight="1">
      <c r="A18" s="48" t="s">
        <v>826</v>
      </c>
      <c r="B18" s="52" t="str">
        <f>(IF((VLOOKUP(Table3[[#This Row],[SKU]],'All Skus'!$A:$AC,2,FALSE))="BSS",(VLOOKUP(Table3[[#This Row],[SKU]],'All Skus'!$A:$AC,3,FALSE)),""))</f>
        <v>Soundweb Contrio Controllers</v>
      </c>
      <c r="C18" s="52" t="str">
        <f>(IF((VLOOKUP(Table3[[#This Row],[SKU]],'All Skus'!$A:$AC,2,FALSE))="BSS",(VLOOKUP(Table3[[#This Row],[SKU]],'All Skus'!$A:$AC,4,FALSE)),""))</f>
        <v>BLU-50</v>
      </c>
      <c r="D18" s="60" t="str">
        <f>(IF((VLOOKUP(Table3[[#This Row],[SKU]],'All Skus'!$A:$AC,2,FALSE))="BSS",(VLOOKUP(Table3[[#This Row],[SKU]],'All Skus'!$A:$AC,5,FALSE)),""))</f>
        <v>BSSLONDON</v>
      </c>
      <c r="E18" s="60">
        <f>(IF((VLOOKUP(Table3[[#This Row],[SKU]],'All Skus'!$A:$AC,2,FALSE))="BSS",(VLOOKUP(Table3[[#This Row],[SKU]],'All Skus'!$A:$AC,6,FALSE)),""))</f>
        <v>0</v>
      </c>
      <c r="F18" s="52">
        <f>(IF((VLOOKUP(Table3[[#This Row],[SKU]],'All Skus'!$A:$AC,2,FALSE))="BSS",(VLOOKUP(Table3[[#This Row],[SKU]],'All Skus'!$A:$AC,7,FALSE)),""))</f>
        <v>0</v>
      </c>
      <c r="G18" s="52" t="str">
        <f>(IF((VLOOKUP(Table3[[#This Row],[SKU]],'All Skus'!$A:$AC,2,FALSE))="BSS",(VLOOKUP(Table3[[#This Row],[SKU]],'All Skus'!$A:$AC,8,FALSE)),""))</f>
        <v>I/O device</v>
      </c>
      <c r="H18" s="45" t="str">
        <f>(IF((VLOOKUP(Table3[[#This Row],[SKU]],'All Skus'!$A:$AC,2,FALSE))="BSS",(VLOOKUP(Table3[[#This Row],[SKU]],'All Skus'!$A:$AC,9,FALSE)),""))</f>
        <v>4 analog mic/line input, 4 analog output, networked signal processor w/ BLU link</v>
      </c>
      <c r="I18" s="94">
        <f>(IF((VLOOKUP(Table3[[#This Row],[SKU]],'All Skus'!$A:$AC,2,FALSE))="BSS",(VLOOKUP(Table3[[#This Row],[SKU]],'All Skus'!$A:$AC,10,FALSE)),""))</f>
        <v>1710.66</v>
      </c>
      <c r="J18" s="94">
        <f>(IF((VLOOKUP(Table3[[#This Row],[SKU]],'All Skus'!$A:$AC,2,FALSE))="BSS",(VLOOKUP(Table3[[#This Row],[SKU]],'All Skus'!$A:$AC,11,FALSE)),""))</f>
        <v>1709</v>
      </c>
      <c r="K18" s="60">
        <f>(IF((VLOOKUP(Table3[[#This Row],[SKU]],'All Skus'!$A:$AC,2,FALSE))="BSS",(VLOOKUP(Table3[[#This Row],[SKU]],'All Skus'!$A:$AC,15,FALSE)),""))</f>
        <v>0</v>
      </c>
      <c r="L18" s="47">
        <f>(IF((VLOOKUP(Table3[[#This Row],[SKU]],'All Skus'!$A:$AC,2,FALSE))="BSS",(VLOOKUP(Table3[[#This Row],[SKU]],'All Skus'!$A:$AC,16,FALSE)),""))</f>
        <v>691991007897</v>
      </c>
      <c r="M18" s="60">
        <f>(IF((VLOOKUP(Table3[[#This Row],[SKU]],'All Skus'!$A:$AC,2,FALSE))="BSS",(VLOOKUP(Table3[[#This Row],[SKU]],'All Skus'!$A:$AC,17,FALSE)),""))</f>
        <v>0</v>
      </c>
      <c r="N18" s="64">
        <f>(IF((VLOOKUP(Table3[[#This Row],[SKU]],'All Skus'!$A:$AC,2,FALSE))="BSS",(VLOOKUP(Table3[[#This Row],[SKU]],'All Skus'!$A:$AC,18,FALSE)),""))</f>
        <v>6</v>
      </c>
      <c r="O18" s="64">
        <f>(IF((VLOOKUP(Table3[[#This Row],[SKU]],'All Skus'!$A:$AC,2,FALSE))="BSS",(VLOOKUP(Table3[[#This Row],[SKU]],'All Skus'!$A:$AC,19,FALSE)),""))</f>
        <v>12</v>
      </c>
      <c r="P18" s="64">
        <f>(IF((VLOOKUP(Table3[[#This Row],[SKU]],'All Skus'!$A:$AC,2,FALSE))="BSS",(VLOOKUP(Table3[[#This Row],[SKU]],'All Skus'!$A:$AC,20,FALSE)),""))</f>
        <v>7.5</v>
      </c>
      <c r="Q18" s="64">
        <f>(IF((VLOOKUP(Table3[[#This Row],[SKU]],'All Skus'!$A:$AC,2,FALSE))="BSS",(VLOOKUP(Table3[[#This Row],[SKU]],'All Skus'!$A:$AC,21,FALSE)),""))</f>
        <v>12</v>
      </c>
      <c r="R18" s="60" t="str">
        <f>(IF((VLOOKUP(Table3[[#This Row],[SKU]],'All Skus'!$A:$AC,2,FALSE))="BSS",(VLOOKUP(Table3[[#This Row],[SKU]],'All Skus'!$A:$AC,22,FALSE)),""))</f>
        <v>MY</v>
      </c>
      <c r="S18" s="52" t="str">
        <f>(IF((VLOOKUP(Table3[[#This Row],[SKU]],'All Skus'!$A:$AC,2,FALSE))="BSS",(VLOOKUP(Table3[[#This Row],[SKU]],'All Skus'!$A:$AC,23,FALSE)),""))</f>
        <v>Non Compliant</v>
      </c>
      <c r="T18" s="206" t="str">
        <f>HYPERLINK((IF((VLOOKUP(Table3[[#This Row],[SKU]],'All Skus'!$A:$AC,2,FALSE))="BSS",(VLOOKUP(Table3[[#This Row],[SKU]],'All Skus'!$A:$AC,24,FALSE)),"")))</f>
        <v>https://bssaudio.com/en/products/blu-50</v>
      </c>
      <c r="U18" s="151">
        <v>17</v>
      </c>
    </row>
    <row r="19" spans="1:21" ht="15" customHeight="1">
      <c r="A19" s="48" t="s">
        <v>827</v>
      </c>
      <c r="B19" s="52" t="str">
        <f>(IF((VLOOKUP(Table3[[#This Row],[SKU]],'All Skus'!$A:$AC,2,FALSE))="BSS",(VLOOKUP(Table3[[#This Row],[SKU]],'All Skus'!$A:$AC,3,FALSE)),""))</f>
        <v>Soundweb Contrio Controllers</v>
      </c>
      <c r="C19" s="52" t="str">
        <f>(IF((VLOOKUP(Table3[[#This Row],[SKU]],'All Skus'!$A:$AC,2,FALSE))="BSS",(VLOOKUP(Table3[[#This Row],[SKU]],'All Skus'!$A:$AC,4,FALSE)),""))</f>
        <v xml:space="preserve">BLU-6 </v>
      </c>
      <c r="D19" s="60" t="str">
        <f>(IF((VLOOKUP(Table3[[#This Row],[SKU]],'All Skus'!$A:$AC,2,FALSE))="BSS",(VLOOKUP(Table3[[#This Row],[SKU]],'All Skus'!$A:$AC,5,FALSE)),""))</f>
        <v>BSSLONDON</v>
      </c>
      <c r="E19" s="60">
        <f>(IF((VLOOKUP(Table3[[#This Row],[SKU]],'All Skus'!$A:$AC,2,FALSE))="BSS",(VLOOKUP(Table3[[#This Row],[SKU]],'All Skus'!$A:$AC,6,FALSE)),""))</f>
        <v>0</v>
      </c>
      <c r="F19" s="52">
        <f>(IF((VLOOKUP(Table3[[#This Row],[SKU]],'All Skus'!$A:$AC,2,FALSE))="BSS",(VLOOKUP(Table3[[#This Row],[SKU]],'All Skus'!$A:$AC,7,FALSE)),""))</f>
        <v>0</v>
      </c>
      <c r="G19" s="52" t="str">
        <f>(IF((VLOOKUP(Table3[[#This Row],[SKU]],'All Skus'!$A:$AC,2,FALSE))="BSS",(VLOOKUP(Table3[[#This Row],[SKU]],'All Skus'!$A:$AC,8,FALSE)),""))</f>
        <v>Wall controller</v>
      </c>
      <c r="H19" s="45" t="str">
        <f>(IF((VLOOKUP(Table3[[#This Row],[SKU]],'All Skus'!$A:$AC,2,FALSE))="BSS",(VLOOKUP(Table3[[#This Row],[SKU]],'All Skus'!$A:$AC,9,FALSE)),""))</f>
        <v xml:space="preserve">8 position source/preset selector, up/down pair (UK) wall controller </v>
      </c>
      <c r="I19" s="94">
        <f>(IF((VLOOKUP(Table3[[#This Row],[SKU]],'All Skus'!$A:$AC,2,FALSE))="BSS",(VLOOKUP(Table3[[#This Row],[SKU]],'All Skus'!$A:$AC,10,FALSE)),""))</f>
        <v>217.58</v>
      </c>
      <c r="J19" s="94">
        <f>(IF((VLOOKUP(Table3[[#This Row],[SKU]],'All Skus'!$A:$AC,2,FALSE))="BSS",(VLOOKUP(Table3[[#This Row],[SKU]],'All Skus'!$A:$AC,11,FALSE)),""))</f>
        <v>181</v>
      </c>
      <c r="K19" s="60">
        <f>(IF((VLOOKUP(Table3[[#This Row],[SKU]],'All Skus'!$A:$AC,2,FALSE))="BSS",(VLOOKUP(Table3[[#This Row],[SKU]],'All Skus'!$A:$AC,15,FALSE)),""))</f>
        <v>0</v>
      </c>
      <c r="L19" s="47">
        <f>(IF((VLOOKUP(Table3[[#This Row],[SKU]],'All Skus'!$A:$AC,2,FALSE))="BSS",(VLOOKUP(Table3[[#This Row],[SKU]],'All Skus'!$A:$AC,16,FALSE)),""))</f>
        <v>691991600470</v>
      </c>
      <c r="M19" s="60">
        <f>(IF((VLOOKUP(Table3[[#This Row],[SKU]],'All Skus'!$A:$AC,2,FALSE))="BSS",(VLOOKUP(Table3[[#This Row],[SKU]],'All Skus'!$A:$AC,17,FALSE)),""))</f>
        <v>0</v>
      </c>
      <c r="N19" s="64">
        <f>(IF((VLOOKUP(Table3[[#This Row],[SKU]],'All Skus'!$A:$AC,2,FALSE))="BSS",(VLOOKUP(Table3[[#This Row],[SKU]],'All Skus'!$A:$AC,18,FALSE)),""))</f>
        <v>0.5</v>
      </c>
      <c r="O19" s="64">
        <f>(IF((VLOOKUP(Table3[[#This Row],[SKU]],'All Skus'!$A:$AC,2,FALSE))="BSS",(VLOOKUP(Table3[[#This Row],[SKU]],'All Skus'!$A:$AC,19,FALSE)),""))</f>
        <v>7</v>
      </c>
      <c r="P19" s="64">
        <f>(IF((VLOOKUP(Table3[[#This Row],[SKU]],'All Skus'!$A:$AC,2,FALSE))="BSS",(VLOOKUP(Table3[[#This Row],[SKU]],'All Skus'!$A:$AC,20,FALSE)),""))</f>
        <v>6</v>
      </c>
      <c r="Q19" s="64">
        <f>(IF((VLOOKUP(Table3[[#This Row],[SKU]],'All Skus'!$A:$AC,2,FALSE))="BSS",(VLOOKUP(Table3[[#This Row],[SKU]],'All Skus'!$A:$AC,21,FALSE)),""))</f>
        <v>3.5</v>
      </c>
      <c r="R19" s="60" t="str">
        <f>(IF((VLOOKUP(Table3[[#This Row],[SKU]],'All Skus'!$A:$AC,2,FALSE))="BSS",(VLOOKUP(Table3[[#This Row],[SKU]],'All Skus'!$A:$AC,22,FALSE)),""))</f>
        <v>CN</v>
      </c>
      <c r="S19" s="52" t="str">
        <f>(IF((VLOOKUP(Table3[[#This Row],[SKU]],'All Skus'!$A:$AC,2,FALSE))="BSS",(VLOOKUP(Table3[[#This Row],[SKU]],'All Skus'!$A:$AC,23,FALSE)),""))</f>
        <v>Non Compliant</v>
      </c>
      <c r="T19" s="206" t="str">
        <f>HYPERLINK((IF((VLOOKUP(Table3[[#This Row],[SKU]],'All Skus'!$A:$AC,2,FALSE))="BSS",(VLOOKUP(Table3[[#This Row],[SKU]],'All Skus'!$A:$AC,24,FALSE)),"")))</f>
        <v>https://bssaudio.com/en/products/blu-6</v>
      </c>
      <c r="U19" s="151">
        <v>18</v>
      </c>
    </row>
    <row r="20" spans="1:21" ht="15" customHeight="1">
      <c r="A20" s="48" t="s">
        <v>829</v>
      </c>
      <c r="B20" s="52" t="str">
        <f>(IF((VLOOKUP(Table3[[#This Row],[SKU]],'All Skus'!$A:$AC,2,FALSE))="BSS",(VLOOKUP(Table3[[#This Row],[SKU]],'All Skus'!$A:$AC,3,FALSE)),""))</f>
        <v>Soundweb Contrio Controllers</v>
      </c>
      <c r="C20" s="52" t="str">
        <f>(IF((VLOOKUP(Table3[[#This Row],[SKU]],'All Skus'!$A:$AC,2,FALSE))="BSS",(VLOOKUP(Table3[[#This Row],[SKU]],'All Skus'!$A:$AC,4,FALSE)),""))</f>
        <v>BLU-806</v>
      </c>
      <c r="D20" s="60" t="str">
        <f>(IF((VLOOKUP(Table3[[#This Row],[SKU]],'All Skus'!$A:$AC,2,FALSE))="BSS",(VLOOKUP(Table3[[#This Row],[SKU]],'All Skus'!$A:$AC,5,FALSE)),""))</f>
        <v>BSSLONDON</v>
      </c>
      <c r="E20" s="60" t="str">
        <f>(IF((VLOOKUP(Table3[[#This Row],[SKU]],'All Skus'!$A:$AC,2,FALSE))="BSS",(VLOOKUP(Table3[[#This Row],[SKU]],'All Skus'!$A:$AC,6,FALSE)),""))</f>
        <v>YES</v>
      </c>
      <c r="F20" s="52" t="str">
        <f>(IF((VLOOKUP(Table3[[#This Row],[SKU]],'All Skus'!$A:$AC,2,FALSE))="BSS",(VLOOKUP(Table3[[#This Row],[SKU]],'All Skus'!$A:$AC,7,FALSE)),""))</f>
        <v>Limited Quantity</v>
      </c>
      <c r="G20" s="52" t="str">
        <f>(IF((VLOOKUP(Table3[[#This Row],[SKU]],'All Skus'!$A:$AC,2,FALSE))="BSS",(VLOOKUP(Table3[[#This Row],[SKU]],'All Skus'!$A:$AC,8,FALSE)),""))</f>
        <v>Networked processor</v>
      </c>
      <c r="H20" s="45" t="str">
        <f>(IF((VLOOKUP(Table3[[#This Row],[SKU]],'All Skus'!$A:$AC,2,FALSE))="BSS",(VLOOKUP(Table3[[#This Row],[SKU]],'All Skus'!$A:$AC,9,FALSE)),""))</f>
        <v>Networked signal processor w/ Dante™ &amp; BLU link chassis</v>
      </c>
      <c r="I20" s="94">
        <f>(IF((VLOOKUP(Table3[[#This Row],[SKU]],'All Skus'!$A:$AC,2,FALSE))="BSS",(VLOOKUP(Table3[[#This Row],[SKU]],'All Skus'!$A:$AC,10,FALSE)),""))</f>
        <v>7537.42</v>
      </c>
      <c r="J20" s="94">
        <f>(IF((VLOOKUP(Table3[[#This Row],[SKU]],'All Skus'!$A:$AC,2,FALSE))="BSS",(VLOOKUP(Table3[[#This Row],[SKU]],'All Skus'!$A:$AC,11,FALSE)),""))</f>
        <v>6031</v>
      </c>
      <c r="K20" s="60">
        <f>(IF((VLOOKUP(Table3[[#This Row],[SKU]],'All Skus'!$A:$AC,2,FALSE))="BSS",(VLOOKUP(Table3[[#This Row],[SKU]],'All Skus'!$A:$AC,15,FALSE)),""))</f>
        <v>0</v>
      </c>
      <c r="L20" s="47">
        <f>(IF((VLOOKUP(Table3[[#This Row],[SKU]],'All Skus'!$A:$AC,2,FALSE))="BSS",(VLOOKUP(Table3[[#This Row],[SKU]],'All Skus'!$A:$AC,16,FALSE)),""))</f>
        <v>0</v>
      </c>
      <c r="M20" s="60">
        <f>(IF((VLOOKUP(Table3[[#This Row],[SKU]],'All Skus'!$A:$AC,2,FALSE))="BSS",(VLOOKUP(Table3[[#This Row],[SKU]],'All Skus'!$A:$AC,17,FALSE)),""))</f>
        <v>0</v>
      </c>
      <c r="N20" s="64">
        <f>(IF((VLOOKUP(Table3[[#This Row],[SKU]],'All Skus'!$A:$AC,2,FALSE))="BSS",(VLOOKUP(Table3[[#This Row],[SKU]],'All Skus'!$A:$AC,18,FALSE)),""))</f>
        <v>0</v>
      </c>
      <c r="O20" s="64">
        <f>(IF((VLOOKUP(Table3[[#This Row],[SKU]],'All Skus'!$A:$AC,2,FALSE))="BSS",(VLOOKUP(Table3[[#This Row],[SKU]],'All Skus'!$A:$AC,19,FALSE)),""))</f>
        <v>0</v>
      </c>
      <c r="P20" s="64">
        <f>(IF((VLOOKUP(Table3[[#This Row],[SKU]],'All Skus'!$A:$AC,2,FALSE))="BSS",(VLOOKUP(Table3[[#This Row],[SKU]],'All Skus'!$A:$AC,20,FALSE)),""))</f>
        <v>0</v>
      </c>
      <c r="Q20" s="64">
        <f>(IF((VLOOKUP(Table3[[#This Row],[SKU]],'All Skus'!$A:$AC,2,FALSE))="BSS",(VLOOKUP(Table3[[#This Row],[SKU]],'All Skus'!$A:$AC,21,FALSE)),""))</f>
        <v>0</v>
      </c>
      <c r="R20" s="60" t="str">
        <f>(IF((VLOOKUP(Table3[[#This Row],[SKU]],'All Skus'!$A:$AC,2,FALSE))="BSS",(VLOOKUP(Table3[[#This Row],[SKU]],'All Skus'!$A:$AC,22,FALSE)),""))</f>
        <v>MY</v>
      </c>
      <c r="S20" s="52" t="str">
        <f>(IF((VLOOKUP(Table3[[#This Row],[SKU]],'All Skus'!$A:$AC,2,FALSE))="BSS",(VLOOKUP(Table3[[#This Row],[SKU]],'All Skus'!$A:$AC,23,FALSE)),""))</f>
        <v>Non Compliant</v>
      </c>
      <c r="T20" s="206" t="str">
        <f>HYPERLINK((IF((VLOOKUP(Table3[[#This Row],[SKU]],'All Skus'!$A:$AC,2,FALSE))="BSS",(VLOOKUP(Table3[[#This Row],[SKU]],'All Skus'!$A:$AC,24,FALSE)),"")))</f>
        <v>https://bssaudio.com/en/products/blu-806da-blu-806</v>
      </c>
      <c r="U20" s="151">
        <v>19</v>
      </c>
    </row>
    <row r="21" spans="1:21" ht="15" customHeight="1">
      <c r="A21" s="48" t="s">
        <v>830</v>
      </c>
      <c r="B21" s="52" t="str">
        <f>(IF((VLOOKUP(Table3[[#This Row],[SKU]],'All Skus'!$A:$AC,2,FALSE))="BSS",(VLOOKUP(Table3[[#This Row],[SKU]],'All Skus'!$A:$AC,3,FALSE)),""))</f>
        <v>Soundweb Contrio Controllers</v>
      </c>
      <c r="C21" s="52" t="str">
        <f>(IF((VLOOKUP(Table3[[#This Row],[SKU]],'All Skus'!$A:$AC,2,FALSE))="BSS",(VLOOKUP(Table3[[#This Row],[SKU]],'All Skus'!$A:$AC,4,FALSE)),""))</f>
        <v xml:space="preserve">BLU-8-V2-BLK </v>
      </c>
      <c r="D21" s="60" t="str">
        <f>(IF((VLOOKUP(Table3[[#This Row],[SKU]],'All Skus'!$A:$AC,2,FALSE))="BSS",(VLOOKUP(Table3[[#This Row],[SKU]],'All Skus'!$A:$AC,5,FALSE)),""))</f>
        <v>BSSLONDON</v>
      </c>
      <c r="E21" s="60">
        <f>(IF((VLOOKUP(Table3[[#This Row],[SKU]],'All Skus'!$A:$AC,2,FALSE))="BSS",(VLOOKUP(Table3[[#This Row],[SKU]],'All Skus'!$A:$AC,6,FALSE)),""))</f>
        <v>0</v>
      </c>
      <c r="F21" s="52">
        <f>(IF((VLOOKUP(Table3[[#This Row],[SKU]],'All Skus'!$A:$AC,2,FALSE))="BSS",(VLOOKUP(Table3[[#This Row],[SKU]],'All Skus'!$A:$AC,7,FALSE)),""))</f>
        <v>0</v>
      </c>
      <c r="G21" s="52" t="str">
        <f>(IF((VLOOKUP(Table3[[#This Row],[SKU]],'All Skus'!$A:$AC,2,FALSE))="BSS",(VLOOKUP(Table3[[#This Row],[SKU]],'All Skus'!$A:$AC,8,FALSE)),""))</f>
        <v>Zone controller</v>
      </c>
      <c r="H21" s="45" t="str">
        <f>(IF((VLOOKUP(Table3[[#This Row],[SKU]],'All Skus'!$A:$AC,2,FALSE))="BSS",(VLOOKUP(Table3[[#This Row],[SKU]],'All Skus'!$A:$AC,9,FALSE)),""))</f>
        <v xml:space="preserve">Programmable zone controller (Black)  </v>
      </c>
      <c r="I21" s="94">
        <f>(IF((VLOOKUP(Table3[[#This Row],[SKU]],'All Skus'!$A:$AC,2,FALSE))="BSS",(VLOOKUP(Table3[[#This Row],[SKU]],'All Skus'!$A:$AC,10,FALSE)),""))</f>
        <v>899.92</v>
      </c>
      <c r="J21" s="94">
        <f>(IF((VLOOKUP(Table3[[#This Row],[SKU]],'All Skus'!$A:$AC,2,FALSE))="BSS",(VLOOKUP(Table3[[#This Row],[SKU]],'All Skus'!$A:$AC,11,FALSE)),""))</f>
        <v>899.92</v>
      </c>
      <c r="K21" s="60">
        <f>(IF((VLOOKUP(Table3[[#This Row],[SKU]],'All Skus'!$A:$AC,2,FALSE))="BSS",(VLOOKUP(Table3[[#This Row],[SKU]],'All Skus'!$A:$AC,15,FALSE)),""))</f>
        <v>0</v>
      </c>
      <c r="L21" s="47">
        <f>(IF((VLOOKUP(Table3[[#This Row],[SKU]],'All Skus'!$A:$AC,2,FALSE))="BSS",(VLOOKUP(Table3[[#This Row],[SKU]],'All Skus'!$A:$AC,16,FALSE)),""))</f>
        <v>691991014024</v>
      </c>
      <c r="M21" s="60">
        <f>(IF((VLOOKUP(Table3[[#This Row],[SKU]],'All Skus'!$A:$AC,2,FALSE))="BSS",(VLOOKUP(Table3[[#This Row],[SKU]],'All Skus'!$A:$AC,17,FALSE)),""))</f>
        <v>0</v>
      </c>
      <c r="N21" s="64">
        <f>(IF((VLOOKUP(Table3[[#This Row],[SKU]],'All Skus'!$A:$AC,2,FALSE))="BSS",(VLOOKUP(Table3[[#This Row],[SKU]],'All Skus'!$A:$AC,18,FALSE)),""))</f>
        <v>1</v>
      </c>
      <c r="O21" s="64">
        <f>(IF((VLOOKUP(Table3[[#This Row],[SKU]],'All Skus'!$A:$AC,2,FALSE))="BSS",(VLOOKUP(Table3[[#This Row],[SKU]],'All Skus'!$A:$AC,19,FALSE)),""))</f>
        <v>10</v>
      </c>
      <c r="P21" s="64">
        <f>(IF((VLOOKUP(Table3[[#This Row],[SKU]],'All Skus'!$A:$AC,2,FALSE))="BSS",(VLOOKUP(Table3[[#This Row],[SKU]],'All Skus'!$A:$AC,20,FALSE)),""))</f>
        <v>6.5</v>
      </c>
      <c r="Q21" s="64">
        <f>(IF((VLOOKUP(Table3[[#This Row],[SKU]],'All Skus'!$A:$AC,2,FALSE))="BSS",(VLOOKUP(Table3[[#This Row],[SKU]],'All Skus'!$A:$AC,21,FALSE)),""))</f>
        <v>4</v>
      </c>
      <c r="R21" s="60" t="str">
        <f>(IF((VLOOKUP(Table3[[#This Row],[SKU]],'All Skus'!$A:$AC,2,FALSE))="BSS",(VLOOKUP(Table3[[#This Row],[SKU]],'All Skus'!$A:$AC,22,FALSE)),""))</f>
        <v>MY</v>
      </c>
      <c r="S21" s="52" t="str">
        <f>(IF((VLOOKUP(Table3[[#This Row],[SKU]],'All Skus'!$A:$AC,2,FALSE))="BSS",(VLOOKUP(Table3[[#This Row],[SKU]],'All Skus'!$A:$AC,23,FALSE)),""))</f>
        <v>Non Compliant</v>
      </c>
      <c r="T21" s="206" t="str">
        <f>HYPERLINK((IF((VLOOKUP(Table3[[#This Row],[SKU]],'All Skus'!$A:$AC,2,FALSE))="BSS",(VLOOKUP(Table3[[#This Row],[SKU]],'All Skus'!$A:$AC,24,FALSE)),"")))</f>
        <v>https://bssaudio.com/en/products/blu-8v2blk</v>
      </c>
      <c r="U21" s="151">
        <v>20</v>
      </c>
    </row>
    <row r="22" spans="1:21" ht="15" customHeight="1">
      <c r="A22" s="48" t="s">
        <v>831</v>
      </c>
      <c r="B22" s="52" t="str">
        <f>(IF((VLOOKUP(Table3[[#This Row],[SKU]],'All Skus'!$A:$AC,2,FALSE))="BSS",(VLOOKUP(Table3[[#This Row],[SKU]],'All Skus'!$A:$AC,3,FALSE)),""))</f>
        <v>Soundweb Contrio Controllers</v>
      </c>
      <c r="C22" s="52" t="str">
        <f>(IF((VLOOKUP(Table3[[#This Row],[SKU]],'All Skus'!$A:$AC,2,FALSE))="BSS",(VLOOKUP(Table3[[#This Row],[SKU]],'All Skus'!$A:$AC,4,FALSE)),""))</f>
        <v xml:space="preserve">BLU-8-V2-WHT </v>
      </c>
      <c r="D22" s="60" t="str">
        <f>(IF((VLOOKUP(Table3[[#This Row],[SKU]],'All Skus'!$A:$AC,2,FALSE))="BSS",(VLOOKUP(Table3[[#This Row],[SKU]],'All Skus'!$A:$AC,5,FALSE)),""))</f>
        <v>BSSLONDON</v>
      </c>
      <c r="E22" s="60">
        <f>(IF((VLOOKUP(Table3[[#This Row],[SKU]],'All Skus'!$A:$AC,2,FALSE))="BSS",(VLOOKUP(Table3[[#This Row],[SKU]],'All Skus'!$A:$AC,6,FALSE)),""))</f>
        <v>0</v>
      </c>
      <c r="F22" s="52">
        <f>(IF((VLOOKUP(Table3[[#This Row],[SKU]],'All Skus'!$A:$AC,2,FALSE))="BSS",(VLOOKUP(Table3[[#This Row],[SKU]],'All Skus'!$A:$AC,7,FALSE)),""))</f>
        <v>0</v>
      </c>
      <c r="G22" s="52" t="str">
        <f>(IF((VLOOKUP(Table3[[#This Row],[SKU]],'All Skus'!$A:$AC,2,FALSE))="BSS",(VLOOKUP(Table3[[#This Row],[SKU]],'All Skus'!$A:$AC,8,FALSE)),""))</f>
        <v>Zone controller</v>
      </c>
      <c r="H22" s="45" t="str">
        <f>(IF((VLOOKUP(Table3[[#This Row],[SKU]],'All Skus'!$A:$AC,2,FALSE))="BSS",(VLOOKUP(Table3[[#This Row],[SKU]],'All Skus'!$A:$AC,9,FALSE)),""))</f>
        <v xml:space="preserve">Programmable zone controller (White)  </v>
      </c>
      <c r="I22" s="94">
        <f>(IF((VLOOKUP(Table3[[#This Row],[SKU]],'All Skus'!$A:$AC,2,FALSE))="BSS",(VLOOKUP(Table3[[#This Row],[SKU]],'All Skus'!$A:$AC,10,FALSE)),""))</f>
        <v>899.92</v>
      </c>
      <c r="J22" s="94">
        <f>(IF((VLOOKUP(Table3[[#This Row],[SKU]],'All Skus'!$A:$AC,2,FALSE))="BSS",(VLOOKUP(Table3[[#This Row],[SKU]],'All Skus'!$A:$AC,11,FALSE)),""))</f>
        <v>899.92</v>
      </c>
      <c r="K22" s="60">
        <f>(IF((VLOOKUP(Table3[[#This Row],[SKU]],'All Skus'!$A:$AC,2,FALSE))="BSS",(VLOOKUP(Table3[[#This Row],[SKU]],'All Skus'!$A:$AC,15,FALSE)),""))</f>
        <v>0</v>
      </c>
      <c r="L22" s="47">
        <f>(IF((VLOOKUP(Table3[[#This Row],[SKU]],'All Skus'!$A:$AC,2,FALSE))="BSS",(VLOOKUP(Table3[[#This Row],[SKU]],'All Skus'!$A:$AC,16,FALSE)),""))</f>
        <v>691991014017</v>
      </c>
      <c r="M22" s="60">
        <f>(IF((VLOOKUP(Table3[[#This Row],[SKU]],'All Skus'!$A:$AC,2,FALSE))="BSS",(VLOOKUP(Table3[[#This Row],[SKU]],'All Skus'!$A:$AC,17,FALSE)),""))</f>
        <v>0</v>
      </c>
      <c r="N22" s="64">
        <f>(IF((VLOOKUP(Table3[[#This Row],[SKU]],'All Skus'!$A:$AC,2,FALSE))="BSS",(VLOOKUP(Table3[[#This Row],[SKU]],'All Skus'!$A:$AC,18,FALSE)),""))</f>
        <v>2</v>
      </c>
      <c r="O22" s="64">
        <f>(IF((VLOOKUP(Table3[[#This Row],[SKU]],'All Skus'!$A:$AC,2,FALSE))="BSS",(VLOOKUP(Table3[[#This Row],[SKU]],'All Skus'!$A:$AC,19,FALSE)),""))</f>
        <v>10</v>
      </c>
      <c r="P22" s="64">
        <f>(IF((VLOOKUP(Table3[[#This Row],[SKU]],'All Skus'!$A:$AC,2,FALSE))="BSS",(VLOOKUP(Table3[[#This Row],[SKU]],'All Skus'!$A:$AC,20,FALSE)),""))</f>
        <v>6.5</v>
      </c>
      <c r="Q22" s="64">
        <f>(IF((VLOOKUP(Table3[[#This Row],[SKU]],'All Skus'!$A:$AC,2,FALSE))="BSS",(VLOOKUP(Table3[[#This Row],[SKU]],'All Skus'!$A:$AC,21,FALSE)),""))</f>
        <v>4</v>
      </c>
      <c r="R22" s="60" t="str">
        <f>(IF((VLOOKUP(Table3[[#This Row],[SKU]],'All Skus'!$A:$AC,2,FALSE))="BSS",(VLOOKUP(Table3[[#This Row],[SKU]],'All Skus'!$A:$AC,22,FALSE)),""))</f>
        <v>MY</v>
      </c>
      <c r="S22" s="52" t="str">
        <f>(IF((VLOOKUP(Table3[[#This Row],[SKU]],'All Skus'!$A:$AC,2,FALSE))="BSS",(VLOOKUP(Table3[[#This Row],[SKU]],'All Skus'!$A:$AC,23,FALSE)),""))</f>
        <v>Non Compliant</v>
      </c>
      <c r="T22" s="206" t="str">
        <f>HYPERLINK((IF((VLOOKUP(Table3[[#This Row],[SKU]],'All Skus'!$A:$AC,2,FALSE))="BSS",(VLOOKUP(Table3[[#This Row],[SKU]],'All Skus'!$A:$AC,24,FALSE)),"")))</f>
        <v>https://bssaudio.com/en/products/blu-8v2wht</v>
      </c>
      <c r="U22" s="151">
        <v>21</v>
      </c>
    </row>
    <row r="23" spans="1:21" ht="15" customHeight="1">
      <c r="A23" s="48" t="s">
        <v>832</v>
      </c>
      <c r="B23" s="52" t="str">
        <f>(IF((VLOOKUP(Table3[[#This Row],[SKU]],'All Skus'!$A:$AC,2,FALSE))="BSS",(VLOOKUP(Table3[[#This Row],[SKU]],'All Skus'!$A:$AC,3,FALSE)),""))</f>
        <v>Soundweb Contrio Controllers</v>
      </c>
      <c r="C23" s="52" t="str">
        <f>(IF((VLOOKUP(Table3[[#This Row],[SKU]],'All Skus'!$A:$AC,2,FALSE))="BSS",(VLOOKUP(Table3[[#This Row],[SKU]],'All Skus'!$A:$AC,4,FALSE)),""))</f>
        <v>BLUAEC-IN</v>
      </c>
      <c r="D23" s="60" t="str">
        <f>(IF((VLOOKUP(Table3[[#This Row],[SKU]],'All Skus'!$A:$AC,2,FALSE))="BSS",(VLOOKUP(Table3[[#This Row],[SKU]],'All Skus'!$A:$AC,5,FALSE)),""))</f>
        <v>BSSLONDON</v>
      </c>
      <c r="E23" s="60" t="str">
        <f>(IF((VLOOKUP(Table3[[#This Row],[SKU]],'All Skus'!$A:$AC,2,FALSE))="BSS",(VLOOKUP(Table3[[#This Row],[SKU]],'All Skus'!$A:$AC,6,FALSE)),""))</f>
        <v>YES</v>
      </c>
      <c r="F23" s="52">
        <f>(IF((VLOOKUP(Table3[[#This Row],[SKU]],'All Skus'!$A:$AC,2,FALSE))="BSS",(VLOOKUP(Table3[[#This Row],[SKU]],'All Skus'!$A:$AC,7,FALSE)),""))</f>
        <v>0</v>
      </c>
      <c r="G23" s="52" t="str">
        <f>(IF((VLOOKUP(Table3[[#This Row],[SKU]],'All Skus'!$A:$AC,2,FALSE))="BSS",(VLOOKUP(Table3[[#This Row],[SKU]],'All Skus'!$A:$AC,8,FALSE)),""))</f>
        <v>I/O card</v>
      </c>
      <c r="H23" s="45" t="str">
        <f>(IF((VLOOKUP(Table3[[#This Row],[SKU]],'All Skus'!$A:$AC,2,FALSE))="BSS",(VLOOKUP(Table3[[#This Row],[SKU]],'All Skus'!$A:$AC,9,FALSE)),""))</f>
        <v>4 analog input mic/line card for Soundweb London Chassis with independent AEC processing per channel (for BLU-800, BLU-320, BLU-160 and BLU-120 ONLY)</v>
      </c>
      <c r="I23" s="94">
        <f>(IF((VLOOKUP(Table3[[#This Row],[SKU]],'All Skus'!$A:$AC,2,FALSE))="BSS",(VLOOKUP(Table3[[#This Row],[SKU]],'All Skus'!$A:$AC,10,FALSE)),""))</f>
        <v>1500.62</v>
      </c>
      <c r="J23" s="94">
        <f>(IF((VLOOKUP(Table3[[#This Row],[SKU]],'All Skus'!$A:$AC,2,FALSE))="BSS",(VLOOKUP(Table3[[#This Row],[SKU]],'All Skus'!$A:$AC,11,FALSE)),""))</f>
        <v>1500.62</v>
      </c>
      <c r="K23" s="60">
        <f>(IF((VLOOKUP(Table3[[#This Row],[SKU]],'All Skus'!$A:$AC,2,FALSE))="BSS",(VLOOKUP(Table3[[#This Row],[SKU]],'All Skus'!$A:$AC,15,FALSE)),""))</f>
        <v>0</v>
      </c>
      <c r="L23" s="47">
        <f>(IF((VLOOKUP(Table3[[#This Row],[SKU]],'All Skus'!$A:$AC,2,FALSE))="BSS",(VLOOKUP(Table3[[#This Row],[SKU]],'All Skus'!$A:$AC,16,FALSE)),""))</f>
        <v>691991039010</v>
      </c>
      <c r="M23" s="60">
        <f>(IF((VLOOKUP(Table3[[#This Row],[SKU]],'All Skus'!$A:$AC,2,FALSE))="BSS",(VLOOKUP(Table3[[#This Row],[SKU]],'All Skus'!$A:$AC,17,FALSE)),""))</f>
        <v>0</v>
      </c>
      <c r="N23" s="64">
        <f>(IF((VLOOKUP(Table3[[#This Row],[SKU]],'All Skus'!$A:$AC,2,FALSE))="BSS",(VLOOKUP(Table3[[#This Row],[SKU]],'All Skus'!$A:$AC,18,FALSE)),""))</f>
        <v>0.5</v>
      </c>
      <c r="O23" s="64">
        <f>(IF((VLOOKUP(Table3[[#This Row],[SKU]],'All Skus'!$A:$AC,2,FALSE))="BSS",(VLOOKUP(Table3[[#This Row],[SKU]],'All Skus'!$A:$AC,19,FALSE)),""))</f>
        <v>10</v>
      </c>
      <c r="P23" s="64">
        <f>(IF((VLOOKUP(Table3[[#This Row],[SKU]],'All Skus'!$A:$AC,2,FALSE))="BSS",(VLOOKUP(Table3[[#This Row],[SKU]],'All Skus'!$A:$AC,20,FALSE)),""))</f>
        <v>6.5</v>
      </c>
      <c r="Q23" s="64">
        <f>(IF((VLOOKUP(Table3[[#This Row],[SKU]],'All Skus'!$A:$AC,2,FALSE))="BSS",(VLOOKUP(Table3[[#This Row],[SKU]],'All Skus'!$A:$AC,21,FALSE)),""))</f>
        <v>4</v>
      </c>
      <c r="R23" s="60" t="str">
        <f>(IF((VLOOKUP(Table3[[#This Row],[SKU]],'All Skus'!$A:$AC,2,FALSE))="BSS",(VLOOKUP(Table3[[#This Row],[SKU]],'All Skus'!$A:$AC,22,FALSE)),""))</f>
        <v>MY</v>
      </c>
      <c r="S23" s="52" t="str">
        <f>(IF((VLOOKUP(Table3[[#This Row],[SKU]],'All Skus'!$A:$AC,2,FALSE))="BSS",(VLOOKUP(Table3[[#This Row],[SKU]],'All Skus'!$A:$AC,23,FALSE)),""))</f>
        <v>Non Compliant</v>
      </c>
      <c r="T23" s="206" t="str">
        <f>HYPERLINK((IF((VLOOKUP(Table3[[#This Row],[SKU]],'All Skus'!$A:$AC,2,FALSE))="BSS",(VLOOKUP(Table3[[#This Row],[SKU]],'All Skus'!$A:$AC,24,FALSE)),"")))</f>
        <v/>
      </c>
      <c r="U23" s="151">
        <v>22</v>
      </c>
    </row>
    <row r="24" spans="1:21" ht="15" customHeight="1">
      <c r="A24" s="48" t="s">
        <v>833</v>
      </c>
      <c r="B24" s="52" t="str">
        <f>(IF((VLOOKUP(Table3[[#This Row],[SKU]],'All Skus'!$A:$AC,2,FALSE))="BSS",(VLOOKUP(Table3[[#This Row],[SKU]],'All Skus'!$A:$AC,3,FALSE)),""))</f>
        <v>FCS Series Graphic Equalizers</v>
      </c>
      <c r="C24" s="52" t="str">
        <f>(IF((VLOOKUP(Table3[[#This Row],[SKU]],'All Skus'!$A:$AC,2,FALSE))="BSS",(VLOOKUP(Table3[[#This Row],[SKU]],'All Skus'!$A:$AC,4,FALSE)),""))</f>
        <v>BLU-BIB</v>
      </c>
      <c r="D24" s="60" t="str">
        <f>(IF((VLOOKUP(Table3[[#This Row],[SKU]],'All Skus'!$A:$AC,2,FALSE))="BSS",(VLOOKUP(Table3[[#This Row],[SKU]],'All Skus'!$A:$AC,5,FALSE)),""))</f>
        <v>BSSLONDON</v>
      </c>
      <c r="E24" s="60">
        <f>(IF((VLOOKUP(Table3[[#This Row],[SKU]],'All Skus'!$A:$AC,2,FALSE))="BSS",(VLOOKUP(Table3[[#This Row],[SKU]],'All Skus'!$A:$AC,6,FALSE)),""))</f>
        <v>0</v>
      </c>
      <c r="F24" s="52">
        <f>(IF((VLOOKUP(Table3[[#This Row],[SKU]],'All Skus'!$A:$AC,2,FALSE))="BSS",(VLOOKUP(Table3[[#This Row],[SKU]],'All Skus'!$A:$AC,7,FALSE)),""))</f>
        <v>0</v>
      </c>
      <c r="G24" s="52" t="str">
        <f>(IF((VLOOKUP(Table3[[#This Row],[SKU]],'All Skus'!$A:$AC,2,FALSE))="BSS",(VLOOKUP(Table3[[#This Row],[SKU]],'All Skus'!$A:$AC,8,FALSE)),""))</f>
        <v>Break-in/out box</v>
      </c>
      <c r="H24" s="45" t="str">
        <f>(IF((VLOOKUP(Table3[[#This Row],[SKU]],'All Skus'!$A:$AC,2,FALSE))="BSS",(VLOOKUP(Table3[[#This Row],[SKU]],'All Skus'!$A:$AC,9,FALSE)),""))</f>
        <v>8-channel analog break-in box w/ BLU link &amp; switchable Phantom Power per channel (half rack width)</v>
      </c>
      <c r="I24" s="94">
        <f>(IF((VLOOKUP(Table3[[#This Row],[SKU]],'All Skus'!$A:$AC,2,FALSE))="BSS",(VLOOKUP(Table3[[#This Row],[SKU]],'All Skus'!$A:$AC,10,FALSE)),""))</f>
        <v>1122.32</v>
      </c>
      <c r="J24" s="94">
        <f>(IF((VLOOKUP(Table3[[#This Row],[SKU]],'All Skus'!$A:$AC,2,FALSE))="BSS",(VLOOKUP(Table3[[#This Row],[SKU]],'All Skus'!$A:$AC,11,FALSE)),""))</f>
        <v>1122.32</v>
      </c>
      <c r="K24" s="60">
        <f>(IF((VLOOKUP(Table3[[#This Row],[SKU]],'All Skus'!$A:$AC,2,FALSE))="BSS",(VLOOKUP(Table3[[#This Row],[SKU]],'All Skus'!$A:$AC,15,FALSE)),""))</f>
        <v>0</v>
      </c>
      <c r="L24" s="47">
        <f>(IF((VLOOKUP(Table3[[#This Row],[SKU]],'All Skus'!$A:$AC,2,FALSE))="BSS",(VLOOKUP(Table3[[#This Row],[SKU]],'All Skus'!$A:$AC,16,FALSE)),""))</f>
        <v>691991600661</v>
      </c>
      <c r="M24" s="60">
        <f>(IF((VLOOKUP(Table3[[#This Row],[SKU]],'All Skus'!$A:$AC,2,FALSE))="BSS",(VLOOKUP(Table3[[#This Row],[SKU]],'All Skus'!$A:$AC,17,FALSE)),""))</f>
        <v>0</v>
      </c>
      <c r="N24" s="64">
        <f>(IF((VLOOKUP(Table3[[#This Row],[SKU]],'All Skus'!$A:$AC,2,FALSE))="BSS",(VLOOKUP(Table3[[#This Row],[SKU]],'All Skus'!$A:$AC,18,FALSE)),""))</f>
        <v>5</v>
      </c>
      <c r="O24" s="64">
        <f>(IF((VLOOKUP(Table3[[#This Row],[SKU]],'All Skus'!$A:$AC,2,FALSE))="BSS",(VLOOKUP(Table3[[#This Row],[SKU]],'All Skus'!$A:$AC,19,FALSE)),""))</f>
        <v>16</v>
      </c>
      <c r="P24" s="64">
        <f>(IF((VLOOKUP(Table3[[#This Row],[SKU]],'All Skus'!$A:$AC,2,FALSE))="BSS",(VLOOKUP(Table3[[#This Row],[SKU]],'All Skus'!$A:$AC,20,FALSE)),""))</f>
        <v>4</v>
      </c>
      <c r="Q24" s="64">
        <f>(IF((VLOOKUP(Table3[[#This Row],[SKU]],'All Skus'!$A:$AC,2,FALSE))="BSS",(VLOOKUP(Table3[[#This Row],[SKU]],'All Skus'!$A:$AC,21,FALSE)),""))</f>
        <v>13.5</v>
      </c>
      <c r="R24" s="60" t="str">
        <f>(IF((VLOOKUP(Table3[[#This Row],[SKU]],'All Skus'!$A:$AC,2,FALSE))="BSS",(VLOOKUP(Table3[[#This Row],[SKU]],'All Skus'!$A:$AC,22,FALSE)),""))</f>
        <v>MY</v>
      </c>
      <c r="S24" s="52" t="str">
        <f>(IF((VLOOKUP(Table3[[#This Row],[SKU]],'All Skus'!$A:$AC,2,FALSE))="BSS",(VLOOKUP(Table3[[#This Row],[SKU]],'All Skus'!$A:$AC,23,FALSE)),""))</f>
        <v>Non Compliant</v>
      </c>
      <c r="T24" s="206" t="str">
        <f>HYPERLINK((IF((VLOOKUP(Table3[[#This Row],[SKU]],'All Skus'!$A:$AC,2,FALSE))="BSS",(VLOOKUP(Table3[[#This Row],[SKU]],'All Skus'!$A:$AC,24,FALSE)),"")))</f>
        <v>https://bssaudio.com/en/products/blu-bib</v>
      </c>
      <c r="U24" s="151">
        <v>23</v>
      </c>
    </row>
    <row r="25" spans="1:21" ht="15" customHeight="1">
      <c r="A25" s="48" t="s">
        <v>834</v>
      </c>
      <c r="B25" s="52" t="str">
        <f>(IF((VLOOKUP(Table3[[#This Row],[SKU]],'All Skus'!$A:$AC,2,FALSE))="BSS",(VLOOKUP(Table3[[#This Row],[SKU]],'All Skus'!$A:$AC,3,FALSE)),""))</f>
        <v>FCS Series Graphic Equalizers</v>
      </c>
      <c r="C25" s="52" t="str">
        <f>(IF((VLOOKUP(Table3[[#This Row],[SKU]],'All Skus'!$A:$AC,2,FALSE))="BSS",(VLOOKUP(Table3[[#This Row],[SKU]],'All Skus'!$A:$AC,4,FALSE)),""))</f>
        <v>BLU-BOB1</v>
      </c>
      <c r="D25" s="60" t="str">
        <f>(IF((VLOOKUP(Table3[[#This Row],[SKU]],'All Skus'!$A:$AC,2,FALSE))="BSS",(VLOOKUP(Table3[[#This Row],[SKU]],'All Skus'!$A:$AC,5,FALSE)),""))</f>
        <v>BSSLONDON</v>
      </c>
      <c r="E25" s="60">
        <f>(IF((VLOOKUP(Table3[[#This Row],[SKU]],'All Skus'!$A:$AC,2,FALSE))="BSS",(VLOOKUP(Table3[[#This Row],[SKU]],'All Skus'!$A:$AC,6,FALSE)),""))</f>
        <v>0</v>
      </c>
      <c r="F25" s="52">
        <f>(IF((VLOOKUP(Table3[[#This Row],[SKU]],'All Skus'!$A:$AC,2,FALSE))="BSS",(VLOOKUP(Table3[[#This Row],[SKU]],'All Skus'!$A:$AC,7,FALSE)),""))</f>
        <v>0</v>
      </c>
      <c r="G25" s="52" t="str">
        <f>(IF((VLOOKUP(Table3[[#This Row],[SKU]],'All Skus'!$A:$AC,2,FALSE))="BSS",(VLOOKUP(Table3[[#This Row],[SKU]],'All Skus'!$A:$AC,8,FALSE)),""))</f>
        <v>Break-in/out box</v>
      </c>
      <c r="H25" s="45" t="str">
        <f>(IF((VLOOKUP(Table3[[#This Row],[SKU]],'All Skus'!$A:$AC,2,FALSE))="BSS",(VLOOKUP(Table3[[#This Row],[SKU]],'All Skus'!$A:$AC,9,FALSE)),""))</f>
        <v>8-channel analog break-out box w/ BLU link (half rack)</v>
      </c>
      <c r="I25" s="94">
        <f>(IF((VLOOKUP(Table3[[#This Row],[SKU]],'All Skus'!$A:$AC,2,FALSE))="BSS",(VLOOKUP(Table3[[#This Row],[SKU]],'All Skus'!$A:$AC,10,FALSE)),""))</f>
        <v>950.36</v>
      </c>
      <c r="J25" s="94">
        <f>(IF((VLOOKUP(Table3[[#This Row],[SKU]],'All Skus'!$A:$AC,2,FALSE))="BSS",(VLOOKUP(Table3[[#This Row],[SKU]],'All Skus'!$A:$AC,11,FALSE)),""))</f>
        <v>950.36</v>
      </c>
      <c r="K25" s="60">
        <f>(IF((VLOOKUP(Table3[[#This Row],[SKU]],'All Skus'!$A:$AC,2,FALSE))="BSS",(VLOOKUP(Table3[[#This Row],[SKU]],'All Skus'!$A:$AC,15,FALSE)),""))</f>
        <v>0</v>
      </c>
      <c r="L25" s="47">
        <f>(IF((VLOOKUP(Table3[[#This Row],[SKU]],'All Skus'!$A:$AC,2,FALSE))="BSS",(VLOOKUP(Table3[[#This Row],[SKU]],'All Skus'!$A:$AC,16,FALSE)),""))</f>
        <v>691991033414</v>
      </c>
      <c r="M25" s="60">
        <f>(IF((VLOOKUP(Table3[[#This Row],[SKU]],'All Skus'!$A:$AC,2,FALSE))="BSS",(VLOOKUP(Table3[[#This Row],[SKU]],'All Skus'!$A:$AC,17,FALSE)),""))</f>
        <v>0</v>
      </c>
      <c r="N25" s="64">
        <f>(IF((VLOOKUP(Table3[[#This Row],[SKU]],'All Skus'!$A:$AC,2,FALSE))="BSS",(VLOOKUP(Table3[[#This Row],[SKU]],'All Skus'!$A:$AC,18,FALSE)),""))</f>
        <v>5</v>
      </c>
      <c r="O25" s="64">
        <f>(IF((VLOOKUP(Table3[[#This Row],[SKU]],'All Skus'!$A:$AC,2,FALSE))="BSS",(VLOOKUP(Table3[[#This Row],[SKU]],'All Skus'!$A:$AC,19,FALSE)),""))</f>
        <v>16</v>
      </c>
      <c r="P25" s="64">
        <f>(IF((VLOOKUP(Table3[[#This Row],[SKU]],'All Skus'!$A:$AC,2,FALSE))="BSS",(VLOOKUP(Table3[[#This Row],[SKU]],'All Skus'!$A:$AC,20,FALSE)),""))</f>
        <v>13</v>
      </c>
      <c r="Q25" s="64">
        <f>(IF((VLOOKUP(Table3[[#This Row],[SKU]],'All Skus'!$A:$AC,2,FALSE))="BSS",(VLOOKUP(Table3[[#This Row],[SKU]],'All Skus'!$A:$AC,21,FALSE)),""))</f>
        <v>4</v>
      </c>
      <c r="R25" s="60" t="str">
        <f>(IF((VLOOKUP(Table3[[#This Row],[SKU]],'All Skus'!$A:$AC,2,FALSE))="BSS",(VLOOKUP(Table3[[#This Row],[SKU]],'All Skus'!$A:$AC,22,FALSE)),""))</f>
        <v>MY</v>
      </c>
      <c r="S25" s="52" t="str">
        <f>(IF((VLOOKUP(Table3[[#This Row],[SKU]],'All Skus'!$A:$AC,2,FALSE))="BSS",(VLOOKUP(Table3[[#This Row],[SKU]],'All Skus'!$A:$AC,23,FALSE)),""))</f>
        <v>Non Compliant</v>
      </c>
      <c r="T25" s="206" t="str">
        <f>HYPERLINK((IF((VLOOKUP(Table3[[#This Row],[SKU]],'All Skus'!$A:$AC,2,FALSE))="BSS",(VLOOKUP(Table3[[#This Row],[SKU]],'All Skus'!$A:$AC,24,FALSE)),"")))</f>
        <v>https://bssaudio.com/en/products/blu-bob1</v>
      </c>
      <c r="U25" s="151">
        <v>24</v>
      </c>
    </row>
    <row r="26" spans="1:21" ht="15" customHeight="1">
      <c r="A26" s="48" t="s">
        <v>835</v>
      </c>
      <c r="B26" s="52" t="str">
        <f>(IF((VLOOKUP(Table3[[#This Row],[SKU]],'All Skus'!$A:$AC,2,FALSE))="BSS",(VLOOKUP(Table3[[#This Row],[SKU]],'All Skus'!$A:$AC,3,FALSE)),""))</f>
        <v>Soundweb London Chassis</v>
      </c>
      <c r="C26" s="52" t="str">
        <f>(IF((VLOOKUP(Table3[[#This Row],[SKU]],'All Skus'!$A:$AC,2,FALSE))="BSS",(VLOOKUP(Table3[[#This Row],[SKU]],'All Skus'!$A:$AC,4,FALSE)),""))</f>
        <v>BLU-BOB2</v>
      </c>
      <c r="D26" s="60" t="str">
        <f>(IF((VLOOKUP(Table3[[#This Row],[SKU]],'All Skus'!$A:$AC,2,FALSE))="BSS",(VLOOKUP(Table3[[#This Row],[SKU]],'All Skus'!$A:$AC,5,FALSE)),""))</f>
        <v>BSSLONDON</v>
      </c>
      <c r="E26" s="60">
        <f>(IF((VLOOKUP(Table3[[#This Row],[SKU]],'All Skus'!$A:$AC,2,FALSE))="BSS",(VLOOKUP(Table3[[#This Row],[SKU]],'All Skus'!$A:$AC,6,FALSE)),""))</f>
        <v>0</v>
      </c>
      <c r="F26" s="52">
        <f>(IF((VLOOKUP(Table3[[#This Row],[SKU]],'All Skus'!$A:$AC,2,FALSE))="BSS",(VLOOKUP(Table3[[#This Row],[SKU]],'All Skus'!$A:$AC,7,FALSE)),""))</f>
        <v>0</v>
      </c>
      <c r="G26" s="52" t="str">
        <f>(IF((VLOOKUP(Table3[[#This Row],[SKU]],'All Skus'!$A:$AC,2,FALSE))="BSS",(VLOOKUP(Table3[[#This Row],[SKU]],'All Skus'!$A:$AC,8,FALSE)),""))</f>
        <v>Break-in/out box</v>
      </c>
      <c r="H26" s="45" t="str">
        <f>(IF((VLOOKUP(Table3[[#This Row],[SKU]],'All Skus'!$A:$AC,2,FALSE))="BSS",(VLOOKUP(Table3[[#This Row],[SKU]],'All Skus'!$A:$AC,9,FALSE)),""))</f>
        <v>8-channel analog break-out box w/ BLU link (rack mount)</v>
      </c>
      <c r="I26" s="94">
        <f>(IF((VLOOKUP(Table3[[#This Row],[SKU]],'All Skus'!$A:$AC,2,FALSE))="BSS",(VLOOKUP(Table3[[#This Row],[SKU]],'All Skus'!$A:$AC,10,FALSE)),""))</f>
        <v>1037.48</v>
      </c>
      <c r="J26" s="94">
        <f>(IF((VLOOKUP(Table3[[#This Row],[SKU]],'All Skus'!$A:$AC,2,FALSE))="BSS",(VLOOKUP(Table3[[#This Row],[SKU]],'All Skus'!$A:$AC,11,FALSE)),""))</f>
        <v>1037.48</v>
      </c>
      <c r="K26" s="60">
        <f>(IF((VLOOKUP(Table3[[#This Row],[SKU]],'All Skus'!$A:$AC,2,FALSE))="BSS",(VLOOKUP(Table3[[#This Row],[SKU]],'All Skus'!$A:$AC,15,FALSE)),""))</f>
        <v>0</v>
      </c>
      <c r="L26" s="47">
        <f>(IF((VLOOKUP(Table3[[#This Row],[SKU]],'All Skus'!$A:$AC,2,FALSE))="BSS",(VLOOKUP(Table3[[#This Row],[SKU]],'All Skus'!$A:$AC,16,FALSE)),""))</f>
        <v>0</v>
      </c>
      <c r="M26" s="60">
        <f>(IF((VLOOKUP(Table3[[#This Row],[SKU]],'All Skus'!$A:$AC,2,FALSE))="BSS",(VLOOKUP(Table3[[#This Row],[SKU]],'All Skus'!$A:$AC,17,FALSE)),""))</f>
        <v>0</v>
      </c>
      <c r="N26" s="64">
        <f>(IF((VLOOKUP(Table3[[#This Row],[SKU]],'All Skus'!$A:$AC,2,FALSE))="BSS",(VLOOKUP(Table3[[#This Row],[SKU]],'All Skus'!$A:$AC,18,FALSE)),""))</f>
        <v>9</v>
      </c>
      <c r="O26" s="64">
        <f>(IF((VLOOKUP(Table3[[#This Row],[SKU]],'All Skus'!$A:$AC,2,FALSE))="BSS",(VLOOKUP(Table3[[#This Row],[SKU]],'All Skus'!$A:$AC,19,FALSE)),""))</f>
        <v>24</v>
      </c>
      <c r="P26" s="64">
        <f>(IF((VLOOKUP(Table3[[#This Row],[SKU]],'All Skus'!$A:$AC,2,FALSE))="BSS",(VLOOKUP(Table3[[#This Row],[SKU]],'All Skus'!$A:$AC,20,FALSE)),""))</f>
        <v>4.5</v>
      </c>
      <c r="Q26" s="64">
        <f>(IF((VLOOKUP(Table3[[#This Row],[SKU]],'All Skus'!$A:$AC,2,FALSE))="BSS",(VLOOKUP(Table3[[#This Row],[SKU]],'All Skus'!$A:$AC,21,FALSE)),""))</f>
        <v>15.5</v>
      </c>
      <c r="R26" s="60" t="str">
        <f>(IF((VLOOKUP(Table3[[#This Row],[SKU]],'All Skus'!$A:$AC,2,FALSE))="BSS",(VLOOKUP(Table3[[#This Row],[SKU]],'All Skus'!$A:$AC,22,FALSE)),""))</f>
        <v>MY</v>
      </c>
      <c r="S26" s="52" t="str">
        <f>(IF((VLOOKUP(Table3[[#This Row],[SKU]],'All Skus'!$A:$AC,2,FALSE))="BSS",(VLOOKUP(Table3[[#This Row],[SKU]],'All Skus'!$A:$AC,23,FALSE)),""))</f>
        <v>Non Compliant</v>
      </c>
      <c r="T26" s="206" t="str">
        <f>HYPERLINK((IF((VLOOKUP(Table3[[#This Row],[SKU]],'All Skus'!$A:$AC,2,FALSE))="BSS",(VLOOKUP(Table3[[#This Row],[SKU]],'All Skus'!$A:$AC,24,FALSE)),"")))</f>
        <v>https://bssaudio.com/en/products/blu-bob2</v>
      </c>
      <c r="U26" s="151">
        <v>25</v>
      </c>
    </row>
    <row r="27" spans="1:21" ht="15" customHeight="1">
      <c r="A27" s="48" t="s">
        <v>836</v>
      </c>
      <c r="B27" s="52" t="str">
        <f>(IF((VLOOKUP(Table3[[#This Row],[SKU]],'All Skus'!$A:$AC,2,FALSE))="BSS",(VLOOKUP(Table3[[#This Row],[SKU]],'All Skus'!$A:$AC,3,FALSE)),""))</f>
        <v>Soundweb London Accessories</v>
      </c>
      <c r="C27" s="52" t="str">
        <f>(IF((VLOOKUP(Table3[[#This Row],[SKU]],'All Skus'!$A:$AC,2,FALSE))="BSS",(VLOOKUP(Table3[[#This Row],[SKU]],'All Skus'!$A:$AC,4,FALSE)),""))</f>
        <v xml:space="preserve">BLUCARD-IN </v>
      </c>
      <c r="D27" s="60" t="str">
        <f>(IF((VLOOKUP(Table3[[#This Row],[SKU]],'All Skus'!$A:$AC,2,FALSE))="BSS",(VLOOKUP(Table3[[#This Row],[SKU]],'All Skus'!$A:$AC,5,FALSE)),""))</f>
        <v>BSSLONDON</v>
      </c>
      <c r="E27" s="60" t="str">
        <f>(IF((VLOOKUP(Table3[[#This Row],[SKU]],'All Skus'!$A:$AC,2,FALSE))="BSS",(VLOOKUP(Table3[[#This Row],[SKU]],'All Skus'!$A:$AC,6,FALSE)),""))</f>
        <v>YES</v>
      </c>
      <c r="F27" s="52">
        <f>(IF((VLOOKUP(Table3[[#This Row],[SKU]],'All Skus'!$A:$AC,2,FALSE))="BSS",(VLOOKUP(Table3[[#This Row],[SKU]],'All Skus'!$A:$AC,7,FALSE)),""))</f>
        <v>0</v>
      </c>
      <c r="G27" s="52" t="str">
        <f>(IF((VLOOKUP(Table3[[#This Row],[SKU]],'All Skus'!$A:$AC,2,FALSE))="BSS",(VLOOKUP(Table3[[#This Row],[SKU]],'All Skus'!$A:$AC,8,FALSE)),""))</f>
        <v>I/O card</v>
      </c>
      <c r="H27" s="45" t="str">
        <f>(IF((VLOOKUP(Table3[[#This Row],[SKU]],'All Skus'!$A:$AC,2,FALSE))="BSS",(VLOOKUP(Table3[[#This Row],[SKU]],'All Skus'!$A:$AC,9,FALSE)),""))</f>
        <v>4 analog input mic/line card for Soundweb London Chassis</v>
      </c>
      <c r="I27" s="94">
        <f>(IF((VLOOKUP(Table3[[#This Row],[SKU]],'All Skus'!$A:$AC,2,FALSE))="BSS",(VLOOKUP(Table3[[#This Row],[SKU]],'All Skus'!$A:$AC,10,FALSE)),""))</f>
        <v>452.82</v>
      </c>
      <c r="J27" s="94">
        <f>(IF((VLOOKUP(Table3[[#This Row],[SKU]],'All Skus'!$A:$AC,2,FALSE))="BSS",(VLOOKUP(Table3[[#This Row],[SKU]],'All Skus'!$A:$AC,11,FALSE)),""))</f>
        <v>452.82</v>
      </c>
      <c r="K27" s="60">
        <f>(IF((VLOOKUP(Table3[[#This Row],[SKU]],'All Skus'!$A:$AC,2,FALSE))="BSS",(VLOOKUP(Table3[[#This Row],[SKU]],'All Skus'!$A:$AC,15,FALSE)),""))</f>
        <v>0</v>
      </c>
      <c r="L27" s="47">
        <f>(IF((VLOOKUP(Table3[[#This Row],[SKU]],'All Skus'!$A:$AC,2,FALSE))="BSS",(VLOOKUP(Table3[[#This Row],[SKU]],'All Skus'!$A:$AC,16,FALSE)),""))</f>
        <v>691991025402</v>
      </c>
      <c r="M27" s="60">
        <f>(IF((VLOOKUP(Table3[[#This Row],[SKU]],'All Skus'!$A:$AC,2,FALSE))="BSS",(VLOOKUP(Table3[[#This Row],[SKU]],'All Skus'!$A:$AC,17,FALSE)),""))</f>
        <v>0</v>
      </c>
      <c r="N27" s="64">
        <f>(IF((VLOOKUP(Table3[[#This Row],[SKU]],'All Skus'!$A:$AC,2,FALSE))="BSS",(VLOOKUP(Table3[[#This Row],[SKU]],'All Skus'!$A:$AC,18,FALSE)),""))</f>
        <v>2</v>
      </c>
      <c r="O27" s="64">
        <f>(IF((VLOOKUP(Table3[[#This Row],[SKU]],'All Skus'!$A:$AC,2,FALSE))="BSS",(VLOOKUP(Table3[[#This Row],[SKU]],'All Skus'!$A:$AC,19,FALSE)),""))</f>
        <v>10</v>
      </c>
      <c r="P27" s="64">
        <f>(IF((VLOOKUP(Table3[[#This Row],[SKU]],'All Skus'!$A:$AC,2,FALSE))="BSS",(VLOOKUP(Table3[[#This Row],[SKU]],'All Skus'!$A:$AC,20,FALSE)),""))</f>
        <v>6</v>
      </c>
      <c r="Q27" s="64">
        <f>(IF((VLOOKUP(Table3[[#This Row],[SKU]],'All Skus'!$A:$AC,2,FALSE))="BSS",(VLOOKUP(Table3[[#This Row],[SKU]],'All Skus'!$A:$AC,21,FALSE)),""))</f>
        <v>3.5</v>
      </c>
      <c r="R27" s="60" t="str">
        <f>(IF((VLOOKUP(Table3[[#This Row],[SKU]],'All Skus'!$A:$AC,2,FALSE))="BSS",(VLOOKUP(Table3[[#This Row],[SKU]],'All Skus'!$A:$AC,22,FALSE)),""))</f>
        <v>MY</v>
      </c>
      <c r="S27" s="52" t="str">
        <f>(IF((VLOOKUP(Table3[[#This Row],[SKU]],'All Skus'!$A:$AC,2,FALSE))="BSS",(VLOOKUP(Table3[[#This Row],[SKU]],'All Skus'!$A:$AC,23,FALSE)),""))</f>
        <v>Non Compliant</v>
      </c>
      <c r="T27" s="206" t="str">
        <f>HYPERLINK((IF((VLOOKUP(Table3[[#This Row],[SKU]],'All Skus'!$A:$AC,2,FALSE))="BSS",(VLOOKUP(Table3[[#This Row],[SKU]],'All Skus'!$A:$AC,24,FALSE)),"")))</f>
        <v/>
      </c>
      <c r="U27" s="151">
        <v>26</v>
      </c>
    </row>
    <row r="28" spans="1:21" ht="15" customHeight="1">
      <c r="A28" s="48" t="s">
        <v>837</v>
      </c>
      <c r="B28" s="52" t="str">
        <f>(IF((VLOOKUP(Table3[[#This Row],[SKU]],'All Skus'!$A:$AC,2,FALSE))="BSS",(VLOOKUP(Table3[[#This Row],[SKU]],'All Skus'!$A:$AC,3,FALSE)),""))</f>
        <v>Soundweb London Controllers</v>
      </c>
      <c r="C28" s="52" t="str">
        <f>(IF((VLOOKUP(Table3[[#This Row],[SKU]],'All Skus'!$A:$AC,2,FALSE))="BSS",(VLOOKUP(Table3[[#This Row],[SKU]],'All Skus'!$A:$AC,4,FALSE)),""))</f>
        <v>BLUCARD-OUT</v>
      </c>
      <c r="D28" s="60" t="str">
        <f>(IF((VLOOKUP(Table3[[#This Row],[SKU]],'All Skus'!$A:$AC,2,FALSE))="BSS",(VLOOKUP(Table3[[#This Row],[SKU]],'All Skus'!$A:$AC,5,FALSE)),""))</f>
        <v>BSSLONDON</v>
      </c>
      <c r="E28" s="60" t="str">
        <f>(IF((VLOOKUP(Table3[[#This Row],[SKU]],'All Skus'!$A:$AC,2,FALSE))="BSS",(VLOOKUP(Table3[[#This Row],[SKU]],'All Skus'!$A:$AC,6,FALSE)),""))</f>
        <v>YES</v>
      </c>
      <c r="F28" s="52">
        <f>(IF((VLOOKUP(Table3[[#This Row],[SKU]],'All Skus'!$A:$AC,2,FALSE))="BSS",(VLOOKUP(Table3[[#This Row],[SKU]],'All Skus'!$A:$AC,7,FALSE)),""))</f>
        <v>0</v>
      </c>
      <c r="G28" s="52" t="str">
        <f>(IF((VLOOKUP(Table3[[#This Row],[SKU]],'All Skus'!$A:$AC,2,FALSE))="BSS",(VLOOKUP(Table3[[#This Row],[SKU]],'All Skus'!$A:$AC,8,FALSE)),""))</f>
        <v>I/O card</v>
      </c>
      <c r="H28" s="45" t="str">
        <f>(IF((VLOOKUP(Table3[[#This Row],[SKU]],'All Skus'!$A:$AC,2,FALSE))="BSS",(VLOOKUP(Table3[[#This Row],[SKU]],'All Skus'!$A:$AC,9,FALSE)),""))</f>
        <v>4 analogl output card for Soundweb London Chassis</v>
      </c>
      <c r="I28" s="94">
        <f>(IF((VLOOKUP(Table3[[#This Row],[SKU]],'All Skus'!$A:$AC,2,FALSE))="BSS",(VLOOKUP(Table3[[#This Row],[SKU]],'All Skus'!$A:$AC,10,FALSE)),""))</f>
        <v>452.82</v>
      </c>
      <c r="J28" s="94">
        <f>(IF((VLOOKUP(Table3[[#This Row],[SKU]],'All Skus'!$A:$AC,2,FALSE))="BSS",(VLOOKUP(Table3[[#This Row],[SKU]],'All Skus'!$A:$AC,11,FALSE)),""))</f>
        <v>452.82</v>
      </c>
      <c r="K28" s="60">
        <f>(IF((VLOOKUP(Table3[[#This Row],[SKU]],'All Skus'!$A:$AC,2,FALSE))="BSS",(VLOOKUP(Table3[[#This Row],[SKU]],'All Skus'!$A:$AC,15,FALSE)),""))</f>
        <v>0</v>
      </c>
      <c r="L28" s="47">
        <f>(IF((VLOOKUP(Table3[[#This Row],[SKU]],'All Skus'!$A:$AC,2,FALSE))="BSS",(VLOOKUP(Table3[[#This Row],[SKU]],'All Skus'!$A:$AC,16,FALSE)),""))</f>
        <v>691991025426</v>
      </c>
      <c r="M28" s="60">
        <f>(IF((VLOOKUP(Table3[[#This Row],[SKU]],'All Skus'!$A:$AC,2,FALSE))="BSS",(VLOOKUP(Table3[[#This Row],[SKU]],'All Skus'!$A:$AC,17,FALSE)),""))</f>
        <v>0</v>
      </c>
      <c r="N28" s="64">
        <f>(IF((VLOOKUP(Table3[[#This Row],[SKU]],'All Skus'!$A:$AC,2,FALSE))="BSS",(VLOOKUP(Table3[[#This Row],[SKU]],'All Skus'!$A:$AC,18,FALSE)),""))</f>
        <v>0.8</v>
      </c>
      <c r="O28" s="64">
        <f>(IF((VLOOKUP(Table3[[#This Row],[SKU]],'All Skus'!$A:$AC,2,FALSE))="BSS",(VLOOKUP(Table3[[#This Row],[SKU]],'All Skus'!$A:$AC,19,FALSE)),""))</f>
        <v>10</v>
      </c>
      <c r="P28" s="64">
        <f>(IF((VLOOKUP(Table3[[#This Row],[SKU]],'All Skus'!$A:$AC,2,FALSE))="BSS",(VLOOKUP(Table3[[#This Row],[SKU]],'All Skus'!$A:$AC,20,FALSE)),""))</f>
        <v>6.5</v>
      </c>
      <c r="Q28" s="64">
        <f>(IF((VLOOKUP(Table3[[#This Row],[SKU]],'All Skus'!$A:$AC,2,FALSE))="BSS",(VLOOKUP(Table3[[#This Row],[SKU]],'All Skus'!$A:$AC,21,FALSE)),""))</f>
        <v>4</v>
      </c>
      <c r="R28" s="60" t="str">
        <f>(IF((VLOOKUP(Table3[[#This Row],[SKU]],'All Skus'!$A:$AC,2,FALSE))="BSS",(VLOOKUP(Table3[[#This Row],[SKU]],'All Skus'!$A:$AC,22,FALSE)),""))</f>
        <v>MY</v>
      </c>
      <c r="S28" s="52" t="str">
        <f>(IF((VLOOKUP(Table3[[#This Row],[SKU]],'All Skus'!$A:$AC,2,FALSE))="BSS",(VLOOKUP(Table3[[#This Row],[SKU]],'All Skus'!$A:$AC,23,FALSE)),""))</f>
        <v>Non Compliant</v>
      </c>
      <c r="T28" s="206" t="str">
        <f>HYPERLINK((IF((VLOOKUP(Table3[[#This Row],[SKU]],'All Skus'!$A:$AC,2,FALSE))="BSS",(VLOOKUP(Table3[[#This Row],[SKU]],'All Skus'!$A:$AC,24,FALSE)),"")))</f>
        <v>https://bssaudio.com/en/products/analog-output-card</v>
      </c>
      <c r="U28" s="151">
        <v>27</v>
      </c>
    </row>
    <row r="29" spans="1:21" ht="15" customHeight="1">
      <c r="A29" s="48" t="s">
        <v>838</v>
      </c>
      <c r="B29" s="52" t="str">
        <f>(IF((VLOOKUP(Table3[[#This Row],[SKU]],'All Skus'!$A:$AC,2,FALSE))="BSS",(VLOOKUP(Table3[[#This Row],[SKU]],'All Skus'!$A:$AC,3,FALSE)),""))</f>
        <v>FCS Series Graphic Equalizers</v>
      </c>
      <c r="C29" s="52" t="str">
        <f>(IF((VLOOKUP(Table3[[#This Row],[SKU]],'All Skus'!$A:$AC,2,FALSE))="BSS",(VLOOKUP(Table3[[#This Row],[SKU]],'All Skus'!$A:$AC,4,FALSE)),""))</f>
        <v>BLU-DAN</v>
      </c>
      <c r="D29" s="60" t="str">
        <f>(IF((VLOOKUP(Table3[[#This Row],[SKU]],'All Skus'!$A:$AC,2,FALSE))="BSS",(VLOOKUP(Table3[[#This Row],[SKU]],'All Skus'!$A:$AC,5,FALSE)),""))</f>
        <v>BSSLONDON</v>
      </c>
      <c r="E29" s="60">
        <f>(IF((VLOOKUP(Table3[[#This Row],[SKU]],'All Skus'!$A:$AC,2,FALSE))="BSS",(VLOOKUP(Table3[[#This Row],[SKU]],'All Skus'!$A:$AC,6,FALSE)),""))</f>
        <v>0</v>
      </c>
      <c r="F29" s="52">
        <f>(IF((VLOOKUP(Table3[[#This Row],[SKU]],'All Skus'!$A:$AC,2,FALSE))="BSS",(VLOOKUP(Table3[[#This Row],[SKU]],'All Skus'!$A:$AC,7,FALSE)),""))</f>
        <v>0</v>
      </c>
      <c r="G29" s="52" t="str">
        <f>(IF((VLOOKUP(Table3[[#This Row],[SKU]],'All Skus'!$A:$AC,2,FALSE))="BSS",(VLOOKUP(Table3[[#This Row],[SKU]],'All Skus'!$A:$AC,8,FALSE)),""))</f>
        <v>BLU link accessories</v>
      </c>
      <c r="H29" s="45" t="str">
        <f>(IF((VLOOKUP(Table3[[#This Row],[SKU]],'All Skus'!$A:$AC,2,FALSE))="BSS",(VLOOKUP(Table3[[#This Row],[SKU]],'All Skus'!$A:$AC,9,FALSE)),""))</f>
        <v>BLU link to Dante Bridge</v>
      </c>
      <c r="I29" s="94">
        <f>(IF((VLOOKUP(Table3[[#This Row],[SKU]],'All Skus'!$A:$AC,2,FALSE))="BSS",(VLOOKUP(Table3[[#This Row],[SKU]],'All Skus'!$A:$AC,10,FALSE)),""))</f>
        <v>1179.46</v>
      </c>
      <c r="J29" s="94">
        <f>(IF((VLOOKUP(Table3[[#This Row],[SKU]],'All Skus'!$A:$AC,2,FALSE))="BSS",(VLOOKUP(Table3[[#This Row],[SKU]],'All Skus'!$A:$AC,11,FALSE)),""))</f>
        <v>937</v>
      </c>
      <c r="K29" s="60">
        <f>(IF((VLOOKUP(Table3[[#This Row],[SKU]],'All Skus'!$A:$AC,2,FALSE))="BSS",(VLOOKUP(Table3[[#This Row],[SKU]],'All Skus'!$A:$AC,15,FALSE)),""))</f>
        <v>0</v>
      </c>
      <c r="L29" s="47">
        <f>(IF((VLOOKUP(Table3[[#This Row],[SKU]],'All Skus'!$A:$AC,2,FALSE))="BSS",(VLOOKUP(Table3[[#This Row],[SKU]],'All Skus'!$A:$AC,16,FALSE)),""))</f>
        <v>691991000928</v>
      </c>
      <c r="M29" s="60">
        <f>(IF((VLOOKUP(Table3[[#This Row],[SKU]],'All Skus'!$A:$AC,2,FALSE))="BSS",(VLOOKUP(Table3[[#This Row],[SKU]],'All Skus'!$A:$AC,17,FALSE)),""))</f>
        <v>0</v>
      </c>
      <c r="N29" s="64">
        <f>(IF((VLOOKUP(Table3[[#This Row],[SKU]],'All Skus'!$A:$AC,2,FALSE))="BSS",(VLOOKUP(Table3[[#This Row],[SKU]],'All Skus'!$A:$AC,18,FALSE)),""))</f>
        <v>0</v>
      </c>
      <c r="O29" s="64">
        <f>(IF((VLOOKUP(Table3[[#This Row],[SKU]],'All Skus'!$A:$AC,2,FALSE))="BSS",(VLOOKUP(Table3[[#This Row],[SKU]],'All Skus'!$A:$AC,19,FALSE)),""))</f>
        <v>0</v>
      </c>
      <c r="P29" s="64">
        <f>(IF((VLOOKUP(Table3[[#This Row],[SKU]],'All Skus'!$A:$AC,2,FALSE))="BSS",(VLOOKUP(Table3[[#This Row],[SKU]],'All Skus'!$A:$AC,20,FALSE)),""))</f>
        <v>0</v>
      </c>
      <c r="Q29" s="64">
        <f>(IF((VLOOKUP(Table3[[#This Row],[SKU]],'All Skus'!$A:$AC,2,FALSE))="BSS",(VLOOKUP(Table3[[#This Row],[SKU]],'All Skus'!$A:$AC,21,FALSE)),""))</f>
        <v>0</v>
      </c>
      <c r="R29" s="60" t="str">
        <f>(IF((VLOOKUP(Table3[[#This Row],[SKU]],'All Skus'!$A:$AC,2,FALSE))="BSS",(VLOOKUP(Table3[[#This Row],[SKU]],'All Skus'!$A:$AC,22,FALSE)),""))</f>
        <v>MX</v>
      </c>
      <c r="S29" s="52" t="str">
        <f>(IF((VLOOKUP(Table3[[#This Row],[SKU]],'All Skus'!$A:$AC,2,FALSE))="BSS",(VLOOKUP(Table3[[#This Row],[SKU]],'All Skus'!$A:$AC,23,FALSE)),""))</f>
        <v>Compliant</v>
      </c>
      <c r="T29" s="206" t="str">
        <f>HYPERLINK((IF((VLOOKUP(Table3[[#This Row],[SKU]],'All Skus'!$A:$AC,2,FALSE))="BSS",(VLOOKUP(Table3[[#This Row],[SKU]],'All Skus'!$A:$AC,24,FALSE)),"")))</f>
        <v>https://bssaudio.com/en/products/blu-da-blu-dan</v>
      </c>
      <c r="U29" s="151">
        <v>28</v>
      </c>
    </row>
    <row r="30" spans="1:21" ht="15" customHeight="1">
      <c r="A30" s="48" t="s">
        <v>839</v>
      </c>
      <c r="B30" s="52" t="str">
        <f>(IF((VLOOKUP(Table3[[#This Row],[SKU]],'All Skus'!$A:$AC,2,FALSE))="BSS",(VLOOKUP(Table3[[#This Row],[SKU]],'All Skus'!$A:$AC,3,FALSE)),""))</f>
        <v>FCS Series Graphic Equalizers</v>
      </c>
      <c r="C30" s="52" t="str">
        <f>(IF((VLOOKUP(Table3[[#This Row],[SKU]],'All Skus'!$A:$AC,2,FALSE))="BSS",(VLOOKUP(Table3[[#This Row],[SKU]],'All Skus'!$A:$AC,4,FALSE)),""))</f>
        <v xml:space="preserve">BLUDIGITAL-IN </v>
      </c>
      <c r="D30" s="60" t="str">
        <f>(IF((VLOOKUP(Table3[[#This Row],[SKU]],'All Skus'!$A:$AC,2,FALSE))="BSS",(VLOOKUP(Table3[[#This Row],[SKU]],'All Skus'!$A:$AC,5,FALSE)),""))</f>
        <v>BSSLONDON</v>
      </c>
      <c r="E30" s="60" t="str">
        <f>(IF((VLOOKUP(Table3[[#This Row],[SKU]],'All Skus'!$A:$AC,2,FALSE))="BSS",(VLOOKUP(Table3[[#This Row],[SKU]],'All Skus'!$A:$AC,6,FALSE)),""))</f>
        <v>YES</v>
      </c>
      <c r="F30" s="52">
        <f>(IF((VLOOKUP(Table3[[#This Row],[SKU]],'All Skus'!$A:$AC,2,FALSE))="BSS",(VLOOKUP(Table3[[#This Row],[SKU]],'All Skus'!$A:$AC,7,FALSE)),""))</f>
        <v>0</v>
      </c>
      <c r="G30" s="52" t="str">
        <f>(IF((VLOOKUP(Table3[[#This Row],[SKU]],'All Skus'!$A:$AC,2,FALSE))="BSS",(VLOOKUP(Table3[[#This Row],[SKU]],'All Skus'!$A:$AC,8,FALSE)),""))</f>
        <v>I/O card</v>
      </c>
      <c r="H30" s="45" t="str">
        <f>(IF((VLOOKUP(Table3[[#This Row],[SKU]],'All Skus'!$A:$AC,2,FALSE))="BSS",(VLOOKUP(Table3[[#This Row],[SKU]],'All Skus'!$A:$AC,9,FALSE)),""))</f>
        <v>4 digital input card for Soundweb London Chassis</v>
      </c>
      <c r="I30" s="94">
        <f>(IF((VLOOKUP(Table3[[#This Row],[SKU]],'All Skus'!$A:$AC,2,FALSE))="BSS",(VLOOKUP(Table3[[#This Row],[SKU]],'All Skus'!$A:$AC,10,FALSE)),""))</f>
        <v>452.82</v>
      </c>
      <c r="J30" s="94">
        <f>(IF((VLOOKUP(Table3[[#This Row],[SKU]],'All Skus'!$A:$AC,2,FALSE))="BSS",(VLOOKUP(Table3[[#This Row],[SKU]],'All Skus'!$A:$AC,11,FALSE)),""))</f>
        <v>452.82</v>
      </c>
      <c r="K30" s="60">
        <f>(IF((VLOOKUP(Table3[[#This Row],[SKU]],'All Skus'!$A:$AC,2,FALSE))="BSS",(VLOOKUP(Table3[[#This Row],[SKU]],'All Skus'!$A:$AC,15,FALSE)),""))</f>
        <v>0</v>
      </c>
      <c r="L30" s="47">
        <f>(IF((VLOOKUP(Table3[[#This Row],[SKU]],'All Skus'!$A:$AC,2,FALSE))="BSS",(VLOOKUP(Table3[[#This Row],[SKU]],'All Skus'!$A:$AC,16,FALSE)),""))</f>
        <v>691991016332</v>
      </c>
      <c r="M30" s="60">
        <f>(IF((VLOOKUP(Table3[[#This Row],[SKU]],'All Skus'!$A:$AC,2,FALSE))="BSS",(VLOOKUP(Table3[[#This Row],[SKU]],'All Skus'!$A:$AC,17,FALSE)),""))</f>
        <v>0</v>
      </c>
      <c r="N30" s="64">
        <f>(IF((VLOOKUP(Table3[[#This Row],[SKU]],'All Skus'!$A:$AC,2,FALSE))="BSS",(VLOOKUP(Table3[[#This Row],[SKU]],'All Skus'!$A:$AC,18,FALSE)),""))</f>
        <v>2</v>
      </c>
      <c r="O30" s="64">
        <f>(IF((VLOOKUP(Table3[[#This Row],[SKU]],'All Skus'!$A:$AC,2,FALSE))="BSS",(VLOOKUP(Table3[[#This Row],[SKU]],'All Skus'!$A:$AC,19,FALSE)),""))</f>
        <v>10.5</v>
      </c>
      <c r="P30" s="64">
        <f>(IF((VLOOKUP(Table3[[#This Row],[SKU]],'All Skus'!$A:$AC,2,FALSE))="BSS",(VLOOKUP(Table3[[#This Row],[SKU]],'All Skus'!$A:$AC,20,FALSE)),""))</f>
        <v>6.5</v>
      </c>
      <c r="Q30" s="64">
        <f>(IF((VLOOKUP(Table3[[#This Row],[SKU]],'All Skus'!$A:$AC,2,FALSE))="BSS",(VLOOKUP(Table3[[#This Row],[SKU]],'All Skus'!$A:$AC,21,FALSE)),""))</f>
        <v>4</v>
      </c>
      <c r="R30" s="60" t="str">
        <f>(IF((VLOOKUP(Table3[[#This Row],[SKU]],'All Skus'!$A:$AC,2,FALSE))="BSS",(VLOOKUP(Table3[[#This Row],[SKU]],'All Skus'!$A:$AC,22,FALSE)),""))</f>
        <v>MY</v>
      </c>
      <c r="S30" s="52" t="str">
        <f>(IF((VLOOKUP(Table3[[#This Row],[SKU]],'All Skus'!$A:$AC,2,FALSE))="BSS",(VLOOKUP(Table3[[#This Row],[SKU]],'All Skus'!$A:$AC,23,FALSE)),""))</f>
        <v>Non Compliant</v>
      </c>
      <c r="T30" s="206" t="str">
        <f>HYPERLINK((IF((VLOOKUP(Table3[[#This Row],[SKU]],'All Skus'!$A:$AC,2,FALSE))="BSS",(VLOOKUP(Table3[[#This Row],[SKU]],'All Skus'!$A:$AC,24,FALSE)),"")))</f>
        <v/>
      </c>
      <c r="U30" s="151">
        <v>29</v>
      </c>
    </row>
    <row r="31" spans="1:21" ht="15" customHeight="1">
      <c r="A31" s="48" t="s">
        <v>840</v>
      </c>
      <c r="B31" s="52" t="str">
        <f>(IF((VLOOKUP(Table3[[#This Row],[SKU]],'All Skus'!$A:$AC,2,FALSE))="BSS",(VLOOKUP(Table3[[#This Row],[SKU]],'All Skus'!$A:$AC,3,FALSE)),""))</f>
        <v>Accessory Products</v>
      </c>
      <c r="C31" s="52" t="str">
        <f>(IF((VLOOKUP(Table3[[#This Row],[SKU]],'All Skus'!$A:$AC,2,FALSE))="BSS",(VLOOKUP(Table3[[#This Row],[SKU]],'All Skus'!$A:$AC,4,FALSE)),""))</f>
        <v xml:space="preserve">BLUDIGITAL-OUT </v>
      </c>
      <c r="D31" s="60" t="str">
        <f>(IF((VLOOKUP(Table3[[#This Row],[SKU]],'All Skus'!$A:$AC,2,FALSE))="BSS",(VLOOKUP(Table3[[#This Row],[SKU]],'All Skus'!$A:$AC,5,FALSE)),""))</f>
        <v>BSSLONDON</v>
      </c>
      <c r="E31" s="60" t="str">
        <f>(IF((VLOOKUP(Table3[[#This Row],[SKU]],'All Skus'!$A:$AC,2,FALSE))="BSS",(VLOOKUP(Table3[[#This Row],[SKU]],'All Skus'!$A:$AC,6,FALSE)),""))</f>
        <v>YES</v>
      </c>
      <c r="F31" s="52">
        <f>(IF((VLOOKUP(Table3[[#This Row],[SKU]],'All Skus'!$A:$AC,2,FALSE))="BSS",(VLOOKUP(Table3[[#This Row],[SKU]],'All Skus'!$A:$AC,7,FALSE)),""))</f>
        <v>0</v>
      </c>
      <c r="G31" s="52" t="str">
        <f>(IF((VLOOKUP(Table3[[#This Row],[SKU]],'All Skus'!$A:$AC,2,FALSE))="BSS",(VLOOKUP(Table3[[#This Row],[SKU]],'All Skus'!$A:$AC,8,FALSE)),""))</f>
        <v>I/O card</v>
      </c>
      <c r="H31" s="45" t="str">
        <f>(IF((VLOOKUP(Table3[[#This Row],[SKU]],'All Skus'!$A:$AC,2,FALSE))="BSS",(VLOOKUP(Table3[[#This Row],[SKU]],'All Skus'!$A:$AC,9,FALSE)),""))</f>
        <v>4 digital output card for Soundweb London Chassis</v>
      </c>
      <c r="I31" s="94">
        <f>(IF((VLOOKUP(Table3[[#This Row],[SKU]],'All Skus'!$A:$AC,2,FALSE))="BSS",(VLOOKUP(Table3[[#This Row],[SKU]],'All Skus'!$A:$AC,10,FALSE)),""))</f>
        <v>452.82</v>
      </c>
      <c r="J31" s="94">
        <f>(IF((VLOOKUP(Table3[[#This Row],[SKU]],'All Skus'!$A:$AC,2,FALSE))="BSS",(VLOOKUP(Table3[[#This Row],[SKU]],'All Skus'!$A:$AC,11,FALSE)),""))</f>
        <v>452.82</v>
      </c>
      <c r="K31" s="60">
        <f>(IF((VLOOKUP(Table3[[#This Row],[SKU]],'All Skus'!$A:$AC,2,FALSE))="BSS",(VLOOKUP(Table3[[#This Row],[SKU]],'All Skus'!$A:$AC,15,FALSE)),""))</f>
        <v>0</v>
      </c>
      <c r="L31" s="47">
        <f>(IF((VLOOKUP(Table3[[#This Row],[SKU]],'All Skus'!$A:$AC,2,FALSE))="BSS",(VLOOKUP(Table3[[#This Row],[SKU]],'All Skus'!$A:$AC,16,FALSE)),""))</f>
        <v>691991033438</v>
      </c>
      <c r="M31" s="60">
        <f>(IF((VLOOKUP(Table3[[#This Row],[SKU]],'All Skus'!$A:$AC,2,FALSE))="BSS",(VLOOKUP(Table3[[#This Row],[SKU]],'All Skus'!$A:$AC,17,FALSE)),""))</f>
        <v>0</v>
      </c>
      <c r="N31" s="64">
        <f>(IF((VLOOKUP(Table3[[#This Row],[SKU]],'All Skus'!$A:$AC,2,FALSE))="BSS",(VLOOKUP(Table3[[#This Row],[SKU]],'All Skus'!$A:$AC,18,FALSE)),""))</f>
        <v>2</v>
      </c>
      <c r="O31" s="64">
        <f>(IF((VLOOKUP(Table3[[#This Row],[SKU]],'All Skus'!$A:$AC,2,FALSE))="BSS",(VLOOKUP(Table3[[#This Row],[SKU]],'All Skus'!$A:$AC,19,FALSE)),""))</f>
        <v>10.5</v>
      </c>
      <c r="P31" s="64">
        <f>(IF((VLOOKUP(Table3[[#This Row],[SKU]],'All Skus'!$A:$AC,2,FALSE))="BSS",(VLOOKUP(Table3[[#This Row],[SKU]],'All Skus'!$A:$AC,20,FALSE)),""))</f>
        <v>6.5</v>
      </c>
      <c r="Q31" s="64">
        <f>(IF((VLOOKUP(Table3[[#This Row],[SKU]],'All Skus'!$A:$AC,2,FALSE))="BSS",(VLOOKUP(Table3[[#This Row],[SKU]],'All Skus'!$A:$AC,21,FALSE)),""))</f>
        <v>4</v>
      </c>
      <c r="R31" s="60" t="str">
        <f>(IF((VLOOKUP(Table3[[#This Row],[SKU]],'All Skus'!$A:$AC,2,FALSE))="BSS",(VLOOKUP(Table3[[#This Row],[SKU]],'All Skus'!$A:$AC,22,FALSE)),""))</f>
        <v>MY</v>
      </c>
      <c r="S31" s="52" t="str">
        <f>(IF((VLOOKUP(Table3[[#This Row],[SKU]],'All Skus'!$A:$AC,2,FALSE))="BSS",(VLOOKUP(Table3[[#This Row],[SKU]],'All Skus'!$A:$AC,23,FALSE)),""))</f>
        <v>Non Compliant</v>
      </c>
      <c r="T31" s="206" t="str">
        <f>HYPERLINK((IF((VLOOKUP(Table3[[#This Row],[SKU]],'All Skus'!$A:$AC,2,FALSE))="BSS",(VLOOKUP(Table3[[#This Row],[SKU]],'All Skus'!$A:$AC,24,FALSE)),"")))</f>
        <v/>
      </c>
      <c r="U31" s="151">
        <v>30</v>
      </c>
    </row>
    <row r="32" spans="1:21" ht="15" customHeight="1">
      <c r="A32" s="48" t="s">
        <v>841</v>
      </c>
      <c r="B32" s="52">
        <f>(IF((VLOOKUP(Table3[[#This Row],[SKU]],'All Skus'!$A:$AC,2,FALSE))="BSS",(VLOOKUP(Table3[[#This Row],[SKU]],'All Skus'!$A:$AC,3,FALSE)),""))</f>
        <v>0</v>
      </c>
      <c r="C32" s="52" t="str">
        <f>(IF((VLOOKUP(Table3[[#This Row],[SKU]],'All Skus'!$A:$AC,2,FALSE))="BSS",(VLOOKUP(Table3[[#This Row],[SKU]],'All Skus'!$A:$AC,4,FALSE)),""))</f>
        <v>BLU-GPX</v>
      </c>
      <c r="D32" s="60" t="str">
        <f>(IF((VLOOKUP(Table3[[#This Row],[SKU]],'All Skus'!$A:$AC,2,FALSE))="BSS",(VLOOKUP(Table3[[#This Row],[SKU]],'All Skus'!$A:$AC,5,FALSE)),""))</f>
        <v>BSSLONDON</v>
      </c>
      <c r="E32" s="60">
        <f>(IF((VLOOKUP(Table3[[#This Row],[SKU]],'All Skus'!$A:$AC,2,FALSE))="BSS",(VLOOKUP(Table3[[#This Row],[SKU]],'All Skus'!$A:$AC,6,FALSE)),""))</f>
        <v>0</v>
      </c>
      <c r="F32" s="52">
        <f>(IF((VLOOKUP(Table3[[#This Row],[SKU]],'All Skus'!$A:$AC,2,FALSE))="BSS",(VLOOKUP(Table3[[#This Row],[SKU]],'All Skus'!$A:$AC,7,FALSE)),""))</f>
        <v>0</v>
      </c>
      <c r="G32" s="52" t="str">
        <f>(IF((VLOOKUP(Table3[[#This Row],[SKU]],'All Skus'!$A:$AC,2,FALSE))="BSS",(VLOOKUP(Table3[[#This Row],[SKU]],'All Skus'!$A:$AC,8,FALSE)),""))</f>
        <v>GPIO  expander</v>
      </c>
      <c r="H32" s="45" t="str">
        <f>(IF((VLOOKUP(Table3[[#This Row],[SKU]],'All Skus'!$A:$AC,2,FALSE))="BSS",(VLOOKUP(Table3[[#This Row],[SKU]],'All Skus'!$A:$AC,9,FALSE)),""))</f>
        <v>Networked General Purpose I/O expander w/ BLU link chassis</v>
      </c>
      <c r="I32" s="94">
        <f>(IF((VLOOKUP(Table3[[#This Row],[SKU]],'All Skus'!$A:$AC,2,FALSE))="BSS",(VLOOKUP(Table3[[#This Row],[SKU]],'All Skus'!$A:$AC,10,FALSE)),""))</f>
        <v>2398.5300000000002</v>
      </c>
      <c r="J32" s="94">
        <f>(IF((VLOOKUP(Table3[[#This Row],[SKU]],'All Skus'!$A:$AC,2,FALSE))="BSS",(VLOOKUP(Table3[[#This Row],[SKU]],'All Skus'!$A:$AC,11,FALSE)),""))</f>
        <v>2398.5300000000002</v>
      </c>
      <c r="K32" s="60">
        <f>(IF((VLOOKUP(Table3[[#This Row],[SKU]],'All Skus'!$A:$AC,2,FALSE))="BSS",(VLOOKUP(Table3[[#This Row],[SKU]],'All Skus'!$A:$AC,15,FALSE)),""))</f>
        <v>0</v>
      </c>
      <c r="L32" s="47">
        <f>(IF((VLOOKUP(Table3[[#This Row],[SKU]],'All Skus'!$A:$AC,2,FALSE))="BSS",(VLOOKUP(Table3[[#This Row],[SKU]],'All Skus'!$A:$AC,16,FALSE)),""))</f>
        <v>691991600753</v>
      </c>
      <c r="M32" s="60">
        <f>(IF((VLOOKUP(Table3[[#This Row],[SKU]],'All Skus'!$A:$AC,2,FALSE))="BSS",(VLOOKUP(Table3[[#This Row],[SKU]],'All Skus'!$A:$AC,17,FALSE)),""))</f>
        <v>0</v>
      </c>
      <c r="N32" s="64">
        <f>(IF((VLOOKUP(Table3[[#This Row],[SKU]],'All Skus'!$A:$AC,2,FALSE))="BSS",(VLOOKUP(Table3[[#This Row],[SKU]],'All Skus'!$A:$AC,18,FALSE)),""))</f>
        <v>0</v>
      </c>
      <c r="O32" s="64">
        <f>(IF((VLOOKUP(Table3[[#This Row],[SKU]],'All Skus'!$A:$AC,2,FALSE))="BSS",(VLOOKUP(Table3[[#This Row],[SKU]],'All Skus'!$A:$AC,19,FALSE)),""))</f>
        <v>0</v>
      </c>
      <c r="P32" s="64">
        <f>(IF((VLOOKUP(Table3[[#This Row],[SKU]],'All Skus'!$A:$AC,2,FALSE))="BSS",(VLOOKUP(Table3[[#This Row],[SKU]],'All Skus'!$A:$AC,20,FALSE)),""))</f>
        <v>0</v>
      </c>
      <c r="Q32" s="64">
        <f>(IF((VLOOKUP(Table3[[#This Row],[SKU]],'All Skus'!$A:$AC,2,FALSE))="BSS",(VLOOKUP(Table3[[#This Row],[SKU]],'All Skus'!$A:$AC,21,FALSE)),""))</f>
        <v>0</v>
      </c>
      <c r="R32" s="60" t="str">
        <f>(IF((VLOOKUP(Table3[[#This Row],[SKU]],'All Skus'!$A:$AC,2,FALSE))="BSS",(VLOOKUP(Table3[[#This Row],[SKU]],'All Skus'!$A:$AC,22,FALSE)),""))</f>
        <v>MX</v>
      </c>
      <c r="S32" s="52" t="str">
        <f>(IF((VLOOKUP(Table3[[#This Row],[SKU]],'All Skus'!$A:$AC,2,FALSE))="BSS",(VLOOKUP(Table3[[#This Row],[SKU]],'All Skus'!$A:$AC,23,FALSE)),""))</f>
        <v>Compliant</v>
      </c>
      <c r="T32" s="206" t="str">
        <f>HYPERLINK((IF((VLOOKUP(Table3[[#This Row],[SKU]],'All Skus'!$A:$AC,2,FALSE))="BSS",(VLOOKUP(Table3[[#This Row],[SKU]],'All Skus'!$A:$AC,24,FALSE)),"")))</f>
        <v>https://bssaudio.com/en/products/blu-gpx</v>
      </c>
      <c r="U32" s="151">
        <v>31</v>
      </c>
    </row>
    <row r="33" spans="1:21" ht="15" customHeight="1">
      <c r="A33" s="48" t="s">
        <v>842</v>
      </c>
      <c r="B33" s="52">
        <f>(IF((VLOOKUP(Table3[[#This Row],[SKU]],'All Skus'!$A:$AC,2,FALSE))="BSS",(VLOOKUP(Table3[[#This Row],[SKU]],'All Skus'!$A:$AC,3,FALSE)),""))</f>
        <v>0</v>
      </c>
      <c r="C33" s="52" t="str">
        <f>(IF((VLOOKUP(Table3[[#This Row],[SKU]],'All Skus'!$A:$AC,2,FALSE))="BSS",(VLOOKUP(Table3[[#This Row],[SKU]],'All Skus'!$A:$AC,4,FALSE)),""))</f>
        <v>BLU-HIF</v>
      </c>
      <c r="D33" s="60" t="str">
        <f>(IF((VLOOKUP(Table3[[#This Row],[SKU]],'All Skus'!$A:$AC,2,FALSE))="BSS",(VLOOKUP(Table3[[#This Row],[SKU]],'All Skus'!$A:$AC,5,FALSE)),""))</f>
        <v>BSSLONDON</v>
      </c>
      <c r="E33" s="60">
        <f>(IF((VLOOKUP(Table3[[#This Row],[SKU]],'All Skus'!$A:$AC,2,FALSE))="BSS",(VLOOKUP(Table3[[#This Row],[SKU]],'All Skus'!$A:$AC,6,FALSE)),""))</f>
        <v>0</v>
      </c>
      <c r="F33" s="52">
        <f>(IF((VLOOKUP(Table3[[#This Row],[SKU]],'All Skus'!$A:$AC,2,FALSE))="BSS",(VLOOKUP(Table3[[#This Row],[SKU]],'All Skus'!$A:$AC,7,FALSE)),""))</f>
        <v>0</v>
      </c>
      <c r="G33" s="52" t="str">
        <f>(IF((VLOOKUP(Table3[[#This Row],[SKU]],'All Skus'!$A:$AC,2,FALSE))="BSS",(VLOOKUP(Table3[[#This Row],[SKU]],'All Skus'!$A:$AC,8,FALSE)),""))</f>
        <v>Headset interface</v>
      </c>
      <c r="H33" s="45" t="str">
        <f>(IF((VLOOKUP(Table3[[#This Row],[SKU]],'All Skus'!$A:$AC,2,FALSE))="BSS",(VLOOKUP(Table3[[#This Row],[SKU]],'All Skus'!$A:$AC,9,FALSE)),""))</f>
        <v>Soundweb London Telephone Headset Interface</v>
      </c>
      <c r="I33" s="94">
        <f>(IF((VLOOKUP(Table3[[#This Row],[SKU]],'All Skus'!$A:$AC,2,FALSE))="BSS",(VLOOKUP(Table3[[#This Row],[SKU]],'All Skus'!$A:$AC,10,FALSE)),""))</f>
        <v>377.16</v>
      </c>
      <c r="J33" s="94">
        <f>(IF((VLOOKUP(Table3[[#This Row],[SKU]],'All Skus'!$A:$AC,2,FALSE))="BSS",(VLOOKUP(Table3[[#This Row],[SKU]],'All Skus'!$A:$AC,11,FALSE)),""))</f>
        <v>377.16</v>
      </c>
      <c r="K33" s="60">
        <f>(IF((VLOOKUP(Table3[[#This Row],[SKU]],'All Skus'!$A:$AC,2,FALSE))="BSS",(VLOOKUP(Table3[[#This Row],[SKU]],'All Skus'!$A:$AC,15,FALSE)),""))</f>
        <v>0</v>
      </c>
      <c r="L33" s="47">
        <f>(IF((VLOOKUP(Table3[[#This Row],[SKU]],'All Skus'!$A:$AC,2,FALSE))="BSS",(VLOOKUP(Table3[[#This Row],[SKU]],'All Skus'!$A:$AC,16,FALSE)),""))</f>
        <v>691991014079</v>
      </c>
      <c r="M33" s="60">
        <f>(IF((VLOOKUP(Table3[[#This Row],[SKU]],'All Skus'!$A:$AC,2,FALSE))="BSS",(VLOOKUP(Table3[[#This Row],[SKU]],'All Skus'!$A:$AC,17,FALSE)),""))</f>
        <v>0</v>
      </c>
      <c r="N33" s="64">
        <f>(IF((VLOOKUP(Table3[[#This Row],[SKU]],'All Skus'!$A:$AC,2,FALSE))="BSS",(VLOOKUP(Table3[[#This Row],[SKU]],'All Skus'!$A:$AC,18,FALSE)),""))</f>
        <v>1</v>
      </c>
      <c r="O33" s="64">
        <f>(IF((VLOOKUP(Table3[[#This Row],[SKU]],'All Skus'!$A:$AC,2,FALSE))="BSS",(VLOOKUP(Table3[[#This Row],[SKU]],'All Skus'!$A:$AC,19,FALSE)),""))</f>
        <v>10</v>
      </c>
      <c r="P33" s="64">
        <f>(IF((VLOOKUP(Table3[[#This Row],[SKU]],'All Skus'!$A:$AC,2,FALSE))="BSS",(VLOOKUP(Table3[[#This Row],[SKU]],'All Skus'!$A:$AC,20,FALSE)),""))</f>
        <v>6.5</v>
      </c>
      <c r="Q33" s="64">
        <f>(IF((VLOOKUP(Table3[[#This Row],[SKU]],'All Skus'!$A:$AC,2,FALSE))="BSS",(VLOOKUP(Table3[[#This Row],[SKU]],'All Skus'!$A:$AC,21,FALSE)),""))</f>
        <v>3</v>
      </c>
      <c r="R33" s="60" t="str">
        <f>(IF((VLOOKUP(Table3[[#This Row],[SKU]],'All Skus'!$A:$AC,2,FALSE))="BSS",(VLOOKUP(Table3[[#This Row],[SKU]],'All Skus'!$A:$AC,22,FALSE)),""))</f>
        <v>MY</v>
      </c>
      <c r="S33" s="52" t="str">
        <f>(IF((VLOOKUP(Table3[[#This Row],[SKU]],'All Skus'!$A:$AC,2,FALSE))="BSS",(VLOOKUP(Table3[[#This Row],[SKU]],'All Skus'!$A:$AC,23,FALSE)),""))</f>
        <v>Non Compliant</v>
      </c>
      <c r="T33" s="206" t="str">
        <f>HYPERLINK((IF((VLOOKUP(Table3[[#This Row],[SKU]],'All Skus'!$A:$AC,2,FALSE))="BSS",(VLOOKUP(Table3[[#This Row],[SKU]],'All Skus'!$A:$AC,24,FALSE)),"")))</f>
        <v>https://bssaudio.com/en/products/blu-hif</v>
      </c>
      <c r="U33" s="151">
        <v>32</v>
      </c>
    </row>
    <row r="34" spans="1:21" ht="15" customHeight="1">
      <c r="A34" s="48" t="s">
        <v>843</v>
      </c>
      <c r="B34" s="52">
        <f>(IF((VLOOKUP(Table3[[#This Row],[SKU]],'All Skus'!$A:$AC,2,FALSE))="BSS",(VLOOKUP(Table3[[#This Row],[SKU]],'All Skus'!$A:$AC,3,FALSE)),""))</f>
        <v>0</v>
      </c>
      <c r="C34" s="52" t="str">
        <f>(IF((VLOOKUP(Table3[[#This Row],[SKU]],'All Skus'!$A:$AC,2,FALSE))="BSS",(VLOOKUP(Table3[[#This Row],[SKU]],'All Skus'!$A:$AC,4,FALSE)),""))</f>
        <v>BSSBLUHYBRIDIN-M</v>
      </c>
      <c r="D34" s="60" t="str">
        <f>(IF((VLOOKUP(Table3[[#This Row],[SKU]],'All Skus'!$A:$AC,2,FALSE))="BSS",(VLOOKUP(Table3[[#This Row],[SKU]],'All Skus'!$A:$AC,5,FALSE)),""))</f>
        <v>BSSLONDON</v>
      </c>
      <c r="E34" s="60" t="str">
        <f>(IF((VLOOKUP(Table3[[#This Row],[SKU]],'All Skus'!$A:$AC,2,FALSE))="BSS",(VLOOKUP(Table3[[#This Row],[SKU]],'All Skus'!$A:$AC,6,FALSE)),""))</f>
        <v>YES</v>
      </c>
      <c r="F34" s="52">
        <f>(IF((VLOOKUP(Table3[[#This Row],[SKU]],'All Skus'!$A:$AC,2,FALSE))="BSS",(VLOOKUP(Table3[[#This Row],[SKU]],'All Skus'!$A:$AC,7,FALSE)),""))</f>
        <v>0</v>
      </c>
      <c r="G34" s="52">
        <f>(IF((VLOOKUP(Table3[[#This Row],[SKU]],'All Skus'!$A:$AC,2,FALSE))="BSS",(VLOOKUP(Table3[[#This Row],[SKU]],'All Skus'!$A:$AC,8,FALSE)),""))</f>
        <v>0</v>
      </c>
      <c r="H34" s="45" t="str">
        <f>(IF((VLOOKUP(Table3[[#This Row],[SKU]],'All Skus'!$A:$AC,2,FALSE))="BSS",(VLOOKUP(Table3[[#This Row],[SKU]],'All Skus'!$A:$AC,9,FALSE)),""))</f>
        <v>BSSBLUHYBRIDIN-M</v>
      </c>
      <c r="I34" s="94">
        <f>(IF((VLOOKUP(Table3[[#This Row],[SKU]],'All Skus'!$A:$AC,2,FALSE))="BSS",(VLOOKUP(Table3[[#This Row],[SKU]],'All Skus'!$A:$AC,10,FALSE)),""))</f>
        <v>669.26</v>
      </c>
      <c r="J34" s="94">
        <f>(IF((VLOOKUP(Table3[[#This Row],[SKU]],'All Skus'!$A:$AC,2,FALSE))="BSS",(VLOOKUP(Table3[[#This Row],[SKU]],'All Skus'!$A:$AC,11,FALSE)),""))</f>
        <v>535</v>
      </c>
      <c r="K34" s="60">
        <f>(IF((VLOOKUP(Table3[[#This Row],[SKU]],'All Skus'!$A:$AC,2,FALSE))="BSS",(VLOOKUP(Table3[[#This Row],[SKU]],'All Skus'!$A:$AC,15,FALSE)),""))</f>
        <v>0</v>
      </c>
      <c r="L34" s="47">
        <f>(IF((VLOOKUP(Table3[[#This Row],[SKU]],'All Skus'!$A:$AC,2,FALSE))="BSS",(VLOOKUP(Table3[[#This Row],[SKU]],'All Skus'!$A:$AC,16,FALSE)),""))</f>
        <v>691991013881</v>
      </c>
      <c r="M34" s="60">
        <f>(IF((VLOOKUP(Table3[[#This Row],[SKU]],'All Skus'!$A:$AC,2,FALSE))="BSS",(VLOOKUP(Table3[[#This Row],[SKU]],'All Skus'!$A:$AC,17,FALSE)),""))</f>
        <v>0</v>
      </c>
      <c r="N34" s="64">
        <f>(IF((VLOOKUP(Table3[[#This Row],[SKU]],'All Skus'!$A:$AC,2,FALSE))="BSS",(VLOOKUP(Table3[[#This Row],[SKU]],'All Skus'!$A:$AC,18,FALSE)),""))</f>
        <v>0.5</v>
      </c>
      <c r="O34" s="64">
        <f>(IF((VLOOKUP(Table3[[#This Row],[SKU]],'All Skus'!$A:$AC,2,FALSE))="BSS",(VLOOKUP(Table3[[#This Row],[SKU]],'All Skus'!$A:$AC,19,FALSE)),""))</f>
        <v>10</v>
      </c>
      <c r="P34" s="64">
        <f>(IF((VLOOKUP(Table3[[#This Row],[SKU]],'All Skus'!$A:$AC,2,FALSE))="BSS",(VLOOKUP(Table3[[#This Row],[SKU]],'All Skus'!$A:$AC,20,FALSE)),""))</f>
        <v>6.5</v>
      </c>
      <c r="Q34" s="64">
        <f>(IF((VLOOKUP(Table3[[#This Row],[SKU]],'All Skus'!$A:$AC,2,FALSE))="BSS",(VLOOKUP(Table3[[#This Row],[SKU]],'All Skus'!$A:$AC,21,FALSE)),""))</f>
        <v>4</v>
      </c>
      <c r="R34" s="60" t="str">
        <f>(IF((VLOOKUP(Table3[[#This Row],[SKU]],'All Skus'!$A:$AC,2,FALSE))="BSS",(VLOOKUP(Table3[[#This Row],[SKU]],'All Skus'!$A:$AC,22,FALSE)),""))</f>
        <v>MY</v>
      </c>
      <c r="S34" s="52" t="str">
        <f>(IF((VLOOKUP(Table3[[#This Row],[SKU]],'All Skus'!$A:$AC,2,FALSE))="BSS",(VLOOKUP(Table3[[#This Row],[SKU]],'All Skus'!$A:$AC,23,FALSE)),""))</f>
        <v>Non Compliant</v>
      </c>
      <c r="T34" s="206" t="str">
        <f>HYPERLINK((IF((VLOOKUP(Table3[[#This Row],[SKU]],'All Skus'!$A:$AC,2,FALSE))="BSS",(VLOOKUP(Table3[[#This Row],[SKU]],'All Skus'!$A:$AC,24,FALSE)),"")))</f>
        <v/>
      </c>
      <c r="U34" s="151">
        <v>33</v>
      </c>
    </row>
    <row r="35" spans="1:21" ht="15" customHeight="1">
      <c r="A35" s="48" t="s">
        <v>844</v>
      </c>
      <c r="B35" s="52">
        <f>(IF((VLOOKUP(Table3[[#This Row],[SKU]],'All Skus'!$A:$AC,2,FALSE))="BSS",(VLOOKUP(Table3[[#This Row],[SKU]],'All Skus'!$A:$AC,3,FALSE)),""))</f>
        <v>0</v>
      </c>
      <c r="C35" s="52" t="str">
        <f>(IF((VLOOKUP(Table3[[#This Row],[SKU]],'All Skus'!$A:$AC,2,FALSE))="BSS",(VLOOKUP(Table3[[#This Row],[SKU]],'All Skus'!$A:$AC,4,FALSE)),""))</f>
        <v>BLU-SI</v>
      </c>
      <c r="D35" s="60" t="str">
        <f>(IF((VLOOKUP(Table3[[#This Row],[SKU]],'All Skus'!$A:$AC,2,FALSE))="BSS",(VLOOKUP(Table3[[#This Row],[SKU]],'All Skus'!$A:$AC,5,FALSE)),""))</f>
        <v>BSSLONDON</v>
      </c>
      <c r="E35" s="60">
        <f>(IF((VLOOKUP(Table3[[#This Row],[SKU]],'All Skus'!$A:$AC,2,FALSE))="BSS",(VLOOKUP(Table3[[#This Row],[SKU]],'All Skus'!$A:$AC,6,FALSE)),""))</f>
        <v>0</v>
      </c>
      <c r="F35" s="52">
        <f>(IF((VLOOKUP(Table3[[#This Row],[SKU]],'All Skus'!$A:$AC,2,FALSE))="BSS",(VLOOKUP(Table3[[#This Row],[SKU]],'All Skus'!$A:$AC,7,FALSE)),""))</f>
        <v>0</v>
      </c>
      <c r="G35" s="52" t="str">
        <f>(IF((VLOOKUP(Table3[[#This Row],[SKU]],'All Skus'!$A:$AC,2,FALSE))="BSS",(VLOOKUP(Table3[[#This Row],[SKU]],'All Skus'!$A:$AC,8,FALSE)),""))</f>
        <v>Blu-SI Link card</v>
      </c>
      <c r="H35" s="45" t="str">
        <f>(IF((VLOOKUP(Table3[[#This Row],[SKU]],'All Skus'!$A:$AC,2,FALSE))="BSS",(VLOOKUP(Table3[[#This Row],[SKU]],'All Skus'!$A:$AC,9,FALSE)),""))</f>
        <v>32x32 inerface between Soundcraft SI and Blu Link digital audio bus.</v>
      </c>
      <c r="I35" s="94">
        <f>(IF((VLOOKUP(Table3[[#This Row],[SKU]],'All Skus'!$A:$AC,2,FALSE))="BSS",(VLOOKUP(Table3[[#This Row],[SKU]],'All Skus'!$A:$AC,10,FALSE)),""))</f>
        <v>749.09</v>
      </c>
      <c r="J35" s="94">
        <f>(IF((VLOOKUP(Table3[[#This Row],[SKU]],'All Skus'!$A:$AC,2,FALSE))="BSS",(VLOOKUP(Table3[[#This Row],[SKU]],'All Skus'!$A:$AC,11,FALSE)),""))</f>
        <v>603</v>
      </c>
      <c r="K35" s="60">
        <f>(IF((VLOOKUP(Table3[[#This Row],[SKU]],'All Skus'!$A:$AC,2,FALSE))="BSS",(VLOOKUP(Table3[[#This Row],[SKU]],'All Skus'!$A:$AC,15,FALSE)),""))</f>
        <v>1</v>
      </c>
      <c r="L35" s="47">
        <f>(IF((VLOOKUP(Table3[[#This Row],[SKU]],'All Skus'!$A:$AC,2,FALSE))="BSS",(VLOOKUP(Table3[[#This Row],[SKU]],'All Skus'!$A:$AC,16,FALSE)),""))</f>
        <v>691991013539</v>
      </c>
      <c r="M35" s="60">
        <f>(IF((VLOOKUP(Table3[[#This Row],[SKU]],'All Skus'!$A:$AC,2,FALSE))="BSS",(VLOOKUP(Table3[[#This Row],[SKU]],'All Skus'!$A:$AC,17,FALSE)),""))</f>
        <v>0</v>
      </c>
      <c r="N35" s="64">
        <f>(IF((VLOOKUP(Table3[[#This Row],[SKU]],'All Skus'!$A:$AC,2,FALSE))="BSS",(VLOOKUP(Table3[[#This Row],[SKU]],'All Skus'!$A:$AC,18,FALSE)),""))</f>
        <v>0</v>
      </c>
      <c r="O35" s="64">
        <f>(IF((VLOOKUP(Table3[[#This Row],[SKU]],'All Skus'!$A:$AC,2,FALSE))="BSS",(VLOOKUP(Table3[[#This Row],[SKU]],'All Skus'!$A:$AC,19,FALSE)),""))</f>
        <v>0</v>
      </c>
      <c r="P35" s="64">
        <f>(IF((VLOOKUP(Table3[[#This Row],[SKU]],'All Skus'!$A:$AC,2,FALSE))="BSS",(VLOOKUP(Table3[[#This Row],[SKU]],'All Skus'!$A:$AC,20,FALSE)),""))</f>
        <v>0</v>
      </c>
      <c r="Q35" s="64">
        <f>(IF((VLOOKUP(Table3[[#This Row],[SKU]],'All Skus'!$A:$AC,2,FALSE))="BSS",(VLOOKUP(Table3[[#This Row],[SKU]],'All Skus'!$A:$AC,21,FALSE)),""))</f>
        <v>0</v>
      </c>
      <c r="R35" s="60" t="str">
        <f>(IF((VLOOKUP(Table3[[#This Row],[SKU]],'All Skus'!$A:$AC,2,FALSE))="BSS",(VLOOKUP(Table3[[#This Row],[SKU]],'All Skus'!$A:$AC,22,FALSE)),""))</f>
        <v/>
      </c>
      <c r="S35" s="52" t="str">
        <f>(IF((VLOOKUP(Table3[[#This Row],[SKU]],'All Skus'!$A:$AC,2,FALSE))="BSS",(VLOOKUP(Table3[[#This Row],[SKU]],'All Skus'!$A:$AC,23,FALSE)),""))</f>
        <v>Compliant</v>
      </c>
      <c r="T35" s="206" t="str">
        <f>HYPERLINK((IF((VLOOKUP(Table3[[#This Row],[SKU]],'All Skus'!$A:$AC,2,FALSE))="BSS",(VLOOKUP(Table3[[#This Row],[SKU]],'All Skus'!$A:$AC,24,FALSE)),"")))</f>
        <v/>
      </c>
      <c r="U35" s="151">
        <v>34</v>
      </c>
    </row>
    <row r="36" spans="1:21" ht="15" customHeight="1">
      <c r="A36" s="48" t="s">
        <v>845</v>
      </c>
      <c r="B36" s="52">
        <f>(IF((VLOOKUP(Table3[[#This Row],[SKU]],'All Skus'!$A:$AC,2,FALSE))="BSS",(VLOOKUP(Table3[[#This Row],[SKU]],'All Skus'!$A:$AC,3,FALSE)),""))</f>
        <v>0</v>
      </c>
      <c r="C36" s="52" t="str">
        <f>(IF((VLOOKUP(Table3[[#This Row],[SKU]],'All Skus'!$A:$AC,2,FALSE))="BSS",(VLOOKUP(Table3[[#This Row],[SKU]],'All Skus'!$A:$AC,4,FALSE)),""))</f>
        <v>BLU-USB</v>
      </c>
      <c r="D36" s="60" t="str">
        <f>(IF((VLOOKUP(Table3[[#This Row],[SKU]],'All Skus'!$A:$AC,2,FALSE))="BSS",(VLOOKUP(Table3[[#This Row],[SKU]],'All Skus'!$A:$AC,5,FALSE)),""))</f>
        <v>BSSLONDON</v>
      </c>
      <c r="E36" s="60">
        <f>(IF((VLOOKUP(Table3[[#This Row],[SKU]],'All Skus'!$A:$AC,2,FALSE))="BSS",(VLOOKUP(Table3[[#This Row],[SKU]],'All Skus'!$A:$AC,6,FALSE)),""))</f>
        <v>0</v>
      </c>
      <c r="F36" s="52">
        <f>(IF((VLOOKUP(Table3[[#This Row],[SKU]],'All Skus'!$A:$AC,2,FALSE))="BSS",(VLOOKUP(Table3[[#This Row],[SKU]],'All Skus'!$A:$AC,7,FALSE)),""))</f>
        <v>0</v>
      </c>
      <c r="G36" s="52" t="str">
        <f>(IF((VLOOKUP(Table3[[#This Row],[SKU]],'All Skus'!$A:$AC,2,FALSE))="BSS",(VLOOKUP(Table3[[#This Row],[SKU]],'All Skus'!$A:$AC,8,FALSE)),""))</f>
        <v>BLU link accessories</v>
      </c>
      <c r="H36" s="45" t="str">
        <f>(IF((VLOOKUP(Table3[[#This Row],[SKU]],'All Skus'!$A:$AC,2,FALSE))="BSS",(VLOOKUP(Table3[[#This Row],[SKU]],'All Skus'!$A:$AC,9,FALSE)),""))</f>
        <v>USB audio / BLU link interface **NEW**</v>
      </c>
      <c r="I36" s="94">
        <f>(IF((VLOOKUP(Table3[[#This Row],[SKU]],'All Skus'!$A:$AC,2,FALSE))="BSS",(VLOOKUP(Table3[[#This Row],[SKU]],'All Skus'!$A:$AC,10,FALSE)),""))</f>
        <v>360.14</v>
      </c>
      <c r="J36" s="94">
        <f>(IF((VLOOKUP(Table3[[#This Row],[SKU]],'All Skus'!$A:$AC,2,FALSE))="BSS",(VLOOKUP(Table3[[#This Row],[SKU]],'All Skus'!$A:$AC,11,FALSE)),""))</f>
        <v>360.14</v>
      </c>
      <c r="K36" s="60">
        <f>(IF((VLOOKUP(Table3[[#This Row],[SKU]],'All Skus'!$A:$AC,2,FALSE))="BSS",(VLOOKUP(Table3[[#This Row],[SKU]],'All Skus'!$A:$AC,15,FALSE)),""))</f>
        <v>0</v>
      </c>
      <c r="L36" s="47">
        <f>(IF((VLOOKUP(Table3[[#This Row],[SKU]],'All Skus'!$A:$AC,2,FALSE))="BSS",(VLOOKUP(Table3[[#This Row],[SKU]],'All Skus'!$A:$AC,16,FALSE)),""))</f>
        <v>691991005305</v>
      </c>
      <c r="M36" s="60">
        <f>(IF((VLOOKUP(Table3[[#This Row],[SKU]],'All Skus'!$A:$AC,2,FALSE))="BSS",(VLOOKUP(Table3[[#This Row],[SKU]],'All Skus'!$A:$AC,17,FALSE)),""))</f>
        <v>0</v>
      </c>
      <c r="N36" s="64">
        <f>(IF((VLOOKUP(Table3[[#This Row],[SKU]],'All Skus'!$A:$AC,2,FALSE))="BSS",(VLOOKUP(Table3[[#This Row],[SKU]],'All Skus'!$A:$AC,18,FALSE)),""))</f>
        <v>2</v>
      </c>
      <c r="O36" s="64">
        <f>(IF((VLOOKUP(Table3[[#This Row],[SKU]],'All Skus'!$A:$AC,2,FALSE))="BSS",(VLOOKUP(Table3[[#This Row],[SKU]],'All Skus'!$A:$AC,19,FALSE)),""))</f>
        <v>12</v>
      </c>
      <c r="P36" s="64">
        <f>(IF((VLOOKUP(Table3[[#This Row],[SKU]],'All Skus'!$A:$AC,2,FALSE))="BSS",(VLOOKUP(Table3[[#This Row],[SKU]],'All Skus'!$A:$AC,20,FALSE)),""))</f>
        <v>11</v>
      </c>
      <c r="Q36" s="64">
        <f>(IF((VLOOKUP(Table3[[#This Row],[SKU]],'All Skus'!$A:$AC,2,FALSE))="BSS",(VLOOKUP(Table3[[#This Row],[SKU]],'All Skus'!$A:$AC,21,FALSE)),""))</f>
        <v>7</v>
      </c>
      <c r="R36" s="60" t="str">
        <f>(IF((VLOOKUP(Table3[[#This Row],[SKU]],'All Skus'!$A:$AC,2,FALSE))="BSS",(VLOOKUP(Table3[[#This Row],[SKU]],'All Skus'!$A:$AC,22,FALSE)),""))</f>
        <v>MY</v>
      </c>
      <c r="S36" s="52" t="str">
        <f>(IF((VLOOKUP(Table3[[#This Row],[SKU]],'All Skus'!$A:$AC,2,FALSE))="BSS",(VLOOKUP(Table3[[#This Row],[SKU]],'All Skus'!$A:$AC,23,FALSE)),""))</f>
        <v>Non Compliant</v>
      </c>
      <c r="T36" s="206" t="str">
        <f>HYPERLINK((IF((VLOOKUP(Table3[[#This Row],[SKU]],'All Skus'!$A:$AC,2,FALSE))="BSS",(VLOOKUP(Table3[[#This Row],[SKU]],'All Skus'!$A:$AC,24,FALSE)),"")))</f>
        <v>https://bssaudio.com/en/products/blu-usb</v>
      </c>
      <c r="U36" s="151">
        <v>35</v>
      </c>
    </row>
    <row r="37" spans="1:21" ht="15" customHeight="1">
      <c r="A37" s="48" t="s">
        <v>846</v>
      </c>
      <c r="B37" s="52">
        <f>(IF((VLOOKUP(Table3[[#This Row],[SKU]],'All Skus'!$A:$AC,2,FALSE))="BSS",(VLOOKUP(Table3[[#This Row],[SKU]],'All Skus'!$A:$AC,3,FALSE)),""))</f>
        <v>0</v>
      </c>
      <c r="C37" s="52" t="str">
        <f>(IF((VLOOKUP(Table3[[#This Row],[SKU]],'All Skus'!$A:$AC,2,FALSE))="BSS",(VLOOKUP(Table3[[#This Row],[SKU]],'All Skus'!$A:$AC,4,FALSE)),""))</f>
        <v>EC-4B-BLK-US</v>
      </c>
      <c r="D37" s="60" t="str">
        <f>(IF((VLOOKUP(Table3[[#This Row],[SKU]],'All Skus'!$A:$AC,2,FALSE))="BSS",(VLOOKUP(Table3[[#This Row],[SKU]],'All Skus'!$A:$AC,5,FALSE)),""))</f>
        <v>BSSLONDON</v>
      </c>
      <c r="E37" s="60">
        <f>(IF((VLOOKUP(Table3[[#This Row],[SKU]],'All Skus'!$A:$AC,2,FALSE))="BSS",(VLOOKUP(Table3[[#This Row],[SKU]],'All Skus'!$A:$AC,6,FALSE)),""))</f>
        <v>0</v>
      </c>
      <c r="F37" s="52">
        <f>(IF((VLOOKUP(Table3[[#This Row],[SKU]],'All Skus'!$A:$AC,2,FALSE))="BSS",(VLOOKUP(Table3[[#This Row],[SKU]],'All Skus'!$A:$AC,7,FALSE)),""))</f>
        <v>0</v>
      </c>
      <c r="G37" s="52" t="str">
        <f>(IF((VLOOKUP(Table3[[#This Row],[SKU]],'All Skus'!$A:$AC,2,FALSE))="BSS",(VLOOKUP(Table3[[#This Row],[SKU]],'All Skus'!$A:$AC,8,FALSE)),""))</f>
        <v>Ethernet Controller</v>
      </c>
      <c r="H37" s="45" t="str">
        <f>(IF((VLOOKUP(Table3[[#This Row],[SKU]],'All Skus'!$A:$AC,2,FALSE))="BSS",(VLOOKUP(Table3[[#This Row],[SKU]],'All Skus'!$A:$AC,9,FALSE)),""))</f>
        <v>Ethernet Controller with 4 Buttons (Black - US)</v>
      </c>
      <c r="I37" s="94">
        <f>(IF((VLOOKUP(Table3[[#This Row],[SKU]],'All Skus'!$A:$AC,2,FALSE))="BSS",(VLOOKUP(Table3[[#This Row],[SKU]],'All Skus'!$A:$AC,10,FALSE)),""))</f>
        <v>308.38</v>
      </c>
      <c r="J37" s="94">
        <f>(IF((VLOOKUP(Table3[[#This Row],[SKU]],'All Skus'!$A:$AC,2,FALSE))="BSS",(VLOOKUP(Table3[[#This Row],[SKU]],'All Skus'!$A:$AC,11,FALSE)),""))</f>
        <v>308.38</v>
      </c>
      <c r="K37" s="60">
        <f>(IF((VLOOKUP(Table3[[#This Row],[SKU]],'All Skus'!$A:$AC,2,FALSE))="BSS",(VLOOKUP(Table3[[#This Row],[SKU]],'All Skus'!$A:$AC,15,FALSE)),""))</f>
        <v>0</v>
      </c>
      <c r="L37" s="47">
        <f>(IF((VLOOKUP(Table3[[#This Row],[SKU]],'All Skus'!$A:$AC,2,FALSE))="BSS",(VLOOKUP(Table3[[#This Row],[SKU]],'All Skus'!$A:$AC,16,FALSE)),""))</f>
        <v>691991600883</v>
      </c>
      <c r="M37" s="60">
        <f>(IF((VLOOKUP(Table3[[#This Row],[SKU]],'All Skus'!$A:$AC,2,FALSE))="BSS",(VLOOKUP(Table3[[#This Row],[SKU]],'All Skus'!$A:$AC,17,FALSE)),""))</f>
        <v>0</v>
      </c>
      <c r="N37" s="64">
        <f>(IF((VLOOKUP(Table3[[#This Row],[SKU]],'All Skus'!$A:$AC,2,FALSE))="BSS",(VLOOKUP(Table3[[#This Row],[SKU]],'All Skus'!$A:$AC,18,FALSE)),""))</f>
        <v>0.5</v>
      </c>
      <c r="O37" s="64">
        <f>(IF((VLOOKUP(Table3[[#This Row],[SKU]],'All Skus'!$A:$AC,2,FALSE))="BSS",(VLOOKUP(Table3[[#This Row],[SKU]],'All Skus'!$A:$AC,19,FALSE)),""))</f>
        <v>10</v>
      </c>
      <c r="P37" s="64">
        <f>(IF((VLOOKUP(Table3[[#This Row],[SKU]],'All Skus'!$A:$AC,2,FALSE))="BSS",(VLOOKUP(Table3[[#This Row],[SKU]],'All Skus'!$A:$AC,20,FALSE)),""))</f>
        <v>4</v>
      </c>
      <c r="Q37" s="64">
        <f>(IF((VLOOKUP(Table3[[#This Row],[SKU]],'All Skus'!$A:$AC,2,FALSE))="BSS",(VLOOKUP(Table3[[#This Row],[SKU]],'All Skus'!$A:$AC,21,FALSE)),""))</f>
        <v>6.5</v>
      </c>
      <c r="R37" s="60" t="str">
        <f>(IF((VLOOKUP(Table3[[#This Row],[SKU]],'All Skus'!$A:$AC,2,FALSE))="BSS",(VLOOKUP(Table3[[#This Row],[SKU]],'All Skus'!$A:$AC,22,FALSE)),""))</f>
        <v>MY</v>
      </c>
      <c r="S37" s="52" t="str">
        <f>(IF((VLOOKUP(Table3[[#This Row],[SKU]],'All Skus'!$A:$AC,2,FALSE))="BSS",(VLOOKUP(Table3[[#This Row],[SKU]],'All Skus'!$A:$AC,23,FALSE)),""))</f>
        <v>Non Compliant</v>
      </c>
      <c r="T37" s="206" t="str">
        <f>HYPERLINK((IF((VLOOKUP(Table3[[#This Row],[SKU]],'All Skus'!$A:$AC,2,FALSE))="BSS",(VLOOKUP(Table3[[#This Row],[SKU]],'All Skus'!$A:$AC,24,FALSE)),"")))</f>
        <v>https://bssaudio.com/en/products/ec-4b</v>
      </c>
      <c r="U37" s="151">
        <v>36</v>
      </c>
    </row>
    <row r="38" spans="1:21" ht="15" customHeight="1">
      <c r="A38" s="48" t="s">
        <v>847</v>
      </c>
      <c r="B38" s="52">
        <f>(IF((VLOOKUP(Table3[[#This Row],[SKU]],'All Skus'!$A:$AC,2,FALSE))="BSS",(VLOOKUP(Table3[[#This Row],[SKU]],'All Skus'!$A:$AC,3,FALSE)),""))</f>
        <v>0</v>
      </c>
      <c r="C38" s="52" t="str">
        <f>(IF((VLOOKUP(Table3[[#This Row],[SKU]],'All Skus'!$A:$AC,2,FALSE))="BSS",(VLOOKUP(Table3[[#This Row],[SKU]],'All Skus'!$A:$AC,4,FALSE)),""))</f>
        <v>EC-4BV-BLK-US</v>
      </c>
      <c r="D38" s="60" t="str">
        <f>(IF((VLOOKUP(Table3[[#This Row],[SKU]],'All Skus'!$A:$AC,2,FALSE))="BSS",(VLOOKUP(Table3[[#This Row],[SKU]],'All Skus'!$A:$AC,5,FALSE)),""))</f>
        <v>BSSLONDON</v>
      </c>
      <c r="E38" s="60">
        <f>(IF((VLOOKUP(Table3[[#This Row],[SKU]],'All Skus'!$A:$AC,2,FALSE))="BSS",(VLOOKUP(Table3[[#This Row],[SKU]],'All Skus'!$A:$AC,6,FALSE)),""))</f>
        <v>0</v>
      </c>
      <c r="F38" s="52">
        <f>(IF((VLOOKUP(Table3[[#This Row],[SKU]],'All Skus'!$A:$AC,2,FALSE))="BSS",(VLOOKUP(Table3[[#This Row],[SKU]],'All Skus'!$A:$AC,7,FALSE)),""))</f>
        <v>0</v>
      </c>
      <c r="G38" s="52" t="str">
        <f>(IF((VLOOKUP(Table3[[#This Row],[SKU]],'All Skus'!$A:$AC,2,FALSE))="BSS",(VLOOKUP(Table3[[#This Row],[SKU]],'All Skus'!$A:$AC,8,FALSE)),""))</f>
        <v>Ethernet Controller</v>
      </c>
      <c r="H38" s="45" t="str">
        <f>(IF((VLOOKUP(Table3[[#This Row],[SKU]],'All Skus'!$A:$AC,2,FALSE))="BSS",(VLOOKUP(Table3[[#This Row],[SKU]],'All Skus'!$A:$AC,9,FALSE)),""))</f>
        <v>Ethernet Controller with 4 Buttons and Volume (Black - US)</v>
      </c>
      <c r="I38" s="94">
        <f>(IF((VLOOKUP(Table3[[#This Row],[SKU]],'All Skus'!$A:$AC,2,FALSE))="BSS",(VLOOKUP(Table3[[#This Row],[SKU]],'All Skus'!$A:$AC,10,FALSE)),""))</f>
        <v>361.11</v>
      </c>
      <c r="J38" s="94">
        <f>(IF((VLOOKUP(Table3[[#This Row],[SKU]],'All Skus'!$A:$AC,2,FALSE))="BSS",(VLOOKUP(Table3[[#This Row],[SKU]],'All Skus'!$A:$AC,11,FALSE)),""))</f>
        <v>361.11</v>
      </c>
      <c r="K38" s="60">
        <f>(IF((VLOOKUP(Table3[[#This Row],[SKU]],'All Skus'!$A:$AC,2,FALSE))="BSS",(VLOOKUP(Table3[[#This Row],[SKU]],'All Skus'!$A:$AC,15,FALSE)),""))</f>
        <v>0</v>
      </c>
      <c r="L38" s="47">
        <f>(IF((VLOOKUP(Table3[[#This Row],[SKU]],'All Skus'!$A:$AC,2,FALSE))="BSS",(VLOOKUP(Table3[[#This Row],[SKU]],'All Skus'!$A:$AC,16,FALSE)),""))</f>
        <v>691991600906</v>
      </c>
      <c r="M38" s="60">
        <f>(IF((VLOOKUP(Table3[[#This Row],[SKU]],'All Skus'!$A:$AC,2,FALSE))="BSS",(VLOOKUP(Table3[[#This Row],[SKU]],'All Skus'!$A:$AC,17,FALSE)),""))</f>
        <v>0</v>
      </c>
      <c r="N38" s="64">
        <f>(IF((VLOOKUP(Table3[[#This Row],[SKU]],'All Skus'!$A:$AC,2,FALSE))="BSS",(VLOOKUP(Table3[[#This Row],[SKU]],'All Skus'!$A:$AC,18,FALSE)),""))</f>
        <v>0.5</v>
      </c>
      <c r="O38" s="64">
        <f>(IF((VLOOKUP(Table3[[#This Row],[SKU]],'All Skus'!$A:$AC,2,FALSE))="BSS",(VLOOKUP(Table3[[#This Row],[SKU]],'All Skus'!$A:$AC,19,FALSE)),""))</f>
        <v>10</v>
      </c>
      <c r="P38" s="64">
        <f>(IF((VLOOKUP(Table3[[#This Row],[SKU]],'All Skus'!$A:$AC,2,FALSE))="BSS",(VLOOKUP(Table3[[#This Row],[SKU]],'All Skus'!$A:$AC,20,FALSE)),""))</f>
        <v>4</v>
      </c>
      <c r="Q38" s="64">
        <f>(IF((VLOOKUP(Table3[[#This Row],[SKU]],'All Skus'!$A:$AC,2,FALSE))="BSS",(VLOOKUP(Table3[[#This Row],[SKU]],'All Skus'!$A:$AC,21,FALSE)),""))</f>
        <v>6.5</v>
      </c>
      <c r="R38" s="60" t="str">
        <f>(IF((VLOOKUP(Table3[[#This Row],[SKU]],'All Skus'!$A:$AC,2,FALSE))="BSS",(VLOOKUP(Table3[[#This Row],[SKU]],'All Skus'!$A:$AC,22,FALSE)),""))</f>
        <v>MY</v>
      </c>
      <c r="S38" s="52" t="str">
        <f>(IF((VLOOKUP(Table3[[#This Row],[SKU]],'All Skus'!$A:$AC,2,FALSE))="BSS",(VLOOKUP(Table3[[#This Row],[SKU]],'All Skus'!$A:$AC,23,FALSE)),""))</f>
        <v>Non Compliant</v>
      </c>
      <c r="T38" s="206" t="str">
        <f>HYPERLINK((IF((VLOOKUP(Table3[[#This Row],[SKU]],'All Skus'!$A:$AC,2,FALSE))="BSS",(VLOOKUP(Table3[[#This Row],[SKU]],'All Skus'!$A:$AC,24,FALSE)),"")))</f>
        <v>https://bssaudio.com/en/products/ec-4bv</v>
      </c>
      <c r="U38" s="151">
        <v>37</v>
      </c>
    </row>
    <row r="39" spans="1:21" ht="15" customHeight="1">
      <c r="A39" s="48" t="s">
        <v>848</v>
      </c>
      <c r="B39" s="52">
        <f>(IF((VLOOKUP(Table3[[#This Row],[SKU]],'All Skus'!$A:$AC,2,FALSE))="BSS",(VLOOKUP(Table3[[#This Row],[SKU]],'All Skus'!$A:$AC,3,FALSE)),""))</f>
        <v>0</v>
      </c>
      <c r="C39" s="52" t="str">
        <f>(IF((VLOOKUP(Table3[[#This Row],[SKU]],'All Skus'!$A:$AC,2,FALSE))="BSS",(VLOOKUP(Table3[[#This Row],[SKU]],'All Skus'!$A:$AC,4,FALSE)),""))</f>
        <v>EC-4BV-WHT-US</v>
      </c>
      <c r="D39" s="60" t="str">
        <f>(IF((VLOOKUP(Table3[[#This Row],[SKU]],'All Skus'!$A:$AC,2,FALSE))="BSS",(VLOOKUP(Table3[[#This Row],[SKU]],'All Skus'!$A:$AC,5,FALSE)),""))</f>
        <v>BSSLONDON</v>
      </c>
      <c r="E39" s="60">
        <f>(IF((VLOOKUP(Table3[[#This Row],[SKU]],'All Skus'!$A:$AC,2,FALSE))="BSS",(VLOOKUP(Table3[[#This Row],[SKU]],'All Skus'!$A:$AC,6,FALSE)),""))</f>
        <v>0</v>
      </c>
      <c r="F39" s="52">
        <f>(IF((VLOOKUP(Table3[[#This Row],[SKU]],'All Skus'!$A:$AC,2,FALSE))="BSS",(VLOOKUP(Table3[[#This Row],[SKU]],'All Skus'!$A:$AC,7,FALSE)),""))</f>
        <v>0</v>
      </c>
      <c r="G39" s="52" t="str">
        <f>(IF((VLOOKUP(Table3[[#This Row],[SKU]],'All Skus'!$A:$AC,2,FALSE))="BSS",(VLOOKUP(Table3[[#This Row],[SKU]],'All Skus'!$A:$AC,8,FALSE)),""))</f>
        <v>Ethernet Controller</v>
      </c>
      <c r="H39" s="45" t="str">
        <f>(IF((VLOOKUP(Table3[[#This Row],[SKU]],'All Skus'!$A:$AC,2,FALSE))="BSS",(VLOOKUP(Table3[[#This Row],[SKU]],'All Skus'!$A:$AC,9,FALSE)),""))</f>
        <v>Ethernet Controller with 4 Buttons and Volume (White - US)</v>
      </c>
      <c r="I39" s="94">
        <f>(IF((VLOOKUP(Table3[[#This Row],[SKU]],'All Skus'!$A:$AC,2,FALSE))="BSS",(VLOOKUP(Table3[[#This Row],[SKU]],'All Skus'!$A:$AC,10,FALSE)),""))</f>
        <v>357.74</v>
      </c>
      <c r="J39" s="94">
        <f>(IF((VLOOKUP(Table3[[#This Row],[SKU]],'All Skus'!$A:$AC,2,FALSE))="BSS",(VLOOKUP(Table3[[#This Row],[SKU]],'All Skus'!$A:$AC,11,FALSE)),""))</f>
        <v>357.74</v>
      </c>
      <c r="K39" s="60">
        <f>(IF((VLOOKUP(Table3[[#This Row],[SKU]],'All Skus'!$A:$AC,2,FALSE))="BSS",(VLOOKUP(Table3[[#This Row],[SKU]],'All Skus'!$A:$AC,15,FALSE)),""))</f>
        <v>0</v>
      </c>
      <c r="L39" s="47">
        <f>(IF((VLOOKUP(Table3[[#This Row],[SKU]],'All Skus'!$A:$AC,2,FALSE))="BSS",(VLOOKUP(Table3[[#This Row],[SKU]],'All Skus'!$A:$AC,16,FALSE)),""))</f>
        <v>691991600890</v>
      </c>
      <c r="M39" s="60">
        <f>(IF((VLOOKUP(Table3[[#This Row],[SKU]],'All Skus'!$A:$AC,2,FALSE))="BSS",(VLOOKUP(Table3[[#This Row],[SKU]],'All Skus'!$A:$AC,17,FALSE)),""))</f>
        <v>0</v>
      </c>
      <c r="N39" s="64">
        <f>(IF((VLOOKUP(Table3[[#This Row],[SKU]],'All Skus'!$A:$AC,2,FALSE))="BSS",(VLOOKUP(Table3[[#This Row],[SKU]],'All Skus'!$A:$AC,18,FALSE)),""))</f>
        <v>0.5</v>
      </c>
      <c r="O39" s="64">
        <f>(IF((VLOOKUP(Table3[[#This Row],[SKU]],'All Skus'!$A:$AC,2,FALSE))="BSS",(VLOOKUP(Table3[[#This Row],[SKU]],'All Skus'!$A:$AC,19,FALSE)),""))</f>
        <v>10</v>
      </c>
      <c r="P39" s="64">
        <f>(IF((VLOOKUP(Table3[[#This Row],[SKU]],'All Skus'!$A:$AC,2,FALSE))="BSS",(VLOOKUP(Table3[[#This Row],[SKU]],'All Skus'!$A:$AC,20,FALSE)),""))</f>
        <v>4</v>
      </c>
      <c r="Q39" s="64">
        <f>(IF((VLOOKUP(Table3[[#This Row],[SKU]],'All Skus'!$A:$AC,2,FALSE))="BSS",(VLOOKUP(Table3[[#This Row],[SKU]],'All Skus'!$A:$AC,21,FALSE)),""))</f>
        <v>6.5</v>
      </c>
      <c r="R39" s="60" t="str">
        <f>(IF((VLOOKUP(Table3[[#This Row],[SKU]],'All Skus'!$A:$AC,2,FALSE))="BSS",(VLOOKUP(Table3[[#This Row],[SKU]],'All Skus'!$A:$AC,22,FALSE)),""))</f>
        <v>MY</v>
      </c>
      <c r="S39" s="52" t="str">
        <f>(IF((VLOOKUP(Table3[[#This Row],[SKU]],'All Skus'!$A:$AC,2,FALSE))="BSS",(VLOOKUP(Table3[[#This Row],[SKU]],'All Skus'!$A:$AC,23,FALSE)),""))</f>
        <v>Non Compliant</v>
      </c>
      <c r="T39" s="206" t="str">
        <f>HYPERLINK((IF((VLOOKUP(Table3[[#This Row],[SKU]],'All Skus'!$A:$AC,2,FALSE))="BSS",(VLOOKUP(Table3[[#This Row],[SKU]],'All Skus'!$A:$AC,24,FALSE)),"")))</f>
        <v>https://bssaudio.com/en/products/ec-4bv</v>
      </c>
      <c r="U39" s="151">
        <v>38</v>
      </c>
    </row>
    <row r="40" spans="1:21" ht="15" customHeight="1">
      <c r="A40" s="48" t="s">
        <v>849</v>
      </c>
      <c r="B40" s="52">
        <f>(IF((VLOOKUP(Table3[[#This Row],[SKU]],'All Skus'!$A:$AC,2,FALSE))="BSS",(VLOOKUP(Table3[[#This Row],[SKU]],'All Skus'!$A:$AC,3,FALSE)),""))</f>
        <v>0</v>
      </c>
      <c r="C40" s="52" t="str">
        <f>(IF((VLOOKUP(Table3[[#This Row],[SKU]],'All Skus'!$A:$AC,2,FALSE))="BSS",(VLOOKUP(Table3[[#This Row],[SKU]],'All Skus'!$A:$AC,4,FALSE)),""))</f>
        <v>EC-4B-WHT-US</v>
      </c>
      <c r="D40" s="60" t="str">
        <f>(IF((VLOOKUP(Table3[[#This Row],[SKU]],'All Skus'!$A:$AC,2,FALSE))="BSS",(VLOOKUP(Table3[[#This Row],[SKU]],'All Skus'!$A:$AC,5,FALSE)),""))</f>
        <v>BSSLONDON</v>
      </c>
      <c r="E40" s="60">
        <f>(IF((VLOOKUP(Table3[[#This Row],[SKU]],'All Skus'!$A:$AC,2,FALSE))="BSS",(VLOOKUP(Table3[[#This Row],[SKU]],'All Skus'!$A:$AC,6,FALSE)),""))</f>
        <v>0</v>
      </c>
      <c r="F40" s="52">
        <f>(IF((VLOOKUP(Table3[[#This Row],[SKU]],'All Skus'!$A:$AC,2,FALSE))="BSS",(VLOOKUP(Table3[[#This Row],[SKU]],'All Skus'!$A:$AC,7,FALSE)),""))</f>
        <v>0</v>
      </c>
      <c r="G40" s="52" t="str">
        <f>(IF((VLOOKUP(Table3[[#This Row],[SKU]],'All Skus'!$A:$AC,2,FALSE))="BSS",(VLOOKUP(Table3[[#This Row],[SKU]],'All Skus'!$A:$AC,8,FALSE)),""))</f>
        <v>Ethernet Controller</v>
      </c>
      <c r="H40" s="45" t="str">
        <f>(IF((VLOOKUP(Table3[[#This Row],[SKU]],'All Skus'!$A:$AC,2,FALSE))="BSS",(VLOOKUP(Table3[[#This Row],[SKU]],'All Skus'!$A:$AC,9,FALSE)),""))</f>
        <v xml:space="preserve">Ethernet Controller with 4 Buttons (White - US) </v>
      </c>
      <c r="I40" s="94">
        <f>(IF((VLOOKUP(Table3[[#This Row],[SKU]],'All Skus'!$A:$AC,2,FALSE))="BSS",(VLOOKUP(Table3[[#This Row],[SKU]],'All Skus'!$A:$AC,10,FALSE)),""))</f>
        <v>309.72000000000003</v>
      </c>
      <c r="J40" s="94">
        <f>(IF((VLOOKUP(Table3[[#This Row],[SKU]],'All Skus'!$A:$AC,2,FALSE))="BSS",(VLOOKUP(Table3[[#This Row],[SKU]],'All Skus'!$A:$AC,11,FALSE)),""))</f>
        <v>309.72000000000003</v>
      </c>
      <c r="K40" s="60">
        <f>(IF((VLOOKUP(Table3[[#This Row],[SKU]],'All Skus'!$A:$AC,2,FALSE))="BSS",(VLOOKUP(Table3[[#This Row],[SKU]],'All Skus'!$A:$AC,15,FALSE)),""))</f>
        <v>0</v>
      </c>
      <c r="L40" s="47">
        <f>(IF((VLOOKUP(Table3[[#This Row],[SKU]],'All Skus'!$A:$AC,2,FALSE))="BSS",(VLOOKUP(Table3[[#This Row],[SKU]],'All Skus'!$A:$AC,16,FALSE)),""))</f>
        <v>691991600876</v>
      </c>
      <c r="M40" s="60">
        <f>(IF((VLOOKUP(Table3[[#This Row],[SKU]],'All Skus'!$A:$AC,2,FALSE))="BSS",(VLOOKUP(Table3[[#This Row],[SKU]],'All Skus'!$A:$AC,17,FALSE)),""))</f>
        <v>0</v>
      </c>
      <c r="N40" s="64">
        <f>(IF((VLOOKUP(Table3[[#This Row],[SKU]],'All Skus'!$A:$AC,2,FALSE))="BSS",(VLOOKUP(Table3[[#This Row],[SKU]],'All Skus'!$A:$AC,18,FALSE)),""))</f>
        <v>0.5</v>
      </c>
      <c r="O40" s="64">
        <f>(IF((VLOOKUP(Table3[[#This Row],[SKU]],'All Skus'!$A:$AC,2,FALSE))="BSS",(VLOOKUP(Table3[[#This Row],[SKU]],'All Skus'!$A:$AC,19,FALSE)),""))</f>
        <v>10</v>
      </c>
      <c r="P40" s="64">
        <f>(IF((VLOOKUP(Table3[[#This Row],[SKU]],'All Skus'!$A:$AC,2,FALSE))="BSS",(VLOOKUP(Table3[[#This Row],[SKU]],'All Skus'!$A:$AC,20,FALSE)),""))</f>
        <v>6.5</v>
      </c>
      <c r="Q40" s="64">
        <f>(IF((VLOOKUP(Table3[[#This Row],[SKU]],'All Skus'!$A:$AC,2,FALSE))="BSS",(VLOOKUP(Table3[[#This Row],[SKU]],'All Skus'!$A:$AC,21,FALSE)),""))</f>
        <v>4</v>
      </c>
      <c r="R40" s="60" t="str">
        <f>(IF((VLOOKUP(Table3[[#This Row],[SKU]],'All Skus'!$A:$AC,2,FALSE))="BSS",(VLOOKUP(Table3[[#This Row],[SKU]],'All Skus'!$A:$AC,22,FALSE)),""))</f>
        <v>MY</v>
      </c>
      <c r="S40" s="52" t="str">
        <f>(IF((VLOOKUP(Table3[[#This Row],[SKU]],'All Skus'!$A:$AC,2,FALSE))="BSS",(VLOOKUP(Table3[[#This Row],[SKU]],'All Skus'!$A:$AC,23,FALSE)),""))</f>
        <v>Non Compliant</v>
      </c>
      <c r="T40" s="206" t="str">
        <f>HYPERLINK((IF((VLOOKUP(Table3[[#This Row],[SKU]],'All Skus'!$A:$AC,2,FALSE))="BSS",(VLOOKUP(Table3[[#This Row],[SKU]],'All Skus'!$A:$AC,24,FALSE)),"")))</f>
        <v>https://bssaudio.com/en/products/ec-4b</v>
      </c>
      <c r="U40" s="151">
        <v>39</v>
      </c>
    </row>
    <row r="41" spans="1:21" ht="15" customHeight="1">
      <c r="A41" s="48" t="s">
        <v>850</v>
      </c>
      <c r="B41" s="52">
        <f>(IF((VLOOKUP(Table3[[#This Row],[SKU]],'All Skus'!$A:$AC,2,FALSE))="BSS",(VLOOKUP(Table3[[#This Row],[SKU]],'All Skus'!$A:$AC,3,FALSE)),""))</f>
        <v>0</v>
      </c>
      <c r="C41" s="52" t="str">
        <f>(IF((VLOOKUP(Table3[[#This Row],[SKU]],'All Skus'!$A:$AC,2,FALSE))="BSS",(VLOOKUP(Table3[[#This Row],[SKU]],'All Skus'!$A:$AC,4,FALSE)),""))</f>
        <v>EC-8BV-BLK-US</v>
      </c>
      <c r="D41" s="60" t="str">
        <f>(IF((VLOOKUP(Table3[[#This Row],[SKU]],'All Skus'!$A:$AC,2,FALSE))="BSS",(VLOOKUP(Table3[[#This Row],[SKU]],'All Skus'!$A:$AC,5,FALSE)),""))</f>
        <v>BSSLONDON</v>
      </c>
      <c r="E41" s="60">
        <f>(IF((VLOOKUP(Table3[[#This Row],[SKU]],'All Skus'!$A:$AC,2,FALSE))="BSS",(VLOOKUP(Table3[[#This Row],[SKU]],'All Skus'!$A:$AC,6,FALSE)),""))</f>
        <v>0</v>
      </c>
      <c r="F41" s="52">
        <f>(IF((VLOOKUP(Table3[[#This Row],[SKU]],'All Skus'!$A:$AC,2,FALSE))="BSS",(VLOOKUP(Table3[[#This Row],[SKU]],'All Skus'!$A:$AC,7,FALSE)),""))</f>
        <v>0</v>
      </c>
      <c r="G41" s="52" t="str">
        <f>(IF((VLOOKUP(Table3[[#This Row],[SKU]],'All Skus'!$A:$AC,2,FALSE))="BSS",(VLOOKUP(Table3[[#This Row],[SKU]],'All Skus'!$A:$AC,8,FALSE)),""))</f>
        <v>Ethernet Controller</v>
      </c>
      <c r="H41" s="45" t="str">
        <f>(IF((VLOOKUP(Table3[[#This Row],[SKU]],'All Skus'!$A:$AC,2,FALSE))="BSS",(VLOOKUP(Table3[[#This Row],[SKU]],'All Skus'!$A:$AC,9,FALSE)),""))</f>
        <v>Ethernet Controller with 8 Buttons and Volume (Black - US)</v>
      </c>
      <c r="I41" s="94">
        <f>(IF((VLOOKUP(Table3[[#This Row],[SKU]],'All Skus'!$A:$AC,2,FALSE))="BSS",(VLOOKUP(Table3[[#This Row],[SKU]],'All Skus'!$A:$AC,10,FALSE)),""))</f>
        <v>477.79</v>
      </c>
      <c r="J41" s="94">
        <f>(IF((VLOOKUP(Table3[[#This Row],[SKU]],'All Skus'!$A:$AC,2,FALSE))="BSS",(VLOOKUP(Table3[[#This Row],[SKU]],'All Skus'!$A:$AC,11,FALSE)),""))</f>
        <v>477.79</v>
      </c>
      <c r="K41" s="60">
        <f>(IF((VLOOKUP(Table3[[#This Row],[SKU]],'All Skus'!$A:$AC,2,FALSE))="BSS",(VLOOKUP(Table3[[#This Row],[SKU]],'All Skus'!$A:$AC,15,FALSE)),""))</f>
        <v>0</v>
      </c>
      <c r="L41" s="47">
        <f>(IF((VLOOKUP(Table3[[#This Row],[SKU]],'All Skus'!$A:$AC,2,FALSE))="BSS",(VLOOKUP(Table3[[#This Row],[SKU]],'All Skus'!$A:$AC,16,FALSE)),""))</f>
        <v>691991600920</v>
      </c>
      <c r="M41" s="60">
        <f>(IF((VLOOKUP(Table3[[#This Row],[SKU]],'All Skus'!$A:$AC,2,FALSE))="BSS",(VLOOKUP(Table3[[#This Row],[SKU]],'All Skus'!$A:$AC,17,FALSE)),""))</f>
        <v>0</v>
      </c>
      <c r="N41" s="64">
        <f>(IF((VLOOKUP(Table3[[#This Row],[SKU]],'All Skus'!$A:$AC,2,FALSE))="BSS",(VLOOKUP(Table3[[#This Row],[SKU]],'All Skus'!$A:$AC,18,FALSE)),""))</f>
        <v>1</v>
      </c>
      <c r="O41" s="64">
        <f>(IF((VLOOKUP(Table3[[#This Row],[SKU]],'All Skus'!$A:$AC,2,FALSE))="BSS",(VLOOKUP(Table3[[#This Row],[SKU]],'All Skus'!$A:$AC,19,FALSE)),""))</f>
        <v>10</v>
      </c>
      <c r="P41" s="64">
        <f>(IF((VLOOKUP(Table3[[#This Row],[SKU]],'All Skus'!$A:$AC,2,FALSE))="BSS",(VLOOKUP(Table3[[#This Row],[SKU]],'All Skus'!$A:$AC,20,FALSE)),""))</f>
        <v>4</v>
      </c>
      <c r="Q41" s="64">
        <f>(IF((VLOOKUP(Table3[[#This Row],[SKU]],'All Skus'!$A:$AC,2,FALSE))="BSS",(VLOOKUP(Table3[[#This Row],[SKU]],'All Skus'!$A:$AC,21,FALSE)),""))</f>
        <v>6.5</v>
      </c>
      <c r="R41" s="60" t="str">
        <f>(IF((VLOOKUP(Table3[[#This Row],[SKU]],'All Skus'!$A:$AC,2,FALSE))="BSS",(VLOOKUP(Table3[[#This Row],[SKU]],'All Skus'!$A:$AC,22,FALSE)),""))</f>
        <v>MY</v>
      </c>
      <c r="S41" s="52" t="str">
        <f>(IF((VLOOKUP(Table3[[#This Row],[SKU]],'All Skus'!$A:$AC,2,FALSE))="BSS",(VLOOKUP(Table3[[#This Row],[SKU]],'All Skus'!$A:$AC,23,FALSE)),""))</f>
        <v>Non Compliant</v>
      </c>
      <c r="T41" s="206" t="str">
        <f>HYPERLINK((IF((VLOOKUP(Table3[[#This Row],[SKU]],'All Skus'!$A:$AC,2,FALSE))="BSS",(VLOOKUP(Table3[[#This Row],[SKU]],'All Skus'!$A:$AC,24,FALSE)),"")))</f>
        <v>https://bssaudio.com/en/products/ec-4bv</v>
      </c>
      <c r="U41" s="151">
        <v>40</v>
      </c>
    </row>
    <row r="42" spans="1:21" ht="15" customHeight="1">
      <c r="A42" s="48" t="s">
        <v>851</v>
      </c>
      <c r="B42" s="52">
        <f>(IF((VLOOKUP(Table3[[#This Row],[SKU]],'All Skus'!$A:$AC,2,FALSE))="BSS",(VLOOKUP(Table3[[#This Row],[SKU]],'All Skus'!$A:$AC,3,FALSE)),""))</f>
        <v>0</v>
      </c>
      <c r="C42" s="52" t="str">
        <f>(IF((VLOOKUP(Table3[[#This Row],[SKU]],'All Skus'!$A:$AC,2,FALSE))="BSS",(VLOOKUP(Table3[[#This Row],[SKU]],'All Skus'!$A:$AC,4,FALSE)),""))</f>
        <v>EC-8BV-WHT-US</v>
      </c>
      <c r="D42" s="60" t="str">
        <f>(IF((VLOOKUP(Table3[[#This Row],[SKU]],'All Skus'!$A:$AC,2,FALSE))="BSS",(VLOOKUP(Table3[[#This Row],[SKU]],'All Skus'!$A:$AC,5,FALSE)),""))</f>
        <v>BSSLONDON</v>
      </c>
      <c r="E42" s="60">
        <f>(IF((VLOOKUP(Table3[[#This Row],[SKU]],'All Skus'!$A:$AC,2,FALSE))="BSS",(VLOOKUP(Table3[[#This Row],[SKU]],'All Skus'!$A:$AC,6,FALSE)),""))</f>
        <v>0</v>
      </c>
      <c r="F42" s="52">
        <f>(IF((VLOOKUP(Table3[[#This Row],[SKU]],'All Skus'!$A:$AC,2,FALSE))="BSS",(VLOOKUP(Table3[[#This Row],[SKU]],'All Skus'!$A:$AC,7,FALSE)),""))</f>
        <v>0</v>
      </c>
      <c r="G42" s="52" t="str">
        <f>(IF((VLOOKUP(Table3[[#This Row],[SKU]],'All Skus'!$A:$AC,2,FALSE))="BSS",(VLOOKUP(Table3[[#This Row],[SKU]],'All Skus'!$A:$AC,8,FALSE)),""))</f>
        <v>Ethernet Controller</v>
      </c>
      <c r="H42" s="45" t="str">
        <f>(IF((VLOOKUP(Table3[[#This Row],[SKU]],'All Skus'!$A:$AC,2,FALSE))="BSS",(VLOOKUP(Table3[[#This Row],[SKU]],'All Skus'!$A:$AC,9,FALSE)),""))</f>
        <v>Ethernet Controller with 8 Buttons and Volume (White - US)</v>
      </c>
      <c r="I42" s="94">
        <f>(IF((VLOOKUP(Table3[[#This Row],[SKU]],'All Skus'!$A:$AC,2,FALSE))="BSS",(VLOOKUP(Table3[[#This Row],[SKU]],'All Skus'!$A:$AC,10,FALSE)),""))</f>
        <v>477.79</v>
      </c>
      <c r="J42" s="94">
        <f>(IF((VLOOKUP(Table3[[#This Row],[SKU]],'All Skus'!$A:$AC,2,FALSE))="BSS",(VLOOKUP(Table3[[#This Row],[SKU]],'All Skus'!$A:$AC,11,FALSE)),""))</f>
        <v>477.79</v>
      </c>
      <c r="K42" s="60">
        <f>(IF((VLOOKUP(Table3[[#This Row],[SKU]],'All Skus'!$A:$AC,2,FALSE))="BSS",(VLOOKUP(Table3[[#This Row],[SKU]],'All Skus'!$A:$AC,15,FALSE)),""))</f>
        <v>0</v>
      </c>
      <c r="L42" s="47">
        <f>(IF((VLOOKUP(Table3[[#This Row],[SKU]],'All Skus'!$A:$AC,2,FALSE))="BSS",(VLOOKUP(Table3[[#This Row],[SKU]],'All Skus'!$A:$AC,16,FALSE)),""))</f>
        <v>691991600913</v>
      </c>
      <c r="M42" s="60">
        <f>(IF((VLOOKUP(Table3[[#This Row],[SKU]],'All Skus'!$A:$AC,2,FALSE))="BSS",(VLOOKUP(Table3[[#This Row],[SKU]],'All Skus'!$A:$AC,17,FALSE)),""))</f>
        <v>0</v>
      </c>
      <c r="N42" s="64">
        <f>(IF((VLOOKUP(Table3[[#This Row],[SKU]],'All Skus'!$A:$AC,2,FALSE))="BSS",(VLOOKUP(Table3[[#This Row],[SKU]],'All Skus'!$A:$AC,18,FALSE)),""))</f>
        <v>1</v>
      </c>
      <c r="O42" s="64">
        <f>(IF((VLOOKUP(Table3[[#This Row],[SKU]],'All Skus'!$A:$AC,2,FALSE))="BSS",(VLOOKUP(Table3[[#This Row],[SKU]],'All Skus'!$A:$AC,19,FALSE)),""))</f>
        <v>10</v>
      </c>
      <c r="P42" s="64">
        <f>(IF((VLOOKUP(Table3[[#This Row],[SKU]],'All Skus'!$A:$AC,2,FALSE))="BSS",(VLOOKUP(Table3[[#This Row],[SKU]],'All Skus'!$A:$AC,20,FALSE)),""))</f>
        <v>6.5</v>
      </c>
      <c r="Q42" s="64">
        <f>(IF((VLOOKUP(Table3[[#This Row],[SKU]],'All Skus'!$A:$AC,2,FALSE))="BSS",(VLOOKUP(Table3[[#This Row],[SKU]],'All Skus'!$A:$AC,21,FALSE)),""))</f>
        <v>4</v>
      </c>
      <c r="R42" s="60" t="str">
        <f>(IF((VLOOKUP(Table3[[#This Row],[SKU]],'All Skus'!$A:$AC,2,FALSE))="BSS",(VLOOKUP(Table3[[#This Row],[SKU]],'All Skus'!$A:$AC,22,FALSE)),""))</f>
        <v>MY</v>
      </c>
      <c r="S42" s="52" t="str">
        <f>(IF((VLOOKUP(Table3[[#This Row],[SKU]],'All Skus'!$A:$AC,2,FALSE))="BSS",(VLOOKUP(Table3[[#This Row],[SKU]],'All Skus'!$A:$AC,23,FALSE)),""))</f>
        <v>Non Compliant</v>
      </c>
      <c r="T42" s="206" t="str">
        <f>HYPERLINK((IF((VLOOKUP(Table3[[#This Row],[SKU]],'All Skus'!$A:$AC,2,FALSE))="BSS",(VLOOKUP(Table3[[#This Row],[SKU]],'All Skus'!$A:$AC,24,FALSE)),"")))</f>
        <v>https://bssaudio.com/en/products/ec-8bv</v>
      </c>
      <c r="U42" s="151">
        <v>41</v>
      </c>
    </row>
    <row r="43" spans="1:21" ht="15" customHeight="1">
      <c r="A43" s="48" t="s">
        <v>852</v>
      </c>
      <c r="B43" s="52">
        <f>(IF((VLOOKUP(Table3[[#This Row],[SKU]],'All Skus'!$A:$AC,2,FALSE))="BSS",(VLOOKUP(Table3[[#This Row],[SKU]],'All Skus'!$A:$AC,3,FALSE)),""))</f>
        <v>0</v>
      </c>
      <c r="C43" s="52" t="str">
        <f>(IF((VLOOKUP(Table3[[#This Row],[SKU]],'All Skus'!$A:$AC,2,FALSE))="BSS",(VLOOKUP(Table3[[#This Row],[SKU]],'All Skus'!$A:$AC,4,FALSE)),""))</f>
        <v>EC-V-BLK-US</v>
      </c>
      <c r="D43" s="60" t="str">
        <f>(IF((VLOOKUP(Table3[[#This Row],[SKU]],'All Skus'!$A:$AC,2,FALSE))="BSS",(VLOOKUP(Table3[[#This Row],[SKU]],'All Skus'!$A:$AC,5,FALSE)),""))</f>
        <v>BSSLONDON</v>
      </c>
      <c r="E43" s="60">
        <f>(IF((VLOOKUP(Table3[[#This Row],[SKU]],'All Skus'!$A:$AC,2,FALSE))="BSS",(VLOOKUP(Table3[[#This Row],[SKU]],'All Skus'!$A:$AC,6,FALSE)),""))</f>
        <v>0</v>
      </c>
      <c r="F43" s="52">
        <f>(IF((VLOOKUP(Table3[[#This Row],[SKU]],'All Skus'!$A:$AC,2,FALSE))="BSS",(VLOOKUP(Table3[[#This Row],[SKU]],'All Skus'!$A:$AC,7,FALSE)),""))</f>
        <v>0</v>
      </c>
      <c r="G43" s="52" t="str">
        <f>(IF((VLOOKUP(Table3[[#This Row],[SKU]],'All Skus'!$A:$AC,2,FALSE))="BSS",(VLOOKUP(Table3[[#This Row],[SKU]],'All Skus'!$A:$AC,8,FALSE)),""))</f>
        <v>Ethernet Controller</v>
      </c>
      <c r="H43" s="45" t="str">
        <f>(IF((VLOOKUP(Table3[[#This Row],[SKU]],'All Skus'!$A:$AC,2,FALSE))="BSS",(VLOOKUP(Table3[[#This Row],[SKU]],'All Skus'!$A:$AC,9,FALSE)),""))</f>
        <v xml:space="preserve">Ethernet Controller with Volume (Black - US) </v>
      </c>
      <c r="I43" s="94">
        <f>(IF((VLOOKUP(Table3[[#This Row],[SKU]],'All Skus'!$A:$AC,2,FALSE))="BSS",(VLOOKUP(Table3[[#This Row],[SKU]],'All Skus'!$A:$AC,10,FALSE)),""))</f>
        <v>239.6</v>
      </c>
      <c r="J43" s="94">
        <f>(IF((VLOOKUP(Table3[[#This Row],[SKU]],'All Skus'!$A:$AC,2,FALSE))="BSS",(VLOOKUP(Table3[[#This Row],[SKU]],'All Skus'!$A:$AC,11,FALSE)),""))</f>
        <v>239.6</v>
      </c>
      <c r="K43" s="60">
        <f>(IF((VLOOKUP(Table3[[#This Row],[SKU]],'All Skus'!$A:$AC,2,FALSE))="BSS",(VLOOKUP(Table3[[#This Row],[SKU]],'All Skus'!$A:$AC,15,FALSE)),""))</f>
        <v>0</v>
      </c>
      <c r="L43" s="47">
        <f>(IF((VLOOKUP(Table3[[#This Row],[SKU]],'All Skus'!$A:$AC,2,FALSE))="BSS",(VLOOKUP(Table3[[#This Row],[SKU]],'All Skus'!$A:$AC,16,FALSE)),""))</f>
        <v>691991600869</v>
      </c>
      <c r="M43" s="60">
        <f>(IF((VLOOKUP(Table3[[#This Row],[SKU]],'All Skus'!$A:$AC,2,FALSE))="BSS",(VLOOKUP(Table3[[#This Row],[SKU]],'All Skus'!$A:$AC,17,FALSE)),""))</f>
        <v>0</v>
      </c>
      <c r="N43" s="64">
        <f>(IF((VLOOKUP(Table3[[#This Row],[SKU]],'All Skus'!$A:$AC,2,FALSE))="BSS",(VLOOKUP(Table3[[#This Row],[SKU]],'All Skus'!$A:$AC,18,FALSE)),""))</f>
        <v>1</v>
      </c>
      <c r="O43" s="64">
        <f>(IF((VLOOKUP(Table3[[#This Row],[SKU]],'All Skus'!$A:$AC,2,FALSE))="BSS",(VLOOKUP(Table3[[#This Row],[SKU]],'All Skus'!$A:$AC,19,FALSE)),""))</f>
        <v>10</v>
      </c>
      <c r="P43" s="64">
        <f>(IF((VLOOKUP(Table3[[#This Row],[SKU]],'All Skus'!$A:$AC,2,FALSE))="BSS",(VLOOKUP(Table3[[#This Row],[SKU]],'All Skus'!$A:$AC,20,FALSE)),""))</f>
        <v>6.5</v>
      </c>
      <c r="Q43" s="64">
        <f>(IF((VLOOKUP(Table3[[#This Row],[SKU]],'All Skus'!$A:$AC,2,FALSE))="BSS",(VLOOKUP(Table3[[#This Row],[SKU]],'All Skus'!$A:$AC,21,FALSE)),""))</f>
        <v>4</v>
      </c>
      <c r="R43" s="60" t="str">
        <f>(IF((VLOOKUP(Table3[[#This Row],[SKU]],'All Skus'!$A:$AC,2,FALSE))="BSS",(VLOOKUP(Table3[[#This Row],[SKU]],'All Skus'!$A:$AC,22,FALSE)),""))</f>
        <v>MY</v>
      </c>
      <c r="S43" s="52" t="str">
        <f>(IF((VLOOKUP(Table3[[#This Row],[SKU]],'All Skus'!$A:$AC,2,FALSE))="BSS",(VLOOKUP(Table3[[#This Row],[SKU]],'All Skus'!$A:$AC,23,FALSE)),""))</f>
        <v>Non Compliant</v>
      </c>
      <c r="T43" s="206" t="str">
        <f>HYPERLINK((IF((VLOOKUP(Table3[[#This Row],[SKU]],'All Skus'!$A:$AC,2,FALSE))="BSS",(VLOOKUP(Table3[[#This Row],[SKU]],'All Skus'!$A:$AC,24,FALSE)),"")))</f>
        <v>https://bssaudio.com/en/products/ec-v</v>
      </c>
      <c r="U43" s="151">
        <v>42</v>
      </c>
    </row>
    <row r="44" spans="1:21" ht="15" customHeight="1">
      <c r="A44" s="48" t="s">
        <v>853</v>
      </c>
      <c r="B44" s="52">
        <f>(IF((VLOOKUP(Table3[[#This Row],[SKU]],'All Skus'!$A:$AC,2,FALSE))="BSS",(VLOOKUP(Table3[[#This Row],[SKU]],'All Skus'!$A:$AC,3,FALSE)),""))</f>
        <v>0</v>
      </c>
      <c r="C44" s="52" t="str">
        <f>(IF((VLOOKUP(Table3[[#This Row],[SKU]],'All Skus'!$A:$AC,2,FALSE))="BSS",(VLOOKUP(Table3[[#This Row],[SKU]],'All Skus'!$A:$AC,4,FALSE)),""))</f>
        <v>EC-V-WHT-US</v>
      </c>
      <c r="D44" s="60" t="str">
        <f>(IF((VLOOKUP(Table3[[#This Row],[SKU]],'All Skus'!$A:$AC,2,FALSE))="BSS",(VLOOKUP(Table3[[#This Row],[SKU]],'All Skus'!$A:$AC,5,FALSE)),""))</f>
        <v>BSSLONDON</v>
      </c>
      <c r="E44" s="60">
        <f>(IF((VLOOKUP(Table3[[#This Row],[SKU]],'All Skus'!$A:$AC,2,FALSE))="BSS",(VLOOKUP(Table3[[#This Row],[SKU]],'All Skus'!$A:$AC,6,FALSE)),""))</f>
        <v>0</v>
      </c>
      <c r="F44" s="52">
        <f>(IF((VLOOKUP(Table3[[#This Row],[SKU]],'All Skus'!$A:$AC,2,FALSE))="BSS",(VLOOKUP(Table3[[#This Row],[SKU]],'All Skus'!$A:$AC,7,FALSE)),""))</f>
        <v>0</v>
      </c>
      <c r="G44" s="52" t="str">
        <f>(IF((VLOOKUP(Table3[[#This Row],[SKU]],'All Skus'!$A:$AC,2,FALSE))="BSS",(VLOOKUP(Table3[[#This Row],[SKU]],'All Skus'!$A:$AC,8,FALSE)),""))</f>
        <v>Ethernet Controller</v>
      </c>
      <c r="H44" s="45" t="str">
        <f>(IF((VLOOKUP(Table3[[#This Row],[SKU]],'All Skus'!$A:$AC,2,FALSE))="BSS",(VLOOKUP(Table3[[#This Row],[SKU]],'All Skus'!$A:$AC,9,FALSE)),""))</f>
        <v xml:space="preserve">Ethernet Controller with Volume (White - US) </v>
      </c>
      <c r="I44" s="94">
        <f>(IF((VLOOKUP(Table3[[#This Row],[SKU]],'All Skus'!$A:$AC,2,FALSE))="BSS",(VLOOKUP(Table3[[#This Row],[SKU]],'All Skus'!$A:$AC,10,FALSE)),""))</f>
        <v>239.6</v>
      </c>
      <c r="J44" s="94">
        <f>(IF((VLOOKUP(Table3[[#This Row],[SKU]],'All Skus'!$A:$AC,2,FALSE))="BSS",(VLOOKUP(Table3[[#This Row],[SKU]],'All Skus'!$A:$AC,11,FALSE)),""))</f>
        <v>239.6</v>
      </c>
      <c r="K44" s="60">
        <f>(IF((VLOOKUP(Table3[[#This Row],[SKU]],'All Skus'!$A:$AC,2,FALSE))="BSS",(VLOOKUP(Table3[[#This Row],[SKU]],'All Skus'!$A:$AC,15,FALSE)),""))</f>
        <v>0</v>
      </c>
      <c r="L44" s="47">
        <f>(IF((VLOOKUP(Table3[[#This Row],[SKU]],'All Skus'!$A:$AC,2,FALSE))="BSS",(VLOOKUP(Table3[[#This Row],[SKU]],'All Skus'!$A:$AC,16,FALSE)),""))</f>
        <v>691991600852</v>
      </c>
      <c r="M44" s="60">
        <f>(IF((VLOOKUP(Table3[[#This Row],[SKU]],'All Skus'!$A:$AC,2,FALSE))="BSS",(VLOOKUP(Table3[[#This Row],[SKU]],'All Skus'!$A:$AC,17,FALSE)),""))</f>
        <v>0</v>
      </c>
      <c r="N44" s="64">
        <f>(IF((VLOOKUP(Table3[[#This Row],[SKU]],'All Skus'!$A:$AC,2,FALSE))="BSS",(VLOOKUP(Table3[[#This Row],[SKU]],'All Skus'!$A:$AC,18,FALSE)),""))</f>
        <v>0.5</v>
      </c>
      <c r="O44" s="64">
        <f>(IF((VLOOKUP(Table3[[#This Row],[SKU]],'All Skus'!$A:$AC,2,FALSE))="BSS",(VLOOKUP(Table3[[#This Row],[SKU]],'All Skus'!$A:$AC,19,FALSE)),""))</f>
        <v>10</v>
      </c>
      <c r="P44" s="64">
        <f>(IF((VLOOKUP(Table3[[#This Row],[SKU]],'All Skus'!$A:$AC,2,FALSE))="BSS",(VLOOKUP(Table3[[#This Row],[SKU]],'All Skus'!$A:$AC,20,FALSE)),""))</f>
        <v>6.5</v>
      </c>
      <c r="Q44" s="64">
        <f>(IF((VLOOKUP(Table3[[#This Row],[SKU]],'All Skus'!$A:$AC,2,FALSE))="BSS",(VLOOKUP(Table3[[#This Row],[SKU]],'All Skus'!$A:$AC,21,FALSE)),""))</f>
        <v>4</v>
      </c>
      <c r="R44" s="60" t="str">
        <f>(IF((VLOOKUP(Table3[[#This Row],[SKU]],'All Skus'!$A:$AC,2,FALSE))="BSS",(VLOOKUP(Table3[[#This Row],[SKU]],'All Skus'!$A:$AC,22,FALSE)),""))</f>
        <v>MY</v>
      </c>
      <c r="S44" s="52" t="str">
        <f>(IF((VLOOKUP(Table3[[#This Row],[SKU]],'All Skus'!$A:$AC,2,FALSE))="BSS",(VLOOKUP(Table3[[#This Row],[SKU]],'All Skus'!$A:$AC,23,FALSE)),""))</f>
        <v>Non Compliant</v>
      </c>
      <c r="T44" s="206" t="str">
        <f>HYPERLINK((IF((VLOOKUP(Table3[[#This Row],[SKU]],'All Skus'!$A:$AC,2,FALSE))="BSS",(VLOOKUP(Table3[[#This Row],[SKU]],'All Skus'!$A:$AC,24,FALSE)),"")))</f>
        <v>https://bssaudio.com/en/products/ec-v</v>
      </c>
      <c r="U44" s="151">
        <v>43</v>
      </c>
    </row>
    <row r="45" spans="1:21" ht="15" customHeight="1">
      <c r="A45" s="48" t="s">
        <v>854</v>
      </c>
      <c r="B45" s="52">
        <f>(IF((VLOOKUP(Table3[[#This Row],[SKU]],'All Skus'!$A:$AC,2,FALSE))="BSS",(VLOOKUP(Table3[[#This Row],[SKU]],'All Skus'!$A:$AC,3,FALSE)),""))</f>
        <v>0</v>
      </c>
      <c r="C45" s="52" t="str">
        <f>(IF((VLOOKUP(Table3[[#This Row],[SKU]],'All Skus'!$A:$AC,2,FALSE))="BSS",(VLOOKUP(Table3[[#This Row],[SKU]],'All Skus'!$A:$AC,4,FALSE)),""))</f>
        <v>EC-V-WHT-EU</v>
      </c>
      <c r="D45" s="60" t="str">
        <f>(IF((VLOOKUP(Table3[[#This Row],[SKU]],'All Skus'!$A:$AC,2,FALSE))="BSS",(VLOOKUP(Table3[[#This Row],[SKU]],'All Skus'!$A:$AC,5,FALSE)),""))</f>
        <v>BSSLONDON</v>
      </c>
      <c r="E45" s="60">
        <f>(IF((VLOOKUP(Table3[[#This Row],[SKU]],'All Skus'!$A:$AC,2,FALSE))="BSS",(VLOOKUP(Table3[[#This Row],[SKU]],'All Skus'!$A:$AC,6,FALSE)),""))</f>
        <v>0</v>
      </c>
      <c r="F45" s="52">
        <f>(IF((VLOOKUP(Table3[[#This Row],[SKU]],'All Skus'!$A:$AC,2,FALSE))="BSS",(VLOOKUP(Table3[[#This Row],[SKU]],'All Skus'!$A:$AC,7,FALSE)),""))</f>
        <v>0</v>
      </c>
      <c r="G45" s="52" t="str">
        <f>(IF((VLOOKUP(Table3[[#This Row],[SKU]],'All Skus'!$A:$AC,2,FALSE))="BSS",(VLOOKUP(Table3[[#This Row],[SKU]],'All Skus'!$A:$AC,8,FALSE)),""))</f>
        <v>Ethernet Controller</v>
      </c>
      <c r="H45" s="45" t="str">
        <f>(IF((VLOOKUP(Table3[[#This Row],[SKU]],'All Skus'!$A:$AC,2,FALSE))="BSS",(VLOOKUP(Table3[[#This Row],[SKU]],'All Skus'!$A:$AC,9,FALSE)),""))</f>
        <v xml:space="preserve">Ethernet Controller with Volume (White - EU) </v>
      </c>
      <c r="I45" s="94">
        <f>(IF((VLOOKUP(Table3[[#This Row],[SKU]],'All Skus'!$A:$AC,2,FALSE))="BSS",(VLOOKUP(Table3[[#This Row],[SKU]],'All Skus'!$A:$AC,10,FALSE)),""))</f>
        <v>239.6</v>
      </c>
      <c r="J45" s="94">
        <f>(IF((VLOOKUP(Table3[[#This Row],[SKU]],'All Skus'!$A:$AC,2,FALSE))="BSS",(VLOOKUP(Table3[[#This Row],[SKU]],'All Skus'!$A:$AC,11,FALSE)),""))</f>
        <v>239.6</v>
      </c>
      <c r="K45" s="60">
        <f>(IF((VLOOKUP(Table3[[#This Row],[SKU]],'All Skus'!$A:$AC,2,FALSE))="BSS",(VLOOKUP(Table3[[#This Row],[SKU]],'All Skus'!$A:$AC,15,FALSE)),""))</f>
        <v>0</v>
      </c>
      <c r="L45" s="47">
        <f>(IF((VLOOKUP(Table3[[#This Row],[SKU]],'All Skus'!$A:$AC,2,FALSE))="BSS",(VLOOKUP(Table3[[#This Row],[SKU]],'All Skus'!$A:$AC,16,FALSE)),""))</f>
        <v>691991000409</v>
      </c>
      <c r="M45" s="60">
        <f>(IF((VLOOKUP(Table3[[#This Row],[SKU]],'All Skus'!$A:$AC,2,FALSE))="BSS",(VLOOKUP(Table3[[#This Row],[SKU]],'All Skus'!$A:$AC,17,FALSE)),""))</f>
        <v>0</v>
      </c>
      <c r="N45" s="64">
        <f>(IF((VLOOKUP(Table3[[#This Row],[SKU]],'All Skus'!$A:$AC,2,FALSE))="BSS",(VLOOKUP(Table3[[#This Row],[SKU]],'All Skus'!$A:$AC,18,FALSE)),""))</f>
        <v>0.5</v>
      </c>
      <c r="O45" s="64">
        <f>(IF((VLOOKUP(Table3[[#This Row],[SKU]],'All Skus'!$A:$AC,2,FALSE))="BSS",(VLOOKUP(Table3[[#This Row],[SKU]],'All Skus'!$A:$AC,19,FALSE)),""))</f>
        <v>10</v>
      </c>
      <c r="P45" s="64">
        <f>(IF((VLOOKUP(Table3[[#This Row],[SKU]],'All Skus'!$A:$AC,2,FALSE))="BSS",(VLOOKUP(Table3[[#This Row],[SKU]],'All Skus'!$A:$AC,20,FALSE)),""))</f>
        <v>6.25</v>
      </c>
      <c r="Q45" s="64">
        <f>(IF((VLOOKUP(Table3[[#This Row],[SKU]],'All Skus'!$A:$AC,2,FALSE))="BSS",(VLOOKUP(Table3[[#This Row],[SKU]],'All Skus'!$A:$AC,21,FALSE)),""))</f>
        <v>3.75</v>
      </c>
      <c r="R45" s="60" t="str">
        <f>(IF((VLOOKUP(Table3[[#This Row],[SKU]],'All Skus'!$A:$AC,2,FALSE))="BSS",(VLOOKUP(Table3[[#This Row],[SKU]],'All Skus'!$A:$AC,22,FALSE)),""))</f>
        <v>MY</v>
      </c>
      <c r="S45" s="52" t="str">
        <f>(IF((VLOOKUP(Table3[[#This Row],[SKU]],'All Skus'!$A:$AC,2,FALSE))="BSS",(VLOOKUP(Table3[[#This Row],[SKU]],'All Skus'!$A:$AC,23,FALSE)),""))</f>
        <v>Non Compliant</v>
      </c>
      <c r="T45" s="206" t="str">
        <f>HYPERLINK((IF((VLOOKUP(Table3[[#This Row],[SKU]],'All Skus'!$A:$AC,2,FALSE))="BSS",(VLOOKUP(Table3[[#This Row],[SKU]],'All Skus'!$A:$AC,24,FALSE)),"")))</f>
        <v>https://bssaudio.com/en/products/ec-v</v>
      </c>
      <c r="U45" s="151">
        <v>44</v>
      </c>
    </row>
    <row r="46" spans="1:21" ht="15" customHeight="1">
      <c r="A46" s="48" t="s">
        <v>856</v>
      </c>
      <c r="B46" s="52">
        <f>(IF((VLOOKUP(Table3[[#This Row],[SKU]],'All Skus'!$A:$AC,2,FALSE))="BSS",(VLOOKUP(Table3[[#This Row],[SKU]],'All Skus'!$A:$AC,3,FALSE)),""))</f>
        <v>0</v>
      </c>
      <c r="C46" s="52" t="str">
        <f>(IF((VLOOKUP(Table3[[#This Row],[SKU]],'All Skus'!$A:$AC,2,FALSE))="BSS",(VLOOKUP(Table3[[#This Row],[SKU]],'All Skus'!$A:$AC,4,FALSE)),""))</f>
        <v>RACK MOUNT KIT</v>
      </c>
      <c r="D46" s="60" t="str">
        <f>(IF((VLOOKUP(Table3[[#This Row],[SKU]],'All Skus'!$A:$AC,2,FALSE))="BSS",(VLOOKUP(Table3[[#This Row],[SKU]],'All Skus'!$A:$AC,5,FALSE)),""))</f>
        <v>BSSLONDON</v>
      </c>
      <c r="E46" s="60">
        <f>(IF((VLOOKUP(Table3[[#This Row],[SKU]],'All Skus'!$A:$AC,2,FALSE))="BSS",(VLOOKUP(Table3[[#This Row],[SKU]],'All Skus'!$A:$AC,6,FALSE)),""))</f>
        <v>0</v>
      </c>
      <c r="F46" s="52">
        <f>(IF((VLOOKUP(Table3[[#This Row],[SKU]],'All Skus'!$A:$AC,2,FALSE))="BSS",(VLOOKUP(Table3[[#This Row],[SKU]],'All Skus'!$A:$AC,7,FALSE)),""))</f>
        <v>0</v>
      </c>
      <c r="G46" s="52" t="str">
        <f>(IF((VLOOKUP(Table3[[#This Row],[SKU]],'All Skus'!$A:$AC,2,FALSE))="BSS",(VLOOKUP(Table3[[#This Row],[SKU]],'All Skus'!$A:$AC,8,FALSE)),""))</f>
        <v>Rack Mount Kit</v>
      </c>
      <c r="H46" s="45" t="str">
        <f>(IF((VLOOKUP(Table3[[#This Row],[SKU]],'All Skus'!$A:$AC,2,FALSE))="BSS",(VLOOKUP(Table3[[#This Row],[SKU]],'All Skus'!$A:$AC,9,FALSE)),""))</f>
        <v>Rack Mount Kit for up to two BLU-BIB / BLU-BOB devices (1U)</v>
      </c>
      <c r="I46" s="94">
        <f>(IF((VLOOKUP(Table3[[#This Row],[SKU]],'All Skus'!$A:$AC,2,FALSE))="BSS",(VLOOKUP(Table3[[#This Row],[SKU]],'All Skus'!$A:$AC,10,FALSE)),""))</f>
        <v>124.85</v>
      </c>
      <c r="J46" s="94">
        <f>(IF((VLOOKUP(Table3[[#This Row],[SKU]],'All Skus'!$A:$AC,2,FALSE))="BSS",(VLOOKUP(Table3[[#This Row],[SKU]],'All Skus'!$A:$AC,11,FALSE)),""))</f>
        <v>124.85</v>
      </c>
      <c r="K46" s="60">
        <f>(IF((VLOOKUP(Table3[[#This Row],[SKU]],'All Skus'!$A:$AC,2,FALSE))="BSS",(VLOOKUP(Table3[[#This Row],[SKU]],'All Skus'!$A:$AC,15,FALSE)),""))</f>
        <v>0</v>
      </c>
      <c r="L46" s="47">
        <f>(IF((VLOOKUP(Table3[[#This Row],[SKU]],'All Skus'!$A:$AC,2,FALSE))="BSS",(VLOOKUP(Table3[[#This Row],[SKU]],'All Skus'!$A:$AC,16,FALSE)),""))</f>
        <v>691991600678</v>
      </c>
      <c r="M46" s="60">
        <f>(IF((VLOOKUP(Table3[[#This Row],[SKU]],'All Skus'!$A:$AC,2,FALSE))="BSS",(VLOOKUP(Table3[[#This Row],[SKU]],'All Skus'!$A:$AC,17,FALSE)),""))</f>
        <v>0</v>
      </c>
      <c r="N46" s="64">
        <f>(IF((VLOOKUP(Table3[[#This Row],[SKU]],'All Skus'!$A:$AC,2,FALSE))="BSS",(VLOOKUP(Table3[[#This Row],[SKU]],'All Skus'!$A:$AC,18,FALSE)),""))</f>
        <v>0</v>
      </c>
      <c r="O46" s="64">
        <f>(IF((VLOOKUP(Table3[[#This Row],[SKU]],'All Skus'!$A:$AC,2,FALSE))="BSS",(VLOOKUP(Table3[[#This Row],[SKU]],'All Skus'!$A:$AC,19,FALSE)),""))</f>
        <v>0</v>
      </c>
      <c r="P46" s="64">
        <f>(IF((VLOOKUP(Table3[[#This Row],[SKU]],'All Skus'!$A:$AC,2,FALSE))="BSS",(VLOOKUP(Table3[[#This Row],[SKU]],'All Skus'!$A:$AC,20,FALSE)),""))</f>
        <v>0</v>
      </c>
      <c r="Q46" s="64">
        <f>(IF((VLOOKUP(Table3[[#This Row],[SKU]],'All Skus'!$A:$AC,2,FALSE))="BSS",(VLOOKUP(Table3[[#This Row],[SKU]],'All Skus'!$A:$AC,21,FALSE)),""))</f>
        <v>0</v>
      </c>
      <c r="R46" s="60" t="str">
        <f>(IF((VLOOKUP(Table3[[#This Row],[SKU]],'All Skus'!$A:$AC,2,FALSE))="BSS",(VLOOKUP(Table3[[#This Row],[SKU]],'All Skus'!$A:$AC,22,FALSE)),""))</f>
        <v>MX</v>
      </c>
      <c r="S46" s="52" t="str">
        <f>(IF((VLOOKUP(Table3[[#This Row],[SKU]],'All Skus'!$A:$AC,2,FALSE))="BSS",(VLOOKUP(Table3[[#This Row],[SKU]],'All Skus'!$A:$AC,23,FALSE)),""))</f>
        <v>Compliant</v>
      </c>
      <c r="T46" s="206" t="str">
        <f>HYPERLINK((IF((VLOOKUP(Table3[[#This Row],[SKU]],'All Skus'!$A:$AC,2,FALSE))="BSS",(VLOOKUP(Table3[[#This Row],[SKU]],'All Skus'!$A:$AC,24,FALSE)),"")))</f>
        <v>https://bssaudio.com/en/products/1u-rack-mount-kit</v>
      </c>
      <c r="U46" s="151">
        <v>45</v>
      </c>
    </row>
    <row r="47" spans="1:21" ht="15" customHeight="1">
      <c r="A47" s="48" t="s">
        <v>857</v>
      </c>
      <c r="B47" s="52">
        <f>(IF((VLOOKUP(Table3[[#This Row],[SKU]],'All Skus'!$A:$AC,2,FALSE))="BSS",(VLOOKUP(Table3[[#This Row],[SKU]],'All Skus'!$A:$AC,3,FALSE)),""))</f>
        <v>0</v>
      </c>
      <c r="C47" s="52" t="str">
        <f>(IF((VLOOKUP(Table3[[#This Row],[SKU]],'All Skus'!$A:$AC,2,FALSE))="BSS",(VLOOKUP(Table3[[#This Row],[SKU]],'All Skus'!$A:$AC,4,FALSE)),""))</f>
        <v>SW9015UK</v>
      </c>
      <c r="D47" s="60" t="str">
        <f>(IF((VLOOKUP(Table3[[#This Row],[SKU]],'All Skus'!$A:$AC,2,FALSE))="BSS",(VLOOKUP(Table3[[#This Row],[SKU]],'All Skus'!$A:$AC,5,FALSE)),""))</f>
        <v>BSSKITS</v>
      </c>
      <c r="E47" s="60">
        <f>(IF((VLOOKUP(Table3[[#This Row],[SKU]],'All Skus'!$A:$AC,2,FALSE))="BSS",(VLOOKUP(Table3[[#This Row],[SKU]],'All Skus'!$A:$AC,6,FALSE)),""))</f>
        <v>0</v>
      </c>
      <c r="F47" s="52">
        <f>(IF((VLOOKUP(Table3[[#This Row],[SKU]],'All Skus'!$A:$AC,2,FALSE))="BSS",(VLOOKUP(Table3[[#This Row],[SKU]],'All Skus'!$A:$AC,7,FALSE)),""))</f>
        <v>0</v>
      </c>
      <c r="G47" s="52" t="str">
        <f>(IF((VLOOKUP(Table3[[#This Row],[SKU]],'All Skus'!$A:$AC,2,FALSE))="BSS",(VLOOKUP(Table3[[#This Row],[SKU]],'All Skus'!$A:$AC,8,FALSE)),""))</f>
        <v>Wall controller</v>
      </c>
      <c r="H47" s="45" t="str">
        <f>(IF((VLOOKUP(Table3[[#This Row],[SKU]],'All Skus'!$A:$AC,2,FALSE))="BSS",(VLOOKUP(Table3[[#This Row],[SKU]],'All Skus'!$A:$AC,9,FALSE)),""))</f>
        <v xml:space="preserve">8 position source/preset selector, up/down pair (UK) wall controller  </v>
      </c>
      <c r="I47" s="94">
        <f>(IF((VLOOKUP(Table3[[#This Row],[SKU]],'All Skus'!$A:$AC,2,FALSE))="BSS",(VLOOKUP(Table3[[#This Row],[SKU]],'All Skus'!$A:$AC,10,FALSE)),""))</f>
        <v>217.58</v>
      </c>
      <c r="J47" s="94">
        <f>(IF((VLOOKUP(Table3[[#This Row],[SKU]],'All Skus'!$A:$AC,2,FALSE))="BSS",(VLOOKUP(Table3[[#This Row],[SKU]],'All Skus'!$A:$AC,11,FALSE)),""))</f>
        <v>181</v>
      </c>
      <c r="K47" s="60">
        <f>(IF((VLOOKUP(Table3[[#This Row],[SKU]],'All Skus'!$A:$AC,2,FALSE))="BSS",(VLOOKUP(Table3[[#This Row],[SKU]],'All Skus'!$A:$AC,15,FALSE)),""))</f>
        <v>0</v>
      </c>
      <c r="L47" s="47">
        <f>(IF((VLOOKUP(Table3[[#This Row],[SKU]],'All Skus'!$A:$AC,2,FALSE))="BSS",(VLOOKUP(Table3[[#This Row],[SKU]],'All Skus'!$A:$AC,16,FALSE)),""))</f>
        <v>691991014062</v>
      </c>
      <c r="M47" s="60">
        <f>(IF((VLOOKUP(Table3[[#This Row],[SKU]],'All Skus'!$A:$AC,2,FALSE))="BSS",(VLOOKUP(Table3[[#This Row],[SKU]],'All Skus'!$A:$AC,17,FALSE)),""))</f>
        <v>0</v>
      </c>
      <c r="N47" s="64">
        <f>(IF((VLOOKUP(Table3[[#This Row],[SKU]],'All Skus'!$A:$AC,2,FALSE))="BSS",(VLOOKUP(Table3[[#This Row],[SKU]],'All Skus'!$A:$AC,18,FALSE)),""))</f>
        <v>0</v>
      </c>
      <c r="O47" s="64">
        <f>(IF((VLOOKUP(Table3[[#This Row],[SKU]],'All Skus'!$A:$AC,2,FALSE))="BSS",(VLOOKUP(Table3[[#This Row],[SKU]],'All Skus'!$A:$AC,19,FALSE)),""))</f>
        <v>0</v>
      </c>
      <c r="P47" s="64">
        <f>(IF((VLOOKUP(Table3[[#This Row],[SKU]],'All Skus'!$A:$AC,2,FALSE))="BSS",(VLOOKUP(Table3[[#This Row],[SKU]],'All Skus'!$A:$AC,20,FALSE)),""))</f>
        <v>0</v>
      </c>
      <c r="Q47" s="64">
        <f>(IF((VLOOKUP(Table3[[#This Row],[SKU]],'All Skus'!$A:$AC,2,FALSE))="BSS",(VLOOKUP(Table3[[#This Row],[SKU]],'All Skus'!$A:$AC,21,FALSE)),""))</f>
        <v>0</v>
      </c>
      <c r="R47" s="60" t="str">
        <f>(IF((VLOOKUP(Table3[[#This Row],[SKU]],'All Skus'!$A:$AC,2,FALSE))="BSS",(VLOOKUP(Table3[[#This Row],[SKU]],'All Skus'!$A:$AC,22,FALSE)),""))</f>
        <v>CN</v>
      </c>
      <c r="S47" s="52" t="str">
        <f>(IF((VLOOKUP(Table3[[#This Row],[SKU]],'All Skus'!$A:$AC,2,FALSE))="BSS",(VLOOKUP(Table3[[#This Row],[SKU]],'All Skus'!$A:$AC,23,FALSE)),""))</f>
        <v>Non Compliant</v>
      </c>
      <c r="T47" s="206" t="str">
        <f>HYPERLINK((IF((VLOOKUP(Table3[[#This Row],[SKU]],'All Skus'!$A:$AC,2,FALSE))="BSS",(VLOOKUP(Table3[[#This Row],[SKU]],'All Skus'!$A:$AC,24,FALSE)),"")))</f>
        <v>https://bssaudio.com/en/products/sw9015</v>
      </c>
      <c r="U47" s="151">
        <v>46</v>
      </c>
    </row>
    <row r="48" spans="1:21" ht="15" customHeight="1">
      <c r="A48" s="48" t="s">
        <v>858</v>
      </c>
      <c r="B48" s="52">
        <f>(IF((VLOOKUP(Table3[[#This Row],[SKU]],'All Skus'!$A:$AC,2,FALSE))="BSS",(VLOOKUP(Table3[[#This Row],[SKU]],'All Skus'!$A:$AC,3,FALSE)),""))</f>
        <v>0</v>
      </c>
      <c r="C48" s="52" t="str">
        <f>(IF((VLOOKUP(Table3[[#This Row],[SKU]],'All Skus'!$A:$AC,2,FALSE))="BSS",(VLOOKUP(Table3[[#This Row],[SKU]],'All Skus'!$A:$AC,4,FALSE)),""))</f>
        <v>TIX 2 KIT</v>
      </c>
      <c r="D48" s="60" t="str">
        <f>(IF((VLOOKUP(Table3[[#This Row],[SKU]],'All Skus'!$A:$AC,2,FALSE))="BSS",(VLOOKUP(Table3[[#This Row],[SKU]],'All Skus'!$A:$AC,5,FALSE)),""))</f>
        <v>BSSKITS</v>
      </c>
      <c r="E48" s="60">
        <f>(IF((VLOOKUP(Table3[[#This Row],[SKU]],'All Skus'!$A:$AC,2,FALSE))="BSS",(VLOOKUP(Table3[[#This Row],[SKU]],'All Skus'!$A:$AC,6,FALSE)),""))</f>
        <v>0</v>
      </c>
      <c r="F48" s="52">
        <f>(IF((VLOOKUP(Table3[[#This Row],[SKU]],'All Skus'!$A:$AC,2,FALSE))="BSS",(VLOOKUP(Table3[[#This Row],[SKU]],'All Skus'!$A:$AC,7,FALSE)),""))</f>
        <v>0</v>
      </c>
      <c r="G48" s="52" t="str">
        <f>(IF((VLOOKUP(Table3[[#This Row],[SKU]],'All Skus'!$A:$AC,2,FALSE))="BSS",(VLOOKUP(Table3[[#This Row],[SKU]],'All Skus'!$A:$AC,8,FALSE)),""))</f>
        <v>Transformer kit</v>
      </c>
      <c r="H48" s="45" t="str">
        <f>(IF((VLOOKUP(Table3[[#This Row],[SKU]],'All Skus'!$A:$AC,2,FALSE))="BSS",(VLOOKUP(Table3[[#This Row],[SKU]],'All Skus'!$A:$AC,9,FALSE)),""))</f>
        <v>Input transformer kit for FCS-960 (2 channels)</v>
      </c>
      <c r="I48" s="94">
        <f>(IF((VLOOKUP(Table3[[#This Row],[SKU]],'All Skus'!$A:$AC,2,FALSE))="BSS",(VLOOKUP(Table3[[#This Row],[SKU]],'All Skus'!$A:$AC,10,FALSE)),""))</f>
        <v>480.34</v>
      </c>
      <c r="J48" s="94">
        <f>(IF((VLOOKUP(Table3[[#This Row],[SKU]],'All Skus'!$A:$AC,2,FALSE))="BSS",(VLOOKUP(Table3[[#This Row],[SKU]],'All Skus'!$A:$AC,11,FALSE)),""))</f>
        <v>480.34</v>
      </c>
      <c r="K48" s="60">
        <f>(IF((VLOOKUP(Table3[[#This Row],[SKU]],'All Skus'!$A:$AC,2,FALSE))="BSS",(VLOOKUP(Table3[[#This Row],[SKU]],'All Skus'!$A:$AC,15,FALSE)),""))</f>
        <v>0</v>
      </c>
      <c r="L48" s="47">
        <f>(IF((VLOOKUP(Table3[[#This Row],[SKU]],'All Skus'!$A:$AC,2,FALSE))="BSS",(VLOOKUP(Table3[[#This Row],[SKU]],'All Skus'!$A:$AC,16,FALSE)),""))</f>
        <v>691991025495</v>
      </c>
      <c r="M48" s="60">
        <f>(IF((VLOOKUP(Table3[[#This Row],[SKU]],'All Skus'!$A:$AC,2,FALSE))="BSS",(VLOOKUP(Table3[[#This Row],[SKU]],'All Skus'!$A:$AC,17,FALSE)),""))</f>
        <v>0</v>
      </c>
      <c r="N48" s="64">
        <f>(IF((VLOOKUP(Table3[[#This Row],[SKU]],'All Skus'!$A:$AC,2,FALSE))="BSS",(VLOOKUP(Table3[[#This Row],[SKU]],'All Skus'!$A:$AC,18,FALSE)),""))</f>
        <v>0</v>
      </c>
      <c r="O48" s="64">
        <f>(IF((VLOOKUP(Table3[[#This Row],[SKU]],'All Skus'!$A:$AC,2,FALSE))="BSS",(VLOOKUP(Table3[[#This Row],[SKU]],'All Skus'!$A:$AC,19,FALSE)),""))</f>
        <v>0</v>
      </c>
      <c r="P48" s="64">
        <f>(IF((VLOOKUP(Table3[[#This Row],[SKU]],'All Skus'!$A:$AC,2,FALSE))="BSS",(VLOOKUP(Table3[[#This Row],[SKU]],'All Skus'!$A:$AC,20,FALSE)),""))</f>
        <v>0</v>
      </c>
      <c r="Q48" s="64">
        <f>(IF((VLOOKUP(Table3[[#This Row],[SKU]],'All Skus'!$A:$AC,2,FALSE))="BSS",(VLOOKUP(Table3[[#This Row],[SKU]],'All Skus'!$A:$AC,21,FALSE)),""))</f>
        <v>0</v>
      </c>
      <c r="R48" s="60" t="str">
        <f>(IF((VLOOKUP(Table3[[#This Row],[SKU]],'All Skus'!$A:$AC,2,FALSE))="BSS",(VLOOKUP(Table3[[#This Row],[SKU]],'All Skus'!$A:$AC,22,FALSE)),""))</f>
        <v>US</v>
      </c>
      <c r="S48" s="52" t="str">
        <f>(IF((VLOOKUP(Table3[[#This Row],[SKU]],'All Skus'!$A:$AC,2,FALSE))="BSS",(VLOOKUP(Table3[[#This Row],[SKU]],'All Skus'!$A:$AC,23,FALSE)),""))</f>
        <v>Compliant</v>
      </c>
      <c r="T48" s="206" t="str">
        <f>HYPERLINK((IF((VLOOKUP(Table3[[#This Row],[SKU]],'All Skus'!$A:$AC,2,FALSE))="BSS",(VLOOKUP(Table3[[#This Row],[SKU]],'All Skus'!$A:$AC,24,FALSE)),"")))</f>
        <v/>
      </c>
      <c r="U48" s="151">
        <v>47</v>
      </c>
    </row>
    <row r="49" spans="1:21" ht="15" customHeight="1">
      <c r="A49" s="48" t="s">
        <v>859</v>
      </c>
      <c r="B49" s="52">
        <f>(IF((VLOOKUP(Table3[[#This Row],[SKU]],'All Skus'!$A:$AC,2,FALSE))="BSS",(VLOOKUP(Table3[[#This Row],[SKU]],'All Skus'!$A:$AC,3,FALSE)),""))</f>
        <v>0</v>
      </c>
      <c r="C49" s="52" t="str">
        <f>(IF((VLOOKUP(Table3[[#This Row],[SKU]],'All Skus'!$A:$AC,2,FALSE))="BSS",(VLOOKUP(Table3[[#This Row],[SKU]],'All Skus'!$A:$AC,4,FALSE)),""))</f>
        <v>TOX 2 KIT</v>
      </c>
      <c r="D49" s="60" t="str">
        <f>(IF((VLOOKUP(Table3[[#This Row],[SKU]],'All Skus'!$A:$AC,2,FALSE))="BSS",(VLOOKUP(Table3[[#This Row],[SKU]],'All Skus'!$A:$AC,5,FALSE)),""))</f>
        <v>BSSKITS</v>
      </c>
      <c r="E49" s="60">
        <f>(IF((VLOOKUP(Table3[[#This Row],[SKU]],'All Skus'!$A:$AC,2,FALSE))="BSS",(VLOOKUP(Table3[[#This Row],[SKU]],'All Skus'!$A:$AC,6,FALSE)),""))</f>
        <v>0</v>
      </c>
      <c r="F49" s="52">
        <f>(IF((VLOOKUP(Table3[[#This Row],[SKU]],'All Skus'!$A:$AC,2,FALSE))="BSS",(VLOOKUP(Table3[[#This Row],[SKU]],'All Skus'!$A:$AC,7,FALSE)),""))</f>
        <v>0</v>
      </c>
      <c r="G49" s="52" t="str">
        <f>(IF((VLOOKUP(Table3[[#This Row],[SKU]],'All Skus'!$A:$AC,2,FALSE))="BSS",(VLOOKUP(Table3[[#This Row],[SKU]],'All Skus'!$A:$AC,8,FALSE)),""))</f>
        <v>Transformer kit</v>
      </c>
      <c r="H49" s="45" t="str">
        <f>(IF((VLOOKUP(Table3[[#This Row],[SKU]],'All Skus'!$A:$AC,2,FALSE))="BSS",(VLOOKUP(Table3[[#This Row],[SKU]],'All Skus'!$A:$AC,9,FALSE)),""))</f>
        <v>Output transformer kit for FCS-960 (2 channels)</v>
      </c>
      <c r="I49" s="94">
        <f>(IF((VLOOKUP(Table3[[#This Row],[SKU]],'All Skus'!$A:$AC,2,FALSE))="BSS",(VLOOKUP(Table3[[#This Row],[SKU]],'All Skus'!$A:$AC,10,FALSE)),""))</f>
        <v>292.33</v>
      </c>
      <c r="J49" s="94">
        <f>(IF((VLOOKUP(Table3[[#This Row],[SKU]],'All Skus'!$A:$AC,2,FALSE))="BSS",(VLOOKUP(Table3[[#This Row],[SKU]],'All Skus'!$A:$AC,11,FALSE)),""))</f>
        <v>292.33</v>
      </c>
      <c r="K49" s="60">
        <f>(IF((VLOOKUP(Table3[[#This Row],[SKU]],'All Skus'!$A:$AC,2,FALSE))="BSS",(VLOOKUP(Table3[[#This Row],[SKU]],'All Skus'!$A:$AC,15,FALSE)),""))</f>
        <v>0</v>
      </c>
      <c r="L49" s="47">
        <f>(IF((VLOOKUP(Table3[[#This Row],[SKU]],'All Skus'!$A:$AC,2,FALSE))="BSS",(VLOOKUP(Table3[[#This Row],[SKU]],'All Skus'!$A:$AC,16,FALSE)),""))</f>
        <v>691991025501</v>
      </c>
      <c r="M49" s="60">
        <f>(IF((VLOOKUP(Table3[[#This Row],[SKU]],'All Skus'!$A:$AC,2,FALSE))="BSS",(VLOOKUP(Table3[[#This Row],[SKU]],'All Skus'!$A:$AC,17,FALSE)),""))</f>
        <v>0</v>
      </c>
      <c r="N49" s="64">
        <f>(IF((VLOOKUP(Table3[[#This Row],[SKU]],'All Skus'!$A:$AC,2,FALSE))="BSS",(VLOOKUP(Table3[[#This Row],[SKU]],'All Skus'!$A:$AC,18,FALSE)),""))</f>
        <v>0</v>
      </c>
      <c r="O49" s="64">
        <f>(IF((VLOOKUP(Table3[[#This Row],[SKU]],'All Skus'!$A:$AC,2,FALSE))="BSS",(VLOOKUP(Table3[[#This Row],[SKU]],'All Skus'!$A:$AC,19,FALSE)),""))</f>
        <v>0</v>
      </c>
      <c r="P49" s="64">
        <f>(IF((VLOOKUP(Table3[[#This Row],[SKU]],'All Skus'!$A:$AC,2,FALSE))="BSS",(VLOOKUP(Table3[[#This Row],[SKU]],'All Skus'!$A:$AC,20,FALSE)),""))</f>
        <v>0</v>
      </c>
      <c r="Q49" s="64">
        <f>(IF((VLOOKUP(Table3[[#This Row],[SKU]],'All Skus'!$A:$AC,2,FALSE))="BSS",(VLOOKUP(Table3[[#This Row],[SKU]],'All Skus'!$A:$AC,21,FALSE)),""))</f>
        <v>0</v>
      </c>
      <c r="R49" s="60" t="str">
        <f>(IF((VLOOKUP(Table3[[#This Row],[SKU]],'All Skus'!$A:$AC,2,FALSE))="BSS",(VLOOKUP(Table3[[#This Row],[SKU]],'All Skus'!$A:$AC,22,FALSE)),""))</f>
        <v>US</v>
      </c>
      <c r="S49" s="52" t="str">
        <f>(IF((VLOOKUP(Table3[[#This Row],[SKU]],'All Skus'!$A:$AC,2,FALSE))="BSS",(VLOOKUP(Table3[[#This Row],[SKU]],'All Skus'!$A:$AC,23,FALSE)),""))</f>
        <v>Compliant</v>
      </c>
      <c r="T49" s="206" t="str">
        <f>HYPERLINK((IF((VLOOKUP(Table3[[#This Row],[SKU]],'All Skus'!$A:$AC,2,FALSE))="BSS",(VLOOKUP(Table3[[#This Row],[SKU]],'All Skus'!$A:$AC,24,FALSE)),"")))</f>
        <v/>
      </c>
      <c r="U49" s="151">
        <v>48</v>
      </c>
    </row>
  </sheetData>
  <conditionalFormatting sqref="A2:T49">
    <cfRule type="cellIs" dxfId="32" priority="1" operator="equal">
      <formula>0</formula>
    </cfRule>
  </conditionalFormatting>
  <conditionalFormatting sqref="A3:T49">
    <cfRule type="cellIs" dxfId="31" priority="3" operator="equal">
      <formula>3.45996E+110</formula>
    </cfRule>
  </conditionalFormatting>
  <pageMargins left="0.7" right="0.7" top="0.75" bottom="0.75" header="0.3" footer="0.3"/>
  <pageSetup orientation="portrait" horizontalDpi="90" verticalDpi="9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6E8F7-2665-4C4C-809C-2FAF3AF743BE}">
  <dimension ref="A1:Z91"/>
  <sheetViews>
    <sheetView zoomScale="75" zoomScaleNormal="75" workbookViewId="0">
      <pane xSplit="1" ySplit="1" topLeftCell="H2" activePane="bottomRight" state="frozen"/>
      <selection pane="topRight" activeCell="D35" sqref="D35"/>
      <selection pane="bottomLeft" activeCell="D35" sqref="D35"/>
      <selection pane="bottomRight" activeCell="K2" sqref="K1:K1048576"/>
    </sheetView>
  </sheetViews>
  <sheetFormatPr defaultColWidth="9.28515625" defaultRowHeight="15"/>
  <cols>
    <col min="1" max="1" width="21.140625" bestFit="1" customWidth="1"/>
    <col min="2" max="2" width="38.28515625" bestFit="1" customWidth="1"/>
    <col min="3" max="4" width="20.85546875" bestFit="1" customWidth="1"/>
    <col min="5" max="5" width="21.28515625" bestFit="1" customWidth="1"/>
    <col min="6" max="6" width="16.5703125" bestFit="1" customWidth="1"/>
    <col min="7" max="7" width="38" bestFit="1" customWidth="1"/>
    <col min="8" max="8" width="128.28515625" bestFit="1" customWidth="1"/>
    <col min="9" max="9" width="12.85546875" bestFit="1" customWidth="1"/>
    <col min="10" max="10" width="12.7109375" bestFit="1" customWidth="1"/>
    <col min="11" max="11" width="18" bestFit="1" customWidth="1"/>
    <col min="12" max="12" width="15.140625" bestFit="1" customWidth="1"/>
    <col min="13" max="13" width="11" bestFit="1" customWidth="1"/>
    <col min="14" max="14" width="18.28515625" bestFit="1" customWidth="1"/>
    <col min="15" max="15" width="16.28515625" bestFit="1" customWidth="1"/>
    <col min="16" max="16" width="17.28515625" bestFit="1" customWidth="1"/>
    <col min="17" max="17" width="16.7109375" bestFit="1" customWidth="1"/>
    <col min="18" max="18" width="16.28515625" bestFit="1" customWidth="1"/>
    <col min="19" max="19" width="22" bestFit="1" customWidth="1"/>
    <col min="20" max="20" width="57.140625" style="12" customWidth="1"/>
    <col min="21" max="21" width="15.140625" bestFit="1" customWidth="1"/>
  </cols>
  <sheetData>
    <row r="1" spans="1:26" s="67" customFormat="1" ht="61.5" customHeight="1">
      <c r="A1" s="66"/>
      <c r="B1" s="312"/>
      <c r="C1" s="312"/>
      <c r="D1" s="312"/>
      <c r="E1" s="312"/>
      <c r="F1" s="312"/>
      <c r="G1" s="312"/>
      <c r="H1" s="312"/>
      <c r="I1" s="312"/>
      <c r="J1" s="312"/>
      <c r="K1" s="312"/>
      <c r="L1" s="312"/>
      <c r="M1" s="65"/>
      <c r="N1" s="132"/>
      <c r="O1" s="132"/>
      <c r="P1" s="132"/>
      <c r="Q1" s="132"/>
      <c r="R1" s="65"/>
      <c r="T1" s="66"/>
      <c r="U1" s="17"/>
      <c r="V1" s="17"/>
      <c r="W1" s="17"/>
      <c r="X1" s="17"/>
      <c r="Y1" s="17"/>
      <c r="Z1" s="17"/>
    </row>
    <row r="2" spans="1:26" s="130" customFormat="1" ht="35.25" customHeight="1">
      <c r="A2" s="100" t="s">
        <v>138</v>
      </c>
      <c r="B2" s="75" t="s">
        <v>139</v>
      </c>
      <c r="C2" s="75" t="s">
        <v>140</v>
      </c>
      <c r="D2" s="75" t="s">
        <v>141</v>
      </c>
      <c r="E2" s="75" t="s">
        <v>142</v>
      </c>
      <c r="F2" s="75" t="s">
        <v>143</v>
      </c>
      <c r="G2" s="75" t="s">
        <v>144</v>
      </c>
      <c r="H2" s="75" t="s">
        <v>145</v>
      </c>
      <c r="I2" s="87" t="s">
        <v>146</v>
      </c>
      <c r="J2" s="87" t="s">
        <v>808</v>
      </c>
      <c r="K2" s="75" t="s">
        <v>149</v>
      </c>
      <c r="L2" s="88" t="s">
        <v>150</v>
      </c>
      <c r="M2" s="75" t="s">
        <v>151</v>
      </c>
      <c r="N2" s="145" t="s">
        <v>152</v>
      </c>
      <c r="O2" s="145" t="s">
        <v>153</v>
      </c>
      <c r="P2" s="145" t="s">
        <v>154</v>
      </c>
      <c r="Q2" s="145" t="s">
        <v>155</v>
      </c>
      <c r="R2" s="75" t="s">
        <v>156</v>
      </c>
      <c r="S2" s="75" t="s">
        <v>809</v>
      </c>
      <c r="T2" s="75" t="s">
        <v>158</v>
      </c>
      <c r="U2" s="148" t="s">
        <v>159</v>
      </c>
      <c r="V2"/>
      <c r="W2"/>
      <c r="X2"/>
      <c r="Y2"/>
      <c r="Z2"/>
    </row>
    <row r="3" spans="1:26" s="52" customFormat="1" ht="15" customHeight="1">
      <c r="A3" s="48" t="s">
        <v>860</v>
      </c>
      <c r="B3" s="52" t="str">
        <f>(IF((VLOOKUP(Table4[[#This Row],[SKU]],'All Skus'!$A:$AC,2,FALSE))="Crown",(VLOOKUP(Table4[[#This Row],[SKU]],'All Skus'!$A:$AC,3,FALSE)),""))</f>
        <v>Amp Accessories</v>
      </c>
      <c r="C3" s="52" t="str">
        <f>(IF((VLOOKUP(Table4[[#This Row],[SKU]],'All Skus'!$A:$AC,2,FALSE))="Crown",(VLOOKUP(Table4[[#This Row],[SKU]],'All Skus'!$A:$AC,4,FALSE)),""))</f>
        <v>GRM1</v>
      </c>
      <c r="D3" s="60" t="str">
        <f>(IF((VLOOKUP(Table4[[#This Row],[SKU]],'All Skus'!$A:$AC,2,FALSE))="Crown",(VLOOKUP(Table4[[#This Row],[SKU]],'All Skus'!$A:$AC,5,FALSE)),""))</f>
        <v>AMPACC</v>
      </c>
      <c r="E3" s="52">
        <f>(IF((VLOOKUP(Table4[[#This Row],[SKU]],'All Skus'!$A:$AC,2,FALSE))="Crown",(VLOOKUP(Table4[[#This Row],[SKU]],'All Skus'!$A:$AC,6,FALSE)),""))</f>
        <v>0</v>
      </c>
      <c r="F3" s="52">
        <f>(IF((VLOOKUP(Table4[[#This Row],[SKU]],'All Skus'!$A:$AC,2,FALSE))="Crown",(VLOOKUP(Table4[[#This Row],[SKU]],'All Skus'!$A:$AC,7,FALSE)),""))</f>
        <v>0</v>
      </c>
      <c r="G3" s="52" t="str">
        <f>(IF((VLOOKUP(Table4[[#This Row],[SKU]],'All Skus'!$A:$AC,2,FALSE))="Crown",(VLOOKUP(Table4[[#This Row],[SKU]],'All Skus'!$A:$AC,8,FALSE)),""))</f>
        <v>Amplifier Accessories</v>
      </c>
      <c r="H3" s="45" t="str">
        <f>(IF((VLOOKUP(Table4[[#This Row],[SKU]],'All Skus'!$A:$AC,2,FALSE))="Crown",(VLOOKUP(Table4[[#This Row],[SKU]],'All Skus'!$A:$AC,9,FALSE)),""))</f>
        <v>Amplifier Accessories</v>
      </c>
      <c r="I3" s="94">
        <f>(IF((VLOOKUP(Table4[[#This Row],[SKU]],'All Skus'!$A:$AC,2,FALSE))="Crown",(VLOOKUP(Table4[[#This Row],[SKU]],'All Skus'!$A:$AC,10,FALSE)),""))</f>
        <v>40.369999999999997</v>
      </c>
      <c r="J3" s="94">
        <f>(IF((VLOOKUP(Table4[[#This Row],[SKU]],'All Skus'!$A:$AC,2,FALSE))="Crown",(VLOOKUP(Table4[[#This Row],[SKU]],'All Skus'!$A:$AC,11,FALSE)),""))</f>
        <v>40.369999999999997</v>
      </c>
      <c r="K3" s="60">
        <f>(IF((VLOOKUP(Table4[[#This Row],[SKU]],'All Skus'!$A:$AC,2,FALSE))="Crown",(VLOOKUP(Table4[[#This Row],[SKU]],'All Skus'!$A:$AC,15,FALSE)),""))</f>
        <v>1</v>
      </c>
      <c r="L3" s="47">
        <f>(IF((VLOOKUP(Table4[[#This Row],[SKU]],'All Skus'!$A:$AC,2,FALSE))="Crown",(VLOOKUP(Table4[[#This Row],[SKU]],'All Skus'!$A:$AC,16,FALSE)),""))</f>
        <v>871015002750</v>
      </c>
      <c r="M3" s="60">
        <f>(IF((VLOOKUP(Table4[[#This Row],[SKU]],'All Skus'!$A:$AC,2,FALSE))="Crown",(VLOOKUP(Table4[[#This Row],[SKU]],'All Skus'!$A:$AC,17,FALSE)),""))</f>
        <v>0</v>
      </c>
      <c r="N3" s="133">
        <f>(IF((VLOOKUP(Table4[[#This Row],[SKU]],'All Skus'!$A:$AC,2,FALSE))="Crown",(VLOOKUP(Table4[[#This Row],[SKU]],'All Skus'!$A:$AC,18,FALSE)),""))</f>
        <v>2.2000000000000002</v>
      </c>
      <c r="O3" s="133">
        <f>(IF((VLOOKUP(Table4[[#This Row],[SKU]],'All Skus'!$A:$AC,2,FALSE))="Crown",(VLOOKUP(Table4[[#This Row],[SKU]],'All Skus'!$A:$AC,19,FALSE)),""))</f>
        <v>8.27</v>
      </c>
      <c r="P3" s="133">
        <f>(IF((VLOOKUP(Table4[[#This Row],[SKU]],'All Skus'!$A:$AC,2,FALSE))="Crown",(VLOOKUP(Table4[[#This Row],[SKU]],'All Skus'!$A:$AC,20,FALSE)),""))</f>
        <v>3.94</v>
      </c>
      <c r="Q3" s="133">
        <f>(IF((VLOOKUP(Table4[[#This Row],[SKU]],'All Skus'!$A:$AC,2,FALSE))="Crown",(VLOOKUP(Table4[[#This Row],[SKU]],'All Skus'!$A:$AC,21,FALSE)),""))</f>
        <v>2.76</v>
      </c>
      <c r="R3" s="60" t="str">
        <f>(IF((VLOOKUP(Table4[[#This Row],[SKU]],'All Skus'!$A:$AC,2,FALSE))="Crown",(VLOOKUP(Table4[[#This Row],[SKU]],'All Skus'!$A:$AC,22,FALSE)),""))</f>
        <v>CN</v>
      </c>
      <c r="S3" s="52" t="str">
        <f>(IF((VLOOKUP(Table4[[#This Row],[SKU]],'All Skus'!$A:$AC,2,FALSE))="Crown",(VLOOKUP(Table4[[#This Row],[SKU]],'All Skus'!$A:$AC,23,FALSE)),""))</f>
        <v>Non Compliant</v>
      </c>
      <c r="T3" s="211" t="str">
        <f>HYPERLINK((IF((VLOOKUP(Table4[[#This Row],[SKU]],'All Skus'!$A:$AC,2,FALSE))="Crown",(VLOOKUP(Table4[[#This Row],[SKU]],'All Skus'!$A:$AC,24,FALSE)),"")))</f>
        <v/>
      </c>
      <c r="U3" s="151">
        <v>1</v>
      </c>
      <c r="V3"/>
      <c r="W3"/>
      <c r="X3"/>
      <c r="Y3"/>
      <c r="Z3"/>
    </row>
    <row r="4" spans="1:26" s="52" customFormat="1" ht="15" customHeight="1">
      <c r="A4" s="48" t="s">
        <v>861</v>
      </c>
      <c r="B4" s="52" t="str">
        <f>(IF((VLOOKUP(Table4[[#This Row],[SKU]],'All Skus'!$A:$AC,2,FALSE))="Crown",(VLOOKUP(Table4[[#This Row],[SKU]],'All Skus'!$A:$AC,3,FALSE)),""))</f>
        <v>Amp Accessories</v>
      </c>
      <c r="C4" s="52" t="str">
        <f>(IF((VLOOKUP(Table4[[#This Row],[SKU]],'All Skus'!$A:$AC,2,FALSE))="Crown",(VLOOKUP(Table4[[#This Row],[SKU]],'All Skus'!$A:$AC,4,FALSE)),""))</f>
        <v>GRM2</v>
      </c>
      <c r="D4" s="60" t="str">
        <f>(IF((VLOOKUP(Table4[[#This Row],[SKU]],'All Skus'!$A:$AC,2,FALSE))="Crown",(VLOOKUP(Table4[[#This Row],[SKU]],'All Skus'!$A:$AC,5,FALSE)),""))</f>
        <v>AMPACC</v>
      </c>
      <c r="E4" s="52">
        <f>(IF((VLOOKUP(Table4[[#This Row],[SKU]],'All Skus'!$A:$AC,2,FALSE))="Crown",(VLOOKUP(Table4[[#This Row],[SKU]],'All Skus'!$A:$AC,6,FALSE)),""))</f>
        <v>0</v>
      </c>
      <c r="F4" s="52">
        <f>(IF((VLOOKUP(Table4[[#This Row],[SKU]],'All Skus'!$A:$AC,2,FALSE))="Crown",(VLOOKUP(Table4[[#This Row],[SKU]],'All Skus'!$A:$AC,7,FALSE)),""))</f>
        <v>0</v>
      </c>
      <c r="G4" s="52" t="str">
        <f>(IF((VLOOKUP(Table4[[#This Row],[SKU]],'All Skus'!$A:$AC,2,FALSE))="Crown",(VLOOKUP(Table4[[#This Row],[SKU]],'All Skus'!$A:$AC,8,FALSE)),""))</f>
        <v>Amplifier Accessories</v>
      </c>
      <c r="H4" s="45" t="str">
        <f>(IF((VLOOKUP(Table4[[#This Row],[SKU]],'All Skus'!$A:$AC,2,FALSE))="Crown",(VLOOKUP(Table4[[#This Row],[SKU]],'All Skus'!$A:$AC,9,FALSE)),""))</f>
        <v>Amplifier Accessories</v>
      </c>
      <c r="I4" s="94">
        <f>(IF((VLOOKUP(Table4[[#This Row],[SKU]],'All Skus'!$A:$AC,2,FALSE))="Crown",(VLOOKUP(Table4[[#This Row],[SKU]],'All Skus'!$A:$AC,10,FALSE)),""))</f>
        <v>32.11</v>
      </c>
      <c r="J4" s="94">
        <f>(IF((VLOOKUP(Table4[[#This Row],[SKU]],'All Skus'!$A:$AC,2,FALSE))="Crown",(VLOOKUP(Table4[[#This Row],[SKU]],'All Skus'!$A:$AC,11,FALSE)),""))</f>
        <v>32.11</v>
      </c>
      <c r="K4" s="60">
        <f>(IF((VLOOKUP(Table4[[#This Row],[SKU]],'All Skus'!$A:$AC,2,FALSE))="Crown",(VLOOKUP(Table4[[#This Row],[SKU]],'All Skus'!$A:$AC,15,FALSE)),""))</f>
        <v>1</v>
      </c>
      <c r="L4" s="47">
        <f>(IF((VLOOKUP(Table4[[#This Row],[SKU]],'All Skus'!$A:$AC,2,FALSE))="Crown",(VLOOKUP(Table4[[#This Row],[SKU]],'All Skus'!$A:$AC,16,FALSE)),""))</f>
        <v>871015002767</v>
      </c>
      <c r="M4" s="60">
        <f>(IF((VLOOKUP(Table4[[#This Row],[SKU]],'All Skus'!$A:$AC,2,FALSE))="Crown",(VLOOKUP(Table4[[#This Row],[SKU]],'All Skus'!$A:$AC,17,FALSE)),""))</f>
        <v>0</v>
      </c>
      <c r="N4" s="133">
        <f>(IF((VLOOKUP(Table4[[#This Row],[SKU]],'All Skus'!$A:$AC,2,FALSE))="Crown",(VLOOKUP(Table4[[#This Row],[SKU]],'All Skus'!$A:$AC,18,FALSE)),""))</f>
        <v>1.1000000000000001</v>
      </c>
      <c r="O4" s="133">
        <f>(IF((VLOOKUP(Table4[[#This Row],[SKU]],'All Skus'!$A:$AC,2,FALSE))="Crown",(VLOOKUP(Table4[[#This Row],[SKU]],'All Skus'!$A:$AC,19,FALSE)),""))</f>
        <v>4.33</v>
      </c>
      <c r="P4" s="133">
        <f>(IF((VLOOKUP(Table4[[#This Row],[SKU]],'All Skus'!$A:$AC,2,FALSE))="Crown",(VLOOKUP(Table4[[#This Row],[SKU]],'All Skus'!$A:$AC,20,FALSE)),""))</f>
        <v>2.36</v>
      </c>
      <c r="Q4" s="133">
        <f>(IF((VLOOKUP(Table4[[#This Row],[SKU]],'All Skus'!$A:$AC,2,FALSE))="Crown",(VLOOKUP(Table4[[#This Row],[SKU]],'All Skus'!$A:$AC,21,FALSE)),""))</f>
        <v>2.36</v>
      </c>
      <c r="R4" s="60" t="str">
        <f>(IF((VLOOKUP(Table4[[#This Row],[SKU]],'All Skus'!$A:$AC,2,FALSE))="Crown",(VLOOKUP(Table4[[#This Row],[SKU]],'All Skus'!$A:$AC,22,FALSE)),""))</f>
        <v>CN</v>
      </c>
      <c r="S4" s="52" t="str">
        <f>(IF((VLOOKUP(Table4[[#This Row],[SKU]],'All Skus'!$A:$AC,2,FALSE))="Crown",(VLOOKUP(Table4[[#This Row],[SKU]],'All Skus'!$A:$AC,23,FALSE)),""))</f>
        <v>Non Compliant</v>
      </c>
      <c r="T4" s="211" t="str">
        <f>HYPERLINK((IF((VLOOKUP(Table4[[#This Row],[SKU]],'All Skus'!$A:$AC,2,FALSE))="Crown",(VLOOKUP(Table4[[#This Row],[SKU]],'All Skus'!$A:$AC,24,FALSE)),"")))</f>
        <v/>
      </c>
      <c r="U4" s="151">
        <v>2</v>
      </c>
      <c r="V4"/>
      <c r="W4"/>
      <c r="X4"/>
      <c r="Y4"/>
      <c r="Z4"/>
    </row>
    <row r="5" spans="1:26" s="52" customFormat="1" ht="15" customHeight="1">
      <c r="A5" s="48" t="s">
        <v>862</v>
      </c>
      <c r="B5" s="52" t="str">
        <f>(IF((VLOOKUP(Table4[[#This Row],[SKU]],'All Skus'!$A:$AC,2,FALSE))="Crown",(VLOOKUP(Table4[[#This Row],[SKU]],'All Skus'!$A:$AC,3,FALSE)),""))</f>
        <v>Amp Accessories</v>
      </c>
      <c r="C5" s="52" t="str">
        <f>(IF((VLOOKUP(Table4[[#This Row],[SKU]],'All Skus'!$A:$AC,2,FALSE))="Crown",(VLOOKUP(Table4[[#This Row],[SKU]],'All Skus'!$A:$AC,4,FALSE)),""))</f>
        <v xml:space="preserve">XFMR4 </v>
      </c>
      <c r="D5" s="60" t="str">
        <f>(IF((VLOOKUP(Table4[[#This Row],[SKU]],'All Skus'!$A:$AC,2,FALSE))="Crown",(VLOOKUP(Table4[[#This Row],[SKU]],'All Skus'!$A:$AC,5,FALSE)),""))</f>
        <v>AMPACC</v>
      </c>
      <c r="E5" s="52">
        <f>(IF((VLOOKUP(Table4[[#This Row],[SKU]],'All Skus'!$A:$AC,2,FALSE))="Crown",(VLOOKUP(Table4[[#This Row],[SKU]],'All Skus'!$A:$AC,6,FALSE)),""))</f>
        <v>0</v>
      </c>
      <c r="F5" s="52">
        <f>(IF((VLOOKUP(Table4[[#This Row],[SKU]],'All Skus'!$A:$AC,2,FALSE))="Crown",(VLOOKUP(Table4[[#This Row],[SKU]],'All Skus'!$A:$AC,7,FALSE)),""))</f>
        <v>0</v>
      </c>
      <c r="G5" s="52" t="str">
        <f>(IF((VLOOKUP(Table4[[#This Row],[SKU]],'All Skus'!$A:$AC,2,FALSE))="Crown",(VLOOKUP(Table4[[#This Row],[SKU]],'All Skus'!$A:$AC,8,FALSE)),""))</f>
        <v>Transformer</v>
      </c>
      <c r="H5" s="45" t="str">
        <f>(IF((VLOOKUP(Table4[[#This Row],[SKU]],'All Skus'!$A:$AC,2,FALSE))="Crown",(VLOOKUP(Table4[[#This Row],[SKU]],'All Skus'!$A:$AC,9,FALSE)),""))</f>
        <v>Four-Channel Transformer</v>
      </c>
      <c r="I5" s="94">
        <f>(IF((VLOOKUP(Table4[[#This Row],[SKU]],'All Skus'!$A:$AC,2,FALSE))="Crown",(VLOOKUP(Table4[[#This Row],[SKU]],'All Skus'!$A:$AC,10,FALSE)),""))</f>
        <v>522.83000000000004</v>
      </c>
      <c r="J5" s="94">
        <f>(IF((VLOOKUP(Table4[[#This Row],[SKU]],'All Skus'!$A:$AC,2,FALSE))="Crown",(VLOOKUP(Table4[[#This Row],[SKU]],'All Skus'!$A:$AC,11,FALSE)),""))</f>
        <v>522.83000000000004</v>
      </c>
      <c r="K5" s="60">
        <f>(IF((VLOOKUP(Table4[[#This Row],[SKU]],'All Skus'!$A:$AC,2,FALSE))="Crown",(VLOOKUP(Table4[[#This Row],[SKU]],'All Skus'!$A:$AC,15,FALSE)),""))</f>
        <v>1</v>
      </c>
      <c r="L5" s="47">
        <f>(IF((VLOOKUP(Table4[[#This Row],[SKU]],'All Skus'!$A:$AC,2,FALSE))="Crown",(VLOOKUP(Table4[[#This Row],[SKU]],'All Skus'!$A:$AC,16,FALSE)),""))</f>
        <v>871015004563</v>
      </c>
      <c r="M5" s="60">
        <f>(IF((VLOOKUP(Table4[[#This Row],[SKU]],'All Skus'!$A:$AC,2,FALSE))="Crown",(VLOOKUP(Table4[[#This Row],[SKU]],'All Skus'!$A:$AC,17,FALSE)),""))</f>
        <v>0</v>
      </c>
      <c r="N5" s="133">
        <f>(IF((VLOOKUP(Table4[[#This Row],[SKU]],'All Skus'!$A:$AC,2,FALSE))="Crown",(VLOOKUP(Table4[[#This Row],[SKU]],'All Skus'!$A:$AC,18,FALSE)),""))</f>
        <v>20</v>
      </c>
      <c r="O5" s="133">
        <f>(IF((VLOOKUP(Table4[[#This Row],[SKU]],'All Skus'!$A:$AC,2,FALSE))="Crown",(VLOOKUP(Table4[[#This Row],[SKU]],'All Skus'!$A:$AC,19,FALSE)),""))</f>
        <v>22</v>
      </c>
      <c r="P5" s="133">
        <f>(IF((VLOOKUP(Table4[[#This Row],[SKU]],'All Skus'!$A:$AC,2,FALSE))="Crown",(VLOOKUP(Table4[[#This Row],[SKU]],'All Skus'!$A:$AC,20,FALSE)),""))</f>
        <v>19</v>
      </c>
      <c r="Q5" s="133">
        <f>(IF((VLOOKUP(Table4[[#This Row],[SKU]],'All Skus'!$A:$AC,2,FALSE))="Crown",(VLOOKUP(Table4[[#This Row],[SKU]],'All Skus'!$A:$AC,21,FALSE)),""))</f>
        <v>6</v>
      </c>
      <c r="R5" s="60" t="str">
        <f>(IF((VLOOKUP(Table4[[#This Row],[SKU]],'All Skus'!$A:$AC,2,FALSE))="Crown",(VLOOKUP(Table4[[#This Row],[SKU]],'All Skus'!$A:$AC,22,FALSE)),""))</f>
        <v>CN</v>
      </c>
      <c r="S5" s="52" t="str">
        <f>(IF((VLOOKUP(Table4[[#This Row],[SKU]],'All Skus'!$A:$AC,2,FALSE))="Crown",(VLOOKUP(Table4[[#This Row],[SKU]],'All Skus'!$A:$AC,23,FALSE)),""))</f>
        <v>Non Compliant</v>
      </c>
      <c r="T5" s="211" t="str">
        <f>HYPERLINK((IF((VLOOKUP(Table4[[#This Row],[SKU]],'All Skus'!$A:$AC,2,FALSE))="Crown",(VLOOKUP(Table4[[#This Row],[SKU]],'All Skus'!$A:$AC,24,FALSE)),"")))</f>
        <v/>
      </c>
      <c r="U5" s="151">
        <v>3</v>
      </c>
      <c r="V5"/>
      <c r="W5"/>
      <c r="X5"/>
      <c r="Y5"/>
      <c r="Z5"/>
    </row>
    <row r="6" spans="1:26" s="52" customFormat="1" ht="15" customHeight="1">
      <c r="A6" s="48" t="s">
        <v>863</v>
      </c>
      <c r="B6" s="52" t="str">
        <f>(IF((VLOOKUP(Table4[[#This Row],[SKU]],'All Skus'!$A:$AC,2,FALSE))="Crown",(VLOOKUP(Table4[[#This Row],[SKU]],'All Skus'!$A:$AC,3,FALSE)),""))</f>
        <v>Amp Accessories</v>
      </c>
      <c r="C6" s="52" t="str">
        <f>(IF((VLOOKUP(Table4[[#This Row],[SKU]],'All Skus'!$A:$AC,2,FALSE))="Crown",(VLOOKUP(Table4[[#This Row],[SKU]],'All Skus'!$A:$AC,4,FALSE)),""))</f>
        <v>XFMR8</v>
      </c>
      <c r="D6" s="60" t="str">
        <f>(IF((VLOOKUP(Table4[[#This Row],[SKU]],'All Skus'!$A:$AC,2,FALSE))="Crown",(VLOOKUP(Table4[[#This Row],[SKU]],'All Skus'!$A:$AC,5,FALSE)),""))</f>
        <v>AMPACC</v>
      </c>
      <c r="E6" s="52">
        <f>(IF((VLOOKUP(Table4[[#This Row],[SKU]],'All Skus'!$A:$AC,2,FALSE))="Crown",(VLOOKUP(Table4[[#This Row],[SKU]],'All Skus'!$A:$AC,6,FALSE)),""))</f>
        <v>0</v>
      </c>
      <c r="F6" s="52" t="str">
        <f>(IF((VLOOKUP(Table4[[#This Row],[SKU]],'All Skus'!$A:$AC,2,FALSE))="Crown",(VLOOKUP(Table4[[#This Row],[SKU]],'All Skus'!$A:$AC,7,FALSE)),""))</f>
        <v>Limited Quantity</v>
      </c>
      <c r="G6" s="52" t="str">
        <f>(IF((VLOOKUP(Table4[[#This Row],[SKU]],'All Skus'!$A:$AC,2,FALSE))="Crown",(VLOOKUP(Table4[[#This Row],[SKU]],'All Skus'!$A:$AC,8,FALSE)),""))</f>
        <v>Transformer</v>
      </c>
      <c r="H6" s="45" t="str">
        <f>(IF((VLOOKUP(Table4[[#This Row],[SKU]],'All Skus'!$A:$AC,2,FALSE))="Crown",(VLOOKUP(Table4[[#This Row],[SKU]],'All Skus'!$A:$AC,9,FALSE)),""))</f>
        <v>Eight-Channel Transformer</v>
      </c>
      <c r="I6" s="94">
        <f>(IF((VLOOKUP(Table4[[#This Row],[SKU]],'All Skus'!$A:$AC,2,FALSE))="Crown",(VLOOKUP(Table4[[#This Row],[SKU]],'All Skus'!$A:$AC,10,FALSE)),""))</f>
        <v>897.17</v>
      </c>
      <c r="J6" s="94">
        <f>(IF((VLOOKUP(Table4[[#This Row],[SKU]],'All Skus'!$A:$AC,2,FALSE))="Crown",(VLOOKUP(Table4[[#This Row],[SKU]],'All Skus'!$A:$AC,11,FALSE)),""))</f>
        <v>897.17</v>
      </c>
      <c r="K6" s="60">
        <f>(IF((VLOOKUP(Table4[[#This Row],[SKU]],'All Skus'!$A:$AC,2,FALSE))="Crown",(VLOOKUP(Table4[[#This Row],[SKU]],'All Skus'!$A:$AC,15,FALSE)),""))</f>
        <v>1</v>
      </c>
      <c r="L6" s="47">
        <f>(IF((VLOOKUP(Table4[[#This Row],[SKU]],'All Skus'!$A:$AC,2,FALSE))="Crown",(VLOOKUP(Table4[[#This Row],[SKU]],'All Skus'!$A:$AC,16,FALSE)),""))</f>
        <v>871015005102</v>
      </c>
      <c r="M6" s="60">
        <f>(IF((VLOOKUP(Table4[[#This Row],[SKU]],'All Skus'!$A:$AC,2,FALSE))="Crown",(VLOOKUP(Table4[[#This Row],[SKU]],'All Skus'!$A:$AC,17,FALSE)),""))</f>
        <v>0</v>
      </c>
      <c r="N6" s="133">
        <f>(IF((VLOOKUP(Table4[[#This Row],[SKU]],'All Skus'!$A:$AC,2,FALSE))="Crown",(VLOOKUP(Table4[[#This Row],[SKU]],'All Skus'!$A:$AC,18,FALSE)),""))</f>
        <v>27</v>
      </c>
      <c r="O6" s="133">
        <f>(IF((VLOOKUP(Table4[[#This Row],[SKU]],'All Skus'!$A:$AC,2,FALSE))="Crown",(VLOOKUP(Table4[[#This Row],[SKU]],'All Skus'!$A:$AC,19,FALSE)),""))</f>
        <v>22</v>
      </c>
      <c r="P6" s="133">
        <f>(IF((VLOOKUP(Table4[[#This Row],[SKU]],'All Skus'!$A:$AC,2,FALSE))="Crown",(VLOOKUP(Table4[[#This Row],[SKU]],'All Skus'!$A:$AC,20,FALSE)),""))</f>
        <v>5.5</v>
      </c>
      <c r="Q6" s="133">
        <f>(IF((VLOOKUP(Table4[[#This Row],[SKU]],'All Skus'!$A:$AC,2,FALSE))="Crown",(VLOOKUP(Table4[[#This Row],[SKU]],'All Skus'!$A:$AC,21,FALSE)),""))</f>
        <v>19.5</v>
      </c>
      <c r="R6" s="60" t="str">
        <f>(IF((VLOOKUP(Table4[[#This Row],[SKU]],'All Skus'!$A:$AC,2,FALSE))="Crown",(VLOOKUP(Table4[[#This Row],[SKU]],'All Skus'!$A:$AC,22,FALSE)),""))</f>
        <v>CN</v>
      </c>
      <c r="S6" s="52" t="str">
        <f>(IF((VLOOKUP(Table4[[#This Row],[SKU]],'All Skus'!$A:$AC,2,FALSE))="Crown",(VLOOKUP(Table4[[#This Row],[SKU]],'All Skus'!$A:$AC,23,FALSE)),""))</f>
        <v>Non Compliant</v>
      </c>
      <c r="T6" s="211" t="str">
        <f>HYPERLINK((IF((VLOOKUP(Table4[[#This Row],[SKU]],'All Skus'!$A:$AC,2,FALSE))="Crown",(VLOOKUP(Table4[[#This Row],[SKU]],'All Skus'!$A:$AC,24,FALSE)),"")))</f>
        <v/>
      </c>
      <c r="U6" s="151">
        <v>4</v>
      </c>
      <c r="V6"/>
      <c r="W6"/>
      <c r="X6"/>
      <c r="Y6"/>
      <c r="Z6"/>
    </row>
    <row r="7" spans="1:26" s="52" customFormat="1" ht="15" customHeight="1">
      <c r="A7" s="48" t="s">
        <v>864</v>
      </c>
      <c r="B7" s="52" t="str">
        <f>(IF((VLOOKUP(Table4[[#This Row],[SKU]],'All Skus'!$A:$AC,2,FALSE))="Crown",(VLOOKUP(Table4[[#This Row],[SKU]],'All Skus'!$A:$AC,3,FALSE)),""))</f>
        <v>Commercial Series</v>
      </c>
      <c r="C7" s="52" t="str">
        <f>(IF((VLOOKUP(Table4[[#This Row],[SKU]],'All Skus'!$A:$AC,2,FALSE))="Crown",(VLOOKUP(Table4[[#This Row],[SKU]],'All Skus'!$A:$AC,4,FALSE)),""))</f>
        <v>135MA</v>
      </c>
      <c r="D7" s="60" t="str">
        <f>(IF((VLOOKUP(Table4[[#This Row],[SKU]],'All Skus'!$A:$AC,2,FALSE))="Crown",(VLOOKUP(Table4[[#This Row],[SKU]],'All Skus'!$A:$AC,5,FALSE)),""))</f>
        <v>CA</v>
      </c>
      <c r="E7" s="52">
        <f>(IF((VLOOKUP(Table4[[#This Row],[SKU]],'All Skus'!$A:$AC,2,FALSE))="Crown",(VLOOKUP(Table4[[#This Row],[SKU]],'All Skus'!$A:$AC,6,FALSE)),""))</f>
        <v>0</v>
      </c>
      <c r="F7" s="52">
        <f>(IF((VLOOKUP(Table4[[#This Row],[SKU]],'All Skus'!$A:$AC,2,FALSE))="Crown",(VLOOKUP(Table4[[#This Row],[SKU]],'All Skus'!$A:$AC,7,FALSE)),""))</f>
        <v>0</v>
      </c>
      <c r="G7" s="52" t="str">
        <f>(IF((VLOOKUP(Table4[[#This Row],[SKU]],'All Skus'!$A:$AC,2,FALSE))="Crown",(VLOOKUP(Table4[[#This Row],[SKU]],'All Skus'!$A:$AC,8,FALSE)),""))</f>
        <v>3x 35W mixer-amplifier</v>
      </c>
      <c r="H7" s="45" t="str">
        <f>(IF((VLOOKUP(Table4[[#This Row],[SKU]],'All Skus'!$A:$AC,2,FALSE))="Crown",(VLOOKUP(Table4[[#This Row],[SKU]],'All Skus'!$A:$AC,9,FALSE)),""))</f>
        <v>Three channel, 35W @ 8Ω power amplifier</v>
      </c>
      <c r="I7" s="94">
        <f>(IF((VLOOKUP(Table4[[#This Row],[SKU]],'All Skus'!$A:$AC,2,FALSE))="Crown",(VLOOKUP(Table4[[#This Row],[SKU]],'All Skus'!$A:$AC,10,FALSE)),""))</f>
        <v>255.62</v>
      </c>
      <c r="J7" s="94">
        <f>(IF((VLOOKUP(Table4[[#This Row],[SKU]],'All Skus'!$A:$AC,2,FALSE))="Crown",(VLOOKUP(Table4[[#This Row],[SKU]],'All Skus'!$A:$AC,11,FALSE)),""))</f>
        <v>243</v>
      </c>
      <c r="K7" s="60">
        <f>(IF((VLOOKUP(Table4[[#This Row],[SKU]],'All Skus'!$A:$AC,2,FALSE))="Crown",(VLOOKUP(Table4[[#This Row],[SKU]],'All Skus'!$A:$AC,15,FALSE)),""))</f>
        <v>1</v>
      </c>
      <c r="L7" s="47">
        <f>(IF((VLOOKUP(Table4[[#This Row],[SKU]],'All Skus'!$A:$AC,2,FALSE))="Crown",(VLOOKUP(Table4[[#This Row],[SKU]],'All Skus'!$A:$AC,16,FALSE)),""))</f>
        <v>871015002705</v>
      </c>
      <c r="M7" s="60">
        <f>(IF((VLOOKUP(Table4[[#This Row],[SKU]],'All Skus'!$A:$AC,2,FALSE))="Crown",(VLOOKUP(Table4[[#This Row],[SKU]],'All Skus'!$A:$AC,17,FALSE)),""))</f>
        <v>0</v>
      </c>
      <c r="N7" s="133">
        <f>(IF((VLOOKUP(Table4[[#This Row],[SKU]],'All Skus'!$A:$AC,2,FALSE))="Crown",(VLOOKUP(Table4[[#This Row],[SKU]],'All Skus'!$A:$AC,18,FALSE)),""))</f>
        <v>11.02</v>
      </c>
      <c r="O7" s="133">
        <f>(IF((VLOOKUP(Table4[[#This Row],[SKU]],'All Skus'!$A:$AC,2,FALSE))="Crown",(VLOOKUP(Table4[[#This Row],[SKU]],'All Skus'!$A:$AC,19,FALSE)),""))</f>
        <v>15.75</v>
      </c>
      <c r="P7" s="133">
        <f>(IF((VLOOKUP(Table4[[#This Row],[SKU]],'All Skus'!$A:$AC,2,FALSE))="Crown",(VLOOKUP(Table4[[#This Row],[SKU]],'All Skus'!$A:$AC,20,FALSE)),""))</f>
        <v>11.02</v>
      </c>
      <c r="Q7" s="133">
        <f>(IF((VLOOKUP(Table4[[#This Row],[SKU]],'All Skus'!$A:$AC,2,FALSE))="Crown",(VLOOKUP(Table4[[#This Row],[SKU]],'All Skus'!$A:$AC,21,FALSE)),""))</f>
        <v>7.09</v>
      </c>
      <c r="R7" s="60" t="str">
        <f>(IF((VLOOKUP(Table4[[#This Row],[SKU]],'All Skus'!$A:$AC,2,FALSE))="Crown",(VLOOKUP(Table4[[#This Row],[SKU]],'All Skus'!$A:$AC,22,FALSE)),""))</f>
        <v>CN</v>
      </c>
      <c r="S7" s="52" t="str">
        <f>(IF((VLOOKUP(Table4[[#This Row],[SKU]],'All Skus'!$A:$AC,2,FALSE))="Crown",(VLOOKUP(Table4[[#This Row],[SKU]],'All Skus'!$A:$AC,23,FALSE)),""))</f>
        <v>Non Compliant</v>
      </c>
      <c r="T7" s="211" t="str">
        <f>HYPERLINK((IF((VLOOKUP(Table4[[#This Row],[SKU]],'All Skus'!$A:$AC,2,FALSE))="Crown",(VLOOKUP(Table4[[#This Row],[SKU]],'All Skus'!$A:$AC,24,FALSE)),"")))</f>
        <v/>
      </c>
      <c r="U7" s="151">
        <v>5</v>
      </c>
      <c r="V7"/>
      <c r="W7"/>
      <c r="X7"/>
      <c r="Y7"/>
      <c r="Z7"/>
    </row>
    <row r="8" spans="1:26" s="52" customFormat="1" ht="15" customHeight="1">
      <c r="A8" s="48" t="s">
        <v>865</v>
      </c>
      <c r="B8" s="52" t="str">
        <f>(IF((VLOOKUP(Table4[[#This Row],[SKU]],'All Skus'!$A:$AC,2,FALSE))="Crown",(VLOOKUP(Table4[[#This Row],[SKU]],'All Skus'!$A:$AC,3,FALSE)),""))</f>
        <v>Commercial Series</v>
      </c>
      <c r="C8" s="52" t="str">
        <f>(IF((VLOOKUP(Table4[[#This Row],[SKU]],'All Skus'!$A:$AC,2,FALSE))="Crown",(VLOOKUP(Table4[[#This Row],[SKU]],'All Skus'!$A:$AC,4,FALSE)),""))</f>
        <v>160MA</v>
      </c>
      <c r="D8" s="60" t="str">
        <f>(IF((VLOOKUP(Table4[[#This Row],[SKU]],'All Skus'!$A:$AC,2,FALSE))="Crown",(VLOOKUP(Table4[[#This Row],[SKU]],'All Skus'!$A:$AC,5,FALSE)),""))</f>
        <v>CA</v>
      </c>
      <c r="E8" s="52">
        <f>(IF((VLOOKUP(Table4[[#This Row],[SKU]],'All Skus'!$A:$AC,2,FALSE))="Crown",(VLOOKUP(Table4[[#This Row],[SKU]],'All Skus'!$A:$AC,6,FALSE)),""))</f>
        <v>0</v>
      </c>
      <c r="F8" s="52">
        <f>(IF((VLOOKUP(Table4[[#This Row],[SKU]],'All Skus'!$A:$AC,2,FALSE))="Crown",(VLOOKUP(Table4[[#This Row],[SKU]],'All Skus'!$A:$AC,7,FALSE)),""))</f>
        <v>0</v>
      </c>
      <c r="G8" s="52" t="str">
        <f>(IF((VLOOKUP(Table4[[#This Row],[SKU]],'All Skus'!$A:$AC,2,FALSE))="Crown",(VLOOKUP(Table4[[#This Row],[SKU]],'All Skus'!$A:$AC,8,FALSE)),""))</f>
        <v>4x 60W mixer-amplifier</v>
      </c>
      <c r="H8" s="45" t="str">
        <f>(IF((VLOOKUP(Table4[[#This Row],[SKU]],'All Skus'!$A:$AC,2,FALSE))="Crown",(VLOOKUP(Table4[[#This Row],[SKU]],'All Skus'!$A:$AC,9,FALSE)),""))</f>
        <v>Four channel, 60W @ 8Ω power amplifier</v>
      </c>
      <c r="I8" s="94">
        <f>(IF((VLOOKUP(Table4[[#This Row],[SKU]],'All Skus'!$A:$AC,2,FALSE))="Crown",(VLOOKUP(Table4[[#This Row],[SKU]],'All Skus'!$A:$AC,10,FALSE)),""))</f>
        <v>417.46</v>
      </c>
      <c r="J8" s="94">
        <f>(IF((VLOOKUP(Table4[[#This Row],[SKU]],'All Skus'!$A:$AC,2,FALSE))="Crown",(VLOOKUP(Table4[[#This Row],[SKU]],'All Skus'!$A:$AC,11,FALSE)),""))</f>
        <v>391</v>
      </c>
      <c r="K8" s="60">
        <f>(IF((VLOOKUP(Table4[[#This Row],[SKU]],'All Skus'!$A:$AC,2,FALSE))="Crown",(VLOOKUP(Table4[[#This Row],[SKU]],'All Skus'!$A:$AC,15,FALSE)),""))</f>
        <v>1</v>
      </c>
      <c r="L8" s="47">
        <f>(IF((VLOOKUP(Table4[[#This Row],[SKU]],'All Skus'!$A:$AC,2,FALSE))="Crown",(VLOOKUP(Table4[[#This Row],[SKU]],'All Skus'!$A:$AC,16,FALSE)),""))</f>
        <v>871015002729</v>
      </c>
      <c r="M8" s="60">
        <f>(IF((VLOOKUP(Table4[[#This Row],[SKU]],'All Skus'!$A:$AC,2,FALSE))="Crown",(VLOOKUP(Table4[[#This Row],[SKU]],'All Skus'!$A:$AC,17,FALSE)),""))</f>
        <v>0</v>
      </c>
      <c r="N8" s="133">
        <f>(IF((VLOOKUP(Table4[[#This Row],[SKU]],'All Skus'!$A:$AC,2,FALSE))="Crown",(VLOOKUP(Table4[[#This Row],[SKU]],'All Skus'!$A:$AC,18,FALSE)),""))</f>
        <v>11.9</v>
      </c>
      <c r="O8" s="133">
        <f>(IF((VLOOKUP(Table4[[#This Row],[SKU]],'All Skus'!$A:$AC,2,FALSE))="Crown",(VLOOKUP(Table4[[#This Row],[SKU]],'All Skus'!$A:$AC,19,FALSE)),""))</f>
        <v>15.75</v>
      </c>
      <c r="P8" s="133">
        <f>(IF((VLOOKUP(Table4[[#This Row],[SKU]],'All Skus'!$A:$AC,2,FALSE))="Crown",(VLOOKUP(Table4[[#This Row],[SKU]],'All Skus'!$A:$AC,20,FALSE)),""))</f>
        <v>11.02</v>
      </c>
      <c r="Q8" s="133">
        <f>(IF((VLOOKUP(Table4[[#This Row],[SKU]],'All Skus'!$A:$AC,2,FALSE))="Crown",(VLOOKUP(Table4[[#This Row],[SKU]],'All Skus'!$A:$AC,21,FALSE)),""))</f>
        <v>7.09</v>
      </c>
      <c r="R8" s="60" t="str">
        <f>(IF((VLOOKUP(Table4[[#This Row],[SKU]],'All Skus'!$A:$AC,2,FALSE))="Crown",(VLOOKUP(Table4[[#This Row],[SKU]],'All Skus'!$A:$AC,22,FALSE)),""))</f>
        <v>CN</v>
      </c>
      <c r="S8" s="52" t="str">
        <f>(IF((VLOOKUP(Table4[[#This Row],[SKU]],'All Skus'!$A:$AC,2,FALSE))="Crown",(VLOOKUP(Table4[[#This Row],[SKU]],'All Skus'!$A:$AC,23,FALSE)),""))</f>
        <v>Non Compliant</v>
      </c>
      <c r="T8" s="211" t="str">
        <f>HYPERLINK((IF((VLOOKUP(Table4[[#This Row],[SKU]],'All Skus'!$A:$AC,2,FALSE))="Crown",(VLOOKUP(Table4[[#This Row],[SKU]],'All Skus'!$A:$AC,24,FALSE)),"")))</f>
        <v/>
      </c>
      <c r="U8" s="151">
        <v>6</v>
      </c>
      <c r="V8"/>
      <c r="W8"/>
      <c r="X8"/>
      <c r="Y8"/>
      <c r="Z8"/>
    </row>
    <row r="9" spans="1:26" s="52" customFormat="1" ht="15" customHeight="1">
      <c r="A9" s="134" t="s">
        <v>866</v>
      </c>
      <c r="B9" s="52" t="str">
        <f>(IF((VLOOKUP(Table4[[#This Row],[SKU]],'All Skus'!$A:$AC,2,FALSE))="Crown",(VLOOKUP(Table4[[#This Row],[SKU]],'All Skus'!$A:$AC,3,FALSE)),""))</f>
        <v>CDi DriveCore Series</v>
      </c>
      <c r="C9" s="52" t="str">
        <f>(IF((VLOOKUP(Table4[[#This Row],[SKU]],'All Skus'!$A:$AC,2,FALSE))="Crown",(VLOOKUP(Table4[[#This Row],[SKU]],'All Skus'!$A:$AC,4,FALSE)),""))</f>
        <v>CDi2x1200</v>
      </c>
      <c r="D9" s="60" t="str">
        <f>(IF((VLOOKUP(Table4[[#This Row],[SKU]],'All Skus'!$A:$AC,2,FALSE))="Crown",(VLOOKUP(Table4[[#This Row],[SKU]],'All Skus'!$A:$AC,5,FALSE)),""))</f>
        <v>CDI</v>
      </c>
      <c r="E9" s="52">
        <f>(IF((VLOOKUP(Table4[[#This Row],[SKU]],'All Skus'!$A:$AC,2,FALSE))="Crown",(VLOOKUP(Table4[[#This Row],[SKU]],'All Skus'!$A:$AC,6,FALSE)),""))</f>
        <v>0</v>
      </c>
      <c r="F9" s="52">
        <f>(IF((VLOOKUP(Table4[[#This Row],[SKU]],'All Skus'!$A:$AC,2,FALSE))="Crown",(VLOOKUP(Table4[[#This Row],[SKU]],'All Skus'!$A:$AC,7,FALSE)),""))</f>
        <v>0</v>
      </c>
      <c r="G9" s="52" t="str">
        <f>(IF((VLOOKUP(Table4[[#This Row],[SKU]],'All Skus'!$A:$AC,2,FALSE))="Crown",(VLOOKUP(Table4[[#This Row],[SKU]],'All Skus'!$A:$AC,8,FALSE)),""))</f>
        <v>2x1200 Power Amplifier</v>
      </c>
      <c r="H9" s="45" t="str">
        <f>(IF((VLOOKUP(Table4[[#This Row],[SKU]],'All Skus'!$A:$AC,2,FALSE))="Crown",(VLOOKUP(Table4[[#This Row],[SKU]],'All Skus'!$A:$AC,9,FALSE)),""))</f>
        <v xml:space="preserve">1200 watts per channel 2 channel amplifier, 70/100V, 4/8 ohm, digital signal processing, networked, front panel interface.  </v>
      </c>
      <c r="I9" s="94">
        <f>(IF((VLOOKUP(Table4[[#This Row],[SKU]],'All Skus'!$A:$AC,2,FALSE))="Crown",(VLOOKUP(Table4[[#This Row],[SKU]],'All Skus'!$A:$AC,10,FALSE)),""))</f>
        <v>2849.3</v>
      </c>
      <c r="J9" s="94">
        <f>(IF((VLOOKUP(Table4[[#This Row],[SKU]],'All Skus'!$A:$AC,2,FALSE))="Crown",(VLOOKUP(Table4[[#This Row],[SKU]],'All Skus'!$A:$AC,11,FALSE)),""))</f>
        <v>2849.3</v>
      </c>
      <c r="K9" s="60">
        <f>(IF((VLOOKUP(Table4[[#This Row],[SKU]],'All Skus'!$A:$AC,2,FALSE))="Crown",(VLOOKUP(Table4[[#This Row],[SKU]],'All Skus'!$A:$AC,15,FALSE)),""))</f>
        <v>1</v>
      </c>
      <c r="L9" s="47">
        <f>(IF((VLOOKUP(Table4[[#This Row],[SKU]],'All Skus'!$A:$AC,2,FALSE))="Crown",(VLOOKUP(Table4[[#This Row],[SKU]],'All Skus'!$A:$AC,16,FALSE)),""))</f>
        <v>691991006968</v>
      </c>
      <c r="M9" s="60">
        <f>(IF((VLOOKUP(Table4[[#This Row],[SKU]],'All Skus'!$A:$AC,2,FALSE))="Crown",(VLOOKUP(Table4[[#This Row],[SKU]],'All Skus'!$A:$AC,17,FALSE)),""))</f>
        <v>0</v>
      </c>
      <c r="N9" s="133">
        <f>(IF((VLOOKUP(Table4[[#This Row],[SKU]],'All Skus'!$A:$AC,2,FALSE))="Crown",(VLOOKUP(Table4[[#This Row],[SKU]],'All Skus'!$A:$AC,18,FALSE)),""))</f>
        <v>21</v>
      </c>
      <c r="O9" s="133">
        <f>(IF((VLOOKUP(Table4[[#This Row],[SKU]],'All Skus'!$A:$AC,2,FALSE))="Crown",(VLOOKUP(Table4[[#This Row],[SKU]],'All Skus'!$A:$AC,19,FALSE)),""))</f>
        <v>21</v>
      </c>
      <c r="P9" s="133">
        <f>(IF((VLOOKUP(Table4[[#This Row],[SKU]],'All Skus'!$A:$AC,2,FALSE))="Crown",(VLOOKUP(Table4[[#This Row],[SKU]],'All Skus'!$A:$AC,20,FALSE)),""))</f>
        <v>21</v>
      </c>
      <c r="Q9" s="133">
        <f>(IF((VLOOKUP(Table4[[#This Row],[SKU]],'All Skus'!$A:$AC,2,FALSE))="Crown",(VLOOKUP(Table4[[#This Row],[SKU]],'All Skus'!$A:$AC,21,FALSE)),""))</f>
        <v>8</v>
      </c>
      <c r="R9" s="60" t="str">
        <f>(IF((VLOOKUP(Table4[[#This Row],[SKU]],'All Skus'!$A:$AC,2,FALSE))="Crown",(VLOOKUP(Table4[[#This Row],[SKU]],'All Skus'!$A:$AC,22,FALSE)),""))</f>
        <v>CN</v>
      </c>
      <c r="S9" s="52" t="str">
        <f>(IF((VLOOKUP(Table4[[#This Row],[SKU]],'All Skus'!$A:$AC,2,FALSE))="Crown",(VLOOKUP(Table4[[#This Row],[SKU]],'All Skus'!$A:$AC,23,FALSE)),""))</f>
        <v>Non Compliant</v>
      </c>
      <c r="T9" s="211" t="str">
        <f>HYPERLINK((IF((VLOOKUP(Table4[[#This Row],[SKU]],'All Skus'!$A:$AC,2,FALSE))="Crown",(VLOOKUP(Table4[[#This Row],[SKU]],'All Skus'!$A:$AC,24,FALSE)),"")))</f>
        <v/>
      </c>
      <c r="U9" s="151">
        <v>7</v>
      </c>
      <c r="V9"/>
      <c r="W9"/>
      <c r="X9"/>
      <c r="Y9"/>
      <c r="Z9"/>
    </row>
    <row r="10" spans="1:26" s="52" customFormat="1" ht="15" customHeight="1">
      <c r="A10" s="134" t="s">
        <v>867</v>
      </c>
      <c r="B10" s="52" t="str">
        <f>(IF((VLOOKUP(Table4[[#This Row],[SKU]],'All Skus'!$A:$AC,2,FALSE))="Crown",(VLOOKUP(Table4[[#This Row],[SKU]],'All Skus'!$A:$AC,3,FALSE)),""))</f>
        <v>CDi DriveCore Series</v>
      </c>
      <c r="C10" s="52" t="str">
        <f>(IF((VLOOKUP(Table4[[#This Row],[SKU]],'All Skus'!$A:$AC,2,FALSE))="Crown",(VLOOKUP(Table4[[#This Row],[SKU]],'All Skus'!$A:$AC,4,FALSE)),""))</f>
        <v>CDi2x1200</v>
      </c>
      <c r="D10" s="60" t="str">
        <f>(IF((VLOOKUP(Table4[[#This Row],[SKU]],'All Skus'!$A:$AC,2,FALSE))="Crown",(VLOOKUP(Table4[[#This Row],[SKU]],'All Skus'!$A:$AC,5,FALSE)),""))</f>
        <v>CDI</v>
      </c>
      <c r="E10" s="52">
        <f>(IF((VLOOKUP(Table4[[#This Row],[SKU]],'All Skus'!$A:$AC,2,FALSE))="Crown",(VLOOKUP(Table4[[#This Row],[SKU]],'All Skus'!$A:$AC,6,FALSE)),""))</f>
        <v>0</v>
      </c>
      <c r="F10" s="52">
        <f>(IF((VLOOKUP(Table4[[#This Row],[SKU]],'All Skus'!$A:$AC,2,FALSE))="Crown",(VLOOKUP(Table4[[#This Row],[SKU]],'All Skus'!$A:$AC,7,FALSE)),""))</f>
        <v>0</v>
      </c>
      <c r="G10" s="52" t="str">
        <f>(IF((VLOOKUP(Table4[[#This Row],[SKU]],'All Skus'!$A:$AC,2,FALSE))="Crown",(VLOOKUP(Table4[[#This Row],[SKU]],'All Skus'!$A:$AC,8,FALSE)),""))</f>
        <v>2x1200 Power Amplifier</v>
      </c>
      <c r="H10" s="45" t="str">
        <f>(IF((VLOOKUP(Table4[[#This Row],[SKU]],'All Skus'!$A:$AC,2,FALSE))="Crown",(VLOOKUP(Table4[[#This Row],[SKU]],'All Skus'!$A:$AC,9,FALSE)),""))</f>
        <v xml:space="preserve">1200 watts per channel 2 channel amplifier, 70/100V, 4/8 ohm, digital signal processing, networked, front panel interface.  </v>
      </c>
      <c r="I10" s="94">
        <f>(IF((VLOOKUP(Table4[[#This Row],[SKU]],'All Skus'!$A:$AC,2,FALSE))="Crown",(VLOOKUP(Table4[[#This Row],[SKU]],'All Skus'!$A:$AC,10,FALSE)),""))</f>
        <v>2849.3</v>
      </c>
      <c r="J10" s="94">
        <f>(IF((VLOOKUP(Table4[[#This Row],[SKU]],'All Skus'!$A:$AC,2,FALSE))="Crown",(VLOOKUP(Table4[[#This Row],[SKU]],'All Skus'!$A:$AC,11,FALSE)),""))</f>
        <v>2849.3</v>
      </c>
      <c r="K10" s="60">
        <f>(IF((VLOOKUP(Table4[[#This Row],[SKU]],'All Skus'!$A:$AC,2,FALSE))="Crown",(VLOOKUP(Table4[[#This Row],[SKU]],'All Skus'!$A:$AC,15,FALSE)),""))</f>
        <v>1</v>
      </c>
      <c r="L10" s="47">
        <f>(IF((VLOOKUP(Table4[[#This Row],[SKU]],'All Skus'!$A:$AC,2,FALSE))="Crown",(VLOOKUP(Table4[[#This Row],[SKU]],'All Skus'!$A:$AC,16,FALSE)),""))</f>
        <v>691991006968</v>
      </c>
      <c r="M10" s="60">
        <f>(IF((VLOOKUP(Table4[[#This Row],[SKU]],'All Skus'!$A:$AC,2,FALSE))="Crown",(VLOOKUP(Table4[[#This Row],[SKU]],'All Skus'!$A:$AC,17,FALSE)),""))</f>
        <v>0</v>
      </c>
      <c r="N10" s="133">
        <f>(IF((VLOOKUP(Table4[[#This Row],[SKU]],'All Skus'!$A:$AC,2,FALSE))="Crown",(VLOOKUP(Table4[[#This Row],[SKU]],'All Skus'!$A:$AC,18,FALSE)),""))</f>
        <v>21</v>
      </c>
      <c r="O10" s="133">
        <f>(IF((VLOOKUP(Table4[[#This Row],[SKU]],'All Skus'!$A:$AC,2,FALSE))="Crown",(VLOOKUP(Table4[[#This Row],[SKU]],'All Skus'!$A:$AC,19,FALSE)),""))</f>
        <v>21</v>
      </c>
      <c r="P10" s="133">
        <f>(IF((VLOOKUP(Table4[[#This Row],[SKU]],'All Skus'!$A:$AC,2,FALSE))="Crown",(VLOOKUP(Table4[[#This Row],[SKU]],'All Skus'!$A:$AC,20,FALSE)),""))</f>
        <v>21</v>
      </c>
      <c r="Q10" s="133">
        <f>(IF((VLOOKUP(Table4[[#This Row],[SKU]],'All Skus'!$A:$AC,2,FALSE))="Crown",(VLOOKUP(Table4[[#This Row],[SKU]],'All Skus'!$A:$AC,21,FALSE)),""))</f>
        <v>8</v>
      </c>
      <c r="R10" s="60" t="str">
        <f>(IF((VLOOKUP(Table4[[#This Row],[SKU]],'All Skus'!$A:$AC,2,FALSE))="Crown",(VLOOKUP(Table4[[#This Row],[SKU]],'All Skus'!$A:$AC,22,FALSE)),""))</f>
        <v>CN</v>
      </c>
      <c r="S10" s="52" t="str">
        <f>(IF((VLOOKUP(Table4[[#This Row],[SKU]],'All Skus'!$A:$AC,2,FALSE))="Crown",(VLOOKUP(Table4[[#This Row],[SKU]],'All Skus'!$A:$AC,23,FALSE)),""))</f>
        <v>Non Compliant</v>
      </c>
      <c r="T10" s="211" t="str">
        <f>HYPERLINK((IF((VLOOKUP(Table4[[#This Row],[SKU]],'All Skus'!$A:$AC,2,FALSE))="Crown",(VLOOKUP(Table4[[#This Row],[SKU]],'All Skus'!$A:$AC,24,FALSE)),"")))</f>
        <v/>
      </c>
      <c r="U10" s="151">
        <v>8</v>
      </c>
      <c r="V10"/>
      <c r="W10"/>
      <c r="X10"/>
      <c r="Y10"/>
      <c r="Z10"/>
    </row>
    <row r="11" spans="1:26" s="52" customFormat="1" ht="15" customHeight="1">
      <c r="A11" s="134" t="s">
        <v>868</v>
      </c>
      <c r="B11" s="52" t="str">
        <f>(IF((VLOOKUP(Table4[[#This Row],[SKU]],'All Skus'!$A:$AC,2,FALSE))="Crown",(VLOOKUP(Table4[[#This Row],[SKU]],'All Skus'!$A:$AC,3,FALSE)),""))</f>
        <v>CDi DriveCore Series</v>
      </c>
      <c r="C11" s="52" t="str">
        <f>(IF((VLOOKUP(Table4[[#This Row],[SKU]],'All Skus'!$A:$AC,2,FALSE))="Crown",(VLOOKUP(Table4[[#This Row],[SKU]],'All Skus'!$A:$AC,4,FALSE)),""))</f>
        <v>CDi2x300</v>
      </c>
      <c r="D11" s="60" t="str">
        <f>(IF((VLOOKUP(Table4[[#This Row],[SKU]],'All Skus'!$A:$AC,2,FALSE))="Crown",(VLOOKUP(Table4[[#This Row],[SKU]],'All Skus'!$A:$AC,5,FALSE)),""))</f>
        <v>CDI</v>
      </c>
      <c r="E11" s="52">
        <f>(IF((VLOOKUP(Table4[[#This Row],[SKU]],'All Skus'!$A:$AC,2,FALSE))="Crown",(VLOOKUP(Table4[[#This Row],[SKU]],'All Skus'!$A:$AC,6,FALSE)),""))</f>
        <v>0</v>
      </c>
      <c r="F11" s="52">
        <f>(IF((VLOOKUP(Table4[[#This Row],[SKU]],'All Skus'!$A:$AC,2,FALSE))="Crown",(VLOOKUP(Table4[[#This Row],[SKU]],'All Skus'!$A:$AC,7,FALSE)),""))</f>
        <v>0</v>
      </c>
      <c r="G11" s="52" t="str">
        <f>(IF((VLOOKUP(Table4[[#This Row],[SKU]],'All Skus'!$A:$AC,2,FALSE))="Crown",(VLOOKUP(Table4[[#This Row],[SKU]],'All Skus'!$A:$AC,8,FALSE)),""))</f>
        <v>2x300W Power Amplifier</v>
      </c>
      <c r="H11" s="45" t="str">
        <f>(IF((VLOOKUP(Table4[[#This Row],[SKU]],'All Skus'!$A:$AC,2,FALSE))="Crown",(VLOOKUP(Table4[[#This Row],[SKU]],'All Skus'!$A:$AC,9,FALSE)),""))</f>
        <v>Two-channel, 300W @ 4Ω Analog Power Amplifier, 70V/100V</v>
      </c>
      <c r="I11" s="94">
        <f>(IF((VLOOKUP(Table4[[#This Row],[SKU]],'All Skus'!$A:$AC,2,FALSE))="Crown",(VLOOKUP(Table4[[#This Row],[SKU]],'All Skus'!$A:$AC,10,FALSE)),""))</f>
        <v>1512.33</v>
      </c>
      <c r="J11" s="94">
        <f>(IF((VLOOKUP(Table4[[#This Row],[SKU]],'All Skus'!$A:$AC,2,FALSE))="Crown",(VLOOKUP(Table4[[#This Row],[SKU]],'All Skus'!$A:$AC,11,FALSE)),""))</f>
        <v>1512.33</v>
      </c>
      <c r="K11" s="60">
        <f>(IF((VLOOKUP(Table4[[#This Row],[SKU]],'All Skus'!$A:$AC,2,FALSE))="Crown",(VLOOKUP(Table4[[#This Row],[SKU]],'All Skus'!$A:$AC,15,FALSE)),""))</f>
        <v>1</v>
      </c>
      <c r="L11" s="47">
        <f>(IF((VLOOKUP(Table4[[#This Row],[SKU]],'All Skus'!$A:$AC,2,FALSE))="Crown",(VLOOKUP(Table4[[#This Row],[SKU]],'All Skus'!$A:$AC,16,FALSE)),""))</f>
        <v>691991006418</v>
      </c>
      <c r="M11" s="60">
        <f>(IF((VLOOKUP(Table4[[#This Row],[SKU]],'All Skus'!$A:$AC,2,FALSE))="Crown",(VLOOKUP(Table4[[#This Row],[SKU]],'All Skus'!$A:$AC,17,FALSE)),""))</f>
        <v>0</v>
      </c>
      <c r="N11" s="133">
        <f>(IF((VLOOKUP(Table4[[#This Row],[SKU]],'All Skus'!$A:$AC,2,FALSE))="Crown",(VLOOKUP(Table4[[#This Row],[SKU]],'All Skus'!$A:$AC,18,FALSE)),""))</f>
        <v>19</v>
      </c>
      <c r="O11" s="133">
        <f>(IF((VLOOKUP(Table4[[#This Row],[SKU]],'All Skus'!$A:$AC,2,FALSE))="Crown",(VLOOKUP(Table4[[#This Row],[SKU]],'All Skus'!$A:$AC,19,FALSE)),""))</f>
        <v>19</v>
      </c>
      <c r="P11" s="133">
        <f>(IF((VLOOKUP(Table4[[#This Row],[SKU]],'All Skus'!$A:$AC,2,FALSE))="Crown",(VLOOKUP(Table4[[#This Row],[SKU]],'All Skus'!$A:$AC,20,FALSE)),""))</f>
        <v>22</v>
      </c>
      <c r="Q11" s="133">
        <f>(IF((VLOOKUP(Table4[[#This Row],[SKU]],'All Skus'!$A:$AC,2,FALSE))="Crown",(VLOOKUP(Table4[[#This Row],[SKU]],'All Skus'!$A:$AC,21,FALSE)),""))</f>
        <v>8</v>
      </c>
      <c r="R11" s="60">
        <f>(IF((VLOOKUP(Table4[[#This Row],[SKU]],'All Skus'!$A:$AC,2,FALSE))="Crown",(VLOOKUP(Table4[[#This Row],[SKU]],'All Skus'!$A:$AC,22,FALSE)),""))</f>
        <v>0</v>
      </c>
      <c r="S11" s="52" t="str">
        <f>(IF((VLOOKUP(Table4[[#This Row],[SKU]],'All Skus'!$A:$AC,2,FALSE))="Crown",(VLOOKUP(Table4[[#This Row],[SKU]],'All Skus'!$A:$AC,23,FALSE)),""))</f>
        <v>Compliant</v>
      </c>
      <c r="T11" s="211" t="str">
        <f>HYPERLINK((IF((VLOOKUP(Table4[[#This Row],[SKU]],'All Skus'!$A:$AC,2,FALSE))="Crown",(VLOOKUP(Table4[[#This Row],[SKU]],'All Skus'!$A:$AC,24,FALSE)),"")))</f>
        <v/>
      </c>
      <c r="U11" s="151">
        <v>9</v>
      </c>
      <c r="V11"/>
      <c r="W11"/>
      <c r="X11"/>
      <c r="Y11"/>
      <c r="Z11"/>
    </row>
    <row r="12" spans="1:26" s="52" customFormat="1" ht="15" customHeight="1">
      <c r="A12" s="48" t="s">
        <v>869</v>
      </c>
      <c r="B12" s="52" t="str">
        <f>(IF((VLOOKUP(Table4[[#This Row],[SKU]],'All Skus'!$A:$AC,2,FALSE))="Crown",(VLOOKUP(Table4[[#This Row],[SKU]],'All Skus'!$A:$AC,3,FALSE)),""))</f>
        <v>CDi DriveCore Series</v>
      </c>
      <c r="C12" s="52" t="str">
        <f>(IF((VLOOKUP(Table4[[#This Row],[SKU]],'All Skus'!$A:$AC,2,FALSE))="Crown",(VLOOKUP(Table4[[#This Row],[SKU]],'All Skus'!$A:$AC,4,FALSE)),""))</f>
        <v>CDi2x300</v>
      </c>
      <c r="D12" s="60" t="str">
        <f>(IF((VLOOKUP(Table4[[#This Row],[SKU]],'All Skus'!$A:$AC,2,FALSE))="Crown",(VLOOKUP(Table4[[#This Row],[SKU]],'All Skus'!$A:$AC,5,FALSE)),""))</f>
        <v>CDI</v>
      </c>
      <c r="E12" s="52">
        <f>(IF((VLOOKUP(Table4[[#This Row],[SKU]],'All Skus'!$A:$AC,2,FALSE))="Crown",(VLOOKUP(Table4[[#This Row],[SKU]],'All Skus'!$A:$AC,6,FALSE)),""))</f>
        <v>0</v>
      </c>
      <c r="F12" s="52">
        <f>(IF((VLOOKUP(Table4[[#This Row],[SKU]],'All Skus'!$A:$AC,2,FALSE))="Crown",(VLOOKUP(Table4[[#This Row],[SKU]],'All Skus'!$A:$AC,7,FALSE)),""))</f>
        <v>0</v>
      </c>
      <c r="G12" s="52" t="str">
        <f>(IF((VLOOKUP(Table4[[#This Row],[SKU]],'All Skus'!$A:$AC,2,FALSE))="Crown",(VLOOKUP(Table4[[#This Row],[SKU]],'All Skus'!$A:$AC,8,FALSE)),""))</f>
        <v>2x300W Power Amplifier</v>
      </c>
      <c r="H12" s="45" t="str">
        <f>(IF((VLOOKUP(Table4[[#This Row],[SKU]],'All Skus'!$A:$AC,2,FALSE))="Crown",(VLOOKUP(Table4[[#This Row],[SKU]],'All Skus'!$A:$AC,9,FALSE)),""))</f>
        <v>Two-channel, 300W @ 4Ω Analog Power Amplifier, 70V/100V</v>
      </c>
      <c r="I12" s="94">
        <f>(IF((VLOOKUP(Table4[[#This Row],[SKU]],'All Skus'!$A:$AC,2,FALSE))="Crown",(VLOOKUP(Table4[[#This Row],[SKU]],'All Skus'!$A:$AC,10,FALSE)),""))</f>
        <v>1512.33</v>
      </c>
      <c r="J12" s="94">
        <f>(IF((VLOOKUP(Table4[[#This Row],[SKU]],'All Skus'!$A:$AC,2,FALSE))="Crown",(VLOOKUP(Table4[[#This Row],[SKU]],'All Skus'!$A:$AC,11,FALSE)),""))</f>
        <v>1512.33</v>
      </c>
      <c r="K12" s="60">
        <f>(IF((VLOOKUP(Table4[[#This Row],[SKU]],'All Skus'!$A:$AC,2,FALSE))="Crown",(VLOOKUP(Table4[[#This Row],[SKU]],'All Skus'!$A:$AC,15,FALSE)),""))</f>
        <v>1</v>
      </c>
      <c r="L12" s="47">
        <f>(IF((VLOOKUP(Table4[[#This Row],[SKU]],'All Skus'!$A:$AC,2,FALSE))="Crown",(VLOOKUP(Table4[[#This Row],[SKU]],'All Skus'!$A:$AC,16,FALSE)),""))</f>
        <v>691991006418</v>
      </c>
      <c r="M12" s="60">
        <f>(IF((VLOOKUP(Table4[[#This Row],[SKU]],'All Skus'!$A:$AC,2,FALSE))="Crown",(VLOOKUP(Table4[[#This Row],[SKU]],'All Skus'!$A:$AC,17,FALSE)),""))</f>
        <v>0</v>
      </c>
      <c r="N12" s="133">
        <f>(IF((VLOOKUP(Table4[[#This Row],[SKU]],'All Skus'!$A:$AC,2,FALSE))="Crown",(VLOOKUP(Table4[[#This Row],[SKU]],'All Skus'!$A:$AC,18,FALSE)),""))</f>
        <v>19</v>
      </c>
      <c r="O12" s="133">
        <f>(IF((VLOOKUP(Table4[[#This Row],[SKU]],'All Skus'!$A:$AC,2,FALSE))="Crown",(VLOOKUP(Table4[[#This Row],[SKU]],'All Skus'!$A:$AC,19,FALSE)),""))</f>
        <v>19</v>
      </c>
      <c r="P12" s="133">
        <f>(IF((VLOOKUP(Table4[[#This Row],[SKU]],'All Skus'!$A:$AC,2,FALSE))="Crown",(VLOOKUP(Table4[[#This Row],[SKU]],'All Skus'!$A:$AC,20,FALSE)),""))</f>
        <v>22</v>
      </c>
      <c r="Q12" s="133">
        <f>(IF((VLOOKUP(Table4[[#This Row],[SKU]],'All Skus'!$A:$AC,2,FALSE))="Crown",(VLOOKUP(Table4[[#This Row],[SKU]],'All Skus'!$A:$AC,21,FALSE)),""))</f>
        <v>8</v>
      </c>
      <c r="R12" s="60">
        <f>(IF((VLOOKUP(Table4[[#This Row],[SKU]],'All Skus'!$A:$AC,2,FALSE))="Crown",(VLOOKUP(Table4[[#This Row],[SKU]],'All Skus'!$A:$AC,22,FALSE)),""))</f>
        <v>0</v>
      </c>
      <c r="S12" s="52" t="str">
        <f>(IF((VLOOKUP(Table4[[#This Row],[SKU]],'All Skus'!$A:$AC,2,FALSE))="Crown",(VLOOKUP(Table4[[#This Row],[SKU]],'All Skus'!$A:$AC,23,FALSE)),""))</f>
        <v>Compliant</v>
      </c>
      <c r="T12" s="211" t="str">
        <f>HYPERLINK((IF((VLOOKUP(Table4[[#This Row],[SKU]],'All Skus'!$A:$AC,2,FALSE))="Crown",(VLOOKUP(Table4[[#This Row],[SKU]],'All Skus'!$A:$AC,24,FALSE)),"")))</f>
        <v/>
      </c>
      <c r="U12" s="151">
        <v>10</v>
      </c>
      <c r="V12"/>
      <c r="W12"/>
      <c r="X12"/>
      <c r="Y12"/>
      <c r="Z12"/>
    </row>
    <row r="13" spans="1:26" s="52" customFormat="1" ht="15" customHeight="1">
      <c r="A13" s="48" t="s">
        <v>870</v>
      </c>
      <c r="B13" s="52" t="str">
        <f>(IF((VLOOKUP(Table4[[#This Row],[SKU]],'All Skus'!$A:$AC,2,FALSE))="Crown",(VLOOKUP(Table4[[#This Row],[SKU]],'All Skus'!$A:$AC,3,FALSE)),""))</f>
        <v>CDi DriveCore Series</v>
      </c>
      <c r="C13" s="52" t="str">
        <f>(IF((VLOOKUP(Table4[[#This Row],[SKU]],'All Skus'!$A:$AC,2,FALSE))="Crown",(VLOOKUP(Table4[[#This Row],[SKU]],'All Skus'!$A:$AC,4,FALSE)),""))</f>
        <v>CDi4x1200</v>
      </c>
      <c r="D13" s="60" t="str">
        <f>(IF((VLOOKUP(Table4[[#This Row],[SKU]],'All Skus'!$A:$AC,2,FALSE))="Crown",(VLOOKUP(Table4[[#This Row],[SKU]],'All Skus'!$A:$AC,5,FALSE)),""))</f>
        <v>CDI</v>
      </c>
      <c r="E13" s="52">
        <f>(IF((VLOOKUP(Table4[[#This Row],[SKU]],'All Skus'!$A:$AC,2,FALSE))="Crown",(VLOOKUP(Table4[[#This Row],[SKU]],'All Skus'!$A:$AC,6,FALSE)),""))</f>
        <v>0</v>
      </c>
      <c r="F13" s="52">
        <f>(IF((VLOOKUP(Table4[[#This Row],[SKU]],'All Skus'!$A:$AC,2,FALSE))="Crown",(VLOOKUP(Table4[[#This Row],[SKU]],'All Skus'!$A:$AC,7,FALSE)),""))</f>
        <v>0</v>
      </c>
      <c r="G13" s="52" t="str">
        <f>(IF((VLOOKUP(Table4[[#This Row],[SKU]],'All Skus'!$A:$AC,2,FALSE))="Crown",(VLOOKUP(Table4[[#This Row],[SKU]],'All Skus'!$A:$AC,8,FALSE)),""))</f>
        <v>4x1200 Power Amplifier</v>
      </c>
      <c r="H13" s="45" t="str">
        <f>(IF((VLOOKUP(Table4[[#This Row],[SKU]],'All Skus'!$A:$AC,2,FALSE))="Crown",(VLOOKUP(Table4[[#This Row],[SKU]],'All Skus'!$A:$AC,9,FALSE)),""))</f>
        <v xml:space="preserve">1200 watts per channel  4 channel amplifier, 70/100V, 4/8 ohm, digital signal processing, networked, front panel interface.  </v>
      </c>
      <c r="I13" s="94">
        <f>(IF((VLOOKUP(Table4[[#This Row],[SKU]],'All Skus'!$A:$AC,2,FALSE))="Crown",(VLOOKUP(Table4[[#This Row],[SKU]],'All Skus'!$A:$AC,10,FALSE)),""))</f>
        <v>4309.59</v>
      </c>
      <c r="J13" s="94">
        <f>(IF((VLOOKUP(Table4[[#This Row],[SKU]],'All Skus'!$A:$AC,2,FALSE))="Crown",(VLOOKUP(Table4[[#This Row],[SKU]],'All Skus'!$A:$AC,11,FALSE)),""))</f>
        <v>4309.59</v>
      </c>
      <c r="K13" s="60">
        <f>(IF((VLOOKUP(Table4[[#This Row],[SKU]],'All Skus'!$A:$AC,2,FALSE))="Crown",(VLOOKUP(Table4[[#This Row],[SKU]],'All Skus'!$A:$AC,15,FALSE)),""))</f>
        <v>1</v>
      </c>
      <c r="L13" s="47">
        <f>(IF((VLOOKUP(Table4[[#This Row],[SKU]],'All Skus'!$A:$AC,2,FALSE))="Crown",(VLOOKUP(Table4[[#This Row],[SKU]],'All Skus'!$A:$AC,16,FALSE)),""))</f>
        <v>691991006944</v>
      </c>
      <c r="M13" s="60">
        <f>(IF((VLOOKUP(Table4[[#This Row],[SKU]],'All Skus'!$A:$AC,2,FALSE))="Crown",(VLOOKUP(Table4[[#This Row],[SKU]],'All Skus'!$A:$AC,17,FALSE)),""))</f>
        <v>0</v>
      </c>
      <c r="N13" s="133">
        <f>(IF((VLOOKUP(Table4[[#This Row],[SKU]],'All Skus'!$A:$AC,2,FALSE))="Crown",(VLOOKUP(Table4[[#This Row],[SKU]],'All Skus'!$A:$AC,18,FALSE)),""))</f>
        <v>23</v>
      </c>
      <c r="O13" s="133">
        <f>(IF((VLOOKUP(Table4[[#This Row],[SKU]],'All Skus'!$A:$AC,2,FALSE))="Crown",(VLOOKUP(Table4[[#This Row],[SKU]],'All Skus'!$A:$AC,19,FALSE)),""))</f>
        <v>21</v>
      </c>
      <c r="P13" s="133">
        <f>(IF((VLOOKUP(Table4[[#This Row],[SKU]],'All Skus'!$A:$AC,2,FALSE))="Crown",(VLOOKUP(Table4[[#This Row],[SKU]],'All Skus'!$A:$AC,20,FALSE)),""))</f>
        <v>21</v>
      </c>
      <c r="Q13" s="133">
        <f>(IF((VLOOKUP(Table4[[#This Row],[SKU]],'All Skus'!$A:$AC,2,FALSE))="Crown",(VLOOKUP(Table4[[#This Row],[SKU]],'All Skus'!$A:$AC,21,FALSE)),""))</f>
        <v>8</v>
      </c>
      <c r="R13" s="60" t="str">
        <f>(IF((VLOOKUP(Table4[[#This Row],[SKU]],'All Skus'!$A:$AC,2,FALSE))="Crown",(VLOOKUP(Table4[[#This Row],[SKU]],'All Skus'!$A:$AC,22,FALSE)),""))</f>
        <v>CN</v>
      </c>
      <c r="S13" s="52" t="str">
        <f>(IF((VLOOKUP(Table4[[#This Row],[SKU]],'All Skus'!$A:$AC,2,FALSE))="Crown",(VLOOKUP(Table4[[#This Row],[SKU]],'All Skus'!$A:$AC,23,FALSE)),""))</f>
        <v>Non Compliant</v>
      </c>
      <c r="T13" s="211" t="str">
        <f>HYPERLINK((IF((VLOOKUP(Table4[[#This Row],[SKU]],'All Skus'!$A:$AC,2,FALSE))="Crown",(VLOOKUP(Table4[[#This Row],[SKU]],'All Skus'!$A:$AC,24,FALSE)),"")))</f>
        <v/>
      </c>
      <c r="U13" s="151">
        <v>11</v>
      </c>
      <c r="V13"/>
      <c r="W13"/>
      <c r="X13"/>
      <c r="Y13"/>
      <c r="Z13"/>
    </row>
    <row r="14" spans="1:26" s="52" customFormat="1" ht="15" customHeight="1">
      <c r="A14" s="48" t="s">
        <v>871</v>
      </c>
      <c r="B14" s="52" t="str">
        <f>(IF((VLOOKUP(Table4[[#This Row],[SKU]],'All Skus'!$A:$AC,2,FALSE))="Crown",(VLOOKUP(Table4[[#This Row],[SKU]],'All Skus'!$A:$AC,3,FALSE)),""))</f>
        <v>CDi DriveCore Series</v>
      </c>
      <c r="C14" s="52" t="str">
        <f>(IF((VLOOKUP(Table4[[#This Row],[SKU]],'All Skus'!$A:$AC,2,FALSE))="Crown",(VLOOKUP(Table4[[#This Row],[SKU]],'All Skus'!$A:$AC,4,FALSE)),""))</f>
        <v>CDi4x1200</v>
      </c>
      <c r="D14" s="60" t="str">
        <f>(IF((VLOOKUP(Table4[[#This Row],[SKU]],'All Skus'!$A:$AC,2,FALSE))="Crown",(VLOOKUP(Table4[[#This Row],[SKU]],'All Skus'!$A:$AC,5,FALSE)),""))</f>
        <v>CDI</v>
      </c>
      <c r="E14" s="52">
        <f>(IF((VLOOKUP(Table4[[#This Row],[SKU]],'All Skus'!$A:$AC,2,FALSE))="Crown",(VLOOKUP(Table4[[#This Row],[SKU]],'All Skus'!$A:$AC,6,FALSE)),""))</f>
        <v>0</v>
      </c>
      <c r="F14" s="52">
        <f>(IF((VLOOKUP(Table4[[#This Row],[SKU]],'All Skus'!$A:$AC,2,FALSE))="Crown",(VLOOKUP(Table4[[#This Row],[SKU]],'All Skus'!$A:$AC,7,FALSE)),""))</f>
        <v>0</v>
      </c>
      <c r="G14" s="52" t="str">
        <f>(IF((VLOOKUP(Table4[[#This Row],[SKU]],'All Skus'!$A:$AC,2,FALSE))="Crown",(VLOOKUP(Table4[[#This Row],[SKU]],'All Skus'!$A:$AC,8,FALSE)),""))</f>
        <v>4x1200 Power Amplifier</v>
      </c>
      <c r="H14" s="45" t="str">
        <f>(IF((VLOOKUP(Table4[[#This Row],[SKU]],'All Skus'!$A:$AC,2,FALSE))="Crown",(VLOOKUP(Table4[[#This Row],[SKU]],'All Skus'!$A:$AC,9,FALSE)),""))</f>
        <v xml:space="preserve">1200 watts per channel  4 channel amplifier, 70/100V, 4/8 ohm, digital signal processing, networked, front panel interface.  </v>
      </c>
      <c r="I14" s="94">
        <f>(IF((VLOOKUP(Table4[[#This Row],[SKU]],'All Skus'!$A:$AC,2,FALSE))="Crown",(VLOOKUP(Table4[[#This Row],[SKU]],'All Skus'!$A:$AC,10,FALSE)),""))</f>
        <v>4309.59</v>
      </c>
      <c r="J14" s="94">
        <f>(IF((VLOOKUP(Table4[[#This Row],[SKU]],'All Skus'!$A:$AC,2,FALSE))="Crown",(VLOOKUP(Table4[[#This Row],[SKU]],'All Skus'!$A:$AC,11,FALSE)),""))</f>
        <v>4309.59</v>
      </c>
      <c r="K14" s="60">
        <f>(IF((VLOOKUP(Table4[[#This Row],[SKU]],'All Skus'!$A:$AC,2,FALSE))="Crown",(VLOOKUP(Table4[[#This Row],[SKU]],'All Skus'!$A:$AC,15,FALSE)),""))</f>
        <v>1</v>
      </c>
      <c r="L14" s="47">
        <f>(IF((VLOOKUP(Table4[[#This Row],[SKU]],'All Skus'!$A:$AC,2,FALSE))="Crown",(VLOOKUP(Table4[[#This Row],[SKU]],'All Skus'!$A:$AC,16,FALSE)),""))</f>
        <v>691991006944</v>
      </c>
      <c r="M14" s="60">
        <f>(IF((VLOOKUP(Table4[[#This Row],[SKU]],'All Skus'!$A:$AC,2,FALSE))="Crown",(VLOOKUP(Table4[[#This Row],[SKU]],'All Skus'!$A:$AC,17,FALSE)),""))</f>
        <v>0</v>
      </c>
      <c r="N14" s="133">
        <f>(IF((VLOOKUP(Table4[[#This Row],[SKU]],'All Skus'!$A:$AC,2,FALSE))="Crown",(VLOOKUP(Table4[[#This Row],[SKU]],'All Skus'!$A:$AC,18,FALSE)),""))</f>
        <v>23</v>
      </c>
      <c r="O14" s="133">
        <f>(IF((VLOOKUP(Table4[[#This Row],[SKU]],'All Skus'!$A:$AC,2,FALSE))="Crown",(VLOOKUP(Table4[[#This Row],[SKU]],'All Skus'!$A:$AC,19,FALSE)),""))</f>
        <v>21</v>
      </c>
      <c r="P14" s="133">
        <f>(IF((VLOOKUP(Table4[[#This Row],[SKU]],'All Skus'!$A:$AC,2,FALSE))="Crown",(VLOOKUP(Table4[[#This Row],[SKU]],'All Skus'!$A:$AC,20,FALSE)),""))</f>
        <v>21</v>
      </c>
      <c r="Q14" s="133">
        <f>(IF((VLOOKUP(Table4[[#This Row],[SKU]],'All Skus'!$A:$AC,2,FALSE))="Crown",(VLOOKUP(Table4[[#This Row],[SKU]],'All Skus'!$A:$AC,21,FALSE)),""))</f>
        <v>8</v>
      </c>
      <c r="R14" s="60" t="str">
        <f>(IF((VLOOKUP(Table4[[#This Row],[SKU]],'All Skus'!$A:$AC,2,FALSE))="Crown",(VLOOKUP(Table4[[#This Row],[SKU]],'All Skus'!$A:$AC,22,FALSE)),""))</f>
        <v>CN</v>
      </c>
      <c r="S14" s="52" t="str">
        <f>(IF((VLOOKUP(Table4[[#This Row],[SKU]],'All Skus'!$A:$AC,2,FALSE))="Crown",(VLOOKUP(Table4[[#This Row],[SKU]],'All Skus'!$A:$AC,23,FALSE)),""))</f>
        <v>Non Compliant</v>
      </c>
      <c r="T14" s="211" t="str">
        <f>HYPERLINK((IF((VLOOKUP(Table4[[#This Row],[SKU]],'All Skus'!$A:$AC,2,FALSE))="Crown",(VLOOKUP(Table4[[#This Row],[SKU]],'All Skus'!$A:$AC,24,FALSE)),"")))</f>
        <v/>
      </c>
      <c r="U14" s="151">
        <v>12</v>
      </c>
      <c r="V14"/>
      <c r="W14"/>
      <c r="X14"/>
      <c r="Y14"/>
      <c r="Z14"/>
    </row>
    <row r="15" spans="1:26" s="52" customFormat="1" ht="15" customHeight="1">
      <c r="A15" s="48" t="s">
        <v>872</v>
      </c>
      <c r="B15" s="52" t="str">
        <f>(IF((VLOOKUP(Table4[[#This Row],[SKU]],'All Skus'!$A:$AC,2,FALSE))="Crown",(VLOOKUP(Table4[[#This Row],[SKU]],'All Skus'!$A:$AC,3,FALSE)),""))</f>
        <v>CDi DriveCore Series</v>
      </c>
      <c r="C15" s="52" t="str">
        <f>(IF((VLOOKUP(Table4[[#This Row],[SKU]],'All Skus'!$A:$AC,2,FALSE))="Crown",(VLOOKUP(Table4[[#This Row],[SKU]],'All Skus'!$A:$AC,4,FALSE)),""))</f>
        <v>CDi4x300</v>
      </c>
      <c r="D15" s="60" t="str">
        <f>(IF((VLOOKUP(Table4[[#This Row],[SKU]],'All Skus'!$A:$AC,2,FALSE))="Crown",(VLOOKUP(Table4[[#This Row],[SKU]],'All Skus'!$A:$AC,5,FALSE)),""))</f>
        <v>CDI</v>
      </c>
      <c r="E15" s="52">
        <f>(IF((VLOOKUP(Table4[[#This Row],[SKU]],'All Skus'!$A:$AC,2,FALSE))="Crown",(VLOOKUP(Table4[[#This Row],[SKU]],'All Skus'!$A:$AC,6,FALSE)),""))</f>
        <v>0</v>
      </c>
      <c r="F15" s="52">
        <f>(IF((VLOOKUP(Table4[[#This Row],[SKU]],'All Skus'!$A:$AC,2,FALSE))="Crown",(VLOOKUP(Table4[[#This Row],[SKU]],'All Skus'!$A:$AC,7,FALSE)),""))</f>
        <v>0</v>
      </c>
      <c r="G15" s="52" t="str">
        <f>(IF((VLOOKUP(Table4[[#This Row],[SKU]],'All Skus'!$A:$AC,2,FALSE))="Crown",(VLOOKUP(Table4[[#This Row],[SKU]],'All Skus'!$A:$AC,8,FALSE)),""))</f>
        <v>4x300W Power Amplifier</v>
      </c>
      <c r="H15" s="45" t="str">
        <f>(IF((VLOOKUP(Table4[[#This Row],[SKU]],'All Skus'!$A:$AC,2,FALSE))="Crown",(VLOOKUP(Table4[[#This Row],[SKU]],'All Skus'!$A:$AC,9,FALSE)),""))</f>
        <v>Analog input, 4 channel, 300W per output channel, Amplifier</v>
      </c>
      <c r="I15" s="94">
        <f>(IF((VLOOKUP(Table4[[#This Row],[SKU]],'All Skus'!$A:$AC,2,FALSE))="Crown",(VLOOKUP(Table4[[#This Row],[SKU]],'All Skus'!$A:$AC,10,FALSE)),""))</f>
        <v>2475.4699999999998</v>
      </c>
      <c r="J15" s="94">
        <f>(IF((VLOOKUP(Table4[[#This Row],[SKU]],'All Skus'!$A:$AC,2,FALSE))="Crown",(VLOOKUP(Table4[[#This Row],[SKU]],'All Skus'!$A:$AC,11,FALSE)),""))</f>
        <v>2475.4699999999998</v>
      </c>
      <c r="K15" s="60">
        <f>(IF((VLOOKUP(Table4[[#This Row],[SKU]],'All Skus'!$A:$AC,2,FALSE))="Crown",(VLOOKUP(Table4[[#This Row],[SKU]],'All Skus'!$A:$AC,15,FALSE)),""))</f>
        <v>1</v>
      </c>
      <c r="L15" s="47">
        <f>(IF((VLOOKUP(Table4[[#This Row],[SKU]],'All Skus'!$A:$AC,2,FALSE))="Crown",(VLOOKUP(Table4[[#This Row],[SKU]],'All Skus'!$A:$AC,16,FALSE)),""))</f>
        <v>691991006371</v>
      </c>
      <c r="M15" s="60">
        <f>(IF((VLOOKUP(Table4[[#This Row],[SKU]],'All Skus'!$A:$AC,2,FALSE))="Crown",(VLOOKUP(Table4[[#This Row],[SKU]],'All Skus'!$A:$AC,17,FALSE)),""))</f>
        <v>0</v>
      </c>
      <c r="N15" s="133">
        <f>(IF((VLOOKUP(Table4[[#This Row],[SKU]],'All Skus'!$A:$AC,2,FALSE))="Crown",(VLOOKUP(Table4[[#This Row],[SKU]],'All Skus'!$A:$AC,18,FALSE)),""))</f>
        <v>19</v>
      </c>
      <c r="O15" s="133">
        <f>(IF((VLOOKUP(Table4[[#This Row],[SKU]],'All Skus'!$A:$AC,2,FALSE))="Crown",(VLOOKUP(Table4[[#This Row],[SKU]],'All Skus'!$A:$AC,19,FALSE)),""))</f>
        <v>19</v>
      </c>
      <c r="P15" s="133">
        <f>(IF((VLOOKUP(Table4[[#This Row],[SKU]],'All Skus'!$A:$AC,2,FALSE))="Crown",(VLOOKUP(Table4[[#This Row],[SKU]],'All Skus'!$A:$AC,20,FALSE)),""))</f>
        <v>22</v>
      </c>
      <c r="Q15" s="133">
        <f>(IF((VLOOKUP(Table4[[#This Row],[SKU]],'All Skus'!$A:$AC,2,FALSE))="Crown",(VLOOKUP(Table4[[#This Row],[SKU]],'All Skus'!$A:$AC,21,FALSE)),""))</f>
        <v>8</v>
      </c>
      <c r="R15" s="60" t="str">
        <f>(IF((VLOOKUP(Table4[[#This Row],[SKU]],'All Skus'!$A:$AC,2,FALSE))="Crown",(VLOOKUP(Table4[[#This Row],[SKU]],'All Skus'!$A:$AC,22,FALSE)),""))</f>
        <v>CN</v>
      </c>
      <c r="S15" s="52" t="str">
        <f>(IF((VLOOKUP(Table4[[#This Row],[SKU]],'All Skus'!$A:$AC,2,FALSE))="Crown",(VLOOKUP(Table4[[#This Row],[SKU]],'All Skus'!$A:$AC,23,FALSE)),""))</f>
        <v>Non Compliant</v>
      </c>
      <c r="T15" s="211" t="str">
        <f>HYPERLINK((IF((VLOOKUP(Table4[[#This Row],[SKU]],'All Skus'!$A:$AC,2,FALSE))="Crown",(VLOOKUP(Table4[[#This Row],[SKU]],'All Skus'!$A:$AC,24,FALSE)),"")))</f>
        <v/>
      </c>
      <c r="U15" s="151">
        <v>13</v>
      </c>
      <c r="V15"/>
      <c r="W15"/>
      <c r="X15"/>
      <c r="Y15"/>
      <c r="Z15"/>
    </row>
    <row r="16" spans="1:26" s="52" customFormat="1" ht="15" customHeight="1">
      <c r="A16" s="48" t="s">
        <v>873</v>
      </c>
      <c r="B16" s="52" t="str">
        <f>(IF((VLOOKUP(Table4[[#This Row],[SKU]],'All Skus'!$A:$AC,2,FALSE))="Crown",(VLOOKUP(Table4[[#This Row],[SKU]],'All Skus'!$A:$AC,3,FALSE)),""))</f>
        <v>CDi DriveCore Series</v>
      </c>
      <c r="C16" s="52" t="str">
        <f>(IF((VLOOKUP(Table4[[#This Row],[SKU]],'All Skus'!$A:$AC,2,FALSE))="Crown",(VLOOKUP(Table4[[#This Row],[SKU]],'All Skus'!$A:$AC,4,FALSE)),""))</f>
        <v>CDi4x300</v>
      </c>
      <c r="D16" s="60" t="str">
        <f>(IF((VLOOKUP(Table4[[#This Row],[SKU]],'All Skus'!$A:$AC,2,FALSE))="Crown",(VLOOKUP(Table4[[#This Row],[SKU]],'All Skus'!$A:$AC,5,FALSE)),""))</f>
        <v>CDI</v>
      </c>
      <c r="E16" s="52">
        <f>(IF((VLOOKUP(Table4[[#This Row],[SKU]],'All Skus'!$A:$AC,2,FALSE))="Crown",(VLOOKUP(Table4[[#This Row],[SKU]],'All Skus'!$A:$AC,6,FALSE)),""))</f>
        <v>0</v>
      </c>
      <c r="F16" s="52">
        <f>(IF((VLOOKUP(Table4[[#This Row],[SKU]],'All Skus'!$A:$AC,2,FALSE))="Crown",(VLOOKUP(Table4[[#This Row],[SKU]],'All Skus'!$A:$AC,7,FALSE)),""))</f>
        <v>0</v>
      </c>
      <c r="G16" s="52" t="str">
        <f>(IF((VLOOKUP(Table4[[#This Row],[SKU]],'All Skus'!$A:$AC,2,FALSE))="Crown",(VLOOKUP(Table4[[#This Row],[SKU]],'All Skus'!$A:$AC,8,FALSE)),""))</f>
        <v>4x300W Power Amplifier</v>
      </c>
      <c r="H16" s="45" t="str">
        <f>(IF((VLOOKUP(Table4[[#This Row],[SKU]],'All Skus'!$A:$AC,2,FALSE))="Crown",(VLOOKUP(Table4[[#This Row],[SKU]],'All Skus'!$A:$AC,9,FALSE)),""))</f>
        <v>Analog input, 4 channel, 300W per output channel, Amplifier</v>
      </c>
      <c r="I16" s="94">
        <f>(IF((VLOOKUP(Table4[[#This Row],[SKU]],'All Skus'!$A:$AC,2,FALSE))="Crown",(VLOOKUP(Table4[[#This Row],[SKU]],'All Skus'!$A:$AC,10,FALSE)),""))</f>
        <v>2475.4699999999998</v>
      </c>
      <c r="J16" s="94">
        <f>(IF((VLOOKUP(Table4[[#This Row],[SKU]],'All Skus'!$A:$AC,2,FALSE))="Crown",(VLOOKUP(Table4[[#This Row],[SKU]],'All Skus'!$A:$AC,11,FALSE)),""))</f>
        <v>2475.4699999999998</v>
      </c>
      <c r="K16" s="60">
        <f>(IF((VLOOKUP(Table4[[#This Row],[SKU]],'All Skus'!$A:$AC,2,FALSE))="Crown",(VLOOKUP(Table4[[#This Row],[SKU]],'All Skus'!$A:$AC,15,FALSE)),""))</f>
        <v>1</v>
      </c>
      <c r="L16" s="47">
        <f>(IF((VLOOKUP(Table4[[#This Row],[SKU]],'All Skus'!$A:$AC,2,FALSE))="Crown",(VLOOKUP(Table4[[#This Row],[SKU]],'All Skus'!$A:$AC,16,FALSE)),""))</f>
        <v>691991006371</v>
      </c>
      <c r="M16" s="60">
        <f>(IF((VLOOKUP(Table4[[#This Row],[SKU]],'All Skus'!$A:$AC,2,FALSE))="Crown",(VLOOKUP(Table4[[#This Row],[SKU]],'All Skus'!$A:$AC,17,FALSE)),""))</f>
        <v>0</v>
      </c>
      <c r="N16" s="133">
        <f>(IF((VLOOKUP(Table4[[#This Row],[SKU]],'All Skus'!$A:$AC,2,FALSE))="Crown",(VLOOKUP(Table4[[#This Row],[SKU]],'All Skus'!$A:$AC,18,FALSE)),""))</f>
        <v>19</v>
      </c>
      <c r="O16" s="133">
        <f>(IF((VLOOKUP(Table4[[#This Row],[SKU]],'All Skus'!$A:$AC,2,FALSE))="Crown",(VLOOKUP(Table4[[#This Row],[SKU]],'All Skus'!$A:$AC,19,FALSE)),""))</f>
        <v>19</v>
      </c>
      <c r="P16" s="133">
        <f>(IF((VLOOKUP(Table4[[#This Row],[SKU]],'All Skus'!$A:$AC,2,FALSE))="Crown",(VLOOKUP(Table4[[#This Row],[SKU]],'All Skus'!$A:$AC,20,FALSE)),""))</f>
        <v>22</v>
      </c>
      <c r="Q16" s="133">
        <f>(IF((VLOOKUP(Table4[[#This Row],[SKU]],'All Skus'!$A:$AC,2,FALSE))="Crown",(VLOOKUP(Table4[[#This Row],[SKU]],'All Skus'!$A:$AC,21,FALSE)),""))</f>
        <v>8</v>
      </c>
      <c r="R16" s="60" t="str">
        <f>(IF((VLOOKUP(Table4[[#This Row],[SKU]],'All Skus'!$A:$AC,2,FALSE))="Crown",(VLOOKUP(Table4[[#This Row],[SKU]],'All Skus'!$A:$AC,22,FALSE)),""))</f>
        <v>CN</v>
      </c>
      <c r="S16" s="52" t="str">
        <f>(IF((VLOOKUP(Table4[[#This Row],[SKU]],'All Skus'!$A:$AC,2,FALSE))="Crown",(VLOOKUP(Table4[[#This Row],[SKU]],'All Skus'!$A:$AC,23,FALSE)),""))</f>
        <v>Non Compliant</v>
      </c>
      <c r="T16" s="211" t="str">
        <f>HYPERLINK((IF((VLOOKUP(Table4[[#This Row],[SKU]],'All Skus'!$A:$AC,2,FALSE))="Crown",(VLOOKUP(Table4[[#This Row],[SKU]],'All Skus'!$A:$AC,24,FALSE)),"")))</f>
        <v/>
      </c>
      <c r="U16" s="151">
        <v>14</v>
      </c>
      <c r="V16"/>
      <c r="W16"/>
      <c r="X16"/>
      <c r="Y16"/>
      <c r="Z16"/>
    </row>
    <row r="17" spans="1:26" s="52" customFormat="1" ht="15" customHeight="1">
      <c r="A17" s="48" t="s">
        <v>874</v>
      </c>
      <c r="B17" s="52" t="str">
        <f>(IF((VLOOKUP(Table4[[#This Row],[SKU]],'All Skus'!$A:$AC,2,FALSE))="Crown",(VLOOKUP(Table4[[#This Row],[SKU]],'All Skus'!$A:$AC,3,FALSE)),""))</f>
        <v>CDi DriveCore Series</v>
      </c>
      <c r="C17" s="52" t="str">
        <f>(IF((VLOOKUP(Table4[[#This Row],[SKU]],'All Skus'!$A:$AC,2,FALSE))="Crown",(VLOOKUP(Table4[[#This Row],[SKU]],'All Skus'!$A:$AC,4,FALSE)),""))</f>
        <v>CDi4x600BL</v>
      </c>
      <c r="D17" s="60" t="str">
        <f>(IF((VLOOKUP(Table4[[#This Row],[SKU]],'All Skus'!$A:$AC,2,FALSE))="Crown",(VLOOKUP(Table4[[#This Row],[SKU]],'All Skus'!$A:$AC,5,FALSE)),""))</f>
        <v>CDI</v>
      </c>
      <c r="E17" s="52">
        <f>(IF((VLOOKUP(Table4[[#This Row],[SKU]],'All Skus'!$A:$AC,2,FALSE))="Crown",(VLOOKUP(Table4[[#This Row],[SKU]],'All Skus'!$A:$AC,6,FALSE)),""))</f>
        <v>0</v>
      </c>
      <c r="F17" s="52">
        <f>(IF((VLOOKUP(Table4[[#This Row],[SKU]],'All Skus'!$A:$AC,2,FALSE))="Crown",(VLOOKUP(Table4[[#This Row],[SKU]],'All Skus'!$A:$AC,7,FALSE)),""))</f>
        <v>0</v>
      </c>
      <c r="G17" s="52" t="str">
        <f>(IF((VLOOKUP(Table4[[#This Row],[SKU]],'All Skus'!$A:$AC,2,FALSE))="Crown",(VLOOKUP(Table4[[#This Row],[SKU]],'All Skus'!$A:$AC,8,FALSE)),""))</f>
        <v>4x600 Power Amplifier with BLU link</v>
      </c>
      <c r="H17" s="45" t="str">
        <f>(IF((VLOOKUP(Table4[[#This Row],[SKU]],'All Skus'!$A:$AC,2,FALSE))="Crown",(VLOOKUP(Table4[[#This Row],[SKU]],'All Skus'!$A:$AC,9,FALSE)),""))</f>
        <v xml:space="preserve">600 watts per channel  4 channel amplifier, 70/100V, 4/8 ohm, digital signal processing, networked, front panel interface, with BLU link . </v>
      </c>
      <c r="I17" s="94">
        <f>(IF((VLOOKUP(Table4[[#This Row],[SKU]],'All Skus'!$A:$AC,2,FALSE))="Crown",(VLOOKUP(Table4[[#This Row],[SKU]],'All Skus'!$A:$AC,10,FALSE)),""))</f>
        <v>3767.24</v>
      </c>
      <c r="J17" s="94">
        <f>(IF((VLOOKUP(Table4[[#This Row],[SKU]],'All Skus'!$A:$AC,2,FALSE))="Crown",(VLOOKUP(Table4[[#This Row],[SKU]],'All Skus'!$A:$AC,11,FALSE)),""))</f>
        <v>3767</v>
      </c>
      <c r="K17" s="60">
        <f>(IF((VLOOKUP(Table4[[#This Row],[SKU]],'All Skus'!$A:$AC,2,FALSE))="Crown",(VLOOKUP(Table4[[#This Row],[SKU]],'All Skus'!$A:$AC,15,FALSE)),""))</f>
        <v>1</v>
      </c>
      <c r="L17" s="47">
        <f>(IF((VLOOKUP(Table4[[#This Row],[SKU]],'All Skus'!$A:$AC,2,FALSE))="Crown",(VLOOKUP(Table4[[#This Row],[SKU]],'All Skus'!$A:$AC,16,FALSE)),""))</f>
        <v>691991006975</v>
      </c>
      <c r="M17" s="60">
        <f>(IF((VLOOKUP(Table4[[#This Row],[SKU]],'All Skus'!$A:$AC,2,FALSE))="Crown",(VLOOKUP(Table4[[#This Row],[SKU]],'All Skus'!$A:$AC,17,FALSE)),""))</f>
        <v>0</v>
      </c>
      <c r="N17" s="133">
        <f>(IF((VLOOKUP(Table4[[#This Row],[SKU]],'All Skus'!$A:$AC,2,FALSE))="Crown",(VLOOKUP(Table4[[#This Row],[SKU]],'All Skus'!$A:$AC,18,FALSE)),""))</f>
        <v>22</v>
      </c>
      <c r="O17" s="133">
        <f>(IF((VLOOKUP(Table4[[#This Row],[SKU]],'All Skus'!$A:$AC,2,FALSE))="Crown",(VLOOKUP(Table4[[#This Row],[SKU]],'All Skus'!$A:$AC,19,FALSE)),""))</f>
        <v>22</v>
      </c>
      <c r="P17" s="133">
        <f>(IF((VLOOKUP(Table4[[#This Row],[SKU]],'All Skus'!$A:$AC,2,FALSE))="Crown",(VLOOKUP(Table4[[#This Row],[SKU]],'All Skus'!$A:$AC,20,FALSE)),""))</f>
        <v>18</v>
      </c>
      <c r="Q17" s="133">
        <f>(IF((VLOOKUP(Table4[[#This Row],[SKU]],'All Skus'!$A:$AC,2,FALSE))="Crown",(VLOOKUP(Table4[[#This Row],[SKU]],'All Skus'!$A:$AC,21,FALSE)),""))</f>
        <v>8</v>
      </c>
      <c r="R17" s="60" t="str">
        <f>(IF((VLOOKUP(Table4[[#This Row],[SKU]],'All Skus'!$A:$AC,2,FALSE))="Crown",(VLOOKUP(Table4[[#This Row],[SKU]],'All Skus'!$A:$AC,22,FALSE)),""))</f>
        <v>MY</v>
      </c>
      <c r="S17" s="52" t="str">
        <f>(IF((VLOOKUP(Table4[[#This Row],[SKU]],'All Skus'!$A:$AC,2,FALSE))="Crown",(VLOOKUP(Table4[[#This Row],[SKU]],'All Skus'!$A:$AC,23,FALSE)),""))</f>
        <v>Compliant</v>
      </c>
      <c r="T17" s="211" t="str">
        <f>HYPERLINK((IF((VLOOKUP(Table4[[#This Row],[SKU]],'All Skus'!$A:$AC,2,FALSE))="Crown",(VLOOKUP(Table4[[#This Row],[SKU]],'All Skus'!$A:$AC,24,FALSE)),"")))</f>
        <v/>
      </c>
      <c r="U17" s="151">
        <v>15</v>
      </c>
      <c r="V17"/>
      <c r="W17"/>
      <c r="X17"/>
      <c r="Y17"/>
      <c r="Z17"/>
    </row>
    <row r="18" spans="1:26" s="52" customFormat="1" ht="15" customHeight="1">
      <c r="A18" s="48" t="s">
        <v>875</v>
      </c>
      <c r="B18" s="52" t="str">
        <f>(IF((VLOOKUP(Table4[[#This Row],[SKU]],'All Skus'!$A:$AC,2,FALSE))="Crown",(VLOOKUP(Table4[[#This Row],[SKU]],'All Skus'!$A:$AC,3,FALSE)),""))</f>
        <v>CDi DriveCore Series</v>
      </c>
      <c r="C18" s="52" t="str">
        <f>(IF((VLOOKUP(Table4[[#This Row],[SKU]],'All Skus'!$A:$AC,2,FALSE))="Crown",(VLOOKUP(Table4[[#This Row],[SKU]],'All Skus'!$A:$AC,4,FALSE)),""))</f>
        <v>CDi4x600BL</v>
      </c>
      <c r="D18" s="60" t="str">
        <f>(IF((VLOOKUP(Table4[[#This Row],[SKU]],'All Skus'!$A:$AC,2,FALSE))="Crown",(VLOOKUP(Table4[[#This Row],[SKU]],'All Skus'!$A:$AC,5,FALSE)),""))</f>
        <v>CDI</v>
      </c>
      <c r="E18" s="52">
        <f>(IF((VLOOKUP(Table4[[#This Row],[SKU]],'All Skus'!$A:$AC,2,FALSE))="Crown",(VLOOKUP(Table4[[#This Row],[SKU]],'All Skus'!$A:$AC,6,FALSE)),""))</f>
        <v>0</v>
      </c>
      <c r="F18" s="52">
        <f>(IF((VLOOKUP(Table4[[#This Row],[SKU]],'All Skus'!$A:$AC,2,FALSE))="Crown",(VLOOKUP(Table4[[#This Row],[SKU]],'All Skus'!$A:$AC,7,FALSE)),""))</f>
        <v>0</v>
      </c>
      <c r="G18" s="52" t="str">
        <f>(IF((VLOOKUP(Table4[[#This Row],[SKU]],'All Skus'!$A:$AC,2,FALSE))="Crown",(VLOOKUP(Table4[[#This Row],[SKU]],'All Skus'!$A:$AC,8,FALSE)),""))</f>
        <v>4x600 Power Amplifier with BLU link</v>
      </c>
      <c r="H18" s="45" t="str">
        <f>(IF((VLOOKUP(Table4[[#This Row],[SKU]],'All Skus'!$A:$AC,2,FALSE))="Crown",(VLOOKUP(Table4[[#This Row],[SKU]],'All Skus'!$A:$AC,9,FALSE)),""))</f>
        <v xml:space="preserve">600 watts per channel  4 channel amplifier, 70/100V, 4/8 ohm, digital signal processing, networked, front panel interface, with BLU link . </v>
      </c>
      <c r="I18" s="94">
        <f>(IF((VLOOKUP(Table4[[#This Row],[SKU]],'All Skus'!$A:$AC,2,FALSE))="Crown",(VLOOKUP(Table4[[#This Row],[SKU]],'All Skus'!$A:$AC,10,FALSE)),""))</f>
        <v>3767.24</v>
      </c>
      <c r="J18" s="94">
        <f>(IF((VLOOKUP(Table4[[#This Row],[SKU]],'All Skus'!$A:$AC,2,FALSE))="Crown",(VLOOKUP(Table4[[#This Row],[SKU]],'All Skus'!$A:$AC,11,FALSE)),""))</f>
        <v>3767</v>
      </c>
      <c r="K18" s="60">
        <f>(IF((VLOOKUP(Table4[[#This Row],[SKU]],'All Skus'!$A:$AC,2,FALSE))="Crown",(VLOOKUP(Table4[[#This Row],[SKU]],'All Skus'!$A:$AC,15,FALSE)),""))</f>
        <v>1</v>
      </c>
      <c r="L18" s="47">
        <f>(IF((VLOOKUP(Table4[[#This Row],[SKU]],'All Skus'!$A:$AC,2,FALSE))="Crown",(VLOOKUP(Table4[[#This Row],[SKU]],'All Skus'!$A:$AC,16,FALSE)),""))</f>
        <v>691991006975</v>
      </c>
      <c r="M18" s="60">
        <f>(IF((VLOOKUP(Table4[[#This Row],[SKU]],'All Skus'!$A:$AC,2,FALSE))="Crown",(VLOOKUP(Table4[[#This Row],[SKU]],'All Skus'!$A:$AC,17,FALSE)),""))</f>
        <v>0</v>
      </c>
      <c r="N18" s="133">
        <f>(IF((VLOOKUP(Table4[[#This Row],[SKU]],'All Skus'!$A:$AC,2,FALSE))="Crown",(VLOOKUP(Table4[[#This Row],[SKU]],'All Skus'!$A:$AC,18,FALSE)),""))</f>
        <v>22</v>
      </c>
      <c r="O18" s="133">
        <f>(IF((VLOOKUP(Table4[[#This Row],[SKU]],'All Skus'!$A:$AC,2,FALSE))="Crown",(VLOOKUP(Table4[[#This Row],[SKU]],'All Skus'!$A:$AC,19,FALSE)),""))</f>
        <v>22</v>
      </c>
      <c r="P18" s="133">
        <f>(IF((VLOOKUP(Table4[[#This Row],[SKU]],'All Skus'!$A:$AC,2,FALSE))="Crown",(VLOOKUP(Table4[[#This Row],[SKU]],'All Skus'!$A:$AC,20,FALSE)),""))</f>
        <v>18</v>
      </c>
      <c r="Q18" s="133">
        <f>(IF((VLOOKUP(Table4[[#This Row],[SKU]],'All Skus'!$A:$AC,2,FALSE))="Crown",(VLOOKUP(Table4[[#This Row],[SKU]],'All Skus'!$A:$AC,21,FALSE)),""))</f>
        <v>8</v>
      </c>
      <c r="R18" s="60" t="str">
        <f>(IF((VLOOKUP(Table4[[#This Row],[SKU]],'All Skus'!$A:$AC,2,FALSE))="Crown",(VLOOKUP(Table4[[#This Row],[SKU]],'All Skus'!$A:$AC,22,FALSE)),""))</f>
        <v>MY</v>
      </c>
      <c r="S18" s="52" t="str">
        <f>(IF((VLOOKUP(Table4[[#This Row],[SKU]],'All Skus'!$A:$AC,2,FALSE))="Crown",(VLOOKUP(Table4[[#This Row],[SKU]],'All Skus'!$A:$AC,23,FALSE)),""))</f>
        <v>Compliant</v>
      </c>
      <c r="T18" s="211" t="str">
        <f>HYPERLINK((IF((VLOOKUP(Table4[[#This Row],[SKU]],'All Skus'!$A:$AC,2,FALSE))="Crown",(VLOOKUP(Table4[[#This Row],[SKU]],'All Skus'!$A:$AC,24,FALSE)),"")))</f>
        <v/>
      </c>
      <c r="U18" s="151">
        <v>16</v>
      </c>
      <c r="V18"/>
      <c r="W18"/>
      <c r="X18"/>
      <c r="Y18"/>
      <c r="Z18"/>
    </row>
    <row r="19" spans="1:26" s="52" customFormat="1" ht="15" customHeight="1">
      <c r="A19" s="48" t="s">
        <v>876</v>
      </c>
      <c r="B19" s="52" t="str">
        <f>(IF((VLOOKUP(Table4[[#This Row],[SKU]],'All Skus'!$A:$AC,2,FALSE))="Crown",(VLOOKUP(Table4[[#This Row],[SKU]],'All Skus'!$A:$AC,3,FALSE)),""))</f>
        <v>CDi Series</v>
      </c>
      <c r="C19" s="52" t="str">
        <f>(IF((VLOOKUP(Table4[[#This Row],[SKU]],'All Skus'!$A:$AC,2,FALSE))="Crown",(VLOOKUP(Table4[[#This Row],[SKU]],'All Skus'!$A:$AC,4,FALSE)),""))</f>
        <v>CDi1000</v>
      </c>
      <c r="D19" s="60" t="str">
        <f>(IF((VLOOKUP(Table4[[#This Row],[SKU]],'All Skus'!$A:$AC,2,FALSE))="Crown",(VLOOKUP(Table4[[#This Row],[SKU]],'All Skus'!$A:$AC,5,FALSE)),""))</f>
        <v>CDI</v>
      </c>
      <c r="E19" s="52">
        <f>(IF((VLOOKUP(Table4[[#This Row],[SKU]],'All Skus'!$A:$AC,2,FALSE))="Crown",(VLOOKUP(Table4[[#This Row],[SKU]],'All Skus'!$A:$AC,6,FALSE)),""))</f>
        <v>0</v>
      </c>
      <c r="F19" s="52">
        <f>(IF((VLOOKUP(Table4[[#This Row],[SKU]],'All Skus'!$A:$AC,2,FALSE))="Crown",(VLOOKUP(Table4[[#This Row],[SKU]],'All Skus'!$A:$AC,7,FALSE)),""))</f>
        <v>0</v>
      </c>
      <c r="G19" s="52" t="str">
        <f>(IF((VLOOKUP(Table4[[#This Row],[SKU]],'All Skus'!$A:$AC,2,FALSE))="Crown",(VLOOKUP(Table4[[#This Row],[SKU]],'All Skus'!$A:$AC,8,FALSE)),""))</f>
        <v>2X500W Power Amplifier</v>
      </c>
      <c r="H19" s="45" t="str">
        <f>(IF((VLOOKUP(Table4[[#This Row],[SKU]],'All Skus'!$A:$AC,2,FALSE))="Crown",(VLOOKUP(Table4[[#This Row],[SKU]],'All Skus'!$A:$AC,9,FALSE)),""))</f>
        <v>Two-channel, 500W @ 4Ω, 70V/100V/140V Power Amplifier</v>
      </c>
      <c r="I19" s="94">
        <f>(IF((VLOOKUP(Table4[[#This Row],[SKU]],'All Skus'!$A:$AC,2,FALSE))="Crown",(VLOOKUP(Table4[[#This Row],[SKU]],'All Skus'!$A:$AC,10,FALSE)),""))</f>
        <v>1456.73</v>
      </c>
      <c r="J19" s="94">
        <f>(IF((VLOOKUP(Table4[[#This Row],[SKU]],'All Skus'!$A:$AC,2,FALSE))="Crown",(VLOOKUP(Table4[[#This Row],[SKU]],'All Skus'!$A:$AC,11,FALSE)),""))</f>
        <v>1456.73</v>
      </c>
      <c r="K19" s="60">
        <f>(IF((VLOOKUP(Table4[[#This Row],[SKU]],'All Skus'!$A:$AC,2,FALSE))="Crown",(VLOOKUP(Table4[[#This Row],[SKU]],'All Skus'!$A:$AC,15,FALSE)),""))</f>
        <v>1</v>
      </c>
      <c r="L19" s="47">
        <f>(IF((VLOOKUP(Table4[[#This Row],[SKU]],'All Skus'!$A:$AC,2,FALSE))="Crown",(VLOOKUP(Table4[[#This Row],[SKU]],'All Skus'!$A:$AC,16,FALSE)),""))</f>
        <v>691991013720</v>
      </c>
      <c r="M19" s="60">
        <f>(IF((VLOOKUP(Table4[[#This Row],[SKU]],'All Skus'!$A:$AC,2,FALSE))="Crown",(VLOOKUP(Table4[[#This Row],[SKU]],'All Skus'!$A:$AC,17,FALSE)),""))</f>
        <v>0</v>
      </c>
      <c r="N19" s="133">
        <f>(IF((VLOOKUP(Table4[[#This Row],[SKU]],'All Skus'!$A:$AC,2,FALSE))="Crown",(VLOOKUP(Table4[[#This Row],[SKU]],'All Skus'!$A:$AC,18,FALSE)),""))</f>
        <v>22.93</v>
      </c>
      <c r="O19" s="133">
        <f>(IF((VLOOKUP(Table4[[#This Row],[SKU]],'All Skus'!$A:$AC,2,FALSE))="Crown",(VLOOKUP(Table4[[#This Row],[SKU]],'All Skus'!$A:$AC,19,FALSE)),""))</f>
        <v>22.44</v>
      </c>
      <c r="P19" s="133">
        <f>(IF((VLOOKUP(Table4[[#This Row],[SKU]],'All Skus'!$A:$AC,2,FALSE))="Crown",(VLOOKUP(Table4[[#This Row],[SKU]],'All Skus'!$A:$AC,20,FALSE)),""))</f>
        <v>19.690000000000001</v>
      </c>
      <c r="Q19" s="133">
        <f>(IF((VLOOKUP(Table4[[#This Row],[SKU]],'All Skus'!$A:$AC,2,FALSE))="Crown",(VLOOKUP(Table4[[#This Row],[SKU]],'All Skus'!$A:$AC,21,FALSE)),""))</f>
        <v>7.09</v>
      </c>
      <c r="R19" s="60" t="str">
        <f>(IF((VLOOKUP(Table4[[#This Row],[SKU]],'All Skus'!$A:$AC,2,FALSE))="Crown",(VLOOKUP(Table4[[#This Row],[SKU]],'All Skus'!$A:$AC,22,FALSE)),""))</f>
        <v>CN</v>
      </c>
      <c r="S19" s="52" t="str">
        <f>(IF((VLOOKUP(Table4[[#This Row],[SKU]],'All Skus'!$A:$AC,2,FALSE))="Crown",(VLOOKUP(Table4[[#This Row],[SKU]],'All Skus'!$A:$AC,23,FALSE)),""))</f>
        <v>Non Compliant</v>
      </c>
      <c r="T19" s="211" t="str">
        <f>HYPERLINK((IF((VLOOKUP(Table4[[#This Row],[SKU]],'All Skus'!$A:$AC,2,FALSE))="Crown",(VLOOKUP(Table4[[#This Row],[SKU]],'All Skus'!$A:$AC,24,FALSE)),"")))</f>
        <v/>
      </c>
      <c r="U19" s="151">
        <v>17</v>
      </c>
      <c r="V19"/>
      <c r="W19"/>
      <c r="X19"/>
      <c r="Y19"/>
      <c r="Z19"/>
    </row>
    <row r="20" spans="1:26" s="52" customFormat="1" ht="15" customHeight="1">
      <c r="A20" s="48" t="s">
        <v>877</v>
      </c>
      <c r="B20" s="52" t="str">
        <f>(IF((VLOOKUP(Table4[[#This Row],[SKU]],'All Skus'!$A:$AC,2,FALSE))="Crown",(VLOOKUP(Table4[[#This Row],[SKU]],'All Skus'!$A:$AC,3,FALSE)),""))</f>
        <v>CDi Series</v>
      </c>
      <c r="C20" s="52" t="str">
        <f>(IF((VLOOKUP(Table4[[#This Row],[SKU]],'All Skus'!$A:$AC,2,FALSE))="Crown",(VLOOKUP(Table4[[#This Row],[SKU]],'All Skus'!$A:$AC,4,FALSE)),""))</f>
        <v>CDi1000</v>
      </c>
      <c r="D20" s="60" t="str">
        <f>(IF((VLOOKUP(Table4[[#This Row],[SKU]],'All Skus'!$A:$AC,2,FALSE))="Crown",(VLOOKUP(Table4[[#This Row],[SKU]],'All Skus'!$A:$AC,5,FALSE)),""))</f>
        <v>CDI</v>
      </c>
      <c r="E20" s="52">
        <f>(IF((VLOOKUP(Table4[[#This Row],[SKU]],'All Skus'!$A:$AC,2,FALSE))="Crown",(VLOOKUP(Table4[[#This Row],[SKU]],'All Skus'!$A:$AC,6,FALSE)),""))</f>
        <v>0</v>
      </c>
      <c r="F20" s="52">
        <f>(IF((VLOOKUP(Table4[[#This Row],[SKU]],'All Skus'!$A:$AC,2,FALSE))="Crown",(VLOOKUP(Table4[[#This Row],[SKU]],'All Skus'!$A:$AC,7,FALSE)),""))</f>
        <v>0</v>
      </c>
      <c r="G20" s="52" t="str">
        <f>(IF((VLOOKUP(Table4[[#This Row],[SKU]],'All Skus'!$A:$AC,2,FALSE))="Crown",(VLOOKUP(Table4[[#This Row],[SKU]],'All Skus'!$A:$AC,8,FALSE)),""))</f>
        <v>2X500W Power Amplifier</v>
      </c>
      <c r="H20" s="45" t="str">
        <f>(IF((VLOOKUP(Table4[[#This Row],[SKU]],'All Skus'!$A:$AC,2,FALSE))="Crown",(VLOOKUP(Table4[[#This Row],[SKU]],'All Skus'!$A:$AC,9,FALSE)),""))</f>
        <v>Two-channel, 500W @ 4Ω, 70V/100V/140V Power Amplifier</v>
      </c>
      <c r="I20" s="94">
        <f>(IF((VLOOKUP(Table4[[#This Row],[SKU]],'All Skus'!$A:$AC,2,FALSE))="Crown",(VLOOKUP(Table4[[#This Row],[SKU]],'All Skus'!$A:$AC,10,FALSE)),""))</f>
        <v>1456.73</v>
      </c>
      <c r="J20" s="94">
        <f>(IF((VLOOKUP(Table4[[#This Row],[SKU]],'All Skus'!$A:$AC,2,FALSE))="Crown",(VLOOKUP(Table4[[#This Row],[SKU]],'All Skus'!$A:$AC,11,FALSE)),""))</f>
        <v>1456.73</v>
      </c>
      <c r="K20" s="60">
        <f>(IF((VLOOKUP(Table4[[#This Row],[SKU]],'All Skus'!$A:$AC,2,FALSE))="Crown",(VLOOKUP(Table4[[#This Row],[SKU]],'All Skus'!$A:$AC,15,FALSE)),""))</f>
        <v>1</v>
      </c>
      <c r="L20" s="47">
        <f>(IF((VLOOKUP(Table4[[#This Row],[SKU]],'All Skus'!$A:$AC,2,FALSE))="Crown",(VLOOKUP(Table4[[#This Row],[SKU]],'All Skus'!$A:$AC,16,FALSE)),""))</f>
        <v>691991013720</v>
      </c>
      <c r="M20" s="60">
        <f>(IF((VLOOKUP(Table4[[#This Row],[SKU]],'All Skus'!$A:$AC,2,FALSE))="Crown",(VLOOKUP(Table4[[#This Row],[SKU]],'All Skus'!$A:$AC,17,FALSE)),""))</f>
        <v>0</v>
      </c>
      <c r="N20" s="133">
        <f>(IF((VLOOKUP(Table4[[#This Row],[SKU]],'All Skus'!$A:$AC,2,FALSE))="Crown",(VLOOKUP(Table4[[#This Row],[SKU]],'All Skus'!$A:$AC,18,FALSE)),""))</f>
        <v>22.93</v>
      </c>
      <c r="O20" s="133">
        <f>(IF((VLOOKUP(Table4[[#This Row],[SKU]],'All Skus'!$A:$AC,2,FALSE))="Crown",(VLOOKUP(Table4[[#This Row],[SKU]],'All Skus'!$A:$AC,19,FALSE)),""))</f>
        <v>22.44</v>
      </c>
      <c r="P20" s="133">
        <f>(IF((VLOOKUP(Table4[[#This Row],[SKU]],'All Skus'!$A:$AC,2,FALSE))="Crown",(VLOOKUP(Table4[[#This Row],[SKU]],'All Skus'!$A:$AC,20,FALSE)),""))</f>
        <v>19.690000000000001</v>
      </c>
      <c r="Q20" s="133">
        <f>(IF((VLOOKUP(Table4[[#This Row],[SKU]],'All Skus'!$A:$AC,2,FALSE))="Crown",(VLOOKUP(Table4[[#This Row],[SKU]],'All Skus'!$A:$AC,21,FALSE)),""))</f>
        <v>7.09</v>
      </c>
      <c r="R20" s="60" t="str">
        <f>(IF((VLOOKUP(Table4[[#This Row],[SKU]],'All Skus'!$A:$AC,2,FALSE))="Crown",(VLOOKUP(Table4[[#This Row],[SKU]],'All Skus'!$A:$AC,22,FALSE)),""))</f>
        <v>CN</v>
      </c>
      <c r="S20" s="52" t="str">
        <f>(IF((VLOOKUP(Table4[[#This Row],[SKU]],'All Skus'!$A:$AC,2,FALSE))="Crown",(VLOOKUP(Table4[[#This Row],[SKU]],'All Skus'!$A:$AC,23,FALSE)),""))</f>
        <v>Non Compliant</v>
      </c>
      <c r="T20" s="211" t="str">
        <f>HYPERLINK((IF((VLOOKUP(Table4[[#This Row],[SKU]],'All Skus'!$A:$AC,2,FALSE))="Crown",(VLOOKUP(Table4[[#This Row],[SKU]],'All Skus'!$A:$AC,24,FALSE)),"")))</f>
        <v/>
      </c>
      <c r="U20" s="151">
        <v>18</v>
      </c>
      <c r="V20"/>
      <c r="W20"/>
      <c r="X20"/>
      <c r="Y20"/>
      <c r="Z20"/>
    </row>
    <row r="21" spans="1:26" s="52" customFormat="1" ht="15" customHeight="1">
      <c r="A21" s="48" t="s">
        <v>878</v>
      </c>
      <c r="B21" s="52" t="str">
        <f>(IF((VLOOKUP(Table4[[#This Row],[SKU]],'All Skus'!$A:$AC,2,FALSE))="Crown",(VLOOKUP(Table4[[#This Row],[SKU]],'All Skus'!$A:$AC,3,FALSE)),""))</f>
        <v>JBLCSRVWHTV</v>
      </c>
      <c r="C21" s="52" t="str">
        <f>(IF((VLOOKUP(Table4[[#This Row],[SKU]],'All Skus'!$A:$AC,2,FALSE))="Crown",(VLOOKUP(Table4[[#This Row],[SKU]],'All Skus'!$A:$AC,4,FALSE)),""))</f>
        <v>CDi2000</v>
      </c>
      <c r="D21" s="60" t="str">
        <f>(IF((VLOOKUP(Table4[[#This Row],[SKU]],'All Skus'!$A:$AC,2,FALSE))="Crown",(VLOOKUP(Table4[[#This Row],[SKU]],'All Skus'!$A:$AC,5,FALSE)),""))</f>
        <v>CDI</v>
      </c>
      <c r="E21" s="52">
        <f>(IF((VLOOKUP(Table4[[#This Row],[SKU]],'All Skus'!$A:$AC,2,FALSE))="Crown",(VLOOKUP(Table4[[#This Row],[SKU]],'All Skus'!$A:$AC,6,FALSE)),""))</f>
        <v>0</v>
      </c>
      <c r="F21" s="52">
        <f>(IF((VLOOKUP(Table4[[#This Row],[SKU]],'All Skus'!$A:$AC,2,FALSE))="Crown",(VLOOKUP(Table4[[#This Row],[SKU]],'All Skus'!$A:$AC,7,FALSE)),""))</f>
        <v>0</v>
      </c>
      <c r="G21" s="52" t="str">
        <f>(IF((VLOOKUP(Table4[[#This Row],[SKU]],'All Skus'!$A:$AC,2,FALSE))="Crown",(VLOOKUP(Table4[[#This Row],[SKU]],'All Skus'!$A:$AC,8,FALSE)),""))</f>
        <v>2X800W Power Amplifier</v>
      </c>
      <c r="H21" s="45" t="str">
        <f>(IF((VLOOKUP(Table4[[#This Row],[SKU]],'All Skus'!$A:$AC,2,FALSE))="Crown",(VLOOKUP(Table4[[#This Row],[SKU]],'All Skus'!$A:$AC,9,FALSE)),""))</f>
        <v>Two-channel, 800W @ 4Ω, 70V/100V/140V Power Amplifier</v>
      </c>
      <c r="I21" s="94">
        <f>(IF((VLOOKUP(Table4[[#This Row],[SKU]],'All Skus'!$A:$AC,2,FALSE))="Crown",(VLOOKUP(Table4[[#This Row],[SKU]],'All Skus'!$A:$AC,10,FALSE)),""))</f>
        <v>1926.24</v>
      </c>
      <c r="J21" s="94">
        <f>(IF((VLOOKUP(Table4[[#This Row],[SKU]],'All Skus'!$A:$AC,2,FALSE))="Crown",(VLOOKUP(Table4[[#This Row],[SKU]],'All Skus'!$A:$AC,11,FALSE)),""))</f>
        <v>1926.24</v>
      </c>
      <c r="K21" s="60">
        <f>(IF((VLOOKUP(Table4[[#This Row],[SKU]],'All Skus'!$A:$AC,2,FALSE))="Crown",(VLOOKUP(Table4[[#This Row],[SKU]],'All Skus'!$A:$AC,15,FALSE)),""))</f>
        <v>1</v>
      </c>
      <c r="L21" s="47">
        <f>(IF((VLOOKUP(Table4[[#This Row],[SKU]],'All Skus'!$A:$AC,2,FALSE))="Crown",(VLOOKUP(Table4[[#This Row],[SKU]],'All Skus'!$A:$AC,16,FALSE)),""))</f>
        <v>691991013737</v>
      </c>
      <c r="M21" s="60">
        <f>(IF((VLOOKUP(Table4[[#This Row],[SKU]],'All Skus'!$A:$AC,2,FALSE))="Crown",(VLOOKUP(Table4[[#This Row],[SKU]],'All Skus'!$A:$AC,17,FALSE)),""))</f>
        <v>0</v>
      </c>
      <c r="N21" s="133">
        <f>(IF((VLOOKUP(Table4[[#This Row],[SKU]],'All Skus'!$A:$AC,2,FALSE))="Crown",(VLOOKUP(Table4[[#This Row],[SKU]],'All Skus'!$A:$AC,18,FALSE)),""))</f>
        <v>24.03</v>
      </c>
      <c r="O21" s="133">
        <f>(IF((VLOOKUP(Table4[[#This Row],[SKU]],'All Skus'!$A:$AC,2,FALSE))="Crown",(VLOOKUP(Table4[[#This Row],[SKU]],'All Skus'!$A:$AC,19,FALSE)),""))</f>
        <v>22.44</v>
      </c>
      <c r="P21" s="133">
        <f>(IF((VLOOKUP(Table4[[#This Row],[SKU]],'All Skus'!$A:$AC,2,FALSE))="Crown",(VLOOKUP(Table4[[#This Row],[SKU]],'All Skus'!$A:$AC,20,FALSE)),""))</f>
        <v>19.690000000000001</v>
      </c>
      <c r="Q21" s="133">
        <f>(IF((VLOOKUP(Table4[[#This Row],[SKU]],'All Skus'!$A:$AC,2,FALSE))="Crown",(VLOOKUP(Table4[[#This Row],[SKU]],'All Skus'!$A:$AC,21,FALSE)),""))</f>
        <v>7.09</v>
      </c>
      <c r="R21" s="60" t="str">
        <f>(IF((VLOOKUP(Table4[[#This Row],[SKU]],'All Skus'!$A:$AC,2,FALSE))="Crown",(VLOOKUP(Table4[[#This Row],[SKU]],'All Skus'!$A:$AC,22,FALSE)),""))</f>
        <v>CN</v>
      </c>
      <c r="S21" s="52" t="str">
        <f>(IF((VLOOKUP(Table4[[#This Row],[SKU]],'All Skus'!$A:$AC,2,FALSE))="Crown",(VLOOKUP(Table4[[#This Row],[SKU]],'All Skus'!$A:$AC,23,FALSE)),""))</f>
        <v>Non Compliant</v>
      </c>
      <c r="T21" s="211" t="str">
        <f>HYPERLINK((IF((VLOOKUP(Table4[[#This Row],[SKU]],'All Skus'!$A:$AC,2,FALSE))="Crown",(VLOOKUP(Table4[[#This Row],[SKU]],'All Skus'!$A:$AC,24,FALSE)),"")))</f>
        <v/>
      </c>
      <c r="U21" s="151">
        <v>19</v>
      </c>
      <c r="V21"/>
      <c r="W21"/>
      <c r="X21"/>
      <c r="Y21"/>
      <c r="Z21"/>
    </row>
    <row r="22" spans="1:26" s="52" customFormat="1" ht="15" customHeight="1">
      <c r="A22" s="48" t="s">
        <v>879</v>
      </c>
      <c r="B22" s="52" t="str">
        <f>(IF((VLOOKUP(Table4[[#This Row],[SKU]],'All Skus'!$A:$AC,2,FALSE))="Crown",(VLOOKUP(Table4[[#This Row],[SKU]],'All Skus'!$A:$AC,3,FALSE)),""))</f>
        <v>CDi Series</v>
      </c>
      <c r="C22" s="52" t="str">
        <f>(IF((VLOOKUP(Table4[[#This Row],[SKU]],'All Skus'!$A:$AC,2,FALSE))="Crown",(VLOOKUP(Table4[[#This Row],[SKU]],'All Skus'!$A:$AC,4,FALSE)),""))</f>
        <v>CDi2000</v>
      </c>
      <c r="D22" s="60" t="str">
        <f>(IF((VLOOKUP(Table4[[#This Row],[SKU]],'All Skus'!$A:$AC,2,FALSE))="Crown",(VLOOKUP(Table4[[#This Row],[SKU]],'All Skus'!$A:$AC,5,FALSE)),""))</f>
        <v>CDI</v>
      </c>
      <c r="E22" s="52">
        <f>(IF((VLOOKUP(Table4[[#This Row],[SKU]],'All Skus'!$A:$AC,2,FALSE))="Crown",(VLOOKUP(Table4[[#This Row],[SKU]],'All Skus'!$A:$AC,6,FALSE)),""))</f>
        <v>0</v>
      </c>
      <c r="F22" s="52">
        <f>(IF((VLOOKUP(Table4[[#This Row],[SKU]],'All Skus'!$A:$AC,2,FALSE))="Crown",(VLOOKUP(Table4[[#This Row],[SKU]],'All Skus'!$A:$AC,7,FALSE)),""))</f>
        <v>0</v>
      </c>
      <c r="G22" s="52" t="str">
        <f>(IF((VLOOKUP(Table4[[#This Row],[SKU]],'All Skus'!$A:$AC,2,FALSE))="Crown",(VLOOKUP(Table4[[#This Row],[SKU]],'All Skus'!$A:$AC,8,FALSE)),""))</f>
        <v>2X800W Power Amplifier</v>
      </c>
      <c r="H22" s="45" t="str">
        <f>(IF((VLOOKUP(Table4[[#This Row],[SKU]],'All Skus'!$A:$AC,2,FALSE))="Crown",(VLOOKUP(Table4[[#This Row],[SKU]],'All Skus'!$A:$AC,9,FALSE)),""))</f>
        <v>Two-channel, 800W @ 4Ω, 70V/100V/140V Power Amplifier</v>
      </c>
      <c r="I22" s="94">
        <f>(IF((VLOOKUP(Table4[[#This Row],[SKU]],'All Skus'!$A:$AC,2,FALSE))="Crown",(VLOOKUP(Table4[[#This Row],[SKU]],'All Skus'!$A:$AC,10,FALSE)),""))</f>
        <v>1926.24</v>
      </c>
      <c r="J22" s="94">
        <f>(IF((VLOOKUP(Table4[[#This Row],[SKU]],'All Skus'!$A:$AC,2,FALSE))="Crown",(VLOOKUP(Table4[[#This Row],[SKU]],'All Skus'!$A:$AC,11,FALSE)),""))</f>
        <v>1926.24</v>
      </c>
      <c r="K22" s="60">
        <f>(IF((VLOOKUP(Table4[[#This Row],[SKU]],'All Skus'!$A:$AC,2,FALSE))="Crown",(VLOOKUP(Table4[[#This Row],[SKU]],'All Skus'!$A:$AC,15,FALSE)),""))</f>
        <v>1</v>
      </c>
      <c r="L22" s="47">
        <f>(IF((VLOOKUP(Table4[[#This Row],[SKU]],'All Skus'!$A:$AC,2,FALSE))="Crown",(VLOOKUP(Table4[[#This Row],[SKU]],'All Skus'!$A:$AC,16,FALSE)),""))</f>
        <v>691991013737</v>
      </c>
      <c r="M22" s="60">
        <f>(IF((VLOOKUP(Table4[[#This Row],[SKU]],'All Skus'!$A:$AC,2,FALSE))="Crown",(VLOOKUP(Table4[[#This Row],[SKU]],'All Skus'!$A:$AC,17,FALSE)),""))</f>
        <v>0</v>
      </c>
      <c r="N22" s="133">
        <f>(IF((VLOOKUP(Table4[[#This Row],[SKU]],'All Skus'!$A:$AC,2,FALSE))="Crown",(VLOOKUP(Table4[[#This Row],[SKU]],'All Skus'!$A:$AC,18,FALSE)),""))</f>
        <v>24.03</v>
      </c>
      <c r="O22" s="133">
        <f>(IF((VLOOKUP(Table4[[#This Row],[SKU]],'All Skus'!$A:$AC,2,FALSE))="Crown",(VLOOKUP(Table4[[#This Row],[SKU]],'All Skus'!$A:$AC,19,FALSE)),""))</f>
        <v>22.44</v>
      </c>
      <c r="P22" s="133">
        <f>(IF((VLOOKUP(Table4[[#This Row],[SKU]],'All Skus'!$A:$AC,2,FALSE))="Crown",(VLOOKUP(Table4[[#This Row],[SKU]],'All Skus'!$A:$AC,20,FALSE)),""))</f>
        <v>19.690000000000001</v>
      </c>
      <c r="Q22" s="133">
        <f>(IF((VLOOKUP(Table4[[#This Row],[SKU]],'All Skus'!$A:$AC,2,FALSE))="Crown",(VLOOKUP(Table4[[#This Row],[SKU]],'All Skus'!$A:$AC,21,FALSE)),""))</f>
        <v>7.09</v>
      </c>
      <c r="R22" s="60" t="str">
        <f>(IF((VLOOKUP(Table4[[#This Row],[SKU]],'All Skus'!$A:$AC,2,FALSE))="Crown",(VLOOKUP(Table4[[#This Row],[SKU]],'All Skus'!$A:$AC,22,FALSE)),""))</f>
        <v>CN</v>
      </c>
      <c r="S22" s="52" t="str">
        <f>(IF((VLOOKUP(Table4[[#This Row],[SKU]],'All Skus'!$A:$AC,2,FALSE))="Crown",(VLOOKUP(Table4[[#This Row],[SKU]],'All Skus'!$A:$AC,23,FALSE)),""))</f>
        <v>Non Compliant</v>
      </c>
      <c r="T22" s="211" t="str">
        <f>HYPERLINK((IF((VLOOKUP(Table4[[#This Row],[SKU]],'All Skus'!$A:$AC,2,FALSE))="Crown",(VLOOKUP(Table4[[#This Row],[SKU]],'All Skus'!$A:$AC,24,FALSE)),"")))</f>
        <v/>
      </c>
      <c r="U22" s="151">
        <v>20</v>
      </c>
      <c r="V22"/>
      <c r="W22"/>
      <c r="X22"/>
      <c r="Y22"/>
      <c r="Z22"/>
    </row>
    <row r="23" spans="1:26" s="52" customFormat="1" ht="15" customHeight="1">
      <c r="A23" s="48" t="s">
        <v>880</v>
      </c>
      <c r="B23" s="52" t="str">
        <f>(IF((VLOOKUP(Table4[[#This Row],[SKU]],'All Skus'!$A:$AC,2,FALSE))="Crown",(VLOOKUP(Table4[[#This Row],[SKU]],'All Skus'!$A:$AC,3,FALSE)),""))</f>
        <v>CDi DriveCore Series</v>
      </c>
      <c r="C23" s="52" t="str">
        <f>(IF((VLOOKUP(Table4[[#This Row],[SKU]],'All Skus'!$A:$AC,2,FALSE))="Crown",(VLOOKUP(Table4[[#This Row],[SKU]],'All Skus'!$A:$AC,4,FALSE)),""))</f>
        <v>CDi2x1200BL</v>
      </c>
      <c r="D23" s="60" t="str">
        <f>(IF((VLOOKUP(Table4[[#This Row],[SKU]],'All Skus'!$A:$AC,2,FALSE))="Crown",(VLOOKUP(Table4[[#This Row],[SKU]],'All Skus'!$A:$AC,5,FALSE)),""))</f>
        <v>CDI</v>
      </c>
      <c r="E23" s="52">
        <f>(IF((VLOOKUP(Table4[[#This Row],[SKU]],'All Skus'!$A:$AC,2,FALSE))="Crown",(VLOOKUP(Table4[[#This Row],[SKU]],'All Skus'!$A:$AC,6,FALSE)),""))</f>
        <v>0</v>
      </c>
      <c r="F23" s="52">
        <f>(IF((VLOOKUP(Table4[[#This Row],[SKU]],'All Skus'!$A:$AC,2,FALSE))="Crown",(VLOOKUP(Table4[[#This Row],[SKU]],'All Skus'!$A:$AC,7,FALSE)),""))</f>
        <v>0</v>
      </c>
      <c r="G23" s="52" t="str">
        <f>(IF((VLOOKUP(Table4[[#This Row],[SKU]],'All Skus'!$A:$AC,2,FALSE))="Crown",(VLOOKUP(Table4[[#This Row],[SKU]],'All Skus'!$A:$AC,8,FALSE)),""))</f>
        <v>2x1200W Power Amplifier with BLU link</v>
      </c>
      <c r="H23" s="45" t="str">
        <f>(IF((VLOOKUP(Table4[[#This Row],[SKU]],'All Skus'!$A:$AC,2,FALSE))="Crown",(VLOOKUP(Table4[[#This Row],[SKU]],'All Skus'!$A:$AC,9,FALSE)),""))</f>
        <v xml:space="preserve">1200 watts per channel 2 channel amplifier, 70/100V, 4/8 ohm, digital signal processing, networked, front panel interface with BLU link </v>
      </c>
      <c r="I23" s="94">
        <f>(IF((VLOOKUP(Table4[[#This Row],[SKU]],'All Skus'!$A:$AC,2,FALSE))="Crown",(VLOOKUP(Table4[[#This Row],[SKU]],'All Skus'!$A:$AC,10,FALSE)),""))</f>
        <v>3248.3</v>
      </c>
      <c r="J23" s="94">
        <f>(IF((VLOOKUP(Table4[[#This Row],[SKU]],'All Skus'!$A:$AC,2,FALSE))="Crown",(VLOOKUP(Table4[[#This Row],[SKU]],'All Skus'!$A:$AC,11,FALSE)),""))</f>
        <v>3248</v>
      </c>
      <c r="K23" s="60">
        <f>(IF((VLOOKUP(Table4[[#This Row],[SKU]],'All Skus'!$A:$AC,2,FALSE))="Crown",(VLOOKUP(Table4[[#This Row],[SKU]],'All Skus'!$A:$AC,15,FALSE)),""))</f>
        <v>1</v>
      </c>
      <c r="L23" s="47">
        <f>(IF((VLOOKUP(Table4[[#This Row],[SKU]],'All Skus'!$A:$AC,2,FALSE))="Crown",(VLOOKUP(Table4[[#This Row],[SKU]],'All Skus'!$A:$AC,16,FALSE)),""))</f>
        <v>691991006951</v>
      </c>
      <c r="M23" s="60">
        <f>(IF((VLOOKUP(Table4[[#This Row],[SKU]],'All Skus'!$A:$AC,2,FALSE))="Crown",(VLOOKUP(Table4[[#This Row],[SKU]],'All Skus'!$A:$AC,17,FALSE)),""))</f>
        <v>0</v>
      </c>
      <c r="N23" s="133">
        <f>(IF((VLOOKUP(Table4[[#This Row],[SKU]],'All Skus'!$A:$AC,2,FALSE))="Crown",(VLOOKUP(Table4[[#This Row],[SKU]],'All Skus'!$A:$AC,18,FALSE)),""))</f>
        <v>20</v>
      </c>
      <c r="O23" s="133">
        <f>(IF((VLOOKUP(Table4[[#This Row],[SKU]],'All Skus'!$A:$AC,2,FALSE))="Crown",(VLOOKUP(Table4[[#This Row],[SKU]],'All Skus'!$A:$AC,19,FALSE)),""))</f>
        <v>22</v>
      </c>
      <c r="P23" s="133">
        <f>(IF((VLOOKUP(Table4[[#This Row],[SKU]],'All Skus'!$A:$AC,2,FALSE))="Crown",(VLOOKUP(Table4[[#This Row],[SKU]],'All Skus'!$A:$AC,20,FALSE)),""))</f>
        <v>19</v>
      </c>
      <c r="Q23" s="133">
        <f>(IF((VLOOKUP(Table4[[#This Row],[SKU]],'All Skus'!$A:$AC,2,FALSE))="Crown",(VLOOKUP(Table4[[#This Row],[SKU]],'All Skus'!$A:$AC,21,FALSE)),""))</f>
        <v>8</v>
      </c>
      <c r="R23" s="60" t="str">
        <f>(IF((VLOOKUP(Table4[[#This Row],[SKU]],'All Skus'!$A:$AC,2,FALSE))="Crown",(VLOOKUP(Table4[[#This Row],[SKU]],'All Skus'!$A:$AC,22,FALSE)),""))</f>
        <v>CN</v>
      </c>
      <c r="S23" s="52" t="str">
        <f>(IF((VLOOKUP(Table4[[#This Row],[SKU]],'All Skus'!$A:$AC,2,FALSE))="Crown",(VLOOKUP(Table4[[#This Row],[SKU]],'All Skus'!$A:$AC,23,FALSE)),""))</f>
        <v>Non Compliant</v>
      </c>
      <c r="T23" s="211" t="str">
        <f>HYPERLINK((IF((VLOOKUP(Table4[[#This Row],[SKU]],'All Skus'!$A:$AC,2,FALSE))="Crown",(VLOOKUP(Table4[[#This Row],[SKU]],'All Skus'!$A:$AC,24,FALSE)),"")))</f>
        <v/>
      </c>
      <c r="U23" s="151">
        <v>21</v>
      </c>
      <c r="V23"/>
      <c r="W23"/>
      <c r="X23"/>
      <c r="Y23"/>
      <c r="Z23"/>
    </row>
    <row r="24" spans="1:26" s="52" customFormat="1" ht="15" customHeight="1">
      <c r="A24" s="48" t="s">
        <v>881</v>
      </c>
      <c r="B24" s="52" t="str">
        <f>(IF((VLOOKUP(Table4[[#This Row],[SKU]],'All Skus'!$A:$AC,2,FALSE))="Crown",(VLOOKUP(Table4[[#This Row],[SKU]],'All Skus'!$A:$AC,3,FALSE)),""))</f>
        <v>CDi DriveCore Series</v>
      </c>
      <c r="C24" s="52" t="str">
        <f>(IF((VLOOKUP(Table4[[#This Row],[SKU]],'All Skus'!$A:$AC,2,FALSE))="Crown",(VLOOKUP(Table4[[#This Row],[SKU]],'All Skus'!$A:$AC,4,FALSE)),""))</f>
        <v>CDi2x300BL</v>
      </c>
      <c r="D24" s="60" t="str">
        <f>(IF((VLOOKUP(Table4[[#This Row],[SKU]],'All Skus'!$A:$AC,2,FALSE))="Crown",(VLOOKUP(Table4[[#This Row],[SKU]],'All Skus'!$A:$AC,5,FALSE)),""))</f>
        <v>CDI</v>
      </c>
      <c r="E24" s="52">
        <f>(IF((VLOOKUP(Table4[[#This Row],[SKU]],'All Skus'!$A:$AC,2,FALSE))="Crown",(VLOOKUP(Table4[[#This Row],[SKU]],'All Skus'!$A:$AC,6,FALSE)),""))</f>
        <v>0</v>
      </c>
      <c r="F24" s="52">
        <f>(IF((VLOOKUP(Table4[[#This Row],[SKU]],'All Skus'!$A:$AC,2,FALSE))="Crown",(VLOOKUP(Table4[[#This Row],[SKU]],'All Skus'!$A:$AC,7,FALSE)),""))</f>
        <v>0</v>
      </c>
      <c r="G24" s="52" t="str">
        <f>(IF((VLOOKUP(Table4[[#This Row],[SKU]],'All Skus'!$A:$AC,2,FALSE))="Crown",(VLOOKUP(Table4[[#This Row],[SKU]],'All Skus'!$A:$AC,8,FALSE)),""))</f>
        <v>2x300W Power Amplifier with BLU link</v>
      </c>
      <c r="H24" s="45" t="str">
        <f>(IF((VLOOKUP(Table4[[#This Row],[SKU]],'All Skus'!$A:$AC,2,FALSE))="Crown",(VLOOKUP(Table4[[#This Row],[SKU]],'All Skus'!$A:$AC,9,FALSE)),""))</f>
        <v>Analog + BLU link input, 2 channel, 300W per output channel</v>
      </c>
      <c r="I24" s="94">
        <f>(IF((VLOOKUP(Table4[[#This Row],[SKU]],'All Skus'!$A:$AC,2,FALSE))="Crown",(VLOOKUP(Table4[[#This Row],[SKU]],'All Skus'!$A:$AC,10,FALSE)),""))</f>
        <v>1889.18</v>
      </c>
      <c r="J24" s="94">
        <f>(IF((VLOOKUP(Table4[[#This Row],[SKU]],'All Skus'!$A:$AC,2,FALSE))="Crown",(VLOOKUP(Table4[[#This Row],[SKU]],'All Skus'!$A:$AC,11,FALSE)),""))</f>
        <v>1889</v>
      </c>
      <c r="K24" s="60">
        <f>(IF((VLOOKUP(Table4[[#This Row],[SKU]],'All Skus'!$A:$AC,2,FALSE))="Crown",(VLOOKUP(Table4[[#This Row],[SKU]],'All Skus'!$A:$AC,15,FALSE)),""))</f>
        <v>1</v>
      </c>
      <c r="L24" s="47">
        <f>(IF((VLOOKUP(Table4[[#This Row],[SKU]],'All Skus'!$A:$AC,2,FALSE))="Crown",(VLOOKUP(Table4[[#This Row],[SKU]],'All Skus'!$A:$AC,16,FALSE)),""))</f>
        <v>691991006395</v>
      </c>
      <c r="M24" s="60">
        <f>(IF((VLOOKUP(Table4[[#This Row],[SKU]],'All Skus'!$A:$AC,2,FALSE))="Crown",(VLOOKUP(Table4[[#This Row],[SKU]],'All Skus'!$A:$AC,17,FALSE)),""))</f>
        <v>0</v>
      </c>
      <c r="N24" s="133">
        <f>(IF((VLOOKUP(Table4[[#This Row],[SKU]],'All Skus'!$A:$AC,2,FALSE))="Crown",(VLOOKUP(Table4[[#This Row],[SKU]],'All Skus'!$A:$AC,18,FALSE)),""))</f>
        <v>19</v>
      </c>
      <c r="O24" s="133">
        <f>(IF((VLOOKUP(Table4[[#This Row],[SKU]],'All Skus'!$A:$AC,2,FALSE))="Crown",(VLOOKUP(Table4[[#This Row],[SKU]],'All Skus'!$A:$AC,19,FALSE)),""))</f>
        <v>19</v>
      </c>
      <c r="P24" s="133">
        <f>(IF((VLOOKUP(Table4[[#This Row],[SKU]],'All Skus'!$A:$AC,2,FALSE))="Crown",(VLOOKUP(Table4[[#This Row],[SKU]],'All Skus'!$A:$AC,20,FALSE)),""))</f>
        <v>22</v>
      </c>
      <c r="Q24" s="133">
        <f>(IF((VLOOKUP(Table4[[#This Row],[SKU]],'All Skus'!$A:$AC,2,FALSE))="Crown",(VLOOKUP(Table4[[#This Row],[SKU]],'All Skus'!$A:$AC,21,FALSE)),""))</f>
        <v>8</v>
      </c>
      <c r="R24" s="60" t="str">
        <f>(IF((VLOOKUP(Table4[[#This Row],[SKU]],'All Skus'!$A:$AC,2,FALSE))="Crown",(VLOOKUP(Table4[[#This Row],[SKU]],'All Skus'!$A:$AC,22,FALSE)),""))</f>
        <v>CN</v>
      </c>
      <c r="S24" s="52" t="str">
        <f>(IF((VLOOKUP(Table4[[#This Row],[SKU]],'All Skus'!$A:$AC,2,FALSE))="Crown",(VLOOKUP(Table4[[#This Row],[SKU]],'All Skus'!$A:$AC,23,FALSE)),""))</f>
        <v>Non Compliant</v>
      </c>
      <c r="T24" s="211" t="str">
        <f>HYPERLINK((IF((VLOOKUP(Table4[[#This Row],[SKU]],'All Skus'!$A:$AC,2,FALSE))="Crown",(VLOOKUP(Table4[[#This Row],[SKU]],'All Skus'!$A:$AC,24,FALSE)),"")))</f>
        <v/>
      </c>
      <c r="U24" s="151">
        <v>22</v>
      </c>
      <c r="V24"/>
      <c r="W24"/>
      <c r="X24"/>
      <c r="Y24"/>
      <c r="Z24"/>
    </row>
    <row r="25" spans="1:26" s="52" customFormat="1" ht="15" customHeight="1">
      <c r="A25" s="48" t="s">
        <v>882</v>
      </c>
      <c r="B25" s="52" t="str">
        <f>(IF((VLOOKUP(Table4[[#This Row],[SKU]],'All Skus'!$A:$AC,2,FALSE))="Crown",(VLOOKUP(Table4[[#This Row],[SKU]],'All Skus'!$A:$AC,3,FALSE)),""))</f>
        <v>CDi DriveCore Series</v>
      </c>
      <c r="C25" s="52" t="str">
        <f>(IF((VLOOKUP(Table4[[#This Row],[SKU]],'All Skus'!$A:$AC,2,FALSE))="Crown",(VLOOKUP(Table4[[#This Row],[SKU]],'All Skus'!$A:$AC,4,FALSE)),""))</f>
        <v>CDi2x300BL</v>
      </c>
      <c r="D25" s="60" t="str">
        <f>(IF((VLOOKUP(Table4[[#This Row],[SKU]],'All Skus'!$A:$AC,2,FALSE))="Crown",(VLOOKUP(Table4[[#This Row],[SKU]],'All Skus'!$A:$AC,5,FALSE)),""))</f>
        <v>CDI</v>
      </c>
      <c r="E25" s="52">
        <f>(IF((VLOOKUP(Table4[[#This Row],[SKU]],'All Skus'!$A:$AC,2,FALSE))="Crown",(VLOOKUP(Table4[[#This Row],[SKU]],'All Skus'!$A:$AC,6,FALSE)),""))</f>
        <v>0</v>
      </c>
      <c r="F25" s="52">
        <f>(IF((VLOOKUP(Table4[[#This Row],[SKU]],'All Skus'!$A:$AC,2,FALSE))="Crown",(VLOOKUP(Table4[[#This Row],[SKU]],'All Skus'!$A:$AC,7,FALSE)),""))</f>
        <v>0</v>
      </c>
      <c r="G25" s="52" t="str">
        <f>(IF((VLOOKUP(Table4[[#This Row],[SKU]],'All Skus'!$A:$AC,2,FALSE))="Crown",(VLOOKUP(Table4[[#This Row],[SKU]],'All Skus'!$A:$AC,8,FALSE)),""))</f>
        <v>2x300W Power Amplifier with BLU link</v>
      </c>
      <c r="H25" s="45" t="str">
        <f>(IF((VLOOKUP(Table4[[#This Row],[SKU]],'All Skus'!$A:$AC,2,FALSE))="Crown",(VLOOKUP(Table4[[#This Row],[SKU]],'All Skus'!$A:$AC,9,FALSE)),""))</f>
        <v>Analog + BLU link input, 2 channel, 300W per output channel</v>
      </c>
      <c r="I25" s="94">
        <f>(IF((VLOOKUP(Table4[[#This Row],[SKU]],'All Skus'!$A:$AC,2,FALSE))="Crown",(VLOOKUP(Table4[[#This Row],[SKU]],'All Skus'!$A:$AC,10,FALSE)),""))</f>
        <v>1889.18</v>
      </c>
      <c r="J25" s="94">
        <f>(IF((VLOOKUP(Table4[[#This Row],[SKU]],'All Skus'!$A:$AC,2,FALSE))="Crown",(VLOOKUP(Table4[[#This Row],[SKU]],'All Skus'!$A:$AC,11,FALSE)),""))</f>
        <v>1889</v>
      </c>
      <c r="K25" s="60">
        <f>(IF((VLOOKUP(Table4[[#This Row],[SKU]],'All Skus'!$A:$AC,2,FALSE))="Crown",(VLOOKUP(Table4[[#This Row],[SKU]],'All Skus'!$A:$AC,15,FALSE)),""))</f>
        <v>1</v>
      </c>
      <c r="L25" s="47">
        <f>(IF((VLOOKUP(Table4[[#This Row],[SKU]],'All Skus'!$A:$AC,2,FALSE))="Crown",(VLOOKUP(Table4[[#This Row],[SKU]],'All Skus'!$A:$AC,16,FALSE)),""))</f>
        <v>691991006395</v>
      </c>
      <c r="M25" s="60">
        <f>(IF((VLOOKUP(Table4[[#This Row],[SKU]],'All Skus'!$A:$AC,2,FALSE))="Crown",(VLOOKUP(Table4[[#This Row],[SKU]],'All Skus'!$A:$AC,17,FALSE)),""))</f>
        <v>0</v>
      </c>
      <c r="N25" s="133">
        <f>(IF((VLOOKUP(Table4[[#This Row],[SKU]],'All Skus'!$A:$AC,2,FALSE))="Crown",(VLOOKUP(Table4[[#This Row],[SKU]],'All Skus'!$A:$AC,18,FALSE)),""))</f>
        <v>19</v>
      </c>
      <c r="O25" s="133">
        <f>(IF((VLOOKUP(Table4[[#This Row],[SKU]],'All Skus'!$A:$AC,2,FALSE))="Crown",(VLOOKUP(Table4[[#This Row],[SKU]],'All Skus'!$A:$AC,19,FALSE)),""))</f>
        <v>19</v>
      </c>
      <c r="P25" s="133">
        <f>(IF((VLOOKUP(Table4[[#This Row],[SKU]],'All Skus'!$A:$AC,2,FALSE))="Crown",(VLOOKUP(Table4[[#This Row],[SKU]],'All Skus'!$A:$AC,20,FALSE)),""))</f>
        <v>22</v>
      </c>
      <c r="Q25" s="133">
        <f>(IF((VLOOKUP(Table4[[#This Row],[SKU]],'All Skus'!$A:$AC,2,FALSE))="Crown",(VLOOKUP(Table4[[#This Row],[SKU]],'All Skus'!$A:$AC,21,FALSE)),""))</f>
        <v>8</v>
      </c>
      <c r="R25" s="60" t="str">
        <f>(IF((VLOOKUP(Table4[[#This Row],[SKU]],'All Skus'!$A:$AC,2,FALSE))="Crown",(VLOOKUP(Table4[[#This Row],[SKU]],'All Skus'!$A:$AC,22,FALSE)),""))</f>
        <v>CN</v>
      </c>
      <c r="S25" s="52" t="str">
        <f>(IF((VLOOKUP(Table4[[#This Row],[SKU]],'All Skus'!$A:$AC,2,FALSE))="Crown",(VLOOKUP(Table4[[#This Row],[SKU]],'All Skus'!$A:$AC,23,FALSE)),""))</f>
        <v>Non Compliant</v>
      </c>
      <c r="T25" s="211" t="str">
        <f>HYPERLINK((IF((VLOOKUP(Table4[[#This Row],[SKU]],'All Skus'!$A:$AC,2,FALSE))="Crown",(VLOOKUP(Table4[[#This Row],[SKU]],'All Skus'!$A:$AC,24,FALSE)),"")))</f>
        <v/>
      </c>
      <c r="U25" s="151">
        <v>23</v>
      </c>
      <c r="V25"/>
      <c r="W25"/>
      <c r="X25"/>
      <c r="Y25"/>
      <c r="Z25"/>
    </row>
    <row r="26" spans="1:26" s="52" customFormat="1" ht="15" customHeight="1">
      <c r="A26" s="48" t="s">
        <v>883</v>
      </c>
      <c r="B26" s="52" t="str">
        <f>(IF((VLOOKUP(Table4[[#This Row],[SKU]],'All Skus'!$A:$AC,2,FALSE))="Crown",(VLOOKUP(Table4[[#This Row],[SKU]],'All Skus'!$A:$AC,3,FALSE)),""))</f>
        <v>CDi DriveCore Series</v>
      </c>
      <c r="C26" s="52" t="str">
        <f>(IF((VLOOKUP(Table4[[#This Row],[SKU]],'All Skus'!$A:$AC,2,FALSE))="Crown",(VLOOKUP(Table4[[#This Row],[SKU]],'All Skus'!$A:$AC,4,FALSE)),""))</f>
        <v>CDi2x600BL</v>
      </c>
      <c r="D26" s="60" t="str">
        <f>(IF((VLOOKUP(Table4[[#This Row],[SKU]],'All Skus'!$A:$AC,2,FALSE))="Crown",(VLOOKUP(Table4[[#This Row],[SKU]],'All Skus'!$A:$AC,5,FALSE)),""))</f>
        <v>CDI</v>
      </c>
      <c r="E26" s="52">
        <f>(IF((VLOOKUP(Table4[[#This Row],[SKU]],'All Skus'!$A:$AC,2,FALSE))="Crown",(VLOOKUP(Table4[[#This Row],[SKU]],'All Skus'!$A:$AC,6,FALSE)),""))</f>
        <v>0</v>
      </c>
      <c r="F26" s="52">
        <f>(IF((VLOOKUP(Table4[[#This Row],[SKU]],'All Skus'!$A:$AC,2,FALSE))="Crown",(VLOOKUP(Table4[[#This Row],[SKU]],'All Skus'!$A:$AC,7,FALSE)),""))</f>
        <v>0</v>
      </c>
      <c r="G26" s="52" t="str">
        <f>(IF((VLOOKUP(Table4[[#This Row],[SKU]],'All Skus'!$A:$AC,2,FALSE))="Crown",(VLOOKUP(Table4[[#This Row],[SKU]],'All Skus'!$A:$AC,8,FALSE)),""))</f>
        <v>2x600W Power Amplifier with BLU link</v>
      </c>
      <c r="H26" s="45" t="str">
        <f>(IF((VLOOKUP(Table4[[#This Row],[SKU]],'All Skus'!$A:$AC,2,FALSE))="Crown",(VLOOKUP(Table4[[#This Row],[SKU]],'All Skus'!$A:$AC,9,FALSE)),""))</f>
        <v>Analog + BLU link input, 2 channel, 600W per output channel, Amplifier</v>
      </c>
      <c r="I26" s="94">
        <f>(IF((VLOOKUP(Table4[[#This Row],[SKU]],'All Skus'!$A:$AC,2,FALSE))="Crown",(VLOOKUP(Table4[[#This Row],[SKU]],'All Skus'!$A:$AC,10,FALSE)),""))</f>
        <v>2272.1999999999998</v>
      </c>
      <c r="J26" s="94">
        <f>(IF((VLOOKUP(Table4[[#This Row],[SKU]],'All Skus'!$A:$AC,2,FALSE))="Crown",(VLOOKUP(Table4[[#This Row],[SKU]],'All Skus'!$A:$AC,11,FALSE)),""))</f>
        <v>2272</v>
      </c>
      <c r="K26" s="60">
        <f>(IF((VLOOKUP(Table4[[#This Row],[SKU]],'All Skus'!$A:$AC,2,FALSE))="Crown",(VLOOKUP(Table4[[#This Row],[SKU]],'All Skus'!$A:$AC,15,FALSE)),""))</f>
        <v>1</v>
      </c>
      <c r="L26" s="47">
        <f>(IF((VLOOKUP(Table4[[#This Row],[SKU]],'All Skus'!$A:$AC,2,FALSE))="Crown",(VLOOKUP(Table4[[#This Row],[SKU]],'All Skus'!$A:$AC,16,FALSE)),""))</f>
        <v>691991006388</v>
      </c>
      <c r="M26" s="60">
        <f>(IF((VLOOKUP(Table4[[#This Row],[SKU]],'All Skus'!$A:$AC,2,FALSE))="Crown",(VLOOKUP(Table4[[#This Row],[SKU]],'All Skus'!$A:$AC,17,FALSE)),""))</f>
        <v>0</v>
      </c>
      <c r="N26" s="133">
        <f>(IF((VLOOKUP(Table4[[#This Row],[SKU]],'All Skus'!$A:$AC,2,FALSE))="Crown",(VLOOKUP(Table4[[#This Row],[SKU]],'All Skus'!$A:$AC,18,FALSE)),""))</f>
        <v>19</v>
      </c>
      <c r="O26" s="133">
        <f>(IF((VLOOKUP(Table4[[#This Row],[SKU]],'All Skus'!$A:$AC,2,FALSE))="Crown",(VLOOKUP(Table4[[#This Row],[SKU]],'All Skus'!$A:$AC,19,FALSE)),""))</f>
        <v>19</v>
      </c>
      <c r="P26" s="133">
        <f>(IF((VLOOKUP(Table4[[#This Row],[SKU]],'All Skus'!$A:$AC,2,FALSE))="Crown",(VLOOKUP(Table4[[#This Row],[SKU]],'All Skus'!$A:$AC,20,FALSE)),""))</f>
        <v>22</v>
      </c>
      <c r="Q26" s="133">
        <f>(IF((VLOOKUP(Table4[[#This Row],[SKU]],'All Skus'!$A:$AC,2,FALSE))="Crown",(VLOOKUP(Table4[[#This Row],[SKU]],'All Skus'!$A:$AC,21,FALSE)),""))</f>
        <v>8</v>
      </c>
      <c r="R26" s="60" t="str">
        <f>(IF((VLOOKUP(Table4[[#This Row],[SKU]],'All Skus'!$A:$AC,2,FALSE))="Crown",(VLOOKUP(Table4[[#This Row],[SKU]],'All Skus'!$A:$AC,22,FALSE)),""))</f>
        <v>CN</v>
      </c>
      <c r="S26" s="52" t="str">
        <f>(IF((VLOOKUP(Table4[[#This Row],[SKU]],'All Skus'!$A:$AC,2,FALSE))="Crown",(VLOOKUP(Table4[[#This Row],[SKU]],'All Skus'!$A:$AC,23,FALSE)),""))</f>
        <v>Non Compliant</v>
      </c>
      <c r="T26" s="211" t="str">
        <f>HYPERLINK((IF((VLOOKUP(Table4[[#This Row],[SKU]],'All Skus'!$A:$AC,2,FALSE))="Crown",(VLOOKUP(Table4[[#This Row],[SKU]],'All Skus'!$A:$AC,24,FALSE)),"")))</f>
        <v/>
      </c>
      <c r="U26" s="151">
        <v>24</v>
      </c>
      <c r="V26"/>
      <c r="W26"/>
      <c r="X26"/>
      <c r="Y26"/>
      <c r="Z26"/>
    </row>
    <row r="27" spans="1:26" s="52" customFormat="1" ht="15" customHeight="1">
      <c r="A27" s="48" t="s">
        <v>884</v>
      </c>
      <c r="B27" s="52" t="str">
        <f>(IF((VLOOKUP(Table4[[#This Row],[SKU]],'All Skus'!$A:$AC,2,FALSE))="Crown",(VLOOKUP(Table4[[#This Row],[SKU]],'All Skus'!$A:$AC,3,FALSE)),""))</f>
        <v>CDi DriveCore Series</v>
      </c>
      <c r="C27" s="52" t="str">
        <f>(IF((VLOOKUP(Table4[[#This Row],[SKU]],'All Skus'!$A:$AC,2,FALSE))="Crown",(VLOOKUP(Table4[[#This Row],[SKU]],'All Skus'!$A:$AC,4,FALSE)),""))</f>
        <v>CDi2x600</v>
      </c>
      <c r="D27" s="60" t="str">
        <f>(IF((VLOOKUP(Table4[[#This Row],[SKU]],'All Skus'!$A:$AC,2,FALSE))="Crown",(VLOOKUP(Table4[[#This Row],[SKU]],'All Skus'!$A:$AC,5,FALSE)),""))</f>
        <v>CDI</v>
      </c>
      <c r="E27" s="52">
        <f>(IF((VLOOKUP(Table4[[#This Row],[SKU]],'All Skus'!$A:$AC,2,FALSE))="Crown",(VLOOKUP(Table4[[#This Row],[SKU]],'All Skus'!$A:$AC,6,FALSE)),""))</f>
        <v>0</v>
      </c>
      <c r="F27" s="52">
        <f>(IF((VLOOKUP(Table4[[#This Row],[SKU]],'All Skus'!$A:$AC,2,FALSE))="Crown",(VLOOKUP(Table4[[#This Row],[SKU]],'All Skus'!$A:$AC,7,FALSE)),""))</f>
        <v>0</v>
      </c>
      <c r="G27" s="52" t="str">
        <f>(IF((VLOOKUP(Table4[[#This Row],[SKU]],'All Skus'!$A:$AC,2,FALSE))="Crown",(VLOOKUP(Table4[[#This Row],[SKU]],'All Skus'!$A:$AC,8,FALSE)),""))</f>
        <v>2x600W Power Amplifier</v>
      </c>
      <c r="H27" s="45" t="str">
        <f>(IF((VLOOKUP(Table4[[#This Row],[SKU]],'All Skus'!$A:$AC,2,FALSE))="Crown",(VLOOKUP(Table4[[#This Row],[SKU]],'All Skus'!$A:$AC,9,FALSE)),""))</f>
        <v>Analog input, 2 channel, 600W per output channel, Amplifier</v>
      </c>
      <c r="I27" s="94">
        <f>(IF((VLOOKUP(Table4[[#This Row],[SKU]],'All Skus'!$A:$AC,2,FALSE))="Crown",(VLOOKUP(Table4[[#This Row],[SKU]],'All Skus'!$A:$AC,10,FALSE)),""))</f>
        <v>1889.18</v>
      </c>
      <c r="J27" s="94">
        <f>(IF((VLOOKUP(Table4[[#This Row],[SKU]],'All Skus'!$A:$AC,2,FALSE))="Crown",(VLOOKUP(Table4[[#This Row],[SKU]],'All Skus'!$A:$AC,11,FALSE)),""))</f>
        <v>1889</v>
      </c>
      <c r="K27" s="60">
        <f>(IF((VLOOKUP(Table4[[#This Row],[SKU]],'All Skus'!$A:$AC,2,FALSE))="Crown",(VLOOKUP(Table4[[#This Row],[SKU]],'All Skus'!$A:$AC,15,FALSE)),""))</f>
        <v>1</v>
      </c>
      <c r="L27" s="47">
        <f>(IF((VLOOKUP(Table4[[#This Row],[SKU]],'All Skus'!$A:$AC,2,FALSE))="Crown",(VLOOKUP(Table4[[#This Row],[SKU]],'All Skus'!$A:$AC,16,FALSE)),""))</f>
        <v>691991006401</v>
      </c>
      <c r="M27" s="60">
        <f>(IF((VLOOKUP(Table4[[#This Row],[SKU]],'All Skus'!$A:$AC,2,FALSE))="Crown",(VLOOKUP(Table4[[#This Row],[SKU]],'All Skus'!$A:$AC,17,FALSE)),""))</f>
        <v>0</v>
      </c>
      <c r="N27" s="133">
        <f>(IF((VLOOKUP(Table4[[#This Row],[SKU]],'All Skus'!$A:$AC,2,FALSE))="Crown",(VLOOKUP(Table4[[#This Row],[SKU]],'All Skus'!$A:$AC,18,FALSE)),""))</f>
        <v>19</v>
      </c>
      <c r="O27" s="133">
        <f>(IF((VLOOKUP(Table4[[#This Row],[SKU]],'All Skus'!$A:$AC,2,FALSE))="Crown",(VLOOKUP(Table4[[#This Row],[SKU]],'All Skus'!$A:$AC,19,FALSE)),""))</f>
        <v>19</v>
      </c>
      <c r="P27" s="133">
        <f>(IF((VLOOKUP(Table4[[#This Row],[SKU]],'All Skus'!$A:$AC,2,FALSE))="Crown",(VLOOKUP(Table4[[#This Row],[SKU]],'All Skus'!$A:$AC,20,FALSE)),""))</f>
        <v>22</v>
      </c>
      <c r="Q27" s="133">
        <f>(IF((VLOOKUP(Table4[[#This Row],[SKU]],'All Skus'!$A:$AC,2,FALSE))="Crown",(VLOOKUP(Table4[[#This Row],[SKU]],'All Skus'!$A:$AC,21,FALSE)),""))</f>
        <v>8</v>
      </c>
      <c r="R27" s="60" t="str">
        <f>(IF((VLOOKUP(Table4[[#This Row],[SKU]],'All Skus'!$A:$AC,2,FALSE))="Crown",(VLOOKUP(Table4[[#This Row],[SKU]],'All Skus'!$A:$AC,22,FALSE)),""))</f>
        <v>CN</v>
      </c>
      <c r="S27" s="52" t="str">
        <f>(IF((VLOOKUP(Table4[[#This Row],[SKU]],'All Skus'!$A:$AC,2,FALSE))="Crown",(VLOOKUP(Table4[[#This Row],[SKU]],'All Skus'!$A:$AC,23,FALSE)),""))</f>
        <v>Non Compliant</v>
      </c>
      <c r="T27" s="211" t="str">
        <f>HYPERLINK((IF((VLOOKUP(Table4[[#This Row],[SKU]],'All Skus'!$A:$AC,2,FALSE))="Crown",(VLOOKUP(Table4[[#This Row],[SKU]],'All Skus'!$A:$AC,24,FALSE)),"")))</f>
        <v/>
      </c>
      <c r="U27" s="151">
        <v>25</v>
      </c>
      <c r="V27"/>
      <c r="W27"/>
      <c r="X27"/>
      <c r="Y27"/>
      <c r="Z27"/>
    </row>
    <row r="28" spans="1:26" s="52" customFormat="1" ht="14.65" customHeight="1">
      <c r="A28" s="48" t="s">
        <v>885</v>
      </c>
      <c r="B28" s="52" t="str">
        <f>(IF((VLOOKUP(Table4[[#This Row],[SKU]],'All Skus'!$A:$AC,2,FALSE))="Crown",(VLOOKUP(Table4[[#This Row],[SKU]],'All Skus'!$A:$AC,3,FALSE)),""))</f>
        <v>CDi DriveCore Series</v>
      </c>
      <c r="C28" s="52" t="str">
        <f>(IF((VLOOKUP(Table4[[#This Row],[SKU]],'All Skus'!$A:$AC,2,FALSE))="Crown",(VLOOKUP(Table4[[#This Row],[SKU]],'All Skus'!$A:$AC,4,FALSE)),""))</f>
        <v>CDi2x600</v>
      </c>
      <c r="D28" s="60" t="str">
        <f>(IF((VLOOKUP(Table4[[#This Row],[SKU]],'All Skus'!$A:$AC,2,FALSE))="Crown",(VLOOKUP(Table4[[#This Row],[SKU]],'All Skus'!$A:$AC,5,FALSE)),""))</f>
        <v>CDI</v>
      </c>
      <c r="E28" s="52">
        <f>(IF((VLOOKUP(Table4[[#This Row],[SKU]],'All Skus'!$A:$AC,2,FALSE))="Crown",(VLOOKUP(Table4[[#This Row],[SKU]],'All Skus'!$A:$AC,6,FALSE)),""))</f>
        <v>0</v>
      </c>
      <c r="F28" s="52">
        <f>(IF((VLOOKUP(Table4[[#This Row],[SKU]],'All Skus'!$A:$AC,2,FALSE))="Crown",(VLOOKUP(Table4[[#This Row],[SKU]],'All Skus'!$A:$AC,7,FALSE)),""))</f>
        <v>0</v>
      </c>
      <c r="G28" s="52" t="str">
        <f>(IF((VLOOKUP(Table4[[#This Row],[SKU]],'All Skus'!$A:$AC,2,FALSE))="Crown",(VLOOKUP(Table4[[#This Row],[SKU]],'All Skus'!$A:$AC,8,FALSE)),""))</f>
        <v>2x600W Power Amplifier</v>
      </c>
      <c r="H28" s="45" t="str">
        <f>(IF((VLOOKUP(Table4[[#This Row],[SKU]],'All Skus'!$A:$AC,2,FALSE))="Crown",(VLOOKUP(Table4[[#This Row],[SKU]],'All Skus'!$A:$AC,9,FALSE)),""))</f>
        <v>Analog input, 2 channel, 600W per output channel, Amplifier</v>
      </c>
      <c r="I28" s="94">
        <f>(IF((VLOOKUP(Table4[[#This Row],[SKU]],'All Skus'!$A:$AC,2,FALSE))="Crown",(VLOOKUP(Table4[[#This Row],[SKU]],'All Skus'!$A:$AC,10,FALSE)),""))</f>
        <v>1889.18</v>
      </c>
      <c r="J28" s="94">
        <f>(IF((VLOOKUP(Table4[[#This Row],[SKU]],'All Skus'!$A:$AC,2,FALSE))="Crown",(VLOOKUP(Table4[[#This Row],[SKU]],'All Skus'!$A:$AC,11,FALSE)),""))</f>
        <v>1889</v>
      </c>
      <c r="K28" s="60">
        <f>(IF((VLOOKUP(Table4[[#This Row],[SKU]],'All Skus'!$A:$AC,2,FALSE))="Crown",(VLOOKUP(Table4[[#This Row],[SKU]],'All Skus'!$A:$AC,15,FALSE)),""))</f>
        <v>1</v>
      </c>
      <c r="L28" s="47">
        <f>(IF((VLOOKUP(Table4[[#This Row],[SKU]],'All Skus'!$A:$AC,2,FALSE))="Crown",(VLOOKUP(Table4[[#This Row],[SKU]],'All Skus'!$A:$AC,16,FALSE)),""))</f>
        <v>691991006401</v>
      </c>
      <c r="M28" s="60">
        <f>(IF((VLOOKUP(Table4[[#This Row],[SKU]],'All Skus'!$A:$AC,2,FALSE))="Crown",(VLOOKUP(Table4[[#This Row],[SKU]],'All Skus'!$A:$AC,17,FALSE)),""))</f>
        <v>0</v>
      </c>
      <c r="N28" s="133">
        <f>(IF((VLOOKUP(Table4[[#This Row],[SKU]],'All Skus'!$A:$AC,2,FALSE))="Crown",(VLOOKUP(Table4[[#This Row],[SKU]],'All Skus'!$A:$AC,18,FALSE)),""))</f>
        <v>19</v>
      </c>
      <c r="O28" s="133">
        <f>(IF((VLOOKUP(Table4[[#This Row],[SKU]],'All Skus'!$A:$AC,2,FALSE))="Crown",(VLOOKUP(Table4[[#This Row],[SKU]],'All Skus'!$A:$AC,19,FALSE)),""))</f>
        <v>19</v>
      </c>
      <c r="P28" s="133">
        <f>(IF((VLOOKUP(Table4[[#This Row],[SKU]],'All Skus'!$A:$AC,2,FALSE))="Crown",(VLOOKUP(Table4[[#This Row],[SKU]],'All Skus'!$A:$AC,20,FALSE)),""))</f>
        <v>22</v>
      </c>
      <c r="Q28" s="133">
        <f>(IF((VLOOKUP(Table4[[#This Row],[SKU]],'All Skus'!$A:$AC,2,FALSE))="Crown",(VLOOKUP(Table4[[#This Row],[SKU]],'All Skus'!$A:$AC,21,FALSE)),""))</f>
        <v>8</v>
      </c>
      <c r="R28" s="60" t="str">
        <f>(IF((VLOOKUP(Table4[[#This Row],[SKU]],'All Skus'!$A:$AC,2,FALSE))="Crown",(VLOOKUP(Table4[[#This Row],[SKU]],'All Skus'!$A:$AC,22,FALSE)),""))</f>
        <v>CN</v>
      </c>
      <c r="S28" s="52" t="str">
        <f>(IF((VLOOKUP(Table4[[#This Row],[SKU]],'All Skus'!$A:$AC,2,FALSE))="Crown",(VLOOKUP(Table4[[#This Row],[SKU]],'All Skus'!$A:$AC,23,FALSE)),""))</f>
        <v>Non Compliant</v>
      </c>
      <c r="T28" s="211" t="str">
        <f>HYPERLINK((IF((VLOOKUP(Table4[[#This Row],[SKU]],'All Skus'!$A:$AC,2,FALSE))="Crown",(VLOOKUP(Table4[[#This Row],[SKU]],'All Skus'!$A:$AC,24,FALSE)),"")))</f>
        <v/>
      </c>
      <c r="U28" s="151">
        <v>26</v>
      </c>
      <c r="V28"/>
      <c r="W28"/>
      <c r="X28"/>
      <c r="Y28"/>
      <c r="Z28"/>
    </row>
    <row r="29" spans="1:26" s="52" customFormat="1" ht="14.65" customHeight="1">
      <c r="A29" s="48" t="s">
        <v>886</v>
      </c>
      <c r="B29" s="52" t="str">
        <f>(IF((VLOOKUP(Table4[[#This Row],[SKU]],'All Skus'!$A:$AC,2,FALSE))="Crown",(VLOOKUP(Table4[[#This Row],[SKU]],'All Skus'!$A:$AC,3,FALSE)),""))</f>
        <v>CDi Series</v>
      </c>
      <c r="C29" s="52" t="str">
        <f>(IF((VLOOKUP(Table4[[#This Row],[SKU]],'All Skus'!$A:$AC,2,FALSE))="Crown",(VLOOKUP(Table4[[#This Row],[SKU]],'All Skus'!$A:$AC,4,FALSE)),""))</f>
        <v>CDi4000</v>
      </c>
      <c r="D29" s="60" t="str">
        <f>(IF((VLOOKUP(Table4[[#This Row],[SKU]],'All Skus'!$A:$AC,2,FALSE))="Crown",(VLOOKUP(Table4[[#This Row],[SKU]],'All Skus'!$A:$AC,5,FALSE)),""))</f>
        <v>CDI</v>
      </c>
      <c r="E29" s="52">
        <f>(IF((VLOOKUP(Table4[[#This Row],[SKU]],'All Skus'!$A:$AC,2,FALSE))="Crown",(VLOOKUP(Table4[[#This Row],[SKU]],'All Skus'!$A:$AC,6,FALSE)),""))</f>
        <v>0</v>
      </c>
      <c r="F29" s="52">
        <f>(IF((VLOOKUP(Table4[[#This Row],[SKU]],'All Skus'!$A:$AC,2,FALSE))="Crown",(VLOOKUP(Table4[[#This Row],[SKU]],'All Skus'!$A:$AC,7,FALSE)),""))</f>
        <v>0</v>
      </c>
      <c r="G29" s="52" t="str">
        <f>(IF((VLOOKUP(Table4[[#This Row],[SKU]],'All Skus'!$A:$AC,2,FALSE))="Crown",(VLOOKUP(Table4[[#This Row],[SKU]],'All Skus'!$A:$AC,8,FALSE)),""))</f>
        <v>2X1200W Power Amplifier</v>
      </c>
      <c r="H29" s="45" t="str">
        <f>(IF((VLOOKUP(Table4[[#This Row],[SKU]],'All Skus'!$A:$AC,2,FALSE))="Crown",(VLOOKUP(Table4[[#This Row],[SKU]],'All Skus'!$A:$AC,9,FALSE)),""))</f>
        <v>Two-channel, 1200W @ 4Ω, 70V/100V/140V Power Amplifier</v>
      </c>
      <c r="I29" s="94">
        <f>(IF((VLOOKUP(Table4[[#This Row],[SKU]],'All Skus'!$A:$AC,2,FALSE))="Crown",(VLOOKUP(Table4[[#This Row],[SKU]],'All Skus'!$A:$AC,10,FALSE)),""))</f>
        <v>2631.38</v>
      </c>
      <c r="J29" s="94">
        <f>(IF((VLOOKUP(Table4[[#This Row],[SKU]],'All Skus'!$A:$AC,2,FALSE))="Crown",(VLOOKUP(Table4[[#This Row],[SKU]],'All Skus'!$A:$AC,11,FALSE)),""))</f>
        <v>2631.38</v>
      </c>
      <c r="K29" s="60">
        <f>(IF((VLOOKUP(Table4[[#This Row],[SKU]],'All Skus'!$A:$AC,2,FALSE))="Crown",(VLOOKUP(Table4[[#This Row],[SKU]],'All Skus'!$A:$AC,15,FALSE)),""))</f>
        <v>1</v>
      </c>
      <c r="L29" s="47">
        <f>(IF((VLOOKUP(Table4[[#This Row],[SKU]],'All Skus'!$A:$AC,2,FALSE))="Crown",(VLOOKUP(Table4[[#This Row],[SKU]],'All Skus'!$A:$AC,16,FALSE)),""))</f>
        <v>691991013744</v>
      </c>
      <c r="M29" s="60">
        <f>(IF((VLOOKUP(Table4[[#This Row],[SKU]],'All Skus'!$A:$AC,2,FALSE))="Crown",(VLOOKUP(Table4[[#This Row],[SKU]],'All Skus'!$A:$AC,17,FALSE)),""))</f>
        <v>0</v>
      </c>
      <c r="N29" s="133">
        <f>(IF((VLOOKUP(Table4[[#This Row],[SKU]],'All Skus'!$A:$AC,2,FALSE))="Crown",(VLOOKUP(Table4[[#This Row],[SKU]],'All Skus'!$A:$AC,18,FALSE)),""))</f>
        <v>24.03</v>
      </c>
      <c r="O29" s="133">
        <f>(IF((VLOOKUP(Table4[[#This Row],[SKU]],'All Skus'!$A:$AC,2,FALSE))="Crown",(VLOOKUP(Table4[[#This Row],[SKU]],'All Skus'!$A:$AC,19,FALSE)),""))</f>
        <v>22.44</v>
      </c>
      <c r="P29" s="133">
        <f>(IF((VLOOKUP(Table4[[#This Row],[SKU]],'All Skus'!$A:$AC,2,FALSE))="Crown",(VLOOKUP(Table4[[#This Row],[SKU]],'All Skus'!$A:$AC,20,FALSE)),""))</f>
        <v>19.690000000000001</v>
      </c>
      <c r="Q29" s="133">
        <f>(IF((VLOOKUP(Table4[[#This Row],[SKU]],'All Skus'!$A:$AC,2,FALSE))="Crown",(VLOOKUP(Table4[[#This Row],[SKU]],'All Skus'!$A:$AC,21,FALSE)),""))</f>
        <v>7.09</v>
      </c>
      <c r="R29" s="60" t="str">
        <f>(IF((VLOOKUP(Table4[[#This Row],[SKU]],'All Skus'!$A:$AC,2,FALSE))="Crown",(VLOOKUP(Table4[[#This Row],[SKU]],'All Skus'!$A:$AC,22,FALSE)),""))</f>
        <v>CN</v>
      </c>
      <c r="S29" s="52" t="str">
        <f>(IF((VLOOKUP(Table4[[#This Row],[SKU]],'All Skus'!$A:$AC,2,FALSE))="Crown",(VLOOKUP(Table4[[#This Row],[SKU]],'All Skus'!$A:$AC,23,FALSE)),""))</f>
        <v>Non Compliant</v>
      </c>
      <c r="T29" s="211" t="str">
        <f>HYPERLINK((IF((VLOOKUP(Table4[[#This Row],[SKU]],'All Skus'!$A:$AC,2,FALSE))="Crown",(VLOOKUP(Table4[[#This Row],[SKU]],'All Skus'!$A:$AC,24,FALSE)),"")))</f>
        <v/>
      </c>
      <c r="U29" s="151">
        <v>27</v>
      </c>
      <c r="V29"/>
      <c r="W29"/>
      <c r="X29"/>
      <c r="Y29"/>
      <c r="Z29"/>
    </row>
    <row r="30" spans="1:26" s="52" customFormat="1" ht="15" customHeight="1">
      <c r="A30" s="48" t="s">
        <v>887</v>
      </c>
      <c r="B30" s="52" t="str">
        <f>(IF((VLOOKUP(Table4[[#This Row],[SKU]],'All Skus'!$A:$AC,2,FALSE))="Crown",(VLOOKUP(Table4[[#This Row],[SKU]],'All Skus'!$A:$AC,3,FALSE)),""))</f>
        <v>CDi Series</v>
      </c>
      <c r="C30" s="52" t="str">
        <f>(IF((VLOOKUP(Table4[[#This Row],[SKU]],'All Skus'!$A:$AC,2,FALSE))="Crown",(VLOOKUP(Table4[[#This Row],[SKU]],'All Skus'!$A:$AC,4,FALSE)),""))</f>
        <v>CDi4000</v>
      </c>
      <c r="D30" s="60" t="str">
        <f>(IF((VLOOKUP(Table4[[#This Row],[SKU]],'All Skus'!$A:$AC,2,FALSE))="Crown",(VLOOKUP(Table4[[#This Row],[SKU]],'All Skus'!$A:$AC,5,FALSE)),""))</f>
        <v>CDI</v>
      </c>
      <c r="E30" s="52">
        <f>(IF((VLOOKUP(Table4[[#This Row],[SKU]],'All Skus'!$A:$AC,2,FALSE))="Crown",(VLOOKUP(Table4[[#This Row],[SKU]],'All Skus'!$A:$AC,6,FALSE)),""))</f>
        <v>0</v>
      </c>
      <c r="F30" s="52">
        <f>(IF((VLOOKUP(Table4[[#This Row],[SKU]],'All Skus'!$A:$AC,2,FALSE))="Crown",(VLOOKUP(Table4[[#This Row],[SKU]],'All Skus'!$A:$AC,7,FALSE)),""))</f>
        <v>0</v>
      </c>
      <c r="G30" s="52" t="str">
        <f>(IF((VLOOKUP(Table4[[#This Row],[SKU]],'All Skus'!$A:$AC,2,FALSE))="Crown",(VLOOKUP(Table4[[#This Row],[SKU]],'All Skus'!$A:$AC,8,FALSE)),""))</f>
        <v>2X1200W Power Amplifier</v>
      </c>
      <c r="H30" s="45" t="str">
        <f>(IF((VLOOKUP(Table4[[#This Row],[SKU]],'All Skus'!$A:$AC,2,FALSE))="Crown",(VLOOKUP(Table4[[#This Row],[SKU]],'All Skus'!$A:$AC,9,FALSE)),""))</f>
        <v>Two-channel, 1200W @ 4Ω, 70V/100V/140V Power Amplifier</v>
      </c>
      <c r="I30" s="94">
        <f>(IF((VLOOKUP(Table4[[#This Row],[SKU]],'All Skus'!$A:$AC,2,FALSE))="Crown",(VLOOKUP(Table4[[#This Row],[SKU]],'All Skus'!$A:$AC,10,FALSE)),""))</f>
        <v>2631.38</v>
      </c>
      <c r="J30" s="94">
        <f>(IF((VLOOKUP(Table4[[#This Row],[SKU]],'All Skus'!$A:$AC,2,FALSE))="Crown",(VLOOKUP(Table4[[#This Row],[SKU]],'All Skus'!$A:$AC,11,FALSE)),""))</f>
        <v>2631.38</v>
      </c>
      <c r="K30" s="60">
        <f>(IF((VLOOKUP(Table4[[#This Row],[SKU]],'All Skus'!$A:$AC,2,FALSE))="Crown",(VLOOKUP(Table4[[#This Row],[SKU]],'All Skus'!$A:$AC,15,FALSE)),""))</f>
        <v>1</v>
      </c>
      <c r="L30" s="47">
        <f>(IF((VLOOKUP(Table4[[#This Row],[SKU]],'All Skus'!$A:$AC,2,FALSE))="Crown",(VLOOKUP(Table4[[#This Row],[SKU]],'All Skus'!$A:$AC,16,FALSE)),""))</f>
        <v>691991013744</v>
      </c>
      <c r="M30" s="60">
        <f>(IF((VLOOKUP(Table4[[#This Row],[SKU]],'All Skus'!$A:$AC,2,FALSE))="Crown",(VLOOKUP(Table4[[#This Row],[SKU]],'All Skus'!$A:$AC,17,FALSE)),""))</f>
        <v>0</v>
      </c>
      <c r="N30" s="133">
        <f>(IF((VLOOKUP(Table4[[#This Row],[SKU]],'All Skus'!$A:$AC,2,FALSE))="Crown",(VLOOKUP(Table4[[#This Row],[SKU]],'All Skus'!$A:$AC,18,FALSE)),""))</f>
        <v>24.03</v>
      </c>
      <c r="O30" s="133">
        <f>(IF((VLOOKUP(Table4[[#This Row],[SKU]],'All Skus'!$A:$AC,2,FALSE))="Crown",(VLOOKUP(Table4[[#This Row],[SKU]],'All Skus'!$A:$AC,19,FALSE)),""))</f>
        <v>22.44</v>
      </c>
      <c r="P30" s="133">
        <f>(IF((VLOOKUP(Table4[[#This Row],[SKU]],'All Skus'!$A:$AC,2,FALSE))="Crown",(VLOOKUP(Table4[[#This Row],[SKU]],'All Skus'!$A:$AC,20,FALSE)),""))</f>
        <v>19.690000000000001</v>
      </c>
      <c r="Q30" s="133">
        <f>(IF((VLOOKUP(Table4[[#This Row],[SKU]],'All Skus'!$A:$AC,2,FALSE))="Crown",(VLOOKUP(Table4[[#This Row],[SKU]],'All Skus'!$A:$AC,21,FALSE)),""))</f>
        <v>7.09</v>
      </c>
      <c r="R30" s="60" t="str">
        <f>(IF((VLOOKUP(Table4[[#This Row],[SKU]],'All Skus'!$A:$AC,2,FALSE))="Crown",(VLOOKUP(Table4[[#This Row],[SKU]],'All Skus'!$A:$AC,22,FALSE)),""))</f>
        <v>CN</v>
      </c>
      <c r="S30" s="52" t="str">
        <f>(IF((VLOOKUP(Table4[[#This Row],[SKU]],'All Skus'!$A:$AC,2,FALSE))="Crown",(VLOOKUP(Table4[[#This Row],[SKU]],'All Skus'!$A:$AC,23,FALSE)),""))</f>
        <v>Non Compliant</v>
      </c>
      <c r="T30" s="211" t="str">
        <f>HYPERLINK((IF((VLOOKUP(Table4[[#This Row],[SKU]],'All Skus'!$A:$AC,2,FALSE))="Crown",(VLOOKUP(Table4[[#This Row],[SKU]],'All Skus'!$A:$AC,24,FALSE)),"")))</f>
        <v/>
      </c>
      <c r="U30" s="151">
        <v>28</v>
      </c>
      <c r="V30"/>
      <c r="W30"/>
      <c r="X30"/>
      <c r="Y30"/>
      <c r="Z30"/>
    </row>
    <row r="31" spans="1:26" s="52" customFormat="1" ht="15" customHeight="1">
      <c r="A31" s="48" t="s">
        <v>888</v>
      </c>
      <c r="B31" s="52" t="str">
        <f>(IF((VLOOKUP(Table4[[#This Row],[SKU]],'All Skus'!$A:$AC,2,FALSE))="Crown",(VLOOKUP(Table4[[#This Row],[SKU]],'All Skus'!$A:$AC,3,FALSE)),""))</f>
        <v>CDi DriveCore Series</v>
      </c>
      <c r="C31" s="52" t="str">
        <f>(IF((VLOOKUP(Table4[[#This Row],[SKU]],'All Skus'!$A:$AC,2,FALSE))="Crown",(VLOOKUP(Table4[[#This Row],[SKU]],'All Skus'!$A:$AC,4,FALSE)),""))</f>
        <v>CDi4x1200BL</v>
      </c>
      <c r="D31" s="60" t="str">
        <f>(IF((VLOOKUP(Table4[[#This Row],[SKU]],'All Skus'!$A:$AC,2,FALSE))="Crown",(VLOOKUP(Table4[[#This Row],[SKU]],'All Skus'!$A:$AC,5,FALSE)),""))</f>
        <v>CDI</v>
      </c>
      <c r="E31" s="52">
        <f>(IF((VLOOKUP(Table4[[#This Row],[SKU]],'All Skus'!$A:$AC,2,FALSE))="Crown",(VLOOKUP(Table4[[#This Row],[SKU]],'All Skus'!$A:$AC,6,FALSE)),""))</f>
        <v>0</v>
      </c>
      <c r="F31" s="52">
        <f>(IF((VLOOKUP(Table4[[#This Row],[SKU]],'All Skus'!$A:$AC,2,FALSE))="Crown",(VLOOKUP(Table4[[#This Row],[SKU]],'All Skus'!$A:$AC,7,FALSE)),""))</f>
        <v>0</v>
      </c>
      <c r="G31" s="52" t="str">
        <f>(IF((VLOOKUP(Table4[[#This Row],[SKU]],'All Skus'!$A:$AC,2,FALSE))="Crown",(VLOOKUP(Table4[[#This Row],[SKU]],'All Skus'!$A:$AC,8,FALSE)),""))</f>
        <v>4x1200 Power Amplifier with BLU link</v>
      </c>
      <c r="H31" s="45" t="str">
        <f>(IF((VLOOKUP(Table4[[#This Row],[SKU]],'All Skus'!$A:$AC,2,FALSE))="Crown",(VLOOKUP(Table4[[#This Row],[SKU]],'All Skus'!$A:$AC,9,FALSE)),""))</f>
        <v xml:space="preserve">1200 watts per channel  4 channel amplifier, 70/100V, 4/8 ohm, digital signal processing, networked, front panel interface, with BLU link . </v>
      </c>
      <c r="I31" s="94">
        <f>(IF((VLOOKUP(Table4[[#This Row],[SKU]],'All Skus'!$A:$AC,2,FALSE))="Crown",(VLOOKUP(Table4[[#This Row],[SKU]],'All Skus'!$A:$AC,10,FALSE)),""))</f>
        <v>4693.91</v>
      </c>
      <c r="J31" s="94">
        <f>(IF((VLOOKUP(Table4[[#This Row],[SKU]],'All Skus'!$A:$AC,2,FALSE))="Crown",(VLOOKUP(Table4[[#This Row],[SKU]],'All Skus'!$A:$AC,11,FALSE)),""))</f>
        <v>4693.91</v>
      </c>
      <c r="K31" s="60">
        <f>(IF((VLOOKUP(Table4[[#This Row],[SKU]],'All Skus'!$A:$AC,2,FALSE))="Crown",(VLOOKUP(Table4[[#This Row],[SKU]],'All Skus'!$A:$AC,15,FALSE)),""))</f>
        <v>1</v>
      </c>
      <c r="L31" s="47">
        <f>(IF((VLOOKUP(Table4[[#This Row],[SKU]],'All Skus'!$A:$AC,2,FALSE))="Crown",(VLOOKUP(Table4[[#This Row],[SKU]],'All Skus'!$A:$AC,16,FALSE)),""))</f>
        <v>691991006937</v>
      </c>
      <c r="M31" s="60">
        <f>(IF((VLOOKUP(Table4[[#This Row],[SKU]],'All Skus'!$A:$AC,2,FALSE))="Crown",(VLOOKUP(Table4[[#This Row],[SKU]],'All Skus'!$A:$AC,17,FALSE)),""))</f>
        <v>0</v>
      </c>
      <c r="N31" s="133">
        <f>(IF((VLOOKUP(Table4[[#This Row],[SKU]],'All Skus'!$A:$AC,2,FALSE))="Crown",(VLOOKUP(Table4[[#This Row],[SKU]],'All Skus'!$A:$AC,18,FALSE)),""))</f>
        <v>24</v>
      </c>
      <c r="O31" s="133">
        <f>(IF((VLOOKUP(Table4[[#This Row],[SKU]],'All Skus'!$A:$AC,2,FALSE))="Crown",(VLOOKUP(Table4[[#This Row],[SKU]],'All Skus'!$A:$AC,19,FALSE)),""))</f>
        <v>21</v>
      </c>
      <c r="P31" s="133">
        <f>(IF((VLOOKUP(Table4[[#This Row],[SKU]],'All Skus'!$A:$AC,2,FALSE))="Crown",(VLOOKUP(Table4[[#This Row],[SKU]],'All Skus'!$A:$AC,20,FALSE)),""))</f>
        <v>22</v>
      </c>
      <c r="Q31" s="133">
        <f>(IF((VLOOKUP(Table4[[#This Row],[SKU]],'All Skus'!$A:$AC,2,FALSE))="Crown",(VLOOKUP(Table4[[#This Row],[SKU]],'All Skus'!$A:$AC,21,FALSE)),""))</f>
        <v>8.5</v>
      </c>
      <c r="R31" s="60" t="str">
        <f>(IF((VLOOKUP(Table4[[#This Row],[SKU]],'All Skus'!$A:$AC,2,FALSE))="Crown",(VLOOKUP(Table4[[#This Row],[SKU]],'All Skus'!$A:$AC,22,FALSE)),""))</f>
        <v>CN</v>
      </c>
      <c r="S31" s="52" t="str">
        <f>(IF((VLOOKUP(Table4[[#This Row],[SKU]],'All Skus'!$A:$AC,2,FALSE))="Crown",(VLOOKUP(Table4[[#This Row],[SKU]],'All Skus'!$A:$AC,23,FALSE)),""))</f>
        <v>Non Compliant</v>
      </c>
      <c r="T31" s="211" t="str">
        <f>HYPERLINK((IF((VLOOKUP(Table4[[#This Row],[SKU]],'All Skus'!$A:$AC,2,FALSE))="Crown",(VLOOKUP(Table4[[#This Row],[SKU]],'All Skus'!$A:$AC,24,FALSE)),"")))</f>
        <v/>
      </c>
      <c r="U31" s="151">
        <v>29</v>
      </c>
      <c r="V31"/>
      <c r="W31"/>
      <c r="X31"/>
      <c r="Y31"/>
      <c r="Z31"/>
    </row>
    <row r="32" spans="1:26" s="52" customFormat="1" ht="15" customHeight="1">
      <c r="A32" s="48" t="s">
        <v>889</v>
      </c>
      <c r="B32" s="52" t="str">
        <f>(IF((VLOOKUP(Table4[[#This Row],[SKU]],'All Skus'!$A:$AC,2,FALSE))="Crown",(VLOOKUP(Table4[[#This Row],[SKU]],'All Skus'!$A:$AC,3,FALSE)),""))</f>
        <v>CDi DriveCore Series</v>
      </c>
      <c r="C32" s="52" t="str">
        <f>(IF((VLOOKUP(Table4[[#This Row],[SKU]],'All Skus'!$A:$AC,2,FALSE))="Crown",(VLOOKUP(Table4[[#This Row],[SKU]],'All Skus'!$A:$AC,4,FALSE)),""))</f>
        <v>CDi4x1200BL</v>
      </c>
      <c r="D32" s="60" t="str">
        <f>(IF((VLOOKUP(Table4[[#This Row],[SKU]],'All Skus'!$A:$AC,2,FALSE))="Crown",(VLOOKUP(Table4[[#This Row],[SKU]],'All Skus'!$A:$AC,5,FALSE)),""))</f>
        <v>CDI</v>
      </c>
      <c r="E32" s="52">
        <f>(IF((VLOOKUP(Table4[[#This Row],[SKU]],'All Skus'!$A:$AC,2,FALSE))="Crown",(VLOOKUP(Table4[[#This Row],[SKU]],'All Skus'!$A:$AC,6,FALSE)),""))</f>
        <v>0</v>
      </c>
      <c r="F32" s="52">
        <f>(IF((VLOOKUP(Table4[[#This Row],[SKU]],'All Skus'!$A:$AC,2,FALSE))="Crown",(VLOOKUP(Table4[[#This Row],[SKU]],'All Skus'!$A:$AC,7,FALSE)),""))</f>
        <v>0</v>
      </c>
      <c r="G32" s="52" t="str">
        <f>(IF((VLOOKUP(Table4[[#This Row],[SKU]],'All Skus'!$A:$AC,2,FALSE))="Crown",(VLOOKUP(Table4[[#This Row],[SKU]],'All Skus'!$A:$AC,8,FALSE)),""))</f>
        <v>4x1200 Power Amplifier with BLU link</v>
      </c>
      <c r="H32" s="45" t="str">
        <f>(IF((VLOOKUP(Table4[[#This Row],[SKU]],'All Skus'!$A:$AC,2,FALSE))="Crown",(VLOOKUP(Table4[[#This Row],[SKU]],'All Skus'!$A:$AC,9,FALSE)),""))</f>
        <v xml:space="preserve">1200 watts per channel  4 channel amplifier, 70/100V, 4/8 ohm, digital signal processing, networked, front panel interface, with BLU link . </v>
      </c>
      <c r="I32" s="94">
        <f>(IF((VLOOKUP(Table4[[#This Row],[SKU]],'All Skus'!$A:$AC,2,FALSE))="Crown",(VLOOKUP(Table4[[#This Row],[SKU]],'All Skus'!$A:$AC,10,FALSE)),""))</f>
        <v>4693.91</v>
      </c>
      <c r="J32" s="94">
        <f>(IF((VLOOKUP(Table4[[#This Row],[SKU]],'All Skus'!$A:$AC,2,FALSE))="Crown",(VLOOKUP(Table4[[#This Row],[SKU]],'All Skus'!$A:$AC,11,FALSE)),""))</f>
        <v>4693.91</v>
      </c>
      <c r="K32" s="60">
        <f>(IF((VLOOKUP(Table4[[#This Row],[SKU]],'All Skus'!$A:$AC,2,FALSE))="Crown",(VLOOKUP(Table4[[#This Row],[SKU]],'All Skus'!$A:$AC,15,FALSE)),""))</f>
        <v>1</v>
      </c>
      <c r="L32" s="47">
        <f>(IF((VLOOKUP(Table4[[#This Row],[SKU]],'All Skus'!$A:$AC,2,FALSE))="Crown",(VLOOKUP(Table4[[#This Row],[SKU]],'All Skus'!$A:$AC,16,FALSE)),""))</f>
        <v>691991006937</v>
      </c>
      <c r="M32" s="60">
        <f>(IF((VLOOKUP(Table4[[#This Row],[SKU]],'All Skus'!$A:$AC,2,FALSE))="Crown",(VLOOKUP(Table4[[#This Row],[SKU]],'All Skus'!$A:$AC,17,FALSE)),""))</f>
        <v>0</v>
      </c>
      <c r="N32" s="133">
        <f>(IF((VLOOKUP(Table4[[#This Row],[SKU]],'All Skus'!$A:$AC,2,FALSE))="Crown",(VLOOKUP(Table4[[#This Row],[SKU]],'All Skus'!$A:$AC,18,FALSE)),""))</f>
        <v>24</v>
      </c>
      <c r="O32" s="133">
        <f>(IF((VLOOKUP(Table4[[#This Row],[SKU]],'All Skus'!$A:$AC,2,FALSE))="Crown",(VLOOKUP(Table4[[#This Row],[SKU]],'All Skus'!$A:$AC,19,FALSE)),""))</f>
        <v>21</v>
      </c>
      <c r="P32" s="133">
        <f>(IF((VLOOKUP(Table4[[#This Row],[SKU]],'All Skus'!$A:$AC,2,FALSE))="Crown",(VLOOKUP(Table4[[#This Row],[SKU]],'All Skus'!$A:$AC,20,FALSE)),""))</f>
        <v>22</v>
      </c>
      <c r="Q32" s="133">
        <f>(IF((VLOOKUP(Table4[[#This Row],[SKU]],'All Skus'!$A:$AC,2,FALSE))="Crown",(VLOOKUP(Table4[[#This Row],[SKU]],'All Skus'!$A:$AC,21,FALSE)),""))</f>
        <v>8.5</v>
      </c>
      <c r="R32" s="60" t="str">
        <f>(IF((VLOOKUP(Table4[[#This Row],[SKU]],'All Skus'!$A:$AC,2,FALSE))="Crown",(VLOOKUP(Table4[[#This Row],[SKU]],'All Skus'!$A:$AC,22,FALSE)),""))</f>
        <v>CN</v>
      </c>
      <c r="S32" s="52" t="str">
        <f>(IF((VLOOKUP(Table4[[#This Row],[SKU]],'All Skus'!$A:$AC,2,FALSE))="Crown",(VLOOKUP(Table4[[#This Row],[SKU]],'All Skus'!$A:$AC,23,FALSE)),""))</f>
        <v>Non Compliant</v>
      </c>
      <c r="T32" s="211" t="str">
        <f>HYPERLINK((IF((VLOOKUP(Table4[[#This Row],[SKU]],'All Skus'!$A:$AC,2,FALSE))="Crown",(VLOOKUP(Table4[[#This Row],[SKU]],'All Skus'!$A:$AC,24,FALSE)),"")))</f>
        <v/>
      </c>
      <c r="U32" s="151">
        <v>30</v>
      </c>
      <c r="V32"/>
      <c r="W32"/>
      <c r="X32"/>
      <c r="Y32"/>
      <c r="Z32"/>
    </row>
    <row r="33" spans="1:26" s="52" customFormat="1" ht="15" customHeight="1">
      <c r="A33" s="48" t="s">
        <v>890</v>
      </c>
      <c r="B33" s="52" t="str">
        <f>(IF((VLOOKUP(Table4[[#This Row],[SKU]],'All Skus'!$A:$AC,2,FALSE))="Crown",(VLOOKUP(Table4[[#This Row],[SKU]],'All Skus'!$A:$AC,3,FALSE)),""))</f>
        <v>CDi DriveCore Series</v>
      </c>
      <c r="C33" s="52" t="str">
        <f>(IF((VLOOKUP(Table4[[#This Row],[SKU]],'All Skus'!$A:$AC,2,FALSE))="Crown",(VLOOKUP(Table4[[#This Row],[SKU]],'All Skus'!$A:$AC,4,FALSE)),""))</f>
        <v>CDi4x300BL</v>
      </c>
      <c r="D33" s="60" t="str">
        <f>(IF((VLOOKUP(Table4[[#This Row],[SKU]],'All Skus'!$A:$AC,2,FALSE))="Crown",(VLOOKUP(Table4[[#This Row],[SKU]],'All Skus'!$A:$AC,5,FALSE)),""))</f>
        <v>CDI</v>
      </c>
      <c r="E33" s="52">
        <f>(IF((VLOOKUP(Table4[[#This Row],[SKU]],'All Skus'!$A:$AC,2,FALSE))="Crown",(VLOOKUP(Table4[[#This Row],[SKU]],'All Skus'!$A:$AC,6,FALSE)),""))</f>
        <v>0</v>
      </c>
      <c r="F33" s="52">
        <f>(IF((VLOOKUP(Table4[[#This Row],[SKU]],'All Skus'!$A:$AC,2,FALSE))="Crown",(VLOOKUP(Table4[[#This Row],[SKU]],'All Skus'!$A:$AC,7,FALSE)),""))</f>
        <v>0</v>
      </c>
      <c r="G33" s="52" t="str">
        <f>(IF((VLOOKUP(Table4[[#This Row],[SKU]],'All Skus'!$A:$AC,2,FALSE))="Crown",(VLOOKUP(Table4[[#This Row],[SKU]],'All Skus'!$A:$AC,8,FALSE)),""))</f>
        <v>4x300W Power Amplifier with BLU link</v>
      </c>
      <c r="H33" s="45" t="str">
        <f>(IF((VLOOKUP(Table4[[#This Row],[SKU]],'All Skus'!$A:$AC,2,FALSE))="Crown",(VLOOKUP(Table4[[#This Row],[SKU]],'All Skus'!$A:$AC,9,FALSE)),""))</f>
        <v>Analog + BLU link input, 4 channel, 300W per output channel, Amplifier</v>
      </c>
      <c r="I33" s="94">
        <f>(IF((VLOOKUP(Table4[[#This Row],[SKU]],'All Skus'!$A:$AC,2,FALSE))="Crown",(VLOOKUP(Table4[[#This Row],[SKU]],'All Skus'!$A:$AC,10,FALSE)),""))</f>
        <v>2865.27</v>
      </c>
      <c r="J33" s="94">
        <f>(IF((VLOOKUP(Table4[[#This Row],[SKU]],'All Skus'!$A:$AC,2,FALSE))="Crown",(VLOOKUP(Table4[[#This Row],[SKU]],'All Skus'!$A:$AC,11,FALSE)),""))</f>
        <v>2865</v>
      </c>
      <c r="K33" s="60">
        <f>(IF((VLOOKUP(Table4[[#This Row],[SKU]],'All Skus'!$A:$AC,2,FALSE))="Crown",(VLOOKUP(Table4[[#This Row],[SKU]],'All Skus'!$A:$AC,15,FALSE)),""))</f>
        <v>1</v>
      </c>
      <c r="L33" s="47">
        <f>(IF((VLOOKUP(Table4[[#This Row],[SKU]],'All Skus'!$A:$AC,2,FALSE))="Crown",(VLOOKUP(Table4[[#This Row],[SKU]],'All Skus'!$A:$AC,16,FALSE)),""))</f>
        <v>691991006364</v>
      </c>
      <c r="M33" s="60">
        <f>(IF((VLOOKUP(Table4[[#This Row],[SKU]],'All Skus'!$A:$AC,2,FALSE))="Crown",(VLOOKUP(Table4[[#This Row],[SKU]],'All Skus'!$A:$AC,17,FALSE)),""))</f>
        <v>0</v>
      </c>
      <c r="N33" s="133">
        <f>(IF((VLOOKUP(Table4[[#This Row],[SKU]],'All Skus'!$A:$AC,2,FALSE))="Crown",(VLOOKUP(Table4[[#This Row],[SKU]],'All Skus'!$A:$AC,18,FALSE)),""))</f>
        <v>19</v>
      </c>
      <c r="O33" s="133">
        <f>(IF((VLOOKUP(Table4[[#This Row],[SKU]],'All Skus'!$A:$AC,2,FALSE))="Crown",(VLOOKUP(Table4[[#This Row],[SKU]],'All Skus'!$A:$AC,19,FALSE)),""))</f>
        <v>19</v>
      </c>
      <c r="P33" s="133">
        <f>(IF((VLOOKUP(Table4[[#This Row],[SKU]],'All Skus'!$A:$AC,2,FALSE))="Crown",(VLOOKUP(Table4[[#This Row],[SKU]],'All Skus'!$A:$AC,20,FALSE)),""))</f>
        <v>22</v>
      </c>
      <c r="Q33" s="133">
        <f>(IF((VLOOKUP(Table4[[#This Row],[SKU]],'All Skus'!$A:$AC,2,FALSE))="Crown",(VLOOKUP(Table4[[#This Row],[SKU]],'All Skus'!$A:$AC,21,FALSE)),""))</f>
        <v>8</v>
      </c>
      <c r="R33" s="60" t="str">
        <f>(IF((VLOOKUP(Table4[[#This Row],[SKU]],'All Skus'!$A:$AC,2,FALSE))="Crown",(VLOOKUP(Table4[[#This Row],[SKU]],'All Skus'!$A:$AC,22,FALSE)),""))</f>
        <v>CN</v>
      </c>
      <c r="S33" s="52" t="str">
        <f>(IF((VLOOKUP(Table4[[#This Row],[SKU]],'All Skus'!$A:$AC,2,FALSE))="Crown",(VLOOKUP(Table4[[#This Row],[SKU]],'All Skus'!$A:$AC,23,FALSE)),""))</f>
        <v>Non Compliant</v>
      </c>
      <c r="T33" s="211" t="str">
        <f>HYPERLINK((IF((VLOOKUP(Table4[[#This Row],[SKU]],'All Skus'!$A:$AC,2,FALSE))="Crown",(VLOOKUP(Table4[[#This Row],[SKU]],'All Skus'!$A:$AC,24,FALSE)),"")))</f>
        <v/>
      </c>
      <c r="U33" s="151">
        <v>31</v>
      </c>
      <c r="V33"/>
      <c r="W33"/>
      <c r="X33"/>
      <c r="Y33"/>
      <c r="Z33"/>
    </row>
    <row r="34" spans="1:26" s="52" customFormat="1" ht="15" customHeight="1">
      <c r="A34" s="48" t="s">
        <v>891</v>
      </c>
      <c r="B34" s="52" t="str">
        <f>(IF((VLOOKUP(Table4[[#This Row],[SKU]],'All Skus'!$A:$AC,2,FALSE))="Crown",(VLOOKUP(Table4[[#This Row],[SKU]],'All Skus'!$A:$AC,3,FALSE)),""))</f>
        <v>CDi DriveCore Series</v>
      </c>
      <c r="C34" s="52" t="str">
        <f>(IF((VLOOKUP(Table4[[#This Row],[SKU]],'All Skus'!$A:$AC,2,FALSE))="Crown",(VLOOKUP(Table4[[#This Row],[SKU]],'All Skus'!$A:$AC,4,FALSE)),""))</f>
        <v>CDi4x300BL</v>
      </c>
      <c r="D34" s="60" t="str">
        <f>(IF((VLOOKUP(Table4[[#This Row],[SKU]],'All Skus'!$A:$AC,2,FALSE))="Crown",(VLOOKUP(Table4[[#This Row],[SKU]],'All Skus'!$A:$AC,5,FALSE)),""))</f>
        <v>CDI</v>
      </c>
      <c r="E34" s="52">
        <f>(IF((VLOOKUP(Table4[[#This Row],[SKU]],'All Skus'!$A:$AC,2,FALSE))="Crown",(VLOOKUP(Table4[[#This Row],[SKU]],'All Skus'!$A:$AC,6,FALSE)),""))</f>
        <v>0</v>
      </c>
      <c r="F34" s="52">
        <f>(IF((VLOOKUP(Table4[[#This Row],[SKU]],'All Skus'!$A:$AC,2,FALSE))="Crown",(VLOOKUP(Table4[[#This Row],[SKU]],'All Skus'!$A:$AC,7,FALSE)),""))</f>
        <v>0</v>
      </c>
      <c r="G34" s="52" t="str">
        <f>(IF((VLOOKUP(Table4[[#This Row],[SKU]],'All Skus'!$A:$AC,2,FALSE))="Crown",(VLOOKUP(Table4[[#This Row],[SKU]],'All Skus'!$A:$AC,8,FALSE)),""))</f>
        <v>4x300W Power Amplifier with BLU link</v>
      </c>
      <c r="H34" s="45" t="str">
        <f>(IF((VLOOKUP(Table4[[#This Row],[SKU]],'All Skus'!$A:$AC,2,FALSE))="Crown",(VLOOKUP(Table4[[#This Row],[SKU]],'All Skus'!$A:$AC,9,FALSE)),""))</f>
        <v>Analog + BLU link input, 4 channel, 300W per output channel, Amplifier</v>
      </c>
      <c r="I34" s="94">
        <f>(IF((VLOOKUP(Table4[[#This Row],[SKU]],'All Skus'!$A:$AC,2,FALSE))="Crown",(VLOOKUP(Table4[[#This Row],[SKU]],'All Skus'!$A:$AC,10,FALSE)),""))</f>
        <v>2865.27</v>
      </c>
      <c r="J34" s="94">
        <f>(IF((VLOOKUP(Table4[[#This Row],[SKU]],'All Skus'!$A:$AC,2,FALSE))="Crown",(VLOOKUP(Table4[[#This Row],[SKU]],'All Skus'!$A:$AC,11,FALSE)),""))</f>
        <v>2865</v>
      </c>
      <c r="K34" s="60">
        <f>(IF((VLOOKUP(Table4[[#This Row],[SKU]],'All Skus'!$A:$AC,2,FALSE))="Crown",(VLOOKUP(Table4[[#This Row],[SKU]],'All Skus'!$A:$AC,15,FALSE)),""))</f>
        <v>1</v>
      </c>
      <c r="L34" s="47">
        <f>(IF((VLOOKUP(Table4[[#This Row],[SKU]],'All Skus'!$A:$AC,2,FALSE))="Crown",(VLOOKUP(Table4[[#This Row],[SKU]],'All Skus'!$A:$AC,16,FALSE)),""))</f>
        <v>691991006364</v>
      </c>
      <c r="M34" s="60">
        <f>(IF((VLOOKUP(Table4[[#This Row],[SKU]],'All Skus'!$A:$AC,2,FALSE))="Crown",(VLOOKUP(Table4[[#This Row],[SKU]],'All Skus'!$A:$AC,17,FALSE)),""))</f>
        <v>0</v>
      </c>
      <c r="N34" s="133">
        <f>(IF((VLOOKUP(Table4[[#This Row],[SKU]],'All Skus'!$A:$AC,2,FALSE))="Crown",(VLOOKUP(Table4[[#This Row],[SKU]],'All Skus'!$A:$AC,18,FALSE)),""))</f>
        <v>19</v>
      </c>
      <c r="O34" s="133">
        <f>(IF((VLOOKUP(Table4[[#This Row],[SKU]],'All Skus'!$A:$AC,2,FALSE))="Crown",(VLOOKUP(Table4[[#This Row],[SKU]],'All Skus'!$A:$AC,19,FALSE)),""))</f>
        <v>19</v>
      </c>
      <c r="P34" s="133">
        <f>(IF((VLOOKUP(Table4[[#This Row],[SKU]],'All Skus'!$A:$AC,2,FALSE))="Crown",(VLOOKUP(Table4[[#This Row],[SKU]],'All Skus'!$A:$AC,20,FALSE)),""))</f>
        <v>22</v>
      </c>
      <c r="Q34" s="133">
        <f>(IF((VLOOKUP(Table4[[#This Row],[SKU]],'All Skus'!$A:$AC,2,FALSE))="Crown",(VLOOKUP(Table4[[#This Row],[SKU]],'All Skus'!$A:$AC,21,FALSE)),""))</f>
        <v>8</v>
      </c>
      <c r="R34" s="60" t="str">
        <f>(IF((VLOOKUP(Table4[[#This Row],[SKU]],'All Skus'!$A:$AC,2,FALSE))="Crown",(VLOOKUP(Table4[[#This Row],[SKU]],'All Skus'!$A:$AC,22,FALSE)),""))</f>
        <v>CN</v>
      </c>
      <c r="S34" s="52" t="str">
        <f>(IF((VLOOKUP(Table4[[#This Row],[SKU]],'All Skus'!$A:$AC,2,FALSE))="Crown",(VLOOKUP(Table4[[#This Row],[SKU]],'All Skus'!$A:$AC,23,FALSE)),""))</f>
        <v>Non Compliant</v>
      </c>
      <c r="T34" s="211" t="str">
        <f>HYPERLINK((IF((VLOOKUP(Table4[[#This Row],[SKU]],'All Skus'!$A:$AC,2,FALSE))="Crown",(VLOOKUP(Table4[[#This Row],[SKU]],'All Skus'!$A:$AC,24,FALSE)),"")))</f>
        <v/>
      </c>
      <c r="U34" s="151">
        <v>32</v>
      </c>
      <c r="V34"/>
      <c r="W34"/>
      <c r="X34"/>
      <c r="Y34"/>
      <c r="Z34"/>
    </row>
    <row r="35" spans="1:26" s="52" customFormat="1" ht="15" customHeight="1">
      <c r="A35" s="48" t="s">
        <v>892</v>
      </c>
      <c r="B35" s="52" t="str">
        <f>(IF((VLOOKUP(Table4[[#This Row],[SKU]],'All Skus'!$A:$AC,2,FALSE))="Crown",(VLOOKUP(Table4[[#This Row],[SKU]],'All Skus'!$A:$AC,3,FALSE)),""))</f>
        <v>CDi DriveCore Series</v>
      </c>
      <c r="C35" s="52" t="str">
        <f>(IF((VLOOKUP(Table4[[#This Row],[SKU]],'All Skus'!$A:$AC,2,FALSE))="Crown",(VLOOKUP(Table4[[#This Row],[SKU]],'All Skus'!$A:$AC,4,FALSE)),""))</f>
        <v>CDi4x600</v>
      </c>
      <c r="D35" s="60" t="str">
        <f>(IF((VLOOKUP(Table4[[#This Row],[SKU]],'All Skus'!$A:$AC,2,FALSE))="Crown",(VLOOKUP(Table4[[#This Row],[SKU]],'All Skus'!$A:$AC,5,FALSE)),""))</f>
        <v>CDI</v>
      </c>
      <c r="E35" s="52">
        <f>(IF((VLOOKUP(Table4[[#This Row],[SKU]],'All Skus'!$A:$AC,2,FALSE))="Crown",(VLOOKUP(Table4[[#This Row],[SKU]],'All Skus'!$A:$AC,6,FALSE)),""))</f>
        <v>0</v>
      </c>
      <c r="F35" s="52">
        <f>(IF((VLOOKUP(Table4[[#This Row],[SKU]],'All Skus'!$A:$AC,2,FALSE))="Crown",(VLOOKUP(Table4[[#This Row],[SKU]],'All Skus'!$A:$AC,7,FALSE)),""))</f>
        <v>0</v>
      </c>
      <c r="G35" s="52" t="str">
        <f>(IF((VLOOKUP(Table4[[#This Row],[SKU]],'All Skus'!$A:$AC,2,FALSE))="Crown",(VLOOKUP(Table4[[#This Row],[SKU]],'All Skus'!$A:$AC,8,FALSE)),""))</f>
        <v>4x600 Power Amplifier</v>
      </c>
      <c r="H35" s="45" t="str">
        <f>(IF((VLOOKUP(Table4[[#This Row],[SKU]],'All Skus'!$A:$AC,2,FALSE))="Crown",(VLOOKUP(Table4[[#This Row],[SKU]],'All Skus'!$A:$AC,9,FALSE)),""))</f>
        <v xml:space="preserve">600 watts per channel  4 channel amplifier, 70/100V, 4/8 ohm, digital signal processing, networked, front panel interface.  </v>
      </c>
      <c r="I35" s="94">
        <f>(IF((VLOOKUP(Table4[[#This Row],[SKU]],'All Skus'!$A:$AC,2,FALSE))="Crown",(VLOOKUP(Table4[[#This Row],[SKU]],'All Skus'!$A:$AC,10,FALSE)),""))</f>
        <v>3382.01</v>
      </c>
      <c r="J35" s="94">
        <f>(IF((VLOOKUP(Table4[[#This Row],[SKU]],'All Skus'!$A:$AC,2,FALSE))="Crown",(VLOOKUP(Table4[[#This Row],[SKU]],'All Skus'!$A:$AC,11,FALSE)),""))</f>
        <v>3382</v>
      </c>
      <c r="K35" s="60">
        <f>(IF((VLOOKUP(Table4[[#This Row],[SKU]],'All Skus'!$A:$AC,2,FALSE))="Crown",(VLOOKUP(Table4[[#This Row],[SKU]],'All Skus'!$A:$AC,15,FALSE)),""))</f>
        <v>1</v>
      </c>
      <c r="L35" s="47">
        <f>(IF((VLOOKUP(Table4[[#This Row],[SKU]],'All Skus'!$A:$AC,2,FALSE))="Crown",(VLOOKUP(Table4[[#This Row],[SKU]],'All Skus'!$A:$AC,16,FALSE)),""))</f>
        <v>691991006982</v>
      </c>
      <c r="M35" s="60">
        <f>(IF((VLOOKUP(Table4[[#This Row],[SKU]],'All Skus'!$A:$AC,2,FALSE))="Crown",(VLOOKUP(Table4[[#This Row],[SKU]],'All Skus'!$A:$AC,17,FALSE)),""))</f>
        <v>0</v>
      </c>
      <c r="N35" s="133">
        <f>(IF((VLOOKUP(Table4[[#This Row],[SKU]],'All Skus'!$A:$AC,2,FALSE))="Crown",(VLOOKUP(Table4[[#This Row],[SKU]],'All Skus'!$A:$AC,18,FALSE)),""))</f>
        <v>22</v>
      </c>
      <c r="O35" s="133">
        <f>(IF((VLOOKUP(Table4[[#This Row],[SKU]],'All Skus'!$A:$AC,2,FALSE))="Crown",(VLOOKUP(Table4[[#This Row],[SKU]],'All Skus'!$A:$AC,19,FALSE)),""))</f>
        <v>22</v>
      </c>
      <c r="P35" s="133">
        <f>(IF((VLOOKUP(Table4[[#This Row],[SKU]],'All Skus'!$A:$AC,2,FALSE))="Crown",(VLOOKUP(Table4[[#This Row],[SKU]],'All Skus'!$A:$AC,20,FALSE)),""))</f>
        <v>18</v>
      </c>
      <c r="Q35" s="133">
        <f>(IF((VLOOKUP(Table4[[#This Row],[SKU]],'All Skus'!$A:$AC,2,FALSE))="Crown",(VLOOKUP(Table4[[#This Row],[SKU]],'All Skus'!$A:$AC,21,FALSE)),""))</f>
        <v>8</v>
      </c>
      <c r="R35" s="60" t="str">
        <f>(IF((VLOOKUP(Table4[[#This Row],[SKU]],'All Skus'!$A:$AC,2,FALSE))="Crown",(VLOOKUP(Table4[[#This Row],[SKU]],'All Skus'!$A:$AC,22,FALSE)),""))</f>
        <v>CN</v>
      </c>
      <c r="S35" s="52" t="str">
        <f>(IF((VLOOKUP(Table4[[#This Row],[SKU]],'All Skus'!$A:$AC,2,FALSE))="Crown",(VLOOKUP(Table4[[#This Row],[SKU]],'All Skus'!$A:$AC,23,FALSE)),""))</f>
        <v>Non Compliant</v>
      </c>
      <c r="T35" s="211" t="str">
        <f>HYPERLINK((IF((VLOOKUP(Table4[[#This Row],[SKU]],'All Skus'!$A:$AC,2,FALSE))="Crown",(VLOOKUP(Table4[[#This Row],[SKU]],'All Skus'!$A:$AC,24,FALSE)),"")))</f>
        <v/>
      </c>
      <c r="U35" s="151">
        <v>33</v>
      </c>
      <c r="V35"/>
      <c r="W35"/>
      <c r="X35"/>
      <c r="Y35"/>
      <c r="Z35"/>
    </row>
    <row r="36" spans="1:26" s="52" customFormat="1" ht="15" customHeight="1">
      <c r="A36" s="48" t="s">
        <v>893</v>
      </c>
      <c r="B36" s="52" t="str">
        <f>(IF((VLOOKUP(Table4[[#This Row],[SKU]],'All Skus'!$A:$AC,2,FALSE))="Crown",(VLOOKUP(Table4[[#This Row],[SKU]],'All Skus'!$A:$AC,3,FALSE)),""))</f>
        <v>CDi DriveCore Series</v>
      </c>
      <c r="C36" s="52" t="str">
        <f>(IF((VLOOKUP(Table4[[#This Row],[SKU]],'All Skus'!$A:$AC,2,FALSE))="Crown",(VLOOKUP(Table4[[#This Row],[SKU]],'All Skus'!$A:$AC,4,FALSE)),""))</f>
        <v>CDi4x600</v>
      </c>
      <c r="D36" s="60" t="str">
        <f>(IF((VLOOKUP(Table4[[#This Row],[SKU]],'All Skus'!$A:$AC,2,FALSE))="Crown",(VLOOKUP(Table4[[#This Row],[SKU]],'All Skus'!$A:$AC,5,FALSE)),""))</f>
        <v>CDI</v>
      </c>
      <c r="E36" s="52">
        <f>(IF((VLOOKUP(Table4[[#This Row],[SKU]],'All Skus'!$A:$AC,2,FALSE))="Crown",(VLOOKUP(Table4[[#This Row],[SKU]],'All Skus'!$A:$AC,6,FALSE)),""))</f>
        <v>0</v>
      </c>
      <c r="F36" s="52">
        <f>(IF((VLOOKUP(Table4[[#This Row],[SKU]],'All Skus'!$A:$AC,2,FALSE))="Crown",(VLOOKUP(Table4[[#This Row],[SKU]],'All Skus'!$A:$AC,7,FALSE)),""))</f>
        <v>0</v>
      </c>
      <c r="G36" s="52" t="str">
        <f>(IF((VLOOKUP(Table4[[#This Row],[SKU]],'All Skus'!$A:$AC,2,FALSE))="Crown",(VLOOKUP(Table4[[#This Row],[SKU]],'All Skus'!$A:$AC,8,FALSE)),""))</f>
        <v>4x600 Power Amplifier</v>
      </c>
      <c r="H36" s="45" t="str">
        <f>(IF((VLOOKUP(Table4[[#This Row],[SKU]],'All Skus'!$A:$AC,2,FALSE))="Crown",(VLOOKUP(Table4[[#This Row],[SKU]],'All Skus'!$A:$AC,9,FALSE)),""))</f>
        <v xml:space="preserve">600 watts per channel  4 channel amplifier, 70/100V, 4/8 ohm, digital signal processing, networked, front panel interface.  </v>
      </c>
      <c r="I36" s="94">
        <f>(IF((VLOOKUP(Table4[[#This Row],[SKU]],'All Skus'!$A:$AC,2,FALSE))="Crown",(VLOOKUP(Table4[[#This Row],[SKU]],'All Skus'!$A:$AC,10,FALSE)),""))</f>
        <v>3382.01</v>
      </c>
      <c r="J36" s="94">
        <f>(IF((VLOOKUP(Table4[[#This Row],[SKU]],'All Skus'!$A:$AC,2,FALSE))="Crown",(VLOOKUP(Table4[[#This Row],[SKU]],'All Skus'!$A:$AC,11,FALSE)),""))</f>
        <v>3382</v>
      </c>
      <c r="K36" s="60">
        <f>(IF((VLOOKUP(Table4[[#This Row],[SKU]],'All Skus'!$A:$AC,2,FALSE))="Crown",(VLOOKUP(Table4[[#This Row],[SKU]],'All Skus'!$A:$AC,15,FALSE)),""))</f>
        <v>1</v>
      </c>
      <c r="L36" s="47">
        <f>(IF((VLOOKUP(Table4[[#This Row],[SKU]],'All Skus'!$A:$AC,2,FALSE))="Crown",(VLOOKUP(Table4[[#This Row],[SKU]],'All Skus'!$A:$AC,16,FALSE)),""))</f>
        <v>691991006982</v>
      </c>
      <c r="M36" s="60">
        <f>(IF((VLOOKUP(Table4[[#This Row],[SKU]],'All Skus'!$A:$AC,2,FALSE))="Crown",(VLOOKUP(Table4[[#This Row],[SKU]],'All Skus'!$A:$AC,17,FALSE)),""))</f>
        <v>0</v>
      </c>
      <c r="N36" s="133">
        <f>(IF((VLOOKUP(Table4[[#This Row],[SKU]],'All Skus'!$A:$AC,2,FALSE))="Crown",(VLOOKUP(Table4[[#This Row],[SKU]],'All Skus'!$A:$AC,18,FALSE)),""))</f>
        <v>22</v>
      </c>
      <c r="O36" s="133">
        <f>(IF((VLOOKUP(Table4[[#This Row],[SKU]],'All Skus'!$A:$AC,2,FALSE))="Crown",(VLOOKUP(Table4[[#This Row],[SKU]],'All Skus'!$A:$AC,19,FALSE)),""))</f>
        <v>22</v>
      </c>
      <c r="P36" s="133">
        <f>(IF((VLOOKUP(Table4[[#This Row],[SKU]],'All Skus'!$A:$AC,2,FALSE))="Crown",(VLOOKUP(Table4[[#This Row],[SKU]],'All Skus'!$A:$AC,20,FALSE)),""))</f>
        <v>18</v>
      </c>
      <c r="Q36" s="133">
        <f>(IF((VLOOKUP(Table4[[#This Row],[SKU]],'All Skus'!$A:$AC,2,FALSE))="Crown",(VLOOKUP(Table4[[#This Row],[SKU]],'All Skus'!$A:$AC,21,FALSE)),""))</f>
        <v>8</v>
      </c>
      <c r="R36" s="60" t="str">
        <f>(IF((VLOOKUP(Table4[[#This Row],[SKU]],'All Skus'!$A:$AC,2,FALSE))="Crown",(VLOOKUP(Table4[[#This Row],[SKU]],'All Skus'!$A:$AC,22,FALSE)),""))</f>
        <v>CN</v>
      </c>
      <c r="S36" s="52" t="str">
        <f>(IF((VLOOKUP(Table4[[#This Row],[SKU]],'All Skus'!$A:$AC,2,FALSE))="Crown",(VLOOKUP(Table4[[#This Row],[SKU]],'All Skus'!$A:$AC,23,FALSE)),""))</f>
        <v>Non Compliant</v>
      </c>
      <c r="T36" s="211" t="str">
        <f>HYPERLINK((IF((VLOOKUP(Table4[[#This Row],[SKU]],'All Skus'!$A:$AC,2,FALSE))="Crown",(VLOOKUP(Table4[[#This Row],[SKU]],'All Skus'!$A:$AC,24,FALSE)),"")))</f>
        <v/>
      </c>
      <c r="U36" s="151">
        <v>34</v>
      </c>
      <c r="V36"/>
      <c r="W36"/>
      <c r="X36"/>
      <c r="Y36"/>
      <c r="Z36"/>
    </row>
    <row r="37" spans="1:26" s="52" customFormat="1" ht="15" customHeight="1">
      <c r="A37" s="48" t="s">
        <v>894</v>
      </c>
      <c r="B37" s="52" t="str">
        <f>(IF((VLOOKUP(Table4[[#This Row],[SKU]],'All Skus'!$A:$AC,2,FALSE))="Crown",(VLOOKUP(Table4[[#This Row],[SKU]],'All Skus'!$A:$AC,3,FALSE)),""))</f>
        <v>CDi Series</v>
      </c>
      <c r="C37" s="52" t="str">
        <f>(IF((VLOOKUP(Table4[[#This Row],[SKU]],'All Skus'!$A:$AC,2,FALSE))="Crown",(VLOOKUP(Table4[[#This Row],[SKU]],'All Skus'!$A:$AC,4,FALSE)),""))</f>
        <v>CDi6000</v>
      </c>
      <c r="D37" s="60" t="str">
        <f>(IF((VLOOKUP(Table4[[#This Row],[SKU]],'All Skus'!$A:$AC,2,FALSE))="Crown",(VLOOKUP(Table4[[#This Row],[SKU]],'All Skus'!$A:$AC,5,FALSE)),""))</f>
        <v>CDI</v>
      </c>
      <c r="E37" s="52">
        <f>(IF((VLOOKUP(Table4[[#This Row],[SKU]],'All Skus'!$A:$AC,2,FALSE))="Crown",(VLOOKUP(Table4[[#This Row],[SKU]],'All Skus'!$A:$AC,6,FALSE)),""))</f>
        <v>0</v>
      </c>
      <c r="F37" s="52">
        <f>(IF((VLOOKUP(Table4[[#This Row],[SKU]],'All Skus'!$A:$AC,2,FALSE))="Crown",(VLOOKUP(Table4[[#This Row],[SKU]],'All Skus'!$A:$AC,7,FALSE)),""))</f>
        <v>0</v>
      </c>
      <c r="G37" s="52" t="str">
        <f>(IF((VLOOKUP(Table4[[#This Row],[SKU]],'All Skus'!$A:$AC,2,FALSE))="Crown",(VLOOKUP(Table4[[#This Row],[SKU]],'All Skus'!$A:$AC,8,FALSE)),""))</f>
        <v>2X2100W Power Amplifier</v>
      </c>
      <c r="H37" s="45" t="str">
        <f>(IF((VLOOKUP(Table4[[#This Row],[SKU]],'All Skus'!$A:$AC,2,FALSE))="Crown",(VLOOKUP(Table4[[#This Row],[SKU]],'All Skus'!$A:$AC,9,FALSE)),""))</f>
        <v>Two-channel, 2100W @ 4Ω, 70V/100V/140V Power Amplifier</v>
      </c>
      <c r="I37" s="94">
        <f>(IF((VLOOKUP(Table4[[#This Row],[SKU]],'All Skus'!$A:$AC,2,FALSE))="Crown",(VLOOKUP(Table4[[#This Row],[SKU]],'All Skus'!$A:$AC,10,FALSE)),""))</f>
        <v>4570.3500000000004</v>
      </c>
      <c r="J37" s="94">
        <f>(IF((VLOOKUP(Table4[[#This Row],[SKU]],'All Skus'!$A:$AC,2,FALSE))="Crown",(VLOOKUP(Table4[[#This Row],[SKU]],'All Skus'!$A:$AC,11,FALSE)),""))</f>
        <v>4570</v>
      </c>
      <c r="K37" s="60">
        <f>(IF((VLOOKUP(Table4[[#This Row],[SKU]],'All Skus'!$A:$AC,2,FALSE))="Crown",(VLOOKUP(Table4[[#This Row],[SKU]],'All Skus'!$A:$AC,15,FALSE)),""))</f>
        <v>1</v>
      </c>
      <c r="L37" s="47">
        <f>(IF((VLOOKUP(Table4[[#This Row],[SKU]],'All Skus'!$A:$AC,2,FALSE))="Crown",(VLOOKUP(Table4[[#This Row],[SKU]],'All Skus'!$A:$AC,16,FALSE)),""))</f>
        <v>691991013751</v>
      </c>
      <c r="M37" s="60">
        <f>(IF((VLOOKUP(Table4[[#This Row],[SKU]],'All Skus'!$A:$AC,2,FALSE))="Crown",(VLOOKUP(Table4[[#This Row],[SKU]],'All Skus'!$A:$AC,17,FALSE)),""))</f>
        <v>0</v>
      </c>
      <c r="N37" s="133">
        <f>(IF((VLOOKUP(Table4[[#This Row],[SKU]],'All Skus'!$A:$AC,2,FALSE))="Crown",(VLOOKUP(Table4[[#This Row],[SKU]],'All Skus'!$A:$AC,18,FALSE)),""))</f>
        <v>28</v>
      </c>
      <c r="O37" s="133">
        <f>(IF((VLOOKUP(Table4[[#This Row],[SKU]],'All Skus'!$A:$AC,2,FALSE))="Crown",(VLOOKUP(Table4[[#This Row],[SKU]],'All Skus'!$A:$AC,19,FALSE)),""))</f>
        <v>22</v>
      </c>
      <c r="P37" s="133">
        <f>(IF((VLOOKUP(Table4[[#This Row],[SKU]],'All Skus'!$A:$AC,2,FALSE))="Crown",(VLOOKUP(Table4[[#This Row],[SKU]],'All Skus'!$A:$AC,20,FALSE)),""))</f>
        <v>22.5</v>
      </c>
      <c r="Q37" s="133">
        <f>(IF((VLOOKUP(Table4[[#This Row],[SKU]],'All Skus'!$A:$AC,2,FALSE))="Crown",(VLOOKUP(Table4[[#This Row],[SKU]],'All Skus'!$A:$AC,21,FALSE)),""))</f>
        <v>7</v>
      </c>
      <c r="R37" s="60" t="str">
        <f>(IF((VLOOKUP(Table4[[#This Row],[SKU]],'All Skus'!$A:$AC,2,FALSE))="Crown",(VLOOKUP(Table4[[#This Row],[SKU]],'All Skus'!$A:$AC,22,FALSE)),""))</f>
        <v>CN</v>
      </c>
      <c r="S37" s="52" t="str">
        <f>(IF((VLOOKUP(Table4[[#This Row],[SKU]],'All Skus'!$A:$AC,2,FALSE))="Crown",(VLOOKUP(Table4[[#This Row],[SKU]],'All Skus'!$A:$AC,23,FALSE)),""))</f>
        <v>Non Compliant</v>
      </c>
      <c r="T37" s="211" t="str">
        <f>HYPERLINK((IF((VLOOKUP(Table4[[#This Row],[SKU]],'All Skus'!$A:$AC,2,FALSE))="Crown",(VLOOKUP(Table4[[#This Row],[SKU]],'All Skus'!$A:$AC,24,FALSE)),"")))</f>
        <v/>
      </c>
      <c r="U37" s="151">
        <v>35</v>
      </c>
      <c r="V37"/>
      <c r="W37"/>
      <c r="X37"/>
      <c r="Y37"/>
      <c r="Z37"/>
    </row>
    <row r="38" spans="1:26" s="52" customFormat="1" ht="15" customHeight="1">
      <c r="A38" s="48" t="s">
        <v>895</v>
      </c>
      <c r="B38" s="52" t="str">
        <f>(IF((VLOOKUP(Table4[[#This Row],[SKU]],'All Skus'!$A:$AC,2,FALSE))="Crown",(VLOOKUP(Table4[[#This Row],[SKU]],'All Skus'!$A:$AC,3,FALSE)),""))</f>
        <v>CT Series</v>
      </c>
      <c r="C38" s="52" t="str">
        <f>(IF((VLOOKUP(Table4[[#This Row],[SKU]],'All Skus'!$A:$AC,2,FALSE))="Crown",(VLOOKUP(Table4[[#This Row],[SKU]],'All Skus'!$A:$AC,4,FALSE)),""))</f>
        <v>CT4150</v>
      </c>
      <c r="D38" s="60" t="str">
        <f>(IF((VLOOKUP(Table4[[#This Row],[SKU]],'All Skus'!$A:$AC,2,FALSE))="Crown",(VLOOKUP(Table4[[#This Row],[SKU]],'All Skus'!$A:$AC,5,FALSE)),""))</f>
        <v>CT</v>
      </c>
      <c r="E38" s="52">
        <f>(IF((VLOOKUP(Table4[[#This Row],[SKU]],'All Skus'!$A:$AC,2,FALSE))="Crown",(VLOOKUP(Table4[[#This Row],[SKU]],'All Skus'!$A:$AC,6,FALSE)),""))</f>
        <v>0</v>
      </c>
      <c r="F38" s="52">
        <f>(IF((VLOOKUP(Table4[[#This Row],[SKU]],'All Skus'!$A:$AC,2,FALSE))="Crown",(VLOOKUP(Table4[[#This Row],[SKU]],'All Skus'!$A:$AC,7,FALSE)),""))</f>
        <v>0</v>
      </c>
      <c r="G38" s="52" t="str">
        <f>(IF((VLOOKUP(Table4[[#This Row],[SKU]],'All Skus'!$A:$AC,2,FALSE))="Crown",(VLOOKUP(Table4[[#This Row],[SKU]],'All Skus'!$A:$AC,8,FALSE)),""))</f>
        <v>Four channel, 125W @ 4/8Ω Power Amp</v>
      </c>
      <c r="H38" s="45" t="str">
        <f>(IF((VLOOKUP(Table4[[#This Row],[SKU]],'All Skus'!$A:$AC,2,FALSE))="Crown",(VLOOKUP(Table4[[#This Row],[SKU]],'All Skus'!$A:$AC,9,FALSE)),""))</f>
        <v>Crown ComTech DriveCore CT4150, Four channel, 125W @ 4/8Ω Power Amp</v>
      </c>
      <c r="I38" s="94">
        <f>(IF((VLOOKUP(Table4[[#This Row],[SKU]],'All Skus'!$A:$AC,2,FALSE))="Crown",(VLOOKUP(Table4[[#This Row],[SKU]],'All Skus'!$A:$AC,10,FALSE)),""))</f>
        <v>1683.28</v>
      </c>
      <c r="J38" s="94">
        <f>(IF((VLOOKUP(Table4[[#This Row],[SKU]],'All Skus'!$A:$AC,2,FALSE))="Crown",(VLOOKUP(Table4[[#This Row],[SKU]],'All Skus'!$A:$AC,11,FALSE)),""))</f>
        <v>1683.28</v>
      </c>
      <c r="K38" s="60">
        <f>(IF((VLOOKUP(Table4[[#This Row],[SKU]],'All Skus'!$A:$AC,2,FALSE))="Crown",(VLOOKUP(Table4[[#This Row],[SKU]],'All Skus'!$A:$AC,15,FALSE)),""))</f>
        <v>1</v>
      </c>
      <c r="L38" s="47">
        <f>(IF((VLOOKUP(Table4[[#This Row],[SKU]],'All Skus'!$A:$AC,2,FALSE))="Crown",(VLOOKUP(Table4[[#This Row],[SKU]],'All Skus'!$A:$AC,16,FALSE)),""))</f>
        <v>871015004679</v>
      </c>
      <c r="M38" s="60">
        <f>(IF((VLOOKUP(Table4[[#This Row],[SKU]],'All Skus'!$A:$AC,2,FALSE))="Crown",(VLOOKUP(Table4[[#This Row],[SKU]],'All Skus'!$A:$AC,17,FALSE)),""))</f>
        <v>0</v>
      </c>
      <c r="N38" s="133">
        <f>(IF((VLOOKUP(Table4[[#This Row],[SKU]],'All Skus'!$A:$AC,2,FALSE))="Crown",(VLOOKUP(Table4[[#This Row],[SKU]],'All Skus'!$A:$AC,18,FALSE)),""))</f>
        <v>11</v>
      </c>
      <c r="O38" s="133">
        <f>(IF((VLOOKUP(Table4[[#This Row],[SKU]],'All Skus'!$A:$AC,2,FALSE))="Crown",(VLOOKUP(Table4[[#This Row],[SKU]],'All Skus'!$A:$AC,19,FALSE)),""))</f>
        <v>21.5</v>
      </c>
      <c r="P38" s="133">
        <f>(IF((VLOOKUP(Table4[[#This Row],[SKU]],'All Skus'!$A:$AC,2,FALSE))="Crown",(VLOOKUP(Table4[[#This Row],[SKU]],'All Skus'!$A:$AC,20,FALSE)),""))</f>
        <v>21</v>
      </c>
      <c r="Q38" s="133">
        <f>(IF((VLOOKUP(Table4[[#This Row],[SKU]],'All Skus'!$A:$AC,2,FALSE))="Crown",(VLOOKUP(Table4[[#This Row],[SKU]],'All Skus'!$A:$AC,21,FALSE)),""))</f>
        <v>5</v>
      </c>
      <c r="R38" s="60" t="str">
        <f>(IF((VLOOKUP(Table4[[#This Row],[SKU]],'All Skus'!$A:$AC,2,FALSE))="Crown",(VLOOKUP(Table4[[#This Row],[SKU]],'All Skus'!$A:$AC,22,FALSE)),""))</f>
        <v>CN</v>
      </c>
      <c r="S38" s="52" t="str">
        <f>(IF((VLOOKUP(Table4[[#This Row],[SKU]],'All Skus'!$A:$AC,2,FALSE))="Crown",(VLOOKUP(Table4[[#This Row],[SKU]],'All Skus'!$A:$AC,23,FALSE)),""))</f>
        <v>Non Compliant</v>
      </c>
      <c r="T38" s="211" t="str">
        <f>HYPERLINK((IF((VLOOKUP(Table4[[#This Row],[SKU]],'All Skus'!$A:$AC,2,FALSE))="Crown",(VLOOKUP(Table4[[#This Row],[SKU]],'All Skus'!$A:$AC,24,FALSE)),"")))</f>
        <v>http://www.crownaudio.com/en/products/ct-4150</v>
      </c>
      <c r="U38" s="151">
        <v>36</v>
      </c>
      <c r="V38"/>
      <c r="W38"/>
      <c r="X38"/>
      <c r="Y38"/>
      <c r="Z38"/>
    </row>
    <row r="39" spans="1:26" s="52" customFormat="1" ht="15" customHeight="1">
      <c r="A39" s="48" t="s">
        <v>896</v>
      </c>
      <c r="B39" s="52" t="str">
        <f>(IF((VLOOKUP(Table4[[#This Row],[SKU]],'All Skus'!$A:$AC,2,FALSE))="Crown",(VLOOKUP(Table4[[#This Row],[SKU]],'All Skus'!$A:$AC,3,FALSE)),""))</f>
        <v>CT Series</v>
      </c>
      <c r="C39" s="52" t="str">
        <f>(IF((VLOOKUP(Table4[[#This Row],[SKU]],'All Skus'!$A:$AC,2,FALSE))="Crown",(VLOOKUP(Table4[[#This Row],[SKU]],'All Skus'!$A:$AC,4,FALSE)),""))</f>
        <v>CT475</v>
      </c>
      <c r="D39" s="60" t="str">
        <f>(IF((VLOOKUP(Table4[[#This Row],[SKU]],'All Skus'!$A:$AC,2,FALSE))="Crown",(VLOOKUP(Table4[[#This Row],[SKU]],'All Skus'!$A:$AC,5,FALSE)),""))</f>
        <v>CT</v>
      </c>
      <c r="E39" s="52">
        <f>(IF((VLOOKUP(Table4[[#This Row],[SKU]],'All Skus'!$A:$AC,2,FALSE))="Crown",(VLOOKUP(Table4[[#This Row],[SKU]],'All Skus'!$A:$AC,6,FALSE)),""))</f>
        <v>0</v>
      </c>
      <c r="F39" s="52">
        <f>(IF((VLOOKUP(Table4[[#This Row],[SKU]],'All Skus'!$A:$AC,2,FALSE))="Crown",(VLOOKUP(Table4[[#This Row],[SKU]],'All Skus'!$A:$AC,7,FALSE)),""))</f>
        <v>0</v>
      </c>
      <c r="G39" s="52" t="str">
        <f>(IF((VLOOKUP(Table4[[#This Row],[SKU]],'All Skus'!$A:$AC,2,FALSE))="Crown",(VLOOKUP(Table4[[#This Row],[SKU]],'All Skus'!$A:$AC,8,FALSE)),""))</f>
        <v>Four channel, 75W @ 4/8Ω Power Amp</v>
      </c>
      <c r="H39" s="45" t="str">
        <f>(IF((VLOOKUP(Table4[[#This Row],[SKU]],'All Skus'!$A:$AC,2,FALSE))="Crown",(VLOOKUP(Table4[[#This Row],[SKU]],'All Skus'!$A:$AC,9,FALSE)),""))</f>
        <v>Crown ComTech DriveCore CT475, Four channel, 75W @ 4/8Ω Power Amp</v>
      </c>
      <c r="I39" s="94">
        <f>(IF((VLOOKUP(Table4[[#This Row],[SKU]],'All Skus'!$A:$AC,2,FALSE))="Crown",(VLOOKUP(Table4[[#This Row],[SKU]],'All Skus'!$A:$AC,10,FALSE)),""))</f>
        <v>1339.89</v>
      </c>
      <c r="J39" s="94">
        <f>(IF((VLOOKUP(Table4[[#This Row],[SKU]],'All Skus'!$A:$AC,2,FALSE))="Crown",(VLOOKUP(Table4[[#This Row],[SKU]],'All Skus'!$A:$AC,11,FALSE)),""))</f>
        <v>1339.89</v>
      </c>
      <c r="K39" s="60">
        <f>(IF((VLOOKUP(Table4[[#This Row],[SKU]],'All Skus'!$A:$AC,2,FALSE))="Crown",(VLOOKUP(Table4[[#This Row],[SKU]],'All Skus'!$A:$AC,15,FALSE)),""))</f>
        <v>1</v>
      </c>
      <c r="L39" s="47">
        <f>(IF((VLOOKUP(Table4[[#This Row],[SKU]],'All Skus'!$A:$AC,2,FALSE))="Crown",(VLOOKUP(Table4[[#This Row],[SKU]],'All Skus'!$A:$AC,16,FALSE)),""))</f>
        <v>871015004754</v>
      </c>
      <c r="M39" s="60">
        <f>(IF((VLOOKUP(Table4[[#This Row],[SKU]],'All Skus'!$A:$AC,2,FALSE))="Crown",(VLOOKUP(Table4[[#This Row],[SKU]],'All Skus'!$A:$AC,17,FALSE)),""))</f>
        <v>0</v>
      </c>
      <c r="N39" s="133">
        <f>(IF((VLOOKUP(Table4[[#This Row],[SKU]],'All Skus'!$A:$AC,2,FALSE))="Crown",(VLOOKUP(Table4[[#This Row],[SKU]],'All Skus'!$A:$AC,18,FALSE)),""))</f>
        <v>11</v>
      </c>
      <c r="O39" s="133">
        <f>(IF((VLOOKUP(Table4[[#This Row],[SKU]],'All Skus'!$A:$AC,2,FALSE))="Crown",(VLOOKUP(Table4[[#This Row],[SKU]],'All Skus'!$A:$AC,19,FALSE)),""))</f>
        <v>21.5</v>
      </c>
      <c r="P39" s="133">
        <f>(IF((VLOOKUP(Table4[[#This Row],[SKU]],'All Skus'!$A:$AC,2,FALSE))="Crown",(VLOOKUP(Table4[[#This Row],[SKU]],'All Skus'!$A:$AC,20,FALSE)),""))</f>
        <v>21</v>
      </c>
      <c r="Q39" s="133">
        <f>(IF((VLOOKUP(Table4[[#This Row],[SKU]],'All Skus'!$A:$AC,2,FALSE))="Crown",(VLOOKUP(Table4[[#This Row],[SKU]],'All Skus'!$A:$AC,21,FALSE)),""))</f>
        <v>5</v>
      </c>
      <c r="R39" s="60" t="str">
        <f>(IF((VLOOKUP(Table4[[#This Row],[SKU]],'All Skus'!$A:$AC,2,FALSE))="Crown",(VLOOKUP(Table4[[#This Row],[SKU]],'All Skus'!$A:$AC,22,FALSE)),""))</f>
        <v>CN</v>
      </c>
      <c r="S39" s="52" t="str">
        <f>(IF((VLOOKUP(Table4[[#This Row],[SKU]],'All Skus'!$A:$AC,2,FALSE))="Crown",(VLOOKUP(Table4[[#This Row],[SKU]],'All Skus'!$A:$AC,23,FALSE)),""))</f>
        <v>Non Compliant</v>
      </c>
      <c r="T39" s="211" t="str">
        <f>HYPERLINK((IF((VLOOKUP(Table4[[#This Row],[SKU]],'All Skus'!$A:$AC,2,FALSE))="Crown",(VLOOKUP(Table4[[#This Row],[SKU]],'All Skus'!$A:$AC,24,FALSE)),"")))</f>
        <v>http://www.crownaudio.com/en/products/ct-475</v>
      </c>
      <c r="U39" s="151">
        <v>37</v>
      </c>
      <c r="V39"/>
      <c r="W39"/>
      <c r="X39"/>
      <c r="Y39"/>
      <c r="Z39"/>
    </row>
    <row r="40" spans="1:26" s="52" customFormat="1" ht="15" customHeight="1">
      <c r="A40" s="48" t="s">
        <v>897</v>
      </c>
      <c r="B40" s="52" t="str">
        <f>(IF((VLOOKUP(Table4[[#This Row],[SKU]],'All Skus'!$A:$AC,2,FALSE))="Crown",(VLOOKUP(Table4[[#This Row],[SKU]],'All Skus'!$A:$AC,3,FALSE)),""))</f>
        <v>CT Series</v>
      </c>
      <c r="C40" s="52" t="str">
        <f>(IF((VLOOKUP(Table4[[#This Row],[SKU]],'All Skus'!$A:$AC,2,FALSE))="Crown",(VLOOKUP(Table4[[#This Row],[SKU]],'All Skus'!$A:$AC,4,FALSE)),""))</f>
        <v>CT8150</v>
      </c>
      <c r="D40" s="60" t="str">
        <f>(IF((VLOOKUP(Table4[[#This Row],[SKU]],'All Skus'!$A:$AC,2,FALSE))="Crown",(VLOOKUP(Table4[[#This Row],[SKU]],'All Skus'!$A:$AC,5,FALSE)),""))</f>
        <v>CT</v>
      </c>
      <c r="E40" s="52">
        <f>(IF((VLOOKUP(Table4[[#This Row],[SKU]],'All Skus'!$A:$AC,2,FALSE))="Crown",(VLOOKUP(Table4[[#This Row],[SKU]],'All Skus'!$A:$AC,6,FALSE)),""))</f>
        <v>0</v>
      </c>
      <c r="F40" s="52">
        <f>(IF((VLOOKUP(Table4[[#This Row],[SKU]],'All Skus'!$A:$AC,2,FALSE))="Crown",(VLOOKUP(Table4[[#This Row],[SKU]],'All Skus'!$A:$AC,7,FALSE)),""))</f>
        <v>0</v>
      </c>
      <c r="G40" s="52" t="str">
        <f>(IF((VLOOKUP(Table4[[#This Row],[SKU]],'All Skus'!$A:$AC,2,FALSE))="Crown",(VLOOKUP(Table4[[#This Row],[SKU]],'All Skus'!$A:$AC,8,FALSE)),""))</f>
        <v>Eight channel, 125W @ 4/8Ω Power Amp</v>
      </c>
      <c r="H40" s="45" t="str">
        <f>(IF((VLOOKUP(Table4[[#This Row],[SKU]],'All Skus'!$A:$AC,2,FALSE))="Crown",(VLOOKUP(Table4[[#This Row],[SKU]],'All Skus'!$A:$AC,9,FALSE)),""))</f>
        <v>Crown ComTech DriveCore CT8150, Eight channel, 125W @ 4/8Ω Power Amp</v>
      </c>
      <c r="I40" s="94">
        <f>(IF((VLOOKUP(Table4[[#This Row],[SKU]],'All Skus'!$A:$AC,2,FALSE))="Crown",(VLOOKUP(Table4[[#This Row],[SKU]],'All Skus'!$A:$AC,10,FALSE)),""))</f>
        <v>3230.55</v>
      </c>
      <c r="J40" s="94">
        <f>(IF((VLOOKUP(Table4[[#This Row],[SKU]],'All Skus'!$A:$AC,2,FALSE))="Crown",(VLOOKUP(Table4[[#This Row],[SKU]],'All Skus'!$A:$AC,11,FALSE)),""))</f>
        <v>3230.55</v>
      </c>
      <c r="K40" s="60">
        <f>(IF((VLOOKUP(Table4[[#This Row],[SKU]],'All Skus'!$A:$AC,2,FALSE))="Crown",(VLOOKUP(Table4[[#This Row],[SKU]],'All Skus'!$A:$AC,15,FALSE)),""))</f>
        <v>1</v>
      </c>
      <c r="L40" s="47">
        <f>(IF((VLOOKUP(Table4[[#This Row],[SKU]],'All Skus'!$A:$AC,2,FALSE))="Crown",(VLOOKUP(Table4[[#This Row],[SKU]],'All Skus'!$A:$AC,16,FALSE)),""))</f>
        <v>871015004839</v>
      </c>
      <c r="M40" s="60">
        <f>(IF((VLOOKUP(Table4[[#This Row],[SKU]],'All Skus'!$A:$AC,2,FALSE))="Crown",(VLOOKUP(Table4[[#This Row],[SKU]],'All Skus'!$A:$AC,17,FALSE)),""))</f>
        <v>0</v>
      </c>
      <c r="N40" s="133">
        <f>(IF((VLOOKUP(Table4[[#This Row],[SKU]],'All Skus'!$A:$AC,2,FALSE))="Crown",(VLOOKUP(Table4[[#This Row],[SKU]],'All Skus'!$A:$AC,18,FALSE)),""))</f>
        <v>11</v>
      </c>
      <c r="O40" s="133">
        <f>(IF((VLOOKUP(Table4[[#This Row],[SKU]],'All Skus'!$A:$AC,2,FALSE))="Crown",(VLOOKUP(Table4[[#This Row],[SKU]],'All Skus'!$A:$AC,19,FALSE)),""))</f>
        <v>21.5</v>
      </c>
      <c r="P40" s="133">
        <f>(IF((VLOOKUP(Table4[[#This Row],[SKU]],'All Skus'!$A:$AC,2,FALSE))="Crown",(VLOOKUP(Table4[[#This Row],[SKU]],'All Skus'!$A:$AC,20,FALSE)),""))</f>
        <v>21</v>
      </c>
      <c r="Q40" s="133">
        <f>(IF((VLOOKUP(Table4[[#This Row],[SKU]],'All Skus'!$A:$AC,2,FALSE))="Crown",(VLOOKUP(Table4[[#This Row],[SKU]],'All Skus'!$A:$AC,21,FALSE)),""))</f>
        <v>5</v>
      </c>
      <c r="R40" s="60" t="str">
        <f>(IF((VLOOKUP(Table4[[#This Row],[SKU]],'All Skus'!$A:$AC,2,FALSE))="Crown",(VLOOKUP(Table4[[#This Row],[SKU]],'All Skus'!$A:$AC,22,FALSE)),""))</f>
        <v>CN</v>
      </c>
      <c r="S40" s="52" t="str">
        <f>(IF((VLOOKUP(Table4[[#This Row],[SKU]],'All Skus'!$A:$AC,2,FALSE))="Crown",(VLOOKUP(Table4[[#This Row],[SKU]],'All Skus'!$A:$AC,23,FALSE)),""))</f>
        <v>Non Compliant</v>
      </c>
      <c r="T40" s="211" t="str">
        <f>HYPERLINK((IF((VLOOKUP(Table4[[#This Row],[SKU]],'All Skus'!$A:$AC,2,FALSE))="Crown",(VLOOKUP(Table4[[#This Row],[SKU]],'All Skus'!$A:$AC,24,FALSE)),"")))</f>
        <v>http://www.crownaudio.com/en/products/ct-8150</v>
      </c>
      <c r="U40" s="151">
        <v>38</v>
      </c>
      <c r="V40"/>
      <c r="W40"/>
      <c r="X40"/>
      <c r="Y40"/>
      <c r="Z40"/>
    </row>
    <row r="41" spans="1:26" s="52" customFormat="1" ht="15" customHeight="1">
      <c r="A41" s="48" t="s">
        <v>898</v>
      </c>
      <c r="B41" s="52" t="str">
        <f>(IF((VLOOKUP(Table4[[#This Row],[SKU]],'All Skus'!$A:$AC,2,FALSE))="Crown",(VLOOKUP(Table4[[#This Row],[SKU]],'All Skus'!$A:$AC,3,FALSE)),""))</f>
        <v>CT Series</v>
      </c>
      <c r="C41" s="52" t="str">
        <f>(IF((VLOOKUP(Table4[[#This Row],[SKU]],'All Skus'!$A:$AC,2,FALSE))="Crown",(VLOOKUP(Table4[[#This Row],[SKU]],'All Skus'!$A:$AC,4,FALSE)),""))</f>
        <v>CT875</v>
      </c>
      <c r="D41" s="60" t="str">
        <f>(IF((VLOOKUP(Table4[[#This Row],[SKU]],'All Skus'!$A:$AC,2,FALSE))="Crown",(VLOOKUP(Table4[[#This Row],[SKU]],'All Skus'!$A:$AC,5,FALSE)),""))</f>
        <v>CT</v>
      </c>
      <c r="E41" s="52">
        <f>(IF((VLOOKUP(Table4[[#This Row],[SKU]],'All Skus'!$A:$AC,2,FALSE))="Crown",(VLOOKUP(Table4[[#This Row],[SKU]],'All Skus'!$A:$AC,6,FALSE)),""))</f>
        <v>0</v>
      </c>
      <c r="F41" s="52">
        <f>(IF((VLOOKUP(Table4[[#This Row],[SKU]],'All Skus'!$A:$AC,2,FALSE))="Crown",(VLOOKUP(Table4[[#This Row],[SKU]],'All Skus'!$A:$AC,7,FALSE)),""))</f>
        <v>0</v>
      </c>
      <c r="G41" s="52" t="str">
        <f>(IF((VLOOKUP(Table4[[#This Row],[SKU]],'All Skus'!$A:$AC,2,FALSE))="Crown",(VLOOKUP(Table4[[#This Row],[SKU]],'All Skus'!$A:$AC,8,FALSE)),""))</f>
        <v>Eight channel, 75W @ 4/8Ω Power Amp</v>
      </c>
      <c r="H41" s="45" t="str">
        <f>(IF((VLOOKUP(Table4[[#This Row],[SKU]],'All Skus'!$A:$AC,2,FALSE))="Crown",(VLOOKUP(Table4[[#This Row],[SKU]],'All Skus'!$A:$AC,9,FALSE)),""))</f>
        <v>Crown ComTech DriveCore CT875, Eight channel, 75W @ 4/8Ω Power Amp</v>
      </c>
      <c r="I41" s="94">
        <f>(IF((VLOOKUP(Table4[[#This Row],[SKU]],'All Skus'!$A:$AC,2,FALSE))="Crown",(VLOOKUP(Table4[[#This Row],[SKU]],'All Skus'!$A:$AC,10,FALSE)),""))</f>
        <v>2319.66</v>
      </c>
      <c r="J41" s="94">
        <f>(IF((VLOOKUP(Table4[[#This Row],[SKU]],'All Skus'!$A:$AC,2,FALSE))="Crown",(VLOOKUP(Table4[[#This Row],[SKU]],'All Skus'!$A:$AC,11,FALSE)),""))</f>
        <v>2319.66</v>
      </c>
      <c r="K41" s="60">
        <f>(IF((VLOOKUP(Table4[[#This Row],[SKU]],'All Skus'!$A:$AC,2,FALSE))="Crown",(VLOOKUP(Table4[[#This Row],[SKU]],'All Skus'!$A:$AC,15,FALSE)),""))</f>
        <v>1</v>
      </c>
      <c r="L41" s="47">
        <f>(IF((VLOOKUP(Table4[[#This Row],[SKU]],'All Skus'!$A:$AC,2,FALSE))="Crown",(VLOOKUP(Table4[[#This Row],[SKU]],'All Skus'!$A:$AC,16,FALSE)),""))</f>
        <v>871015004914</v>
      </c>
      <c r="M41" s="60">
        <f>(IF((VLOOKUP(Table4[[#This Row],[SKU]],'All Skus'!$A:$AC,2,FALSE))="Crown",(VLOOKUP(Table4[[#This Row],[SKU]],'All Skus'!$A:$AC,17,FALSE)),""))</f>
        <v>0</v>
      </c>
      <c r="N41" s="133">
        <f>(IF((VLOOKUP(Table4[[#This Row],[SKU]],'All Skus'!$A:$AC,2,FALSE))="Crown",(VLOOKUP(Table4[[#This Row],[SKU]],'All Skus'!$A:$AC,18,FALSE)),""))</f>
        <v>11</v>
      </c>
      <c r="O41" s="133">
        <f>(IF((VLOOKUP(Table4[[#This Row],[SKU]],'All Skus'!$A:$AC,2,FALSE))="Crown",(VLOOKUP(Table4[[#This Row],[SKU]],'All Skus'!$A:$AC,19,FALSE)),""))</f>
        <v>21.5</v>
      </c>
      <c r="P41" s="133">
        <f>(IF((VLOOKUP(Table4[[#This Row],[SKU]],'All Skus'!$A:$AC,2,FALSE))="Crown",(VLOOKUP(Table4[[#This Row],[SKU]],'All Skus'!$A:$AC,20,FALSE)),""))</f>
        <v>21</v>
      </c>
      <c r="Q41" s="133">
        <f>(IF((VLOOKUP(Table4[[#This Row],[SKU]],'All Skus'!$A:$AC,2,FALSE))="Crown",(VLOOKUP(Table4[[#This Row],[SKU]],'All Skus'!$A:$AC,21,FALSE)),""))</f>
        <v>5</v>
      </c>
      <c r="R41" s="60" t="str">
        <f>(IF((VLOOKUP(Table4[[#This Row],[SKU]],'All Skus'!$A:$AC,2,FALSE))="Crown",(VLOOKUP(Table4[[#This Row],[SKU]],'All Skus'!$A:$AC,22,FALSE)),""))</f>
        <v>CN</v>
      </c>
      <c r="S41" s="52" t="str">
        <f>(IF((VLOOKUP(Table4[[#This Row],[SKU]],'All Skus'!$A:$AC,2,FALSE))="Crown",(VLOOKUP(Table4[[#This Row],[SKU]],'All Skus'!$A:$AC,23,FALSE)),""))</f>
        <v>Non Compliant</v>
      </c>
      <c r="T41" s="211" t="str">
        <f>HYPERLINK((IF((VLOOKUP(Table4[[#This Row],[SKU]],'All Skus'!$A:$AC,2,FALSE))="Crown",(VLOOKUP(Table4[[#This Row],[SKU]],'All Skus'!$A:$AC,24,FALSE)),"")))</f>
        <v>http://www.crownaudio.com/en/products/ct-875</v>
      </c>
      <c r="U41" s="151">
        <v>39</v>
      </c>
      <c r="V41"/>
      <c r="W41"/>
      <c r="X41"/>
      <c r="Y41"/>
      <c r="Z41"/>
    </row>
    <row r="42" spans="1:26" s="52" customFormat="1" ht="15" customHeight="1">
      <c r="A42" s="48" t="s">
        <v>899</v>
      </c>
      <c r="B42" s="52" t="str">
        <f>(IF((VLOOKUP(Table4[[#This Row],[SKU]],'All Skus'!$A:$AC,2,FALSE))="Crown",(VLOOKUP(Table4[[#This Row],[SKU]],'All Skus'!$A:$AC,3,FALSE)),""))</f>
        <v>DriveCore Install Network Series</v>
      </c>
      <c r="C42" s="52" t="str">
        <f>(IF((VLOOKUP(Table4[[#This Row],[SKU]],'All Skus'!$A:$AC,2,FALSE))="Crown",(VLOOKUP(Table4[[#This Row],[SKU]],'All Skus'!$A:$AC,4,FALSE)),""))</f>
        <v xml:space="preserve">DCi2x1250N </v>
      </c>
      <c r="D42" s="60" t="str">
        <f>(IF((VLOOKUP(Table4[[#This Row],[SKU]],'All Skus'!$A:$AC,2,FALSE))="Crown",(VLOOKUP(Table4[[#This Row],[SKU]],'All Skus'!$A:$AC,5,FALSE)),""))</f>
        <v>DCI</v>
      </c>
      <c r="E42" s="52">
        <f>(IF((VLOOKUP(Table4[[#This Row],[SKU]],'All Skus'!$A:$AC,2,FALSE))="Crown",(VLOOKUP(Table4[[#This Row],[SKU]],'All Skus'!$A:$AC,6,FALSE)),""))</f>
        <v>0</v>
      </c>
      <c r="F42" s="52">
        <f>(IF((VLOOKUP(Table4[[#This Row],[SKU]],'All Skus'!$A:$AC,2,FALSE))="Crown",(VLOOKUP(Table4[[#This Row],[SKU]],'All Skus'!$A:$AC,7,FALSE)),""))</f>
        <v>0</v>
      </c>
      <c r="G42" s="52" t="str">
        <f>(IF((VLOOKUP(Table4[[#This Row],[SKU]],'All Skus'!$A:$AC,2,FALSE))="Crown",(VLOOKUP(Table4[[#This Row],[SKU]],'All Skus'!$A:$AC,8,FALSE)),""))</f>
        <v>2x1250W Power Amplifier</v>
      </c>
      <c r="H42" s="45" t="str">
        <f>(IF((VLOOKUP(Table4[[#This Row],[SKU]],'All Skus'!$A:$AC,2,FALSE))="Crown",(VLOOKUP(Table4[[#This Row],[SKU]],'All Skus'!$A:$AC,9,FALSE)),""))</f>
        <v>Two-channel, 1250W @ 4Ω Power Amplifier with BLU link, 70V/100V</v>
      </c>
      <c r="I42" s="94">
        <f>(IF((VLOOKUP(Table4[[#This Row],[SKU]],'All Skus'!$A:$AC,2,FALSE))="Crown",(VLOOKUP(Table4[[#This Row],[SKU]],'All Skus'!$A:$AC,10,FALSE)),""))</f>
        <v>4390</v>
      </c>
      <c r="J42" s="94">
        <f>(IF((VLOOKUP(Table4[[#This Row],[SKU]],'All Skus'!$A:$AC,2,FALSE))="Crown",(VLOOKUP(Table4[[#This Row],[SKU]],'All Skus'!$A:$AC,11,FALSE)),""))</f>
        <v>4390</v>
      </c>
      <c r="K42" s="60">
        <f>(IF((VLOOKUP(Table4[[#This Row],[SKU]],'All Skus'!$A:$AC,2,FALSE))="Crown",(VLOOKUP(Table4[[#This Row],[SKU]],'All Skus'!$A:$AC,15,FALSE)),""))</f>
        <v>1</v>
      </c>
      <c r="L42" s="47">
        <f>(IF((VLOOKUP(Table4[[#This Row],[SKU]],'All Skus'!$A:$AC,2,FALSE))="Crown",(VLOOKUP(Table4[[#This Row],[SKU]],'All Skus'!$A:$AC,16,FALSE)),""))</f>
        <v>691991009501</v>
      </c>
      <c r="M42" s="60">
        <f>(IF((VLOOKUP(Table4[[#This Row],[SKU]],'All Skus'!$A:$AC,2,FALSE))="Crown",(VLOOKUP(Table4[[#This Row],[SKU]],'All Skus'!$A:$AC,17,FALSE)),""))</f>
        <v>0</v>
      </c>
      <c r="N42" s="133">
        <f>(IF((VLOOKUP(Table4[[#This Row],[SKU]],'All Skus'!$A:$AC,2,FALSE))="Crown",(VLOOKUP(Table4[[#This Row],[SKU]],'All Skus'!$A:$AC,18,FALSE)),""))</f>
        <v>0</v>
      </c>
      <c r="O42" s="133">
        <f>(IF((VLOOKUP(Table4[[#This Row],[SKU]],'All Skus'!$A:$AC,2,FALSE))="Crown",(VLOOKUP(Table4[[#This Row],[SKU]],'All Skus'!$A:$AC,19,FALSE)),""))</f>
        <v>0</v>
      </c>
      <c r="P42" s="133">
        <f>(IF((VLOOKUP(Table4[[#This Row],[SKU]],'All Skus'!$A:$AC,2,FALSE))="Crown",(VLOOKUP(Table4[[#This Row],[SKU]],'All Skus'!$A:$AC,20,FALSE)),""))</f>
        <v>0</v>
      </c>
      <c r="Q42" s="133">
        <f>(IF((VLOOKUP(Table4[[#This Row],[SKU]],'All Skus'!$A:$AC,2,FALSE))="Crown",(VLOOKUP(Table4[[#This Row],[SKU]],'All Skus'!$A:$AC,21,FALSE)),""))</f>
        <v>0</v>
      </c>
      <c r="R42" s="60" t="str">
        <f>(IF((VLOOKUP(Table4[[#This Row],[SKU]],'All Skus'!$A:$AC,2,FALSE))="Crown",(VLOOKUP(Table4[[#This Row],[SKU]],'All Skus'!$A:$AC,22,FALSE)),""))</f>
        <v>MX</v>
      </c>
      <c r="S42" s="52" t="str">
        <f>(IF((VLOOKUP(Table4[[#This Row],[SKU]],'All Skus'!$A:$AC,2,FALSE))="Crown",(VLOOKUP(Table4[[#This Row],[SKU]],'All Skus'!$A:$AC,23,FALSE)),""))</f>
        <v>Compliant</v>
      </c>
      <c r="T42" s="211" t="str">
        <f>HYPERLINK((IF((VLOOKUP(Table4[[#This Row],[SKU]],'All Skus'!$A:$AC,2,FALSE))="Crown",(VLOOKUP(Table4[[#This Row],[SKU]],'All Skus'!$A:$AC,24,FALSE)),"")))</f>
        <v/>
      </c>
      <c r="U42" s="151">
        <v>40</v>
      </c>
      <c r="V42"/>
      <c r="W42"/>
      <c r="X42"/>
      <c r="Y42"/>
      <c r="Z42"/>
    </row>
    <row r="43" spans="1:26" s="52" customFormat="1" ht="15" customHeight="1">
      <c r="A43" s="48" t="s">
        <v>900</v>
      </c>
      <c r="B43" s="52" t="str">
        <f>(IF((VLOOKUP(Table4[[#This Row],[SKU]],'All Skus'!$A:$AC,2,FALSE))="Crown",(VLOOKUP(Table4[[#This Row],[SKU]],'All Skus'!$A:$AC,3,FALSE)),""))</f>
        <v>DriveCore Install Analog Series</v>
      </c>
      <c r="C43" s="52" t="str">
        <f>(IF((VLOOKUP(Table4[[#This Row],[SKU]],'All Skus'!$A:$AC,2,FALSE))="Crown",(VLOOKUP(Table4[[#This Row],[SKU]],'All Skus'!$A:$AC,4,FALSE)),""))</f>
        <v xml:space="preserve">DCi2x1250 </v>
      </c>
      <c r="D43" s="60" t="str">
        <f>(IF((VLOOKUP(Table4[[#This Row],[SKU]],'All Skus'!$A:$AC,2,FALSE))="Crown",(VLOOKUP(Table4[[#This Row],[SKU]],'All Skus'!$A:$AC,5,FALSE)),""))</f>
        <v>DCI</v>
      </c>
      <c r="E43" s="52">
        <f>(IF((VLOOKUP(Table4[[#This Row],[SKU]],'All Skus'!$A:$AC,2,FALSE))="Crown",(VLOOKUP(Table4[[#This Row],[SKU]],'All Skus'!$A:$AC,6,FALSE)),""))</f>
        <v>0</v>
      </c>
      <c r="F43" s="52">
        <f>(IF((VLOOKUP(Table4[[#This Row],[SKU]],'All Skus'!$A:$AC,2,FALSE))="Crown",(VLOOKUP(Table4[[#This Row],[SKU]],'All Skus'!$A:$AC,7,FALSE)),""))</f>
        <v>0</v>
      </c>
      <c r="G43" s="52" t="str">
        <f>(IF((VLOOKUP(Table4[[#This Row],[SKU]],'All Skus'!$A:$AC,2,FALSE))="Crown",(VLOOKUP(Table4[[#This Row],[SKU]],'All Skus'!$A:$AC,8,FALSE)),""))</f>
        <v>2x1250W Power Amplifier</v>
      </c>
      <c r="H43" s="45" t="str">
        <f>(IF((VLOOKUP(Table4[[#This Row],[SKU]],'All Skus'!$A:$AC,2,FALSE))="Crown",(VLOOKUP(Table4[[#This Row],[SKU]],'All Skus'!$A:$AC,9,FALSE)),""))</f>
        <v>Two-channel, 1250W @ 4Ω Analog Power Amplifier, 70V/100V</v>
      </c>
      <c r="I43" s="94">
        <f>(IF((VLOOKUP(Table4[[#This Row],[SKU]],'All Skus'!$A:$AC,2,FALSE))="Crown",(VLOOKUP(Table4[[#This Row],[SKU]],'All Skus'!$A:$AC,10,FALSE)),""))</f>
        <v>3560</v>
      </c>
      <c r="J43" s="94">
        <f>(IF((VLOOKUP(Table4[[#This Row],[SKU]],'All Skus'!$A:$AC,2,FALSE))="Crown",(VLOOKUP(Table4[[#This Row],[SKU]],'All Skus'!$A:$AC,11,FALSE)),""))</f>
        <v>3560</v>
      </c>
      <c r="K43" s="60">
        <f>(IF((VLOOKUP(Table4[[#This Row],[SKU]],'All Skus'!$A:$AC,2,FALSE))="Crown",(VLOOKUP(Table4[[#This Row],[SKU]],'All Skus'!$A:$AC,15,FALSE)),""))</f>
        <v>1</v>
      </c>
      <c r="L43" s="47">
        <f>(IF((VLOOKUP(Table4[[#This Row],[SKU]],'All Skus'!$A:$AC,2,FALSE))="Crown",(VLOOKUP(Table4[[#This Row],[SKU]],'All Skus'!$A:$AC,16,FALSE)),""))</f>
        <v>691991008153</v>
      </c>
      <c r="M43" s="60">
        <f>(IF((VLOOKUP(Table4[[#This Row],[SKU]],'All Skus'!$A:$AC,2,FALSE))="Crown",(VLOOKUP(Table4[[#This Row],[SKU]],'All Skus'!$A:$AC,17,FALSE)),""))</f>
        <v>0</v>
      </c>
      <c r="N43" s="133">
        <f>(IF((VLOOKUP(Table4[[#This Row],[SKU]],'All Skus'!$A:$AC,2,FALSE))="Crown",(VLOOKUP(Table4[[#This Row],[SKU]],'All Skus'!$A:$AC,18,FALSE)),""))</f>
        <v>0</v>
      </c>
      <c r="O43" s="133">
        <f>(IF((VLOOKUP(Table4[[#This Row],[SKU]],'All Skus'!$A:$AC,2,FALSE))="Crown",(VLOOKUP(Table4[[#This Row],[SKU]],'All Skus'!$A:$AC,19,FALSE)),""))</f>
        <v>0</v>
      </c>
      <c r="P43" s="133">
        <f>(IF((VLOOKUP(Table4[[#This Row],[SKU]],'All Skus'!$A:$AC,2,FALSE))="Crown",(VLOOKUP(Table4[[#This Row],[SKU]],'All Skus'!$A:$AC,20,FALSE)),""))</f>
        <v>0</v>
      </c>
      <c r="Q43" s="133">
        <f>(IF((VLOOKUP(Table4[[#This Row],[SKU]],'All Skus'!$A:$AC,2,FALSE))="Crown",(VLOOKUP(Table4[[#This Row],[SKU]],'All Skus'!$A:$AC,21,FALSE)),""))</f>
        <v>0</v>
      </c>
      <c r="R43" s="60" t="str">
        <f>(IF((VLOOKUP(Table4[[#This Row],[SKU]],'All Skus'!$A:$AC,2,FALSE))="Crown",(VLOOKUP(Table4[[#This Row],[SKU]],'All Skus'!$A:$AC,22,FALSE)),""))</f>
        <v>MX</v>
      </c>
      <c r="S43" s="52" t="str">
        <f>(IF((VLOOKUP(Table4[[#This Row],[SKU]],'All Skus'!$A:$AC,2,FALSE))="Crown",(VLOOKUP(Table4[[#This Row],[SKU]],'All Skus'!$A:$AC,23,FALSE)),""))</f>
        <v>Compliant</v>
      </c>
      <c r="T43" s="211" t="str">
        <f>HYPERLINK((IF((VLOOKUP(Table4[[#This Row],[SKU]],'All Skus'!$A:$AC,2,FALSE))="Crown",(VLOOKUP(Table4[[#This Row],[SKU]],'All Skus'!$A:$AC,24,FALSE)),"")))</f>
        <v/>
      </c>
      <c r="U43" s="151">
        <v>41</v>
      </c>
      <c r="V43"/>
      <c r="W43"/>
      <c r="X43"/>
      <c r="Y43"/>
      <c r="Z43"/>
    </row>
    <row r="44" spans="1:26" s="52" customFormat="1" ht="15" customHeight="1">
      <c r="A44" s="48" t="s">
        <v>901</v>
      </c>
      <c r="B44" s="52" t="str">
        <f>(IF((VLOOKUP(Table4[[#This Row],[SKU]],'All Skus'!$A:$AC,2,FALSE))="Crown",(VLOOKUP(Table4[[#This Row],[SKU]],'All Skus'!$A:$AC,3,FALSE)),""))</f>
        <v>DriveCore Install Network Series</v>
      </c>
      <c r="C44" s="52" t="str">
        <f>(IF((VLOOKUP(Table4[[#This Row],[SKU]],'All Skus'!$A:$AC,2,FALSE))="Crown",(VLOOKUP(Table4[[#This Row],[SKU]],'All Skus'!$A:$AC,4,FALSE)),""))</f>
        <v>DCi2x2400N</v>
      </c>
      <c r="D44" s="60" t="str">
        <f>(IF((VLOOKUP(Table4[[#This Row],[SKU]],'All Skus'!$A:$AC,2,FALSE))="Crown",(VLOOKUP(Table4[[#This Row],[SKU]],'All Skus'!$A:$AC,5,FALSE)),""))</f>
        <v>DCI</v>
      </c>
      <c r="E44" s="52">
        <f>(IF((VLOOKUP(Table4[[#This Row],[SKU]],'All Skus'!$A:$AC,2,FALSE))="Crown",(VLOOKUP(Table4[[#This Row],[SKU]],'All Skus'!$A:$AC,6,FALSE)),""))</f>
        <v>0</v>
      </c>
      <c r="F44" s="52">
        <f>(IF((VLOOKUP(Table4[[#This Row],[SKU]],'All Skus'!$A:$AC,2,FALSE))="Crown",(VLOOKUP(Table4[[#This Row],[SKU]],'All Skus'!$A:$AC,7,FALSE)),""))</f>
        <v>0</v>
      </c>
      <c r="G44" s="52" t="str">
        <f>(IF((VLOOKUP(Table4[[#This Row],[SKU]],'All Skus'!$A:$AC,2,FALSE))="Crown",(VLOOKUP(Table4[[#This Row],[SKU]],'All Skus'!$A:$AC,8,FALSE)),""))</f>
        <v>2x2400W Power Amplifier</v>
      </c>
      <c r="H44" s="45" t="str">
        <f>(IF((VLOOKUP(Table4[[#This Row],[SKU]],'All Skus'!$A:$AC,2,FALSE))="Crown",(VLOOKUP(Table4[[#This Row],[SKU]],'All Skus'!$A:$AC,9,FALSE)),""))</f>
        <v>Two-channel, 2400W @ 4Ω Power Amplifier with BLU link, 70V/100V</v>
      </c>
      <c r="I44" s="94">
        <f>(IF((VLOOKUP(Table4[[#This Row],[SKU]],'All Skus'!$A:$AC,2,FALSE))="Crown",(VLOOKUP(Table4[[#This Row],[SKU]],'All Skus'!$A:$AC,10,FALSE)),""))</f>
        <v>6642.76</v>
      </c>
      <c r="J44" s="94">
        <f>(IF((VLOOKUP(Table4[[#This Row],[SKU]],'All Skus'!$A:$AC,2,FALSE))="Crown",(VLOOKUP(Table4[[#This Row],[SKU]],'All Skus'!$A:$AC,11,FALSE)),""))</f>
        <v>6642.76</v>
      </c>
      <c r="K44" s="60">
        <f>(IF((VLOOKUP(Table4[[#This Row],[SKU]],'All Skus'!$A:$AC,2,FALSE))="Crown",(VLOOKUP(Table4[[#This Row],[SKU]],'All Skus'!$A:$AC,15,FALSE)),""))</f>
        <v>1</v>
      </c>
      <c r="L44" s="47">
        <f>(IF((VLOOKUP(Table4[[#This Row],[SKU]],'All Skus'!$A:$AC,2,FALSE))="Crown",(VLOOKUP(Table4[[#This Row],[SKU]],'All Skus'!$A:$AC,16,FALSE)),""))</f>
        <v>691991009624</v>
      </c>
      <c r="M44" s="60">
        <f>(IF((VLOOKUP(Table4[[#This Row],[SKU]],'All Skus'!$A:$AC,2,FALSE))="Crown",(VLOOKUP(Table4[[#This Row],[SKU]],'All Skus'!$A:$AC,17,FALSE)),""))</f>
        <v>0</v>
      </c>
      <c r="N44" s="133">
        <f>(IF((VLOOKUP(Table4[[#This Row],[SKU]],'All Skus'!$A:$AC,2,FALSE))="Crown",(VLOOKUP(Table4[[#This Row],[SKU]],'All Skus'!$A:$AC,18,FALSE)),""))</f>
        <v>0</v>
      </c>
      <c r="O44" s="133">
        <f>(IF((VLOOKUP(Table4[[#This Row],[SKU]],'All Skus'!$A:$AC,2,FALSE))="Crown",(VLOOKUP(Table4[[#This Row],[SKU]],'All Skus'!$A:$AC,19,FALSE)),""))</f>
        <v>0</v>
      </c>
      <c r="P44" s="133">
        <f>(IF((VLOOKUP(Table4[[#This Row],[SKU]],'All Skus'!$A:$AC,2,FALSE))="Crown",(VLOOKUP(Table4[[#This Row],[SKU]],'All Skus'!$A:$AC,20,FALSE)),""))</f>
        <v>0</v>
      </c>
      <c r="Q44" s="133">
        <f>(IF((VLOOKUP(Table4[[#This Row],[SKU]],'All Skus'!$A:$AC,2,FALSE))="Crown",(VLOOKUP(Table4[[#This Row],[SKU]],'All Skus'!$A:$AC,21,FALSE)),""))</f>
        <v>0</v>
      </c>
      <c r="R44" s="60" t="str">
        <f>(IF((VLOOKUP(Table4[[#This Row],[SKU]],'All Skus'!$A:$AC,2,FALSE))="Crown",(VLOOKUP(Table4[[#This Row],[SKU]],'All Skus'!$A:$AC,22,FALSE)),""))</f>
        <v>MX</v>
      </c>
      <c r="S44" s="52" t="str">
        <f>(IF((VLOOKUP(Table4[[#This Row],[SKU]],'All Skus'!$A:$AC,2,FALSE))="Crown",(VLOOKUP(Table4[[#This Row],[SKU]],'All Skus'!$A:$AC,23,FALSE)),""))</f>
        <v>Compliant</v>
      </c>
      <c r="T44" s="211" t="str">
        <f>HYPERLINK((IF((VLOOKUP(Table4[[#This Row],[SKU]],'All Skus'!$A:$AC,2,FALSE))="Crown",(VLOOKUP(Table4[[#This Row],[SKU]],'All Skus'!$A:$AC,24,FALSE)),"")))</f>
        <v/>
      </c>
      <c r="U44" s="151">
        <v>42</v>
      </c>
      <c r="V44"/>
      <c r="W44"/>
      <c r="X44"/>
      <c r="Y44"/>
      <c r="Z44"/>
    </row>
    <row r="45" spans="1:26" s="52" customFormat="1" ht="15" customHeight="1">
      <c r="A45" s="48" t="s">
        <v>902</v>
      </c>
      <c r="B45" s="52" t="str">
        <f>(IF((VLOOKUP(Table4[[#This Row],[SKU]],'All Skus'!$A:$AC,2,FALSE))="Crown",(VLOOKUP(Table4[[#This Row],[SKU]],'All Skus'!$A:$AC,3,FALSE)),""))</f>
        <v>DriveCore Install Network Series</v>
      </c>
      <c r="C45" s="52" t="str">
        <f>(IF((VLOOKUP(Table4[[#This Row],[SKU]],'All Skus'!$A:$AC,2,FALSE))="Crown",(VLOOKUP(Table4[[#This Row],[SKU]],'All Skus'!$A:$AC,4,FALSE)),""))</f>
        <v>DCi2x300N</v>
      </c>
      <c r="D45" s="60" t="str">
        <f>(IF((VLOOKUP(Table4[[#This Row],[SKU]],'All Skus'!$A:$AC,2,FALSE))="Crown",(VLOOKUP(Table4[[#This Row],[SKU]],'All Skus'!$A:$AC,5,FALSE)),""))</f>
        <v>DCI</v>
      </c>
      <c r="E45" s="52">
        <f>(IF((VLOOKUP(Table4[[#This Row],[SKU]],'All Skus'!$A:$AC,2,FALSE))="Crown",(VLOOKUP(Table4[[#This Row],[SKU]],'All Skus'!$A:$AC,6,FALSE)),""))</f>
        <v>0</v>
      </c>
      <c r="F45" s="52">
        <f>(IF((VLOOKUP(Table4[[#This Row],[SKU]],'All Skus'!$A:$AC,2,FALSE))="Crown",(VLOOKUP(Table4[[#This Row],[SKU]],'All Skus'!$A:$AC,7,FALSE)),""))</f>
        <v>0</v>
      </c>
      <c r="G45" s="52" t="str">
        <f>(IF((VLOOKUP(Table4[[#This Row],[SKU]],'All Skus'!$A:$AC,2,FALSE))="Crown",(VLOOKUP(Table4[[#This Row],[SKU]],'All Skus'!$A:$AC,8,FALSE)),""))</f>
        <v>2x300W Power Amplifier</v>
      </c>
      <c r="H45" s="45" t="str">
        <f>(IF((VLOOKUP(Table4[[#This Row],[SKU]],'All Skus'!$A:$AC,2,FALSE))="Crown",(VLOOKUP(Table4[[#This Row],[SKU]],'All Skus'!$A:$AC,9,FALSE)),""))</f>
        <v>Two-channel, 300W @ 4Ω Power Amplifier with BLU link, 70V/100V</v>
      </c>
      <c r="I45" s="94">
        <f>(IF((VLOOKUP(Table4[[#This Row],[SKU]],'All Skus'!$A:$AC,2,FALSE))="Crown",(VLOOKUP(Table4[[#This Row],[SKU]],'All Skus'!$A:$AC,10,FALSE)),""))</f>
        <v>2140</v>
      </c>
      <c r="J45" s="94">
        <f>(IF((VLOOKUP(Table4[[#This Row],[SKU]],'All Skus'!$A:$AC,2,FALSE))="Crown",(VLOOKUP(Table4[[#This Row],[SKU]],'All Skus'!$A:$AC,11,FALSE)),""))</f>
        <v>2140</v>
      </c>
      <c r="K45" s="60">
        <f>(IF((VLOOKUP(Table4[[#This Row],[SKU]],'All Skus'!$A:$AC,2,FALSE))="Crown",(VLOOKUP(Table4[[#This Row],[SKU]],'All Skus'!$A:$AC,15,FALSE)),""))</f>
        <v>1</v>
      </c>
      <c r="L45" s="47">
        <f>(IF((VLOOKUP(Table4[[#This Row],[SKU]],'All Skus'!$A:$AC,2,FALSE))="Crown",(VLOOKUP(Table4[[#This Row],[SKU]],'All Skus'!$A:$AC,16,FALSE)),""))</f>
        <v>691991009327</v>
      </c>
      <c r="M45" s="60">
        <f>(IF((VLOOKUP(Table4[[#This Row],[SKU]],'All Skus'!$A:$AC,2,FALSE))="Crown",(VLOOKUP(Table4[[#This Row],[SKU]],'All Skus'!$A:$AC,17,FALSE)),""))</f>
        <v>0</v>
      </c>
      <c r="N45" s="133">
        <f>(IF((VLOOKUP(Table4[[#This Row],[SKU]],'All Skus'!$A:$AC,2,FALSE))="Crown",(VLOOKUP(Table4[[#This Row],[SKU]],'All Skus'!$A:$AC,18,FALSE)),""))</f>
        <v>0</v>
      </c>
      <c r="O45" s="133">
        <f>(IF((VLOOKUP(Table4[[#This Row],[SKU]],'All Skus'!$A:$AC,2,FALSE))="Crown",(VLOOKUP(Table4[[#This Row],[SKU]],'All Skus'!$A:$AC,19,FALSE)),""))</f>
        <v>0</v>
      </c>
      <c r="P45" s="133">
        <f>(IF((VLOOKUP(Table4[[#This Row],[SKU]],'All Skus'!$A:$AC,2,FALSE))="Crown",(VLOOKUP(Table4[[#This Row],[SKU]],'All Skus'!$A:$AC,20,FALSE)),""))</f>
        <v>0</v>
      </c>
      <c r="Q45" s="133">
        <f>(IF((VLOOKUP(Table4[[#This Row],[SKU]],'All Skus'!$A:$AC,2,FALSE))="Crown",(VLOOKUP(Table4[[#This Row],[SKU]],'All Skus'!$A:$AC,21,FALSE)),""))</f>
        <v>0</v>
      </c>
      <c r="R45" s="60" t="str">
        <f>(IF((VLOOKUP(Table4[[#This Row],[SKU]],'All Skus'!$A:$AC,2,FALSE))="Crown",(VLOOKUP(Table4[[#This Row],[SKU]],'All Skus'!$A:$AC,22,FALSE)),""))</f>
        <v>MX</v>
      </c>
      <c r="S45" s="52" t="str">
        <f>(IF((VLOOKUP(Table4[[#This Row],[SKU]],'All Skus'!$A:$AC,2,FALSE))="Crown",(VLOOKUP(Table4[[#This Row],[SKU]],'All Skus'!$A:$AC,23,FALSE)),""))</f>
        <v>Compliant</v>
      </c>
      <c r="T45" s="211" t="str">
        <f>HYPERLINK((IF((VLOOKUP(Table4[[#This Row],[SKU]],'All Skus'!$A:$AC,2,FALSE))="Crown",(VLOOKUP(Table4[[#This Row],[SKU]],'All Skus'!$A:$AC,24,FALSE)),"")))</f>
        <v/>
      </c>
      <c r="U45" s="151">
        <v>43</v>
      </c>
      <c r="V45"/>
      <c r="W45"/>
      <c r="X45"/>
      <c r="Y45"/>
      <c r="Z45"/>
    </row>
    <row r="46" spans="1:26" s="52" customFormat="1" ht="15" customHeight="1">
      <c r="A46" s="48" t="s">
        <v>903</v>
      </c>
      <c r="B46" s="52" t="str">
        <f>(IF((VLOOKUP(Table4[[#This Row],[SKU]],'All Skus'!$A:$AC,2,FALSE))="Crown",(VLOOKUP(Table4[[#This Row],[SKU]],'All Skus'!$A:$AC,3,FALSE)),""))</f>
        <v>DriveCore Install Analog Series</v>
      </c>
      <c r="C46" s="52" t="str">
        <f>(IF((VLOOKUP(Table4[[#This Row],[SKU]],'All Skus'!$A:$AC,2,FALSE))="Crown",(VLOOKUP(Table4[[#This Row],[SKU]],'All Skus'!$A:$AC,4,FALSE)),""))</f>
        <v>dci2x300</v>
      </c>
      <c r="D46" s="60" t="str">
        <f>(IF((VLOOKUP(Table4[[#This Row],[SKU]],'All Skus'!$A:$AC,2,FALSE))="Crown",(VLOOKUP(Table4[[#This Row],[SKU]],'All Skus'!$A:$AC,5,FALSE)),""))</f>
        <v>DCI</v>
      </c>
      <c r="E46" s="52">
        <f>(IF((VLOOKUP(Table4[[#This Row],[SKU]],'All Skus'!$A:$AC,2,FALSE))="Crown",(VLOOKUP(Table4[[#This Row],[SKU]],'All Skus'!$A:$AC,6,FALSE)),""))</f>
        <v>0</v>
      </c>
      <c r="F46" s="52">
        <f>(IF((VLOOKUP(Table4[[#This Row],[SKU]],'All Skus'!$A:$AC,2,FALSE))="Crown",(VLOOKUP(Table4[[#This Row],[SKU]],'All Skus'!$A:$AC,7,FALSE)),""))</f>
        <v>0</v>
      </c>
      <c r="G46" s="52" t="str">
        <f>(IF((VLOOKUP(Table4[[#This Row],[SKU]],'All Skus'!$A:$AC,2,FALSE))="Crown",(VLOOKUP(Table4[[#This Row],[SKU]],'All Skus'!$A:$AC,8,FALSE)),""))</f>
        <v>2x300W Power Amplifier</v>
      </c>
      <c r="H46" s="45" t="str">
        <f>(IF((VLOOKUP(Table4[[#This Row],[SKU]],'All Skus'!$A:$AC,2,FALSE))="Crown",(VLOOKUP(Table4[[#This Row],[SKU]],'All Skus'!$A:$AC,9,FALSE)),""))</f>
        <v>Two-channel, 300W @ 4Ω Analog Power Amplifier, 70V/100V</v>
      </c>
      <c r="I46" s="94">
        <f>(IF((VLOOKUP(Table4[[#This Row],[SKU]],'All Skus'!$A:$AC,2,FALSE))="Crown",(VLOOKUP(Table4[[#This Row],[SKU]],'All Skus'!$A:$AC,10,FALSE)),""))</f>
        <v>1600</v>
      </c>
      <c r="J46" s="94">
        <f>(IF((VLOOKUP(Table4[[#This Row],[SKU]],'All Skus'!$A:$AC,2,FALSE))="Crown",(VLOOKUP(Table4[[#This Row],[SKU]],'All Skus'!$A:$AC,11,FALSE)),""))</f>
        <v>1600</v>
      </c>
      <c r="K46" s="60">
        <f>(IF((VLOOKUP(Table4[[#This Row],[SKU]],'All Skus'!$A:$AC,2,FALSE))="Crown",(VLOOKUP(Table4[[#This Row],[SKU]],'All Skus'!$A:$AC,15,FALSE)),""))</f>
        <v>1</v>
      </c>
      <c r="L46" s="47">
        <f>(IF((VLOOKUP(Table4[[#This Row],[SKU]],'All Skus'!$A:$AC,2,FALSE))="Crown",(VLOOKUP(Table4[[#This Row],[SKU]],'All Skus'!$A:$AC,16,FALSE)),""))</f>
        <v>691991008771</v>
      </c>
      <c r="M46" s="60">
        <f>(IF((VLOOKUP(Table4[[#This Row],[SKU]],'All Skus'!$A:$AC,2,FALSE))="Crown",(VLOOKUP(Table4[[#This Row],[SKU]],'All Skus'!$A:$AC,17,FALSE)),""))</f>
        <v>0</v>
      </c>
      <c r="N46" s="133">
        <f>(IF((VLOOKUP(Table4[[#This Row],[SKU]],'All Skus'!$A:$AC,2,FALSE))="Crown",(VLOOKUP(Table4[[#This Row],[SKU]],'All Skus'!$A:$AC,18,FALSE)),""))</f>
        <v>0</v>
      </c>
      <c r="O46" s="133">
        <f>(IF((VLOOKUP(Table4[[#This Row],[SKU]],'All Skus'!$A:$AC,2,FALSE))="Crown",(VLOOKUP(Table4[[#This Row],[SKU]],'All Skus'!$A:$AC,19,FALSE)),""))</f>
        <v>0</v>
      </c>
      <c r="P46" s="133">
        <f>(IF((VLOOKUP(Table4[[#This Row],[SKU]],'All Skus'!$A:$AC,2,FALSE))="Crown",(VLOOKUP(Table4[[#This Row],[SKU]],'All Skus'!$A:$AC,20,FALSE)),""))</f>
        <v>0</v>
      </c>
      <c r="Q46" s="133">
        <f>(IF((VLOOKUP(Table4[[#This Row],[SKU]],'All Skus'!$A:$AC,2,FALSE))="Crown",(VLOOKUP(Table4[[#This Row],[SKU]],'All Skus'!$A:$AC,21,FALSE)),""))</f>
        <v>0</v>
      </c>
      <c r="R46" s="60" t="str">
        <f>(IF((VLOOKUP(Table4[[#This Row],[SKU]],'All Skus'!$A:$AC,2,FALSE))="Crown",(VLOOKUP(Table4[[#This Row],[SKU]],'All Skus'!$A:$AC,22,FALSE)),""))</f>
        <v>MX</v>
      </c>
      <c r="S46" s="52" t="str">
        <f>(IF((VLOOKUP(Table4[[#This Row],[SKU]],'All Skus'!$A:$AC,2,FALSE))="Crown",(VLOOKUP(Table4[[#This Row],[SKU]],'All Skus'!$A:$AC,23,FALSE)),""))</f>
        <v>Compliant</v>
      </c>
      <c r="T46" s="211" t="str">
        <f>HYPERLINK((IF((VLOOKUP(Table4[[#This Row],[SKU]],'All Skus'!$A:$AC,2,FALSE))="Crown",(VLOOKUP(Table4[[#This Row],[SKU]],'All Skus'!$A:$AC,24,FALSE)),"")))</f>
        <v/>
      </c>
      <c r="U46" s="151">
        <v>44</v>
      </c>
      <c r="V46"/>
      <c r="W46"/>
      <c r="X46"/>
      <c r="Y46"/>
      <c r="Z46"/>
    </row>
    <row r="47" spans="1:26" s="52" customFormat="1" ht="15" customHeight="1">
      <c r="A47" s="48" t="s">
        <v>904</v>
      </c>
      <c r="B47" s="52" t="str">
        <f>(IF((VLOOKUP(Table4[[#This Row],[SKU]],'All Skus'!$A:$AC,2,FALSE))="Crown",(VLOOKUP(Table4[[#This Row],[SKU]],'All Skus'!$A:$AC,3,FALSE)),""))</f>
        <v>DriveCore Install Network Series</v>
      </c>
      <c r="C47" s="52" t="str">
        <f>(IF((VLOOKUP(Table4[[#This Row],[SKU]],'All Skus'!$A:$AC,2,FALSE))="Crown",(VLOOKUP(Table4[[#This Row],[SKU]],'All Skus'!$A:$AC,4,FALSE)),""))</f>
        <v>DCI2x600N</v>
      </c>
      <c r="D47" s="60" t="str">
        <f>(IF((VLOOKUP(Table4[[#This Row],[SKU]],'All Skus'!$A:$AC,2,FALSE))="Crown",(VLOOKUP(Table4[[#This Row],[SKU]],'All Skus'!$A:$AC,5,FALSE)),""))</f>
        <v>DCI</v>
      </c>
      <c r="E47" s="52">
        <f>(IF((VLOOKUP(Table4[[#This Row],[SKU]],'All Skus'!$A:$AC,2,FALSE))="Crown",(VLOOKUP(Table4[[#This Row],[SKU]],'All Skus'!$A:$AC,6,FALSE)),""))</f>
        <v>0</v>
      </c>
      <c r="F47" s="52">
        <f>(IF((VLOOKUP(Table4[[#This Row],[SKU]],'All Skus'!$A:$AC,2,FALSE))="Crown",(VLOOKUP(Table4[[#This Row],[SKU]],'All Skus'!$A:$AC,7,FALSE)),""))</f>
        <v>0</v>
      </c>
      <c r="G47" s="52" t="str">
        <f>(IF((VLOOKUP(Table4[[#This Row],[SKU]],'All Skus'!$A:$AC,2,FALSE))="Crown",(VLOOKUP(Table4[[#This Row],[SKU]],'All Skus'!$A:$AC,8,FALSE)),""))</f>
        <v>2x600W Power Amplifier</v>
      </c>
      <c r="H47" s="45" t="str">
        <f>(IF((VLOOKUP(Table4[[#This Row],[SKU]],'All Skus'!$A:$AC,2,FALSE))="Crown",(VLOOKUP(Table4[[#This Row],[SKU]],'All Skus'!$A:$AC,9,FALSE)),""))</f>
        <v>Two-channel, 600W @ 4Ω Power Amplifier with BLU link, 70V/100V</v>
      </c>
      <c r="I47" s="94">
        <f>(IF((VLOOKUP(Table4[[#This Row],[SKU]],'All Skus'!$A:$AC,2,FALSE))="Crown",(VLOOKUP(Table4[[#This Row],[SKU]],'All Skus'!$A:$AC,10,FALSE)),""))</f>
        <v>3080</v>
      </c>
      <c r="J47" s="94">
        <f>(IF((VLOOKUP(Table4[[#This Row],[SKU]],'All Skus'!$A:$AC,2,FALSE))="Crown",(VLOOKUP(Table4[[#This Row],[SKU]],'All Skus'!$A:$AC,11,FALSE)),""))</f>
        <v>3080</v>
      </c>
      <c r="K47" s="60">
        <f>(IF((VLOOKUP(Table4[[#This Row],[SKU]],'All Skus'!$A:$AC,2,FALSE))="Crown",(VLOOKUP(Table4[[#This Row],[SKU]],'All Skus'!$A:$AC,15,FALSE)),""))</f>
        <v>1</v>
      </c>
      <c r="L47" s="47">
        <f>(IF((VLOOKUP(Table4[[#This Row],[SKU]],'All Skus'!$A:$AC,2,FALSE))="Crown",(VLOOKUP(Table4[[#This Row],[SKU]],'All Skus'!$A:$AC,16,FALSE)),""))</f>
        <v>691991009440</v>
      </c>
      <c r="M47" s="60">
        <f>(IF((VLOOKUP(Table4[[#This Row],[SKU]],'All Skus'!$A:$AC,2,FALSE))="Crown",(VLOOKUP(Table4[[#This Row],[SKU]],'All Skus'!$A:$AC,17,FALSE)),""))</f>
        <v>0</v>
      </c>
      <c r="N47" s="133">
        <f>(IF((VLOOKUP(Table4[[#This Row],[SKU]],'All Skus'!$A:$AC,2,FALSE))="Crown",(VLOOKUP(Table4[[#This Row],[SKU]],'All Skus'!$A:$AC,18,FALSE)),""))</f>
        <v>0</v>
      </c>
      <c r="O47" s="133">
        <f>(IF((VLOOKUP(Table4[[#This Row],[SKU]],'All Skus'!$A:$AC,2,FALSE))="Crown",(VLOOKUP(Table4[[#This Row],[SKU]],'All Skus'!$A:$AC,19,FALSE)),""))</f>
        <v>0</v>
      </c>
      <c r="P47" s="133">
        <f>(IF((VLOOKUP(Table4[[#This Row],[SKU]],'All Skus'!$A:$AC,2,FALSE))="Crown",(VLOOKUP(Table4[[#This Row],[SKU]],'All Skus'!$A:$AC,20,FALSE)),""))</f>
        <v>0</v>
      </c>
      <c r="Q47" s="133">
        <f>(IF((VLOOKUP(Table4[[#This Row],[SKU]],'All Skus'!$A:$AC,2,FALSE))="Crown",(VLOOKUP(Table4[[#This Row],[SKU]],'All Skus'!$A:$AC,21,FALSE)),""))</f>
        <v>0</v>
      </c>
      <c r="R47" s="60" t="str">
        <f>(IF((VLOOKUP(Table4[[#This Row],[SKU]],'All Skus'!$A:$AC,2,FALSE))="Crown",(VLOOKUP(Table4[[#This Row],[SKU]],'All Skus'!$A:$AC,22,FALSE)),""))</f>
        <v>MX</v>
      </c>
      <c r="S47" s="52" t="str">
        <f>(IF((VLOOKUP(Table4[[#This Row],[SKU]],'All Skus'!$A:$AC,2,FALSE))="Crown",(VLOOKUP(Table4[[#This Row],[SKU]],'All Skus'!$A:$AC,23,FALSE)),""))</f>
        <v>Compliant</v>
      </c>
      <c r="T47" s="211" t="str">
        <f>HYPERLINK((IF((VLOOKUP(Table4[[#This Row],[SKU]],'All Skus'!$A:$AC,2,FALSE))="Crown",(VLOOKUP(Table4[[#This Row],[SKU]],'All Skus'!$A:$AC,24,FALSE)),"")))</f>
        <v/>
      </c>
      <c r="U47" s="151">
        <v>45</v>
      </c>
      <c r="V47"/>
      <c r="W47"/>
      <c r="X47"/>
      <c r="Y47"/>
      <c r="Z47"/>
    </row>
    <row r="48" spans="1:26" s="52" customFormat="1" ht="15" customHeight="1">
      <c r="A48" s="48" t="s">
        <v>905</v>
      </c>
      <c r="B48" s="52" t="str">
        <f>(IF((VLOOKUP(Table4[[#This Row],[SKU]],'All Skus'!$A:$AC,2,FALSE))="Crown",(VLOOKUP(Table4[[#This Row],[SKU]],'All Skus'!$A:$AC,3,FALSE)),""))</f>
        <v>DriveCore Install Analog Series</v>
      </c>
      <c r="C48" s="52" t="str">
        <f>(IF((VLOOKUP(Table4[[#This Row],[SKU]],'All Skus'!$A:$AC,2,FALSE))="Crown",(VLOOKUP(Table4[[#This Row],[SKU]],'All Skus'!$A:$AC,4,FALSE)),""))</f>
        <v>DCi2x600</v>
      </c>
      <c r="D48" s="60" t="str">
        <f>(IF((VLOOKUP(Table4[[#This Row],[SKU]],'All Skus'!$A:$AC,2,FALSE))="Crown",(VLOOKUP(Table4[[#This Row],[SKU]],'All Skus'!$A:$AC,5,FALSE)),""))</f>
        <v>DCI</v>
      </c>
      <c r="E48" s="52">
        <f>(IF((VLOOKUP(Table4[[#This Row],[SKU]],'All Skus'!$A:$AC,2,FALSE))="Crown",(VLOOKUP(Table4[[#This Row],[SKU]],'All Skus'!$A:$AC,6,FALSE)),""))</f>
        <v>0</v>
      </c>
      <c r="F48" s="52">
        <f>(IF((VLOOKUP(Table4[[#This Row],[SKU]],'All Skus'!$A:$AC,2,FALSE))="Crown",(VLOOKUP(Table4[[#This Row],[SKU]],'All Skus'!$A:$AC,7,FALSE)),""))</f>
        <v>0</v>
      </c>
      <c r="G48" s="52" t="str">
        <f>(IF((VLOOKUP(Table4[[#This Row],[SKU]],'All Skus'!$A:$AC,2,FALSE))="Crown",(VLOOKUP(Table4[[#This Row],[SKU]],'All Skus'!$A:$AC,8,FALSE)),""))</f>
        <v>2x600W Power Amplifier</v>
      </c>
      <c r="H48" s="45" t="str">
        <f>(IF((VLOOKUP(Table4[[#This Row],[SKU]],'All Skus'!$A:$AC,2,FALSE))="Crown",(VLOOKUP(Table4[[#This Row],[SKU]],'All Skus'!$A:$AC,9,FALSE)),""))</f>
        <v>Two-channel, 600W @ 4Ω Analog Power Amplifier, 70V/100V</v>
      </c>
      <c r="I48" s="94">
        <f>(IF((VLOOKUP(Table4[[#This Row],[SKU]],'All Skus'!$A:$AC,2,FALSE))="Crown",(VLOOKUP(Table4[[#This Row],[SKU]],'All Skus'!$A:$AC,10,FALSE)),""))</f>
        <v>2370</v>
      </c>
      <c r="J48" s="94">
        <f>(IF((VLOOKUP(Table4[[#This Row],[SKU]],'All Skus'!$A:$AC,2,FALSE))="Crown",(VLOOKUP(Table4[[#This Row],[SKU]],'All Skus'!$A:$AC,11,FALSE)),""))</f>
        <v>2370</v>
      </c>
      <c r="K48" s="60">
        <f>(IF((VLOOKUP(Table4[[#This Row],[SKU]],'All Skus'!$A:$AC,2,FALSE))="Crown",(VLOOKUP(Table4[[#This Row],[SKU]],'All Skus'!$A:$AC,15,FALSE)),""))</f>
        <v>1</v>
      </c>
      <c r="L48" s="47">
        <f>(IF((VLOOKUP(Table4[[#This Row],[SKU]],'All Skus'!$A:$AC,2,FALSE))="Crown",(VLOOKUP(Table4[[#This Row],[SKU]],'All Skus'!$A:$AC,16,FALSE)),""))</f>
        <v>691991008979</v>
      </c>
      <c r="M48" s="60">
        <f>(IF((VLOOKUP(Table4[[#This Row],[SKU]],'All Skus'!$A:$AC,2,FALSE))="Crown",(VLOOKUP(Table4[[#This Row],[SKU]],'All Skus'!$A:$AC,17,FALSE)),""))</f>
        <v>0</v>
      </c>
      <c r="N48" s="133">
        <f>(IF((VLOOKUP(Table4[[#This Row],[SKU]],'All Skus'!$A:$AC,2,FALSE))="Crown",(VLOOKUP(Table4[[#This Row],[SKU]],'All Skus'!$A:$AC,18,FALSE)),""))</f>
        <v>0</v>
      </c>
      <c r="O48" s="133">
        <f>(IF((VLOOKUP(Table4[[#This Row],[SKU]],'All Skus'!$A:$AC,2,FALSE))="Crown",(VLOOKUP(Table4[[#This Row],[SKU]],'All Skus'!$A:$AC,19,FALSE)),""))</f>
        <v>0</v>
      </c>
      <c r="P48" s="133">
        <f>(IF((VLOOKUP(Table4[[#This Row],[SKU]],'All Skus'!$A:$AC,2,FALSE))="Crown",(VLOOKUP(Table4[[#This Row],[SKU]],'All Skus'!$A:$AC,20,FALSE)),""))</f>
        <v>0</v>
      </c>
      <c r="Q48" s="133">
        <f>(IF((VLOOKUP(Table4[[#This Row],[SKU]],'All Skus'!$A:$AC,2,FALSE))="Crown",(VLOOKUP(Table4[[#This Row],[SKU]],'All Skus'!$A:$AC,21,FALSE)),""))</f>
        <v>0</v>
      </c>
      <c r="R48" s="60" t="str">
        <f>(IF((VLOOKUP(Table4[[#This Row],[SKU]],'All Skus'!$A:$AC,2,FALSE))="Crown",(VLOOKUP(Table4[[#This Row],[SKU]],'All Skus'!$A:$AC,22,FALSE)),""))</f>
        <v>MX</v>
      </c>
      <c r="S48" s="52" t="str">
        <f>(IF((VLOOKUP(Table4[[#This Row],[SKU]],'All Skus'!$A:$AC,2,FALSE))="Crown",(VLOOKUP(Table4[[#This Row],[SKU]],'All Skus'!$A:$AC,23,FALSE)),""))</f>
        <v>Compliant</v>
      </c>
      <c r="T48" s="211" t="str">
        <f>HYPERLINK((IF((VLOOKUP(Table4[[#This Row],[SKU]],'All Skus'!$A:$AC,2,FALSE))="Crown",(VLOOKUP(Table4[[#This Row],[SKU]],'All Skus'!$A:$AC,24,FALSE)),"")))</f>
        <v/>
      </c>
      <c r="U48" s="151">
        <v>46</v>
      </c>
      <c r="V48"/>
      <c r="W48"/>
      <c r="X48"/>
      <c r="Y48"/>
      <c r="Z48"/>
    </row>
    <row r="49" spans="1:26" s="52" customFormat="1" ht="15" customHeight="1">
      <c r="A49" s="48" t="s">
        <v>906</v>
      </c>
      <c r="B49" s="52" t="str">
        <f>(IF((VLOOKUP(Table4[[#This Row],[SKU]],'All Skus'!$A:$AC,2,FALSE))="Crown",(VLOOKUP(Table4[[#This Row],[SKU]],'All Skus'!$A:$AC,3,FALSE)),""))</f>
        <v>DriveCore Install DA Series</v>
      </c>
      <c r="C49" s="52" t="str">
        <f>(IF((VLOOKUP(Table4[[#This Row],[SKU]],'All Skus'!$A:$AC,2,FALSE))="Crown",(VLOOKUP(Table4[[#This Row],[SKU]],'All Skus'!$A:$AC,4,FALSE)),""))</f>
        <v>DCI4x1250D</v>
      </c>
      <c r="D49" s="60" t="str">
        <f>(IF((VLOOKUP(Table4[[#This Row],[SKU]],'All Skus'!$A:$AC,2,FALSE))="Crown",(VLOOKUP(Table4[[#This Row],[SKU]],'All Skus'!$A:$AC,5,FALSE)),""))</f>
        <v>DCI</v>
      </c>
      <c r="E49" s="52" t="str">
        <f>(IF((VLOOKUP(Table4[[#This Row],[SKU]],'All Skus'!$A:$AC,2,FALSE))="Crown",(VLOOKUP(Table4[[#This Row],[SKU]],'All Skus'!$A:$AC,6,FALSE)),""))</f>
        <v>YES</v>
      </c>
      <c r="F49" s="52">
        <f>(IF((VLOOKUP(Table4[[#This Row],[SKU]],'All Skus'!$A:$AC,2,FALSE))="Crown",(VLOOKUP(Table4[[#This Row],[SKU]],'All Skus'!$A:$AC,7,FALSE)),""))</f>
        <v>0</v>
      </c>
      <c r="G49" s="52" t="str">
        <f>(IF((VLOOKUP(Table4[[#This Row],[SKU]],'All Skus'!$A:$AC,2,FALSE))="Crown",(VLOOKUP(Table4[[#This Row],[SKU]],'All Skus'!$A:$AC,8,FALSE)),""))</f>
        <v>4x1250W Power Amplifier</v>
      </c>
      <c r="H49" s="45" t="str">
        <f>(IF((VLOOKUP(Table4[[#This Row],[SKU]],'All Skus'!$A:$AC,2,FALSE))="Crown",(VLOOKUP(Table4[[#This Row],[SKU]],'All Skus'!$A:$AC,9,FALSE)),""))</f>
        <v>Dante-enabled amplifier with DSP, network control/monitoring, GPIO, 2/4/8Ω and 70/100V operation.  4 channels, 1250W/ch.</v>
      </c>
      <c r="I49" s="94">
        <f>(IF((VLOOKUP(Table4[[#This Row],[SKU]],'All Skus'!$A:$AC,2,FALSE))="Crown",(VLOOKUP(Table4[[#This Row],[SKU]],'All Skus'!$A:$AC,10,FALSE)),""))</f>
        <v>6642</v>
      </c>
      <c r="J49" s="94">
        <f>(IF((VLOOKUP(Table4[[#This Row],[SKU]],'All Skus'!$A:$AC,2,FALSE))="Crown",(VLOOKUP(Table4[[#This Row],[SKU]],'All Skus'!$A:$AC,11,FALSE)),""))</f>
        <v>6642</v>
      </c>
      <c r="K49" s="60">
        <f>(IF((VLOOKUP(Table4[[#This Row],[SKU]],'All Skus'!$A:$AC,2,FALSE))="Crown",(VLOOKUP(Table4[[#This Row],[SKU]],'All Skus'!$A:$AC,15,FALSE)),""))</f>
        <v>1</v>
      </c>
      <c r="L49" s="47">
        <f>(IF((VLOOKUP(Table4[[#This Row],[SKU]],'All Skus'!$A:$AC,2,FALSE))="Crown",(VLOOKUP(Table4[[#This Row],[SKU]],'All Skus'!$A:$AC,16,FALSE)),""))</f>
        <v>691991009945</v>
      </c>
      <c r="M49" s="60">
        <f>(IF((VLOOKUP(Table4[[#This Row],[SKU]],'All Skus'!$A:$AC,2,FALSE))="Crown",(VLOOKUP(Table4[[#This Row],[SKU]],'All Skus'!$A:$AC,17,FALSE)),""))</f>
        <v>0</v>
      </c>
      <c r="N49" s="133">
        <f>(IF((VLOOKUP(Table4[[#This Row],[SKU]],'All Skus'!$A:$AC,2,FALSE))="Crown",(VLOOKUP(Table4[[#This Row],[SKU]],'All Skus'!$A:$AC,18,FALSE)),""))</f>
        <v>0</v>
      </c>
      <c r="O49" s="133">
        <f>(IF((VLOOKUP(Table4[[#This Row],[SKU]],'All Skus'!$A:$AC,2,FALSE))="Crown",(VLOOKUP(Table4[[#This Row],[SKU]],'All Skus'!$A:$AC,19,FALSE)),""))</f>
        <v>0</v>
      </c>
      <c r="P49" s="133">
        <f>(IF((VLOOKUP(Table4[[#This Row],[SKU]],'All Skus'!$A:$AC,2,FALSE))="Crown",(VLOOKUP(Table4[[#This Row],[SKU]],'All Skus'!$A:$AC,20,FALSE)),""))</f>
        <v>0</v>
      </c>
      <c r="Q49" s="133">
        <f>(IF((VLOOKUP(Table4[[#This Row],[SKU]],'All Skus'!$A:$AC,2,FALSE))="Crown",(VLOOKUP(Table4[[#This Row],[SKU]],'All Skus'!$A:$AC,21,FALSE)),""))</f>
        <v>0</v>
      </c>
      <c r="R49" s="60" t="str">
        <f>(IF((VLOOKUP(Table4[[#This Row],[SKU]],'All Skus'!$A:$AC,2,FALSE))="Crown",(VLOOKUP(Table4[[#This Row],[SKU]],'All Skus'!$A:$AC,22,FALSE)),""))</f>
        <v>MX</v>
      </c>
      <c r="S49" s="52" t="str">
        <f>(IF((VLOOKUP(Table4[[#This Row],[SKU]],'All Skus'!$A:$AC,2,FALSE))="Crown",(VLOOKUP(Table4[[#This Row],[SKU]],'All Skus'!$A:$AC,23,FALSE)),""))</f>
        <v>Compliant</v>
      </c>
      <c r="T49" s="211" t="str">
        <f>HYPERLINK((IF((VLOOKUP(Table4[[#This Row],[SKU]],'All Skus'!$A:$AC,2,FALSE))="Crown",(VLOOKUP(Table4[[#This Row],[SKU]],'All Skus'!$A:$AC,24,FALSE)),"")))</f>
        <v/>
      </c>
      <c r="U49" s="151">
        <v>47</v>
      </c>
      <c r="V49"/>
      <c r="W49"/>
      <c r="X49"/>
      <c r="Y49"/>
      <c r="Z49"/>
    </row>
    <row r="50" spans="1:26" s="52" customFormat="1" ht="15" customHeight="1">
      <c r="A50" s="48" t="s">
        <v>907</v>
      </c>
      <c r="B50" s="52" t="str">
        <f>(IF((VLOOKUP(Table4[[#This Row],[SKU]],'All Skus'!$A:$AC,2,FALSE))="Crown",(VLOOKUP(Table4[[#This Row],[SKU]],'All Skus'!$A:$AC,3,FALSE)),""))</f>
        <v>DriveCore Install Network Display Series</v>
      </c>
      <c r="C50" s="52" t="str">
        <f>(IF((VLOOKUP(Table4[[#This Row],[SKU]],'All Skus'!$A:$AC,2,FALSE))="Crown",(VLOOKUP(Table4[[#This Row],[SKU]],'All Skus'!$A:$AC,4,FALSE)),""))</f>
        <v>DCi4x1250ND</v>
      </c>
      <c r="D50" s="60" t="str">
        <f>(IF((VLOOKUP(Table4[[#This Row],[SKU]],'All Skus'!$A:$AC,2,FALSE))="Crown",(VLOOKUP(Table4[[#This Row],[SKU]],'All Skus'!$A:$AC,5,FALSE)),""))</f>
        <v>DCI</v>
      </c>
      <c r="E50" s="52" t="str">
        <f>(IF((VLOOKUP(Table4[[#This Row],[SKU]],'All Skus'!$A:$AC,2,FALSE))="Crown",(VLOOKUP(Table4[[#This Row],[SKU]],'All Skus'!$A:$AC,6,FALSE)),""))</f>
        <v>YES</v>
      </c>
      <c r="F50" s="52">
        <f>(IF((VLOOKUP(Table4[[#This Row],[SKU]],'All Skus'!$A:$AC,2,FALSE))="Crown",(VLOOKUP(Table4[[#This Row],[SKU]],'All Skus'!$A:$AC,7,FALSE)),""))</f>
        <v>0</v>
      </c>
      <c r="G50" s="52" t="str">
        <f>(IF((VLOOKUP(Table4[[#This Row],[SKU]],'All Skus'!$A:$AC,2,FALSE))="Crown",(VLOOKUP(Table4[[#This Row],[SKU]],'All Skus'!$A:$AC,8,FALSE)),""))</f>
        <v>4x1250W Power Amplifier</v>
      </c>
      <c r="H50" s="45" t="str">
        <f>(IF((VLOOKUP(Table4[[#This Row],[SKU]],'All Skus'!$A:$AC,2,FALSE))="Crown",(VLOOKUP(Table4[[#This Row],[SKU]],'All Skus'!$A:$AC,9,FALSE)),""))</f>
        <v>Four-channel, 1250W @ 4Ω Power Amplifier with AVB, 70V/100V</v>
      </c>
      <c r="I50" s="94">
        <f>(IF((VLOOKUP(Table4[[#This Row],[SKU]],'All Skus'!$A:$AC,2,FALSE))="Crown",(VLOOKUP(Table4[[#This Row],[SKU]],'All Skus'!$A:$AC,10,FALSE)),""))</f>
        <v>7310</v>
      </c>
      <c r="J50" s="94">
        <f>(IF((VLOOKUP(Table4[[#This Row],[SKU]],'All Skus'!$A:$AC,2,FALSE))="Crown",(VLOOKUP(Table4[[#This Row],[SKU]],'All Skus'!$A:$AC,11,FALSE)),""))</f>
        <v>7310</v>
      </c>
      <c r="K50" s="60">
        <f>(IF((VLOOKUP(Table4[[#This Row],[SKU]],'All Skus'!$A:$AC,2,FALSE))="Crown",(VLOOKUP(Table4[[#This Row],[SKU]],'All Skus'!$A:$AC,15,FALSE)),""))</f>
        <v>1</v>
      </c>
      <c r="L50" s="47">
        <f>(IF((VLOOKUP(Table4[[#This Row],[SKU]],'All Skus'!$A:$AC,2,FALSE))="Crown",(VLOOKUP(Table4[[#This Row],[SKU]],'All Skus'!$A:$AC,16,FALSE)),""))</f>
        <v>691991008214</v>
      </c>
      <c r="M50" s="60">
        <f>(IF((VLOOKUP(Table4[[#This Row],[SKU]],'All Skus'!$A:$AC,2,FALSE))="Crown",(VLOOKUP(Table4[[#This Row],[SKU]],'All Skus'!$A:$AC,17,FALSE)),""))</f>
        <v>0</v>
      </c>
      <c r="N50" s="133">
        <f>(IF((VLOOKUP(Table4[[#This Row],[SKU]],'All Skus'!$A:$AC,2,FALSE))="Crown",(VLOOKUP(Table4[[#This Row],[SKU]],'All Skus'!$A:$AC,18,FALSE)),""))</f>
        <v>0</v>
      </c>
      <c r="O50" s="133">
        <f>(IF((VLOOKUP(Table4[[#This Row],[SKU]],'All Skus'!$A:$AC,2,FALSE))="Crown",(VLOOKUP(Table4[[#This Row],[SKU]],'All Skus'!$A:$AC,19,FALSE)),""))</f>
        <v>0</v>
      </c>
      <c r="P50" s="133">
        <f>(IF((VLOOKUP(Table4[[#This Row],[SKU]],'All Skus'!$A:$AC,2,FALSE))="Crown",(VLOOKUP(Table4[[#This Row],[SKU]],'All Skus'!$A:$AC,20,FALSE)),""))</f>
        <v>0</v>
      </c>
      <c r="Q50" s="133">
        <f>(IF((VLOOKUP(Table4[[#This Row],[SKU]],'All Skus'!$A:$AC,2,FALSE))="Crown",(VLOOKUP(Table4[[#This Row],[SKU]],'All Skus'!$A:$AC,21,FALSE)),""))</f>
        <v>0</v>
      </c>
      <c r="R50" s="60" t="str">
        <f>(IF((VLOOKUP(Table4[[#This Row],[SKU]],'All Skus'!$A:$AC,2,FALSE))="Crown",(VLOOKUP(Table4[[#This Row],[SKU]],'All Skus'!$A:$AC,22,FALSE)),""))</f>
        <v>MX</v>
      </c>
      <c r="S50" s="52" t="str">
        <f>(IF((VLOOKUP(Table4[[#This Row],[SKU]],'All Skus'!$A:$AC,2,FALSE))="Crown",(VLOOKUP(Table4[[#This Row],[SKU]],'All Skus'!$A:$AC,23,FALSE)),""))</f>
        <v>Compliant</v>
      </c>
      <c r="T50" s="211" t="str">
        <f>HYPERLINK((IF((VLOOKUP(Table4[[#This Row],[SKU]],'All Skus'!$A:$AC,2,FALSE))="Crown",(VLOOKUP(Table4[[#This Row],[SKU]],'All Skus'!$A:$AC,24,FALSE)),"")))</f>
        <v/>
      </c>
      <c r="U50" s="151">
        <v>48</v>
      </c>
      <c r="V50"/>
      <c r="W50"/>
      <c r="X50"/>
      <c r="Y50"/>
      <c r="Z50"/>
    </row>
    <row r="51" spans="1:26" s="52" customFormat="1" ht="15" customHeight="1">
      <c r="A51" s="48" t="s">
        <v>908</v>
      </c>
      <c r="B51" s="52" t="str">
        <f>(IF((VLOOKUP(Table4[[#This Row],[SKU]],'All Skus'!$A:$AC,2,FALSE))="Crown",(VLOOKUP(Table4[[#This Row],[SKU]],'All Skus'!$A:$AC,3,FALSE)),""))</f>
        <v>DriveCore Install Network Series</v>
      </c>
      <c r="C51" s="52" t="str">
        <f>(IF((VLOOKUP(Table4[[#This Row],[SKU]],'All Skus'!$A:$AC,2,FALSE))="Crown",(VLOOKUP(Table4[[#This Row],[SKU]],'All Skus'!$A:$AC,4,FALSE)),""))</f>
        <v xml:space="preserve">DCI4x1250N </v>
      </c>
      <c r="D51" s="60" t="str">
        <f>(IF((VLOOKUP(Table4[[#This Row],[SKU]],'All Skus'!$A:$AC,2,FALSE))="Crown",(VLOOKUP(Table4[[#This Row],[SKU]],'All Skus'!$A:$AC,5,FALSE)),""))</f>
        <v>DCI</v>
      </c>
      <c r="E51" s="52">
        <f>(IF((VLOOKUP(Table4[[#This Row],[SKU]],'All Skus'!$A:$AC,2,FALSE))="Crown",(VLOOKUP(Table4[[#This Row],[SKU]],'All Skus'!$A:$AC,6,FALSE)),""))</f>
        <v>0</v>
      </c>
      <c r="F51" s="52">
        <f>(IF((VLOOKUP(Table4[[#This Row],[SKU]],'All Skus'!$A:$AC,2,FALSE))="Crown",(VLOOKUP(Table4[[#This Row],[SKU]],'All Skus'!$A:$AC,7,FALSE)),""))</f>
        <v>0</v>
      </c>
      <c r="G51" s="52" t="str">
        <f>(IF((VLOOKUP(Table4[[#This Row],[SKU]],'All Skus'!$A:$AC,2,FALSE))="Crown",(VLOOKUP(Table4[[#This Row],[SKU]],'All Skus'!$A:$AC,8,FALSE)),""))</f>
        <v>4x1250W Power Amplifier</v>
      </c>
      <c r="H51" s="45" t="str">
        <f>(IF((VLOOKUP(Table4[[#This Row],[SKU]],'All Skus'!$A:$AC,2,FALSE))="Crown",(VLOOKUP(Table4[[#This Row],[SKU]],'All Skus'!$A:$AC,9,FALSE)),""))</f>
        <v>Four-channel, 1250W @ 4Ω Power Amplifier with BLU link, 70V/100V</v>
      </c>
      <c r="I51" s="94">
        <f>(IF((VLOOKUP(Table4[[#This Row],[SKU]],'All Skus'!$A:$AC,2,FALSE))="Crown",(VLOOKUP(Table4[[#This Row],[SKU]],'All Skus'!$A:$AC,10,FALSE)),""))</f>
        <v>6640</v>
      </c>
      <c r="J51" s="94">
        <f>(IF((VLOOKUP(Table4[[#This Row],[SKU]],'All Skus'!$A:$AC,2,FALSE))="Crown",(VLOOKUP(Table4[[#This Row],[SKU]],'All Skus'!$A:$AC,11,FALSE)),""))</f>
        <v>6640</v>
      </c>
      <c r="K51" s="60">
        <f>(IF((VLOOKUP(Table4[[#This Row],[SKU]],'All Skus'!$A:$AC,2,FALSE))="Crown",(VLOOKUP(Table4[[#This Row],[SKU]],'All Skus'!$A:$AC,15,FALSE)),""))</f>
        <v>1</v>
      </c>
      <c r="L51" s="47">
        <f>(IF((VLOOKUP(Table4[[#This Row],[SKU]],'All Skus'!$A:$AC,2,FALSE))="Crown",(VLOOKUP(Table4[[#This Row],[SKU]],'All Skus'!$A:$AC,16,FALSE)),""))</f>
        <v>691991008917</v>
      </c>
      <c r="M51" s="60">
        <f>(IF((VLOOKUP(Table4[[#This Row],[SKU]],'All Skus'!$A:$AC,2,FALSE))="Crown",(VLOOKUP(Table4[[#This Row],[SKU]],'All Skus'!$A:$AC,17,FALSE)),""))</f>
        <v>0</v>
      </c>
      <c r="N51" s="133">
        <f>(IF((VLOOKUP(Table4[[#This Row],[SKU]],'All Skus'!$A:$AC,2,FALSE))="Crown",(VLOOKUP(Table4[[#This Row],[SKU]],'All Skus'!$A:$AC,18,FALSE)),""))</f>
        <v>0</v>
      </c>
      <c r="O51" s="133">
        <f>(IF((VLOOKUP(Table4[[#This Row],[SKU]],'All Skus'!$A:$AC,2,FALSE))="Crown",(VLOOKUP(Table4[[#This Row],[SKU]],'All Skus'!$A:$AC,19,FALSE)),""))</f>
        <v>0</v>
      </c>
      <c r="P51" s="133">
        <f>(IF((VLOOKUP(Table4[[#This Row],[SKU]],'All Skus'!$A:$AC,2,FALSE))="Crown",(VLOOKUP(Table4[[#This Row],[SKU]],'All Skus'!$A:$AC,20,FALSE)),""))</f>
        <v>0</v>
      </c>
      <c r="Q51" s="133">
        <f>(IF((VLOOKUP(Table4[[#This Row],[SKU]],'All Skus'!$A:$AC,2,FALSE))="Crown",(VLOOKUP(Table4[[#This Row],[SKU]],'All Skus'!$A:$AC,21,FALSE)),""))</f>
        <v>0</v>
      </c>
      <c r="R51" s="60" t="str">
        <f>(IF((VLOOKUP(Table4[[#This Row],[SKU]],'All Skus'!$A:$AC,2,FALSE))="Crown",(VLOOKUP(Table4[[#This Row],[SKU]],'All Skus'!$A:$AC,22,FALSE)),""))</f>
        <v>MX</v>
      </c>
      <c r="S51" s="52" t="str">
        <f>(IF((VLOOKUP(Table4[[#This Row],[SKU]],'All Skus'!$A:$AC,2,FALSE))="Crown",(VLOOKUP(Table4[[#This Row],[SKU]],'All Skus'!$A:$AC,23,FALSE)),""))</f>
        <v>Compliant</v>
      </c>
      <c r="T51" s="211" t="str">
        <f>HYPERLINK((IF((VLOOKUP(Table4[[#This Row],[SKU]],'All Skus'!$A:$AC,2,FALSE))="Crown",(VLOOKUP(Table4[[#This Row],[SKU]],'All Skus'!$A:$AC,24,FALSE)),"")))</f>
        <v/>
      </c>
      <c r="U51" s="151">
        <v>49</v>
      </c>
      <c r="V51"/>
      <c r="W51"/>
      <c r="X51"/>
      <c r="Y51"/>
      <c r="Z51"/>
    </row>
    <row r="52" spans="1:26" s="52" customFormat="1" ht="15" customHeight="1">
      <c r="A52" s="48" t="s">
        <v>909</v>
      </c>
      <c r="B52" s="52" t="str">
        <f>(IF((VLOOKUP(Table4[[#This Row],[SKU]],'All Skus'!$A:$AC,2,FALSE))="Crown",(VLOOKUP(Table4[[#This Row],[SKU]],'All Skus'!$A:$AC,3,FALSE)),""))</f>
        <v>DriveCore Install Analog Series</v>
      </c>
      <c r="C52" s="52" t="str">
        <f>(IF((VLOOKUP(Table4[[#This Row],[SKU]],'All Skus'!$A:$AC,2,FALSE))="Crown",(VLOOKUP(Table4[[#This Row],[SKU]],'All Skus'!$A:$AC,4,FALSE)),""))</f>
        <v xml:space="preserve">DCi4x1250 </v>
      </c>
      <c r="D52" s="60" t="str">
        <f>(IF((VLOOKUP(Table4[[#This Row],[SKU]],'All Skus'!$A:$AC,2,FALSE))="Crown",(VLOOKUP(Table4[[#This Row],[SKU]],'All Skus'!$A:$AC,5,FALSE)),""))</f>
        <v>DCI</v>
      </c>
      <c r="E52" s="52">
        <f>(IF((VLOOKUP(Table4[[#This Row],[SKU]],'All Skus'!$A:$AC,2,FALSE))="Crown",(VLOOKUP(Table4[[#This Row],[SKU]],'All Skus'!$A:$AC,6,FALSE)),""))</f>
        <v>0</v>
      </c>
      <c r="F52" s="52">
        <f>(IF((VLOOKUP(Table4[[#This Row],[SKU]],'All Skus'!$A:$AC,2,FALSE))="Crown",(VLOOKUP(Table4[[#This Row],[SKU]],'All Skus'!$A:$AC,7,FALSE)),""))</f>
        <v>0</v>
      </c>
      <c r="G52" s="52" t="str">
        <f>(IF((VLOOKUP(Table4[[#This Row],[SKU]],'All Skus'!$A:$AC,2,FALSE))="Crown",(VLOOKUP(Table4[[#This Row],[SKU]],'All Skus'!$A:$AC,8,FALSE)),""))</f>
        <v>4x1250W Power Amplifier</v>
      </c>
      <c r="H52" s="45" t="str">
        <f>(IF((VLOOKUP(Table4[[#This Row],[SKU]],'All Skus'!$A:$AC,2,FALSE))="Crown",(VLOOKUP(Table4[[#This Row],[SKU]],'All Skus'!$A:$AC,9,FALSE)),""))</f>
        <v>Four-channel, 1250W @ 4Ω Analog Power Amplifier, 70V/100V</v>
      </c>
      <c r="I52" s="94">
        <f>(IF((VLOOKUP(Table4[[#This Row],[SKU]],'All Skus'!$A:$AC,2,FALSE))="Crown",(VLOOKUP(Table4[[#This Row],[SKU]],'All Skus'!$A:$AC,10,FALSE)),""))</f>
        <v>5520</v>
      </c>
      <c r="J52" s="94">
        <f>(IF((VLOOKUP(Table4[[#This Row],[SKU]],'All Skus'!$A:$AC,2,FALSE))="Crown",(VLOOKUP(Table4[[#This Row],[SKU]],'All Skus'!$A:$AC,11,FALSE)),""))</f>
        <v>5520</v>
      </c>
      <c r="K52" s="60">
        <f>(IF((VLOOKUP(Table4[[#This Row],[SKU]],'All Skus'!$A:$AC,2,FALSE))="Crown",(VLOOKUP(Table4[[#This Row],[SKU]],'All Skus'!$A:$AC,15,FALSE)),""))</f>
        <v>1</v>
      </c>
      <c r="L52" s="47">
        <f>(IF((VLOOKUP(Table4[[#This Row],[SKU]],'All Skus'!$A:$AC,2,FALSE))="Crown",(VLOOKUP(Table4[[#This Row],[SKU]],'All Skus'!$A:$AC,16,FALSE)),""))</f>
        <v>691991009389</v>
      </c>
      <c r="M52" s="60">
        <f>(IF((VLOOKUP(Table4[[#This Row],[SKU]],'All Skus'!$A:$AC,2,FALSE))="Crown",(VLOOKUP(Table4[[#This Row],[SKU]],'All Skus'!$A:$AC,17,FALSE)),""))</f>
        <v>0</v>
      </c>
      <c r="N52" s="133">
        <f>(IF((VLOOKUP(Table4[[#This Row],[SKU]],'All Skus'!$A:$AC,2,FALSE))="Crown",(VLOOKUP(Table4[[#This Row],[SKU]],'All Skus'!$A:$AC,18,FALSE)),""))</f>
        <v>0</v>
      </c>
      <c r="O52" s="133">
        <f>(IF((VLOOKUP(Table4[[#This Row],[SKU]],'All Skus'!$A:$AC,2,FALSE))="Crown",(VLOOKUP(Table4[[#This Row],[SKU]],'All Skus'!$A:$AC,19,FALSE)),""))</f>
        <v>0</v>
      </c>
      <c r="P52" s="133">
        <f>(IF((VLOOKUP(Table4[[#This Row],[SKU]],'All Skus'!$A:$AC,2,FALSE))="Crown",(VLOOKUP(Table4[[#This Row],[SKU]],'All Skus'!$A:$AC,20,FALSE)),""))</f>
        <v>0</v>
      </c>
      <c r="Q52" s="133">
        <f>(IF((VLOOKUP(Table4[[#This Row],[SKU]],'All Skus'!$A:$AC,2,FALSE))="Crown",(VLOOKUP(Table4[[#This Row],[SKU]],'All Skus'!$A:$AC,21,FALSE)),""))</f>
        <v>0</v>
      </c>
      <c r="R52" s="60" t="str">
        <f>(IF((VLOOKUP(Table4[[#This Row],[SKU]],'All Skus'!$A:$AC,2,FALSE))="Crown",(VLOOKUP(Table4[[#This Row],[SKU]],'All Skus'!$A:$AC,22,FALSE)),""))</f>
        <v>MX</v>
      </c>
      <c r="S52" s="52" t="str">
        <f>(IF((VLOOKUP(Table4[[#This Row],[SKU]],'All Skus'!$A:$AC,2,FALSE))="Crown",(VLOOKUP(Table4[[#This Row],[SKU]],'All Skus'!$A:$AC,23,FALSE)),""))</f>
        <v>Compliant</v>
      </c>
      <c r="T52" s="211" t="str">
        <f>HYPERLINK((IF((VLOOKUP(Table4[[#This Row],[SKU]],'All Skus'!$A:$AC,2,FALSE))="Crown",(VLOOKUP(Table4[[#This Row],[SKU]],'All Skus'!$A:$AC,24,FALSE)),"")))</f>
        <v/>
      </c>
      <c r="U52" s="151">
        <v>50</v>
      </c>
      <c r="V52"/>
      <c r="W52"/>
      <c r="X52"/>
      <c r="Y52"/>
      <c r="Z52"/>
    </row>
    <row r="53" spans="1:26" s="52" customFormat="1" ht="15" customHeight="1">
      <c r="A53" s="48" t="s">
        <v>910</v>
      </c>
      <c r="B53" s="52" t="str">
        <f>(IF((VLOOKUP(Table4[[#This Row],[SKU]],'All Skus'!$A:$AC,2,FALSE))="Crown",(VLOOKUP(Table4[[#This Row],[SKU]],'All Skus'!$A:$AC,3,FALSE)),""))</f>
        <v>DriveCore Install Network Series</v>
      </c>
      <c r="C53" s="52" t="str">
        <f>(IF((VLOOKUP(Table4[[#This Row],[SKU]],'All Skus'!$A:$AC,2,FALSE))="Crown",(VLOOKUP(Table4[[#This Row],[SKU]],'All Skus'!$A:$AC,4,FALSE)),""))</f>
        <v>DCI4x2400N</v>
      </c>
      <c r="D53" s="60" t="str">
        <f>(IF((VLOOKUP(Table4[[#This Row],[SKU]],'All Skus'!$A:$AC,2,FALSE))="Crown",(VLOOKUP(Table4[[#This Row],[SKU]],'All Skus'!$A:$AC,5,FALSE)),""))</f>
        <v>DCI</v>
      </c>
      <c r="E53" s="52">
        <f>(IF((VLOOKUP(Table4[[#This Row],[SKU]],'All Skus'!$A:$AC,2,FALSE))="Crown",(VLOOKUP(Table4[[#This Row],[SKU]],'All Skus'!$A:$AC,6,FALSE)),""))</f>
        <v>0</v>
      </c>
      <c r="F53" s="52">
        <f>(IF((VLOOKUP(Table4[[#This Row],[SKU]],'All Skus'!$A:$AC,2,FALSE))="Crown",(VLOOKUP(Table4[[#This Row],[SKU]],'All Skus'!$A:$AC,7,FALSE)),""))</f>
        <v>0</v>
      </c>
      <c r="G53" s="52" t="str">
        <f>(IF((VLOOKUP(Table4[[#This Row],[SKU]],'All Skus'!$A:$AC,2,FALSE))="Crown",(VLOOKUP(Table4[[#This Row],[SKU]],'All Skus'!$A:$AC,8,FALSE)),""))</f>
        <v>4x2400W Power Amplifier</v>
      </c>
      <c r="H53" s="45" t="str">
        <f>(IF((VLOOKUP(Table4[[#This Row],[SKU]],'All Skus'!$A:$AC,2,FALSE))="Crown",(VLOOKUP(Table4[[#This Row],[SKU]],'All Skus'!$A:$AC,9,FALSE)),""))</f>
        <v>Four-channel, 2400W @ 4Ω Power Amplifier with BLU link, 70V/100V</v>
      </c>
      <c r="I53" s="94">
        <f>(IF((VLOOKUP(Table4[[#This Row],[SKU]],'All Skus'!$A:$AC,2,FALSE))="Crown",(VLOOKUP(Table4[[#This Row],[SKU]],'All Skus'!$A:$AC,10,FALSE)),""))</f>
        <v>10680</v>
      </c>
      <c r="J53" s="94">
        <f>(IF((VLOOKUP(Table4[[#This Row],[SKU]],'All Skus'!$A:$AC,2,FALSE))="Crown",(VLOOKUP(Table4[[#This Row],[SKU]],'All Skus'!$A:$AC,11,FALSE)),""))</f>
        <v>10680</v>
      </c>
      <c r="K53" s="60">
        <f>(IF((VLOOKUP(Table4[[#This Row],[SKU]],'All Skus'!$A:$AC,2,FALSE))="Crown",(VLOOKUP(Table4[[#This Row],[SKU]],'All Skus'!$A:$AC,15,FALSE)),""))</f>
        <v>1</v>
      </c>
      <c r="L53" s="47">
        <f>(IF((VLOOKUP(Table4[[#This Row],[SKU]],'All Skus'!$A:$AC,2,FALSE))="Crown",(VLOOKUP(Table4[[#This Row],[SKU]],'All Skus'!$A:$AC,16,FALSE)),""))</f>
        <v>691991009990</v>
      </c>
      <c r="M53" s="60">
        <f>(IF((VLOOKUP(Table4[[#This Row],[SKU]],'All Skus'!$A:$AC,2,FALSE))="Crown",(VLOOKUP(Table4[[#This Row],[SKU]],'All Skus'!$A:$AC,17,FALSE)),""))</f>
        <v>0</v>
      </c>
      <c r="N53" s="133">
        <f>(IF((VLOOKUP(Table4[[#This Row],[SKU]],'All Skus'!$A:$AC,2,FALSE))="Crown",(VLOOKUP(Table4[[#This Row],[SKU]],'All Skus'!$A:$AC,18,FALSE)),""))</f>
        <v>0</v>
      </c>
      <c r="O53" s="133">
        <f>(IF((VLOOKUP(Table4[[#This Row],[SKU]],'All Skus'!$A:$AC,2,FALSE))="Crown",(VLOOKUP(Table4[[#This Row],[SKU]],'All Skus'!$A:$AC,19,FALSE)),""))</f>
        <v>0</v>
      </c>
      <c r="P53" s="133">
        <f>(IF((VLOOKUP(Table4[[#This Row],[SKU]],'All Skus'!$A:$AC,2,FALSE))="Crown",(VLOOKUP(Table4[[#This Row],[SKU]],'All Skus'!$A:$AC,20,FALSE)),""))</f>
        <v>0</v>
      </c>
      <c r="Q53" s="133">
        <f>(IF((VLOOKUP(Table4[[#This Row],[SKU]],'All Skus'!$A:$AC,2,FALSE))="Crown",(VLOOKUP(Table4[[#This Row],[SKU]],'All Skus'!$A:$AC,21,FALSE)),""))</f>
        <v>0</v>
      </c>
      <c r="R53" s="60" t="str">
        <f>(IF((VLOOKUP(Table4[[#This Row],[SKU]],'All Skus'!$A:$AC,2,FALSE))="Crown",(VLOOKUP(Table4[[#This Row],[SKU]],'All Skus'!$A:$AC,22,FALSE)),""))</f>
        <v>MX</v>
      </c>
      <c r="S53" s="52" t="str">
        <f>(IF((VLOOKUP(Table4[[#This Row],[SKU]],'All Skus'!$A:$AC,2,FALSE))="Crown",(VLOOKUP(Table4[[#This Row],[SKU]],'All Skus'!$A:$AC,23,FALSE)),""))</f>
        <v>Compliant</v>
      </c>
      <c r="T53" s="211" t="str">
        <f>HYPERLINK((IF((VLOOKUP(Table4[[#This Row],[SKU]],'All Skus'!$A:$AC,2,FALSE))="Crown",(VLOOKUP(Table4[[#This Row],[SKU]],'All Skus'!$A:$AC,24,FALSE)),"")))</f>
        <v/>
      </c>
      <c r="U53" s="151">
        <v>51</v>
      </c>
      <c r="V53"/>
      <c r="W53"/>
      <c r="X53"/>
      <c r="Y53"/>
      <c r="Z53"/>
    </row>
    <row r="54" spans="1:26" s="52" customFormat="1" ht="15" customHeight="1">
      <c r="A54" s="48" t="s">
        <v>911</v>
      </c>
      <c r="B54" s="52" t="str">
        <f>(IF((VLOOKUP(Table4[[#This Row],[SKU]],'All Skus'!$A:$AC,2,FALSE))="Crown",(VLOOKUP(Table4[[#This Row],[SKU]],'All Skus'!$A:$AC,3,FALSE)),""))</f>
        <v>DriveCore Install DA Series</v>
      </c>
      <c r="C54" s="52" t="str">
        <f>(IF((VLOOKUP(Table4[[#This Row],[SKU]],'All Skus'!$A:$AC,2,FALSE))="Crown",(VLOOKUP(Table4[[#This Row],[SKU]],'All Skus'!$A:$AC,4,FALSE)),""))</f>
        <v>DCi4x300D</v>
      </c>
      <c r="D54" s="60" t="str">
        <f>(IF((VLOOKUP(Table4[[#This Row],[SKU]],'All Skus'!$A:$AC,2,FALSE))="Crown",(VLOOKUP(Table4[[#This Row],[SKU]],'All Skus'!$A:$AC,5,FALSE)),""))</f>
        <v>DCI</v>
      </c>
      <c r="E54" s="52" t="str">
        <f>(IF((VLOOKUP(Table4[[#This Row],[SKU]],'All Skus'!$A:$AC,2,FALSE))="Crown",(VLOOKUP(Table4[[#This Row],[SKU]],'All Skus'!$A:$AC,6,FALSE)),""))</f>
        <v>YES</v>
      </c>
      <c r="F54" s="52">
        <f>(IF((VLOOKUP(Table4[[#This Row],[SKU]],'All Skus'!$A:$AC,2,FALSE))="Crown",(VLOOKUP(Table4[[#This Row],[SKU]],'All Skus'!$A:$AC,7,FALSE)),""))</f>
        <v>0</v>
      </c>
      <c r="G54" s="52" t="str">
        <f>(IF((VLOOKUP(Table4[[#This Row],[SKU]],'All Skus'!$A:$AC,2,FALSE))="Crown",(VLOOKUP(Table4[[#This Row],[SKU]],'All Skus'!$A:$AC,8,FALSE)),""))</f>
        <v>DCI4x300DA</v>
      </c>
      <c r="H54" s="45" t="str">
        <f>(IF((VLOOKUP(Table4[[#This Row],[SKU]],'All Skus'!$A:$AC,2,FALSE))="Crown",(VLOOKUP(Table4[[#This Row],[SKU]],'All Skus'!$A:$AC,9,FALSE)),""))</f>
        <v>DCI4300 DANTE</v>
      </c>
      <c r="I54" s="94">
        <f>(IF((VLOOKUP(Table4[[#This Row],[SKU]],'All Skus'!$A:$AC,2,FALSE))="Crown",(VLOOKUP(Table4[[#This Row],[SKU]],'All Skus'!$A:$AC,10,FALSE)),""))</f>
        <v>3620</v>
      </c>
      <c r="J54" s="94">
        <f>(IF((VLOOKUP(Table4[[#This Row],[SKU]],'All Skus'!$A:$AC,2,FALSE))="Crown",(VLOOKUP(Table4[[#This Row],[SKU]],'All Skus'!$A:$AC,11,FALSE)),""))</f>
        <v>3620</v>
      </c>
      <c r="K54" s="60">
        <f>(IF((VLOOKUP(Table4[[#This Row],[SKU]],'All Skus'!$A:$AC,2,FALSE))="Crown",(VLOOKUP(Table4[[#This Row],[SKU]],'All Skus'!$A:$AC,15,FALSE)),""))</f>
        <v>0</v>
      </c>
      <c r="L54" s="47">
        <f>(IF((VLOOKUP(Table4[[#This Row],[SKU]],'All Skus'!$A:$AC,2,FALSE))="Crown",(VLOOKUP(Table4[[#This Row],[SKU]],'All Skus'!$A:$AC,16,FALSE)),""))</f>
        <v>691991010071</v>
      </c>
      <c r="M54" s="60">
        <f>(IF((VLOOKUP(Table4[[#This Row],[SKU]],'All Skus'!$A:$AC,2,FALSE))="Crown",(VLOOKUP(Table4[[#This Row],[SKU]],'All Skus'!$A:$AC,17,FALSE)),""))</f>
        <v>0</v>
      </c>
      <c r="N54" s="133">
        <f>(IF((VLOOKUP(Table4[[#This Row],[SKU]],'All Skus'!$A:$AC,2,FALSE))="Crown",(VLOOKUP(Table4[[#This Row],[SKU]],'All Skus'!$A:$AC,18,FALSE)),""))</f>
        <v>0</v>
      </c>
      <c r="O54" s="133">
        <f>(IF((VLOOKUP(Table4[[#This Row],[SKU]],'All Skus'!$A:$AC,2,FALSE))="Crown",(VLOOKUP(Table4[[#This Row],[SKU]],'All Skus'!$A:$AC,19,FALSE)),""))</f>
        <v>0</v>
      </c>
      <c r="P54" s="133">
        <f>(IF((VLOOKUP(Table4[[#This Row],[SKU]],'All Skus'!$A:$AC,2,FALSE))="Crown",(VLOOKUP(Table4[[#This Row],[SKU]],'All Skus'!$A:$AC,20,FALSE)),""))</f>
        <v>0</v>
      </c>
      <c r="Q54" s="133">
        <f>(IF((VLOOKUP(Table4[[#This Row],[SKU]],'All Skus'!$A:$AC,2,FALSE))="Crown",(VLOOKUP(Table4[[#This Row],[SKU]],'All Skus'!$A:$AC,21,FALSE)),""))</f>
        <v>0</v>
      </c>
      <c r="R54" s="60" t="str">
        <f>(IF((VLOOKUP(Table4[[#This Row],[SKU]],'All Skus'!$A:$AC,2,FALSE))="Crown",(VLOOKUP(Table4[[#This Row],[SKU]],'All Skus'!$A:$AC,22,FALSE)),""))</f>
        <v>MX</v>
      </c>
      <c r="S54" s="52" t="str">
        <f>(IF((VLOOKUP(Table4[[#This Row],[SKU]],'All Skus'!$A:$AC,2,FALSE))="Crown",(VLOOKUP(Table4[[#This Row],[SKU]],'All Skus'!$A:$AC,23,FALSE)),""))</f>
        <v>Compliant</v>
      </c>
      <c r="T54" s="211" t="str">
        <f>HYPERLINK((IF((VLOOKUP(Table4[[#This Row],[SKU]],'All Skus'!$A:$AC,2,FALSE))="Crown",(VLOOKUP(Table4[[#This Row],[SKU]],'All Skus'!$A:$AC,24,FALSE)),"")))</f>
        <v/>
      </c>
      <c r="U54" s="151">
        <v>52</v>
      </c>
      <c r="V54"/>
      <c r="W54"/>
      <c r="X54"/>
      <c r="Y54"/>
      <c r="Z54"/>
    </row>
    <row r="55" spans="1:26" s="52" customFormat="1" ht="15" customHeight="1">
      <c r="A55" s="48" t="s">
        <v>912</v>
      </c>
      <c r="B55" s="52" t="str">
        <f>(IF((VLOOKUP(Table4[[#This Row],[SKU]],'All Skus'!$A:$AC,2,FALSE))="Crown",(VLOOKUP(Table4[[#This Row],[SKU]],'All Skus'!$A:$AC,3,FALSE)),""))</f>
        <v>DriveCore Install Network Series</v>
      </c>
      <c r="C55" s="52" t="str">
        <f>(IF((VLOOKUP(Table4[[#This Row],[SKU]],'All Skus'!$A:$AC,2,FALSE))="Crown",(VLOOKUP(Table4[[#This Row],[SKU]],'All Skus'!$A:$AC,4,FALSE)),""))</f>
        <v>DCI4x300N</v>
      </c>
      <c r="D55" s="60" t="str">
        <f>(IF((VLOOKUP(Table4[[#This Row],[SKU]],'All Skus'!$A:$AC,2,FALSE))="Crown",(VLOOKUP(Table4[[#This Row],[SKU]],'All Skus'!$A:$AC,5,FALSE)),""))</f>
        <v>DCI</v>
      </c>
      <c r="E55" s="52">
        <f>(IF((VLOOKUP(Table4[[#This Row],[SKU]],'All Skus'!$A:$AC,2,FALSE))="Crown",(VLOOKUP(Table4[[#This Row],[SKU]],'All Skus'!$A:$AC,6,FALSE)),""))</f>
        <v>0</v>
      </c>
      <c r="F55" s="52">
        <f>(IF((VLOOKUP(Table4[[#This Row],[SKU]],'All Skus'!$A:$AC,2,FALSE))="Crown",(VLOOKUP(Table4[[#This Row],[SKU]],'All Skus'!$A:$AC,7,FALSE)),""))</f>
        <v>0</v>
      </c>
      <c r="G55" s="52" t="str">
        <f>(IF((VLOOKUP(Table4[[#This Row],[SKU]],'All Skus'!$A:$AC,2,FALSE))="Crown",(VLOOKUP(Table4[[#This Row],[SKU]],'All Skus'!$A:$AC,8,FALSE)),""))</f>
        <v>4x300W Power Amplifier</v>
      </c>
      <c r="H55" s="45" t="str">
        <f>(IF((VLOOKUP(Table4[[#This Row],[SKU]],'All Skus'!$A:$AC,2,FALSE))="Crown",(VLOOKUP(Table4[[#This Row],[SKU]],'All Skus'!$A:$AC,9,FALSE)),""))</f>
        <v>Four-channel, 300W @ 4Ω Power Amplifier with BLU link, 70V/100V</v>
      </c>
      <c r="I55" s="94">
        <f>(IF((VLOOKUP(Table4[[#This Row],[SKU]],'All Skus'!$A:$AC,2,FALSE))="Crown",(VLOOKUP(Table4[[#This Row],[SKU]],'All Skus'!$A:$AC,10,FALSE)),""))</f>
        <v>3620</v>
      </c>
      <c r="J55" s="94">
        <f>(IF((VLOOKUP(Table4[[#This Row],[SKU]],'All Skus'!$A:$AC,2,FALSE))="Crown",(VLOOKUP(Table4[[#This Row],[SKU]],'All Skus'!$A:$AC,11,FALSE)),""))</f>
        <v>3620</v>
      </c>
      <c r="K55" s="60">
        <f>(IF((VLOOKUP(Table4[[#This Row],[SKU]],'All Skus'!$A:$AC,2,FALSE))="Crown",(VLOOKUP(Table4[[#This Row],[SKU]],'All Skus'!$A:$AC,15,FALSE)),""))</f>
        <v>1</v>
      </c>
      <c r="L55" s="47">
        <f>(IF((VLOOKUP(Table4[[#This Row],[SKU]],'All Skus'!$A:$AC,2,FALSE))="Crown",(VLOOKUP(Table4[[#This Row],[SKU]],'All Skus'!$A:$AC,16,FALSE)),""))</f>
        <v>691991009037</v>
      </c>
      <c r="M55" s="60">
        <f>(IF((VLOOKUP(Table4[[#This Row],[SKU]],'All Skus'!$A:$AC,2,FALSE))="Crown",(VLOOKUP(Table4[[#This Row],[SKU]],'All Skus'!$A:$AC,17,FALSE)),""))</f>
        <v>0</v>
      </c>
      <c r="N55" s="133">
        <f>(IF((VLOOKUP(Table4[[#This Row],[SKU]],'All Skus'!$A:$AC,2,FALSE))="Crown",(VLOOKUP(Table4[[#This Row],[SKU]],'All Skus'!$A:$AC,18,FALSE)),""))</f>
        <v>0</v>
      </c>
      <c r="O55" s="133">
        <f>(IF((VLOOKUP(Table4[[#This Row],[SKU]],'All Skus'!$A:$AC,2,FALSE))="Crown",(VLOOKUP(Table4[[#This Row],[SKU]],'All Skus'!$A:$AC,19,FALSE)),""))</f>
        <v>0</v>
      </c>
      <c r="P55" s="133">
        <f>(IF((VLOOKUP(Table4[[#This Row],[SKU]],'All Skus'!$A:$AC,2,FALSE))="Crown",(VLOOKUP(Table4[[#This Row],[SKU]],'All Skus'!$A:$AC,20,FALSE)),""))</f>
        <v>0</v>
      </c>
      <c r="Q55" s="133">
        <f>(IF((VLOOKUP(Table4[[#This Row],[SKU]],'All Skus'!$A:$AC,2,FALSE))="Crown",(VLOOKUP(Table4[[#This Row],[SKU]],'All Skus'!$A:$AC,21,FALSE)),""))</f>
        <v>0</v>
      </c>
      <c r="R55" s="60" t="str">
        <f>(IF((VLOOKUP(Table4[[#This Row],[SKU]],'All Skus'!$A:$AC,2,FALSE))="Crown",(VLOOKUP(Table4[[#This Row],[SKU]],'All Skus'!$A:$AC,22,FALSE)),""))</f>
        <v>MX</v>
      </c>
      <c r="S55" s="52" t="str">
        <f>(IF((VLOOKUP(Table4[[#This Row],[SKU]],'All Skus'!$A:$AC,2,FALSE))="Crown",(VLOOKUP(Table4[[#This Row],[SKU]],'All Skus'!$A:$AC,23,FALSE)),""))</f>
        <v>Compliant</v>
      </c>
      <c r="T55" s="211" t="str">
        <f>HYPERLINK((IF((VLOOKUP(Table4[[#This Row],[SKU]],'All Skus'!$A:$AC,2,FALSE))="Crown",(VLOOKUP(Table4[[#This Row],[SKU]],'All Skus'!$A:$AC,24,FALSE)),"")))</f>
        <v/>
      </c>
      <c r="U55" s="151">
        <v>53</v>
      </c>
      <c r="V55"/>
      <c r="W55"/>
      <c r="X55"/>
      <c r="Y55"/>
      <c r="Z55"/>
    </row>
    <row r="56" spans="1:26" s="52" customFormat="1" ht="15" customHeight="1">
      <c r="A56" s="48" t="s">
        <v>913</v>
      </c>
      <c r="B56" s="52" t="str">
        <f>(IF((VLOOKUP(Table4[[#This Row],[SKU]],'All Skus'!$A:$AC,2,FALSE))="Crown",(VLOOKUP(Table4[[#This Row],[SKU]],'All Skus'!$A:$AC,3,FALSE)),""))</f>
        <v>DriveCore Install Analog Series</v>
      </c>
      <c r="C56" s="52" t="str">
        <f>(IF((VLOOKUP(Table4[[#This Row],[SKU]],'All Skus'!$A:$AC,2,FALSE))="Crown",(VLOOKUP(Table4[[#This Row],[SKU]],'All Skus'!$A:$AC,4,FALSE)),""))</f>
        <v>DCI4x300</v>
      </c>
      <c r="D56" s="60" t="str">
        <f>(IF((VLOOKUP(Table4[[#This Row],[SKU]],'All Skus'!$A:$AC,2,FALSE))="Crown",(VLOOKUP(Table4[[#This Row],[SKU]],'All Skus'!$A:$AC,5,FALSE)),""))</f>
        <v>DCI</v>
      </c>
      <c r="E56" s="52">
        <f>(IF((VLOOKUP(Table4[[#This Row],[SKU]],'All Skus'!$A:$AC,2,FALSE))="Crown",(VLOOKUP(Table4[[#This Row],[SKU]],'All Skus'!$A:$AC,6,FALSE)),""))</f>
        <v>0</v>
      </c>
      <c r="F56" s="52">
        <f>(IF((VLOOKUP(Table4[[#This Row],[SKU]],'All Skus'!$A:$AC,2,FALSE))="Crown",(VLOOKUP(Table4[[#This Row],[SKU]],'All Skus'!$A:$AC,7,FALSE)),""))</f>
        <v>0</v>
      </c>
      <c r="G56" s="52" t="str">
        <f>(IF((VLOOKUP(Table4[[#This Row],[SKU]],'All Skus'!$A:$AC,2,FALSE))="Crown",(VLOOKUP(Table4[[#This Row],[SKU]],'All Skus'!$A:$AC,8,FALSE)),""))</f>
        <v>4x300W Power Amplifier</v>
      </c>
      <c r="H56" s="45" t="str">
        <f>(IF((VLOOKUP(Table4[[#This Row],[SKU]],'All Skus'!$A:$AC,2,FALSE))="Crown",(VLOOKUP(Table4[[#This Row],[SKU]],'All Skus'!$A:$AC,9,FALSE)),""))</f>
        <v>Four-channel, 300W @ 4Ω Analog Power Amplifier, 70V/100V</v>
      </c>
      <c r="I56" s="94">
        <f>(IF((VLOOKUP(Table4[[#This Row],[SKU]],'All Skus'!$A:$AC,2,FALSE))="Crown",(VLOOKUP(Table4[[#This Row],[SKU]],'All Skus'!$A:$AC,10,FALSE)),""))</f>
        <v>2610</v>
      </c>
      <c r="J56" s="94">
        <f>(IF((VLOOKUP(Table4[[#This Row],[SKU]],'All Skus'!$A:$AC,2,FALSE))="Crown",(VLOOKUP(Table4[[#This Row],[SKU]],'All Skus'!$A:$AC,11,FALSE)),""))</f>
        <v>2610</v>
      </c>
      <c r="K56" s="60">
        <f>(IF((VLOOKUP(Table4[[#This Row],[SKU]],'All Skus'!$A:$AC,2,FALSE))="Crown",(VLOOKUP(Table4[[#This Row],[SKU]],'All Skus'!$A:$AC,15,FALSE)),""))</f>
        <v>1</v>
      </c>
      <c r="L56" s="47">
        <f>(IF((VLOOKUP(Table4[[#This Row],[SKU]],'All Skus'!$A:$AC,2,FALSE))="Crown",(VLOOKUP(Table4[[#This Row],[SKU]],'All Skus'!$A:$AC,16,FALSE)),""))</f>
        <v>691991008719</v>
      </c>
      <c r="M56" s="60">
        <f>(IF((VLOOKUP(Table4[[#This Row],[SKU]],'All Skus'!$A:$AC,2,FALSE))="Crown",(VLOOKUP(Table4[[#This Row],[SKU]],'All Skus'!$A:$AC,17,FALSE)),""))</f>
        <v>0</v>
      </c>
      <c r="N56" s="133">
        <f>(IF((VLOOKUP(Table4[[#This Row],[SKU]],'All Skus'!$A:$AC,2,FALSE))="Crown",(VLOOKUP(Table4[[#This Row],[SKU]],'All Skus'!$A:$AC,18,FALSE)),""))</f>
        <v>0</v>
      </c>
      <c r="O56" s="133">
        <f>(IF((VLOOKUP(Table4[[#This Row],[SKU]],'All Skus'!$A:$AC,2,FALSE))="Crown",(VLOOKUP(Table4[[#This Row],[SKU]],'All Skus'!$A:$AC,19,FALSE)),""))</f>
        <v>0</v>
      </c>
      <c r="P56" s="133">
        <f>(IF((VLOOKUP(Table4[[#This Row],[SKU]],'All Skus'!$A:$AC,2,FALSE))="Crown",(VLOOKUP(Table4[[#This Row],[SKU]],'All Skus'!$A:$AC,20,FALSE)),""))</f>
        <v>0</v>
      </c>
      <c r="Q56" s="133">
        <f>(IF((VLOOKUP(Table4[[#This Row],[SKU]],'All Skus'!$A:$AC,2,FALSE))="Crown",(VLOOKUP(Table4[[#This Row],[SKU]],'All Skus'!$A:$AC,21,FALSE)),""))</f>
        <v>0</v>
      </c>
      <c r="R56" s="60" t="str">
        <f>(IF((VLOOKUP(Table4[[#This Row],[SKU]],'All Skus'!$A:$AC,2,FALSE))="Crown",(VLOOKUP(Table4[[#This Row],[SKU]],'All Skus'!$A:$AC,22,FALSE)),""))</f>
        <v>MX</v>
      </c>
      <c r="S56" s="52" t="str">
        <f>(IF((VLOOKUP(Table4[[#This Row],[SKU]],'All Skus'!$A:$AC,2,FALSE))="Crown",(VLOOKUP(Table4[[#This Row],[SKU]],'All Skus'!$A:$AC,23,FALSE)),""))</f>
        <v>Compliant</v>
      </c>
      <c r="T56" s="211" t="str">
        <f>HYPERLINK((IF((VLOOKUP(Table4[[#This Row],[SKU]],'All Skus'!$A:$AC,2,FALSE))="Crown",(VLOOKUP(Table4[[#This Row],[SKU]],'All Skus'!$A:$AC,24,FALSE)),"")))</f>
        <v/>
      </c>
      <c r="U56" s="151">
        <v>54</v>
      </c>
      <c r="V56"/>
      <c r="W56"/>
      <c r="X56"/>
      <c r="Y56"/>
      <c r="Z56"/>
    </row>
    <row r="57" spans="1:26" s="52" customFormat="1" ht="15" customHeight="1">
      <c r="A57" s="48" t="s">
        <v>914</v>
      </c>
      <c r="B57" s="52" t="str">
        <f>(IF((VLOOKUP(Table4[[#This Row],[SKU]],'All Skus'!$A:$AC,2,FALSE))="Crown",(VLOOKUP(Table4[[#This Row],[SKU]],'All Skus'!$A:$AC,3,FALSE)),""))</f>
        <v>DriveCore Install DA Series</v>
      </c>
      <c r="C57" s="52" t="str">
        <f>(IF((VLOOKUP(Table4[[#This Row],[SKU]],'All Skus'!$A:$AC,2,FALSE))="Crown",(VLOOKUP(Table4[[#This Row],[SKU]],'All Skus'!$A:$AC,4,FALSE)),""))</f>
        <v>DCI4x600D</v>
      </c>
      <c r="D57" s="60" t="str">
        <f>(IF((VLOOKUP(Table4[[#This Row],[SKU]],'All Skus'!$A:$AC,2,FALSE))="Crown",(VLOOKUP(Table4[[#This Row],[SKU]],'All Skus'!$A:$AC,5,FALSE)),""))</f>
        <v>DCI</v>
      </c>
      <c r="E57" s="52" t="str">
        <f>(IF((VLOOKUP(Table4[[#This Row],[SKU]],'All Skus'!$A:$AC,2,FALSE))="Crown",(VLOOKUP(Table4[[#This Row],[SKU]],'All Skus'!$A:$AC,6,FALSE)),""))</f>
        <v>YES</v>
      </c>
      <c r="F57" s="52">
        <f>(IF((VLOOKUP(Table4[[#This Row],[SKU]],'All Skus'!$A:$AC,2,FALSE))="Crown",(VLOOKUP(Table4[[#This Row],[SKU]],'All Skus'!$A:$AC,7,FALSE)),""))</f>
        <v>0</v>
      </c>
      <c r="G57" s="52" t="str">
        <f>(IF((VLOOKUP(Table4[[#This Row],[SKU]],'All Skus'!$A:$AC,2,FALSE))="Crown",(VLOOKUP(Table4[[#This Row],[SKU]],'All Skus'!$A:$AC,8,FALSE)),""))</f>
        <v>DCI4x600DA</v>
      </c>
      <c r="H57" s="45" t="str">
        <f>(IF((VLOOKUP(Table4[[#This Row],[SKU]],'All Skus'!$A:$AC,2,FALSE))="Crown",(VLOOKUP(Table4[[#This Row],[SKU]],'All Skus'!$A:$AC,9,FALSE)),""))</f>
        <v>DCI4600 DANTE</v>
      </c>
      <c r="I57" s="94">
        <f>(IF((VLOOKUP(Table4[[#This Row],[SKU]],'All Skus'!$A:$AC,2,FALSE))="Crown",(VLOOKUP(Table4[[#This Row],[SKU]],'All Skus'!$A:$AC,10,FALSE)),""))</f>
        <v>5040</v>
      </c>
      <c r="J57" s="94">
        <f>(IF((VLOOKUP(Table4[[#This Row],[SKU]],'All Skus'!$A:$AC,2,FALSE))="Crown",(VLOOKUP(Table4[[#This Row],[SKU]],'All Skus'!$A:$AC,11,FALSE)),""))</f>
        <v>5040</v>
      </c>
      <c r="K57" s="60">
        <f>(IF((VLOOKUP(Table4[[#This Row],[SKU]],'All Skus'!$A:$AC,2,FALSE))="Crown",(VLOOKUP(Table4[[#This Row],[SKU]],'All Skus'!$A:$AC,15,FALSE)),""))</f>
        <v>0</v>
      </c>
      <c r="L57" s="47">
        <f>(IF((VLOOKUP(Table4[[#This Row],[SKU]],'All Skus'!$A:$AC,2,FALSE))="Crown",(VLOOKUP(Table4[[#This Row],[SKU]],'All Skus'!$A:$AC,16,FALSE)),""))</f>
        <v>691991010132</v>
      </c>
      <c r="M57" s="60">
        <f>(IF((VLOOKUP(Table4[[#This Row],[SKU]],'All Skus'!$A:$AC,2,FALSE))="Crown",(VLOOKUP(Table4[[#This Row],[SKU]],'All Skus'!$A:$AC,17,FALSE)),""))</f>
        <v>0</v>
      </c>
      <c r="N57" s="133">
        <f>(IF((VLOOKUP(Table4[[#This Row],[SKU]],'All Skus'!$A:$AC,2,FALSE))="Crown",(VLOOKUP(Table4[[#This Row],[SKU]],'All Skus'!$A:$AC,18,FALSE)),""))</f>
        <v>0</v>
      </c>
      <c r="O57" s="133">
        <f>(IF((VLOOKUP(Table4[[#This Row],[SKU]],'All Skus'!$A:$AC,2,FALSE))="Crown",(VLOOKUP(Table4[[#This Row],[SKU]],'All Skus'!$A:$AC,19,FALSE)),""))</f>
        <v>0</v>
      </c>
      <c r="P57" s="133">
        <f>(IF((VLOOKUP(Table4[[#This Row],[SKU]],'All Skus'!$A:$AC,2,FALSE))="Crown",(VLOOKUP(Table4[[#This Row],[SKU]],'All Skus'!$A:$AC,20,FALSE)),""))</f>
        <v>0</v>
      </c>
      <c r="Q57" s="133">
        <f>(IF((VLOOKUP(Table4[[#This Row],[SKU]],'All Skus'!$A:$AC,2,FALSE))="Crown",(VLOOKUP(Table4[[#This Row],[SKU]],'All Skus'!$A:$AC,21,FALSE)),""))</f>
        <v>0</v>
      </c>
      <c r="R57" s="60" t="str">
        <f>(IF((VLOOKUP(Table4[[#This Row],[SKU]],'All Skus'!$A:$AC,2,FALSE))="Crown",(VLOOKUP(Table4[[#This Row],[SKU]],'All Skus'!$A:$AC,22,FALSE)),""))</f>
        <v>MX</v>
      </c>
      <c r="S57" s="52" t="str">
        <f>(IF((VLOOKUP(Table4[[#This Row],[SKU]],'All Skus'!$A:$AC,2,FALSE))="Crown",(VLOOKUP(Table4[[#This Row],[SKU]],'All Skus'!$A:$AC,23,FALSE)),""))</f>
        <v>Compliant</v>
      </c>
      <c r="T57" s="211" t="str">
        <f>HYPERLINK((IF((VLOOKUP(Table4[[#This Row],[SKU]],'All Skus'!$A:$AC,2,FALSE))="Crown",(VLOOKUP(Table4[[#This Row],[SKU]],'All Skus'!$A:$AC,24,FALSE)),"")))</f>
        <v/>
      </c>
      <c r="U57" s="151">
        <v>55</v>
      </c>
      <c r="V57"/>
      <c r="W57"/>
      <c r="X57"/>
      <c r="Y57"/>
      <c r="Z57"/>
    </row>
    <row r="58" spans="1:26" s="52" customFormat="1" ht="15" customHeight="1">
      <c r="A58" s="48" t="s">
        <v>915</v>
      </c>
      <c r="B58" s="52" t="str">
        <f>(IF((VLOOKUP(Table4[[#This Row],[SKU]],'All Skus'!$A:$AC,2,FALSE))="Crown",(VLOOKUP(Table4[[#This Row],[SKU]],'All Skus'!$A:$AC,3,FALSE)),""))</f>
        <v>DriveCore Install Network Series</v>
      </c>
      <c r="C58" s="52" t="str">
        <f>(IF((VLOOKUP(Table4[[#This Row],[SKU]],'All Skus'!$A:$AC,2,FALSE))="Crown",(VLOOKUP(Table4[[#This Row],[SKU]],'All Skus'!$A:$AC,4,FALSE)),""))</f>
        <v xml:space="preserve">DCI4x600N </v>
      </c>
      <c r="D58" s="60" t="str">
        <f>(IF((VLOOKUP(Table4[[#This Row],[SKU]],'All Skus'!$A:$AC,2,FALSE))="Crown",(VLOOKUP(Table4[[#This Row],[SKU]],'All Skus'!$A:$AC,5,FALSE)),""))</f>
        <v>DCI</v>
      </c>
      <c r="E58" s="52">
        <f>(IF((VLOOKUP(Table4[[#This Row],[SKU]],'All Skus'!$A:$AC,2,FALSE))="Crown",(VLOOKUP(Table4[[#This Row],[SKU]],'All Skus'!$A:$AC,6,FALSE)),""))</f>
        <v>0</v>
      </c>
      <c r="F58" s="52">
        <f>(IF((VLOOKUP(Table4[[#This Row],[SKU]],'All Skus'!$A:$AC,2,FALSE))="Crown",(VLOOKUP(Table4[[#This Row],[SKU]],'All Skus'!$A:$AC,7,FALSE)),""))</f>
        <v>0</v>
      </c>
      <c r="G58" s="52" t="str">
        <f>(IF((VLOOKUP(Table4[[#This Row],[SKU]],'All Skus'!$A:$AC,2,FALSE))="Crown",(VLOOKUP(Table4[[#This Row],[SKU]],'All Skus'!$A:$AC,8,FALSE)),""))</f>
        <v>4x600W Power Amplifier</v>
      </c>
      <c r="H58" s="45" t="str">
        <f>(IF((VLOOKUP(Table4[[#This Row],[SKU]],'All Skus'!$A:$AC,2,FALSE))="Crown",(VLOOKUP(Table4[[#This Row],[SKU]],'All Skus'!$A:$AC,9,FALSE)),""))</f>
        <v>Four-channel, 600W @ 4Ω Power Amplifier with BLU link, 70V/100V</v>
      </c>
      <c r="I58" s="94">
        <f>(IF((VLOOKUP(Table4[[#This Row],[SKU]],'All Skus'!$A:$AC,2,FALSE))="Crown",(VLOOKUP(Table4[[#This Row],[SKU]],'All Skus'!$A:$AC,10,FALSE)),""))</f>
        <v>5040</v>
      </c>
      <c r="J58" s="94">
        <f>(IF((VLOOKUP(Table4[[#This Row],[SKU]],'All Skus'!$A:$AC,2,FALSE))="Crown",(VLOOKUP(Table4[[#This Row],[SKU]],'All Skus'!$A:$AC,11,FALSE)),""))</f>
        <v>5040</v>
      </c>
      <c r="K58" s="60">
        <f>(IF((VLOOKUP(Table4[[#This Row],[SKU]],'All Skus'!$A:$AC,2,FALSE))="Crown",(VLOOKUP(Table4[[#This Row],[SKU]],'All Skus'!$A:$AC,15,FALSE)),""))</f>
        <v>1</v>
      </c>
      <c r="L58" s="47">
        <f>(IF((VLOOKUP(Table4[[#This Row],[SKU]],'All Skus'!$A:$AC,2,FALSE))="Crown",(VLOOKUP(Table4[[#This Row],[SKU]],'All Skus'!$A:$AC,16,FALSE)),""))</f>
        <v>691991009204</v>
      </c>
      <c r="M58" s="60">
        <f>(IF((VLOOKUP(Table4[[#This Row],[SKU]],'All Skus'!$A:$AC,2,FALSE))="Crown",(VLOOKUP(Table4[[#This Row],[SKU]],'All Skus'!$A:$AC,17,FALSE)),""))</f>
        <v>0</v>
      </c>
      <c r="N58" s="133">
        <f>(IF((VLOOKUP(Table4[[#This Row],[SKU]],'All Skus'!$A:$AC,2,FALSE))="Crown",(VLOOKUP(Table4[[#This Row],[SKU]],'All Skus'!$A:$AC,18,FALSE)),""))</f>
        <v>0</v>
      </c>
      <c r="O58" s="133">
        <f>(IF((VLOOKUP(Table4[[#This Row],[SKU]],'All Skus'!$A:$AC,2,FALSE))="Crown",(VLOOKUP(Table4[[#This Row],[SKU]],'All Skus'!$A:$AC,19,FALSE)),""))</f>
        <v>0</v>
      </c>
      <c r="P58" s="133">
        <f>(IF((VLOOKUP(Table4[[#This Row],[SKU]],'All Skus'!$A:$AC,2,FALSE))="Crown",(VLOOKUP(Table4[[#This Row],[SKU]],'All Skus'!$A:$AC,20,FALSE)),""))</f>
        <v>0</v>
      </c>
      <c r="Q58" s="133">
        <f>(IF((VLOOKUP(Table4[[#This Row],[SKU]],'All Skus'!$A:$AC,2,FALSE))="Crown",(VLOOKUP(Table4[[#This Row],[SKU]],'All Skus'!$A:$AC,21,FALSE)),""))</f>
        <v>0</v>
      </c>
      <c r="R58" s="60" t="str">
        <f>(IF((VLOOKUP(Table4[[#This Row],[SKU]],'All Skus'!$A:$AC,2,FALSE))="Crown",(VLOOKUP(Table4[[#This Row],[SKU]],'All Skus'!$A:$AC,22,FALSE)),""))</f>
        <v>MX</v>
      </c>
      <c r="S58" s="52" t="str">
        <f>(IF((VLOOKUP(Table4[[#This Row],[SKU]],'All Skus'!$A:$AC,2,FALSE))="Crown",(VLOOKUP(Table4[[#This Row],[SKU]],'All Skus'!$A:$AC,23,FALSE)),""))</f>
        <v>Compliant</v>
      </c>
      <c r="T58" s="211" t="str">
        <f>HYPERLINK((IF((VLOOKUP(Table4[[#This Row],[SKU]],'All Skus'!$A:$AC,2,FALSE))="Crown",(VLOOKUP(Table4[[#This Row],[SKU]],'All Skus'!$A:$AC,24,FALSE)),"")))</f>
        <v/>
      </c>
      <c r="U58" s="151">
        <v>56</v>
      </c>
      <c r="V58"/>
      <c r="W58"/>
      <c r="X58"/>
      <c r="Y58"/>
      <c r="Z58"/>
    </row>
    <row r="59" spans="1:26" s="52" customFormat="1" ht="15" customHeight="1">
      <c r="A59" s="48" t="s">
        <v>916</v>
      </c>
      <c r="B59" s="52" t="str">
        <f>(IF((VLOOKUP(Table4[[#This Row],[SKU]],'All Skus'!$A:$AC,2,FALSE))="Crown",(VLOOKUP(Table4[[#This Row],[SKU]],'All Skus'!$A:$AC,3,FALSE)),""))</f>
        <v>DriveCore Install Analog Series</v>
      </c>
      <c r="C59" s="52" t="str">
        <f>(IF((VLOOKUP(Table4[[#This Row],[SKU]],'All Skus'!$A:$AC,2,FALSE))="Crown",(VLOOKUP(Table4[[#This Row],[SKU]],'All Skus'!$A:$AC,4,FALSE)),""))</f>
        <v xml:space="preserve">DCi4x600 </v>
      </c>
      <c r="D59" s="60" t="str">
        <f>(IF((VLOOKUP(Table4[[#This Row],[SKU]],'All Skus'!$A:$AC,2,FALSE))="Crown",(VLOOKUP(Table4[[#This Row],[SKU]],'All Skus'!$A:$AC,5,FALSE)),""))</f>
        <v>DCI</v>
      </c>
      <c r="E59" s="52">
        <f>(IF((VLOOKUP(Table4[[#This Row],[SKU]],'All Skus'!$A:$AC,2,FALSE))="Crown",(VLOOKUP(Table4[[#This Row],[SKU]],'All Skus'!$A:$AC,6,FALSE)),""))</f>
        <v>0</v>
      </c>
      <c r="F59" s="52">
        <f>(IF((VLOOKUP(Table4[[#This Row],[SKU]],'All Skus'!$A:$AC,2,FALSE))="Crown",(VLOOKUP(Table4[[#This Row],[SKU]],'All Skus'!$A:$AC,7,FALSE)),""))</f>
        <v>0</v>
      </c>
      <c r="G59" s="52" t="str">
        <f>(IF((VLOOKUP(Table4[[#This Row],[SKU]],'All Skus'!$A:$AC,2,FALSE))="Crown",(VLOOKUP(Table4[[#This Row],[SKU]],'All Skus'!$A:$AC,8,FALSE)),""))</f>
        <v>4x600W Power Amplifier</v>
      </c>
      <c r="H59" s="45" t="str">
        <f>(IF((VLOOKUP(Table4[[#This Row],[SKU]],'All Skus'!$A:$AC,2,FALSE))="Crown",(VLOOKUP(Table4[[#This Row],[SKU]],'All Skus'!$A:$AC,9,FALSE)),""))</f>
        <v>Four-channel, 600W @ 4Ω Analog Power Amplifier, 70V/100V</v>
      </c>
      <c r="I59" s="94">
        <f>(IF((VLOOKUP(Table4[[#This Row],[SKU]],'All Skus'!$A:$AC,2,FALSE))="Crown",(VLOOKUP(Table4[[#This Row],[SKU]],'All Skus'!$A:$AC,10,FALSE)),""))</f>
        <v>3910</v>
      </c>
      <c r="J59" s="94">
        <f>(IF((VLOOKUP(Table4[[#This Row],[SKU]],'All Skus'!$A:$AC,2,FALSE))="Crown",(VLOOKUP(Table4[[#This Row],[SKU]],'All Skus'!$A:$AC,11,FALSE)),""))</f>
        <v>3910</v>
      </c>
      <c r="K59" s="60">
        <f>(IF((VLOOKUP(Table4[[#This Row],[SKU]],'All Skus'!$A:$AC,2,FALSE))="Crown",(VLOOKUP(Table4[[#This Row],[SKU]],'All Skus'!$A:$AC,15,FALSE)),""))</f>
        <v>1</v>
      </c>
      <c r="L59" s="47">
        <f>(IF((VLOOKUP(Table4[[#This Row],[SKU]],'All Skus'!$A:$AC,2,FALSE))="Crown",(VLOOKUP(Table4[[#This Row],[SKU]],'All Skus'!$A:$AC,16,FALSE)),""))</f>
        <v>691991008351</v>
      </c>
      <c r="M59" s="60">
        <f>(IF((VLOOKUP(Table4[[#This Row],[SKU]],'All Skus'!$A:$AC,2,FALSE))="Crown",(VLOOKUP(Table4[[#This Row],[SKU]],'All Skus'!$A:$AC,17,FALSE)),""))</f>
        <v>0</v>
      </c>
      <c r="N59" s="133">
        <f>(IF((VLOOKUP(Table4[[#This Row],[SKU]],'All Skus'!$A:$AC,2,FALSE))="Crown",(VLOOKUP(Table4[[#This Row],[SKU]],'All Skus'!$A:$AC,18,FALSE)),""))</f>
        <v>0</v>
      </c>
      <c r="O59" s="133">
        <f>(IF((VLOOKUP(Table4[[#This Row],[SKU]],'All Skus'!$A:$AC,2,FALSE))="Crown",(VLOOKUP(Table4[[#This Row],[SKU]],'All Skus'!$A:$AC,19,FALSE)),""))</f>
        <v>0</v>
      </c>
      <c r="P59" s="133">
        <f>(IF((VLOOKUP(Table4[[#This Row],[SKU]],'All Skus'!$A:$AC,2,FALSE))="Crown",(VLOOKUP(Table4[[#This Row],[SKU]],'All Skus'!$A:$AC,20,FALSE)),""))</f>
        <v>0</v>
      </c>
      <c r="Q59" s="133">
        <f>(IF((VLOOKUP(Table4[[#This Row],[SKU]],'All Skus'!$A:$AC,2,FALSE))="Crown",(VLOOKUP(Table4[[#This Row],[SKU]],'All Skus'!$A:$AC,21,FALSE)),""))</f>
        <v>0</v>
      </c>
      <c r="R59" s="60" t="str">
        <f>(IF((VLOOKUP(Table4[[#This Row],[SKU]],'All Skus'!$A:$AC,2,FALSE))="Crown",(VLOOKUP(Table4[[#This Row],[SKU]],'All Skus'!$A:$AC,22,FALSE)),""))</f>
        <v>MX</v>
      </c>
      <c r="S59" s="52" t="str">
        <f>(IF((VLOOKUP(Table4[[#This Row],[SKU]],'All Skus'!$A:$AC,2,FALSE))="Crown",(VLOOKUP(Table4[[#This Row],[SKU]],'All Skus'!$A:$AC,23,FALSE)),""))</f>
        <v>Compliant</v>
      </c>
      <c r="T59" s="211" t="str">
        <f>HYPERLINK((IF((VLOOKUP(Table4[[#This Row],[SKU]],'All Skus'!$A:$AC,2,FALSE))="Crown",(VLOOKUP(Table4[[#This Row],[SKU]],'All Skus'!$A:$AC,24,FALSE)),"")))</f>
        <v/>
      </c>
      <c r="U59" s="151">
        <v>57</v>
      </c>
      <c r="V59"/>
      <c r="W59"/>
      <c r="X59"/>
      <c r="Y59"/>
      <c r="Z59"/>
    </row>
    <row r="60" spans="1:26" s="52" customFormat="1" ht="15" customHeight="1">
      <c r="A60" s="48" t="s">
        <v>917</v>
      </c>
      <c r="B60" s="52" t="str">
        <f>(IF((VLOOKUP(Table4[[#This Row],[SKU]],'All Skus'!$A:$AC,2,FALSE))="Crown",(VLOOKUP(Table4[[#This Row],[SKU]],'All Skus'!$A:$AC,3,FALSE)),""))</f>
        <v>DriveCore Install DA Series</v>
      </c>
      <c r="C60" s="52" t="str">
        <f>(IF((VLOOKUP(Table4[[#This Row],[SKU]],'All Skus'!$A:$AC,2,FALSE))="Crown",(VLOOKUP(Table4[[#This Row],[SKU]],'All Skus'!$A:$AC,4,FALSE)),""))</f>
        <v>DCI8x300D</v>
      </c>
      <c r="D60" s="60" t="str">
        <f>(IF((VLOOKUP(Table4[[#This Row],[SKU]],'All Skus'!$A:$AC,2,FALSE))="Crown",(VLOOKUP(Table4[[#This Row],[SKU]],'All Skus'!$A:$AC,5,FALSE)),""))</f>
        <v>DCI</v>
      </c>
      <c r="E60" s="52" t="str">
        <f>(IF((VLOOKUP(Table4[[#This Row],[SKU]],'All Skus'!$A:$AC,2,FALSE))="Crown",(VLOOKUP(Table4[[#This Row],[SKU]],'All Skus'!$A:$AC,6,FALSE)),""))</f>
        <v>YES</v>
      </c>
      <c r="F60" s="52">
        <f>(IF((VLOOKUP(Table4[[#This Row],[SKU]],'All Skus'!$A:$AC,2,FALSE))="Crown",(VLOOKUP(Table4[[#This Row],[SKU]],'All Skus'!$A:$AC,7,FALSE)),""))</f>
        <v>0</v>
      </c>
      <c r="G60" s="52" t="str">
        <f>(IF((VLOOKUP(Table4[[#This Row],[SKU]],'All Skus'!$A:$AC,2,FALSE))="Crown",(VLOOKUP(Table4[[#This Row],[SKU]],'All Skus'!$A:$AC,8,FALSE)),""))</f>
        <v>GDCI8x300DA</v>
      </c>
      <c r="H60" s="45" t="str">
        <f>(IF((VLOOKUP(Table4[[#This Row],[SKU]],'All Skus'!$A:$AC,2,FALSE))="Crown",(VLOOKUP(Table4[[#This Row],[SKU]],'All Skus'!$A:$AC,9,FALSE)),""))</f>
        <v>DCI8300 DANTE</v>
      </c>
      <c r="I60" s="94">
        <f>(IF((VLOOKUP(Table4[[#This Row],[SKU]],'All Skus'!$A:$AC,2,FALSE))="Crown",(VLOOKUP(Table4[[#This Row],[SKU]],'All Skus'!$A:$AC,10,FALSE)),""))</f>
        <v>6750</v>
      </c>
      <c r="J60" s="94">
        <f>(IF((VLOOKUP(Table4[[#This Row],[SKU]],'All Skus'!$A:$AC,2,FALSE))="Crown",(VLOOKUP(Table4[[#This Row],[SKU]],'All Skus'!$A:$AC,11,FALSE)),""))</f>
        <v>6750</v>
      </c>
      <c r="K60" s="60">
        <f>(IF((VLOOKUP(Table4[[#This Row],[SKU]],'All Skus'!$A:$AC,2,FALSE))="Crown",(VLOOKUP(Table4[[#This Row],[SKU]],'All Skus'!$A:$AC,15,FALSE)),""))</f>
        <v>0</v>
      </c>
      <c r="L60" s="47">
        <f>(IF((VLOOKUP(Table4[[#This Row],[SKU]],'All Skus'!$A:$AC,2,FALSE))="Crown",(VLOOKUP(Table4[[#This Row],[SKU]],'All Skus'!$A:$AC,16,FALSE)),""))</f>
        <v>691991010194</v>
      </c>
      <c r="M60" s="60">
        <f>(IF((VLOOKUP(Table4[[#This Row],[SKU]],'All Skus'!$A:$AC,2,FALSE))="Crown",(VLOOKUP(Table4[[#This Row],[SKU]],'All Skus'!$A:$AC,17,FALSE)),""))</f>
        <v>0</v>
      </c>
      <c r="N60" s="133">
        <f>(IF((VLOOKUP(Table4[[#This Row],[SKU]],'All Skus'!$A:$AC,2,FALSE))="Crown",(VLOOKUP(Table4[[#This Row],[SKU]],'All Skus'!$A:$AC,18,FALSE)),""))</f>
        <v>0</v>
      </c>
      <c r="O60" s="133">
        <f>(IF((VLOOKUP(Table4[[#This Row],[SKU]],'All Skus'!$A:$AC,2,FALSE))="Crown",(VLOOKUP(Table4[[#This Row],[SKU]],'All Skus'!$A:$AC,19,FALSE)),""))</f>
        <v>0</v>
      </c>
      <c r="P60" s="133">
        <f>(IF((VLOOKUP(Table4[[#This Row],[SKU]],'All Skus'!$A:$AC,2,FALSE))="Crown",(VLOOKUP(Table4[[#This Row],[SKU]],'All Skus'!$A:$AC,20,FALSE)),""))</f>
        <v>0</v>
      </c>
      <c r="Q60" s="133">
        <f>(IF((VLOOKUP(Table4[[#This Row],[SKU]],'All Skus'!$A:$AC,2,FALSE))="Crown",(VLOOKUP(Table4[[#This Row],[SKU]],'All Skus'!$A:$AC,21,FALSE)),""))</f>
        <v>0</v>
      </c>
      <c r="R60" s="60" t="str">
        <f>(IF((VLOOKUP(Table4[[#This Row],[SKU]],'All Skus'!$A:$AC,2,FALSE))="Crown",(VLOOKUP(Table4[[#This Row],[SKU]],'All Skus'!$A:$AC,22,FALSE)),""))</f>
        <v>MX</v>
      </c>
      <c r="S60" s="52" t="str">
        <f>(IF((VLOOKUP(Table4[[#This Row],[SKU]],'All Skus'!$A:$AC,2,FALSE))="Crown",(VLOOKUP(Table4[[#This Row],[SKU]],'All Skus'!$A:$AC,23,FALSE)),""))</f>
        <v>Compliant</v>
      </c>
      <c r="T60" s="211" t="str">
        <f>HYPERLINK((IF((VLOOKUP(Table4[[#This Row],[SKU]],'All Skus'!$A:$AC,2,FALSE))="Crown",(VLOOKUP(Table4[[#This Row],[SKU]],'All Skus'!$A:$AC,24,FALSE)),"")))</f>
        <v/>
      </c>
      <c r="U60" s="151">
        <v>58</v>
      </c>
      <c r="V60"/>
      <c r="W60"/>
      <c r="X60"/>
      <c r="Y60"/>
      <c r="Z60"/>
    </row>
    <row r="61" spans="1:26" s="52" customFormat="1" ht="15" customHeight="1">
      <c r="A61" s="48" t="s">
        <v>918</v>
      </c>
      <c r="B61" s="52" t="str">
        <f>(IF((VLOOKUP(Table4[[#This Row],[SKU]],'All Skus'!$A:$AC,2,FALSE))="Crown",(VLOOKUP(Table4[[#This Row],[SKU]],'All Skus'!$A:$AC,3,FALSE)),""))</f>
        <v>DriveCore Install Network Series</v>
      </c>
      <c r="C61" s="52" t="str">
        <f>(IF((VLOOKUP(Table4[[#This Row],[SKU]],'All Skus'!$A:$AC,2,FALSE))="Crown",(VLOOKUP(Table4[[#This Row],[SKU]],'All Skus'!$A:$AC,4,FALSE)),""))</f>
        <v>DCi8x300N</v>
      </c>
      <c r="D61" s="60" t="str">
        <f>(IF((VLOOKUP(Table4[[#This Row],[SKU]],'All Skus'!$A:$AC,2,FALSE))="Crown",(VLOOKUP(Table4[[#This Row],[SKU]],'All Skus'!$A:$AC,5,FALSE)),""))</f>
        <v>DCI</v>
      </c>
      <c r="E61" s="52">
        <f>(IF((VLOOKUP(Table4[[#This Row],[SKU]],'All Skus'!$A:$AC,2,FALSE))="Crown",(VLOOKUP(Table4[[#This Row],[SKU]],'All Skus'!$A:$AC,6,FALSE)),""))</f>
        <v>0</v>
      </c>
      <c r="F61" s="52">
        <f>(IF((VLOOKUP(Table4[[#This Row],[SKU]],'All Skus'!$A:$AC,2,FALSE))="Crown",(VLOOKUP(Table4[[#This Row],[SKU]],'All Skus'!$A:$AC,7,FALSE)),""))</f>
        <v>0</v>
      </c>
      <c r="G61" s="52" t="str">
        <f>(IF((VLOOKUP(Table4[[#This Row],[SKU]],'All Skus'!$A:$AC,2,FALSE))="Crown",(VLOOKUP(Table4[[#This Row],[SKU]],'All Skus'!$A:$AC,8,FALSE)),""))</f>
        <v>8x300W Power Amplifier</v>
      </c>
      <c r="H61" s="45" t="str">
        <f>(IF((VLOOKUP(Table4[[#This Row],[SKU]],'All Skus'!$A:$AC,2,FALSE))="Crown",(VLOOKUP(Table4[[#This Row],[SKU]],'All Skus'!$A:$AC,9,FALSE)),""))</f>
        <v>Eight-channel, 300W @ 4Ω Power Amplifier with BLU link, 70V/100V</v>
      </c>
      <c r="I61" s="94">
        <f>(IF((VLOOKUP(Table4[[#This Row],[SKU]],'All Skus'!$A:$AC,2,FALSE))="Crown",(VLOOKUP(Table4[[#This Row],[SKU]],'All Skus'!$A:$AC,10,FALSE)),""))</f>
        <v>6750</v>
      </c>
      <c r="J61" s="94">
        <f>(IF((VLOOKUP(Table4[[#This Row],[SKU]],'All Skus'!$A:$AC,2,FALSE))="Crown",(VLOOKUP(Table4[[#This Row],[SKU]],'All Skus'!$A:$AC,11,FALSE)),""))</f>
        <v>6750</v>
      </c>
      <c r="K61" s="60">
        <f>(IF((VLOOKUP(Table4[[#This Row],[SKU]],'All Skus'!$A:$AC,2,FALSE))="Crown",(VLOOKUP(Table4[[#This Row],[SKU]],'All Skus'!$A:$AC,15,FALSE)),""))</f>
        <v>1</v>
      </c>
      <c r="L61" s="47">
        <f>(IF((VLOOKUP(Table4[[#This Row],[SKU]],'All Skus'!$A:$AC,2,FALSE))="Crown",(VLOOKUP(Table4[[#This Row],[SKU]],'All Skus'!$A:$AC,16,FALSE)),""))</f>
        <v>691991008412</v>
      </c>
      <c r="M61" s="60">
        <f>(IF((VLOOKUP(Table4[[#This Row],[SKU]],'All Skus'!$A:$AC,2,FALSE))="Crown",(VLOOKUP(Table4[[#This Row],[SKU]],'All Skus'!$A:$AC,17,FALSE)),""))</f>
        <v>0</v>
      </c>
      <c r="N61" s="133">
        <f>(IF((VLOOKUP(Table4[[#This Row],[SKU]],'All Skus'!$A:$AC,2,FALSE))="Crown",(VLOOKUP(Table4[[#This Row],[SKU]],'All Skus'!$A:$AC,18,FALSE)),""))</f>
        <v>0</v>
      </c>
      <c r="O61" s="133">
        <f>(IF((VLOOKUP(Table4[[#This Row],[SKU]],'All Skus'!$A:$AC,2,FALSE))="Crown",(VLOOKUP(Table4[[#This Row],[SKU]],'All Skus'!$A:$AC,19,FALSE)),""))</f>
        <v>0</v>
      </c>
      <c r="P61" s="133">
        <f>(IF((VLOOKUP(Table4[[#This Row],[SKU]],'All Skus'!$A:$AC,2,FALSE))="Crown",(VLOOKUP(Table4[[#This Row],[SKU]],'All Skus'!$A:$AC,20,FALSE)),""))</f>
        <v>0</v>
      </c>
      <c r="Q61" s="133">
        <f>(IF((VLOOKUP(Table4[[#This Row],[SKU]],'All Skus'!$A:$AC,2,FALSE))="Crown",(VLOOKUP(Table4[[#This Row],[SKU]],'All Skus'!$A:$AC,21,FALSE)),""))</f>
        <v>0</v>
      </c>
      <c r="R61" s="60" t="str">
        <f>(IF((VLOOKUP(Table4[[#This Row],[SKU]],'All Skus'!$A:$AC,2,FALSE))="Crown",(VLOOKUP(Table4[[#This Row],[SKU]],'All Skus'!$A:$AC,22,FALSE)),""))</f>
        <v>MX</v>
      </c>
      <c r="S61" s="52" t="str">
        <f>(IF((VLOOKUP(Table4[[#This Row],[SKU]],'All Skus'!$A:$AC,2,FALSE))="Crown",(VLOOKUP(Table4[[#This Row],[SKU]],'All Skus'!$A:$AC,23,FALSE)),""))</f>
        <v>Compliant</v>
      </c>
      <c r="T61" s="211" t="str">
        <f>HYPERLINK((IF((VLOOKUP(Table4[[#This Row],[SKU]],'All Skus'!$A:$AC,2,FALSE))="Crown",(VLOOKUP(Table4[[#This Row],[SKU]],'All Skus'!$A:$AC,24,FALSE)),"")))</f>
        <v/>
      </c>
      <c r="U61" s="151">
        <v>59</v>
      </c>
      <c r="V61"/>
      <c r="W61"/>
      <c r="X61"/>
      <c r="Y61"/>
      <c r="Z61"/>
    </row>
    <row r="62" spans="1:26" s="52" customFormat="1" ht="15" customHeight="1">
      <c r="A62" s="48" t="s">
        <v>919</v>
      </c>
      <c r="B62" s="52" t="str">
        <f>(IF((VLOOKUP(Table4[[#This Row],[SKU]],'All Skus'!$A:$AC,2,FALSE))="Crown",(VLOOKUP(Table4[[#This Row],[SKU]],'All Skus'!$A:$AC,3,FALSE)),""))</f>
        <v>DriveCore Install Analog Series</v>
      </c>
      <c r="C62" s="52" t="str">
        <f>(IF((VLOOKUP(Table4[[#This Row],[SKU]],'All Skus'!$A:$AC,2,FALSE))="Crown",(VLOOKUP(Table4[[#This Row],[SKU]],'All Skus'!$A:$AC,4,FALSE)),""))</f>
        <v>DCi8x300</v>
      </c>
      <c r="D62" s="60" t="str">
        <f>(IF((VLOOKUP(Table4[[#This Row],[SKU]],'All Skus'!$A:$AC,2,FALSE))="Crown",(VLOOKUP(Table4[[#This Row],[SKU]],'All Skus'!$A:$AC,5,FALSE)),""))</f>
        <v>DCI</v>
      </c>
      <c r="E62" s="52">
        <f>(IF((VLOOKUP(Table4[[#This Row],[SKU]],'All Skus'!$A:$AC,2,FALSE))="Crown",(VLOOKUP(Table4[[#This Row],[SKU]],'All Skus'!$A:$AC,6,FALSE)),""))</f>
        <v>0</v>
      </c>
      <c r="F62" s="52">
        <f>(IF((VLOOKUP(Table4[[#This Row],[SKU]],'All Skus'!$A:$AC,2,FALSE))="Crown",(VLOOKUP(Table4[[#This Row],[SKU]],'All Skus'!$A:$AC,7,FALSE)),""))</f>
        <v>0</v>
      </c>
      <c r="G62" s="52" t="str">
        <f>(IF((VLOOKUP(Table4[[#This Row],[SKU]],'All Skus'!$A:$AC,2,FALSE))="Crown",(VLOOKUP(Table4[[#This Row],[SKU]],'All Skus'!$A:$AC,8,FALSE)),""))</f>
        <v>8x300W Power Amplifier</v>
      </c>
      <c r="H62" s="45" t="str">
        <f>(IF((VLOOKUP(Table4[[#This Row],[SKU]],'All Skus'!$A:$AC,2,FALSE))="Crown",(VLOOKUP(Table4[[#This Row],[SKU]],'All Skus'!$A:$AC,9,FALSE)),""))</f>
        <v>Eight-channel, 300W @ 4Ω Analog Power Amplifier, 70V/100V</v>
      </c>
      <c r="I62" s="94">
        <f>(IF((VLOOKUP(Table4[[#This Row],[SKU]],'All Skus'!$A:$AC,2,FALSE))="Crown",(VLOOKUP(Table4[[#This Row],[SKU]],'All Skus'!$A:$AC,10,FALSE)),""))</f>
        <v>5220</v>
      </c>
      <c r="J62" s="94">
        <f>(IF((VLOOKUP(Table4[[#This Row],[SKU]],'All Skus'!$A:$AC,2,FALSE))="Crown",(VLOOKUP(Table4[[#This Row],[SKU]],'All Skus'!$A:$AC,11,FALSE)),""))</f>
        <v>5220</v>
      </c>
      <c r="K62" s="60">
        <f>(IF((VLOOKUP(Table4[[#This Row],[SKU]],'All Skus'!$A:$AC,2,FALSE))="Crown",(VLOOKUP(Table4[[#This Row],[SKU]],'All Skus'!$A:$AC,15,FALSE)),""))</f>
        <v>1</v>
      </c>
      <c r="L62" s="47">
        <f>(IF((VLOOKUP(Table4[[#This Row],[SKU]],'All Skus'!$A:$AC,2,FALSE))="Crown",(VLOOKUP(Table4[[#This Row],[SKU]],'All Skus'!$A:$AC,16,FALSE)),""))</f>
        <v>691991008856</v>
      </c>
      <c r="M62" s="60">
        <f>(IF((VLOOKUP(Table4[[#This Row],[SKU]],'All Skus'!$A:$AC,2,FALSE))="Crown",(VLOOKUP(Table4[[#This Row],[SKU]],'All Skus'!$A:$AC,17,FALSE)),""))</f>
        <v>0</v>
      </c>
      <c r="N62" s="133">
        <f>(IF((VLOOKUP(Table4[[#This Row],[SKU]],'All Skus'!$A:$AC,2,FALSE))="Crown",(VLOOKUP(Table4[[#This Row],[SKU]],'All Skus'!$A:$AC,18,FALSE)),""))</f>
        <v>0</v>
      </c>
      <c r="O62" s="133">
        <f>(IF((VLOOKUP(Table4[[#This Row],[SKU]],'All Skus'!$A:$AC,2,FALSE))="Crown",(VLOOKUP(Table4[[#This Row],[SKU]],'All Skus'!$A:$AC,19,FALSE)),""))</f>
        <v>0</v>
      </c>
      <c r="P62" s="133">
        <f>(IF((VLOOKUP(Table4[[#This Row],[SKU]],'All Skus'!$A:$AC,2,FALSE))="Crown",(VLOOKUP(Table4[[#This Row],[SKU]],'All Skus'!$A:$AC,20,FALSE)),""))</f>
        <v>0</v>
      </c>
      <c r="Q62" s="133">
        <f>(IF((VLOOKUP(Table4[[#This Row],[SKU]],'All Skus'!$A:$AC,2,FALSE))="Crown",(VLOOKUP(Table4[[#This Row],[SKU]],'All Skus'!$A:$AC,21,FALSE)),""))</f>
        <v>0</v>
      </c>
      <c r="R62" s="60" t="str">
        <f>(IF((VLOOKUP(Table4[[#This Row],[SKU]],'All Skus'!$A:$AC,2,FALSE))="Crown",(VLOOKUP(Table4[[#This Row],[SKU]],'All Skus'!$A:$AC,22,FALSE)),""))</f>
        <v>MX</v>
      </c>
      <c r="S62" s="52" t="str">
        <f>(IF((VLOOKUP(Table4[[#This Row],[SKU]],'All Skus'!$A:$AC,2,FALSE))="Crown",(VLOOKUP(Table4[[#This Row],[SKU]],'All Skus'!$A:$AC,23,FALSE)),""))</f>
        <v>Compliant</v>
      </c>
      <c r="T62" s="211" t="str">
        <f>HYPERLINK((IF((VLOOKUP(Table4[[#This Row],[SKU]],'All Skus'!$A:$AC,2,FALSE))="Crown",(VLOOKUP(Table4[[#This Row],[SKU]],'All Skus'!$A:$AC,24,FALSE)),"")))</f>
        <v/>
      </c>
      <c r="U62" s="151">
        <v>60</v>
      </c>
      <c r="V62"/>
      <c r="W62"/>
      <c r="X62"/>
      <c r="Y62"/>
      <c r="Z62"/>
    </row>
    <row r="63" spans="1:26" s="52" customFormat="1" ht="15" customHeight="1">
      <c r="A63" s="48" t="s">
        <v>920</v>
      </c>
      <c r="B63" s="52" t="str">
        <f>(IF((VLOOKUP(Table4[[#This Row],[SKU]],'All Skus'!$A:$AC,2,FALSE))="Crown",(VLOOKUP(Table4[[#This Row],[SKU]],'All Skus'!$A:$AC,3,FALSE)),""))</f>
        <v>DriveCore Install DA Series</v>
      </c>
      <c r="C63" s="52" t="str">
        <f>(IF((VLOOKUP(Table4[[#This Row],[SKU]],'All Skus'!$A:$AC,2,FALSE))="Crown",(VLOOKUP(Table4[[#This Row],[SKU]],'All Skus'!$A:$AC,4,FALSE)),""))</f>
        <v xml:space="preserve">DCI8x600D </v>
      </c>
      <c r="D63" s="60" t="str">
        <f>(IF((VLOOKUP(Table4[[#This Row],[SKU]],'All Skus'!$A:$AC,2,FALSE))="Crown",(VLOOKUP(Table4[[#This Row],[SKU]],'All Skus'!$A:$AC,5,FALSE)),""))</f>
        <v>DCI</v>
      </c>
      <c r="E63" s="52" t="str">
        <f>(IF((VLOOKUP(Table4[[#This Row],[SKU]],'All Skus'!$A:$AC,2,FALSE))="Crown",(VLOOKUP(Table4[[#This Row],[SKU]],'All Skus'!$A:$AC,6,FALSE)),""))</f>
        <v>YES</v>
      </c>
      <c r="F63" s="52">
        <f>(IF((VLOOKUP(Table4[[#This Row],[SKU]],'All Skus'!$A:$AC,2,FALSE))="Crown",(VLOOKUP(Table4[[#This Row],[SKU]],'All Skus'!$A:$AC,7,FALSE)),""))</f>
        <v>0</v>
      </c>
      <c r="G63" s="52" t="str">
        <f>(IF((VLOOKUP(Table4[[#This Row],[SKU]],'All Skus'!$A:$AC,2,FALSE))="Crown",(VLOOKUP(Table4[[#This Row],[SKU]],'All Skus'!$A:$AC,8,FALSE)),""))</f>
        <v>8x600W Power Amplifier</v>
      </c>
      <c r="H63" s="45" t="str">
        <f>(IF((VLOOKUP(Table4[[#This Row],[SKU]],'All Skus'!$A:$AC,2,FALSE))="Crown",(VLOOKUP(Table4[[#This Row],[SKU]],'All Skus'!$A:$AC,9,FALSE)),""))</f>
        <v>Dante-enabled amplifier with DSP, network control/monitoring, GPIO, 2/4/8Ω and 70/100V operation.  8 channels, 600W/ch.</v>
      </c>
      <c r="I63" s="94">
        <f>(IF((VLOOKUP(Table4[[#This Row],[SKU]],'All Skus'!$A:$AC,2,FALSE))="Crown",(VLOOKUP(Table4[[#This Row],[SKU]],'All Skus'!$A:$AC,10,FALSE)),""))</f>
        <v>9730</v>
      </c>
      <c r="J63" s="94">
        <f>(IF((VLOOKUP(Table4[[#This Row],[SKU]],'All Skus'!$A:$AC,2,FALSE))="Crown",(VLOOKUP(Table4[[#This Row],[SKU]],'All Skus'!$A:$AC,11,FALSE)),""))</f>
        <v>9730</v>
      </c>
      <c r="K63" s="60">
        <f>(IF((VLOOKUP(Table4[[#This Row],[SKU]],'All Skus'!$A:$AC,2,FALSE))="Crown",(VLOOKUP(Table4[[#This Row],[SKU]],'All Skus'!$A:$AC,15,FALSE)),""))</f>
        <v>1</v>
      </c>
      <c r="L63" s="47">
        <f>(IF((VLOOKUP(Table4[[#This Row],[SKU]],'All Skus'!$A:$AC,2,FALSE))="Crown",(VLOOKUP(Table4[[#This Row],[SKU]],'All Skus'!$A:$AC,16,FALSE)),""))</f>
        <v>691991010255</v>
      </c>
      <c r="M63" s="60">
        <f>(IF((VLOOKUP(Table4[[#This Row],[SKU]],'All Skus'!$A:$AC,2,FALSE))="Crown",(VLOOKUP(Table4[[#This Row],[SKU]],'All Skus'!$A:$AC,17,FALSE)),""))</f>
        <v>0</v>
      </c>
      <c r="N63" s="133">
        <f>(IF((VLOOKUP(Table4[[#This Row],[SKU]],'All Skus'!$A:$AC,2,FALSE))="Crown",(VLOOKUP(Table4[[#This Row],[SKU]],'All Skus'!$A:$AC,18,FALSE)),""))</f>
        <v>0</v>
      </c>
      <c r="O63" s="133">
        <f>(IF((VLOOKUP(Table4[[#This Row],[SKU]],'All Skus'!$A:$AC,2,FALSE))="Crown",(VLOOKUP(Table4[[#This Row],[SKU]],'All Skus'!$A:$AC,19,FALSE)),""))</f>
        <v>0</v>
      </c>
      <c r="P63" s="133">
        <f>(IF((VLOOKUP(Table4[[#This Row],[SKU]],'All Skus'!$A:$AC,2,FALSE))="Crown",(VLOOKUP(Table4[[#This Row],[SKU]],'All Skus'!$A:$AC,20,FALSE)),""))</f>
        <v>0</v>
      </c>
      <c r="Q63" s="133">
        <f>(IF((VLOOKUP(Table4[[#This Row],[SKU]],'All Skus'!$A:$AC,2,FALSE))="Crown",(VLOOKUP(Table4[[#This Row],[SKU]],'All Skus'!$A:$AC,21,FALSE)),""))</f>
        <v>0</v>
      </c>
      <c r="R63" s="60" t="str">
        <f>(IF((VLOOKUP(Table4[[#This Row],[SKU]],'All Skus'!$A:$AC,2,FALSE))="Crown",(VLOOKUP(Table4[[#This Row],[SKU]],'All Skus'!$A:$AC,22,FALSE)),""))</f>
        <v>MX</v>
      </c>
      <c r="S63" s="52" t="str">
        <f>(IF((VLOOKUP(Table4[[#This Row],[SKU]],'All Skus'!$A:$AC,2,FALSE))="Crown",(VLOOKUP(Table4[[#This Row],[SKU]],'All Skus'!$A:$AC,23,FALSE)),""))</f>
        <v>Compliant</v>
      </c>
      <c r="T63" s="211" t="str">
        <f>HYPERLINK((IF((VLOOKUP(Table4[[#This Row],[SKU]],'All Skus'!$A:$AC,2,FALSE))="Crown",(VLOOKUP(Table4[[#This Row],[SKU]],'All Skus'!$A:$AC,24,FALSE)),"")))</f>
        <v/>
      </c>
      <c r="U63" s="151">
        <v>61</v>
      </c>
      <c r="V63"/>
      <c r="W63"/>
      <c r="X63"/>
      <c r="Y63"/>
      <c r="Z63"/>
    </row>
    <row r="64" spans="1:26" s="52" customFormat="1" ht="15" customHeight="1">
      <c r="A64" s="48" t="s">
        <v>921</v>
      </c>
      <c r="B64" s="52" t="str">
        <f>(IF((VLOOKUP(Table4[[#This Row],[SKU]],'All Skus'!$A:$AC,2,FALSE))="Crown",(VLOOKUP(Table4[[#This Row],[SKU]],'All Skus'!$A:$AC,3,FALSE)),""))</f>
        <v>DriveCore Install Network Display Series</v>
      </c>
      <c r="C64" s="52" t="str">
        <f>(IF((VLOOKUP(Table4[[#This Row],[SKU]],'All Skus'!$A:$AC,2,FALSE))="Crown",(VLOOKUP(Table4[[#This Row],[SKU]],'All Skus'!$A:$AC,4,FALSE)),""))</f>
        <v xml:space="preserve">DCi8x600ND </v>
      </c>
      <c r="D64" s="60" t="str">
        <f>(IF((VLOOKUP(Table4[[#This Row],[SKU]],'All Skus'!$A:$AC,2,FALSE))="Crown",(VLOOKUP(Table4[[#This Row],[SKU]],'All Skus'!$A:$AC,5,FALSE)),""))</f>
        <v>DCI</v>
      </c>
      <c r="E64" s="52" t="str">
        <f>(IF((VLOOKUP(Table4[[#This Row],[SKU]],'All Skus'!$A:$AC,2,FALSE))="Crown",(VLOOKUP(Table4[[#This Row],[SKU]],'All Skus'!$A:$AC,6,FALSE)),""))</f>
        <v>YES</v>
      </c>
      <c r="F64" s="52">
        <f>(IF((VLOOKUP(Table4[[#This Row],[SKU]],'All Skus'!$A:$AC,2,FALSE))="Crown",(VLOOKUP(Table4[[#This Row],[SKU]],'All Skus'!$A:$AC,7,FALSE)),""))</f>
        <v>0</v>
      </c>
      <c r="G64" s="52" t="str">
        <f>(IF((VLOOKUP(Table4[[#This Row],[SKU]],'All Skus'!$A:$AC,2,FALSE))="Crown",(VLOOKUP(Table4[[#This Row],[SKU]],'All Skus'!$A:$AC,8,FALSE)),""))</f>
        <v>8x600W Power Amplifier</v>
      </c>
      <c r="H64" s="45" t="str">
        <f>(IF((VLOOKUP(Table4[[#This Row],[SKU]],'All Skus'!$A:$AC,2,FALSE))="Crown",(VLOOKUP(Table4[[#This Row],[SKU]],'All Skus'!$A:$AC,9,FALSE)),""))</f>
        <v>Eight-channel, 600W @ 4Ω Power Amplifier with AVB, 70V/100V</v>
      </c>
      <c r="I64" s="94">
        <f>(IF((VLOOKUP(Table4[[#This Row],[SKU]],'All Skus'!$A:$AC,2,FALSE))="Crown",(VLOOKUP(Table4[[#This Row],[SKU]],'All Skus'!$A:$AC,10,FALSE)),""))</f>
        <v>10700</v>
      </c>
      <c r="J64" s="94">
        <f>(IF((VLOOKUP(Table4[[#This Row],[SKU]],'All Skus'!$A:$AC,2,FALSE))="Crown",(VLOOKUP(Table4[[#This Row],[SKU]],'All Skus'!$A:$AC,11,FALSE)),""))</f>
        <v>10700</v>
      </c>
      <c r="K64" s="60">
        <f>(IF((VLOOKUP(Table4[[#This Row],[SKU]],'All Skus'!$A:$AC,2,FALSE))="Crown",(VLOOKUP(Table4[[#This Row],[SKU]],'All Skus'!$A:$AC,15,FALSE)),""))</f>
        <v>1</v>
      </c>
      <c r="L64" s="47">
        <f>(IF((VLOOKUP(Table4[[#This Row],[SKU]],'All Skus'!$A:$AC,2,FALSE))="Crown",(VLOOKUP(Table4[[#This Row],[SKU]],'All Skus'!$A:$AC,16,FALSE)),""))</f>
        <v>691991008474</v>
      </c>
      <c r="M64" s="60">
        <f>(IF((VLOOKUP(Table4[[#This Row],[SKU]],'All Skus'!$A:$AC,2,FALSE))="Crown",(VLOOKUP(Table4[[#This Row],[SKU]],'All Skus'!$A:$AC,17,FALSE)),""))</f>
        <v>0</v>
      </c>
      <c r="N64" s="133">
        <f>(IF((VLOOKUP(Table4[[#This Row],[SKU]],'All Skus'!$A:$AC,2,FALSE))="Crown",(VLOOKUP(Table4[[#This Row],[SKU]],'All Skus'!$A:$AC,18,FALSE)),""))</f>
        <v>0</v>
      </c>
      <c r="O64" s="133">
        <f>(IF((VLOOKUP(Table4[[#This Row],[SKU]],'All Skus'!$A:$AC,2,FALSE))="Crown",(VLOOKUP(Table4[[#This Row],[SKU]],'All Skus'!$A:$AC,19,FALSE)),""))</f>
        <v>0</v>
      </c>
      <c r="P64" s="133">
        <f>(IF((VLOOKUP(Table4[[#This Row],[SKU]],'All Skus'!$A:$AC,2,FALSE))="Crown",(VLOOKUP(Table4[[#This Row],[SKU]],'All Skus'!$A:$AC,20,FALSE)),""))</f>
        <v>0</v>
      </c>
      <c r="Q64" s="133">
        <f>(IF((VLOOKUP(Table4[[#This Row],[SKU]],'All Skus'!$A:$AC,2,FALSE))="Crown",(VLOOKUP(Table4[[#This Row],[SKU]],'All Skus'!$A:$AC,21,FALSE)),""))</f>
        <v>0</v>
      </c>
      <c r="R64" s="60" t="str">
        <f>(IF((VLOOKUP(Table4[[#This Row],[SKU]],'All Skus'!$A:$AC,2,FALSE))="Crown",(VLOOKUP(Table4[[#This Row],[SKU]],'All Skus'!$A:$AC,22,FALSE)),""))</f>
        <v>MX</v>
      </c>
      <c r="S64" s="52" t="str">
        <f>(IF((VLOOKUP(Table4[[#This Row],[SKU]],'All Skus'!$A:$AC,2,FALSE))="Crown",(VLOOKUP(Table4[[#This Row],[SKU]],'All Skus'!$A:$AC,23,FALSE)),""))</f>
        <v>Compliant</v>
      </c>
      <c r="T64" s="211" t="str">
        <f>HYPERLINK((IF((VLOOKUP(Table4[[#This Row],[SKU]],'All Skus'!$A:$AC,2,FALSE))="Crown",(VLOOKUP(Table4[[#This Row],[SKU]],'All Skus'!$A:$AC,24,FALSE)),"")))</f>
        <v/>
      </c>
      <c r="U64" s="151">
        <v>62</v>
      </c>
      <c r="V64"/>
      <c r="W64"/>
      <c r="X64"/>
      <c r="Y64"/>
      <c r="Z64"/>
    </row>
    <row r="65" spans="1:26" s="52" customFormat="1" ht="15" customHeight="1">
      <c r="A65" s="48" t="s">
        <v>922</v>
      </c>
      <c r="B65" s="52" t="str">
        <f>(IF((VLOOKUP(Table4[[#This Row],[SKU]],'All Skus'!$A:$AC,2,FALSE))="Crown",(VLOOKUP(Table4[[#This Row],[SKU]],'All Skus'!$A:$AC,3,FALSE)),""))</f>
        <v>DriveCore Install Network Series</v>
      </c>
      <c r="C65" s="52" t="str">
        <f>(IF((VLOOKUP(Table4[[#This Row],[SKU]],'All Skus'!$A:$AC,2,FALSE))="Crown",(VLOOKUP(Table4[[#This Row],[SKU]],'All Skus'!$A:$AC,4,FALSE)),""))</f>
        <v xml:space="preserve">DCI8x600N </v>
      </c>
      <c r="D65" s="60" t="str">
        <f>(IF((VLOOKUP(Table4[[#This Row],[SKU]],'All Skus'!$A:$AC,2,FALSE))="Crown",(VLOOKUP(Table4[[#This Row],[SKU]],'All Skus'!$A:$AC,5,FALSE)),""))</f>
        <v>DCI</v>
      </c>
      <c r="E65" s="52">
        <f>(IF((VLOOKUP(Table4[[#This Row],[SKU]],'All Skus'!$A:$AC,2,FALSE))="Crown",(VLOOKUP(Table4[[#This Row],[SKU]],'All Skus'!$A:$AC,6,FALSE)),""))</f>
        <v>0</v>
      </c>
      <c r="F65" s="52">
        <f>(IF((VLOOKUP(Table4[[#This Row],[SKU]],'All Skus'!$A:$AC,2,FALSE))="Crown",(VLOOKUP(Table4[[#This Row],[SKU]],'All Skus'!$A:$AC,7,FALSE)),""))</f>
        <v>0</v>
      </c>
      <c r="G65" s="52" t="str">
        <f>(IF((VLOOKUP(Table4[[#This Row],[SKU]],'All Skus'!$A:$AC,2,FALSE))="Crown",(VLOOKUP(Table4[[#This Row],[SKU]],'All Skus'!$A:$AC,8,FALSE)),""))</f>
        <v>8x600W Power Amplifier</v>
      </c>
      <c r="H65" s="45" t="str">
        <f>(IF((VLOOKUP(Table4[[#This Row],[SKU]],'All Skus'!$A:$AC,2,FALSE))="Crown",(VLOOKUP(Table4[[#This Row],[SKU]],'All Skus'!$A:$AC,9,FALSE)),""))</f>
        <v>Eight-channel, 600W @ 4Ω Power Amplifier with BLU link, 70V/100V</v>
      </c>
      <c r="I65" s="94">
        <f>(IF((VLOOKUP(Table4[[#This Row],[SKU]],'All Skus'!$A:$AC,2,FALSE))="Crown",(VLOOKUP(Table4[[#This Row],[SKU]],'All Skus'!$A:$AC,10,FALSE)),""))</f>
        <v>9730</v>
      </c>
      <c r="J65" s="94">
        <f>(IF((VLOOKUP(Table4[[#This Row],[SKU]],'All Skus'!$A:$AC,2,FALSE))="Crown",(VLOOKUP(Table4[[#This Row],[SKU]],'All Skus'!$A:$AC,11,FALSE)),""))</f>
        <v>9730</v>
      </c>
      <c r="K65" s="60">
        <f>(IF((VLOOKUP(Table4[[#This Row],[SKU]],'All Skus'!$A:$AC,2,FALSE))="Crown",(VLOOKUP(Table4[[#This Row],[SKU]],'All Skus'!$A:$AC,15,FALSE)),""))</f>
        <v>1</v>
      </c>
      <c r="L65" s="47">
        <f>(IF((VLOOKUP(Table4[[#This Row],[SKU]],'All Skus'!$A:$AC,2,FALSE))="Crown",(VLOOKUP(Table4[[#This Row],[SKU]],'All Skus'!$A:$AC,16,FALSE)),""))</f>
        <v>691991009099</v>
      </c>
      <c r="M65" s="60">
        <f>(IF((VLOOKUP(Table4[[#This Row],[SKU]],'All Skus'!$A:$AC,2,FALSE))="Crown",(VLOOKUP(Table4[[#This Row],[SKU]],'All Skus'!$A:$AC,17,FALSE)),""))</f>
        <v>0</v>
      </c>
      <c r="N65" s="133">
        <f>(IF((VLOOKUP(Table4[[#This Row],[SKU]],'All Skus'!$A:$AC,2,FALSE))="Crown",(VLOOKUP(Table4[[#This Row],[SKU]],'All Skus'!$A:$AC,18,FALSE)),""))</f>
        <v>0</v>
      </c>
      <c r="O65" s="133">
        <f>(IF((VLOOKUP(Table4[[#This Row],[SKU]],'All Skus'!$A:$AC,2,FALSE))="Crown",(VLOOKUP(Table4[[#This Row],[SKU]],'All Skus'!$A:$AC,19,FALSE)),""))</f>
        <v>0</v>
      </c>
      <c r="P65" s="133">
        <f>(IF((VLOOKUP(Table4[[#This Row],[SKU]],'All Skus'!$A:$AC,2,FALSE))="Crown",(VLOOKUP(Table4[[#This Row],[SKU]],'All Skus'!$A:$AC,20,FALSE)),""))</f>
        <v>0</v>
      </c>
      <c r="Q65" s="133">
        <f>(IF((VLOOKUP(Table4[[#This Row],[SKU]],'All Skus'!$A:$AC,2,FALSE))="Crown",(VLOOKUP(Table4[[#This Row],[SKU]],'All Skus'!$A:$AC,21,FALSE)),""))</f>
        <v>0</v>
      </c>
      <c r="R65" s="60" t="str">
        <f>(IF((VLOOKUP(Table4[[#This Row],[SKU]],'All Skus'!$A:$AC,2,FALSE))="Crown",(VLOOKUP(Table4[[#This Row],[SKU]],'All Skus'!$A:$AC,22,FALSE)),""))</f>
        <v>MX</v>
      </c>
      <c r="S65" s="52" t="str">
        <f>(IF((VLOOKUP(Table4[[#This Row],[SKU]],'All Skus'!$A:$AC,2,FALSE))="Crown",(VLOOKUP(Table4[[#This Row],[SKU]],'All Skus'!$A:$AC,23,FALSE)),""))</f>
        <v>Compliant</v>
      </c>
      <c r="T65" s="211" t="str">
        <f>HYPERLINK((IF((VLOOKUP(Table4[[#This Row],[SKU]],'All Skus'!$A:$AC,2,FALSE))="Crown",(VLOOKUP(Table4[[#This Row],[SKU]],'All Skus'!$A:$AC,24,FALSE)),"")))</f>
        <v/>
      </c>
      <c r="U65" s="151">
        <v>63</v>
      </c>
      <c r="V65"/>
      <c r="W65"/>
      <c r="X65"/>
      <c r="Y65"/>
      <c r="Z65"/>
    </row>
    <row r="66" spans="1:26" s="52" customFormat="1" ht="15" customHeight="1">
      <c r="A66" s="48" t="s">
        <v>923</v>
      </c>
      <c r="B66" s="52" t="str">
        <f>(IF((VLOOKUP(Table4[[#This Row],[SKU]],'All Skus'!$A:$AC,2,FALSE))="Crown",(VLOOKUP(Table4[[#This Row],[SKU]],'All Skus'!$A:$AC,3,FALSE)),""))</f>
        <v>DriveCore Install Analog Series</v>
      </c>
      <c r="C66" s="52" t="str">
        <f>(IF((VLOOKUP(Table4[[#This Row],[SKU]],'All Skus'!$A:$AC,2,FALSE))="Crown",(VLOOKUP(Table4[[#This Row],[SKU]],'All Skus'!$A:$AC,4,FALSE)),""))</f>
        <v xml:space="preserve">DCi8x600 </v>
      </c>
      <c r="D66" s="60" t="str">
        <f>(IF((VLOOKUP(Table4[[#This Row],[SKU]],'All Skus'!$A:$AC,2,FALSE))="Crown",(VLOOKUP(Table4[[#This Row],[SKU]],'All Skus'!$A:$AC,5,FALSE)),""))</f>
        <v>DCI</v>
      </c>
      <c r="E66" s="52">
        <f>(IF((VLOOKUP(Table4[[#This Row],[SKU]],'All Skus'!$A:$AC,2,FALSE))="Crown",(VLOOKUP(Table4[[#This Row],[SKU]],'All Skus'!$A:$AC,6,FALSE)),""))</f>
        <v>0</v>
      </c>
      <c r="F66" s="52">
        <f>(IF((VLOOKUP(Table4[[#This Row],[SKU]],'All Skus'!$A:$AC,2,FALSE))="Crown",(VLOOKUP(Table4[[#This Row],[SKU]],'All Skus'!$A:$AC,7,FALSE)),""))</f>
        <v>0</v>
      </c>
      <c r="G66" s="52" t="str">
        <f>(IF((VLOOKUP(Table4[[#This Row],[SKU]],'All Skus'!$A:$AC,2,FALSE))="Crown",(VLOOKUP(Table4[[#This Row],[SKU]],'All Skus'!$A:$AC,8,FALSE)),""))</f>
        <v>8x600W Power Amplifier</v>
      </c>
      <c r="H66" s="45" t="str">
        <f>(IF((VLOOKUP(Table4[[#This Row],[SKU]],'All Skus'!$A:$AC,2,FALSE))="Crown",(VLOOKUP(Table4[[#This Row],[SKU]],'All Skus'!$A:$AC,9,FALSE)),""))</f>
        <v>Eight-channel, 600W @ 4Ω Analog Power Amplifier, 70V/100V</v>
      </c>
      <c r="I66" s="94">
        <f>(IF((VLOOKUP(Table4[[#This Row],[SKU]],'All Skus'!$A:$AC,2,FALSE))="Crown",(VLOOKUP(Table4[[#This Row],[SKU]],'All Skus'!$A:$AC,10,FALSE)),""))</f>
        <v>7830</v>
      </c>
      <c r="J66" s="94">
        <f>(IF((VLOOKUP(Table4[[#This Row],[SKU]],'All Skus'!$A:$AC,2,FALSE))="Crown",(VLOOKUP(Table4[[#This Row],[SKU]],'All Skus'!$A:$AC,11,FALSE)),""))</f>
        <v>7830</v>
      </c>
      <c r="K66" s="60">
        <f>(IF((VLOOKUP(Table4[[#This Row],[SKU]],'All Skus'!$A:$AC,2,FALSE))="Crown",(VLOOKUP(Table4[[#This Row],[SKU]],'All Skus'!$A:$AC,15,FALSE)),""))</f>
        <v>1</v>
      </c>
      <c r="L66" s="47">
        <f>(IF((VLOOKUP(Table4[[#This Row],[SKU]],'All Skus'!$A:$AC,2,FALSE))="Crown",(VLOOKUP(Table4[[#This Row],[SKU]],'All Skus'!$A:$AC,16,FALSE)),""))</f>
        <v>691991009563</v>
      </c>
      <c r="M66" s="60">
        <f>(IF((VLOOKUP(Table4[[#This Row],[SKU]],'All Skus'!$A:$AC,2,FALSE))="Crown",(VLOOKUP(Table4[[#This Row],[SKU]],'All Skus'!$A:$AC,17,FALSE)),""))</f>
        <v>0</v>
      </c>
      <c r="N66" s="133">
        <f>(IF((VLOOKUP(Table4[[#This Row],[SKU]],'All Skus'!$A:$AC,2,FALSE))="Crown",(VLOOKUP(Table4[[#This Row],[SKU]],'All Skus'!$A:$AC,18,FALSE)),""))</f>
        <v>0</v>
      </c>
      <c r="O66" s="133">
        <f>(IF((VLOOKUP(Table4[[#This Row],[SKU]],'All Skus'!$A:$AC,2,FALSE))="Crown",(VLOOKUP(Table4[[#This Row],[SKU]],'All Skus'!$A:$AC,19,FALSE)),""))</f>
        <v>0</v>
      </c>
      <c r="P66" s="133">
        <f>(IF((VLOOKUP(Table4[[#This Row],[SKU]],'All Skus'!$A:$AC,2,FALSE))="Crown",(VLOOKUP(Table4[[#This Row],[SKU]],'All Skus'!$A:$AC,20,FALSE)),""))</f>
        <v>0</v>
      </c>
      <c r="Q66" s="133">
        <f>(IF((VLOOKUP(Table4[[#This Row],[SKU]],'All Skus'!$A:$AC,2,FALSE))="Crown",(VLOOKUP(Table4[[#This Row],[SKU]],'All Skus'!$A:$AC,21,FALSE)),""))</f>
        <v>0</v>
      </c>
      <c r="R66" s="60" t="str">
        <f>(IF((VLOOKUP(Table4[[#This Row],[SKU]],'All Skus'!$A:$AC,2,FALSE))="Crown",(VLOOKUP(Table4[[#This Row],[SKU]],'All Skus'!$A:$AC,22,FALSE)),""))</f>
        <v>MX</v>
      </c>
      <c r="S66" s="52" t="str">
        <f>(IF((VLOOKUP(Table4[[#This Row],[SKU]],'All Skus'!$A:$AC,2,FALSE))="Crown",(VLOOKUP(Table4[[#This Row],[SKU]],'All Skus'!$A:$AC,23,FALSE)),""))</f>
        <v>Compliant</v>
      </c>
      <c r="T66" s="211" t="str">
        <f>HYPERLINK((IF((VLOOKUP(Table4[[#This Row],[SKU]],'All Skus'!$A:$AC,2,FALSE))="Crown",(VLOOKUP(Table4[[#This Row],[SKU]],'All Skus'!$A:$AC,24,FALSE)),"")))</f>
        <v/>
      </c>
      <c r="U66" s="151">
        <v>64</v>
      </c>
      <c r="V66"/>
      <c r="W66"/>
      <c r="X66"/>
      <c r="Y66"/>
      <c r="Z66"/>
    </row>
    <row r="67" spans="1:26" s="52" customFormat="1" ht="15" customHeight="1">
      <c r="A67" s="48" t="s">
        <v>924</v>
      </c>
      <c r="B67" s="52" t="str">
        <f>(IF((VLOOKUP(Table4[[#This Row],[SKU]],'All Skus'!$A:$AC,2,FALSE))="Crown",(VLOOKUP(Table4[[#This Row],[SKU]],'All Skus'!$A:$AC,3,FALSE)),""))</f>
        <v>I-Tech HD Series</v>
      </c>
      <c r="C67" s="52" t="str">
        <f>(IF((VLOOKUP(Table4[[#This Row],[SKU]],'All Skus'!$A:$AC,2,FALSE))="Crown",(VLOOKUP(Table4[[#This Row],[SKU]],'All Skus'!$A:$AC,4,FALSE)),""))</f>
        <v>IT4X3500HDB</v>
      </c>
      <c r="D67" s="60" t="str">
        <f>(IF((VLOOKUP(Table4[[#This Row],[SKU]],'All Skus'!$A:$AC,2,FALSE))="Crown",(VLOOKUP(Table4[[#This Row],[SKU]],'All Skus'!$A:$AC,5,FALSE)),""))</f>
        <v>IT</v>
      </c>
      <c r="E67" s="52" t="str">
        <f>(IF((VLOOKUP(Table4[[#This Row],[SKU]],'All Skus'!$A:$AC,2,FALSE))="Crown",(VLOOKUP(Table4[[#This Row],[SKU]],'All Skus'!$A:$AC,6,FALSE)),""))</f>
        <v>YES</v>
      </c>
      <c r="F67" s="52">
        <f>(IF((VLOOKUP(Table4[[#This Row],[SKU]],'All Skus'!$A:$AC,2,FALSE))="Crown",(VLOOKUP(Table4[[#This Row],[SKU]],'All Skus'!$A:$AC,7,FALSE)),""))</f>
        <v>0</v>
      </c>
      <c r="G67" s="52" t="str">
        <f>(IF((VLOOKUP(Table4[[#This Row],[SKU]],'All Skus'!$A:$AC,2,FALSE))="Crown",(VLOOKUP(Table4[[#This Row],[SKU]],'All Skus'!$A:$AC,8,FALSE)),""))</f>
        <v>IT4X3500HDB Binding Post Version</v>
      </c>
      <c r="H67" s="45" t="str">
        <f>(IF((VLOOKUP(Table4[[#This Row],[SKU]],'All Skus'!$A:$AC,2,FALSE))="Crown",(VLOOKUP(Table4[[#This Row],[SKU]],'All Skus'!$A:$AC,9,FALSE)),""))</f>
        <v>Four-channel, 4000W @ 4Ω Power Amplifier, Binding Post Version</v>
      </c>
      <c r="I67" s="94">
        <f>(IF((VLOOKUP(Table4[[#This Row],[SKU]],'All Skus'!$A:$AC,2,FALSE))="Crown",(VLOOKUP(Table4[[#This Row],[SKU]],'All Skus'!$A:$AC,10,FALSE)),""))</f>
        <v>14900</v>
      </c>
      <c r="J67" s="94">
        <f>(IF((VLOOKUP(Table4[[#This Row],[SKU]],'All Skus'!$A:$AC,2,FALSE))="Crown",(VLOOKUP(Table4[[#This Row],[SKU]],'All Skus'!$A:$AC,11,FALSE)),""))</f>
        <v>14900</v>
      </c>
      <c r="K67" s="60">
        <f>(IF((VLOOKUP(Table4[[#This Row],[SKU]],'All Skus'!$A:$AC,2,FALSE))="Crown",(VLOOKUP(Table4[[#This Row],[SKU]],'All Skus'!$A:$AC,15,FALSE)),""))</f>
        <v>1</v>
      </c>
      <c r="L67" s="47">
        <f>(IF((VLOOKUP(Table4[[#This Row],[SKU]],'All Skus'!$A:$AC,2,FALSE))="Crown",(VLOOKUP(Table4[[#This Row],[SKU]],'All Skus'!$A:$AC,16,FALSE)),""))</f>
        <v>691991008023</v>
      </c>
      <c r="M67" s="60">
        <f>(IF((VLOOKUP(Table4[[#This Row],[SKU]],'All Skus'!$A:$AC,2,FALSE))="Crown",(VLOOKUP(Table4[[#This Row],[SKU]],'All Skus'!$A:$AC,17,FALSE)),""))</f>
        <v>0</v>
      </c>
      <c r="N67" s="133">
        <f>(IF((VLOOKUP(Table4[[#This Row],[SKU]],'All Skus'!$A:$AC,2,FALSE))="Crown",(VLOOKUP(Table4[[#This Row],[SKU]],'All Skus'!$A:$AC,18,FALSE)),""))</f>
        <v>0</v>
      </c>
      <c r="O67" s="133">
        <f>(IF((VLOOKUP(Table4[[#This Row],[SKU]],'All Skus'!$A:$AC,2,FALSE))="Crown",(VLOOKUP(Table4[[#This Row],[SKU]],'All Skus'!$A:$AC,19,FALSE)),""))</f>
        <v>0</v>
      </c>
      <c r="P67" s="133">
        <f>(IF((VLOOKUP(Table4[[#This Row],[SKU]],'All Skus'!$A:$AC,2,FALSE))="Crown",(VLOOKUP(Table4[[#This Row],[SKU]],'All Skus'!$A:$AC,20,FALSE)),""))</f>
        <v>0</v>
      </c>
      <c r="Q67" s="133">
        <f>(IF((VLOOKUP(Table4[[#This Row],[SKU]],'All Skus'!$A:$AC,2,FALSE))="Crown",(VLOOKUP(Table4[[#This Row],[SKU]],'All Skus'!$A:$AC,21,FALSE)),""))</f>
        <v>0</v>
      </c>
      <c r="R67" s="60" t="str">
        <f>(IF((VLOOKUP(Table4[[#This Row],[SKU]],'All Skus'!$A:$AC,2,FALSE))="Crown",(VLOOKUP(Table4[[#This Row],[SKU]],'All Skus'!$A:$AC,22,FALSE)),""))</f>
        <v>MX</v>
      </c>
      <c r="S67" s="52" t="str">
        <f>(IF((VLOOKUP(Table4[[#This Row],[SKU]],'All Skus'!$A:$AC,2,FALSE))="Crown",(VLOOKUP(Table4[[#This Row],[SKU]],'All Skus'!$A:$AC,23,FALSE)),""))</f>
        <v>Compliant</v>
      </c>
      <c r="T67" s="211" t="str">
        <f>HYPERLINK((IF((VLOOKUP(Table4[[#This Row],[SKU]],'All Skus'!$A:$AC,2,FALSE))="Crown",(VLOOKUP(Table4[[#This Row],[SKU]],'All Skus'!$A:$AC,24,FALSE)),"")))</f>
        <v/>
      </c>
      <c r="U67" s="151">
        <v>65</v>
      </c>
      <c r="V67"/>
      <c r="W67"/>
      <c r="X67"/>
      <c r="Y67"/>
      <c r="Z67"/>
    </row>
    <row r="68" spans="1:26" s="52" customFormat="1" ht="15" customHeight="1">
      <c r="A68" s="48" t="s">
        <v>925</v>
      </c>
      <c r="B68" s="52" t="str">
        <f>(IF((VLOOKUP(Table4[[#This Row],[SKU]],'All Skus'!$A:$AC,2,FALSE))="Crown",(VLOOKUP(Table4[[#This Row],[SKU]],'All Skus'!$A:$AC,3,FALSE)),""))</f>
        <v>I-Tech HD Series</v>
      </c>
      <c r="C68" s="52" t="str">
        <f>(IF((VLOOKUP(Table4[[#This Row],[SKU]],'All Skus'!$A:$AC,2,FALSE))="Crown",(VLOOKUP(Table4[[#This Row],[SKU]],'All Skus'!$A:$AC,4,FALSE)),""))</f>
        <v>IT4X3500HDS</v>
      </c>
      <c r="D68" s="60" t="str">
        <f>(IF((VLOOKUP(Table4[[#This Row],[SKU]],'All Skus'!$A:$AC,2,FALSE))="Crown",(VLOOKUP(Table4[[#This Row],[SKU]],'All Skus'!$A:$AC,5,FALSE)),""))</f>
        <v>IT</v>
      </c>
      <c r="E68" s="52" t="str">
        <f>(IF((VLOOKUP(Table4[[#This Row],[SKU]],'All Skus'!$A:$AC,2,FALSE))="Crown",(VLOOKUP(Table4[[#This Row],[SKU]],'All Skus'!$A:$AC,6,FALSE)),""))</f>
        <v>YES</v>
      </c>
      <c r="F68" s="52">
        <f>(IF((VLOOKUP(Table4[[#This Row],[SKU]],'All Skus'!$A:$AC,2,FALSE))="Crown",(VLOOKUP(Table4[[#This Row],[SKU]],'All Skus'!$A:$AC,7,FALSE)),""))</f>
        <v>0</v>
      </c>
      <c r="G68" s="52" t="str">
        <f>(IF((VLOOKUP(Table4[[#This Row],[SKU]],'All Skus'!$A:$AC,2,FALSE))="Crown",(VLOOKUP(Table4[[#This Row],[SKU]],'All Skus'!$A:$AC,8,FALSE)),""))</f>
        <v>IT4X3500HDS SpeakOn Version</v>
      </c>
      <c r="H68" s="45" t="str">
        <f>(IF((VLOOKUP(Table4[[#This Row],[SKU]],'All Skus'!$A:$AC,2,FALSE))="Crown",(VLOOKUP(Table4[[#This Row],[SKU]],'All Skus'!$A:$AC,9,FALSE)),""))</f>
        <v>Four-channel, 4000W @ 4Ω Power Amplifier, SpeakOn output</v>
      </c>
      <c r="I68" s="94">
        <f>(IF((VLOOKUP(Table4[[#This Row],[SKU]],'All Skus'!$A:$AC,2,FALSE))="Crown",(VLOOKUP(Table4[[#This Row],[SKU]],'All Skus'!$A:$AC,10,FALSE)),""))</f>
        <v>14900</v>
      </c>
      <c r="J68" s="94">
        <f>(IF((VLOOKUP(Table4[[#This Row],[SKU]],'All Skus'!$A:$AC,2,FALSE))="Crown",(VLOOKUP(Table4[[#This Row],[SKU]],'All Skus'!$A:$AC,11,FALSE)),""))</f>
        <v>14931</v>
      </c>
      <c r="K68" s="60">
        <f>(IF((VLOOKUP(Table4[[#This Row],[SKU]],'All Skus'!$A:$AC,2,FALSE))="Crown",(VLOOKUP(Table4[[#This Row],[SKU]],'All Skus'!$A:$AC,15,FALSE)),""))</f>
        <v>1</v>
      </c>
      <c r="L68" s="47">
        <f>(IF((VLOOKUP(Table4[[#This Row],[SKU]],'All Skus'!$A:$AC,2,FALSE))="Crown",(VLOOKUP(Table4[[#This Row],[SKU]],'All Skus'!$A:$AC,16,FALSE)),""))</f>
        <v>691991008092</v>
      </c>
      <c r="M68" s="60">
        <f>(IF((VLOOKUP(Table4[[#This Row],[SKU]],'All Skus'!$A:$AC,2,FALSE))="Crown",(VLOOKUP(Table4[[#This Row],[SKU]],'All Skus'!$A:$AC,17,FALSE)),""))</f>
        <v>0</v>
      </c>
      <c r="N68" s="133">
        <f>(IF((VLOOKUP(Table4[[#This Row],[SKU]],'All Skus'!$A:$AC,2,FALSE))="Crown",(VLOOKUP(Table4[[#This Row],[SKU]],'All Skus'!$A:$AC,18,FALSE)),""))</f>
        <v>0</v>
      </c>
      <c r="O68" s="133">
        <f>(IF((VLOOKUP(Table4[[#This Row],[SKU]],'All Skus'!$A:$AC,2,FALSE))="Crown",(VLOOKUP(Table4[[#This Row],[SKU]],'All Skus'!$A:$AC,19,FALSE)),""))</f>
        <v>0</v>
      </c>
      <c r="P68" s="133">
        <f>(IF((VLOOKUP(Table4[[#This Row],[SKU]],'All Skus'!$A:$AC,2,FALSE))="Crown",(VLOOKUP(Table4[[#This Row],[SKU]],'All Skus'!$A:$AC,20,FALSE)),""))</f>
        <v>0</v>
      </c>
      <c r="Q68" s="133">
        <f>(IF((VLOOKUP(Table4[[#This Row],[SKU]],'All Skus'!$A:$AC,2,FALSE))="Crown",(VLOOKUP(Table4[[#This Row],[SKU]],'All Skus'!$A:$AC,21,FALSE)),""))</f>
        <v>0</v>
      </c>
      <c r="R68" s="60" t="str">
        <f>(IF((VLOOKUP(Table4[[#This Row],[SKU]],'All Skus'!$A:$AC,2,FALSE))="Crown",(VLOOKUP(Table4[[#This Row],[SKU]],'All Skus'!$A:$AC,22,FALSE)),""))</f>
        <v>MX</v>
      </c>
      <c r="S68" s="52" t="str">
        <f>(IF((VLOOKUP(Table4[[#This Row],[SKU]],'All Skus'!$A:$AC,2,FALSE))="Crown",(VLOOKUP(Table4[[#This Row],[SKU]],'All Skus'!$A:$AC,23,FALSE)),""))</f>
        <v>Compliant</v>
      </c>
      <c r="T68" s="211" t="str">
        <f>HYPERLINK((IF((VLOOKUP(Table4[[#This Row],[SKU]],'All Skus'!$A:$AC,2,FALSE))="Crown",(VLOOKUP(Table4[[#This Row],[SKU]],'All Skus'!$A:$AC,24,FALSE)),"")))</f>
        <v/>
      </c>
      <c r="U68" s="151">
        <v>66</v>
      </c>
      <c r="V68"/>
      <c r="W68"/>
      <c r="X68"/>
      <c r="Y68"/>
      <c r="Z68"/>
    </row>
    <row r="69" spans="1:26" s="52" customFormat="1" ht="15" customHeight="1">
      <c r="A69" s="48" t="s">
        <v>926</v>
      </c>
      <c r="B69" s="52" t="str">
        <f>(IF((VLOOKUP(Table4[[#This Row],[SKU]],'All Skus'!$A:$AC,2,FALSE))="Crown",(VLOOKUP(Table4[[#This Row],[SKU]],'All Skus'!$A:$AC,3,FALSE)),""))</f>
        <v>I-Tech HD Series</v>
      </c>
      <c r="C69" s="52" t="str">
        <f>(IF((VLOOKUP(Table4[[#This Row],[SKU]],'All Skus'!$A:$AC,2,FALSE))="Crown",(VLOOKUP(Table4[[#This Row],[SKU]],'All Skus'!$A:$AC,4,FALSE)),""))</f>
        <v>IT12000HD</v>
      </c>
      <c r="D69" s="60" t="str">
        <f>(IF((VLOOKUP(Table4[[#This Row],[SKU]],'All Skus'!$A:$AC,2,FALSE))="Crown",(VLOOKUP(Table4[[#This Row],[SKU]],'All Skus'!$A:$AC,5,FALSE)),""))</f>
        <v>IT</v>
      </c>
      <c r="E69" s="52" t="str">
        <f>(IF((VLOOKUP(Table4[[#This Row],[SKU]],'All Skus'!$A:$AC,2,FALSE))="Crown",(VLOOKUP(Table4[[#This Row],[SKU]],'All Skus'!$A:$AC,6,FALSE)),""))</f>
        <v>YES</v>
      </c>
      <c r="F69" s="52">
        <f>(IF((VLOOKUP(Table4[[#This Row],[SKU]],'All Skus'!$A:$AC,2,FALSE))="Crown",(VLOOKUP(Table4[[#This Row],[SKU]],'All Skus'!$A:$AC,7,FALSE)),""))</f>
        <v>0</v>
      </c>
      <c r="G69" s="52" t="str">
        <f>(IF((VLOOKUP(Table4[[#This Row],[SKU]],'All Skus'!$A:$AC,2,FALSE))="Crown",(VLOOKUP(Table4[[#This Row],[SKU]],'All Skus'!$A:$AC,8,FALSE)),""))</f>
        <v>IT12000HD</v>
      </c>
      <c r="H69" s="45" t="str">
        <f>(IF((VLOOKUP(Table4[[#This Row],[SKU]],'All Skus'!$A:$AC,2,FALSE))="Crown",(VLOOKUP(Table4[[#This Row],[SKU]],'All Skus'!$A:$AC,9,FALSE)),""))</f>
        <v>Two-channel, 4500W @ 4Ω Power Amplifier</v>
      </c>
      <c r="I69" s="94">
        <f>(IF((VLOOKUP(Table4[[#This Row],[SKU]],'All Skus'!$A:$AC,2,FALSE))="Crown",(VLOOKUP(Table4[[#This Row],[SKU]],'All Skus'!$A:$AC,10,FALSE)),""))</f>
        <v>10880</v>
      </c>
      <c r="J69" s="94">
        <f>(IF((VLOOKUP(Table4[[#This Row],[SKU]],'All Skus'!$A:$AC,2,FALSE))="Crown",(VLOOKUP(Table4[[#This Row],[SKU]],'All Skus'!$A:$AC,11,FALSE)),""))</f>
        <v>10880</v>
      </c>
      <c r="K69" s="60">
        <f>(IF((VLOOKUP(Table4[[#This Row],[SKU]],'All Skus'!$A:$AC,2,FALSE))="Crown",(VLOOKUP(Table4[[#This Row],[SKU]],'All Skus'!$A:$AC,15,FALSE)),""))</f>
        <v>1</v>
      </c>
      <c r="L69" s="47">
        <f>(IF((VLOOKUP(Table4[[#This Row],[SKU]],'All Skus'!$A:$AC,2,FALSE))="Crown",(VLOOKUP(Table4[[#This Row],[SKU]],'All Skus'!$A:$AC,16,FALSE)),""))</f>
        <v>691991008535</v>
      </c>
      <c r="M69" s="60">
        <f>(IF((VLOOKUP(Table4[[#This Row],[SKU]],'All Skus'!$A:$AC,2,FALSE))="Crown",(VLOOKUP(Table4[[#This Row],[SKU]],'All Skus'!$A:$AC,17,FALSE)),""))</f>
        <v>0</v>
      </c>
      <c r="N69" s="133">
        <f>(IF((VLOOKUP(Table4[[#This Row],[SKU]],'All Skus'!$A:$AC,2,FALSE))="Crown",(VLOOKUP(Table4[[#This Row],[SKU]],'All Skus'!$A:$AC,18,FALSE)),""))</f>
        <v>0</v>
      </c>
      <c r="O69" s="133">
        <f>(IF((VLOOKUP(Table4[[#This Row],[SKU]],'All Skus'!$A:$AC,2,FALSE))="Crown",(VLOOKUP(Table4[[#This Row],[SKU]],'All Skus'!$A:$AC,19,FALSE)),""))</f>
        <v>0</v>
      </c>
      <c r="P69" s="133">
        <f>(IF((VLOOKUP(Table4[[#This Row],[SKU]],'All Skus'!$A:$AC,2,FALSE))="Crown",(VLOOKUP(Table4[[#This Row],[SKU]],'All Skus'!$A:$AC,20,FALSE)),""))</f>
        <v>0</v>
      </c>
      <c r="Q69" s="133">
        <f>(IF((VLOOKUP(Table4[[#This Row],[SKU]],'All Skus'!$A:$AC,2,FALSE))="Crown",(VLOOKUP(Table4[[#This Row],[SKU]],'All Skus'!$A:$AC,21,FALSE)),""))</f>
        <v>0</v>
      </c>
      <c r="R69" s="60" t="str">
        <f>(IF((VLOOKUP(Table4[[#This Row],[SKU]],'All Skus'!$A:$AC,2,FALSE))="Crown",(VLOOKUP(Table4[[#This Row],[SKU]],'All Skus'!$A:$AC,22,FALSE)),""))</f>
        <v>MX</v>
      </c>
      <c r="S69" s="52" t="str">
        <f>(IF((VLOOKUP(Table4[[#This Row],[SKU]],'All Skus'!$A:$AC,2,FALSE))="Crown",(VLOOKUP(Table4[[#This Row],[SKU]],'All Skus'!$A:$AC,23,FALSE)),""))</f>
        <v>Compliant</v>
      </c>
      <c r="T69" s="211" t="str">
        <f>HYPERLINK((IF((VLOOKUP(Table4[[#This Row],[SKU]],'All Skus'!$A:$AC,2,FALSE))="Crown",(VLOOKUP(Table4[[#This Row],[SKU]],'All Skus'!$A:$AC,24,FALSE)),"")))</f>
        <v/>
      </c>
      <c r="U69" s="151">
        <v>67</v>
      </c>
      <c r="V69"/>
      <c r="W69"/>
      <c r="X69"/>
      <c r="Y69"/>
      <c r="Z69"/>
    </row>
    <row r="70" spans="1:26" s="52" customFormat="1" ht="15" customHeight="1">
      <c r="A70" s="48" t="s">
        <v>927</v>
      </c>
      <c r="B70" s="52" t="str">
        <f>(IF((VLOOKUP(Table4[[#This Row],[SKU]],'All Skus'!$A:$AC,2,FALSE))="Crown",(VLOOKUP(Table4[[#This Row],[SKU]],'All Skus'!$A:$AC,3,FALSE)),""))</f>
        <v>I-Tech HD Series</v>
      </c>
      <c r="C70" s="52" t="str">
        <f>(IF((VLOOKUP(Table4[[#This Row],[SKU]],'All Skus'!$A:$AC,2,FALSE))="Crown",(VLOOKUP(Table4[[#This Row],[SKU]],'All Skus'!$A:$AC,4,FALSE)),""))</f>
        <v>IT5000HD</v>
      </c>
      <c r="D70" s="60" t="str">
        <f>(IF((VLOOKUP(Table4[[#This Row],[SKU]],'All Skus'!$A:$AC,2,FALSE))="Crown",(VLOOKUP(Table4[[#This Row],[SKU]],'All Skus'!$A:$AC,5,FALSE)),""))</f>
        <v>IT</v>
      </c>
      <c r="E70" s="52" t="str">
        <f>(IF((VLOOKUP(Table4[[#This Row],[SKU]],'All Skus'!$A:$AC,2,FALSE))="Crown",(VLOOKUP(Table4[[#This Row],[SKU]],'All Skus'!$A:$AC,6,FALSE)),""))</f>
        <v>YES</v>
      </c>
      <c r="F70" s="52">
        <f>(IF((VLOOKUP(Table4[[#This Row],[SKU]],'All Skus'!$A:$AC,2,FALSE))="Crown",(VLOOKUP(Table4[[#This Row],[SKU]],'All Skus'!$A:$AC,7,FALSE)),""))</f>
        <v>0</v>
      </c>
      <c r="G70" s="52" t="str">
        <f>(IF((VLOOKUP(Table4[[#This Row],[SKU]],'All Skus'!$A:$AC,2,FALSE))="Crown",(VLOOKUP(Table4[[#This Row],[SKU]],'All Skus'!$A:$AC,8,FALSE)),""))</f>
        <v>IT5000HD</v>
      </c>
      <c r="H70" s="45" t="str">
        <f>(IF((VLOOKUP(Table4[[#This Row],[SKU]],'All Skus'!$A:$AC,2,FALSE))="Crown",(VLOOKUP(Table4[[#This Row],[SKU]],'All Skus'!$A:$AC,9,FALSE)),""))</f>
        <v>Two-channel, 2500W @ 4Ω Power Amplifier</v>
      </c>
      <c r="I70" s="94">
        <f>(IF((VLOOKUP(Table4[[#This Row],[SKU]],'All Skus'!$A:$AC,2,FALSE))="Crown",(VLOOKUP(Table4[[#This Row],[SKU]],'All Skus'!$A:$AC,10,FALSE)),""))</f>
        <v>7260</v>
      </c>
      <c r="J70" s="94">
        <f>(IF((VLOOKUP(Table4[[#This Row],[SKU]],'All Skus'!$A:$AC,2,FALSE))="Crown",(VLOOKUP(Table4[[#This Row],[SKU]],'All Skus'!$A:$AC,11,FALSE)),""))</f>
        <v>7255</v>
      </c>
      <c r="K70" s="60">
        <f>(IF((VLOOKUP(Table4[[#This Row],[SKU]],'All Skus'!$A:$AC,2,FALSE))="Crown",(VLOOKUP(Table4[[#This Row],[SKU]],'All Skus'!$A:$AC,15,FALSE)),""))</f>
        <v>1</v>
      </c>
      <c r="L70" s="47">
        <f>(IF((VLOOKUP(Table4[[#This Row],[SKU]],'All Skus'!$A:$AC,2,FALSE))="Crown",(VLOOKUP(Table4[[#This Row],[SKU]],'All Skus'!$A:$AC,16,FALSE)),""))</f>
        <v>691991008597</v>
      </c>
      <c r="M70" s="60">
        <f>(IF((VLOOKUP(Table4[[#This Row],[SKU]],'All Skus'!$A:$AC,2,FALSE))="Crown",(VLOOKUP(Table4[[#This Row],[SKU]],'All Skus'!$A:$AC,17,FALSE)),""))</f>
        <v>0</v>
      </c>
      <c r="N70" s="133">
        <f>(IF((VLOOKUP(Table4[[#This Row],[SKU]],'All Skus'!$A:$AC,2,FALSE))="Crown",(VLOOKUP(Table4[[#This Row],[SKU]],'All Skus'!$A:$AC,18,FALSE)),""))</f>
        <v>0</v>
      </c>
      <c r="O70" s="133">
        <f>(IF((VLOOKUP(Table4[[#This Row],[SKU]],'All Skus'!$A:$AC,2,FALSE))="Crown",(VLOOKUP(Table4[[#This Row],[SKU]],'All Skus'!$A:$AC,19,FALSE)),""))</f>
        <v>0</v>
      </c>
      <c r="P70" s="133">
        <f>(IF((VLOOKUP(Table4[[#This Row],[SKU]],'All Skus'!$A:$AC,2,FALSE))="Crown",(VLOOKUP(Table4[[#This Row],[SKU]],'All Skus'!$A:$AC,20,FALSE)),""))</f>
        <v>0</v>
      </c>
      <c r="Q70" s="133">
        <f>(IF((VLOOKUP(Table4[[#This Row],[SKU]],'All Skus'!$A:$AC,2,FALSE))="Crown",(VLOOKUP(Table4[[#This Row],[SKU]],'All Skus'!$A:$AC,21,FALSE)),""))</f>
        <v>0</v>
      </c>
      <c r="R70" s="60" t="str">
        <f>(IF((VLOOKUP(Table4[[#This Row],[SKU]],'All Skus'!$A:$AC,2,FALSE))="Crown",(VLOOKUP(Table4[[#This Row],[SKU]],'All Skus'!$A:$AC,22,FALSE)),""))</f>
        <v>MX</v>
      </c>
      <c r="S70" s="52" t="str">
        <f>(IF((VLOOKUP(Table4[[#This Row],[SKU]],'All Skus'!$A:$AC,2,FALSE))="Crown",(VLOOKUP(Table4[[#This Row],[SKU]],'All Skus'!$A:$AC,23,FALSE)),""))</f>
        <v>Compliant</v>
      </c>
      <c r="T70" s="211" t="str">
        <f>HYPERLINK((IF((VLOOKUP(Table4[[#This Row],[SKU]],'All Skus'!$A:$AC,2,FALSE))="Crown",(VLOOKUP(Table4[[#This Row],[SKU]],'All Skus'!$A:$AC,24,FALSE)),"")))</f>
        <v/>
      </c>
      <c r="U70" s="151">
        <v>68</v>
      </c>
      <c r="V70"/>
      <c r="W70"/>
      <c r="X70"/>
      <c r="Y70"/>
      <c r="Z70"/>
    </row>
    <row r="71" spans="1:26" s="52" customFormat="1" ht="15" customHeight="1">
      <c r="A71" s="48" t="s">
        <v>928</v>
      </c>
      <c r="B71" s="52" t="str">
        <f>(IF((VLOOKUP(Table4[[#This Row],[SKU]],'All Skus'!$A:$AC,2,FALSE))="Crown",(VLOOKUP(Table4[[#This Row],[SKU]],'All Skus'!$A:$AC,3,FALSE)),""))</f>
        <v>I-Tech HD Series</v>
      </c>
      <c r="C71" s="52" t="str">
        <f>(IF((VLOOKUP(Table4[[#This Row],[SKU]],'All Skus'!$A:$AC,2,FALSE))="Crown",(VLOOKUP(Table4[[#This Row],[SKU]],'All Skus'!$A:$AC,4,FALSE)),""))</f>
        <v>IT9000HD</v>
      </c>
      <c r="D71" s="60" t="str">
        <f>(IF((VLOOKUP(Table4[[#This Row],[SKU]],'All Skus'!$A:$AC,2,FALSE))="Crown",(VLOOKUP(Table4[[#This Row],[SKU]],'All Skus'!$A:$AC,5,FALSE)),""))</f>
        <v>IT</v>
      </c>
      <c r="E71" s="52" t="str">
        <f>(IF((VLOOKUP(Table4[[#This Row],[SKU]],'All Skus'!$A:$AC,2,FALSE))="Crown",(VLOOKUP(Table4[[#This Row],[SKU]],'All Skus'!$A:$AC,6,FALSE)),""))</f>
        <v>YES</v>
      </c>
      <c r="F71" s="52">
        <f>(IF((VLOOKUP(Table4[[#This Row],[SKU]],'All Skus'!$A:$AC,2,FALSE))="Crown",(VLOOKUP(Table4[[#This Row],[SKU]],'All Skus'!$A:$AC,7,FALSE)),""))</f>
        <v>0</v>
      </c>
      <c r="G71" s="52" t="str">
        <f>(IF((VLOOKUP(Table4[[#This Row],[SKU]],'All Skus'!$A:$AC,2,FALSE))="Crown",(VLOOKUP(Table4[[#This Row],[SKU]],'All Skus'!$A:$AC,8,FALSE)),""))</f>
        <v>IT9000HD</v>
      </c>
      <c r="H71" s="45" t="str">
        <f>(IF((VLOOKUP(Table4[[#This Row],[SKU]],'All Skus'!$A:$AC,2,FALSE))="Crown",(VLOOKUP(Table4[[#This Row],[SKU]],'All Skus'!$A:$AC,9,FALSE)),""))</f>
        <v>Two-channel, 3500W @ 4Ω Power Amplifier</v>
      </c>
      <c r="I71" s="94">
        <f>(IF((VLOOKUP(Table4[[#This Row],[SKU]],'All Skus'!$A:$AC,2,FALSE))="Crown",(VLOOKUP(Table4[[#This Row],[SKU]],'All Skus'!$A:$AC,10,FALSE)),""))</f>
        <v>8770</v>
      </c>
      <c r="J71" s="94">
        <f>(IF((VLOOKUP(Table4[[#This Row],[SKU]],'All Skus'!$A:$AC,2,FALSE))="Crown",(VLOOKUP(Table4[[#This Row],[SKU]],'All Skus'!$A:$AC,11,FALSE)),""))</f>
        <v>8763</v>
      </c>
      <c r="K71" s="60">
        <f>(IF((VLOOKUP(Table4[[#This Row],[SKU]],'All Skus'!$A:$AC,2,FALSE))="Crown",(VLOOKUP(Table4[[#This Row],[SKU]],'All Skus'!$A:$AC,15,FALSE)),""))</f>
        <v>1</v>
      </c>
      <c r="L71" s="47">
        <f>(IF((VLOOKUP(Table4[[#This Row],[SKU]],'All Skus'!$A:$AC,2,FALSE))="Crown",(VLOOKUP(Table4[[#This Row],[SKU]],'All Skus'!$A:$AC,16,FALSE)),""))</f>
        <v>691991008658</v>
      </c>
      <c r="M71" s="60">
        <f>(IF((VLOOKUP(Table4[[#This Row],[SKU]],'All Skus'!$A:$AC,2,FALSE))="Crown",(VLOOKUP(Table4[[#This Row],[SKU]],'All Skus'!$A:$AC,17,FALSE)),""))</f>
        <v>0</v>
      </c>
      <c r="N71" s="133">
        <f>(IF((VLOOKUP(Table4[[#This Row],[SKU]],'All Skus'!$A:$AC,2,FALSE))="Crown",(VLOOKUP(Table4[[#This Row],[SKU]],'All Skus'!$A:$AC,18,FALSE)),""))</f>
        <v>0</v>
      </c>
      <c r="O71" s="133">
        <f>(IF((VLOOKUP(Table4[[#This Row],[SKU]],'All Skus'!$A:$AC,2,FALSE))="Crown",(VLOOKUP(Table4[[#This Row],[SKU]],'All Skus'!$A:$AC,19,FALSE)),""))</f>
        <v>0</v>
      </c>
      <c r="P71" s="133">
        <f>(IF((VLOOKUP(Table4[[#This Row],[SKU]],'All Skus'!$A:$AC,2,FALSE))="Crown",(VLOOKUP(Table4[[#This Row],[SKU]],'All Skus'!$A:$AC,20,FALSE)),""))</f>
        <v>0</v>
      </c>
      <c r="Q71" s="133">
        <f>(IF((VLOOKUP(Table4[[#This Row],[SKU]],'All Skus'!$A:$AC,2,FALSE))="Crown",(VLOOKUP(Table4[[#This Row],[SKU]],'All Skus'!$A:$AC,21,FALSE)),""))</f>
        <v>0</v>
      </c>
      <c r="R71" s="60" t="str">
        <f>(IF((VLOOKUP(Table4[[#This Row],[SKU]],'All Skus'!$A:$AC,2,FALSE))="Crown",(VLOOKUP(Table4[[#This Row],[SKU]],'All Skus'!$A:$AC,22,FALSE)),""))</f>
        <v>MX</v>
      </c>
      <c r="S71" s="52" t="str">
        <f>(IF((VLOOKUP(Table4[[#This Row],[SKU]],'All Skus'!$A:$AC,2,FALSE))="Crown",(VLOOKUP(Table4[[#This Row],[SKU]],'All Skus'!$A:$AC,23,FALSE)),""))</f>
        <v>Compliant</v>
      </c>
      <c r="T71" s="211" t="str">
        <f>HYPERLINK((IF((VLOOKUP(Table4[[#This Row],[SKU]],'All Skus'!$A:$AC,2,FALSE))="Crown",(VLOOKUP(Table4[[#This Row],[SKU]],'All Skus'!$A:$AC,24,FALSE)),"")))</f>
        <v/>
      </c>
      <c r="U71" s="151">
        <v>69</v>
      </c>
      <c r="V71"/>
      <c r="W71"/>
      <c r="X71"/>
      <c r="Y71"/>
      <c r="Z71"/>
    </row>
    <row r="72" spans="1:26" s="52" customFormat="1" ht="14.65" customHeight="1">
      <c r="A72" s="48" t="s">
        <v>929</v>
      </c>
      <c r="B72" s="52" t="str">
        <f>(IF((VLOOKUP(Table4[[#This Row],[SKU]],'All Skus'!$A:$AC,2,FALSE))="Crown",(VLOOKUP(Table4[[#This Row],[SKU]],'All Skus'!$A:$AC,3,FALSE)),""))</f>
        <v>VRACK</v>
      </c>
      <c r="C72" s="52" t="str">
        <f>(IF((VLOOKUP(Table4[[#This Row],[SKU]],'All Skus'!$A:$AC,2,FALSE))="Crown",(VLOOKUP(Table4[[#This Row],[SKU]],'All Skus'!$A:$AC,4,FALSE)),""))</f>
        <v>VRACK12KFX</v>
      </c>
      <c r="D72" s="60" t="str">
        <f>(IF((VLOOKUP(Table4[[#This Row],[SKU]],'All Skus'!$A:$AC,2,FALSE))="Crown",(VLOOKUP(Table4[[#This Row],[SKU]],'All Skus'!$A:$AC,5,FALSE)),""))</f>
        <v>VRACK</v>
      </c>
      <c r="E72" s="52" t="str">
        <f>(IF((VLOOKUP(Table4[[#This Row],[SKU]],'All Skus'!$A:$AC,2,FALSE))="Crown",(VLOOKUP(Table4[[#This Row],[SKU]],'All Skus'!$A:$AC,6,FALSE)),""))</f>
        <v>YES</v>
      </c>
      <c r="F72" s="52">
        <f>(IF((VLOOKUP(Table4[[#This Row],[SKU]],'All Skus'!$A:$AC,2,FALSE))="Crown",(VLOOKUP(Table4[[#This Row],[SKU]],'All Skus'!$A:$AC,7,FALSE)),""))</f>
        <v>0</v>
      </c>
      <c r="G72" s="52" t="str">
        <f>(IF((VLOOKUP(Table4[[#This Row],[SKU]],'All Skus'!$A:$AC,2,FALSE))="Crown",(VLOOKUP(Table4[[#This Row],[SKU]],'All Skus'!$A:$AC,8,FALSE)),""))</f>
        <v>COMPLETE 12K VRACK</v>
      </c>
      <c r="H72" s="45" t="str">
        <f>(IF((VLOOKUP(Table4[[#This Row],[SKU]],'All Skus'!$A:$AC,2,FALSE))="Crown",(VLOOKUP(Table4[[#This Row],[SKU]],'All Skus'!$A:$AC,9,FALSE)),""))</f>
        <v>COMPLETE 12K VRACK</v>
      </c>
      <c r="I72" s="94">
        <f>(IF((VLOOKUP(Table4[[#This Row],[SKU]],'All Skus'!$A:$AC,2,FALSE))="Crown",(VLOOKUP(Table4[[#This Row],[SKU]],'All Skus'!$A:$AC,10,FALSE)),""))</f>
        <v>45200</v>
      </c>
      <c r="J72" s="94">
        <f>(IF((VLOOKUP(Table4[[#This Row],[SKU]],'All Skus'!$A:$AC,2,FALSE))="Crown",(VLOOKUP(Table4[[#This Row],[SKU]],'All Skus'!$A:$AC,11,FALSE)),""))</f>
        <v>45200</v>
      </c>
      <c r="K72" s="60">
        <f>(IF((VLOOKUP(Table4[[#This Row],[SKU]],'All Skus'!$A:$AC,2,FALSE))="Crown",(VLOOKUP(Table4[[#This Row],[SKU]],'All Skus'!$A:$AC,15,FALSE)),""))</f>
        <v>0</v>
      </c>
      <c r="L72" s="47">
        <f>(IF((VLOOKUP(Table4[[#This Row],[SKU]],'All Skus'!$A:$AC,2,FALSE))="Crown",(VLOOKUP(Table4[[#This Row],[SKU]],'All Skus'!$A:$AC,16,FALSE)),""))</f>
        <v>691991013461</v>
      </c>
      <c r="M72" s="60">
        <f>(IF((VLOOKUP(Table4[[#This Row],[SKU]],'All Skus'!$A:$AC,2,FALSE))="Crown",(VLOOKUP(Table4[[#This Row],[SKU]],'All Skus'!$A:$AC,17,FALSE)),""))</f>
        <v>0</v>
      </c>
      <c r="N72" s="133">
        <f>(IF((VLOOKUP(Table4[[#This Row],[SKU]],'All Skus'!$A:$AC,2,FALSE))="Crown",(VLOOKUP(Table4[[#This Row],[SKU]],'All Skus'!$A:$AC,18,FALSE)),""))</f>
        <v>0</v>
      </c>
      <c r="O72" s="133">
        <f>(IF((VLOOKUP(Table4[[#This Row],[SKU]],'All Skus'!$A:$AC,2,FALSE))="Crown",(VLOOKUP(Table4[[#This Row],[SKU]],'All Skus'!$A:$AC,19,FALSE)),""))</f>
        <v>0</v>
      </c>
      <c r="P72" s="133">
        <f>(IF((VLOOKUP(Table4[[#This Row],[SKU]],'All Skus'!$A:$AC,2,FALSE))="Crown",(VLOOKUP(Table4[[#This Row],[SKU]],'All Skus'!$A:$AC,20,FALSE)),""))</f>
        <v>0</v>
      </c>
      <c r="Q72" s="133">
        <f>(IF((VLOOKUP(Table4[[#This Row],[SKU]],'All Skus'!$A:$AC,2,FALSE))="Crown",(VLOOKUP(Table4[[#This Row],[SKU]],'All Skus'!$A:$AC,21,FALSE)),""))</f>
        <v>0</v>
      </c>
      <c r="R72" s="60" t="str">
        <f>(IF((VLOOKUP(Table4[[#This Row],[SKU]],'All Skus'!$A:$AC,2,FALSE))="Crown",(VLOOKUP(Table4[[#This Row],[SKU]],'All Skus'!$A:$AC,22,FALSE)),""))</f>
        <v>MX</v>
      </c>
      <c r="S72" s="52" t="str">
        <f>(IF((VLOOKUP(Table4[[#This Row],[SKU]],'All Skus'!$A:$AC,2,FALSE))="Crown",(VLOOKUP(Table4[[#This Row],[SKU]],'All Skus'!$A:$AC,23,FALSE)),""))</f>
        <v>Compliant</v>
      </c>
      <c r="T72" s="211" t="str">
        <f>HYPERLINK((IF((VLOOKUP(Table4[[#This Row],[SKU]],'All Skus'!$A:$AC,2,FALSE))="Crown",(VLOOKUP(Table4[[#This Row],[SKU]],'All Skus'!$A:$AC,24,FALSE)),"")))</f>
        <v/>
      </c>
      <c r="U72" s="151">
        <v>70</v>
      </c>
      <c r="V72"/>
      <c r="W72"/>
      <c r="X72"/>
      <c r="Y72"/>
      <c r="Z72"/>
    </row>
    <row r="73" spans="1:26" s="52" customFormat="1" ht="14.65" customHeight="1">
      <c r="A73" s="48" t="s">
        <v>930</v>
      </c>
      <c r="B73" s="52" t="str">
        <f>(IF((VLOOKUP(Table4[[#This Row],[SKU]],'All Skus'!$A:$AC,2,FALSE))="Crown",(VLOOKUP(Table4[[#This Row],[SKU]],'All Skus'!$A:$AC,3,FALSE)),""))</f>
        <v>VRACK</v>
      </c>
      <c r="C73" s="52" t="str">
        <f>(IF((VLOOKUP(Table4[[#This Row],[SKU]],'All Skus'!$A:$AC,2,FALSE))="Crown",(VLOOKUP(Table4[[#This Row],[SKU]],'All Skus'!$A:$AC,4,FALSE)),""))</f>
        <v>VRACK12KPFX</v>
      </c>
      <c r="D73" s="60" t="str">
        <f>(IF((VLOOKUP(Table4[[#This Row],[SKU]],'All Skus'!$A:$AC,2,FALSE))="Crown",(VLOOKUP(Table4[[#This Row],[SKU]],'All Skus'!$A:$AC,5,FALSE)),""))</f>
        <v>VRACK</v>
      </c>
      <c r="E73" s="52" t="str">
        <f>(IF((VLOOKUP(Table4[[#This Row],[SKU]],'All Skus'!$A:$AC,2,FALSE))="Crown",(VLOOKUP(Table4[[#This Row],[SKU]],'All Skus'!$A:$AC,6,FALSE)),""))</f>
        <v>YES</v>
      </c>
      <c r="F73" s="52">
        <f>(IF((VLOOKUP(Table4[[#This Row],[SKU]],'All Skus'!$A:$AC,2,FALSE))="Crown",(VLOOKUP(Table4[[#This Row],[SKU]],'All Skus'!$A:$AC,7,FALSE)),""))</f>
        <v>0</v>
      </c>
      <c r="G73" s="52" t="str">
        <f>(IF((VLOOKUP(Table4[[#This Row],[SKU]],'All Skus'!$A:$AC,2,FALSE))="Crown",(VLOOKUP(Table4[[#This Row],[SKU]],'All Skus'!$A:$AC,8,FALSE)),""))</f>
        <v>12K VRACK MINUS AMPS</v>
      </c>
      <c r="H73" s="45" t="str">
        <f>(IF((VLOOKUP(Table4[[#This Row],[SKU]],'All Skus'!$A:$AC,2,FALSE))="Crown",(VLOOKUP(Table4[[#This Row],[SKU]],'All Skus'!$A:$AC,9,FALSE)),""))</f>
        <v>12K VRACK MINUS AMPS</v>
      </c>
      <c r="I73" s="94">
        <f>(IF((VLOOKUP(Table4[[#This Row],[SKU]],'All Skus'!$A:$AC,2,FALSE))="Crown",(VLOOKUP(Table4[[#This Row],[SKU]],'All Skus'!$A:$AC,10,FALSE)),""))</f>
        <v>12600</v>
      </c>
      <c r="J73" s="94">
        <f>(IF((VLOOKUP(Table4[[#This Row],[SKU]],'All Skus'!$A:$AC,2,FALSE))="Crown",(VLOOKUP(Table4[[#This Row],[SKU]],'All Skus'!$A:$AC,11,FALSE)),""))</f>
        <v>12600</v>
      </c>
      <c r="K73" s="60">
        <f>(IF((VLOOKUP(Table4[[#This Row],[SKU]],'All Skus'!$A:$AC,2,FALSE))="Crown",(VLOOKUP(Table4[[#This Row],[SKU]],'All Skus'!$A:$AC,15,FALSE)),""))</f>
        <v>1</v>
      </c>
      <c r="L73" s="47">
        <f>(IF((VLOOKUP(Table4[[#This Row],[SKU]],'All Skus'!$A:$AC,2,FALSE))="Crown",(VLOOKUP(Table4[[#This Row],[SKU]],'All Skus'!$A:$AC,16,FALSE)),""))</f>
        <v>691991013478</v>
      </c>
      <c r="M73" s="60">
        <f>(IF((VLOOKUP(Table4[[#This Row],[SKU]],'All Skus'!$A:$AC,2,FALSE))="Crown",(VLOOKUP(Table4[[#This Row],[SKU]],'All Skus'!$A:$AC,17,FALSE)),""))</f>
        <v>0</v>
      </c>
      <c r="N73" s="133">
        <f>(IF((VLOOKUP(Table4[[#This Row],[SKU]],'All Skus'!$A:$AC,2,FALSE))="Crown",(VLOOKUP(Table4[[#This Row],[SKU]],'All Skus'!$A:$AC,18,FALSE)),""))</f>
        <v>0</v>
      </c>
      <c r="O73" s="133">
        <f>(IF((VLOOKUP(Table4[[#This Row],[SKU]],'All Skus'!$A:$AC,2,FALSE))="Crown",(VLOOKUP(Table4[[#This Row],[SKU]],'All Skus'!$A:$AC,19,FALSE)),""))</f>
        <v>0</v>
      </c>
      <c r="P73" s="133">
        <f>(IF((VLOOKUP(Table4[[#This Row],[SKU]],'All Skus'!$A:$AC,2,FALSE))="Crown",(VLOOKUP(Table4[[#This Row],[SKU]],'All Skus'!$A:$AC,20,FALSE)),""))</f>
        <v>0</v>
      </c>
      <c r="Q73" s="133">
        <f>(IF((VLOOKUP(Table4[[#This Row],[SKU]],'All Skus'!$A:$AC,2,FALSE))="Crown",(VLOOKUP(Table4[[#This Row],[SKU]],'All Skus'!$A:$AC,21,FALSE)),""))</f>
        <v>0</v>
      </c>
      <c r="R73" s="60" t="str">
        <f>(IF((VLOOKUP(Table4[[#This Row],[SKU]],'All Skus'!$A:$AC,2,FALSE))="Crown",(VLOOKUP(Table4[[#This Row],[SKU]],'All Skus'!$A:$AC,22,FALSE)),""))</f>
        <v>MX</v>
      </c>
      <c r="S73" s="52" t="str">
        <f>(IF((VLOOKUP(Table4[[#This Row],[SKU]],'All Skus'!$A:$AC,2,FALSE))="Crown",(VLOOKUP(Table4[[#This Row],[SKU]],'All Skus'!$A:$AC,23,FALSE)),""))</f>
        <v>Compliant</v>
      </c>
      <c r="T73" s="211" t="str">
        <f>HYPERLINK((IF((VLOOKUP(Table4[[#This Row],[SKU]],'All Skus'!$A:$AC,2,FALSE))="Crown",(VLOOKUP(Table4[[#This Row],[SKU]],'All Skus'!$A:$AC,24,FALSE)),"")))</f>
        <v/>
      </c>
      <c r="U73" s="151">
        <v>71</v>
      </c>
      <c r="V73"/>
      <c r="W73"/>
      <c r="X73"/>
      <c r="Y73"/>
      <c r="Z73"/>
    </row>
    <row r="74" spans="1:26" s="52" customFormat="1" ht="14.65" customHeight="1">
      <c r="A74" s="48" t="s">
        <v>931</v>
      </c>
      <c r="B74" s="52" t="str">
        <f>(IF((VLOOKUP(Table4[[#This Row],[SKU]],'All Skus'!$A:$AC,2,FALSE))="Crown",(VLOOKUP(Table4[[#This Row],[SKU]],'All Skus'!$A:$AC,3,FALSE)),""))</f>
        <v>VRACK</v>
      </c>
      <c r="C74" s="52" t="str">
        <f>(IF((VLOOKUP(Table4[[#This Row],[SKU]],'All Skus'!$A:$AC,2,FALSE))="Crown",(VLOOKUP(Table4[[#This Row],[SKU]],'All Skus'!$A:$AC,4,FALSE)),""))</f>
        <v>VRACKHD4FX</v>
      </c>
      <c r="D74" s="60" t="str">
        <f>(IF((VLOOKUP(Table4[[#This Row],[SKU]],'All Skus'!$A:$AC,2,FALSE))="Crown",(VLOOKUP(Table4[[#This Row],[SKU]],'All Skus'!$A:$AC,5,FALSE)),""))</f>
        <v>VRACK</v>
      </c>
      <c r="E74" s="52" t="str">
        <f>(IF((VLOOKUP(Table4[[#This Row],[SKU]],'All Skus'!$A:$AC,2,FALSE))="Crown",(VLOOKUP(Table4[[#This Row],[SKU]],'All Skus'!$A:$AC,6,FALSE)),""))</f>
        <v>YES</v>
      </c>
      <c r="F74" s="52">
        <f>(IF((VLOOKUP(Table4[[#This Row],[SKU]],'All Skus'!$A:$AC,2,FALSE))="Crown",(VLOOKUP(Table4[[#This Row],[SKU]],'All Skus'!$A:$AC,7,FALSE)),""))</f>
        <v>0</v>
      </c>
      <c r="G74" s="52" t="str">
        <f>(IF((VLOOKUP(Table4[[#This Row],[SKU]],'All Skus'!$A:$AC,2,FALSE))="Crown",(VLOOKUP(Table4[[#This Row],[SKU]],'All Skus'!$A:$AC,8,FALSE)),""))</f>
        <v>COMPLETE HD4 VRACK</v>
      </c>
      <c r="H74" s="45" t="str">
        <f>(IF((VLOOKUP(Table4[[#This Row],[SKU]],'All Skus'!$A:$AC,2,FALSE))="Crown",(VLOOKUP(Table4[[#This Row],[SKU]],'All Skus'!$A:$AC,9,FALSE)),""))</f>
        <v>3 4x3500HD Amplifiers, RACK, PD, +I/O</v>
      </c>
      <c r="I74" s="94">
        <f>(IF((VLOOKUP(Table4[[#This Row],[SKU]],'All Skus'!$A:$AC,2,FALSE))="Crown",(VLOOKUP(Table4[[#This Row],[SKU]],'All Skus'!$A:$AC,10,FALSE)),""))</f>
        <v>56000</v>
      </c>
      <c r="J74" s="94">
        <f>(IF((VLOOKUP(Table4[[#This Row],[SKU]],'All Skus'!$A:$AC,2,FALSE))="Crown",(VLOOKUP(Table4[[#This Row],[SKU]],'All Skus'!$A:$AC,11,FALSE)),""))</f>
        <v>56000</v>
      </c>
      <c r="K74" s="60">
        <f>(IF((VLOOKUP(Table4[[#This Row],[SKU]],'All Skus'!$A:$AC,2,FALSE))="Crown",(VLOOKUP(Table4[[#This Row],[SKU]],'All Skus'!$A:$AC,15,FALSE)),""))</f>
        <v>1</v>
      </c>
      <c r="L74" s="47">
        <f>(IF((VLOOKUP(Table4[[#This Row],[SKU]],'All Skus'!$A:$AC,2,FALSE))="Crown",(VLOOKUP(Table4[[#This Row],[SKU]],'All Skus'!$A:$AC,16,FALSE)),""))</f>
        <v>691991013515</v>
      </c>
      <c r="M74" s="60">
        <f>(IF((VLOOKUP(Table4[[#This Row],[SKU]],'All Skus'!$A:$AC,2,FALSE))="Crown",(VLOOKUP(Table4[[#This Row],[SKU]],'All Skus'!$A:$AC,17,FALSE)),""))</f>
        <v>0</v>
      </c>
      <c r="N74" s="133">
        <f>(IF((VLOOKUP(Table4[[#This Row],[SKU]],'All Skus'!$A:$AC,2,FALSE))="Crown",(VLOOKUP(Table4[[#This Row],[SKU]],'All Skus'!$A:$AC,18,FALSE)),""))</f>
        <v>0</v>
      </c>
      <c r="O74" s="133">
        <f>(IF((VLOOKUP(Table4[[#This Row],[SKU]],'All Skus'!$A:$AC,2,FALSE))="Crown",(VLOOKUP(Table4[[#This Row],[SKU]],'All Skus'!$A:$AC,19,FALSE)),""))</f>
        <v>0</v>
      </c>
      <c r="P74" s="133">
        <f>(IF((VLOOKUP(Table4[[#This Row],[SKU]],'All Skus'!$A:$AC,2,FALSE))="Crown",(VLOOKUP(Table4[[#This Row],[SKU]],'All Skus'!$A:$AC,20,FALSE)),""))</f>
        <v>0</v>
      </c>
      <c r="Q74" s="133">
        <f>(IF((VLOOKUP(Table4[[#This Row],[SKU]],'All Skus'!$A:$AC,2,FALSE))="Crown",(VLOOKUP(Table4[[#This Row],[SKU]],'All Skus'!$A:$AC,21,FALSE)),""))</f>
        <v>0</v>
      </c>
      <c r="R74" s="60" t="str">
        <f>(IF((VLOOKUP(Table4[[#This Row],[SKU]],'All Skus'!$A:$AC,2,FALSE))="Crown",(VLOOKUP(Table4[[#This Row],[SKU]],'All Skus'!$A:$AC,22,FALSE)),""))</f>
        <v>MX</v>
      </c>
      <c r="S74" s="52" t="str">
        <f>(IF((VLOOKUP(Table4[[#This Row],[SKU]],'All Skus'!$A:$AC,2,FALSE))="Crown",(VLOOKUP(Table4[[#This Row],[SKU]],'All Skus'!$A:$AC,23,FALSE)),""))</f>
        <v>Compliant</v>
      </c>
      <c r="T74" s="211" t="str">
        <f>HYPERLINK((IF((VLOOKUP(Table4[[#This Row],[SKU]],'All Skus'!$A:$AC,2,FALSE))="Crown",(VLOOKUP(Table4[[#This Row],[SKU]],'All Skus'!$A:$AC,24,FALSE)),"")))</f>
        <v/>
      </c>
      <c r="U74" s="151">
        <v>72</v>
      </c>
      <c r="V74"/>
      <c r="W74"/>
      <c r="X74"/>
      <c r="Y74"/>
      <c r="Z74"/>
    </row>
    <row r="75" spans="1:26" s="52" customFormat="1" ht="14.65" customHeight="1">
      <c r="A75" s="48" t="s">
        <v>932</v>
      </c>
      <c r="B75" s="52" t="str">
        <f>(IF((VLOOKUP(Table4[[#This Row],[SKU]],'All Skus'!$A:$AC,2,FALSE))="Crown",(VLOOKUP(Table4[[#This Row],[SKU]],'All Skus'!$A:$AC,3,FALSE)),""))</f>
        <v>VRACK</v>
      </c>
      <c r="C75" s="52" t="str">
        <f>(IF((VLOOKUP(Table4[[#This Row],[SKU]],'All Skus'!$A:$AC,2,FALSE))="Crown",(VLOOKUP(Table4[[#This Row],[SKU]],'All Skus'!$A:$AC,4,FALSE)),""))</f>
        <v>VRACKHD4PFX</v>
      </c>
      <c r="D75" s="60" t="str">
        <f>(IF((VLOOKUP(Table4[[#This Row],[SKU]],'All Skus'!$A:$AC,2,FALSE))="Crown",(VLOOKUP(Table4[[#This Row],[SKU]],'All Skus'!$A:$AC,5,FALSE)),""))</f>
        <v>VRACK</v>
      </c>
      <c r="E75" s="52" t="str">
        <f>(IF((VLOOKUP(Table4[[#This Row],[SKU]],'All Skus'!$A:$AC,2,FALSE))="Crown",(VLOOKUP(Table4[[#This Row],[SKU]],'All Skus'!$A:$AC,6,FALSE)),""))</f>
        <v>YES</v>
      </c>
      <c r="F75" s="52">
        <f>(IF((VLOOKUP(Table4[[#This Row],[SKU]],'All Skus'!$A:$AC,2,FALSE))="Crown",(VLOOKUP(Table4[[#This Row],[SKU]],'All Skus'!$A:$AC,7,FALSE)),""))</f>
        <v>0</v>
      </c>
      <c r="G75" s="52" t="str">
        <f>(IF((VLOOKUP(Table4[[#This Row],[SKU]],'All Skus'!$A:$AC,2,FALSE))="Crown",(VLOOKUP(Table4[[#This Row],[SKU]],'All Skus'!$A:$AC,8,FALSE)),""))</f>
        <v>VRACK4x3500HD Minus Amps</v>
      </c>
      <c r="H75" s="45" t="str">
        <f>(IF((VLOOKUP(Table4[[#This Row],[SKU]],'All Skus'!$A:$AC,2,FALSE))="Crown",(VLOOKUP(Table4[[#This Row],[SKU]],'All Skus'!$A:$AC,9,FALSE)),""))</f>
        <v>VRACK4x3500HD Minus Amps</v>
      </c>
      <c r="I75" s="94">
        <f>(IF((VLOOKUP(Table4[[#This Row],[SKU]],'All Skus'!$A:$AC,2,FALSE))="Crown",(VLOOKUP(Table4[[#This Row],[SKU]],'All Skus'!$A:$AC,10,FALSE)),""))</f>
        <v>12500</v>
      </c>
      <c r="J75" s="94">
        <f>(IF((VLOOKUP(Table4[[#This Row],[SKU]],'All Skus'!$A:$AC,2,FALSE))="Crown",(VLOOKUP(Table4[[#This Row],[SKU]],'All Skus'!$A:$AC,11,FALSE)),""))</f>
        <v>12500</v>
      </c>
      <c r="K75" s="60">
        <f>(IF((VLOOKUP(Table4[[#This Row],[SKU]],'All Skus'!$A:$AC,2,FALSE))="Crown",(VLOOKUP(Table4[[#This Row],[SKU]],'All Skus'!$A:$AC,15,FALSE)),""))</f>
        <v>1</v>
      </c>
      <c r="L75" s="47">
        <f>(IF((VLOOKUP(Table4[[#This Row],[SKU]],'All Skus'!$A:$AC,2,FALSE))="Crown",(VLOOKUP(Table4[[#This Row],[SKU]],'All Skus'!$A:$AC,16,FALSE)),""))</f>
        <v>691991013492</v>
      </c>
      <c r="M75" s="60">
        <f>(IF((VLOOKUP(Table4[[#This Row],[SKU]],'All Skus'!$A:$AC,2,FALSE))="Crown",(VLOOKUP(Table4[[#This Row],[SKU]],'All Skus'!$A:$AC,17,FALSE)),""))</f>
        <v>0</v>
      </c>
      <c r="N75" s="133">
        <f>(IF((VLOOKUP(Table4[[#This Row],[SKU]],'All Skus'!$A:$AC,2,FALSE))="Crown",(VLOOKUP(Table4[[#This Row],[SKU]],'All Skus'!$A:$AC,18,FALSE)),""))</f>
        <v>0</v>
      </c>
      <c r="O75" s="133">
        <f>(IF((VLOOKUP(Table4[[#This Row],[SKU]],'All Skus'!$A:$AC,2,FALSE))="Crown",(VLOOKUP(Table4[[#This Row],[SKU]],'All Skus'!$A:$AC,19,FALSE)),""))</f>
        <v>0</v>
      </c>
      <c r="P75" s="133">
        <f>(IF((VLOOKUP(Table4[[#This Row],[SKU]],'All Skus'!$A:$AC,2,FALSE))="Crown",(VLOOKUP(Table4[[#This Row],[SKU]],'All Skus'!$A:$AC,20,FALSE)),""))</f>
        <v>0</v>
      </c>
      <c r="Q75" s="133">
        <f>(IF((VLOOKUP(Table4[[#This Row],[SKU]],'All Skus'!$A:$AC,2,FALSE))="Crown",(VLOOKUP(Table4[[#This Row],[SKU]],'All Skus'!$A:$AC,21,FALSE)),""))</f>
        <v>0</v>
      </c>
      <c r="R75" s="60" t="str">
        <f>(IF((VLOOKUP(Table4[[#This Row],[SKU]],'All Skus'!$A:$AC,2,FALSE))="Crown",(VLOOKUP(Table4[[#This Row],[SKU]],'All Skus'!$A:$AC,22,FALSE)),""))</f>
        <v>MX</v>
      </c>
      <c r="S75" s="52" t="str">
        <f>(IF((VLOOKUP(Table4[[#This Row],[SKU]],'All Skus'!$A:$AC,2,FALSE))="Crown",(VLOOKUP(Table4[[#This Row],[SKU]],'All Skus'!$A:$AC,23,FALSE)),""))</f>
        <v>Compliant</v>
      </c>
      <c r="T75" s="211" t="str">
        <f>HYPERLINK((IF((VLOOKUP(Table4[[#This Row],[SKU]],'All Skus'!$A:$AC,2,FALSE))="Crown",(VLOOKUP(Table4[[#This Row],[SKU]],'All Skus'!$A:$AC,24,FALSE)),"")))</f>
        <v/>
      </c>
      <c r="U75" s="151">
        <v>73</v>
      </c>
      <c r="V75"/>
      <c r="W75"/>
      <c r="X75"/>
      <c r="Y75"/>
      <c r="Z75"/>
    </row>
    <row r="76" spans="1:26" s="52" customFormat="1" ht="14.65" customHeight="1">
      <c r="A76" s="48" t="s">
        <v>933</v>
      </c>
      <c r="B76" s="52" t="str">
        <f>(IF((VLOOKUP(Table4[[#This Row],[SKU]],'All Skus'!$A:$AC,2,FALSE))="Crown",(VLOOKUP(Table4[[#This Row],[SKU]],'All Skus'!$A:$AC,3,FALSE)),""))</f>
        <v>XLi</v>
      </c>
      <c r="C76" s="52" t="str">
        <f>(IF((VLOOKUP(Table4[[#This Row],[SKU]],'All Skus'!$A:$AC,2,FALSE))="Crown",(VLOOKUP(Table4[[#This Row],[SKU]],'All Skus'!$A:$AC,4,FALSE)),""))</f>
        <v>XLi1500</v>
      </c>
      <c r="D76" s="60" t="str">
        <f>(IF((VLOOKUP(Table4[[#This Row],[SKU]],'All Skus'!$A:$AC,2,FALSE))="Crown",(VLOOKUP(Table4[[#This Row],[SKU]],'All Skus'!$A:$AC,5,FALSE)),""))</f>
        <v>XLI</v>
      </c>
      <c r="E76" s="52">
        <f>(IF((VLOOKUP(Table4[[#This Row],[SKU]],'All Skus'!$A:$AC,2,FALSE))="Crown",(VLOOKUP(Table4[[#This Row],[SKU]],'All Skus'!$A:$AC,6,FALSE)),""))</f>
        <v>0</v>
      </c>
      <c r="F76" s="52">
        <f>(IF((VLOOKUP(Table4[[#This Row],[SKU]],'All Skus'!$A:$AC,2,FALSE))="Crown",(VLOOKUP(Table4[[#This Row],[SKU]],'All Skus'!$A:$AC,7,FALSE)),""))</f>
        <v>0</v>
      </c>
      <c r="G76" s="52" t="str">
        <f>(IF((VLOOKUP(Table4[[#This Row],[SKU]],'All Skus'!$A:$AC,2,FALSE))="Crown",(VLOOKUP(Table4[[#This Row],[SKU]],'All Skus'!$A:$AC,8,FALSE)),""))</f>
        <v>2x450W Power Amplifier</v>
      </c>
      <c r="H76" s="45" t="str">
        <f>(IF((VLOOKUP(Table4[[#This Row],[SKU]],'All Skus'!$A:$AC,2,FALSE))="Crown",(VLOOKUP(Table4[[#This Row],[SKU]],'All Skus'!$A:$AC,9,FALSE)),""))</f>
        <v>Two-channel, 450W @ 4Ω Power Amplifier</v>
      </c>
      <c r="I76" s="94">
        <f>(IF((VLOOKUP(Table4[[#This Row],[SKU]],'All Skus'!$A:$AC,2,FALSE))="Crown",(VLOOKUP(Table4[[#This Row],[SKU]],'All Skus'!$A:$AC,10,FALSE)),""))</f>
        <v>918.16</v>
      </c>
      <c r="J76" s="94">
        <f>(IF((VLOOKUP(Table4[[#This Row],[SKU]],'All Skus'!$A:$AC,2,FALSE))="Crown",(VLOOKUP(Table4[[#This Row],[SKU]],'All Skus'!$A:$AC,11,FALSE)),""))</f>
        <v>425</v>
      </c>
      <c r="K76" s="60">
        <f>(IF((VLOOKUP(Table4[[#This Row],[SKU]],'All Skus'!$A:$AC,2,FALSE))="Crown",(VLOOKUP(Table4[[#This Row],[SKU]],'All Skus'!$A:$AC,15,FALSE)),""))</f>
        <v>1</v>
      </c>
      <c r="L76" s="47">
        <f>(IF((VLOOKUP(Table4[[#This Row],[SKU]],'All Skus'!$A:$AC,2,FALSE))="Crown",(VLOOKUP(Table4[[#This Row],[SKU]],'All Skus'!$A:$AC,16,FALSE)),""))</f>
        <v>871015006901</v>
      </c>
      <c r="M76" s="60">
        <f>(IF((VLOOKUP(Table4[[#This Row],[SKU]],'All Skus'!$A:$AC,2,FALSE))="Crown",(VLOOKUP(Table4[[#This Row],[SKU]],'All Skus'!$A:$AC,17,FALSE)),""))</f>
        <v>0</v>
      </c>
      <c r="N76" s="133">
        <f>(IF((VLOOKUP(Table4[[#This Row],[SKU]],'All Skus'!$A:$AC,2,FALSE))="Crown",(VLOOKUP(Table4[[#This Row],[SKU]],'All Skus'!$A:$AC,18,FALSE)),""))</f>
        <v>31.5</v>
      </c>
      <c r="O76" s="133">
        <f>(IF((VLOOKUP(Table4[[#This Row],[SKU]],'All Skus'!$A:$AC,2,FALSE))="Crown",(VLOOKUP(Table4[[#This Row],[SKU]],'All Skus'!$A:$AC,19,FALSE)),""))</f>
        <v>22</v>
      </c>
      <c r="P76" s="133">
        <f>(IF((VLOOKUP(Table4[[#This Row],[SKU]],'All Skus'!$A:$AC,2,FALSE))="Crown",(VLOOKUP(Table4[[#This Row],[SKU]],'All Skus'!$A:$AC,20,FALSE)),""))</f>
        <v>5.5</v>
      </c>
      <c r="Q76" s="133">
        <f>(IF((VLOOKUP(Table4[[#This Row],[SKU]],'All Skus'!$A:$AC,2,FALSE))="Crown",(VLOOKUP(Table4[[#This Row],[SKU]],'All Skus'!$A:$AC,21,FALSE)),""))</f>
        <v>20</v>
      </c>
      <c r="R76" s="60" t="str">
        <f>(IF((VLOOKUP(Table4[[#This Row],[SKU]],'All Skus'!$A:$AC,2,FALSE))="Crown",(VLOOKUP(Table4[[#This Row],[SKU]],'All Skus'!$A:$AC,22,FALSE)),""))</f>
        <v>CN</v>
      </c>
      <c r="S76" s="52" t="str">
        <f>(IF((VLOOKUP(Table4[[#This Row],[SKU]],'All Skus'!$A:$AC,2,FALSE))="Crown",(VLOOKUP(Table4[[#This Row],[SKU]],'All Skus'!$A:$AC,23,FALSE)),""))</f>
        <v>Non Compliant</v>
      </c>
      <c r="T76" s="211" t="str">
        <f>HYPERLINK((IF((VLOOKUP(Table4[[#This Row],[SKU]],'All Skus'!$A:$AC,2,FALSE))="Crown",(VLOOKUP(Table4[[#This Row],[SKU]],'All Skus'!$A:$AC,24,FALSE)),"")))</f>
        <v>http://www.crownaudio.com/en-US/products/xli1500</v>
      </c>
      <c r="U76" s="151">
        <v>74</v>
      </c>
      <c r="V76"/>
      <c r="W76"/>
      <c r="X76"/>
      <c r="Y76"/>
      <c r="Z76"/>
    </row>
    <row r="77" spans="1:26" s="52" customFormat="1" ht="14.65" customHeight="1">
      <c r="A77" s="48" t="s">
        <v>934</v>
      </c>
      <c r="B77" s="52" t="str">
        <f>(IF((VLOOKUP(Table4[[#This Row],[SKU]],'All Skus'!$A:$AC,2,FALSE))="Crown",(VLOOKUP(Table4[[#This Row],[SKU]],'All Skus'!$A:$AC,3,FALSE)),""))</f>
        <v>XLi</v>
      </c>
      <c r="C77" s="52" t="str">
        <f>(IF((VLOOKUP(Table4[[#This Row],[SKU]],'All Skus'!$A:$AC,2,FALSE))="Crown",(VLOOKUP(Table4[[#This Row],[SKU]],'All Skus'!$A:$AC,4,FALSE)),""))</f>
        <v>XLi2500</v>
      </c>
      <c r="D77" s="60" t="str">
        <f>(IF((VLOOKUP(Table4[[#This Row],[SKU]],'All Skus'!$A:$AC,2,FALSE))="Crown",(VLOOKUP(Table4[[#This Row],[SKU]],'All Skus'!$A:$AC,5,FALSE)),""))</f>
        <v>XLI</v>
      </c>
      <c r="E77" s="52">
        <f>(IF((VLOOKUP(Table4[[#This Row],[SKU]],'All Skus'!$A:$AC,2,FALSE))="Crown",(VLOOKUP(Table4[[#This Row],[SKU]],'All Skus'!$A:$AC,6,FALSE)),""))</f>
        <v>0</v>
      </c>
      <c r="F77" s="52">
        <f>(IF((VLOOKUP(Table4[[#This Row],[SKU]],'All Skus'!$A:$AC,2,FALSE))="Crown",(VLOOKUP(Table4[[#This Row],[SKU]],'All Skus'!$A:$AC,7,FALSE)),""))</f>
        <v>0</v>
      </c>
      <c r="G77" s="52" t="str">
        <f>(IF((VLOOKUP(Table4[[#This Row],[SKU]],'All Skus'!$A:$AC,2,FALSE))="Crown",(VLOOKUP(Table4[[#This Row],[SKU]],'All Skus'!$A:$AC,8,FALSE)),""))</f>
        <v>2x750W Power Amplifier</v>
      </c>
      <c r="H77" s="45" t="str">
        <f>(IF((VLOOKUP(Table4[[#This Row],[SKU]],'All Skus'!$A:$AC,2,FALSE))="Crown",(VLOOKUP(Table4[[#This Row],[SKU]],'All Skus'!$A:$AC,9,FALSE)),""))</f>
        <v>Two-channel, 750W @ 4Ω Power Amplifier</v>
      </c>
      <c r="I77" s="94">
        <f>(IF((VLOOKUP(Table4[[#This Row],[SKU]],'All Skus'!$A:$AC,2,FALSE))="Crown",(VLOOKUP(Table4[[#This Row],[SKU]],'All Skus'!$A:$AC,10,FALSE)),""))</f>
        <v>1192.1400000000001</v>
      </c>
      <c r="J77" s="94">
        <f>(IF((VLOOKUP(Table4[[#This Row],[SKU]],'All Skus'!$A:$AC,2,FALSE))="Crown",(VLOOKUP(Table4[[#This Row],[SKU]],'All Skus'!$A:$AC,11,FALSE)),""))</f>
        <v>565</v>
      </c>
      <c r="K77" s="60">
        <f>(IF((VLOOKUP(Table4[[#This Row],[SKU]],'All Skus'!$A:$AC,2,FALSE))="Crown",(VLOOKUP(Table4[[#This Row],[SKU]],'All Skus'!$A:$AC,15,FALSE)),""))</f>
        <v>1</v>
      </c>
      <c r="L77" s="47">
        <f>(IF((VLOOKUP(Table4[[#This Row],[SKU]],'All Skus'!$A:$AC,2,FALSE))="Crown",(VLOOKUP(Table4[[#This Row],[SKU]],'All Skus'!$A:$AC,16,FALSE)),""))</f>
        <v>871015006918</v>
      </c>
      <c r="M77" s="60">
        <f>(IF((VLOOKUP(Table4[[#This Row],[SKU]],'All Skus'!$A:$AC,2,FALSE))="Crown",(VLOOKUP(Table4[[#This Row],[SKU]],'All Skus'!$A:$AC,17,FALSE)),""))</f>
        <v>0</v>
      </c>
      <c r="N77" s="133">
        <f>(IF((VLOOKUP(Table4[[#This Row],[SKU]],'All Skus'!$A:$AC,2,FALSE))="Crown",(VLOOKUP(Table4[[#This Row],[SKU]],'All Skus'!$A:$AC,18,FALSE)),""))</f>
        <v>32</v>
      </c>
      <c r="O77" s="133">
        <f>(IF((VLOOKUP(Table4[[#This Row],[SKU]],'All Skus'!$A:$AC,2,FALSE))="Crown",(VLOOKUP(Table4[[#This Row],[SKU]],'All Skus'!$A:$AC,19,FALSE)),""))</f>
        <v>22</v>
      </c>
      <c r="P77" s="133">
        <f>(IF((VLOOKUP(Table4[[#This Row],[SKU]],'All Skus'!$A:$AC,2,FALSE))="Crown",(VLOOKUP(Table4[[#This Row],[SKU]],'All Skus'!$A:$AC,20,FALSE)),""))</f>
        <v>21</v>
      </c>
      <c r="Q77" s="133">
        <f>(IF((VLOOKUP(Table4[[#This Row],[SKU]],'All Skus'!$A:$AC,2,FALSE))="Crown",(VLOOKUP(Table4[[#This Row],[SKU]],'All Skus'!$A:$AC,21,FALSE)),""))</f>
        <v>5.5</v>
      </c>
      <c r="R77" s="60" t="str">
        <f>(IF((VLOOKUP(Table4[[#This Row],[SKU]],'All Skus'!$A:$AC,2,FALSE))="Crown",(VLOOKUP(Table4[[#This Row],[SKU]],'All Skus'!$A:$AC,22,FALSE)),""))</f>
        <v>CN</v>
      </c>
      <c r="S77" s="52" t="str">
        <f>(IF((VLOOKUP(Table4[[#This Row],[SKU]],'All Skus'!$A:$AC,2,FALSE))="Crown",(VLOOKUP(Table4[[#This Row],[SKU]],'All Skus'!$A:$AC,23,FALSE)),""))</f>
        <v>Non Compliant</v>
      </c>
      <c r="T77" s="211" t="str">
        <f>HYPERLINK((IF((VLOOKUP(Table4[[#This Row],[SKU]],'All Skus'!$A:$AC,2,FALSE))="Crown",(VLOOKUP(Table4[[#This Row],[SKU]],'All Skus'!$A:$AC,24,FALSE)),"")))</f>
        <v>http://www.crownaudio.com/en-US/products/xli2500</v>
      </c>
      <c r="U77" s="151">
        <v>75</v>
      </c>
      <c r="V77"/>
      <c r="W77"/>
      <c r="X77"/>
      <c r="Y77"/>
      <c r="Z77"/>
    </row>
    <row r="78" spans="1:26" s="52" customFormat="1" ht="15" customHeight="1">
      <c r="A78" s="48" t="s">
        <v>935</v>
      </c>
      <c r="B78" s="52" t="str">
        <f>(IF((VLOOKUP(Table4[[#This Row],[SKU]],'All Skus'!$A:$AC,2,FALSE))="Crown",(VLOOKUP(Table4[[#This Row],[SKU]],'All Skus'!$A:$AC,3,FALSE)),""))</f>
        <v>XLi</v>
      </c>
      <c r="C78" s="52" t="str">
        <f>(IF((VLOOKUP(Table4[[#This Row],[SKU]],'All Skus'!$A:$AC,2,FALSE))="Crown",(VLOOKUP(Table4[[#This Row],[SKU]],'All Skus'!$A:$AC,4,FALSE)),""))</f>
        <v>XLi3500</v>
      </c>
      <c r="D78" s="60" t="str">
        <f>(IF((VLOOKUP(Table4[[#This Row],[SKU]],'All Skus'!$A:$AC,2,FALSE))="Crown",(VLOOKUP(Table4[[#This Row],[SKU]],'All Skus'!$A:$AC,5,FALSE)),""))</f>
        <v>XLI</v>
      </c>
      <c r="E78" s="52">
        <f>(IF((VLOOKUP(Table4[[#This Row],[SKU]],'All Skus'!$A:$AC,2,FALSE))="Crown",(VLOOKUP(Table4[[#This Row],[SKU]],'All Skus'!$A:$AC,6,FALSE)),""))</f>
        <v>0</v>
      </c>
      <c r="F78" s="52">
        <f>(IF((VLOOKUP(Table4[[#This Row],[SKU]],'All Skus'!$A:$AC,2,FALSE))="Crown",(VLOOKUP(Table4[[#This Row],[SKU]],'All Skus'!$A:$AC,7,FALSE)),""))</f>
        <v>0</v>
      </c>
      <c r="G78" s="52" t="str">
        <f>(IF((VLOOKUP(Table4[[#This Row],[SKU]],'All Skus'!$A:$AC,2,FALSE))="Crown",(VLOOKUP(Table4[[#This Row],[SKU]],'All Skus'!$A:$AC,8,FALSE)),""))</f>
        <v>2x1350W Power Amplifier</v>
      </c>
      <c r="H78" s="45" t="str">
        <f>(IF((VLOOKUP(Table4[[#This Row],[SKU]],'All Skus'!$A:$AC,2,FALSE))="Crown",(VLOOKUP(Table4[[#This Row],[SKU]],'All Skus'!$A:$AC,9,FALSE)),""))</f>
        <v>Two-channel, 1350W @ 4Ω Power Amplifier</v>
      </c>
      <c r="I78" s="94">
        <f>(IF((VLOOKUP(Table4[[#This Row],[SKU]],'All Skus'!$A:$AC,2,FALSE))="Crown",(VLOOKUP(Table4[[#This Row],[SKU]],'All Skus'!$A:$AC,10,FALSE)),""))</f>
        <v>1960.85</v>
      </c>
      <c r="J78" s="94">
        <f>(IF((VLOOKUP(Table4[[#This Row],[SKU]],'All Skus'!$A:$AC,2,FALSE))="Crown",(VLOOKUP(Table4[[#This Row],[SKU]],'All Skus'!$A:$AC,11,FALSE)),""))</f>
        <v>905</v>
      </c>
      <c r="K78" s="60">
        <f>(IF((VLOOKUP(Table4[[#This Row],[SKU]],'All Skus'!$A:$AC,2,FALSE))="Crown",(VLOOKUP(Table4[[#This Row],[SKU]],'All Skus'!$A:$AC,15,FALSE)),""))</f>
        <v>1</v>
      </c>
      <c r="L78" s="47">
        <f>(IF((VLOOKUP(Table4[[#This Row],[SKU]],'All Skus'!$A:$AC,2,FALSE))="Crown",(VLOOKUP(Table4[[#This Row],[SKU]],'All Skus'!$A:$AC,16,FALSE)),""))</f>
        <v>871015006925</v>
      </c>
      <c r="M78" s="60">
        <f>(IF((VLOOKUP(Table4[[#This Row],[SKU]],'All Skus'!$A:$AC,2,FALSE))="Crown",(VLOOKUP(Table4[[#This Row],[SKU]],'All Skus'!$A:$AC,17,FALSE)),""))</f>
        <v>0</v>
      </c>
      <c r="N78" s="133">
        <f>(IF((VLOOKUP(Table4[[#This Row],[SKU]],'All Skus'!$A:$AC,2,FALSE))="Crown",(VLOOKUP(Table4[[#This Row],[SKU]],'All Skus'!$A:$AC,18,FALSE)),""))</f>
        <v>40</v>
      </c>
      <c r="O78" s="133">
        <f>(IF((VLOOKUP(Table4[[#This Row],[SKU]],'All Skus'!$A:$AC,2,FALSE))="Crown",(VLOOKUP(Table4[[#This Row],[SKU]],'All Skus'!$A:$AC,19,FALSE)),""))</f>
        <v>23</v>
      </c>
      <c r="P78" s="133">
        <f>(IF((VLOOKUP(Table4[[#This Row],[SKU]],'All Skus'!$A:$AC,2,FALSE))="Crown",(VLOOKUP(Table4[[#This Row],[SKU]],'All Skus'!$A:$AC,20,FALSE)),""))</f>
        <v>21</v>
      </c>
      <c r="Q78" s="133">
        <f>(IF((VLOOKUP(Table4[[#This Row],[SKU]],'All Skus'!$A:$AC,2,FALSE))="Crown",(VLOOKUP(Table4[[#This Row],[SKU]],'All Skus'!$A:$AC,21,FALSE)),""))</f>
        <v>6</v>
      </c>
      <c r="R78" s="60" t="str">
        <f>(IF((VLOOKUP(Table4[[#This Row],[SKU]],'All Skus'!$A:$AC,2,FALSE))="Crown",(VLOOKUP(Table4[[#This Row],[SKU]],'All Skus'!$A:$AC,22,FALSE)),""))</f>
        <v>CN</v>
      </c>
      <c r="S78" s="52" t="str">
        <f>(IF((VLOOKUP(Table4[[#This Row],[SKU]],'All Skus'!$A:$AC,2,FALSE))="Crown",(VLOOKUP(Table4[[#This Row],[SKU]],'All Skus'!$A:$AC,23,FALSE)),""))</f>
        <v>Non Compliant</v>
      </c>
      <c r="T78" s="211" t="str">
        <f>HYPERLINK((IF((VLOOKUP(Table4[[#This Row],[SKU]],'All Skus'!$A:$AC,2,FALSE))="Crown",(VLOOKUP(Table4[[#This Row],[SKU]],'All Skus'!$A:$AC,24,FALSE)),"")))</f>
        <v>http://www.crownaudio.com/en-US/products/xli3500</v>
      </c>
      <c r="U78" s="151">
        <v>76</v>
      </c>
      <c r="V78"/>
      <c r="W78"/>
      <c r="X78"/>
      <c r="Y78"/>
      <c r="Z78"/>
    </row>
    <row r="79" spans="1:26" s="52" customFormat="1" ht="14.65" customHeight="1">
      <c r="A79" s="48" t="s">
        <v>936</v>
      </c>
      <c r="B79" s="52" t="str">
        <f>(IF((VLOOKUP(Table4[[#This Row],[SKU]],'All Skus'!$A:$AC,2,FALSE))="Crown",(VLOOKUP(Table4[[#This Row],[SKU]],'All Skus'!$A:$AC,3,FALSE)),""))</f>
        <v>XLi</v>
      </c>
      <c r="C79" s="52" t="str">
        <f>(IF((VLOOKUP(Table4[[#This Row],[SKU]],'All Skus'!$A:$AC,2,FALSE))="Crown",(VLOOKUP(Table4[[#This Row],[SKU]],'All Skus'!$A:$AC,4,FALSE)),""))</f>
        <v>XLI800</v>
      </c>
      <c r="D79" s="60" t="str">
        <f>(IF((VLOOKUP(Table4[[#This Row],[SKU]],'All Skus'!$A:$AC,2,FALSE))="Crown",(VLOOKUP(Table4[[#This Row],[SKU]],'All Skus'!$A:$AC,5,FALSE)),""))</f>
        <v>XLI</v>
      </c>
      <c r="E79" s="52">
        <f>(IF((VLOOKUP(Table4[[#This Row],[SKU]],'All Skus'!$A:$AC,2,FALSE))="Crown",(VLOOKUP(Table4[[#This Row],[SKU]],'All Skus'!$A:$AC,6,FALSE)),""))</f>
        <v>0</v>
      </c>
      <c r="F79" s="52">
        <f>(IF((VLOOKUP(Table4[[#This Row],[SKU]],'All Skus'!$A:$AC,2,FALSE))="Crown",(VLOOKUP(Table4[[#This Row],[SKU]],'All Skus'!$A:$AC,7,FALSE)),""))</f>
        <v>0</v>
      </c>
      <c r="G79" s="52" t="str">
        <f>(IF((VLOOKUP(Table4[[#This Row],[SKU]],'All Skus'!$A:$AC,2,FALSE))="Crown",(VLOOKUP(Table4[[#This Row],[SKU]],'All Skus'!$A:$AC,8,FALSE)),""))</f>
        <v>2x300W Power Amplifier</v>
      </c>
      <c r="H79" s="45" t="str">
        <f>(IF((VLOOKUP(Table4[[#This Row],[SKU]],'All Skus'!$A:$AC,2,FALSE))="Crown",(VLOOKUP(Table4[[#This Row],[SKU]],'All Skus'!$A:$AC,9,FALSE)),""))</f>
        <v>Two-channel, 300W @ 4Ω Power Amplifier</v>
      </c>
      <c r="I79" s="94">
        <f>(IF((VLOOKUP(Table4[[#This Row],[SKU]],'All Skus'!$A:$AC,2,FALSE))="Crown",(VLOOKUP(Table4[[#This Row],[SKU]],'All Skus'!$A:$AC,10,FALSE)),""))</f>
        <v>658.13</v>
      </c>
      <c r="J79" s="94">
        <f>(IF((VLOOKUP(Table4[[#This Row],[SKU]],'All Skus'!$A:$AC,2,FALSE))="Crown",(VLOOKUP(Table4[[#This Row],[SKU]],'All Skus'!$A:$AC,11,FALSE)),""))</f>
        <v>339</v>
      </c>
      <c r="K79" s="60">
        <f>(IF((VLOOKUP(Table4[[#This Row],[SKU]],'All Skus'!$A:$AC,2,FALSE))="Crown",(VLOOKUP(Table4[[#This Row],[SKU]],'All Skus'!$A:$AC,15,FALSE)),""))</f>
        <v>1</v>
      </c>
      <c r="L79" s="47">
        <f>(IF((VLOOKUP(Table4[[#This Row],[SKU]],'All Skus'!$A:$AC,2,FALSE))="Crown",(VLOOKUP(Table4[[#This Row],[SKU]],'All Skus'!$A:$AC,16,FALSE)),""))</f>
        <v>871015006895</v>
      </c>
      <c r="M79" s="60">
        <f>(IF((VLOOKUP(Table4[[#This Row],[SKU]],'All Skus'!$A:$AC,2,FALSE))="Crown",(VLOOKUP(Table4[[#This Row],[SKU]],'All Skus'!$A:$AC,17,FALSE)),""))</f>
        <v>0</v>
      </c>
      <c r="N79" s="133">
        <f>(IF((VLOOKUP(Table4[[#This Row],[SKU]],'All Skus'!$A:$AC,2,FALSE))="Crown",(VLOOKUP(Table4[[#This Row],[SKU]],'All Skus'!$A:$AC,18,FALSE)),""))</f>
        <v>28</v>
      </c>
      <c r="O79" s="133">
        <f>(IF((VLOOKUP(Table4[[#This Row],[SKU]],'All Skus'!$A:$AC,2,FALSE))="Crown",(VLOOKUP(Table4[[#This Row],[SKU]],'All Skus'!$A:$AC,19,FALSE)),""))</f>
        <v>20.5</v>
      </c>
      <c r="P79" s="133">
        <f>(IF((VLOOKUP(Table4[[#This Row],[SKU]],'All Skus'!$A:$AC,2,FALSE))="Crown",(VLOOKUP(Table4[[#This Row],[SKU]],'All Skus'!$A:$AC,20,FALSE)),""))</f>
        <v>22</v>
      </c>
      <c r="Q79" s="133">
        <f>(IF((VLOOKUP(Table4[[#This Row],[SKU]],'All Skus'!$A:$AC,2,FALSE))="Crown",(VLOOKUP(Table4[[#This Row],[SKU]],'All Skus'!$A:$AC,21,FALSE)),""))</f>
        <v>5</v>
      </c>
      <c r="R79" s="60" t="str">
        <f>(IF((VLOOKUP(Table4[[#This Row],[SKU]],'All Skus'!$A:$AC,2,FALSE))="Crown",(VLOOKUP(Table4[[#This Row],[SKU]],'All Skus'!$A:$AC,22,FALSE)),""))</f>
        <v>CN</v>
      </c>
      <c r="S79" s="52" t="str">
        <f>(IF((VLOOKUP(Table4[[#This Row],[SKU]],'All Skus'!$A:$AC,2,FALSE))="Crown",(VLOOKUP(Table4[[#This Row],[SKU]],'All Skus'!$A:$AC,23,FALSE)),""))</f>
        <v>Non Compliant</v>
      </c>
      <c r="T79" s="211" t="str">
        <f>HYPERLINK((IF((VLOOKUP(Table4[[#This Row],[SKU]],'All Skus'!$A:$AC,2,FALSE))="Crown",(VLOOKUP(Table4[[#This Row],[SKU]],'All Skus'!$A:$AC,24,FALSE)),"")))</f>
        <v>http://www.crownaudio.com/en-US/products/xli800</v>
      </c>
      <c r="U79" s="151">
        <v>77</v>
      </c>
      <c r="V79"/>
      <c r="W79"/>
      <c r="X79"/>
      <c r="Y79"/>
      <c r="Z79"/>
    </row>
    <row r="80" spans="1:26" s="52" customFormat="1" ht="15" customHeight="1">
      <c r="A80" s="48" t="s">
        <v>937</v>
      </c>
      <c r="B80" s="52" t="str">
        <f>(IF((VLOOKUP(Table4[[#This Row],[SKU]],'All Skus'!$A:$AC,2,FALSE))="Crown",(VLOOKUP(Table4[[#This Row],[SKU]],'All Skus'!$A:$AC,3,FALSE)),""))</f>
        <v>XLS DriveCore 2</v>
      </c>
      <c r="C80" s="52" t="str">
        <f>(IF((VLOOKUP(Table4[[#This Row],[SKU]],'All Skus'!$A:$AC,2,FALSE))="Crown",(VLOOKUP(Table4[[#This Row],[SKU]],'All Skus'!$A:$AC,4,FALSE)),""))</f>
        <v xml:space="preserve">XLS1002 </v>
      </c>
      <c r="D80" s="60" t="str">
        <f>(IF((VLOOKUP(Table4[[#This Row],[SKU]],'All Skus'!$A:$AC,2,FALSE))="Crown",(VLOOKUP(Table4[[#This Row],[SKU]],'All Skus'!$A:$AC,5,FALSE)),""))</f>
        <v>XLS4</v>
      </c>
      <c r="E80" s="52">
        <f>(IF((VLOOKUP(Table4[[#This Row],[SKU]],'All Skus'!$A:$AC,2,FALSE))="Crown",(VLOOKUP(Table4[[#This Row],[SKU]],'All Skus'!$A:$AC,6,FALSE)),""))</f>
        <v>0</v>
      </c>
      <c r="F80" s="52">
        <f>(IF((VLOOKUP(Table4[[#This Row],[SKU]],'All Skus'!$A:$AC,2,FALSE))="Crown",(VLOOKUP(Table4[[#This Row],[SKU]],'All Skus'!$A:$AC,7,FALSE)),""))</f>
        <v>0</v>
      </c>
      <c r="G80" s="52" t="str">
        <f>(IF((VLOOKUP(Table4[[#This Row],[SKU]],'All Skus'!$A:$AC,2,FALSE))="Crown",(VLOOKUP(Table4[[#This Row],[SKU]],'All Skus'!$A:$AC,8,FALSE)),""))</f>
        <v>2x350W Power Amplifier</v>
      </c>
      <c r="H80" s="45" t="str">
        <f>(IF((VLOOKUP(Table4[[#This Row],[SKU]],'All Skus'!$A:$AC,2,FALSE))="Crown",(VLOOKUP(Table4[[#This Row],[SKU]],'All Skus'!$A:$AC,9,FALSE)),""))</f>
        <v>Two-channel, 350W @ 4Ω Power Amplifier</v>
      </c>
      <c r="I80" s="94">
        <f>(IF((VLOOKUP(Table4[[#This Row],[SKU]],'All Skus'!$A:$AC,2,FALSE))="Crown",(VLOOKUP(Table4[[#This Row],[SKU]],'All Skus'!$A:$AC,10,FALSE)),""))</f>
        <v>705.95</v>
      </c>
      <c r="J80" s="94">
        <f>(IF((VLOOKUP(Table4[[#This Row],[SKU]],'All Skus'!$A:$AC,2,FALSE))="Crown",(VLOOKUP(Table4[[#This Row],[SKU]],'All Skus'!$A:$AC,11,FALSE)),""))</f>
        <v>425</v>
      </c>
      <c r="K80" s="60">
        <f>(IF((VLOOKUP(Table4[[#This Row],[SKU]],'All Skus'!$A:$AC,2,FALSE))="Crown",(VLOOKUP(Table4[[#This Row],[SKU]],'All Skus'!$A:$AC,15,FALSE)),""))</f>
        <v>1</v>
      </c>
      <c r="L80" s="47">
        <f>(IF((VLOOKUP(Table4[[#This Row],[SKU]],'All Skus'!$A:$AC,2,FALSE))="Crown",(VLOOKUP(Table4[[#This Row],[SKU]],'All Skus'!$A:$AC,16,FALSE)),""))</f>
        <v>691991000935</v>
      </c>
      <c r="M80" s="60">
        <f>(IF((VLOOKUP(Table4[[#This Row],[SKU]],'All Skus'!$A:$AC,2,FALSE))="Crown",(VLOOKUP(Table4[[#This Row],[SKU]],'All Skus'!$A:$AC,17,FALSE)),""))</f>
        <v>0</v>
      </c>
      <c r="N80" s="133">
        <f>(IF((VLOOKUP(Table4[[#This Row],[SKU]],'All Skus'!$A:$AC,2,FALSE))="Crown",(VLOOKUP(Table4[[#This Row],[SKU]],'All Skus'!$A:$AC,18,FALSE)),""))</f>
        <v>11</v>
      </c>
      <c r="O80" s="133">
        <f>(IF((VLOOKUP(Table4[[#This Row],[SKU]],'All Skus'!$A:$AC,2,FALSE))="Crown",(VLOOKUP(Table4[[#This Row],[SKU]],'All Skus'!$A:$AC,19,FALSE)),""))</f>
        <v>22</v>
      </c>
      <c r="P80" s="133">
        <f>(IF((VLOOKUP(Table4[[#This Row],[SKU]],'All Skus'!$A:$AC,2,FALSE))="Crown",(VLOOKUP(Table4[[#This Row],[SKU]],'All Skus'!$A:$AC,20,FALSE)),""))</f>
        <v>6</v>
      </c>
      <c r="Q80" s="133">
        <f>(IF((VLOOKUP(Table4[[#This Row],[SKU]],'All Skus'!$A:$AC,2,FALSE))="Crown",(VLOOKUP(Table4[[#This Row],[SKU]],'All Skus'!$A:$AC,21,FALSE)),""))</f>
        <v>12.5</v>
      </c>
      <c r="R80" s="60" t="str">
        <f>(IF((VLOOKUP(Table4[[#This Row],[SKU]],'All Skus'!$A:$AC,2,FALSE))="Crown",(VLOOKUP(Table4[[#This Row],[SKU]],'All Skus'!$A:$AC,22,FALSE)),""))</f>
        <v>CN</v>
      </c>
      <c r="S80" s="52" t="str">
        <f>(IF((VLOOKUP(Table4[[#This Row],[SKU]],'All Skus'!$A:$AC,2,FALSE))="Crown",(VLOOKUP(Table4[[#This Row],[SKU]],'All Skus'!$A:$AC,23,FALSE)),""))</f>
        <v>Non Compliant</v>
      </c>
      <c r="T80" s="211" t="str">
        <f>HYPERLINK((IF((VLOOKUP(Table4[[#This Row],[SKU]],'All Skus'!$A:$AC,2,FALSE))="Crown",(VLOOKUP(Table4[[#This Row],[SKU]],'All Skus'!$A:$AC,24,FALSE)),"")))</f>
        <v>http://www.crownaudio.com/en-US/products/xls-1002</v>
      </c>
      <c r="U80" s="151">
        <v>78</v>
      </c>
      <c r="V80"/>
      <c r="W80"/>
      <c r="X80"/>
      <c r="Y80"/>
      <c r="Z80"/>
    </row>
    <row r="81" spans="1:26" s="52" customFormat="1" ht="14.65" customHeight="1">
      <c r="A81" s="48" t="s">
        <v>938</v>
      </c>
      <c r="B81" s="52" t="str">
        <f>(IF((VLOOKUP(Table4[[#This Row],[SKU]],'All Skus'!$A:$AC,2,FALSE))="Crown",(VLOOKUP(Table4[[#This Row],[SKU]],'All Skus'!$A:$AC,3,FALSE)),""))</f>
        <v>XLS DriveCore 2</v>
      </c>
      <c r="C81" s="52" t="str">
        <f>(IF((VLOOKUP(Table4[[#This Row],[SKU]],'All Skus'!$A:$AC,2,FALSE))="Crown",(VLOOKUP(Table4[[#This Row],[SKU]],'All Skus'!$A:$AC,4,FALSE)),""))</f>
        <v xml:space="preserve">XLS1502 </v>
      </c>
      <c r="D81" s="60" t="str">
        <f>(IF((VLOOKUP(Table4[[#This Row],[SKU]],'All Skus'!$A:$AC,2,FALSE))="Crown",(VLOOKUP(Table4[[#This Row],[SKU]],'All Skus'!$A:$AC,5,FALSE)),""))</f>
        <v>XLS4</v>
      </c>
      <c r="E81" s="52">
        <f>(IF((VLOOKUP(Table4[[#This Row],[SKU]],'All Skus'!$A:$AC,2,FALSE))="Crown",(VLOOKUP(Table4[[#This Row],[SKU]],'All Skus'!$A:$AC,6,FALSE)),""))</f>
        <v>0</v>
      </c>
      <c r="F81" s="52">
        <f>(IF((VLOOKUP(Table4[[#This Row],[SKU]],'All Skus'!$A:$AC,2,FALSE))="Crown",(VLOOKUP(Table4[[#This Row],[SKU]],'All Skus'!$A:$AC,7,FALSE)),""))</f>
        <v>0</v>
      </c>
      <c r="G81" s="52" t="str">
        <f>(IF((VLOOKUP(Table4[[#This Row],[SKU]],'All Skus'!$A:$AC,2,FALSE))="Crown",(VLOOKUP(Table4[[#This Row],[SKU]],'All Skus'!$A:$AC,8,FALSE)),""))</f>
        <v>2x525W Power Amplifier</v>
      </c>
      <c r="H81" s="45" t="str">
        <f>(IF((VLOOKUP(Table4[[#This Row],[SKU]],'All Skus'!$A:$AC,2,FALSE))="Crown",(VLOOKUP(Table4[[#This Row],[SKU]],'All Skus'!$A:$AC,9,FALSE)),""))</f>
        <v>Two-channel, 525W @ 4Ω Power Amplifier</v>
      </c>
      <c r="I81" s="94">
        <f>(IF((VLOOKUP(Table4[[#This Row],[SKU]],'All Skus'!$A:$AC,2,FALSE))="Crown",(VLOOKUP(Table4[[#This Row],[SKU]],'All Skus'!$A:$AC,10,FALSE)),""))</f>
        <v>851.45</v>
      </c>
      <c r="J81" s="94">
        <f>(IF((VLOOKUP(Table4[[#This Row],[SKU]],'All Skus'!$A:$AC,2,FALSE))="Crown",(VLOOKUP(Table4[[#This Row],[SKU]],'All Skus'!$A:$AC,11,FALSE)),""))</f>
        <v>555</v>
      </c>
      <c r="K81" s="60">
        <f>(IF((VLOOKUP(Table4[[#This Row],[SKU]],'All Skus'!$A:$AC,2,FALSE))="Crown",(VLOOKUP(Table4[[#This Row],[SKU]],'All Skus'!$A:$AC,15,FALSE)),""))</f>
        <v>1</v>
      </c>
      <c r="L81" s="47">
        <f>(IF((VLOOKUP(Table4[[#This Row],[SKU]],'All Skus'!$A:$AC,2,FALSE))="Crown",(VLOOKUP(Table4[[#This Row],[SKU]],'All Skus'!$A:$AC,16,FALSE)),""))</f>
        <v>691991001000</v>
      </c>
      <c r="M81" s="60">
        <f>(IF((VLOOKUP(Table4[[#This Row],[SKU]],'All Skus'!$A:$AC,2,FALSE))="Crown",(VLOOKUP(Table4[[#This Row],[SKU]],'All Skus'!$A:$AC,17,FALSE)),""))</f>
        <v>0</v>
      </c>
      <c r="N81" s="133">
        <f>(IF((VLOOKUP(Table4[[#This Row],[SKU]],'All Skus'!$A:$AC,2,FALSE))="Crown",(VLOOKUP(Table4[[#This Row],[SKU]],'All Skus'!$A:$AC,18,FALSE)),""))</f>
        <v>11</v>
      </c>
      <c r="O81" s="133">
        <f>(IF((VLOOKUP(Table4[[#This Row],[SKU]],'All Skus'!$A:$AC,2,FALSE))="Crown",(VLOOKUP(Table4[[#This Row],[SKU]],'All Skus'!$A:$AC,19,FALSE)),""))</f>
        <v>22</v>
      </c>
      <c r="P81" s="133">
        <f>(IF((VLOOKUP(Table4[[#This Row],[SKU]],'All Skus'!$A:$AC,2,FALSE))="Crown",(VLOOKUP(Table4[[#This Row],[SKU]],'All Skus'!$A:$AC,20,FALSE)),""))</f>
        <v>6</v>
      </c>
      <c r="Q81" s="133">
        <f>(IF((VLOOKUP(Table4[[#This Row],[SKU]],'All Skus'!$A:$AC,2,FALSE))="Crown",(VLOOKUP(Table4[[#This Row],[SKU]],'All Skus'!$A:$AC,21,FALSE)),""))</f>
        <v>12.5</v>
      </c>
      <c r="R81" s="60" t="str">
        <f>(IF((VLOOKUP(Table4[[#This Row],[SKU]],'All Skus'!$A:$AC,2,FALSE))="Crown",(VLOOKUP(Table4[[#This Row],[SKU]],'All Skus'!$A:$AC,22,FALSE)),""))</f>
        <v>CN</v>
      </c>
      <c r="S81" s="52" t="str">
        <f>(IF((VLOOKUP(Table4[[#This Row],[SKU]],'All Skus'!$A:$AC,2,FALSE))="Crown",(VLOOKUP(Table4[[#This Row],[SKU]],'All Skus'!$A:$AC,23,FALSE)),""))</f>
        <v>Non Compliant</v>
      </c>
      <c r="T81" s="211" t="str">
        <f>HYPERLINK((IF((VLOOKUP(Table4[[#This Row],[SKU]],'All Skus'!$A:$AC,2,FALSE))="Crown",(VLOOKUP(Table4[[#This Row],[SKU]],'All Skus'!$A:$AC,24,FALSE)),"")))</f>
        <v>http://www.crownaudio.com/en-US/products/xls-1502</v>
      </c>
      <c r="U81" s="151">
        <v>79</v>
      </c>
      <c r="V81"/>
      <c r="W81"/>
      <c r="X81"/>
      <c r="Y81"/>
      <c r="Z81"/>
    </row>
    <row r="82" spans="1:26" s="52" customFormat="1" ht="14.65" customHeight="1">
      <c r="A82" s="48" t="s">
        <v>939</v>
      </c>
      <c r="B82" s="52" t="str">
        <f>(IF((VLOOKUP(Table4[[#This Row],[SKU]],'All Skus'!$A:$AC,2,FALSE))="Crown",(VLOOKUP(Table4[[#This Row],[SKU]],'All Skus'!$A:$AC,3,FALSE)),""))</f>
        <v>XLS DriveCore 2</v>
      </c>
      <c r="C82" s="52" t="str">
        <f>(IF((VLOOKUP(Table4[[#This Row],[SKU]],'All Skus'!$A:$AC,2,FALSE))="Crown",(VLOOKUP(Table4[[#This Row],[SKU]],'All Skus'!$A:$AC,4,FALSE)),""))</f>
        <v xml:space="preserve">XLS2002 </v>
      </c>
      <c r="D82" s="60" t="str">
        <f>(IF((VLOOKUP(Table4[[#This Row],[SKU]],'All Skus'!$A:$AC,2,FALSE))="Crown",(VLOOKUP(Table4[[#This Row],[SKU]],'All Skus'!$A:$AC,5,FALSE)),""))</f>
        <v>XLS4</v>
      </c>
      <c r="E82" s="52">
        <f>(IF((VLOOKUP(Table4[[#This Row],[SKU]],'All Skus'!$A:$AC,2,FALSE))="Crown",(VLOOKUP(Table4[[#This Row],[SKU]],'All Skus'!$A:$AC,6,FALSE)),""))</f>
        <v>0</v>
      </c>
      <c r="F82" s="52">
        <f>(IF((VLOOKUP(Table4[[#This Row],[SKU]],'All Skus'!$A:$AC,2,FALSE))="Crown",(VLOOKUP(Table4[[#This Row],[SKU]],'All Skus'!$A:$AC,7,FALSE)),""))</f>
        <v>0</v>
      </c>
      <c r="G82" s="52" t="str">
        <f>(IF((VLOOKUP(Table4[[#This Row],[SKU]],'All Skus'!$A:$AC,2,FALSE))="Crown",(VLOOKUP(Table4[[#This Row],[SKU]],'All Skus'!$A:$AC,8,FALSE)),""))</f>
        <v>2x650W Power Amplifier</v>
      </c>
      <c r="H82" s="45" t="str">
        <f>(IF((VLOOKUP(Table4[[#This Row],[SKU]],'All Skus'!$A:$AC,2,FALSE))="Crown",(VLOOKUP(Table4[[#This Row],[SKU]],'All Skus'!$A:$AC,9,FALSE)),""))</f>
        <v>Two-channel, 650W @ 4Ω Power Amplifier</v>
      </c>
      <c r="I82" s="94">
        <f>(IF((VLOOKUP(Table4[[#This Row],[SKU]],'All Skus'!$A:$AC,2,FALSE))="Crown",(VLOOKUP(Table4[[#This Row],[SKU]],'All Skus'!$A:$AC,10,FALSE)),""))</f>
        <v>855.27</v>
      </c>
      <c r="J82" s="94">
        <f>(IF((VLOOKUP(Table4[[#This Row],[SKU]],'All Skus'!$A:$AC,2,FALSE))="Crown",(VLOOKUP(Table4[[#This Row],[SKU]],'All Skus'!$A:$AC,11,FALSE)),""))</f>
        <v>679</v>
      </c>
      <c r="K82" s="60">
        <f>(IF((VLOOKUP(Table4[[#This Row],[SKU]],'All Skus'!$A:$AC,2,FALSE))="Crown",(VLOOKUP(Table4[[#This Row],[SKU]],'All Skus'!$A:$AC,15,FALSE)),""))</f>
        <v>1</v>
      </c>
      <c r="L82" s="47">
        <f>(IF((VLOOKUP(Table4[[#This Row],[SKU]],'All Skus'!$A:$AC,2,FALSE))="Crown",(VLOOKUP(Table4[[#This Row],[SKU]],'All Skus'!$A:$AC,16,FALSE)),""))</f>
        <v>691991001086</v>
      </c>
      <c r="M82" s="60">
        <f>(IF((VLOOKUP(Table4[[#This Row],[SKU]],'All Skus'!$A:$AC,2,FALSE))="Crown",(VLOOKUP(Table4[[#This Row],[SKU]],'All Skus'!$A:$AC,17,FALSE)),""))</f>
        <v>0</v>
      </c>
      <c r="N82" s="133">
        <f>(IF((VLOOKUP(Table4[[#This Row],[SKU]],'All Skus'!$A:$AC,2,FALSE))="Crown",(VLOOKUP(Table4[[#This Row],[SKU]],'All Skus'!$A:$AC,18,FALSE)),""))</f>
        <v>13.5</v>
      </c>
      <c r="O82" s="133">
        <f>(IF((VLOOKUP(Table4[[#This Row],[SKU]],'All Skus'!$A:$AC,2,FALSE))="Crown",(VLOOKUP(Table4[[#This Row],[SKU]],'All Skus'!$A:$AC,19,FALSE)),""))</f>
        <v>21.5</v>
      </c>
      <c r="P82" s="133">
        <f>(IF((VLOOKUP(Table4[[#This Row],[SKU]],'All Skus'!$A:$AC,2,FALSE))="Crown",(VLOOKUP(Table4[[#This Row],[SKU]],'All Skus'!$A:$AC,20,FALSE)),""))</f>
        <v>6</v>
      </c>
      <c r="Q82" s="133">
        <f>(IF((VLOOKUP(Table4[[#This Row],[SKU]],'All Skus'!$A:$AC,2,FALSE))="Crown",(VLOOKUP(Table4[[#This Row],[SKU]],'All Skus'!$A:$AC,21,FALSE)),""))</f>
        <v>14</v>
      </c>
      <c r="R82" s="60" t="str">
        <f>(IF((VLOOKUP(Table4[[#This Row],[SKU]],'All Skus'!$A:$AC,2,FALSE))="Crown",(VLOOKUP(Table4[[#This Row],[SKU]],'All Skus'!$A:$AC,22,FALSE)),""))</f>
        <v>CN</v>
      </c>
      <c r="S82" s="52" t="str">
        <f>(IF((VLOOKUP(Table4[[#This Row],[SKU]],'All Skus'!$A:$AC,2,FALSE))="Crown",(VLOOKUP(Table4[[#This Row],[SKU]],'All Skus'!$A:$AC,23,FALSE)),""))</f>
        <v>Non Compliant</v>
      </c>
      <c r="T82" s="211" t="str">
        <f>HYPERLINK((IF((VLOOKUP(Table4[[#This Row],[SKU]],'All Skus'!$A:$AC,2,FALSE))="Crown",(VLOOKUP(Table4[[#This Row],[SKU]],'All Skus'!$A:$AC,24,FALSE)),"")))</f>
        <v>http://www.crownaudio.com/en-US/products/xls-2002</v>
      </c>
      <c r="U82" s="151">
        <v>80</v>
      </c>
      <c r="V82"/>
      <c r="W82"/>
      <c r="X82"/>
      <c r="Y82"/>
      <c r="Z82"/>
    </row>
    <row r="83" spans="1:26" s="52" customFormat="1" ht="14.65" customHeight="1">
      <c r="A83" s="48" t="s">
        <v>940</v>
      </c>
      <c r="B83" s="52" t="str">
        <f>(IF((VLOOKUP(Table4[[#This Row],[SKU]],'All Skus'!$A:$AC,2,FALSE))="Crown",(VLOOKUP(Table4[[#This Row],[SKU]],'All Skus'!$A:$AC,3,FALSE)),""))</f>
        <v>XLS DriveCore 2</v>
      </c>
      <c r="C83" s="52" t="str">
        <f>(IF((VLOOKUP(Table4[[#This Row],[SKU]],'All Skus'!$A:$AC,2,FALSE))="Crown",(VLOOKUP(Table4[[#This Row],[SKU]],'All Skus'!$A:$AC,4,FALSE)),""))</f>
        <v xml:space="preserve">XLS2502 </v>
      </c>
      <c r="D83" s="60" t="str">
        <f>(IF((VLOOKUP(Table4[[#This Row],[SKU]],'All Skus'!$A:$AC,2,FALSE))="Crown",(VLOOKUP(Table4[[#This Row],[SKU]],'All Skus'!$A:$AC,5,FALSE)),""))</f>
        <v>XLS4</v>
      </c>
      <c r="E83" s="52">
        <f>(IF((VLOOKUP(Table4[[#This Row],[SKU]],'All Skus'!$A:$AC,2,FALSE))="Crown",(VLOOKUP(Table4[[#This Row],[SKU]],'All Skus'!$A:$AC,6,FALSE)),""))</f>
        <v>0</v>
      </c>
      <c r="F83" s="52">
        <f>(IF((VLOOKUP(Table4[[#This Row],[SKU]],'All Skus'!$A:$AC,2,FALSE))="Crown",(VLOOKUP(Table4[[#This Row],[SKU]],'All Skus'!$A:$AC,7,FALSE)),""))</f>
        <v>0</v>
      </c>
      <c r="G83" s="52" t="str">
        <f>(IF((VLOOKUP(Table4[[#This Row],[SKU]],'All Skus'!$A:$AC,2,FALSE))="Crown",(VLOOKUP(Table4[[#This Row],[SKU]],'All Skus'!$A:$AC,8,FALSE)),""))</f>
        <v>2x775W Power Amplifier</v>
      </c>
      <c r="H83" s="45" t="str">
        <f>(IF((VLOOKUP(Table4[[#This Row],[SKU]],'All Skus'!$A:$AC,2,FALSE))="Crown",(VLOOKUP(Table4[[#This Row],[SKU]],'All Skus'!$A:$AC,9,FALSE)),""))</f>
        <v>Two-channel, 775W @ 4Ω Power Amplifier</v>
      </c>
      <c r="I83" s="94">
        <f>(IF((VLOOKUP(Table4[[#This Row],[SKU]],'All Skus'!$A:$AC,2,FALSE))="Crown",(VLOOKUP(Table4[[#This Row],[SKU]],'All Skus'!$A:$AC,10,FALSE)),""))</f>
        <v>1485.8</v>
      </c>
      <c r="J83" s="94">
        <f>(IF((VLOOKUP(Table4[[#This Row],[SKU]],'All Skus'!$A:$AC,2,FALSE))="Crown",(VLOOKUP(Table4[[#This Row],[SKU]],'All Skus'!$A:$AC,11,FALSE)),""))</f>
        <v>805</v>
      </c>
      <c r="K83" s="60">
        <f>(IF((VLOOKUP(Table4[[#This Row],[SKU]],'All Skus'!$A:$AC,2,FALSE))="Crown",(VLOOKUP(Table4[[#This Row],[SKU]],'All Skus'!$A:$AC,15,FALSE)),""))</f>
        <v>1</v>
      </c>
      <c r="L83" s="47">
        <f>(IF((VLOOKUP(Table4[[#This Row],[SKU]],'All Skus'!$A:$AC,2,FALSE))="Crown",(VLOOKUP(Table4[[#This Row],[SKU]],'All Skus'!$A:$AC,16,FALSE)),""))</f>
        <v>691991001161</v>
      </c>
      <c r="M83" s="60">
        <f>(IF((VLOOKUP(Table4[[#This Row],[SKU]],'All Skus'!$A:$AC,2,FALSE))="Crown",(VLOOKUP(Table4[[#This Row],[SKU]],'All Skus'!$A:$AC,17,FALSE)),""))</f>
        <v>0</v>
      </c>
      <c r="N83" s="133">
        <f>(IF((VLOOKUP(Table4[[#This Row],[SKU]],'All Skus'!$A:$AC,2,FALSE))="Crown",(VLOOKUP(Table4[[#This Row],[SKU]],'All Skus'!$A:$AC,18,FALSE)),""))</f>
        <v>10</v>
      </c>
      <c r="O83" s="133">
        <f>(IF((VLOOKUP(Table4[[#This Row],[SKU]],'All Skus'!$A:$AC,2,FALSE))="Crown",(VLOOKUP(Table4[[#This Row],[SKU]],'All Skus'!$A:$AC,19,FALSE)),""))</f>
        <v>21</v>
      </c>
      <c r="P83" s="133">
        <f>(IF((VLOOKUP(Table4[[#This Row],[SKU]],'All Skus'!$A:$AC,2,FALSE))="Crown",(VLOOKUP(Table4[[#This Row],[SKU]],'All Skus'!$A:$AC,20,FALSE)),""))</f>
        <v>14.5</v>
      </c>
      <c r="Q83" s="133">
        <f>(IF((VLOOKUP(Table4[[#This Row],[SKU]],'All Skus'!$A:$AC,2,FALSE))="Crown",(VLOOKUP(Table4[[#This Row],[SKU]],'All Skus'!$A:$AC,21,FALSE)),""))</f>
        <v>6</v>
      </c>
      <c r="R83" s="60" t="str">
        <f>(IF((VLOOKUP(Table4[[#This Row],[SKU]],'All Skus'!$A:$AC,2,FALSE))="Crown",(VLOOKUP(Table4[[#This Row],[SKU]],'All Skus'!$A:$AC,22,FALSE)),""))</f>
        <v>CN</v>
      </c>
      <c r="S83" s="52" t="str">
        <f>(IF((VLOOKUP(Table4[[#This Row],[SKU]],'All Skus'!$A:$AC,2,FALSE))="Crown",(VLOOKUP(Table4[[#This Row],[SKU]],'All Skus'!$A:$AC,23,FALSE)),""))</f>
        <v>Non Compliant</v>
      </c>
      <c r="T83" s="211" t="str">
        <f>HYPERLINK((IF((VLOOKUP(Table4[[#This Row],[SKU]],'All Skus'!$A:$AC,2,FALSE))="Crown",(VLOOKUP(Table4[[#This Row],[SKU]],'All Skus'!$A:$AC,24,FALSE)),"")))</f>
        <v>http://www.crownaudio.com/en-US/products/xls-2502</v>
      </c>
      <c r="U83" s="151">
        <v>81</v>
      </c>
      <c r="V83"/>
      <c r="W83"/>
      <c r="X83"/>
      <c r="Y83"/>
      <c r="Z83"/>
    </row>
    <row r="84" spans="1:26" s="52" customFormat="1" ht="14.65" customHeight="1">
      <c r="A84" s="48" t="s">
        <v>941</v>
      </c>
      <c r="B84" s="52" t="str">
        <f>(IF((VLOOKUP(Table4[[#This Row],[SKU]],'All Skus'!$A:$AC,2,FALSE))="Crown",(VLOOKUP(Table4[[#This Row],[SKU]],'All Skus'!$A:$AC,3,FALSE)),""))</f>
        <v>XTi 2</v>
      </c>
      <c r="C84" s="52" t="str">
        <f>(IF((VLOOKUP(Table4[[#This Row],[SKU]],'All Skus'!$A:$AC,2,FALSE))="Crown",(VLOOKUP(Table4[[#This Row],[SKU]],'All Skus'!$A:$AC,4,FALSE)),""))</f>
        <v>XTI1002</v>
      </c>
      <c r="D84" s="60" t="str">
        <f>(IF((VLOOKUP(Table4[[#This Row],[SKU]],'All Skus'!$A:$AC,2,FALSE))="Crown",(VLOOKUP(Table4[[#This Row],[SKU]],'All Skus'!$A:$AC,5,FALSE)),""))</f>
        <v>XTI2</v>
      </c>
      <c r="E84" s="52">
        <f>(IF((VLOOKUP(Table4[[#This Row],[SKU]],'All Skus'!$A:$AC,2,FALSE))="Crown",(VLOOKUP(Table4[[#This Row],[SKU]],'All Skus'!$A:$AC,6,FALSE)),""))</f>
        <v>0</v>
      </c>
      <c r="F84" s="52">
        <f>(IF((VLOOKUP(Table4[[#This Row],[SKU]],'All Skus'!$A:$AC,2,FALSE))="Crown",(VLOOKUP(Table4[[#This Row],[SKU]],'All Skus'!$A:$AC,7,FALSE)),""))</f>
        <v>0</v>
      </c>
      <c r="G84" s="52" t="str">
        <f>(IF((VLOOKUP(Table4[[#This Row],[SKU]],'All Skus'!$A:$AC,2,FALSE))="Crown",(VLOOKUP(Table4[[#This Row],[SKU]],'All Skus'!$A:$AC,8,FALSE)),""))</f>
        <v>2x500W Power Amplifier</v>
      </c>
      <c r="H84" s="45" t="str">
        <f>(IF((VLOOKUP(Table4[[#This Row],[SKU]],'All Skus'!$A:$AC,2,FALSE))="Crown",(VLOOKUP(Table4[[#This Row],[SKU]],'All Skus'!$A:$AC,9,FALSE)),""))</f>
        <v>Two-channel, 500W @ 4Ω Power Amplifier</v>
      </c>
      <c r="I84" s="94">
        <f>(IF((VLOOKUP(Table4[[#This Row],[SKU]],'All Skus'!$A:$AC,2,FALSE))="Crown",(VLOOKUP(Table4[[#This Row],[SKU]],'All Skus'!$A:$AC,10,FALSE)),""))</f>
        <v>1395.04</v>
      </c>
      <c r="J84" s="94">
        <f>(IF((VLOOKUP(Table4[[#This Row],[SKU]],'All Skus'!$A:$AC,2,FALSE))="Crown",(VLOOKUP(Table4[[#This Row],[SKU]],'All Skus'!$A:$AC,11,FALSE)),""))</f>
        <v>699</v>
      </c>
      <c r="K84" s="60">
        <f>(IF((VLOOKUP(Table4[[#This Row],[SKU]],'All Skus'!$A:$AC,2,FALSE))="Crown",(VLOOKUP(Table4[[#This Row],[SKU]],'All Skus'!$A:$AC,15,FALSE)),""))</f>
        <v>1</v>
      </c>
      <c r="L84" s="47">
        <f>(IF((VLOOKUP(Table4[[#This Row],[SKU]],'All Skus'!$A:$AC,2,FALSE))="Crown",(VLOOKUP(Table4[[#This Row],[SKU]],'All Skus'!$A:$AC,16,FALSE)),""))</f>
        <v>871015005232</v>
      </c>
      <c r="M84" s="60">
        <f>(IF((VLOOKUP(Table4[[#This Row],[SKU]],'All Skus'!$A:$AC,2,FALSE))="Crown",(VLOOKUP(Table4[[#This Row],[SKU]],'All Skus'!$A:$AC,17,FALSE)),""))</f>
        <v>0</v>
      </c>
      <c r="N84" s="133">
        <f>(IF((VLOOKUP(Table4[[#This Row],[SKU]],'All Skus'!$A:$AC,2,FALSE))="Crown",(VLOOKUP(Table4[[#This Row],[SKU]],'All Skus'!$A:$AC,18,FALSE)),""))</f>
        <v>0.5</v>
      </c>
      <c r="O84" s="133">
        <f>(IF((VLOOKUP(Table4[[#This Row],[SKU]],'All Skus'!$A:$AC,2,FALSE))="Crown",(VLOOKUP(Table4[[#This Row],[SKU]],'All Skus'!$A:$AC,19,FALSE)),""))</f>
        <v>19</v>
      </c>
      <c r="P84" s="133">
        <f>(IF((VLOOKUP(Table4[[#This Row],[SKU]],'All Skus'!$A:$AC,2,FALSE))="Crown",(VLOOKUP(Table4[[#This Row],[SKU]],'All Skus'!$A:$AC,20,FALSE)),""))</f>
        <v>22.5</v>
      </c>
      <c r="Q84" s="133">
        <f>(IF((VLOOKUP(Table4[[#This Row],[SKU]],'All Skus'!$A:$AC,2,FALSE))="Crown",(VLOOKUP(Table4[[#This Row],[SKU]],'All Skus'!$A:$AC,21,FALSE)),""))</f>
        <v>7</v>
      </c>
      <c r="R84" s="60" t="str">
        <f>(IF((VLOOKUP(Table4[[#This Row],[SKU]],'All Skus'!$A:$AC,2,FALSE))="Crown",(VLOOKUP(Table4[[#This Row],[SKU]],'All Skus'!$A:$AC,22,FALSE)),""))</f>
        <v>CN</v>
      </c>
      <c r="S84" s="52" t="str">
        <f>(IF((VLOOKUP(Table4[[#This Row],[SKU]],'All Skus'!$A:$AC,2,FALSE))="Crown",(VLOOKUP(Table4[[#This Row],[SKU]],'All Skus'!$A:$AC,23,FALSE)),""))</f>
        <v>Non Compliant</v>
      </c>
      <c r="T84" s="211" t="str">
        <f>HYPERLINK((IF((VLOOKUP(Table4[[#This Row],[SKU]],'All Skus'!$A:$AC,2,FALSE))="Crown",(VLOOKUP(Table4[[#This Row],[SKU]],'All Skus'!$A:$AC,24,FALSE)),"")))</f>
        <v>http://www.crownaudio.com/en-US/products/xti-1002</v>
      </c>
      <c r="U84" s="151">
        <v>82</v>
      </c>
      <c r="V84"/>
      <c r="W84"/>
      <c r="X84"/>
      <c r="Y84"/>
      <c r="Z84"/>
    </row>
    <row r="85" spans="1:26" s="52" customFormat="1" ht="14.65" customHeight="1">
      <c r="A85" s="48" t="s">
        <v>942</v>
      </c>
      <c r="B85" s="52" t="str">
        <f>(IF((VLOOKUP(Table4[[#This Row],[SKU]],'All Skus'!$A:$AC,2,FALSE))="Crown",(VLOOKUP(Table4[[#This Row],[SKU]],'All Skus'!$A:$AC,3,FALSE)),""))</f>
        <v>XTi 2</v>
      </c>
      <c r="C85" s="52" t="str">
        <f>(IF((VLOOKUP(Table4[[#This Row],[SKU]],'All Skus'!$A:$AC,2,FALSE))="Crown",(VLOOKUP(Table4[[#This Row],[SKU]],'All Skus'!$A:$AC,4,FALSE)),""))</f>
        <v>XTI1002</v>
      </c>
      <c r="D85" s="60" t="str">
        <f>(IF((VLOOKUP(Table4[[#This Row],[SKU]],'All Skus'!$A:$AC,2,FALSE))="Crown",(VLOOKUP(Table4[[#This Row],[SKU]],'All Skus'!$A:$AC,5,FALSE)),""))</f>
        <v>XTI2</v>
      </c>
      <c r="E85" s="52">
        <f>(IF((VLOOKUP(Table4[[#This Row],[SKU]],'All Skus'!$A:$AC,2,FALSE))="Crown",(VLOOKUP(Table4[[#This Row],[SKU]],'All Skus'!$A:$AC,6,FALSE)),""))</f>
        <v>0</v>
      </c>
      <c r="F85" s="52">
        <f>(IF((VLOOKUP(Table4[[#This Row],[SKU]],'All Skus'!$A:$AC,2,FALSE))="Crown",(VLOOKUP(Table4[[#This Row],[SKU]],'All Skus'!$A:$AC,7,FALSE)),""))</f>
        <v>0</v>
      </c>
      <c r="G85" s="52" t="str">
        <f>(IF((VLOOKUP(Table4[[#This Row],[SKU]],'All Skus'!$A:$AC,2,FALSE))="Crown",(VLOOKUP(Table4[[#This Row],[SKU]],'All Skus'!$A:$AC,8,FALSE)),""))</f>
        <v>2x500W Power Amplifier</v>
      </c>
      <c r="H85" s="45" t="str">
        <f>(IF((VLOOKUP(Table4[[#This Row],[SKU]],'All Skus'!$A:$AC,2,FALSE))="Crown",(VLOOKUP(Table4[[#This Row],[SKU]],'All Skus'!$A:$AC,9,FALSE)),""))</f>
        <v>Two-channel, 500W @ 4Ω Power Amplifier</v>
      </c>
      <c r="I85" s="94">
        <f>(IF((VLOOKUP(Table4[[#This Row],[SKU]],'All Skus'!$A:$AC,2,FALSE))="Crown",(VLOOKUP(Table4[[#This Row],[SKU]],'All Skus'!$A:$AC,10,FALSE)),""))</f>
        <v>1395.04</v>
      </c>
      <c r="J85" s="94">
        <f>(IF((VLOOKUP(Table4[[#This Row],[SKU]],'All Skus'!$A:$AC,2,FALSE))="Crown",(VLOOKUP(Table4[[#This Row],[SKU]],'All Skus'!$A:$AC,11,FALSE)),""))</f>
        <v>699</v>
      </c>
      <c r="K85" s="60">
        <f>(IF((VLOOKUP(Table4[[#This Row],[SKU]],'All Skus'!$A:$AC,2,FALSE))="Crown",(VLOOKUP(Table4[[#This Row],[SKU]],'All Skus'!$A:$AC,15,FALSE)),""))</f>
        <v>1</v>
      </c>
      <c r="L85" s="47">
        <f>(IF((VLOOKUP(Table4[[#This Row],[SKU]],'All Skus'!$A:$AC,2,FALSE))="Crown",(VLOOKUP(Table4[[#This Row],[SKU]],'All Skus'!$A:$AC,16,FALSE)),""))</f>
        <v>871015005232</v>
      </c>
      <c r="M85" s="60">
        <f>(IF((VLOOKUP(Table4[[#This Row],[SKU]],'All Skus'!$A:$AC,2,FALSE))="Crown",(VLOOKUP(Table4[[#This Row],[SKU]],'All Skus'!$A:$AC,17,FALSE)),""))</f>
        <v>0</v>
      </c>
      <c r="N85" s="133">
        <f>(IF((VLOOKUP(Table4[[#This Row],[SKU]],'All Skus'!$A:$AC,2,FALSE))="Crown",(VLOOKUP(Table4[[#This Row],[SKU]],'All Skus'!$A:$AC,18,FALSE)),""))</f>
        <v>0.5</v>
      </c>
      <c r="O85" s="133">
        <f>(IF((VLOOKUP(Table4[[#This Row],[SKU]],'All Skus'!$A:$AC,2,FALSE))="Crown",(VLOOKUP(Table4[[#This Row],[SKU]],'All Skus'!$A:$AC,19,FALSE)),""))</f>
        <v>19</v>
      </c>
      <c r="P85" s="133">
        <f>(IF((VLOOKUP(Table4[[#This Row],[SKU]],'All Skus'!$A:$AC,2,FALSE))="Crown",(VLOOKUP(Table4[[#This Row],[SKU]],'All Skus'!$A:$AC,20,FALSE)),""))</f>
        <v>22.5</v>
      </c>
      <c r="Q85" s="133">
        <f>(IF((VLOOKUP(Table4[[#This Row],[SKU]],'All Skus'!$A:$AC,2,FALSE))="Crown",(VLOOKUP(Table4[[#This Row],[SKU]],'All Skus'!$A:$AC,21,FALSE)),""))</f>
        <v>7</v>
      </c>
      <c r="R85" s="60" t="str">
        <f>(IF((VLOOKUP(Table4[[#This Row],[SKU]],'All Skus'!$A:$AC,2,FALSE))="Crown",(VLOOKUP(Table4[[#This Row],[SKU]],'All Skus'!$A:$AC,22,FALSE)),""))</f>
        <v>CN</v>
      </c>
      <c r="S85" s="52" t="str">
        <f>(IF((VLOOKUP(Table4[[#This Row],[SKU]],'All Skus'!$A:$AC,2,FALSE))="Crown",(VLOOKUP(Table4[[#This Row],[SKU]],'All Skus'!$A:$AC,23,FALSE)),""))</f>
        <v>Non Compliant</v>
      </c>
      <c r="T85" s="211" t="str">
        <f>HYPERLINK((IF((VLOOKUP(Table4[[#This Row],[SKU]],'All Skus'!$A:$AC,2,FALSE))="Crown",(VLOOKUP(Table4[[#This Row],[SKU]],'All Skus'!$A:$AC,24,FALSE)),"")))</f>
        <v>http://www.crownaudio.com/en-US/products/xti-1002</v>
      </c>
      <c r="U85" s="151">
        <v>83</v>
      </c>
      <c r="V85"/>
      <c r="W85"/>
      <c r="X85"/>
      <c r="Y85"/>
      <c r="Z85"/>
    </row>
    <row r="86" spans="1:26" s="52" customFormat="1" ht="14.65" customHeight="1">
      <c r="A86" s="48" t="s">
        <v>943</v>
      </c>
      <c r="B86" s="52" t="str">
        <f>(IF((VLOOKUP(Table4[[#This Row],[SKU]],'All Skus'!$A:$AC,2,FALSE))="Crown",(VLOOKUP(Table4[[#This Row],[SKU]],'All Skus'!$A:$AC,3,FALSE)),""))</f>
        <v>XTi 2</v>
      </c>
      <c r="C86" s="52" t="str">
        <f>(IF((VLOOKUP(Table4[[#This Row],[SKU]],'All Skus'!$A:$AC,2,FALSE))="Crown",(VLOOKUP(Table4[[#This Row],[SKU]],'All Skus'!$A:$AC,4,FALSE)),""))</f>
        <v>XTI2002</v>
      </c>
      <c r="D86" s="60" t="str">
        <f>(IF((VLOOKUP(Table4[[#This Row],[SKU]],'All Skus'!$A:$AC,2,FALSE))="Crown",(VLOOKUP(Table4[[#This Row],[SKU]],'All Skus'!$A:$AC,5,FALSE)),""))</f>
        <v>XTI2</v>
      </c>
      <c r="E86" s="52">
        <f>(IF((VLOOKUP(Table4[[#This Row],[SKU]],'All Skus'!$A:$AC,2,FALSE))="Crown",(VLOOKUP(Table4[[#This Row],[SKU]],'All Skus'!$A:$AC,6,FALSE)),""))</f>
        <v>0</v>
      </c>
      <c r="F86" s="52">
        <f>(IF((VLOOKUP(Table4[[#This Row],[SKU]],'All Skus'!$A:$AC,2,FALSE))="Crown",(VLOOKUP(Table4[[#This Row],[SKU]],'All Skus'!$A:$AC,7,FALSE)),""))</f>
        <v>0</v>
      </c>
      <c r="G86" s="52" t="str">
        <f>(IF((VLOOKUP(Table4[[#This Row],[SKU]],'All Skus'!$A:$AC,2,FALSE))="Crown",(VLOOKUP(Table4[[#This Row],[SKU]],'All Skus'!$A:$AC,8,FALSE)),""))</f>
        <v>2x800W Power Amplifier</v>
      </c>
      <c r="H86" s="45" t="str">
        <f>(IF((VLOOKUP(Table4[[#This Row],[SKU]],'All Skus'!$A:$AC,2,FALSE))="Crown",(VLOOKUP(Table4[[#This Row],[SKU]],'All Skus'!$A:$AC,9,FALSE)),""))</f>
        <v>Two-channel, 800W @ 4Ω Power Amplifier</v>
      </c>
      <c r="I86" s="94">
        <f>(IF((VLOOKUP(Table4[[#This Row],[SKU]],'All Skus'!$A:$AC,2,FALSE))="Crown",(VLOOKUP(Table4[[#This Row],[SKU]],'All Skus'!$A:$AC,10,FALSE)),""))</f>
        <v>1710.22</v>
      </c>
      <c r="J86" s="94">
        <f>(IF((VLOOKUP(Table4[[#This Row],[SKU]],'All Skus'!$A:$AC,2,FALSE))="Crown",(VLOOKUP(Table4[[#This Row],[SKU]],'All Skus'!$A:$AC,11,FALSE)),""))</f>
        <v>995</v>
      </c>
      <c r="K86" s="60">
        <f>(IF((VLOOKUP(Table4[[#This Row],[SKU]],'All Skus'!$A:$AC,2,FALSE))="Crown",(VLOOKUP(Table4[[#This Row],[SKU]],'All Skus'!$A:$AC,15,FALSE)),""))</f>
        <v>1</v>
      </c>
      <c r="L86" s="47">
        <f>(IF((VLOOKUP(Table4[[#This Row],[SKU]],'All Skus'!$A:$AC,2,FALSE))="Crown",(VLOOKUP(Table4[[#This Row],[SKU]],'All Skus'!$A:$AC,16,FALSE)),""))</f>
        <v>871015005317</v>
      </c>
      <c r="M86" s="60">
        <f>(IF((VLOOKUP(Table4[[#This Row],[SKU]],'All Skus'!$A:$AC,2,FALSE))="Crown",(VLOOKUP(Table4[[#This Row],[SKU]],'All Skus'!$A:$AC,17,FALSE)),""))</f>
        <v>0</v>
      </c>
      <c r="N86" s="133">
        <f>(IF((VLOOKUP(Table4[[#This Row],[SKU]],'All Skus'!$A:$AC,2,FALSE))="Crown",(VLOOKUP(Table4[[#This Row],[SKU]],'All Skus'!$A:$AC,18,FALSE)),""))</f>
        <v>23</v>
      </c>
      <c r="O86" s="133">
        <f>(IF((VLOOKUP(Table4[[#This Row],[SKU]],'All Skus'!$A:$AC,2,FALSE))="Crown",(VLOOKUP(Table4[[#This Row],[SKU]],'All Skus'!$A:$AC,19,FALSE)),""))</f>
        <v>22.5</v>
      </c>
      <c r="P86" s="133">
        <f>(IF((VLOOKUP(Table4[[#This Row],[SKU]],'All Skus'!$A:$AC,2,FALSE))="Crown",(VLOOKUP(Table4[[#This Row],[SKU]],'All Skus'!$A:$AC,20,FALSE)),""))</f>
        <v>7.5</v>
      </c>
      <c r="Q86" s="133">
        <f>(IF((VLOOKUP(Table4[[#This Row],[SKU]],'All Skus'!$A:$AC,2,FALSE))="Crown",(VLOOKUP(Table4[[#This Row],[SKU]],'All Skus'!$A:$AC,21,FALSE)),""))</f>
        <v>19.5</v>
      </c>
      <c r="R86" s="60" t="str">
        <f>(IF((VLOOKUP(Table4[[#This Row],[SKU]],'All Skus'!$A:$AC,2,FALSE))="Crown",(VLOOKUP(Table4[[#This Row],[SKU]],'All Skus'!$A:$AC,22,FALSE)),""))</f>
        <v>CN</v>
      </c>
      <c r="S86" s="52" t="str">
        <f>(IF((VLOOKUP(Table4[[#This Row],[SKU]],'All Skus'!$A:$AC,2,FALSE))="Crown",(VLOOKUP(Table4[[#This Row],[SKU]],'All Skus'!$A:$AC,23,FALSE)),""))</f>
        <v>Non Compliant</v>
      </c>
      <c r="T86" s="211" t="str">
        <f>HYPERLINK((IF((VLOOKUP(Table4[[#This Row],[SKU]],'All Skus'!$A:$AC,2,FALSE))="Crown",(VLOOKUP(Table4[[#This Row],[SKU]],'All Skus'!$A:$AC,24,FALSE)),"")))</f>
        <v>http://www.crownaudio.com/en-US/products/xti-2002</v>
      </c>
      <c r="U86" s="151">
        <v>84</v>
      </c>
      <c r="V86"/>
      <c r="W86"/>
      <c r="X86"/>
      <c r="Y86"/>
      <c r="Z86"/>
    </row>
    <row r="87" spans="1:26" s="52" customFormat="1" ht="14.65" customHeight="1">
      <c r="A87" s="48" t="s">
        <v>944</v>
      </c>
      <c r="B87" s="52" t="str">
        <f>(IF((VLOOKUP(Table4[[#This Row],[SKU]],'All Skus'!$A:$AC,2,FALSE))="Crown",(VLOOKUP(Table4[[#This Row],[SKU]],'All Skus'!$A:$AC,3,FALSE)),""))</f>
        <v>XTi 2</v>
      </c>
      <c r="C87" s="52" t="str">
        <f>(IF((VLOOKUP(Table4[[#This Row],[SKU]],'All Skus'!$A:$AC,2,FALSE))="Crown",(VLOOKUP(Table4[[#This Row],[SKU]],'All Skus'!$A:$AC,4,FALSE)),""))</f>
        <v>XTI2002</v>
      </c>
      <c r="D87" s="60" t="str">
        <f>(IF((VLOOKUP(Table4[[#This Row],[SKU]],'All Skus'!$A:$AC,2,FALSE))="Crown",(VLOOKUP(Table4[[#This Row],[SKU]],'All Skus'!$A:$AC,5,FALSE)),""))</f>
        <v>XTI2</v>
      </c>
      <c r="E87" s="52">
        <f>(IF((VLOOKUP(Table4[[#This Row],[SKU]],'All Skus'!$A:$AC,2,FALSE))="Crown",(VLOOKUP(Table4[[#This Row],[SKU]],'All Skus'!$A:$AC,6,FALSE)),""))</f>
        <v>0</v>
      </c>
      <c r="F87" s="52">
        <f>(IF((VLOOKUP(Table4[[#This Row],[SKU]],'All Skus'!$A:$AC,2,FALSE))="Crown",(VLOOKUP(Table4[[#This Row],[SKU]],'All Skus'!$A:$AC,7,FALSE)),""))</f>
        <v>0</v>
      </c>
      <c r="G87" s="52" t="str">
        <f>(IF((VLOOKUP(Table4[[#This Row],[SKU]],'All Skus'!$A:$AC,2,FALSE))="Crown",(VLOOKUP(Table4[[#This Row],[SKU]],'All Skus'!$A:$AC,8,FALSE)),""))</f>
        <v>2x800W Power Amplifier</v>
      </c>
      <c r="H87" s="45" t="str">
        <f>(IF((VLOOKUP(Table4[[#This Row],[SKU]],'All Skus'!$A:$AC,2,FALSE))="Crown",(VLOOKUP(Table4[[#This Row],[SKU]],'All Skus'!$A:$AC,9,FALSE)),""))</f>
        <v>Two-channel, 800W @ 4Ω Power Amplifier</v>
      </c>
      <c r="I87" s="94">
        <f>(IF((VLOOKUP(Table4[[#This Row],[SKU]],'All Skus'!$A:$AC,2,FALSE))="Crown",(VLOOKUP(Table4[[#This Row],[SKU]],'All Skus'!$A:$AC,10,FALSE)),""))</f>
        <v>1710.22</v>
      </c>
      <c r="J87" s="94">
        <f>(IF((VLOOKUP(Table4[[#This Row],[SKU]],'All Skus'!$A:$AC,2,FALSE))="Crown",(VLOOKUP(Table4[[#This Row],[SKU]],'All Skus'!$A:$AC,11,FALSE)),""))</f>
        <v>995</v>
      </c>
      <c r="K87" s="60">
        <f>(IF((VLOOKUP(Table4[[#This Row],[SKU]],'All Skus'!$A:$AC,2,FALSE))="Crown",(VLOOKUP(Table4[[#This Row],[SKU]],'All Skus'!$A:$AC,15,FALSE)),""))</f>
        <v>1</v>
      </c>
      <c r="L87" s="47">
        <f>(IF((VLOOKUP(Table4[[#This Row],[SKU]],'All Skus'!$A:$AC,2,FALSE))="Crown",(VLOOKUP(Table4[[#This Row],[SKU]],'All Skus'!$A:$AC,16,FALSE)),""))</f>
        <v>871015005317</v>
      </c>
      <c r="M87" s="60">
        <f>(IF((VLOOKUP(Table4[[#This Row],[SKU]],'All Skus'!$A:$AC,2,FALSE))="Crown",(VLOOKUP(Table4[[#This Row],[SKU]],'All Skus'!$A:$AC,17,FALSE)),""))</f>
        <v>0</v>
      </c>
      <c r="N87" s="133">
        <f>(IF((VLOOKUP(Table4[[#This Row],[SKU]],'All Skus'!$A:$AC,2,FALSE))="Crown",(VLOOKUP(Table4[[#This Row],[SKU]],'All Skus'!$A:$AC,18,FALSE)),""))</f>
        <v>23</v>
      </c>
      <c r="O87" s="133">
        <f>(IF((VLOOKUP(Table4[[#This Row],[SKU]],'All Skus'!$A:$AC,2,FALSE))="Crown",(VLOOKUP(Table4[[#This Row],[SKU]],'All Skus'!$A:$AC,19,FALSE)),""))</f>
        <v>22.5</v>
      </c>
      <c r="P87" s="133">
        <f>(IF((VLOOKUP(Table4[[#This Row],[SKU]],'All Skus'!$A:$AC,2,FALSE))="Crown",(VLOOKUP(Table4[[#This Row],[SKU]],'All Skus'!$A:$AC,20,FALSE)),""))</f>
        <v>7.5</v>
      </c>
      <c r="Q87" s="133">
        <f>(IF((VLOOKUP(Table4[[#This Row],[SKU]],'All Skus'!$A:$AC,2,FALSE))="Crown",(VLOOKUP(Table4[[#This Row],[SKU]],'All Skus'!$A:$AC,21,FALSE)),""))</f>
        <v>19.5</v>
      </c>
      <c r="R87" s="60" t="str">
        <f>(IF((VLOOKUP(Table4[[#This Row],[SKU]],'All Skus'!$A:$AC,2,FALSE))="Crown",(VLOOKUP(Table4[[#This Row],[SKU]],'All Skus'!$A:$AC,22,FALSE)),""))</f>
        <v>CN</v>
      </c>
      <c r="S87" s="52" t="str">
        <f>(IF((VLOOKUP(Table4[[#This Row],[SKU]],'All Skus'!$A:$AC,2,FALSE))="Crown",(VLOOKUP(Table4[[#This Row],[SKU]],'All Skus'!$A:$AC,23,FALSE)),""))</f>
        <v>Non Compliant</v>
      </c>
      <c r="T87" s="211" t="str">
        <f>HYPERLINK((IF((VLOOKUP(Table4[[#This Row],[SKU]],'All Skus'!$A:$AC,2,FALSE))="Crown",(VLOOKUP(Table4[[#This Row],[SKU]],'All Skus'!$A:$AC,24,FALSE)),"")))</f>
        <v>http://www.crownaudio.com/en-US/products/xti-2002</v>
      </c>
      <c r="U87" s="151">
        <v>85</v>
      </c>
      <c r="V87"/>
      <c r="W87"/>
      <c r="X87"/>
      <c r="Y87"/>
      <c r="Z87"/>
    </row>
    <row r="88" spans="1:26" s="52" customFormat="1" ht="14.65" customHeight="1">
      <c r="A88" s="48" t="s">
        <v>945</v>
      </c>
      <c r="B88" s="52" t="str">
        <f>(IF((VLOOKUP(Table4[[#This Row],[SKU]],'All Skus'!$A:$AC,2,FALSE))="Crown",(VLOOKUP(Table4[[#This Row],[SKU]],'All Skus'!$A:$AC,3,FALSE)),""))</f>
        <v>XTi 2</v>
      </c>
      <c r="C88" s="52" t="str">
        <f>(IF((VLOOKUP(Table4[[#This Row],[SKU]],'All Skus'!$A:$AC,2,FALSE))="Crown",(VLOOKUP(Table4[[#This Row],[SKU]],'All Skus'!$A:$AC,4,FALSE)),""))</f>
        <v>XTI4002</v>
      </c>
      <c r="D88" s="60" t="str">
        <f>(IF((VLOOKUP(Table4[[#This Row],[SKU]],'All Skus'!$A:$AC,2,FALSE))="Crown",(VLOOKUP(Table4[[#This Row],[SKU]],'All Skus'!$A:$AC,5,FALSE)),""))</f>
        <v>XTI2</v>
      </c>
      <c r="E88" s="52">
        <f>(IF((VLOOKUP(Table4[[#This Row],[SKU]],'All Skus'!$A:$AC,2,FALSE))="Crown",(VLOOKUP(Table4[[#This Row],[SKU]],'All Skus'!$A:$AC,6,FALSE)),""))</f>
        <v>0</v>
      </c>
      <c r="F88" s="52">
        <f>(IF((VLOOKUP(Table4[[#This Row],[SKU]],'All Skus'!$A:$AC,2,FALSE))="Crown",(VLOOKUP(Table4[[#This Row],[SKU]],'All Skus'!$A:$AC,7,FALSE)),""))</f>
        <v>0</v>
      </c>
      <c r="G88" s="52" t="str">
        <f>(IF((VLOOKUP(Table4[[#This Row],[SKU]],'All Skus'!$A:$AC,2,FALSE))="Crown",(VLOOKUP(Table4[[#This Row],[SKU]],'All Skus'!$A:$AC,8,FALSE)),""))</f>
        <v>2x1200W Power Amplifier</v>
      </c>
      <c r="H88" s="45" t="str">
        <f>(IF((VLOOKUP(Table4[[#This Row],[SKU]],'All Skus'!$A:$AC,2,FALSE))="Crown",(VLOOKUP(Table4[[#This Row],[SKU]],'All Skus'!$A:$AC,9,FALSE)),""))</f>
        <v>Two-channel, 1200W @ 4Ω Power Amplifier</v>
      </c>
      <c r="I88" s="94">
        <f>(IF((VLOOKUP(Table4[[#This Row],[SKU]],'All Skus'!$A:$AC,2,FALSE))="Crown",(VLOOKUP(Table4[[#This Row],[SKU]],'All Skus'!$A:$AC,10,FALSE)),""))</f>
        <v>2609.0500000000002</v>
      </c>
      <c r="J88" s="94">
        <f>(IF((VLOOKUP(Table4[[#This Row],[SKU]],'All Skus'!$A:$AC,2,FALSE))="Crown",(VLOOKUP(Table4[[#This Row],[SKU]],'All Skus'!$A:$AC,11,FALSE)),""))</f>
        <v>1345</v>
      </c>
      <c r="K88" s="60">
        <f>(IF((VLOOKUP(Table4[[#This Row],[SKU]],'All Skus'!$A:$AC,2,FALSE))="Crown",(VLOOKUP(Table4[[#This Row],[SKU]],'All Skus'!$A:$AC,15,FALSE)),""))</f>
        <v>1</v>
      </c>
      <c r="L88" s="47">
        <f>(IF((VLOOKUP(Table4[[#This Row],[SKU]],'All Skus'!$A:$AC,2,FALSE))="Crown",(VLOOKUP(Table4[[#This Row],[SKU]],'All Skus'!$A:$AC,16,FALSE)),""))</f>
        <v>871015005393</v>
      </c>
      <c r="M88" s="60">
        <f>(IF((VLOOKUP(Table4[[#This Row],[SKU]],'All Skus'!$A:$AC,2,FALSE))="Crown",(VLOOKUP(Table4[[#This Row],[SKU]],'All Skus'!$A:$AC,17,FALSE)),""))</f>
        <v>0</v>
      </c>
      <c r="N88" s="133">
        <f>(IF((VLOOKUP(Table4[[#This Row],[SKU]],'All Skus'!$A:$AC,2,FALSE))="Crown",(VLOOKUP(Table4[[#This Row],[SKU]],'All Skus'!$A:$AC,18,FALSE)),""))</f>
        <v>21</v>
      </c>
      <c r="O88" s="133">
        <f>(IF((VLOOKUP(Table4[[#This Row],[SKU]],'All Skus'!$A:$AC,2,FALSE))="Crown",(VLOOKUP(Table4[[#This Row],[SKU]],'All Skus'!$A:$AC,19,FALSE)),""))</f>
        <v>22.5</v>
      </c>
      <c r="P88" s="133">
        <f>(IF((VLOOKUP(Table4[[#This Row],[SKU]],'All Skus'!$A:$AC,2,FALSE))="Crown",(VLOOKUP(Table4[[#This Row],[SKU]],'All Skus'!$A:$AC,20,FALSE)),""))</f>
        <v>7</v>
      </c>
      <c r="Q88" s="133">
        <f>(IF((VLOOKUP(Table4[[#This Row],[SKU]],'All Skus'!$A:$AC,2,FALSE))="Crown",(VLOOKUP(Table4[[#This Row],[SKU]],'All Skus'!$A:$AC,21,FALSE)),""))</f>
        <v>19</v>
      </c>
      <c r="R88" s="60" t="str">
        <f>(IF((VLOOKUP(Table4[[#This Row],[SKU]],'All Skus'!$A:$AC,2,FALSE))="Crown",(VLOOKUP(Table4[[#This Row],[SKU]],'All Skus'!$A:$AC,22,FALSE)),""))</f>
        <v>CN</v>
      </c>
      <c r="S88" s="52" t="str">
        <f>(IF((VLOOKUP(Table4[[#This Row],[SKU]],'All Skus'!$A:$AC,2,FALSE))="Crown",(VLOOKUP(Table4[[#This Row],[SKU]],'All Skus'!$A:$AC,23,FALSE)),""))</f>
        <v>Non Compliant</v>
      </c>
      <c r="T88" s="211" t="str">
        <f>HYPERLINK((IF((VLOOKUP(Table4[[#This Row],[SKU]],'All Skus'!$A:$AC,2,FALSE))="Crown",(VLOOKUP(Table4[[#This Row],[SKU]],'All Skus'!$A:$AC,24,FALSE)),"")))</f>
        <v>http://www.crownaudio.com/en-US/products/xti-4002</v>
      </c>
      <c r="U88" s="151">
        <v>86</v>
      </c>
      <c r="V88"/>
      <c r="W88"/>
      <c r="X88"/>
      <c r="Y88"/>
      <c r="Z88"/>
    </row>
    <row r="89" spans="1:26" s="52" customFormat="1" ht="14.65" customHeight="1">
      <c r="A89" s="48" t="s">
        <v>946</v>
      </c>
      <c r="B89" s="52" t="str">
        <f>(IF((VLOOKUP(Table4[[#This Row],[SKU]],'All Skus'!$A:$AC,2,FALSE))="Crown",(VLOOKUP(Table4[[#This Row],[SKU]],'All Skus'!$A:$AC,3,FALSE)),""))</f>
        <v>XTi 2</v>
      </c>
      <c r="C89" s="52" t="str">
        <f>(IF((VLOOKUP(Table4[[#This Row],[SKU]],'All Skus'!$A:$AC,2,FALSE))="Crown",(VLOOKUP(Table4[[#This Row],[SKU]],'All Skus'!$A:$AC,4,FALSE)),""))</f>
        <v>XTI4002</v>
      </c>
      <c r="D89" s="60" t="str">
        <f>(IF((VLOOKUP(Table4[[#This Row],[SKU]],'All Skus'!$A:$AC,2,FALSE))="Crown",(VLOOKUP(Table4[[#This Row],[SKU]],'All Skus'!$A:$AC,5,FALSE)),""))</f>
        <v>XTI2</v>
      </c>
      <c r="E89" s="52">
        <f>(IF((VLOOKUP(Table4[[#This Row],[SKU]],'All Skus'!$A:$AC,2,FALSE))="Crown",(VLOOKUP(Table4[[#This Row],[SKU]],'All Skus'!$A:$AC,6,FALSE)),""))</f>
        <v>0</v>
      </c>
      <c r="F89" s="52">
        <f>(IF((VLOOKUP(Table4[[#This Row],[SKU]],'All Skus'!$A:$AC,2,FALSE))="Crown",(VLOOKUP(Table4[[#This Row],[SKU]],'All Skus'!$A:$AC,7,FALSE)),""))</f>
        <v>0</v>
      </c>
      <c r="G89" s="52" t="str">
        <f>(IF((VLOOKUP(Table4[[#This Row],[SKU]],'All Skus'!$A:$AC,2,FALSE))="Crown",(VLOOKUP(Table4[[#This Row],[SKU]],'All Skus'!$A:$AC,8,FALSE)),""))</f>
        <v>2x1200W Power Amplifier</v>
      </c>
      <c r="H89" s="45" t="str">
        <f>(IF((VLOOKUP(Table4[[#This Row],[SKU]],'All Skus'!$A:$AC,2,FALSE))="Crown",(VLOOKUP(Table4[[#This Row],[SKU]],'All Skus'!$A:$AC,9,FALSE)),""))</f>
        <v>Two-channel, 1200W @ 4Ω Power Amplifier</v>
      </c>
      <c r="I89" s="94">
        <f>(IF((VLOOKUP(Table4[[#This Row],[SKU]],'All Skus'!$A:$AC,2,FALSE))="Crown",(VLOOKUP(Table4[[#This Row],[SKU]],'All Skus'!$A:$AC,10,FALSE)),""))</f>
        <v>2609.0500000000002</v>
      </c>
      <c r="J89" s="94">
        <f>(IF((VLOOKUP(Table4[[#This Row],[SKU]],'All Skus'!$A:$AC,2,FALSE))="Crown",(VLOOKUP(Table4[[#This Row],[SKU]],'All Skus'!$A:$AC,11,FALSE)),""))</f>
        <v>1345</v>
      </c>
      <c r="K89" s="60">
        <f>(IF((VLOOKUP(Table4[[#This Row],[SKU]],'All Skus'!$A:$AC,2,FALSE))="Crown",(VLOOKUP(Table4[[#This Row],[SKU]],'All Skus'!$A:$AC,15,FALSE)),""))</f>
        <v>1</v>
      </c>
      <c r="L89" s="47">
        <f>(IF((VLOOKUP(Table4[[#This Row],[SKU]],'All Skus'!$A:$AC,2,FALSE))="Crown",(VLOOKUP(Table4[[#This Row],[SKU]],'All Skus'!$A:$AC,16,FALSE)),""))</f>
        <v>871015005393</v>
      </c>
      <c r="M89" s="60">
        <f>(IF((VLOOKUP(Table4[[#This Row],[SKU]],'All Skus'!$A:$AC,2,FALSE))="Crown",(VLOOKUP(Table4[[#This Row],[SKU]],'All Skus'!$A:$AC,17,FALSE)),""))</f>
        <v>0</v>
      </c>
      <c r="N89" s="133">
        <f>(IF((VLOOKUP(Table4[[#This Row],[SKU]],'All Skus'!$A:$AC,2,FALSE))="Crown",(VLOOKUP(Table4[[#This Row],[SKU]],'All Skus'!$A:$AC,18,FALSE)),""))</f>
        <v>21</v>
      </c>
      <c r="O89" s="133">
        <f>(IF((VLOOKUP(Table4[[#This Row],[SKU]],'All Skus'!$A:$AC,2,FALSE))="Crown",(VLOOKUP(Table4[[#This Row],[SKU]],'All Skus'!$A:$AC,19,FALSE)),""))</f>
        <v>22.5</v>
      </c>
      <c r="P89" s="133">
        <f>(IF((VLOOKUP(Table4[[#This Row],[SKU]],'All Skus'!$A:$AC,2,FALSE))="Crown",(VLOOKUP(Table4[[#This Row],[SKU]],'All Skus'!$A:$AC,20,FALSE)),""))</f>
        <v>7</v>
      </c>
      <c r="Q89" s="133">
        <f>(IF((VLOOKUP(Table4[[#This Row],[SKU]],'All Skus'!$A:$AC,2,FALSE))="Crown",(VLOOKUP(Table4[[#This Row],[SKU]],'All Skus'!$A:$AC,21,FALSE)),""))</f>
        <v>19</v>
      </c>
      <c r="R89" s="60" t="str">
        <f>(IF((VLOOKUP(Table4[[#This Row],[SKU]],'All Skus'!$A:$AC,2,FALSE))="Crown",(VLOOKUP(Table4[[#This Row],[SKU]],'All Skus'!$A:$AC,22,FALSE)),""))</f>
        <v>CN</v>
      </c>
      <c r="S89" s="52" t="str">
        <f>(IF((VLOOKUP(Table4[[#This Row],[SKU]],'All Skus'!$A:$AC,2,FALSE))="Crown",(VLOOKUP(Table4[[#This Row],[SKU]],'All Skus'!$A:$AC,23,FALSE)),""))</f>
        <v>Non Compliant</v>
      </c>
      <c r="T89" s="211" t="str">
        <f>HYPERLINK((IF((VLOOKUP(Table4[[#This Row],[SKU]],'All Skus'!$A:$AC,2,FALSE))="Crown",(VLOOKUP(Table4[[#This Row],[SKU]],'All Skus'!$A:$AC,24,FALSE)),"")))</f>
        <v>http://www.crownaudio.com/en-US/products/xti-4002</v>
      </c>
      <c r="U89" s="151">
        <v>87</v>
      </c>
      <c r="V89"/>
      <c r="W89"/>
      <c r="X89"/>
      <c r="Y89"/>
      <c r="Z89"/>
    </row>
    <row r="90" spans="1:26" s="52" customFormat="1" ht="15" customHeight="1">
      <c r="A90" s="48" t="s">
        <v>947</v>
      </c>
      <c r="B90" s="52" t="str">
        <f>(IF((VLOOKUP(Table4[[#This Row],[SKU]],'All Skus'!$A:$AC,2,FALSE))="Crown",(VLOOKUP(Table4[[#This Row],[SKU]],'All Skus'!$A:$AC,3,FALSE)),""))</f>
        <v>XTi 2</v>
      </c>
      <c r="C90" s="52" t="str">
        <f>(IF((VLOOKUP(Table4[[#This Row],[SKU]],'All Skus'!$A:$AC,2,FALSE))="Crown",(VLOOKUP(Table4[[#This Row],[SKU]],'All Skus'!$A:$AC,4,FALSE)),""))</f>
        <v>XTI6002</v>
      </c>
      <c r="D90" s="60" t="str">
        <f>(IF((VLOOKUP(Table4[[#This Row],[SKU]],'All Skus'!$A:$AC,2,FALSE))="Crown",(VLOOKUP(Table4[[#This Row],[SKU]],'All Skus'!$A:$AC,5,FALSE)),""))</f>
        <v>XTI2</v>
      </c>
      <c r="E90" s="52">
        <f>(IF((VLOOKUP(Table4[[#This Row],[SKU]],'All Skus'!$A:$AC,2,FALSE))="Crown",(VLOOKUP(Table4[[#This Row],[SKU]],'All Skus'!$A:$AC,6,FALSE)),""))</f>
        <v>0</v>
      </c>
      <c r="F90" s="52">
        <f>(IF((VLOOKUP(Table4[[#This Row],[SKU]],'All Skus'!$A:$AC,2,FALSE))="Crown",(VLOOKUP(Table4[[#This Row],[SKU]],'All Skus'!$A:$AC,7,FALSE)),""))</f>
        <v>0</v>
      </c>
      <c r="G90" s="52" t="str">
        <f>(IF((VLOOKUP(Table4[[#This Row],[SKU]],'All Skus'!$A:$AC,2,FALSE))="Crown",(VLOOKUP(Table4[[#This Row],[SKU]],'All Skus'!$A:$AC,8,FALSE)),""))</f>
        <v>2x2100W Power Amplifier</v>
      </c>
      <c r="H90" s="45" t="str">
        <f>(IF((VLOOKUP(Table4[[#This Row],[SKU]],'All Skus'!$A:$AC,2,FALSE))="Crown",(VLOOKUP(Table4[[#This Row],[SKU]],'All Skus'!$A:$AC,9,FALSE)),""))</f>
        <v>Two-channel, 2100W @ 4Ω Power Amplifier</v>
      </c>
      <c r="I90" s="94">
        <f>(IF((VLOOKUP(Table4[[#This Row],[SKU]],'All Skus'!$A:$AC,2,FALSE))="Crown",(VLOOKUP(Table4[[#This Row],[SKU]],'All Skus'!$A:$AC,10,FALSE)),""))</f>
        <v>5043.2</v>
      </c>
      <c r="J90" s="94">
        <f>(IF((VLOOKUP(Table4[[#This Row],[SKU]],'All Skus'!$A:$AC,2,FALSE))="Crown",(VLOOKUP(Table4[[#This Row],[SKU]],'All Skus'!$A:$AC,11,FALSE)),""))</f>
        <v>2689</v>
      </c>
      <c r="K90" s="60">
        <f>(IF((VLOOKUP(Table4[[#This Row],[SKU]],'All Skus'!$A:$AC,2,FALSE))="Crown",(VLOOKUP(Table4[[#This Row],[SKU]],'All Skus'!$A:$AC,15,FALSE)),""))</f>
        <v>1</v>
      </c>
      <c r="L90" s="47">
        <f>(IF((VLOOKUP(Table4[[#This Row],[SKU]],'All Skus'!$A:$AC,2,FALSE))="Crown",(VLOOKUP(Table4[[#This Row],[SKU]],'All Skus'!$A:$AC,16,FALSE)),""))</f>
        <v>871015005478</v>
      </c>
      <c r="M90" s="60">
        <f>(IF((VLOOKUP(Table4[[#This Row],[SKU]],'All Skus'!$A:$AC,2,FALSE))="Crown",(VLOOKUP(Table4[[#This Row],[SKU]],'All Skus'!$A:$AC,17,FALSE)),""))</f>
        <v>0</v>
      </c>
      <c r="N90" s="133">
        <f>(IF((VLOOKUP(Table4[[#This Row],[SKU]],'All Skus'!$A:$AC,2,FALSE))="Crown",(VLOOKUP(Table4[[#This Row],[SKU]],'All Skus'!$A:$AC,18,FALSE)),""))</f>
        <v>29</v>
      </c>
      <c r="O90" s="133">
        <f>(IF((VLOOKUP(Table4[[#This Row],[SKU]],'All Skus'!$A:$AC,2,FALSE))="Crown",(VLOOKUP(Table4[[#This Row],[SKU]],'All Skus'!$A:$AC,19,FALSE)),""))</f>
        <v>22</v>
      </c>
      <c r="P90" s="133">
        <f>(IF((VLOOKUP(Table4[[#This Row],[SKU]],'All Skus'!$A:$AC,2,FALSE))="Crown",(VLOOKUP(Table4[[#This Row],[SKU]],'All Skus'!$A:$AC,20,FALSE)),""))</f>
        <v>7</v>
      </c>
      <c r="Q90" s="133">
        <f>(IF((VLOOKUP(Table4[[#This Row],[SKU]],'All Skus'!$A:$AC,2,FALSE))="Crown",(VLOOKUP(Table4[[#This Row],[SKU]],'All Skus'!$A:$AC,21,FALSE)),""))</f>
        <v>22.5</v>
      </c>
      <c r="R90" s="60" t="str">
        <f>(IF((VLOOKUP(Table4[[#This Row],[SKU]],'All Skus'!$A:$AC,2,FALSE))="Crown",(VLOOKUP(Table4[[#This Row],[SKU]],'All Skus'!$A:$AC,22,FALSE)),""))</f>
        <v>CN</v>
      </c>
      <c r="S90" s="52" t="str">
        <f>(IF((VLOOKUP(Table4[[#This Row],[SKU]],'All Skus'!$A:$AC,2,FALSE))="Crown",(VLOOKUP(Table4[[#This Row],[SKU]],'All Skus'!$A:$AC,23,FALSE)),""))</f>
        <v>Non Compliant</v>
      </c>
      <c r="T90" s="211" t="str">
        <f>HYPERLINK((IF((VLOOKUP(Table4[[#This Row],[SKU]],'All Skus'!$A:$AC,2,FALSE))="Crown",(VLOOKUP(Table4[[#This Row],[SKU]],'All Skus'!$A:$AC,24,FALSE)),"")))</f>
        <v>http://www.crownaudio.com/en-US/products/xti-6002</v>
      </c>
      <c r="U90" s="151">
        <v>88</v>
      </c>
      <c r="V90"/>
      <c r="W90"/>
      <c r="X90"/>
      <c r="Y90"/>
      <c r="Z90"/>
    </row>
    <row r="91" spans="1:26" s="52" customFormat="1">
      <c r="A91" s="48" t="s">
        <v>948</v>
      </c>
      <c r="B91" s="52">
        <f>(IF((VLOOKUP(Table4[[#This Row],[SKU]],'All Skus'!$A:$AC,2,FALSE))="Crown",(VLOOKUP(Table4[[#This Row],[SKU]],'All Skus'!$A:$AC,3,FALSE)),""))</f>
        <v>0</v>
      </c>
      <c r="C91" s="52" t="str">
        <f>(IF((VLOOKUP(Table4[[#This Row],[SKU]],'All Skus'!$A:$AC,2,FALSE))="Crown",(VLOOKUP(Table4[[#This Row],[SKU]],'All Skus'!$A:$AC,4,FALSE)),""))</f>
        <v>GEOLBOX</v>
      </c>
      <c r="D91" s="60" t="str">
        <f>(IF((VLOOKUP(Table4[[#This Row],[SKU]],'All Skus'!$A:$AC,2,FALSE))="Crown",(VLOOKUP(Table4[[#This Row],[SKU]],'All Skus'!$A:$AC,5,FALSE)),""))</f>
        <v>AMPACC</v>
      </c>
      <c r="E91" s="52">
        <f>(IF((VLOOKUP(Table4[[#This Row],[SKU]],'All Skus'!$A:$AC,2,FALSE))="Crown",(VLOOKUP(Table4[[#This Row],[SKU]],'All Skus'!$A:$AC,6,FALSE)),""))</f>
        <v>0</v>
      </c>
      <c r="F91" s="52">
        <f>(IF((VLOOKUP(Table4[[#This Row],[SKU]],'All Skus'!$A:$AC,2,FALSE))="Crown",(VLOOKUP(Table4[[#This Row],[SKU]],'All Skus'!$A:$AC,7,FALSE)),""))</f>
        <v>0</v>
      </c>
      <c r="G91" s="52" t="str">
        <f>(IF((VLOOKUP(Table4[[#This Row],[SKU]],'All Skus'!$A:$AC,2,FALSE))="Crown",(VLOOKUP(Table4[[#This Row],[SKU]],'All Skus'!$A:$AC,8,FALSE)),""))</f>
        <v>20KHZ EOL BOX</v>
      </c>
      <c r="H91" s="45">
        <f>(IF((VLOOKUP(Table4[[#This Row],[SKU]],'All Skus'!$A:$AC,2,FALSE))="Crown",(VLOOKUP(Table4[[#This Row],[SKU]],'All Skus'!$A:$AC,9,FALSE)),""))</f>
        <v>0</v>
      </c>
      <c r="I91" s="94">
        <f>(IF((VLOOKUP(Table4[[#This Row],[SKU]],'All Skus'!$A:$AC,2,FALSE))="Crown",(VLOOKUP(Table4[[#This Row],[SKU]],'All Skus'!$A:$AC,10,FALSE)),""))</f>
        <v>451.86</v>
      </c>
      <c r="J91" s="94">
        <f>(IF((VLOOKUP(Table4[[#This Row],[SKU]],'All Skus'!$A:$AC,2,FALSE))="Crown",(VLOOKUP(Table4[[#This Row],[SKU]],'All Skus'!$A:$AC,11,FALSE)),""))</f>
        <v>451.86</v>
      </c>
      <c r="K91" s="60">
        <f>(IF((VLOOKUP(Table4[[#This Row],[SKU]],'All Skus'!$A:$AC,2,FALSE))="Crown",(VLOOKUP(Table4[[#This Row],[SKU]],'All Skus'!$A:$AC,15,FALSE)),""))</f>
        <v>0</v>
      </c>
      <c r="L91" s="47">
        <f>(IF((VLOOKUP(Table4[[#This Row],[SKU]],'All Skus'!$A:$AC,2,FALSE))="Crown",(VLOOKUP(Table4[[#This Row],[SKU]],'All Skus'!$A:$AC,16,FALSE)),""))</f>
        <v>0</v>
      </c>
      <c r="M91" s="60">
        <f>(IF((VLOOKUP(Table4[[#This Row],[SKU]],'All Skus'!$A:$AC,2,FALSE))="Crown",(VLOOKUP(Table4[[#This Row],[SKU]],'All Skus'!$A:$AC,17,FALSE)),""))</f>
        <v>0</v>
      </c>
      <c r="N91" s="133">
        <f>(IF((VLOOKUP(Table4[[#This Row],[SKU]],'All Skus'!$A:$AC,2,FALSE))="Crown",(VLOOKUP(Table4[[#This Row],[SKU]],'All Skus'!$A:$AC,18,FALSE)),""))</f>
        <v>0</v>
      </c>
      <c r="O91" s="133">
        <f>(IF((VLOOKUP(Table4[[#This Row],[SKU]],'All Skus'!$A:$AC,2,FALSE))="Crown",(VLOOKUP(Table4[[#This Row],[SKU]],'All Skus'!$A:$AC,19,FALSE)),""))</f>
        <v>0</v>
      </c>
      <c r="P91" s="133">
        <f>(IF((VLOOKUP(Table4[[#This Row],[SKU]],'All Skus'!$A:$AC,2,FALSE))="Crown",(VLOOKUP(Table4[[#This Row],[SKU]],'All Skus'!$A:$AC,20,FALSE)),""))</f>
        <v>0</v>
      </c>
      <c r="Q91" s="133">
        <f>(IF((VLOOKUP(Table4[[#This Row],[SKU]],'All Skus'!$A:$AC,2,FALSE))="Crown",(VLOOKUP(Table4[[#This Row],[SKU]],'All Skus'!$A:$AC,21,FALSE)),""))</f>
        <v>0</v>
      </c>
      <c r="R91" s="60" t="str">
        <f>(IF((VLOOKUP(Table4[[#This Row],[SKU]],'All Skus'!$A:$AC,2,FALSE))="Crown",(VLOOKUP(Table4[[#This Row],[SKU]],'All Skus'!$A:$AC,22,FALSE)),""))</f>
        <v>US</v>
      </c>
      <c r="S91" s="52" t="str">
        <f>(IF((VLOOKUP(Table4[[#This Row],[SKU]],'All Skus'!$A:$AC,2,FALSE))="Crown",(VLOOKUP(Table4[[#This Row],[SKU]],'All Skus'!$A:$AC,23,FALSE)),""))</f>
        <v>Compliant</v>
      </c>
      <c r="T91" s="211" t="str">
        <f>HYPERLINK((IF((VLOOKUP(Table4[[#This Row],[SKU]],'All Skus'!$A:$AC,2,FALSE))="Crown",(VLOOKUP(Table4[[#This Row],[SKU]],'All Skus'!$A:$AC,24,FALSE)),"")))</f>
        <v/>
      </c>
      <c r="U91" s="151">
        <v>89</v>
      </c>
      <c r="V91"/>
      <c r="W91"/>
      <c r="X91"/>
      <c r="Y91"/>
      <c r="Z91"/>
    </row>
  </sheetData>
  <mergeCells count="1">
    <mergeCell ref="B1:L1"/>
  </mergeCells>
  <conditionalFormatting sqref="A2:T91">
    <cfRule type="cellIs" dxfId="30" priority="1" operator="equal">
      <formula>0</formula>
    </cfRule>
  </conditionalFormatting>
  <pageMargins left="0.7" right="0.7" top="0.75" bottom="0.75" header="0.3" footer="0.3"/>
  <pageSetup orientation="portrait" horizontalDpi="90" verticalDpi="9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BB023-B159-4A4D-B0A5-7EE97579689A}">
  <dimension ref="A1:U63"/>
  <sheetViews>
    <sheetView zoomScale="75" zoomScaleNormal="75" workbookViewId="0">
      <pane xSplit="1" ySplit="2" topLeftCell="H19" activePane="bottomRight" state="frozen"/>
      <selection pane="topRight" activeCell="D35" sqref="D35"/>
      <selection pane="bottomLeft" activeCell="D35" sqref="D35"/>
      <selection pane="bottomRight" activeCell="K1" sqref="K1:K1048576"/>
    </sheetView>
  </sheetViews>
  <sheetFormatPr defaultRowHeight="15"/>
  <cols>
    <col min="1" max="1" width="18.85546875" bestFit="1" customWidth="1"/>
    <col min="2" max="2" width="26.28515625" bestFit="1" customWidth="1"/>
    <col min="3" max="3" width="20.85546875" style="12" bestFit="1" customWidth="1"/>
    <col min="4" max="4" width="20.85546875" bestFit="1" customWidth="1"/>
    <col min="5" max="5" width="21.28515625" bestFit="1" customWidth="1"/>
    <col min="6" max="6" width="16.5703125" bestFit="1" customWidth="1"/>
    <col min="7" max="7" width="30.85546875" bestFit="1" customWidth="1"/>
    <col min="8" max="8" width="129.140625" style="8" bestFit="1" customWidth="1"/>
    <col min="9" max="9" width="12.85546875" style="53" bestFit="1" customWidth="1"/>
    <col min="10" max="10" width="12.140625" style="53" bestFit="1" customWidth="1"/>
    <col min="11" max="11" width="21.85546875" style="139" bestFit="1" customWidth="1"/>
    <col min="12" max="12" width="15.140625" style="137" bestFit="1" customWidth="1"/>
    <col min="13" max="13" width="11" style="137" bestFit="1" customWidth="1"/>
    <col min="14" max="14" width="18.28515625" style="136" bestFit="1" customWidth="1"/>
    <col min="15" max="15" width="16.28515625" style="136" bestFit="1" customWidth="1"/>
    <col min="16" max="16" width="17.28515625" style="136" bestFit="1" customWidth="1"/>
    <col min="17" max="17" width="16.7109375" style="136" bestFit="1" customWidth="1"/>
    <col min="18" max="18" width="25.28515625" style="61" bestFit="1" customWidth="1"/>
    <col min="19" max="19" width="20.5703125" bestFit="1" customWidth="1"/>
    <col min="20" max="20" width="51.5703125" style="12" bestFit="1" customWidth="1"/>
    <col min="21" max="21" width="15.140625" bestFit="1" customWidth="1"/>
  </cols>
  <sheetData>
    <row r="1" spans="1:21" s="67" customFormat="1" ht="61.5" customHeight="1">
      <c r="A1" s="72"/>
      <c r="B1" s="70"/>
      <c r="C1" s="70"/>
      <c r="D1" s="17"/>
      <c r="E1" s="17"/>
      <c r="F1" s="70"/>
      <c r="G1" s="71"/>
      <c r="H1" s="72"/>
      <c r="I1" s="72"/>
      <c r="J1" s="72"/>
      <c r="K1" s="138"/>
      <c r="L1" s="86"/>
      <c r="M1" s="86"/>
      <c r="N1" s="131"/>
      <c r="O1" s="131"/>
      <c r="P1" s="131"/>
      <c r="Q1" s="131"/>
      <c r="R1" s="65"/>
      <c r="T1" s="66"/>
    </row>
    <row r="2" spans="1:21" ht="35.25" customHeight="1">
      <c r="A2" s="100" t="s">
        <v>138</v>
      </c>
      <c r="B2" s="75" t="s">
        <v>139</v>
      </c>
      <c r="C2" s="75" t="s">
        <v>140</v>
      </c>
      <c r="D2" s="75" t="s">
        <v>141</v>
      </c>
      <c r="E2" s="75" t="s">
        <v>142</v>
      </c>
      <c r="F2" s="75" t="s">
        <v>143</v>
      </c>
      <c r="G2" s="75" t="s">
        <v>144</v>
      </c>
      <c r="H2" s="75" t="s">
        <v>145</v>
      </c>
      <c r="I2" s="87" t="s">
        <v>146</v>
      </c>
      <c r="J2" s="87" t="s">
        <v>808</v>
      </c>
      <c r="K2" s="75" t="s">
        <v>149</v>
      </c>
      <c r="L2" s="88" t="s">
        <v>150</v>
      </c>
      <c r="M2" s="75" t="s">
        <v>151</v>
      </c>
      <c r="N2" s="145" t="s">
        <v>152</v>
      </c>
      <c r="O2" s="145" t="s">
        <v>153</v>
      </c>
      <c r="P2" s="145" t="s">
        <v>154</v>
      </c>
      <c r="Q2" s="145" t="s">
        <v>155</v>
      </c>
      <c r="R2" s="75" t="s">
        <v>156</v>
      </c>
      <c r="S2" s="75" t="s">
        <v>157</v>
      </c>
      <c r="T2" s="75" t="s">
        <v>158</v>
      </c>
      <c r="U2" s="148" t="s">
        <v>159</v>
      </c>
    </row>
    <row r="3" spans="1:21" ht="15" customHeight="1">
      <c r="A3" s="13" t="s">
        <v>949</v>
      </c>
      <c r="B3" s="12" t="str">
        <f>(IF((VLOOKUP(Table5[[#This Row],[SKU]],'All Skus'!$A:$AC,2,FALSE))="DBX",(VLOOKUP(Table5[[#This Row],[SKU]],'All Skus'!$A:$AC,3,FALSE)),""))</f>
        <v>Graphic EQs</v>
      </c>
      <c r="C3" s="12">
        <f>(IF((VLOOKUP(Table5[[#This Row],[SKU]],'All Skus'!$A:$AC,2,FALSE))="DBX",(VLOOKUP(Table5[[#This Row],[SKU]],'All Skus'!$A:$AC,4,FALSE)),""))</f>
        <v>1215</v>
      </c>
      <c r="D3" t="str">
        <f>(IF((VLOOKUP(Table5[[#This Row],[SKU]],'All Skus'!$A:$AC,2,FALSE))="DBX",(VLOOKUP(Table5[[#This Row],[SKU]],'All Skus'!$A:$AC,5,FALSE)),""))</f>
        <v>DBX_EQ</v>
      </c>
      <c r="E3" s="14">
        <f>(IF((VLOOKUP(Table5[[#This Row],[SKU]],'All Skus'!$A:$AC,2,FALSE))="DBX",(VLOOKUP(Table5[[#This Row],[SKU]],'All Skus'!$A:$AC,6,FALSE)),""))</f>
        <v>0</v>
      </c>
      <c r="F3">
        <f>(IF((VLOOKUP(Table5[[#This Row],[SKU]],'All Skus'!$A:$AC,2,FALSE))="DBX",(VLOOKUP(Table5[[#This Row],[SKU]],'All Skus'!$A:$AC,7,FALSE)),""))</f>
        <v>0</v>
      </c>
      <c r="G3" s="7" t="str">
        <f>(IF((VLOOKUP(Table5[[#This Row],[SKU]],'All Skus'!$A:$AC,2,FALSE))="DBX",(VLOOKUP(Table5[[#This Row],[SKU]],'All Skus'!$A:$AC,8,FALSE)),""))</f>
        <v>Graphic EQs</v>
      </c>
      <c r="H3" s="8" t="str">
        <f>(IF((VLOOKUP(Table5[[#This Row],[SKU]],'All Skus'!$A:$AC,2,FALSE))="DBX",(VLOOKUP(Table5[[#This Row],[SKU]],'All Skus'!$A:$AC,9,FALSE)),""))</f>
        <v>12 Series - Dual 15 Band Graphic Equalizer</v>
      </c>
      <c r="I3" s="58">
        <f>(IF((VLOOKUP(Table5[[#This Row],[SKU]],'All Skus'!$A:$AC,2,FALSE))="DBX",(VLOOKUP(Table5[[#This Row],[SKU]],'All Skus'!$A:$AC,10,FALSE)),""))</f>
        <v>457.22</v>
      </c>
      <c r="J3" s="58">
        <f>(IF((VLOOKUP(Table5[[#This Row],[SKU]],'All Skus'!$A:$AC,2,FALSE))="DBX",(VLOOKUP(Table5[[#This Row],[SKU]],'All Skus'!$A:$AC,11,FALSE)),""))</f>
        <v>360</v>
      </c>
      <c r="K3" s="139">
        <f>(IF((VLOOKUP(Table5[[#This Row],[SKU]],'All Skus'!$A:$AC,2,FALSE))="DBX",(VLOOKUP(Table5[[#This Row],[SKU]],'All Skus'!$A:$AC,15,FALSE)),""))</f>
        <v>2</v>
      </c>
      <c r="L3" s="137">
        <f>(IF((VLOOKUP(Table5[[#This Row],[SKU]],'All Skus'!$A:$AC,2,FALSE))="DBX",(VLOOKUP(Table5[[#This Row],[SKU]],'All Skus'!$A:$AC,16,FALSE)),""))</f>
        <v>691991400032</v>
      </c>
      <c r="M3" s="137">
        <f>(IF((VLOOKUP(Table5[[#This Row],[SKU]],'All Skus'!$A:$AC,2,FALSE))="DBX",(VLOOKUP(Table5[[#This Row],[SKU]],'All Skus'!$A:$AC,17,FALSE)),""))</f>
        <v>0</v>
      </c>
      <c r="N3" s="136">
        <f>(IF((VLOOKUP(Table5[[#This Row],[SKU]],'All Skus'!$A:$AC,2,FALSE))="DBX",(VLOOKUP(Table5[[#This Row],[SKU]],'All Skus'!$A:$AC,18,FALSE)),""))</f>
        <v>7</v>
      </c>
      <c r="O3" s="136">
        <f>(IF((VLOOKUP(Table5[[#This Row],[SKU]],'All Skus'!$A:$AC,2,FALSE))="DBX",(VLOOKUP(Table5[[#This Row],[SKU]],'All Skus'!$A:$AC,19,FALSE)),""))</f>
        <v>22.5</v>
      </c>
      <c r="P3" s="136">
        <f>(IF((VLOOKUP(Table5[[#This Row],[SKU]],'All Skus'!$A:$AC,2,FALSE))="DBX",(VLOOKUP(Table5[[#This Row],[SKU]],'All Skus'!$A:$AC,20,FALSE)),""))</f>
        <v>7.5</v>
      </c>
      <c r="Q3" s="136">
        <f>(IF((VLOOKUP(Table5[[#This Row],[SKU]],'All Skus'!$A:$AC,2,FALSE))="DBX",(VLOOKUP(Table5[[#This Row],[SKU]],'All Skus'!$A:$AC,21,FALSE)),""))</f>
        <v>11</v>
      </c>
      <c r="R3" s="61" t="str">
        <f>(IF((VLOOKUP(Table5[[#This Row],[SKU]],'All Skus'!$A:$AC,2,FALSE))="DBX",(VLOOKUP(Table5[[#This Row],[SKU]],'All Skus'!$A:$AC,22,FALSE)),""))</f>
        <v>CN</v>
      </c>
      <c r="S3" t="str">
        <f>(IF((VLOOKUP(Table5[[#This Row],[SKU]],'All Skus'!$A:$AC,2,FALSE))="DBX",(VLOOKUP(Table5[[#This Row],[SKU]],'All Skus'!$A:$AC,23,FALSE)),""))</f>
        <v>Non Compliant</v>
      </c>
      <c r="T3" s="212" t="str">
        <f>HYPERLINK((IF((VLOOKUP(Table5[[#This Row],[SKU]],'All Skus'!$A:$AC,2,FALSE))="DBX",(VLOOKUP(Table5[[#This Row],[SKU]],'All Skus'!$A:$AC,24,FALSE)),"")))</f>
        <v>http://dbxpro.com/en-US/products/1215</v>
      </c>
      <c r="U3" s="151">
        <v>1</v>
      </c>
    </row>
    <row r="4" spans="1:21" ht="15" customHeight="1">
      <c r="A4" s="13" t="s">
        <v>950</v>
      </c>
      <c r="B4" s="12" t="str">
        <f>(IF((VLOOKUP(Table5[[#This Row],[SKU]],'All Skus'!$A:$AC,2,FALSE))="DBX",(VLOOKUP(Table5[[#This Row],[SKU]],'All Skus'!$A:$AC,3,FALSE)),""))</f>
        <v>Graphic EQs</v>
      </c>
      <c r="C4" s="12">
        <f>(IF((VLOOKUP(Table5[[#This Row],[SKU]],'All Skus'!$A:$AC,2,FALSE))="DBX",(VLOOKUP(Table5[[#This Row],[SKU]],'All Skus'!$A:$AC,4,FALSE)),""))</f>
        <v>1231</v>
      </c>
      <c r="D4" t="str">
        <f>(IF((VLOOKUP(Table5[[#This Row],[SKU]],'All Skus'!$A:$AC,2,FALSE))="DBX",(VLOOKUP(Table5[[#This Row],[SKU]],'All Skus'!$A:$AC,5,FALSE)),""))</f>
        <v>DBX_EQ</v>
      </c>
      <c r="E4" s="14">
        <f>(IF((VLOOKUP(Table5[[#This Row],[SKU]],'All Skus'!$A:$AC,2,FALSE))="DBX",(VLOOKUP(Table5[[#This Row],[SKU]],'All Skus'!$A:$AC,6,FALSE)),""))</f>
        <v>0</v>
      </c>
      <c r="F4">
        <f>(IF((VLOOKUP(Table5[[#This Row],[SKU]],'All Skus'!$A:$AC,2,FALSE))="DBX",(VLOOKUP(Table5[[#This Row],[SKU]],'All Skus'!$A:$AC,7,FALSE)),""))</f>
        <v>0</v>
      </c>
      <c r="G4" s="7" t="str">
        <f>(IF((VLOOKUP(Table5[[#This Row],[SKU]],'All Skus'!$A:$AC,2,FALSE))="DBX",(VLOOKUP(Table5[[#This Row],[SKU]],'All Skus'!$A:$AC,8,FALSE)),""))</f>
        <v>Graphic EQs</v>
      </c>
      <c r="H4" s="8" t="str">
        <f>(IF((VLOOKUP(Table5[[#This Row],[SKU]],'All Skus'!$A:$AC,2,FALSE))="DBX",(VLOOKUP(Table5[[#This Row],[SKU]],'All Skus'!$A:$AC,9,FALSE)),""))</f>
        <v>12 Series - Dual 31 Band Graphic Equalizer</v>
      </c>
      <c r="I4" s="58">
        <f>(IF((VLOOKUP(Table5[[#This Row],[SKU]],'All Skus'!$A:$AC,2,FALSE))="DBX",(VLOOKUP(Table5[[#This Row],[SKU]],'All Skus'!$A:$AC,10,FALSE)),""))</f>
        <v>640.72</v>
      </c>
      <c r="J4" s="58">
        <f>(IF((VLOOKUP(Table5[[#This Row],[SKU]],'All Skus'!$A:$AC,2,FALSE))="DBX",(VLOOKUP(Table5[[#This Row],[SKU]],'All Skus'!$A:$AC,11,FALSE)),""))</f>
        <v>515</v>
      </c>
      <c r="K4" s="139">
        <f>(IF((VLOOKUP(Table5[[#This Row],[SKU]],'All Skus'!$A:$AC,2,FALSE))="DBX",(VLOOKUP(Table5[[#This Row],[SKU]],'All Skus'!$A:$AC,15,FALSE)),""))</f>
        <v>2</v>
      </c>
      <c r="L4" s="137">
        <f>(IF((VLOOKUP(Table5[[#This Row],[SKU]],'All Skus'!$A:$AC,2,FALSE))="DBX",(VLOOKUP(Table5[[#This Row],[SKU]],'All Skus'!$A:$AC,16,FALSE)),""))</f>
        <v>691991400049</v>
      </c>
      <c r="M4" s="137">
        <f>(IF((VLOOKUP(Table5[[#This Row],[SKU]],'All Skus'!$A:$AC,2,FALSE))="DBX",(VLOOKUP(Table5[[#This Row],[SKU]],'All Skus'!$A:$AC,17,FALSE)),""))</f>
        <v>0</v>
      </c>
      <c r="N4" s="136">
        <f>(IF((VLOOKUP(Table5[[#This Row],[SKU]],'All Skus'!$A:$AC,2,FALSE))="DBX",(VLOOKUP(Table5[[#This Row],[SKU]],'All Skus'!$A:$AC,18,FALSE)),""))</f>
        <v>13.5</v>
      </c>
      <c r="O4" s="136">
        <f>(IF((VLOOKUP(Table5[[#This Row],[SKU]],'All Skus'!$A:$AC,2,FALSE))="DBX",(VLOOKUP(Table5[[#This Row],[SKU]],'All Skus'!$A:$AC,19,FALSE)),""))</f>
        <v>22</v>
      </c>
      <c r="P4" s="136">
        <f>(IF((VLOOKUP(Table5[[#This Row],[SKU]],'All Skus'!$A:$AC,2,FALSE))="DBX",(VLOOKUP(Table5[[#This Row],[SKU]],'All Skus'!$A:$AC,20,FALSE)),""))</f>
        <v>11.5</v>
      </c>
      <c r="Q4" s="136">
        <f>(IF((VLOOKUP(Table5[[#This Row],[SKU]],'All Skus'!$A:$AC,2,FALSE))="DBX",(VLOOKUP(Table5[[#This Row],[SKU]],'All Skus'!$A:$AC,21,FALSE)),""))</f>
        <v>7.5</v>
      </c>
      <c r="R4" s="61" t="str">
        <f>(IF((VLOOKUP(Table5[[#This Row],[SKU]],'All Skus'!$A:$AC,2,FALSE))="DBX",(VLOOKUP(Table5[[#This Row],[SKU]],'All Skus'!$A:$AC,22,FALSE)),""))</f>
        <v>CN</v>
      </c>
      <c r="S4" t="str">
        <f>(IF((VLOOKUP(Table5[[#This Row],[SKU]],'All Skus'!$A:$AC,2,FALSE))="DBX",(VLOOKUP(Table5[[#This Row],[SKU]],'All Skus'!$A:$AC,23,FALSE)),""))</f>
        <v>Non Compliant</v>
      </c>
      <c r="T4" s="212" t="str">
        <f>HYPERLINK((IF((VLOOKUP(Table5[[#This Row],[SKU]],'All Skus'!$A:$AC,2,FALSE))="DBX",(VLOOKUP(Table5[[#This Row],[SKU]],'All Skus'!$A:$AC,24,FALSE)),"")))</f>
        <v>http://dbxpro.com/en-US/products/1231</v>
      </c>
      <c r="U4" s="151">
        <v>2</v>
      </c>
    </row>
    <row r="5" spans="1:21" ht="15" customHeight="1">
      <c r="A5" s="13" t="s">
        <v>951</v>
      </c>
      <c r="B5" s="12" t="str">
        <f>(IF((VLOOKUP(Table5[[#This Row],[SKU]],'All Skus'!$A:$AC,2,FALSE))="DBX",(VLOOKUP(Table5[[#This Row],[SKU]],'All Skus'!$A:$AC,3,FALSE)),""))</f>
        <v>Digital Zone Processor</v>
      </c>
      <c r="C5" s="12" t="str">
        <f>(IF((VLOOKUP(Table5[[#This Row],[SKU]],'All Skus'!$A:$AC,2,FALSE))="DBX",(VLOOKUP(Table5[[#This Row],[SKU]],'All Skus'!$A:$AC,4,FALSE)),""))</f>
        <v>1260m</v>
      </c>
      <c r="D5" t="str">
        <f>(IF((VLOOKUP(Table5[[#This Row],[SKU]],'All Skus'!$A:$AC,2,FALSE))="DBX",(VLOOKUP(Table5[[#This Row],[SKU]],'All Skus'!$A:$AC,5,FALSE)),""))</f>
        <v>DBX_ZONEP</v>
      </c>
      <c r="E5" s="14">
        <f>(IF((VLOOKUP(Table5[[#This Row],[SKU]],'All Skus'!$A:$AC,2,FALSE))="DBX",(VLOOKUP(Table5[[#This Row],[SKU]],'All Skus'!$A:$AC,6,FALSE)),""))</f>
        <v>0</v>
      </c>
      <c r="F5" t="str">
        <f>(IF((VLOOKUP(Table5[[#This Row],[SKU]],'All Skus'!$A:$AC,2,FALSE))="DBX",(VLOOKUP(Table5[[#This Row],[SKU]],'All Skus'!$A:$AC,7,FALSE)),""))</f>
        <v>Limited Quantity</v>
      </c>
      <c r="G5" s="7" t="str">
        <f>(IF((VLOOKUP(Table5[[#This Row],[SKU]],'All Skus'!$A:$AC,2,FALSE))="DBX",(VLOOKUP(Table5[[#This Row],[SKU]],'All Skus'!$A:$AC,8,FALSE)),""))</f>
        <v>Digital Zone Processor</v>
      </c>
      <c r="H5" s="8" t="str">
        <f>(IF((VLOOKUP(Table5[[#This Row],[SKU]],'All Skus'!$A:$AC,2,FALSE))="DBX",(VLOOKUP(Table5[[#This Row],[SKU]],'All Skus'!$A:$AC,9,FALSE)),""))</f>
        <v>12x6 Digital Zone Processor</v>
      </c>
      <c r="I5" s="58">
        <f>(IF((VLOOKUP(Table5[[#This Row],[SKU]],'All Skus'!$A:$AC,2,FALSE))="DBX",(VLOOKUP(Table5[[#This Row],[SKU]],'All Skus'!$A:$AC,10,FALSE)),""))</f>
        <v>1302.57</v>
      </c>
      <c r="J5" s="58">
        <f>(IF((VLOOKUP(Table5[[#This Row],[SKU]],'All Skus'!$A:$AC,2,FALSE))="DBX",(VLOOKUP(Table5[[#This Row],[SKU]],'All Skus'!$A:$AC,11,FALSE)),""))</f>
        <v>1139</v>
      </c>
      <c r="K5" s="139">
        <f>(IF((VLOOKUP(Table5[[#This Row],[SKU]],'All Skus'!$A:$AC,2,FALSE))="DBX",(VLOOKUP(Table5[[#This Row],[SKU]],'All Skus'!$A:$AC,15,FALSE)),""))</f>
        <v>2</v>
      </c>
      <c r="L5" s="137">
        <f>(IF((VLOOKUP(Table5[[#This Row],[SKU]],'All Skus'!$A:$AC,2,FALSE))="DBX",(VLOOKUP(Table5[[#This Row],[SKU]],'All Skus'!$A:$AC,16,FALSE)),""))</f>
        <v>691991401183</v>
      </c>
      <c r="M5" s="137">
        <f>(IF((VLOOKUP(Table5[[#This Row],[SKU]],'All Skus'!$A:$AC,2,FALSE))="DBX",(VLOOKUP(Table5[[#This Row],[SKU]],'All Skus'!$A:$AC,17,FALSE)),""))</f>
        <v>0</v>
      </c>
      <c r="N5" s="136">
        <f>(IF((VLOOKUP(Table5[[#This Row],[SKU]],'All Skus'!$A:$AC,2,FALSE))="DBX",(VLOOKUP(Table5[[#This Row],[SKU]],'All Skus'!$A:$AC,18,FALSE)),""))</f>
        <v>9</v>
      </c>
      <c r="O5" s="136">
        <f>(IF((VLOOKUP(Table5[[#This Row],[SKU]],'All Skus'!$A:$AC,2,FALSE))="DBX",(VLOOKUP(Table5[[#This Row],[SKU]],'All Skus'!$A:$AC,19,FALSE)),""))</f>
        <v>33.25</v>
      </c>
      <c r="P5" s="136">
        <f>(IF((VLOOKUP(Table5[[#This Row],[SKU]],'All Skus'!$A:$AC,2,FALSE))="DBX",(VLOOKUP(Table5[[#This Row],[SKU]],'All Skus'!$A:$AC,20,FALSE)),""))</f>
        <v>3.75</v>
      </c>
      <c r="Q5" s="136">
        <f>(IF((VLOOKUP(Table5[[#This Row],[SKU]],'All Skus'!$A:$AC,2,FALSE))="DBX",(VLOOKUP(Table5[[#This Row],[SKU]],'All Skus'!$A:$AC,21,FALSE)),""))</f>
        <v>11.5</v>
      </c>
      <c r="R5" s="61" t="str">
        <f>(IF((VLOOKUP(Table5[[#This Row],[SKU]],'All Skus'!$A:$AC,2,FALSE))="DBX",(VLOOKUP(Table5[[#This Row],[SKU]],'All Skus'!$A:$AC,22,FALSE)),""))</f>
        <v>CN</v>
      </c>
      <c r="S5" t="str">
        <f>(IF((VLOOKUP(Table5[[#This Row],[SKU]],'All Skus'!$A:$AC,2,FALSE))="DBX",(VLOOKUP(Table5[[#This Row],[SKU]],'All Skus'!$A:$AC,23,FALSE)),""))</f>
        <v>Non Compliant</v>
      </c>
      <c r="T5" s="212" t="str">
        <f>HYPERLINK((IF((VLOOKUP(Table5[[#This Row],[SKU]],'All Skus'!$A:$AC,2,FALSE))="DBX",(VLOOKUP(Table5[[#This Row],[SKU]],'All Skus'!$A:$AC,24,FALSE)),"")))</f>
        <v>http://dbxpro.com/en-US/products/1260m</v>
      </c>
      <c r="U5" s="151">
        <v>3</v>
      </c>
    </row>
    <row r="6" spans="1:21" ht="15" customHeight="1">
      <c r="A6" s="13" t="s">
        <v>952</v>
      </c>
      <c r="B6" s="12" t="str">
        <f>(IF((VLOOKUP(Table5[[#This Row],[SKU]],'All Skus'!$A:$AC,2,FALSE))="DBX",(VLOOKUP(Table5[[#This Row],[SKU]],'All Skus'!$A:$AC,3,FALSE)),""))</f>
        <v>Digital Zone Processor</v>
      </c>
      <c r="C6" s="12" t="str">
        <f>(IF((VLOOKUP(Table5[[#This Row],[SKU]],'All Skus'!$A:$AC,2,FALSE))="DBX",(VLOOKUP(Table5[[#This Row],[SKU]],'All Skus'!$A:$AC,4,FALSE)),""))</f>
        <v>1260V</v>
      </c>
      <c r="D6" t="str">
        <f>(IF((VLOOKUP(Table5[[#This Row],[SKU]],'All Skus'!$A:$AC,2,FALSE))="DBX",(VLOOKUP(Table5[[#This Row],[SKU]],'All Skus'!$A:$AC,5,FALSE)),""))</f>
        <v>DBX_ZONEP</v>
      </c>
      <c r="E6" s="14">
        <f>(IF((VLOOKUP(Table5[[#This Row],[SKU]],'All Skus'!$A:$AC,2,FALSE))="DBX",(VLOOKUP(Table5[[#This Row],[SKU]],'All Skus'!$A:$AC,6,FALSE)),""))</f>
        <v>0</v>
      </c>
      <c r="F6">
        <f>(IF((VLOOKUP(Table5[[#This Row],[SKU]],'All Skus'!$A:$AC,2,FALSE))="DBX",(VLOOKUP(Table5[[#This Row],[SKU]],'All Skus'!$A:$AC,7,FALSE)),""))</f>
        <v>0</v>
      </c>
      <c r="G6" s="7" t="str">
        <f>(IF((VLOOKUP(Table5[[#This Row],[SKU]],'All Skus'!$A:$AC,2,FALSE))="DBX",(VLOOKUP(Table5[[#This Row],[SKU]],'All Skus'!$A:$AC,8,FALSE)),""))</f>
        <v>Digital Zone Processor</v>
      </c>
      <c r="H6" s="8" t="str">
        <f>(IF((VLOOKUP(Table5[[#This Row],[SKU]],'All Skus'!$A:$AC,2,FALSE))="DBX",(VLOOKUP(Table5[[#This Row],[SKU]],'All Skus'!$A:$AC,9,FALSE)),""))</f>
        <v>12x6 Digital Zone Processor</v>
      </c>
      <c r="I6" s="58">
        <f>(IF((VLOOKUP(Table5[[#This Row],[SKU]],'All Skus'!$A:$AC,2,FALSE))="DBX",(VLOOKUP(Table5[[#This Row],[SKU]],'All Skus'!$A:$AC,10,FALSE)),""))</f>
        <v>1222.1099999999999</v>
      </c>
      <c r="J6" s="58">
        <f>(IF((VLOOKUP(Table5[[#This Row],[SKU]],'All Skus'!$A:$AC,2,FALSE))="DBX",(VLOOKUP(Table5[[#This Row],[SKU]],'All Skus'!$A:$AC,11,FALSE)),""))</f>
        <v>1069</v>
      </c>
      <c r="K6" s="139">
        <f>(IF((VLOOKUP(Table5[[#This Row],[SKU]],'All Skus'!$A:$AC,2,FALSE))="DBX",(VLOOKUP(Table5[[#This Row],[SKU]],'All Skus'!$A:$AC,15,FALSE)),""))</f>
        <v>2</v>
      </c>
      <c r="L6" s="137">
        <f>(IF((VLOOKUP(Table5[[#This Row],[SKU]],'All Skus'!$A:$AC,2,FALSE))="DBX",(VLOOKUP(Table5[[#This Row],[SKU]],'All Skus'!$A:$AC,16,FALSE)),""))</f>
        <v>691991400841</v>
      </c>
      <c r="M6" s="137">
        <f>(IF((VLOOKUP(Table5[[#This Row],[SKU]],'All Skus'!$A:$AC,2,FALSE))="DBX",(VLOOKUP(Table5[[#This Row],[SKU]],'All Skus'!$A:$AC,17,FALSE)),""))</f>
        <v>0</v>
      </c>
      <c r="N6" s="136">
        <f>(IF((VLOOKUP(Table5[[#This Row],[SKU]],'All Skus'!$A:$AC,2,FALSE))="DBX",(VLOOKUP(Table5[[#This Row],[SKU]],'All Skus'!$A:$AC,18,FALSE)),""))</f>
        <v>8.8000000000000007</v>
      </c>
      <c r="O6" s="136">
        <f>(IF((VLOOKUP(Table5[[#This Row],[SKU]],'All Skus'!$A:$AC,2,FALSE))="DBX",(VLOOKUP(Table5[[#This Row],[SKU]],'All Skus'!$A:$AC,19,FALSE)),""))</f>
        <v>5.75</v>
      </c>
      <c r="P6" s="136">
        <f>(IF((VLOOKUP(Table5[[#This Row],[SKU]],'All Skus'!$A:$AC,2,FALSE))="DBX",(VLOOKUP(Table5[[#This Row],[SKU]],'All Skus'!$A:$AC,20,FALSE)),""))</f>
        <v>19</v>
      </c>
      <c r="Q6" s="136">
        <f>(IF((VLOOKUP(Table5[[#This Row],[SKU]],'All Skus'!$A:$AC,2,FALSE))="DBX",(VLOOKUP(Table5[[#This Row],[SKU]],'All Skus'!$A:$AC,21,FALSE)),""))</f>
        <v>1.75</v>
      </c>
      <c r="R6" s="61" t="str">
        <f>(IF((VLOOKUP(Table5[[#This Row],[SKU]],'All Skus'!$A:$AC,2,FALSE))="DBX",(VLOOKUP(Table5[[#This Row],[SKU]],'All Skus'!$A:$AC,22,FALSE)),""))</f>
        <v>CN</v>
      </c>
      <c r="S6" t="str">
        <f>(IF((VLOOKUP(Table5[[#This Row],[SKU]],'All Skus'!$A:$AC,2,FALSE))="DBX",(VLOOKUP(Table5[[#This Row],[SKU]],'All Skus'!$A:$AC,23,FALSE)),""))</f>
        <v>Non Compliant</v>
      </c>
      <c r="T6" s="212" t="str">
        <f>HYPERLINK((IF((VLOOKUP(Table5[[#This Row],[SKU]],'All Skus'!$A:$AC,2,FALSE))="DBX",(VLOOKUP(Table5[[#This Row],[SKU]],'All Skus'!$A:$AC,24,FALSE)),"")))</f>
        <v>http://dbxpro.com/en-US/products/1260</v>
      </c>
      <c r="U6" s="151">
        <v>4</v>
      </c>
    </row>
    <row r="7" spans="1:21" ht="15" customHeight="1">
      <c r="A7" s="13" t="s">
        <v>953</v>
      </c>
      <c r="B7" s="12" t="str">
        <f>(IF((VLOOKUP(Table5[[#This Row],[SKU]],'All Skus'!$A:$AC,2,FALSE))="DBX",(VLOOKUP(Table5[[#This Row],[SKU]],'All Skus'!$A:$AC,3,FALSE)),""))</f>
        <v>Digital Zone Processor</v>
      </c>
      <c r="C7" s="12" t="str">
        <f>(IF((VLOOKUP(Table5[[#This Row],[SKU]],'All Skus'!$A:$AC,2,FALSE))="DBX",(VLOOKUP(Table5[[#This Row],[SKU]],'All Skus'!$A:$AC,4,FALSE)),""))</f>
        <v>1261m</v>
      </c>
      <c r="D7" t="str">
        <f>(IF((VLOOKUP(Table5[[#This Row],[SKU]],'All Skus'!$A:$AC,2,FALSE))="DBX",(VLOOKUP(Table5[[#This Row],[SKU]],'All Skus'!$A:$AC,5,FALSE)),""))</f>
        <v>DBX_ZONEP</v>
      </c>
      <c r="E7" s="14">
        <f>(IF((VLOOKUP(Table5[[#This Row],[SKU]],'All Skus'!$A:$AC,2,FALSE))="DBX",(VLOOKUP(Table5[[#This Row],[SKU]],'All Skus'!$A:$AC,6,FALSE)),""))</f>
        <v>0</v>
      </c>
      <c r="F7">
        <f>(IF((VLOOKUP(Table5[[#This Row],[SKU]],'All Skus'!$A:$AC,2,FALSE))="DBX",(VLOOKUP(Table5[[#This Row],[SKU]],'All Skus'!$A:$AC,7,FALSE)),""))</f>
        <v>0</v>
      </c>
      <c r="G7" s="7" t="str">
        <f>(IF((VLOOKUP(Table5[[#This Row],[SKU]],'All Skus'!$A:$AC,2,FALSE))="DBX",(VLOOKUP(Table5[[#This Row],[SKU]],'All Skus'!$A:$AC,8,FALSE)),""))</f>
        <v>Digital Zone Processor</v>
      </c>
      <c r="H7" s="8" t="str">
        <f>(IF((VLOOKUP(Table5[[#This Row],[SKU]],'All Skus'!$A:$AC,2,FALSE))="DBX",(VLOOKUP(Table5[[#This Row],[SKU]],'All Skus'!$A:$AC,9,FALSE)),""))</f>
        <v>12x6 Digital Zone Processor</v>
      </c>
      <c r="I7" s="58">
        <f>(IF((VLOOKUP(Table5[[#This Row],[SKU]],'All Skus'!$A:$AC,2,FALSE))="DBX",(VLOOKUP(Table5[[#This Row],[SKU]],'All Skus'!$A:$AC,10,FALSE)),""))</f>
        <v>1148.3699999999999</v>
      </c>
      <c r="J7" s="58">
        <f>(IF((VLOOKUP(Table5[[#This Row],[SKU]],'All Skus'!$A:$AC,2,FALSE))="DBX",(VLOOKUP(Table5[[#This Row],[SKU]],'All Skus'!$A:$AC,11,FALSE)),""))</f>
        <v>1050</v>
      </c>
      <c r="K7" s="139">
        <f>(IF((VLOOKUP(Table5[[#This Row],[SKU]],'All Skus'!$A:$AC,2,FALSE))="DBX",(VLOOKUP(Table5[[#This Row],[SKU]],'All Skus'!$A:$AC,15,FALSE)),""))</f>
        <v>2</v>
      </c>
      <c r="L7" s="137">
        <f>(IF((VLOOKUP(Table5[[#This Row],[SKU]],'All Skus'!$A:$AC,2,FALSE))="DBX",(VLOOKUP(Table5[[#This Row],[SKU]],'All Skus'!$A:$AC,16,FALSE)),""))</f>
        <v>691991401190</v>
      </c>
      <c r="M7" s="137">
        <f>(IF((VLOOKUP(Table5[[#This Row],[SKU]],'All Skus'!$A:$AC,2,FALSE))="DBX",(VLOOKUP(Table5[[#This Row],[SKU]],'All Skus'!$A:$AC,17,FALSE)),""))</f>
        <v>0</v>
      </c>
      <c r="N7" s="136">
        <f>(IF((VLOOKUP(Table5[[#This Row],[SKU]],'All Skus'!$A:$AC,2,FALSE))="DBX",(VLOOKUP(Table5[[#This Row],[SKU]],'All Skus'!$A:$AC,18,FALSE)),""))</f>
        <v>9</v>
      </c>
      <c r="O7" s="136">
        <f>(IF((VLOOKUP(Table5[[#This Row],[SKU]],'All Skus'!$A:$AC,2,FALSE))="DBX",(VLOOKUP(Table5[[#This Row],[SKU]],'All Skus'!$A:$AC,19,FALSE)),""))</f>
        <v>22.5</v>
      </c>
      <c r="P7" s="136">
        <f>(IF((VLOOKUP(Table5[[#This Row],[SKU]],'All Skus'!$A:$AC,2,FALSE))="DBX",(VLOOKUP(Table5[[#This Row],[SKU]],'All Skus'!$A:$AC,20,FALSE)),""))</f>
        <v>11.5</v>
      </c>
      <c r="Q7" s="136">
        <f>(IF((VLOOKUP(Table5[[#This Row],[SKU]],'All Skus'!$A:$AC,2,FALSE))="DBX",(VLOOKUP(Table5[[#This Row],[SKU]],'All Skus'!$A:$AC,21,FALSE)),""))</f>
        <v>3.5</v>
      </c>
      <c r="R7" s="61" t="str">
        <f>(IF((VLOOKUP(Table5[[#This Row],[SKU]],'All Skus'!$A:$AC,2,FALSE))="DBX",(VLOOKUP(Table5[[#This Row],[SKU]],'All Skus'!$A:$AC,22,FALSE)),""))</f>
        <v>CN</v>
      </c>
      <c r="S7" t="str">
        <f>(IF((VLOOKUP(Table5[[#This Row],[SKU]],'All Skus'!$A:$AC,2,FALSE))="DBX",(VLOOKUP(Table5[[#This Row],[SKU]],'All Skus'!$A:$AC,23,FALSE)),""))</f>
        <v>Non Compliant</v>
      </c>
      <c r="T7" s="212" t="str">
        <f>HYPERLINK((IF((VLOOKUP(Table5[[#This Row],[SKU]],'All Skus'!$A:$AC,2,FALSE))="DBX",(VLOOKUP(Table5[[#This Row],[SKU]],'All Skus'!$A:$AC,24,FALSE)),"")))</f>
        <v>http://dbxpro.com/en-US/products/1261m</v>
      </c>
      <c r="U7" s="151">
        <v>5</v>
      </c>
    </row>
    <row r="8" spans="1:21" ht="15" customHeight="1">
      <c r="A8" s="13" t="s">
        <v>954</v>
      </c>
      <c r="B8" s="12" t="str">
        <f>(IF((VLOOKUP(Table5[[#This Row],[SKU]],'All Skus'!$A:$AC,2,FALSE))="DBX",(VLOOKUP(Table5[[#This Row],[SKU]],'All Skus'!$A:$AC,3,FALSE)),""))</f>
        <v>Digital Zone Processor</v>
      </c>
      <c r="C8" s="12" t="str">
        <f>(IF((VLOOKUP(Table5[[#This Row],[SKU]],'All Skus'!$A:$AC,2,FALSE))="DBX",(VLOOKUP(Table5[[#This Row],[SKU]],'All Skus'!$A:$AC,4,FALSE)),""))</f>
        <v>ZonePro 1261</v>
      </c>
      <c r="D8" t="str">
        <f>(IF((VLOOKUP(Table5[[#This Row],[SKU]],'All Skus'!$A:$AC,2,FALSE))="DBX",(VLOOKUP(Table5[[#This Row],[SKU]],'All Skus'!$A:$AC,5,FALSE)),""))</f>
        <v>DBX_ZONEP</v>
      </c>
      <c r="E8" s="14">
        <f>(IF((VLOOKUP(Table5[[#This Row],[SKU]],'All Skus'!$A:$AC,2,FALSE))="DBX",(VLOOKUP(Table5[[#This Row],[SKU]],'All Skus'!$A:$AC,6,FALSE)),""))</f>
        <v>0</v>
      </c>
      <c r="F8">
        <f>(IF((VLOOKUP(Table5[[#This Row],[SKU]],'All Skus'!$A:$AC,2,FALSE))="DBX",(VLOOKUP(Table5[[#This Row],[SKU]],'All Skus'!$A:$AC,7,FALSE)),""))</f>
        <v>0</v>
      </c>
      <c r="G8" s="7" t="str">
        <f>(IF((VLOOKUP(Table5[[#This Row],[SKU]],'All Skus'!$A:$AC,2,FALSE))="DBX",(VLOOKUP(Table5[[#This Row],[SKU]],'All Skus'!$A:$AC,8,FALSE)),""))</f>
        <v>Digital Zone Processor</v>
      </c>
      <c r="H8" s="8" t="str">
        <f>(IF((VLOOKUP(Table5[[#This Row],[SKU]],'All Skus'!$A:$AC,2,FALSE))="DBX",(VLOOKUP(Table5[[#This Row],[SKU]],'All Skus'!$A:$AC,9,FALSE)),""))</f>
        <v>12x6 Digital Zone Processor</v>
      </c>
      <c r="I8" s="58">
        <f>(IF((VLOOKUP(Table5[[#This Row],[SKU]],'All Skus'!$A:$AC,2,FALSE))="DBX",(VLOOKUP(Table5[[#This Row],[SKU]],'All Skus'!$A:$AC,10,FALSE)),""))</f>
        <v>1069.19</v>
      </c>
      <c r="J8" s="58">
        <f>(IF((VLOOKUP(Table5[[#This Row],[SKU]],'All Skus'!$A:$AC,2,FALSE))="DBX",(VLOOKUP(Table5[[#This Row],[SKU]],'All Skus'!$A:$AC,11,FALSE)),""))</f>
        <v>929</v>
      </c>
      <c r="K8" s="139">
        <f>(IF((VLOOKUP(Table5[[#This Row],[SKU]],'All Skus'!$A:$AC,2,FALSE))="DBX",(VLOOKUP(Table5[[#This Row],[SKU]],'All Skus'!$A:$AC,15,FALSE)),""))</f>
        <v>2</v>
      </c>
      <c r="L8" s="137">
        <f>(IF((VLOOKUP(Table5[[#This Row],[SKU]],'All Skus'!$A:$AC,2,FALSE))="DBX",(VLOOKUP(Table5[[#This Row],[SKU]],'All Skus'!$A:$AC,16,FALSE)),""))</f>
        <v>691991400858</v>
      </c>
      <c r="M8" s="137">
        <f>(IF((VLOOKUP(Table5[[#This Row],[SKU]],'All Skus'!$A:$AC,2,FALSE))="DBX",(VLOOKUP(Table5[[#This Row],[SKU]],'All Skus'!$A:$AC,17,FALSE)),""))</f>
        <v>0</v>
      </c>
      <c r="N8" s="136">
        <f>(IF((VLOOKUP(Table5[[#This Row],[SKU]],'All Skus'!$A:$AC,2,FALSE))="DBX",(VLOOKUP(Table5[[#This Row],[SKU]],'All Skus'!$A:$AC,18,FALSE)),""))</f>
        <v>8.8000000000000007</v>
      </c>
      <c r="O8" s="136">
        <f>(IF((VLOOKUP(Table5[[#This Row],[SKU]],'All Skus'!$A:$AC,2,FALSE))="DBX",(VLOOKUP(Table5[[#This Row],[SKU]],'All Skus'!$A:$AC,19,FALSE)),""))</f>
        <v>5.75</v>
      </c>
      <c r="P8" s="136">
        <f>(IF((VLOOKUP(Table5[[#This Row],[SKU]],'All Skus'!$A:$AC,2,FALSE))="DBX",(VLOOKUP(Table5[[#This Row],[SKU]],'All Skus'!$A:$AC,20,FALSE)),""))</f>
        <v>19</v>
      </c>
      <c r="Q8" s="136">
        <f>(IF((VLOOKUP(Table5[[#This Row],[SKU]],'All Skus'!$A:$AC,2,FALSE))="DBX",(VLOOKUP(Table5[[#This Row],[SKU]],'All Skus'!$A:$AC,21,FALSE)),""))</f>
        <v>1.75</v>
      </c>
      <c r="R8" s="61" t="str">
        <f>(IF((VLOOKUP(Table5[[#This Row],[SKU]],'All Skus'!$A:$AC,2,FALSE))="DBX",(VLOOKUP(Table5[[#This Row],[SKU]],'All Skus'!$A:$AC,22,FALSE)),""))</f>
        <v>CN</v>
      </c>
      <c r="S8" t="str">
        <f>(IF((VLOOKUP(Table5[[#This Row],[SKU]],'All Skus'!$A:$AC,2,FALSE))="DBX",(VLOOKUP(Table5[[#This Row],[SKU]],'All Skus'!$A:$AC,23,FALSE)),""))</f>
        <v>Non Compliant</v>
      </c>
      <c r="T8" s="212" t="str">
        <f>HYPERLINK((IF((VLOOKUP(Table5[[#This Row],[SKU]],'All Skus'!$A:$AC,2,FALSE))="DBX",(VLOOKUP(Table5[[#This Row],[SKU]],'All Skus'!$A:$AC,24,FALSE)),"")))</f>
        <v>http://dbxpro.com/en-US/products/1261</v>
      </c>
      <c r="U8" s="151">
        <v>6</v>
      </c>
    </row>
    <row r="9" spans="1:21" ht="15" customHeight="1">
      <c r="A9" s="13" t="s">
        <v>955</v>
      </c>
      <c r="B9" s="12" t="str">
        <f>(IF((VLOOKUP(Table5[[#This Row],[SKU]],'All Skus'!$A:$AC,2,FALSE))="DBX",(VLOOKUP(Table5[[#This Row],[SKU]],'All Skus'!$A:$AC,3,FALSE)),""))</f>
        <v>Graphic EQs</v>
      </c>
      <c r="C9" s="12" t="str">
        <f>(IF((VLOOKUP(Table5[[#This Row],[SKU]],'All Skus'!$A:$AC,2,FALSE))="DBX",(VLOOKUP(Table5[[#This Row],[SKU]],'All Skus'!$A:$AC,4,FALSE)),""))</f>
        <v>131s</v>
      </c>
      <c r="D9" t="str">
        <f>(IF((VLOOKUP(Table5[[#This Row],[SKU]],'All Skus'!$A:$AC,2,FALSE))="DBX",(VLOOKUP(Table5[[#This Row],[SKU]],'All Skus'!$A:$AC,5,FALSE)),""))</f>
        <v>DBX_EQ</v>
      </c>
      <c r="E9" s="14">
        <f>(IF((VLOOKUP(Table5[[#This Row],[SKU]],'All Skus'!$A:$AC,2,FALSE))="DBX",(VLOOKUP(Table5[[#This Row],[SKU]],'All Skus'!$A:$AC,6,FALSE)),""))</f>
        <v>0</v>
      </c>
      <c r="F9">
        <f>(IF((VLOOKUP(Table5[[#This Row],[SKU]],'All Skus'!$A:$AC,2,FALSE))="DBX",(VLOOKUP(Table5[[#This Row],[SKU]],'All Skus'!$A:$AC,7,FALSE)),""))</f>
        <v>0</v>
      </c>
      <c r="G9" s="7" t="str">
        <f>(IF((VLOOKUP(Table5[[#This Row],[SKU]],'All Skus'!$A:$AC,2,FALSE))="DBX",(VLOOKUP(Table5[[#This Row],[SKU]],'All Skus'!$A:$AC,8,FALSE)),""))</f>
        <v>Graphic EQs</v>
      </c>
      <c r="H9" s="8" t="str">
        <f>(IF((VLOOKUP(Table5[[#This Row],[SKU]],'All Skus'!$A:$AC,2,FALSE))="DBX",(VLOOKUP(Table5[[#This Row],[SKU]],'All Skus'!$A:$AC,9,FALSE)),""))</f>
        <v>2 Series - Single 31 Band Graphic Equalizer</v>
      </c>
      <c r="I9" s="58">
        <f>(IF((VLOOKUP(Table5[[#This Row],[SKU]],'All Skus'!$A:$AC,2,FALSE))="DBX",(VLOOKUP(Table5[[#This Row],[SKU]],'All Skus'!$A:$AC,10,FALSE)),""))</f>
        <v>289.01</v>
      </c>
      <c r="J9" s="58">
        <f>(IF((VLOOKUP(Table5[[#This Row],[SKU]],'All Skus'!$A:$AC,2,FALSE))="DBX",(VLOOKUP(Table5[[#This Row],[SKU]],'All Skus'!$A:$AC,11,FALSE)),""))</f>
        <v>235</v>
      </c>
      <c r="K9" s="139">
        <f>(IF((VLOOKUP(Table5[[#This Row],[SKU]],'All Skus'!$A:$AC,2,FALSE))="DBX",(VLOOKUP(Table5[[#This Row],[SKU]],'All Skus'!$A:$AC,15,FALSE)),""))</f>
        <v>6</v>
      </c>
      <c r="L9" s="137">
        <f>(IF((VLOOKUP(Table5[[#This Row],[SKU]],'All Skus'!$A:$AC,2,FALSE))="DBX",(VLOOKUP(Table5[[#This Row],[SKU]],'All Skus'!$A:$AC,16,FALSE)),""))</f>
        <v>691991401213</v>
      </c>
      <c r="M9" s="137">
        <f>(IF((VLOOKUP(Table5[[#This Row],[SKU]],'All Skus'!$A:$AC,2,FALSE))="DBX",(VLOOKUP(Table5[[#This Row],[SKU]],'All Skus'!$A:$AC,17,FALSE)),""))</f>
        <v>0</v>
      </c>
      <c r="N9" s="136">
        <f>(IF((VLOOKUP(Table5[[#This Row],[SKU]],'All Skus'!$A:$AC,2,FALSE))="DBX",(VLOOKUP(Table5[[#This Row],[SKU]],'All Skus'!$A:$AC,18,FALSE)),""))</f>
        <v>6</v>
      </c>
      <c r="O9" s="136">
        <f>(IF((VLOOKUP(Table5[[#This Row],[SKU]],'All Skus'!$A:$AC,2,FALSE))="DBX",(VLOOKUP(Table5[[#This Row],[SKU]],'All Skus'!$A:$AC,19,FALSE)),""))</f>
        <v>22</v>
      </c>
      <c r="P9" s="136">
        <f>(IF((VLOOKUP(Table5[[#This Row],[SKU]],'All Skus'!$A:$AC,2,FALSE))="DBX",(VLOOKUP(Table5[[#This Row],[SKU]],'All Skus'!$A:$AC,20,FALSE)),""))</f>
        <v>11.5</v>
      </c>
      <c r="Q9" s="136">
        <f>(IF((VLOOKUP(Table5[[#This Row],[SKU]],'All Skus'!$A:$AC,2,FALSE))="DBX",(VLOOKUP(Table5[[#This Row],[SKU]],'All Skus'!$A:$AC,21,FALSE)),""))</f>
        <v>2.5</v>
      </c>
      <c r="R9" s="61" t="str">
        <f>(IF((VLOOKUP(Table5[[#This Row],[SKU]],'All Skus'!$A:$AC,2,FALSE))="DBX",(VLOOKUP(Table5[[#This Row],[SKU]],'All Skus'!$A:$AC,22,FALSE)),""))</f>
        <v>CN</v>
      </c>
      <c r="S9" t="str">
        <f>(IF((VLOOKUP(Table5[[#This Row],[SKU]],'All Skus'!$A:$AC,2,FALSE))="DBX",(VLOOKUP(Table5[[#This Row],[SKU]],'All Skus'!$A:$AC,23,FALSE)),""))</f>
        <v>Non Compliant</v>
      </c>
      <c r="T9" s="212" t="str">
        <f>HYPERLINK((IF((VLOOKUP(Table5[[#This Row],[SKU]],'All Skus'!$A:$AC,2,FALSE))="DBX",(VLOOKUP(Table5[[#This Row],[SKU]],'All Skus'!$A:$AC,24,FALSE)),"")))</f>
        <v>http://dbxpro.com/en-US/products/131s</v>
      </c>
      <c r="U9" s="151">
        <v>7</v>
      </c>
    </row>
    <row r="10" spans="1:21" ht="15" customHeight="1">
      <c r="A10" s="98" t="s">
        <v>956</v>
      </c>
      <c r="B10" s="12" t="str">
        <f>(IF((VLOOKUP(Table5[[#This Row],[SKU]],'All Skus'!$A:$AC,2,FALSE))="DBX",(VLOOKUP(Table5[[#This Row],[SKU]],'All Skus'!$A:$AC,3,FALSE)),""))</f>
        <v>Graphic EQs</v>
      </c>
      <c r="C10" s="12" t="str">
        <f>(IF((VLOOKUP(Table5[[#This Row],[SKU]],'All Skus'!$A:$AC,2,FALSE))="DBX",(VLOOKUP(Table5[[#This Row],[SKU]],'All Skus'!$A:$AC,4,FALSE)),""))</f>
        <v>215s</v>
      </c>
      <c r="D10" t="str">
        <f>(IF((VLOOKUP(Table5[[#This Row],[SKU]],'All Skus'!$A:$AC,2,FALSE))="DBX",(VLOOKUP(Table5[[#This Row],[SKU]],'All Skus'!$A:$AC,5,FALSE)),""))</f>
        <v>DBX_EQ</v>
      </c>
      <c r="E10" s="14">
        <f>(IF((VLOOKUP(Table5[[#This Row],[SKU]],'All Skus'!$A:$AC,2,FALSE))="DBX",(VLOOKUP(Table5[[#This Row],[SKU]],'All Skus'!$A:$AC,6,FALSE)),""))</f>
        <v>0</v>
      </c>
      <c r="F10">
        <f>(IF((VLOOKUP(Table5[[#This Row],[SKU]],'All Skus'!$A:$AC,2,FALSE))="DBX",(VLOOKUP(Table5[[#This Row],[SKU]],'All Skus'!$A:$AC,7,FALSE)),""))</f>
        <v>0</v>
      </c>
      <c r="G10" s="7" t="str">
        <f>(IF((VLOOKUP(Table5[[#This Row],[SKU]],'All Skus'!$A:$AC,2,FALSE))="DBX",(VLOOKUP(Table5[[#This Row],[SKU]],'All Skus'!$A:$AC,8,FALSE)),""))</f>
        <v>Graphic EQs</v>
      </c>
      <c r="H10" s="8" t="str">
        <f>(IF((VLOOKUP(Table5[[#This Row],[SKU]],'All Skus'!$A:$AC,2,FALSE))="DBX",(VLOOKUP(Table5[[#This Row],[SKU]],'All Skus'!$A:$AC,9,FALSE)),""))</f>
        <v>2 Series - Dual 15 Band Graphic Equalizer</v>
      </c>
      <c r="I10" s="58">
        <f>(IF((VLOOKUP(Table5[[#This Row],[SKU]],'All Skus'!$A:$AC,2,FALSE))="DBX",(VLOOKUP(Table5[[#This Row],[SKU]],'All Skus'!$A:$AC,10,FALSE)),""))</f>
        <v>289.01</v>
      </c>
      <c r="J10" s="58">
        <f>(IF((VLOOKUP(Table5[[#This Row],[SKU]],'All Skus'!$A:$AC,2,FALSE))="DBX",(VLOOKUP(Table5[[#This Row],[SKU]],'All Skus'!$A:$AC,11,FALSE)),""))</f>
        <v>235</v>
      </c>
      <c r="K10" s="139">
        <f>(IF((VLOOKUP(Table5[[#This Row],[SKU]],'All Skus'!$A:$AC,2,FALSE))="DBX",(VLOOKUP(Table5[[#This Row],[SKU]],'All Skus'!$A:$AC,15,FALSE)),""))</f>
        <v>6</v>
      </c>
      <c r="L10" s="137">
        <f>(IF((VLOOKUP(Table5[[#This Row],[SKU]],'All Skus'!$A:$AC,2,FALSE))="DBX",(VLOOKUP(Table5[[#This Row],[SKU]],'All Skus'!$A:$AC,16,FALSE)),""))</f>
        <v>691991401220</v>
      </c>
      <c r="M10" s="137">
        <f>(IF((VLOOKUP(Table5[[#This Row],[SKU]],'All Skus'!$A:$AC,2,FALSE))="DBX",(VLOOKUP(Table5[[#This Row],[SKU]],'All Skus'!$A:$AC,17,FALSE)),""))</f>
        <v>0</v>
      </c>
      <c r="N10" s="136">
        <f>(IF((VLOOKUP(Table5[[#This Row],[SKU]],'All Skus'!$A:$AC,2,FALSE))="DBX",(VLOOKUP(Table5[[#This Row],[SKU]],'All Skus'!$A:$AC,18,FALSE)),""))</f>
        <v>6</v>
      </c>
      <c r="O10" s="136">
        <f>(IF((VLOOKUP(Table5[[#This Row],[SKU]],'All Skus'!$A:$AC,2,FALSE))="DBX",(VLOOKUP(Table5[[#This Row],[SKU]],'All Skus'!$A:$AC,19,FALSE)),""))</f>
        <v>22</v>
      </c>
      <c r="P10" s="136">
        <f>(IF((VLOOKUP(Table5[[#This Row],[SKU]],'All Skus'!$A:$AC,2,FALSE))="DBX",(VLOOKUP(Table5[[#This Row],[SKU]],'All Skus'!$A:$AC,20,FALSE)),""))</f>
        <v>2.5</v>
      </c>
      <c r="Q10" s="136">
        <f>(IF((VLOOKUP(Table5[[#This Row],[SKU]],'All Skus'!$A:$AC,2,FALSE))="DBX",(VLOOKUP(Table5[[#This Row],[SKU]],'All Skus'!$A:$AC,21,FALSE)),""))</f>
        <v>11</v>
      </c>
      <c r="R10" s="61" t="str">
        <f>(IF((VLOOKUP(Table5[[#This Row],[SKU]],'All Skus'!$A:$AC,2,FALSE))="DBX",(VLOOKUP(Table5[[#This Row],[SKU]],'All Skus'!$A:$AC,22,FALSE)),""))</f>
        <v>CN</v>
      </c>
      <c r="S10" t="str">
        <f>(IF((VLOOKUP(Table5[[#This Row],[SKU]],'All Skus'!$A:$AC,2,FALSE))="DBX",(VLOOKUP(Table5[[#This Row],[SKU]],'All Skus'!$A:$AC,23,FALSE)),""))</f>
        <v>Non Compliant</v>
      </c>
      <c r="T10" s="212" t="str">
        <f>HYPERLINK((IF((VLOOKUP(Table5[[#This Row],[SKU]],'All Skus'!$A:$AC,2,FALSE))="DBX",(VLOOKUP(Table5[[#This Row],[SKU]],'All Skus'!$A:$AC,24,FALSE)),"")))</f>
        <v>http://dbxpro.com/en-US/products/215s</v>
      </c>
      <c r="U10" s="151">
        <v>8</v>
      </c>
    </row>
    <row r="11" spans="1:21" ht="15" customHeight="1">
      <c r="A11" s="13" t="s">
        <v>957</v>
      </c>
      <c r="B11" s="12" t="str">
        <f>(IF((VLOOKUP(Table5[[#This Row],[SKU]],'All Skus'!$A:$AC,2,FALSE))="DBX",(VLOOKUP(Table5[[#This Row],[SKU]],'All Skus'!$A:$AC,3,FALSE)),""))</f>
        <v>Graphic EQs</v>
      </c>
      <c r="C11" s="12" t="str">
        <f>(IF((VLOOKUP(Table5[[#This Row],[SKU]],'All Skus'!$A:$AC,2,FALSE))="DBX",(VLOOKUP(Table5[[#This Row],[SKU]],'All Skus'!$A:$AC,4,FALSE)),""))</f>
        <v>215s</v>
      </c>
      <c r="D11" t="str">
        <f>(IF((VLOOKUP(Table5[[#This Row],[SKU]],'All Skus'!$A:$AC,2,FALSE))="DBX",(VLOOKUP(Table5[[#This Row],[SKU]],'All Skus'!$A:$AC,5,FALSE)),""))</f>
        <v>DBX_EQ</v>
      </c>
      <c r="E11" s="14">
        <f>(IF((VLOOKUP(Table5[[#This Row],[SKU]],'All Skus'!$A:$AC,2,FALSE))="DBX",(VLOOKUP(Table5[[#This Row],[SKU]],'All Skus'!$A:$AC,6,FALSE)),""))</f>
        <v>0</v>
      </c>
      <c r="F11">
        <f>(IF((VLOOKUP(Table5[[#This Row],[SKU]],'All Skus'!$A:$AC,2,FALSE))="DBX",(VLOOKUP(Table5[[#This Row],[SKU]],'All Skus'!$A:$AC,7,FALSE)),""))</f>
        <v>0</v>
      </c>
      <c r="G11" s="7" t="str">
        <f>(IF((VLOOKUP(Table5[[#This Row],[SKU]],'All Skus'!$A:$AC,2,FALSE))="DBX",(VLOOKUP(Table5[[#This Row],[SKU]],'All Skus'!$A:$AC,8,FALSE)),""))</f>
        <v>Graphic EQs</v>
      </c>
      <c r="H11" s="8" t="str">
        <f>(IF((VLOOKUP(Table5[[#This Row],[SKU]],'All Skus'!$A:$AC,2,FALSE))="DBX",(VLOOKUP(Table5[[#This Row],[SKU]],'All Skus'!$A:$AC,9,FALSE)),""))</f>
        <v>2 Series - Dual 15 Band Graphic Equalizer</v>
      </c>
      <c r="I11" s="58">
        <f>(IF((VLOOKUP(Table5[[#This Row],[SKU]],'All Skus'!$A:$AC,2,FALSE))="DBX",(VLOOKUP(Table5[[#This Row],[SKU]],'All Skus'!$A:$AC,10,FALSE)),""))</f>
        <v>289.01</v>
      </c>
      <c r="J11" s="58">
        <f>(IF((VLOOKUP(Table5[[#This Row],[SKU]],'All Skus'!$A:$AC,2,FALSE))="DBX",(VLOOKUP(Table5[[#This Row],[SKU]],'All Skus'!$A:$AC,11,FALSE)),""))</f>
        <v>235</v>
      </c>
      <c r="K11" s="139">
        <f>(IF((VLOOKUP(Table5[[#This Row],[SKU]],'All Skus'!$A:$AC,2,FALSE))="DBX",(VLOOKUP(Table5[[#This Row],[SKU]],'All Skus'!$A:$AC,15,FALSE)),""))</f>
        <v>6</v>
      </c>
      <c r="L11" s="137">
        <f>(IF((VLOOKUP(Table5[[#This Row],[SKU]],'All Skus'!$A:$AC,2,FALSE))="DBX",(VLOOKUP(Table5[[#This Row],[SKU]],'All Skus'!$A:$AC,16,FALSE)),""))</f>
        <v>691991401220</v>
      </c>
      <c r="M11" s="137">
        <f>(IF((VLOOKUP(Table5[[#This Row],[SKU]],'All Skus'!$A:$AC,2,FALSE))="DBX",(VLOOKUP(Table5[[#This Row],[SKU]],'All Skus'!$A:$AC,17,FALSE)),""))</f>
        <v>0</v>
      </c>
      <c r="N11" s="136">
        <f>(IF((VLOOKUP(Table5[[#This Row],[SKU]],'All Skus'!$A:$AC,2,FALSE))="DBX",(VLOOKUP(Table5[[#This Row],[SKU]],'All Skus'!$A:$AC,18,FALSE)),""))</f>
        <v>6</v>
      </c>
      <c r="O11" s="136">
        <f>(IF((VLOOKUP(Table5[[#This Row],[SKU]],'All Skus'!$A:$AC,2,FALSE))="DBX",(VLOOKUP(Table5[[#This Row],[SKU]],'All Skus'!$A:$AC,19,FALSE)),""))</f>
        <v>22</v>
      </c>
      <c r="P11" s="136">
        <f>(IF((VLOOKUP(Table5[[#This Row],[SKU]],'All Skus'!$A:$AC,2,FALSE))="DBX",(VLOOKUP(Table5[[#This Row],[SKU]],'All Skus'!$A:$AC,20,FALSE)),""))</f>
        <v>2.5</v>
      </c>
      <c r="Q11" s="136">
        <f>(IF((VLOOKUP(Table5[[#This Row],[SKU]],'All Skus'!$A:$AC,2,FALSE))="DBX",(VLOOKUP(Table5[[#This Row],[SKU]],'All Skus'!$A:$AC,21,FALSE)),""))</f>
        <v>11</v>
      </c>
      <c r="R11" s="61" t="str">
        <f>(IF((VLOOKUP(Table5[[#This Row],[SKU]],'All Skus'!$A:$AC,2,FALSE))="DBX",(VLOOKUP(Table5[[#This Row],[SKU]],'All Skus'!$A:$AC,22,FALSE)),""))</f>
        <v>CN</v>
      </c>
      <c r="S11" t="str">
        <f>(IF((VLOOKUP(Table5[[#This Row],[SKU]],'All Skus'!$A:$AC,2,FALSE))="DBX",(VLOOKUP(Table5[[#This Row],[SKU]],'All Skus'!$A:$AC,23,FALSE)),""))</f>
        <v>Non Compliant</v>
      </c>
      <c r="T11" s="212" t="str">
        <f>HYPERLINK((IF((VLOOKUP(Table5[[#This Row],[SKU]],'All Skus'!$A:$AC,2,FALSE))="DBX",(VLOOKUP(Table5[[#This Row],[SKU]],'All Skus'!$A:$AC,24,FALSE)),"")))</f>
        <v>http://dbxpro.com/en-US/products/215s</v>
      </c>
      <c r="U11" s="151">
        <v>9</v>
      </c>
    </row>
    <row r="12" spans="1:21" ht="15" customHeight="1">
      <c r="A12" s="13" t="s">
        <v>958</v>
      </c>
      <c r="B12" s="12" t="str">
        <f>(IF((VLOOKUP(Table5[[#This Row],[SKU]],'All Skus'!$A:$AC,2,FALSE))="DBX",(VLOOKUP(Table5[[#This Row],[SKU]],'All Skus'!$A:$AC,3,FALSE)),""))</f>
        <v>Production Series</v>
      </c>
      <c r="C12" s="12" t="str">
        <f>(IF((VLOOKUP(Table5[[#This Row],[SKU]],'All Skus'!$A:$AC,2,FALSE))="DBX",(VLOOKUP(Table5[[#This Row],[SKU]],'All Skus'!$A:$AC,4,FALSE)),""))</f>
        <v>223xs</v>
      </c>
      <c r="D12" t="str">
        <f>(IF((VLOOKUP(Table5[[#This Row],[SKU]],'All Skus'!$A:$AC,2,FALSE))="DBX",(VLOOKUP(Table5[[#This Row],[SKU]],'All Skus'!$A:$AC,5,FALSE)),""))</f>
        <v>DBX_CROSS</v>
      </c>
      <c r="E12" s="14">
        <f>(IF((VLOOKUP(Table5[[#This Row],[SKU]],'All Skus'!$A:$AC,2,FALSE))="DBX",(VLOOKUP(Table5[[#This Row],[SKU]],'All Skus'!$A:$AC,6,FALSE)),""))</f>
        <v>0</v>
      </c>
      <c r="F12">
        <f>(IF((VLOOKUP(Table5[[#This Row],[SKU]],'All Skus'!$A:$AC,2,FALSE))="DBX",(VLOOKUP(Table5[[#This Row],[SKU]],'All Skus'!$A:$AC,7,FALSE)),""))</f>
        <v>0</v>
      </c>
      <c r="G12" s="7" t="str">
        <f>(IF((VLOOKUP(Table5[[#This Row],[SKU]],'All Skus'!$A:$AC,2,FALSE))="DBX",(VLOOKUP(Table5[[#This Row],[SKU]],'All Skus'!$A:$AC,8,FALSE)),""))</f>
        <v>Production Series</v>
      </c>
      <c r="H12" s="8" t="str">
        <f>(IF((VLOOKUP(Table5[[#This Row],[SKU]],'All Skus'!$A:$AC,2,FALSE))="DBX",(VLOOKUP(Table5[[#This Row],[SKU]],'All Skus'!$A:$AC,9,FALSE)),""))</f>
        <v>223s with XLR Connectors</v>
      </c>
      <c r="I12" s="58">
        <f>(IF((VLOOKUP(Table5[[#This Row],[SKU]],'All Skus'!$A:$AC,2,FALSE))="DBX",(VLOOKUP(Table5[[#This Row],[SKU]],'All Skus'!$A:$AC,10,FALSE)),""))</f>
        <v>319.60000000000002</v>
      </c>
      <c r="J12" s="58">
        <f>(IF((VLOOKUP(Table5[[#This Row],[SKU]],'All Skus'!$A:$AC,2,FALSE))="DBX",(VLOOKUP(Table5[[#This Row],[SKU]],'All Skus'!$A:$AC,11,FALSE)),""))</f>
        <v>255</v>
      </c>
      <c r="K12" s="139">
        <f>(IF((VLOOKUP(Table5[[#This Row],[SKU]],'All Skus'!$A:$AC,2,FALSE))="DBX",(VLOOKUP(Table5[[#This Row],[SKU]],'All Skus'!$A:$AC,15,FALSE)),""))</f>
        <v>6</v>
      </c>
      <c r="L12" s="137">
        <f>(IF((VLOOKUP(Table5[[#This Row],[SKU]],'All Skus'!$A:$AC,2,FALSE))="DBX",(VLOOKUP(Table5[[#This Row],[SKU]],'All Skus'!$A:$AC,16,FALSE)),""))</f>
        <v>691991401275</v>
      </c>
      <c r="M12" s="137">
        <f>(IF((VLOOKUP(Table5[[#This Row],[SKU]],'All Skus'!$A:$AC,2,FALSE))="DBX",(VLOOKUP(Table5[[#This Row],[SKU]],'All Skus'!$A:$AC,17,FALSE)),""))</f>
        <v>0</v>
      </c>
      <c r="N12" s="136">
        <f>(IF((VLOOKUP(Table5[[#This Row],[SKU]],'All Skus'!$A:$AC,2,FALSE))="DBX",(VLOOKUP(Table5[[#This Row],[SKU]],'All Skus'!$A:$AC,18,FALSE)),""))</f>
        <v>6.5</v>
      </c>
      <c r="O12" s="136">
        <f>(IF((VLOOKUP(Table5[[#This Row],[SKU]],'All Skus'!$A:$AC,2,FALSE))="DBX",(VLOOKUP(Table5[[#This Row],[SKU]],'All Skus'!$A:$AC,19,FALSE)),""))</f>
        <v>22</v>
      </c>
      <c r="P12" s="136">
        <f>(IF((VLOOKUP(Table5[[#This Row],[SKU]],'All Skus'!$A:$AC,2,FALSE))="DBX",(VLOOKUP(Table5[[#This Row],[SKU]],'All Skus'!$A:$AC,20,FALSE)),""))</f>
        <v>2.5</v>
      </c>
      <c r="Q12" s="136">
        <f>(IF((VLOOKUP(Table5[[#This Row],[SKU]],'All Skus'!$A:$AC,2,FALSE))="DBX",(VLOOKUP(Table5[[#This Row],[SKU]],'All Skus'!$A:$AC,21,FALSE)),""))</f>
        <v>11.5</v>
      </c>
      <c r="R12" s="61" t="str">
        <f>(IF((VLOOKUP(Table5[[#This Row],[SKU]],'All Skus'!$A:$AC,2,FALSE))="DBX",(VLOOKUP(Table5[[#This Row],[SKU]],'All Skus'!$A:$AC,22,FALSE)),""))</f>
        <v>CN</v>
      </c>
      <c r="S12" t="str">
        <f>(IF((VLOOKUP(Table5[[#This Row],[SKU]],'All Skus'!$A:$AC,2,FALSE))="DBX",(VLOOKUP(Table5[[#This Row],[SKU]],'All Skus'!$A:$AC,23,FALSE)),""))</f>
        <v>Non Compliant</v>
      </c>
      <c r="T12" s="212" t="str">
        <f>HYPERLINK((IF((VLOOKUP(Table5[[#This Row],[SKU]],'All Skus'!$A:$AC,2,FALSE))="DBX",(VLOOKUP(Table5[[#This Row],[SKU]],'All Skus'!$A:$AC,24,FALSE)),"")))</f>
        <v>http://dbxpro.com/en-US/products/223xs</v>
      </c>
      <c r="U12" s="151">
        <v>10</v>
      </c>
    </row>
    <row r="13" spans="1:21" ht="15" customHeight="1">
      <c r="A13" s="13" t="s">
        <v>959</v>
      </c>
      <c r="B13" s="12" t="str">
        <f>(IF((VLOOKUP(Table5[[#This Row],[SKU]],'All Skus'!$A:$AC,2,FALSE))="DBX",(VLOOKUP(Table5[[#This Row],[SKU]],'All Skus'!$A:$AC,3,FALSE)),""))</f>
        <v>Graphic EQs</v>
      </c>
      <c r="C13" s="12" t="str">
        <f>(IF((VLOOKUP(Table5[[#This Row],[SKU]],'All Skus'!$A:$AC,2,FALSE))="DBX",(VLOOKUP(Table5[[#This Row],[SKU]],'All Skus'!$A:$AC,4,FALSE)),""))</f>
        <v>231s</v>
      </c>
      <c r="D13" t="str">
        <f>(IF((VLOOKUP(Table5[[#This Row],[SKU]],'All Skus'!$A:$AC,2,FALSE))="DBX",(VLOOKUP(Table5[[#This Row],[SKU]],'All Skus'!$A:$AC,5,FALSE)),""))</f>
        <v>DBX_EQ</v>
      </c>
      <c r="E13" s="14">
        <f>(IF((VLOOKUP(Table5[[#This Row],[SKU]],'All Skus'!$A:$AC,2,FALSE))="DBX",(VLOOKUP(Table5[[#This Row],[SKU]],'All Skus'!$A:$AC,6,FALSE)),""))</f>
        <v>0</v>
      </c>
      <c r="F13">
        <f>(IF((VLOOKUP(Table5[[#This Row],[SKU]],'All Skus'!$A:$AC,2,FALSE))="DBX",(VLOOKUP(Table5[[#This Row],[SKU]],'All Skus'!$A:$AC,7,FALSE)),""))</f>
        <v>0</v>
      </c>
      <c r="G13" s="7" t="str">
        <f>(IF((VLOOKUP(Table5[[#This Row],[SKU]],'All Skus'!$A:$AC,2,FALSE))="DBX",(VLOOKUP(Table5[[#This Row],[SKU]],'All Skus'!$A:$AC,8,FALSE)),""))</f>
        <v>Graphic EQs</v>
      </c>
      <c r="H13" s="8" t="str">
        <f>(IF((VLOOKUP(Table5[[#This Row],[SKU]],'All Skus'!$A:$AC,2,FALSE))="DBX",(VLOOKUP(Table5[[#This Row],[SKU]],'All Skus'!$A:$AC,9,FALSE)),""))</f>
        <v>2 Series - Dual 31 Band Graphic Equalizer</v>
      </c>
      <c r="I13" s="58">
        <f>(IF((VLOOKUP(Table5[[#This Row],[SKU]],'All Skus'!$A:$AC,2,FALSE))="DBX",(VLOOKUP(Table5[[#This Row],[SKU]],'All Skus'!$A:$AC,10,FALSE)),""))</f>
        <v>350.18</v>
      </c>
      <c r="J13" s="58">
        <f>(IF((VLOOKUP(Table5[[#This Row],[SKU]],'All Skus'!$A:$AC,2,FALSE))="DBX",(VLOOKUP(Table5[[#This Row],[SKU]],'All Skus'!$A:$AC,11,FALSE)),""))</f>
        <v>285</v>
      </c>
      <c r="K13" s="139">
        <f>(IF((VLOOKUP(Table5[[#This Row],[SKU]],'All Skus'!$A:$AC,2,FALSE))="DBX",(VLOOKUP(Table5[[#This Row],[SKU]],'All Skus'!$A:$AC,15,FALSE)),""))</f>
        <v>3</v>
      </c>
      <c r="L13" s="137">
        <f>(IF((VLOOKUP(Table5[[#This Row],[SKU]],'All Skus'!$A:$AC,2,FALSE))="DBX",(VLOOKUP(Table5[[#This Row],[SKU]],'All Skus'!$A:$AC,16,FALSE)),""))</f>
        <v>691991401206</v>
      </c>
      <c r="M13" s="137">
        <f>(IF((VLOOKUP(Table5[[#This Row],[SKU]],'All Skus'!$A:$AC,2,FALSE))="DBX",(VLOOKUP(Table5[[#This Row],[SKU]],'All Skus'!$A:$AC,17,FALSE)),""))</f>
        <v>0</v>
      </c>
      <c r="N13" s="136">
        <f>(IF((VLOOKUP(Table5[[#This Row],[SKU]],'All Skus'!$A:$AC,2,FALSE))="DBX",(VLOOKUP(Table5[[#This Row],[SKU]],'All Skus'!$A:$AC,18,FALSE)),""))</f>
        <v>8</v>
      </c>
      <c r="O13" s="136">
        <f>(IF((VLOOKUP(Table5[[#This Row],[SKU]],'All Skus'!$A:$AC,2,FALSE))="DBX",(VLOOKUP(Table5[[#This Row],[SKU]],'All Skus'!$A:$AC,19,FALSE)),""))</f>
        <v>22</v>
      </c>
      <c r="P13" s="136">
        <f>(IF((VLOOKUP(Table5[[#This Row],[SKU]],'All Skus'!$A:$AC,2,FALSE))="DBX",(VLOOKUP(Table5[[#This Row],[SKU]],'All Skus'!$A:$AC,20,FALSE)),""))</f>
        <v>2.5</v>
      </c>
      <c r="Q13" s="136">
        <f>(IF((VLOOKUP(Table5[[#This Row],[SKU]],'All Skus'!$A:$AC,2,FALSE))="DBX",(VLOOKUP(Table5[[#This Row],[SKU]],'All Skus'!$A:$AC,21,FALSE)),""))</f>
        <v>11.5</v>
      </c>
      <c r="R13" s="61" t="str">
        <f>(IF((VLOOKUP(Table5[[#This Row],[SKU]],'All Skus'!$A:$AC,2,FALSE))="DBX",(VLOOKUP(Table5[[#This Row],[SKU]],'All Skus'!$A:$AC,22,FALSE)),""))</f>
        <v>CN</v>
      </c>
      <c r="S13" t="str">
        <f>(IF((VLOOKUP(Table5[[#This Row],[SKU]],'All Skus'!$A:$AC,2,FALSE))="DBX",(VLOOKUP(Table5[[#This Row],[SKU]],'All Skus'!$A:$AC,23,FALSE)),""))</f>
        <v>Non Compliant</v>
      </c>
      <c r="T13" s="212" t="str">
        <f>HYPERLINK((IF((VLOOKUP(Table5[[#This Row],[SKU]],'All Skus'!$A:$AC,2,FALSE))="DBX",(VLOOKUP(Table5[[#This Row],[SKU]],'All Skus'!$A:$AC,24,FALSE)),"")))</f>
        <v>http://dbxpro.com/en-US/products/231s</v>
      </c>
      <c r="U13" s="151">
        <v>11</v>
      </c>
    </row>
    <row r="14" spans="1:21" ht="15" customHeight="1">
      <c r="A14" s="13" t="s">
        <v>960</v>
      </c>
      <c r="B14" s="12" t="str">
        <f>(IF((VLOOKUP(Table5[[#This Row],[SKU]],'All Skus'!$A:$AC,2,FALSE))="DBX",(VLOOKUP(Table5[[#This Row],[SKU]],'All Skus'!$A:$AC,3,FALSE)),""))</f>
        <v>Graphic EQs</v>
      </c>
      <c r="C14" s="12" t="str">
        <f>(IF((VLOOKUP(Table5[[#This Row],[SKU]],'All Skus'!$A:$AC,2,FALSE))="DBX",(VLOOKUP(Table5[[#This Row],[SKU]],'All Skus'!$A:$AC,4,FALSE)),""))</f>
        <v>231s</v>
      </c>
      <c r="D14" t="str">
        <f>(IF((VLOOKUP(Table5[[#This Row],[SKU]],'All Skus'!$A:$AC,2,FALSE))="DBX",(VLOOKUP(Table5[[#This Row],[SKU]],'All Skus'!$A:$AC,5,FALSE)),""))</f>
        <v>DBX_EQ</v>
      </c>
      <c r="E14" s="14">
        <f>(IF((VLOOKUP(Table5[[#This Row],[SKU]],'All Skus'!$A:$AC,2,FALSE))="DBX",(VLOOKUP(Table5[[#This Row],[SKU]],'All Skus'!$A:$AC,6,FALSE)),""))</f>
        <v>0</v>
      </c>
      <c r="F14">
        <f>(IF((VLOOKUP(Table5[[#This Row],[SKU]],'All Skus'!$A:$AC,2,FALSE))="DBX",(VLOOKUP(Table5[[#This Row],[SKU]],'All Skus'!$A:$AC,7,FALSE)),""))</f>
        <v>0</v>
      </c>
      <c r="G14" s="7" t="str">
        <f>(IF((VLOOKUP(Table5[[#This Row],[SKU]],'All Skus'!$A:$AC,2,FALSE))="DBX",(VLOOKUP(Table5[[#This Row],[SKU]],'All Skus'!$A:$AC,8,FALSE)),""))</f>
        <v>Graphic EQs</v>
      </c>
      <c r="H14" s="8" t="str">
        <f>(IF((VLOOKUP(Table5[[#This Row],[SKU]],'All Skus'!$A:$AC,2,FALSE))="DBX",(VLOOKUP(Table5[[#This Row],[SKU]],'All Skus'!$A:$AC,9,FALSE)),""))</f>
        <v>2 Series - Dual 31 Band Graphic Equalizer</v>
      </c>
      <c r="I14" s="58">
        <f>(IF((VLOOKUP(Table5[[#This Row],[SKU]],'All Skus'!$A:$AC,2,FALSE))="DBX",(VLOOKUP(Table5[[#This Row],[SKU]],'All Skus'!$A:$AC,10,FALSE)),""))</f>
        <v>350.18</v>
      </c>
      <c r="J14" s="58">
        <f>(IF((VLOOKUP(Table5[[#This Row],[SKU]],'All Skus'!$A:$AC,2,FALSE))="DBX",(VLOOKUP(Table5[[#This Row],[SKU]],'All Skus'!$A:$AC,11,FALSE)),""))</f>
        <v>285</v>
      </c>
      <c r="K14" s="139">
        <f>(IF((VLOOKUP(Table5[[#This Row],[SKU]],'All Skus'!$A:$AC,2,FALSE))="DBX",(VLOOKUP(Table5[[#This Row],[SKU]],'All Skus'!$A:$AC,15,FALSE)),""))</f>
        <v>3</v>
      </c>
      <c r="L14" s="137">
        <f>(IF((VLOOKUP(Table5[[#This Row],[SKU]],'All Skus'!$A:$AC,2,FALSE))="DBX",(VLOOKUP(Table5[[#This Row],[SKU]],'All Skus'!$A:$AC,16,FALSE)),""))</f>
        <v>691991401206</v>
      </c>
      <c r="M14" s="137">
        <f>(IF((VLOOKUP(Table5[[#This Row],[SKU]],'All Skus'!$A:$AC,2,FALSE))="DBX",(VLOOKUP(Table5[[#This Row],[SKU]],'All Skus'!$A:$AC,17,FALSE)),""))</f>
        <v>0</v>
      </c>
      <c r="N14" s="136">
        <f>(IF((VLOOKUP(Table5[[#This Row],[SKU]],'All Skus'!$A:$AC,2,FALSE))="DBX",(VLOOKUP(Table5[[#This Row],[SKU]],'All Skus'!$A:$AC,18,FALSE)),""))</f>
        <v>8</v>
      </c>
      <c r="O14" s="136">
        <f>(IF((VLOOKUP(Table5[[#This Row],[SKU]],'All Skus'!$A:$AC,2,FALSE))="DBX",(VLOOKUP(Table5[[#This Row],[SKU]],'All Skus'!$A:$AC,19,FALSE)),""))</f>
        <v>22</v>
      </c>
      <c r="P14" s="136">
        <f>(IF((VLOOKUP(Table5[[#This Row],[SKU]],'All Skus'!$A:$AC,2,FALSE))="DBX",(VLOOKUP(Table5[[#This Row],[SKU]],'All Skus'!$A:$AC,20,FALSE)),""))</f>
        <v>2.5</v>
      </c>
      <c r="Q14" s="136">
        <f>(IF((VLOOKUP(Table5[[#This Row],[SKU]],'All Skus'!$A:$AC,2,FALSE))="DBX",(VLOOKUP(Table5[[#This Row],[SKU]],'All Skus'!$A:$AC,21,FALSE)),""))</f>
        <v>11.5</v>
      </c>
      <c r="R14" s="61" t="str">
        <f>(IF((VLOOKUP(Table5[[#This Row],[SKU]],'All Skus'!$A:$AC,2,FALSE))="DBX",(VLOOKUP(Table5[[#This Row],[SKU]],'All Skus'!$A:$AC,22,FALSE)),""))</f>
        <v>CN</v>
      </c>
      <c r="S14" t="str">
        <f>(IF((VLOOKUP(Table5[[#This Row],[SKU]],'All Skus'!$A:$AC,2,FALSE))="DBX",(VLOOKUP(Table5[[#This Row],[SKU]],'All Skus'!$A:$AC,23,FALSE)),""))</f>
        <v>Non Compliant</v>
      </c>
      <c r="T14" s="212" t="str">
        <f>HYPERLINK((IF((VLOOKUP(Table5[[#This Row],[SKU]],'All Skus'!$A:$AC,2,FALSE))="DBX",(VLOOKUP(Table5[[#This Row],[SKU]],'All Skus'!$A:$AC,24,FALSE)),"")))</f>
        <v>http://dbxpro.com/en-US/products/231s</v>
      </c>
      <c r="U14" s="151">
        <v>12</v>
      </c>
    </row>
    <row r="15" spans="1:21" ht="15" customHeight="1">
      <c r="A15" s="13" t="s">
        <v>961</v>
      </c>
      <c r="B15" s="12" t="str">
        <f>(IF((VLOOKUP(Table5[[#This Row],[SKU]],'All Skus'!$A:$AC,2,FALSE))="DBX",(VLOOKUP(Table5[[#This Row],[SKU]],'All Skus'!$A:$AC,3,FALSE)),""))</f>
        <v>Production Series</v>
      </c>
      <c r="C15" s="12" t="str">
        <f>(IF((VLOOKUP(Table5[[#This Row],[SKU]],'All Skus'!$A:$AC,2,FALSE))="DBX",(VLOOKUP(Table5[[#This Row],[SKU]],'All Skus'!$A:$AC,4,FALSE)),""))</f>
        <v>234s</v>
      </c>
      <c r="D15" t="str">
        <f>(IF((VLOOKUP(Table5[[#This Row],[SKU]],'All Skus'!$A:$AC,2,FALSE))="DBX",(VLOOKUP(Table5[[#This Row],[SKU]],'All Skus'!$A:$AC,5,FALSE)),""))</f>
        <v>DBX_CROSS</v>
      </c>
      <c r="E15" s="14">
        <f>(IF((VLOOKUP(Table5[[#This Row],[SKU]],'All Skus'!$A:$AC,2,FALSE))="DBX",(VLOOKUP(Table5[[#This Row],[SKU]],'All Skus'!$A:$AC,6,FALSE)),""))</f>
        <v>0</v>
      </c>
      <c r="F15">
        <f>(IF((VLOOKUP(Table5[[#This Row],[SKU]],'All Skus'!$A:$AC,2,FALSE))="DBX",(VLOOKUP(Table5[[#This Row],[SKU]],'All Skus'!$A:$AC,7,FALSE)),""))</f>
        <v>0</v>
      </c>
      <c r="G15" s="7" t="str">
        <f>(IF((VLOOKUP(Table5[[#This Row],[SKU]],'All Skus'!$A:$AC,2,FALSE))="DBX",(VLOOKUP(Table5[[#This Row],[SKU]],'All Skus'!$A:$AC,8,FALSE)),""))</f>
        <v>Production Series</v>
      </c>
      <c r="H15" s="8" t="str">
        <f>(IF((VLOOKUP(Table5[[#This Row],[SKU]],'All Skus'!$A:$AC,2,FALSE))="DBX",(VLOOKUP(Table5[[#This Row],[SKU]],'All Skus'!$A:$AC,9,FALSE)),""))</f>
        <v>Stereo 2/3 Way, Mono 4-Way Crossover</v>
      </c>
      <c r="I15" s="58">
        <f>(IF((VLOOKUP(Table5[[#This Row],[SKU]],'All Skus'!$A:$AC,2,FALSE))="DBX",(VLOOKUP(Table5[[#This Row],[SKU]],'All Skus'!$A:$AC,10,FALSE)),""))</f>
        <v>350.18</v>
      </c>
      <c r="J15" s="58">
        <f>(IF((VLOOKUP(Table5[[#This Row],[SKU]],'All Skus'!$A:$AC,2,FALSE))="DBX",(VLOOKUP(Table5[[#This Row],[SKU]],'All Skus'!$A:$AC,11,FALSE)),""))</f>
        <v>285</v>
      </c>
      <c r="K15" s="139">
        <f>(IF((VLOOKUP(Table5[[#This Row],[SKU]],'All Skus'!$A:$AC,2,FALSE))="DBX",(VLOOKUP(Table5[[#This Row],[SKU]],'All Skus'!$A:$AC,15,FALSE)),""))</f>
        <v>6</v>
      </c>
      <c r="L15" s="137">
        <f>(IF((VLOOKUP(Table5[[#This Row],[SKU]],'All Skus'!$A:$AC,2,FALSE))="DBX",(VLOOKUP(Table5[[#This Row],[SKU]],'All Skus'!$A:$AC,16,FALSE)),""))</f>
        <v>691991401282</v>
      </c>
      <c r="M15" s="137">
        <f>(IF((VLOOKUP(Table5[[#This Row],[SKU]],'All Skus'!$A:$AC,2,FALSE))="DBX",(VLOOKUP(Table5[[#This Row],[SKU]],'All Skus'!$A:$AC,17,FALSE)),""))</f>
        <v>0</v>
      </c>
      <c r="N15" s="136">
        <f>(IF((VLOOKUP(Table5[[#This Row],[SKU]],'All Skus'!$A:$AC,2,FALSE))="DBX",(VLOOKUP(Table5[[#This Row],[SKU]],'All Skus'!$A:$AC,18,FALSE)),""))</f>
        <v>6.5</v>
      </c>
      <c r="O15" s="136">
        <f>(IF((VLOOKUP(Table5[[#This Row],[SKU]],'All Skus'!$A:$AC,2,FALSE))="DBX",(VLOOKUP(Table5[[#This Row],[SKU]],'All Skus'!$A:$AC,19,FALSE)),""))</f>
        <v>22</v>
      </c>
      <c r="P15" s="136">
        <f>(IF((VLOOKUP(Table5[[#This Row],[SKU]],'All Skus'!$A:$AC,2,FALSE))="DBX",(VLOOKUP(Table5[[#This Row],[SKU]],'All Skus'!$A:$AC,20,FALSE)),""))</f>
        <v>2.5</v>
      </c>
      <c r="Q15" s="136">
        <f>(IF((VLOOKUP(Table5[[#This Row],[SKU]],'All Skus'!$A:$AC,2,FALSE))="DBX",(VLOOKUP(Table5[[#This Row],[SKU]],'All Skus'!$A:$AC,21,FALSE)),""))</f>
        <v>11.25</v>
      </c>
      <c r="R15" s="61" t="str">
        <f>(IF((VLOOKUP(Table5[[#This Row],[SKU]],'All Skus'!$A:$AC,2,FALSE))="DBX",(VLOOKUP(Table5[[#This Row],[SKU]],'All Skus'!$A:$AC,22,FALSE)),""))</f>
        <v>CN</v>
      </c>
      <c r="S15" t="str">
        <f>(IF((VLOOKUP(Table5[[#This Row],[SKU]],'All Skus'!$A:$AC,2,FALSE))="DBX",(VLOOKUP(Table5[[#This Row],[SKU]],'All Skus'!$A:$AC,23,FALSE)),""))</f>
        <v>Non Compliant</v>
      </c>
      <c r="T15" s="212" t="str">
        <f>HYPERLINK((IF((VLOOKUP(Table5[[#This Row],[SKU]],'All Skus'!$A:$AC,2,FALSE))="DBX",(VLOOKUP(Table5[[#This Row],[SKU]],'All Skus'!$A:$AC,24,FALSE)),"")))</f>
        <v>http://dbxpro.com/en-US/products/234s</v>
      </c>
      <c r="U15" s="151">
        <v>13</v>
      </c>
    </row>
    <row r="16" spans="1:21" ht="15" customHeight="1">
      <c r="A16" s="13" t="s">
        <v>962</v>
      </c>
      <c r="B16" s="12" t="str">
        <f>(IF((VLOOKUP(Table5[[#This Row],[SKU]],'All Skus'!$A:$AC,2,FALSE))="DBX",(VLOOKUP(Table5[[#This Row],[SKU]],'All Skus'!$A:$AC,3,FALSE)),""))</f>
        <v>Production Series</v>
      </c>
      <c r="C16" s="12" t="str">
        <f>(IF((VLOOKUP(Table5[[#This Row],[SKU]],'All Skus'!$A:$AC,2,FALSE))="DBX",(VLOOKUP(Table5[[#This Row],[SKU]],'All Skus'!$A:$AC,4,FALSE)),""))</f>
        <v>234xs</v>
      </c>
      <c r="D16" t="str">
        <f>(IF((VLOOKUP(Table5[[#This Row],[SKU]],'All Skus'!$A:$AC,2,FALSE))="DBX",(VLOOKUP(Table5[[#This Row],[SKU]],'All Skus'!$A:$AC,5,FALSE)),""))</f>
        <v>DBX_CROSS</v>
      </c>
      <c r="E16" s="14">
        <f>(IF((VLOOKUP(Table5[[#This Row],[SKU]],'All Skus'!$A:$AC,2,FALSE))="DBX",(VLOOKUP(Table5[[#This Row],[SKU]],'All Skus'!$A:$AC,6,FALSE)),""))</f>
        <v>0</v>
      </c>
      <c r="F16">
        <f>(IF((VLOOKUP(Table5[[#This Row],[SKU]],'All Skus'!$A:$AC,2,FALSE))="DBX",(VLOOKUP(Table5[[#This Row],[SKU]],'All Skus'!$A:$AC,7,FALSE)),""))</f>
        <v>0</v>
      </c>
      <c r="G16" s="7" t="str">
        <f>(IF((VLOOKUP(Table5[[#This Row],[SKU]],'All Skus'!$A:$AC,2,FALSE))="DBX",(VLOOKUP(Table5[[#This Row],[SKU]],'All Skus'!$A:$AC,8,FALSE)),""))</f>
        <v>Production Series</v>
      </c>
      <c r="H16" s="8" t="str">
        <f>(IF((VLOOKUP(Table5[[#This Row],[SKU]],'All Skus'!$A:$AC,2,FALSE))="DBX",(VLOOKUP(Table5[[#This Row],[SKU]],'All Skus'!$A:$AC,9,FALSE)),""))</f>
        <v>234s with XLR Connectors</v>
      </c>
      <c r="I16" s="58">
        <f>(IF((VLOOKUP(Table5[[#This Row],[SKU]],'All Skus'!$A:$AC,2,FALSE))="DBX",(VLOOKUP(Table5[[#This Row],[SKU]],'All Skus'!$A:$AC,10,FALSE)),""))</f>
        <v>411.35</v>
      </c>
      <c r="J16" s="58">
        <f>(IF((VLOOKUP(Table5[[#This Row],[SKU]],'All Skus'!$A:$AC,2,FALSE))="DBX",(VLOOKUP(Table5[[#This Row],[SKU]],'All Skus'!$A:$AC,11,FALSE)),""))</f>
        <v>329</v>
      </c>
      <c r="K16" s="139">
        <f>(IF((VLOOKUP(Table5[[#This Row],[SKU]],'All Skus'!$A:$AC,2,FALSE))="DBX",(VLOOKUP(Table5[[#This Row],[SKU]],'All Skus'!$A:$AC,15,FALSE)),""))</f>
        <v>6</v>
      </c>
      <c r="L16" s="137">
        <f>(IF((VLOOKUP(Table5[[#This Row],[SKU]],'All Skus'!$A:$AC,2,FALSE))="DBX",(VLOOKUP(Table5[[#This Row],[SKU]],'All Skus'!$A:$AC,16,FALSE)),""))</f>
        <v>691991401299</v>
      </c>
      <c r="M16" s="137">
        <f>(IF((VLOOKUP(Table5[[#This Row],[SKU]],'All Skus'!$A:$AC,2,FALSE))="DBX",(VLOOKUP(Table5[[#This Row],[SKU]],'All Skus'!$A:$AC,17,FALSE)),""))</f>
        <v>0</v>
      </c>
      <c r="N16" s="136">
        <f>(IF((VLOOKUP(Table5[[#This Row],[SKU]],'All Skus'!$A:$AC,2,FALSE))="DBX",(VLOOKUP(Table5[[#This Row],[SKU]],'All Skus'!$A:$AC,18,FALSE)),""))</f>
        <v>7</v>
      </c>
      <c r="O16" s="136">
        <f>(IF((VLOOKUP(Table5[[#This Row],[SKU]],'All Skus'!$A:$AC,2,FALSE))="DBX",(VLOOKUP(Table5[[#This Row],[SKU]],'All Skus'!$A:$AC,19,FALSE)),""))</f>
        <v>22</v>
      </c>
      <c r="P16" s="136">
        <f>(IF((VLOOKUP(Table5[[#This Row],[SKU]],'All Skus'!$A:$AC,2,FALSE))="DBX",(VLOOKUP(Table5[[#This Row],[SKU]],'All Skus'!$A:$AC,20,FALSE)),""))</f>
        <v>3</v>
      </c>
      <c r="Q16" s="136">
        <f>(IF((VLOOKUP(Table5[[#This Row],[SKU]],'All Skus'!$A:$AC,2,FALSE))="DBX",(VLOOKUP(Table5[[#This Row],[SKU]],'All Skus'!$A:$AC,21,FALSE)),""))</f>
        <v>11.5</v>
      </c>
      <c r="R16" s="61" t="str">
        <f>(IF((VLOOKUP(Table5[[#This Row],[SKU]],'All Skus'!$A:$AC,2,FALSE))="DBX",(VLOOKUP(Table5[[#This Row],[SKU]],'All Skus'!$A:$AC,22,FALSE)),""))</f>
        <v>CN</v>
      </c>
      <c r="S16" t="str">
        <f>(IF((VLOOKUP(Table5[[#This Row],[SKU]],'All Skus'!$A:$AC,2,FALSE))="DBX",(VLOOKUP(Table5[[#This Row],[SKU]],'All Skus'!$A:$AC,23,FALSE)),""))</f>
        <v>Non Compliant</v>
      </c>
      <c r="T16" s="212" t="str">
        <f>HYPERLINK((IF((VLOOKUP(Table5[[#This Row],[SKU]],'All Skus'!$A:$AC,2,FALSE))="DBX",(VLOOKUP(Table5[[#This Row],[SKU]],'All Skus'!$A:$AC,24,FALSE)),"")))</f>
        <v>http://dbxpro.com/en-US/products/234xs</v>
      </c>
      <c r="U16" s="151">
        <v>14</v>
      </c>
    </row>
    <row r="17" spans="1:21" ht="15" customHeight="1">
      <c r="A17" s="13" t="s">
        <v>963</v>
      </c>
      <c r="B17" s="12" t="str">
        <f>(IF((VLOOKUP(Table5[[#This Row],[SKU]],'All Skus'!$A:$AC,2,FALSE))="DBX",(VLOOKUP(Table5[[#This Row],[SKU]],'All Skus'!$A:$AC,3,FALSE)),""))</f>
        <v>DriveRack</v>
      </c>
      <c r="C17" s="12" t="str">
        <f>(IF((VLOOKUP(Table5[[#This Row],[SKU]],'All Skus'!$A:$AC,2,FALSE))="DBX",(VLOOKUP(Table5[[#This Row],[SKU]],'All Skus'!$A:$AC,4,FALSE)),""))</f>
        <v>260V</v>
      </c>
      <c r="D17" t="str">
        <f>(IF((VLOOKUP(Table5[[#This Row],[SKU]],'All Skus'!$A:$AC,2,FALSE))="DBX",(VLOOKUP(Table5[[#This Row],[SKU]],'All Skus'!$A:$AC,5,FALSE)),""))</f>
        <v>DBX_PSR</v>
      </c>
      <c r="E17" s="14">
        <f>(IF((VLOOKUP(Table5[[#This Row],[SKU]],'All Skus'!$A:$AC,2,FALSE))="DBX",(VLOOKUP(Table5[[#This Row],[SKU]],'All Skus'!$A:$AC,6,FALSE)),""))</f>
        <v>0</v>
      </c>
      <c r="F17">
        <f>(IF((VLOOKUP(Table5[[#This Row],[SKU]],'All Skus'!$A:$AC,2,FALSE))="DBX",(VLOOKUP(Table5[[#This Row],[SKU]],'All Skus'!$A:$AC,7,FALSE)),""))</f>
        <v>0</v>
      </c>
      <c r="G17" s="7" t="str">
        <f>(IF((VLOOKUP(Table5[[#This Row],[SKU]],'All Skus'!$A:$AC,2,FALSE))="DBX",(VLOOKUP(Table5[[#This Row],[SKU]],'All Skus'!$A:$AC,8,FALSE)),""))</f>
        <v>DriveRack</v>
      </c>
      <c r="H17" s="8" t="str">
        <f>(IF((VLOOKUP(Table5[[#This Row],[SKU]],'All Skus'!$A:$AC,2,FALSE))="DBX",(VLOOKUP(Table5[[#This Row],[SKU]],'All Skus'!$A:$AC,9,FALSE)),""))</f>
        <v>2x6 Loudspeaker Management System</v>
      </c>
      <c r="I17" s="58">
        <f>(IF((VLOOKUP(Table5[[#This Row],[SKU]],'All Skus'!$A:$AC,2,FALSE))="DBX",(VLOOKUP(Table5[[#This Row],[SKU]],'All Skus'!$A:$AC,10,FALSE)),""))</f>
        <v>1023.01</v>
      </c>
      <c r="J17" s="58">
        <f>(IF((VLOOKUP(Table5[[#This Row],[SKU]],'All Skus'!$A:$AC,2,FALSE))="DBX",(VLOOKUP(Table5[[#This Row],[SKU]],'All Skus'!$A:$AC,11,FALSE)),""))</f>
        <v>819</v>
      </c>
      <c r="K17" s="139">
        <f>(IF((VLOOKUP(Table5[[#This Row],[SKU]],'All Skus'!$A:$AC,2,FALSE))="DBX",(VLOOKUP(Table5[[#This Row],[SKU]],'All Skus'!$A:$AC,15,FALSE)),""))</f>
        <v>1</v>
      </c>
      <c r="L17" s="137">
        <f>(IF((VLOOKUP(Table5[[#This Row],[SKU]],'All Skus'!$A:$AC,2,FALSE))="DBX",(VLOOKUP(Table5[[#This Row],[SKU]],'All Skus'!$A:$AC,16,FALSE)),""))</f>
        <v>691991400483</v>
      </c>
      <c r="M17" s="137">
        <f>(IF((VLOOKUP(Table5[[#This Row],[SKU]],'All Skus'!$A:$AC,2,FALSE))="DBX",(VLOOKUP(Table5[[#This Row],[SKU]],'All Skus'!$A:$AC,17,FALSE)),""))</f>
        <v>0</v>
      </c>
      <c r="N17" s="136">
        <f>(IF((VLOOKUP(Table5[[#This Row],[SKU]],'All Skus'!$A:$AC,2,FALSE))="DBX",(VLOOKUP(Table5[[#This Row],[SKU]],'All Skus'!$A:$AC,18,FALSE)),""))</f>
        <v>8.5</v>
      </c>
      <c r="O17" s="136">
        <f>(IF((VLOOKUP(Table5[[#This Row],[SKU]],'All Skus'!$A:$AC,2,FALSE))="DBX",(VLOOKUP(Table5[[#This Row],[SKU]],'All Skus'!$A:$AC,19,FALSE)),""))</f>
        <v>22.5</v>
      </c>
      <c r="P17" s="136">
        <f>(IF((VLOOKUP(Table5[[#This Row],[SKU]],'All Skus'!$A:$AC,2,FALSE))="DBX",(VLOOKUP(Table5[[#This Row],[SKU]],'All Skus'!$A:$AC,20,FALSE)),""))</f>
        <v>4</v>
      </c>
      <c r="Q17" s="136">
        <f>(IF((VLOOKUP(Table5[[#This Row],[SKU]],'All Skus'!$A:$AC,2,FALSE))="DBX",(VLOOKUP(Table5[[#This Row],[SKU]],'All Skus'!$A:$AC,21,FALSE)),""))</f>
        <v>11.5</v>
      </c>
      <c r="R17" s="61" t="str">
        <f>(IF((VLOOKUP(Table5[[#This Row],[SKU]],'All Skus'!$A:$AC,2,FALSE))="DBX",(VLOOKUP(Table5[[#This Row],[SKU]],'All Skus'!$A:$AC,22,FALSE)),""))</f>
        <v>CN</v>
      </c>
      <c r="S17" t="str">
        <f>(IF((VLOOKUP(Table5[[#This Row],[SKU]],'All Skus'!$A:$AC,2,FALSE))="DBX",(VLOOKUP(Table5[[#This Row],[SKU]],'All Skus'!$A:$AC,23,FALSE)),""))</f>
        <v>Non Compliant</v>
      </c>
      <c r="T17" s="212" t="str">
        <f>HYPERLINK((IF((VLOOKUP(Table5[[#This Row],[SKU]],'All Skus'!$A:$AC,2,FALSE))="DBX",(VLOOKUP(Table5[[#This Row],[SKU]],'All Skus'!$A:$AC,24,FALSE)),"")))</f>
        <v>http://dbxpro.com/en-US/products/driverack-260</v>
      </c>
      <c r="U17" s="151">
        <v>15</v>
      </c>
    </row>
    <row r="18" spans="1:21" ht="15" customHeight="1">
      <c r="A18" s="13" t="s">
        <v>964</v>
      </c>
      <c r="B18" s="12" t="str">
        <f>(IF((VLOOKUP(Table5[[#This Row],[SKU]],'All Skus'!$A:$AC,2,FALSE))="DBX",(VLOOKUP(Table5[[#This Row],[SKU]],'All Skus'!$A:$AC,3,FALSE)),""))</f>
        <v>Production Series</v>
      </c>
      <c r="C18" s="12" t="str">
        <f>(IF((VLOOKUP(Table5[[#This Row],[SKU]],'All Skus'!$A:$AC,2,FALSE))="DBX",(VLOOKUP(Table5[[#This Row],[SKU]],'All Skus'!$A:$AC,4,FALSE)),""))</f>
        <v>266xs</v>
      </c>
      <c r="D18" t="str">
        <f>(IF((VLOOKUP(Table5[[#This Row],[SKU]],'All Skus'!$A:$AC,2,FALSE))="DBX",(VLOOKUP(Table5[[#This Row],[SKU]],'All Skus'!$A:$AC,5,FALSE)),""))</f>
        <v>DBX_CROSS</v>
      </c>
      <c r="E18" s="14">
        <f>(IF((VLOOKUP(Table5[[#This Row],[SKU]],'All Skus'!$A:$AC,2,FALSE))="DBX",(VLOOKUP(Table5[[#This Row],[SKU]],'All Skus'!$A:$AC,6,FALSE)),""))</f>
        <v>0</v>
      </c>
      <c r="F18">
        <f>(IF((VLOOKUP(Table5[[#This Row],[SKU]],'All Skus'!$A:$AC,2,FALSE))="DBX",(VLOOKUP(Table5[[#This Row],[SKU]],'All Skus'!$A:$AC,7,FALSE)),""))</f>
        <v>0</v>
      </c>
      <c r="G18" s="7" t="str">
        <f>(IF((VLOOKUP(Table5[[#This Row],[SKU]],'All Skus'!$A:$AC,2,FALSE))="DBX",(VLOOKUP(Table5[[#This Row],[SKU]],'All Skus'!$A:$AC,8,FALSE)),""))</f>
        <v>Production Series</v>
      </c>
      <c r="H18" s="8" t="str">
        <f>(IF((VLOOKUP(Table5[[#This Row],[SKU]],'All Skus'!$A:$AC,2,FALSE))="DBX",(VLOOKUP(Table5[[#This Row],[SKU]],'All Skus'!$A:$AC,9,FALSE)),""))</f>
        <v xml:space="preserve">Dual Compressor Gate </v>
      </c>
      <c r="I18" s="58">
        <f>(IF((VLOOKUP(Table5[[#This Row],[SKU]],'All Skus'!$A:$AC,2,FALSE))="DBX",(VLOOKUP(Table5[[#This Row],[SKU]],'All Skus'!$A:$AC,10,FALSE)),""))</f>
        <v>273.72000000000003</v>
      </c>
      <c r="J18" s="58">
        <f>(IF((VLOOKUP(Table5[[#This Row],[SKU]],'All Skus'!$A:$AC,2,FALSE))="DBX",(VLOOKUP(Table5[[#This Row],[SKU]],'All Skus'!$A:$AC,11,FALSE)),""))</f>
        <v>225</v>
      </c>
      <c r="K18" s="139">
        <f>(IF((VLOOKUP(Table5[[#This Row],[SKU]],'All Skus'!$A:$AC,2,FALSE))="DBX",(VLOOKUP(Table5[[#This Row],[SKU]],'All Skus'!$A:$AC,15,FALSE)),""))</f>
        <v>6</v>
      </c>
      <c r="L18" s="137">
        <f>(IF((VLOOKUP(Table5[[#This Row],[SKU]],'All Skus'!$A:$AC,2,FALSE))="DBX",(VLOOKUP(Table5[[#This Row],[SKU]],'All Skus'!$A:$AC,16,FALSE)),""))</f>
        <v>691991401244</v>
      </c>
      <c r="M18" s="137">
        <f>(IF((VLOOKUP(Table5[[#This Row],[SKU]],'All Skus'!$A:$AC,2,FALSE))="DBX",(VLOOKUP(Table5[[#This Row],[SKU]],'All Skus'!$A:$AC,17,FALSE)),""))</f>
        <v>0</v>
      </c>
      <c r="N18" s="136">
        <f>(IF((VLOOKUP(Table5[[#This Row],[SKU]],'All Skus'!$A:$AC,2,FALSE))="DBX",(VLOOKUP(Table5[[#This Row],[SKU]],'All Skus'!$A:$AC,18,FALSE)),""))</f>
        <v>6</v>
      </c>
      <c r="O18" s="136">
        <f>(IF((VLOOKUP(Table5[[#This Row],[SKU]],'All Skus'!$A:$AC,2,FALSE))="DBX",(VLOOKUP(Table5[[#This Row],[SKU]],'All Skus'!$A:$AC,19,FALSE)),""))</f>
        <v>22</v>
      </c>
      <c r="P18" s="136">
        <f>(IF((VLOOKUP(Table5[[#This Row],[SKU]],'All Skus'!$A:$AC,2,FALSE))="DBX",(VLOOKUP(Table5[[#This Row],[SKU]],'All Skus'!$A:$AC,20,FALSE)),""))</f>
        <v>2.5</v>
      </c>
      <c r="Q18" s="136">
        <f>(IF((VLOOKUP(Table5[[#This Row],[SKU]],'All Skus'!$A:$AC,2,FALSE))="DBX",(VLOOKUP(Table5[[#This Row],[SKU]],'All Skus'!$A:$AC,21,FALSE)),""))</f>
        <v>11</v>
      </c>
      <c r="R18" s="61" t="str">
        <f>(IF((VLOOKUP(Table5[[#This Row],[SKU]],'All Skus'!$A:$AC,2,FALSE))="DBX",(VLOOKUP(Table5[[#This Row],[SKU]],'All Skus'!$A:$AC,22,FALSE)),""))</f>
        <v>CN</v>
      </c>
      <c r="S18" t="str">
        <f>(IF((VLOOKUP(Table5[[#This Row],[SKU]],'All Skus'!$A:$AC,2,FALSE))="DBX",(VLOOKUP(Table5[[#This Row],[SKU]],'All Skus'!$A:$AC,23,FALSE)),""))</f>
        <v>Non Compliant</v>
      </c>
      <c r="T18" s="212" t="str">
        <f>HYPERLINK((IF((VLOOKUP(Table5[[#This Row],[SKU]],'All Skus'!$A:$AC,2,FALSE))="DBX",(VLOOKUP(Table5[[#This Row],[SKU]],'All Skus'!$A:$AC,24,FALSE)),"")))</f>
        <v>http://dbxpro.com/en-US/products/266xs</v>
      </c>
      <c r="U18" s="151">
        <v>16</v>
      </c>
    </row>
    <row r="19" spans="1:21" ht="15" customHeight="1">
      <c r="A19" s="13" t="s">
        <v>965</v>
      </c>
      <c r="B19" s="12" t="str">
        <f>(IF((VLOOKUP(Table5[[#This Row],[SKU]],'All Skus'!$A:$AC,2,FALSE))="DBX",(VLOOKUP(Table5[[#This Row],[SKU]],'All Skus'!$A:$AC,3,FALSE)),""))</f>
        <v>Production Series</v>
      </c>
      <c r="C19" s="12" t="str">
        <f>(IF((VLOOKUP(Table5[[#This Row],[SKU]],'All Skus'!$A:$AC,2,FALSE))="DBX",(VLOOKUP(Table5[[#This Row],[SKU]],'All Skus'!$A:$AC,4,FALSE)),""))</f>
        <v>286s</v>
      </c>
      <c r="D19" t="str">
        <f>(IF((VLOOKUP(Table5[[#This Row],[SKU]],'All Skus'!$A:$AC,2,FALSE))="DBX",(VLOOKUP(Table5[[#This Row],[SKU]],'All Skus'!$A:$AC,5,FALSE)),""))</f>
        <v>DBX_STUDI</v>
      </c>
      <c r="E19" s="14">
        <f>(IF((VLOOKUP(Table5[[#This Row],[SKU]],'All Skus'!$A:$AC,2,FALSE))="DBX",(VLOOKUP(Table5[[#This Row],[SKU]],'All Skus'!$A:$AC,6,FALSE)),""))</f>
        <v>0</v>
      </c>
      <c r="F19" t="str">
        <f>(IF((VLOOKUP(Table5[[#This Row],[SKU]],'All Skus'!$A:$AC,2,FALSE))="DBX",(VLOOKUP(Table5[[#This Row],[SKU]],'All Skus'!$A:$AC,7,FALSE)),""))</f>
        <v>Limited Quantity</v>
      </c>
      <c r="G19" s="7" t="str">
        <f>(IF((VLOOKUP(Table5[[#This Row],[SKU]],'All Skus'!$A:$AC,2,FALSE))="DBX",(VLOOKUP(Table5[[#This Row],[SKU]],'All Skus'!$A:$AC,8,FALSE)),""))</f>
        <v>Production Series</v>
      </c>
      <c r="H19" s="8" t="str">
        <f>(IF((VLOOKUP(Table5[[#This Row],[SKU]],'All Skus'!$A:$AC,2,FALSE))="DBX",(VLOOKUP(Table5[[#This Row],[SKU]],'All Skus'!$A:$AC,9,FALSE)),""))</f>
        <v>Mic Preamp / Channel Strip</v>
      </c>
      <c r="I19" s="58">
        <f>(IF((VLOOKUP(Table5[[#This Row],[SKU]],'All Skus'!$A:$AC,2,FALSE))="DBX",(VLOOKUP(Table5[[#This Row],[SKU]],'All Skus'!$A:$AC,10,FALSE)),""))</f>
        <v>350.18</v>
      </c>
      <c r="J19" s="58">
        <f>(IF((VLOOKUP(Table5[[#This Row],[SKU]],'All Skus'!$A:$AC,2,FALSE))="DBX",(VLOOKUP(Table5[[#This Row],[SKU]],'All Skus'!$A:$AC,11,FALSE)),""))</f>
        <v>289</v>
      </c>
      <c r="K19" s="139">
        <f>(IF((VLOOKUP(Table5[[#This Row],[SKU]],'All Skus'!$A:$AC,2,FALSE))="DBX",(VLOOKUP(Table5[[#This Row],[SKU]],'All Skus'!$A:$AC,15,FALSE)),""))</f>
        <v>6</v>
      </c>
      <c r="L19" s="137">
        <f>(IF((VLOOKUP(Table5[[#This Row],[SKU]],'All Skus'!$A:$AC,2,FALSE))="DBX",(VLOOKUP(Table5[[#This Row],[SKU]],'All Skus'!$A:$AC,16,FALSE)),""))</f>
        <v>691991401237</v>
      </c>
      <c r="M19" s="137">
        <f>(IF((VLOOKUP(Table5[[#This Row],[SKU]],'All Skus'!$A:$AC,2,FALSE))="DBX",(VLOOKUP(Table5[[#This Row],[SKU]],'All Skus'!$A:$AC,17,FALSE)),""))</f>
        <v>0</v>
      </c>
      <c r="N19" s="136">
        <f>(IF((VLOOKUP(Table5[[#This Row],[SKU]],'All Skus'!$A:$AC,2,FALSE))="DBX",(VLOOKUP(Table5[[#This Row],[SKU]],'All Skus'!$A:$AC,18,FALSE)),""))</f>
        <v>6</v>
      </c>
      <c r="O19" s="136">
        <f>(IF((VLOOKUP(Table5[[#This Row],[SKU]],'All Skus'!$A:$AC,2,FALSE))="DBX",(VLOOKUP(Table5[[#This Row],[SKU]],'All Skus'!$A:$AC,19,FALSE)),""))</f>
        <v>22</v>
      </c>
      <c r="P19" s="136">
        <f>(IF((VLOOKUP(Table5[[#This Row],[SKU]],'All Skus'!$A:$AC,2,FALSE))="DBX",(VLOOKUP(Table5[[#This Row],[SKU]],'All Skus'!$A:$AC,20,FALSE)),""))</f>
        <v>2.5</v>
      </c>
      <c r="Q19" s="136">
        <f>(IF((VLOOKUP(Table5[[#This Row],[SKU]],'All Skus'!$A:$AC,2,FALSE))="DBX",(VLOOKUP(Table5[[#This Row],[SKU]],'All Skus'!$A:$AC,21,FALSE)),""))</f>
        <v>11.25</v>
      </c>
      <c r="R19" s="61">
        <f>(IF((VLOOKUP(Table5[[#This Row],[SKU]],'All Skus'!$A:$AC,2,FALSE))="DBX",(VLOOKUP(Table5[[#This Row],[SKU]],'All Skus'!$A:$AC,22,FALSE)),""))</f>
        <v>0</v>
      </c>
      <c r="S19" t="str">
        <f>(IF((VLOOKUP(Table5[[#This Row],[SKU]],'All Skus'!$A:$AC,2,FALSE))="DBX",(VLOOKUP(Table5[[#This Row],[SKU]],'All Skus'!$A:$AC,23,FALSE)),""))</f>
        <v>Non Compliant</v>
      </c>
      <c r="T19" s="212" t="str">
        <f>HYPERLINK((IF((VLOOKUP(Table5[[#This Row],[SKU]],'All Skus'!$A:$AC,2,FALSE))="DBX",(VLOOKUP(Table5[[#This Row],[SKU]],'All Skus'!$A:$AC,24,FALSE)),"")))</f>
        <v>http://dbxpro.com/en-US/products/286s</v>
      </c>
      <c r="U19" s="151">
        <v>17</v>
      </c>
    </row>
    <row r="20" spans="1:21" ht="15" customHeight="1">
      <c r="A20" s="13" t="s">
        <v>966</v>
      </c>
      <c r="B20" s="12" t="str">
        <f>(IF((VLOOKUP(Table5[[#This Row],[SKU]],'All Skus'!$A:$AC,2,FALSE))="DBX",(VLOOKUP(Table5[[#This Row],[SKU]],'All Skus'!$A:$AC,3,FALSE)),""))</f>
        <v>Production Series</v>
      </c>
      <c r="C20" s="12" t="str">
        <f>(IF((VLOOKUP(Table5[[#This Row],[SKU]],'All Skus'!$A:$AC,2,FALSE))="DBX",(VLOOKUP(Table5[[#This Row],[SKU]],'All Skus'!$A:$AC,4,FALSE)),""))</f>
        <v>286s</v>
      </c>
      <c r="D20" t="str">
        <f>(IF((VLOOKUP(Table5[[#This Row],[SKU]],'All Skus'!$A:$AC,2,FALSE))="DBX",(VLOOKUP(Table5[[#This Row],[SKU]],'All Skus'!$A:$AC,5,FALSE)),""))</f>
        <v>DBX_STUDI</v>
      </c>
      <c r="E20" s="14">
        <f>(IF((VLOOKUP(Table5[[#This Row],[SKU]],'All Skus'!$A:$AC,2,FALSE))="DBX",(VLOOKUP(Table5[[#This Row],[SKU]],'All Skus'!$A:$AC,6,FALSE)),""))</f>
        <v>0</v>
      </c>
      <c r="F20" t="str">
        <f>(IF((VLOOKUP(Table5[[#This Row],[SKU]],'All Skus'!$A:$AC,2,FALSE))="DBX",(VLOOKUP(Table5[[#This Row],[SKU]],'All Skus'!$A:$AC,7,FALSE)),""))</f>
        <v>Limited Quantity</v>
      </c>
      <c r="G20" s="7" t="str">
        <f>(IF((VLOOKUP(Table5[[#This Row],[SKU]],'All Skus'!$A:$AC,2,FALSE))="DBX",(VLOOKUP(Table5[[#This Row],[SKU]],'All Skus'!$A:$AC,8,FALSE)),""))</f>
        <v>Production Series</v>
      </c>
      <c r="H20" s="8" t="str">
        <f>(IF((VLOOKUP(Table5[[#This Row],[SKU]],'All Skus'!$A:$AC,2,FALSE))="DBX",(VLOOKUP(Table5[[#This Row],[SKU]],'All Skus'!$A:$AC,9,FALSE)),""))</f>
        <v>Mic Preamp / Channel Strip</v>
      </c>
      <c r="I20" s="58">
        <f>(IF((VLOOKUP(Table5[[#This Row],[SKU]],'All Skus'!$A:$AC,2,FALSE))="DBX",(VLOOKUP(Table5[[#This Row],[SKU]],'All Skus'!$A:$AC,10,FALSE)),""))</f>
        <v>350.18</v>
      </c>
      <c r="J20" s="58">
        <f>(IF((VLOOKUP(Table5[[#This Row],[SKU]],'All Skus'!$A:$AC,2,FALSE))="DBX",(VLOOKUP(Table5[[#This Row],[SKU]],'All Skus'!$A:$AC,11,FALSE)),""))</f>
        <v>289</v>
      </c>
      <c r="K20" s="139">
        <f>(IF((VLOOKUP(Table5[[#This Row],[SKU]],'All Skus'!$A:$AC,2,FALSE))="DBX",(VLOOKUP(Table5[[#This Row],[SKU]],'All Skus'!$A:$AC,15,FALSE)),""))</f>
        <v>6</v>
      </c>
      <c r="L20" s="137">
        <f>(IF((VLOOKUP(Table5[[#This Row],[SKU]],'All Skus'!$A:$AC,2,FALSE))="DBX",(VLOOKUP(Table5[[#This Row],[SKU]],'All Skus'!$A:$AC,16,FALSE)),""))</f>
        <v>691991401237</v>
      </c>
      <c r="M20" s="137">
        <f>(IF((VLOOKUP(Table5[[#This Row],[SKU]],'All Skus'!$A:$AC,2,FALSE))="DBX",(VLOOKUP(Table5[[#This Row],[SKU]],'All Skus'!$A:$AC,17,FALSE)),""))</f>
        <v>0</v>
      </c>
      <c r="N20" s="136">
        <f>(IF((VLOOKUP(Table5[[#This Row],[SKU]],'All Skus'!$A:$AC,2,FALSE))="DBX",(VLOOKUP(Table5[[#This Row],[SKU]],'All Skus'!$A:$AC,18,FALSE)),""))</f>
        <v>6</v>
      </c>
      <c r="O20" s="136">
        <f>(IF((VLOOKUP(Table5[[#This Row],[SKU]],'All Skus'!$A:$AC,2,FALSE))="DBX",(VLOOKUP(Table5[[#This Row],[SKU]],'All Skus'!$A:$AC,19,FALSE)),""))</f>
        <v>22</v>
      </c>
      <c r="P20" s="136">
        <f>(IF((VLOOKUP(Table5[[#This Row],[SKU]],'All Skus'!$A:$AC,2,FALSE))="DBX",(VLOOKUP(Table5[[#This Row],[SKU]],'All Skus'!$A:$AC,20,FALSE)),""))</f>
        <v>2.5</v>
      </c>
      <c r="Q20" s="136">
        <f>(IF((VLOOKUP(Table5[[#This Row],[SKU]],'All Skus'!$A:$AC,2,FALSE))="DBX",(VLOOKUP(Table5[[#This Row],[SKU]],'All Skus'!$A:$AC,21,FALSE)),""))</f>
        <v>11.25</v>
      </c>
      <c r="R20" s="61">
        <f>(IF((VLOOKUP(Table5[[#This Row],[SKU]],'All Skus'!$A:$AC,2,FALSE))="DBX",(VLOOKUP(Table5[[#This Row],[SKU]],'All Skus'!$A:$AC,22,FALSE)),""))</f>
        <v>0</v>
      </c>
      <c r="S20" t="str">
        <f>(IF((VLOOKUP(Table5[[#This Row],[SKU]],'All Skus'!$A:$AC,2,FALSE))="DBX",(VLOOKUP(Table5[[#This Row],[SKU]],'All Skus'!$A:$AC,23,FALSE)),""))</f>
        <v>Non Compliant</v>
      </c>
      <c r="T20" s="212" t="str">
        <f>HYPERLINK((IF((VLOOKUP(Table5[[#This Row],[SKU]],'All Skus'!$A:$AC,2,FALSE))="DBX",(VLOOKUP(Table5[[#This Row],[SKU]],'All Skus'!$A:$AC,24,FALSE)),"")))</f>
        <v>http://dbxpro.com/en-US/products/286s</v>
      </c>
      <c r="U20" s="151">
        <v>18</v>
      </c>
    </row>
    <row r="21" spans="1:21" ht="15" customHeight="1">
      <c r="A21" s="13" t="s">
        <v>965</v>
      </c>
      <c r="B21" s="12" t="str">
        <f>(IF((VLOOKUP(Table5[[#This Row],[SKU]],'All Skus'!$A:$AC,2,FALSE))="DBX",(VLOOKUP(Table5[[#This Row],[SKU]],'All Skus'!$A:$AC,3,FALSE)),""))</f>
        <v>Production Series</v>
      </c>
      <c r="C21" s="12" t="str">
        <f>(IF((VLOOKUP(Table5[[#This Row],[SKU]],'All Skus'!$A:$AC,2,FALSE))="DBX",(VLOOKUP(Table5[[#This Row],[SKU]],'All Skus'!$A:$AC,4,FALSE)),""))</f>
        <v>286s</v>
      </c>
      <c r="D21" t="str">
        <f>(IF((VLOOKUP(Table5[[#This Row],[SKU]],'All Skus'!$A:$AC,2,FALSE))="DBX",(VLOOKUP(Table5[[#This Row],[SKU]],'All Skus'!$A:$AC,5,FALSE)),""))</f>
        <v>DBX_STUDI</v>
      </c>
      <c r="E21" s="14">
        <f>(IF((VLOOKUP(Table5[[#This Row],[SKU]],'All Skus'!$A:$AC,2,FALSE))="DBX",(VLOOKUP(Table5[[#This Row],[SKU]],'All Skus'!$A:$AC,6,FALSE)),""))</f>
        <v>0</v>
      </c>
      <c r="F21" t="str">
        <f>(IF((VLOOKUP(Table5[[#This Row],[SKU]],'All Skus'!$A:$AC,2,FALSE))="DBX",(VLOOKUP(Table5[[#This Row],[SKU]],'All Skus'!$A:$AC,7,FALSE)),""))</f>
        <v>Limited Quantity</v>
      </c>
      <c r="G21" s="7" t="str">
        <f>(IF((VLOOKUP(Table5[[#This Row],[SKU]],'All Skus'!$A:$AC,2,FALSE))="DBX",(VLOOKUP(Table5[[#This Row],[SKU]],'All Skus'!$A:$AC,8,FALSE)),""))</f>
        <v>Production Series</v>
      </c>
      <c r="H21" s="8" t="str">
        <f>(IF((VLOOKUP(Table5[[#This Row],[SKU]],'All Skus'!$A:$AC,2,FALSE))="DBX",(VLOOKUP(Table5[[#This Row],[SKU]],'All Skus'!$A:$AC,9,FALSE)),""))</f>
        <v>Mic Preamp / Channel Strip</v>
      </c>
      <c r="I21" s="58">
        <f>(IF((VLOOKUP(Table5[[#This Row],[SKU]],'All Skus'!$A:$AC,2,FALSE))="DBX",(VLOOKUP(Table5[[#This Row],[SKU]],'All Skus'!$A:$AC,10,FALSE)),""))</f>
        <v>350.18</v>
      </c>
      <c r="J21" s="58">
        <f>(IF((VLOOKUP(Table5[[#This Row],[SKU]],'All Skus'!$A:$AC,2,FALSE))="DBX",(VLOOKUP(Table5[[#This Row],[SKU]],'All Skus'!$A:$AC,11,FALSE)),""))</f>
        <v>289</v>
      </c>
      <c r="K21" s="139">
        <f>(IF((VLOOKUP(Table5[[#This Row],[SKU]],'All Skus'!$A:$AC,2,FALSE))="DBX",(VLOOKUP(Table5[[#This Row],[SKU]],'All Skus'!$A:$AC,15,FALSE)),""))</f>
        <v>6</v>
      </c>
      <c r="L21" s="137">
        <f>(IF((VLOOKUP(Table5[[#This Row],[SKU]],'All Skus'!$A:$AC,2,FALSE))="DBX",(VLOOKUP(Table5[[#This Row],[SKU]],'All Skus'!$A:$AC,16,FALSE)),""))</f>
        <v>691991401237</v>
      </c>
      <c r="M21" s="137">
        <f>(IF((VLOOKUP(Table5[[#This Row],[SKU]],'All Skus'!$A:$AC,2,FALSE))="DBX",(VLOOKUP(Table5[[#This Row],[SKU]],'All Skus'!$A:$AC,17,FALSE)),""))</f>
        <v>0</v>
      </c>
      <c r="N21" s="136">
        <f>(IF((VLOOKUP(Table5[[#This Row],[SKU]],'All Skus'!$A:$AC,2,FALSE))="DBX",(VLOOKUP(Table5[[#This Row],[SKU]],'All Skus'!$A:$AC,18,FALSE)),""))</f>
        <v>6</v>
      </c>
      <c r="O21" s="136">
        <f>(IF((VLOOKUP(Table5[[#This Row],[SKU]],'All Skus'!$A:$AC,2,FALSE))="DBX",(VLOOKUP(Table5[[#This Row],[SKU]],'All Skus'!$A:$AC,19,FALSE)),""))</f>
        <v>22</v>
      </c>
      <c r="P21" s="136">
        <f>(IF((VLOOKUP(Table5[[#This Row],[SKU]],'All Skus'!$A:$AC,2,FALSE))="DBX",(VLOOKUP(Table5[[#This Row],[SKU]],'All Skus'!$A:$AC,20,FALSE)),""))</f>
        <v>2.5</v>
      </c>
      <c r="Q21" s="136">
        <f>(IF((VLOOKUP(Table5[[#This Row],[SKU]],'All Skus'!$A:$AC,2,FALSE))="DBX",(VLOOKUP(Table5[[#This Row],[SKU]],'All Skus'!$A:$AC,21,FALSE)),""))</f>
        <v>11.25</v>
      </c>
      <c r="R21" s="61">
        <f>(IF((VLOOKUP(Table5[[#This Row],[SKU]],'All Skus'!$A:$AC,2,FALSE))="DBX",(VLOOKUP(Table5[[#This Row],[SKU]],'All Skus'!$A:$AC,22,FALSE)),""))</f>
        <v>0</v>
      </c>
      <c r="S21" t="str">
        <f>(IF((VLOOKUP(Table5[[#This Row],[SKU]],'All Skus'!$A:$AC,2,FALSE))="DBX",(VLOOKUP(Table5[[#This Row],[SKU]],'All Skus'!$A:$AC,23,FALSE)),""))</f>
        <v>Non Compliant</v>
      </c>
      <c r="T21" s="212" t="str">
        <f>HYPERLINK((IF((VLOOKUP(Table5[[#This Row],[SKU]],'All Skus'!$A:$AC,2,FALSE))="DBX",(VLOOKUP(Table5[[#This Row],[SKU]],'All Skus'!$A:$AC,24,FALSE)),"")))</f>
        <v>http://dbxpro.com/en-US/products/286s</v>
      </c>
      <c r="U21" s="151">
        <v>19</v>
      </c>
    </row>
    <row r="22" spans="1:21" ht="15" customHeight="1">
      <c r="A22" s="13" t="s">
        <v>967</v>
      </c>
      <c r="B22" s="12" t="str">
        <f>(IF((VLOOKUP(Table5[[#This Row],[SKU]],'All Skus'!$A:$AC,2,FALSE))="DBX",(VLOOKUP(Table5[[#This Row],[SKU]],'All Skus'!$A:$AC,3,FALSE)),""))</f>
        <v>500 Series</v>
      </c>
      <c r="C22" s="12">
        <f>(IF((VLOOKUP(Table5[[#This Row],[SKU]],'All Skus'!$A:$AC,2,FALSE))="DBX",(VLOOKUP(Table5[[#This Row],[SKU]],'All Skus'!$A:$AC,4,FALSE)),""))</f>
        <v>510</v>
      </c>
      <c r="D22" t="str">
        <f>(IF((VLOOKUP(Table5[[#This Row],[SKU]],'All Skus'!$A:$AC,2,FALSE))="DBX",(VLOOKUP(Table5[[#This Row],[SKU]],'All Skus'!$A:$AC,5,FALSE)),""))</f>
        <v>DBX_STUDI</v>
      </c>
      <c r="E22" s="14">
        <f>(IF((VLOOKUP(Table5[[#This Row],[SKU]],'All Skus'!$A:$AC,2,FALSE))="DBX",(VLOOKUP(Table5[[#This Row],[SKU]],'All Skus'!$A:$AC,6,FALSE)),""))</f>
        <v>0</v>
      </c>
      <c r="F22">
        <f>(IF((VLOOKUP(Table5[[#This Row],[SKU]],'All Skus'!$A:$AC,2,FALSE))="DBX",(VLOOKUP(Table5[[#This Row],[SKU]],'All Skus'!$A:$AC,7,FALSE)),""))</f>
        <v>0</v>
      </c>
      <c r="G22" s="7" t="str">
        <f>(IF((VLOOKUP(Table5[[#This Row],[SKU]],'All Skus'!$A:$AC,2,FALSE))="DBX",(VLOOKUP(Table5[[#This Row],[SKU]],'All Skus'!$A:$AC,8,FALSE)),""))</f>
        <v>500 Series</v>
      </c>
      <c r="H22" s="8" t="str">
        <f>(IF((VLOOKUP(Table5[[#This Row],[SKU]],'All Skus'!$A:$AC,2,FALSE))="DBX",(VLOOKUP(Table5[[#This Row],[SKU]],'All Skus'!$A:$AC,9,FALSE)),""))</f>
        <v>SubHarmonic Synthesizer</v>
      </c>
      <c r="I22" s="58">
        <f>(IF((VLOOKUP(Table5[[#This Row],[SKU]],'All Skus'!$A:$AC,2,FALSE))="DBX",(VLOOKUP(Table5[[#This Row],[SKU]],'All Skus'!$A:$AC,10,FALSE)),""))</f>
        <v>258.43</v>
      </c>
      <c r="J22" s="58">
        <f>(IF((VLOOKUP(Table5[[#This Row],[SKU]],'All Skus'!$A:$AC,2,FALSE))="DBX",(VLOOKUP(Table5[[#This Row],[SKU]],'All Skus'!$A:$AC,11,FALSE)),""))</f>
        <v>209</v>
      </c>
      <c r="K22" s="139">
        <f>(IF((VLOOKUP(Table5[[#This Row],[SKU]],'All Skus'!$A:$AC,2,FALSE))="DBX",(VLOOKUP(Table5[[#This Row],[SKU]],'All Skus'!$A:$AC,15,FALSE)),""))</f>
        <v>6</v>
      </c>
      <c r="L22" s="137">
        <f>(IF((VLOOKUP(Table5[[#This Row],[SKU]],'All Skus'!$A:$AC,2,FALSE))="DBX",(VLOOKUP(Table5[[#This Row],[SKU]],'All Skus'!$A:$AC,16,FALSE)),""))</f>
        <v>691991000669</v>
      </c>
      <c r="M22" s="137">
        <f>(IF((VLOOKUP(Table5[[#This Row],[SKU]],'All Skus'!$A:$AC,2,FALSE))="DBX",(VLOOKUP(Table5[[#This Row],[SKU]],'All Skus'!$A:$AC,17,FALSE)),""))</f>
        <v>0</v>
      </c>
      <c r="N22" s="136">
        <f>(IF((VLOOKUP(Table5[[#This Row],[SKU]],'All Skus'!$A:$AC,2,FALSE))="DBX",(VLOOKUP(Table5[[#This Row],[SKU]],'All Skus'!$A:$AC,18,FALSE)),""))</f>
        <v>1.5</v>
      </c>
      <c r="O22" s="136">
        <f>(IF((VLOOKUP(Table5[[#This Row],[SKU]],'All Skus'!$A:$AC,2,FALSE))="DBX",(VLOOKUP(Table5[[#This Row],[SKU]],'All Skus'!$A:$AC,19,FALSE)),""))</f>
        <v>10</v>
      </c>
      <c r="P22" s="136">
        <f>(IF((VLOOKUP(Table5[[#This Row],[SKU]],'All Skus'!$A:$AC,2,FALSE))="DBX",(VLOOKUP(Table5[[#This Row],[SKU]],'All Skus'!$A:$AC,20,FALSE)),""))</f>
        <v>6</v>
      </c>
      <c r="Q22" s="136">
        <f>(IF((VLOOKUP(Table5[[#This Row],[SKU]],'All Skus'!$A:$AC,2,FALSE))="DBX",(VLOOKUP(Table5[[#This Row],[SKU]],'All Skus'!$A:$AC,21,FALSE)),""))</f>
        <v>3.5</v>
      </c>
      <c r="R22" s="61" t="str">
        <f>(IF((VLOOKUP(Table5[[#This Row],[SKU]],'All Skus'!$A:$AC,2,FALSE))="DBX",(VLOOKUP(Table5[[#This Row],[SKU]],'All Skus'!$A:$AC,22,FALSE)),""))</f>
        <v>CN</v>
      </c>
      <c r="S22" t="str">
        <f>(IF((VLOOKUP(Table5[[#This Row],[SKU]],'All Skus'!$A:$AC,2,FALSE))="DBX",(VLOOKUP(Table5[[#This Row],[SKU]],'All Skus'!$A:$AC,23,FALSE)),""))</f>
        <v>Non Compliant</v>
      </c>
      <c r="T22" s="212" t="str">
        <f>HYPERLINK((IF((VLOOKUP(Table5[[#This Row],[SKU]],'All Skus'!$A:$AC,2,FALSE))="DBX",(VLOOKUP(Table5[[#This Row],[SKU]],'All Skus'!$A:$AC,24,FALSE)),"")))</f>
        <v>http://dbxpro.com/en-US/products/510</v>
      </c>
      <c r="U22" s="151">
        <v>20</v>
      </c>
    </row>
    <row r="23" spans="1:21" ht="15" customHeight="1">
      <c r="A23" s="13" t="s">
        <v>968</v>
      </c>
      <c r="B23" s="12" t="str">
        <f>(IF((VLOOKUP(Table5[[#This Row],[SKU]],'All Skus'!$A:$AC,2,FALSE))="DBX",(VLOOKUP(Table5[[#This Row],[SKU]],'All Skus'!$A:$AC,3,FALSE)),""))</f>
        <v>500 Series</v>
      </c>
      <c r="C23" s="12">
        <f>(IF((VLOOKUP(Table5[[#This Row],[SKU]],'All Skus'!$A:$AC,2,FALSE))="DBX",(VLOOKUP(Table5[[#This Row],[SKU]],'All Skus'!$A:$AC,4,FALSE)),""))</f>
        <v>520</v>
      </c>
      <c r="D23" t="str">
        <f>(IF((VLOOKUP(Table5[[#This Row],[SKU]],'All Skus'!$A:$AC,2,FALSE))="DBX",(VLOOKUP(Table5[[#This Row],[SKU]],'All Skus'!$A:$AC,5,FALSE)),""))</f>
        <v>DBX_STUDI</v>
      </c>
      <c r="E23" s="14">
        <f>(IF((VLOOKUP(Table5[[#This Row],[SKU]],'All Skus'!$A:$AC,2,FALSE))="DBX",(VLOOKUP(Table5[[#This Row],[SKU]],'All Skus'!$A:$AC,6,FALSE)),""))</f>
        <v>0</v>
      </c>
      <c r="F23">
        <f>(IF((VLOOKUP(Table5[[#This Row],[SKU]],'All Skus'!$A:$AC,2,FALSE))="DBX",(VLOOKUP(Table5[[#This Row],[SKU]],'All Skus'!$A:$AC,7,FALSE)),""))</f>
        <v>0</v>
      </c>
      <c r="G23" s="7" t="str">
        <f>(IF((VLOOKUP(Table5[[#This Row],[SKU]],'All Skus'!$A:$AC,2,FALSE))="DBX",(VLOOKUP(Table5[[#This Row],[SKU]],'All Skus'!$A:$AC,8,FALSE)),""))</f>
        <v>500 Series</v>
      </c>
      <c r="H23" s="8" t="str">
        <f>(IF((VLOOKUP(Table5[[#This Row],[SKU]],'All Skus'!$A:$AC,2,FALSE))="DBX",(VLOOKUP(Table5[[#This Row],[SKU]],'All Skus'!$A:$AC,9,FALSE)),""))</f>
        <v xml:space="preserve">De-Esser </v>
      </c>
      <c r="I23" s="58">
        <f>(IF((VLOOKUP(Table5[[#This Row],[SKU]],'All Skus'!$A:$AC,2,FALSE))="DBX",(VLOOKUP(Table5[[#This Row],[SKU]],'All Skus'!$A:$AC,10,FALSE)),""))</f>
        <v>273.72000000000003</v>
      </c>
      <c r="J23" s="58">
        <f>(IF((VLOOKUP(Table5[[#This Row],[SKU]],'All Skus'!$A:$AC,2,FALSE))="DBX",(VLOOKUP(Table5[[#This Row],[SKU]],'All Skus'!$A:$AC,11,FALSE)),""))</f>
        <v>225</v>
      </c>
      <c r="K23" s="139">
        <f>(IF((VLOOKUP(Table5[[#This Row],[SKU]],'All Skus'!$A:$AC,2,FALSE))="DBX",(VLOOKUP(Table5[[#This Row],[SKU]],'All Skus'!$A:$AC,15,FALSE)),""))</f>
        <v>6</v>
      </c>
      <c r="L23" s="137">
        <f>(IF((VLOOKUP(Table5[[#This Row],[SKU]],'All Skus'!$A:$AC,2,FALSE))="DBX",(VLOOKUP(Table5[[#This Row],[SKU]],'All Skus'!$A:$AC,16,FALSE)),""))</f>
        <v>691991000652</v>
      </c>
      <c r="M23" s="137">
        <f>(IF((VLOOKUP(Table5[[#This Row],[SKU]],'All Skus'!$A:$AC,2,FALSE))="DBX",(VLOOKUP(Table5[[#This Row],[SKU]],'All Skus'!$A:$AC,17,FALSE)),""))</f>
        <v>0</v>
      </c>
      <c r="N23" s="136">
        <f>(IF((VLOOKUP(Table5[[#This Row],[SKU]],'All Skus'!$A:$AC,2,FALSE))="DBX",(VLOOKUP(Table5[[#This Row],[SKU]],'All Skus'!$A:$AC,18,FALSE)),""))</f>
        <v>2</v>
      </c>
      <c r="O23" s="136">
        <f>(IF((VLOOKUP(Table5[[#This Row],[SKU]],'All Skus'!$A:$AC,2,FALSE))="DBX",(VLOOKUP(Table5[[#This Row],[SKU]],'All Skus'!$A:$AC,19,FALSE)),""))</f>
        <v>10</v>
      </c>
      <c r="P23" s="136">
        <f>(IF((VLOOKUP(Table5[[#This Row],[SKU]],'All Skus'!$A:$AC,2,FALSE))="DBX",(VLOOKUP(Table5[[#This Row],[SKU]],'All Skus'!$A:$AC,20,FALSE)),""))</f>
        <v>6.5</v>
      </c>
      <c r="Q23" s="136">
        <f>(IF((VLOOKUP(Table5[[#This Row],[SKU]],'All Skus'!$A:$AC,2,FALSE))="DBX",(VLOOKUP(Table5[[#This Row],[SKU]],'All Skus'!$A:$AC,21,FALSE)),""))</f>
        <v>4</v>
      </c>
      <c r="R23" s="61" t="str">
        <f>(IF((VLOOKUP(Table5[[#This Row],[SKU]],'All Skus'!$A:$AC,2,FALSE))="DBX",(VLOOKUP(Table5[[#This Row],[SKU]],'All Skus'!$A:$AC,22,FALSE)),""))</f>
        <v>CN</v>
      </c>
      <c r="S23" t="str">
        <f>(IF((VLOOKUP(Table5[[#This Row],[SKU]],'All Skus'!$A:$AC,2,FALSE))="DBX",(VLOOKUP(Table5[[#This Row],[SKU]],'All Skus'!$A:$AC,23,FALSE)),""))</f>
        <v>Non Compliant</v>
      </c>
      <c r="T23" s="212" t="str">
        <f>HYPERLINK((IF((VLOOKUP(Table5[[#This Row],[SKU]],'All Skus'!$A:$AC,2,FALSE))="DBX",(VLOOKUP(Table5[[#This Row],[SKU]],'All Skus'!$A:$AC,24,FALSE)),"")))</f>
        <v>http://dbxpro.com/en-US/products/520</v>
      </c>
      <c r="U23" s="151">
        <v>21</v>
      </c>
    </row>
    <row r="24" spans="1:21" ht="15" customHeight="1">
      <c r="A24" s="13" t="s">
        <v>969</v>
      </c>
      <c r="B24" s="12" t="str">
        <f>(IF((VLOOKUP(Table5[[#This Row],[SKU]],'All Skus'!$A:$AC,2,FALSE))="DBX",(VLOOKUP(Table5[[#This Row],[SKU]],'All Skus'!$A:$AC,3,FALSE)),""))</f>
        <v>500 Series</v>
      </c>
      <c r="C24" s="12">
        <f>(IF((VLOOKUP(Table5[[#This Row],[SKU]],'All Skus'!$A:$AC,2,FALSE))="DBX",(VLOOKUP(Table5[[#This Row],[SKU]],'All Skus'!$A:$AC,4,FALSE)),""))</f>
        <v>530</v>
      </c>
      <c r="D24" t="str">
        <f>(IF((VLOOKUP(Table5[[#This Row],[SKU]],'All Skus'!$A:$AC,2,FALSE))="DBX",(VLOOKUP(Table5[[#This Row],[SKU]],'All Skus'!$A:$AC,5,FALSE)),""))</f>
        <v>DBX_STUDI</v>
      </c>
      <c r="E24" s="14">
        <f>(IF((VLOOKUP(Table5[[#This Row],[SKU]],'All Skus'!$A:$AC,2,FALSE))="DBX",(VLOOKUP(Table5[[#This Row],[SKU]],'All Skus'!$A:$AC,6,FALSE)),""))</f>
        <v>0</v>
      </c>
      <c r="F24">
        <f>(IF((VLOOKUP(Table5[[#This Row],[SKU]],'All Skus'!$A:$AC,2,FALSE))="DBX",(VLOOKUP(Table5[[#This Row],[SKU]],'All Skus'!$A:$AC,7,FALSE)),""))</f>
        <v>0</v>
      </c>
      <c r="G24" s="7" t="str">
        <f>(IF((VLOOKUP(Table5[[#This Row],[SKU]],'All Skus'!$A:$AC,2,FALSE))="DBX",(VLOOKUP(Table5[[#This Row],[SKU]],'All Skus'!$A:$AC,8,FALSE)),""))</f>
        <v>500 Series</v>
      </c>
      <c r="H24" s="8" t="str">
        <f>(IF((VLOOKUP(Table5[[#This Row],[SKU]],'All Skus'!$A:$AC,2,FALSE))="DBX",(VLOOKUP(Table5[[#This Row],[SKU]],'All Skus'!$A:$AC,9,FALSE)),""))</f>
        <v xml:space="preserve">3-Band Parametric EQ </v>
      </c>
      <c r="I24" s="58">
        <f>(IF((VLOOKUP(Table5[[#This Row],[SKU]],'All Skus'!$A:$AC,2,FALSE))="DBX",(VLOOKUP(Table5[[#This Row],[SKU]],'All Skus'!$A:$AC,10,FALSE)),""))</f>
        <v>350.18</v>
      </c>
      <c r="J24" s="58">
        <f>(IF((VLOOKUP(Table5[[#This Row],[SKU]],'All Skus'!$A:$AC,2,FALSE))="DBX",(VLOOKUP(Table5[[#This Row],[SKU]],'All Skus'!$A:$AC,11,FALSE)),""))</f>
        <v>285</v>
      </c>
      <c r="K24" s="139">
        <f>(IF((VLOOKUP(Table5[[#This Row],[SKU]],'All Skus'!$A:$AC,2,FALSE))="DBX",(VLOOKUP(Table5[[#This Row],[SKU]],'All Skus'!$A:$AC,15,FALSE)),""))</f>
        <v>6</v>
      </c>
      <c r="L24" s="137">
        <f>(IF((VLOOKUP(Table5[[#This Row],[SKU]],'All Skus'!$A:$AC,2,FALSE))="DBX",(VLOOKUP(Table5[[#This Row],[SKU]],'All Skus'!$A:$AC,16,FALSE)),""))</f>
        <v>691991000645</v>
      </c>
      <c r="M24" s="137">
        <f>(IF((VLOOKUP(Table5[[#This Row],[SKU]],'All Skus'!$A:$AC,2,FALSE))="DBX",(VLOOKUP(Table5[[#This Row],[SKU]],'All Skus'!$A:$AC,17,FALSE)),""))</f>
        <v>0</v>
      </c>
      <c r="N24" s="136">
        <f>(IF((VLOOKUP(Table5[[#This Row],[SKU]],'All Skus'!$A:$AC,2,FALSE))="DBX",(VLOOKUP(Table5[[#This Row],[SKU]],'All Skus'!$A:$AC,18,FALSE)),""))</f>
        <v>8</v>
      </c>
      <c r="O24" s="136">
        <f>(IF((VLOOKUP(Table5[[#This Row],[SKU]],'All Skus'!$A:$AC,2,FALSE))="DBX",(VLOOKUP(Table5[[#This Row],[SKU]],'All Skus'!$A:$AC,19,FALSE)),""))</f>
        <v>13.5</v>
      </c>
      <c r="P24" s="136">
        <f>(IF((VLOOKUP(Table5[[#This Row],[SKU]],'All Skus'!$A:$AC,2,FALSE))="DBX",(VLOOKUP(Table5[[#This Row],[SKU]],'All Skus'!$A:$AC,20,FALSE)),""))</f>
        <v>11</v>
      </c>
      <c r="Q24" s="136">
        <f>(IF((VLOOKUP(Table5[[#This Row],[SKU]],'All Skus'!$A:$AC,2,FALSE))="DBX",(VLOOKUP(Table5[[#This Row],[SKU]],'All Skus'!$A:$AC,21,FALSE)),""))</f>
        <v>12</v>
      </c>
      <c r="R24" s="61" t="str">
        <f>(IF((VLOOKUP(Table5[[#This Row],[SKU]],'All Skus'!$A:$AC,2,FALSE))="DBX",(VLOOKUP(Table5[[#This Row],[SKU]],'All Skus'!$A:$AC,22,FALSE)),""))</f>
        <v>CN</v>
      </c>
      <c r="S24" t="str">
        <f>(IF((VLOOKUP(Table5[[#This Row],[SKU]],'All Skus'!$A:$AC,2,FALSE))="DBX",(VLOOKUP(Table5[[#This Row],[SKU]],'All Skus'!$A:$AC,23,FALSE)),""))</f>
        <v>Non Compliant</v>
      </c>
      <c r="T24" s="212" t="str">
        <f>HYPERLINK((IF((VLOOKUP(Table5[[#This Row],[SKU]],'All Skus'!$A:$AC,2,FALSE))="DBX",(VLOOKUP(Table5[[#This Row],[SKU]],'All Skus'!$A:$AC,24,FALSE)),"")))</f>
        <v>http://dbxpro.com/en-US/products/530</v>
      </c>
      <c r="U24" s="151">
        <v>22</v>
      </c>
    </row>
    <row r="25" spans="1:21" ht="15" customHeight="1">
      <c r="A25" s="13" t="s">
        <v>970</v>
      </c>
      <c r="B25" s="12" t="str">
        <f>(IF((VLOOKUP(Table5[[#This Row],[SKU]],'All Skus'!$A:$AC,2,FALSE))="DBX",(VLOOKUP(Table5[[#This Row],[SKU]],'All Skus'!$A:$AC,3,FALSE)),""))</f>
        <v>500 Series</v>
      </c>
      <c r="C25" s="12" t="str">
        <f>(IF((VLOOKUP(Table5[[#This Row],[SKU]],'All Skus'!$A:$AC,2,FALSE))="DBX",(VLOOKUP(Table5[[#This Row],[SKU]],'All Skus'!$A:$AC,4,FALSE)),""))</f>
        <v>560A</v>
      </c>
      <c r="D25" t="str">
        <f>(IF((VLOOKUP(Table5[[#This Row],[SKU]],'All Skus'!$A:$AC,2,FALSE))="DBX",(VLOOKUP(Table5[[#This Row],[SKU]],'All Skus'!$A:$AC,5,FALSE)),""))</f>
        <v>DBX_STUDI</v>
      </c>
      <c r="E25" s="14">
        <f>(IF((VLOOKUP(Table5[[#This Row],[SKU]],'All Skus'!$A:$AC,2,FALSE))="DBX",(VLOOKUP(Table5[[#This Row],[SKU]],'All Skus'!$A:$AC,6,FALSE)),""))</f>
        <v>0</v>
      </c>
      <c r="F25">
        <f>(IF((VLOOKUP(Table5[[#This Row],[SKU]],'All Skus'!$A:$AC,2,FALSE))="DBX",(VLOOKUP(Table5[[#This Row],[SKU]],'All Skus'!$A:$AC,7,FALSE)),""))</f>
        <v>0</v>
      </c>
      <c r="G25" s="7" t="str">
        <f>(IF((VLOOKUP(Table5[[#This Row],[SKU]],'All Skus'!$A:$AC,2,FALSE))="DBX",(VLOOKUP(Table5[[#This Row],[SKU]],'All Skus'!$A:$AC,8,FALSE)),""))</f>
        <v>500 Series</v>
      </c>
      <c r="H25" s="8" t="str">
        <f>(IF((VLOOKUP(Table5[[#This Row],[SKU]],'All Skus'!$A:$AC,2,FALSE))="DBX",(VLOOKUP(Table5[[#This Row],[SKU]],'All Skus'!$A:$AC,9,FALSE)),""))</f>
        <v xml:space="preserve">Compressor/Limiter </v>
      </c>
      <c r="I25" s="58">
        <f>(IF((VLOOKUP(Table5[[#This Row],[SKU]],'All Skus'!$A:$AC,2,FALSE))="DBX",(VLOOKUP(Table5[[#This Row],[SKU]],'All Skus'!$A:$AC,10,FALSE)),""))</f>
        <v>350.18</v>
      </c>
      <c r="J25" s="58">
        <f>(IF((VLOOKUP(Table5[[#This Row],[SKU]],'All Skus'!$A:$AC,2,FALSE))="DBX",(VLOOKUP(Table5[[#This Row],[SKU]],'All Skus'!$A:$AC,11,FALSE)),""))</f>
        <v>285</v>
      </c>
      <c r="K25" s="139">
        <f>(IF((VLOOKUP(Table5[[#This Row],[SKU]],'All Skus'!$A:$AC,2,FALSE))="DBX",(VLOOKUP(Table5[[#This Row],[SKU]],'All Skus'!$A:$AC,15,FALSE)),""))</f>
        <v>6</v>
      </c>
      <c r="L25" s="137">
        <f>(IF((VLOOKUP(Table5[[#This Row],[SKU]],'All Skus'!$A:$AC,2,FALSE))="DBX",(VLOOKUP(Table5[[#This Row],[SKU]],'All Skus'!$A:$AC,16,FALSE)),""))</f>
        <v>691991000638</v>
      </c>
      <c r="M25" s="137">
        <f>(IF((VLOOKUP(Table5[[#This Row],[SKU]],'All Skus'!$A:$AC,2,FALSE))="DBX",(VLOOKUP(Table5[[#This Row],[SKU]],'All Skus'!$A:$AC,17,FALSE)),""))</f>
        <v>0</v>
      </c>
      <c r="N25" s="136">
        <f>(IF((VLOOKUP(Table5[[#This Row],[SKU]],'All Skus'!$A:$AC,2,FALSE))="DBX",(VLOOKUP(Table5[[#This Row],[SKU]],'All Skus'!$A:$AC,18,FALSE)),""))</f>
        <v>1</v>
      </c>
      <c r="O25" s="136">
        <f>(IF((VLOOKUP(Table5[[#This Row],[SKU]],'All Skus'!$A:$AC,2,FALSE))="DBX",(VLOOKUP(Table5[[#This Row],[SKU]],'All Skus'!$A:$AC,19,FALSE)),""))</f>
        <v>10</v>
      </c>
      <c r="P25" s="136">
        <f>(IF((VLOOKUP(Table5[[#This Row],[SKU]],'All Skus'!$A:$AC,2,FALSE))="DBX",(VLOOKUP(Table5[[#This Row],[SKU]],'All Skus'!$A:$AC,20,FALSE)),""))</f>
        <v>6.5</v>
      </c>
      <c r="Q25" s="136">
        <f>(IF((VLOOKUP(Table5[[#This Row],[SKU]],'All Skus'!$A:$AC,2,FALSE))="DBX",(VLOOKUP(Table5[[#This Row],[SKU]],'All Skus'!$A:$AC,21,FALSE)),""))</f>
        <v>4</v>
      </c>
      <c r="R25" s="61" t="str">
        <f>(IF((VLOOKUP(Table5[[#This Row],[SKU]],'All Skus'!$A:$AC,2,FALSE))="DBX",(VLOOKUP(Table5[[#This Row],[SKU]],'All Skus'!$A:$AC,22,FALSE)),""))</f>
        <v>CN</v>
      </c>
      <c r="S25" t="str">
        <f>(IF((VLOOKUP(Table5[[#This Row],[SKU]],'All Skus'!$A:$AC,2,FALSE))="DBX",(VLOOKUP(Table5[[#This Row],[SKU]],'All Skus'!$A:$AC,23,FALSE)),""))</f>
        <v>Non Compliant</v>
      </c>
      <c r="T25" s="212" t="str">
        <f>HYPERLINK((IF((VLOOKUP(Table5[[#This Row],[SKU]],'All Skus'!$A:$AC,2,FALSE))="DBX",(VLOOKUP(Table5[[#This Row],[SKU]],'All Skus'!$A:$AC,24,FALSE)),"")))</f>
        <v>http://dbxpro.com/en-US/products/560a</v>
      </c>
      <c r="U25" s="151">
        <v>23</v>
      </c>
    </row>
    <row r="26" spans="1:21" ht="15" customHeight="1">
      <c r="A26" s="13" t="s">
        <v>971</v>
      </c>
      <c r="B26" s="12" t="str">
        <f>(IF((VLOOKUP(Table5[[#This Row],[SKU]],'All Skus'!$A:$AC,2,FALSE))="DBX",(VLOOKUP(Table5[[#This Row],[SKU]],'All Skus'!$A:$AC,3,FALSE)),""))</f>
        <v>500 Series</v>
      </c>
      <c r="C26" s="12">
        <f>(IF((VLOOKUP(Table5[[#This Row],[SKU]],'All Skus'!$A:$AC,2,FALSE))="DBX",(VLOOKUP(Table5[[#This Row],[SKU]],'All Skus'!$A:$AC,4,FALSE)),""))</f>
        <v>580</v>
      </c>
      <c r="D26" t="str">
        <f>(IF((VLOOKUP(Table5[[#This Row],[SKU]],'All Skus'!$A:$AC,2,FALSE))="DBX",(VLOOKUP(Table5[[#This Row],[SKU]],'All Skus'!$A:$AC,5,FALSE)),""))</f>
        <v>DBX_STUDI</v>
      </c>
      <c r="E26" s="14">
        <f>(IF((VLOOKUP(Table5[[#This Row],[SKU]],'All Skus'!$A:$AC,2,FALSE))="DBX",(VLOOKUP(Table5[[#This Row],[SKU]],'All Skus'!$A:$AC,6,FALSE)),""))</f>
        <v>0</v>
      </c>
      <c r="F26">
        <f>(IF((VLOOKUP(Table5[[#This Row],[SKU]],'All Skus'!$A:$AC,2,FALSE))="DBX",(VLOOKUP(Table5[[#This Row],[SKU]],'All Skus'!$A:$AC,7,FALSE)),""))</f>
        <v>0</v>
      </c>
      <c r="G26" s="7" t="str">
        <f>(IF((VLOOKUP(Table5[[#This Row],[SKU]],'All Skus'!$A:$AC,2,FALSE))="DBX",(VLOOKUP(Table5[[#This Row],[SKU]],'All Skus'!$A:$AC,8,FALSE)),""))</f>
        <v>500 Series</v>
      </c>
      <c r="H26" s="8" t="str">
        <f>(IF((VLOOKUP(Table5[[#This Row],[SKU]],'All Skus'!$A:$AC,2,FALSE))="DBX",(VLOOKUP(Table5[[#This Row],[SKU]],'All Skus'!$A:$AC,9,FALSE)),""))</f>
        <v xml:space="preserve">Mic Preamp  </v>
      </c>
      <c r="I26" s="58">
        <f>(IF((VLOOKUP(Table5[[#This Row],[SKU]],'All Skus'!$A:$AC,2,FALSE))="DBX",(VLOOKUP(Table5[[#This Row],[SKU]],'All Skus'!$A:$AC,10,FALSE)),""))</f>
        <v>426.64</v>
      </c>
      <c r="J26" s="58">
        <f>(IF((VLOOKUP(Table5[[#This Row],[SKU]],'All Skus'!$A:$AC,2,FALSE))="DBX",(VLOOKUP(Table5[[#This Row],[SKU]],'All Skus'!$A:$AC,11,FALSE)),""))</f>
        <v>339</v>
      </c>
      <c r="K26" s="139">
        <f>(IF((VLOOKUP(Table5[[#This Row],[SKU]],'All Skus'!$A:$AC,2,FALSE))="DBX",(VLOOKUP(Table5[[#This Row],[SKU]],'All Skus'!$A:$AC,15,FALSE)),""))</f>
        <v>6</v>
      </c>
      <c r="L26" s="137">
        <f>(IF((VLOOKUP(Table5[[#This Row],[SKU]],'All Skus'!$A:$AC,2,FALSE))="DBX",(VLOOKUP(Table5[[#This Row],[SKU]],'All Skus'!$A:$AC,16,FALSE)),""))</f>
        <v>691991000621</v>
      </c>
      <c r="M26" s="137">
        <f>(IF((VLOOKUP(Table5[[#This Row],[SKU]],'All Skus'!$A:$AC,2,FALSE))="DBX",(VLOOKUP(Table5[[#This Row],[SKU]],'All Skus'!$A:$AC,17,FALSE)),""))</f>
        <v>0</v>
      </c>
      <c r="N26" s="136">
        <f>(IF((VLOOKUP(Table5[[#This Row],[SKU]],'All Skus'!$A:$AC,2,FALSE))="DBX",(VLOOKUP(Table5[[#This Row],[SKU]],'All Skus'!$A:$AC,18,FALSE)),""))</f>
        <v>1.5</v>
      </c>
      <c r="O26" s="136">
        <f>(IF((VLOOKUP(Table5[[#This Row],[SKU]],'All Skus'!$A:$AC,2,FALSE))="DBX",(VLOOKUP(Table5[[#This Row],[SKU]],'All Skus'!$A:$AC,19,FALSE)),""))</f>
        <v>10</v>
      </c>
      <c r="P26" s="136">
        <f>(IF((VLOOKUP(Table5[[#This Row],[SKU]],'All Skus'!$A:$AC,2,FALSE))="DBX",(VLOOKUP(Table5[[#This Row],[SKU]],'All Skus'!$A:$AC,20,FALSE)),""))</f>
        <v>6</v>
      </c>
      <c r="Q26" s="136">
        <f>(IF((VLOOKUP(Table5[[#This Row],[SKU]],'All Skus'!$A:$AC,2,FALSE))="DBX",(VLOOKUP(Table5[[#This Row],[SKU]],'All Skus'!$A:$AC,21,FALSE)),""))</f>
        <v>3.5</v>
      </c>
      <c r="R26" s="61" t="str">
        <f>(IF((VLOOKUP(Table5[[#This Row],[SKU]],'All Skus'!$A:$AC,2,FALSE))="DBX",(VLOOKUP(Table5[[#This Row],[SKU]],'All Skus'!$A:$AC,22,FALSE)),""))</f>
        <v>CN</v>
      </c>
      <c r="S26" t="str">
        <f>(IF((VLOOKUP(Table5[[#This Row],[SKU]],'All Skus'!$A:$AC,2,FALSE))="DBX",(VLOOKUP(Table5[[#This Row],[SKU]],'All Skus'!$A:$AC,23,FALSE)),""))</f>
        <v>Non Compliant</v>
      </c>
      <c r="T26" s="212" t="str">
        <f>HYPERLINK((IF((VLOOKUP(Table5[[#This Row],[SKU]],'All Skus'!$A:$AC,2,FALSE))="DBX",(VLOOKUP(Table5[[#This Row],[SKU]],'All Skus'!$A:$AC,24,FALSE)),"")))</f>
        <v>http://dbxpro.com/en-US/products/580</v>
      </c>
      <c r="U26" s="151">
        <v>24</v>
      </c>
    </row>
    <row r="27" spans="1:21" ht="15" customHeight="1">
      <c r="A27" s="13" t="s">
        <v>972</v>
      </c>
      <c r="B27" s="12" t="str">
        <f>(IF((VLOOKUP(Table5[[#This Row],[SKU]],'All Skus'!$A:$AC,2,FALSE))="DBX",(VLOOKUP(Table5[[#This Row],[SKU]],'All Skus'!$A:$AC,3,FALSE)),""))</f>
        <v>Digital Zone Processor</v>
      </c>
      <c r="C27" s="12" t="str">
        <f>(IF((VLOOKUP(Table5[[#This Row],[SKU]],'All Skus'!$A:$AC,2,FALSE))="DBX",(VLOOKUP(Table5[[#This Row],[SKU]],'All Skus'!$A:$AC,4,FALSE)),""))</f>
        <v>ZonePro 640m</v>
      </c>
      <c r="D27" t="str">
        <f>(IF((VLOOKUP(Table5[[#This Row],[SKU]],'All Skus'!$A:$AC,2,FALSE))="DBX",(VLOOKUP(Table5[[#This Row],[SKU]],'All Skus'!$A:$AC,5,FALSE)),""))</f>
        <v>DBX_ZONEP</v>
      </c>
      <c r="E27" s="14">
        <f>(IF((VLOOKUP(Table5[[#This Row],[SKU]],'All Skus'!$A:$AC,2,FALSE))="DBX",(VLOOKUP(Table5[[#This Row],[SKU]],'All Skus'!$A:$AC,6,FALSE)),""))</f>
        <v>0</v>
      </c>
      <c r="F27">
        <f>(IF((VLOOKUP(Table5[[#This Row],[SKU]],'All Skus'!$A:$AC,2,FALSE))="DBX",(VLOOKUP(Table5[[#This Row],[SKU]],'All Skus'!$A:$AC,7,FALSE)),""))</f>
        <v>0</v>
      </c>
      <c r="G27" s="7" t="str">
        <f>(IF((VLOOKUP(Table5[[#This Row],[SKU]],'All Skus'!$A:$AC,2,FALSE))="DBX",(VLOOKUP(Table5[[#This Row],[SKU]],'All Skus'!$A:$AC,8,FALSE)),""))</f>
        <v>Digital Zone Processor</v>
      </c>
      <c r="H27" s="8" t="str">
        <f>(IF((VLOOKUP(Table5[[#This Row],[SKU]],'All Skus'!$A:$AC,2,FALSE))="DBX",(VLOOKUP(Table5[[#This Row],[SKU]],'All Skus'!$A:$AC,9,FALSE)),""))</f>
        <v>6x4 Digital Zone Processor</v>
      </c>
      <c r="I27" s="58">
        <f>(IF((VLOOKUP(Table5[[#This Row],[SKU]],'All Skus'!$A:$AC,2,FALSE))="DBX",(VLOOKUP(Table5[[#This Row],[SKU]],'All Skus'!$A:$AC,10,FALSE)),""))</f>
        <v>916.27</v>
      </c>
      <c r="J27" s="58">
        <f>(IF((VLOOKUP(Table5[[#This Row],[SKU]],'All Skus'!$A:$AC,2,FALSE))="DBX",(VLOOKUP(Table5[[#This Row],[SKU]],'All Skus'!$A:$AC,11,FALSE)),""))</f>
        <v>825</v>
      </c>
      <c r="K27" s="139">
        <f>(IF((VLOOKUP(Table5[[#This Row],[SKU]],'All Skus'!$A:$AC,2,FALSE))="DBX",(VLOOKUP(Table5[[#This Row],[SKU]],'All Skus'!$A:$AC,15,FALSE)),""))</f>
        <v>2</v>
      </c>
      <c r="L27" s="137">
        <f>(IF((VLOOKUP(Table5[[#This Row],[SKU]],'All Skus'!$A:$AC,2,FALSE))="DBX",(VLOOKUP(Table5[[#This Row],[SKU]],'All Skus'!$A:$AC,16,FALSE)),""))</f>
        <v>691991401169</v>
      </c>
      <c r="M27" s="137">
        <f>(IF((VLOOKUP(Table5[[#This Row],[SKU]],'All Skus'!$A:$AC,2,FALSE))="DBX",(VLOOKUP(Table5[[#This Row],[SKU]],'All Skus'!$A:$AC,17,FALSE)),""))</f>
        <v>0</v>
      </c>
      <c r="N27" s="136">
        <f>(IF((VLOOKUP(Table5[[#This Row],[SKU]],'All Skus'!$A:$AC,2,FALSE))="DBX",(VLOOKUP(Table5[[#This Row],[SKU]],'All Skus'!$A:$AC,18,FALSE)),""))</f>
        <v>8.1999999999999993</v>
      </c>
      <c r="O27" s="136">
        <f>(IF((VLOOKUP(Table5[[#This Row],[SKU]],'All Skus'!$A:$AC,2,FALSE))="DBX",(VLOOKUP(Table5[[#This Row],[SKU]],'All Skus'!$A:$AC,19,FALSE)),""))</f>
        <v>7.75</v>
      </c>
      <c r="P27" s="136">
        <f>(IF((VLOOKUP(Table5[[#This Row],[SKU]],'All Skus'!$A:$AC,2,FALSE))="DBX",(VLOOKUP(Table5[[#This Row],[SKU]],'All Skus'!$A:$AC,20,FALSE)),""))</f>
        <v>19</v>
      </c>
      <c r="Q27" s="136">
        <f>(IF((VLOOKUP(Table5[[#This Row],[SKU]],'All Skus'!$A:$AC,2,FALSE))="DBX",(VLOOKUP(Table5[[#This Row],[SKU]],'All Skus'!$A:$AC,21,FALSE)),""))</f>
        <v>1.75</v>
      </c>
      <c r="R27" s="61" t="str">
        <f>(IF((VLOOKUP(Table5[[#This Row],[SKU]],'All Skus'!$A:$AC,2,FALSE))="DBX",(VLOOKUP(Table5[[#This Row],[SKU]],'All Skus'!$A:$AC,22,FALSE)),""))</f>
        <v>CN</v>
      </c>
      <c r="S27" t="str">
        <f>(IF((VLOOKUP(Table5[[#This Row],[SKU]],'All Skus'!$A:$AC,2,FALSE))="DBX",(VLOOKUP(Table5[[#This Row],[SKU]],'All Skus'!$A:$AC,23,FALSE)),""))</f>
        <v>Non Compliant</v>
      </c>
      <c r="T27" s="212" t="str">
        <f>HYPERLINK((IF((VLOOKUP(Table5[[#This Row],[SKU]],'All Skus'!$A:$AC,2,FALSE))="DBX",(VLOOKUP(Table5[[#This Row],[SKU]],'All Skus'!$A:$AC,24,FALSE)),"")))</f>
        <v>http://dbxpro.com/en-US/products/640m</v>
      </c>
      <c r="U27" s="151">
        <v>25</v>
      </c>
    </row>
    <row r="28" spans="1:21" ht="15" customHeight="1">
      <c r="A28" s="13" t="s">
        <v>973</v>
      </c>
      <c r="B28" s="12" t="str">
        <f>(IF((VLOOKUP(Table5[[#This Row],[SKU]],'All Skus'!$A:$AC,2,FALSE))="DBX",(VLOOKUP(Table5[[#This Row],[SKU]],'All Skus'!$A:$AC,3,FALSE)),""))</f>
        <v>Digital Zone Processor</v>
      </c>
      <c r="C28" s="12" t="str">
        <f>(IF((VLOOKUP(Table5[[#This Row],[SKU]],'All Skus'!$A:$AC,2,FALSE))="DBX",(VLOOKUP(Table5[[#This Row],[SKU]],'All Skus'!$A:$AC,4,FALSE)),""))</f>
        <v>ZonePro 640m</v>
      </c>
      <c r="D28" t="str">
        <f>(IF((VLOOKUP(Table5[[#This Row],[SKU]],'All Skus'!$A:$AC,2,FALSE))="DBX",(VLOOKUP(Table5[[#This Row],[SKU]],'All Skus'!$A:$AC,5,FALSE)),""))</f>
        <v>DBX_ZONEP</v>
      </c>
      <c r="E28" s="14">
        <f>(IF((VLOOKUP(Table5[[#This Row],[SKU]],'All Skus'!$A:$AC,2,FALSE))="DBX",(VLOOKUP(Table5[[#This Row],[SKU]],'All Skus'!$A:$AC,6,FALSE)),""))</f>
        <v>0</v>
      </c>
      <c r="F28">
        <f>(IF((VLOOKUP(Table5[[#This Row],[SKU]],'All Skus'!$A:$AC,2,FALSE))="DBX",(VLOOKUP(Table5[[#This Row],[SKU]],'All Skus'!$A:$AC,7,FALSE)),""))</f>
        <v>0</v>
      </c>
      <c r="G28" s="7" t="str">
        <f>(IF((VLOOKUP(Table5[[#This Row],[SKU]],'All Skus'!$A:$AC,2,FALSE))="DBX",(VLOOKUP(Table5[[#This Row],[SKU]],'All Skus'!$A:$AC,8,FALSE)),""))</f>
        <v>Digital Zone Processor</v>
      </c>
      <c r="H28" s="8" t="str">
        <f>(IF((VLOOKUP(Table5[[#This Row],[SKU]],'All Skus'!$A:$AC,2,FALSE))="DBX",(VLOOKUP(Table5[[#This Row],[SKU]],'All Skus'!$A:$AC,9,FALSE)),""))</f>
        <v>6x4 Digital Zone Processor</v>
      </c>
      <c r="I28" s="58">
        <f>(IF((VLOOKUP(Table5[[#This Row],[SKU]],'All Skus'!$A:$AC,2,FALSE))="DBX",(VLOOKUP(Table5[[#This Row],[SKU]],'All Skus'!$A:$AC,10,FALSE)),""))</f>
        <v>916.27</v>
      </c>
      <c r="J28" s="58">
        <f>(IF((VLOOKUP(Table5[[#This Row],[SKU]],'All Skus'!$A:$AC,2,FALSE))="DBX",(VLOOKUP(Table5[[#This Row],[SKU]],'All Skus'!$A:$AC,11,FALSE)),""))</f>
        <v>825</v>
      </c>
      <c r="K28" s="139">
        <f>(IF((VLOOKUP(Table5[[#This Row],[SKU]],'All Skus'!$A:$AC,2,FALSE))="DBX",(VLOOKUP(Table5[[#This Row],[SKU]],'All Skus'!$A:$AC,15,FALSE)),""))</f>
        <v>2</v>
      </c>
      <c r="L28" s="137">
        <f>(IF((VLOOKUP(Table5[[#This Row],[SKU]],'All Skus'!$A:$AC,2,FALSE))="DBX",(VLOOKUP(Table5[[#This Row],[SKU]],'All Skus'!$A:$AC,16,FALSE)),""))</f>
        <v>691991401169</v>
      </c>
      <c r="M28" s="137">
        <f>(IF((VLOOKUP(Table5[[#This Row],[SKU]],'All Skus'!$A:$AC,2,FALSE))="DBX",(VLOOKUP(Table5[[#This Row],[SKU]],'All Skus'!$A:$AC,17,FALSE)),""))</f>
        <v>0</v>
      </c>
      <c r="N28" s="136">
        <f>(IF((VLOOKUP(Table5[[#This Row],[SKU]],'All Skus'!$A:$AC,2,FALSE))="DBX",(VLOOKUP(Table5[[#This Row],[SKU]],'All Skus'!$A:$AC,18,FALSE)),""))</f>
        <v>8.1999999999999993</v>
      </c>
      <c r="O28" s="136">
        <f>(IF((VLOOKUP(Table5[[#This Row],[SKU]],'All Skus'!$A:$AC,2,FALSE))="DBX",(VLOOKUP(Table5[[#This Row],[SKU]],'All Skus'!$A:$AC,19,FALSE)),""))</f>
        <v>7.75</v>
      </c>
      <c r="P28" s="136">
        <f>(IF((VLOOKUP(Table5[[#This Row],[SKU]],'All Skus'!$A:$AC,2,FALSE))="DBX",(VLOOKUP(Table5[[#This Row],[SKU]],'All Skus'!$A:$AC,20,FALSE)),""))</f>
        <v>19</v>
      </c>
      <c r="Q28" s="136">
        <f>(IF((VLOOKUP(Table5[[#This Row],[SKU]],'All Skus'!$A:$AC,2,FALSE))="DBX",(VLOOKUP(Table5[[#This Row],[SKU]],'All Skus'!$A:$AC,21,FALSE)),""))</f>
        <v>1.75</v>
      </c>
      <c r="R28" s="61" t="str">
        <f>(IF((VLOOKUP(Table5[[#This Row],[SKU]],'All Skus'!$A:$AC,2,FALSE))="DBX",(VLOOKUP(Table5[[#This Row],[SKU]],'All Skus'!$A:$AC,22,FALSE)),""))</f>
        <v>CN</v>
      </c>
      <c r="S28" t="str">
        <f>(IF((VLOOKUP(Table5[[#This Row],[SKU]],'All Skus'!$A:$AC,2,FALSE))="DBX",(VLOOKUP(Table5[[#This Row],[SKU]],'All Skus'!$A:$AC,23,FALSE)),""))</f>
        <v>Non Compliant</v>
      </c>
      <c r="T28" s="212" t="str">
        <f>HYPERLINK((IF((VLOOKUP(Table5[[#This Row],[SKU]],'All Skus'!$A:$AC,2,FALSE))="DBX",(VLOOKUP(Table5[[#This Row],[SKU]],'All Skus'!$A:$AC,24,FALSE)),"")))</f>
        <v>http://dbxpro.com/en-US/products/640m</v>
      </c>
      <c r="U28" s="151">
        <v>26</v>
      </c>
    </row>
    <row r="29" spans="1:21" ht="15" customHeight="1">
      <c r="A29" s="13" t="s">
        <v>974</v>
      </c>
      <c r="B29" s="12" t="str">
        <f>(IF((VLOOKUP(Table5[[#This Row],[SKU]],'All Skus'!$A:$AC,2,FALSE))="DBX",(VLOOKUP(Table5[[#This Row],[SKU]],'All Skus'!$A:$AC,3,FALSE)),""))</f>
        <v>Digital Zone Processor</v>
      </c>
      <c r="C29" s="12">
        <f>(IF((VLOOKUP(Table5[[#This Row],[SKU]],'All Skus'!$A:$AC,2,FALSE))="DBX",(VLOOKUP(Table5[[#This Row],[SKU]],'All Skus'!$A:$AC,4,FALSE)),""))</f>
        <v>640</v>
      </c>
      <c r="D29" t="str">
        <f>(IF((VLOOKUP(Table5[[#This Row],[SKU]],'All Skus'!$A:$AC,2,FALSE))="DBX",(VLOOKUP(Table5[[#This Row],[SKU]],'All Skus'!$A:$AC,5,FALSE)),""))</f>
        <v>DBX_ZONEP</v>
      </c>
      <c r="E29" s="14">
        <f>(IF((VLOOKUP(Table5[[#This Row],[SKU]],'All Skus'!$A:$AC,2,FALSE))="DBX",(VLOOKUP(Table5[[#This Row],[SKU]],'All Skus'!$A:$AC,6,FALSE)),""))</f>
        <v>0</v>
      </c>
      <c r="F29">
        <f>(IF((VLOOKUP(Table5[[#This Row],[SKU]],'All Skus'!$A:$AC,2,FALSE))="DBX",(VLOOKUP(Table5[[#This Row],[SKU]],'All Skus'!$A:$AC,7,FALSE)),""))</f>
        <v>0</v>
      </c>
      <c r="G29" s="7" t="str">
        <f>(IF((VLOOKUP(Table5[[#This Row],[SKU]],'All Skus'!$A:$AC,2,FALSE))="DBX",(VLOOKUP(Table5[[#This Row],[SKU]],'All Skus'!$A:$AC,8,FALSE)),""))</f>
        <v>Digital Zone Processor</v>
      </c>
      <c r="H29" s="8" t="str">
        <f>(IF((VLOOKUP(Table5[[#This Row],[SKU]],'All Skus'!$A:$AC,2,FALSE))="DBX",(VLOOKUP(Table5[[#This Row],[SKU]],'All Skus'!$A:$AC,9,FALSE)),""))</f>
        <v>6x4 Digital Zone Processor</v>
      </c>
      <c r="I29" s="58">
        <f>(IF((VLOOKUP(Table5[[#This Row],[SKU]],'All Skus'!$A:$AC,2,FALSE))="DBX",(VLOOKUP(Table5[[#This Row],[SKU]],'All Skus'!$A:$AC,10,FALSE)),""))</f>
        <v>842.29</v>
      </c>
      <c r="J29" s="58">
        <f>(IF((VLOOKUP(Table5[[#This Row],[SKU]],'All Skus'!$A:$AC,2,FALSE))="DBX",(VLOOKUP(Table5[[#This Row],[SKU]],'All Skus'!$A:$AC,11,FALSE)),""))</f>
        <v>775</v>
      </c>
      <c r="K29" s="139">
        <f>(IF((VLOOKUP(Table5[[#This Row],[SKU]],'All Skus'!$A:$AC,2,FALSE))="DBX",(VLOOKUP(Table5[[#This Row],[SKU]],'All Skus'!$A:$AC,15,FALSE)),""))</f>
        <v>2</v>
      </c>
      <c r="L29" s="137">
        <f>(IF((VLOOKUP(Table5[[#This Row],[SKU]],'All Skus'!$A:$AC,2,FALSE))="DBX",(VLOOKUP(Table5[[#This Row],[SKU]],'All Skus'!$A:$AC,16,FALSE)),""))</f>
        <v>691991400728</v>
      </c>
      <c r="M29" s="137">
        <f>(IF((VLOOKUP(Table5[[#This Row],[SKU]],'All Skus'!$A:$AC,2,FALSE))="DBX",(VLOOKUP(Table5[[#This Row],[SKU]],'All Skus'!$A:$AC,17,FALSE)),""))</f>
        <v>0</v>
      </c>
      <c r="N29" s="136">
        <f>(IF((VLOOKUP(Table5[[#This Row],[SKU]],'All Skus'!$A:$AC,2,FALSE))="DBX",(VLOOKUP(Table5[[#This Row],[SKU]],'All Skus'!$A:$AC,18,FALSE)),""))</f>
        <v>9</v>
      </c>
      <c r="O29" s="136">
        <f>(IF((VLOOKUP(Table5[[#This Row],[SKU]],'All Skus'!$A:$AC,2,FALSE))="DBX",(VLOOKUP(Table5[[#This Row],[SKU]],'All Skus'!$A:$AC,19,FALSE)),""))</f>
        <v>22</v>
      </c>
      <c r="P29" s="136">
        <f>(IF((VLOOKUP(Table5[[#This Row],[SKU]],'All Skus'!$A:$AC,2,FALSE))="DBX",(VLOOKUP(Table5[[#This Row],[SKU]],'All Skus'!$A:$AC,20,FALSE)),""))</f>
        <v>11.5</v>
      </c>
      <c r="Q29" s="136">
        <f>(IF((VLOOKUP(Table5[[#This Row],[SKU]],'All Skus'!$A:$AC,2,FALSE))="DBX",(VLOOKUP(Table5[[#This Row],[SKU]],'All Skus'!$A:$AC,21,FALSE)),""))</f>
        <v>3.5</v>
      </c>
      <c r="R29" s="61" t="str">
        <f>(IF((VLOOKUP(Table5[[#This Row],[SKU]],'All Skus'!$A:$AC,2,FALSE))="DBX",(VLOOKUP(Table5[[#This Row],[SKU]],'All Skus'!$A:$AC,22,FALSE)),""))</f>
        <v>CN</v>
      </c>
      <c r="S29" t="str">
        <f>(IF((VLOOKUP(Table5[[#This Row],[SKU]],'All Skus'!$A:$AC,2,FALSE))="DBX",(VLOOKUP(Table5[[#This Row],[SKU]],'All Skus'!$A:$AC,23,FALSE)),""))</f>
        <v>Non Compliant</v>
      </c>
      <c r="T29" s="212" t="str">
        <f>HYPERLINK((IF((VLOOKUP(Table5[[#This Row],[SKU]],'All Skus'!$A:$AC,2,FALSE))="DBX",(VLOOKUP(Table5[[#This Row],[SKU]],'All Skus'!$A:$AC,24,FALSE)),"")))</f>
        <v>http://dbxpro.com/en-US/products/640</v>
      </c>
      <c r="U29" s="151">
        <v>27</v>
      </c>
    </row>
    <row r="30" spans="1:21" ht="15" customHeight="1">
      <c r="A30" s="13" t="s">
        <v>975</v>
      </c>
      <c r="B30" s="12" t="str">
        <f>(IF((VLOOKUP(Table5[[#This Row],[SKU]],'All Skus'!$A:$AC,2,FALSE))="DBX",(VLOOKUP(Table5[[#This Row],[SKU]],'All Skus'!$A:$AC,3,FALSE)),""))</f>
        <v>Digital Zone Processor</v>
      </c>
      <c r="C30" s="12">
        <f>(IF((VLOOKUP(Table5[[#This Row],[SKU]],'All Skus'!$A:$AC,2,FALSE))="DBX",(VLOOKUP(Table5[[#This Row],[SKU]],'All Skus'!$A:$AC,4,FALSE)),""))</f>
        <v>640</v>
      </c>
      <c r="D30" t="str">
        <f>(IF((VLOOKUP(Table5[[#This Row],[SKU]],'All Skus'!$A:$AC,2,FALSE))="DBX",(VLOOKUP(Table5[[#This Row],[SKU]],'All Skus'!$A:$AC,5,FALSE)),""))</f>
        <v>DBX_ZONEP</v>
      </c>
      <c r="E30" s="14">
        <f>(IF((VLOOKUP(Table5[[#This Row],[SKU]],'All Skus'!$A:$AC,2,FALSE))="DBX",(VLOOKUP(Table5[[#This Row],[SKU]],'All Skus'!$A:$AC,6,FALSE)),""))</f>
        <v>0</v>
      </c>
      <c r="F30">
        <f>(IF((VLOOKUP(Table5[[#This Row],[SKU]],'All Skus'!$A:$AC,2,FALSE))="DBX",(VLOOKUP(Table5[[#This Row],[SKU]],'All Skus'!$A:$AC,7,FALSE)),""))</f>
        <v>0</v>
      </c>
      <c r="G30" s="7" t="str">
        <f>(IF((VLOOKUP(Table5[[#This Row],[SKU]],'All Skus'!$A:$AC,2,FALSE))="DBX",(VLOOKUP(Table5[[#This Row],[SKU]],'All Skus'!$A:$AC,8,FALSE)),""))</f>
        <v>Digital Zone Processor</v>
      </c>
      <c r="H30" s="8" t="str">
        <f>(IF((VLOOKUP(Table5[[#This Row],[SKU]],'All Skus'!$A:$AC,2,FALSE))="DBX",(VLOOKUP(Table5[[#This Row],[SKU]],'All Skus'!$A:$AC,9,FALSE)),""))</f>
        <v>6x4 Digital Zone Processor</v>
      </c>
      <c r="I30" s="58">
        <f>(IF((VLOOKUP(Table5[[#This Row],[SKU]],'All Skus'!$A:$AC,2,FALSE))="DBX",(VLOOKUP(Table5[[#This Row],[SKU]],'All Skus'!$A:$AC,10,FALSE)),""))</f>
        <v>842.29</v>
      </c>
      <c r="J30" s="58">
        <f>(IF((VLOOKUP(Table5[[#This Row],[SKU]],'All Skus'!$A:$AC,2,FALSE))="DBX",(VLOOKUP(Table5[[#This Row],[SKU]],'All Skus'!$A:$AC,11,FALSE)),""))</f>
        <v>775</v>
      </c>
      <c r="K30" s="139">
        <f>(IF((VLOOKUP(Table5[[#This Row],[SKU]],'All Skus'!$A:$AC,2,FALSE))="DBX",(VLOOKUP(Table5[[#This Row],[SKU]],'All Skus'!$A:$AC,15,FALSE)),""))</f>
        <v>2</v>
      </c>
      <c r="L30" s="137">
        <f>(IF((VLOOKUP(Table5[[#This Row],[SKU]],'All Skus'!$A:$AC,2,FALSE))="DBX",(VLOOKUP(Table5[[#This Row],[SKU]],'All Skus'!$A:$AC,16,FALSE)),""))</f>
        <v>691991400728</v>
      </c>
      <c r="M30" s="137">
        <f>(IF((VLOOKUP(Table5[[#This Row],[SKU]],'All Skus'!$A:$AC,2,FALSE))="DBX",(VLOOKUP(Table5[[#This Row],[SKU]],'All Skus'!$A:$AC,17,FALSE)),""))</f>
        <v>0</v>
      </c>
      <c r="N30" s="136">
        <f>(IF((VLOOKUP(Table5[[#This Row],[SKU]],'All Skus'!$A:$AC,2,FALSE))="DBX",(VLOOKUP(Table5[[#This Row],[SKU]],'All Skus'!$A:$AC,18,FALSE)),""))</f>
        <v>9</v>
      </c>
      <c r="O30" s="136">
        <f>(IF((VLOOKUP(Table5[[#This Row],[SKU]],'All Skus'!$A:$AC,2,FALSE))="DBX",(VLOOKUP(Table5[[#This Row],[SKU]],'All Skus'!$A:$AC,19,FALSE)),""))</f>
        <v>22</v>
      </c>
      <c r="P30" s="136">
        <f>(IF((VLOOKUP(Table5[[#This Row],[SKU]],'All Skus'!$A:$AC,2,FALSE))="DBX",(VLOOKUP(Table5[[#This Row],[SKU]],'All Skus'!$A:$AC,20,FALSE)),""))</f>
        <v>11.5</v>
      </c>
      <c r="Q30" s="136">
        <f>(IF((VLOOKUP(Table5[[#This Row],[SKU]],'All Skus'!$A:$AC,2,FALSE))="DBX",(VLOOKUP(Table5[[#This Row],[SKU]],'All Skus'!$A:$AC,21,FALSE)),""))</f>
        <v>3.5</v>
      </c>
      <c r="R30" s="61" t="str">
        <f>(IF((VLOOKUP(Table5[[#This Row],[SKU]],'All Skus'!$A:$AC,2,FALSE))="DBX",(VLOOKUP(Table5[[#This Row],[SKU]],'All Skus'!$A:$AC,22,FALSE)),""))</f>
        <v>CN</v>
      </c>
      <c r="S30" t="str">
        <f>(IF((VLOOKUP(Table5[[#This Row],[SKU]],'All Skus'!$A:$AC,2,FALSE))="DBX",(VLOOKUP(Table5[[#This Row],[SKU]],'All Skus'!$A:$AC,23,FALSE)),""))</f>
        <v>Non Compliant</v>
      </c>
      <c r="T30" s="212" t="str">
        <f>HYPERLINK((IF((VLOOKUP(Table5[[#This Row],[SKU]],'All Skus'!$A:$AC,2,FALSE))="DBX",(VLOOKUP(Table5[[#This Row],[SKU]],'All Skus'!$A:$AC,24,FALSE)),"")))</f>
        <v>http://dbxpro.com/en-US/products/640</v>
      </c>
      <c r="U30" s="151">
        <v>28</v>
      </c>
    </row>
    <row r="31" spans="1:21" ht="15" customHeight="1">
      <c r="A31" s="13" t="s">
        <v>976</v>
      </c>
      <c r="B31" s="12" t="str">
        <f>(IF((VLOOKUP(Table5[[#This Row],[SKU]],'All Skus'!$A:$AC,2,FALSE))="DBX",(VLOOKUP(Table5[[#This Row],[SKU]],'All Skus'!$A:$AC,3,FALSE)),""))</f>
        <v>Digital Zone Processor</v>
      </c>
      <c r="C31" s="12" t="str">
        <f>(IF((VLOOKUP(Table5[[#This Row],[SKU]],'All Skus'!$A:$AC,2,FALSE))="DBX",(VLOOKUP(Table5[[#This Row],[SKU]],'All Skus'!$A:$AC,4,FALSE)),""))</f>
        <v>ZonePro 641m</v>
      </c>
      <c r="D31" t="str">
        <f>(IF((VLOOKUP(Table5[[#This Row],[SKU]],'All Skus'!$A:$AC,2,FALSE))="DBX",(VLOOKUP(Table5[[#This Row],[SKU]],'All Skus'!$A:$AC,5,FALSE)),""))</f>
        <v>DBX_ZONEP</v>
      </c>
      <c r="E31" s="14">
        <f>(IF((VLOOKUP(Table5[[#This Row],[SKU]],'All Skus'!$A:$AC,2,FALSE))="DBX",(VLOOKUP(Table5[[#This Row],[SKU]],'All Skus'!$A:$AC,6,FALSE)),""))</f>
        <v>0</v>
      </c>
      <c r="F31">
        <f>(IF((VLOOKUP(Table5[[#This Row],[SKU]],'All Skus'!$A:$AC,2,FALSE))="DBX",(VLOOKUP(Table5[[#This Row],[SKU]],'All Skus'!$A:$AC,7,FALSE)),""))</f>
        <v>0</v>
      </c>
      <c r="G31" s="7">
        <f>(IF((VLOOKUP(Table5[[#This Row],[SKU]],'All Skus'!$A:$AC,2,FALSE))="DBX",(VLOOKUP(Table5[[#This Row],[SKU]],'All Skus'!$A:$AC,8,FALSE)),""))</f>
        <v>0</v>
      </c>
      <c r="H31" s="8" t="str">
        <f>(IF((VLOOKUP(Table5[[#This Row],[SKU]],'All Skus'!$A:$AC,2,FALSE))="DBX",(VLOOKUP(Table5[[#This Row],[SKU]],'All Skus'!$A:$AC,9,FALSE)),""))</f>
        <v>Digital Zone Processor</v>
      </c>
      <c r="I31" s="58">
        <f>(IF((VLOOKUP(Table5[[#This Row],[SKU]],'All Skus'!$A:$AC,2,FALSE))="DBX",(VLOOKUP(Table5[[#This Row],[SKU]],'All Skus'!$A:$AC,10,FALSE)),""))</f>
        <v>763.36</v>
      </c>
      <c r="J31" s="58">
        <f>(IF((VLOOKUP(Table5[[#This Row],[SKU]],'All Skus'!$A:$AC,2,FALSE))="DBX",(VLOOKUP(Table5[[#This Row],[SKU]],'All Skus'!$A:$AC,11,FALSE)),""))</f>
        <v>615</v>
      </c>
      <c r="K31" s="139">
        <f>(IF((VLOOKUP(Table5[[#This Row],[SKU]],'All Skus'!$A:$AC,2,FALSE))="DBX",(VLOOKUP(Table5[[#This Row],[SKU]],'All Skus'!$A:$AC,15,FALSE)),""))</f>
        <v>2</v>
      </c>
      <c r="L31" s="137">
        <f>(IF((VLOOKUP(Table5[[#This Row],[SKU]],'All Skus'!$A:$AC,2,FALSE))="DBX",(VLOOKUP(Table5[[#This Row],[SKU]],'All Skus'!$A:$AC,16,FALSE)),""))</f>
        <v>691991401176</v>
      </c>
      <c r="M31" s="137">
        <f>(IF((VLOOKUP(Table5[[#This Row],[SKU]],'All Skus'!$A:$AC,2,FALSE))="DBX",(VLOOKUP(Table5[[#This Row],[SKU]],'All Skus'!$A:$AC,17,FALSE)),""))</f>
        <v>0</v>
      </c>
      <c r="N31" s="136">
        <f>(IF((VLOOKUP(Table5[[#This Row],[SKU]],'All Skus'!$A:$AC,2,FALSE))="DBX",(VLOOKUP(Table5[[#This Row],[SKU]],'All Skus'!$A:$AC,18,FALSE)),""))</f>
        <v>8.8000000000000007</v>
      </c>
      <c r="O31" s="136">
        <f>(IF((VLOOKUP(Table5[[#This Row],[SKU]],'All Skus'!$A:$AC,2,FALSE))="DBX",(VLOOKUP(Table5[[#This Row],[SKU]],'All Skus'!$A:$AC,19,FALSE)),""))</f>
        <v>5.75</v>
      </c>
      <c r="P31" s="136">
        <f>(IF((VLOOKUP(Table5[[#This Row],[SKU]],'All Skus'!$A:$AC,2,FALSE))="DBX",(VLOOKUP(Table5[[#This Row],[SKU]],'All Skus'!$A:$AC,20,FALSE)),""))</f>
        <v>19</v>
      </c>
      <c r="Q31" s="136">
        <f>(IF((VLOOKUP(Table5[[#This Row],[SKU]],'All Skus'!$A:$AC,2,FALSE))="DBX",(VLOOKUP(Table5[[#This Row],[SKU]],'All Skus'!$A:$AC,21,FALSE)),""))</f>
        <v>1.75</v>
      </c>
      <c r="R31" s="61" t="str">
        <f>(IF((VLOOKUP(Table5[[#This Row],[SKU]],'All Skus'!$A:$AC,2,FALSE))="DBX",(VLOOKUP(Table5[[#This Row],[SKU]],'All Skus'!$A:$AC,22,FALSE)),""))</f>
        <v>CN</v>
      </c>
      <c r="S31" t="str">
        <f>(IF((VLOOKUP(Table5[[#This Row],[SKU]],'All Skus'!$A:$AC,2,FALSE))="DBX",(VLOOKUP(Table5[[#This Row],[SKU]],'All Skus'!$A:$AC,23,FALSE)),""))</f>
        <v>Non Compliant</v>
      </c>
      <c r="T31" s="212" t="str">
        <f>HYPERLINK((IF((VLOOKUP(Table5[[#This Row],[SKU]],'All Skus'!$A:$AC,2,FALSE))="DBX",(VLOOKUP(Table5[[#This Row],[SKU]],'All Skus'!$A:$AC,24,FALSE)),"")))</f>
        <v>http://dbxpro.com/en-US/products/641m</v>
      </c>
      <c r="U31" s="151">
        <v>29</v>
      </c>
    </row>
    <row r="32" spans="1:21" ht="15" customHeight="1">
      <c r="A32" s="13" t="s">
        <v>977</v>
      </c>
      <c r="B32" s="12" t="str">
        <f>(IF((VLOOKUP(Table5[[#This Row],[SKU]],'All Skus'!$A:$AC,2,FALSE))="DBX",(VLOOKUP(Table5[[#This Row],[SKU]],'All Skus'!$A:$AC,3,FALSE)),""))</f>
        <v>Digital Zone Processor</v>
      </c>
      <c r="C32" s="12" t="str">
        <f>(IF((VLOOKUP(Table5[[#This Row],[SKU]],'All Skus'!$A:$AC,2,FALSE))="DBX",(VLOOKUP(Table5[[#This Row],[SKU]],'All Skus'!$A:$AC,4,FALSE)),""))</f>
        <v>ZonePro 641m</v>
      </c>
      <c r="D32" t="str">
        <f>(IF((VLOOKUP(Table5[[#This Row],[SKU]],'All Skus'!$A:$AC,2,FALSE))="DBX",(VLOOKUP(Table5[[#This Row],[SKU]],'All Skus'!$A:$AC,5,FALSE)),""))</f>
        <v>DBX_ZONEP</v>
      </c>
      <c r="E32" s="14">
        <f>(IF((VLOOKUP(Table5[[#This Row],[SKU]],'All Skus'!$A:$AC,2,FALSE))="DBX",(VLOOKUP(Table5[[#This Row],[SKU]],'All Skus'!$A:$AC,6,FALSE)),""))</f>
        <v>0</v>
      </c>
      <c r="F32">
        <f>(IF((VLOOKUP(Table5[[#This Row],[SKU]],'All Skus'!$A:$AC,2,FALSE))="DBX",(VLOOKUP(Table5[[#This Row],[SKU]],'All Skus'!$A:$AC,7,FALSE)),""))</f>
        <v>0</v>
      </c>
      <c r="G32" s="7">
        <f>(IF((VLOOKUP(Table5[[#This Row],[SKU]],'All Skus'!$A:$AC,2,FALSE))="DBX",(VLOOKUP(Table5[[#This Row],[SKU]],'All Skus'!$A:$AC,8,FALSE)),""))</f>
        <v>0</v>
      </c>
      <c r="H32" s="8" t="str">
        <f>(IF((VLOOKUP(Table5[[#This Row],[SKU]],'All Skus'!$A:$AC,2,FALSE))="DBX",(VLOOKUP(Table5[[#This Row],[SKU]],'All Skus'!$A:$AC,9,FALSE)),""))</f>
        <v>Digital Zone Processor</v>
      </c>
      <c r="I32" s="58">
        <f>(IF((VLOOKUP(Table5[[#This Row],[SKU]],'All Skus'!$A:$AC,2,FALSE))="DBX",(VLOOKUP(Table5[[#This Row],[SKU]],'All Skus'!$A:$AC,10,FALSE)),""))</f>
        <v>763.36</v>
      </c>
      <c r="J32" s="58">
        <f>(IF((VLOOKUP(Table5[[#This Row],[SKU]],'All Skus'!$A:$AC,2,FALSE))="DBX",(VLOOKUP(Table5[[#This Row],[SKU]],'All Skus'!$A:$AC,11,FALSE)),""))</f>
        <v>615</v>
      </c>
      <c r="K32" s="139">
        <f>(IF((VLOOKUP(Table5[[#This Row],[SKU]],'All Skus'!$A:$AC,2,FALSE))="DBX",(VLOOKUP(Table5[[#This Row],[SKU]],'All Skus'!$A:$AC,15,FALSE)),""))</f>
        <v>2</v>
      </c>
      <c r="L32" s="137">
        <f>(IF((VLOOKUP(Table5[[#This Row],[SKU]],'All Skus'!$A:$AC,2,FALSE))="DBX",(VLOOKUP(Table5[[#This Row],[SKU]],'All Skus'!$A:$AC,16,FALSE)),""))</f>
        <v>691991401176</v>
      </c>
      <c r="M32" s="137">
        <f>(IF((VLOOKUP(Table5[[#This Row],[SKU]],'All Skus'!$A:$AC,2,FALSE))="DBX",(VLOOKUP(Table5[[#This Row],[SKU]],'All Skus'!$A:$AC,17,FALSE)),""))</f>
        <v>0</v>
      </c>
      <c r="N32" s="136">
        <f>(IF((VLOOKUP(Table5[[#This Row],[SKU]],'All Skus'!$A:$AC,2,FALSE))="DBX",(VLOOKUP(Table5[[#This Row],[SKU]],'All Skus'!$A:$AC,18,FALSE)),""))</f>
        <v>8.8000000000000007</v>
      </c>
      <c r="O32" s="136">
        <f>(IF((VLOOKUP(Table5[[#This Row],[SKU]],'All Skus'!$A:$AC,2,FALSE))="DBX",(VLOOKUP(Table5[[#This Row],[SKU]],'All Skus'!$A:$AC,19,FALSE)),""))</f>
        <v>5.75</v>
      </c>
      <c r="P32" s="136">
        <f>(IF((VLOOKUP(Table5[[#This Row],[SKU]],'All Skus'!$A:$AC,2,FALSE))="DBX",(VLOOKUP(Table5[[#This Row],[SKU]],'All Skus'!$A:$AC,20,FALSE)),""))</f>
        <v>19</v>
      </c>
      <c r="Q32" s="136">
        <f>(IF((VLOOKUP(Table5[[#This Row],[SKU]],'All Skus'!$A:$AC,2,FALSE))="DBX",(VLOOKUP(Table5[[#This Row],[SKU]],'All Skus'!$A:$AC,21,FALSE)),""))</f>
        <v>1.75</v>
      </c>
      <c r="R32" s="61" t="str">
        <f>(IF((VLOOKUP(Table5[[#This Row],[SKU]],'All Skus'!$A:$AC,2,FALSE))="DBX",(VLOOKUP(Table5[[#This Row],[SKU]],'All Skus'!$A:$AC,22,FALSE)),""))</f>
        <v>CN</v>
      </c>
      <c r="S32" t="str">
        <f>(IF((VLOOKUP(Table5[[#This Row],[SKU]],'All Skus'!$A:$AC,2,FALSE))="DBX",(VLOOKUP(Table5[[#This Row],[SKU]],'All Skus'!$A:$AC,23,FALSE)),""))</f>
        <v>Non Compliant</v>
      </c>
      <c r="T32" s="212" t="str">
        <f>HYPERLINK((IF((VLOOKUP(Table5[[#This Row],[SKU]],'All Skus'!$A:$AC,2,FALSE))="DBX",(VLOOKUP(Table5[[#This Row],[SKU]],'All Skus'!$A:$AC,24,FALSE)),"")))</f>
        <v>http://dbxpro.com/en-US/products/641m</v>
      </c>
      <c r="U32" s="151">
        <v>30</v>
      </c>
    </row>
    <row r="33" spans="1:21" ht="15" customHeight="1">
      <c r="A33" s="13" t="s">
        <v>978</v>
      </c>
      <c r="B33" s="12" t="str">
        <f>(IF((VLOOKUP(Table5[[#This Row],[SKU]],'All Skus'!$A:$AC,2,FALSE))="DBX",(VLOOKUP(Table5[[#This Row],[SKU]],'All Skus'!$A:$AC,3,FALSE)),""))</f>
        <v>Digital Zone Processor</v>
      </c>
      <c r="C33" s="12">
        <f>(IF((VLOOKUP(Table5[[#This Row],[SKU]],'All Skus'!$A:$AC,2,FALSE))="DBX",(VLOOKUP(Table5[[#This Row],[SKU]],'All Skus'!$A:$AC,4,FALSE)),""))</f>
        <v>641</v>
      </c>
      <c r="D33" t="str">
        <f>(IF((VLOOKUP(Table5[[#This Row],[SKU]],'All Skus'!$A:$AC,2,FALSE))="DBX",(VLOOKUP(Table5[[#This Row],[SKU]],'All Skus'!$A:$AC,5,FALSE)),""))</f>
        <v>DBX_ZONEP</v>
      </c>
      <c r="E33" s="14">
        <f>(IF((VLOOKUP(Table5[[#This Row],[SKU]],'All Skus'!$A:$AC,2,FALSE))="DBX",(VLOOKUP(Table5[[#This Row],[SKU]],'All Skus'!$A:$AC,6,FALSE)),""))</f>
        <v>0</v>
      </c>
      <c r="F33">
        <f>(IF((VLOOKUP(Table5[[#This Row],[SKU]],'All Skus'!$A:$AC,2,FALSE))="DBX",(VLOOKUP(Table5[[#This Row],[SKU]],'All Skus'!$A:$AC,7,FALSE)),""))</f>
        <v>0</v>
      </c>
      <c r="G33" s="7" t="str">
        <f>(IF((VLOOKUP(Table5[[#This Row],[SKU]],'All Skus'!$A:$AC,2,FALSE))="DBX",(VLOOKUP(Table5[[#This Row],[SKU]],'All Skus'!$A:$AC,8,FALSE)),""))</f>
        <v>Digital Zone Processor</v>
      </c>
      <c r="H33" s="8" t="str">
        <f>(IF((VLOOKUP(Table5[[#This Row],[SKU]],'All Skus'!$A:$AC,2,FALSE))="DBX",(VLOOKUP(Table5[[#This Row],[SKU]],'All Skus'!$A:$AC,9,FALSE)),""))</f>
        <v>6x4 Digital Zone Processor</v>
      </c>
      <c r="I33" s="58">
        <f>(IF((VLOOKUP(Table5[[#This Row],[SKU]],'All Skus'!$A:$AC,2,FALSE))="DBX",(VLOOKUP(Table5[[#This Row],[SKU]],'All Skus'!$A:$AC,10,FALSE)),""))</f>
        <v>687.51</v>
      </c>
      <c r="J33" s="58">
        <f>(IF((VLOOKUP(Table5[[#This Row],[SKU]],'All Skus'!$A:$AC,2,FALSE))="DBX",(VLOOKUP(Table5[[#This Row],[SKU]],'All Skus'!$A:$AC,11,FALSE)),""))</f>
        <v>615</v>
      </c>
      <c r="K33" s="139">
        <f>(IF((VLOOKUP(Table5[[#This Row],[SKU]],'All Skus'!$A:$AC,2,FALSE))="DBX",(VLOOKUP(Table5[[#This Row],[SKU]],'All Skus'!$A:$AC,15,FALSE)),""))</f>
        <v>2</v>
      </c>
      <c r="L33" s="137">
        <f>(IF((VLOOKUP(Table5[[#This Row],[SKU]],'All Skus'!$A:$AC,2,FALSE))="DBX",(VLOOKUP(Table5[[#This Row],[SKU]],'All Skus'!$A:$AC,16,FALSE)),""))</f>
        <v>691991400735</v>
      </c>
      <c r="M33" s="137">
        <f>(IF((VLOOKUP(Table5[[#This Row],[SKU]],'All Skus'!$A:$AC,2,FALSE))="DBX",(VLOOKUP(Table5[[#This Row],[SKU]],'All Skus'!$A:$AC,17,FALSE)),""))</f>
        <v>0</v>
      </c>
      <c r="N33" s="136">
        <f>(IF((VLOOKUP(Table5[[#This Row],[SKU]],'All Skus'!$A:$AC,2,FALSE))="DBX",(VLOOKUP(Table5[[#This Row],[SKU]],'All Skus'!$A:$AC,18,FALSE)),""))</f>
        <v>8.5</v>
      </c>
      <c r="O33" s="136">
        <f>(IF((VLOOKUP(Table5[[#This Row],[SKU]],'All Skus'!$A:$AC,2,FALSE))="DBX",(VLOOKUP(Table5[[#This Row],[SKU]],'All Skus'!$A:$AC,19,FALSE)),""))</f>
        <v>11.5</v>
      </c>
      <c r="P33" s="136">
        <f>(IF((VLOOKUP(Table5[[#This Row],[SKU]],'All Skus'!$A:$AC,2,FALSE))="DBX",(VLOOKUP(Table5[[#This Row],[SKU]],'All Skus'!$A:$AC,20,FALSE)),""))</f>
        <v>22</v>
      </c>
      <c r="Q33" s="136">
        <f>(IF((VLOOKUP(Table5[[#This Row],[SKU]],'All Skus'!$A:$AC,2,FALSE))="DBX",(VLOOKUP(Table5[[#This Row],[SKU]],'All Skus'!$A:$AC,21,FALSE)),""))</f>
        <v>3.5</v>
      </c>
      <c r="R33" s="61" t="str">
        <f>(IF((VLOOKUP(Table5[[#This Row],[SKU]],'All Skus'!$A:$AC,2,FALSE))="DBX",(VLOOKUP(Table5[[#This Row],[SKU]],'All Skus'!$A:$AC,22,FALSE)),""))</f>
        <v>CN</v>
      </c>
      <c r="S33" t="str">
        <f>(IF((VLOOKUP(Table5[[#This Row],[SKU]],'All Skus'!$A:$AC,2,FALSE))="DBX",(VLOOKUP(Table5[[#This Row],[SKU]],'All Skus'!$A:$AC,23,FALSE)),""))</f>
        <v>Non Compliant</v>
      </c>
      <c r="T33" s="212" t="str">
        <f>HYPERLINK((IF((VLOOKUP(Table5[[#This Row],[SKU]],'All Skus'!$A:$AC,2,FALSE))="DBX",(VLOOKUP(Table5[[#This Row],[SKU]],'All Skus'!$A:$AC,24,FALSE)),"")))</f>
        <v>http://dbxpro.com/en-US/products/641</v>
      </c>
      <c r="U33" s="151">
        <v>31</v>
      </c>
    </row>
    <row r="34" spans="1:21" ht="15" customHeight="1">
      <c r="A34" s="13" t="s">
        <v>979</v>
      </c>
      <c r="B34" s="12" t="str">
        <f>(IF((VLOOKUP(Table5[[#This Row],[SKU]],'All Skus'!$A:$AC,2,FALSE))="DBX",(VLOOKUP(Table5[[#This Row],[SKU]],'All Skus'!$A:$AC,3,FALSE)),""))</f>
        <v>Digital Zone Processor</v>
      </c>
      <c r="C34" s="12">
        <f>(IF((VLOOKUP(Table5[[#This Row],[SKU]],'All Skus'!$A:$AC,2,FALSE))="DBX",(VLOOKUP(Table5[[#This Row],[SKU]],'All Skus'!$A:$AC,4,FALSE)),""))</f>
        <v>641</v>
      </c>
      <c r="D34" t="str">
        <f>(IF((VLOOKUP(Table5[[#This Row],[SKU]],'All Skus'!$A:$AC,2,FALSE))="DBX",(VLOOKUP(Table5[[#This Row],[SKU]],'All Skus'!$A:$AC,5,FALSE)),""))</f>
        <v>DBX_ZONEP</v>
      </c>
      <c r="E34" s="14">
        <f>(IF((VLOOKUP(Table5[[#This Row],[SKU]],'All Skus'!$A:$AC,2,FALSE))="DBX",(VLOOKUP(Table5[[#This Row],[SKU]],'All Skus'!$A:$AC,6,FALSE)),""))</f>
        <v>0</v>
      </c>
      <c r="F34">
        <f>(IF((VLOOKUP(Table5[[#This Row],[SKU]],'All Skus'!$A:$AC,2,FALSE))="DBX",(VLOOKUP(Table5[[#This Row],[SKU]],'All Skus'!$A:$AC,7,FALSE)),""))</f>
        <v>0</v>
      </c>
      <c r="G34" s="7" t="str">
        <f>(IF((VLOOKUP(Table5[[#This Row],[SKU]],'All Skus'!$A:$AC,2,FALSE))="DBX",(VLOOKUP(Table5[[#This Row],[SKU]],'All Skus'!$A:$AC,8,FALSE)),""))</f>
        <v>Digital Zone Processor</v>
      </c>
      <c r="H34" s="8" t="str">
        <f>(IF((VLOOKUP(Table5[[#This Row],[SKU]],'All Skus'!$A:$AC,2,FALSE))="DBX",(VLOOKUP(Table5[[#This Row],[SKU]],'All Skus'!$A:$AC,9,FALSE)),""))</f>
        <v>6x4 Digital Zone Processor</v>
      </c>
      <c r="I34" s="58">
        <f>(IF((VLOOKUP(Table5[[#This Row],[SKU]],'All Skus'!$A:$AC,2,FALSE))="DBX",(VLOOKUP(Table5[[#This Row],[SKU]],'All Skus'!$A:$AC,10,FALSE)),""))</f>
        <v>687.51</v>
      </c>
      <c r="J34" s="58">
        <f>(IF((VLOOKUP(Table5[[#This Row],[SKU]],'All Skus'!$A:$AC,2,FALSE))="DBX",(VLOOKUP(Table5[[#This Row],[SKU]],'All Skus'!$A:$AC,11,FALSE)),""))</f>
        <v>615</v>
      </c>
      <c r="K34" s="139">
        <f>(IF((VLOOKUP(Table5[[#This Row],[SKU]],'All Skus'!$A:$AC,2,FALSE))="DBX",(VLOOKUP(Table5[[#This Row],[SKU]],'All Skus'!$A:$AC,15,FALSE)),""))</f>
        <v>2</v>
      </c>
      <c r="L34" s="137">
        <f>(IF((VLOOKUP(Table5[[#This Row],[SKU]],'All Skus'!$A:$AC,2,FALSE))="DBX",(VLOOKUP(Table5[[#This Row],[SKU]],'All Skus'!$A:$AC,16,FALSE)),""))</f>
        <v>691991400735</v>
      </c>
      <c r="M34" s="137">
        <f>(IF((VLOOKUP(Table5[[#This Row],[SKU]],'All Skus'!$A:$AC,2,FALSE))="DBX",(VLOOKUP(Table5[[#This Row],[SKU]],'All Skus'!$A:$AC,17,FALSE)),""))</f>
        <v>0</v>
      </c>
      <c r="N34" s="136">
        <f>(IF((VLOOKUP(Table5[[#This Row],[SKU]],'All Skus'!$A:$AC,2,FALSE))="DBX",(VLOOKUP(Table5[[#This Row],[SKU]],'All Skus'!$A:$AC,18,FALSE)),""))</f>
        <v>8.5</v>
      </c>
      <c r="O34" s="136">
        <f>(IF((VLOOKUP(Table5[[#This Row],[SKU]],'All Skus'!$A:$AC,2,FALSE))="DBX",(VLOOKUP(Table5[[#This Row],[SKU]],'All Skus'!$A:$AC,19,FALSE)),""))</f>
        <v>11.5</v>
      </c>
      <c r="P34" s="136">
        <f>(IF((VLOOKUP(Table5[[#This Row],[SKU]],'All Skus'!$A:$AC,2,FALSE))="DBX",(VLOOKUP(Table5[[#This Row],[SKU]],'All Skus'!$A:$AC,20,FALSE)),""))</f>
        <v>22</v>
      </c>
      <c r="Q34" s="136">
        <f>(IF((VLOOKUP(Table5[[#This Row],[SKU]],'All Skus'!$A:$AC,2,FALSE))="DBX",(VLOOKUP(Table5[[#This Row],[SKU]],'All Skus'!$A:$AC,21,FALSE)),""))</f>
        <v>3.5</v>
      </c>
      <c r="R34" s="61" t="str">
        <f>(IF((VLOOKUP(Table5[[#This Row],[SKU]],'All Skus'!$A:$AC,2,FALSE))="DBX",(VLOOKUP(Table5[[#This Row],[SKU]],'All Skus'!$A:$AC,22,FALSE)),""))</f>
        <v>CN</v>
      </c>
      <c r="S34" t="str">
        <f>(IF((VLOOKUP(Table5[[#This Row],[SKU]],'All Skus'!$A:$AC,2,FALSE))="DBX",(VLOOKUP(Table5[[#This Row],[SKU]],'All Skus'!$A:$AC,23,FALSE)),""))</f>
        <v>Non Compliant</v>
      </c>
      <c r="T34" s="212" t="str">
        <f>HYPERLINK((IF((VLOOKUP(Table5[[#This Row],[SKU]],'All Skus'!$A:$AC,2,FALSE))="DBX",(VLOOKUP(Table5[[#This Row],[SKU]],'All Skus'!$A:$AC,24,FALSE)),"")))</f>
        <v>http://dbxpro.com/en-US/products/641</v>
      </c>
      <c r="U34" s="151">
        <v>32</v>
      </c>
    </row>
    <row r="35" spans="1:21" ht="15" customHeight="1">
      <c r="A35" s="13" t="s">
        <v>980</v>
      </c>
      <c r="B35" s="12" t="str">
        <f>(IF((VLOOKUP(Table5[[#This Row],[SKU]],'All Skus'!$A:$AC,2,FALSE))="DBX",(VLOOKUP(Table5[[#This Row],[SKU]],'All Skus'!$A:$AC,3,FALSE)),""))</f>
        <v>Production Series</v>
      </c>
      <c r="C35" s="12">
        <f>(IF((VLOOKUP(Table5[[#This Row],[SKU]],'All Skus'!$A:$AC,2,FALSE))="DBX",(VLOOKUP(Table5[[#This Row],[SKU]],'All Skus'!$A:$AC,4,FALSE)),""))</f>
        <v>676</v>
      </c>
      <c r="D35" t="str">
        <f>(IF((VLOOKUP(Table5[[#This Row],[SKU]],'All Skus'!$A:$AC,2,FALSE))="DBX",(VLOOKUP(Table5[[#This Row],[SKU]],'All Skus'!$A:$AC,5,FALSE)),""))</f>
        <v>DBX_STUDI</v>
      </c>
      <c r="E35" s="14">
        <f>(IF((VLOOKUP(Table5[[#This Row],[SKU]],'All Skus'!$A:$AC,2,FALSE))="DBX",(VLOOKUP(Table5[[#This Row],[SKU]],'All Skus'!$A:$AC,6,FALSE)),""))</f>
        <v>0</v>
      </c>
      <c r="F35">
        <f>(IF((VLOOKUP(Table5[[#This Row],[SKU]],'All Skus'!$A:$AC,2,FALSE))="DBX",(VLOOKUP(Table5[[#This Row],[SKU]],'All Skus'!$A:$AC,7,FALSE)),""))</f>
        <v>0</v>
      </c>
      <c r="G35" s="7" t="str">
        <f>(IF((VLOOKUP(Table5[[#This Row],[SKU]],'All Skus'!$A:$AC,2,FALSE))="DBX",(VLOOKUP(Table5[[#This Row],[SKU]],'All Skus'!$A:$AC,8,FALSE)),""))</f>
        <v>Production Series</v>
      </c>
      <c r="H35" s="8" t="str">
        <f>(IF((VLOOKUP(Table5[[#This Row],[SKU]],'All Skus'!$A:$AC,2,FALSE))="DBX",(VLOOKUP(Table5[[#This Row],[SKU]],'All Skus'!$A:$AC,9,FALSE)),""))</f>
        <v>Tube Mic Pre Channel Strip</v>
      </c>
      <c r="I35" s="58">
        <f>(IF((VLOOKUP(Table5[[#This Row],[SKU]],'All Skus'!$A:$AC,2,FALSE))="DBX",(VLOOKUP(Table5[[#This Row],[SKU]],'All Skus'!$A:$AC,10,FALSE)),""))</f>
        <v>1604.09</v>
      </c>
      <c r="J35" s="58">
        <f>(IF((VLOOKUP(Table5[[#This Row],[SKU]],'All Skus'!$A:$AC,2,FALSE))="DBX",(VLOOKUP(Table5[[#This Row],[SKU]],'All Skus'!$A:$AC,11,FALSE)),""))</f>
        <v>1285</v>
      </c>
      <c r="K35" s="139">
        <f>(IF((VLOOKUP(Table5[[#This Row],[SKU]],'All Skus'!$A:$AC,2,FALSE))="DBX",(VLOOKUP(Table5[[#This Row],[SKU]],'All Skus'!$A:$AC,15,FALSE)),""))</f>
        <v>1</v>
      </c>
      <c r="L35" s="137">
        <f>(IF((VLOOKUP(Table5[[#This Row],[SKU]],'All Skus'!$A:$AC,2,FALSE))="DBX",(VLOOKUP(Table5[[#This Row],[SKU]],'All Skus'!$A:$AC,16,FALSE)),""))</f>
        <v>691991000416</v>
      </c>
      <c r="M35" s="137">
        <f>(IF((VLOOKUP(Table5[[#This Row],[SKU]],'All Skus'!$A:$AC,2,FALSE))="DBX",(VLOOKUP(Table5[[#This Row],[SKU]],'All Skus'!$A:$AC,17,FALSE)),""))</f>
        <v>0</v>
      </c>
      <c r="N35" s="136">
        <f>(IF((VLOOKUP(Table5[[#This Row],[SKU]],'All Skus'!$A:$AC,2,FALSE))="DBX",(VLOOKUP(Table5[[#This Row],[SKU]],'All Skus'!$A:$AC,18,FALSE)),""))</f>
        <v>0</v>
      </c>
      <c r="O35" s="136">
        <f>(IF((VLOOKUP(Table5[[#This Row],[SKU]],'All Skus'!$A:$AC,2,FALSE))="DBX",(VLOOKUP(Table5[[#This Row],[SKU]],'All Skus'!$A:$AC,19,FALSE)),""))</f>
        <v>0</v>
      </c>
      <c r="P35" s="136">
        <f>(IF((VLOOKUP(Table5[[#This Row],[SKU]],'All Skus'!$A:$AC,2,FALSE))="DBX",(VLOOKUP(Table5[[#This Row],[SKU]],'All Skus'!$A:$AC,20,FALSE)),""))</f>
        <v>0</v>
      </c>
      <c r="Q35" s="136">
        <f>(IF((VLOOKUP(Table5[[#This Row],[SKU]],'All Skus'!$A:$AC,2,FALSE))="DBX",(VLOOKUP(Table5[[#This Row],[SKU]],'All Skus'!$A:$AC,21,FALSE)),""))</f>
        <v>0</v>
      </c>
      <c r="R35" s="61" t="str">
        <f>(IF((VLOOKUP(Table5[[#This Row],[SKU]],'All Skus'!$A:$AC,2,FALSE))="DBX",(VLOOKUP(Table5[[#This Row],[SKU]],'All Skus'!$A:$AC,22,FALSE)),""))</f>
        <v>CN</v>
      </c>
      <c r="S35" t="str">
        <f>(IF((VLOOKUP(Table5[[#This Row],[SKU]],'All Skus'!$A:$AC,2,FALSE))="DBX",(VLOOKUP(Table5[[#This Row],[SKU]],'All Skus'!$A:$AC,23,FALSE)),""))</f>
        <v>Non Compliant</v>
      </c>
      <c r="T35" s="212" t="str">
        <f>HYPERLINK((IF((VLOOKUP(Table5[[#This Row],[SKU]],'All Skus'!$A:$AC,2,FALSE))="DBX",(VLOOKUP(Table5[[#This Row],[SKU]],'All Skus'!$A:$AC,24,FALSE)),"")))</f>
        <v>http://dbxpro.com/en-US/products/676</v>
      </c>
      <c r="U35" s="151">
        <v>33</v>
      </c>
    </row>
    <row r="36" spans="1:21" ht="15" customHeight="1">
      <c r="A36" s="13" t="s">
        <v>981</v>
      </c>
      <c r="B36" s="12" t="str">
        <f>(IF((VLOOKUP(Table5[[#This Row],[SKU]],'All Skus'!$A:$AC,2,FALSE))="DBX",(VLOOKUP(Table5[[#This Row],[SKU]],'All Skus'!$A:$AC,3,FALSE)),""))</f>
        <v>Production Series</v>
      </c>
      <c r="C36" s="12" t="str">
        <f>(IF((VLOOKUP(Table5[[#This Row],[SKU]],'All Skus'!$A:$AC,2,FALSE))="DBX",(VLOOKUP(Table5[[#This Row],[SKU]],'All Skus'!$A:$AC,4,FALSE)),""))</f>
        <v>AFS2</v>
      </c>
      <c r="D36" t="str">
        <f>(IF((VLOOKUP(Table5[[#This Row],[SKU]],'All Skus'!$A:$AC,2,FALSE))="DBX",(VLOOKUP(Table5[[#This Row],[SKU]],'All Skus'!$A:$AC,5,FALSE)),""))</f>
        <v>DBX_RSR</v>
      </c>
      <c r="E36" s="14">
        <f>(IF((VLOOKUP(Table5[[#This Row],[SKU]],'All Skus'!$A:$AC,2,FALSE))="DBX",(VLOOKUP(Table5[[#This Row],[SKU]],'All Skus'!$A:$AC,6,FALSE)),""))</f>
        <v>0</v>
      </c>
      <c r="F36">
        <f>(IF((VLOOKUP(Table5[[#This Row],[SKU]],'All Skus'!$A:$AC,2,FALSE))="DBX",(VLOOKUP(Table5[[#This Row],[SKU]],'All Skus'!$A:$AC,7,FALSE)),""))</f>
        <v>0</v>
      </c>
      <c r="G36" s="7" t="str">
        <f>(IF((VLOOKUP(Table5[[#This Row],[SKU]],'All Skus'!$A:$AC,2,FALSE))="DBX",(VLOOKUP(Table5[[#This Row],[SKU]],'All Skus'!$A:$AC,8,FALSE)),""))</f>
        <v>Production Series</v>
      </c>
      <c r="H36" s="8" t="str">
        <f>(IF((VLOOKUP(Table5[[#This Row],[SKU]],'All Skus'!$A:$AC,2,FALSE))="DBX",(VLOOKUP(Table5[[#This Row],[SKU]],'All Skus'!$A:$AC,9,FALSE)),""))</f>
        <v>Dual Channel Advanced Feedback Suppression w/ LCD display</v>
      </c>
      <c r="I36" s="58">
        <f>(IF((VLOOKUP(Table5[[#This Row],[SKU]],'All Skus'!$A:$AC,2,FALSE))="DBX",(VLOOKUP(Table5[[#This Row],[SKU]],'All Skus'!$A:$AC,10,FALSE)),""))</f>
        <v>518.39</v>
      </c>
      <c r="J36" s="58">
        <f>(IF((VLOOKUP(Table5[[#This Row],[SKU]],'All Skus'!$A:$AC,2,FALSE))="DBX",(VLOOKUP(Table5[[#This Row],[SKU]],'All Skus'!$A:$AC,11,FALSE)),""))</f>
        <v>415</v>
      </c>
      <c r="K36" s="139">
        <f>(IF((VLOOKUP(Table5[[#This Row],[SKU]],'All Skus'!$A:$AC,2,FALSE))="DBX",(VLOOKUP(Table5[[#This Row],[SKU]],'All Skus'!$A:$AC,15,FALSE)),""))</f>
        <v>4</v>
      </c>
      <c r="L36" s="137">
        <f>(IF((VLOOKUP(Table5[[#This Row],[SKU]],'All Skus'!$A:$AC,2,FALSE))="DBX",(VLOOKUP(Table5[[#This Row],[SKU]],'All Skus'!$A:$AC,16,FALSE)),""))</f>
        <v>691991401510</v>
      </c>
      <c r="M36" s="137">
        <f>(IF((VLOOKUP(Table5[[#This Row],[SKU]],'All Skus'!$A:$AC,2,FALSE))="DBX",(VLOOKUP(Table5[[#This Row],[SKU]],'All Skus'!$A:$AC,17,FALSE)),""))</f>
        <v>0</v>
      </c>
      <c r="N36" s="136">
        <f>(IF((VLOOKUP(Table5[[#This Row],[SKU]],'All Skus'!$A:$AC,2,FALSE))="DBX",(VLOOKUP(Table5[[#This Row],[SKU]],'All Skus'!$A:$AC,18,FALSE)),""))</f>
        <v>6</v>
      </c>
      <c r="O36" s="136">
        <f>(IF((VLOOKUP(Table5[[#This Row],[SKU]],'All Skus'!$A:$AC,2,FALSE))="DBX",(VLOOKUP(Table5[[#This Row],[SKU]],'All Skus'!$A:$AC,19,FALSE)),""))</f>
        <v>22.5</v>
      </c>
      <c r="P36" s="136">
        <f>(IF((VLOOKUP(Table5[[#This Row],[SKU]],'All Skus'!$A:$AC,2,FALSE))="DBX",(VLOOKUP(Table5[[#This Row],[SKU]],'All Skus'!$A:$AC,20,FALSE)),""))</f>
        <v>3.5</v>
      </c>
      <c r="Q36" s="136">
        <f>(IF((VLOOKUP(Table5[[#This Row],[SKU]],'All Skus'!$A:$AC,2,FALSE))="DBX",(VLOOKUP(Table5[[#This Row],[SKU]],'All Skus'!$A:$AC,21,FALSE)),""))</f>
        <v>11.5</v>
      </c>
      <c r="R36" s="61" t="str">
        <f>(IF((VLOOKUP(Table5[[#This Row],[SKU]],'All Skus'!$A:$AC,2,FALSE))="DBX",(VLOOKUP(Table5[[#This Row],[SKU]],'All Skus'!$A:$AC,22,FALSE)),""))</f>
        <v>CN</v>
      </c>
      <c r="S36" t="str">
        <f>(IF((VLOOKUP(Table5[[#This Row],[SKU]],'All Skus'!$A:$AC,2,FALSE))="DBX",(VLOOKUP(Table5[[#This Row],[SKU]],'All Skus'!$A:$AC,23,FALSE)),""))</f>
        <v>Non Compliant</v>
      </c>
      <c r="T36" s="212" t="str">
        <f>HYPERLINK((IF((VLOOKUP(Table5[[#This Row],[SKU]],'All Skus'!$A:$AC,2,FALSE))="DBX",(VLOOKUP(Table5[[#This Row],[SKU]],'All Skus'!$A:$AC,24,FALSE)),"")))</f>
        <v>http://dbxpro.com/en-US/products/afs2</v>
      </c>
      <c r="U36" s="151">
        <v>34</v>
      </c>
    </row>
    <row r="37" spans="1:21" ht="15" customHeight="1">
      <c r="A37" s="13" t="s">
        <v>982</v>
      </c>
      <c r="B37" s="12" t="str">
        <f>(IF((VLOOKUP(Table5[[#This Row],[SKU]],'All Skus'!$A:$AC,2,FALSE))="DBX",(VLOOKUP(Table5[[#This Row],[SKU]],'All Skus'!$A:$AC,3,FALSE)),""))</f>
        <v>Production Series</v>
      </c>
      <c r="C37" s="12" t="str">
        <f>(IF((VLOOKUP(Table5[[#This Row],[SKU]],'All Skus'!$A:$AC,2,FALSE))="DBX",(VLOOKUP(Table5[[#This Row],[SKU]],'All Skus'!$A:$AC,4,FALSE)),""))</f>
        <v>AFS2</v>
      </c>
      <c r="D37" t="str">
        <f>(IF((VLOOKUP(Table5[[#This Row],[SKU]],'All Skus'!$A:$AC,2,FALSE))="DBX",(VLOOKUP(Table5[[#This Row],[SKU]],'All Skus'!$A:$AC,5,FALSE)),""))</f>
        <v>DBX_RSR</v>
      </c>
      <c r="E37" s="14">
        <f>(IF((VLOOKUP(Table5[[#This Row],[SKU]],'All Skus'!$A:$AC,2,FALSE))="DBX",(VLOOKUP(Table5[[#This Row],[SKU]],'All Skus'!$A:$AC,6,FALSE)),""))</f>
        <v>0</v>
      </c>
      <c r="F37">
        <f>(IF((VLOOKUP(Table5[[#This Row],[SKU]],'All Skus'!$A:$AC,2,FALSE))="DBX",(VLOOKUP(Table5[[#This Row],[SKU]],'All Skus'!$A:$AC,7,FALSE)),""))</f>
        <v>0</v>
      </c>
      <c r="G37" s="7" t="str">
        <f>(IF((VLOOKUP(Table5[[#This Row],[SKU]],'All Skus'!$A:$AC,2,FALSE))="DBX",(VLOOKUP(Table5[[#This Row],[SKU]],'All Skus'!$A:$AC,8,FALSE)),""))</f>
        <v>Production Series</v>
      </c>
      <c r="H37" s="8" t="str">
        <f>(IF((VLOOKUP(Table5[[#This Row],[SKU]],'All Skus'!$A:$AC,2,FALSE))="DBX",(VLOOKUP(Table5[[#This Row],[SKU]],'All Skus'!$A:$AC,9,FALSE)),""))</f>
        <v>Dual Channel Advanced Feedback Suppression w/ LCD display</v>
      </c>
      <c r="I37" s="58">
        <f>(IF((VLOOKUP(Table5[[#This Row],[SKU]],'All Skus'!$A:$AC,2,FALSE))="DBX",(VLOOKUP(Table5[[#This Row],[SKU]],'All Skus'!$A:$AC,10,FALSE)),""))</f>
        <v>518.39</v>
      </c>
      <c r="J37" s="58">
        <f>(IF((VLOOKUP(Table5[[#This Row],[SKU]],'All Skus'!$A:$AC,2,FALSE))="DBX",(VLOOKUP(Table5[[#This Row],[SKU]],'All Skus'!$A:$AC,11,FALSE)),""))</f>
        <v>415</v>
      </c>
      <c r="K37" s="139">
        <f>(IF((VLOOKUP(Table5[[#This Row],[SKU]],'All Skus'!$A:$AC,2,FALSE))="DBX",(VLOOKUP(Table5[[#This Row],[SKU]],'All Skus'!$A:$AC,15,FALSE)),""))</f>
        <v>4</v>
      </c>
      <c r="L37" s="137">
        <f>(IF((VLOOKUP(Table5[[#This Row],[SKU]],'All Skus'!$A:$AC,2,FALSE))="DBX",(VLOOKUP(Table5[[#This Row],[SKU]],'All Skus'!$A:$AC,16,FALSE)),""))</f>
        <v>691991401510</v>
      </c>
      <c r="M37" s="137">
        <f>(IF((VLOOKUP(Table5[[#This Row],[SKU]],'All Skus'!$A:$AC,2,FALSE))="DBX",(VLOOKUP(Table5[[#This Row],[SKU]],'All Skus'!$A:$AC,17,FALSE)),""))</f>
        <v>0</v>
      </c>
      <c r="N37" s="136">
        <f>(IF((VLOOKUP(Table5[[#This Row],[SKU]],'All Skus'!$A:$AC,2,FALSE))="DBX",(VLOOKUP(Table5[[#This Row],[SKU]],'All Skus'!$A:$AC,18,FALSE)),""))</f>
        <v>6</v>
      </c>
      <c r="O37" s="136">
        <f>(IF((VLOOKUP(Table5[[#This Row],[SKU]],'All Skus'!$A:$AC,2,FALSE))="DBX",(VLOOKUP(Table5[[#This Row],[SKU]],'All Skus'!$A:$AC,19,FALSE)),""))</f>
        <v>22.5</v>
      </c>
      <c r="P37" s="136">
        <f>(IF((VLOOKUP(Table5[[#This Row],[SKU]],'All Skus'!$A:$AC,2,FALSE))="DBX",(VLOOKUP(Table5[[#This Row],[SKU]],'All Skus'!$A:$AC,20,FALSE)),""))</f>
        <v>3.5</v>
      </c>
      <c r="Q37" s="136">
        <f>(IF((VLOOKUP(Table5[[#This Row],[SKU]],'All Skus'!$A:$AC,2,FALSE))="DBX",(VLOOKUP(Table5[[#This Row],[SKU]],'All Skus'!$A:$AC,21,FALSE)),""))</f>
        <v>11.5</v>
      </c>
      <c r="R37" s="61" t="str">
        <f>(IF((VLOOKUP(Table5[[#This Row],[SKU]],'All Skus'!$A:$AC,2,FALSE))="DBX",(VLOOKUP(Table5[[#This Row],[SKU]],'All Skus'!$A:$AC,22,FALSE)),""))</f>
        <v>CN</v>
      </c>
      <c r="S37" t="str">
        <f>(IF((VLOOKUP(Table5[[#This Row],[SKU]],'All Skus'!$A:$AC,2,FALSE))="DBX",(VLOOKUP(Table5[[#This Row],[SKU]],'All Skus'!$A:$AC,23,FALSE)),""))</f>
        <v>Non Compliant</v>
      </c>
      <c r="T37" s="212" t="str">
        <f>HYPERLINK((IF((VLOOKUP(Table5[[#This Row],[SKU]],'All Skus'!$A:$AC,2,FALSE))="DBX",(VLOOKUP(Table5[[#This Row],[SKU]],'All Skus'!$A:$AC,24,FALSE)),"")))</f>
        <v>http://dbxpro.com/en-US/products/afs2</v>
      </c>
      <c r="U37" s="151">
        <v>35</v>
      </c>
    </row>
    <row r="38" spans="1:21" ht="15" customHeight="1">
      <c r="A38" s="13" t="s">
        <v>983</v>
      </c>
      <c r="B38" s="12" t="str">
        <f>(IF((VLOOKUP(Table5[[#This Row],[SKU]],'All Skus'!$A:$AC,2,FALSE))="DBX",(VLOOKUP(Table5[[#This Row],[SKU]],'All Skus'!$A:$AC,3,FALSE)),""))</f>
        <v>Zone Controller</v>
      </c>
      <c r="C38" s="12" t="str">
        <f>(IF((VLOOKUP(Table5[[#This Row],[SKU]],'All Skus'!$A:$AC,2,FALSE))="DBX",(VLOOKUP(Table5[[#This Row],[SKU]],'All Skus'!$A:$AC,4,FALSE)),""))</f>
        <v>ZC-BOB</v>
      </c>
      <c r="D38" t="str">
        <f>(IF((VLOOKUP(Table5[[#This Row],[SKU]],'All Skus'!$A:$AC,2,FALSE))="DBX",(VLOOKUP(Table5[[#This Row],[SKU]],'All Skus'!$A:$AC,5,FALSE)),""))</f>
        <v>DBX_ZONEP</v>
      </c>
      <c r="E38" s="14">
        <f>(IF((VLOOKUP(Table5[[#This Row],[SKU]],'All Skus'!$A:$AC,2,FALSE))="DBX",(VLOOKUP(Table5[[#This Row],[SKU]],'All Skus'!$A:$AC,6,FALSE)),""))</f>
        <v>0</v>
      </c>
      <c r="F38">
        <f>(IF((VLOOKUP(Table5[[#This Row],[SKU]],'All Skus'!$A:$AC,2,FALSE))="DBX",(VLOOKUP(Table5[[#This Row],[SKU]],'All Skus'!$A:$AC,7,FALSE)),""))</f>
        <v>0</v>
      </c>
      <c r="G38" s="7" t="str">
        <f>(IF((VLOOKUP(Table5[[#This Row],[SKU]],'All Skus'!$A:$AC,2,FALSE))="DBX",(VLOOKUP(Table5[[#This Row],[SKU]],'All Skus'!$A:$AC,8,FALSE)),""))</f>
        <v>Zone Controller</v>
      </c>
      <c r="H38" s="8" t="str">
        <f>(IF((VLOOKUP(Table5[[#This Row],[SKU]],'All Skus'!$A:$AC,2,FALSE))="DBX",(VLOOKUP(Table5[[#This Row],[SKU]],'All Skus'!$A:$AC,9,FALSE)),""))</f>
        <v>ZC BOB Break out Box for Home Run Cabling</v>
      </c>
      <c r="I38" s="58">
        <f>(IF((VLOOKUP(Table5[[#This Row],[SKU]],'All Skus'!$A:$AC,2,FALSE))="DBX",(VLOOKUP(Table5[[#This Row],[SKU]],'All Skus'!$A:$AC,10,FALSE)),""))</f>
        <v>121.11</v>
      </c>
      <c r="J38" s="58">
        <f>(IF((VLOOKUP(Table5[[#This Row],[SKU]],'All Skus'!$A:$AC,2,FALSE))="DBX",(VLOOKUP(Table5[[#This Row],[SKU]],'All Skus'!$A:$AC,11,FALSE)),""))</f>
        <v>109</v>
      </c>
      <c r="K38" s="139">
        <f>(IF((VLOOKUP(Table5[[#This Row],[SKU]],'All Skus'!$A:$AC,2,FALSE))="DBX",(VLOOKUP(Table5[[#This Row],[SKU]],'All Skus'!$A:$AC,15,FALSE)),""))</f>
        <v>4</v>
      </c>
      <c r="L38" s="137">
        <f>(IF((VLOOKUP(Table5[[#This Row],[SKU]],'All Skus'!$A:$AC,2,FALSE))="DBX",(VLOOKUP(Table5[[#This Row],[SKU]],'All Skus'!$A:$AC,16,FALSE)),""))</f>
        <v>691991400704</v>
      </c>
      <c r="M38" s="137">
        <f>(IF((VLOOKUP(Table5[[#This Row],[SKU]],'All Skus'!$A:$AC,2,FALSE))="DBX",(VLOOKUP(Table5[[#This Row],[SKU]],'All Skus'!$A:$AC,17,FALSE)),""))</f>
        <v>0</v>
      </c>
      <c r="N38" s="136">
        <f>(IF((VLOOKUP(Table5[[#This Row],[SKU]],'All Skus'!$A:$AC,2,FALSE))="DBX",(VLOOKUP(Table5[[#This Row],[SKU]],'All Skus'!$A:$AC,18,FALSE)),""))</f>
        <v>0</v>
      </c>
      <c r="O38" s="136">
        <f>(IF((VLOOKUP(Table5[[#This Row],[SKU]],'All Skus'!$A:$AC,2,FALSE))="DBX",(VLOOKUP(Table5[[#This Row],[SKU]],'All Skus'!$A:$AC,19,FALSE)),""))</f>
        <v>0</v>
      </c>
      <c r="P38" s="136">
        <f>(IF((VLOOKUP(Table5[[#This Row],[SKU]],'All Skus'!$A:$AC,2,FALSE))="DBX",(VLOOKUP(Table5[[#This Row],[SKU]],'All Skus'!$A:$AC,20,FALSE)),""))</f>
        <v>0</v>
      </c>
      <c r="Q38" s="136">
        <f>(IF((VLOOKUP(Table5[[#This Row],[SKU]],'All Skus'!$A:$AC,2,FALSE))="DBX",(VLOOKUP(Table5[[#This Row],[SKU]],'All Skus'!$A:$AC,21,FALSE)),""))</f>
        <v>0</v>
      </c>
      <c r="R38" s="61" t="str">
        <f>(IF((VLOOKUP(Table5[[#This Row],[SKU]],'All Skus'!$A:$AC,2,FALSE))="DBX",(VLOOKUP(Table5[[#This Row],[SKU]],'All Skus'!$A:$AC,22,FALSE)),""))</f>
        <v>CN</v>
      </c>
      <c r="S38" t="str">
        <f>(IF((VLOOKUP(Table5[[#This Row],[SKU]],'All Skus'!$A:$AC,2,FALSE))="DBX",(VLOOKUP(Table5[[#This Row],[SKU]],'All Skus'!$A:$AC,23,FALSE)),""))</f>
        <v>Non Compliant</v>
      </c>
      <c r="T38" s="212" t="str">
        <f>HYPERLINK((IF((VLOOKUP(Table5[[#This Row],[SKU]],'All Skus'!$A:$AC,2,FALSE))="DBX",(VLOOKUP(Table5[[#This Row],[SKU]],'All Skus'!$A:$AC,24,FALSE)),"")))</f>
        <v>http://dbxpro.com/en-US/products/zc-bob</v>
      </c>
      <c r="U38" s="151">
        <v>36</v>
      </c>
    </row>
    <row r="39" spans="1:21" ht="15" customHeight="1">
      <c r="A39" s="99" t="s">
        <v>984</v>
      </c>
      <c r="B39" s="12" t="str">
        <f>(IF((VLOOKUP(Table5[[#This Row],[SKU]],'All Skus'!$A:$AC,2,FALSE))="DBX",(VLOOKUP(Table5[[#This Row],[SKU]],'All Skus'!$A:$AC,3,FALSE)),""))</f>
        <v>Accessories</v>
      </c>
      <c r="C39" s="12" t="str">
        <f>(IF((VLOOKUP(Table5[[#This Row],[SKU]],'All Skus'!$A:$AC,2,FALSE))="DBX",(VLOOKUP(Table5[[#This Row],[SKU]],'All Skus'!$A:$AC,4,FALSE)),""))</f>
        <v xml:space="preserve">CT2 </v>
      </c>
      <c r="D39" t="str">
        <f>(IF((VLOOKUP(Table5[[#This Row],[SKU]],'All Skus'!$A:$AC,2,FALSE))="DBX",(VLOOKUP(Table5[[#This Row],[SKU]],'All Skus'!$A:$AC,5,FALSE)),""))</f>
        <v>DBX-ACC</v>
      </c>
      <c r="E39" s="14">
        <f>(IF((VLOOKUP(Table5[[#This Row],[SKU]],'All Skus'!$A:$AC,2,FALSE))="DBX",(VLOOKUP(Table5[[#This Row],[SKU]],'All Skus'!$A:$AC,6,FALSE)),""))</f>
        <v>0</v>
      </c>
      <c r="F39">
        <f>(IF((VLOOKUP(Table5[[#This Row],[SKU]],'All Skus'!$A:$AC,2,FALSE))="DBX",(VLOOKUP(Table5[[#This Row],[SKU]],'All Skus'!$A:$AC,7,FALSE)),""))</f>
        <v>0</v>
      </c>
      <c r="G39" s="7" t="str">
        <f>(IF((VLOOKUP(Table5[[#This Row],[SKU]],'All Skus'!$A:$AC,2,FALSE))="DBX",(VLOOKUP(Table5[[#This Row],[SKU]],'All Skus'!$A:$AC,8,FALSE)),""))</f>
        <v>Accessories</v>
      </c>
      <c r="H39" s="8" t="str">
        <f>(IF((VLOOKUP(Table5[[#This Row],[SKU]],'All Skus'!$A:$AC,2,FALSE))="DBX",(VLOOKUP(Table5[[#This Row],[SKU]],'All Skus'!$A:$AC,9,FALSE)),""))</f>
        <v>Cable tester with many common connectors such as Speaker Twist, XLR, Phono, BNC, DIN, TRS, TS, DMX, &amp; Banana</v>
      </c>
      <c r="I39" s="58">
        <f>(IF((VLOOKUP(Table5[[#This Row],[SKU]],'All Skus'!$A:$AC,2,FALSE))="DBX",(VLOOKUP(Table5[[#This Row],[SKU]],'All Skus'!$A:$AC,10,FALSE)),""))</f>
        <v>74.930000000000007</v>
      </c>
      <c r="J39" s="58">
        <f>(IF((VLOOKUP(Table5[[#This Row],[SKU]],'All Skus'!$A:$AC,2,FALSE))="DBX",(VLOOKUP(Table5[[#This Row],[SKU]],'All Skus'!$A:$AC,11,FALSE)),""))</f>
        <v>65</v>
      </c>
      <c r="K39" s="139" t="str">
        <f>(IF((VLOOKUP(Table5[[#This Row],[SKU]],'All Skus'!$A:$AC,2,FALSE))="DBX",(VLOOKUP(Table5[[#This Row],[SKU]],'All Skus'!$A:$AC,15,FALSE)),""))</f>
        <v> 12</v>
      </c>
      <c r="L39" s="137">
        <f>(IF((VLOOKUP(Table5[[#This Row],[SKU]],'All Skus'!$A:$AC,2,FALSE))="DBX",(VLOOKUP(Table5[[#This Row],[SKU]],'All Skus'!$A:$AC,16,FALSE)),""))</f>
        <v>691991001864</v>
      </c>
      <c r="M39" s="137">
        <f>(IF((VLOOKUP(Table5[[#This Row],[SKU]],'All Skus'!$A:$AC,2,FALSE))="DBX",(VLOOKUP(Table5[[#This Row],[SKU]],'All Skus'!$A:$AC,17,FALSE)),""))</f>
        <v>0</v>
      </c>
      <c r="N39" s="136">
        <f>(IF((VLOOKUP(Table5[[#This Row],[SKU]],'All Skus'!$A:$AC,2,FALSE))="DBX",(VLOOKUP(Table5[[#This Row],[SKU]],'All Skus'!$A:$AC,18,FALSE)),""))</f>
        <v>2</v>
      </c>
      <c r="O39" s="136">
        <f>(IF((VLOOKUP(Table5[[#This Row],[SKU]],'All Skus'!$A:$AC,2,FALSE))="DBX",(VLOOKUP(Table5[[#This Row],[SKU]],'All Skus'!$A:$AC,19,FALSE)),""))</f>
        <v>6</v>
      </c>
      <c r="P39" s="136">
        <f>(IF((VLOOKUP(Table5[[#This Row],[SKU]],'All Skus'!$A:$AC,2,FALSE))="DBX",(VLOOKUP(Table5[[#This Row],[SKU]],'All Skus'!$A:$AC,20,FALSE)),""))</f>
        <v>5</v>
      </c>
      <c r="Q39" s="136">
        <f>(IF((VLOOKUP(Table5[[#This Row],[SKU]],'All Skus'!$A:$AC,2,FALSE))="DBX",(VLOOKUP(Table5[[#This Row],[SKU]],'All Skus'!$A:$AC,21,FALSE)),""))</f>
        <v>3</v>
      </c>
      <c r="R39" s="61" t="str">
        <f>(IF((VLOOKUP(Table5[[#This Row],[SKU]],'All Skus'!$A:$AC,2,FALSE))="DBX",(VLOOKUP(Table5[[#This Row],[SKU]],'All Skus'!$A:$AC,22,FALSE)),""))</f>
        <v>CN</v>
      </c>
      <c r="S39" t="str">
        <f>(IF((VLOOKUP(Table5[[#This Row],[SKU]],'All Skus'!$A:$AC,2,FALSE))="DBX",(VLOOKUP(Table5[[#This Row],[SKU]],'All Skus'!$A:$AC,23,FALSE)),""))</f>
        <v>Non Compliant</v>
      </c>
      <c r="T39" s="212" t="str">
        <f>HYPERLINK((IF((VLOOKUP(Table5[[#This Row],[SKU]],'All Skus'!$A:$AC,2,FALSE))="DBX",(VLOOKUP(Table5[[#This Row],[SKU]],'All Skus'!$A:$AC,24,FALSE)),"")))</f>
        <v>http://dbxpro.com/en-US/products/ct-2</v>
      </c>
      <c r="U39" s="151">
        <v>37</v>
      </c>
    </row>
    <row r="40" spans="1:21" ht="15" customHeight="1">
      <c r="A40" s="13" t="s">
        <v>985</v>
      </c>
      <c r="B40" s="12" t="str">
        <f>(IF((VLOOKUP(Table5[[#This Row],[SKU]],'All Skus'!$A:$AC,2,FALSE))="DBX",(VLOOKUP(Table5[[#This Row],[SKU]],'All Skus'!$A:$AC,3,FALSE)),""))</f>
        <v>Accessories</v>
      </c>
      <c r="C40" s="12" t="str">
        <f>(IF((VLOOKUP(Table5[[#This Row],[SKU]],'All Skus'!$A:$AC,2,FALSE))="DBX",(VLOOKUP(Table5[[#This Row],[SKU]],'All Skus'!$A:$AC,4,FALSE)),""))</f>
        <v xml:space="preserve">CT3 </v>
      </c>
      <c r="D40" t="str">
        <f>(IF((VLOOKUP(Table5[[#This Row],[SKU]],'All Skus'!$A:$AC,2,FALSE))="DBX",(VLOOKUP(Table5[[#This Row],[SKU]],'All Skus'!$A:$AC,5,FALSE)),""))</f>
        <v>DBX-ACC</v>
      </c>
      <c r="E40" s="14">
        <f>(IF((VLOOKUP(Table5[[#This Row],[SKU]],'All Skus'!$A:$AC,2,FALSE))="DBX",(VLOOKUP(Table5[[#This Row],[SKU]],'All Skus'!$A:$AC,6,FALSE)),""))</f>
        <v>0</v>
      </c>
      <c r="F40">
        <f>(IF((VLOOKUP(Table5[[#This Row],[SKU]],'All Skus'!$A:$AC,2,FALSE))="DBX",(VLOOKUP(Table5[[#This Row],[SKU]],'All Skus'!$A:$AC,7,FALSE)),""))</f>
        <v>0</v>
      </c>
      <c r="G40" s="7" t="str">
        <f>(IF((VLOOKUP(Table5[[#This Row],[SKU]],'All Skus'!$A:$AC,2,FALSE))="DBX",(VLOOKUP(Table5[[#This Row],[SKU]],'All Skus'!$A:$AC,8,FALSE)),""))</f>
        <v>Accessories</v>
      </c>
      <c r="H40" s="8" t="str">
        <f>(IF((VLOOKUP(Table5[[#This Row],[SKU]],'All Skus'!$A:$AC,2,FALSE))="DBX",(VLOOKUP(Table5[[#This Row],[SKU]],'All Skus'!$A:$AC,9,FALSE)),""))</f>
        <v>Advanced cable testing unit with split design, allowing users to test the cable at the plug-in source</v>
      </c>
      <c r="I40" s="58">
        <f>(IF((VLOOKUP(Table5[[#This Row],[SKU]],'All Skus'!$A:$AC,2,FALSE))="DBX",(VLOOKUP(Table5[[#This Row],[SKU]],'All Skus'!$A:$AC,10,FALSE)),""))</f>
        <v>227.85</v>
      </c>
      <c r="J40" s="58">
        <f>(IF((VLOOKUP(Table5[[#This Row],[SKU]],'All Skus'!$A:$AC,2,FALSE))="DBX",(VLOOKUP(Table5[[#This Row],[SKU]],'All Skus'!$A:$AC,11,FALSE)),""))</f>
        <v>185</v>
      </c>
      <c r="K40" s="139" t="str">
        <f>(IF((VLOOKUP(Table5[[#This Row],[SKU]],'All Skus'!$A:$AC,2,FALSE))="DBX",(VLOOKUP(Table5[[#This Row],[SKU]],'All Skus'!$A:$AC,15,FALSE)),""))</f>
        <v> 6</v>
      </c>
      <c r="L40" s="137">
        <f>(IF((VLOOKUP(Table5[[#This Row],[SKU]],'All Skus'!$A:$AC,2,FALSE))="DBX",(VLOOKUP(Table5[[#This Row],[SKU]],'All Skus'!$A:$AC,16,FALSE)),""))</f>
        <v>691991001871</v>
      </c>
      <c r="M40" s="137">
        <f>(IF((VLOOKUP(Table5[[#This Row],[SKU]],'All Skus'!$A:$AC,2,FALSE))="DBX",(VLOOKUP(Table5[[#This Row],[SKU]],'All Skus'!$A:$AC,17,FALSE)),""))</f>
        <v>0</v>
      </c>
      <c r="N40" s="136">
        <f>(IF((VLOOKUP(Table5[[#This Row],[SKU]],'All Skus'!$A:$AC,2,FALSE))="DBX",(VLOOKUP(Table5[[#This Row],[SKU]],'All Skus'!$A:$AC,18,FALSE)),""))</f>
        <v>3.5</v>
      </c>
      <c r="O40" s="136">
        <f>(IF((VLOOKUP(Table5[[#This Row],[SKU]],'All Skus'!$A:$AC,2,FALSE))="DBX",(VLOOKUP(Table5[[#This Row],[SKU]],'All Skus'!$A:$AC,19,FALSE)),""))</f>
        <v>9</v>
      </c>
      <c r="P40" s="136">
        <f>(IF((VLOOKUP(Table5[[#This Row],[SKU]],'All Skus'!$A:$AC,2,FALSE))="DBX",(VLOOKUP(Table5[[#This Row],[SKU]],'All Skus'!$A:$AC,20,FALSE)),""))</f>
        <v>7.5</v>
      </c>
      <c r="Q40" s="136">
        <f>(IF((VLOOKUP(Table5[[#This Row],[SKU]],'All Skus'!$A:$AC,2,FALSE))="DBX",(VLOOKUP(Table5[[#This Row],[SKU]],'All Skus'!$A:$AC,21,FALSE)),""))</f>
        <v>3.5</v>
      </c>
      <c r="R40" s="61" t="str">
        <f>(IF((VLOOKUP(Table5[[#This Row],[SKU]],'All Skus'!$A:$AC,2,FALSE))="DBX",(VLOOKUP(Table5[[#This Row],[SKU]],'All Skus'!$A:$AC,22,FALSE)),""))</f>
        <v>CN</v>
      </c>
      <c r="S40" t="str">
        <f>(IF((VLOOKUP(Table5[[#This Row],[SKU]],'All Skus'!$A:$AC,2,FALSE))="DBX",(VLOOKUP(Table5[[#This Row],[SKU]],'All Skus'!$A:$AC,23,FALSE)),""))</f>
        <v>Non Compliant</v>
      </c>
      <c r="T40" s="212" t="str">
        <f>HYPERLINK((IF((VLOOKUP(Table5[[#This Row],[SKU]],'All Skus'!$A:$AC,2,FALSE))="DBX",(VLOOKUP(Table5[[#This Row],[SKU]],'All Skus'!$A:$AC,24,FALSE)),"")))</f>
        <v>http://dbxpro.com/en-US/products/ct-3</v>
      </c>
      <c r="U40" s="151">
        <v>38</v>
      </c>
    </row>
    <row r="41" spans="1:21" ht="15" customHeight="1">
      <c r="A41" s="13" t="s">
        <v>986</v>
      </c>
      <c r="B41" s="12" t="str">
        <f>(IF((VLOOKUP(Table5[[#This Row],[SKU]],'All Skus'!$A:$AC,2,FALSE))="DBX",(VLOOKUP(Table5[[#This Row],[SKU]],'All Skus'!$A:$AC,3,FALSE)),""))</f>
        <v>Accessories</v>
      </c>
      <c r="C41" s="12" t="str">
        <f>(IF((VLOOKUP(Table5[[#This Row],[SKU]],'All Skus'!$A:$AC,2,FALSE))="DBX",(VLOOKUP(Table5[[#This Row],[SKU]],'All Skus'!$A:$AC,4,FALSE)),""))</f>
        <v>dB10</v>
      </c>
      <c r="D41" t="str">
        <f>(IF((VLOOKUP(Table5[[#This Row],[SKU]],'All Skus'!$A:$AC,2,FALSE))="DBX",(VLOOKUP(Table5[[#This Row],[SKU]],'All Skus'!$A:$AC,5,FALSE)),""))</f>
        <v>DBX-ACC</v>
      </c>
      <c r="E41" s="14">
        <f>(IF((VLOOKUP(Table5[[#This Row],[SKU]],'All Skus'!$A:$AC,2,FALSE))="DBX",(VLOOKUP(Table5[[#This Row],[SKU]],'All Skus'!$A:$AC,6,FALSE)),""))</f>
        <v>0</v>
      </c>
      <c r="F41">
        <f>(IF((VLOOKUP(Table5[[#This Row],[SKU]],'All Skus'!$A:$AC,2,FALSE))="DBX",(VLOOKUP(Table5[[#This Row],[SKU]],'All Skus'!$A:$AC,7,FALSE)),""))</f>
        <v>0</v>
      </c>
      <c r="G41" s="7" t="str">
        <f>(IF((VLOOKUP(Table5[[#This Row],[SKU]],'All Skus'!$A:$AC,2,FALSE))="DBX",(VLOOKUP(Table5[[#This Row],[SKU]],'All Skus'!$A:$AC,8,FALSE)),""))</f>
        <v>Accessories</v>
      </c>
      <c r="H41" s="8" t="str">
        <f>(IF((VLOOKUP(Table5[[#This Row],[SKU]],'All Skus'!$A:$AC,2,FALSE))="DBX",(VLOOKUP(Table5[[#This Row],[SKU]],'All Skus'!$A:$AC,9,FALSE)),""))</f>
        <v xml:space="preserve">Passive Direct Box </v>
      </c>
      <c r="I41" s="58">
        <f>(IF((VLOOKUP(Table5[[#This Row],[SKU]],'All Skus'!$A:$AC,2,FALSE))="DBX",(VLOOKUP(Table5[[#This Row],[SKU]],'All Skus'!$A:$AC,10,FALSE)),""))</f>
        <v>136.1</v>
      </c>
      <c r="J41" s="58">
        <f>(IF((VLOOKUP(Table5[[#This Row],[SKU]],'All Skus'!$A:$AC,2,FALSE))="DBX",(VLOOKUP(Table5[[#This Row],[SKU]],'All Skus'!$A:$AC,11,FALSE)),""))</f>
        <v>109</v>
      </c>
      <c r="K41" s="139">
        <f>(IF((VLOOKUP(Table5[[#This Row],[SKU]],'All Skus'!$A:$AC,2,FALSE))="DBX",(VLOOKUP(Table5[[#This Row],[SKU]],'All Skus'!$A:$AC,15,FALSE)),""))</f>
        <v>6</v>
      </c>
      <c r="L41" s="137">
        <f>(IF((VLOOKUP(Table5[[#This Row],[SKU]],'All Skus'!$A:$AC,2,FALSE))="DBX",(VLOOKUP(Table5[[#This Row],[SKU]],'All Skus'!$A:$AC,16,FALSE)),""))</f>
        <v>691991401015</v>
      </c>
      <c r="M41" s="137">
        <f>(IF((VLOOKUP(Table5[[#This Row],[SKU]],'All Skus'!$A:$AC,2,FALSE))="DBX",(VLOOKUP(Table5[[#This Row],[SKU]],'All Skus'!$A:$AC,17,FALSE)),""))</f>
        <v>0</v>
      </c>
      <c r="N41" s="136">
        <f>(IF((VLOOKUP(Table5[[#This Row],[SKU]],'All Skus'!$A:$AC,2,FALSE))="DBX",(VLOOKUP(Table5[[#This Row],[SKU]],'All Skus'!$A:$AC,18,FALSE)),""))</f>
        <v>1.5</v>
      </c>
      <c r="O41" s="136">
        <f>(IF((VLOOKUP(Table5[[#This Row],[SKU]],'All Skus'!$A:$AC,2,FALSE))="DBX",(VLOOKUP(Table5[[#This Row],[SKU]],'All Skus'!$A:$AC,19,FALSE)),""))</f>
        <v>8.5</v>
      </c>
      <c r="P41" s="136">
        <f>(IF((VLOOKUP(Table5[[#This Row],[SKU]],'All Skus'!$A:$AC,2,FALSE))="DBX",(VLOOKUP(Table5[[#This Row],[SKU]],'All Skus'!$A:$AC,20,FALSE)),""))</f>
        <v>2.5</v>
      </c>
      <c r="Q41" s="136">
        <f>(IF((VLOOKUP(Table5[[#This Row],[SKU]],'All Skus'!$A:$AC,2,FALSE))="DBX",(VLOOKUP(Table5[[#This Row],[SKU]],'All Skus'!$A:$AC,21,FALSE)),""))</f>
        <v>7.5</v>
      </c>
      <c r="R41" s="61" t="str">
        <f>(IF((VLOOKUP(Table5[[#This Row],[SKU]],'All Skus'!$A:$AC,2,FALSE))="DBX",(VLOOKUP(Table5[[#This Row],[SKU]],'All Skus'!$A:$AC,22,FALSE)),""))</f>
        <v>USA</v>
      </c>
      <c r="S41" t="str">
        <f>(IF((VLOOKUP(Table5[[#This Row],[SKU]],'All Skus'!$A:$AC,2,FALSE))="DBX",(VLOOKUP(Table5[[#This Row],[SKU]],'All Skus'!$A:$AC,23,FALSE)),""))</f>
        <v>Compliant</v>
      </c>
      <c r="T41" s="212" t="str">
        <f>HYPERLINK((IF((VLOOKUP(Table5[[#This Row],[SKU]],'All Skus'!$A:$AC,2,FALSE))="DBX",(VLOOKUP(Table5[[#This Row],[SKU]],'All Skus'!$A:$AC,24,FALSE)),"")))</f>
        <v>http://dbxpro.com/en-US/products/db10</v>
      </c>
      <c r="U41" s="151">
        <v>39</v>
      </c>
    </row>
    <row r="42" spans="1:21" ht="15" customHeight="1">
      <c r="A42" s="13" t="s">
        <v>987</v>
      </c>
      <c r="B42" s="12" t="str">
        <f>(IF((VLOOKUP(Table5[[#This Row],[SKU]],'All Skus'!$A:$AC,2,FALSE))="DBX",(VLOOKUP(Table5[[#This Row],[SKU]],'All Skus'!$A:$AC,3,FALSE)),""))</f>
        <v>Accessories</v>
      </c>
      <c r="C42" s="12" t="str">
        <f>(IF((VLOOKUP(Table5[[#This Row],[SKU]],'All Skus'!$A:$AC,2,FALSE))="DBX",(VLOOKUP(Table5[[#This Row],[SKU]],'All Skus'!$A:$AC,4,FALSE)),""))</f>
        <v>dB12</v>
      </c>
      <c r="D42" t="str">
        <f>(IF((VLOOKUP(Table5[[#This Row],[SKU]],'All Skus'!$A:$AC,2,FALSE))="DBX",(VLOOKUP(Table5[[#This Row],[SKU]],'All Skus'!$A:$AC,5,FALSE)),""))</f>
        <v>DBX-ACC</v>
      </c>
      <c r="E42" s="14">
        <f>(IF((VLOOKUP(Table5[[#This Row],[SKU]],'All Skus'!$A:$AC,2,FALSE))="DBX",(VLOOKUP(Table5[[#This Row],[SKU]],'All Skus'!$A:$AC,6,FALSE)),""))</f>
        <v>0</v>
      </c>
      <c r="F42">
        <f>(IF((VLOOKUP(Table5[[#This Row],[SKU]],'All Skus'!$A:$AC,2,FALSE))="DBX",(VLOOKUP(Table5[[#This Row],[SKU]],'All Skus'!$A:$AC,7,FALSE)),""))</f>
        <v>0</v>
      </c>
      <c r="G42" s="7" t="str">
        <f>(IF((VLOOKUP(Table5[[#This Row],[SKU]],'All Skus'!$A:$AC,2,FALSE))="DBX",(VLOOKUP(Table5[[#This Row],[SKU]],'All Skus'!$A:$AC,8,FALSE)),""))</f>
        <v>Accessories</v>
      </c>
      <c r="H42" s="8" t="str">
        <f>(IF((VLOOKUP(Table5[[#This Row],[SKU]],'All Skus'!$A:$AC,2,FALSE))="DBX",(VLOOKUP(Table5[[#This Row],[SKU]],'All Skus'!$A:$AC,9,FALSE)),""))</f>
        <v>Active Direct Box</v>
      </c>
      <c r="I42" s="58">
        <f>(IF((VLOOKUP(Table5[[#This Row],[SKU]],'All Skus'!$A:$AC,2,FALSE))="DBX",(VLOOKUP(Table5[[#This Row],[SKU]],'All Skus'!$A:$AC,10,FALSE)),""))</f>
        <v>183.05</v>
      </c>
      <c r="J42" s="58">
        <f>(IF((VLOOKUP(Table5[[#This Row],[SKU]],'All Skus'!$A:$AC,2,FALSE))="DBX",(VLOOKUP(Table5[[#This Row],[SKU]],'All Skus'!$A:$AC,11,FALSE)),""))</f>
        <v>149</v>
      </c>
      <c r="K42" s="139">
        <f>(IF((VLOOKUP(Table5[[#This Row],[SKU]],'All Skus'!$A:$AC,2,FALSE))="DBX",(VLOOKUP(Table5[[#This Row],[SKU]],'All Skus'!$A:$AC,15,FALSE)),""))</f>
        <v>6</v>
      </c>
      <c r="L42" s="137">
        <f>(IF((VLOOKUP(Table5[[#This Row],[SKU]],'All Skus'!$A:$AC,2,FALSE))="DBX",(VLOOKUP(Table5[[#This Row],[SKU]],'All Skus'!$A:$AC,16,FALSE)),""))</f>
        <v>691991401022</v>
      </c>
      <c r="M42" s="137">
        <f>(IF((VLOOKUP(Table5[[#This Row],[SKU]],'All Skus'!$A:$AC,2,FALSE))="DBX",(VLOOKUP(Table5[[#This Row],[SKU]],'All Skus'!$A:$AC,17,FALSE)),""))</f>
        <v>0</v>
      </c>
      <c r="N42" s="136">
        <f>(IF((VLOOKUP(Table5[[#This Row],[SKU]],'All Skus'!$A:$AC,2,FALSE))="DBX",(VLOOKUP(Table5[[#This Row],[SKU]],'All Skus'!$A:$AC,18,FALSE)),""))</f>
        <v>2</v>
      </c>
      <c r="O42" s="136">
        <f>(IF((VLOOKUP(Table5[[#This Row],[SKU]],'All Skus'!$A:$AC,2,FALSE))="DBX",(VLOOKUP(Table5[[#This Row],[SKU]],'All Skus'!$A:$AC,19,FALSE)),""))</f>
        <v>8.5</v>
      </c>
      <c r="P42" s="136">
        <f>(IF((VLOOKUP(Table5[[#This Row],[SKU]],'All Skus'!$A:$AC,2,FALSE))="DBX",(VLOOKUP(Table5[[#This Row],[SKU]],'All Skus'!$A:$AC,20,FALSE)),""))</f>
        <v>3.5</v>
      </c>
      <c r="Q42" s="136">
        <f>(IF((VLOOKUP(Table5[[#This Row],[SKU]],'All Skus'!$A:$AC,2,FALSE))="DBX",(VLOOKUP(Table5[[#This Row],[SKU]],'All Skus'!$A:$AC,21,FALSE)),""))</f>
        <v>7.5</v>
      </c>
      <c r="R42" s="61" t="str">
        <f>(IF((VLOOKUP(Table5[[#This Row],[SKU]],'All Skus'!$A:$AC,2,FALSE))="DBX",(VLOOKUP(Table5[[#This Row],[SKU]],'All Skus'!$A:$AC,22,FALSE)),""))</f>
        <v>CN</v>
      </c>
      <c r="S42" t="str">
        <f>(IF((VLOOKUP(Table5[[#This Row],[SKU]],'All Skus'!$A:$AC,2,FALSE))="DBX",(VLOOKUP(Table5[[#This Row],[SKU]],'All Skus'!$A:$AC,23,FALSE)),""))</f>
        <v>Non Compliant</v>
      </c>
      <c r="T42" s="212" t="str">
        <f>HYPERLINK((IF((VLOOKUP(Table5[[#This Row],[SKU]],'All Skus'!$A:$AC,2,FALSE))="DBX",(VLOOKUP(Table5[[#This Row],[SKU]],'All Skus'!$A:$AC,24,FALSE)),"")))</f>
        <v>http://dbxpro.com/en-US/products/db12</v>
      </c>
      <c r="U42" s="151">
        <v>40</v>
      </c>
    </row>
    <row r="43" spans="1:21" ht="15" customHeight="1">
      <c r="A43" s="13" t="s">
        <v>988</v>
      </c>
      <c r="B43" s="12" t="str">
        <f>(IF((VLOOKUP(Table5[[#This Row],[SKU]],'All Skus'!$A:$AC,2,FALSE))="DBX",(VLOOKUP(Table5[[#This Row],[SKU]],'All Skus'!$A:$AC,3,FALSE)),""))</f>
        <v>Accessories</v>
      </c>
      <c r="C43" s="12" t="str">
        <f>(IF((VLOOKUP(Table5[[#This Row],[SKU]],'All Skus'!$A:$AC,2,FALSE))="DBX",(VLOOKUP(Table5[[#This Row],[SKU]],'All Skus'!$A:$AC,4,FALSE)),""))</f>
        <v xml:space="preserve">DI1 </v>
      </c>
      <c r="D43" t="str">
        <f>(IF((VLOOKUP(Table5[[#This Row],[SKU]],'All Skus'!$A:$AC,2,FALSE))="DBX",(VLOOKUP(Table5[[#This Row],[SKU]],'All Skus'!$A:$AC,5,FALSE)),""))</f>
        <v>DBX-ACC</v>
      </c>
      <c r="E43" s="14">
        <f>(IF((VLOOKUP(Table5[[#This Row],[SKU]],'All Skus'!$A:$AC,2,FALSE))="DBX",(VLOOKUP(Table5[[#This Row],[SKU]],'All Skus'!$A:$AC,6,FALSE)),""))</f>
        <v>0</v>
      </c>
      <c r="F43">
        <f>(IF((VLOOKUP(Table5[[#This Row],[SKU]],'All Skus'!$A:$AC,2,FALSE))="DBX",(VLOOKUP(Table5[[#This Row],[SKU]],'All Skus'!$A:$AC,7,FALSE)),""))</f>
        <v>0</v>
      </c>
      <c r="G43" s="7" t="str">
        <f>(IF((VLOOKUP(Table5[[#This Row],[SKU]],'All Skus'!$A:$AC,2,FALSE))="DBX",(VLOOKUP(Table5[[#This Row],[SKU]],'All Skus'!$A:$AC,8,FALSE)),""))</f>
        <v>Accessories</v>
      </c>
      <c r="H43" s="8" t="str">
        <f>(IF((VLOOKUP(Table5[[#This Row],[SKU]],'All Skus'!$A:$AC,2,FALSE))="DBX",(VLOOKUP(Table5[[#This Row],[SKU]],'All Skus'!$A:$AC,9,FALSE)),""))</f>
        <v>Active direct box ensures audio signals reach their destination in both a balanced format and free from unwanted noise</v>
      </c>
      <c r="I43" s="58">
        <f>(IF((VLOOKUP(Table5[[#This Row],[SKU]],'All Skus'!$A:$AC,2,FALSE))="DBX",(VLOOKUP(Table5[[#This Row],[SKU]],'All Skus'!$A:$AC,10,FALSE)),""))</f>
        <v>181.97</v>
      </c>
      <c r="J43" s="58">
        <f>(IF((VLOOKUP(Table5[[#This Row],[SKU]],'All Skus'!$A:$AC,2,FALSE))="DBX",(VLOOKUP(Table5[[#This Row],[SKU]],'All Skus'!$A:$AC,11,FALSE)),""))</f>
        <v>145</v>
      </c>
      <c r="K43" s="139" t="str">
        <f>(IF((VLOOKUP(Table5[[#This Row],[SKU]],'All Skus'!$A:$AC,2,FALSE))="DBX",(VLOOKUP(Table5[[#This Row],[SKU]],'All Skus'!$A:$AC,15,FALSE)),""))</f>
        <v> 12</v>
      </c>
      <c r="L43" s="137">
        <f>(IF((VLOOKUP(Table5[[#This Row],[SKU]],'All Skus'!$A:$AC,2,FALSE))="DBX",(VLOOKUP(Table5[[#This Row],[SKU]],'All Skus'!$A:$AC,16,FALSE)),""))</f>
        <v>691991001833</v>
      </c>
      <c r="M43" s="137">
        <f>(IF((VLOOKUP(Table5[[#This Row],[SKU]],'All Skus'!$A:$AC,2,FALSE))="DBX",(VLOOKUP(Table5[[#This Row],[SKU]],'All Skus'!$A:$AC,17,FALSE)),""))</f>
        <v>0</v>
      </c>
      <c r="N43" s="136">
        <f>(IF((VLOOKUP(Table5[[#This Row],[SKU]],'All Skus'!$A:$AC,2,FALSE))="DBX",(VLOOKUP(Table5[[#This Row],[SKU]],'All Skus'!$A:$AC,18,FALSE)),""))</f>
        <v>1</v>
      </c>
      <c r="O43" s="136">
        <f>(IF((VLOOKUP(Table5[[#This Row],[SKU]],'All Skus'!$A:$AC,2,FALSE))="DBX",(VLOOKUP(Table5[[#This Row],[SKU]],'All Skus'!$A:$AC,19,FALSE)),""))</f>
        <v>6</v>
      </c>
      <c r="P43" s="136">
        <f>(IF((VLOOKUP(Table5[[#This Row],[SKU]],'All Skus'!$A:$AC,2,FALSE))="DBX",(VLOOKUP(Table5[[#This Row],[SKU]],'All Skus'!$A:$AC,20,FALSE)),""))</f>
        <v>5</v>
      </c>
      <c r="Q43" s="136">
        <f>(IF((VLOOKUP(Table5[[#This Row],[SKU]],'All Skus'!$A:$AC,2,FALSE))="DBX",(VLOOKUP(Table5[[#This Row],[SKU]],'All Skus'!$A:$AC,21,FALSE)),""))</f>
        <v>2.5</v>
      </c>
      <c r="R43" s="61" t="str">
        <f>(IF((VLOOKUP(Table5[[#This Row],[SKU]],'All Skus'!$A:$AC,2,FALSE))="DBX",(VLOOKUP(Table5[[#This Row],[SKU]],'All Skus'!$A:$AC,22,FALSE)),""))</f>
        <v>CN</v>
      </c>
      <c r="S43" t="str">
        <f>(IF((VLOOKUP(Table5[[#This Row],[SKU]],'All Skus'!$A:$AC,2,FALSE))="DBX",(VLOOKUP(Table5[[#This Row],[SKU]],'All Skus'!$A:$AC,23,FALSE)),""))</f>
        <v>Non Compliant</v>
      </c>
      <c r="T43" s="212" t="str">
        <f>HYPERLINK((IF((VLOOKUP(Table5[[#This Row],[SKU]],'All Skus'!$A:$AC,2,FALSE))="DBX",(VLOOKUP(Table5[[#This Row],[SKU]],'All Skus'!$A:$AC,24,FALSE)),"")))</f>
        <v>http://dbxpro.com/en-US/products/di1</v>
      </c>
      <c r="U43" s="151">
        <v>41</v>
      </c>
    </row>
    <row r="44" spans="1:21" ht="15" customHeight="1">
      <c r="A44" s="13" t="s">
        <v>989</v>
      </c>
      <c r="B44" s="12" t="str">
        <f>(IF((VLOOKUP(Table5[[#This Row],[SKU]],'All Skus'!$A:$AC,2,FALSE))="DBX",(VLOOKUP(Table5[[#This Row],[SKU]],'All Skus'!$A:$AC,3,FALSE)),""))</f>
        <v>Accessories</v>
      </c>
      <c r="C44" s="12" t="str">
        <f>(IF((VLOOKUP(Table5[[#This Row],[SKU]],'All Skus'!$A:$AC,2,FALSE))="DBX",(VLOOKUP(Table5[[#This Row],[SKU]],'All Skus'!$A:$AC,4,FALSE)),""))</f>
        <v xml:space="preserve">DI4 </v>
      </c>
      <c r="D44" t="str">
        <f>(IF((VLOOKUP(Table5[[#This Row],[SKU]],'All Skus'!$A:$AC,2,FALSE))="DBX",(VLOOKUP(Table5[[#This Row],[SKU]],'All Skus'!$A:$AC,5,FALSE)),""))</f>
        <v>DBX-ACC</v>
      </c>
      <c r="E44" s="14">
        <f>(IF((VLOOKUP(Table5[[#This Row],[SKU]],'All Skus'!$A:$AC,2,FALSE))="DBX",(VLOOKUP(Table5[[#This Row],[SKU]],'All Skus'!$A:$AC,6,FALSE)),""))</f>
        <v>0</v>
      </c>
      <c r="F44">
        <f>(IF((VLOOKUP(Table5[[#This Row],[SKU]],'All Skus'!$A:$AC,2,FALSE))="DBX",(VLOOKUP(Table5[[#This Row],[SKU]],'All Skus'!$A:$AC,7,FALSE)),""))</f>
        <v>0</v>
      </c>
      <c r="G44" s="7" t="str">
        <f>(IF((VLOOKUP(Table5[[#This Row],[SKU]],'All Skus'!$A:$AC,2,FALSE))="DBX",(VLOOKUP(Table5[[#This Row],[SKU]],'All Skus'!$A:$AC,8,FALSE)),""))</f>
        <v>Accessories</v>
      </c>
      <c r="H44" s="8" t="str">
        <f>(IF((VLOOKUP(Table5[[#This Row],[SKU]],'All Skus'!$A:$AC,2,FALSE))="DBX",(VLOOKUP(Table5[[#This Row],[SKU]],'All Skus'!$A:$AC,9,FALSE)),""))</f>
        <v xml:space="preserve"> 4-channel direct box that converts unbalanced signals into balanced output for use with mixers, PAs, recording consoles and more</v>
      </c>
      <c r="I44" s="58">
        <f>(IF((VLOOKUP(Table5[[#This Row],[SKU]],'All Skus'!$A:$AC,2,FALSE))="DBX",(VLOOKUP(Table5[[#This Row],[SKU]],'All Skus'!$A:$AC,10,FALSE)),""))</f>
        <v>181.97</v>
      </c>
      <c r="J44" s="58">
        <f>(IF((VLOOKUP(Table5[[#This Row],[SKU]],'All Skus'!$A:$AC,2,FALSE))="DBX",(VLOOKUP(Table5[[#This Row],[SKU]],'All Skus'!$A:$AC,11,FALSE)),""))</f>
        <v>149</v>
      </c>
      <c r="K44" s="139">
        <f>(IF((VLOOKUP(Table5[[#This Row],[SKU]],'All Skus'!$A:$AC,2,FALSE))="DBX",(VLOOKUP(Table5[[#This Row],[SKU]],'All Skus'!$A:$AC,15,FALSE)),""))</f>
        <v>10</v>
      </c>
      <c r="L44" s="137">
        <f>(IF((VLOOKUP(Table5[[#This Row],[SKU]],'All Skus'!$A:$AC,2,FALSE))="DBX",(VLOOKUP(Table5[[#This Row],[SKU]],'All Skus'!$A:$AC,16,FALSE)),""))</f>
        <v>691991001840</v>
      </c>
      <c r="M44" s="137">
        <f>(IF((VLOOKUP(Table5[[#This Row],[SKU]],'All Skus'!$A:$AC,2,FALSE))="DBX",(VLOOKUP(Table5[[#This Row],[SKU]],'All Skus'!$A:$AC,17,FALSE)),""))</f>
        <v>0</v>
      </c>
      <c r="N44" s="136">
        <f>(IF((VLOOKUP(Table5[[#This Row],[SKU]],'All Skus'!$A:$AC,2,FALSE))="DBX",(VLOOKUP(Table5[[#This Row],[SKU]],'All Skus'!$A:$AC,18,FALSE)),""))</f>
        <v>2</v>
      </c>
      <c r="O44" s="136">
        <f>(IF((VLOOKUP(Table5[[#This Row],[SKU]],'All Skus'!$A:$AC,2,FALSE))="DBX",(VLOOKUP(Table5[[#This Row],[SKU]],'All Skus'!$A:$AC,19,FALSE)),""))</f>
        <v>9</v>
      </c>
      <c r="P44" s="136">
        <f>(IF((VLOOKUP(Table5[[#This Row],[SKU]],'All Skus'!$A:$AC,2,FALSE))="DBX",(VLOOKUP(Table5[[#This Row],[SKU]],'All Skus'!$A:$AC,20,FALSE)),""))</f>
        <v>8.5</v>
      </c>
      <c r="Q44" s="136">
        <f>(IF((VLOOKUP(Table5[[#This Row],[SKU]],'All Skus'!$A:$AC,2,FALSE))="DBX",(VLOOKUP(Table5[[#This Row],[SKU]],'All Skus'!$A:$AC,21,FALSE)),""))</f>
        <v>3.5</v>
      </c>
      <c r="R44" s="61" t="str">
        <f>(IF((VLOOKUP(Table5[[#This Row],[SKU]],'All Skus'!$A:$AC,2,FALSE))="DBX",(VLOOKUP(Table5[[#This Row],[SKU]],'All Skus'!$A:$AC,22,FALSE)),""))</f>
        <v>CN</v>
      </c>
      <c r="S44" t="str">
        <f>(IF((VLOOKUP(Table5[[#This Row],[SKU]],'All Skus'!$A:$AC,2,FALSE))="DBX",(VLOOKUP(Table5[[#This Row],[SKU]],'All Skus'!$A:$AC,23,FALSE)),""))</f>
        <v>Non Compliant</v>
      </c>
      <c r="T44" s="212" t="str">
        <f>HYPERLINK((IF((VLOOKUP(Table5[[#This Row],[SKU]],'All Skus'!$A:$AC,2,FALSE))="DBX",(VLOOKUP(Table5[[#This Row],[SKU]],'All Skus'!$A:$AC,24,FALSE)),"")))</f>
        <v>http://dbxpro.com/en-US/products/di4</v>
      </c>
      <c r="U44" s="151">
        <v>42</v>
      </c>
    </row>
    <row r="45" spans="1:21" ht="15" customHeight="1">
      <c r="A45" s="13" t="s">
        <v>990</v>
      </c>
      <c r="B45" s="12" t="str">
        <f>(IF((VLOOKUP(Table5[[#This Row],[SKU]],'All Skus'!$A:$AC,2,FALSE))="DBX",(VLOOKUP(Table5[[#This Row],[SKU]],'All Skus'!$A:$AC,3,FALSE)),""))</f>
        <v>Accessories</v>
      </c>
      <c r="C45" s="12" t="str">
        <f>(IF((VLOOKUP(Table5[[#This Row],[SKU]],'All Skus'!$A:$AC,2,FALSE))="DBX",(VLOOKUP(Table5[[#This Row],[SKU]],'All Skus'!$A:$AC,4,FALSE)),""))</f>
        <v xml:space="preserve">DJDI </v>
      </c>
      <c r="D45" t="str">
        <f>(IF((VLOOKUP(Table5[[#This Row],[SKU]],'All Skus'!$A:$AC,2,FALSE))="DBX",(VLOOKUP(Table5[[#This Row],[SKU]],'All Skus'!$A:$AC,5,FALSE)),""))</f>
        <v>DBX-ACC</v>
      </c>
      <c r="E45" s="14">
        <f>(IF((VLOOKUP(Table5[[#This Row],[SKU]],'All Skus'!$A:$AC,2,FALSE))="DBX",(VLOOKUP(Table5[[#This Row],[SKU]],'All Skus'!$A:$AC,6,FALSE)),""))</f>
        <v>0</v>
      </c>
      <c r="F45">
        <f>(IF((VLOOKUP(Table5[[#This Row],[SKU]],'All Skus'!$A:$AC,2,FALSE))="DBX",(VLOOKUP(Table5[[#This Row],[SKU]],'All Skus'!$A:$AC,7,FALSE)),""))</f>
        <v>0</v>
      </c>
      <c r="G45" s="7" t="str">
        <f>(IF((VLOOKUP(Table5[[#This Row],[SKU]],'All Skus'!$A:$AC,2,FALSE))="DBX",(VLOOKUP(Table5[[#This Row],[SKU]],'All Skus'!$A:$AC,8,FALSE)),""))</f>
        <v>Accessories</v>
      </c>
      <c r="H45" s="8" t="str">
        <f>(IF((VLOOKUP(Table5[[#This Row],[SKU]],'All Skus'!$A:$AC,2,FALSE))="DBX",(VLOOKUP(Table5[[#This Row],[SKU]],'All Skus'!$A:$AC,9,FALSE)),""))</f>
        <v>2-channel passive direct box that converts unbalanced signals into balanced output for use with mixers, PAs, recording consoles and more</v>
      </c>
      <c r="I45" s="58">
        <f>(IF((VLOOKUP(Table5[[#This Row],[SKU]],'All Skus'!$A:$AC,2,FALSE))="DBX",(VLOOKUP(Table5[[#This Row],[SKU]],'All Skus'!$A:$AC,10,FALSE)),""))</f>
        <v>74.930000000000007</v>
      </c>
      <c r="J45" s="58">
        <f>(IF((VLOOKUP(Table5[[#This Row],[SKU]],'All Skus'!$A:$AC,2,FALSE))="DBX",(VLOOKUP(Table5[[#This Row],[SKU]],'All Skus'!$A:$AC,11,FALSE)),""))</f>
        <v>69</v>
      </c>
      <c r="K45" s="139" t="str">
        <f>(IF((VLOOKUP(Table5[[#This Row],[SKU]],'All Skus'!$A:$AC,2,FALSE))="DBX",(VLOOKUP(Table5[[#This Row],[SKU]],'All Skus'!$A:$AC,15,FALSE)),""))</f>
        <v> 12</v>
      </c>
      <c r="L45" s="137">
        <f>(IF((VLOOKUP(Table5[[#This Row],[SKU]],'All Skus'!$A:$AC,2,FALSE))="DBX",(VLOOKUP(Table5[[#This Row],[SKU]],'All Skus'!$A:$AC,16,FALSE)),""))</f>
        <v>691991002083</v>
      </c>
      <c r="M45" s="137">
        <f>(IF((VLOOKUP(Table5[[#This Row],[SKU]],'All Skus'!$A:$AC,2,FALSE))="DBX",(VLOOKUP(Table5[[#This Row],[SKU]],'All Skus'!$A:$AC,17,FALSE)),""))</f>
        <v>0</v>
      </c>
      <c r="N45" s="136">
        <f>(IF((VLOOKUP(Table5[[#This Row],[SKU]],'All Skus'!$A:$AC,2,FALSE))="DBX",(VLOOKUP(Table5[[#This Row],[SKU]],'All Skus'!$A:$AC,18,FALSE)),""))</f>
        <v>2</v>
      </c>
      <c r="O45" s="136">
        <f>(IF((VLOOKUP(Table5[[#This Row],[SKU]],'All Skus'!$A:$AC,2,FALSE))="DBX",(VLOOKUP(Table5[[#This Row],[SKU]],'All Skus'!$A:$AC,19,FALSE)),""))</f>
        <v>2</v>
      </c>
      <c r="P45" s="136">
        <f>(IF((VLOOKUP(Table5[[#This Row],[SKU]],'All Skus'!$A:$AC,2,FALSE))="DBX",(VLOOKUP(Table5[[#This Row],[SKU]],'All Skus'!$A:$AC,20,FALSE)),""))</f>
        <v>3.25</v>
      </c>
      <c r="Q45" s="136">
        <f>(IF((VLOOKUP(Table5[[#This Row],[SKU]],'All Skus'!$A:$AC,2,FALSE))="DBX",(VLOOKUP(Table5[[#This Row],[SKU]],'All Skus'!$A:$AC,21,FALSE)),""))</f>
        <v>5.5</v>
      </c>
      <c r="R45" s="61" t="str">
        <f>(IF((VLOOKUP(Table5[[#This Row],[SKU]],'All Skus'!$A:$AC,2,FALSE))="DBX",(VLOOKUP(Table5[[#This Row],[SKU]],'All Skus'!$A:$AC,22,FALSE)),""))</f>
        <v>CN</v>
      </c>
      <c r="S45" t="str">
        <f>(IF((VLOOKUP(Table5[[#This Row],[SKU]],'All Skus'!$A:$AC,2,FALSE))="DBX",(VLOOKUP(Table5[[#This Row],[SKU]],'All Skus'!$A:$AC,23,FALSE)),""))</f>
        <v>Non Compliant</v>
      </c>
      <c r="T45" s="212" t="str">
        <f>HYPERLINK((IF((VLOOKUP(Table5[[#This Row],[SKU]],'All Skus'!$A:$AC,2,FALSE))="DBX",(VLOOKUP(Table5[[#This Row],[SKU]],'All Skus'!$A:$AC,24,FALSE)),"")))</f>
        <v>http://dbxpro.com/en-US/products/djdi</v>
      </c>
      <c r="U45" s="151">
        <v>43</v>
      </c>
    </row>
    <row r="46" spans="1:21" ht="14.65" customHeight="1">
      <c r="A46" s="13" t="s">
        <v>991</v>
      </c>
      <c r="B46" s="12" t="str">
        <f>(IF((VLOOKUP(Table5[[#This Row],[SKU]],'All Skus'!$A:$AC,2,FALSE))="DBX",(VLOOKUP(Table5[[#This Row],[SKU]],'All Skus'!$A:$AC,3,FALSE)),""))</f>
        <v>Digital Zone Processor</v>
      </c>
      <c r="C46" s="12" t="str">
        <f>(IF((VLOOKUP(Table5[[#This Row],[SKU]],'All Skus'!$A:$AC,2,FALSE))="DBX",(VLOOKUP(Table5[[#This Row],[SKU]],'All Skus'!$A:$AC,4,FALSE)),""))</f>
        <v>IEq31-M</v>
      </c>
      <c r="D46" t="str">
        <f>(IF((VLOOKUP(Table5[[#This Row],[SKU]],'All Skus'!$A:$AC,2,FALSE))="DBX",(VLOOKUP(Table5[[#This Row],[SKU]],'All Skus'!$A:$AC,5,FALSE)),""))</f>
        <v>DBX_EQ</v>
      </c>
      <c r="E46" s="14">
        <f>(IF((VLOOKUP(Table5[[#This Row],[SKU]],'All Skus'!$A:$AC,2,FALSE))="DBX",(VLOOKUP(Table5[[#This Row],[SKU]],'All Skus'!$A:$AC,6,FALSE)),""))</f>
        <v>0</v>
      </c>
      <c r="F46">
        <f>(IF((VLOOKUP(Table5[[#This Row],[SKU]],'All Skus'!$A:$AC,2,FALSE))="DBX",(VLOOKUP(Table5[[#This Row],[SKU]],'All Skus'!$A:$AC,7,FALSE)),""))</f>
        <v>0</v>
      </c>
      <c r="G46" s="7" t="str">
        <f>(IF((VLOOKUP(Table5[[#This Row],[SKU]],'All Skus'!$A:$AC,2,FALSE))="DBX",(VLOOKUP(Table5[[#This Row],[SKU]],'All Skus'!$A:$AC,8,FALSE)),""))</f>
        <v>DBX,IEQ31,DUAL 31-BAND GRAPHIC EQ,US,MLY</v>
      </c>
      <c r="H46" s="8" t="str">
        <f>(IF((VLOOKUP(Table5[[#This Row],[SKU]],'All Skus'!$A:$AC,2,FALSE))="DBX",(VLOOKUP(Table5[[#This Row],[SKU]],'All Skus'!$A:$AC,9,FALSE)),""))</f>
        <v>DBX,IEQ31,DUAL 31-BAND GRAPHIC EQ,US,MLY</v>
      </c>
      <c r="I46" s="58">
        <f>(IF((VLOOKUP(Table5[[#This Row],[SKU]],'All Skus'!$A:$AC,2,FALSE))="DBX",(VLOOKUP(Table5[[#This Row],[SKU]],'All Skus'!$A:$AC,10,FALSE)),""))</f>
        <v>1267.68</v>
      </c>
      <c r="J46" s="58">
        <f>(IF((VLOOKUP(Table5[[#This Row],[SKU]],'All Skus'!$A:$AC,2,FALSE))="DBX",(VLOOKUP(Table5[[#This Row],[SKU]],'All Skus'!$A:$AC,11,FALSE)),""))</f>
        <v>1267</v>
      </c>
      <c r="K46" s="139">
        <f>(IF((VLOOKUP(Table5[[#This Row],[SKU]],'All Skus'!$A:$AC,2,FALSE))="DBX",(VLOOKUP(Table5[[#This Row],[SKU]],'All Skus'!$A:$AC,15,FALSE)),""))</f>
        <v>0</v>
      </c>
      <c r="L46" s="137">
        <f>(IF((VLOOKUP(Table5[[#This Row],[SKU]],'All Skus'!$A:$AC,2,FALSE))="DBX",(VLOOKUP(Table5[[#This Row],[SKU]],'All Skus'!$A:$AC,16,FALSE)),""))</f>
        <v>691991400612</v>
      </c>
      <c r="M46" s="137">
        <f>(IF((VLOOKUP(Table5[[#This Row],[SKU]],'All Skus'!$A:$AC,2,FALSE))="DBX",(VLOOKUP(Table5[[#This Row],[SKU]],'All Skus'!$A:$AC,17,FALSE)),""))</f>
        <v>0</v>
      </c>
      <c r="N46" s="136">
        <f>(IF((VLOOKUP(Table5[[#This Row],[SKU]],'All Skus'!$A:$AC,2,FALSE))="DBX",(VLOOKUP(Table5[[#This Row],[SKU]],'All Skus'!$A:$AC,18,FALSE)),""))</f>
        <v>0</v>
      </c>
      <c r="O46" s="136">
        <f>(IF((VLOOKUP(Table5[[#This Row],[SKU]],'All Skus'!$A:$AC,2,FALSE))="DBX",(VLOOKUP(Table5[[#This Row],[SKU]],'All Skus'!$A:$AC,19,FALSE)),""))</f>
        <v>0</v>
      </c>
      <c r="P46" s="136">
        <f>(IF((VLOOKUP(Table5[[#This Row],[SKU]],'All Skus'!$A:$AC,2,FALSE))="DBX",(VLOOKUP(Table5[[#This Row],[SKU]],'All Skus'!$A:$AC,20,FALSE)),""))</f>
        <v>0</v>
      </c>
      <c r="Q46" s="136">
        <f>(IF((VLOOKUP(Table5[[#This Row],[SKU]],'All Skus'!$A:$AC,2,FALSE))="DBX",(VLOOKUP(Table5[[#This Row],[SKU]],'All Skus'!$A:$AC,21,FALSE)),""))</f>
        <v>0</v>
      </c>
      <c r="R46" s="61">
        <f>(IF((VLOOKUP(Table5[[#This Row],[SKU]],'All Skus'!$A:$AC,2,FALSE))="DBX",(VLOOKUP(Table5[[#This Row],[SKU]],'All Skus'!$A:$AC,22,FALSE)),""))</f>
        <v>0</v>
      </c>
      <c r="S46">
        <f>(IF((VLOOKUP(Table5[[#This Row],[SKU]],'All Skus'!$A:$AC,2,FALSE))="DBX",(VLOOKUP(Table5[[#This Row],[SKU]],'All Skus'!$A:$AC,23,FALSE)),""))</f>
        <v>0</v>
      </c>
      <c r="T46" s="212" t="str">
        <f>HYPERLINK((IF((VLOOKUP(Table5[[#This Row],[SKU]],'All Skus'!$A:$AC,2,FALSE))="DBX",(VLOOKUP(Table5[[#This Row],[SKU]],'All Skus'!$A:$AC,24,FALSE)),"")))</f>
        <v/>
      </c>
      <c r="U46" s="151">
        <v>44</v>
      </c>
    </row>
    <row r="47" spans="1:21" ht="14.65" customHeight="1">
      <c r="A47" s="13" t="s">
        <v>992</v>
      </c>
      <c r="B47" s="12" t="str">
        <f>(IF((VLOOKUP(Table5[[#This Row],[SKU]],'All Skus'!$A:$AC,2,FALSE))="DBX",(VLOOKUP(Table5[[#This Row],[SKU]],'All Skus'!$A:$AC,3,FALSE)),""))</f>
        <v>DriveRack</v>
      </c>
      <c r="C47" s="12" t="str">
        <f>(IF((VLOOKUP(Table5[[#This Row],[SKU]],'All Skus'!$A:$AC,2,FALSE))="DBX",(VLOOKUP(Table5[[#This Row],[SKU]],'All Skus'!$A:$AC,4,FALSE)),""))</f>
        <v>PA2</v>
      </c>
      <c r="D47" t="str">
        <f>(IF((VLOOKUP(Table5[[#This Row],[SKU]],'All Skus'!$A:$AC,2,FALSE))="DBX",(VLOOKUP(Table5[[#This Row],[SKU]],'All Skus'!$A:$AC,5,FALSE)),""))</f>
        <v>DBX_RSR</v>
      </c>
      <c r="E47" s="14">
        <f>(IF((VLOOKUP(Table5[[#This Row],[SKU]],'All Skus'!$A:$AC,2,FALSE))="DBX",(VLOOKUP(Table5[[#This Row],[SKU]],'All Skus'!$A:$AC,6,FALSE)),""))</f>
        <v>0</v>
      </c>
      <c r="F47">
        <f>(IF((VLOOKUP(Table5[[#This Row],[SKU]],'All Skus'!$A:$AC,2,FALSE))="DBX",(VLOOKUP(Table5[[#This Row],[SKU]],'All Skus'!$A:$AC,7,FALSE)),""))</f>
        <v>0</v>
      </c>
      <c r="G47" s="7" t="str">
        <f>(IF((VLOOKUP(Table5[[#This Row],[SKU]],'All Skus'!$A:$AC,2,FALSE))="DBX",(VLOOKUP(Table5[[#This Row],[SKU]],'All Skus'!$A:$AC,8,FALSE)),""))</f>
        <v>DriveRack</v>
      </c>
      <c r="H47" s="8" t="str">
        <f>(IF((VLOOKUP(Table5[[#This Row],[SKU]],'All Skus'!$A:$AC,2,FALSE))="DBX",(VLOOKUP(Table5[[#This Row],[SKU]],'All Skus'!$A:$AC,9,FALSE)),""))</f>
        <v>2x6 PA Management System</v>
      </c>
      <c r="I47" s="58">
        <f>(IF((VLOOKUP(Table5[[#This Row],[SKU]],'All Skus'!$A:$AC,2,FALSE))="DBX",(VLOOKUP(Table5[[#This Row],[SKU]],'All Skus'!$A:$AC,10,FALSE)),""))</f>
        <v>610.44000000000005</v>
      </c>
      <c r="J47" s="58">
        <f>(IF((VLOOKUP(Table5[[#This Row],[SKU]],'All Skus'!$A:$AC,2,FALSE))="DBX",(VLOOKUP(Table5[[#This Row],[SKU]],'All Skus'!$A:$AC,11,FALSE)),""))</f>
        <v>565</v>
      </c>
      <c r="K47" s="139">
        <f>(IF((VLOOKUP(Table5[[#This Row],[SKU]],'All Skus'!$A:$AC,2,FALSE))="DBX",(VLOOKUP(Table5[[#This Row],[SKU]],'All Skus'!$A:$AC,15,FALSE)),""))</f>
        <v>6</v>
      </c>
      <c r="L47" s="137">
        <f>(IF((VLOOKUP(Table5[[#This Row],[SKU]],'All Skus'!$A:$AC,2,FALSE))="DBX",(VLOOKUP(Table5[[#This Row],[SKU]],'All Skus'!$A:$AC,16,FALSE)),""))</f>
        <v>691991401480</v>
      </c>
      <c r="M47" s="137">
        <f>(IF((VLOOKUP(Table5[[#This Row],[SKU]],'All Skus'!$A:$AC,2,FALSE))="DBX",(VLOOKUP(Table5[[#This Row],[SKU]],'All Skus'!$A:$AC,17,FALSE)),""))</f>
        <v>0</v>
      </c>
      <c r="N47" s="136">
        <f>(IF((VLOOKUP(Table5[[#This Row],[SKU]],'All Skus'!$A:$AC,2,FALSE))="DBX",(VLOOKUP(Table5[[#This Row],[SKU]],'All Skus'!$A:$AC,18,FALSE)),""))</f>
        <v>6.5</v>
      </c>
      <c r="O47" s="136">
        <f>(IF((VLOOKUP(Table5[[#This Row],[SKU]],'All Skus'!$A:$AC,2,FALSE))="DBX",(VLOOKUP(Table5[[#This Row],[SKU]],'All Skus'!$A:$AC,19,FALSE)),""))</f>
        <v>22</v>
      </c>
      <c r="P47" s="136">
        <f>(IF((VLOOKUP(Table5[[#This Row],[SKU]],'All Skus'!$A:$AC,2,FALSE))="DBX",(VLOOKUP(Table5[[#This Row],[SKU]],'All Skus'!$A:$AC,20,FALSE)),""))</f>
        <v>4</v>
      </c>
      <c r="Q47" s="136">
        <f>(IF((VLOOKUP(Table5[[#This Row],[SKU]],'All Skus'!$A:$AC,2,FALSE))="DBX",(VLOOKUP(Table5[[#This Row],[SKU]],'All Skus'!$A:$AC,21,FALSE)),""))</f>
        <v>11.5</v>
      </c>
      <c r="R47" s="61" t="str">
        <f>(IF((VLOOKUP(Table5[[#This Row],[SKU]],'All Skus'!$A:$AC,2,FALSE))="DBX",(VLOOKUP(Table5[[#This Row],[SKU]],'All Skus'!$A:$AC,22,FALSE)),""))</f>
        <v>CN</v>
      </c>
      <c r="S47" t="str">
        <f>(IF((VLOOKUP(Table5[[#This Row],[SKU]],'All Skus'!$A:$AC,2,FALSE))="DBX",(VLOOKUP(Table5[[#This Row],[SKU]],'All Skus'!$A:$AC,23,FALSE)),""))</f>
        <v>Non Compliant</v>
      </c>
      <c r="T47" s="212" t="str">
        <f>HYPERLINK((IF((VLOOKUP(Table5[[#This Row],[SKU]],'All Skus'!$A:$AC,2,FALSE))="DBX",(VLOOKUP(Table5[[#This Row],[SKU]],'All Skus'!$A:$AC,24,FALSE)),"")))</f>
        <v>http://dbxpro.com/en-US/products/driverack-pa2</v>
      </c>
      <c r="U47" s="151">
        <v>45</v>
      </c>
    </row>
    <row r="48" spans="1:21" ht="15" customHeight="1">
      <c r="A48" s="13" t="s">
        <v>993</v>
      </c>
      <c r="B48" s="12" t="str">
        <f>(IF((VLOOKUP(Table5[[#This Row],[SKU]],'All Skus'!$A:$AC,2,FALSE))="DBX",(VLOOKUP(Table5[[#This Row],[SKU]],'All Skus'!$A:$AC,3,FALSE)),""))</f>
        <v>DriveRack</v>
      </c>
      <c r="C48" s="12" t="str">
        <f>(IF((VLOOKUP(Table5[[#This Row],[SKU]],'All Skus'!$A:$AC,2,FALSE))="DBX",(VLOOKUP(Table5[[#This Row],[SKU]],'All Skus'!$A:$AC,4,FALSE)),""))</f>
        <v>PA2</v>
      </c>
      <c r="D48" t="str">
        <f>(IF((VLOOKUP(Table5[[#This Row],[SKU]],'All Skus'!$A:$AC,2,FALSE))="DBX",(VLOOKUP(Table5[[#This Row],[SKU]],'All Skus'!$A:$AC,5,FALSE)),""))</f>
        <v>DBX_RSR</v>
      </c>
      <c r="E48" s="14">
        <f>(IF((VLOOKUP(Table5[[#This Row],[SKU]],'All Skus'!$A:$AC,2,FALSE))="DBX",(VLOOKUP(Table5[[#This Row],[SKU]],'All Skus'!$A:$AC,6,FALSE)),""))</f>
        <v>0</v>
      </c>
      <c r="F48">
        <f>(IF((VLOOKUP(Table5[[#This Row],[SKU]],'All Skus'!$A:$AC,2,FALSE))="DBX",(VLOOKUP(Table5[[#This Row],[SKU]],'All Skus'!$A:$AC,7,FALSE)),""))</f>
        <v>0</v>
      </c>
      <c r="G48" s="7" t="str">
        <f>(IF((VLOOKUP(Table5[[#This Row],[SKU]],'All Skus'!$A:$AC,2,FALSE))="DBX",(VLOOKUP(Table5[[#This Row],[SKU]],'All Skus'!$A:$AC,8,FALSE)),""))</f>
        <v>DriveRack</v>
      </c>
      <c r="H48" s="8" t="str">
        <f>(IF((VLOOKUP(Table5[[#This Row],[SKU]],'All Skus'!$A:$AC,2,FALSE))="DBX",(VLOOKUP(Table5[[#This Row],[SKU]],'All Skus'!$A:$AC,9,FALSE)),""))</f>
        <v>2x6 PA Management System</v>
      </c>
      <c r="I48" s="58">
        <f>(IF((VLOOKUP(Table5[[#This Row],[SKU]],'All Skus'!$A:$AC,2,FALSE))="DBX",(VLOOKUP(Table5[[#This Row],[SKU]],'All Skus'!$A:$AC,10,FALSE)),""))</f>
        <v>610.44000000000005</v>
      </c>
      <c r="J48" s="58">
        <f>(IF((VLOOKUP(Table5[[#This Row],[SKU]],'All Skus'!$A:$AC,2,FALSE))="DBX",(VLOOKUP(Table5[[#This Row],[SKU]],'All Skus'!$A:$AC,11,FALSE)),""))</f>
        <v>565</v>
      </c>
      <c r="K48" s="139">
        <f>(IF((VLOOKUP(Table5[[#This Row],[SKU]],'All Skus'!$A:$AC,2,FALSE))="DBX",(VLOOKUP(Table5[[#This Row],[SKU]],'All Skus'!$A:$AC,15,FALSE)),""))</f>
        <v>6</v>
      </c>
      <c r="L48" s="137">
        <f>(IF((VLOOKUP(Table5[[#This Row],[SKU]],'All Skus'!$A:$AC,2,FALSE))="DBX",(VLOOKUP(Table5[[#This Row],[SKU]],'All Skus'!$A:$AC,16,FALSE)),""))</f>
        <v>691991033773</v>
      </c>
      <c r="M48" s="137">
        <f>(IF((VLOOKUP(Table5[[#This Row],[SKU]],'All Skus'!$A:$AC,2,FALSE))="DBX",(VLOOKUP(Table5[[#This Row],[SKU]],'All Skus'!$A:$AC,17,FALSE)),""))</f>
        <v>0</v>
      </c>
      <c r="N48" s="136">
        <f>(IF((VLOOKUP(Table5[[#This Row],[SKU]],'All Skus'!$A:$AC,2,FALSE))="DBX",(VLOOKUP(Table5[[#This Row],[SKU]],'All Skus'!$A:$AC,18,FALSE)),""))</f>
        <v>6.5</v>
      </c>
      <c r="O48" s="136">
        <f>(IF((VLOOKUP(Table5[[#This Row],[SKU]],'All Skus'!$A:$AC,2,FALSE))="DBX",(VLOOKUP(Table5[[#This Row],[SKU]],'All Skus'!$A:$AC,19,FALSE)),""))</f>
        <v>22</v>
      </c>
      <c r="P48" s="136">
        <f>(IF((VLOOKUP(Table5[[#This Row],[SKU]],'All Skus'!$A:$AC,2,FALSE))="DBX",(VLOOKUP(Table5[[#This Row],[SKU]],'All Skus'!$A:$AC,20,FALSE)),""))</f>
        <v>4</v>
      </c>
      <c r="Q48" s="136">
        <f>(IF((VLOOKUP(Table5[[#This Row],[SKU]],'All Skus'!$A:$AC,2,FALSE))="DBX",(VLOOKUP(Table5[[#This Row],[SKU]],'All Skus'!$A:$AC,21,FALSE)),""))</f>
        <v>11.5</v>
      </c>
      <c r="R48" s="61" t="str">
        <f>(IF((VLOOKUP(Table5[[#This Row],[SKU]],'All Skus'!$A:$AC,2,FALSE))="DBX",(VLOOKUP(Table5[[#This Row],[SKU]],'All Skus'!$A:$AC,22,FALSE)),""))</f>
        <v>CN</v>
      </c>
      <c r="S48" t="str">
        <f>(IF((VLOOKUP(Table5[[#This Row],[SKU]],'All Skus'!$A:$AC,2,FALSE))="DBX",(VLOOKUP(Table5[[#This Row],[SKU]],'All Skus'!$A:$AC,23,FALSE)),""))</f>
        <v>Non Compliant</v>
      </c>
      <c r="T48" s="212" t="str">
        <f>HYPERLINK((IF((VLOOKUP(Table5[[#This Row],[SKU]],'All Skus'!$A:$AC,2,FALSE))="DBX",(VLOOKUP(Table5[[#This Row],[SKU]],'All Skus'!$A:$AC,24,FALSE)),"")))</f>
        <v>http://dbxpro.com/en-US/products/driverack-pa2</v>
      </c>
      <c r="U48" s="151">
        <v>46</v>
      </c>
    </row>
    <row r="49" spans="1:21" ht="15" customHeight="1">
      <c r="A49" s="13" t="s">
        <v>994</v>
      </c>
      <c r="B49" s="12" t="str">
        <f>(IF((VLOOKUP(Table5[[#This Row],[SKU]],'All Skus'!$A:$AC,2,FALSE))="DBX",(VLOOKUP(Table5[[#This Row],[SKU]],'All Skus'!$A:$AC,3,FALSE)),""))</f>
        <v>Production Series</v>
      </c>
      <c r="C49" s="12" t="str">
        <f>(IF((VLOOKUP(Table5[[#This Row],[SKU]],'All Skus'!$A:$AC,2,FALSE))="DBX",(VLOOKUP(Table5[[#This Row],[SKU]],'All Skus'!$A:$AC,4,FALSE)),""))</f>
        <v>PB-48</v>
      </c>
      <c r="D49" t="str">
        <f>(IF((VLOOKUP(Table5[[#This Row],[SKU]],'All Skus'!$A:$AC,2,FALSE))="DBX",(VLOOKUP(Table5[[#This Row],[SKU]],'All Skus'!$A:$AC,5,FALSE)),""))</f>
        <v>DBX-ACC</v>
      </c>
      <c r="E49" s="14">
        <f>(IF((VLOOKUP(Table5[[#This Row],[SKU]],'All Skus'!$A:$AC,2,FALSE))="DBX",(VLOOKUP(Table5[[#This Row],[SKU]],'All Skus'!$A:$AC,6,FALSE)),""))</f>
        <v>0</v>
      </c>
      <c r="F49">
        <f>(IF((VLOOKUP(Table5[[#This Row],[SKU]],'All Skus'!$A:$AC,2,FALSE))="DBX",(VLOOKUP(Table5[[#This Row],[SKU]],'All Skus'!$A:$AC,7,FALSE)),""))</f>
        <v>0</v>
      </c>
      <c r="G49" s="7" t="str">
        <f>(IF((VLOOKUP(Table5[[#This Row],[SKU]],'All Skus'!$A:$AC,2,FALSE))="DBX",(VLOOKUP(Table5[[#This Row],[SKU]],'All Skus'!$A:$AC,8,FALSE)),""))</f>
        <v>Production Series</v>
      </c>
      <c r="H49" s="8" t="str">
        <f>(IF((VLOOKUP(Table5[[#This Row],[SKU]],'All Skus'!$A:$AC,2,FALSE))="DBX",(VLOOKUP(Table5[[#This Row],[SKU]],'All Skus'!$A:$AC,9,FALSE)),""))</f>
        <v>Patch Bay</v>
      </c>
      <c r="I49" s="58">
        <f>(IF((VLOOKUP(Table5[[#This Row],[SKU]],'All Skus'!$A:$AC,2,FALSE))="DBX",(VLOOKUP(Table5[[#This Row],[SKU]],'All Skus'!$A:$AC,10,FALSE)),""))</f>
        <v>181.97</v>
      </c>
      <c r="J49" s="58">
        <f>(IF((VLOOKUP(Table5[[#This Row],[SKU]],'All Skus'!$A:$AC,2,FALSE))="DBX",(VLOOKUP(Table5[[#This Row],[SKU]],'All Skus'!$A:$AC,11,FALSE)),""))</f>
        <v>149</v>
      </c>
      <c r="K49" s="139">
        <f>(IF((VLOOKUP(Table5[[#This Row],[SKU]],'All Skus'!$A:$AC,2,FALSE))="DBX",(VLOOKUP(Table5[[#This Row],[SKU]],'All Skus'!$A:$AC,15,FALSE)),""))</f>
        <v>15</v>
      </c>
      <c r="L49" s="137">
        <f>(IF((VLOOKUP(Table5[[#This Row],[SKU]],'All Skus'!$A:$AC,2,FALSE))="DBX",(VLOOKUP(Table5[[#This Row],[SKU]],'All Skus'!$A:$AC,16,FALSE)),""))</f>
        <v>691991400445</v>
      </c>
      <c r="M49" s="137">
        <f>(IF((VLOOKUP(Table5[[#This Row],[SKU]],'All Skus'!$A:$AC,2,FALSE))="DBX",(VLOOKUP(Table5[[#This Row],[SKU]],'All Skus'!$A:$AC,17,FALSE)),""))</f>
        <v>0</v>
      </c>
      <c r="N49" s="136">
        <f>(IF((VLOOKUP(Table5[[#This Row],[SKU]],'All Skus'!$A:$AC,2,FALSE))="DBX",(VLOOKUP(Table5[[#This Row],[SKU]],'All Skus'!$A:$AC,18,FALSE)),""))</f>
        <v>2.5</v>
      </c>
      <c r="O49" s="136">
        <f>(IF((VLOOKUP(Table5[[#This Row],[SKU]],'All Skus'!$A:$AC,2,FALSE))="DBX",(VLOOKUP(Table5[[#This Row],[SKU]],'All Skus'!$A:$AC,19,FALSE)),""))</f>
        <v>20.5</v>
      </c>
      <c r="P49" s="136">
        <f>(IF((VLOOKUP(Table5[[#This Row],[SKU]],'All Skus'!$A:$AC,2,FALSE))="DBX",(VLOOKUP(Table5[[#This Row],[SKU]],'All Skus'!$A:$AC,20,FALSE)),""))</f>
        <v>2</v>
      </c>
      <c r="Q49" s="136">
        <f>(IF((VLOOKUP(Table5[[#This Row],[SKU]],'All Skus'!$A:$AC,2,FALSE))="DBX",(VLOOKUP(Table5[[#This Row],[SKU]],'All Skus'!$A:$AC,21,FALSE)),""))</f>
        <v>3.5</v>
      </c>
      <c r="R49" s="61" t="str">
        <f>(IF((VLOOKUP(Table5[[#This Row],[SKU]],'All Skus'!$A:$AC,2,FALSE))="DBX",(VLOOKUP(Table5[[#This Row],[SKU]],'All Skus'!$A:$AC,22,FALSE)),""))</f>
        <v>CN</v>
      </c>
      <c r="S49" t="str">
        <f>(IF((VLOOKUP(Table5[[#This Row],[SKU]],'All Skus'!$A:$AC,2,FALSE))="DBX",(VLOOKUP(Table5[[#This Row],[SKU]],'All Skus'!$A:$AC,23,FALSE)),""))</f>
        <v>Non Compliant</v>
      </c>
      <c r="T49" s="212" t="str">
        <f>HYPERLINK((IF((VLOOKUP(Table5[[#This Row],[SKU]],'All Skus'!$A:$AC,2,FALSE))="DBX",(VLOOKUP(Table5[[#This Row],[SKU]],'All Skus'!$A:$AC,24,FALSE)),"")))</f>
        <v>http://dbxpro.com/en-US/products/pb48</v>
      </c>
      <c r="U49" s="151">
        <v>47</v>
      </c>
    </row>
    <row r="50" spans="1:21" ht="15" customHeight="1">
      <c r="A50" s="13" t="s">
        <v>995</v>
      </c>
      <c r="B50" s="12" t="str">
        <f>(IF((VLOOKUP(Table5[[#This Row],[SKU]],'All Skus'!$A:$AC,2,FALSE))="DBX",(VLOOKUP(Table5[[#This Row],[SKU]],'All Skus'!$A:$AC,3,FALSE)),""))</f>
        <v>Personal Monitor Solutions</v>
      </c>
      <c r="C50" s="12" t="str">
        <f>(IF((VLOOKUP(Table5[[#This Row],[SKU]],'All Skus'!$A:$AC,2,FALSE))="DBX",(VLOOKUP(Table5[[#This Row],[SKU]],'All Skus'!$A:$AC,4,FALSE)),""))</f>
        <v>PMC16</v>
      </c>
      <c r="D50" t="str">
        <f>(IF((VLOOKUP(Table5[[#This Row],[SKU]],'All Skus'!$A:$AC,2,FALSE))="DBX",(VLOOKUP(Table5[[#This Row],[SKU]],'All Skus'!$A:$AC,5,FALSE)),""))</f>
        <v>DBX_PMC</v>
      </c>
      <c r="E50" s="14">
        <f>(IF((VLOOKUP(Table5[[#This Row],[SKU]],'All Skus'!$A:$AC,2,FALSE))="DBX",(VLOOKUP(Table5[[#This Row],[SKU]],'All Skus'!$A:$AC,6,FALSE)),""))</f>
        <v>0</v>
      </c>
      <c r="F50">
        <f>(IF((VLOOKUP(Table5[[#This Row],[SKU]],'All Skus'!$A:$AC,2,FALSE))="DBX",(VLOOKUP(Table5[[#This Row],[SKU]],'All Skus'!$A:$AC,7,FALSE)),""))</f>
        <v>0</v>
      </c>
      <c r="G50" s="7" t="str">
        <f>(IF((VLOOKUP(Table5[[#This Row],[SKU]],'All Skus'!$A:$AC,2,FALSE))="DBX",(VLOOKUP(Table5[[#This Row],[SKU]],'All Skus'!$A:$AC,8,FALSE)),""))</f>
        <v>Personal Monitor Solutions</v>
      </c>
      <c r="H50" s="8" t="str">
        <f>(IF((VLOOKUP(Table5[[#This Row],[SKU]],'All Skus'!$A:$AC,2,FALSE))="DBX",(VLOOKUP(Table5[[#This Row],[SKU]],'All Skus'!$A:$AC,9,FALSE)),""))</f>
        <v>16-Channel Personal Monitor Controller</v>
      </c>
      <c r="I50" s="58">
        <f>(IF((VLOOKUP(Table5[[#This Row],[SKU]],'All Skus'!$A:$AC,2,FALSE))="DBX",(VLOOKUP(Table5[[#This Row],[SKU]],'All Skus'!$A:$AC,10,FALSE)),""))</f>
        <v>808.93</v>
      </c>
      <c r="J50" s="58">
        <f>(IF((VLOOKUP(Table5[[#This Row],[SKU]],'All Skus'!$A:$AC,2,FALSE))="DBX",(VLOOKUP(Table5[[#This Row],[SKU]],'All Skus'!$A:$AC,11,FALSE)),""))</f>
        <v>649</v>
      </c>
      <c r="K50" s="139">
        <f>(IF((VLOOKUP(Table5[[#This Row],[SKU]],'All Skus'!$A:$AC,2,FALSE))="DBX",(VLOOKUP(Table5[[#This Row],[SKU]],'All Skus'!$A:$AC,15,FALSE)),""))</f>
        <v>4</v>
      </c>
      <c r="L50" s="137">
        <f>(IF((VLOOKUP(Table5[[#This Row],[SKU]],'All Skus'!$A:$AC,2,FALSE))="DBX",(VLOOKUP(Table5[[#This Row],[SKU]],'All Skus'!$A:$AC,16,FALSE)),""))</f>
        <v>691991401459</v>
      </c>
      <c r="M50" s="137">
        <f>(IF((VLOOKUP(Table5[[#This Row],[SKU]],'All Skus'!$A:$AC,2,FALSE))="DBX",(VLOOKUP(Table5[[#This Row],[SKU]],'All Skus'!$A:$AC,17,FALSE)),""))</f>
        <v>0</v>
      </c>
      <c r="N50" s="136">
        <f>(IF((VLOOKUP(Table5[[#This Row],[SKU]],'All Skus'!$A:$AC,2,FALSE))="DBX",(VLOOKUP(Table5[[#This Row],[SKU]],'All Skus'!$A:$AC,18,FALSE)),""))</f>
        <v>3.5</v>
      </c>
      <c r="O50" s="136">
        <f>(IF((VLOOKUP(Table5[[#This Row],[SKU]],'All Skus'!$A:$AC,2,FALSE))="DBX",(VLOOKUP(Table5[[#This Row],[SKU]],'All Skus'!$A:$AC,19,FALSE)),""))</f>
        <v>16</v>
      </c>
      <c r="P50" s="136">
        <f>(IF((VLOOKUP(Table5[[#This Row],[SKU]],'All Skus'!$A:$AC,2,FALSE))="DBX",(VLOOKUP(Table5[[#This Row],[SKU]],'All Skus'!$A:$AC,20,FALSE)),""))</f>
        <v>2.5</v>
      </c>
      <c r="Q50" s="136">
        <f>(IF((VLOOKUP(Table5[[#This Row],[SKU]],'All Skus'!$A:$AC,2,FALSE))="DBX",(VLOOKUP(Table5[[#This Row],[SKU]],'All Skus'!$A:$AC,21,FALSE)),""))</f>
        <v>7.5</v>
      </c>
      <c r="R50" s="61" t="str">
        <f>(IF((VLOOKUP(Table5[[#This Row],[SKU]],'All Skus'!$A:$AC,2,FALSE))="DBX",(VLOOKUP(Table5[[#This Row],[SKU]],'All Skus'!$A:$AC,22,FALSE)),""))</f>
        <v>USA</v>
      </c>
      <c r="S50" t="str">
        <f>(IF((VLOOKUP(Table5[[#This Row],[SKU]],'All Skus'!$A:$AC,2,FALSE))="DBX",(VLOOKUP(Table5[[#This Row],[SKU]],'All Skus'!$A:$AC,23,FALSE)),""))</f>
        <v>Compliant</v>
      </c>
      <c r="T50" s="212" t="str">
        <f>HYPERLINK((IF((VLOOKUP(Table5[[#This Row],[SKU]],'All Skus'!$A:$AC,2,FALSE))="DBX",(VLOOKUP(Table5[[#This Row],[SKU]],'All Skus'!$A:$AC,24,FALSE)),"")))</f>
        <v>http://dbxpro.com/en-US/products/pmc16</v>
      </c>
      <c r="U50" s="151">
        <v>48</v>
      </c>
    </row>
    <row r="51" spans="1:21" ht="15" customHeight="1">
      <c r="A51" s="13" t="s">
        <v>996</v>
      </c>
      <c r="B51" s="12">
        <f>(IF((VLOOKUP(Table5[[#This Row],[SKU]],'All Skus'!$A:$AC,2,FALSE))="DBX",(VLOOKUP(Table5[[#This Row],[SKU]],'All Skus'!$A:$AC,3,FALSE)),""))</f>
        <v>0</v>
      </c>
      <c r="C51" s="12" t="str">
        <f>(IF((VLOOKUP(Table5[[#This Row],[SKU]],'All Skus'!$A:$AC,2,FALSE))="DBX",(VLOOKUP(Table5[[#This Row],[SKU]],'All Skus'!$A:$AC,4,FALSE)),""))</f>
        <v>DBXPS6</v>
      </c>
      <c r="D51" t="str">
        <f>(IF((VLOOKUP(Table5[[#This Row],[SKU]],'All Skus'!$A:$AC,2,FALSE))="DBX",(VLOOKUP(Table5[[#This Row],[SKU]],'All Skus'!$A:$AC,5,FALSE)),""))</f>
        <v>DBX_PMC</v>
      </c>
      <c r="E51" s="14">
        <f>(IF((VLOOKUP(Table5[[#This Row],[SKU]],'All Skus'!$A:$AC,2,FALSE))="DBX",(VLOOKUP(Table5[[#This Row],[SKU]],'All Skus'!$A:$AC,6,FALSE)),""))</f>
        <v>0</v>
      </c>
      <c r="F51">
        <f>(IF((VLOOKUP(Table5[[#This Row],[SKU]],'All Skus'!$A:$AC,2,FALSE))="DBX",(VLOOKUP(Table5[[#This Row],[SKU]],'All Skus'!$A:$AC,7,FALSE)),""))</f>
        <v>0</v>
      </c>
      <c r="G51" s="7">
        <f>(IF((VLOOKUP(Table5[[#This Row],[SKU]],'All Skus'!$A:$AC,2,FALSE))="DBX",(VLOOKUP(Table5[[#This Row],[SKU]],'All Skus'!$A:$AC,8,FALSE)),""))</f>
        <v>0</v>
      </c>
      <c r="H51" s="8" t="str">
        <f>(IF((VLOOKUP(Table5[[#This Row],[SKU]],'All Skus'!$A:$AC,2,FALSE))="DBX",(VLOOKUP(Table5[[#This Row],[SKU]],'All Skus'!$A:$AC,9,FALSE)),""))</f>
        <v>DBX,PS6 6 OUT 12V PWR SUPPLY FOR DBX PMC</v>
      </c>
      <c r="I51" s="58">
        <f>(IF((VLOOKUP(Table5[[#This Row],[SKU]],'All Skus'!$A:$AC,2,FALSE))="DBX",(VLOOKUP(Table5[[#This Row],[SKU]],'All Skus'!$A:$AC,10,FALSE)),""))</f>
        <v>610.14</v>
      </c>
      <c r="J51" s="58">
        <f>(IF((VLOOKUP(Table5[[#This Row],[SKU]],'All Skus'!$A:$AC,2,FALSE))="DBX",(VLOOKUP(Table5[[#This Row],[SKU]],'All Skus'!$A:$AC,11,FALSE)),""))</f>
        <v>499</v>
      </c>
      <c r="K51" s="139">
        <f>(IF((VLOOKUP(Table5[[#This Row],[SKU]],'All Skus'!$A:$AC,2,FALSE))="DBX",(VLOOKUP(Table5[[#This Row],[SKU]],'All Skus'!$A:$AC,15,FALSE)),""))</f>
        <v>0</v>
      </c>
      <c r="L51" s="137">
        <f>(IF((VLOOKUP(Table5[[#This Row],[SKU]],'All Skus'!$A:$AC,2,FALSE))="DBX",(VLOOKUP(Table5[[#This Row],[SKU]],'All Skus'!$A:$AC,16,FALSE)),""))</f>
        <v>691991401473</v>
      </c>
      <c r="M51" s="137">
        <f>(IF((VLOOKUP(Table5[[#This Row],[SKU]],'All Skus'!$A:$AC,2,FALSE))="DBX",(VLOOKUP(Table5[[#This Row],[SKU]],'All Skus'!$A:$AC,17,FALSE)),""))</f>
        <v>0</v>
      </c>
      <c r="N51" s="136">
        <f>(IF((VLOOKUP(Table5[[#This Row],[SKU]],'All Skus'!$A:$AC,2,FALSE))="DBX",(VLOOKUP(Table5[[#This Row],[SKU]],'All Skus'!$A:$AC,18,FALSE)),""))</f>
        <v>4</v>
      </c>
      <c r="O51" s="136">
        <f>(IF((VLOOKUP(Table5[[#This Row],[SKU]],'All Skus'!$A:$AC,2,FALSE))="DBX",(VLOOKUP(Table5[[#This Row],[SKU]],'All Skus'!$A:$AC,19,FALSE)),""))</f>
        <v>11.25</v>
      </c>
      <c r="P51" s="136">
        <f>(IF((VLOOKUP(Table5[[#This Row],[SKU]],'All Skus'!$A:$AC,2,FALSE))="DBX",(VLOOKUP(Table5[[#This Row],[SKU]],'All Skus'!$A:$AC,20,FALSE)),""))</f>
        <v>2.5</v>
      </c>
      <c r="Q51" s="136">
        <f>(IF((VLOOKUP(Table5[[#This Row],[SKU]],'All Skus'!$A:$AC,2,FALSE))="DBX",(VLOOKUP(Table5[[#This Row],[SKU]],'All Skus'!$A:$AC,21,FALSE)),""))</f>
        <v>8.25</v>
      </c>
      <c r="R51" s="61" t="str">
        <f>(IF((VLOOKUP(Table5[[#This Row],[SKU]],'All Skus'!$A:$AC,2,FALSE))="DBX",(VLOOKUP(Table5[[#This Row],[SKU]],'All Skus'!$A:$AC,22,FALSE)),""))</f>
        <v>CN</v>
      </c>
      <c r="S51" t="str">
        <f>(IF((VLOOKUP(Table5[[#This Row],[SKU]],'All Skus'!$A:$AC,2,FALSE))="DBX",(VLOOKUP(Table5[[#This Row],[SKU]],'All Skus'!$A:$AC,23,FALSE)),""))</f>
        <v>Non Compliant</v>
      </c>
      <c r="T51" s="212" t="str">
        <f>HYPERLINK((IF((VLOOKUP(Table5[[#This Row],[SKU]],'All Skus'!$A:$AC,2,FALSE))="DBX",(VLOOKUP(Table5[[#This Row],[SKU]],'All Skus'!$A:$AC,24,FALSE)),"")))</f>
        <v>https://dbxpro.com/en/products/ps6</v>
      </c>
      <c r="U51" s="151">
        <v>49</v>
      </c>
    </row>
    <row r="52" spans="1:21" ht="15" customHeight="1">
      <c r="A52" s="13" t="s">
        <v>997</v>
      </c>
      <c r="B52" s="12" t="str">
        <f>(IF((VLOOKUP(Table5[[#This Row],[SKU]],'All Skus'!$A:$AC,2,FALSE))="DBX",(VLOOKUP(Table5[[#This Row],[SKU]],'All Skus'!$A:$AC,3,FALSE)),""))</f>
        <v>Accessories</v>
      </c>
      <c r="C52" s="12" t="str">
        <f>(IF((VLOOKUP(Table5[[#This Row],[SKU]],'All Skus'!$A:$AC,2,FALSE))="DBX",(VLOOKUP(Table5[[#This Row],[SKU]],'All Skus'!$A:$AC,4,FALSE)),""))</f>
        <v>RTA-M</v>
      </c>
      <c r="D52" t="str">
        <f>(IF((VLOOKUP(Table5[[#This Row],[SKU]],'All Skus'!$A:$AC,2,FALSE))="DBX",(VLOOKUP(Table5[[#This Row],[SKU]],'All Skus'!$A:$AC,5,FALSE)),""))</f>
        <v>DBX-ACC</v>
      </c>
      <c r="E52" s="14">
        <f>(IF((VLOOKUP(Table5[[#This Row],[SKU]],'All Skus'!$A:$AC,2,FALSE))="DBX",(VLOOKUP(Table5[[#This Row],[SKU]],'All Skus'!$A:$AC,6,FALSE)),""))</f>
        <v>0</v>
      </c>
      <c r="F52">
        <f>(IF((VLOOKUP(Table5[[#This Row],[SKU]],'All Skus'!$A:$AC,2,FALSE))="DBX",(VLOOKUP(Table5[[#This Row],[SKU]],'All Skus'!$A:$AC,7,FALSE)),""))</f>
        <v>0</v>
      </c>
      <c r="G52" s="7" t="str">
        <f>(IF((VLOOKUP(Table5[[#This Row],[SKU]],'All Skus'!$A:$AC,2,FALSE))="DBX",(VLOOKUP(Table5[[#This Row],[SKU]],'All Skus'!$A:$AC,8,FALSE)),""))</f>
        <v>Accessories</v>
      </c>
      <c r="H52" s="8" t="str">
        <f>(IF((VLOOKUP(Table5[[#This Row],[SKU]],'All Skus'!$A:$AC,2,FALSE))="DBX",(VLOOKUP(Table5[[#This Row],[SKU]],'All Skus'!$A:$AC,9,FALSE)),""))</f>
        <v>DriveRack RTA Mic w/clip</v>
      </c>
      <c r="I52" s="58">
        <f>(IF((VLOOKUP(Table5[[#This Row],[SKU]],'All Skus'!$A:$AC,2,FALSE))="DBX",(VLOOKUP(Table5[[#This Row],[SKU]],'All Skus'!$A:$AC,10,FALSE)),""))</f>
        <v>166.68</v>
      </c>
      <c r="J52" s="58">
        <f>(IF((VLOOKUP(Table5[[#This Row],[SKU]],'All Skus'!$A:$AC,2,FALSE))="DBX",(VLOOKUP(Table5[[#This Row],[SKU]],'All Skus'!$A:$AC,11,FALSE)),""))</f>
        <v>129</v>
      </c>
      <c r="K52" s="139">
        <f>(IF((VLOOKUP(Table5[[#This Row],[SKU]],'All Skus'!$A:$AC,2,FALSE))="DBX",(VLOOKUP(Table5[[#This Row],[SKU]],'All Skus'!$A:$AC,15,FALSE)),""))</f>
        <v>20</v>
      </c>
      <c r="L52" s="137">
        <f>(IF((VLOOKUP(Table5[[#This Row],[SKU]],'All Skus'!$A:$AC,2,FALSE))="DBX",(VLOOKUP(Table5[[#This Row],[SKU]],'All Skus'!$A:$AC,16,FALSE)),""))</f>
        <v>691991400421</v>
      </c>
      <c r="M52" s="137">
        <f>(IF((VLOOKUP(Table5[[#This Row],[SKU]],'All Skus'!$A:$AC,2,FALSE))="DBX",(VLOOKUP(Table5[[#This Row],[SKU]],'All Skus'!$A:$AC,17,FALSE)),""))</f>
        <v>0</v>
      </c>
      <c r="N52" s="136">
        <f>(IF((VLOOKUP(Table5[[#This Row],[SKU]],'All Skus'!$A:$AC,2,FALSE))="DBX",(VLOOKUP(Table5[[#This Row],[SKU]],'All Skus'!$A:$AC,18,FALSE)),""))</f>
        <v>1.5</v>
      </c>
      <c r="O52" s="136">
        <f>(IF((VLOOKUP(Table5[[#This Row],[SKU]],'All Skus'!$A:$AC,2,FALSE))="DBX",(VLOOKUP(Table5[[#This Row],[SKU]],'All Skus'!$A:$AC,19,FALSE)),""))</f>
        <v>12</v>
      </c>
      <c r="P52" s="136">
        <f>(IF((VLOOKUP(Table5[[#This Row],[SKU]],'All Skus'!$A:$AC,2,FALSE))="DBX",(VLOOKUP(Table5[[#This Row],[SKU]],'All Skus'!$A:$AC,20,FALSE)),""))</f>
        <v>3.5</v>
      </c>
      <c r="Q52" s="136">
        <f>(IF((VLOOKUP(Table5[[#This Row],[SKU]],'All Skus'!$A:$AC,2,FALSE))="DBX",(VLOOKUP(Table5[[#This Row],[SKU]],'All Skus'!$A:$AC,21,FALSE)),""))</f>
        <v>7</v>
      </c>
      <c r="R52" s="61" t="str">
        <f>(IF((VLOOKUP(Table5[[#This Row],[SKU]],'All Skus'!$A:$AC,2,FALSE))="DBX",(VLOOKUP(Table5[[#This Row],[SKU]],'All Skus'!$A:$AC,22,FALSE)),""))</f>
        <v>CN</v>
      </c>
      <c r="S52" t="str">
        <f>(IF((VLOOKUP(Table5[[#This Row],[SKU]],'All Skus'!$A:$AC,2,FALSE))="DBX",(VLOOKUP(Table5[[#This Row],[SKU]],'All Skus'!$A:$AC,23,FALSE)),""))</f>
        <v>Non Compliant</v>
      </c>
      <c r="T52" s="212" t="str">
        <f>HYPERLINK((IF((VLOOKUP(Table5[[#This Row],[SKU]],'All Skus'!$A:$AC,2,FALSE))="DBX",(VLOOKUP(Table5[[#This Row],[SKU]],'All Skus'!$A:$AC,24,FALSE)),"")))</f>
        <v>http://dbxpro.com/en-US/products/rta-m</v>
      </c>
      <c r="U52" s="151">
        <v>50</v>
      </c>
    </row>
    <row r="53" spans="1:21" ht="15" customHeight="1">
      <c r="A53" s="13" t="s">
        <v>998</v>
      </c>
      <c r="B53" s="12" t="str">
        <f>(IF((VLOOKUP(Table5[[#This Row],[SKU]],'All Skus'!$A:$AC,2,FALSE))="DBX",(VLOOKUP(Table5[[#This Row],[SKU]],'All Skus'!$A:$AC,3,FALSE)),""))</f>
        <v>DriveRack</v>
      </c>
      <c r="C53" s="12" t="str">
        <f>(IF((VLOOKUP(Table5[[#This Row],[SKU]],'All Skus'!$A:$AC,2,FALSE))="DBX",(VLOOKUP(Table5[[#This Row],[SKU]],'All Skus'!$A:$AC,4,FALSE)),""))</f>
        <v>VENU360</v>
      </c>
      <c r="D53" t="str">
        <f>(IF((VLOOKUP(Table5[[#This Row],[SKU]],'All Skus'!$A:$AC,2,FALSE))="DBX",(VLOOKUP(Table5[[#This Row],[SKU]],'All Skus'!$A:$AC,5,FALSE)),""))</f>
        <v>DBX_PSR</v>
      </c>
      <c r="E53" s="14">
        <f>(IF((VLOOKUP(Table5[[#This Row],[SKU]],'All Skus'!$A:$AC,2,FALSE))="DBX",(VLOOKUP(Table5[[#This Row],[SKU]],'All Skus'!$A:$AC,6,FALSE)),""))</f>
        <v>0</v>
      </c>
      <c r="F53" t="str">
        <f>(IF((VLOOKUP(Table5[[#This Row],[SKU]],'All Skus'!$A:$AC,2,FALSE))="DBX",(VLOOKUP(Table5[[#This Row],[SKU]],'All Skus'!$A:$AC,7,FALSE)),""))</f>
        <v>NEW</v>
      </c>
      <c r="G53" s="7" t="str">
        <f>(IF((VLOOKUP(Table5[[#This Row],[SKU]],'All Skus'!$A:$AC,2,FALSE))="DBX",(VLOOKUP(Table5[[#This Row],[SKU]],'All Skus'!$A:$AC,8,FALSE)),""))</f>
        <v>DriveRack</v>
      </c>
      <c r="H53" s="8" t="str">
        <f>(IF((VLOOKUP(Table5[[#This Row],[SKU]],'All Skus'!$A:$AC,2,FALSE))="DBX",(VLOOKUP(Table5[[#This Row],[SKU]],'All Skus'!$A:$AC,9,FALSE)),""))</f>
        <v>3X6 Loudspeaker Management System</v>
      </c>
      <c r="I53" s="58">
        <f>(IF((VLOOKUP(Table5[[#This Row],[SKU]],'All Skus'!$A:$AC,2,FALSE))="DBX",(VLOOKUP(Table5[[#This Row],[SKU]],'All Skus'!$A:$AC,10,FALSE)),""))</f>
        <v>1222.1099999999999</v>
      </c>
      <c r="J53" s="58">
        <f>(IF((VLOOKUP(Table5[[#This Row],[SKU]],'All Skus'!$A:$AC,2,FALSE))="DBX",(VLOOKUP(Table5[[#This Row],[SKU]],'All Skus'!$A:$AC,11,FALSE)),""))</f>
        <v>1119</v>
      </c>
      <c r="K53" s="139">
        <f>(IF((VLOOKUP(Table5[[#This Row],[SKU]],'All Skus'!$A:$AC,2,FALSE))="DBX",(VLOOKUP(Table5[[#This Row],[SKU]],'All Skus'!$A:$AC,15,FALSE)),""))</f>
        <v>1</v>
      </c>
      <c r="L53" s="137">
        <f>(IF((VLOOKUP(Table5[[#This Row],[SKU]],'All Skus'!$A:$AC,2,FALSE))="DBX",(VLOOKUP(Table5[[#This Row],[SKU]],'All Skus'!$A:$AC,16,FALSE)),""))</f>
        <v>691991401497</v>
      </c>
      <c r="M53" s="137">
        <f>(IF((VLOOKUP(Table5[[#This Row],[SKU]],'All Skus'!$A:$AC,2,FALSE))="DBX",(VLOOKUP(Table5[[#This Row],[SKU]],'All Skus'!$A:$AC,17,FALSE)),""))</f>
        <v>0</v>
      </c>
      <c r="N53" s="136">
        <f>(IF((VLOOKUP(Table5[[#This Row],[SKU]],'All Skus'!$A:$AC,2,FALSE))="DBX",(VLOOKUP(Table5[[#This Row],[SKU]],'All Skus'!$A:$AC,18,FALSE)),""))</f>
        <v>7.5</v>
      </c>
      <c r="O53" s="136">
        <f>(IF((VLOOKUP(Table5[[#This Row],[SKU]],'All Skus'!$A:$AC,2,FALSE))="DBX",(VLOOKUP(Table5[[#This Row],[SKU]],'All Skus'!$A:$AC,19,FALSE)),""))</f>
        <v>22</v>
      </c>
      <c r="P53" s="136">
        <f>(IF((VLOOKUP(Table5[[#This Row],[SKU]],'All Skus'!$A:$AC,2,FALSE))="DBX",(VLOOKUP(Table5[[#This Row],[SKU]],'All Skus'!$A:$AC,20,FALSE)),""))</f>
        <v>3.65</v>
      </c>
      <c r="Q53" s="136">
        <f>(IF((VLOOKUP(Table5[[#This Row],[SKU]],'All Skus'!$A:$AC,2,FALSE))="DBX",(VLOOKUP(Table5[[#This Row],[SKU]],'All Skus'!$A:$AC,21,FALSE)),""))</f>
        <v>11.25</v>
      </c>
      <c r="R53" s="61" t="str">
        <f>(IF((VLOOKUP(Table5[[#This Row],[SKU]],'All Skus'!$A:$AC,2,FALSE))="DBX",(VLOOKUP(Table5[[#This Row],[SKU]],'All Skus'!$A:$AC,22,FALSE)),""))</f>
        <v>CN</v>
      </c>
      <c r="S53" t="str">
        <f>(IF((VLOOKUP(Table5[[#This Row],[SKU]],'All Skus'!$A:$AC,2,FALSE))="DBX",(VLOOKUP(Table5[[#This Row],[SKU]],'All Skus'!$A:$AC,23,FALSE)),""))</f>
        <v>Compliant</v>
      </c>
      <c r="T53" s="212" t="str">
        <f>HYPERLINK((IF((VLOOKUP(Table5[[#This Row],[SKU]],'All Skus'!$A:$AC,2,FALSE))="DBX",(VLOOKUP(Table5[[#This Row],[SKU]],'All Skus'!$A:$AC,24,FALSE)),"")))</f>
        <v>http://dbxpro.com/en-US/products/driverack-venu360</v>
      </c>
      <c r="U53" s="151">
        <v>51</v>
      </c>
    </row>
    <row r="54" spans="1:21" ht="15" customHeight="1">
      <c r="A54" s="48" t="s">
        <v>999</v>
      </c>
      <c r="B54" s="12" t="str">
        <f>(IF((VLOOKUP(Table5[[#This Row],[SKU]],'All Skus'!$A:$AC,2,FALSE))="DBX",(VLOOKUP(Table5[[#This Row],[SKU]],'All Skus'!$A:$AC,3,FALSE)),""))</f>
        <v>DriveRack</v>
      </c>
      <c r="C54" s="12" t="str">
        <f>(IF((VLOOKUP(Table5[[#This Row],[SKU]],'All Skus'!$A:$AC,2,FALSE))="DBX",(VLOOKUP(Table5[[#This Row],[SKU]],'All Skus'!$A:$AC,4,FALSE)),""))</f>
        <v>VENU360</v>
      </c>
      <c r="D54" t="str">
        <f>(IF((VLOOKUP(Table5[[#This Row],[SKU]],'All Skus'!$A:$AC,2,FALSE))="DBX",(VLOOKUP(Table5[[#This Row],[SKU]],'All Skus'!$A:$AC,5,FALSE)),""))</f>
        <v>DBX_PSR</v>
      </c>
      <c r="E54" s="14">
        <f>(IF((VLOOKUP(Table5[[#This Row],[SKU]],'All Skus'!$A:$AC,2,FALSE))="DBX",(VLOOKUP(Table5[[#This Row],[SKU]],'All Skus'!$A:$AC,6,FALSE)),""))</f>
        <v>0</v>
      </c>
      <c r="F54" t="str">
        <f>(IF((VLOOKUP(Table5[[#This Row],[SKU]],'All Skus'!$A:$AC,2,FALSE))="DBX",(VLOOKUP(Table5[[#This Row],[SKU]],'All Skus'!$A:$AC,7,FALSE)),""))</f>
        <v>NEW</v>
      </c>
      <c r="G54" s="7" t="str">
        <f>(IF((VLOOKUP(Table5[[#This Row],[SKU]],'All Skus'!$A:$AC,2,FALSE))="DBX",(VLOOKUP(Table5[[#This Row],[SKU]],'All Skus'!$A:$AC,8,FALSE)),""))</f>
        <v>DriveRack</v>
      </c>
      <c r="H54" s="8" t="str">
        <f>(IF((VLOOKUP(Table5[[#This Row],[SKU]],'All Skus'!$A:$AC,2,FALSE))="DBX",(VLOOKUP(Table5[[#This Row],[SKU]],'All Skus'!$A:$AC,9,FALSE)),""))</f>
        <v>3X6 Loudspeaker Management System</v>
      </c>
      <c r="I54" s="58">
        <f>(IF((VLOOKUP(Table5[[#This Row],[SKU]],'All Skus'!$A:$AC,2,FALSE))="DBX",(VLOOKUP(Table5[[#This Row],[SKU]],'All Skus'!$A:$AC,10,FALSE)),""))</f>
        <v>1222.1099999999999</v>
      </c>
      <c r="J54" s="58">
        <f>(IF((VLOOKUP(Table5[[#This Row],[SKU]],'All Skus'!$A:$AC,2,FALSE))="DBX",(VLOOKUP(Table5[[#This Row],[SKU]],'All Skus'!$A:$AC,11,FALSE)),""))</f>
        <v>1119</v>
      </c>
      <c r="K54" s="139">
        <f>(IF((VLOOKUP(Table5[[#This Row],[SKU]],'All Skus'!$A:$AC,2,FALSE))="DBX",(VLOOKUP(Table5[[#This Row],[SKU]],'All Skus'!$A:$AC,15,FALSE)),""))</f>
        <v>1</v>
      </c>
      <c r="L54" s="137">
        <f>(IF((VLOOKUP(Table5[[#This Row],[SKU]],'All Skus'!$A:$AC,2,FALSE))="DBX",(VLOOKUP(Table5[[#This Row],[SKU]],'All Skus'!$A:$AC,16,FALSE)),""))</f>
        <v>691991401497</v>
      </c>
      <c r="M54" s="137">
        <f>(IF((VLOOKUP(Table5[[#This Row],[SKU]],'All Skus'!$A:$AC,2,FALSE))="DBX",(VLOOKUP(Table5[[#This Row],[SKU]],'All Skus'!$A:$AC,17,FALSE)),""))</f>
        <v>0</v>
      </c>
      <c r="N54" s="136">
        <f>(IF((VLOOKUP(Table5[[#This Row],[SKU]],'All Skus'!$A:$AC,2,FALSE))="DBX",(VLOOKUP(Table5[[#This Row],[SKU]],'All Skus'!$A:$AC,18,FALSE)),""))</f>
        <v>7.5</v>
      </c>
      <c r="O54" s="136">
        <f>(IF((VLOOKUP(Table5[[#This Row],[SKU]],'All Skus'!$A:$AC,2,FALSE))="DBX",(VLOOKUP(Table5[[#This Row],[SKU]],'All Skus'!$A:$AC,19,FALSE)),""))</f>
        <v>22</v>
      </c>
      <c r="P54" s="136">
        <f>(IF((VLOOKUP(Table5[[#This Row],[SKU]],'All Skus'!$A:$AC,2,FALSE))="DBX",(VLOOKUP(Table5[[#This Row],[SKU]],'All Skus'!$A:$AC,20,FALSE)),""))</f>
        <v>3.65</v>
      </c>
      <c r="Q54" s="136">
        <f>(IF((VLOOKUP(Table5[[#This Row],[SKU]],'All Skus'!$A:$AC,2,FALSE))="DBX",(VLOOKUP(Table5[[#This Row],[SKU]],'All Skus'!$A:$AC,21,FALSE)),""))</f>
        <v>11.25</v>
      </c>
      <c r="R54" s="61" t="str">
        <f>(IF((VLOOKUP(Table5[[#This Row],[SKU]],'All Skus'!$A:$AC,2,FALSE))="DBX",(VLOOKUP(Table5[[#This Row],[SKU]],'All Skus'!$A:$AC,22,FALSE)),""))</f>
        <v>CN</v>
      </c>
      <c r="S54" t="str">
        <f>(IF((VLOOKUP(Table5[[#This Row],[SKU]],'All Skus'!$A:$AC,2,FALSE))="DBX",(VLOOKUP(Table5[[#This Row],[SKU]],'All Skus'!$A:$AC,23,FALSE)),""))</f>
        <v>Compliant</v>
      </c>
      <c r="T54" s="212" t="str">
        <f>HYPERLINK((IF((VLOOKUP(Table5[[#This Row],[SKU]],'All Skus'!$A:$AC,2,FALSE))="DBX",(VLOOKUP(Table5[[#This Row],[SKU]],'All Skus'!$A:$AC,24,FALSE)),"")))</f>
        <v>http://dbxpro.com/en-US/products/driverack-venu360</v>
      </c>
      <c r="U54" s="151">
        <v>52</v>
      </c>
    </row>
    <row r="55" spans="1:21" ht="15" customHeight="1">
      <c r="A55" s="13" t="s">
        <v>1000</v>
      </c>
      <c r="B55" s="12" t="str">
        <f>(IF((VLOOKUP(Table5[[#This Row],[SKU]],'All Skus'!$A:$AC,2,FALSE))="DBX",(VLOOKUP(Table5[[#This Row],[SKU]],'All Skus'!$A:$AC,3,FALSE)),""))</f>
        <v>Zone Controller</v>
      </c>
      <c r="C55" s="12" t="str">
        <f>(IF((VLOOKUP(Table5[[#This Row],[SKU]],'All Skus'!$A:$AC,2,FALSE))="DBX",(VLOOKUP(Table5[[#This Row],[SKU]],'All Skus'!$A:$AC,4,FALSE)),""))</f>
        <v>ZC-1</v>
      </c>
      <c r="D55" t="str">
        <f>(IF((VLOOKUP(Table5[[#This Row],[SKU]],'All Skus'!$A:$AC,2,FALSE))="DBX",(VLOOKUP(Table5[[#This Row],[SKU]],'All Skus'!$A:$AC,5,FALSE)),""))</f>
        <v>DBX_ZONEP</v>
      </c>
      <c r="E55" s="14">
        <f>(IF((VLOOKUP(Table5[[#This Row],[SKU]],'All Skus'!$A:$AC,2,FALSE))="DBX",(VLOOKUP(Table5[[#This Row],[SKU]],'All Skus'!$A:$AC,6,FALSE)),""))</f>
        <v>0</v>
      </c>
      <c r="F55">
        <f>(IF((VLOOKUP(Table5[[#This Row],[SKU]],'All Skus'!$A:$AC,2,FALSE))="DBX",(VLOOKUP(Table5[[#This Row],[SKU]],'All Skus'!$A:$AC,7,FALSE)),""))</f>
        <v>0</v>
      </c>
      <c r="G55" s="7" t="str">
        <f>(IF((VLOOKUP(Table5[[#This Row],[SKU]],'All Skus'!$A:$AC,2,FALSE))="DBX",(VLOOKUP(Table5[[#This Row],[SKU]],'All Skus'!$A:$AC,8,FALSE)),""))</f>
        <v>Zone Controller</v>
      </c>
      <c r="H55" s="8" t="str">
        <f>(IF((VLOOKUP(Table5[[#This Row],[SKU]],'All Skus'!$A:$AC,2,FALSE))="DBX",(VLOOKUP(Table5[[#This Row],[SKU]],'All Skus'!$A:$AC,9,FALSE)),""))</f>
        <v>ZC 1 Wall Mounted, Programmable Zone Controller</v>
      </c>
      <c r="I55" s="58">
        <f>(IF((VLOOKUP(Table5[[#This Row],[SKU]],'All Skus'!$A:$AC,2,FALSE))="DBX",(VLOOKUP(Table5[[#This Row],[SKU]],'All Skus'!$A:$AC,10,FALSE)),""))</f>
        <v>83.19</v>
      </c>
      <c r="J55" s="58">
        <f>(IF((VLOOKUP(Table5[[#This Row],[SKU]],'All Skus'!$A:$AC,2,FALSE))="DBX",(VLOOKUP(Table5[[#This Row],[SKU]],'All Skus'!$A:$AC,11,FALSE)),""))</f>
        <v>75</v>
      </c>
      <c r="K55" s="139">
        <f>(IF((VLOOKUP(Table5[[#This Row],[SKU]],'All Skus'!$A:$AC,2,FALSE))="DBX",(VLOOKUP(Table5[[#This Row],[SKU]],'All Skus'!$A:$AC,15,FALSE)),""))</f>
        <v>4</v>
      </c>
      <c r="L55" s="137">
        <f>(IF((VLOOKUP(Table5[[#This Row],[SKU]],'All Skus'!$A:$AC,2,FALSE))="DBX",(VLOOKUP(Table5[[#This Row],[SKU]],'All Skus'!$A:$AC,16,FALSE)),""))</f>
        <v>691991400667</v>
      </c>
      <c r="M55" s="137">
        <f>(IF((VLOOKUP(Table5[[#This Row],[SKU]],'All Skus'!$A:$AC,2,FALSE))="DBX",(VLOOKUP(Table5[[#This Row],[SKU]],'All Skus'!$A:$AC,17,FALSE)),""))</f>
        <v>0</v>
      </c>
      <c r="N55" s="136">
        <f>(IF((VLOOKUP(Table5[[#This Row],[SKU]],'All Skus'!$A:$AC,2,FALSE))="DBX",(VLOOKUP(Table5[[#This Row],[SKU]],'All Skus'!$A:$AC,18,FALSE)),""))</f>
        <v>0.5</v>
      </c>
      <c r="O55" s="136">
        <f>(IF((VLOOKUP(Table5[[#This Row],[SKU]],'All Skus'!$A:$AC,2,FALSE))="DBX",(VLOOKUP(Table5[[#This Row],[SKU]],'All Skus'!$A:$AC,19,FALSE)),""))</f>
        <v>6.75</v>
      </c>
      <c r="P55" s="136">
        <f>(IF((VLOOKUP(Table5[[#This Row],[SKU]],'All Skus'!$A:$AC,2,FALSE))="DBX",(VLOOKUP(Table5[[#This Row],[SKU]],'All Skus'!$A:$AC,20,FALSE)),""))</f>
        <v>5.5</v>
      </c>
      <c r="Q55" s="136">
        <f>(IF((VLOOKUP(Table5[[#This Row],[SKU]],'All Skus'!$A:$AC,2,FALSE))="DBX",(VLOOKUP(Table5[[#This Row],[SKU]],'All Skus'!$A:$AC,21,FALSE)),""))</f>
        <v>3.25</v>
      </c>
      <c r="R55" s="61" t="str">
        <f>(IF((VLOOKUP(Table5[[#This Row],[SKU]],'All Skus'!$A:$AC,2,FALSE))="DBX",(VLOOKUP(Table5[[#This Row],[SKU]],'All Skus'!$A:$AC,22,FALSE)),""))</f>
        <v>CN</v>
      </c>
      <c r="S55" t="str">
        <f>(IF((VLOOKUP(Table5[[#This Row],[SKU]],'All Skus'!$A:$AC,2,FALSE))="DBX",(VLOOKUP(Table5[[#This Row],[SKU]],'All Skus'!$A:$AC,23,FALSE)),""))</f>
        <v>Non Compliant</v>
      </c>
      <c r="T55" s="212" t="str">
        <f>HYPERLINK((IF((VLOOKUP(Table5[[#This Row],[SKU]],'All Skus'!$A:$AC,2,FALSE))="DBX",(VLOOKUP(Table5[[#This Row],[SKU]],'All Skus'!$A:$AC,24,FALSE)),"")))</f>
        <v>http://dbxpro.com/en-US/products/zc1</v>
      </c>
      <c r="U55" s="151">
        <v>53</v>
      </c>
    </row>
    <row r="56" spans="1:21" ht="15" customHeight="1">
      <c r="A56" s="13" t="s">
        <v>1001</v>
      </c>
      <c r="B56" s="12" t="str">
        <f>(IF((VLOOKUP(Table5[[#This Row],[SKU]],'All Skus'!$A:$AC,2,FALSE))="DBX",(VLOOKUP(Table5[[#This Row],[SKU]],'All Skus'!$A:$AC,3,FALSE)),""))</f>
        <v>Zone Controller</v>
      </c>
      <c r="C56" s="12" t="str">
        <f>(IF((VLOOKUP(Table5[[#This Row],[SKU]],'All Skus'!$A:$AC,2,FALSE))="DBX",(VLOOKUP(Table5[[#This Row],[SKU]],'All Skus'!$A:$AC,4,FALSE)),""))</f>
        <v>ZC-2</v>
      </c>
      <c r="D56" t="str">
        <f>(IF((VLOOKUP(Table5[[#This Row],[SKU]],'All Skus'!$A:$AC,2,FALSE))="DBX",(VLOOKUP(Table5[[#This Row],[SKU]],'All Skus'!$A:$AC,5,FALSE)),""))</f>
        <v>DBX_ZONEP</v>
      </c>
      <c r="E56" s="14">
        <f>(IF((VLOOKUP(Table5[[#This Row],[SKU]],'All Skus'!$A:$AC,2,FALSE))="DBX",(VLOOKUP(Table5[[#This Row],[SKU]],'All Skus'!$A:$AC,6,FALSE)),""))</f>
        <v>0</v>
      </c>
      <c r="F56">
        <f>(IF((VLOOKUP(Table5[[#This Row],[SKU]],'All Skus'!$A:$AC,2,FALSE))="DBX",(VLOOKUP(Table5[[#This Row],[SKU]],'All Skus'!$A:$AC,7,FALSE)),""))</f>
        <v>0</v>
      </c>
      <c r="G56" s="7" t="str">
        <f>(IF((VLOOKUP(Table5[[#This Row],[SKU]],'All Skus'!$A:$AC,2,FALSE))="DBX",(VLOOKUP(Table5[[#This Row],[SKU]],'All Skus'!$A:$AC,8,FALSE)),""))</f>
        <v>Zone Controller</v>
      </c>
      <c r="H56" s="8" t="str">
        <f>(IF((VLOOKUP(Table5[[#This Row],[SKU]],'All Skus'!$A:$AC,2,FALSE))="DBX",(VLOOKUP(Table5[[#This Row],[SKU]],'All Skus'!$A:$AC,9,FALSE)),""))</f>
        <v>ZC 2 Wall Mounted, Programmable Zone Controller</v>
      </c>
      <c r="I56" s="58">
        <f>(IF((VLOOKUP(Table5[[#This Row],[SKU]],'All Skus'!$A:$AC,2,FALSE))="DBX",(VLOOKUP(Table5[[#This Row],[SKU]],'All Skus'!$A:$AC,10,FALSE)),""))</f>
        <v>83.19</v>
      </c>
      <c r="J56" s="58">
        <f>(IF((VLOOKUP(Table5[[#This Row],[SKU]],'All Skus'!$A:$AC,2,FALSE))="DBX",(VLOOKUP(Table5[[#This Row],[SKU]],'All Skus'!$A:$AC,11,FALSE)),""))</f>
        <v>75</v>
      </c>
      <c r="K56" s="139">
        <f>(IF((VLOOKUP(Table5[[#This Row],[SKU]],'All Skus'!$A:$AC,2,FALSE))="DBX",(VLOOKUP(Table5[[#This Row],[SKU]],'All Skus'!$A:$AC,15,FALSE)),""))</f>
        <v>4</v>
      </c>
      <c r="L56" s="137">
        <f>(IF((VLOOKUP(Table5[[#This Row],[SKU]],'All Skus'!$A:$AC,2,FALSE))="DBX",(VLOOKUP(Table5[[#This Row],[SKU]],'All Skus'!$A:$AC,16,FALSE)),""))</f>
        <v>691991400674</v>
      </c>
      <c r="M56" s="137">
        <f>(IF((VLOOKUP(Table5[[#This Row],[SKU]],'All Skus'!$A:$AC,2,FALSE))="DBX",(VLOOKUP(Table5[[#This Row],[SKU]],'All Skus'!$A:$AC,17,FALSE)),""))</f>
        <v>0</v>
      </c>
      <c r="N56" s="136">
        <f>(IF((VLOOKUP(Table5[[#This Row],[SKU]],'All Skus'!$A:$AC,2,FALSE))="DBX",(VLOOKUP(Table5[[#This Row],[SKU]],'All Skus'!$A:$AC,18,FALSE)),""))</f>
        <v>0.5</v>
      </c>
      <c r="O56" s="136">
        <f>(IF((VLOOKUP(Table5[[#This Row],[SKU]],'All Skus'!$A:$AC,2,FALSE))="DBX",(VLOOKUP(Table5[[#This Row],[SKU]],'All Skus'!$A:$AC,19,FALSE)),""))</f>
        <v>7</v>
      </c>
      <c r="P56" s="136">
        <f>(IF((VLOOKUP(Table5[[#This Row],[SKU]],'All Skus'!$A:$AC,2,FALSE))="DBX",(VLOOKUP(Table5[[#This Row],[SKU]],'All Skus'!$A:$AC,20,FALSE)),""))</f>
        <v>3.5</v>
      </c>
      <c r="Q56" s="136">
        <f>(IF((VLOOKUP(Table5[[#This Row],[SKU]],'All Skus'!$A:$AC,2,FALSE))="DBX",(VLOOKUP(Table5[[#This Row],[SKU]],'All Skus'!$A:$AC,21,FALSE)),""))</f>
        <v>5.5</v>
      </c>
      <c r="R56" s="61" t="str">
        <f>(IF((VLOOKUP(Table5[[#This Row],[SKU]],'All Skus'!$A:$AC,2,FALSE))="DBX",(VLOOKUP(Table5[[#This Row],[SKU]],'All Skus'!$A:$AC,22,FALSE)),""))</f>
        <v>CN</v>
      </c>
      <c r="S56" t="str">
        <f>(IF((VLOOKUP(Table5[[#This Row],[SKU]],'All Skus'!$A:$AC,2,FALSE))="DBX",(VLOOKUP(Table5[[#This Row],[SKU]],'All Skus'!$A:$AC,23,FALSE)),""))</f>
        <v>Non Compliant</v>
      </c>
      <c r="T56" s="212" t="str">
        <f>HYPERLINK((IF((VLOOKUP(Table5[[#This Row],[SKU]],'All Skus'!$A:$AC,2,FALSE))="DBX",(VLOOKUP(Table5[[#This Row],[SKU]],'All Skus'!$A:$AC,24,FALSE)),"")))</f>
        <v>http://dbxpro.com/en-US/products/zc2</v>
      </c>
      <c r="U56" s="151">
        <v>54</v>
      </c>
    </row>
    <row r="57" spans="1:21" ht="15" customHeight="1">
      <c r="A57" s="13" t="s">
        <v>1002</v>
      </c>
      <c r="B57" s="12" t="str">
        <f>(IF((VLOOKUP(Table5[[#This Row],[SKU]],'All Skus'!$A:$AC,2,FALSE))="DBX",(VLOOKUP(Table5[[#This Row],[SKU]],'All Skus'!$A:$AC,3,FALSE)),""))</f>
        <v>Zone Controller</v>
      </c>
      <c r="C57" s="12" t="str">
        <f>(IF((VLOOKUP(Table5[[#This Row],[SKU]],'All Skus'!$A:$AC,2,FALSE))="DBX",(VLOOKUP(Table5[[#This Row],[SKU]],'All Skus'!$A:$AC,4,FALSE)),""))</f>
        <v>ZC-3</v>
      </c>
      <c r="D57" t="str">
        <f>(IF((VLOOKUP(Table5[[#This Row],[SKU]],'All Skus'!$A:$AC,2,FALSE))="DBX",(VLOOKUP(Table5[[#This Row],[SKU]],'All Skus'!$A:$AC,5,FALSE)),""))</f>
        <v>DBX_ZONEP</v>
      </c>
      <c r="E57" s="14">
        <f>(IF((VLOOKUP(Table5[[#This Row],[SKU]],'All Skus'!$A:$AC,2,FALSE))="DBX",(VLOOKUP(Table5[[#This Row],[SKU]],'All Skus'!$A:$AC,6,FALSE)),""))</f>
        <v>0</v>
      </c>
      <c r="F57">
        <f>(IF((VLOOKUP(Table5[[#This Row],[SKU]],'All Skus'!$A:$AC,2,FALSE))="DBX",(VLOOKUP(Table5[[#This Row],[SKU]],'All Skus'!$A:$AC,7,FALSE)),""))</f>
        <v>0</v>
      </c>
      <c r="G57" s="7" t="str">
        <f>(IF((VLOOKUP(Table5[[#This Row],[SKU]],'All Skus'!$A:$AC,2,FALSE))="DBX",(VLOOKUP(Table5[[#This Row],[SKU]],'All Skus'!$A:$AC,8,FALSE)),""))</f>
        <v>Zone Controller</v>
      </c>
      <c r="H57" s="8" t="str">
        <f>(IF((VLOOKUP(Table5[[#This Row],[SKU]],'All Skus'!$A:$AC,2,FALSE))="DBX",(VLOOKUP(Table5[[#This Row],[SKU]],'All Skus'!$A:$AC,9,FALSE)),""))</f>
        <v>ZC 3 Wall Mounted, Program Selecter Zone Controller</v>
      </c>
      <c r="I57" s="58">
        <f>(IF((VLOOKUP(Table5[[#This Row],[SKU]],'All Skus'!$A:$AC,2,FALSE))="DBX",(VLOOKUP(Table5[[#This Row],[SKU]],'All Skus'!$A:$AC,10,FALSE)),""))</f>
        <v>90.53</v>
      </c>
      <c r="J57" s="58">
        <f>(IF((VLOOKUP(Table5[[#This Row],[SKU]],'All Skus'!$A:$AC,2,FALSE))="DBX",(VLOOKUP(Table5[[#This Row],[SKU]],'All Skus'!$A:$AC,11,FALSE)),""))</f>
        <v>85</v>
      </c>
      <c r="K57" s="139">
        <f>(IF((VLOOKUP(Table5[[#This Row],[SKU]],'All Skus'!$A:$AC,2,FALSE))="DBX",(VLOOKUP(Table5[[#This Row],[SKU]],'All Skus'!$A:$AC,15,FALSE)),""))</f>
        <v>4</v>
      </c>
      <c r="L57" s="137">
        <f>(IF((VLOOKUP(Table5[[#This Row],[SKU]],'All Skus'!$A:$AC,2,FALSE))="DBX",(VLOOKUP(Table5[[#This Row],[SKU]],'All Skus'!$A:$AC,16,FALSE)),""))</f>
        <v>691991400681</v>
      </c>
      <c r="M57" s="137">
        <f>(IF((VLOOKUP(Table5[[#This Row],[SKU]],'All Skus'!$A:$AC,2,FALSE))="DBX",(VLOOKUP(Table5[[#This Row],[SKU]],'All Skus'!$A:$AC,17,FALSE)),""))</f>
        <v>0</v>
      </c>
      <c r="N57" s="136">
        <f>(IF((VLOOKUP(Table5[[#This Row],[SKU]],'All Skus'!$A:$AC,2,FALSE))="DBX",(VLOOKUP(Table5[[#This Row],[SKU]],'All Skus'!$A:$AC,18,FALSE)),""))</f>
        <v>0.5</v>
      </c>
      <c r="O57" s="136">
        <f>(IF((VLOOKUP(Table5[[#This Row],[SKU]],'All Skus'!$A:$AC,2,FALSE))="DBX",(VLOOKUP(Table5[[#This Row],[SKU]],'All Skus'!$A:$AC,19,FALSE)),""))</f>
        <v>7</v>
      </c>
      <c r="P57" s="136">
        <f>(IF((VLOOKUP(Table5[[#This Row],[SKU]],'All Skus'!$A:$AC,2,FALSE))="DBX",(VLOOKUP(Table5[[#This Row],[SKU]],'All Skus'!$A:$AC,20,FALSE)),""))</f>
        <v>3.5</v>
      </c>
      <c r="Q57" s="136">
        <f>(IF((VLOOKUP(Table5[[#This Row],[SKU]],'All Skus'!$A:$AC,2,FALSE))="DBX",(VLOOKUP(Table5[[#This Row],[SKU]],'All Skus'!$A:$AC,21,FALSE)),""))</f>
        <v>5.5</v>
      </c>
      <c r="R57" s="61" t="str">
        <f>(IF((VLOOKUP(Table5[[#This Row],[SKU]],'All Skus'!$A:$AC,2,FALSE))="DBX",(VLOOKUP(Table5[[#This Row],[SKU]],'All Skus'!$A:$AC,22,FALSE)),""))</f>
        <v>CN</v>
      </c>
      <c r="S57" t="str">
        <f>(IF((VLOOKUP(Table5[[#This Row],[SKU]],'All Skus'!$A:$AC,2,FALSE))="DBX",(VLOOKUP(Table5[[#This Row],[SKU]],'All Skus'!$A:$AC,23,FALSE)),""))</f>
        <v>Non Compliant</v>
      </c>
      <c r="T57" s="212" t="str">
        <f>HYPERLINK((IF((VLOOKUP(Table5[[#This Row],[SKU]],'All Skus'!$A:$AC,2,FALSE))="DBX",(VLOOKUP(Table5[[#This Row],[SKU]],'All Skus'!$A:$AC,24,FALSE)),"")))</f>
        <v>http://dbxpro.com/en-US/products/zc3</v>
      </c>
      <c r="U57" s="151">
        <v>55</v>
      </c>
    </row>
    <row r="58" spans="1:21" ht="15" customHeight="1">
      <c r="A58" s="13" t="s">
        <v>1003</v>
      </c>
      <c r="B58" s="12" t="str">
        <f>(IF((VLOOKUP(Table5[[#This Row],[SKU]],'All Skus'!$A:$AC,2,FALSE))="DBX",(VLOOKUP(Table5[[#This Row],[SKU]],'All Skus'!$A:$AC,3,FALSE)),""))</f>
        <v>Zone Controller</v>
      </c>
      <c r="C58" s="12" t="str">
        <f>(IF((VLOOKUP(Table5[[#This Row],[SKU]],'All Skus'!$A:$AC,2,FALSE))="DBX",(VLOOKUP(Table5[[#This Row],[SKU]],'All Skus'!$A:$AC,4,FALSE)),""))</f>
        <v>ZC-4</v>
      </c>
      <c r="D58" t="str">
        <f>(IF((VLOOKUP(Table5[[#This Row],[SKU]],'All Skus'!$A:$AC,2,FALSE))="DBX",(VLOOKUP(Table5[[#This Row],[SKU]],'All Skus'!$A:$AC,5,FALSE)),""))</f>
        <v>DBX_ZONEP</v>
      </c>
      <c r="E58" s="14">
        <f>(IF((VLOOKUP(Table5[[#This Row],[SKU]],'All Skus'!$A:$AC,2,FALSE))="DBX",(VLOOKUP(Table5[[#This Row],[SKU]],'All Skus'!$A:$AC,6,FALSE)),""))</f>
        <v>0</v>
      </c>
      <c r="F58">
        <f>(IF((VLOOKUP(Table5[[#This Row],[SKU]],'All Skus'!$A:$AC,2,FALSE))="DBX",(VLOOKUP(Table5[[#This Row],[SKU]],'All Skus'!$A:$AC,7,FALSE)),""))</f>
        <v>0</v>
      </c>
      <c r="G58" s="7" t="str">
        <f>(IF((VLOOKUP(Table5[[#This Row],[SKU]],'All Skus'!$A:$AC,2,FALSE))="DBX",(VLOOKUP(Table5[[#This Row],[SKU]],'All Skus'!$A:$AC,8,FALSE)),""))</f>
        <v>Zone Controller</v>
      </c>
      <c r="H58" s="8" t="str">
        <f>(IF((VLOOKUP(Table5[[#This Row],[SKU]],'All Skus'!$A:$AC,2,FALSE))="DBX",(VLOOKUP(Table5[[#This Row],[SKU]],'All Skus'!$A:$AC,9,FALSE)),""))</f>
        <v>ZC 4 Wall Mounted Contact Closure Input Zone Controller</v>
      </c>
      <c r="I58" s="58">
        <f>(IF((VLOOKUP(Table5[[#This Row],[SKU]],'All Skus'!$A:$AC,2,FALSE))="DBX",(VLOOKUP(Table5[[#This Row],[SKU]],'All Skus'!$A:$AC,10,FALSE)),""))</f>
        <v>120.8</v>
      </c>
      <c r="J58" s="58">
        <f>(IF((VLOOKUP(Table5[[#This Row],[SKU]],'All Skus'!$A:$AC,2,FALSE))="DBX",(VLOOKUP(Table5[[#This Row],[SKU]],'All Skus'!$A:$AC,11,FALSE)),""))</f>
        <v>99</v>
      </c>
      <c r="K58" s="139">
        <f>(IF((VLOOKUP(Table5[[#This Row],[SKU]],'All Skus'!$A:$AC,2,FALSE))="DBX",(VLOOKUP(Table5[[#This Row],[SKU]],'All Skus'!$A:$AC,15,FALSE)),""))</f>
        <v>4</v>
      </c>
      <c r="L58" s="137">
        <f>(IF((VLOOKUP(Table5[[#This Row],[SKU]],'All Skus'!$A:$AC,2,FALSE))="DBX",(VLOOKUP(Table5[[#This Row],[SKU]],'All Skus'!$A:$AC,16,FALSE)),""))</f>
        <v>691991400698</v>
      </c>
      <c r="M58" s="137">
        <f>(IF((VLOOKUP(Table5[[#This Row],[SKU]],'All Skus'!$A:$AC,2,FALSE))="DBX",(VLOOKUP(Table5[[#This Row],[SKU]],'All Skus'!$A:$AC,17,FALSE)),""))</f>
        <v>0</v>
      </c>
      <c r="N58" s="136">
        <f>(IF((VLOOKUP(Table5[[#This Row],[SKU]],'All Skus'!$A:$AC,2,FALSE))="DBX",(VLOOKUP(Table5[[#This Row],[SKU]],'All Skus'!$A:$AC,18,FALSE)),""))</f>
        <v>0.5</v>
      </c>
      <c r="O58" s="136">
        <f>(IF((VLOOKUP(Table5[[#This Row],[SKU]],'All Skus'!$A:$AC,2,FALSE))="DBX",(VLOOKUP(Table5[[#This Row],[SKU]],'All Skus'!$A:$AC,19,FALSE)),""))</f>
        <v>6.5</v>
      </c>
      <c r="P58" s="136">
        <f>(IF((VLOOKUP(Table5[[#This Row],[SKU]],'All Skus'!$A:$AC,2,FALSE))="DBX",(VLOOKUP(Table5[[#This Row],[SKU]],'All Skus'!$A:$AC,20,FALSE)),""))</f>
        <v>5.5</v>
      </c>
      <c r="Q58" s="136">
        <f>(IF((VLOOKUP(Table5[[#This Row],[SKU]],'All Skus'!$A:$AC,2,FALSE))="DBX",(VLOOKUP(Table5[[#This Row],[SKU]],'All Skus'!$A:$AC,21,FALSE)),""))</f>
        <v>3.5</v>
      </c>
      <c r="R58" s="61" t="str">
        <f>(IF((VLOOKUP(Table5[[#This Row],[SKU]],'All Skus'!$A:$AC,2,FALSE))="DBX",(VLOOKUP(Table5[[#This Row],[SKU]],'All Skus'!$A:$AC,22,FALSE)),""))</f>
        <v>CN</v>
      </c>
      <c r="S58" t="str">
        <f>(IF((VLOOKUP(Table5[[#This Row],[SKU]],'All Skus'!$A:$AC,2,FALSE))="DBX",(VLOOKUP(Table5[[#This Row],[SKU]],'All Skus'!$A:$AC,23,FALSE)),""))</f>
        <v>Non Compliant</v>
      </c>
      <c r="T58" s="212" t="str">
        <f>HYPERLINK((IF((VLOOKUP(Table5[[#This Row],[SKU]],'All Skus'!$A:$AC,2,FALSE))="DBX",(VLOOKUP(Table5[[#This Row],[SKU]],'All Skus'!$A:$AC,24,FALSE)),"")))</f>
        <v>http://dbxpro.com/en-US/products/zc4</v>
      </c>
      <c r="U58" s="151">
        <v>56</v>
      </c>
    </row>
    <row r="59" spans="1:21" ht="15" customHeight="1">
      <c r="A59" s="13" t="s">
        <v>1004</v>
      </c>
      <c r="B59" s="12" t="str">
        <f>(IF((VLOOKUP(Table5[[#This Row],[SKU]],'All Skus'!$A:$AC,2,FALSE))="DBX",(VLOOKUP(Table5[[#This Row],[SKU]],'All Skus'!$A:$AC,3,FALSE)),""))</f>
        <v>Zone Controller</v>
      </c>
      <c r="C59" s="12" t="str">
        <f>(IF((VLOOKUP(Table5[[#This Row],[SKU]],'All Skus'!$A:$AC,2,FALSE))="DBX",(VLOOKUP(Table5[[#This Row],[SKU]],'All Skus'!$A:$AC,4,FALSE)),""))</f>
        <v>ZC-6</v>
      </c>
      <c r="D59" t="str">
        <f>(IF((VLOOKUP(Table5[[#This Row],[SKU]],'All Skus'!$A:$AC,2,FALSE))="DBX",(VLOOKUP(Table5[[#This Row],[SKU]],'All Skus'!$A:$AC,5,FALSE)),""))</f>
        <v>DBX_ZONEP</v>
      </c>
      <c r="E59" s="14">
        <f>(IF((VLOOKUP(Table5[[#This Row],[SKU]],'All Skus'!$A:$AC,2,FALSE))="DBX",(VLOOKUP(Table5[[#This Row],[SKU]],'All Skus'!$A:$AC,6,FALSE)),""))</f>
        <v>0</v>
      </c>
      <c r="F59">
        <f>(IF((VLOOKUP(Table5[[#This Row],[SKU]],'All Skus'!$A:$AC,2,FALSE))="DBX",(VLOOKUP(Table5[[#This Row],[SKU]],'All Skus'!$A:$AC,7,FALSE)),""))</f>
        <v>0</v>
      </c>
      <c r="G59" s="7" t="str">
        <f>(IF((VLOOKUP(Table5[[#This Row],[SKU]],'All Skus'!$A:$AC,2,FALSE))="DBX",(VLOOKUP(Table5[[#This Row],[SKU]],'All Skus'!$A:$AC,8,FALSE)),""))</f>
        <v>Zone Controller</v>
      </c>
      <c r="H59" s="8" t="str">
        <f>(IF((VLOOKUP(Table5[[#This Row],[SKU]],'All Skus'!$A:$AC,2,FALSE))="DBX",(VLOOKUP(Table5[[#This Row],[SKU]],'All Skus'!$A:$AC,9,FALSE)),""))</f>
        <v>ZC 6 Wall Mounted Push Button Up/Down Controller</v>
      </c>
      <c r="I59" s="58">
        <f>(IF((VLOOKUP(Table5[[#This Row],[SKU]],'All Skus'!$A:$AC,2,FALSE))="DBX",(VLOOKUP(Table5[[#This Row],[SKU]],'All Skus'!$A:$AC,10,FALSE)),""))</f>
        <v>83.19</v>
      </c>
      <c r="J59" s="58">
        <f>(IF((VLOOKUP(Table5[[#This Row],[SKU]],'All Skus'!$A:$AC,2,FALSE))="DBX",(VLOOKUP(Table5[[#This Row],[SKU]],'All Skus'!$A:$AC,11,FALSE)),""))</f>
        <v>75</v>
      </c>
      <c r="K59" s="139">
        <f>(IF((VLOOKUP(Table5[[#This Row],[SKU]],'All Skus'!$A:$AC,2,FALSE))="DBX",(VLOOKUP(Table5[[#This Row],[SKU]],'All Skus'!$A:$AC,15,FALSE)),""))</f>
        <v>4</v>
      </c>
      <c r="L59" s="137">
        <f>(IF((VLOOKUP(Table5[[#This Row],[SKU]],'All Skus'!$A:$AC,2,FALSE))="DBX",(VLOOKUP(Table5[[#This Row],[SKU]],'All Skus'!$A:$AC,16,FALSE)),""))</f>
        <v>691991400759</v>
      </c>
      <c r="M59" s="137">
        <f>(IF((VLOOKUP(Table5[[#This Row],[SKU]],'All Skus'!$A:$AC,2,FALSE))="DBX",(VLOOKUP(Table5[[#This Row],[SKU]],'All Skus'!$A:$AC,17,FALSE)),""))</f>
        <v>0</v>
      </c>
      <c r="N59" s="136">
        <f>(IF((VLOOKUP(Table5[[#This Row],[SKU]],'All Skus'!$A:$AC,2,FALSE))="DBX",(VLOOKUP(Table5[[#This Row],[SKU]],'All Skus'!$A:$AC,18,FALSE)),""))</f>
        <v>1</v>
      </c>
      <c r="O59" s="136">
        <f>(IF((VLOOKUP(Table5[[#This Row],[SKU]],'All Skus'!$A:$AC,2,FALSE))="DBX",(VLOOKUP(Table5[[#This Row],[SKU]],'All Skus'!$A:$AC,19,FALSE)),""))</f>
        <v>7</v>
      </c>
      <c r="P59" s="136">
        <f>(IF((VLOOKUP(Table5[[#This Row],[SKU]],'All Skus'!$A:$AC,2,FALSE))="DBX",(VLOOKUP(Table5[[#This Row],[SKU]],'All Skus'!$A:$AC,20,FALSE)),""))</f>
        <v>3.5</v>
      </c>
      <c r="Q59" s="136">
        <f>(IF((VLOOKUP(Table5[[#This Row],[SKU]],'All Skus'!$A:$AC,2,FALSE))="DBX",(VLOOKUP(Table5[[#This Row],[SKU]],'All Skus'!$A:$AC,21,FALSE)),""))</f>
        <v>6</v>
      </c>
      <c r="R59" s="61" t="str">
        <f>(IF((VLOOKUP(Table5[[#This Row],[SKU]],'All Skus'!$A:$AC,2,FALSE))="DBX",(VLOOKUP(Table5[[#This Row],[SKU]],'All Skus'!$A:$AC,22,FALSE)),""))</f>
        <v>CN</v>
      </c>
      <c r="S59" t="str">
        <f>(IF((VLOOKUP(Table5[[#This Row],[SKU]],'All Skus'!$A:$AC,2,FALSE))="DBX",(VLOOKUP(Table5[[#This Row],[SKU]],'All Skus'!$A:$AC,23,FALSE)),""))</f>
        <v>Non Compliant</v>
      </c>
      <c r="T59" s="212" t="str">
        <f>HYPERLINK((IF((VLOOKUP(Table5[[#This Row],[SKU]],'All Skus'!$A:$AC,2,FALSE))="DBX",(VLOOKUP(Table5[[#This Row],[SKU]],'All Skus'!$A:$AC,24,FALSE)),"")))</f>
        <v>http://dbxpro.com/en-US/products/zc6</v>
      </c>
      <c r="U59" s="151">
        <v>57</v>
      </c>
    </row>
    <row r="60" spans="1:21" ht="15" customHeight="1">
      <c r="A60" s="13" t="s">
        <v>1005</v>
      </c>
      <c r="B60" s="12" t="str">
        <f>(IF((VLOOKUP(Table5[[#This Row],[SKU]],'All Skus'!$A:$AC,2,FALSE))="DBX",(VLOOKUP(Table5[[#This Row],[SKU]],'All Skus'!$A:$AC,3,FALSE)),""))</f>
        <v>Zone Controller</v>
      </c>
      <c r="C60" s="12" t="str">
        <f>(IF((VLOOKUP(Table5[[#This Row],[SKU]],'All Skus'!$A:$AC,2,FALSE))="DBX",(VLOOKUP(Table5[[#This Row],[SKU]],'All Skus'!$A:$AC,4,FALSE)),""))</f>
        <v>ZC-7</v>
      </c>
      <c r="D60" t="str">
        <f>(IF((VLOOKUP(Table5[[#This Row],[SKU]],'All Skus'!$A:$AC,2,FALSE))="DBX",(VLOOKUP(Table5[[#This Row],[SKU]],'All Skus'!$A:$AC,5,FALSE)),""))</f>
        <v>DBX_ZONEP</v>
      </c>
      <c r="E60" s="14">
        <f>(IF((VLOOKUP(Table5[[#This Row],[SKU]],'All Skus'!$A:$AC,2,FALSE))="DBX",(VLOOKUP(Table5[[#This Row],[SKU]],'All Skus'!$A:$AC,6,FALSE)),""))</f>
        <v>0</v>
      </c>
      <c r="F60">
        <f>(IF((VLOOKUP(Table5[[#This Row],[SKU]],'All Skus'!$A:$AC,2,FALSE))="DBX",(VLOOKUP(Table5[[#This Row],[SKU]],'All Skus'!$A:$AC,7,FALSE)),""))</f>
        <v>0</v>
      </c>
      <c r="G60" s="7" t="str">
        <f>(IF((VLOOKUP(Table5[[#This Row],[SKU]],'All Skus'!$A:$AC,2,FALSE))="DBX",(VLOOKUP(Table5[[#This Row],[SKU]],'All Skus'!$A:$AC,8,FALSE)),""))</f>
        <v>Zone Controller</v>
      </c>
      <c r="H60" s="8" t="str">
        <f>(IF((VLOOKUP(Table5[[#This Row],[SKU]],'All Skus'!$A:$AC,2,FALSE))="DBX",(VLOOKUP(Table5[[#This Row],[SKU]],'All Skus'!$A:$AC,9,FALSE)),""))</f>
        <v>ZC 7 Wall Mounted Mic Page Assignment Controller</v>
      </c>
      <c r="I60" s="58">
        <f>(IF((VLOOKUP(Table5[[#This Row],[SKU]],'All Skus'!$A:$AC,2,FALSE))="DBX",(VLOOKUP(Table5[[#This Row],[SKU]],'All Skus'!$A:$AC,10,FALSE)),""))</f>
        <v>90.53</v>
      </c>
      <c r="J60" s="58">
        <f>(IF((VLOOKUP(Table5[[#This Row],[SKU]],'All Skus'!$A:$AC,2,FALSE))="DBX",(VLOOKUP(Table5[[#This Row],[SKU]],'All Skus'!$A:$AC,11,FALSE)),""))</f>
        <v>85</v>
      </c>
      <c r="K60" s="139">
        <f>(IF((VLOOKUP(Table5[[#This Row],[SKU]],'All Skus'!$A:$AC,2,FALSE))="DBX",(VLOOKUP(Table5[[#This Row],[SKU]],'All Skus'!$A:$AC,15,FALSE)),""))</f>
        <v>4</v>
      </c>
      <c r="L60" s="137">
        <f>(IF((VLOOKUP(Table5[[#This Row],[SKU]],'All Skus'!$A:$AC,2,FALSE))="DBX",(VLOOKUP(Table5[[#This Row],[SKU]],'All Skus'!$A:$AC,16,FALSE)),""))</f>
        <v>691991400773</v>
      </c>
      <c r="M60" s="137">
        <f>(IF((VLOOKUP(Table5[[#This Row],[SKU]],'All Skus'!$A:$AC,2,FALSE))="DBX",(VLOOKUP(Table5[[#This Row],[SKU]],'All Skus'!$A:$AC,17,FALSE)),""))</f>
        <v>0</v>
      </c>
      <c r="N60" s="136">
        <f>(IF((VLOOKUP(Table5[[#This Row],[SKU]],'All Skus'!$A:$AC,2,FALSE))="DBX",(VLOOKUP(Table5[[#This Row],[SKU]],'All Skus'!$A:$AC,18,FALSE)),""))</f>
        <v>0.5</v>
      </c>
      <c r="O60" s="136">
        <f>(IF((VLOOKUP(Table5[[#This Row],[SKU]],'All Skus'!$A:$AC,2,FALSE))="DBX",(VLOOKUP(Table5[[#This Row],[SKU]],'All Skus'!$A:$AC,19,FALSE)),""))</f>
        <v>7</v>
      </c>
      <c r="P60" s="136">
        <f>(IF((VLOOKUP(Table5[[#This Row],[SKU]],'All Skus'!$A:$AC,2,FALSE))="DBX",(VLOOKUP(Table5[[#This Row],[SKU]],'All Skus'!$A:$AC,20,FALSE)),""))</f>
        <v>5.5</v>
      </c>
      <c r="Q60" s="136">
        <f>(IF((VLOOKUP(Table5[[#This Row],[SKU]],'All Skus'!$A:$AC,2,FALSE))="DBX",(VLOOKUP(Table5[[#This Row],[SKU]],'All Skus'!$A:$AC,21,FALSE)),""))</f>
        <v>3.5</v>
      </c>
      <c r="R60" s="61" t="str">
        <f>(IF((VLOOKUP(Table5[[#This Row],[SKU]],'All Skus'!$A:$AC,2,FALSE))="DBX",(VLOOKUP(Table5[[#This Row],[SKU]],'All Skus'!$A:$AC,22,FALSE)),""))</f>
        <v>CN</v>
      </c>
      <c r="S60" t="str">
        <f>(IF((VLOOKUP(Table5[[#This Row],[SKU]],'All Skus'!$A:$AC,2,FALSE))="DBX",(VLOOKUP(Table5[[#This Row],[SKU]],'All Skus'!$A:$AC,23,FALSE)),""))</f>
        <v>Non Compliant</v>
      </c>
      <c r="T60" s="212" t="str">
        <f>HYPERLINK((IF((VLOOKUP(Table5[[#This Row],[SKU]],'All Skus'!$A:$AC,2,FALSE))="DBX",(VLOOKUP(Table5[[#This Row],[SKU]],'All Skus'!$A:$AC,24,FALSE)),"")))</f>
        <v>http://dbxpro.com/en-US/products/zc7</v>
      </c>
      <c r="U60" s="151">
        <v>58</v>
      </c>
    </row>
    <row r="61" spans="1:21" ht="15" customHeight="1">
      <c r="A61" s="13" t="s">
        <v>1006</v>
      </c>
      <c r="B61" s="12" t="str">
        <f>(IF((VLOOKUP(Table5[[#This Row],[SKU]],'All Skus'!$A:$AC,2,FALSE))="DBX",(VLOOKUP(Table5[[#This Row],[SKU]],'All Skus'!$A:$AC,3,FALSE)),""))</f>
        <v>Zone Controller</v>
      </c>
      <c r="C61" s="12" t="str">
        <f>(IF((VLOOKUP(Table5[[#This Row],[SKU]],'All Skus'!$A:$AC,2,FALSE))="DBX",(VLOOKUP(Table5[[#This Row],[SKU]],'All Skus'!$A:$AC,4,FALSE)),""))</f>
        <v>ZC-8</v>
      </c>
      <c r="D61" t="str">
        <f>(IF((VLOOKUP(Table5[[#This Row],[SKU]],'All Skus'!$A:$AC,2,FALSE))="DBX",(VLOOKUP(Table5[[#This Row],[SKU]],'All Skus'!$A:$AC,5,FALSE)),""))</f>
        <v>DBX_ZONEP</v>
      </c>
      <c r="E61" s="14">
        <f>(IF((VLOOKUP(Table5[[#This Row],[SKU]],'All Skus'!$A:$AC,2,FALSE))="DBX",(VLOOKUP(Table5[[#This Row],[SKU]],'All Skus'!$A:$AC,6,FALSE)),""))</f>
        <v>0</v>
      </c>
      <c r="F61">
        <f>(IF((VLOOKUP(Table5[[#This Row],[SKU]],'All Skus'!$A:$AC,2,FALSE))="DBX",(VLOOKUP(Table5[[#This Row],[SKU]],'All Skus'!$A:$AC,7,FALSE)),""))</f>
        <v>0</v>
      </c>
      <c r="G61" s="7" t="str">
        <f>(IF((VLOOKUP(Table5[[#This Row],[SKU]],'All Skus'!$A:$AC,2,FALSE))="DBX",(VLOOKUP(Table5[[#This Row],[SKU]],'All Skus'!$A:$AC,8,FALSE)),""))</f>
        <v>Zone Controller</v>
      </c>
      <c r="H61" s="8" t="str">
        <f>(IF((VLOOKUP(Table5[[#This Row],[SKU]],'All Skus'!$A:$AC,2,FALSE))="DBX",(VLOOKUP(Table5[[#This Row],[SKU]],'All Skus'!$A:$AC,9,FALSE)),""))</f>
        <v>ZC 8 Wall Mounted Up/Down Volume Controller</v>
      </c>
      <c r="I61" s="58">
        <f>(IF((VLOOKUP(Table5[[#This Row],[SKU]],'All Skus'!$A:$AC,2,FALSE))="DBX",(VLOOKUP(Table5[[#This Row],[SKU]],'All Skus'!$A:$AC,10,FALSE)),""))</f>
        <v>90.53</v>
      </c>
      <c r="J61" s="58">
        <f>(IF((VLOOKUP(Table5[[#This Row],[SKU]],'All Skus'!$A:$AC,2,FALSE))="DBX",(VLOOKUP(Table5[[#This Row],[SKU]],'All Skus'!$A:$AC,11,FALSE)),""))</f>
        <v>85</v>
      </c>
      <c r="K61" s="139">
        <f>(IF((VLOOKUP(Table5[[#This Row],[SKU]],'All Skus'!$A:$AC,2,FALSE))="DBX",(VLOOKUP(Table5[[#This Row],[SKU]],'All Skus'!$A:$AC,15,FALSE)),""))</f>
        <v>4</v>
      </c>
      <c r="L61" s="137">
        <f>(IF((VLOOKUP(Table5[[#This Row],[SKU]],'All Skus'!$A:$AC,2,FALSE))="DBX",(VLOOKUP(Table5[[#This Row],[SKU]],'All Skus'!$A:$AC,16,FALSE)),""))</f>
        <v>691991400797</v>
      </c>
      <c r="M61" s="137">
        <f>(IF((VLOOKUP(Table5[[#This Row],[SKU]],'All Skus'!$A:$AC,2,FALSE))="DBX",(VLOOKUP(Table5[[#This Row],[SKU]],'All Skus'!$A:$AC,17,FALSE)),""))</f>
        <v>0</v>
      </c>
      <c r="N61" s="136">
        <f>(IF((VLOOKUP(Table5[[#This Row],[SKU]],'All Skus'!$A:$AC,2,FALSE))="DBX",(VLOOKUP(Table5[[#This Row],[SKU]],'All Skus'!$A:$AC,18,FALSE)),""))</f>
        <v>0.5</v>
      </c>
      <c r="O61" s="136">
        <f>(IF((VLOOKUP(Table5[[#This Row],[SKU]],'All Skus'!$A:$AC,2,FALSE))="DBX",(VLOOKUP(Table5[[#This Row],[SKU]],'All Skus'!$A:$AC,19,FALSE)),""))</f>
        <v>7</v>
      </c>
      <c r="P61" s="136">
        <f>(IF((VLOOKUP(Table5[[#This Row],[SKU]],'All Skus'!$A:$AC,2,FALSE))="DBX",(VLOOKUP(Table5[[#This Row],[SKU]],'All Skus'!$A:$AC,20,FALSE)),""))</f>
        <v>3.5</v>
      </c>
      <c r="Q61" s="136">
        <f>(IF((VLOOKUP(Table5[[#This Row],[SKU]],'All Skus'!$A:$AC,2,FALSE))="DBX",(VLOOKUP(Table5[[#This Row],[SKU]],'All Skus'!$A:$AC,21,FALSE)),""))</f>
        <v>5.5</v>
      </c>
      <c r="R61" s="61" t="str">
        <f>(IF((VLOOKUP(Table5[[#This Row],[SKU]],'All Skus'!$A:$AC,2,FALSE))="DBX",(VLOOKUP(Table5[[#This Row],[SKU]],'All Skus'!$A:$AC,22,FALSE)),""))</f>
        <v>CN</v>
      </c>
      <c r="S61" t="str">
        <f>(IF((VLOOKUP(Table5[[#This Row],[SKU]],'All Skus'!$A:$AC,2,FALSE))="DBX",(VLOOKUP(Table5[[#This Row],[SKU]],'All Skus'!$A:$AC,23,FALSE)),""))</f>
        <v>Non Compliant</v>
      </c>
      <c r="T61" s="212" t="str">
        <f>HYPERLINK((IF((VLOOKUP(Table5[[#This Row],[SKU]],'All Skus'!$A:$AC,2,FALSE))="DBX",(VLOOKUP(Table5[[#This Row],[SKU]],'All Skus'!$A:$AC,24,FALSE)),"")))</f>
        <v>http://dbxpro.com/en-US/products/zc8</v>
      </c>
      <c r="U61" s="151">
        <v>59</v>
      </c>
    </row>
    <row r="62" spans="1:21" ht="15" customHeight="1">
      <c r="A62" s="13" t="s">
        <v>1007</v>
      </c>
      <c r="B62" s="12" t="str">
        <f>(IF((VLOOKUP(Table5[[#This Row],[SKU]],'All Skus'!$A:$AC,2,FALSE))="DBX",(VLOOKUP(Table5[[#This Row],[SKU]],'All Skus'!$A:$AC,3,FALSE)),""))</f>
        <v>Zone Controller</v>
      </c>
      <c r="C62" s="12" t="str">
        <f>(IF((VLOOKUP(Table5[[#This Row],[SKU]],'All Skus'!$A:$AC,2,FALSE))="DBX",(VLOOKUP(Table5[[#This Row],[SKU]],'All Skus'!$A:$AC,4,FALSE)),""))</f>
        <v>ZC-9</v>
      </c>
      <c r="D62" t="str">
        <f>(IF((VLOOKUP(Table5[[#This Row],[SKU]],'All Skus'!$A:$AC,2,FALSE))="DBX",(VLOOKUP(Table5[[#This Row],[SKU]],'All Skus'!$A:$AC,5,FALSE)),""))</f>
        <v>DBX_ZONEP</v>
      </c>
      <c r="E62" s="14">
        <f>(IF((VLOOKUP(Table5[[#This Row],[SKU]],'All Skus'!$A:$AC,2,FALSE))="DBX",(VLOOKUP(Table5[[#This Row],[SKU]],'All Skus'!$A:$AC,6,FALSE)),""))</f>
        <v>0</v>
      </c>
      <c r="F62">
        <f>(IF((VLOOKUP(Table5[[#This Row],[SKU]],'All Skus'!$A:$AC,2,FALSE))="DBX",(VLOOKUP(Table5[[#This Row],[SKU]],'All Skus'!$A:$AC,7,FALSE)),""))</f>
        <v>0</v>
      </c>
      <c r="G62" s="7" t="str">
        <f>(IF((VLOOKUP(Table5[[#This Row],[SKU]],'All Skus'!$A:$AC,2,FALSE))="DBX",(VLOOKUP(Table5[[#This Row],[SKU]],'All Skus'!$A:$AC,8,FALSE)),""))</f>
        <v>Zone Controller</v>
      </c>
      <c r="H62" s="8" t="str">
        <f>(IF((VLOOKUP(Table5[[#This Row],[SKU]],'All Skus'!$A:$AC,2,FALSE))="DBX",(VLOOKUP(Table5[[#This Row],[SKU]],'All Skus'!$A:$AC,9,FALSE)),""))</f>
        <v>ZC 9 Wall Mounted 8 Position Zone Controller</v>
      </c>
      <c r="I62" s="58">
        <f>(IF((VLOOKUP(Table5[[#This Row],[SKU]],'All Skus'!$A:$AC,2,FALSE))="DBX",(VLOOKUP(Table5[[#This Row],[SKU]],'All Skus'!$A:$AC,10,FALSE)),""))</f>
        <v>90.53</v>
      </c>
      <c r="J62" s="58">
        <f>(IF((VLOOKUP(Table5[[#This Row],[SKU]],'All Skus'!$A:$AC,2,FALSE))="DBX",(VLOOKUP(Table5[[#This Row],[SKU]],'All Skus'!$A:$AC,11,FALSE)),""))</f>
        <v>85</v>
      </c>
      <c r="K62" s="139">
        <f>(IF((VLOOKUP(Table5[[#This Row],[SKU]],'All Skus'!$A:$AC,2,FALSE))="DBX",(VLOOKUP(Table5[[#This Row],[SKU]],'All Skus'!$A:$AC,15,FALSE)),""))</f>
        <v>4</v>
      </c>
      <c r="L62" s="137">
        <f>(IF((VLOOKUP(Table5[[#This Row],[SKU]],'All Skus'!$A:$AC,2,FALSE))="DBX",(VLOOKUP(Table5[[#This Row],[SKU]],'All Skus'!$A:$AC,16,FALSE)),""))</f>
        <v>691991400865</v>
      </c>
      <c r="M62" s="137">
        <f>(IF((VLOOKUP(Table5[[#This Row],[SKU]],'All Skus'!$A:$AC,2,FALSE))="DBX",(VLOOKUP(Table5[[#This Row],[SKU]],'All Skus'!$A:$AC,17,FALSE)),""))</f>
        <v>0</v>
      </c>
      <c r="N62" s="136">
        <f>(IF((VLOOKUP(Table5[[#This Row],[SKU]],'All Skus'!$A:$AC,2,FALSE))="DBX",(VLOOKUP(Table5[[#This Row],[SKU]],'All Skus'!$A:$AC,18,FALSE)),""))</f>
        <v>0.5</v>
      </c>
      <c r="O62" s="136">
        <f>(IF((VLOOKUP(Table5[[#This Row],[SKU]],'All Skus'!$A:$AC,2,FALSE))="DBX",(VLOOKUP(Table5[[#This Row],[SKU]],'All Skus'!$A:$AC,19,FALSE)),""))</f>
        <v>5.5</v>
      </c>
      <c r="P62" s="136">
        <f>(IF((VLOOKUP(Table5[[#This Row],[SKU]],'All Skus'!$A:$AC,2,FALSE))="DBX",(VLOOKUP(Table5[[#This Row],[SKU]],'All Skus'!$A:$AC,20,FALSE)),""))</f>
        <v>7</v>
      </c>
      <c r="Q62" s="136">
        <f>(IF((VLOOKUP(Table5[[#This Row],[SKU]],'All Skus'!$A:$AC,2,FALSE))="DBX",(VLOOKUP(Table5[[#This Row],[SKU]],'All Skus'!$A:$AC,21,FALSE)),""))</f>
        <v>3</v>
      </c>
      <c r="R62" s="61" t="str">
        <f>(IF((VLOOKUP(Table5[[#This Row],[SKU]],'All Skus'!$A:$AC,2,FALSE))="DBX",(VLOOKUP(Table5[[#This Row],[SKU]],'All Skus'!$A:$AC,22,FALSE)),""))</f>
        <v>CN</v>
      </c>
      <c r="S62" t="str">
        <f>(IF((VLOOKUP(Table5[[#This Row],[SKU]],'All Skus'!$A:$AC,2,FALSE))="DBX",(VLOOKUP(Table5[[#This Row],[SKU]],'All Skus'!$A:$AC,23,FALSE)),""))</f>
        <v>Non Compliant</v>
      </c>
      <c r="T62" s="212" t="str">
        <f>HYPERLINK((IF((VLOOKUP(Table5[[#This Row],[SKU]],'All Skus'!$A:$AC,2,FALSE))="DBX",(VLOOKUP(Table5[[#This Row],[SKU]],'All Skus'!$A:$AC,24,FALSE)),"")))</f>
        <v>http://dbxpro.com/en-US/products/zc9</v>
      </c>
      <c r="U62" s="151">
        <v>60</v>
      </c>
    </row>
    <row r="63" spans="1:21" ht="15" customHeight="1">
      <c r="A63" s="13" t="s">
        <v>1008</v>
      </c>
      <c r="B63" s="12" t="str">
        <f>(IF((VLOOKUP(Table5[[#This Row],[SKU]],'All Skus'!$A:$AC,2,FALSE))="DBX",(VLOOKUP(Table5[[#This Row],[SKU]],'All Skus'!$A:$AC,3,FALSE)),""))</f>
        <v>Zone Controller</v>
      </c>
      <c r="C63" s="12" t="str">
        <f>(IF((VLOOKUP(Table5[[#This Row],[SKU]],'All Skus'!$A:$AC,2,FALSE))="DBX",(VLOOKUP(Table5[[#This Row],[SKU]],'All Skus'!$A:$AC,4,FALSE)),""))</f>
        <v>ZC-FIRE</v>
      </c>
      <c r="D63" t="str">
        <f>(IF((VLOOKUP(Table5[[#This Row],[SKU]],'All Skus'!$A:$AC,2,FALSE))="DBX",(VLOOKUP(Table5[[#This Row],[SKU]],'All Skus'!$A:$AC,5,FALSE)),""))</f>
        <v>DBX_ZONEP</v>
      </c>
      <c r="E63" s="14">
        <f>(IF((VLOOKUP(Table5[[#This Row],[SKU]],'All Skus'!$A:$AC,2,FALSE))="DBX",(VLOOKUP(Table5[[#This Row],[SKU]],'All Skus'!$A:$AC,6,FALSE)),""))</f>
        <v>0</v>
      </c>
      <c r="F63">
        <f>(IF((VLOOKUP(Table5[[#This Row],[SKU]],'All Skus'!$A:$AC,2,FALSE))="DBX",(VLOOKUP(Table5[[#This Row],[SKU]],'All Skus'!$A:$AC,7,FALSE)),""))</f>
        <v>0</v>
      </c>
      <c r="G63" s="7" t="str">
        <f>(IF((VLOOKUP(Table5[[#This Row],[SKU]],'All Skus'!$A:$AC,2,FALSE))="DBX",(VLOOKUP(Table5[[#This Row],[SKU]],'All Skus'!$A:$AC,8,FALSE)),""))</f>
        <v>Zone Controller</v>
      </c>
      <c r="H63" s="8" t="str">
        <f>(IF((VLOOKUP(Table5[[#This Row],[SKU]],'All Skus'!$A:$AC,2,FALSE))="DBX",(VLOOKUP(Table5[[#This Row],[SKU]],'All Skus'!$A:$AC,9,FALSE)),""))</f>
        <v>ZC FIRE Fire System Interface</v>
      </c>
      <c r="I63" s="58">
        <f>(IF((VLOOKUP(Table5[[#This Row],[SKU]],'All Skus'!$A:$AC,2,FALSE))="DBX",(VLOOKUP(Table5[[#This Row],[SKU]],'All Skus'!$A:$AC,10,FALSE)),""))</f>
        <v>99.09</v>
      </c>
      <c r="J63" s="58">
        <f>(IF((VLOOKUP(Table5[[#This Row],[SKU]],'All Skus'!$A:$AC,2,FALSE))="DBX",(VLOOKUP(Table5[[#This Row],[SKU]],'All Skus'!$A:$AC,11,FALSE)),""))</f>
        <v>85</v>
      </c>
      <c r="K63" s="139">
        <f>(IF((VLOOKUP(Table5[[#This Row],[SKU]],'All Skus'!$A:$AC,2,FALSE))="DBX",(VLOOKUP(Table5[[#This Row],[SKU]],'All Skus'!$A:$AC,15,FALSE)),""))</f>
        <v>4</v>
      </c>
      <c r="L63" s="137">
        <f>(IF((VLOOKUP(Table5[[#This Row],[SKU]],'All Skus'!$A:$AC,2,FALSE))="DBX",(VLOOKUP(Table5[[#This Row],[SKU]],'All Skus'!$A:$AC,16,FALSE)),""))</f>
        <v>691991400742</v>
      </c>
      <c r="M63" s="137">
        <f>(IF((VLOOKUP(Table5[[#This Row],[SKU]],'All Skus'!$A:$AC,2,FALSE))="DBX",(VLOOKUP(Table5[[#This Row],[SKU]],'All Skus'!$A:$AC,17,FALSE)),""))</f>
        <v>0</v>
      </c>
      <c r="N63" s="136">
        <f>(IF((VLOOKUP(Table5[[#This Row],[SKU]],'All Skus'!$A:$AC,2,FALSE))="DBX",(VLOOKUP(Table5[[#This Row],[SKU]],'All Skus'!$A:$AC,18,FALSE)),""))</f>
        <v>1</v>
      </c>
      <c r="O63" s="136">
        <f>(IF((VLOOKUP(Table5[[#This Row],[SKU]],'All Skus'!$A:$AC,2,FALSE))="DBX",(VLOOKUP(Table5[[#This Row],[SKU]],'All Skus'!$A:$AC,19,FALSE)),""))</f>
        <v>7</v>
      </c>
      <c r="P63" s="136">
        <f>(IF((VLOOKUP(Table5[[#This Row],[SKU]],'All Skus'!$A:$AC,2,FALSE))="DBX",(VLOOKUP(Table5[[#This Row],[SKU]],'All Skus'!$A:$AC,20,FALSE)),""))</f>
        <v>7</v>
      </c>
      <c r="Q63" s="136">
        <f>(IF((VLOOKUP(Table5[[#This Row],[SKU]],'All Skus'!$A:$AC,2,FALSE))="DBX",(VLOOKUP(Table5[[#This Row],[SKU]],'All Skus'!$A:$AC,21,FALSE)),""))</f>
        <v>4</v>
      </c>
      <c r="R63" s="61" t="str">
        <f>(IF((VLOOKUP(Table5[[#This Row],[SKU]],'All Skus'!$A:$AC,2,FALSE))="DBX",(VLOOKUP(Table5[[#This Row],[SKU]],'All Skus'!$A:$AC,22,FALSE)),""))</f>
        <v>CN</v>
      </c>
      <c r="S63" t="str">
        <f>(IF((VLOOKUP(Table5[[#This Row],[SKU]],'All Skus'!$A:$AC,2,FALSE))="DBX",(VLOOKUP(Table5[[#This Row],[SKU]],'All Skus'!$A:$AC,23,FALSE)),""))</f>
        <v>Non Compliant</v>
      </c>
      <c r="T63" s="212" t="str">
        <f>HYPERLINK((IF((VLOOKUP(Table5[[#This Row],[SKU]],'All Skus'!$A:$AC,2,FALSE))="DBX",(VLOOKUP(Table5[[#This Row],[SKU]],'All Skus'!$A:$AC,24,FALSE)),"")))</f>
        <v>http://dbxpro.com/en-US/products/zc-fire</v>
      </c>
      <c r="U63" s="151">
        <v>61</v>
      </c>
    </row>
  </sheetData>
  <phoneticPr fontId="69" type="noConversion"/>
  <conditionalFormatting sqref="A1:XFD1 A2:T63 A64:XFD1048576">
    <cfRule type="cellIs" dxfId="29" priority="1" operator="equal">
      <formula>0</formula>
    </cfRule>
  </conditionalFormatting>
  <conditionalFormatting sqref="V2:XFD63">
    <cfRule type="cellIs" dxfId="28" priority="2" operator="equal">
      <formula>0</formula>
    </cfRule>
  </conditionalFormatting>
  <pageMargins left="0.7" right="0.7" top="0.75" bottom="0.75" header="0.3" footer="0.3"/>
  <pageSetup orientation="portrait" horizontalDpi="90" verticalDpi="9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868"/>
  <sheetViews>
    <sheetView zoomScaleNormal="100" workbookViewId="0">
      <pane xSplit="1" ySplit="2" topLeftCell="H77" activePane="bottomRight" state="frozen"/>
      <selection pane="topRight" activeCell="D35" sqref="D35"/>
      <selection pane="bottomLeft" activeCell="D35" sqref="D35"/>
      <selection pane="bottomRight" activeCell="K1" sqref="K1:K1048576"/>
    </sheetView>
  </sheetViews>
  <sheetFormatPr defaultRowHeight="15"/>
  <cols>
    <col min="1" max="1" width="30" style="13" customWidth="1"/>
    <col min="2" max="2" width="38.42578125" bestFit="1" customWidth="1"/>
    <col min="3" max="3" width="40.28515625" style="12" bestFit="1" customWidth="1"/>
    <col min="4" max="4" width="20.85546875" style="61" customWidth="1"/>
    <col min="5" max="5" width="21.28515625" style="61" customWidth="1"/>
    <col min="6" max="6" width="16.5703125" style="61" customWidth="1"/>
    <col min="7" max="7" width="45.7109375" customWidth="1"/>
    <col min="8" max="8" width="114.5703125" style="8" customWidth="1"/>
    <col min="9" max="10" width="12.7109375" style="8" customWidth="1"/>
    <col min="11" max="11" width="19.5703125" style="9" customWidth="1"/>
    <col min="12" max="12" width="16" style="9" customWidth="1"/>
    <col min="13" max="13" width="13.7109375" style="143" customWidth="1"/>
    <col min="14" max="14" width="16.28515625" style="137" customWidth="1"/>
    <col min="15" max="15" width="11" style="61" customWidth="1"/>
    <col min="16" max="18" width="14.42578125" style="136" customWidth="1"/>
    <col min="19" max="19" width="14.42578125" style="61" customWidth="1"/>
    <col min="20" max="20" width="16.7109375" customWidth="1"/>
    <col min="21" max="21" width="20.5703125" customWidth="1"/>
    <col min="22" max="22" width="68.85546875" style="12" customWidth="1"/>
    <col min="23" max="23" width="15.140625" style="61" bestFit="1" customWidth="1"/>
  </cols>
  <sheetData>
    <row r="1" spans="1:23" s="67" customFormat="1" ht="61.5" customHeight="1">
      <c r="A1" s="69" t="s">
        <v>1009</v>
      </c>
      <c r="B1" s="70"/>
      <c r="C1" s="70"/>
      <c r="D1" s="78"/>
      <c r="E1" s="78"/>
      <c r="F1" s="78"/>
      <c r="G1" s="73"/>
      <c r="H1" s="72"/>
      <c r="I1" s="72"/>
      <c r="J1" s="72"/>
      <c r="K1" s="77"/>
      <c r="L1" s="77"/>
      <c r="M1" s="142"/>
      <c r="N1" s="86"/>
      <c r="O1" s="65"/>
      <c r="P1" s="131"/>
      <c r="Q1" s="131"/>
      <c r="R1" s="131"/>
      <c r="S1" s="65"/>
      <c r="V1" s="66"/>
      <c r="W1" s="65"/>
    </row>
    <row r="2" spans="1:23" ht="35.25" customHeight="1">
      <c r="A2" s="100" t="s">
        <v>138</v>
      </c>
      <c r="B2" s="75" t="s">
        <v>139</v>
      </c>
      <c r="C2" s="75" t="s">
        <v>140</v>
      </c>
      <c r="D2" s="75" t="s">
        <v>141</v>
      </c>
      <c r="E2" s="75" t="s">
        <v>142</v>
      </c>
      <c r="F2" s="75" t="s">
        <v>143</v>
      </c>
      <c r="G2" s="75" t="s">
        <v>144</v>
      </c>
      <c r="H2" s="75" t="s">
        <v>145</v>
      </c>
      <c r="I2" s="87" t="s">
        <v>146</v>
      </c>
      <c r="J2" s="87" t="s">
        <v>808</v>
      </c>
      <c r="K2" s="75" t="s">
        <v>1010</v>
      </c>
      <c r="L2" s="88" t="s">
        <v>1011</v>
      </c>
      <c r="M2" s="75" t="s">
        <v>149</v>
      </c>
      <c r="N2" s="145" t="s">
        <v>150</v>
      </c>
      <c r="O2" s="145" t="s">
        <v>151</v>
      </c>
      <c r="P2" s="145" t="s">
        <v>152</v>
      </c>
      <c r="Q2" s="145" t="s">
        <v>153</v>
      </c>
      <c r="R2" s="75" t="s">
        <v>154</v>
      </c>
      <c r="S2" s="75" t="s">
        <v>155</v>
      </c>
      <c r="T2" s="75" t="s">
        <v>156</v>
      </c>
      <c r="U2" s="100" t="s">
        <v>157</v>
      </c>
      <c r="V2" s="100" t="s">
        <v>158</v>
      </c>
      <c r="W2" s="150" t="s">
        <v>159</v>
      </c>
    </row>
    <row r="3" spans="1:23" ht="15" hidden="1" customHeight="1">
      <c r="A3" s="13" t="s">
        <v>82</v>
      </c>
      <c r="B3" s="12">
        <f>(IF((VLOOKUP(Table6[[#This Row],[SKU]],'All Skus'!$A:$AC,2,FALSE))="JBL",(VLOOKUP(Table6[[#This Row],[SKU]],'All Skus'!$A:$AC,3,FALSE)),""))</f>
        <v>0</v>
      </c>
      <c r="C3" s="12">
        <f>(IF((VLOOKUP(Table6[[#This Row],[SKU]],'All Skus'!$A:$AC,2,FALSE))="JBL",(VLOOKUP(Table6[[#This Row],[SKU]],'All Skus'!$A:$AC,4,FALSE)),""))</f>
        <v>0</v>
      </c>
      <c r="D3" s="61">
        <f>(IF((VLOOKUP(Table6[[#This Row],[SKU]],'All Skus'!$A:$AC,2,FALSE))="JBL",(VLOOKUP(Table6[[#This Row],[SKU]],'All Skus'!$A:$AC,5,FALSE)),""))</f>
        <v>0</v>
      </c>
      <c r="E3" s="137">
        <f>(IF((VLOOKUP(Table6[[#This Row],[SKU]],'All Skus'!$A:$AC,2,FALSE))="JBL",(VLOOKUP(Table6[[#This Row],[SKU]],'All Skus'!$A:$AC,6,FALSE)),""))</f>
        <v>0</v>
      </c>
      <c r="F3" s="61">
        <f>(IF((VLOOKUP(Table6[[#This Row],[SKU]],'All Skus'!$A:$AC,2,FALSE))="JBL",(VLOOKUP(Table6[[#This Row],[SKU]],'All Skus'!$A:$AC,7,FALSE)),""))</f>
        <v>0</v>
      </c>
      <c r="G3">
        <f>(IF((VLOOKUP(Table6[[#This Row],[SKU]],'All Skus'!$A:$AC,2,FALSE))="JBL",(VLOOKUP(Table6[[#This Row],[SKU]],'All Skus'!$A:$AC,8,FALSE)),""))</f>
        <v>0</v>
      </c>
      <c r="H3" s="8">
        <f>(IF((VLOOKUP(Table6[[#This Row],[SKU]],'All Skus'!$A:$AC,2,FALSE))="JBL",(VLOOKUP(Table6[[#This Row],[SKU]],'All Skus'!$A:$AC,9,FALSE)),""))</f>
        <v>0</v>
      </c>
      <c r="I3" s="101">
        <f>(IF((VLOOKUP(Table6[[#This Row],[SKU]],'All Skus'!$A:$AC,2,FALSE))="JBL",(VLOOKUP(Table6[[#This Row],[SKU]],'All Skus'!$A:$AC,10,FALSE)),""))</f>
        <v>0</v>
      </c>
      <c r="J3" s="101">
        <f>(IF((VLOOKUP(Table6[[#This Row],[SKU]],'All Skus'!$A:$AC,2,FALSE))="JBL",(VLOOKUP(Table6[[#This Row],[SKU]],'All Skus'!$A:$AC,11,FALSE)),""))</f>
        <v>0</v>
      </c>
      <c r="K3" s="102">
        <f>(IF((VLOOKUP(Table6[[#This Row],[SKU]],'All Skus'!$A:$AC,2,FALSE))="JBL",(VLOOKUP(Table6[[#This Row],[SKU]],'All Skus'!$A:$AC,13,FALSE)),""))</f>
        <v>0</v>
      </c>
      <c r="L3" s="102">
        <f>(IF((VLOOKUP(Table6[[#This Row],[SKU]],'All Skus'!$A:$AC,2,FALSE))="JBL",(VLOOKUP(Table6[[#This Row],[SKU]],'All Skus'!$A:$AC,14,FALSE)),""))</f>
        <v>0</v>
      </c>
      <c r="M3" s="143">
        <f>(IF((VLOOKUP(Table6[[#This Row],[SKU]],'All Skus'!$A:$AC,2,FALSE))="JBL",(VLOOKUP(Table6[[#This Row],[SKU]],'All Skus'!$A:$AC,15,FALSE)),""))</f>
        <v>0</v>
      </c>
      <c r="N3" s="137">
        <f>(IF((VLOOKUP(Table6[[#This Row],[SKU]],'All Skus'!$A:$AC,2,FALSE))="JBL",(VLOOKUP(Table6[[#This Row],[SKU]],'All Skus'!$A:$AC,16,FALSE)),""))</f>
        <v>0</v>
      </c>
      <c r="O3" s="61">
        <f>(IF((VLOOKUP(Table6[[#This Row],[SKU]],'All Skus'!$A:$AC,2,FALSE))="JBL",(VLOOKUP(Table6[[#This Row],[SKU]],'All Skus'!$A:$AC,17,FALSE)),""))</f>
        <v>0</v>
      </c>
      <c r="P3" s="136">
        <f>(IF((VLOOKUP(Table6[[#This Row],[SKU]],'All Skus'!$A:$AC,2,FALSE))="JBL",(VLOOKUP(Table6[[#This Row],[SKU]],'All Skus'!$A:$AC,18,FALSE)),""))</f>
        <v>0</v>
      </c>
      <c r="Q3" s="136">
        <f>(IF((VLOOKUP(Table6[[#This Row],[SKU]],'All Skus'!$A:$AC,2,FALSE))="JBL",(VLOOKUP(Table6[[#This Row],[SKU]],'All Skus'!$A:$AC,19,FALSE)),""))</f>
        <v>0</v>
      </c>
      <c r="R3" s="136">
        <f>(IF((VLOOKUP(Table6[[#This Row],[SKU]],'All Skus'!$A:$AC,2,FALSE))="JBL",(VLOOKUP(Table6[[#This Row],[SKU]],'All Skus'!$A:$AC,20,FALSE)),""))</f>
        <v>0</v>
      </c>
      <c r="S3" s="61">
        <f>(IF((VLOOKUP(Table6[[#This Row],[SKU]],'All Skus'!$A:$AC,2,FALSE))="JBL",(VLOOKUP(Table6[[#This Row],[SKU]],'All Skus'!$A:$AC,21,FALSE)),""))</f>
        <v>0</v>
      </c>
      <c r="T3" s="61">
        <f>(IF((VLOOKUP(Table6[[#This Row],[SKU]],'All Skus'!$A:$AC,2,FALSE))="JBL",(VLOOKUP(Table6[[#This Row],[SKU]],'All Skus'!$A:$AC,22,FALSE)),""))</f>
        <v>0</v>
      </c>
      <c r="U3">
        <f>(IF((VLOOKUP(Table6[[#This Row],[SKU]],'All Skus'!$A:$AC,2,FALSE))="JBL",(VLOOKUP(Table6[[#This Row],[SKU]],'All Skus'!$A:$AC,23,FALSE)),""))</f>
        <v>0</v>
      </c>
      <c r="V3" s="284" t="str">
        <f>HYPERLINK((IF((VLOOKUP(Table6[[#This Row],[SKU]],'All Skus'!$A:$AC,2,FALSE))="JBL",(VLOOKUP(Table6[[#This Row],[SKU]],'All Skus'!$A:$AC,24,FALSE)),"")))</f>
        <v/>
      </c>
      <c r="W3" s="151">
        <v>1</v>
      </c>
    </row>
    <row r="4" spans="1:23" ht="15" hidden="1" customHeight="1">
      <c r="A4" s="91" t="s">
        <v>1012</v>
      </c>
      <c r="B4" s="12">
        <f>(IF((VLOOKUP(Table6[[#This Row],[SKU]],'All Skus'!$A:$AC,2,FALSE))="JBL",(VLOOKUP(Table6[[#This Row],[SKU]],'All Skus'!$A:$AC,3,FALSE)),""))</f>
        <v>0</v>
      </c>
      <c r="C4" s="12">
        <f>(IF((VLOOKUP(Table6[[#This Row],[SKU]],'All Skus'!$A:$AC,2,FALSE))="JBL",(VLOOKUP(Table6[[#This Row],[SKU]],'All Skus'!$A:$AC,4,FALSE)),""))</f>
        <v>0</v>
      </c>
      <c r="D4" s="61">
        <f>(IF((VLOOKUP(Table6[[#This Row],[SKU]],'All Skus'!$A:$AC,2,FALSE))="JBL",(VLOOKUP(Table6[[#This Row],[SKU]],'All Skus'!$A:$AC,5,FALSE)),""))</f>
        <v>0</v>
      </c>
      <c r="E4" s="137">
        <f>(IF((VLOOKUP(Table6[[#This Row],[SKU]],'All Skus'!$A:$AC,2,FALSE))="JBL",(VLOOKUP(Table6[[#This Row],[SKU]],'All Skus'!$A:$AC,6,FALSE)),""))</f>
        <v>0</v>
      </c>
      <c r="F4" s="61">
        <f>(IF((VLOOKUP(Table6[[#This Row],[SKU]],'All Skus'!$A:$AC,2,FALSE))="JBL",(VLOOKUP(Table6[[#This Row],[SKU]],'All Skus'!$A:$AC,7,FALSE)),""))</f>
        <v>0</v>
      </c>
      <c r="G4">
        <f>(IF((VLOOKUP(Table6[[#This Row],[SKU]],'All Skus'!$A:$AC,2,FALSE))="JBL",(VLOOKUP(Table6[[#This Row],[SKU]],'All Skus'!$A:$AC,8,FALSE)),""))</f>
        <v>0</v>
      </c>
      <c r="H4" s="8">
        <f>(IF((VLOOKUP(Table6[[#This Row],[SKU]],'All Skus'!$A:$AC,2,FALSE))="JBL",(VLOOKUP(Table6[[#This Row],[SKU]],'All Skus'!$A:$AC,9,FALSE)),""))</f>
        <v>0</v>
      </c>
      <c r="I4" s="101">
        <f>(IF((VLOOKUP(Table6[[#This Row],[SKU]],'All Skus'!$A:$AC,2,FALSE))="JBL",(VLOOKUP(Table6[[#This Row],[SKU]],'All Skus'!$A:$AC,10,FALSE)),""))</f>
        <v>0</v>
      </c>
      <c r="J4" s="101">
        <f>(IF((VLOOKUP(Table6[[#This Row],[SKU]],'All Skus'!$A:$AC,2,FALSE))="JBL",(VLOOKUP(Table6[[#This Row],[SKU]],'All Skus'!$A:$AC,11,FALSE)),""))</f>
        <v>0</v>
      </c>
      <c r="K4" s="102">
        <f>(IF((VLOOKUP(Table6[[#This Row],[SKU]],'All Skus'!$A:$AC,2,FALSE))="JBL",(VLOOKUP(Table6[[#This Row],[SKU]],'All Skus'!$A:$AC,13,FALSE)),""))</f>
        <v>0</v>
      </c>
      <c r="L4" s="102">
        <f>(IF((VLOOKUP(Table6[[#This Row],[SKU]],'All Skus'!$A:$AC,2,FALSE))="JBL",(VLOOKUP(Table6[[#This Row],[SKU]],'All Skus'!$A:$AC,14,FALSE)),""))</f>
        <v>0</v>
      </c>
      <c r="M4" s="143">
        <f>(IF((VLOOKUP(Table6[[#This Row],[SKU]],'All Skus'!$A:$AC,2,FALSE))="JBL",(VLOOKUP(Table6[[#This Row],[SKU]],'All Skus'!$A:$AC,15,FALSE)),""))</f>
        <v>0</v>
      </c>
      <c r="N4" s="137">
        <f>(IF((VLOOKUP(Table6[[#This Row],[SKU]],'All Skus'!$A:$AC,2,FALSE))="JBL",(VLOOKUP(Table6[[#This Row],[SKU]],'All Skus'!$A:$AC,16,FALSE)),""))</f>
        <v>0</v>
      </c>
      <c r="O4" s="61">
        <f>(IF((VLOOKUP(Table6[[#This Row],[SKU]],'All Skus'!$A:$AC,2,FALSE))="JBL",(VLOOKUP(Table6[[#This Row],[SKU]],'All Skus'!$A:$AC,17,FALSE)),""))</f>
        <v>0</v>
      </c>
      <c r="P4" s="136">
        <f>(IF((VLOOKUP(Table6[[#This Row],[SKU]],'All Skus'!$A:$AC,2,FALSE))="JBL",(VLOOKUP(Table6[[#This Row],[SKU]],'All Skus'!$A:$AC,18,FALSE)),""))</f>
        <v>0</v>
      </c>
      <c r="Q4" s="136">
        <f>(IF((VLOOKUP(Table6[[#This Row],[SKU]],'All Skus'!$A:$AC,2,FALSE))="JBL",(VLOOKUP(Table6[[#This Row],[SKU]],'All Skus'!$A:$AC,19,FALSE)),""))</f>
        <v>0</v>
      </c>
      <c r="R4" s="136">
        <f>(IF((VLOOKUP(Table6[[#This Row],[SKU]],'All Skus'!$A:$AC,2,FALSE))="JBL",(VLOOKUP(Table6[[#This Row],[SKU]],'All Skus'!$A:$AC,20,FALSE)),""))</f>
        <v>0</v>
      </c>
      <c r="S4" s="61">
        <f>(IF((VLOOKUP(Table6[[#This Row],[SKU]],'All Skus'!$A:$AC,2,FALSE))="JBL",(VLOOKUP(Table6[[#This Row],[SKU]],'All Skus'!$A:$AC,21,FALSE)),""))</f>
        <v>0</v>
      </c>
      <c r="T4" s="61">
        <f>(IF((VLOOKUP(Table6[[#This Row],[SKU]],'All Skus'!$A:$AC,2,FALSE))="JBL",(VLOOKUP(Table6[[#This Row],[SKU]],'All Skus'!$A:$AC,22,FALSE)),""))</f>
        <v>0</v>
      </c>
      <c r="U4">
        <f>(IF((VLOOKUP(Table6[[#This Row],[SKU]],'All Skus'!$A:$AC,2,FALSE))="JBL",(VLOOKUP(Table6[[#This Row],[SKU]],'All Skus'!$A:$AC,23,FALSE)),""))</f>
        <v>0</v>
      </c>
      <c r="V4" s="284" t="str">
        <f>HYPERLINK((IF((VLOOKUP(Table6[[#This Row],[SKU]],'All Skus'!$A:$AC,2,FALSE))="JBL",(VLOOKUP(Table6[[#This Row],[SKU]],'All Skus'!$A:$AC,24,FALSE)),"")))</f>
        <v/>
      </c>
      <c r="W4" s="151">
        <v>2</v>
      </c>
    </row>
    <row r="5" spans="1:23" ht="15" hidden="1" customHeight="1">
      <c r="A5" s="13" t="s">
        <v>1013</v>
      </c>
      <c r="B5" s="12" t="str">
        <f>(IF((VLOOKUP(Table6[[#This Row],[SKU]],'All Skus'!$A:$AC,2,FALSE))="JBL",(VLOOKUP(Table6[[#This Row],[SKU]],'All Skus'!$A:$AC,3,FALSE)),""))</f>
        <v>PSB-1</v>
      </c>
      <c r="C5" s="12" t="str">
        <f>(IF((VLOOKUP(Table6[[#This Row],[SKU]],'All Skus'!$A:$AC,2,FALSE))="JBL",(VLOOKUP(Table6[[#This Row],[SKU]],'All Skus'!$A:$AC,4,FALSE)),""))</f>
        <v>PSB-1</v>
      </c>
      <c r="D5" s="61" t="str">
        <f>(IF((VLOOKUP(Table6[[#This Row],[SKU]],'All Skus'!$A:$AC,2,FALSE))="JBL",(VLOOKUP(Table6[[#This Row],[SKU]],'All Skus'!$A:$AC,5,FALSE)),""))</f>
        <v>JBL100</v>
      </c>
      <c r="E5" s="137">
        <f>(IF((VLOOKUP(Table6[[#This Row],[SKU]],'All Skus'!$A:$AC,2,FALSE))="JBL",(VLOOKUP(Table6[[#This Row],[SKU]],'All Skus'!$A:$AC,6,FALSE)),""))</f>
        <v>0</v>
      </c>
      <c r="F5" s="61">
        <f>(IF((VLOOKUP(Table6[[#This Row],[SKU]],'All Skus'!$A:$AC,2,FALSE))="JBL",(VLOOKUP(Table6[[#This Row],[SKU]],'All Skus'!$A:$AC,7,FALSE)),""))</f>
        <v>0</v>
      </c>
      <c r="G5" t="str">
        <f>(IF((VLOOKUP(Table6[[#This Row],[SKU]],'All Skus'!$A:$AC,2,FALSE))="JBL",(VLOOKUP(Table6[[#This Row],[SKU]],'All Skus'!$A:$AC,8,FALSE)),""))</f>
        <v>2.0 active soundbar for hotels and cruise ships.</v>
      </c>
      <c r="H5" s="8" t="str">
        <f>(IF((VLOOKUP(Table6[[#This Row],[SKU]],'All Skus'!$A:$AC,2,FALSE))="JBL",(VLOOKUP(Table6[[#This Row],[SKU]],'All Skus'!$A:$AC,9,FALSE)),""))</f>
        <v>2.0 active soundbar with an application-specific feature set for hotel guestrooms and cruise ship staterooms.  Volume limiting switch places upper limit on SPL.  Security lockout plate prevents guests from tampering with advanced settings.  One RCA analog input.  Four 19mm (0.75”) HF drivers, and two 51mm (2.0”) LF drivers. Class D amplifier delivers 20W per channel. 56Hz - 20KHz (+/- 3dB).  Works with any TV's line level, analog, stereo output (fixed or variable volume).  IR Learning allows the PSB-1 to be controlled by any remote.   All table/wall mounting hardware included.  Black.  Sold and packed as each.</v>
      </c>
      <c r="I5" s="101">
        <f>(IF((VLOOKUP(Table6[[#This Row],[SKU]],'All Skus'!$A:$AC,2,FALSE))="JBL",(VLOOKUP(Table6[[#This Row],[SKU]],'All Skus'!$A:$AC,10,FALSE)),""))</f>
        <v>304.89999999999998</v>
      </c>
      <c r="J5" s="101">
        <f>(IF((VLOOKUP(Table6[[#This Row],[SKU]],'All Skus'!$A:$AC,2,FALSE))="JBL",(VLOOKUP(Table6[[#This Row],[SKU]],'All Skus'!$A:$AC,11,FALSE)),""))</f>
        <v>243</v>
      </c>
      <c r="K5" s="102">
        <f>(IF((VLOOKUP(Table6[[#This Row],[SKU]],'All Skus'!$A:$AC,2,FALSE))="JBL",(VLOOKUP(Table6[[#This Row],[SKU]],'All Skus'!$A:$AC,13,FALSE)),""))</f>
        <v>0</v>
      </c>
      <c r="L5" s="102">
        <f>(IF((VLOOKUP(Table6[[#This Row],[SKU]],'All Skus'!$A:$AC,2,FALSE))="JBL",(VLOOKUP(Table6[[#This Row],[SKU]],'All Skus'!$A:$AC,14,FALSE)),""))</f>
        <v>0</v>
      </c>
      <c r="M5" s="143">
        <f>(IF((VLOOKUP(Table6[[#This Row],[SKU]],'All Skus'!$A:$AC,2,FALSE))="JBL",(VLOOKUP(Table6[[#This Row],[SKU]],'All Skus'!$A:$AC,15,FALSE)),""))</f>
        <v>0</v>
      </c>
      <c r="N5" s="137" t="str">
        <f>(IF((VLOOKUP(Table6[[#This Row],[SKU]],'All Skus'!$A:$AC,2,FALSE))="JBL",(VLOOKUP(Table6[[#This Row],[SKU]],'All Skus'!$A:$AC,16,FALSE)),""))</f>
        <v>6 9199100796 5</v>
      </c>
      <c r="O5" s="61">
        <f>(IF((VLOOKUP(Table6[[#This Row],[SKU]],'All Skus'!$A:$AC,2,FALSE))="JBL",(VLOOKUP(Table6[[#This Row],[SKU]],'All Skus'!$A:$AC,17,FALSE)),""))</f>
        <v>0</v>
      </c>
      <c r="P5" s="136">
        <f>(IF((VLOOKUP(Table6[[#This Row],[SKU]],'All Skus'!$A:$AC,2,FALSE))="JBL",(VLOOKUP(Table6[[#This Row],[SKU]],'All Skus'!$A:$AC,18,FALSE)),""))</f>
        <v>5.9</v>
      </c>
      <c r="Q5" s="136">
        <f>(IF((VLOOKUP(Table6[[#This Row],[SKU]],'All Skus'!$A:$AC,2,FALSE))="JBL",(VLOOKUP(Table6[[#This Row],[SKU]],'All Skus'!$A:$AC,19,FALSE)),""))</f>
        <v>37.204724409448801</v>
      </c>
      <c r="R5" s="136">
        <f>(IF((VLOOKUP(Table6[[#This Row],[SKU]],'All Skus'!$A:$AC,2,FALSE))="JBL",(VLOOKUP(Table6[[#This Row],[SKU]],'All Skus'!$A:$AC,20,FALSE)),""))</f>
        <v>5.0999999999999996</v>
      </c>
      <c r="S5" s="61">
        <f>(IF((VLOOKUP(Table6[[#This Row],[SKU]],'All Skus'!$A:$AC,2,FALSE))="JBL",(VLOOKUP(Table6[[#This Row],[SKU]],'All Skus'!$A:$AC,21,FALSE)),""))</f>
        <v>5.5</v>
      </c>
      <c r="T5" s="61" t="str">
        <f>(IF((VLOOKUP(Table6[[#This Row],[SKU]],'All Skus'!$A:$AC,2,FALSE))="JBL",(VLOOKUP(Table6[[#This Row],[SKU]],'All Skus'!$A:$AC,22,FALSE)),""))</f>
        <v>CN</v>
      </c>
      <c r="U5" t="str">
        <f>(IF((VLOOKUP(Table6[[#This Row],[SKU]],'All Skus'!$A:$AC,2,FALSE))="JBL",(VLOOKUP(Table6[[#This Row],[SKU]],'All Skus'!$A:$AC,23,FALSE)),""))</f>
        <v>Non Compliant</v>
      </c>
      <c r="V5" s="284" t="str">
        <f>HYPERLINK((IF((VLOOKUP(Table6[[#This Row],[SKU]],'All Skus'!$A:$AC,2,FALSE))="JBL",(VLOOKUP(Table6[[#This Row],[SKU]],'All Skus'!$A:$AC,24,FALSE)),"")))</f>
        <v/>
      </c>
      <c r="W5" s="151">
        <v>3</v>
      </c>
    </row>
    <row r="6" spans="1:23" ht="15" hidden="1" customHeight="1">
      <c r="A6" s="13" t="s">
        <v>1014</v>
      </c>
      <c r="B6" s="12" t="str">
        <f>(IF((VLOOKUP(Table6[[#This Row],[SKU]],'All Skus'!$A:$AC,2,FALSE))="JBL",(VLOOKUP(Table6[[#This Row],[SKU]],'All Skus'!$A:$AC,3,FALSE)),""))</f>
        <v>PSB-1/230</v>
      </c>
      <c r="C6" s="12" t="str">
        <f>(IF((VLOOKUP(Table6[[#This Row],[SKU]],'All Skus'!$A:$AC,2,FALSE))="JBL",(VLOOKUP(Table6[[#This Row],[SKU]],'All Skus'!$A:$AC,4,FALSE)),""))</f>
        <v>PSB-1/230</v>
      </c>
      <c r="D6" s="61" t="str">
        <f>(IF((VLOOKUP(Table6[[#This Row],[SKU]],'All Skus'!$A:$AC,2,FALSE))="JBL",(VLOOKUP(Table6[[#This Row],[SKU]],'All Skus'!$A:$AC,5,FALSE)),""))</f>
        <v>JBL100</v>
      </c>
      <c r="E6" s="137">
        <f>(IF((VLOOKUP(Table6[[#This Row],[SKU]],'All Skus'!$A:$AC,2,FALSE))="JBL",(VLOOKUP(Table6[[#This Row],[SKU]],'All Skus'!$A:$AC,6,FALSE)),""))</f>
        <v>0</v>
      </c>
      <c r="F6" s="61">
        <f>(IF((VLOOKUP(Table6[[#This Row],[SKU]],'All Skus'!$A:$AC,2,FALSE))="JBL",(VLOOKUP(Table6[[#This Row],[SKU]],'All Skus'!$A:$AC,7,FALSE)),""))</f>
        <v>0</v>
      </c>
      <c r="G6" t="str">
        <f>(IF((VLOOKUP(Table6[[#This Row],[SKU]],'All Skus'!$A:$AC,2,FALSE))="JBL",(VLOOKUP(Table6[[#This Row],[SKU]],'All Skus'!$A:$AC,8,FALSE)),""))</f>
        <v>2.0 active soundbar for hotels and cruise ships.</v>
      </c>
      <c r="H6" s="8" t="str">
        <f>(IF((VLOOKUP(Table6[[#This Row],[SKU]],'All Skus'!$A:$AC,2,FALSE))="JBL",(VLOOKUP(Table6[[#This Row],[SKU]],'All Skus'!$A:$AC,9,FALSE)),""))</f>
        <v>Same as PSB-1, with 230 Volt power cord.</v>
      </c>
      <c r="I6" s="101">
        <f>(IF((VLOOKUP(Table6[[#This Row],[SKU]],'All Skus'!$A:$AC,2,FALSE))="JBL",(VLOOKUP(Table6[[#This Row],[SKU]],'All Skus'!$A:$AC,10,FALSE)),""))</f>
        <v>304.89999999999998</v>
      </c>
      <c r="J6" s="101">
        <f>(IF((VLOOKUP(Table6[[#This Row],[SKU]],'All Skus'!$A:$AC,2,FALSE))="JBL",(VLOOKUP(Table6[[#This Row],[SKU]],'All Skus'!$A:$AC,11,FALSE)),""))</f>
        <v>243</v>
      </c>
      <c r="K6" s="102">
        <f>(IF((VLOOKUP(Table6[[#This Row],[SKU]],'All Skus'!$A:$AC,2,FALSE))="JBL",(VLOOKUP(Table6[[#This Row],[SKU]],'All Skus'!$A:$AC,13,FALSE)),""))</f>
        <v>0</v>
      </c>
      <c r="L6" s="102">
        <f>(IF((VLOOKUP(Table6[[#This Row],[SKU]],'All Skus'!$A:$AC,2,FALSE))="JBL",(VLOOKUP(Table6[[#This Row],[SKU]],'All Skus'!$A:$AC,14,FALSE)),""))</f>
        <v>0</v>
      </c>
      <c r="M6" s="143">
        <f>(IF((VLOOKUP(Table6[[#This Row],[SKU]],'All Skus'!$A:$AC,2,FALSE))="JBL",(VLOOKUP(Table6[[#This Row],[SKU]],'All Skus'!$A:$AC,15,FALSE)),""))</f>
        <v>0</v>
      </c>
      <c r="N6" s="137" t="str">
        <f>(IF((VLOOKUP(Table6[[#This Row],[SKU]],'All Skus'!$A:$AC,2,FALSE))="JBL",(VLOOKUP(Table6[[#This Row],[SKU]],'All Skus'!$A:$AC,16,FALSE)),""))</f>
        <v>6 9199100921 1</v>
      </c>
      <c r="O6" s="61">
        <f>(IF((VLOOKUP(Table6[[#This Row],[SKU]],'All Skus'!$A:$AC,2,FALSE))="JBL",(VLOOKUP(Table6[[#This Row],[SKU]],'All Skus'!$A:$AC,17,FALSE)),""))</f>
        <v>0</v>
      </c>
      <c r="P6" s="136">
        <f>(IF((VLOOKUP(Table6[[#This Row],[SKU]],'All Skus'!$A:$AC,2,FALSE))="JBL",(VLOOKUP(Table6[[#This Row],[SKU]],'All Skus'!$A:$AC,18,FALSE)),""))</f>
        <v>5.9</v>
      </c>
      <c r="Q6" s="136">
        <f>(IF((VLOOKUP(Table6[[#This Row],[SKU]],'All Skus'!$A:$AC,2,FALSE))="JBL",(VLOOKUP(Table6[[#This Row],[SKU]],'All Skus'!$A:$AC,19,FALSE)),""))</f>
        <v>37.204724409448801</v>
      </c>
      <c r="R6" s="136">
        <f>(IF((VLOOKUP(Table6[[#This Row],[SKU]],'All Skus'!$A:$AC,2,FALSE))="JBL",(VLOOKUP(Table6[[#This Row],[SKU]],'All Skus'!$A:$AC,20,FALSE)),""))</f>
        <v>5.0999999999999996</v>
      </c>
      <c r="S6" s="61">
        <f>(IF((VLOOKUP(Table6[[#This Row],[SKU]],'All Skus'!$A:$AC,2,FALSE))="JBL",(VLOOKUP(Table6[[#This Row],[SKU]],'All Skus'!$A:$AC,21,FALSE)),""))</f>
        <v>5.5</v>
      </c>
      <c r="T6" s="61" t="str">
        <f>(IF((VLOOKUP(Table6[[#This Row],[SKU]],'All Skus'!$A:$AC,2,FALSE))="JBL",(VLOOKUP(Table6[[#This Row],[SKU]],'All Skus'!$A:$AC,22,FALSE)),""))</f>
        <v>CN</v>
      </c>
      <c r="U6" t="str">
        <f>(IF((VLOOKUP(Table6[[#This Row],[SKU]],'All Skus'!$A:$AC,2,FALSE))="JBL",(VLOOKUP(Table6[[#This Row],[SKU]],'All Skus'!$A:$AC,23,FALSE)),""))</f>
        <v>Non Compliant</v>
      </c>
      <c r="V6" s="284" t="str">
        <f>HYPERLINK((IF((VLOOKUP(Table6[[#This Row],[SKU]],'All Skus'!$A:$AC,2,FALSE))="JBL",(VLOOKUP(Table6[[#This Row],[SKU]],'All Skus'!$A:$AC,24,FALSE)),"")))</f>
        <v/>
      </c>
      <c r="W6" s="151">
        <v>4</v>
      </c>
    </row>
    <row r="7" spans="1:23" ht="15" hidden="1" customHeight="1">
      <c r="A7" s="91" t="s">
        <v>1015</v>
      </c>
      <c r="B7" s="12">
        <f>(IF((VLOOKUP(Table6[[#This Row],[SKU]],'All Skus'!$A:$AC,2,FALSE))="JBL",(VLOOKUP(Table6[[#This Row],[SKU]],'All Skus'!$A:$AC,3,FALSE)),""))</f>
        <v>0</v>
      </c>
      <c r="C7" s="12">
        <f>(IF((VLOOKUP(Table6[[#This Row],[SKU]],'All Skus'!$A:$AC,2,FALSE))="JBL",(VLOOKUP(Table6[[#This Row],[SKU]],'All Skus'!$A:$AC,4,FALSE)),""))</f>
        <v>0</v>
      </c>
      <c r="D7" s="61">
        <f>(IF((VLOOKUP(Table6[[#This Row],[SKU]],'All Skus'!$A:$AC,2,FALSE))="JBL",(VLOOKUP(Table6[[#This Row],[SKU]],'All Skus'!$A:$AC,5,FALSE)),""))</f>
        <v>0</v>
      </c>
      <c r="E7" s="137">
        <f>(IF((VLOOKUP(Table6[[#This Row],[SKU]],'All Skus'!$A:$AC,2,FALSE))="JBL",(VLOOKUP(Table6[[#This Row],[SKU]],'All Skus'!$A:$AC,6,FALSE)),""))</f>
        <v>0</v>
      </c>
      <c r="F7" s="61">
        <f>(IF((VLOOKUP(Table6[[#This Row],[SKU]],'All Skus'!$A:$AC,2,FALSE))="JBL",(VLOOKUP(Table6[[#This Row],[SKU]],'All Skus'!$A:$AC,7,FALSE)),""))</f>
        <v>0</v>
      </c>
      <c r="G7">
        <f>(IF((VLOOKUP(Table6[[#This Row],[SKU]],'All Skus'!$A:$AC,2,FALSE))="JBL",(VLOOKUP(Table6[[#This Row],[SKU]],'All Skus'!$A:$AC,8,FALSE)),""))</f>
        <v>0</v>
      </c>
      <c r="H7" s="8">
        <f>(IF((VLOOKUP(Table6[[#This Row],[SKU]],'All Skus'!$A:$AC,2,FALSE))="JBL",(VLOOKUP(Table6[[#This Row],[SKU]],'All Skus'!$A:$AC,9,FALSE)),""))</f>
        <v>0</v>
      </c>
      <c r="I7" s="101">
        <f>(IF((VLOOKUP(Table6[[#This Row],[SKU]],'All Skus'!$A:$AC,2,FALSE))="JBL",(VLOOKUP(Table6[[#This Row],[SKU]],'All Skus'!$A:$AC,10,FALSE)),""))</f>
        <v>0</v>
      </c>
      <c r="J7" s="101">
        <f>(IF((VLOOKUP(Table6[[#This Row],[SKU]],'All Skus'!$A:$AC,2,FALSE))="JBL",(VLOOKUP(Table6[[#This Row],[SKU]],'All Skus'!$A:$AC,11,FALSE)),""))</f>
        <v>0</v>
      </c>
      <c r="K7" s="102">
        <f>(IF((VLOOKUP(Table6[[#This Row],[SKU]],'All Skus'!$A:$AC,2,FALSE))="JBL",(VLOOKUP(Table6[[#This Row],[SKU]],'All Skus'!$A:$AC,13,FALSE)),""))</f>
        <v>0</v>
      </c>
      <c r="L7" s="102">
        <f>(IF((VLOOKUP(Table6[[#This Row],[SKU]],'All Skus'!$A:$AC,2,FALSE))="JBL",(VLOOKUP(Table6[[#This Row],[SKU]],'All Skus'!$A:$AC,14,FALSE)),""))</f>
        <v>0</v>
      </c>
      <c r="M7" s="143">
        <f>(IF((VLOOKUP(Table6[[#This Row],[SKU]],'All Skus'!$A:$AC,2,FALSE))="JBL",(VLOOKUP(Table6[[#This Row],[SKU]],'All Skus'!$A:$AC,15,FALSE)),""))</f>
        <v>0</v>
      </c>
      <c r="N7" s="137">
        <f>(IF((VLOOKUP(Table6[[#This Row],[SKU]],'All Skus'!$A:$AC,2,FALSE))="JBL",(VLOOKUP(Table6[[#This Row],[SKU]],'All Skus'!$A:$AC,16,FALSE)),""))</f>
        <v>0</v>
      </c>
      <c r="O7" s="61">
        <f>(IF((VLOOKUP(Table6[[#This Row],[SKU]],'All Skus'!$A:$AC,2,FALSE))="JBL",(VLOOKUP(Table6[[#This Row],[SKU]],'All Skus'!$A:$AC,17,FALSE)),""))</f>
        <v>0</v>
      </c>
      <c r="P7" s="136">
        <f>(IF((VLOOKUP(Table6[[#This Row],[SKU]],'All Skus'!$A:$AC,2,FALSE))="JBL",(VLOOKUP(Table6[[#This Row],[SKU]],'All Skus'!$A:$AC,18,FALSE)),""))</f>
        <v>0</v>
      </c>
      <c r="Q7" s="136">
        <f>(IF((VLOOKUP(Table6[[#This Row],[SKU]],'All Skus'!$A:$AC,2,FALSE))="JBL",(VLOOKUP(Table6[[#This Row],[SKU]],'All Skus'!$A:$AC,19,FALSE)),""))</f>
        <v>0</v>
      </c>
      <c r="R7" s="136">
        <f>(IF((VLOOKUP(Table6[[#This Row],[SKU]],'All Skus'!$A:$AC,2,FALSE))="JBL",(VLOOKUP(Table6[[#This Row],[SKU]],'All Skus'!$A:$AC,20,FALSE)),""))</f>
        <v>0</v>
      </c>
      <c r="S7" s="61">
        <f>(IF((VLOOKUP(Table6[[#This Row],[SKU]],'All Skus'!$A:$AC,2,FALSE))="JBL",(VLOOKUP(Table6[[#This Row],[SKU]],'All Skus'!$A:$AC,21,FALSE)),""))</f>
        <v>0</v>
      </c>
      <c r="T7" s="61">
        <f>(IF((VLOOKUP(Table6[[#This Row],[SKU]],'All Skus'!$A:$AC,2,FALSE))="JBL",(VLOOKUP(Table6[[#This Row],[SKU]],'All Skus'!$A:$AC,22,FALSE)),""))</f>
        <v>0</v>
      </c>
      <c r="U7">
        <f>(IF((VLOOKUP(Table6[[#This Row],[SKU]],'All Skus'!$A:$AC,2,FALSE))="JBL",(VLOOKUP(Table6[[#This Row],[SKU]],'All Skus'!$A:$AC,23,FALSE)),""))</f>
        <v>0</v>
      </c>
      <c r="V7" s="284" t="str">
        <f>HYPERLINK((IF((VLOOKUP(Table6[[#This Row],[SKU]],'All Skus'!$A:$AC,2,FALSE))="JBL",(VLOOKUP(Table6[[#This Row],[SKU]],'All Skus'!$A:$AC,24,FALSE)),"")))</f>
        <v/>
      </c>
      <c r="W7" s="151">
        <v>5</v>
      </c>
    </row>
    <row r="8" spans="1:23" ht="15" hidden="1" customHeight="1">
      <c r="A8" s="13" t="s">
        <v>1016</v>
      </c>
      <c r="B8" s="12" t="str">
        <f>(IF((VLOOKUP(Table6[[#This Row],[SKU]],'All Skus'!$A:$AC,2,FALSE))="JBL",(VLOOKUP(Table6[[#This Row],[SKU]],'All Skus'!$A:$AC,3,FALSE)),""))</f>
        <v>COMMERCIAL MIXER</v>
      </c>
      <c r="C8" s="12" t="str">
        <f>(IF((VLOOKUP(Table6[[#This Row],[SKU]],'All Skus'!$A:$AC,2,FALSE))="JBL",(VLOOKUP(Table6[[#This Row],[SKU]],'All Skus'!$A:$AC,4,FALSE)),""))</f>
        <v>NCSM14-U-US</v>
      </c>
      <c r="D8" s="61" t="str">
        <f>(IF((VLOOKUP(Table6[[#This Row],[SKU]],'All Skus'!$A:$AC,2,FALSE))="JBL",(VLOOKUP(Table6[[#This Row],[SKU]],'All Skus'!$A:$AC,5,FALSE)),""))</f>
        <v>CSMA</v>
      </c>
      <c r="E8" s="137">
        <f>(IF((VLOOKUP(Table6[[#This Row],[SKU]],'All Skus'!$A:$AC,2,FALSE))="JBL",(VLOOKUP(Table6[[#This Row],[SKU]],'All Skus'!$A:$AC,6,FALSE)),""))</f>
        <v>0</v>
      </c>
      <c r="F8" s="61">
        <f>(IF((VLOOKUP(Table6[[#This Row],[SKU]],'All Skus'!$A:$AC,2,FALSE))="JBL",(VLOOKUP(Table6[[#This Row],[SKU]],'All Skus'!$A:$AC,7,FALSE)),""))</f>
        <v>0</v>
      </c>
      <c r="G8" t="str">
        <f>(IF((VLOOKUP(Table6[[#This Row],[SKU]],'All Skus'!$A:$AC,2,FALSE))="JBL",(VLOOKUP(Table6[[#This Row],[SKU]],'All Skus'!$A:$AC,8,FALSE)),""))</f>
        <v>CSM14</v>
      </c>
      <c r="H8" s="8" t="str">
        <f>(IF((VLOOKUP(Table6[[#This Row],[SKU]],'All Skus'!$A:$AC,2,FALSE))="JBL",(VLOOKUP(Table6[[#This Row],[SKU]],'All Skus'!$A:$AC,9,FALSE)),""))</f>
        <v>4 Input - 1 Output Mixer, Fanless, 1U Half-Rack, Mounting kit included</v>
      </c>
      <c r="I8" s="101">
        <f>(IF((VLOOKUP(Table6[[#This Row],[SKU]],'All Skus'!$A:$AC,2,FALSE))="JBL",(VLOOKUP(Table6[[#This Row],[SKU]],'All Skus'!$A:$AC,10,FALSE)),""))</f>
        <v>598.4</v>
      </c>
      <c r="J8" s="101">
        <f>(IF((VLOOKUP(Table6[[#This Row],[SKU]],'All Skus'!$A:$AC,2,FALSE))="JBL",(VLOOKUP(Table6[[#This Row],[SKU]],'All Skus'!$A:$AC,11,FALSE)),""))</f>
        <v>397</v>
      </c>
      <c r="K8" s="102">
        <f>(IF((VLOOKUP(Table6[[#This Row],[SKU]],'All Skus'!$A:$AC,2,FALSE))="JBL",(VLOOKUP(Table6[[#This Row],[SKU]],'All Skus'!$A:$AC,13,FALSE)),""))</f>
        <v>0</v>
      </c>
      <c r="L8" s="102">
        <f>(IF((VLOOKUP(Table6[[#This Row],[SKU]],'All Skus'!$A:$AC,2,FALSE))="JBL",(VLOOKUP(Table6[[#This Row],[SKU]],'All Skus'!$A:$AC,14,FALSE)),""))</f>
        <v>0</v>
      </c>
      <c r="M8" s="143">
        <f>(IF((VLOOKUP(Table6[[#This Row],[SKU]],'All Skus'!$A:$AC,2,FALSE))="JBL",(VLOOKUP(Table6[[#This Row],[SKU]],'All Skus'!$A:$AC,15,FALSE)),""))</f>
        <v>0</v>
      </c>
      <c r="N8" s="137">
        <f>(IF((VLOOKUP(Table6[[#This Row],[SKU]],'All Skus'!$A:$AC,2,FALSE))="JBL",(VLOOKUP(Table6[[#This Row],[SKU]],'All Skus'!$A:$AC,16,FALSE)),""))</f>
        <v>871015008608</v>
      </c>
      <c r="O8" s="61">
        <f>(IF((VLOOKUP(Table6[[#This Row],[SKU]],'All Skus'!$A:$AC,2,FALSE))="JBL",(VLOOKUP(Table6[[#This Row],[SKU]],'All Skus'!$A:$AC,17,FALSE)),""))</f>
        <v>0</v>
      </c>
      <c r="P8" s="136">
        <f>(IF((VLOOKUP(Table6[[#This Row],[SKU]],'All Skus'!$A:$AC,2,FALSE))="JBL",(VLOOKUP(Table6[[#This Row],[SKU]],'All Skus'!$A:$AC,18,FALSE)),""))</f>
        <v>7</v>
      </c>
      <c r="Q8" s="136">
        <f>(IF((VLOOKUP(Table6[[#This Row],[SKU]],'All Skus'!$A:$AC,2,FALSE))="JBL",(VLOOKUP(Table6[[#This Row],[SKU]],'All Skus'!$A:$AC,19,FALSE)),""))</f>
        <v>12</v>
      </c>
      <c r="R8" s="136">
        <f>(IF((VLOOKUP(Table6[[#This Row],[SKU]],'All Skus'!$A:$AC,2,FALSE))="JBL",(VLOOKUP(Table6[[#This Row],[SKU]],'All Skus'!$A:$AC,20,FALSE)),""))</f>
        <v>16.5</v>
      </c>
      <c r="S8" s="61">
        <f>(IF((VLOOKUP(Table6[[#This Row],[SKU]],'All Skus'!$A:$AC,2,FALSE))="JBL",(VLOOKUP(Table6[[#This Row],[SKU]],'All Skus'!$A:$AC,21,FALSE)),""))</f>
        <v>5</v>
      </c>
      <c r="T8" s="61" t="str">
        <f>(IF((VLOOKUP(Table6[[#This Row],[SKU]],'All Skus'!$A:$AC,2,FALSE))="JBL",(VLOOKUP(Table6[[#This Row],[SKU]],'All Skus'!$A:$AC,22,FALSE)),""))</f>
        <v>MX</v>
      </c>
      <c r="U8" t="str">
        <f>(IF((VLOOKUP(Table6[[#This Row],[SKU]],'All Skus'!$A:$AC,2,FALSE))="JBL",(VLOOKUP(Table6[[#This Row],[SKU]],'All Skus'!$A:$AC,23,FALSE)),""))</f>
        <v>Compliant</v>
      </c>
      <c r="V8" s="284" t="str">
        <f>HYPERLINK((IF((VLOOKUP(Table6[[#This Row],[SKU]],'All Skus'!$A:$AC,2,FALSE))="JBL",(VLOOKUP(Table6[[#This Row],[SKU]],'All Skus'!$A:$AC,24,FALSE)),"")))</f>
        <v>http://jblcommercialproducts.com/en-US/products/csm-14</v>
      </c>
      <c r="W8" s="151">
        <v>6</v>
      </c>
    </row>
    <row r="9" spans="1:23" ht="15" hidden="1" customHeight="1">
      <c r="A9" s="13" t="s">
        <v>1017</v>
      </c>
      <c r="B9" s="12" t="str">
        <f>(IF((VLOOKUP(Table6[[#This Row],[SKU]],'All Skus'!$A:$AC,2,FALSE))="JBL",(VLOOKUP(Table6[[#This Row],[SKU]],'All Skus'!$A:$AC,3,FALSE)),""))</f>
        <v>COMMERCIAL MIXER</v>
      </c>
      <c r="C9" s="12" t="str">
        <f>(IF((VLOOKUP(Table6[[#This Row],[SKU]],'All Skus'!$A:$AC,2,FALSE))="JBL",(VLOOKUP(Table6[[#This Row],[SKU]],'All Skus'!$A:$AC,4,FALSE)),""))</f>
        <v>NCSM28-U-US</v>
      </c>
      <c r="D9" s="61" t="str">
        <f>(IF((VLOOKUP(Table6[[#This Row],[SKU]],'All Skus'!$A:$AC,2,FALSE))="JBL",(VLOOKUP(Table6[[#This Row],[SKU]],'All Skus'!$A:$AC,5,FALSE)),""))</f>
        <v>CSMA</v>
      </c>
      <c r="E9" s="137">
        <f>(IF((VLOOKUP(Table6[[#This Row],[SKU]],'All Skus'!$A:$AC,2,FALSE))="JBL",(VLOOKUP(Table6[[#This Row],[SKU]],'All Skus'!$A:$AC,6,FALSE)),""))</f>
        <v>0</v>
      </c>
      <c r="F9" s="61">
        <f>(IF((VLOOKUP(Table6[[#This Row],[SKU]],'All Skus'!$A:$AC,2,FALSE))="JBL",(VLOOKUP(Table6[[#This Row],[SKU]],'All Skus'!$A:$AC,7,FALSE)),""))</f>
        <v>0</v>
      </c>
      <c r="G9" t="str">
        <f>(IF((VLOOKUP(Table6[[#This Row],[SKU]],'All Skus'!$A:$AC,2,FALSE))="JBL",(VLOOKUP(Table6[[#This Row],[SKU]],'All Skus'!$A:$AC,8,FALSE)),""))</f>
        <v>CSM28</v>
      </c>
      <c r="H9" s="8" t="str">
        <f>(IF((VLOOKUP(Table6[[#This Row],[SKU]],'All Skus'!$A:$AC,2,FALSE))="JBL",(VLOOKUP(Table6[[#This Row],[SKU]],'All Skus'!$A:$AC,9,FALSE)),""))</f>
        <v>8 Input - 2 Output Mixer, Fanless, 1U Full-Rack, Mounting kit included</v>
      </c>
      <c r="I9" s="101">
        <f>(IF((VLOOKUP(Table6[[#This Row],[SKU]],'All Skus'!$A:$AC,2,FALSE))="JBL",(VLOOKUP(Table6[[#This Row],[SKU]],'All Skus'!$A:$AC,10,FALSE)),""))</f>
        <v>852.33</v>
      </c>
      <c r="J9" s="101">
        <f>(IF((VLOOKUP(Table6[[#This Row],[SKU]],'All Skus'!$A:$AC,2,FALSE))="JBL",(VLOOKUP(Table6[[#This Row],[SKU]],'All Skus'!$A:$AC,11,FALSE)),""))</f>
        <v>556</v>
      </c>
      <c r="K9" s="102">
        <f>(IF((VLOOKUP(Table6[[#This Row],[SKU]],'All Skus'!$A:$AC,2,FALSE))="JBL",(VLOOKUP(Table6[[#This Row],[SKU]],'All Skus'!$A:$AC,13,FALSE)),""))</f>
        <v>0</v>
      </c>
      <c r="L9" s="102">
        <f>(IF((VLOOKUP(Table6[[#This Row],[SKU]],'All Skus'!$A:$AC,2,FALSE))="JBL",(VLOOKUP(Table6[[#This Row],[SKU]],'All Skus'!$A:$AC,14,FALSE)),""))</f>
        <v>0</v>
      </c>
      <c r="M9" s="143">
        <f>(IF((VLOOKUP(Table6[[#This Row],[SKU]],'All Skus'!$A:$AC,2,FALSE))="JBL",(VLOOKUP(Table6[[#This Row],[SKU]],'All Skus'!$A:$AC,15,FALSE)),""))</f>
        <v>0</v>
      </c>
      <c r="N9" s="137">
        <f>(IF((VLOOKUP(Table6[[#This Row],[SKU]],'All Skus'!$A:$AC,2,FALSE))="JBL",(VLOOKUP(Table6[[#This Row],[SKU]],'All Skus'!$A:$AC,16,FALSE)),""))</f>
        <v>871015008585</v>
      </c>
      <c r="O9" s="61">
        <f>(IF((VLOOKUP(Table6[[#This Row],[SKU]],'All Skus'!$A:$AC,2,FALSE))="JBL",(VLOOKUP(Table6[[#This Row],[SKU]],'All Skus'!$A:$AC,17,FALSE)),""))</f>
        <v>0</v>
      </c>
      <c r="P9" s="136">
        <f>(IF((VLOOKUP(Table6[[#This Row],[SKU]],'All Skus'!$A:$AC,2,FALSE))="JBL",(VLOOKUP(Table6[[#This Row],[SKU]],'All Skus'!$A:$AC,18,FALSE)),""))</f>
        <v>10.5</v>
      </c>
      <c r="Q9" s="136">
        <f>(IF((VLOOKUP(Table6[[#This Row],[SKU]],'All Skus'!$A:$AC,2,FALSE))="JBL",(VLOOKUP(Table6[[#This Row],[SKU]],'All Skus'!$A:$AC,19,FALSE)),""))</f>
        <v>16</v>
      </c>
      <c r="R9" s="136">
        <f>(IF((VLOOKUP(Table6[[#This Row],[SKU]],'All Skus'!$A:$AC,2,FALSE))="JBL",(VLOOKUP(Table6[[#This Row],[SKU]],'All Skus'!$A:$AC,20,FALSE)),""))</f>
        <v>20.5</v>
      </c>
      <c r="S9" s="61">
        <f>(IF((VLOOKUP(Table6[[#This Row],[SKU]],'All Skus'!$A:$AC,2,FALSE))="JBL",(VLOOKUP(Table6[[#This Row],[SKU]],'All Skus'!$A:$AC,21,FALSE)),""))</f>
        <v>5</v>
      </c>
      <c r="T9" s="61" t="str">
        <f>(IF((VLOOKUP(Table6[[#This Row],[SKU]],'All Skus'!$A:$AC,2,FALSE))="JBL",(VLOOKUP(Table6[[#This Row],[SKU]],'All Skus'!$A:$AC,22,FALSE)),""))</f>
        <v>MX</v>
      </c>
      <c r="U9" t="str">
        <f>(IF((VLOOKUP(Table6[[#This Row],[SKU]],'All Skus'!$A:$AC,2,FALSE))="JBL",(VLOOKUP(Table6[[#This Row],[SKU]],'All Skus'!$A:$AC,23,FALSE)),""))</f>
        <v>Compliant</v>
      </c>
      <c r="V9" s="284" t="str">
        <f>HYPERLINK((IF((VLOOKUP(Table6[[#This Row],[SKU]],'All Skus'!$A:$AC,2,FALSE))="JBL",(VLOOKUP(Table6[[#This Row],[SKU]],'All Skus'!$A:$AC,24,FALSE)),"")))</f>
        <v>http://jblcommercialproducts.com/en-US/products/csm-28</v>
      </c>
      <c r="W9" s="151">
        <v>7</v>
      </c>
    </row>
    <row r="10" spans="1:23" ht="15" hidden="1" customHeight="1">
      <c r="A10" s="13" t="s">
        <v>1018</v>
      </c>
      <c r="B10" s="12">
        <f>(IF((VLOOKUP(Table6[[#This Row],[SKU]],'All Skus'!$A:$AC,2,FALSE))="JBL",(VLOOKUP(Table6[[#This Row],[SKU]],'All Skus'!$A:$AC,3,FALSE)),""))</f>
        <v>0</v>
      </c>
      <c r="C10" s="12">
        <f>(IF((VLOOKUP(Table6[[#This Row],[SKU]],'All Skus'!$A:$AC,2,FALSE))="JBL",(VLOOKUP(Table6[[#This Row],[SKU]],'All Skus'!$A:$AC,4,FALSE)),""))</f>
        <v>0</v>
      </c>
      <c r="D10" s="61">
        <f>(IF((VLOOKUP(Table6[[#This Row],[SKU]],'All Skus'!$A:$AC,2,FALSE))="JBL",(VLOOKUP(Table6[[#This Row],[SKU]],'All Skus'!$A:$AC,5,FALSE)),""))</f>
        <v>0</v>
      </c>
      <c r="E10" s="137">
        <f>(IF((VLOOKUP(Table6[[#This Row],[SKU]],'All Skus'!$A:$AC,2,FALSE))="JBL",(VLOOKUP(Table6[[#This Row],[SKU]],'All Skus'!$A:$AC,6,FALSE)),""))</f>
        <v>0</v>
      </c>
      <c r="F10" s="61">
        <f>(IF((VLOOKUP(Table6[[#This Row],[SKU]],'All Skus'!$A:$AC,2,FALSE))="JBL",(VLOOKUP(Table6[[#This Row],[SKU]],'All Skus'!$A:$AC,7,FALSE)),""))</f>
        <v>0</v>
      </c>
      <c r="G10">
        <f>(IF((VLOOKUP(Table6[[#This Row],[SKU]],'All Skus'!$A:$AC,2,FALSE))="JBL",(VLOOKUP(Table6[[#This Row],[SKU]],'All Skus'!$A:$AC,8,FALSE)),""))</f>
        <v>0</v>
      </c>
      <c r="H10" s="8">
        <f>(IF((VLOOKUP(Table6[[#This Row],[SKU]],'All Skus'!$A:$AC,2,FALSE))="JBL",(VLOOKUP(Table6[[#This Row],[SKU]],'All Skus'!$A:$AC,9,FALSE)),""))</f>
        <v>0</v>
      </c>
      <c r="I10" s="101">
        <f>(IF((VLOOKUP(Table6[[#This Row],[SKU]],'All Skus'!$A:$AC,2,FALSE))="JBL",(VLOOKUP(Table6[[#This Row],[SKU]],'All Skus'!$A:$AC,10,FALSE)),""))</f>
        <v>0</v>
      </c>
      <c r="J10" s="101">
        <f>(IF((VLOOKUP(Table6[[#This Row],[SKU]],'All Skus'!$A:$AC,2,FALSE))="JBL",(VLOOKUP(Table6[[#This Row],[SKU]],'All Skus'!$A:$AC,11,FALSE)),""))</f>
        <v>0</v>
      </c>
      <c r="K10" s="102">
        <f>(IF((VLOOKUP(Table6[[#This Row],[SKU]],'All Skus'!$A:$AC,2,FALSE))="JBL",(VLOOKUP(Table6[[#This Row],[SKU]],'All Skus'!$A:$AC,13,FALSE)),""))</f>
        <v>0</v>
      </c>
      <c r="L10" s="102">
        <f>(IF((VLOOKUP(Table6[[#This Row],[SKU]],'All Skus'!$A:$AC,2,FALSE))="JBL",(VLOOKUP(Table6[[#This Row],[SKU]],'All Skus'!$A:$AC,14,FALSE)),""))</f>
        <v>0</v>
      </c>
      <c r="M10" s="143">
        <f>(IF((VLOOKUP(Table6[[#This Row],[SKU]],'All Skus'!$A:$AC,2,FALSE))="JBL",(VLOOKUP(Table6[[#This Row],[SKU]],'All Skus'!$A:$AC,15,FALSE)),""))</f>
        <v>0</v>
      </c>
      <c r="N10" s="137">
        <f>(IF((VLOOKUP(Table6[[#This Row],[SKU]],'All Skus'!$A:$AC,2,FALSE))="JBL",(VLOOKUP(Table6[[#This Row],[SKU]],'All Skus'!$A:$AC,16,FALSE)),""))</f>
        <v>0</v>
      </c>
      <c r="O10" s="61">
        <f>(IF((VLOOKUP(Table6[[#This Row],[SKU]],'All Skus'!$A:$AC,2,FALSE))="JBL",(VLOOKUP(Table6[[#This Row],[SKU]],'All Skus'!$A:$AC,17,FALSE)),""))</f>
        <v>0</v>
      </c>
      <c r="P10" s="136">
        <f>(IF((VLOOKUP(Table6[[#This Row],[SKU]],'All Skus'!$A:$AC,2,FALSE))="JBL",(VLOOKUP(Table6[[#This Row],[SKU]],'All Skus'!$A:$AC,18,FALSE)),""))</f>
        <v>0</v>
      </c>
      <c r="Q10" s="136">
        <f>(IF((VLOOKUP(Table6[[#This Row],[SKU]],'All Skus'!$A:$AC,2,FALSE))="JBL",(VLOOKUP(Table6[[#This Row],[SKU]],'All Skus'!$A:$AC,19,FALSE)),""))</f>
        <v>0</v>
      </c>
      <c r="R10" s="136">
        <f>(IF((VLOOKUP(Table6[[#This Row],[SKU]],'All Skus'!$A:$AC,2,FALSE))="JBL",(VLOOKUP(Table6[[#This Row],[SKU]],'All Skus'!$A:$AC,20,FALSE)),""))</f>
        <v>0</v>
      </c>
      <c r="S10" s="61">
        <f>(IF((VLOOKUP(Table6[[#This Row],[SKU]],'All Skus'!$A:$AC,2,FALSE))="JBL",(VLOOKUP(Table6[[#This Row],[SKU]],'All Skus'!$A:$AC,21,FALSE)),""))</f>
        <v>0</v>
      </c>
      <c r="T10" s="61">
        <f>(IF((VLOOKUP(Table6[[#This Row],[SKU]],'All Skus'!$A:$AC,2,FALSE))="JBL",(VLOOKUP(Table6[[#This Row],[SKU]],'All Skus'!$A:$AC,22,FALSE)),""))</f>
        <v>0</v>
      </c>
      <c r="U10">
        <f>(IF((VLOOKUP(Table6[[#This Row],[SKU]],'All Skus'!$A:$AC,2,FALSE))="JBL",(VLOOKUP(Table6[[#This Row],[SKU]],'All Skus'!$A:$AC,23,FALSE)),""))</f>
        <v>0</v>
      </c>
      <c r="V10" s="284" t="str">
        <f>HYPERLINK((IF((VLOOKUP(Table6[[#This Row],[SKU]],'All Skus'!$A:$AC,2,FALSE))="JBL",(VLOOKUP(Table6[[#This Row],[SKU]],'All Skus'!$A:$AC,24,FALSE)),"")))</f>
        <v/>
      </c>
      <c r="W10" s="151">
        <v>8</v>
      </c>
    </row>
    <row r="11" spans="1:23" ht="15" hidden="1" customHeight="1">
      <c r="A11" s="13" t="s">
        <v>1019</v>
      </c>
      <c r="B11" s="12" t="str">
        <f>(IF((VLOOKUP(Table6[[#This Row],[SKU]],'All Skus'!$A:$AC,2,FALSE))="JBL",(VLOOKUP(Table6[[#This Row],[SKU]],'All Skus'!$A:$AC,3,FALSE)),""))</f>
        <v>Commercial Mixer-Amplifier</v>
      </c>
      <c r="C11" s="12" t="str">
        <f>(IF((VLOOKUP(Table6[[#This Row],[SKU]],'All Skus'!$A:$AC,2,FALSE))="JBL",(VLOOKUP(Table6[[#This Row],[SKU]],'All Skus'!$A:$AC,4,FALSE)),""))</f>
        <v>NVMA1120-0-US</v>
      </c>
      <c r="D11" s="61" t="str">
        <f>(IF((VLOOKUP(Table6[[#This Row],[SKU]],'All Skus'!$A:$AC,2,FALSE))="JBL",(VLOOKUP(Table6[[#This Row],[SKU]],'All Skus'!$A:$AC,5,FALSE)),""))</f>
        <v>VSERIES</v>
      </c>
      <c r="E11" s="137">
        <f>(IF((VLOOKUP(Table6[[#This Row],[SKU]],'All Skus'!$A:$AC,2,FALSE))="JBL",(VLOOKUP(Table6[[#This Row],[SKU]],'All Skus'!$A:$AC,6,FALSE)),""))</f>
        <v>0</v>
      </c>
      <c r="F11" s="61">
        <f>(IF((VLOOKUP(Table6[[#This Row],[SKU]],'All Skus'!$A:$AC,2,FALSE))="JBL",(VLOOKUP(Table6[[#This Row],[SKU]],'All Skus'!$A:$AC,7,FALSE)),""))</f>
        <v>0</v>
      </c>
      <c r="G11" t="str">
        <f>(IF((VLOOKUP(Table6[[#This Row],[SKU]],'All Skus'!$A:$AC,2,FALSE))="JBL",(VLOOKUP(Table6[[#This Row],[SKU]],'All Skus'!$A:$AC,8,FALSE)),""))</f>
        <v>VMA1120</v>
      </c>
      <c r="H11" s="8" t="str">
        <f>(IF((VLOOKUP(Table6[[#This Row],[SKU]],'All Skus'!$A:$AC,2,FALSE))="JBL",(VLOOKUP(Table6[[#This Row],[SKU]],'All Skus'!$A:$AC,9,FALSE)),""))</f>
        <v>VMA 1120: (5) input channel x (1) 120W output channel Mixer/Amplifier</v>
      </c>
      <c r="I11" s="101">
        <f>(IF((VLOOKUP(Table6[[#This Row],[SKU]],'All Skus'!$A:$AC,2,FALSE))="JBL",(VLOOKUP(Table6[[#This Row],[SKU]],'All Skus'!$A:$AC,10,FALSE)),""))</f>
        <v>671.71</v>
      </c>
      <c r="J11" s="101">
        <f>(IF((VLOOKUP(Table6[[#This Row],[SKU]],'All Skus'!$A:$AC,2,FALSE))="JBL",(VLOOKUP(Table6[[#This Row],[SKU]],'All Skus'!$A:$AC,11,FALSE)),""))</f>
        <v>0</v>
      </c>
      <c r="K11" s="102">
        <f>(IF((VLOOKUP(Table6[[#This Row],[SKU]],'All Skus'!$A:$AC,2,FALSE))="JBL",(VLOOKUP(Table6[[#This Row],[SKU]],'All Skus'!$A:$AC,13,FALSE)),""))</f>
        <v>0</v>
      </c>
      <c r="L11" s="102">
        <f>(IF((VLOOKUP(Table6[[#This Row],[SKU]],'All Skus'!$A:$AC,2,FALSE))="JBL",(VLOOKUP(Table6[[#This Row],[SKU]],'All Skus'!$A:$AC,14,FALSE)),""))</f>
        <v>0</v>
      </c>
      <c r="M11" s="143">
        <f>(IF((VLOOKUP(Table6[[#This Row],[SKU]],'All Skus'!$A:$AC,2,FALSE))="JBL",(VLOOKUP(Table6[[#This Row],[SKU]],'All Skus'!$A:$AC,15,FALSE)),""))</f>
        <v>0</v>
      </c>
      <c r="N11" s="137">
        <f>(IF((VLOOKUP(Table6[[#This Row],[SKU]],'All Skus'!$A:$AC,2,FALSE))="JBL",(VLOOKUP(Table6[[#This Row],[SKU]],'All Skus'!$A:$AC,16,FALSE)),""))</f>
        <v>691991004414</v>
      </c>
      <c r="O11" s="61">
        <f>(IF((VLOOKUP(Table6[[#This Row],[SKU]],'All Skus'!$A:$AC,2,FALSE))="JBL",(VLOOKUP(Table6[[#This Row],[SKU]],'All Skus'!$A:$AC,17,FALSE)),""))</f>
        <v>0</v>
      </c>
      <c r="P11" s="136">
        <f>(IF((VLOOKUP(Table6[[#This Row],[SKU]],'All Skus'!$A:$AC,2,FALSE))="JBL",(VLOOKUP(Table6[[#This Row],[SKU]],'All Skus'!$A:$AC,18,FALSE)),""))</f>
        <v>33</v>
      </c>
      <c r="Q11" s="136">
        <f>(IF((VLOOKUP(Table6[[#This Row],[SKU]],'All Skus'!$A:$AC,2,FALSE))="JBL",(VLOOKUP(Table6[[#This Row],[SKU]],'All Skus'!$A:$AC,19,FALSE)),""))</f>
        <v>19</v>
      </c>
      <c r="R11" s="136">
        <f>(IF((VLOOKUP(Table6[[#This Row],[SKU]],'All Skus'!$A:$AC,2,FALSE))="JBL",(VLOOKUP(Table6[[#This Row],[SKU]],'All Skus'!$A:$AC,20,FALSE)),""))</f>
        <v>13</v>
      </c>
      <c r="S11" s="61">
        <f>(IF((VLOOKUP(Table6[[#This Row],[SKU]],'All Skus'!$A:$AC,2,FALSE))="JBL",(VLOOKUP(Table6[[#This Row],[SKU]],'All Skus'!$A:$AC,21,FALSE)),""))</f>
        <v>9.5</v>
      </c>
      <c r="T11" s="61" t="str">
        <f>(IF((VLOOKUP(Table6[[#This Row],[SKU]],'All Skus'!$A:$AC,2,FALSE))="JBL",(VLOOKUP(Table6[[#This Row],[SKU]],'All Skus'!$A:$AC,22,FALSE)),""))</f>
        <v>CN</v>
      </c>
      <c r="U11" t="str">
        <f>(IF((VLOOKUP(Table6[[#This Row],[SKU]],'All Skus'!$A:$AC,2,FALSE))="JBL",(VLOOKUP(Table6[[#This Row],[SKU]],'All Skus'!$A:$AC,23,FALSE)),""))</f>
        <v>Non Compliant</v>
      </c>
      <c r="V11" s="284" t="str">
        <f>HYPERLINK((IF((VLOOKUP(Table6[[#This Row],[SKU]],'All Skus'!$A:$AC,2,FALSE))="JBL",(VLOOKUP(Table6[[#This Row],[SKU]],'All Skus'!$A:$AC,24,FALSE)),"")))</f>
        <v/>
      </c>
      <c r="W11" s="151">
        <v>9</v>
      </c>
    </row>
    <row r="12" spans="1:23" ht="15" hidden="1" customHeight="1">
      <c r="A12" s="13" t="s">
        <v>1020</v>
      </c>
      <c r="B12" s="12" t="str">
        <f>(IF((VLOOKUP(Table6[[#This Row],[SKU]],'All Skus'!$A:$AC,2,FALSE))="JBL",(VLOOKUP(Table6[[#This Row],[SKU]],'All Skus'!$A:$AC,3,FALSE)),""))</f>
        <v>Commercial Mixer-Amplifier</v>
      </c>
      <c r="C12" s="12" t="str">
        <f>(IF((VLOOKUP(Table6[[#This Row],[SKU]],'All Skus'!$A:$AC,2,FALSE))="JBL",(VLOOKUP(Table6[[#This Row],[SKU]],'All Skus'!$A:$AC,4,FALSE)),""))</f>
        <v>NVMA1240-0-US</v>
      </c>
      <c r="D12" s="61" t="str">
        <f>(IF((VLOOKUP(Table6[[#This Row],[SKU]],'All Skus'!$A:$AC,2,FALSE))="JBL",(VLOOKUP(Table6[[#This Row],[SKU]],'All Skus'!$A:$AC,5,FALSE)),""))</f>
        <v>VSERIES</v>
      </c>
      <c r="E12" s="137">
        <f>(IF((VLOOKUP(Table6[[#This Row],[SKU]],'All Skus'!$A:$AC,2,FALSE))="JBL",(VLOOKUP(Table6[[#This Row],[SKU]],'All Skus'!$A:$AC,6,FALSE)),""))</f>
        <v>0</v>
      </c>
      <c r="F12" s="61">
        <f>(IF((VLOOKUP(Table6[[#This Row],[SKU]],'All Skus'!$A:$AC,2,FALSE))="JBL",(VLOOKUP(Table6[[#This Row],[SKU]],'All Skus'!$A:$AC,7,FALSE)),""))</f>
        <v>0</v>
      </c>
      <c r="G12" t="str">
        <f>(IF((VLOOKUP(Table6[[#This Row],[SKU]],'All Skus'!$A:$AC,2,FALSE))="JBL",(VLOOKUP(Table6[[#This Row],[SKU]],'All Skus'!$A:$AC,8,FALSE)),""))</f>
        <v>VMA1240</v>
      </c>
      <c r="H12" s="8" t="str">
        <f>(IF((VLOOKUP(Table6[[#This Row],[SKU]],'All Skus'!$A:$AC,2,FALSE))="JBL",(VLOOKUP(Table6[[#This Row],[SKU]],'All Skus'!$A:$AC,9,FALSE)),""))</f>
        <v>VMA 1240: (5) input channel x (1) 240W output channel Mixer/Amplifier</v>
      </c>
      <c r="I12" s="101">
        <f>(IF((VLOOKUP(Table6[[#This Row],[SKU]],'All Skus'!$A:$AC,2,FALSE))="JBL",(VLOOKUP(Table6[[#This Row],[SKU]],'All Skus'!$A:$AC,10,FALSE)),""))</f>
        <v>817.2</v>
      </c>
      <c r="J12" s="101">
        <f>(IF((VLOOKUP(Table6[[#This Row],[SKU]],'All Skus'!$A:$AC,2,FALSE))="JBL",(VLOOKUP(Table6[[#This Row],[SKU]],'All Skus'!$A:$AC,11,FALSE)),""))</f>
        <v>0</v>
      </c>
      <c r="K12" s="102">
        <f>(IF((VLOOKUP(Table6[[#This Row],[SKU]],'All Skus'!$A:$AC,2,FALSE))="JBL",(VLOOKUP(Table6[[#This Row],[SKU]],'All Skus'!$A:$AC,13,FALSE)),""))</f>
        <v>0</v>
      </c>
      <c r="L12" s="102">
        <f>(IF((VLOOKUP(Table6[[#This Row],[SKU]],'All Skus'!$A:$AC,2,FALSE))="JBL",(VLOOKUP(Table6[[#This Row],[SKU]],'All Skus'!$A:$AC,14,FALSE)),""))</f>
        <v>0</v>
      </c>
      <c r="M12" s="143">
        <f>(IF((VLOOKUP(Table6[[#This Row],[SKU]],'All Skus'!$A:$AC,2,FALSE))="JBL",(VLOOKUP(Table6[[#This Row],[SKU]],'All Skus'!$A:$AC,15,FALSE)),""))</f>
        <v>0</v>
      </c>
      <c r="N12" s="137">
        <f>(IF((VLOOKUP(Table6[[#This Row],[SKU]],'All Skus'!$A:$AC,2,FALSE))="JBL",(VLOOKUP(Table6[[#This Row],[SKU]],'All Skus'!$A:$AC,16,FALSE)),""))</f>
        <v>691991004483</v>
      </c>
      <c r="O12" s="61">
        <f>(IF((VLOOKUP(Table6[[#This Row],[SKU]],'All Skus'!$A:$AC,2,FALSE))="JBL",(VLOOKUP(Table6[[#This Row],[SKU]],'All Skus'!$A:$AC,17,FALSE)),""))</f>
        <v>0</v>
      </c>
      <c r="P12" s="136">
        <f>(IF((VLOOKUP(Table6[[#This Row],[SKU]],'All Skus'!$A:$AC,2,FALSE))="JBL",(VLOOKUP(Table6[[#This Row],[SKU]],'All Skus'!$A:$AC,18,FALSE)),""))</f>
        <v>30</v>
      </c>
      <c r="Q12" s="136">
        <f>(IF((VLOOKUP(Table6[[#This Row],[SKU]],'All Skus'!$A:$AC,2,FALSE))="JBL",(VLOOKUP(Table6[[#This Row],[SKU]],'All Skus'!$A:$AC,19,FALSE)),""))</f>
        <v>21</v>
      </c>
      <c r="R12" s="136">
        <f>(IF((VLOOKUP(Table6[[#This Row],[SKU]],'All Skus'!$A:$AC,2,FALSE))="JBL",(VLOOKUP(Table6[[#This Row],[SKU]],'All Skus'!$A:$AC,20,FALSE)),""))</f>
        <v>7</v>
      </c>
      <c r="S12" s="61">
        <f>(IF((VLOOKUP(Table6[[#This Row],[SKU]],'All Skus'!$A:$AC,2,FALSE))="JBL",(VLOOKUP(Table6[[#This Row],[SKU]],'All Skus'!$A:$AC,21,FALSE)),""))</f>
        <v>21</v>
      </c>
      <c r="T12" s="61" t="str">
        <f>(IF((VLOOKUP(Table6[[#This Row],[SKU]],'All Skus'!$A:$AC,2,FALSE))="JBL",(VLOOKUP(Table6[[#This Row],[SKU]],'All Skus'!$A:$AC,22,FALSE)),""))</f>
        <v>CN</v>
      </c>
      <c r="U12" t="str">
        <f>(IF((VLOOKUP(Table6[[#This Row],[SKU]],'All Skus'!$A:$AC,2,FALSE))="JBL",(VLOOKUP(Table6[[#This Row],[SKU]],'All Skus'!$A:$AC,23,FALSE)),""))</f>
        <v>Non Compliant</v>
      </c>
      <c r="V12" s="284" t="str">
        <f>HYPERLINK((IF((VLOOKUP(Table6[[#This Row],[SKU]],'All Skus'!$A:$AC,2,FALSE))="JBL",(VLOOKUP(Table6[[#This Row],[SKU]],'All Skus'!$A:$AC,24,FALSE)),"")))</f>
        <v/>
      </c>
      <c r="W12" s="151">
        <v>10</v>
      </c>
    </row>
    <row r="13" spans="1:23" ht="15" hidden="1" customHeight="1">
      <c r="A13" s="13" t="s">
        <v>1021</v>
      </c>
      <c r="B13" s="12" t="str">
        <f>(IF((VLOOKUP(Table6[[#This Row],[SKU]],'All Skus'!$A:$AC,2,FALSE))="JBL",(VLOOKUP(Table6[[#This Row],[SKU]],'All Skus'!$A:$AC,3,FALSE)),""))</f>
        <v>Commercial Mixer-Amplifier</v>
      </c>
      <c r="C13" s="12" t="str">
        <f>(IF((VLOOKUP(Table6[[#This Row],[SKU]],'All Skus'!$A:$AC,2,FALSE))="JBL",(VLOOKUP(Table6[[#This Row],[SKU]],'All Skus'!$A:$AC,4,FALSE)),""))</f>
        <v>NVMA160-0-US</v>
      </c>
      <c r="D13" s="61" t="str">
        <f>(IF((VLOOKUP(Table6[[#This Row],[SKU]],'All Skus'!$A:$AC,2,FALSE))="JBL",(VLOOKUP(Table6[[#This Row],[SKU]],'All Skus'!$A:$AC,5,FALSE)),""))</f>
        <v>VSERIES</v>
      </c>
      <c r="E13" s="137">
        <f>(IF((VLOOKUP(Table6[[#This Row],[SKU]],'All Skus'!$A:$AC,2,FALSE))="JBL",(VLOOKUP(Table6[[#This Row],[SKU]],'All Skus'!$A:$AC,6,FALSE)),""))</f>
        <v>0</v>
      </c>
      <c r="F13" s="61">
        <f>(IF((VLOOKUP(Table6[[#This Row],[SKU]],'All Skus'!$A:$AC,2,FALSE))="JBL",(VLOOKUP(Table6[[#This Row],[SKU]],'All Skus'!$A:$AC,7,FALSE)),""))</f>
        <v>0</v>
      </c>
      <c r="G13" t="str">
        <f>(IF((VLOOKUP(Table6[[#This Row],[SKU]],'All Skus'!$A:$AC,2,FALSE))="JBL",(VLOOKUP(Table6[[#This Row],[SKU]],'All Skus'!$A:$AC,8,FALSE)),""))</f>
        <v xml:space="preserve">VMA160 </v>
      </c>
      <c r="H13" s="8" t="str">
        <f>(IF((VLOOKUP(Table6[[#This Row],[SKU]],'All Skus'!$A:$AC,2,FALSE))="JBL",(VLOOKUP(Table6[[#This Row],[SKU]],'All Skus'!$A:$AC,9,FALSE)),""))</f>
        <v>VMA 160: (5) input channel x (1) 60W output channel Mixer/Amplifier</v>
      </c>
      <c r="I13" s="101">
        <f>(IF((VLOOKUP(Table6[[#This Row],[SKU]],'All Skus'!$A:$AC,2,FALSE))="JBL",(VLOOKUP(Table6[[#This Row],[SKU]],'All Skus'!$A:$AC,10,FALSE)),""))</f>
        <v>526.21</v>
      </c>
      <c r="J13" s="101">
        <f>(IF((VLOOKUP(Table6[[#This Row],[SKU]],'All Skus'!$A:$AC,2,FALSE))="JBL",(VLOOKUP(Table6[[#This Row],[SKU]],'All Skus'!$A:$AC,11,FALSE)),""))</f>
        <v>0</v>
      </c>
      <c r="K13" s="102">
        <f>(IF((VLOOKUP(Table6[[#This Row],[SKU]],'All Skus'!$A:$AC,2,FALSE))="JBL",(VLOOKUP(Table6[[#This Row],[SKU]],'All Skus'!$A:$AC,13,FALSE)),""))</f>
        <v>0</v>
      </c>
      <c r="L13" s="102">
        <f>(IF((VLOOKUP(Table6[[#This Row],[SKU]],'All Skus'!$A:$AC,2,FALSE))="JBL",(VLOOKUP(Table6[[#This Row],[SKU]],'All Skus'!$A:$AC,14,FALSE)),""))</f>
        <v>0</v>
      </c>
      <c r="M13" s="143">
        <f>(IF((VLOOKUP(Table6[[#This Row],[SKU]],'All Skus'!$A:$AC,2,FALSE))="JBL",(VLOOKUP(Table6[[#This Row],[SKU]],'All Skus'!$A:$AC,15,FALSE)),""))</f>
        <v>0</v>
      </c>
      <c r="N13" s="137">
        <f>(IF((VLOOKUP(Table6[[#This Row],[SKU]],'All Skus'!$A:$AC,2,FALSE))="JBL",(VLOOKUP(Table6[[#This Row],[SKU]],'All Skus'!$A:$AC,16,FALSE)),""))</f>
        <v>691991004346</v>
      </c>
      <c r="O13" s="61">
        <f>(IF((VLOOKUP(Table6[[#This Row],[SKU]],'All Skus'!$A:$AC,2,FALSE))="JBL",(VLOOKUP(Table6[[#This Row],[SKU]],'All Skus'!$A:$AC,17,FALSE)),""))</f>
        <v>0</v>
      </c>
      <c r="P13" s="136">
        <f>(IF((VLOOKUP(Table6[[#This Row],[SKU]],'All Skus'!$A:$AC,2,FALSE))="JBL",(VLOOKUP(Table6[[#This Row],[SKU]],'All Skus'!$A:$AC,18,FALSE)),""))</f>
        <v>27</v>
      </c>
      <c r="Q13" s="136">
        <f>(IF((VLOOKUP(Table6[[#This Row],[SKU]],'All Skus'!$A:$AC,2,FALSE))="JBL",(VLOOKUP(Table6[[#This Row],[SKU]],'All Skus'!$A:$AC,19,FALSE)),""))</f>
        <v>20.5</v>
      </c>
      <c r="R13" s="136">
        <f>(IF((VLOOKUP(Table6[[#This Row],[SKU]],'All Skus'!$A:$AC,2,FALSE))="JBL",(VLOOKUP(Table6[[#This Row],[SKU]],'All Skus'!$A:$AC,20,FALSE)),""))</f>
        <v>6.5</v>
      </c>
      <c r="S13" s="61">
        <f>(IF((VLOOKUP(Table6[[#This Row],[SKU]],'All Skus'!$A:$AC,2,FALSE))="JBL",(VLOOKUP(Table6[[#This Row],[SKU]],'All Skus'!$A:$AC,21,FALSE)),""))</f>
        <v>21</v>
      </c>
      <c r="T13" s="61" t="str">
        <f>(IF((VLOOKUP(Table6[[#This Row],[SKU]],'All Skus'!$A:$AC,2,FALSE))="JBL",(VLOOKUP(Table6[[#This Row],[SKU]],'All Skus'!$A:$AC,22,FALSE)),""))</f>
        <v>CN</v>
      </c>
      <c r="U13" t="str">
        <f>(IF((VLOOKUP(Table6[[#This Row],[SKU]],'All Skus'!$A:$AC,2,FALSE))="JBL",(VLOOKUP(Table6[[#This Row],[SKU]],'All Skus'!$A:$AC,23,FALSE)),""))</f>
        <v>Non Compliant</v>
      </c>
      <c r="V13" s="284" t="str">
        <f>HYPERLINK((IF((VLOOKUP(Table6[[#This Row],[SKU]],'All Skus'!$A:$AC,2,FALSE))="JBL",(VLOOKUP(Table6[[#This Row],[SKU]],'All Skus'!$A:$AC,24,FALSE)),"")))</f>
        <v/>
      </c>
      <c r="W13" s="151">
        <v>11</v>
      </c>
    </row>
    <row r="14" spans="1:23" ht="15" hidden="1" customHeight="1">
      <c r="A14" s="13" t="s">
        <v>1022</v>
      </c>
      <c r="B14" s="12" t="str">
        <f>(IF((VLOOKUP(Table6[[#This Row],[SKU]],'All Skus'!$A:$AC,2,FALSE))="JBL",(VLOOKUP(Table6[[#This Row],[SKU]],'All Skus'!$A:$AC,3,FALSE)),""))</f>
        <v>Commercial Mixer-Amplifier</v>
      </c>
      <c r="C14" s="12" t="str">
        <f>(IF((VLOOKUP(Table6[[#This Row],[SKU]],'All Skus'!$A:$AC,2,FALSE))="JBL",(VLOOKUP(Table6[[#This Row],[SKU]],'All Skus'!$A:$AC,4,FALSE)),""))</f>
        <v>NVMA260-0-US</v>
      </c>
      <c r="D14" s="61" t="str">
        <f>(IF((VLOOKUP(Table6[[#This Row],[SKU]],'All Skus'!$A:$AC,2,FALSE))="JBL",(VLOOKUP(Table6[[#This Row],[SKU]],'All Skus'!$A:$AC,5,FALSE)),""))</f>
        <v>VSERIES</v>
      </c>
      <c r="E14" s="137">
        <f>(IF((VLOOKUP(Table6[[#This Row],[SKU]],'All Skus'!$A:$AC,2,FALSE))="JBL",(VLOOKUP(Table6[[#This Row],[SKU]],'All Skus'!$A:$AC,6,FALSE)),""))</f>
        <v>0</v>
      </c>
      <c r="F14" s="61">
        <f>(IF((VLOOKUP(Table6[[#This Row],[SKU]],'All Skus'!$A:$AC,2,FALSE))="JBL",(VLOOKUP(Table6[[#This Row],[SKU]],'All Skus'!$A:$AC,7,FALSE)),""))</f>
        <v>0</v>
      </c>
      <c r="G14" t="str">
        <f>(IF((VLOOKUP(Table6[[#This Row],[SKU]],'All Skus'!$A:$AC,2,FALSE))="JBL",(VLOOKUP(Table6[[#This Row],[SKU]],'All Skus'!$A:$AC,8,FALSE)),""))</f>
        <v xml:space="preserve">VMA260 </v>
      </c>
      <c r="H14" s="8" t="str">
        <f>(IF((VLOOKUP(Table6[[#This Row],[SKU]],'All Skus'!$A:$AC,2,FALSE))="JBL",(VLOOKUP(Table6[[#This Row],[SKU]],'All Skus'!$A:$AC,9,FALSE)),""))</f>
        <v>VMA 260: (5) input channel x (2) 60W output channel Mixer/Amplifier</v>
      </c>
      <c r="I14" s="101">
        <f>(IF((VLOOKUP(Table6[[#This Row],[SKU]],'All Skus'!$A:$AC,2,FALSE))="JBL",(VLOOKUP(Table6[[#This Row],[SKU]],'All Skus'!$A:$AC,10,FALSE)),""))</f>
        <v>822.57</v>
      </c>
      <c r="J14" s="101">
        <f>(IF((VLOOKUP(Table6[[#This Row],[SKU]],'All Skus'!$A:$AC,2,FALSE))="JBL",(VLOOKUP(Table6[[#This Row],[SKU]],'All Skus'!$A:$AC,11,FALSE)),""))</f>
        <v>0</v>
      </c>
      <c r="K14" s="102">
        <f>(IF((VLOOKUP(Table6[[#This Row],[SKU]],'All Skus'!$A:$AC,2,FALSE))="JBL",(VLOOKUP(Table6[[#This Row],[SKU]],'All Skus'!$A:$AC,13,FALSE)),""))</f>
        <v>0</v>
      </c>
      <c r="L14" s="102">
        <f>(IF((VLOOKUP(Table6[[#This Row],[SKU]],'All Skus'!$A:$AC,2,FALSE))="JBL",(VLOOKUP(Table6[[#This Row],[SKU]],'All Skus'!$A:$AC,14,FALSE)),""))</f>
        <v>0</v>
      </c>
      <c r="M14" s="143">
        <f>(IF((VLOOKUP(Table6[[#This Row],[SKU]],'All Skus'!$A:$AC,2,FALSE))="JBL",(VLOOKUP(Table6[[#This Row],[SKU]],'All Skus'!$A:$AC,15,FALSE)),""))</f>
        <v>0</v>
      </c>
      <c r="N14" s="137">
        <f>(IF((VLOOKUP(Table6[[#This Row],[SKU]],'All Skus'!$A:$AC,2,FALSE))="JBL",(VLOOKUP(Table6[[#This Row],[SKU]],'All Skus'!$A:$AC,16,FALSE)),""))</f>
        <v>691991004551</v>
      </c>
      <c r="O14" s="61">
        <f>(IF((VLOOKUP(Table6[[#This Row],[SKU]],'All Skus'!$A:$AC,2,FALSE))="JBL",(VLOOKUP(Table6[[#This Row],[SKU]],'All Skus'!$A:$AC,17,FALSE)),""))</f>
        <v>0</v>
      </c>
      <c r="P14" s="136">
        <f>(IF((VLOOKUP(Table6[[#This Row],[SKU]],'All Skus'!$A:$AC,2,FALSE))="JBL",(VLOOKUP(Table6[[#This Row],[SKU]],'All Skus'!$A:$AC,18,FALSE)),""))</f>
        <v>30</v>
      </c>
      <c r="Q14" s="136">
        <f>(IF((VLOOKUP(Table6[[#This Row],[SKU]],'All Skus'!$A:$AC,2,FALSE))="JBL",(VLOOKUP(Table6[[#This Row],[SKU]],'All Skus'!$A:$AC,19,FALSE)),""))</f>
        <v>20.5</v>
      </c>
      <c r="R14" s="136">
        <f>(IF((VLOOKUP(Table6[[#This Row],[SKU]],'All Skus'!$A:$AC,2,FALSE))="JBL",(VLOOKUP(Table6[[#This Row],[SKU]],'All Skus'!$A:$AC,20,FALSE)),""))</f>
        <v>20.5</v>
      </c>
      <c r="S14" s="61">
        <f>(IF((VLOOKUP(Table6[[#This Row],[SKU]],'All Skus'!$A:$AC,2,FALSE))="JBL",(VLOOKUP(Table6[[#This Row],[SKU]],'All Skus'!$A:$AC,21,FALSE)),""))</f>
        <v>7</v>
      </c>
      <c r="T14" s="61" t="str">
        <f>(IF((VLOOKUP(Table6[[#This Row],[SKU]],'All Skus'!$A:$AC,2,FALSE))="JBL",(VLOOKUP(Table6[[#This Row],[SKU]],'All Skus'!$A:$AC,22,FALSE)),""))</f>
        <v>CN</v>
      </c>
      <c r="U14" t="str">
        <f>(IF((VLOOKUP(Table6[[#This Row],[SKU]],'All Skus'!$A:$AC,2,FALSE))="JBL",(VLOOKUP(Table6[[#This Row],[SKU]],'All Skus'!$A:$AC,23,FALSE)),""))</f>
        <v>Non Compliant</v>
      </c>
      <c r="V14" s="284" t="str">
        <f>HYPERLINK((IF((VLOOKUP(Table6[[#This Row],[SKU]],'All Skus'!$A:$AC,2,FALSE))="JBL",(VLOOKUP(Table6[[#This Row],[SKU]],'All Skus'!$A:$AC,24,FALSE)),"")))</f>
        <v/>
      </c>
      <c r="W14" s="151">
        <v>12</v>
      </c>
    </row>
    <row r="15" spans="1:23" ht="15" hidden="1" customHeight="1">
      <c r="A15" s="13" t="s">
        <v>1023</v>
      </c>
      <c r="B15" s="12" t="str">
        <f>(IF((VLOOKUP(Table6[[#This Row],[SKU]],'All Skus'!$A:$AC,2,FALSE))="JBL",(VLOOKUP(Table6[[#This Row],[SKU]],'All Skus'!$A:$AC,3,FALSE)),""))</f>
        <v>Commercial Mixer-Amplifier</v>
      </c>
      <c r="C15" s="12" t="str">
        <f>(IF((VLOOKUP(Table6[[#This Row],[SKU]],'All Skus'!$A:$AC,2,FALSE))="JBL",(VLOOKUP(Table6[[#This Row],[SKU]],'All Skus'!$A:$AC,4,FALSE)),""))</f>
        <v>NVMA2120-0-US</v>
      </c>
      <c r="D15" s="61" t="str">
        <f>(IF((VLOOKUP(Table6[[#This Row],[SKU]],'All Skus'!$A:$AC,2,FALSE))="JBL",(VLOOKUP(Table6[[#This Row],[SKU]],'All Skus'!$A:$AC,5,FALSE)),""))</f>
        <v>VSERIES</v>
      </c>
      <c r="E15" s="137">
        <f>(IF((VLOOKUP(Table6[[#This Row],[SKU]],'All Skus'!$A:$AC,2,FALSE))="JBL",(VLOOKUP(Table6[[#This Row],[SKU]],'All Skus'!$A:$AC,6,FALSE)),""))</f>
        <v>0</v>
      </c>
      <c r="F15" s="61">
        <f>(IF((VLOOKUP(Table6[[#This Row],[SKU]],'All Skus'!$A:$AC,2,FALSE))="JBL",(VLOOKUP(Table6[[#This Row],[SKU]],'All Skus'!$A:$AC,7,FALSE)),""))</f>
        <v>0</v>
      </c>
      <c r="G15" t="str">
        <f>(IF((VLOOKUP(Table6[[#This Row],[SKU]],'All Skus'!$A:$AC,2,FALSE))="JBL",(VLOOKUP(Table6[[#This Row],[SKU]],'All Skus'!$A:$AC,8,FALSE)),""))</f>
        <v>VMA2120</v>
      </c>
      <c r="H15" s="8" t="str">
        <f>(IF((VLOOKUP(Table6[[#This Row],[SKU]],'All Skus'!$A:$AC,2,FALSE))="JBL",(VLOOKUP(Table6[[#This Row],[SKU]],'All Skus'!$A:$AC,9,FALSE)),""))</f>
        <v>VMA 2120: (8) input channel x (2) 120W output channel Mixer/Amplifier</v>
      </c>
      <c r="I15" s="101">
        <f>(IF((VLOOKUP(Table6[[#This Row],[SKU]],'All Skus'!$A:$AC,2,FALSE))="JBL",(VLOOKUP(Table6[[#This Row],[SKU]],'All Skus'!$A:$AC,10,FALSE)),""))</f>
        <v>889.96</v>
      </c>
      <c r="J15" s="101">
        <f>(IF((VLOOKUP(Table6[[#This Row],[SKU]],'All Skus'!$A:$AC,2,FALSE))="JBL",(VLOOKUP(Table6[[#This Row],[SKU]],'All Skus'!$A:$AC,11,FALSE)),""))</f>
        <v>0</v>
      </c>
      <c r="K15" s="102">
        <f>(IF((VLOOKUP(Table6[[#This Row],[SKU]],'All Skus'!$A:$AC,2,FALSE))="JBL",(VLOOKUP(Table6[[#This Row],[SKU]],'All Skus'!$A:$AC,13,FALSE)),""))</f>
        <v>0</v>
      </c>
      <c r="L15" s="102">
        <f>(IF((VLOOKUP(Table6[[#This Row],[SKU]],'All Skus'!$A:$AC,2,FALSE))="JBL",(VLOOKUP(Table6[[#This Row],[SKU]],'All Skus'!$A:$AC,14,FALSE)),""))</f>
        <v>0</v>
      </c>
      <c r="M15" s="143">
        <f>(IF((VLOOKUP(Table6[[#This Row],[SKU]],'All Skus'!$A:$AC,2,FALSE))="JBL",(VLOOKUP(Table6[[#This Row],[SKU]],'All Skus'!$A:$AC,15,FALSE)),""))</f>
        <v>0</v>
      </c>
      <c r="N15" s="137">
        <f>(IF((VLOOKUP(Table6[[#This Row],[SKU]],'All Skus'!$A:$AC,2,FALSE))="JBL",(VLOOKUP(Table6[[#This Row],[SKU]],'All Skus'!$A:$AC,16,FALSE)),""))</f>
        <v>691991004629</v>
      </c>
      <c r="O15" s="61">
        <f>(IF((VLOOKUP(Table6[[#This Row],[SKU]],'All Skus'!$A:$AC,2,FALSE))="JBL",(VLOOKUP(Table6[[#This Row],[SKU]],'All Skus'!$A:$AC,17,FALSE)),""))</f>
        <v>0</v>
      </c>
      <c r="P15" s="136">
        <f>(IF((VLOOKUP(Table6[[#This Row],[SKU]],'All Skus'!$A:$AC,2,FALSE))="JBL",(VLOOKUP(Table6[[#This Row],[SKU]],'All Skus'!$A:$AC,18,FALSE)),""))</f>
        <v>35</v>
      </c>
      <c r="Q15" s="136">
        <f>(IF((VLOOKUP(Table6[[#This Row],[SKU]],'All Skus'!$A:$AC,2,FALSE))="JBL",(VLOOKUP(Table6[[#This Row],[SKU]],'All Skus'!$A:$AC,19,FALSE)),""))</f>
        <v>21</v>
      </c>
      <c r="R15" s="136">
        <f>(IF((VLOOKUP(Table6[[#This Row],[SKU]],'All Skus'!$A:$AC,2,FALSE))="JBL",(VLOOKUP(Table6[[#This Row],[SKU]],'All Skus'!$A:$AC,20,FALSE)),""))</f>
        <v>21</v>
      </c>
      <c r="S15" s="61">
        <f>(IF((VLOOKUP(Table6[[#This Row],[SKU]],'All Skus'!$A:$AC,2,FALSE))="JBL",(VLOOKUP(Table6[[#This Row],[SKU]],'All Skus'!$A:$AC,21,FALSE)),""))</f>
        <v>7</v>
      </c>
      <c r="T15" s="61" t="str">
        <f>(IF((VLOOKUP(Table6[[#This Row],[SKU]],'All Skus'!$A:$AC,2,FALSE))="JBL",(VLOOKUP(Table6[[#This Row],[SKU]],'All Skus'!$A:$AC,22,FALSE)),""))</f>
        <v>CN</v>
      </c>
      <c r="U15" t="str">
        <f>(IF((VLOOKUP(Table6[[#This Row],[SKU]],'All Skus'!$A:$AC,2,FALSE))="JBL",(VLOOKUP(Table6[[#This Row],[SKU]],'All Skus'!$A:$AC,23,FALSE)),""))</f>
        <v>Non Compliant</v>
      </c>
      <c r="V15" s="284" t="str">
        <f>HYPERLINK((IF((VLOOKUP(Table6[[#This Row],[SKU]],'All Skus'!$A:$AC,2,FALSE))="JBL",(VLOOKUP(Table6[[#This Row],[SKU]],'All Skus'!$A:$AC,24,FALSE)),"")))</f>
        <v/>
      </c>
      <c r="W15" s="151">
        <v>13</v>
      </c>
    </row>
    <row r="16" spans="1:23" ht="15" hidden="1" customHeight="1">
      <c r="A16" s="13" t="s">
        <v>1024</v>
      </c>
      <c r="B16" s="12" t="str">
        <f>(IF((VLOOKUP(Table6[[#This Row],[SKU]],'All Skus'!$A:$AC,2,FALSE))="JBL",(VLOOKUP(Table6[[#This Row],[SKU]],'All Skus'!$A:$AC,3,FALSE)),""))</f>
        <v>COMMERCIAL MIXER-AMP</v>
      </c>
      <c r="C16" s="12" t="str">
        <f>(IF((VLOOKUP(Table6[[#This Row],[SKU]],'All Skus'!$A:$AC,2,FALSE))="JBL",(VLOOKUP(Table6[[#This Row],[SKU]],'All Skus'!$A:$AC,4,FALSE)),""))</f>
        <v>NCSMA1120-U-US</v>
      </c>
      <c r="D16" s="61" t="str">
        <f>(IF((VLOOKUP(Table6[[#This Row],[SKU]],'All Skus'!$A:$AC,2,FALSE))="JBL",(VLOOKUP(Table6[[#This Row],[SKU]],'All Skus'!$A:$AC,5,FALSE)),""))</f>
        <v>CSMA</v>
      </c>
      <c r="E16" s="137">
        <f>(IF((VLOOKUP(Table6[[#This Row],[SKU]],'All Skus'!$A:$AC,2,FALSE))="JBL",(VLOOKUP(Table6[[#This Row],[SKU]],'All Skus'!$A:$AC,6,FALSE)),""))</f>
        <v>0</v>
      </c>
      <c r="F16" s="61">
        <f>(IF((VLOOKUP(Table6[[#This Row],[SKU]],'All Skus'!$A:$AC,2,FALSE))="JBL",(VLOOKUP(Table6[[#This Row],[SKU]],'All Skus'!$A:$AC,7,FALSE)),""))</f>
        <v>0</v>
      </c>
      <c r="G16" t="str">
        <f>(IF((VLOOKUP(Table6[[#This Row],[SKU]],'All Skus'!$A:$AC,2,FALSE))="JBL",(VLOOKUP(Table6[[#This Row],[SKU]],'All Skus'!$A:$AC,8,FALSE)),""))</f>
        <v>CSMA1120</v>
      </c>
      <c r="H16" s="8" t="str">
        <f>(IF((VLOOKUP(Table6[[#This Row],[SKU]],'All Skus'!$A:$AC,2,FALSE))="JBL",(VLOOKUP(Table6[[#This Row],[SKU]],'All Skus'!$A:$AC,9,FALSE)),""))</f>
        <v>4 input - 1 x 120W DriveCore Mixer-Amp, Fanless, 4ohm/8ohm/70V/100V, 1U Half-Rack, Mounting kit</v>
      </c>
      <c r="I16" s="101">
        <f>(IF((VLOOKUP(Table6[[#This Row],[SKU]],'All Skus'!$A:$AC,2,FALSE))="JBL",(VLOOKUP(Table6[[#This Row],[SKU]],'All Skus'!$A:$AC,10,FALSE)),""))</f>
        <v>1128.8599999999999</v>
      </c>
      <c r="J16" s="101">
        <f>(IF((VLOOKUP(Table6[[#This Row],[SKU]],'All Skus'!$A:$AC,2,FALSE))="JBL",(VLOOKUP(Table6[[#This Row],[SKU]],'All Skus'!$A:$AC,11,FALSE)),""))</f>
        <v>720</v>
      </c>
      <c r="K16" s="102">
        <f>(IF((VLOOKUP(Table6[[#This Row],[SKU]],'All Skus'!$A:$AC,2,FALSE))="JBL",(VLOOKUP(Table6[[#This Row],[SKU]],'All Skus'!$A:$AC,13,FALSE)),""))</f>
        <v>0</v>
      </c>
      <c r="L16" s="102">
        <f>(IF((VLOOKUP(Table6[[#This Row],[SKU]],'All Skus'!$A:$AC,2,FALSE))="JBL",(VLOOKUP(Table6[[#This Row],[SKU]],'All Skus'!$A:$AC,14,FALSE)),""))</f>
        <v>0</v>
      </c>
      <c r="M16" s="143">
        <f>(IF((VLOOKUP(Table6[[#This Row],[SKU]],'All Skus'!$A:$AC,2,FALSE))="JBL",(VLOOKUP(Table6[[#This Row],[SKU]],'All Skus'!$A:$AC,15,FALSE)),""))</f>
        <v>0</v>
      </c>
      <c r="N16" s="137">
        <f>(IF((VLOOKUP(Table6[[#This Row],[SKU]],'All Skus'!$A:$AC,2,FALSE))="JBL",(VLOOKUP(Table6[[#This Row],[SKU]],'All Skus'!$A:$AC,16,FALSE)),""))</f>
        <v>871015007359</v>
      </c>
      <c r="O16" s="61">
        <f>(IF((VLOOKUP(Table6[[#This Row],[SKU]],'All Skus'!$A:$AC,2,FALSE))="JBL",(VLOOKUP(Table6[[#This Row],[SKU]],'All Skus'!$A:$AC,17,FALSE)),""))</f>
        <v>0</v>
      </c>
      <c r="P16" s="136">
        <f>(IF((VLOOKUP(Table6[[#This Row],[SKU]],'All Skus'!$A:$AC,2,FALSE))="JBL",(VLOOKUP(Table6[[#This Row],[SKU]],'All Skus'!$A:$AC,18,FALSE)),""))</f>
        <v>10</v>
      </c>
      <c r="Q16" s="136">
        <f>(IF((VLOOKUP(Table6[[#This Row],[SKU]],'All Skus'!$A:$AC,2,FALSE))="JBL",(VLOOKUP(Table6[[#This Row],[SKU]],'All Skus'!$A:$AC,19,FALSE)),""))</f>
        <v>16.5</v>
      </c>
      <c r="R16" s="136">
        <f>(IF((VLOOKUP(Table6[[#This Row],[SKU]],'All Skus'!$A:$AC,2,FALSE))="JBL",(VLOOKUP(Table6[[#This Row],[SKU]],'All Skus'!$A:$AC,20,FALSE)),""))</f>
        <v>5</v>
      </c>
      <c r="S16" s="61">
        <f>(IF((VLOOKUP(Table6[[#This Row],[SKU]],'All Skus'!$A:$AC,2,FALSE))="JBL",(VLOOKUP(Table6[[#This Row],[SKU]],'All Skus'!$A:$AC,21,FALSE)),""))</f>
        <v>12</v>
      </c>
      <c r="T16" s="61" t="str">
        <f>(IF((VLOOKUP(Table6[[#This Row],[SKU]],'All Skus'!$A:$AC,2,FALSE))="JBL",(VLOOKUP(Table6[[#This Row],[SKU]],'All Skus'!$A:$AC,22,FALSE)),""))</f>
        <v>MX</v>
      </c>
      <c r="U16" t="str">
        <f>(IF((VLOOKUP(Table6[[#This Row],[SKU]],'All Skus'!$A:$AC,2,FALSE))="JBL",(VLOOKUP(Table6[[#This Row],[SKU]],'All Skus'!$A:$AC,23,FALSE)),""))</f>
        <v>Compliant</v>
      </c>
      <c r="V16" s="284" t="str">
        <f>HYPERLINK((IF((VLOOKUP(Table6[[#This Row],[SKU]],'All Skus'!$A:$AC,2,FALSE))="JBL",(VLOOKUP(Table6[[#This Row],[SKU]],'All Skus'!$A:$AC,24,FALSE)),"")))</f>
        <v>http://jblcommercialproducts.com/en-US/products/csma-1801120</v>
      </c>
      <c r="W16" s="151">
        <v>14</v>
      </c>
    </row>
    <row r="17" spans="1:23" ht="15" hidden="1" customHeight="1">
      <c r="A17" s="13" t="s">
        <v>1025</v>
      </c>
      <c r="B17" s="12" t="str">
        <f>(IF((VLOOKUP(Table6[[#This Row],[SKU]],'All Skus'!$A:$AC,2,FALSE))="JBL",(VLOOKUP(Table6[[#This Row],[SKU]],'All Skus'!$A:$AC,3,FALSE)),""))</f>
        <v>COMMERCIAL MIXER-AMP</v>
      </c>
      <c r="C17" s="12" t="str">
        <f>(IF((VLOOKUP(Table6[[#This Row],[SKU]],'All Skus'!$A:$AC,2,FALSE))="JBL",(VLOOKUP(Table6[[#This Row],[SKU]],'All Skus'!$A:$AC,4,FALSE)),""))</f>
        <v>NCSMA180-U-US</v>
      </c>
      <c r="D17" s="61" t="str">
        <f>(IF((VLOOKUP(Table6[[#This Row],[SKU]],'All Skus'!$A:$AC,2,FALSE))="JBL",(VLOOKUP(Table6[[#This Row],[SKU]],'All Skus'!$A:$AC,5,FALSE)),""))</f>
        <v>CSMA</v>
      </c>
      <c r="E17" s="137">
        <f>(IF((VLOOKUP(Table6[[#This Row],[SKU]],'All Skus'!$A:$AC,2,FALSE))="JBL",(VLOOKUP(Table6[[#This Row],[SKU]],'All Skus'!$A:$AC,6,FALSE)),""))</f>
        <v>0</v>
      </c>
      <c r="F17" s="61">
        <f>(IF((VLOOKUP(Table6[[#This Row],[SKU]],'All Skus'!$A:$AC,2,FALSE))="JBL",(VLOOKUP(Table6[[#This Row],[SKU]],'All Skus'!$A:$AC,7,FALSE)),""))</f>
        <v>0</v>
      </c>
      <c r="G17" t="str">
        <f>(IF((VLOOKUP(Table6[[#This Row],[SKU]],'All Skus'!$A:$AC,2,FALSE))="JBL",(VLOOKUP(Table6[[#This Row],[SKU]],'All Skus'!$A:$AC,8,FALSE)),""))</f>
        <v>CSMA180</v>
      </c>
      <c r="H17" s="8" t="str">
        <f>(IF((VLOOKUP(Table6[[#This Row],[SKU]],'All Skus'!$A:$AC,2,FALSE))="JBL",(VLOOKUP(Table6[[#This Row],[SKU]],'All Skus'!$A:$AC,9,FALSE)),""))</f>
        <v>4 input - 1 x 80W DriveCore Mixer-Amp, Fanless, 4ohm/8ohm/70V/100V, 1U Half-Rack, Mounting kit</v>
      </c>
      <c r="I17" s="101">
        <f>(IF((VLOOKUP(Table6[[#This Row],[SKU]],'All Skus'!$A:$AC,2,FALSE))="JBL",(VLOOKUP(Table6[[#This Row],[SKU]],'All Skus'!$A:$AC,10,FALSE)),""))</f>
        <v>835.48</v>
      </c>
      <c r="J17" s="101">
        <f>(IF((VLOOKUP(Table6[[#This Row],[SKU]],'All Skus'!$A:$AC,2,FALSE))="JBL",(VLOOKUP(Table6[[#This Row],[SKU]],'All Skus'!$A:$AC,11,FALSE)),""))</f>
        <v>545</v>
      </c>
      <c r="K17" s="102">
        <f>(IF((VLOOKUP(Table6[[#This Row],[SKU]],'All Skus'!$A:$AC,2,FALSE))="JBL",(VLOOKUP(Table6[[#This Row],[SKU]],'All Skus'!$A:$AC,13,FALSE)),""))</f>
        <v>0</v>
      </c>
      <c r="L17" s="102">
        <f>(IF((VLOOKUP(Table6[[#This Row],[SKU]],'All Skus'!$A:$AC,2,FALSE))="JBL",(VLOOKUP(Table6[[#This Row],[SKU]],'All Skus'!$A:$AC,14,FALSE)),""))</f>
        <v>0</v>
      </c>
      <c r="M17" s="143">
        <f>(IF((VLOOKUP(Table6[[#This Row],[SKU]],'All Skus'!$A:$AC,2,FALSE))="JBL",(VLOOKUP(Table6[[#This Row],[SKU]],'All Skus'!$A:$AC,15,FALSE)),""))</f>
        <v>0</v>
      </c>
      <c r="N17" s="137">
        <f>(IF((VLOOKUP(Table6[[#This Row],[SKU]],'All Skus'!$A:$AC,2,FALSE))="JBL",(VLOOKUP(Table6[[#This Row],[SKU]],'All Skus'!$A:$AC,16,FALSE)),""))</f>
        <v>871015007380</v>
      </c>
      <c r="O17" s="61">
        <f>(IF((VLOOKUP(Table6[[#This Row],[SKU]],'All Skus'!$A:$AC,2,FALSE))="JBL",(VLOOKUP(Table6[[#This Row],[SKU]],'All Skus'!$A:$AC,17,FALSE)),""))</f>
        <v>0</v>
      </c>
      <c r="P17" s="136">
        <f>(IF((VLOOKUP(Table6[[#This Row],[SKU]],'All Skus'!$A:$AC,2,FALSE))="JBL",(VLOOKUP(Table6[[#This Row],[SKU]],'All Skus'!$A:$AC,18,FALSE)),""))</f>
        <v>10</v>
      </c>
      <c r="Q17" s="136">
        <f>(IF((VLOOKUP(Table6[[#This Row],[SKU]],'All Skus'!$A:$AC,2,FALSE))="JBL",(VLOOKUP(Table6[[#This Row],[SKU]],'All Skus'!$A:$AC,19,FALSE)),""))</f>
        <v>16.5</v>
      </c>
      <c r="R17" s="136">
        <f>(IF((VLOOKUP(Table6[[#This Row],[SKU]],'All Skus'!$A:$AC,2,FALSE))="JBL",(VLOOKUP(Table6[[#This Row],[SKU]],'All Skus'!$A:$AC,20,FALSE)),""))</f>
        <v>5</v>
      </c>
      <c r="S17" s="61">
        <f>(IF((VLOOKUP(Table6[[#This Row],[SKU]],'All Skus'!$A:$AC,2,FALSE))="JBL",(VLOOKUP(Table6[[#This Row],[SKU]],'All Skus'!$A:$AC,21,FALSE)),""))</f>
        <v>12</v>
      </c>
      <c r="T17" s="61" t="str">
        <f>(IF((VLOOKUP(Table6[[#This Row],[SKU]],'All Skus'!$A:$AC,2,FALSE))="JBL",(VLOOKUP(Table6[[#This Row],[SKU]],'All Skus'!$A:$AC,22,FALSE)),""))</f>
        <v>MX</v>
      </c>
      <c r="U17" t="str">
        <f>(IF((VLOOKUP(Table6[[#This Row],[SKU]],'All Skus'!$A:$AC,2,FALSE))="JBL",(VLOOKUP(Table6[[#This Row],[SKU]],'All Skus'!$A:$AC,23,FALSE)),""))</f>
        <v>Compliant</v>
      </c>
      <c r="V17" s="284" t="str">
        <f>HYPERLINK((IF((VLOOKUP(Table6[[#This Row],[SKU]],'All Skus'!$A:$AC,2,FALSE))="JBL",(VLOOKUP(Table6[[#This Row],[SKU]],'All Skus'!$A:$AC,24,FALSE)),"")))</f>
        <v>http://jblcommercialproducts.com/en-US/products/csma-1801120</v>
      </c>
      <c r="W17" s="151">
        <v>15</v>
      </c>
    </row>
    <row r="18" spans="1:23" ht="15" hidden="1" customHeight="1">
      <c r="A18" s="13" t="s">
        <v>1026</v>
      </c>
      <c r="B18" s="12" t="str">
        <f>(IF((VLOOKUP(Table6[[#This Row],[SKU]],'All Skus'!$A:$AC,2,FALSE))="JBL",(VLOOKUP(Table6[[#This Row],[SKU]],'All Skus'!$A:$AC,3,FALSE)),""))</f>
        <v>COMMERCIAL MIXER-AMP</v>
      </c>
      <c r="C18" s="12" t="str">
        <f>(IF((VLOOKUP(Table6[[#This Row],[SKU]],'All Skus'!$A:$AC,2,FALSE))="JBL",(VLOOKUP(Table6[[#This Row],[SKU]],'All Skus'!$A:$AC,4,FALSE)),""))</f>
        <v>NCSMA2120-U-US</v>
      </c>
      <c r="D18" s="61" t="str">
        <f>(IF((VLOOKUP(Table6[[#This Row],[SKU]],'All Skus'!$A:$AC,2,FALSE))="JBL",(VLOOKUP(Table6[[#This Row],[SKU]],'All Skus'!$A:$AC,5,FALSE)),""))</f>
        <v>CSMA</v>
      </c>
      <c r="E18" s="137">
        <f>(IF((VLOOKUP(Table6[[#This Row],[SKU]],'All Skus'!$A:$AC,2,FALSE))="JBL",(VLOOKUP(Table6[[#This Row],[SKU]],'All Skus'!$A:$AC,6,FALSE)),""))</f>
        <v>0</v>
      </c>
      <c r="F18" s="61">
        <f>(IF((VLOOKUP(Table6[[#This Row],[SKU]],'All Skus'!$A:$AC,2,FALSE))="JBL",(VLOOKUP(Table6[[#This Row],[SKU]],'All Skus'!$A:$AC,7,FALSE)),""))</f>
        <v>0</v>
      </c>
      <c r="G18" t="str">
        <f>(IF((VLOOKUP(Table6[[#This Row],[SKU]],'All Skus'!$A:$AC,2,FALSE))="JBL",(VLOOKUP(Table6[[#This Row],[SKU]],'All Skus'!$A:$AC,8,FALSE)),""))</f>
        <v>CSMA2120</v>
      </c>
      <c r="H18" s="8" t="str">
        <f>(IF((VLOOKUP(Table6[[#This Row],[SKU]],'All Skus'!$A:$AC,2,FALSE))="JBL",(VLOOKUP(Table6[[#This Row],[SKU]],'All Skus'!$A:$AC,9,FALSE)),""))</f>
        <v>8 input - 2 x 120W DriveCore Mixer-Amp, Fanless, 4ohm/8ohm/70V/100V, 1U Full-Rack, Mounting kit</v>
      </c>
      <c r="I18" s="101">
        <f>(IF((VLOOKUP(Table6[[#This Row],[SKU]],'All Skus'!$A:$AC,2,FALSE))="JBL",(VLOOKUP(Table6[[#This Row],[SKU]],'All Skus'!$A:$AC,10,FALSE)),""))</f>
        <v>1354.41</v>
      </c>
      <c r="J18" s="101">
        <f>(IF((VLOOKUP(Table6[[#This Row],[SKU]],'All Skus'!$A:$AC,2,FALSE))="JBL",(VLOOKUP(Table6[[#This Row],[SKU]],'All Skus'!$A:$AC,11,FALSE)),""))</f>
        <v>896</v>
      </c>
      <c r="K18" s="102">
        <f>(IF((VLOOKUP(Table6[[#This Row],[SKU]],'All Skus'!$A:$AC,2,FALSE))="JBL",(VLOOKUP(Table6[[#This Row],[SKU]],'All Skus'!$A:$AC,13,FALSE)),""))</f>
        <v>0</v>
      </c>
      <c r="L18" s="102">
        <f>(IF((VLOOKUP(Table6[[#This Row],[SKU]],'All Skus'!$A:$AC,2,FALSE))="JBL",(VLOOKUP(Table6[[#This Row],[SKU]],'All Skus'!$A:$AC,14,FALSE)),""))</f>
        <v>0</v>
      </c>
      <c r="M18" s="143">
        <f>(IF((VLOOKUP(Table6[[#This Row],[SKU]],'All Skus'!$A:$AC,2,FALSE))="JBL",(VLOOKUP(Table6[[#This Row],[SKU]],'All Skus'!$A:$AC,15,FALSE)),""))</f>
        <v>0</v>
      </c>
      <c r="N18" s="137">
        <f>(IF((VLOOKUP(Table6[[#This Row],[SKU]],'All Skus'!$A:$AC,2,FALSE))="JBL",(VLOOKUP(Table6[[#This Row],[SKU]],'All Skus'!$A:$AC,16,FALSE)),""))</f>
        <v>871015007366</v>
      </c>
      <c r="O18" s="61">
        <f>(IF((VLOOKUP(Table6[[#This Row],[SKU]],'All Skus'!$A:$AC,2,FALSE))="JBL",(VLOOKUP(Table6[[#This Row],[SKU]],'All Skus'!$A:$AC,17,FALSE)),""))</f>
        <v>0</v>
      </c>
      <c r="P18" s="136">
        <f>(IF((VLOOKUP(Table6[[#This Row],[SKU]],'All Skus'!$A:$AC,2,FALSE))="JBL",(VLOOKUP(Table6[[#This Row],[SKU]],'All Skus'!$A:$AC,18,FALSE)),""))</f>
        <v>16.5</v>
      </c>
      <c r="Q18" s="136">
        <f>(IF((VLOOKUP(Table6[[#This Row],[SKU]],'All Skus'!$A:$AC,2,FALSE))="JBL",(VLOOKUP(Table6[[#This Row],[SKU]],'All Skus'!$A:$AC,19,FALSE)),""))</f>
        <v>20.5</v>
      </c>
      <c r="R18" s="136">
        <f>(IF((VLOOKUP(Table6[[#This Row],[SKU]],'All Skus'!$A:$AC,2,FALSE))="JBL",(VLOOKUP(Table6[[#This Row],[SKU]],'All Skus'!$A:$AC,20,FALSE)),""))</f>
        <v>5</v>
      </c>
      <c r="S18" s="61">
        <f>(IF((VLOOKUP(Table6[[#This Row],[SKU]],'All Skus'!$A:$AC,2,FALSE))="JBL",(VLOOKUP(Table6[[#This Row],[SKU]],'All Skus'!$A:$AC,21,FALSE)),""))</f>
        <v>16.5</v>
      </c>
      <c r="T18" s="61" t="str">
        <f>(IF((VLOOKUP(Table6[[#This Row],[SKU]],'All Skus'!$A:$AC,2,FALSE))="JBL",(VLOOKUP(Table6[[#This Row],[SKU]],'All Skus'!$A:$AC,22,FALSE)),""))</f>
        <v>MX</v>
      </c>
      <c r="U18" t="str">
        <f>(IF((VLOOKUP(Table6[[#This Row],[SKU]],'All Skus'!$A:$AC,2,FALSE))="JBL",(VLOOKUP(Table6[[#This Row],[SKU]],'All Skus'!$A:$AC,23,FALSE)),""))</f>
        <v>Compliant</v>
      </c>
      <c r="V18" s="284" t="str">
        <f>HYPERLINK((IF((VLOOKUP(Table6[[#This Row],[SKU]],'All Skus'!$A:$AC,2,FALSE))="JBL",(VLOOKUP(Table6[[#This Row],[SKU]],'All Skus'!$A:$AC,24,FALSE)),"")))</f>
        <v>http://jblcommercialproducts.com/en-US/products/csma-2402802120</v>
      </c>
      <c r="W18" s="151">
        <v>16</v>
      </c>
    </row>
    <row r="19" spans="1:23" ht="15" hidden="1" customHeight="1">
      <c r="A19" s="13" t="s">
        <v>1027</v>
      </c>
      <c r="B19" s="12" t="str">
        <f>(IF((VLOOKUP(Table6[[#This Row],[SKU]],'All Skus'!$A:$AC,2,FALSE))="JBL",(VLOOKUP(Table6[[#This Row],[SKU]],'All Skus'!$A:$AC,3,FALSE)),""))</f>
        <v>COMMERCIAL MIXER-AMP</v>
      </c>
      <c r="C19" s="12" t="str">
        <f>(IF((VLOOKUP(Table6[[#This Row],[SKU]],'All Skus'!$A:$AC,2,FALSE))="JBL",(VLOOKUP(Table6[[#This Row],[SKU]],'All Skus'!$A:$AC,4,FALSE)),""))</f>
        <v>NCSMA240-U-US</v>
      </c>
      <c r="D19" s="61" t="str">
        <f>(IF((VLOOKUP(Table6[[#This Row],[SKU]],'All Skus'!$A:$AC,2,FALSE))="JBL",(VLOOKUP(Table6[[#This Row],[SKU]],'All Skus'!$A:$AC,5,FALSE)),""))</f>
        <v>CSMA</v>
      </c>
      <c r="E19" s="137">
        <f>(IF((VLOOKUP(Table6[[#This Row],[SKU]],'All Skus'!$A:$AC,2,FALSE))="JBL",(VLOOKUP(Table6[[#This Row],[SKU]],'All Skus'!$A:$AC,6,FALSE)),""))</f>
        <v>0</v>
      </c>
      <c r="F19" s="61">
        <f>(IF((VLOOKUP(Table6[[#This Row],[SKU]],'All Skus'!$A:$AC,2,FALSE))="JBL",(VLOOKUP(Table6[[#This Row],[SKU]],'All Skus'!$A:$AC,7,FALSE)),""))</f>
        <v>0</v>
      </c>
      <c r="G19" t="str">
        <f>(IF((VLOOKUP(Table6[[#This Row],[SKU]],'All Skus'!$A:$AC,2,FALSE))="JBL",(VLOOKUP(Table6[[#This Row],[SKU]],'All Skus'!$A:$AC,8,FALSE)),""))</f>
        <v>CSMA240</v>
      </c>
      <c r="H19" s="8" t="str">
        <f>(IF((VLOOKUP(Table6[[#This Row],[SKU]],'All Skus'!$A:$AC,2,FALSE))="JBL",(VLOOKUP(Table6[[#This Row],[SKU]],'All Skus'!$A:$AC,9,FALSE)),""))</f>
        <v>8 input - 2 x 40W DriveCore Mixer-Amp, Fanless, 4ohm/8ohm/70V/100V, 1U Full-Rack, Mounting kit</v>
      </c>
      <c r="I19" s="101">
        <f>(IF((VLOOKUP(Table6[[#This Row],[SKU]],'All Skus'!$A:$AC,2,FALSE))="JBL",(VLOOKUP(Table6[[#This Row],[SKU]],'All Skus'!$A:$AC,10,FALSE)),""))</f>
        <v>974.95</v>
      </c>
      <c r="J19" s="101">
        <f>(IF((VLOOKUP(Table6[[#This Row],[SKU]],'All Skus'!$A:$AC,2,FALSE))="JBL",(VLOOKUP(Table6[[#This Row],[SKU]],'All Skus'!$A:$AC,11,FALSE)),""))</f>
        <v>628</v>
      </c>
      <c r="K19" s="102">
        <f>(IF((VLOOKUP(Table6[[#This Row],[SKU]],'All Skus'!$A:$AC,2,FALSE))="JBL",(VLOOKUP(Table6[[#This Row],[SKU]],'All Skus'!$A:$AC,13,FALSE)),""))</f>
        <v>0</v>
      </c>
      <c r="L19" s="102">
        <f>(IF((VLOOKUP(Table6[[#This Row],[SKU]],'All Skus'!$A:$AC,2,FALSE))="JBL",(VLOOKUP(Table6[[#This Row],[SKU]],'All Skus'!$A:$AC,14,FALSE)),""))</f>
        <v>0</v>
      </c>
      <c r="M19" s="143">
        <f>(IF((VLOOKUP(Table6[[#This Row],[SKU]],'All Skus'!$A:$AC,2,FALSE))="JBL",(VLOOKUP(Table6[[#This Row],[SKU]],'All Skus'!$A:$AC,15,FALSE)),""))</f>
        <v>0</v>
      </c>
      <c r="N19" s="137">
        <f>(IF((VLOOKUP(Table6[[#This Row],[SKU]],'All Skus'!$A:$AC,2,FALSE))="JBL",(VLOOKUP(Table6[[#This Row],[SKU]],'All Skus'!$A:$AC,16,FALSE)),""))</f>
        <v>871015007342</v>
      </c>
      <c r="O19" s="61">
        <f>(IF((VLOOKUP(Table6[[#This Row],[SKU]],'All Skus'!$A:$AC,2,FALSE))="JBL",(VLOOKUP(Table6[[#This Row],[SKU]],'All Skus'!$A:$AC,17,FALSE)),""))</f>
        <v>0</v>
      </c>
      <c r="P19" s="136">
        <f>(IF((VLOOKUP(Table6[[#This Row],[SKU]],'All Skus'!$A:$AC,2,FALSE))="JBL",(VLOOKUP(Table6[[#This Row],[SKU]],'All Skus'!$A:$AC,18,FALSE)),""))</f>
        <v>15</v>
      </c>
      <c r="Q19" s="136">
        <f>(IF((VLOOKUP(Table6[[#This Row],[SKU]],'All Skus'!$A:$AC,2,FALSE))="JBL",(VLOOKUP(Table6[[#This Row],[SKU]],'All Skus'!$A:$AC,19,FALSE)),""))</f>
        <v>20.5</v>
      </c>
      <c r="R19" s="136">
        <f>(IF((VLOOKUP(Table6[[#This Row],[SKU]],'All Skus'!$A:$AC,2,FALSE))="JBL",(VLOOKUP(Table6[[#This Row],[SKU]],'All Skus'!$A:$AC,20,FALSE)),""))</f>
        <v>16</v>
      </c>
      <c r="S19" s="61">
        <f>(IF((VLOOKUP(Table6[[#This Row],[SKU]],'All Skus'!$A:$AC,2,FALSE))="JBL",(VLOOKUP(Table6[[#This Row],[SKU]],'All Skus'!$A:$AC,21,FALSE)),""))</f>
        <v>4.5999999999999996</v>
      </c>
      <c r="T19" s="61" t="str">
        <f>(IF((VLOOKUP(Table6[[#This Row],[SKU]],'All Skus'!$A:$AC,2,FALSE))="JBL",(VLOOKUP(Table6[[#This Row],[SKU]],'All Skus'!$A:$AC,22,FALSE)),""))</f>
        <v>MX</v>
      </c>
      <c r="U19" t="str">
        <f>(IF((VLOOKUP(Table6[[#This Row],[SKU]],'All Skus'!$A:$AC,2,FALSE))="JBL",(VLOOKUP(Table6[[#This Row],[SKU]],'All Skus'!$A:$AC,23,FALSE)),""))</f>
        <v>Compliant</v>
      </c>
      <c r="V19" s="284" t="str">
        <f>HYPERLINK((IF((VLOOKUP(Table6[[#This Row],[SKU]],'All Skus'!$A:$AC,2,FALSE))="JBL",(VLOOKUP(Table6[[#This Row],[SKU]],'All Skus'!$A:$AC,24,FALSE)),"")))</f>
        <v>http://jblcommercialproducts.com/en-US/products/csma-2402802120</v>
      </c>
      <c r="W19" s="151">
        <v>17</v>
      </c>
    </row>
    <row r="20" spans="1:23" ht="15" hidden="1" customHeight="1">
      <c r="A20" s="13" t="s">
        <v>1028</v>
      </c>
      <c r="B20" s="12" t="str">
        <f>(IF((VLOOKUP(Table6[[#This Row],[SKU]],'All Skus'!$A:$AC,2,FALSE))="JBL",(VLOOKUP(Table6[[#This Row],[SKU]],'All Skus'!$A:$AC,3,FALSE)),""))</f>
        <v>COMMERCIAL MIXER-AMP</v>
      </c>
      <c r="C20" s="12" t="str">
        <f>(IF((VLOOKUP(Table6[[#This Row],[SKU]],'All Skus'!$A:$AC,2,FALSE))="JBL",(VLOOKUP(Table6[[#This Row],[SKU]],'All Skus'!$A:$AC,4,FALSE)),""))</f>
        <v>NCSMA280-U-US</v>
      </c>
      <c r="D20" s="61" t="str">
        <f>(IF((VLOOKUP(Table6[[#This Row],[SKU]],'All Skus'!$A:$AC,2,FALSE))="JBL",(VLOOKUP(Table6[[#This Row],[SKU]],'All Skus'!$A:$AC,5,FALSE)),""))</f>
        <v>CSMA</v>
      </c>
      <c r="E20" s="137">
        <f>(IF((VLOOKUP(Table6[[#This Row],[SKU]],'All Skus'!$A:$AC,2,FALSE))="JBL",(VLOOKUP(Table6[[#This Row],[SKU]],'All Skus'!$A:$AC,6,FALSE)),""))</f>
        <v>0</v>
      </c>
      <c r="F20" s="61">
        <f>(IF((VLOOKUP(Table6[[#This Row],[SKU]],'All Skus'!$A:$AC,2,FALSE))="JBL",(VLOOKUP(Table6[[#This Row],[SKU]],'All Skus'!$A:$AC,7,FALSE)),""))</f>
        <v>0</v>
      </c>
      <c r="G20" t="str">
        <f>(IF((VLOOKUP(Table6[[#This Row],[SKU]],'All Skus'!$A:$AC,2,FALSE))="JBL",(VLOOKUP(Table6[[#This Row],[SKU]],'All Skus'!$A:$AC,8,FALSE)),""))</f>
        <v>CSMA280</v>
      </c>
      <c r="H20" s="8" t="str">
        <f>(IF((VLOOKUP(Table6[[#This Row],[SKU]],'All Skus'!$A:$AC,2,FALSE))="JBL",(VLOOKUP(Table6[[#This Row],[SKU]],'All Skus'!$A:$AC,9,FALSE)),""))</f>
        <v xml:space="preserve">8 input - 2 x 80W DriveCore Mixer-Amp, Fanless, 4ohm/8ohm/70V/100V, 1U Full-Rack, Mounting kit </v>
      </c>
      <c r="I20" s="101">
        <f>(IF((VLOOKUP(Table6[[#This Row],[SKU]],'All Skus'!$A:$AC,2,FALSE))="JBL",(VLOOKUP(Table6[[#This Row],[SKU]],'All Skus'!$A:$AC,10,FALSE)),""))</f>
        <v>1218.67</v>
      </c>
      <c r="J20" s="101">
        <f>(IF((VLOOKUP(Table6[[#This Row],[SKU]],'All Skus'!$A:$AC,2,FALSE))="JBL",(VLOOKUP(Table6[[#This Row],[SKU]],'All Skus'!$A:$AC,11,FALSE)),""))</f>
        <v>788</v>
      </c>
      <c r="K20" s="102">
        <f>(IF((VLOOKUP(Table6[[#This Row],[SKU]],'All Skus'!$A:$AC,2,FALSE))="JBL",(VLOOKUP(Table6[[#This Row],[SKU]],'All Skus'!$A:$AC,13,FALSE)),""))</f>
        <v>0</v>
      </c>
      <c r="L20" s="102">
        <f>(IF((VLOOKUP(Table6[[#This Row],[SKU]],'All Skus'!$A:$AC,2,FALSE))="JBL",(VLOOKUP(Table6[[#This Row],[SKU]],'All Skus'!$A:$AC,14,FALSE)),""))</f>
        <v>0</v>
      </c>
      <c r="M20" s="143">
        <f>(IF((VLOOKUP(Table6[[#This Row],[SKU]],'All Skus'!$A:$AC,2,FALSE))="JBL",(VLOOKUP(Table6[[#This Row],[SKU]],'All Skus'!$A:$AC,15,FALSE)),""))</f>
        <v>0</v>
      </c>
      <c r="N20" s="137">
        <f>(IF((VLOOKUP(Table6[[#This Row],[SKU]],'All Skus'!$A:$AC,2,FALSE))="JBL",(VLOOKUP(Table6[[#This Row],[SKU]],'All Skus'!$A:$AC,16,FALSE)),""))</f>
        <v>871015007373</v>
      </c>
      <c r="O20" s="61">
        <f>(IF((VLOOKUP(Table6[[#This Row],[SKU]],'All Skus'!$A:$AC,2,FALSE))="JBL",(VLOOKUP(Table6[[#This Row],[SKU]],'All Skus'!$A:$AC,17,FALSE)),""))</f>
        <v>0</v>
      </c>
      <c r="P20" s="136">
        <f>(IF((VLOOKUP(Table6[[#This Row],[SKU]],'All Skus'!$A:$AC,2,FALSE))="JBL",(VLOOKUP(Table6[[#This Row],[SKU]],'All Skus'!$A:$AC,18,FALSE)),""))</f>
        <v>16</v>
      </c>
      <c r="Q20" s="136">
        <f>(IF((VLOOKUP(Table6[[#This Row],[SKU]],'All Skus'!$A:$AC,2,FALSE))="JBL",(VLOOKUP(Table6[[#This Row],[SKU]],'All Skus'!$A:$AC,19,FALSE)),""))</f>
        <v>20.5</v>
      </c>
      <c r="R20" s="136">
        <f>(IF((VLOOKUP(Table6[[#This Row],[SKU]],'All Skus'!$A:$AC,2,FALSE))="JBL",(VLOOKUP(Table6[[#This Row],[SKU]],'All Skus'!$A:$AC,20,FALSE)),""))</f>
        <v>16.5</v>
      </c>
      <c r="S20" s="61">
        <f>(IF((VLOOKUP(Table6[[#This Row],[SKU]],'All Skus'!$A:$AC,2,FALSE))="JBL",(VLOOKUP(Table6[[#This Row],[SKU]],'All Skus'!$A:$AC,21,FALSE)),""))</f>
        <v>4.5</v>
      </c>
      <c r="T20" s="61" t="str">
        <f>(IF((VLOOKUP(Table6[[#This Row],[SKU]],'All Skus'!$A:$AC,2,FALSE))="JBL",(VLOOKUP(Table6[[#This Row],[SKU]],'All Skus'!$A:$AC,22,FALSE)),""))</f>
        <v>MX</v>
      </c>
      <c r="U20" t="str">
        <f>(IF((VLOOKUP(Table6[[#This Row],[SKU]],'All Skus'!$A:$AC,2,FALSE))="JBL",(VLOOKUP(Table6[[#This Row],[SKU]],'All Skus'!$A:$AC,23,FALSE)),""))</f>
        <v>Compliant</v>
      </c>
      <c r="V20" s="284" t="str">
        <f>HYPERLINK((IF((VLOOKUP(Table6[[#This Row],[SKU]],'All Skus'!$A:$AC,2,FALSE))="JBL",(VLOOKUP(Table6[[#This Row],[SKU]],'All Skus'!$A:$AC,24,FALSE)),"")))</f>
        <v>http://jblcommercialproducts.com/en-US/products/csma-2402802120</v>
      </c>
      <c r="W20" s="151">
        <v>18</v>
      </c>
    </row>
    <row r="21" spans="1:23" ht="15" hidden="1" customHeight="1">
      <c r="A21" s="13" t="s">
        <v>1029</v>
      </c>
      <c r="B21" s="12">
        <f>(IF((VLOOKUP(Table6[[#This Row],[SKU]],'All Skus'!$A:$AC,2,FALSE))="JBL",(VLOOKUP(Table6[[#This Row],[SKU]],'All Skus'!$A:$AC,3,FALSE)),""))</f>
        <v>0</v>
      </c>
      <c r="C21" s="12">
        <f>(IF((VLOOKUP(Table6[[#This Row],[SKU]],'All Skus'!$A:$AC,2,FALSE))="JBL",(VLOOKUP(Table6[[#This Row],[SKU]],'All Skus'!$A:$AC,4,FALSE)),""))</f>
        <v>0</v>
      </c>
      <c r="D21" s="61">
        <f>(IF((VLOOKUP(Table6[[#This Row],[SKU]],'All Skus'!$A:$AC,2,FALSE))="JBL",(VLOOKUP(Table6[[#This Row],[SKU]],'All Skus'!$A:$AC,5,FALSE)),""))</f>
        <v>0</v>
      </c>
      <c r="E21" s="137">
        <f>(IF((VLOOKUP(Table6[[#This Row],[SKU]],'All Skus'!$A:$AC,2,FALSE))="JBL",(VLOOKUP(Table6[[#This Row],[SKU]],'All Skus'!$A:$AC,6,FALSE)),""))</f>
        <v>0</v>
      </c>
      <c r="F21" s="61">
        <f>(IF((VLOOKUP(Table6[[#This Row],[SKU]],'All Skus'!$A:$AC,2,FALSE))="JBL",(VLOOKUP(Table6[[#This Row],[SKU]],'All Skus'!$A:$AC,7,FALSE)),""))</f>
        <v>0</v>
      </c>
      <c r="G21">
        <f>(IF((VLOOKUP(Table6[[#This Row],[SKU]],'All Skus'!$A:$AC,2,FALSE))="JBL",(VLOOKUP(Table6[[#This Row],[SKU]],'All Skus'!$A:$AC,8,FALSE)),""))</f>
        <v>0</v>
      </c>
      <c r="H21" s="8">
        <f>(IF((VLOOKUP(Table6[[#This Row],[SKU]],'All Skus'!$A:$AC,2,FALSE))="JBL",(VLOOKUP(Table6[[#This Row],[SKU]],'All Skus'!$A:$AC,9,FALSE)),""))</f>
        <v>0</v>
      </c>
      <c r="I21" s="101">
        <f>(IF((VLOOKUP(Table6[[#This Row],[SKU]],'All Skus'!$A:$AC,2,FALSE))="JBL",(VLOOKUP(Table6[[#This Row],[SKU]],'All Skus'!$A:$AC,10,FALSE)),""))</f>
        <v>0</v>
      </c>
      <c r="J21" s="101">
        <f>(IF((VLOOKUP(Table6[[#This Row],[SKU]],'All Skus'!$A:$AC,2,FALSE))="JBL",(VLOOKUP(Table6[[#This Row],[SKU]],'All Skus'!$A:$AC,11,FALSE)),""))</f>
        <v>0</v>
      </c>
      <c r="K21" s="102">
        <f>(IF((VLOOKUP(Table6[[#This Row],[SKU]],'All Skus'!$A:$AC,2,FALSE))="JBL",(VLOOKUP(Table6[[#This Row],[SKU]],'All Skus'!$A:$AC,13,FALSE)),""))</f>
        <v>0</v>
      </c>
      <c r="L21" s="102">
        <f>(IF((VLOOKUP(Table6[[#This Row],[SKU]],'All Skus'!$A:$AC,2,FALSE))="JBL",(VLOOKUP(Table6[[#This Row],[SKU]],'All Skus'!$A:$AC,14,FALSE)),""))</f>
        <v>0</v>
      </c>
      <c r="M21" s="143">
        <f>(IF((VLOOKUP(Table6[[#This Row],[SKU]],'All Skus'!$A:$AC,2,FALSE))="JBL",(VLOOKUP(Table6[[#This Row],[SKU]],'All Skus'!$A:$AC,15,FALSE)),""))</f>
        <v>0</v>
      </c>
      <c r="N21" s="137">
        <f>(IF((VLOOKUP(Table6[[#This Row],[SKU]],'All Skus'!$A:$AC,2,FALSE))="JBL",(VLOOKUP(Table6[[#This Row],[SKU]],'All Skus'!$A:$AC,16,FALSE)),""))</f>
        <v>0</v>
      </c>
      <c r="O21" s="61">
        <f>(IF((VLOOKUP(Table6[[#This Row],[SKU]],'All Skus'!$A:$AC,2,FALSE))="JBL",(VLOOKUP(Table6[[#This Row],[SKU]],'All Skus'!$A:$AC,17,FALSE)),""))</f>
        <v>0</v>
      </c>
      <c r="P21" s="136">
        <f>(IF((VLOOKUP(Table6[[#This Row],[SKU]],'All Skus'!$A:$AC,2,FALSE))="JBL",(VLOOKUP(Table6[[#This Row],[SKU]],'All Skus'!$A:$AC,18,FALSE)),""))</f>
        <v>0</v>
      </c>
      <c r="Q21" s="136">
        <f>(IF((VLOOKUP(Table6[[#This Row],[SKU]],'All Skus'!$A:$AC,2,FALSE))="JBL",(VLOOKUP(Table6[[#This Row],[SKU]],'All Skus'!$A:$AC,19,FALSE)),""))</f>
        <v>0</v>
      </c>
      <c r="R21" s="136">
        <f>(IF((VLOOKUP(Table6[[#This Row],[SKU]],'All Skus'!$A:$AC,2,FALSE))="JBL",(VLOOKUP(Table6[[#This Row],[SKU]],'All Skus'!$A:$AC,20,FALSE)),""))</f>
        <v>0</v>
      </c>
      <c r="S21" s="61">
        <f>(IF((VLOOKUP(Table6[[#This Row],[SKU]],'All Skus'!$A:$AC,2,FALSE))="JBL",(VLOOKUP(Table6[[#This Row],[SKU]],'All Skus'!$A:$AC,21,FALSE)),""))</f>
        <v>0</v>
      </c>
      <c r="T21" s="61">
        <f>(IF((VLOOKUP(Table6[[#This Row],[SKU]],'All Skus'!$A:$AC,2,FALSE))="JBL",(VLOOKUP(Table6[[#This Row],[SKU]],'All Skus'!$A:$AC,22,FALSE)),""))</f>
        <v>0</v>
      </c>
      <c r="U21">
        <f>(IF((VLOOKUP(Table6[[#This Row],[SKU]],'All Skus'!$A:$AC,2,FALSE))="JBL",(VLOOKUP(Table6[[#This Row],[SKU]],'All Skus'!$A:$AC,23,FALSE)),""))</f>
        <v>0</v>
      </c>
      <c r="V21" s="284" t="str">
        <f>HYPERLINK((IF((VLOOKUP(Table6[[#This Row],[SKU]],'All Skus'!$A:$AC,2,FALSE))="JBL",(VLOOKUP(Table6[[#This Row],[SKU]],'All Skus'!$A:$AC,24,FALSE)),"")))</f>
        <v/>
      </c>
      <c r="W21" s="151">
        <v>19</v>
      </c>
    </row>
    <row r="22" spans="1:23" ht="15" hidden="1" customHeight="1">
      <c r="A22" s="13" t="s">
        <v>1030</v>
      </c>
      <c r="B22" s="12" t="str">
        <f>(IF((VLOOKUP(Table6[[#This Row],[SKU]],'All Skus'!$A:$AC,2,FALSE))="JBL",(VLOOKUP(Table6[[#This Row],[SKU]],'All Skus'!$A:$AC,3,FALSE)),""))</f>
        <v>COMMERCIAL AMPLIFIER</v>
      </c>
      <c r="C22" s="12" t="str">
        <f>(IF((VLOOKUP(Table6[[#This Row],[SKU]],'All Skus'!$A:$AC,2,FALSE))="JBL",(VLOOKUP(Table6[[#This Row],[SKU]],'All Skus'!$A:$AC,4,FALSE)),""))</f>
        <v>NCSA1120Z-U-US</v>
      </c>
      <c r="D22" s="61" t="str">
        <f>(IF((VLOOKUP(Table6[[#This Row],[SKU]],'All Skus'!$A:$AC,2,FALSE))="JBL",(VLOOKUP(Table6[[#This Row],[SKU]],'All Skus'!$A:$AC,5,FALSE)),""))</f>
        <v>CSMA</v>
      </c>
      <c r="E22" s="137">
        <f>(IF((VLOOKUP(Table6[[#This Row],[SKU]],'All Skus'!$A:$AC,2,FALSE))="JBL",(VLOOKUP(Table6[[#This Row],[SKU]],'All Skus'!$A:$AC,6,FALSE)),""))</f>
        <v>0</v>
      </c>
      <c r="F22" s="61">
        <f>(IF((VLOOKUP(Table6[[#This Row],[SKU]],'All Skus'!$A:$AC,2,FALSE))="JBL",(VLOOKUP(Table6[[#This Row],[SKU]],'All Skus'!$A:$AC,7,FALSE)),""))</f>
        <v>0</v>
      </c>
      <c r="G22" t="str">
        <f>(IF((VLOOKUP(Table6[[#This Row],[SKU]],'All Skus'!$A:$AC,2,FALSE))="JBL",(VLOOKUP(Table6[[#This Row],[SKU]],'All Skus'!$A:$AC,8,FALSE)),""))</f>
        <v>CSA1120Z</v>
      </c>
      <c r="H22" s="8" t="str">
        <f>(IF((VLOOKUP(Table6[[#This Row],[SKU]],'All Skus'!$A:$AC,2,FALSE))="JBL",(VLOOKUP(Table6[[#This Row],[SKU]],'All Skus'!$A:$AC,9,FALSE)),""))</f>
        <v>1 x 120W DriveCore Amplifier, Fanless, 4ohm/8ohm/70V/100V, 1U Half-Rack, Mounting kit</v>
      </c>
      <c r="I22" s="101">
        <f>(IF((VLOOKUP(Table6[[#This Row],[SKU]],'All Skus'!$A:$AC,2,FALSE))="JBL",(VLOOKUP(Table6[[#This Row],[SKU]],'All Skus'!$A:$AC,10,FALSE)),""))</f>
        <v>756.15</v>
      </c>
      <c r="J22" s="101">
        <f>(IF((VLOOKUP(Table6[[#This Row],[SKU]],'All Skus'!$A:$AC,2,FALSE))="JBL",(VLOOKUP(Table6[[#This Row],[SKU]],'All Skus'!$A:$AC,11,FALSE)),""))</f>
        <v>504</v>
      </c>
      <c r="K22" s="102">
        <f>(IF((VLOOKUP(Table6[[#This Row],[SKU]],'All Skus'!$A:$AC,2,FALSE))="JBL",(VLOOKUP(Table6[[#This Row],[SKU]],'All Skus'!$A:$AC,13,FALSE)),""))</f>
        <v>0</v>
      </c>
      <c r="L22" s="102">
        <f>(IF((VLOOKUP(Table6[[#This Row],[SKU]],'All Skus'!$A:$AC,2,FALSE))="JBL",(VLOOKUP(Table6[[#This Row],[SKU]],'All Skus'!$A:$AC,14,FALSE)),""))</f>
        <v>0</v>
      </c>
      <c r="M22" s="143">
        <f>(IF((VLOOKUP(Table6[[#This Row],[SKU]],'All Skus'!$A:$AC,2,FALSE))="JBL",(VLOOKUP(Table6[[#This Row],[SKU]],'All Skus'!$A:$AC,15,FALSE)),""))</f>
        <v>0</v>
      </c>
      <c r="N22" s="137">
        <f>(IF((VLOOKUP(Table6[[#This Row],[SKU]],'All Skus'!$A:$AC,2,FALSE))="JBL",(VLOOKUP(Table6[[#This Row],[SKU]],'All Skus'!$A:$AC,16,FALSE)),""))</f>
        <v>871015008325</v>
      </c>
      <c r="O22" s="61">
        <f>(IF((VLOOKUP(Table6[[#This Row],[SKU]],'All Skus'!$A:$AC,2,FALSE))="JBL",(VLOOKUP(Table6[[#This Row],[SKU]],'All Skus'!$A:$AC,17,FALSE)),""))</f>
        <v>0</v>
      </c>
      <c r="P22" s="136">
        <f>(IF((VLOOKUP(Table6[[#This Row],[SKU]],'All Skus'!$A:$AC,2,FALSE))="JBL",(VLOOKUP(Table6[[#This Row],[SKU]],'All Skus'!$A:$AC,18,FALSE)),""))</f>
        <v>10</v>
      </c>
      <c r="Q22" s="136">
        <f>(IF((VLOOKUP(Table6[[#This Row],[SKU]],'All Skus'!$A:$AC,2,FALSE))="JBL",(VLOOKUP(Table6[[#This Row],[SKU]],'All Skus'!$A:$AC,19,FALSE)),""))</f>
        <v>16.5</v>
      </c>
      <c r="R22" s="136">
        <f>(IF((VLOOKUP(Table6[[#This Row],[SKU]],'All Skus'!$A:$AC,2,FALSE))="JBL",(VLOOKUP(Table6[[#This Row],[SKU]],'All Skus'!$A:$AC,20,FALSE)),""))</f>
        <v>5</v>
      </c>
      <c r="S22" s="61">
        <f>(IF((VLOOKUP(Table6[[#This Row],[SKU]],'All Skus'!$A:$AC,2,FALSE))="JBL",(VLOOKUP(Table6[[#This Row],[SKU]],'All Skus'!$A:$AC,21,FALSE)),""))</f>
        <v>12</v>
      </c>
      <c r="T22" s="61" t="str">
        <f>(IF((VLOOKUP(Table6[[#This Row],[SKU]],'All Skus'!$A:$AC,2,FALSE))="JBL",(VLOOKUP(Table6[[#This Row],[SKU]],'All Skus'!$A:$AC,22,FALSE)),""))</f>
        <v>MX</v>
      </c>
      <c r="U22" t="str">
        <f>(IF((VLOOKUP(Table6[[#This Row],[SKU]],'All Skus'!$A:$AC,2,FALSE))="JBL",(VLOOKUP(Table6[[#This Row],[SKU]],'All Skus'!$A:$AC,23,FALSE)),""))</f>
        <v>Compliant</v>
      </c>
      <c r="V22" s="284" t="str">
        <f>HYPERLINK((IF((VLOOKUP(Table6[[#This Row],[SKU]],'All Skus'!$A:$AC,2,FALSE))="JBL",(VLOOKUP(Table6[[#This Row],[SKU]],'All Skus'!$A:$AC,24,FALSE)),"")))</f>
        <v>http://jblcommercialproducts.com/en-US/products/csa-140z180z1120z</v>
      </c>
      <c r="W22" s="151">
        <v>20</v>
      </c>
    </row>
    <row r="23" spans="1:23" ht="15" hidden="1" customHeight="1">
      <c r="A23" s="13" t="s">
        <v>1031</v>
      </c>
      <c r="B23" s="12" t="str">
        <f>(IF((VLOOKUP(Table6[[#This Row],[SKU]],'All Skus'!$A:$AC,2,FALSE))="JBL",(VLOOKUP(Table6[[#This Row],[SKU]],'All Skus'!$A:$AC,3,FALSE)),""))</f>
        <v>Commercial Amplifier</v>
      </c>
      <c r="C23" s="12" t="str">
        <f>(IF((VLOOKUP(Table6[[#This Row],[SKU]],'All Skus'!$A:$AC,2,FALSE))="JBL",(VLOOKUP(Table6[[#This Row],[SKU]],'All Skus'!$A:$AC,4,FALSE)),""))</f>
        <v>NCSA1300Z-0-US</v>
      </c>
      <c r="D23" s="61" t="str">
        <f>(IF((VLOOKUP(Table6[[#This Row],[SKU]],'All Skus'!$A:$AC,2,FALSE))="JBL",(VLOOKUP(Table6[[#This Row],[SKU]],'All Skus'!$A:$AC,5,FALSE)),""))</f>
        <v>CSMA</v>
      </c>
      <c r="E23" s="137">
        <f>(IF((VLOOKUP(Table6[[#This Row],[SKU]],'All Skus'!$A:$AC,2,FALSE))="JBL",(VLOOKUP(Table6[[#This Row],[SKU]],'All Skus'!$A:$AC,6,FALSE)),""))</f>
        <v>0</v>
      </c>
      <c r="F23" s="61">
        <f>(IF((VLOOKUP(Table6[[#This Row],[SKU]],'All Skus'!$A:$AC,2,FALSE))="JBL",(VLOOKUP(Table6[[#This Row],[SKU]],'All Skus'!$A:$AC,7,FALSE)),""))</f>
        <v>0</v>
      </c>
      <c r="G23" t="str">
        <f>(IF((VLOOKUP(Table6[[#This Row],[SKU]],'All Skus'!$A:$AC,2,FALSE))="JBL",(VLOOKUP(Table6[[#This Row],[SKU]],'All Skus'!$A:$AC,8,FALSE)),""))</f>
        <v>CSA1300Z</v>
      </c>
      <c r="H23" s="8">
        <f>(IF((VLOOKUP(Table6[[#This Row],[SKU]],'All Skus'!$A:$AC,2,FALSE))="JBL",(VLOOKUP(Table6[[#This Row],[SKU]],'All Skus'!$A:$AC,9,FALSE)),""))</f>
        <v>0</v>
      </c>
      <c r="I23" s="101">
        <f>(IF((VLOOKUP(Table6[[#This Row],[SKU]],'All Skus'!$A:$AC,2,FALSE))="JBL",(VLOOKUP(Table6[[#This Row],[SKU]],'All Skus'!$A:$AC,10,FALSE)),""))</f>
        <v>837.92</v>
      </c>
      <c r="J23" s="101">
        <f>(IF((VLOOKUP(Table6[[#This Row],[SKU]],'All Skus'!$A:$AC,2,FALSE))="JBL",(VLOOKUP(Table6[[#This Row],[SKU]],'All Skus'!$A:$AC,11,FALSE)),""))</f>
        <v>720</v>
      </c>
      <c r="K23" s="102">
        <f>(IF((VLOOKUP(Table6[[#This Row],[SKU]],'All Skus'!$A:$AC,2,FALSE))="JBL",(VLOOKUP(Table6[[#This Row],[SKU]],'All Skus'!$A:$AC,13,FALSE)),""))</f>
        <v>0</v>
      </c>
      <c r="L23" s="102">
        <f>(IF((VLOOKUP(Table6[[#This Row],[SKU]],'All Skus'!$A:$AC,2,FALSE))="JBL",(VLOOKUP(Table6[[#This Row],[SKU]],'All Skus'!$A:$AC,14,FALSE)),""))</f>
        <v>0</v>
      </c>
      <c r="M23" s="143">
        <f>(IF((VLOOKUP(Table6[[#This Row],[SKU]],'All Skus'!$A:$AC,2,FALSE))="JBL",(VLOOKUP(Table6[[#This Row],[SKU]],'All Skus'!$A:$AC,15,FALSE)),""))</f>
        <v>0</v>
      </c>
      <c r="N23" s="137">
        <f>(IF((VLOOKUP(Table6[[#This Row],[SKU]],'All Skus'!$A:$AC,2,FALSE))="JBL",(VLOOKUP(Table6[[#This Row],[SKU]],'All Skus'!$A:$AC,16,FALSE)),""))</f>
        <v>691991004087</v>
      </c>
      <c r="O23" s="61">
        <f>(IF((VLOOKUP(Table6[[#This Row],[SKU]],'All Skus'!$A:$AC,2,FALSE))="JBL",(VLOOKUP(Table6[[#This Row],[SKU]],'All Skus'!$A:$AC,17,FALSE)),""))</f>
        <v>0</v>
      </c>
      <c r="P23" s="136">
        <f>(IF((VLOOKUP(Table6[[#This Row],[SKU]],'All Skus'!$A:$AC,2,FALSE))="JBL",(VLOOKUP(Table6[[#This Row],[SKU]],'All Skus'!$A:$AC,18,FALSE)),""))</f>
        <v>15.5</v>
      </c>
      <c r="Q23" s="136">
        <f>(IF((VLOOKUP(Table6[[#This Row],[SKU]],'All Skus'!$A:$AC,2,FALSE))="JBL",(VLOOKUP(Table6[[#This Row],[SKU]],'All Skus'!$A:$AC,19,FALSE)),""))</f>
        <v>21.5</v>
      </c>
      <c r="R23" s="136">
        <f>(IF((VLOOKUP(Table6[[#This Row],[SKU]],'All Skus'!$A:$AC,2,FALSE))="JBL",(VLOOKUP(Table6[[#This Row],[SKU]],'All Skus'!$A:$AC,20,FALSE)),""))</f>
        <v>15</v>
      </c>
      <c r="S23" s="61">
        <f>(IF((VLOOKUP(Table6[[#This Row],[SKU]],'All Skus'!$A:$AC,2,FALSE))="JBL",(VLOOKUP(Table6[[#This Row],[SKU]],'All Skus'!$A:$AC,21,FALSE)),""))</f>
        <v>6</v>
      </c>
      <c r="T23" s="61" t="str">
        <f>(IF((VLOOKUP(Table6[[#This Row],[SKU]],'All Skus'!$A:$AC,2,FALSE))="JBL",(VLOOKUP(Table6[[#This Row],[SKU]],'All Skus'!$A:$AC,22,FALSE)),""))</f>
        <v>CN</v>
      </c>
      <c r="U23" t="str">
        <f>(IF((VLOOKUP(Table6[[#This Row],[SKU]],'All Skus'!$A:$AC,2,FALSE))="JBL",(VLOOKUP(Table6[[#This Row],[SKU]],'All Skus'!$A:$AC,23,FALSE)),""))</f>
        <v>Non Compliant</v>
      </c>
      <c r="V23" s="284" t="str">
        <f>HYPERLINK((IF((VLOOKUP(Table6[[#This Row],[SKU]],'All Skus'!$A:$AC,2,FALSE))="JBL",(VLOOKUP(Table6[[#This Row],[SKU]],'All Skus'!$A:$AC,24,FALSE)),"")))</f>
        <v/>
      </c>
      <c r="W23" s="151">
        <v>21</v>
      </c>
    </row>
    <row r="24" spans="1:23" ht="15" hidden="1" customHeight="1">
      <c r="A24" s="13" t="s">
        <v>1032</v>
      </c>
      <c r="B24" s="12" t="str">
        <f>(IF((VLOOKUP(Table6[[#This Row],[SKU]],'All Skus'!$A:$AC,2,FALSE))="JBL",(VLOOKUP(Table6[[#This Row],[SKU]],'All Skus'!$A:$AC,3,FALSE)),""))</f>
        <v>COMMERCIAL AMPLIFIER</v>
      </c>
      <c r="C24" s="12" t="str">
        <f>(IF((VLOOKUP(Table6[[#This Row],[SKU]],'All Skus'!$A:$AC,2,FALSE))="JBL",(VLOOKUP(Table6[[#This Row],[SKU]],'All Skus'!$A:$AC,4,FALSE)),""))</f>
        <v>NCSA140Z-U-US</v>
      </c>
      <c r="D24" s="61" t="str">
        <f>(IF((VLOOKUP(Table6[[#This Row],[SKU]],'All Skus'!$A:$AC,2,FALSE))="JBL",(VLOOKUP(Table6[[#This Row],[SKU]],'All Skus'!$A:$AC,5,FALSE)),""))</f>
        <v>CSMA</v>
      </c>
      <c r="E24" s="137">
        <f>(IF((VLOOKUP(Table6[[#This Row],[SKU]],'All Skus'!$A:$AC,2,FALSE))="JBL",(VLOOKUP(Table6[[#This Row],[SKU]],'All Skus'!$A:$AC,6,FALSE)),""))</f>
        <v>0</v>
      </c>
      <c r="F24" s="61">
        <f>(IF((VLOOKUP(Table6[[#This Row],[SKU]],'All Skus'!$A:$AC,2,FALSE))="JBL",(VLOOKUP(Table6[[#This Row],[SKU]],'All Skus'!$A:$AC,7,FALSE)),""))</f>
        <v>0</v>
      </c>
      <c r="G24" t="str">
        <f>(IF((VLOOKUP(Table6[[#This Row],[SKU]],'All Skus'!$A:$AC,2,FALSE))="JBL",(VLOOKUP(Table6[[#This Row],[SKU]],'All Skus'!$A:$AC,8,FALSE)),""))</f>
        <v>CSA140Z</v>
      </c>
      <c r="H24" s="8" t="str">
        <f>(IF((VLOOKUP(Table6[[#This Row],[SKU]],'All Skus'!$A:$AC,2,FALSE))="JBL",(VLOOKUP(Table6[[#This Row],[SKU]],'All Skus'!$A:$AC,9,FALSE)),""))</f>
        <v>1 x 40W DriveCore Amplifier, Fanless, 4ohm/8ohm/70V/100V, 1U Half-Rack, Mounting kit</v>
      </c>
      <c r="I24" s="101">
        <f>(IF((VLOOKUP(Table6[[#This Row],[SKU]],'All Skus'!$A:$AC,2,FALSE))="JBL",(VLOOKUP(Table6[[#This Row],[SKU]],'All Skus'!$A:$AC,10,FALSE)),""))</f>
        <v>371.08</v>
      </c>
      <c r="J24" s="101">
        <f>(IF((VLOOKUP(Table6[[#This Row],[SKU]],'All Skus'!$A:$AC,2,FALSE))="JBL",(VLOOKUP(Table6[[#This Row],[SKU]],'All Skus'!$A:$AC,11,FALSE)),""))</f>
        <v>253</v>
      </c>
      <c r="K24" s="102">
        <f>(IF((VLOOKUP(Table6[[#This Row],[SKU]],'All Skus'!$A:$AC,2,FALSE))="JBL",(VLOOKUP(Table6[[#This Row],[SKU]],'All Skus'!$A:$AC,13,FALSE)),""))</f>
        <v>0</v>
      </c>
      <c r="L24" s="102">
        <f>(IF((VLOOKUP(Table6[[#This Row],[SKU]],'All Skus'!$A:$AC,2,FALSE))="JBL",(VLOOKUP(Table6[[#This Row],[SKU]],'All Skus'!$A:$AC,14,FALSE)),""))</f>
        <v>0</v>
      </c>
      <c r="M24" s="143">
        <f>(IF((VLOOKUP(Table6[[#This Row],[SKU]],'All Skus'!$A:$AC,2,FALSE))="JBL",(VLOOKUP(Table6[[#This Row],[SKU]],'All Skus'!$A:$AC,15,FALSE)),""))</f>
        <v>0</v>
      </c>
      <c r="N24" s="137">
        <f>(IF((VLOOKUP(Table6[[#This Row],[SKU]],'All Skus'!$A:$AC,2,FALSE))="JBL",(VLOOKUP(Table6[[#This Row],[SKU]],'All Skus'!$A:$AC,16,FALSE)),""))</f>
        <v>871015008462</v>
      </c>
      <c r="O24" s="61">
        <f>(IF((VLOOKUP(Table6[[#This Row],[SKU]],'All Skus'!$A:$AC,2,FALSE))="JBL",(VLOOKUP(Table6[[#This Row],[SKU]],'All Skus'!$A:$AC,17,FALSE)),""))</f>
        <v>0</v>
      </c>
      <c r="P24" s="136">
        <f>(IF((VLOOKUP(Table6[[#This Row],[SKU]],'All Skus'!$A:$AC,2,FALSE))="JBL",(VLOOKUP(Table6[[#This Row],[SKU]],'All Skus'!$A:$AC,18,FALSE)),""))</f>
        <v>9.5</v>
      </c>
      <c r="Q24" s="136">
        <f>(IF((VLOOKUP(Table6[[#This Row],[SKU]],'All Skus'!$A:$AC,2,FALSE))="JBL",(VLOOKUP(Table6[[#This Row],[SKU]],'All Skus'!$A:$AC,19,FALSE)),""))</f>
        <v>16.5</v>
      </c>
      <c r="R24" s="136">
        <f>(IF((VLOOKUP(Table6[[#This Row],[SKU]],'All Skus'!$A:$AC,2,FALSE))="JBL",(VLOOKUP(Table6[[#This Row],[SKU]],'All Skus'!$A:$AC,20,FALSE)),""))</f>
        <v>5</v>
      </c>
      <c r="S24" s="61">
        <f>(IF((VLOOKUP(Table6[[#This Row],[SKU]],'All Skus'!$A:$AC,2,FALSE))="JBL",(VLOOKUP(Table6[[#This Row],[SKU]],'All Skus'!$A:$AC,21,FALSE)),""))</f>
        <v>12</v>
      </c>
      <c r="T24" s="61" t="str">
        <f>(IF((VLOOKUP(Table6[[#This Row],[SKU]],'All Skus'!$A:$AC,2,FALSE))="JBL",(VLOOKUP(Table6[[#This Row],[SKU]],'All Skus'!$A:$AC,22,FALSE)),""))</f>
        <v>MX</v>
      </c>
      <c r="U24" t="str">
        <f>(IF((VLOOKUP(Table6[[#This Row],[SKU]],'All Skus'!$A:$AC,2,FALSE))="JBL",(VLOOKUP(Table6[[#This Row],[SKU]],'All Skus'!$A:$AC,23,FALSE)),""))</f>
        <v>Compliant</v>
      </c>
      <c r="V24" s="284" t="str">
        <f>HYPERLINK((IF((VLOOKUP(Table6[[#This Row],[SKU]],'All Skus'!$A:$AC,2,FALSE))="JBL",(VLOOKUP(Table6[[#This Row],[SKU]],'All Skus'!$A:$AC,24,FALSE)),"")))</f>
        <v>http://jblcommercialproducts.com/en-US/products/csa-140z180z1120z</v>
      </c>
      <c r="W24" s="151">
        <v>22</v>
      </c>
    </row>
    <row r="25" spans="1:23" ht="15" hidden="1" customHeight="1">
      <c r="A25" s="13" t="s">
        <v>1033</v>
      </c>
      <c r="B25" s="12" t="str">
        <f>(IF((VLOOKUP(Table6[[#This Row],[SKU]],'All Skus'!$A:$AC,2,FALSE))="JBL",(VLOOKUP(Table6[[#This Row],[SKU]],'All Skus'!$A:$AC,3,FALSE)),""))</f>
        <v>COMMERCIAL AMPLIFIER</v>
      </c>
      <c r="C25" s="12" t="str">
        <f>(IF((VLOOKUP(Table6[[#This Row],[SKU]],'All Skus'!$A:$AC,2,FALSE))="JBL",(VLOOKUP(Table6[[#This Row],[SKU]],'All Skus'!$A:$AC,4,FALSE)),""))</f>
        <v>NCSA180Z-U-US</v>
      </c>
      <c r="D25" s="61" t="str">
        <f>(IF((VLOOKUP(Table6[[#This Row],[SKU]],'All Skus'!$A:$AC,2,FALSE))="JBL",(VLOOKUP(Table6[[#This Row],[SKU]],'All Skus'!$A:$AC,5,FALSE)),""))</f>
        <v>CSMA</v>
      </c>
      <c r="E25" s="137">
        <f>(IF((VLOOKUP(Table6[[#This Row],[SKU]],'All Skus'!$A:$AC,2,FALSE))="JBL",(VLOOKUP(Table6[[#This Row],[SKU]],'All Skus'!$A:$AC,6,FALSE)),""))</f>
        <v>0</v>
      </c>
      <c r="F25" s="61">
        <f>(IF((VLOOKUP(Table6[[#This Row],[SKU]],'All Skus'!$A:$AC,2,FALSE))="JBL",(VLOOKUP(Table6[[#This Row],[SKU]],'All Skus'!$A:$AC,7,FALSE)),""))</f>
        <v>0</v>
      </c>
      <c r="G25" t="str">
        <f>(IF((VLOOKUP(Table6[[#This Row],[SKU]],'All Skus'!$A:$AC,2,FALSE))="JBL",(VLOOKUP(Table6[[#This Row],[SKU]],'All Skus'!$A:$AC,8,FALSE)),""))</f>
        <v>CSA180Z</v>
      </c>
      <c r="H25" s="8" t="str">
        <f>(IF((VLOOKUP(Table6[[#This Row],[SKU]],'All Skus'!$A:$AC,2,FALSE))="JBL",(VLOOKUP(Table6[[#This Row],[SKU]],'All Skus'!$A:$AC,9,FALSE)),""))</f>
        <v>1 x 80W DriveCore Amplifier, Fanless, 4ohm/8ohm/70V/100V, 1U Half-Rack, Mounting kit</v>
      </c>
      <c r="I25" s="101">
        <f>(IF((VLOOKUP(Table6[[#This Row],[SKU]],'All Skus'!$A:$AC,2,FALSE))="JBL",(VLOOKUP(Table6[[#This Row],[SKU]],'All Skus'!$A:$AC,10,FALSE)),""))</f>
        <v>599.03</v>
      </c>
      <c r="J25" s="101">
        <f>(IF((VLOOKUP(Table6[[#This Row],[SKU]],'All Skus'!$A:$AC,2,FALSE))="JBL",(VLOOKUP(Table6[[#This Row],[SKU]],'All Skus'!$A:$AC,11,FALSE)),""))</f>
        <v>432</v>
      </c>
      <c r="K25" s="102">
        <f>(IF((VLOOKUP(Table6[[#This Row],[SKU]],'All Skus'!$A:$AC,2,FALSE))="JBL",(VLOOKUP(Table6[[#This Row],[SKU]],'All Skus'!$A:$AC,13,FALSE)),""))</f>
        <v>0</v>
      </c>
      <c r="L25" s="102">
        <f>(IF((VLOOKUP(Table6[[#This Row],[SKU]],'All Skus'!$A:$AC,2,FALSE))="JBL",(VLOOKUP(Table6[[#This Row],[SKU]],'All Skus'!$A:$AC,14,FALSE)),""))</f>
        <v>0</v>
      </c>
      <c r="M25" s="143">
        <f>(IF((VLOOKUP(Table6[[#This Row],[SKU]],'All Skus'!$A:$AC,2,FALSE))="JBL",(VLOOKUP(Table6[[#This Row],[SKU]],'All Skus'!$A:$AC,15,FALSE)),""))</f>
        <v>0</v>
      </c>
      <c r="N25" s="137">
        <f>(IF((VLOOKUP(Table6[[#This Row],[SKU]],'All Skus'!$A:$AC,2,FALSE))="JBL",(VLOOKUP(Table6[[#This Row],[SKU]],'All Skus'!$A:$AC,16,FALSE)),""))</f>
        <v>871015008394</v>
      </c>
      <c r="O25" s="61">
        <f>(IF((VLOOKUP(Table6[[#This Row],[SKU]],'All Skus'!$A:$AC,2,FALSE))="JBL",(VLOOKUP(Table6[[#This Row],[SKU]],'All Skus'!$A:$AC,17,FALSE)),""))</f>
        <v>0</v>
      </c>
      <c r="P25" s="136">
        <f>(IF((VLOOKUP(Table6[[#This Row],[SKU]],'All Skus'!$A:$AC,2,FALSE))="JBL",(VLOOKUP(Table6[[#This Row],[SKU]],'All Skus'!$A:$AC,18,FALSE)),""))</f>
        <v>10</v>
      </c>
      <c r="Q25" s="136">
        <f>(IF((VLOOKUP(Table6[[#This Row],[SKU]],'All Skus'!$A:$AC,2,FALSE))="JBL",(VLOOKUP(Table6[[#This Row],[SKU]],'All Skus'!$A:$AC,19,FALSE)),""))</f>
        <v>16.5</v>
      </c>
      <c r="R25" s="136">
        <f>(IF((VLOOKUP(Table6[[#This Row],[SKU]],'All Skus'!$A:$AC,2,FALSE))="JBL",(VLOOKUP(Table6[[#This Row],[SKU]],'All Skus'!$A:$AC,20,FALSE)),""))</f>
        <v>12</v>
      </c>
      <c r="S25" s="61">
        <f>(IF((VLOOKUP(Table6[[#This Row],[SKU]],'All Skus'!$A:$AC,2,FALSE))="JBL",(VLOOKUP(Table6[[#This Row],[SKU]],'All Skus'!$A:$AC,21,FALSE)),""))</f>
        <v>5</v>
      </c>
      <c r="T25" s="61" t="str">
        <f>(IF((VLOOKUP(Table6[[#This Row],[SKU]],'All Skus'!$A:$AC,2,FALSE))="JBL",(VLOOKUP(Table6[[#This Row],[SKU]],'All Skus'!$A:$AC,22,FALSE)),""))</f>
        <v>MX</v>
      </c>
      <c r="U25" t="str">
        <f>(IF((VLOOKUP(Table6[[#This Row],[SKU]],'All Skus'!$A:$AC,2,FALSE))="JBL",(VLOOKUP(Table6[[#This Row],[SKU]],'All Skus'!$A:$AC,23,FALSE)),""))</f>
        <v>Compliant</v>
      </c>
      <c r="V25" s="284" t="str">
        <f>HYPERLINK((IF((VLOOKUP(Table6[[#This Row],[SKU]],'All Skus'!$A:$AC,2,FALSE))="JBL",(VLOOKUP(Table6[[#This Row],[SKU]],'All Skus'!$A:$AC,24,FALSE)),"")))</f>
        <v>http://jblcommercialproducts.com/en-US/products/csa-140z180z1120z</v>
      </c>
      <c r="W25" s="151">
        <v>23</v>
      </c>
    </row>
    <row r="26" spans="1:23" ht="15" hidden="1" customHeight="1">
      <c r="A26" s="13" t="s">
        <v>1034</v>
      </c>
      <c r="B26" s="12" t="str">
        <f>(IF((VLOOKUP(Table6[[#This Row],[SKU]],'All Skus'!$A:$AC,2,FALSE))="JBL",(VLOOKUP(Table6[[#This Row],[SKU]],'All Skus'!$A:$AC,3,FALSE)),""))</f>
        <v>COMMERCIAL AMPLIFIER</v>
      </c>
      <c r="C26" s="12" t="str">
        <f>(IF((VLOOKUP(Table6[[#This Row],[SKU]],'All Skus'!$A:$AC,2,FALSE))="JBL",(VLOOKUP(Table6[[#This Row],[SKU]],'All Skus'!$A:$AC,4,FALSE)),""))</f>
        <v>NCSA2120R-U-US</v>
      </c>
      <c r="D26" s="61" t="str">
        <f>(IF((VLOOKUP(Table6[[#This Row],[SKU]],'All Skus'!$A:$AC,2,FALSE))="JBL",(VLOOKUP(Table6[[#This Row],[SKU]],'All Skus'!$A:$AC,5,FALSE)),""))</f>
        <v>CA</v>
      </c>
      <c r="E26" s="137">
        <f>(IF((VLOOKUP(Table6[[#This Row],[SKU]],'All Skus'!$A:$AC,2,FALSE))="JBL",(VLOOKUP(Table6[[#This Row],[SKU]],'All Skus'!$A:$AC,6,FALSE)),""))</f>
        <v>0</v>
      </c>
      <c r="F26" s="61">
        <f>(IF((VLOOKUP(Table6[[#This Row],[SKU]],'All Skus'!$A:$AC,2,FALSE))="JBL",(VLOOKUP(Table6[[#This Row],[SKU]],'All Skus'!$A:$AC,7,FALSE)),""))</f>
        <v>0</v>
      </c>
      <c r="G26" t="str">
        <f>(IF((VLOOKUP(Table6[[#This Row],[SKU]],'All Skus'!$A:$AC,2,FALSE))="JBL",(VLOOKUP(Table6[[#This Row],[SKU]],'All Skus'!$A:$AC,8,FALSE)),""))</f>
        <v>CSA2120R</v>
      </c>
      <c r="H26" s="8" t="str">
        <f>(IF((VLOOKUP(Table6[[#This Row],[SKU]],'All Skus'!$A:$AC,2,FALSE))="JBL",(VLOOKUP(Table6[[#This Row],[SKU]],'All Skus'!$A:$AC,9,FALSE)),""))</f>
        <v>2 x 120 Watt Amplifier at 4/8 Ohms</v>
      </c>
      <c r="I26" s="101">
        <f>(IF((VLOOKUP(Table6[[#This Row],[SKU]],'All Skus'!$A:$AC,2,FALSE))="JBL",(VLOOKUP(Table6[[#This Row],[SKU]],'All Skus'!$A:$AC,10,FALSE)),""))</f>
        <v>712.57</v>
      </c>
      <c r="J26" s="101">
        <f>(IF((VLOOKUP(Table6[[#This Row],[SKU]],'All Skus'!$A:$AC,2,FALSE))="JBL",(VLOOKUP(Table6[[#This Row],[SKU]],'All Skus'!$A:$AC,11,FALSE)),""))</f>
        <v>556</v>
      </c>
      <c r="K26" s="102">
        <f>(IF((VLOOKUP(Table6[[#This Row],[SKU]],'All Skus'!$A:$AC,2,FALSE))="JBL",(VLOOKUP(Table6[[#This Row],[SKU]],'All Skus'!$A:$AC,13,FALSE)),""))</f>
        <v>0</v>
      </c>
      <c r="L26" s="102">
        <f>(IF((VLOOKUP(Table6[[#This Row],[SKU]],'All Skus'!$A:$AC,2,FALSE))="JBL",(VLOOKUP(Table6[[#This Row],[SKU]],'All Skus'!$A:$AC,14,FALSE)),""))</f>
        <v>0</v>
      </c>
      <c r="M26" s="143">
        <f>(IF((VLOOKUP(Table6[[#This Row],[SKU]],'All Skus'!$A:$AC,2,FALSE))="JBL",(VLOOKUP(Table6[[#This Row],[SKU]],'All Skus'!$A:$AC,15,FALSE)),""))</f>
        <v>0</v>
      </c>
      <c r="N26" s="137">
        <f>(IF((VLOOKUP(Table6[[#This Row],[SKU]],'All Skus'!$A:$AC,2,FALSE))="JBL",(VLOOKUP(Table6[[#This Row],[SKU]],'All Skus'!$A:$AC,16,FALSE)),""))</f>
        <v>871015008097</v>
      </c>
      <c r="O26" s="61">
        <f>(IF((VLOOKUP(Table6[[#This Row],[SKU]],'All Skus'!$A:$AC,2,FALSE))="JBL",(VLOOKUP(Table6[[#This Row],[SKU]],'All Skus'!$A:$AC,17,FALSE)),""))</f>
        <v>0</v>
      </c>
      <c r="P26" s="136">
        <f>(IF((VLOOKUP(Table6[[#This Row],[SKU]],'All Skus'!$A:$AC,2,FALSE))="JBL",(VLOOKUP(Table6[[#This Row],[SKU]],'All Skus'!$A:$AC,18,FALSE)),""))</f>
        <v>4</v>
      </c>
      <c r="Q26" s="136">
        <f>(IF((VLOOKUP(Table6[[#This Row],[SKU]],'All Skus'!$A:$AC,2,FALSE))="JBL",(VLOOKUP(Table6[[#This Row],[SKU]],'All Skus'!$A:$AC,19,FALSE)),""))</f>
        <v>12</v>
      </c>
      <c r="R26" s="136">
        <f>(IF((VLOOKUP(Table6[[#This Row],[SKU]],'All Skus'!$A:$AC,2,FALSE))="JBL",(VLOOKUP(Table6[[#This Row],[SKU]],'All Skus'!$A:$AC,20,FALSE)),""))</f>
        <v>5</v>
      </c>
      <c r="S26" s="61">
        <f>(IF((VLOOKUP(Table6[[#This Row],[SKU]],'All Skus'!$A:$AC,2,FALSE))="JBL",(VLOOKUP(Table6[[#This Row],[SKU]],'All Skus'!$A:$AC,21,FALSE)),""))</f>
        <v>11</v>
      </c>
      <c r="T26" s="61" t="str">
        <f>(IF((VLOOKUP(Table6[[#This Row],[SKU]],'All Skus'!$A:$AC,2,FALSE))="JBL",(VLOOKUP(Table6[[#This Row],[SKU]],'All Skus'!$A:$AC,22,FALSE)),""))</f>
        <v>MX</v>
      </c>
      <c r="U26" t="str">
        <f>(IF((VLOOKUP(Table6[[#This Row],[SKU]],'All Skus'!$A:$AC,2,FALSE))="JBL",(VLOOKUP(Table6[[#This Row],[SKU]],'All Skus'!$A:$AC,23,FALSE)),""))</f>
        <v>Compliant</v>
      </c>
      <c r="V26" s="284" t="str">
        <f>HYPERLINK((IF((VLOOKUP(Table6[[#This Row],[SKU]],'All Skus'!$A:$AC,2,FALSE))="JBL",(VLOOKUP(Table6[[#This Row],[SKU]],'All Skus'!$A:$AC,24,FALSE)),"")))</f>
        <v>http://jblcommercialproducts.com/en-US/products/csa-2120</v>
      </c>
      <c r="W26" s="151">
        <v>24</v>
      </c>
    </row>
    <row r="27" spans="1:23" ht="15" hidden="1" customHeight="1">
      <c r="A27" s="13" t="s">
        <v>1035</v>
      </c>
      <c r="B27" s="12" t="str">
        <f>(IF((VLOOKUP(Table6[[#This Row],[SKU]],'All Skus'!$A:$AC,2,FALSE))="JBL",(VLOOKUP(Table6[[#This Row],[SKU]],'All Skus'!$A:$AC,3,FALSE)),""))</f>
        <v>COMMERCIAL AMPLIFIER</v>
      </c>
      <c r="C27" s="12" t="str">
        <f>(IF((VLOOKUP(Table6[[#This Row],[SKU]],'All Skus'!$A:$AC,2,FALSE))="JBL",(VLOOKUP(Table6[[#This Row],[SKU]],'All Skus'!$A:$AC,4,FALSE)),""))</f>
        <v>NCST2120-X</v>
      </c>
      <c r="D27" s="61" t="str">
        <f>(IF((VLOOKUP(Table6[[#This Row],[SKU]],'All Skus'!$A:$AC,2,FALSE))="JBL",(VLOOKUP(Table6[[#This Row],[SKU]],'All Skus'!$A:$AC,5,FALSE)),""))</f>
        <v>AMPACC</v>
      </c>
      <c r="E27" s="137">
        <f>(IF((VLOOKUP(Table6[[#This Row],[SKU]],'All Skus'!$A:$AC,2,FALSE))="JBL",(VLOOKUP(Table6[[#This Row],[SKU]],'All Skus'!$A:$AC,6,FALSE)),""))</f>
        <v>0</v>
      </c>
      <c r="F27" s="61">
        <f>(IF((VLOOKUP(Table6[[#This Row],[SKU]],'All Skus'!$A:$AC,2,FALSE))="JBL",(VLOOKUP(Table6[[#This Row],[SKU]],'All Skus'!$A:$AC,7,FALSE)),""))</f>
        <v>0</v>
      </c>
      <c r="G27" t="str">
        <f>(IF((VLOOKUP(Table6[[#This Row],[SKU]],'All Skus'!$A:$AC,2,FALSE))="JBL",(VLOOKUP(Table6[[#This Row],[SKU]],'All Skus'!$A:$AC,8,FALSE)),""))</f>
        <v>CST2120</v>
      </c>
      <c r="H27" s="8" t="str">
        <f>(IF((VLOOKUP(Table6[[#This Row],[SKU]],'All Skus'!$A:$AC,2,FALSE))="JBL",(VLOOKUP(Table6[[#This Row],[SKU]],'All Skus'!$A:$AC,9,FALSE)),""))</f>
        <v>2-Channel Transformer Kit for CSA2120</v>
      </c>
      <c r="I27" s="101">
        <f>(IF((VLOOKUP(Table6[[#This Row],[SKU]],'All Skus'!$A:$AC,2,FALSE))="JBL",(VLOOKUP(Table6[[#This Row],[SKU]],'All Skus'!$A:$AC,10,FALSE)),""))</f>
        <v>186.37</v>
      </c>
      <c r="J27" s="101">
        <f>(IF((VLOOKUP(Table6[[#This Row],[SKU]],'All Skus'!$A:$AC,2,FALSE))="JBL",(VLOOKUP(Table6[[#This Row],[SKU]],'All Skus'!$A:$AC,11,FALSE)),""))</f>
        <v>170</v>
      </c>
      <c r="K27" s="102">
        <f>(IF((VLOOKUP(Table6[[#This Row],[SKU]],'All Skus'!$A:$AC,2,FALSE))="JBL",(VLOOKUP(Table6[[#This Row],[SKU]],'All Skus'!$A:$AC,13,FALSE)),""))</f>
        <v>0</v>
      </c>
      <c r="L27" s="102">
        <f>(IF((VLOOKUP(Table6[[#This Row],[SKU]],'All Skus'!$A:$AC,2,FALSE))="JBL",(VLOOKUP(Table6[[#This Row],[SKU]],'All Skus'!$A:$AC,14,FALSE)),""))</f>
        <v>0</v>
      </c>
      <c r="M27" s="143">
        <f>(IF((VLOOKUP(Table6[[#This Row],[SKU]],'All Skus'!$A:$AC,2,FALSE))="JBL",(VLOOKUP(Table6[[#This Row],[SKU]],'All Skus'!$A:$AC,15,FALSE)),""))</f>
        <v>0</v>
      </c>
      <c r="N27" s="137">
        <f>(IF((VLOOKUP(Table6[[#This Row],[SKU]],'All Skus'!$A:$AC,2,FALSE))="JBL",(VLOOKUP(Table6[[#This Row],[SKU]],'All Skus'!$A:$AC,16,FALSE)),""))</f>
        <v>871015006147</v>
      </c>
      <c r="O27" s="61">
        <f>(IF((VLOOKUP(Table6[[#This Row],[SKU]],'All Skus'!$A:$AC,2,FALSE))="JBL",(VLOOKUP(Table6[[#This Row],[SKU]],'All Skus'!$A:$AC,17,FALSE)),""))</f>
        <v>0</v>
      </c>
      <c r="P27" s="136">
        <f>(IF((VLOOKUP(Table6[[#This Row],[SKU]],'All Skus'!$A:$AC,2,FALSE))="JBL",(VLOOKUP(Table6[[#This Row],[SKU]],'All Skus'!$A:$AC,18,FALSE)),""))</f>
        <v>6</v>
      </c>
      <c r="Q27" s="136">
        <f>(IF((VLOOKUP(Table6[[#This Row],[SKU]],'All Skus'!$A:$AC,2,FALSE))="JBL",(VLOOKUP(Table6[[#This Row],[SKU]],'All Skus'!$A:$AC,19,FALSE)),""))</f>
        <v>12</v>
      </c>
      <c r="R27" s="136">
        <f>(IF((VLOOKUP(Table6[[#This Row],[SKU]],'All Skus'!$A:$AC,2,FALSE))="JBL",(VLOOKUP(Table6[[#This Row],[SKU]],'All Skus'!$A:$AC,20,FALSE)),""))</f>
        <v>11</v>
      </c>
      <c r="S27" s="61">
        <f>(IF((VLOOKUP(Table6[[#This Row],[SKU]],'All Skus'!$A:$AC,2,FALSE))="JBL",(VLOOKUP(Table6[[#This Row],[SKU]],'All Skus'!$A:$AC,21,FALSE)),""))</f>
        <v>5</v>
      </c>
      <c r="T27" s="61" t="str">
        <f>(IF((VLOOKUP(Table6[[#This Row],[SKU]],'All Skus'!$A:$AC,2,FALSE))="JBL",(VLOOKUP(Table6[[#This Row],[SKU]],'All Skus'!$A:$AC,22,FALSE)),""))</f>
        <v>MX</v>
      </c>
      <c r="U27" t="str">
        <f>(IF((VLOOKUP(Table6[[#This Row],[SKU]],'All Skus'!$A:$AC,2,FALSE))="JBL",(VLOOKUP(Table6[[#This Row],[SKU]],'All Skus'!$A:$AC,23,FALSE)),""))</f>
        <v>Compliant</v>
      </c>
      <c r="V27" s="284" t="str">
        <f>HYPERLINK((IF((VLOOKUP(Table6[[#This Row],[SKU]],'All Skus'!$A:$AC,2,FALSE))="JBL",(VLOOKUP(Table6[[#This Row],[SKU]],'All Skus'!$A:$AC,24,FALSE)),"")))</f>
        <v>http://jblcommercialproducts.com/en-US/products/cst-2120</v>
      </c>
      <c r="W27" s="151">
        <v>25</v>
      </c>
    </row>
    <row r="28" spans="1:23" ht="15" hidden="1" customHeight="1">
      <c r="A28" s="13" t="s">
        <v>1036</v>
      </c>
      <c r="B28" s="12" t="str">
        <f>(IF((VLOOKUP(Table6[[#This Row],[SKU]],'All Skus'!$A:$AC,2,FALSE))="JBL",(VLOOKUP(Table6[[#This Row],[SKU]],'All Skus'!$A:$AC,3,FALSE)),""))</f>
        <v>COMMERCIAL AMPLIFIER</v>
      </c>
      <c r="C28" s="12" t="str">
        <f>(IF((VLOOKUP(Table6[[#This Row],[SKU]],'All Skus'!$A:$AC,2,FALSE))="JBL",(VLOOKUP(Table6[[#This Row],[SKU]],'All Skus'!$A:$AC,4,FALSE)),""))</f>
        <v>NCSA2120Z-U-US</v>
      </c>
      <c r="D28" s="61" t="str">
        <f>(IF((VLOOKUP(Table6[[#This Row],[SKU]],'All Skus'!$A:$AC,2,FALSE))="JBL",(VLOOKUP(Table6[[#This Row],[SKU]],'All Skus'!$A:$AC,5,FALSE)),""))</f>
        <v>CSMA</v>
      </c>
      <c r="E28" s="137">
        <f>(IF((VLOOKUP(Table6[[#This Row],[SKU]],'All Skus'!$A:$AC,2,FALSE))="JBL",(VLOOKUP(Table6[[#This Row],[SKU]],'All Skus'!$A:$AC,6,FALSE)),""))</f>
        <v>0</v>
      </c>
      <c r="F28" s="61">
        <f>(IF((VLOOKUP(Table6[[#This Row],[SKU]],'All Skus'!$A:$AC,2,FALSE))="JBL",(VLOOKUP(Table6[[#This Row],[SKU]],'All Skus'!$A:$AC,7,FALSE)),""))</f>
        <v>0</v>
      </c>
      <c r="G28" t="str">
        <f>(IF((VLOOKUP(Table6[[#This Row],[SKU]],'All Skus'!$A:$AC,2,FALSE))="JBL",(VLOOKUP(Table6[[#This Row],[SKU]],'All Skus'!$A:$AC,8,FALSE)),""))</f>
        <v>CSA2120Z</v>
      </c>
      <c r="H28" s="8" t="str">
        <f>(IF((VLOOKUP(Table6[[#This Row],[SKU]],'All Skus'!$A:$AC,2,FALSE))="JBL",(VLOOKUP(Table6[[#This Row],[SKU]],'All Skus'!$A:$AC,9,FALSE)),""))</f>
        <v>2 x 120W DriveCore Amplifier, Fanless, 4ohm/8ohm/70V/100V, 1U Half-Rack, Mounting kit</v>
      </c>
      <c r="I28" s="101">
        <f>(IF((VLOOKUP(Table6[[#This Row],[SKU]],'All Skus'!$A:$AC,2,FALSE))="JBL",(VLOOKUP(Table6[[#This Row],[SKU]],'All Skus'!$A:$AC,10,FALSE)),""))</f>
        <v>1008.06</v>
      </c>
      <c r="J28" s="101">
        <f>(IF((VLOOKUP(Table6[[#This Row],[SKU]],'All Skus'!$A:$AC,2,FALSE))="JBL",(VLOOKUP(Table6[[#This Row],[SKU]],'All Skus'!$A:$AC,11,FALSE)),""))</f>
        <v>675</v>
      </c>
      <c r="K28" s="102">
        <f>(IF((VLOOKUP(Table6[[#This Row],[SKU]],'All Skus'!$A:$AC,2,FALSE))="JBL",(VLOOKUP(Table6[[#This Row],[SKU]],'All Skus'!$A:$AC,13,FALSE)),""))</f>
        <v>0</v>
      </c>
      <c r="L28" s="102">
        <f>(IF((VLOOKUP(Table6[[#This Row],[SKU]],'All Skus'!$A:$AC,2,FALSE))="JBL",(VLOOKUP(Table6[[#This Row],[SKU]],'All Skus'!$A:$AC,14,FALSE)),""))</f>
        <v>0</v>
      </c>
      <c r="M28" s="143">
        <f>(IF((VLOOKUP(Table6[[#This Row],[SKU]],'All Skus'!$A:$AC,2,FALSE))="JBL",(VLOOKUP(Table6[[#This Row],[SKU]],'All Skus'!$A:$AC,15,FALSE)),""))</f>
        <v>0</v>
      </c>
      <c r="N28" s="137">
        <f>(IF((VLOOKUP(Table6[[#This Row],[SKU]],'All Skus'!$A:$AC,2,FALSE))="JBL",(VLOOKUP(Table6[[#This Row],[SKU]],'All Skus'!$A:$AC,16,FALSE)),""))</f>
        <v>871015008097</v>
      </c>
      <c r="O28" s="61">
        <f>(IF((VLOOKUP(Table6[[#This Row],[SKU]],'All Skus'!$A:$AC,2,FALSE))="JBL",(VLOOKUP(Table6[[#This Row],[SKU]],'All Skus'!$A:$AC,17,FALSE)),""))</f>
        <v>0</v>
      </c>
      <c r="P28" s="136">
        <f>(IF((VLOOKUP(Table6[[#This Row],[SKU]],'All Skus'!$A:$AC,2,FALSE))="JBL",(VLOOKUP(Table6[[#This Row],[SKU]],'All Skus'!$A:$AC,18,FALSE)),""))</f>
        <v>12</v>
      </c>
      <c r="Q28" s="136">
        <f>(IF((VLOOKUP(Table6[[#This Row],[SKU]],'All Skus'!$A:$AC,2,FALSE))="JBL",(VLOOKUP(Table6[[#This Row],[SKU]],'All Skus'!$A:$AC,19,FALSE)),""))</f>
        <v>16.5</v>
      </c>
      <c r="R28" s="136">
        <f>(IF((VLOOKUP(Table6[[#This Row],[SKU]],'All Skus'!$A:$AC,2,FALSE))="JBL",(VLOOKUP(Table6[[#This Row],[SKU]],'All Skus'!$A:$AC,20,FALSE)),""))</f>
        <v>5</v>
      </c>
      <c r="S28" s="61">
        <f>(IF((VLOOKUP(Table6[[#This Row],[SKU]],'All Skus'!$A:$AC,2,FALSE))="JBL",(VLOOKUP(Table6[[#This Row],[SKU]],'All Skus'!$A:$AC,21,FALSE)),""))</f>
        <v>12</v>
      </c>
      <c r="T28" s="61" t="str">
        <f>(IF((VLOOKUP(Table6[[#This Row],[SKU]],'All Skus'!$A:$AC,2,FALSE))="JBL",(VLOOKUP(Table6[[#This Row],[SKU]],'All Skus'!$A:$AC,22,FALSE)),""))</f>
        <v>MX</v>
      </c>
      <c r="U28" t="str">
        <f>(IF((VLOOKUP(Table6[[#This Row],[SKU]],'All Skus'!$A:$AC,2,FALSE))="JBL",(VLOOKUP(Table6[[#This Row],[SKU]],'All Skus'!$A:$AC,23,FALSE)),""))</f>
        <v>Compliant</v>
      </c>
      <c r="V28" s="284" t="str">
        <f>HYPERLINK((IF((VLOOKUP(Table6[[#This Row],[SKU]],'All Skus'!$A:$AC,2,FALSE))="JBL",(VLOOKUP(Table6[[#This Row],[SKU]],'All Skus'!$A:$AC,24,FALSE)),"")))</f>
        <v>http://jblcommercialproducts.com/en-US/products/csa-240z280z2120z</v>
      </c>
      <c r="W28" s="151">
        <v>26</v>
      </c>
    </row>
    <row r="29" spans="1:23" ht="15" hidden="1" customHeight="1">
      <c r="A29" s="13" t="s">
        <v>1037</v>
      </c>
      <c r="B29" s="12" t="str">
        <f>(IF((VLOOKUP(Table6[[#This Row],[SKU]],'All Skus'!$A:$AC,2,FALSE))="JBL",(VLOOKUP(Table6[[#This Row],[SKU]],'All Skus'!$A:$AC,3,FALSE)),""))</f>
        <v>Commercial Amplifier</v>
      </c>
      <c r="C29" s="12" t="str">
        <f>(IF((VLOOKUP(Table6[[#This Row],[SKU]],'All Skus'!$A:$AC,2,FALSE))="JBL",(VLOOKUP(Table6[[#This Row],[SKU]],'All Skus'!$A:$AC,4,FALSE)),""))</f>
        <v>NCSA2300Z-0-US</v>
      </c>
      <c r="D29" s="61" t="str">
        <f>(IF((VLOOKUP(Table6[[#This Row],[SKU]],'All Skus'!$A:$AC,2,FALSE))="JBL",(VLOOKUP(Table6[[#This Row],[SKU]],'All Skus'!$A:$AC,5,FALSE)),""))</f>
        <v>CSMA</v>
      </c>
      <c r="E29" s="137">
        <f>(IF((VLOOKUP(Table6[[#This Row],[SKU]],'All Skus'!$A:$AC,2,FALSE))="JBL",(VLOOKUP(Table6[[#This Row],[SKU]],'All Skus'!$A:$AC,6,FALSE)),""))</f>
        <v>0</v>
      </c>
      <c r="F29" s="61">
        <f>(IF((VLOOKUP(Table6[[#This Row],[SKU]],'All Skus'!$A:$AC,2,FALSE))="JBL",(VLOOKUP(Table6[[#This Row],[SKU]],'All Skus'!$A:$AC,7,FALSE)),""))</f>
        <v>0</v>
      </c>
      <c r="G29" t="str">
        <f>(IF((VLOOKUP(Table6[[#This Row],[SKU]],'All Skus'!$A:$AC,2,FALSE))="JBL",(VLOOKUP(Table6[[#This Row],[SKU]],'All Skus'!$A:$AC,8,FALSE)),""))</f>
        <v>CSA2300Z</v>
      </c>
      <c r="H29" s="8" t="str">
        <f>(IF((VLOOKUP(Table6[[#This Row],[SKU]],'All Skus'!$A:$AC,2,FALSE))="JBL",(VLOOKUP(Table6[[#This Row],[SKU]],'All Skus'!$A:$AC,9,FALSE)),""))</f>
        <v>2 x 300W DriveCore Amplifier, Fanless, 8ohm/70V/100V, supports CSR-V volume control, sleep mode (w/ disable), 2U Full-Rack, Mounting kit</v>
      </c>
      <c r="I29" s="101">
        <f>(IF((VLOOKUP(Table6[[#This Row],[SKU]],'All Skus'!$A:$AC,2,FALSE))="JBL",(VLOOKUP(Table6[[#This Row],[SKU]],'All Skus'!$A:$AC,10,FALSE)),""))</f>
        <v>1078.02</v>
      </c>
      <c r="J29" s="101">
        <f>(IF((VLOOKUP(Table6[[#This Row],[SKU]],'All Skus'!$A:$AC,2,FALSE))="JBL",(VLOOKUP(Table6[[#This Row],[SKU]],'All Skus'!$A:$AC,11,FALSE)),""))</f>
        <v>947</v>
      </c>
      <c r="K29" s="102">
        <f>(IF((VLOOKUP(Table6[[#This Row],[SKU]],'All Skus'!$A:$AC,2,FALSE))="JBL",(VLOOKUP(Table6[[#This Row],[SKU]],'All Skus'!$A:$AC,13,FALSE)),""))</f>
        <v>0</v>
      </c>
      <c r="L29" s="102">
        <f>(IF((VLOOKUP(Table6[[#This Row],[SKU]],'All Skus'!$A:$AC,2,FALSE))="JBL",(VLOOKUP(Table6[[#This Row],[SKU]],'All Skus'!$A:$AC,14,FALSE)),""))</f>
        <v>0</v>
      </c>
      <c r="M29" s="143">
        <f>(IF((VLOOKUP(Table6[[#This Row],[SKU]],'All Skus'!$A:$AC,2,FALSE))="JBL",(VLOOKUP(Table6[[#This Row],[SKU]],'All Skus'!$A:$AC,15,FALSE)),""))</f>
        <v>0</v>
      </c>
      <c r="N29" s="137">
        <f>(IF((VLOOKUP(Table6[[#This Row],[SKU]],'All Skus'!$A:$AC,2,FALSE))="JBL",(VLOOKUP(Table6[[#This Row],[SKU]],'All Skus'!$A:$AC,16,FALSE)),""))</f>
        <v>691991004148</v>
      </c>
      <c r="O29" s="61">
        <f>(IF((VLOOKUP(Table6[[#This Row],[SKU]],'All Skus'!$A:$AC,2,FALSE))="JBL",(VLOOKUP(Table6[[#This Row],[SKU]],'All Skus'!$A:$AC,17,FALSE)),""))</f>
        <v>0</v>
      </c>
      <c r="P29" s="136">
        <f>(IF((VLOOKUP(Table6[[#This Row],[SKU]],'All Skus'!$A:$AC,2,FALSE))="JBL",(VLOOKUP(Table6[[#This Row],[SKU]],'All Skus'!$A:$AC,18,FALSE)),""))</f>
        <v>20</v>
      </c>
      <c r="Q29" s="136">
        <f>(IF((VLOOKUP(Table6[[#This Row],[SKU]],'All Skus'!$A:$AC,2,FALSE))="JBL",(VLOOKUP(Table6[[#This Row],[SKU]],'All Skus'!$A:$AC,19,FALSE)),""))</f>
        <v>21.5</v>
      </c>
      <c r="R29" s="136">
        <f>(IF((VLOOKUP(Table6[[#This Row],[SKU]],'All Skus'!$A:$AC,2,FALSE))="JBL",(VLOOKUP(Table6[[#This Row],[SKU]],'All Skus'!$A:$AC,20,FALSE)),""))</f>
        <v>14.5</v>
      </c>
      <c r="S29" s="61">
        <f>(IF((VLOOKUP(Table6[[#This Row],[SKU]],'All Skus'!$A:$AC,2,FALSE))="JBL",(VLOOKUP(Table6[[#This Row],[SKU]],'All Skus'!$A:$AC,21,FALSE)),""))</f>
        <v>6</v>
      </c>
      <c r="T29" s="61" t="str">
        <f>(IF((VLOOKUP(Table6[[#This Row],[SKU]],'All Skus'!$A:$AC,2,FALSE))="JBL",(VLOOKUP(Table6[[#This Row],[SKU]],'All Skus'!$A:$AC,22,FALSE)),""))</f>
        <v>CN</v>
      </c>
      <c r="U29" t="str">
        <f>(IF((VLOOKUP(Table6[[#This Row],[SKU]],'All Skus'!$A:$AC,2,FALSE))="JBL",(VLOOKUP(Table6[[#This Row],[SKU]],'All Skus'!$A:$AC,23,FALSE)),""))</f>
        <v>Non Compliant</v>
      </c>
      <c r="V29" s="284" t="str">
        <f>HYPERLINK((IF((VLOOKUP(Table6[[#This Row],[SKU]],'All Skus'!$A:$AC,2,FALSE))="JBL",(VLOOKUP(Table6[[#This Row],[SKU]],'All Skus'!$A:$AC,24,FALSE)),"")))</f>
        <v/>
      </c>
      <c r="W29" s="151">
        <v>27</v>
      </c>
    </row>
    <row r="30" spans="1:23" ht="15" hidden="1" customHeight="1">
      <c r="A30" s="13" t="s">
        <v>1038</v>
      </c>
      <c r="B30" s="12" t="str">
        <f>(IF((VLOOKUP(Table6[[#This Row],[SKU]],'All Skus'!$A:$AC,2,FALSE))="JBL",(VLOOKUP(Table6[[#This Row],[SKU]],'All Skus'!$A:$AC,3,FALSE)),""))</f>
        <v>COMMERCIAL AMPLIFIER</v>
      </c>
      <c r="C30" s="12" t="str">
        <f>(IF((VLOOKUP(Table6[[#This Row],[SKU]],'All Skus'!$A:$AC,2,FALSE))="JBL",(VLOOKUP(Table6[[#This Row],[SKU]],'All Skus'!$A:$AC,4,FALSE)),""))</f>
        <v>NCSA240Z-U-US</v>
      </c>
      <c r="D30" s="61" t="str">
        <f>(IF((VLOOKUP(Table6[[#This Row],[SKU]],'All Skus'!$A:$AC,2,FALSE))="JBL",(VLOOKUP(Table6[[#This Row],[SKU]],'All Skus'!$A:$AC,5,FALSE)),""))</f>
        <v>CSMA</v>
      </c>
      <c r="E30" s="137">
        <f>(IF((VLOOKUP(Table6[[#This Row],[SKU]],'All Skus'!$A:$AC,2,FALSE))="JBL",(VLOOKUP(Table6[[#This Row],[SKU]],'All Skus'!$A:$AC,6,FALSE)),""))</f>
        <v>0</v>
      </c>
      <c r="F30" s="61">
        <f>(IF((VLOOKUP(Table6[[#This Row],[SKU]],'All Skus'!$A:$AC,2,FALSE))="JBL",(VLOOKUP(Table6[[#This Row],[SKU]],'All Skus'!$A:$AC,7,FALSE)),""))</f>
        <v>0</v>
      </c>
      <c r="G30" t="str">
        <f>(IF((VLOOKUP(Table6[[#This Row],[SKU]],'All Skus'!$A:$AC,2,FALSE))="JBL",(VLOOKUP(Table6[[#This Row],[SKU]],'All Skus'!$A:$AC,8,FALSE)),""))</f>
        <v>CSA240Z</v>
      </c>
      <c r="H30" s="8" t="str">
        <f>(IF((VLOOKUP(Table6[[#This Row],[SKU]],'All Skus'!$A:$AC,2,FALSE))="JBL",(VLOOKUP(Table6[[#This Row],[SKU]],'All Skus'!$A:$AC,9,FALSE)),""))</f>
        <v>2 x 40W DriveCore Amplifier, Fanless, 4ohm/8ohm/70V/100V, 1U Half-Rack, Mounting kit</v>
      </c>
      <c r="I30" s="101">
        <f>(IF((VLOOKUP(Table6[[#This Row],[SKU]],'All Skus'!$A:$AC,2,FALSE))="JBL",(VLOOKUP(Table6[[#This Row],[SKU]],'All Skus'!$A:$AC,10,FALSE)),""))</f>
        <v>648.98</v>
      </c>
      <c r="J30" s="101">
        <f>(IF((VLOOKUP(Table6[[#This Row],[SKU]],'All Skus'!$A:$AC,2,FALSE))="JBL",(VLOOKUP(Table6[[#This Row],[SKU]],'All Skus'!$A:$AC,11,FALSE)),""))</f>
        <v>438</v>
      </c>
      <c r="K30" s="102">
        <f>(IF((VLOOKUP(Table6[[#This Row],[SKU]],'All Skus'!$A:$AC,2,FALSE))="JBL",(VLOOKUP(Table6[[#This Row],[SKU]],'All Skus'!$A:$AC,13,FALSE)),""))</f>
        <v>0</v>
      </c>
      <c r="L30" s="102">
        <f>(IF((VLOOKUP(Table6[[#This Row],[SKU]],'All Skus'!$A:$AC,2,FALSE))="JBL",(VLOOKUP(Table6[[#This Row],[SKU]],'All Skus'!$A:$AC,14,FALSE)),""))</f>
        <v>0</v>
      </c>
      <c r="M30" s="143">
        <f>(IF((VLOOKUP(Table6[[#This Row],[SKU]],'All Skus'!$A:$AC,2,FALSE))="JBL",(VLOOKUP(Table6[[#This Row],[SKU]],'All Skus'!$A:$AC,15,FALSE)),""))</f>
        <v>0</v>
      </c>
      <c r="N30" s="137">
        <f>(IF((VLOOKUP(Table6[[#This Row],[SKU]],'All Skus'!$A:$AC,2,FALSE))="JBL",(VLOOKUP(Table6[[#This Row],[SKU]],'All Skus'!$A:$AC,16,FALSE)),""))</f>
        <v>871015008257</v>
      </c>
      <c r="O30" s="61">
        <f>(IF((VLOOKUP(Table6[[#This Row],[SKU]],'All Skus'!$A:$AC,2,FALSE))="JBL",(VLOOKUP(Table6[[#This Row],[SKU]],'All Skus'!$A:$AC,17,FALSE)),""))</f>
        <v>0</v>
      </c>
      <c r="P30" s="136">
        <f>(IF((VLOOKUP(Table6[[#This Row],[SKU]],'All Skus'!$A:$AC,2,FALSE))="JBL",(VLOOKUP(Table6[[#This Row],[SKU]],'All Skus'!$A:$AC,18,FALSE)),""))</f>
        <v>10.5</v>
      </c>
      <c r="Q30" s="136">
        <f>(IF((VLOOKUP(Table6[[#This Row],[SKU]],'All Skus'!$A:$AC,2,FALSE))="JBL",(VLOOKUP(Table6[[#This Row],[SKU]],'All Skus'!$A:$AC,19,FALSE)),""))</f>
        <v>16.5</v>
      </c>
      <c r="R30" s="136">
        <f>(IF((VLOOKUP(Table6[[#This Row],[SKU]],'All Skus'!$A:$AC,2,FALSE))="JBL",(VLOOKUP(Table6[[#This Row],[SKU]],'All Skus'!$A:$AC,20,FALSE)),""))</f>
        <v>12</v>
      </c>
      <c r="S30" s="61">
        <f>(IF((VLOOKUP(Table6[[#This Row],[SKU]],'All Skus'!$A:$AC,2,FALSE))="JBL",(VLOOKUP(Table6[[#This Row],[SKU]],'All Skus'!$A:$AC,21,FALSE)),""))</f>
        <v>5</v>
      </c>
      <c r="T30" s="61" t="str">
        <f>(IF((VLOOKUP(Table6[[#This Row],[SKU]],'All Skus'!$A:$AC,2,FALSE))="JBL",(VLOOKUP(Table6[[#This Row],[SKU]],'All Skus'!$A:$AC,22,FALSE)),""))</f>
        <v>MX</v>
      </c>
      <c r="U30" t="str">
        <f>(IF((VLOOKUP(Table6[[#This Row],[SKU]],'All Skus'!$A:$AC,2,FALSE))="JBL",(VLOOKUP(Table6[[#This Row],[SKU]],'All Skus'!$A:$AC,23,FALSE)),""))</f>
        <v>Compliant</v>
      </c>
      <c r="V30" s="284" t="str">
        <f>HYPERLINK((IF((VLOOKUP(Table6[[#This Row],[SKU]],'All Skus'!$A:$AC,2,FALSE))="JBL",(VLOOKUP(Table6[[#This Row],[SKU]],'All Skus'!$A:$AC,24,FALSE)),"")))</f>
        <v>http://jblcommercialproducts.com/en-US/products/csa-240z280z2120z</v>
      </c>
      <c r="W30" s="151">
        <v>28</v>
      </c>
    </row>
    <row r="31" spans="1:23" ht="15" hidden="1" customHeight="1">
      <c r="A31" s="13" t="s">
        <v>1039</v>
      </c>
      <c r="B31" s="12" t="str">
        <f>(IF((VLOOKUP(Table6[[#This Row],[SKU]],'All Skus'!$A:$AC,2,FALSE))="JBL",(VLOOKUP(Table6[[#This Row],[SKU]],'All Skus'!$A:$AC,3,FALSE)),""))</f>
        <v>COMMERCIAL AMPLIFIER</v>
      </c>
      <c r="C31" s="12" t="str">
        <f>(IF((VLOOKUP(Table6[[#This Row],[SKU]],'All Skus'!$A:$AC,2,FALSE))="JBL",(VLOOKUP(Table6[[#This Row],[SKU]],'All Skus'!$A:$AC,4,FALSE)),""))</f>
        <v>NCSA280Z-U-US</v>
      </c>
      <c r="D31" s="61" t="str">
        <f>(IF((VLOOKUP(Table6[[#This Row],[SKU]],'All Skus'!$A:$AC,2,FALSE))="JBL",(VLOOKUP(Table6[[#This Row],[SKU]],'All Skus'!$A:$AC,5,FALSE)),""))</f>
        <v>CSMA</v>
      </c>
      <c r="E31" s="137">
        <f>(IF((VLOOKUP(Table6[[#This Row],[SKU]],'All Skus'!$A:$AC,2,FALSE))="JBL",(VLOOKUP(Table6[[#This Row],[SKU]],'All Skus'!$A:$AC,6,FALSE)),""))</f>
        <v>0</v>
      </c>
      <c r="F31" s="61">
        <f>(IF((VLOOKUP(Table6[[#This Row],[SKU]],'All Skus'!$A:$AC,2,FALSE))="JBL",(VLOOKUP(Table6[[#This Row],[SKU]],'All Skus'!$A:$AC,7,FALSE)),""))</f>
        <v>0</v>
      </c>
      <c r="G31" t="str">
        <f>(IF((VLOOKUP(Table6[[#This Row],[SKU]],'All Skus'!$A:$AC,2,FALSE))="JBL",(VLOOKUP(Table6[[#This Row],[SKU]],'All Skus'!$A:$AC,8,FALSE)),""))</f>
        <v>CSA280Z</v>
      </c>
      <c r="H31" s="8" t="str">
        <f>(IF((VLOOKUP(Table6[[#This Row],[SKU]],'All Skus'!$A:$AC,2,FALSE))="JBL",(VLOOKUP(Table6[[#This Row],[SKU]],'All Skus'!$A:$AC,9,FALSE)),""))</f>
        <v>2 x 80W DriveCore Amplifier, Fanless, 4ohm/8ohm/70V/100V, 1U Half-Rack, Mounting kit</v>
      </c>
      <c r="I31" s="101">
        <f>(IF((VLOOKUP(Table6[[#This Row],[SKU]],'All Skus'!$A:$AC,2,FALSE))="JBL",(VLOOKUP(Table6[[#This Row],[SKU]],'All Skus'!$A:$AC,10,FALSE)),""))</f>
        <v>824.07</v>
      </c>
      <c r="J31" s="101">
        <f>(IF((VLOOKUP(Table6[[#This Row],[SKU]],'All Skus'!$A:$AC,2,FALSE))="JBL",(VLOOKUP(Table6[[#This Row],[SKU]],'All Skus'!$A:$AC,11,FALSE)),""))</f>
        <v>556</v>
      </c>
      <c r="K31" s="102">
        <f>(IF((VLOOKUP(Table6[[#This Row],[SKU]],'All Skus'!$A:$AC,2,FALSE))="JBL",(VLOOKUP(Table6[[#This Row],[SKU]],'All Skus'!$A:$AC,13,FALSE)),""))</f>
        <v>0</v>
      </c>
      <c r="L31" s="102">
        <f>(IF((VLOOKUP(Table6[[#This Row],[SKU]],'All Skus'!$A:$AC,2,FALSE))="JBL",(VLOOKUP(Table6[[#This Row],[SKU]],'All Skus'!$A:$AC,14,FALSE)),""))</f>
        <v>0</v>
      </c>
      <c r="M31" s="143">
        <f>(IF((VLOOKUP(Table6[[#This Row],[SKU]],'All Skus'!$A:$AC,2,FALSE))="JBL",(VLOOKUP(Table6[[#This Row],[SKU]],'All Skus'!$A:$AC,15,FALSE)),""))</f>
        <v>0</v>
      </c>
      <c r="N31" s="137">
        <f>(IF((VLOOKUP(Table6[[#This Row],[SKU]],'All Skus'!$A:$AC,2,FALSE))="JBL",(VLOOKUP(Table6[[#This Row],[SKU]],'All Skus'!$A:$AC,16,FALSE)),""))</f>
        <v>871015008189</v>
      </c>
      <c r="O31" s="61">
        <f>(IF((VLOOKUP(Table6[[#This Row],[SKU]],'All Skus'!$A:$AC,2,FALSE))="JBL",(VLOOKUP(Table6[[#This Row],[SKU]],'All Skus'!$A:$AC,17,FALSE)),""))</f>
        <v>0</v>
      </c>
      <c r="P31" s="136">
        <f>(IF((VLOOKUP(Table6[[#This Row],[SKU]],'All Skus'!$A:$AC,2,FALSE))="JBL",(VLOOKUP(Table6[[#This Row],[SKU]],'All Skus'!$A:$AC,18,FALSE)),""))</f>
        <v>11.5</v>
      </c>
      <c r="Q31" s="136">
        <f>(IF((VLOOKUP(Table6[[#This Row],[SKU]],'All Skus'!$A:$AC,2,FALSE))="JBL",(VLOOKUP(Table6[[#This Row],[SKU]],'All Skus'!$A:$AC,19,FALSE)),""))</f>
        <v>12</v>
      </c>
      <c r="R31" s="136">
        <f>(IF((VLOOKUP(Table6[[#This Row],[SKU]],'All Skus'!$A:$AC,2,FALSE))="JBL",(VLOOKUP(Table6[[#This Row],[SKU]],'All Skus'!$A:$AC,20,FALSE)),""))</f>
        <v>16.5</v>
      </c>
      <c r="S31" s="61">
        <f>(IF((VLOOKUP(Table6[[#This Row],[SKU]],'All Skus'!$A:$AC,2,FALSE))="JBL",(VLOOKUP(Table6[[#This Row],[SKU]],'All Skus'!$A:$AC,21,FALSE)),""))</f>
        <v>5</v>
      </c>
      <c r="T31" s="61" t="str">
        <f>(IF((VLOOKUP(Table6[[#This Row],[SKU]],'All Skus'!$A:$AC,2,FALSE))="JBL",(VLOOKUP(Table6[[#This Row],[SKU]],'All Skus'!$A:$AC,22,FALSE)),""))</f>
        <v>MX</v>
      </c>
      <c r="U31" t="str">
        <f>(IF((VLOOKUP(Table6[[#This Row],[SKU]],'All Skus'!$A:$AC,2,FALSE))="JBL",(VLOOKUP(Table6[[#This Row],[SKU]],'All Skus'!$A:$AC,23,FALSE)),""))</f>
        <v>Compliant</v>
      </c>
      <c r="V31" s="284" t="str">
        <f>HYPERLINK((IF((VLOOKUP(Table6[[#This Row],[SKU]],'All Skus'!$A:$AC,2,FALSE))="JBL",(VLOOKUP(Table6[[#This Row],[SKU]],'All Skus'!$A:$AC,24,FALSE)),"")))</f>
        <v>http://jblcommercialproducts.com/en-US/products/csa-240z280z2120z</v>
      </c>
      <c r="W31" s="151">
        <v>29</v>
      </c>
    </row>
    <row r="32" spans="1:23" ht="15" hidden="1" customHeight="1">
      <c r="A32" s="13" t="s">
        <v>1040</v>
      </c>
      <c r="B32" s="12">
        <f>(IF((VLOOKUP(Table6[[#This Row],[SKU]],'All Skus'!$A:$AC,2,FALSE))="JBL",(VLOOKUP(Table6[[#This Row],[SKU]],'All Skus'!$A:$AC,3,FALSE)),""))</f>
        <v>0</v>
      </c>
      <c r="C32" s="12">
        <f>(IF((VLOOKUP(Table6[[#This Row],[SKU]],'All Skus'!$A:$AC,2,FALSE))="JBL",(VLOOKUP(Table6[[#This Row],[SKU]],'All Skus'!$A:$AC,4,FALSE)),""))</f>
        <v>0</v>
      </c>
      <c r="D32" s="61">
        <f>(IF((VLOOKUP(Table6[[#This Row],[SKU]],'All Skus'!$A:$AC,2,FALSE))="JBL",(VLOOKUP(Table6[[#This Row],[SKU]],'All Skus'!$A:$AC,5,FALSE)),""))</f>
        <v>0</v>
      </c>
      <c r="E32" s="137">
        <f>(IF((VLOOKUP(Table6[[#This Row],[SKU]],'All Skus'!$A:$AC,2,FALSE))="JBL",(VLOOKUP(Table6[[#This Row],[SKU]],'All Skus'!$A:$AC,6,FALSE)),""))</f>
        <v>0</v>
      </c>
      <c r="F32" s="61">
        <f>(IF((VLOOKUP(Table6[[#This Row],[SKU]],'All Skus'!$A:$AC,2,FALSE))="JBL",(VLOOKUP(Table6[[#This Row],[SKU]],'All Skus'!$A:$AC,7,FALSE)),""))</f>
        <v>0</v>
      </c>
      <c r="G32">
        <f>(IF((VLOOKUP(Table6[[#This Row],[SKU]],'All Skus'!$A:$AC,2,FALSE))="JBL",(VLOOKUP(Table6[[#This Row],[SKU]],'All Skus'!$A:$AC,8,FALSE)),""))</f>
        <v>0</v>
      </c>
      <c r="H32" s="8">
        <f>(IF((VLOOKUP(Table6[[#This Row],[SKU]],'All Skus'!$A:$AC,2,FALSE))="JBL",(VLOOKUP(Table6[[#This Row],[SKU]],'All Skus'!$A:$AC,9,FALSE)),""))</f>
        <v>0</v>
      </c>
      <c r="I32" s="101">
        <f>(IF((VLOOKUP(Table6[[#This Row],[SKU]],'All Skus'!$A:$AC,2,FALSE))="JBL",(VLOOKUP(Table6[[#This Row],[SKU]],'All Skus'!$A:$AC,10,FALSE)),""))</f>
        <v>0</v>
      </c>
      <c r="J32" s="101">
        <f>(IF((VLOOKUP(Table6[[#This Row],[SKU]],'All Skus'!$A:$AC,2,FALSE))="JBL",(VLOOKUP(Table6[[#This Row],[SKU]],'All Skus'!$A:$AC,11,FALSE)),""))</f>
        <v>0</v>
      </c>
      <c r="K32" s="102">
        <f>(IF((VLOOKUP(Table6[[#This Row],[SKU]],'All Skus'!$A:$AC,2,FALSE))="JBL",(VLOOKUP(Table6[[#This Row],[SKU]],'All Skus'!$A:$AC,13,FALSE)),""))</f>
        <v>0</v>
      </c>
      <c r="L32" s="102">
        <f>(IF((VLOOKUP(Table6[[#This Row],[SKU]],'All Skus'!$A:$AC,2,FALSE))="JBL",(VLOOKUP(Table6[[#This Row],[SKU]],'All Skus'!$A:$AC,14,FALSE)),""))</f>
        <v>0</v>
      </c>
      <c r="M32" s="143">
        <f>(IF((VLOOKUP(Table6[[#This Row],[SKU]],'All Skus'!$A:$AC,2,FALSE))="JBL",(VLOOKUP(Table6[[#This Row],[SKU]],'All Skus'!$A:$AC,15,FALSE)),""))</f>
        <v>0</v>
      </c>
      <c r="N32" s="137">
        <f>(IF((VLOOKUP(Table6[[#This Row],[SKU]],'All Skus'!$A:$AC,2,FALSE))="JBL",(VLOOKUP(Table6[[#This Row],[SKU]],'All Skus'!$A:$AC,16,FALSE)),""))</f>
        <v>0</v>
      </c>
      <c r="O32" s="61">
        <f>(IF((VLOOKUP(Table6[[#This Row],[SKU]],'All Skus'!$A:$AC,2,FALSE))="JBL",(VLOOKUP(Table6[[#This Row],[SKU]],'All Skus'!$A:$AC,17,FALSE)),""))</f>
        <v>0</v>
      </c>
      <c r="P32" s="136">
        <f>(IF((VLOOKUP(Table6[[#This Row],[SKU]],'All Skus'!$A:$AC,2,FALSE))="JBL",(VLOOKUP(Table6[[#This Row],[SKU]],'All Skus'!$A:$AC,18,FALSE)),""))</f>
        <v>0</v>
      </c>
      <c r="Q32" s="136">
        <f>(IF((VLOOKUP(Table6[[#This Row],[SKU]],'All Skus'!$A:$AC,2,FALSE))="JBL",(VLOOKUP(Table6[[#This Row],[SKU]],'All Skus'!$A:$AC,19,FALSE)),""))</f>
        <v>0</v>
      </c>
      <c r="R32" s="136">
        <f>(IF((VLOOKUP(Table6[[#This Row],[SKU]],'All Skus'!$A:$AC,2,FALSE))="JBL",(VLOOKUP(Table6[[#This Row],[SKU]],'All Skus'!$A:$AC,20,FALSE)),""))</f>
        <v>0</v>
      </c>
      <c r="S32" s="61">
        <f>(IF((VLOOKUP(Table6[[#This Row],[SKU]],'All Skus'!$A:$AC,2,FALSE))="JBL",(VLOOKUP(Table6[[#This Row],[SKU]],'All Skus'!$A:$AC,21,FALSE)),""))</f>
        <v>0</v>
      </c>
      <c r="T32" s="61">
        <f>(IF((VLOOKUP(Table6[[#This Row],[SKU]],'All Skus'!$A:$AC,2,FALSE))="JBL",(VLOOKUP(Table6[[#This Row],[SKU]],'All Skus'!$A:$AC,22,FALSE)),""))</f>
        <v>0</v>
      </c>
      <c r="U32">
        <f>(IF((VLOOKUP(Table6[[#This Row],[SKU]],'All Skus'!$A:$AC,2,FALSE))="JBL",(VLOOKUP(Table6[[#This Row],[SKU]],'All Skus'!$A:$AC,23,FALSE)),""))</f>
        <v>0</v>
      </c>
      <c r="V32" s="284" t="str">
        <f>HYPERLINK((IF((VLOOKUP(Table6[[#This Row],[SKU]],'All Skus'!$A:$AC,2,FALSE))="JBL",(VLOOKUP(Table6[[#This Row],[SKU]],'All Skus'!$A:$AC,24,FALSE)),"")))</f>
        <v/>
      </c>
      <c r="W32" s="151">
        <v>30</v>
      </c>
    </row>
    <row r="33" spans="1:23" ht="15" hidden="1" customHeight="1">
      <c r="A33" s="13" t="s">
        <v>1041</v>
      </c>
      <c r="B33" s="12">
        <f>(IF((VLOOKUP(Table6[[#This Row],[SKU]],'All Skus'!$A:$AC,2,FALSE))="JBL",(VLOOKUP(Table6[[#This Row],[SKU]],'All Skus'!$A:$AC,3,FALSE)),""))</f>
        <v>0</v>
      </c>
      <c r="C33" s="12">
        <f>(IF((VLOOKUP(Table6[[#This Row],[SKU]],'All Skus'!$A:$AC,2,FALSE))="JBL",(VLOOKUP(Table6[[#This Row],[SKU]],'All Skus'!$A:$AC,4,FALSE)),""))</f>
        <v>0</v>
      </c>
      <c r="D33" s="61">
        <f>(IF((VLOOKUP(Table6[[#This Row],[SKU]],'All Skus'!$A:$AC,2,FALSE))="JBL",(VLOOKUP(Table6[[#This Row],[SKU]],'All Skus'!$A:$AC,5,FALSE)),""))</f>
        <v>0</v>
      </c>
      <c r="E33" s="137">
        <f>(IF((VLOOKUP(Table6[[#This Row],[SKU]],'All Skus'!$A:$AC,2,FALSE))="JBL",(VLOOKUP(Table6[[#This Row],[SKU]],'All Skus'!$A:$AC,6,FALSE)),""))</f>
        <v>0</v>
      </c>
      <c r="F33" s="61">
        <f>(IF((VLOOKUP(Table6[[#This Row],[SKU]],'All Skus'!$A:$AC,2,FALSE))="JBL",(VLOOKUP(Table6[[#This Row],[SKU]],'All Skus'!$A:$AC,7,FALSE)),""))</f>
        <v>0</v>
      </c>
      <c r="G33">
        <f>(IF((VLOOKUP(Table6[[#This Row],[SKU]],'All Skus'!$A:$AC,2,FALSE))="JBL",(VLOOKUP(Table6[[#This Row],[SKU]],'All Skus'!$A:$AC,8,FALSE)),""))</f>
        <v>0</v>
      </c>
      <c r="H33" s="8">
        <f>(IF((VLOOKUP(Table6[[#This Row],[SKU]],'All Skus'!$A:$AC,2,FALSE))="JBL",(VLOOKUP(Table6[[#This Row],[SKU]],'All Skus'!$A:$AC,9,FALSE)),""))</f>
        <v>0</v>
      </c>
      <c r="I33" s="101">
        <f>(IF((VLOOKUP(Table6[[#This Row],[SKU]],'All Skus'!$A:$AC,2,FALSE))="JBL",(VLOOKUP(Table6[[#This Row],[SKU]],'All Skus'!$A:$AC,10,FALSE)),""))</f>
        <v>0</v>
      </c>
      <c r="J33" s="101">
        <f>(IF((VLOOKUP(Table6[[#This Row],[SKU]],'All Skus'!$A:$AC,2,FALSE))="JBL",(VLOOKUP(Table6[[#This Row],[SKU]],'All Skus'!$A:$AC,11,FALSE)),""))</f>
        <v>0</v>
      </c>
      <c r="K33" s="102">
        <f>(IF((VLOOKUP(Table6[[#This Row],[SKU]],'All Skus'!$A:$AC,2,FALSE))="JBL",(VLOOKUP(Table6[[#This Row],[SKU]],'All Skus'!$A:$AC,13,FALSE)),""))</f>
        <v>0</v>
      </c>
      <c r="L33" s="102">
        <f>(IF((VLOOKUP(Table6[[#This Row],[SKU]],'All Skus'!$A:$AC,2,FALSE))="JBL",(VLOOKUP(Table6[[#This Row],[SKU]],'All Skus'!$A:$AC,14,FALSE)),""))</f>
        <v>0</v>
      </c>
      <c r="M33" s="143">
        <f>(IF((VLOOKUP(Table6[[#This Row],[SKU]],'All Skus'!$A:$AC,2,FALSE))="JBL",(VLOOKUP(Table6[[#This Row],[SKU]],'All Skus'!$A:$AC,15,FALSE)),""))</f>
        <v>0</v>
      </c>
      <c r="N33" s="137">
        <f>(IF((VLOOKUP(Table6[[#This Row],[SKU]],'All Skus'!$A:$AC,2,FALSE))="JBL",(VLOOKUP(Table6[[#This Row],[SKU]],'All Skus'!$A:$AC,16,FALSE)),""))</f>
        <v>0</v>
      </c>
      <c r="O33" s="61">
        <f>(IF((VLOOKUP(Table6[[#This Row],[SKU]],'All Skus'!$A:$AC,2,FALSE))="JBL",(VLOOKUP(Table6[[#This Row],[SKU]],'All Skus'!$A:$AC,17,FALSE)),""))</f>
        <v>0</v>
      </c>
      <c r="P33" s="136">
        <f>(IF((VLOOKUP(Table6[[#This Row],[SKU]],'All Skus'!$A:$AC,2,FALSE))="JBL",(VLOOKUP(Table6[[#This Row],[SKU]],'All Skus'!$A:$AC,18,FALSE)),""))</f>
        <v>0</v>
      </c>
      <c r="Q33" s="136">
        <f>(IF((VLOOKUP(Table6[[#This Row],[SKU]],'All Skus'!$A:$AC,2,FALSE))="JBL",(VLOOKUP(Table6[[#This Row],[SKU]],'All Skus'!$A:$AC,19,FALSE)),""))</f>
        <v>0</v>
      </c>
      <c r="R33" s="136">
        <f>(IF((VLOOKUP(Table6[[#This Row],[SKU]],'All Skus'!$A:$AC,2,FALSE))="JBL",(VLOOKUP(Table6[[#This Row],[SKU]],'All Skus'!$A:$AC,20,FALSE)),""))</f>
        <v>0</v>
      </c>
      <c r="S33" s="61">
        <f>(IF((VLOOKUP(Table6[[#This Row],[SKU]],'All Skus'!$A:$AC,2,FALSE))="JBL",(VLOOKUP(Table6[[#This Row],[SKU]],'All Skus'!$A:$AC,21,FALSE)),""))</f>
        <v>0</v>
      </c>
      <c r="T33" s="61">
        <f>(IF((VLOOKUP(Table6[[#This Row],[SKU]],'All Skus'!$A:$AC,2,FALSE))="JBL",(VLOOKUP(Table6[[#This Row],[SKU]],'All Skus'!$A:$AC,22,FALSE)),""))</f>
        <v>0</v>
      </c>
      <c r="U33">
        <f>(IF((VLOOKUP(Table6[[#This Row],[SKU]],'All Skus'!$A:$AC,2,FALSE))="JBL",(VLOOKUP(Table6[[#This Row],[SKU]],'All Skus'!$A:$AC,23,FALSE)),""))</f>
        <v>0</v>
      </c>
      <c r="V33" s="284" t="str">
        <f>HYPERLINK((IF((VLOOKUP(Table6[[#This Row],[SKU]],'All Skus'!$A:$AC,2,FALSE))="JBL",(VLOOKUP(Table6[[#This Row],[SKU]],'All Skus'!$A:$AC,24,FALSE)),"")))</f>
        <v/>
      </c>
      <c r="W33" s="151">
        <v>31</v>
      </c>
    </row>
    <row r="34" spans="1:23" ht="15" hidden="1" customHeight="1">
      <c r="A34" s="13" t="s">
        <v>1042</v>
      </c>
      <c r="B34" s="12" t="str">
        <f>(IF((VLOOKUP(Table6[[#This Row],[SKU]],'All Skus'!$A:$AC,2,FALSE))="JBL",(VLOOKUP(Table6[[#This Row],[SKU]],'All Skus'!$A:$AC,3,FALSE)),""))</f>
        <v>COMMERCIAL WALL CONTROLLERS</v>
      </c>
      <c r="C34" s="12" t="str">
        <f>(IF((VLOOKUP(Table6[[#This Row],[SKU]],'All Skus'!$A:$AC,2,FALSE))="JBL",(VLOOKUP(Table6[[#This Row],[SKU]],'All Skus'!$A:$AC,4,FALSE)),""))</f>
        <v>JBLCSR2SVBLKV</v>
      </c>
      <c r="D34" s="61" t="str">
        <f>(IF((VLOOKUP(Table6[[#This Row],[SKU]],'All Skus'!$A:$AC,2,FALSE))="JBL",(VLOOKUP(Table6[[#This Row],[SKU]],'All Skus'!$A:$AC,5,FALSE)),""))</f>
        <v>JBL017</v>
      </c>
      <c r="E34" s="137">
        <f>(IF((VLOOKUP(Table6[[#This Row],[SKU]],'All Skus'!$A:$AC,2,FALSE))="JBL",(VLOOKUP(Table6[[#This Row],[SKU]],'All Skus'!$A:$AC,6,FALSE)),""))</f>
        <v>0</v>
      </c>
      <c r="F34" s="61" t="str">
        <f>(IF((VLOOKUP(Table6[[#This Row],[SKU]],'All Skus'!$A:$AC,2,FALSE))="JBL",(VLOOKUP(Table6[[#This Row],[SKU]],'All Skus'!$A:$AC,7,FALSE)),""))</f>
        <v>Limited Quantity</v>
      </c>
      <c r="G34" t="str">
        <f>(IF((VLOOKUP(Table6[[#This Row],[SKU]],'All Skus'!$A:$AC,2,FALSE))="JBL",(VLOOKUP(Table6[[#This Row],[SKU]],'All Skus'!$A:$AC,8,FALSE)),""))</f>
        <v>CSR-2SV-BLK</v>
      </c>
      <c r="H34" s="8" t="str">
        <f>(IF((VLOOKUP(Table6[[#This Row],[SKU]],'All Skus'!$A:$AC,2,FALSE))="JBL",(VLOOKUP(Table6[[#This Row],[SKU]],'All Skus'!$A:$AC,9,FALSE)),""))</f>
        <v>Wall Controller with 2-Position Source Selector and Volume Control; US Version (Black) For use with CSM-21, CSM-32</v>
      </c>
      <c r="I34" s="101">
        <f>(IF((VLOOKUP(Table6[[#This Row],[SKU]],'All Skus'!$A:$AC,2,FALSE))="JBL",(VLOOKUP(Table6[[#This Row],[SKU]],'All Skus'!$A:$AC,10,FALSE)),""))</f>
        <v>100.61</v>
      </c>
      <c r="J34" s="101">
        <f>(IF((VLOOKUP(Table6[[#This Row],[SKU]],'All Skus'!$A:$AC,2,FALSE))="JBL",(VLOOKUP(Table6[[#This Row],[SKU]],'All Skus'!$A:$AC,11,FALSE)),""))</f>
        <v>78</v>
      </c>
      <c r="K34" s="102">
        <f>(IF((VLOOKUP(Table6[[#This Row],[SKU]],'All Skus'!$A:$AC,2,FALSE))="JBL",(VLOOKUP(Table6[[#This Row],[SKU]],'All Skus'!$A:$AC,13,FALSE)),""))</f>
        <v>0</v>
      </c>
      <c r="L34" s="102">
        <f>(IF((VLOOKUP(Table6[[#This Row],[SKU]],'All Skus'!$A:$AC,2,FALSE))="JBL",(VLOOKUP(Table6[[#This Row],[SKU]],'All Skus'!$A:$AC,14,FALSE)),""))</f>
        <v>0</v>
      </c>
      <c r="M34" s="143">
        <f>(IF((VLOOKUP(Table6[[#This Row],[SKU]],'All Skus'!$A:$AC,2,FALSE))="JBL",(VLOOKUP(Table6[[#This Row],[SKU]],'All Skus'!$A:$AC,15,FALSE)),""))</f>
        <v>0</v>
      </c>
      <c r="N34" s="137">
        <f>(IF((VLOOKUP(Table6[[#This Row],[SKU]],'All Skus'!$A:$AC,2,FALSE))="JBL",(VLOOKUP(Table6[[#This Row],[SKU]],'All Skus'!$A:$AC,16,FALSE)),""))</f>
        <v>691991401404</v>
      </c>
      <c r="O34" s="61">
        <f>(IF((VLOOKUP(Table6[[#This Row],[SKU]],'All Skus'!$A:$AC,2,FALSE))="JBL",(VLOOKUP(Table6[[#This Row],[SKU]],'All Skus'!$A:$AC,17,FALSE)),""))</f>
        <v>0</v>
      </c>
      <c r="P34" s="136">
        <f>(IF((VLOOKUP(Table6[[#This Row],[SKU]],'All Skus'!$A:$AC,2,FALSE))="JBL",(VLOOKUP(Table6[[#This Row],[SKU]],'All Skus'!$A:$AC,18,FALSE)),""))</f>
        <v>0.5</v>
      </c>
      <c r="Q34" s="136">
        <f>(IF((VLOOKUP(Table6[[#This Row],[SKU]],'All Skus'!$A:$AC,2,FALSE))="JBL",(VLOOKUP(Table6[[#This Row],[SKU]],'All Skus'!$A:$AC,19,FALSE)),""))</f>
        <v>7</v>
      </c>
      <c r="R34" s="136">
        <f>(IF((VLOOKUP(Table6[[#This Row],[SKU]],'All Skus'!$A:$AC,2,FALSE))="JBL",(VLOOKUP(Table6[[#This Row],[SKU]],'All Skus'!$A:$AC,20,FALSE)),""))</f>
        <v>5.5</v>
      </c>
      <c r="S34" s="61">
        <f>(IF((VLOOKUP(Table6[[#This Row],[SKU]],'All Skus'!$A:$AC,2,FALSE))="JBL",(VLOOKUP(Table6[[#This Row],[SKU]],'All Skus'!$A:$AC,21,FALSE)),""))</f>
        <v>3.5</v>
      </c>
      <c r="T34" s="61" t="str">
        <f>(IF((VLOOKUP(Table6[[#This Row],[SKU]],'All Skus'!$A:$AC,2,FALSE))="JBL",(VLOOKUP(Table6[[#This Row],[SKU]],'All Skus'!$A:$AC,22,FALSE)),""))</f>
        <v>CN</v>
      </c>
      <c r="U34" t="str">
        <f>(IF((VLOOKUP(Table6[[#This Row],[SKU]],'All Skus'!$A:$AC,2,FALSE))="JBL",(VLOOKUP(Table6[[#This Row],[SKU]],'All Skus'!$A:$AC,23,FALSE)),""))</f>
        <v>Non Compliant</v>
      </c>
      <c r="V34" s="284" t="str">
        <f>HYPERLINK((IF((VLOOKUP(Table6[[#This Row],[SKU]],'All Skus'!$A:$AC,2,FALSE))="JBL",(VLOOKUP(Table6[[#This Row],[SKU]],'All Skus'!$A:$AC,24,FALSE)),"")))</f>
        <v/>
      </c>
      <c r="W34" s="151">
        <v>32</v>
      </c>
    </row>
    <row r="35" spans="1:23" ht="15" hidden="1" customHeight="1">
      <c r="A35" s="13" t="s">
        <v>1043</v>
      </c>
      <c r="B35" s="12" t="str">
        <f>(IF((VLOOKUP(Table6[[#This Row],[SKU]],'All Skus'!$A:$AC,2,FALSE))="JBL",(VLOOKUP(Table6[[#This Row],[SKU]],'All Skus'!$A:$AC,3,FALSE)),""))</f>
        <v>COMMERCIAL WALL CONTROLLERS</v>
      </c>
      <c r="C35" s="12" t="str">
        <f>(IF((VLOOKUP(Table6[[#This Row],[SKU]],'All Skus'!$A:$AC,2,FALSE))="JBL",(VLOOKUP(Table6[[#This Row],[SKU]],'All Skus'!$A:$AC,4,FALSE)),""))</f>
        <v>JBLCSR2SVWHTV</v>
      </c>
      <c r="D35" s="61" t="str">
        <f>(IF((VLOOKUP(Table6[[#This Row],[SKU]],'All Skus'!$A:$AC,2,FALSE))="JBL",(VLOOKUP(Table6[[#This Row],[SKU]],'All Skus'!$A:$AC,5,FALSE)),""))</f>
        <v>JBL017</v>
      </c>
      <c r="E35" s="137">
        <f>(IF((VLOOKUP(Table6[[#This Row],[SKU]],'All Skus'!$A:$AC,2,FALSE))="JBL",(VLOOKUP(Table6[[#This Row],[SKU]],'All Skus'!$A:$AC,6,FALSE)),""))</f>
        <v>0</v>
      </c>
      <c r="F35" s="61" t="str">
        <f>(IF((VLOOKUP(Table6[[#This Row],[SKU]],'All Skus'!$A:$AC,2,FALSE))="JBL",(VLOOKUP(Table6[[#This Row],[SKU]],'All Skus'!$A:$AC,7,FALSE)),""))</f>
        <v>Limited Quantity</v>
      </c>
      <c r="G35" t="str">
        <f>(IF((VLOOKUP(Table6[[#This Row],[SKU]],'All Skus'!$A:$AC,2,FALSE))="JBL",(VLOOKUP(Table6[[#This Row],[SKU]],'All Skus'!$A:$AC,8,FALSE)),""))</f>
        <v>CSR-2SV-WHT</v>
      </c>
      <c r="H35" s="8" t="str">
        <f>(IF((VLOOKUP(Table6[[#This Row],[SKU]],'All Skus'!$A:$AC,2,FALSE))="JBL",(VLOOKUP(Table6[[#This Row],[SKU]],'All Skus'!$A:$AC,9,FALSE)),""))</f>
        <v>Wall Controller with 2-Position Source Selector and Volume Control; US Version (White) For use with CSM-21, CSM-32</v>
      </c>
      <c r="I35" s="101">
        <f>(IF((VLOOKUP(Table6[[#This Row],[SKU]],'All Skus'!$A:$AC,2,FALSE))="JBL",(VLOOKUP(Table6[[#This Row],[SKU]],'All Skus'!$A:$AC,10,FALSE)),""))</f>
        <v>101.62</v>
      </c>
      <c r="J35" s="101">
        <f>(IF((VLOOKUP(Table6[[#This Row],[SKU]],'All Skus'!$A:$AC,2,FALSE))="JBL",(VLOOKUP(Table6[[#This Row],[SKU]],'All Skus'!$A:$AC,11,FALSE)),""))</f>
        <v>78</v>
      </c>
      <c r="K35" s="102">
        <f>(IF((VLOOKUP(Table6[[#This Row],[SKU]],'All Skus'!$A:$AC,2,FALSE))="JBL",(VLOOKUP(Table6[[#This Row],[SKU]],'All Skus'!$A:$AC,13,FALSE)),""))</f>
        <v>0</v>
      </c>
      <c r="L35" s="102">
        <f>(IF((VLOOKUP(Table6[[#This Row],[SKU]],'All Skus'!$A:$AC,2,FALSE))="JBL",(VLOOKUP(Table6[[#This Row],[SKU]],'All Skus'!$A:$AC,14,FALSE)),""))</f>
        <v>0</v>
      </c>
      <c r="M35" s="143">
        <f>(IF((VLOOKUP(Table6[[#This Row],[SKU]],'All Skus'!$A:$AC,2,FALSE))="JBL",(VLOOKUP(Table6[[#This Row],[SKU]],'All Skus'!$A:$AC,15,FALSE)),""))</f>
        <v>0</v>
      </c>
      <c r="N35" s="137">
        <f>(IF((VLOOKUP(Table6[[#This Row],[SKU]],'All Skus'!$A:$AC,2,FALSE))="JBL",(VLOOKUP(Table6[[#This Row],[SKU]],'All Skus'!$A:$AC,16,FALSE)),""))</f>
        <v>691991401374</v>
      </c>
      <c r="O35" s="61">
        <f>(IF((VLOOKUP(Table6[[#This Row],[SKU]],'All Skus'!$A:$AC,2,FALSE))="JBL",(VLOOKUP(Table6[[#This Row],[SKU]],'All Skus'!$A:$AC,17,FALSE)),""))</f>
        <v>0</v>
      </c>
      <c r="P35" s="136">
        <f>(IF((VLOOKUP(Table6[[#This Row],[SKU]],'All Skus'!$A:$AC,2,FALSE))="JBL",(VLOOKUP(Table6[[#This Row],[SKU]],'All Skus'!$A:$AC,18,FALSE)),""))</f>
        <v>0.1</v>
      </c>
      <c r="Q35" s="136">
        <f>(IF((VLOOKUP(Table6[[#This Row],[SKU]],'All Skus'!$A:$AC,2,FALSE))="JBL",(VLOOKUP(Table6[[#This Row],[SKU]],'All Skus'!$A:$AC,19,FALSE)),""))</f>
        <v>7</v>
      </c>
      <c r="R35" s="136">
        <f>(IF((VLOOKUP(Table6[[#This Row],[SKU]],'All Skus'!$A:$AC,2,FALSE))="JBL",(VLOOKUP(Table6[[#This Row],[SKU]],'All Skus'!$A:$AC,20,FALSE)),""))</f>
        <v>3.5</v>
      </c>
      <c r="S35" s="61">
        <f>(IF((VLOOKUP(Table6[[#This Row],[SKU]],'All Skus'!$A:$AC,2,FALSE))="JBL",(VLOOKUP(Table6[[#This Row],[SKU]],'All Skus'!$A:$AC,21,FALSE)),""))</f>
        <v>5.5</v>
      </c>
      <c r="T35" s="61" t="str">
        <f>(IF((VLOOKUP(Table6[[#This Row],[SKU]],'All Skus'!$A:$AC,2,FALSE))="JBL",(VLOOKUP(Table6[[#This Row],[SKU]],'All Skus'!$A:$AC,22,FALSE)),""))</f>
        <v>CN</v>
      </c>
      <c r="U35" t="str">
        <f>(IF((VLOOKUP(Table6[[#This Row],[SKU]],'All Skus'!$A:$AC,2,FALSE))="JBL",(VLOOKUP(Table6[[#This Row],[SKU]],'All Skus'!$A:$AC,23,FALSE)),""))</f>
        <v>Non Compliant</v>
      </c>
      <c r="V35" s="284" t="str">
        <f>HYPERLINK((IF((VLOOKUP(Table6[[#This Row],[SKU]],'All Skus'!$A:$AC,2,FALSE))="JBL",(VLOOKUP(Table6[[#This Row],[SKU]],'All Skus'!$A:$AC,24,FALSE)),"")))</f>
        <v/>
      </c>
      <c r="W35" s="151">
        <v>33</v>
      </c>
    </row>
    <row r="36" spans="1:23" ht="15" hidden="1" customHeight="1">
      <c r="A36" s="13" t="s">
        <v>1044</v>
      </c>
      <c r="B36" s="12" t="str">
        <f>(IF((VLOOKUP(Table6[[#This Row],[SKU]],'All Skus'!$A:$AC,2,FALSE))="JBL",(VLOOKUP(Table6[[#This Row],[SKU]],'All Skus'!$A:$AC,3,FALSE)),""))</f>
        <v>COMMERCIAL WALL CONTROLLERS</v>
      </c>
      <c r="C36" s="12" t="str">
        <f>(IF((VLOOKUP(Table6[[#This Row],[SKU]],'All Skus'!$A:$AC,2,FALSE))="JBL",(VLOOKUP(Table6[[#This Row],[SKU]],'All Skus'!$A:$AC,4,FALSE)),""))</f>
        <v>JBLCSR3SVBLKV</v>
      </c>
      <c r="D36" s="61" t="str">
        <f>(IF((VLOOKUP(Table6[[#This Row],[SKU]],'All Skus'!$A:$AC,2,FALSE))="JBL",(VLOOKUP(Table6[[#This Row],[SKU]],'All Skus'!$A:$AC,5,FALSE)),""))</f>
        <v>JBL017</v>
      </c>
      <c r="E36" s="137">
        <f>(IF((VLOOKUP(Table6[[#This Row],[SKU]],'All Skus'!$A:$AC,2,FALSE))="JBL",(VLOOKUP(Table6[[#This Row],[SKU]],'All Skus'!$A:$AC,6,FALSE)),""))</f>
        <v>0</v>
      </c>
      <c r="F36" s="61" t="str">
        <f>(IF((VLOOKUP(Table6[[#This Row],[SKU]],'All Skus'!$A:$AC,2,FALSE))="JBL",(VLOOKUP(Table6[[#This Row],[SKU]],'All Skus'!$A:$AC,7,FALSE)),""))</f>
        <v>Limited Quantity</v>
      </c>
      <c r="G36" t="str">
        <f>(IF((VLOOKUP(Table6[[#This Row],[SKU]],'All Skus'!$A:$AC,2,FALSE))="JBL",(VLOOKUP(Table6[[#This Row],[SKU]],'All Skus'!$A:$AC,8,FALSE)),""))</f>
        <v>CSR-3SV-BLK</v>
      </c>
      <c r="H36" s="8" t="str">
        <f>(IF((VLOOKUP(Table6[[#This Row],[SKU]],'All Skus'!$A:$AC,2,FALSE))="JBL",(VLOOKUP(Table6[[#This Row],[SKU]],'All Skus'!$A:$AC,9,FALSE)),""))</f>
        <v>Controller with 3-Position Source Selector and Volume Control; US Version (Black) For use with CSM-32</v>
      </c>
      <c r="I36" s="101">
        <f>(IF((VLOOKUP(Table6[[#This Row],[SKU]],'All Skus'!$A:$AC,2,FALSE))="JBL",(VLOOKUP(Table6[[#This Row],[SKU]],'All Skus'!$A:$AC,10,FALSE)),""))</f>
        <v>100.61</v>
      </c>
      <c r="J36" s="101">
        <f>(IF((VLOOKUP(Table6[[#This Row],[SKU]],'All Skus'!$A:$AC,2,FALSE))="JBL",(VLOOKUP(Table6[[#This Row],[SKU]],'All Skus'!$A:$AC,11,FALSE)),""))</f>
        <v>78</v>
      </c>
      <c r="K36" s="102">
        <f>(IF((VLOOKUP(Table6[[#This Row],[SKU]],'All Skus'!$A:$AC,2,FALSE))="JBL",(VLOOKUP(Table6[[#This Row],[SKU]],'All Skus'!$A:$AC,13,FALSE)),""))</f>
        <v>0</v>
      </c>
      <c r="L36" s="102">
        <f>(IF((VLOOKUP(Table6[[#This Row],[SKU]],'All Skus'!$A:$AC,2,FALSE))="JBL",(VLOOKUP(Table6[[#This Row],[SKU]],'All Skus'!$A:$AC,14,FALSE)),""))</f>
        <v>0</v>
      </c>
      <c r="M36" s="143">
        <f>(IF((VLOOKUP(Table6[[#This Row],[SKU]],'All Skus'!$A:$AC,2,FALSE))="JBL",(VLOOKUP(Table6[[#This Row],[SKU]],'All Skus'!$A:$AC,15,FALSE)),""))</f>
        <v>0</v>
      </c>
      <c r="N36" s="137">
        <f>(IF((VLOOKUP(Table6[[#This Row],[SKU]],'All Skus'!$A:$AC,2,FALSE))="JBL",(VLOOKUP(Table6[[#This Row],[SKU]],'All Skus'!$A:$AC,16,FALSE)),""))</f>
        <v>691991401411</v>
      </c>
      <c r="O36" s="61">
        <f>(IF((VLOOKUP(Table6[[#This Row],[SKU]],'All Skus'!$A:$AC,2,FALSE))="JBL",(VLOOKUP(Table6[[#This Row],[SKU]],'All Skus'!$A:$AC,17,FALSE)),""))</f>
        <v>0</v>
      </c>
      <c r="P36" s="136">
        <f>(IF((VLOOKUP(Table6[[#This Row],[SKU]],'All Skus'!$A:$AC,2,FALSE))="JBL",(VLOOKUP(Table6[[#This Row],[SKU]],'All Skus'!$A:$AC,18,FALSE)),""))</f>
        <v>0.5</v>
      </c>
      <c r="Q36" s="136">
        <f>(IF((VLOOKUP(Table6[[#This Row],[SKU]],'All Skus'!$A:$AC,2,FALSE))="JBL",(VLOOKUP(Table6[[#This Row],[SKU]],'All Skus'!$A:$AC,19,FALSE)),""))</f>
        <v>7</v>
      </c>
      <c r="R36" s="136">
        <f>(IF((VLOOKUP(Table6[[#This Row],[SKU]],'All Skus'!$A:$AC,2,FALSE))="JBL",(VLOOKUP(Table6[[#This Row],[SKU]],'All Skus'!$A:$AC,20,FALSE)),""))</f>
        <v>5.5</v>
      </c>
      <c r="S36" s="61">
        <f>(IF((VLOOKUP(Table6[[#This Row],[SKU]],'All Skus'!$A:$AC,2,FALSE))="JBL",(VLOOKUP(Table6[[#This Row],[SKU]],'All Skus'!$A:$AC,21,FALSE)),""))</f>
        <v>3.5</v>
      </c>
      <c r="T36" s="61" t="str">
        <f>(IF((VLOOKUP(Table6[[#This Row],[SKU]],'All Skus'!$A:$AC,2,FALSE))="JBL",(VLOOKUP(Table6[[#This Row],[SKU]],'All Skus'!$A:$AC,22,FALSE)),""))</f>
        <v>CN</v>
      </c>
      <c r="U36" t="str">
        <f>(IF((VLOOKUP(Table6[[#This Row],[SKU]],'All Skus'!$A:$AC,2,FALSE))="JBL",(VLOOKUP(Table6[[#This Row],[SKU]],'All Skus'!$A:$AC,23,FALSE)),""))</f>
        <v>Non Compliant</v>
      </c>
      <c r="V36" s="284" t="str">
        <f>HYPERLINK((IF((VLOOKUP(Table6[[#This Row],[SKU]],'All Skus'!$A:$AC,2,FALSE))="JBL",(VLOOKUP(Table6[[#This Row],[SKU]],'All Skus'!$A:$AC,24,FALSE)),"")))</f>
        <v/>
      </c>
      <c r="W36" s="151">
        <v>34</v>
      </c>
    </row>
    <row r="37" spans="1:23" ht="15" hidden="1" customHeight="1">
      <c r="A37" s="13" t="s">
        <v>1045</v>
      </c>
      <c r="B37" s="12" t="str">
        <f>(IF((VLOOKUP(Table6[[#This Row],[SKU]],'All Skus'!$A:$AC,2,FALSE))="JBL",(VLOOKUP(Table6[[#This Row],[SKU]],'All Skus'!$A:$AC,3,FALSE)),""))</f>
        <v>COMMERCIAL WALL CONTROLLERS</v>
      </c>
      <c r="C37" s="12" t="str">
        <f>(IF((VLOOKUP(Table6[[#This Row],[SKU]],'All Skus'!$A:$AC,2,FALSE))="JBL",(VLOOKUP(Table6[[#This Row],[SKU]],'All Skus'!$A:$AC,4,FALSE)),""))</f>
        <v>JBLCSR3SVWHTV</v>
      </c>
      <c r="D37" s="61" t="str">
        <f>(IF((VLOOKUP(Table6[[#This Row],[SKU]],'All Skus'!$A:$AC,2,FALSE))="JBL",(VLOOKUP(Table6[[#This Row],[SKU]],'All Skus'!$A:$AC,5,FALSE)),""))</f>
        <v>JBL017</v>
      </c>
      <c r="E37" s="137">
        <f>(IF((VLOOKUP(Table6[[#This Row],[SKU]],'All Skus'!$A:$AC,2,FALSE))="JBL",(VLOOKUP(Table6[[#This Row],[SKU]],'All Skus'!$A:$AC,6,FALSE)),""))</f>
        <v>0</v>
      </c>
      <c r="F37" s="61">
        <f>(IF((VLOOKUP(Table6[[#This Row],[SKU]],'All Skus'!$A:$AC,2,FALSE))="JBL",(VLOOKUP(Table6[[#This Row],[SKU]],'All Skus'!$A:$AC,7,FALSE)),""))</f>
        <v>0</v>
      </c>
      <c r="G37" t="str">
        <f>(IF((VLOOKUP(Table6[[#This Row],[SKU]],'All Skus'!$A:$AC,2,FALSE))="JBL",(VLOOKUP(Table6[[#This Row],[SKU]],'All Skus'!$A:$AC,8,FALSE)),""))</f>
        <v>CSR-3SV-WHT</v>
      </c>
      <c r="H37" s="8" t="str">
        <f>(IF((VLOOKUP(Table6[[#This Row],[SKU]],'All Skus'!$A:$AC,2,FALSE))="JBL",(VLOOKUP(Table6[[#This Row],[SKU]],'All Skus'!$A:$AC,9,FALSE)),""))</f>
        <v>Wall Controller with 3-Position Source Selector and Volume Control; US Version (White)  For use with CSM-32</v>
      </c>
      <c r="I37" s="101">
        <f>(IF((VLOOKUP(Table6[[#This Row],[SKU]],'All Skus'!$A:$AC,2,FALSE))="JBL",(VLOOKUP(Table6[[#This Row],[SKU]],'All Skus'!$A:$AC,10,FALSE)),""))</f>
        <v>100.61</v>
      </c>
      <c r="J37" s="101">
        <f>(IF((VLOOKUP(Table6[[#This Row],[SKU]],'All Skus'!$A:$AC,2,FALSE))="JBL",(VLOOKUP(Table6[[#This Row],[SKU]],'All Skus'!$A:$AC,11,FALSE)),""))</f>
        <v>78</v>
      </c>
      <c r="K37" s="102">
        <f>(IF((VLOOKUP(Table6[[#This Row],[SKU]],'All Skus'!$A:$AC,2,FALSE))="JBL",(VLOOKUP(Table6[[#This Row],[SKU]],'All Skus'!$A:$AC,13,FALSE)),""))</f>
        <v>0</v>
      </c>
      <c r="L37" s="102">
        <f>(IF((VLOOKUP(Table6[[#This Row],[SKU]],'All Skus'!$A:$AC,2,FALSE))="JBL",(VLOOKUP(Table6[[#This Row],[SKU]],'All Skus'!$A:$AC,14,FALSE)),""))</f>
        <v>0</v>
      </c>
      <c r="M37" s="143">
        <f>(IF((VLOOKUP(Table6[[#This Row],[SKU]],'All Skus'!$A:$AC,2,FALSE))="JBL",(VLOOKUP(Table6[[#This Row],[SKU]],'All Skus'!$A:$AC,15,FALSE)),""))</f>
        <v>0</v>
      </c>
      <c r="N37" s="137">
        <f>(IF((VLOOKUP(Table6[[#This Row],[SKU]],'All Skus'!$A:$AC,2,FALSE))="JBL",(VLOOKUP(Table6[[#This Row],[SKU]],'All Skus'!$A:$AC,16,FALSE)),""))</f>
        <v>691991401381</v>
      </c>
      <c r="O37" s="61">
        <f>(IF((VLOOKUP(Table6[[#This Row],[SKU]],'All Skus'!$A:$AC,2,FALSE))="JBL",(VLOOKUP(Table6[[#This Row],[SKU]],'All Skus'!$A:$AC,17,FALSE)),""))</f>
        <v>0</v>
      </c>
      <c r="P37" s="136">
        <f>(IF((VLOOKUP(Table6[[#This Row],[SKU]],'All Skus'!$A:$AC,2,FALSE))="JBL",(VLOOKUP(Table6[[#This Row],[SKU]],'All Skus'!$A:$AC,18,FALSE)),""))</f>
        <v>0.2</v>
      </c>
      <c r="Q37" s="136">
        <f>(IF((VLOOKUP(Table6[[#This Row],[SKU]],'All Skus'!$A:$AC,2,FALSE))="JBL",(VLOOKUP(Table6[[#This Row],[SKU]],'All Skus'!$A:$AC,19,FALSE)),""))</f>
        <v>7</v>
      </c>
      <c r="R37" s="136">
        <f>(IF((VLOOKUP(Table6[[#This Row],[SKU]],'All Skus'!$A:$AC,2,FALSE))="JBL",(VLOOKUP(Table6[[#This Row],[SKU]],'All Skus'!$A:$AC,20,FALSE)),""))</f>
        <v>3</v>
      </c>
      <c r="S37" s="61">
        <f>(IF((VLOOKUP(Table6[[#This Row],[SKU]],'All Skus'!$A:$AC,2,FALSE))="JBL",(VLOOKUP(Table6[[#This Row],[SKU]],'All Skus'!$A:$AC,21,FALSE)),""))</f>
        <v>5</v>
      </c>
      <c r="T37" s="61" t="str">
        <f>(IF((VLOOKUP(Table6[[#This Row],[SKU]],'All Skus'!$A:$AC,2,FALSE))="JBL",(VLOOKUP(Table6[[#This Row],[SKU]],'All Skus'!$A:$AC,22,FALSE)),""))</f>
        <v>CN</v>
      </c>
      <c r="U37" t="str">
        <f>(IF((VLOOKUP(Table6[[#This Row],[SKU]],'All Skus'!$A:$AC,2,FALSE))="JBL",(VLOOKUP(Table6[[#This Row],[SKU]],'All Skus'!$A:$AC,23,FALSE)),""))</f>
        <v>Non Compliant</v>
      </c>
      <c r="V37" s="284" t="str">
        <f>HYPERLINK((IF((VLOOKUP(Table6[[#This Row],[SKU]],'All Skus'!$A:$AC,2,FALSE))="JBL",(VLOOKUP(Table6[[#This Row],[SKU]],'All Skus'!$A:$AC,24,FALSE)),"")))</f>
        <v/>
      </c>
      <c r="W37" s="151">
        <v>35</v>
      </c>
    </row>
    <row r="38" spans="1:23" ht="15" hidden="1" customHeight="1">
      <c r="A38" s="13" t="s">
        <v>1046</v>
      </c>
      <c r="B38" s="12" t="str">
        <f>(IF((VLOOKUP(Table6[[#This Row],[SKU]],'All Skus'!$A:$AC,2,FALSE))="JBL",(VLOOKUP(Table6[[#This Row],[SKU]],'All Skus'!$A:$AC,3,FALSE)),""))</f>
        <v>COMMERCIAL WALL CONTROLLERS</v>
      </c>
      <c r="C38" s="12" t="str">
        <f>(IF((VLOOKUP(Table6[[#This Row],[SKU]],'All Skus'!$A:$AC,2,FALSE))="JBL",(VLOOKUP(Table6[[#This Row],[SKU]],'All Skus'!$A:$AC,4,FALSE)),""))</f>
        <v>JBLCSRVBLKV</v>
      </c>
      <c r="D38" s="61" t="str">
        <f>(IF((VLOOKUP(Table6[[#This Row],[SKU]],'All Skus'!$A:$AC,2,FALSE))="JBL",(VLOOKUP(Table6[[#This Row],[SKU]],'All Skus'!$A:$AC,5,FALSE)),""))</f>
        <v>JBL017</v>
      </c>
      <c r="E38" s="137">
        <f>(IF((VLOOKUP(Table6[[#This Row],[SKU]],'All Skus'!$A:$AC,2,FALSE))="JBL",(VLOOKUP(Table6[[#This Row],[SKU]],'All Skus'!$A:$AC,6,FALSE)),""))</f>
        <v>0</v>
      </c>
      <c r="F38" s="61">
        <f>(IF((VLOOKUP(Table6[[#This Row],[SKU]],'All Skus'!$A:$AC,2,FALSE))="JBL",(VLOOKUP(Table6[[#This Row],[SKU]],'All Skus'!$A:$AC,7,FALSE)),""))</f>
        <v>0</v>
      </c>
      <c r="G38" t="str">
        <f>(IF((VLOOKUP(Table6[[#This Row],[SKU]],'All Skus'!$A:$AC,2,FALSE))="JBL",(VLOOKUP(Table6[[#This Row],[SKU]],'All Skus'!$A:$AC,8,FALSE)),""))</f>
        <v>CSR-V-BLK</v>
      </c>
      <c r="H38" s="8" t="str">
        <f>(IF((VLOOKUP(Table6[[#This Row],[SKU]],'All Skus'!$A:$AC,2,FALSE))="JBL",(VLOOKUP(Table6[[#This Row],[SKU]],'All Skus'!$A:$AC,9,FALSE)),""))</f>
        <v>Wall Controller with Volume Control; US Version (Black)  For use with CSM-21, CSM-32, All CSMA</v>
      </c>
      <c r="I38" s="101">
        <f>(IF((VLOOKUP(Table6[[#This Row],[SKU]],'All Skus'!$A:$AC,2,FALSE))="JBL",(VLOOKUP(Table6[[#This Row],[SKU]],'All Skus'!$A:$AC,10,FALSE)),""))</f>
        <v>100.61</v>
      </c>
      <c r="J38" s="101">
        <f>(IF((VLOOKUP(Table6[[#This Row],[SKU]],'All Skus'!$A:$AC,2,FALSE))="JBL",(VLOOKUP(Table6[[#This Row],[SKU]],'All Skus'!$A:$AC,11,FALSE)),""))</f>
        <v>72</v>
      </c>
      <c r="K38" s="102">
        <f>(IF((VLOOKUP(Table6[[#This Row],[SKU]],'All Skus'!$A:$AC,2,FALSE))="JBL",(VLOOKUP(Table6[[#This Row],[SKU]],'All Skus'!$A:$AC,13,FALSE)),""))</f>
        <v>0</v>
      </c>
      <c r="L38" s="102">
        <f>(IF((VLOOKUP(Table6[[#This Row],[SKU]],'All Skus'!$A:$AC,2,FALSE))="JBL",(VLOOKUP(Table6[[#This Row],[SKU]],'All Skus'!$A:$AC,14,FALSE)),""))</f>
        <v>0</v>
      </c>
      <c r="M38" s="143">
        <f>(IF((VLOOKUP(Table6[[#This Row],[SKU]],'All Skus'!$A:$AC,2,FALSE))="JBL",(VLOOKUP(Table6[[#This Row],[SKU]],'All Skus'!$A:$AC,15,FALSE)),""))</f>
        <v>0</v>
      </c>
      <c r="N38" s="137">
        <f>(IF((VLOOKUP(Table6[[#This Row],[SKU]],'All Skus'!$A:$AC,2,FALSE))="JBL",(VLOOKUP(Table6[[#This Row],[SKU]],'All Skus'!$A:$AC,16,FALSE)),""))</f>
        <v>691991401398</v>
      </c>
      <c r="O38" s="61">
        <f>(IF((VLOOKUP(Table6[[#This Row],[SKU]],'All Skus'!$A:$AC,2,FALSE))="JBL",(VLOOKUP(Table6[[#This Row],[SKU]],'All Skus'!$A:$AC,17,FALSE)),""))</f>
        <v>0</v>
      </c>
      <c r="P38" s="136">
        <f>(IF((VLOOKUP(Table6[[#This Row],[SKU]],'All Skus'!$A:$AC,2,FALSE))="JBL",(VLOOKUP(Table6[[#This Row],[SKU]],'All Skus'!$A:$AC,18,FALSE)),""))</f>
        <v>0.5</v>
      </c>
      <c r="Q38" s="136">
        <f>(IF((VLOOKUP(Table6[[#This Row],[SKU]],'All Skus'!$A:$AC,2,FALSE))="JBL",(VLOOKUP(Table6[[#This Row],[SKU]],'All Skus'!$A:$AC,19,FALSE)),""))</f>
        <v>7</v>
      </c>
      <c r="R38" s="136">
        <f>(IF((VLOOKUP(Table6[[#This Row],[SKU]],'All Skus'!$A:$AC,2,FALSE))="JBL",(VLOOKUP(Table6[[#This Row],[SKU]],'All Skus'!$A:$AC,20,FALSE)),""))</f>
        <v>5.5</v>
      </c>
      <c r="S38" s="61">
        <f>(IF((VLOOKUP(Table6[[#This Row],[SKU]],'All Skus'!$A:$AC,2,FALSE))="JBL",(VLOOKUP(Table6[[#This Row],[SKU]],'All Skus'!$A:$AC,21,FALSE)),""))</f>
        <v>3.5</v>
      </c>
      <c r="T38" s="61" t="str">
        <f>(IF((VLOOKUP(Table6[[#This Row],[SKU]],'All Skus'!$A:$AC,2,FALSE))="JBL",(VLOOKUP(Table6[[#This Row],[SKU]],'All Skus'!$A:$AC,22,FALSE)),""))</f>
        <v>CN</v>
      </c>
      <c r="U38" t="str">
        <f>(IF((VLOOKUP(Table6[[#This Row],[SKU]],'All Skus'!$A:$AC,2,FALSE))="JBL",(VLOOKUP(Table6[[#This Row],[SKU]],'All Skus'!$A:$AC,23,FALSE)),""))</f>
        <v>Non Compliant</v>
      </c>
      <c r="V38" s="284" t="str">
        <f>HYPERLINK((IF((VLOOKUP(Table6[[#This Row],[SKU]],'All Skus'!$A:$AC,2,FALSE))="JBL",(VLOOKUP(Table6[[#This Row],[SKU]],'All Skus'!$A:$AC,24,FALSE)),"")))</f>
        <v/>
      </c>
      <c r="W38" s="151">
        <v>36</v>
      </c>
    </row>
    <row r="39" spans="1:23" ht="15" hidden="1" customHeight="1">
      <c r="A39" s="13" t="s">
        <v>1047</v>
      </c>
      <c r="B39" s="12" t="str">
        <f>(IF((VLOOKUP(Table6[[#This Row],[SKU]],'All Skus'!$A:$AC,2,FALSE))="JBL",(VLOOKUP(Table6[[#This Row],[SKU]],'All Skus'!$A:$AC,3,FALSE)),""))</f>
        <v>COMMERCIAL WALL CONTROLLERS</v>
      </c>
      <c r="C39" s="12" t="str">
        <f>(IF((VLOOKUP(Table6[[#This Row],[SKU]],'All Skus'!$A:$AC,2,FALSE))="JBL",(VLOOKUP(Table6[[#This Row],[SKU]],'All Skus'!$A:$AC,4,FALSE)),""))</f>
        <v>JBLCSRVWHTV</v>
      </c>
      <c r="D39" s="61" t="str">
        <f>(IF((VLOOKUP(Table6[[#This Row],[SKU]],'All Skus'!$A:$AC,2,FALSE))="JBL",(VLOOKUP(Table6[[#This Row],[SKU]],'All Skus'!$A:$AC,5,FALSE)),""))</f>
        <v>JBL017</v>
      </c>
      <c r="E39" s="137">
        <f>(IF((VLOOKUP(Table6[[#This Row],[SKU]],'All Skus'!$A:$AC,2,FALSE))="JBL",(VLOOKUP(Table6[[#This Row],[SKU]],'All Skus'!$A:$AC,6,FALSE)),""))</f>
        <v>0</v>
      </c>
      <c r="F39" s="61">
        <f>(IF((VLOOKUP(Table6[[#This Row],[SKU]],'All Skus'!$A:$AC,2,FALSE))="JBL",(VLOOKUP(Table6[[#This Row],[SKU]],'All Skus'!$A:$AC,7,FALSE)),""))</f>
        <v>0</v>
      </c>
      <c r="G39" t="str">
        <f>(IF((VLOOKUP(Table6[[#This Row],[SKU]],'All Skus'!$A:$AC,2,FALSE))="JBL",(VLOOKUP(Table6[[#This Row],[SKU]],'All Skus'!$A:$AC,8,FALSE)),""))</f>
        <v>CSR-V-WHT</v>
      </c>
      <c r="H39" s="8" t="str">
        <f>(IF((VLOOKUP(Table6[[#This Row],[SKU]],'All Skus'!$A:$AC,2,FALSE))="JBL",(VLOOKUP(Table6[[#This Row],[SKU]],'All Skus'!$A:$AC,9,FALSE)),""))</f>
        <v>Wall Controller with Volume Control; US Version (White)  For use with CSM-21, CSM-32, All CSMA</v>
      </c>
      <c r="I39" s="101">
        <f>(IF((VLOOKUP(Table6[[#This Row],[SKU]],'All Skus'!$A:$AC,2,FALSE))="JBL",(VLOOKUP(Table6[[#This Row],[SKU]],'All Skus'!$A:$AC,10,FALSE)),""))</f>
        <v>101.62</v>
      </c>
      <c r="J39" s="101">
        <f>(IF((VLOOKUP(Table6[[#This Row],[SKU]],'All Skus'!$A:$AC,2,FALSE))="JBL",(VLOOKUP(Table6[[#This Row],[SKU]],'All Skus'!$A:$AC,11,FALSE)),""))</f>
        <v>72</v>
      </c>
      <c r="K39" s="102">
        <f>(IF((VLOOKUP(Table6[[#This Row],[SKU]],'All Skus'!$A:$AC,2,FALSE))="JBL",(VLOOKUP(Table6[[#This Row],[SKU]],'All Skus'!$A:$AC,13,FALSE)),""))</f>
        <v>0</v>
      </c>
      <c r="L39" s="102">
        <f>(IF((VLOOKUP(Table6[[#This Row],[SKU]],'All Skus'!$A:$AC,2,FALSE))="JBL",(VLOOKUP(Table6[[#This Row],[SKU]],'All Skus'!$A:$AC,14,FALSE)),""))</f>
        <v>0</v>
      </c>
      <c r="M39" s="143">
        <f>(IF((VLOOKUP(Table6[[#This Row],[SKU]],'All Skus'!$A:$AC,2,FALSE))="JBL",(VLOOKUP(Table6[[#This Row],[SKU]],'All Skus'!$A:$AC,15,FALSE)),""))</f>
        <v>0</v>
      </c>
      <c r="N39" s="137">
        <f>(IF((VLOOKUP(Table6[[#This Row],[SKU]],'All Skus'!$A:$AC,2,FALSE))="JBL",(VLOOKUP(Table6[[#This Row],[SKU]],'All Skus'!$A:$AC,16,FALSE)),""))</f>
        <v>691991401367</v>
      </c>
      <c r="O39" s="61">
        <f>(IF((VLOOKUP(Table6[[#This Row],[SKU]],'All Skus'!$A:$AC,2,FALSE))="JBL",(VLOOKUP(Table6[[#This Row],[SKU]],'All Skus'!$A:$AC,17,FALSE)),""))</f>
        <v>0</v>
      </c>
      <c r="P39" s="136">
        <f>(IF((VLOOKUP(Table6[[#This Row],[SKU]],'All Skus'!$A:$AC,2,FALSE))="JBL",(VLOOKUP(Table6[[#This Row],[SKU]],'All Skus'!$A:$AC,18,FALSE)),""))</f>
        <v>0.5</v>
      </c>
      <c r="Q39" s="136">
        <f>(IF((VLOOKUP(Table6[[#This Row],[SKU]],'All Skus'!$A:$AC,2,FALSE))="JBL",(VLOOKUP(Table6[[#This Row],[SKU]],'All Skus'!$A:$AC,19,FALSE)),""))</f>
        <v>7</v>
      </c>
      <c r="R39" s="136">
        <f>(IF((VLOOKUP(Table6[[#This Row],[SKU]],'All Skus'!$A:$AC,2,FALSE))="JBL",(VLOOKUP(Table6[[#This Row],[SKU]],'All Skus'!$A:$AC,20,FALSE)),""))</f>
        <v>5.5</v>
      </c>
      <c r="S39" s="61">
        <f>(IF((VLOOKUP(Table6[[#This Row],[SKU]],'All Skus'!$A:$AC,2,FALSE))="JBL",(VLOOKUP(Table6[[#This Row],[SKU]],'All Skus'!$A:$AC,21,FALSE)),""))</f>
        <v>3.5</v>
      </c>
      <c r="T39" s="61" t="str">
        <f>(IF((VLOOKUP(Table6[[#This Row],[SKU]],'All Skus'!$A:$AC,2,FALSE))="JBL",(VLOOKUP(Table6[[#This Row],[SKU]],'All Skus'!$A:$AC,22,FALSE)),""))</f>
        <v>CN</v>
      </c>
      <c r="U39" t="str">
        <f>(IF((VLOOKUP(Table6[[#This Row],[SKU]],'All Skus'!$A:$AC,2,FALSE))="JBL",(VLOOKUP(Table6[[#This Row],[SKU]],'All Skus'!$A:$AC,23,FALSE)),""))</f>
        <v>Non Compliant</v>
      </c>
      <c r="V39" s="284" t="str">
        <f>HYPERLINK((IF((VLOOKUP(Table6[[#This Row],[SKU]],'All Skus'!$A:$AC,2,FALSE))="JBL",(VLOOKUP(Table6[[#This Row],[SKU]],'All Skus'!$A:$AC,24,FALSE)),"")))</f>
        <v/>
      </c>
      <c r="W39" s="151">
        <v>37</v>
      </c>
    </row>
    <row r="40" spans="1:23" ht="15" hidden="1" customHeight="1">
      <c r="A40" s="104" t="s">
        <v>1048</v>
      </c>
      <c r="B40" s="12">
        <f>(IF((VLOOKUP(Table6[[#This Row],[SKU]],'All Skus'!$A:$AC,2,FALSE))="JBL",(VLOOKUP(Table6[[#This Row],[SKU]],'All Skus'!$A:$AC,3,FALSE)),""))</f>
        <v>0</v>
      </c>
      <c r="C40" s="12">
        <f>(IF((VLOOKUP(Table6[[#This Row],[SKU]],'All Skus'!$A:$AC,2,FALSE))="JBL",(VLOOKUP(Table6[[#This Row],[SKU]],'All Skus'!$A:$AC,4,FALSE)),""))</f>
        <v>0</v>
      </c>
      <c r="D40" s="61">
        <f>(IF((VLOOKUP(Table6[[#This Row],[SKU]],'All Skus'!$A:$AC,2,FALSE))="JBL",(VLOOKUP(Table6[[#This Row],[SKU]],'All Skus'!$A:$AC,5,FALSE)),""))</f>
        <v>0</v>
      </c>
      <c r="E40" s="137">
        <f>(IF((VLOOKUP(Table6[[#This Row],[SKU]],'All Skus'!$A:$AC,2,FALSE))="JBL",(VLOOKUP(Table6[[#This Row],[SKU]],'All Skus'!$A:$AC,6,FALSE)),""))</f>
        <v>0</v>
      </c>
      <c r="F40" s="61">
        <f>(IF((VLOOKUP(Table6[[#This Row],[SKU]],'All Skus'!$A:$AC,2,FALSE))="JBL",(VLOOKUP(Table6[[#This Row],[SKU]],'All Skus'!$A:$AC,7,FALSE)),""))</f>
        <v>0</v>
      </c>
      <c r="G40">
        <f>(IF((VLOOKUP(Table6[[#This Row],[SKU]],'All Skus'!$A:$AC,2,FALSE))="JBL",(VLOOKUP(Table6[[#This Row],[SKU]],'All Skus'!$A:$AC,8,FALSE)),""))</f>
        <v>0</v>
      </c>
      <c r="H40" s="8">
        <f>(IF((VLOOKUP(Table6[[#This Row],[SKU]],'All Skus'!$A:$AC,2,FALSE))="JBL",(VLOOKUP(Table6[[#This Row],[SKU]],'All Skus'!$A:$AC,9,FALSE)),""))</f>
        <v>0</v>
      </c>
      <c r="I40" s="101">
        <f>(IF((VLOOKUP(Table6[[#This Row],[SKU]],'All Skus'!$A:$AC,2,FALSE))="JBL",(VLOOKUP(Table6[[#This Row],[SKU]],'All Skus'!$A:$AC,10,FALSE)),""))</f>
        <v>0</v>
      </c>
      <c r="J40" s="101">
        <f>(IF((VLOOKUP(Table6[[#This Row],[SKU]],'All Skus'!$A:$AC,2,FALSE))="JBL",(VLOOKUP(Table6[[#This Row],[SKU]],'All Skus'!$A:$AC,11,FALSE)),""))</f>
        <v>0</v>
      </c>
      <c r="K40" s="102">
        <f>(IF((VLOOKUP(Table6[[#This Row],[SKU]],'All Skus'!$A:$AC,2,FALSE))="JBL",(VLOOKUP(Table6[[#This Row],[SKU]],'All Skus'!$A:$AC,13,FALSE)),""))</f>
        <v>0</v>
      </c>
      <c r="L40" s="102">
        <f>(IF((VLOOKUP(Table6[[#This Row],[SKU]],'All Skus'!$A:$AC,2,FALSE))="JBL",(VLOOKUP(Table6[[#This Row],[SKU]],'All Skus'!$A:$AC,14,FALSE)),""))</f>
        <v>0</v>
      </c>
      <c r="M40" s="143">
        <f>(IF((VLOOKUP(Table6[[#This Row],[SKU]],'All Skus'!$A:$AC,2,FALSE))="JBL",(VLOOKUP(Table6[[#This Row],[SKU]],'All Skus'!$A:$AC,15,FALSE)),""))</f>
        <v>0</v>
      </c>
      <c r="N40" s="137">
        <f>(IF((VLOOKUP(Table6[[#This Row],[SKU]],'All Skus'!$A:$AC,2,FALSE))="JBL",(VLOOKUP(Table6[[#This Row],[SKU]],'All Skus'!$A:$AC,16,FALSE)),""))</f>
        <v>0</v>
      </c>
      <c r="O40" s="61">
        <f>(IF((VLOOKUP(Table6[[#This Row],[SKU]],'All Skus'!$A:$AC,2,FALSE))="JBL",(VLOOKUP(Table6[[#This Row],[SKU]],'All Skus'!$A:$AC,17,FALSE)),""))</f>
        <v>0</v>
      </c>
      <c r="P40" s="136">
        <f>(IF((VLOOKUP(Table6[[#This Row],[SKU]],'All Skus'!$A:$AC,2,FALSE))="JBL",(VLOOKUP(Table6[[#This Row],[SKU]],'All Skus'!$A:$AC,18,FALSE)),""))</f>
        <v>0</v>
      </c>
      <c r="Q40" s="136">
        <f>(IF((VLOOKUP(Table6[[#This Row],[SKU]],'All Skus'!$A:$AC,2,FALSE))="JBL",(VLOOKUP(Table6[[#This Row],[SKU]],'All Skus'!$A:$AC,19,FALSE)),""))</f>
        <v>0</v>
      </c>
      <c r="R40" s="136">
        <f>(IF((VLOOKUP(Table6[[#This Row],[SKU]],'All Skus'!$A:$AC,2,FALSE))="JBL",(VLOOKUP(Table6[[#This Row],[SKU]],'All Skus'!$A:$AC,20,FALSE)),""))</f>
        <v>0</v>
      </c>
      <c r="S40" s="61">
        <f>(IF((VLOOKUP(Table6[[#This Row],[SKU]],'All Skus'!$A:$AC,2,FALSE))="JBL",(VLOOKUP(Table6[[#This Row],[SKU]],'All Skus'!$A:$AC,21,FALSE)),""))</f>
        <v>0</v>
      </c>
      <c r="T40" s="61">
        <f>(IF((VLOOKUP(Table6[[#This Row],[SKU]],'All Skus'!$A:$AC,2,FALSE))="JBL",(VLOOKUP(Table6[[#This Row],[SKU]],'All Skus'!$A:$AC,22,FALSE)),""))</f>
        <v>0</v>
      </c>
      <c r="U40">
        <f>(IF((VLOOKUP(Table6[[#This Row],[SKU]],'All Skus'!$A:$AC,2,FALSE))="JBL",(VLOOKUP(Table6[[#This Row],[SKU]],'All Skus'!$A:$AC,23,FALSE)),""))</f>
        <v>0</v>
      </c>
      <c r="V40" s="284" t="str">
        <f>HYPERLINK((IF((VLOOKUP(Table6[[#This Row],[SKU]],'All Skus'!$A:$AC,2,FALSE))="JBL",(VLOOKUP(Table6[[#This Row],[SKU]],'All Skus'!$A:$AC,24,FALSE)),"")))</f>
        <v/>
      </c>
      <c r="W40" s="151">
        <v>38</v>
      </c>
    </row>
    <row r="41" spans="1:23" ht="15" hidden="1" customHeight="1">
      <c r="A41" s="13" t="s">
        <v>1049</v>
      </c>
      <c r="B41" s="12" t="str">
        <f>(IF((VLOOKUP(Table6[[#This Row],[SKU]],'All Skus'!$A:$AC,2,FALSE))="JBL",(VLOOKUP(Table6[[#This Row],[SKU]],'All Skus'!$A:$AC,3,FALSE)),""))</f>
        <v>Ceiling Speaker</v>
      </c>
      <c r="C41" s="12" t="str">
        <f>(IF((VLOOKUP(Table6[[#This Row],[SKU]],'All Skus'!$A:$AC,2,FALSE))="JBL",(VLOOKUP(Table6[[#This Row],[SKU]],'All Skus'!$A:$AC,4,FALSE)),""))</f>
        <v>CSS8004</v>
      </c>
      <c r="D41" s="61" t="str">
        <f>(IF((VLOOKUP(Table6[[#This Row],[SKU]],'All Skus'!$A:$AC,2,FALSE))="JBL",(VLOOKUP(Table6[[#This Row],[SKU]],'All Skus'!$A:$AC,5,FALSE)),""))</f>
        <v>JBL017</v>
      </c>
      <c r="E41" s="137">
        <f>(IF((VLOOKUP(Table6[[#This Row],[SKU]],'All Skus'!$A:$AC,2,FALSE))="JBL",(VLOOKUP(Table6[[#This Row],[SKU]],'All Skus'!$A:$AC,6,FALSE)),""))</f>
        <v>0</v>
      </c>
      <c r="F41" s="61">
        <f>(IF((VLOOKUP(Table6[[#This Row],[SKU]],'All Skus'!$A:$AC,2,FALSE))="JBL",(VLOOKUP(Table6[[#This Row],[SKU]],'All Skus'!$A:$AC,7,FALSE)),""))</f>
        <v>0</v>
      </c>
      <c r="G41" t="str">
        <f>(IF((VLOOKUP(Table6[[#This Row],[SKU]],'All Skus'!$A:$AC,2,FALSE))="JBL",(VLOOKUP(Table6[[#This Row],[SKU]],'All Skus'!$A:$AC,8,FALSE)),""))</f>
        <v>S/M, CSS8004 - 4", 5W</v>
      </c>
      <c r="H41" s="8" t="str">
        <f>(IF((VLOOKUP(Table6[[#This Row],[SKU]],'All Skus'!$A:$AC,2,FALSE))="JBL",(VLOOKUP(Table6[[#This Row],[SKU]],'All Skus'!$A:$AC,9,FALSE)),""))</f>
        <v>4" Commercial Series Ceiling Speaker.  90 dB sens, 5W multi-tap for 100V/70V 25V, pre-assembled with driver/grille/transformer, 175 deg coverage; punched metal grille, compatible with CSS-BB4 backcan and CSS-TB4/8 tile rails (priced as each; sold individually; master packs are 6 pcs).</v>
      </c>
      <c r="I41" s="101">
        <f>(IF((VLOOKUP(Table6[[#This Row],[SKU]],'All Skus'!$A:$AC,2,FALSE))="JBL",(VLOOKUP(Table6[[#This Row],[SKU]],'All Skus'!$A:$AC,10,FALSE)),""))</f>
        <v>29.5</v>
      </c>
      <c r="J41" s="101">
        <f>(IF((VLOOKUP(Table6[[#This Row],[SKU]],'All Skus'!$A:$AC,2,FALSE))="JBL",(VLOOKUP(Table6[[#This Row],[SKU]],'All Skus'!$A:$AC,11,FALSE)),""))</f>
        <v>20</v>
      </c>
      <c r="K41" s="102">
        <f>(IF((VLOOKUP(Table6[[#This Row],[SKU]],'All Skus'!$A:$AC,2,FALSE))="JBL",(VLOOKUP(Table6[[#This Row],[SKU]],'All Skus'!$A:$AC,13,FALSE)),""))</f>
        <v>0</v>
      </c>
      <c r="L41" s="102">
        <f>(IF((VLOOKUP(Table6[[#This Row],[SKU]],'All Skus'!$A:$AC,2,FALSE))="JBL",(VLOOKUP(Table6[[#This Row],[SKU]],'All Skus'!$A:$AC,14,FALSE)),""))</f>
        <v>0</v>
      </c>
      <c r="M41" s="143">
        <f>(IF((VLOOKUP(Table6[[#This Row],[SKU]],'All Skus'!$A:$AC,2,FALSE))="JBL",(VLOOKUP(Table6[[#This Row],[SKU]],'All Skus'!$A:$AC,15,FALSE)),""))</f>
        <v>0</v>
      </c>
      <c r="N41" s="137">
        <f>(IF((VLOOKUP(Table6[[#This Row],[SKU]],'All Skus'!$A:$AC,2,FALSE))="JBL",(VLOOKUP(Table6[[#This Row],[SKU]],'All Skus'!$A:$AC,16,FALSE)),""))</f>
        <v>50036903912</v>
      </c>
      <c r="O41" s="61">
        <f>(IF((VLOOKUP(Table6[[#This Row],[SKU]],'All Skus'!$A:$AC,2,FALSE))="JBL",(VLOOKUP(Table6[[#This Row],[SKU]],'All Skus'!$A:$AC,17,FALSE)),""))</f>
        <v>0</v>
      </c>
      <c r="P41" s="136">
        <f>(IF((VLOOKUP(Table6[[#This Row],[SKU]],'All Skus'!$A:$AC,2,FALSE))="JBL",(VLOOKUP(Table6[[#This Row],[SKU]],'All Skus'!$A:$AC,18,FALSE)),""))</f>
        <v>2.5</v>
      </c>
      <c r="Q41" s="136">
        <f>(IF((VLOOKUP(Table6[[#This Row],[SKU]],'All Skus'!$A:$AC,2,FALSE))="JBL",(VLOOKUP(Table6[[#This Row],[SKU]],'All Skus'!$A:$AC,19,FALSE)),""))</f>
        <v>5</v>
      </c>
      <c r="R41" s="136">
        <f>(IF((VLOOKUP(Table6[[#This Row],[SKU]],'All Skus'!$A:$AC,2,FALSE))="JBL",(VLOOKUP(Table6[[#This Row],[SKU]],'All Skus'!$A:$AC,20,FALSE)),""))</f>
        <v>9</v>
      </c>
      <c r="S41" s="61">
        <f>(IF((VLOOKUP(Table6[[#This Row],[SKU]],'All Skus'!$A:$AC,2,FALSE))="JBL",(VLOOKUP(Table6[[#This Row],[SKU]],'All Skus'!$A:$AC,21,FALSE)),""))</f>
        <v>10</v>
      </c>
      <c r="T41" s="61" t="str">
        <f>(IF((VLOOKUP(Table6[[#This Row],[SKU]],'All Skus'!$A:$AC,2,FALSE))="JBL",(VLOOKUP(Table6[[#This Row],[SKU]],'All Skus'!$A:$AC,22,FALSE)),""))</f>
        <v>CN</v>
      </c>
      <c r="U41" t="str">
        <f>(IF((VLOOKUP(Table6[[#This Row],[SKU]],'All Skus'!$A:$AC,2,FALSE))="JBL",(VLOOKUP(Table6[[#This Row],[SKU]],'All Skus'!$A:$AC,23,FALSE)),""))</f>
        <v>Non Compliant</v>
      </c>
      <c r="V41" s="284" t="str">
        <f>HYPERLINK((IF((VLOOKUP(Table6[[#This Row],[SKU]],'All Skus'!$A:$AC,2,FALSE))="JBL",(VLOOKUP(Table6[[#This Row],[SKU]],'All Skus'!$A:$AC,24,FALSE)),"")))</f>
        <v xml:space="preserve">http://www.jblpro.com/www/products/installed-sound/commercial-series/css8004 </v>
      </c>
      <c r="W41" s="151">
        <v>39</v>
      </c>
    </row>
    <row r="42" spans="1:23" ht="15" hidden="1" customHeight="1">
      <c r="A42" s="13" t="s">
        <v>1050</v>
      </c>
      <c r="B42" s="12" t="str">
        <f>(IF((VLOOKUP(Table6[[#This Row],[SKU]],'All Skus'!$A:$AC,2,FALSE))="JBL",(VLOOKUP(Table6[[#This Row],[SKU]],'All Skus'!$A:$AC,3,FALSE)),""))</f>
        <v>Ceiling Speaker</v>
      </c>
      <c r="C42" s="12" t="str">
        <f>(IF((VLOOKUP(Table6[[#This Row],[SKU]],'All Skus'!$A:$AC,2,FALSE))="JBL",(VLOOKUP(Table6[[#This Row],[SKU]],'All Skus'!$A:$AC,4,FALSE)),""))</f>
        <v>CSS8008</v>
      </c>
      <c r="D42" s="61" t="str">
        <f>(IF((VLOOKUP(Table6[[#This Row],[SKU]],'All Skus'!$A:$AC,2,FALSE))="JBL",(VLOOKUP(Table6[[#This Row],[SKU]],'All Skus'!$A:$AC,5,FALSE)),""))</f>
        <v>JBL017</v>
      </c>
      <c r="E42" s="137">
        <f>(IF((VLOOKUP(Table6[[#This Row],[SKU]],'All Skus'!$A:$AC,2,FALSE))="JBL",(VLOOKUP(Table6[[#This Row],[SKU]],'All Skus'!$A:$AC,6,FALSE)),""))</f>
        <v>0</v>
      </c>
      <c r="F42" s="61">
        <f>(IF((VLOOKUP(Table6[[#This Row],[SKU]],'All Skus'!$A:$AC,2,FALSE))="JBL",(VLOOKUP(Table6[[#This Row],[SKU]],'All Skus'!$A:$AC,7,FALSE)),""))</f>
        <v>0</v>
      </c>
      <c r="G42" t="str">
        <f>(IF((VLOOKUP(Table6[[#This Row],[SKU]],'All Skus'!$A:$AC,2,FALSE))="JBL",(VLOOKUP(Table6[[#This Row],[SKU]],'All Skus'!$A:$AC,8,FALSE)),""))</f>
        <v>S/M, CSS8008 8", 5w</v>
      </c>
      <c r="H42" s="8" t="str">
        <f>(IF((VLOOKUP(Table6[[#This Row],[SKU]],'All Skus'!$A:$AC,2,FALSE))="JBL",(VLOOKUP(Table6[[#This Row],[SKU]],'All Skus'!$A:$AC,9,FALSE)),""))</f>
        <v>8" Commercial Series Ceiling Speaker.  96 dB sens, 5W multi-tap for 100V/70V 25V, pre-assembled with driver/grille/transformer, 120 deg coverage; punched metal grille, compatible with CSS-BB8 backcan and CSS-TB4/8 tile rails (priced as each; sold individually; master packs are 6 pcs).</v>
      </c>
      <c r="I42" s="101">
        <f>(IF((VLOOKUP(Table6[[#This Row],[SKU]],'All Skus'!$A:$AC,2,FALSE))="JBL",(VLOOKUP(Table6[[#This Row],[SKU]],'All Skus'!$A:$AC,10,FALSE)),""))</f>
        <v>39.770000000000003</v>
      </c>
      <c r="J42" s="101">
        <f>(IF((VLOOKUP(Table6[[#This Row],[SKU]],'All Skus'!$A:$AC,2,FALSE))="JBL",(VLOOKUP(Table6[[#This Row],[SKU]],'All Skus'!$A:$AC,11,FALSE)),""))</f>
        <v>30</v>
      </c>
      <c r="K42" s="102">
        <f>(IF((VLOOKUP(Table6[[#This Row],[SKU]],'All Skus'!$A:$AC,2,FALSE))="JBL",(VLOOKUP(Table6[[#This Row],[SKU]],'All Skus'!$A:$AC,13,FALSE)),""))</f>
        <v>0</v>
      </c>
      <c r="L42" s="102">
        <f>(IF((VLOOKUP(Table6[[#This Row],[SKU]],'All Skus'!$A:$AC,2,FALSE))="JBL",(VLOOKUP(Table6[[#This Row],[SKU]],'All Skus'!$A:$AC,14,FALSE)),""))</f>
        <v>0</v>
      </c>
      <c r="M42" s="143">
        <f>(IF((VLOOKUP(Table6[[#This Row],[SKU]],'All Skus'!$A:$AC,2,FALSE))="JBL",(VLOOKUP(Table6[[#This Row],[SKU]],'All Skus'!$A:$AC,15,FALSE)),""))</f>
        <v>0</v>
      </c>
      <c r="N42" s="137">
        <f>(IF((VLOOKUP(Table6[[#This Row],[SKU]],'All Skus'!$A:$AC,2,FALSE))="JBL",(VLOOKUP(Table6[[#This Row],[SKU]],'All Skus'!$A:$AC,16,FALSE)),""))</f>
        <v>50036903929</v>
      </c>
      <c r="O42" s="61">
        <f>(IF((VLOOKUP(Table6[[#This Row],[SKU]],'All Skus'!$A:$AC,2,FALSE))="JBL",(VLOOKUP(Table6[[#This Row],[SKU]],'All Skus'!$A:$AC,17,FALSE)),""))</f>
        <v>0</v>
      </c>
      <c r="P42" s="136">
        <f>(IF((VLOOKUP(Table6[[#This Row],[SKU]],'All Skus'!$A:$AC,2,FALSE))="JBL",(VLOOKUP(Table6[[#This Row],[SKU]],'All Skus'!$A:$AC,18,FALSE)),""))</f>
        <v>4.25</v>
      </c>
      <c r="Q42" s="136">
        <f>(IF((VLOOKUP(Table6[[#This Row],[SKU]],'All Skus'!$A:$AC,2,FALSE))="JBL",(VLOOKUP(Table6[[#This Row],[SKU]],'All Skus'!$A:$AC,19,FALSE)),""))</f>
        <v>15</v>
      </c>
      <c r="R42" s="136">
        <f>(IF((VLOOKUP(Table6[[#This Row],[SKU]],'All Skus'!$A:$AC,2,FALSE))="JBL",(VLOOKUP(Table6[[#This Row],[SKU]],'All Skus'!$A:$AC,20,FALSE)),""))</f>
        <v>15</v>
      </c>
      <c r="S42" s="61">
        <f>(IF((VLOOKUP(Table6[[#This Row],[SKU]],'All Skus'!$A:$AC,2,FALSE))="JBL",(VLOOKUP(Table6[[#This Row],[SKU]],'All Skus'!$A:$AC,21,FALSE)),""))</f>
        <v>4</v>
      </c>
      <c r="T42" s="61" t="str">
        <f>(IF((VLOOKUP(Table6[[#This Row],[SKU]],'All Skus'!$A:$AC,2,FALSE))="JBL",(VLOOKUP(Table6[[#This Row],[SKU]],'All Skus'!$A:$AC,22,FALSE)),""))</f>
        <v>CN</v>
      </c>
      <c r="U42" t="str">
        <f>(IF((VLOOKUP(Table6[[#This Row],[SKU]],'All Skus'!$A:$AC,2,FALSE))="JBL",(VLOOKUP(Table6[[#This Row],[SKU]],'All Skus'!$A:$AC,23,FALSE)),""))</f>
        <v>Non Compliant</v>
      </c>
      <c r="V42" s="284" t="str">
        <f>HYPERLINK((IF((VLOOKUP(Table6[[#This Row],[SKU]],'All Skus'!$A:$AC,2,FALSE))="JBL",(VLOOKUP(Table6[[#This Row],[SKU]],'All Skus'!$A:$AC,24,FALSE)),"")))</f>
        <v xml:space="preserve">http://www.jblpro.com/www/products/installed-sound/commercial-series/css8008 </v>
      </c>
      <c r="W42" s="151">
        <v>40</v>
      </c>
    </row>
    <row r="43" spans="1:23" ht="15" hidden="1" customHeight="1">
      <c r="A43" s="13" t="s">
        <v>1051</v>
      </c>
      <c r="B43" s="12" t="str">
        <f>(IF((VLOOKUP(Table6[[#This Row],[SKU]],'All Skus'!$A:$AC,2,FALSE))="JBL",(VLOOKUP(Table6[[#This Row],[SKU]],'All Skus'!$A:$AC,3,FALSE)),""))</f>
        <v>Ceiling Speaker</v>
      </c>
      <c r="C43" s="12" t="str">
        <f>(IF((VLOOKUP(Table6[[#This Row],[SKU]],'All Skus'!$A:$AC,2,FALSE))="JBL",(VLOOKUP(Table6[[#This Row],[SKU]],'All Skus'!$A:$AC,4,FALSE)),""))</f>
        <v>CSS8018</v>
      </c>
      <c r="D43" s="61" t="str">
        <f>(IF((VLOOKUP(Table6[[#This Row],[SKU]],'All Skus'!$A:$AC,2,FALSE))="JBL",(VLOOKUP(Table6[[#This Row],[SKU]],'All Skus'!$A:$AC,5,FALSE)),""))</f>
        <v>JBL017</v>
      </c>
      <c r="E43" s="137">
        <f>(IF((VLOOKUP(Table6[[#This Row],[SKU]],'All Skus'!$A:$AC,2,FALSE))="JBL",(VLOOKUP(Table6[[#This Row],[SKU]],'All Skus'!$A:$AC,6,FALSE)),""))</f>
        <v>0</v>
      </c>
      <c r="F43" s="61">
        <f>(IF((VLOOKUP(Table6[[#This Row],[SKU]],'All Skus'!$A:$AC,2,FALSE))="JBL",(VLOOKUP(Table6[[#This Row],[SKU]],'All Skus'!$A:$AC,7,FALSE)),""))</f>
        <v>0</v>
      </c>
      <c r="G43" t="str">
        <f>(IF((VLOOKUP(Table6[[#This Row],[SKU]],'All Skus'!$A:$AC,2,FALSE))="JBL",(VLOOKUP(Table6[[#This Row],[SKU]],'All Skus'!$A:$AC,8,FALSE)),""))</f>
        <v>S/M, CSS8018 8", 10W</v>
      </c>
      <c r="H43" s="8" t="str">
        <f>(IF((VLOOKUP(Table6[[#This Row],[SKU]],'All Skus'!$A:$AC,2,FALSE))="JBL",(VLOOKUP(Table6[[#This Row],[SKU]],'All Skus'!$A:$AC,9,FALSE)),""))</f>
        <v>8" Commercial Series Ceiling Speaker.  Very high 97 dB sens, 10W multi-tap for 100V/70V 25V, pre-assembled with driver/grille/transformer, 110 deg coverage; punched metal grille, compatible with CSS-BB8 backcan and CSS-TB4/8 tile rails (priced as each; sold individually; master packs are 6 pcs).</v>
      </c>
      <c r="I43" s="101">
        <f>(IF((VLOOKUP(Table6[[#This Row],[SKU]],'All Skus'!$A:$AC,2,FALSE))="JBL",(VLOOKUP(Table6[[#This Row],[SKU]],'All Skus'!$A:$AC,10,FALSE)),""))</f>
        <v>53.87</v>
      </c>
      <c r="J43" s="101">
        <f>(IF((VLOOKUP(Table6[[#This Row],[SKU]],'All Skus'!$A:$AC,2,FALSE))="JBL",(VLOOKUP(Table6[[#This Row],[SKU]],'All Skus'!$A:$AC,11,FALSE)),""))</f>
        <v>47</v>
      </c>
      <c r="K43" s="102">
        <f>(IF((VLOOKUP(Table6[[#This Row],[SKU]],'All Skus'!$A:$AC,2,FALSE))="JBL",(VLOOKUP(Table6[[#This Row],[SKU]],'All Skus'!$A:$AC,13,FALSE)),""))</f>
        <v>0</v>
      </c>
      <c r="L43" s="102">
        <f>(IF((VLOOKUP(Table6[[#This Row],[SKU]],'All Skus'!$A:$AC,2,FALSE))="JBL",(VLOOKUP(Table6[[#This Row],[SKU]],'All Skus'!$A:$AC,14,FALSE)),""))</f>
        <v>0</v>
      </c>
      <c r="M43" s="143">
        <f>(IF((VLOOKUP(Table6[[#This Row],[SKU]],'All Skus'!$A:$AC,2,FALSE))="JBL",(VLOOKUP(Table6[[#This Row],[SKU]],'All Skus'!$A:$AC,15,FALSE)),""))</f>
        <v>0</v>
      </c>
      <c r="N43" s="137">
        <f>(IF((VLOOKUP(Table6[[#This Row],[SKU]],'All Skus'!$A:$AC,2,FALSE))="JBL",(VLOOKUP(Table6[[#This Row],[SKU]],'All Skus'!$A:$AC,16,FALSE)),""))</f>
        <v>50036903936</v>
      </c>
      <c r="O43" s="61">
        <f>(IF((VLOOKUP(Table6[[#This Row],[SKU]],'All Skus'!$A:$AC,2,FALSE))="JBL",(VLOOKUP(Table6[[#This Row],[SKU]],'All Skus'!$A:$AC,17,FALSE)),""))</f>
        <v>0</v>
      </c>
      <c r="P43" s="136">
        <f>(IF((VLOOKUP(Table6[[#This Row],[SKU]],'All Skus'!$A:$AC,2,FALSE))="JBL",(VLOOKUP(Table6[[#This Row],[SKU]],'All Skus'!$A:$AC,18,FALSE)),""))</f>
        <v>8</v>
      </c>
      <c r="Q43" s="136">
        <f>(IF((VLOOKUP(Table6[[#This Row],[SKU]],'All Skus'!$A:$AC,2,FALSE))="JBL",(VLOOKUP(Table6[[#This Row],[SKU]],'All Skus'!$A:$AC,19,FALSE)),""))</f>
        <v>16</v>
      </c>
      <c r="R43" s="136">
        <f>(IF((VLOOKUP(Table6[[#This Row],[SKU]],'All Skus'!$A:$AC,2,FALSE))="JBL",(VLOOKUP(Table6[[#This Row],[SKU]],'All Skus'!$A:$AC,20,FALSE)),""))</f>
        <v>14</v>
      </c>
      <c r="S43" s="61">
        <f>(IF((VLOOKUP(Table6[[#This Row],[SKU]],'All Skus'!$A:$AC,2,FALSE))="JBL",(VLOOKUP(Table6[[#This Row],[SKU]],'All Skus'!$A:$AC,21,FALSE)),""))</f>
        <v>5</v>
      </c>
      <c r="T43" s="61" t="str">
        <f>(IF((VLOOKUP(Table6[[#This Row],[SKU]],'All Skus'!$A:$AC,2,FALSE))="JBL",(VLOOKUP(Table6[[#This Row],[SKU]],'All Skus'!$A:$AC,22,FALSE)),""))</f>
        <v>CN</v>
      </c>
      <c r="U43" t="str">
        <f>(IF((VLOOKUP(Table6[[#This Row],[SKU]],'All Skus'!$A:$AC,2,FALSE))="JBL",(VLOOKUP(Table6[[#This Row],[SKU]],'All Skus'!$A:$AC,23,FALSE)),""))</f>
        <v>Non Compliant</v>
      </c>
      <c r="V43" s="284" t="str">
        <f>HYPERLINK((IF((VLOOKUP(Table6[[#This Row],[SKU]],'All Skus'!$A:$AC,2,FALSE))="JBL",(VLOOKUP(Table6[[#This Row],[SKU]],'All Skus'!$A:$AC,24,FALSE)),"")))</f>
        <v xml:space="preserve">http://www.jblpro.com/www/products/installed-sound/commercial-series/css8018 </v>
      </c>
      <c r="W43" s="151">
        <v>41</v>
      </c>
    </row>
    <row r="44" spans="1:23" ht="15" hidden="1" customHeight="1">
      <c r="A44" s="13" t="s">
        <v>1052</v>
      </c>
      <c r="B44" s="12" t="str">
        <f>(IF((VLOOKUP(Table6[[#This Row],[SKU]],'All Skus'!$A:$AC,2,FALSE))="JBL",(VLOOKUP(Table6[[#This Row],[SKU]],'All Skus'!$A:$AC,3,FALSE)),""))</f>
        <v>Accessory</v>
      </c>
      <c r="C44" s="12" t="str">
        <f>(IF((VLOOKUP(Table6[[#This Row],[SKU]],'All Skus'!$A:$AC,2,FALSE))="JBL",(VLOOKUP(Table6[[#This Row],[SKU]],'All Skus'!$A:$AC,4,FALSE)),""))</f>
        <v>CSS-BB4X6</v>
      </c>
      <c r="D44" s="61" t="str">
        <f>(IF((VLOOKUP(Table6[[#This Row],[SKU]],'All Skus'!$A:$AC,2,FALSE))="JBL",(VLOOKUP(Table6[[#This Row],[SKU]],'All Skus'!$A:$AC,5,FALSE)),""))</f>
        <v>JBL017</v>
      </c>
      <c r="E44" s="137">
        <f>(IF((VLOOKUP(Table6[[#This Row],[SKU]],'All Skus'!$A:$AC,2,FALSE))="JBL",(VLOOKUP(Table6[[#This Row],[SKU]],'All Skus'!$A:$AC,6,FALSE)),""))</f>
        <v>0</v>
      </c>
      <c r="F44" s="61">
        <f>(IF((VLOOKUP(Table6[[#This Row],[SKU]],'All Skus'!$A:$AC,2,FALSE))="JBL",(VLOOKUP(Table6[[#This Row],[SKU]],'All Skus'!$A:$AC,7,FALSE)),""))</f>
        <v>0</v>
      </c>
      <c r="G44" t="str">
        <f>(IF((VLOOKUP(Table6[[#This Row],[SKU]],'All Skus'!$A:$AC,2,FALSE))="JBL",(VLOOKUP(Table6[[#This Row],[SKU]],'All Skus'!$A:$AC,8,FALSE)),""))</f>
        <v>S/M, CSS-BB4X6-- 4" BACKCAN (1=6 PCS)</v>
      </c>
      <c r="H44" s="8" t="str">
        <f>(IF((VLOOKUP(Table6[[#This Row],[SKU]],'All Skus'!$A:$AC,2,FALSE))="JBL",(VLOOKUP(Table6[[#This Row],[SKU]],'All Skus'!$A:$AC,9,FALSE)),""))</f>
        <v>Pack of 6 pcs of 4" backcans for CSS8004.  Steel, zinc-plated, powder-coated, 4.8" (121mm) deep, 5 knockouts (priced an sold as a pack of 6 pcs).</v>
      </c>
      <c r="I44" s="101">
        <f>(IF((VLOOKUP(Table6[[#This Row],[SKU]],'All Skus'!$A:$AC,2,FALSE))="JBL",(VLOOKUP(Table6[[#This Row],[SKU]],'All Skus'!$A:$AC,10,FALSE)),""))</f>
        <v>75.680000000000007</v>
      </c>
      <c r="J44" s="101">
        <f>(IF((VLOOKUP(Table6[[#This Row],[SKU]],'All Skus'!$A:$AC,2,FALSE))="JBL",(VLOOKUP(Table6[[#This Row],[SKU]],'All Skus'!$A:$AC,11,FALSE)),""))</f>
        <v>75.680000000000007</v>
      </c>
      <c r="K44" s="102">
        <f>(IF((VLOOKUP(Table6[[#This Row],[SKU]],'All Skus'!$A:$AC,2,FALSE))="JBL",(VLOOKUP(Table6[[#This Row],[SKU]],'All Skus'!$A:$AC,13,FALSE)),""))</f>
        <v>0</v>
      </c>
      <c r="L44" s="102">
        <f>(IF((VLOOKUP(Table6[[#This Row],[SKU]],'All Skus'!$A:$AC,2,FALSE))="JBL",(VLOOKUP(Table6[[#This Row],[SKU]],'All Skus'!$A:$AC,14,FALSE)),""))</f>
        <v>0</v>
      </c>
      <c r="M44" s="143">
        <f>(IF((VLOOKUP(Table6[[#This Row],[SKU]],'All Skus'!$A:$AC,2,FALSE))="JBL",(VLOOKUP(Table6[[#This Row],[SKU]],'All Skus'!$A:$AC,15,FALSE)),""))</f>
        <v>0</v>
      </c>
      <c r="N44" s="137">
        <f>(IF((VLOOKUP(Table6[[#This Row],[SKU]],'All Skus'!$A:$AC,2,FALSE))="JBL",(VLOOKUP(Table6[[#This Row],[SKU]],'All Skus'!$A:$AC,16,FALSE)),""))</f>
        <v>691991300059</v>
      </c>
      <c r="O44" s="61">
        <f>(IF((VLOOKUP(Table6[[#This Row],[SKU]],'All Skus'!$A:$AC,2,FALSE))="JBL",(VLOOKUP(Table6[[#This Row],[SKU]],'All Skus'!$A:$AC,17,FALSE)),""))</f>
        <v>0</v>
      </c>
      <c r="P44" s="136">
        <f>(IF((VLOOKUP(Table6[[#This Row],[SKU]],'All Skus'!$A:$AC,2,FALSE))="JBL",(VLOOKUP(Table6[[#This Row],[SKU]],'All Skus'!$A:$AC,18,FALSE)),""))</f>
        <v>6</v>
      </c>
      <c r="Q44" s="136">
        <f>(IF((VLOOKUP(Table6[[#This Row],[SKU]],'All Skus'!$A:$AC,2,FALSE))="JBL",(VLOOKUP(Table6[[#This Row],[SKU]],'All Skus'!$A:$AC,19,FALSE)),""))</f>
        <v>8</v>
      </c>
      <c r="R44" s="136">
        <f>(IF((VLOOKUP(Table6[[#This Row],[SKU]],'All Skus'!$A:$AC,2,FALSE))="JBL",(VLOOKUP(Table6[[#This Row],[SKU]],'All Skus'!$A:$AC,20,FALSE)),""))</f>
        <v>8</v>
      </c>
      <c r="S44" s="61">
        <f>(IF((VLOOKUP(Table6[[#This Row],[SKU]],'All Skus'!$A:$AC,2,FALSE))="JBL",(VLOOKUP(Table6[[#This Row],[SKU]],'All Skus'!$A:$AC,21,FALSE)),""))</f>
        <v>5</v>
      </c>
      <c r="T44" s="61" t="str">
        <f>(IF((VLOOKUP(Table6[[#This Row],[SKU]],'All Skus'!$A:$AC,2,FALSE))="JBL",(VLOOKUP(Table6[[#This Row],[SKU]],'All Skus'!$A:$AC,22,FALSE)),""))</f>
        <v>CN</v>
      </c>
      <c r="U44" t="str">
        <f>(IF((VLOOKUP(Table6[[#This Row],[SKU]],'All Skus'!$A:$AC,2,FALSE))="JBL",(VLOOKUP(Table6[[#This Row],[SKU]],'All Skus'!$A:$AC,23,FALSE)),""))</f>
        <v>Non Compliant</v>
      </c>
      <c r="V44" s="284" t="str">
        <f>HYPERLINK((IF((VLOOKUP(Table6[[#This Row],[SKU]],'All Skus'!$A:$AC,2,FALSE))="JBL",(VLOOKUP(Table6[[#This Row],[SKU]],'All Skus'!$A:$AC,24,FALSE)),"")))</f>
        <v xml:space="preserve">http://www.jblpro.com/www/products/installed-sound/commercial-series/css-bb4x6 </v>
      </c>
      <c r="W44" s="151">
        <v>42</v>
      </c>
    </row>
    <row r="45" spans="1:23" ht="15" hidden="1" customHeight="1">
      <c r="A45" s="13" t="s">
        <v>1053</v>
      </c>
      <c r="B45" s="12" t="str">
        <f>(IF((VLOOKUP(Table6[[#This Row],[SKU]],'All Skus'!$A:$AC,2,FALSE))="JBL",(VLOOKUP(Table6[[#This Row],[SKU]],'All Skus'!$A:$AC,3,FALSE)),""))</f>
        <v>Accessory</v>
      </c>
      <c r="C45" s="12" t="str">
        <f>(IF((VLOOKUP(Table6[[#This Row],[SKU]],'All Skus'!$A:$AC,2,FALSE))="JBL",(VLOOKUP(Table6[[#This Row],[SKU]],'All Skus'!$A:$AC,4,FALSE)),""))</f>
        <v>CSS-BB8X6</v>
      </c>
      <c r="D45" s="61" t="str">
        <f>(IF((VLOOKUP(Table6[[#This Row],[SKU]],'All Skus'!$A:$AC,2,FALSE))="JBL",(VLOOKUP(Table6[[#This Row],[SKU]],'All Skus'!$A:$AC,5,FALSE)),""))</f>
        <v>JBL017</v>
      </c>
      <c r="E45" s="137">
        <f>(IF((VLOOKUP(Table6[[#This Row],[SKU]],'All Skus'!$A:$AC,2,FALSE))="JBL",(VLOOKUP(Table6[[#This Row],[SKU]],'All Skus'!$A:$AC,6,FALSE)),""))</f>
        <v>0</v>
      </c>
      <c r="F45" s="61">
        <f>(IF((VLOOKUP(Table6[[#This Row],[SKU]],'All Skus'!$A:$AC,2,FALSE))="JBL",(VLOOKUP(Table6[[#This Row],[SKU]],'All Skus'!$A:$AC,7,FALSE)),""))</f>
        <v>0</v>
      </c>
      <c r="G45" t="str">
        <f>(IF((VLOOKUP(Table6[[#This Row],[SKU]],'All Skus'!$A:$AC,2,FALSE))="JBL",(VLOOKUP(Table6[[#This Row],[SKU]],'All Skus'!$A:$AC,8,FALSE)),""))</f>
        <v>CSS-BB8X6 8" BACKCAN (1 = 6 PCS)</v>
      </c>
      <c r="H45" s="8" t="str">
        <f>(IF((VLOOKUP(Table6[[#This Row],[SKU]],'All Skus'!$A:$AC,2,FALSE))="JBL",(VLOOKUP(Table6[[#This Row],[SKU]],'All Skus'!$A:$AC,9,FALSE)),""))</f>
        <v>Pack of 6 pcs of 8" backcans for CSS8008 or CSS8018.  Steel, zinc-plated, powder-coated, 4.8" (121 mm) deep, 5 knockouts (priced an sold as a pack of 6 pcs).</v>
      </c>
      <c r="I45" s="101">
        <f>(IF((VLOOKUP(Table6[[#This Row],[SKU]],'All Skus'!$A:$AC,2,FALSE))="JBL",(VLOOKUP(Table6[[#This Row],[SKU]],'All Skus'!$A:$AC,10,FALSE)),""))</f>
        <v>139.82</v>
      </c>
      <c r="J45" s="101">
        <f>(IF((VLOOKUP(Table6[[#This Row],[SKU]],'All Skus'!$A:$AC,2,FALSE))="JBL",(VLOOKUP(Table6[[#This Row],[SKU]],'All Skus'!$A:$AC,11,FALSE)),""))</f>
        <v>139.82</v>
      </c>
      <c r="K45" s="102">
        <f>(IF((VLOOKUP(Table6[[#This Row],[SKU]],'All Skus'!$A:$AC,2,FALSE))="JBL",(VLOOKUP(Table6[[#This Row],[SKU]],'All Skus'!$A:$AC,13,FALSE)),""))</f>
        <v>0</v>
      </c>
      <c r="L45" s="102">
        <f>(IF((VLOOKUP(Table6[[#This Row],[SKU]],'All Skus'!$A:$AC,2,FALSE))="JBL",(VLOOKUP(Table6[[#This Row],[SKU]],'All Skus'!$A:$AC,14,FALSE)),""))</f>
        <v>0</v>
      </c>
      <c r="M45" s="143">
        <f>(IF((VLOOKUP(Table6[[#This Row],[SKU]],'All Skus'!$A:$AC,2,FALSE))="JBL",(VLOOKUP(Table6[[#This Row],[SKU]],'All Skus'!$A:$AC,15,FALSE)),""))</f>
        <v>0</v>
      </c>
      <c r="N45" s="137">
        <f>(IF((VLOOKUP(Table6[[#This Row],[SKU]],'All Skus'!$A:$AC,2,FALSE))="JBL",(VLOOKUP(Table6[[#This Row],[SKU]],'All Skus'!$A:$AC,16,FALSE)),""))</f>
        <v>50036905350</v>
      </c>
      <c r="O45" s="61">
        <f>(IF((VLOOKUP(Table6[[#This Row],[SKU]],'All Skus'!$A:$AC,2,FALSE))="JBL",(VLOOKUP(Table6[[#This Row],[SKU]],'All Skus'!$A:$AC,17,FALSE)),""))</f>
        <v>0</v>
      </c>
      <c r="P45" s="136">
        <f>(IF((VLOOKUP(Table6[[#This Row],[SKU]],'All Skus'!$A:$AC,2,FALSE))="JBL",(VLOOKUP(Table6[[#This Row],[SKU]],'All Skus'!$A:$AC,18,FALSE)),""))</f>
        <v>13</v>
      </c>
      <c r="Q45" s="136">
        <f>(IF((VLOOKUP(Table6[[#This Row],[SKU]],'All Skus'!$A:$AC,2,FALSE))="JBL",(VLOOKUP(Table6[[#This Row],[SKU]],'All Skus'!$A:$AC,19,FALSE)),""))</f>
        <v>14</v>
      </c>
      <c r="R45" s="136">
        <f>(IF((VLOOKUP(Table6[[#This Row],[SKU]],'All Skus'!$A:$AC,2,FALSE))="JBL",(VLOOKUP(Table6[[#This Row],[SKU]],'All Skus'!$A:$AC,20,FALSE)),""))</f>
        <v>15</v>
      </c>
      <c r="S45" s="61">
        <f>(IF((VLOOKUP(Table6[[#This Row],[SKU]],'All Skus'!$A:$AC,2,FALSE))="JBL",(VLOOKUP(Table6[[#This Row],[SKU]],'All Skus'!$A:$AC,21,FALSE)),""))</f>
        <v>9</v>
      </c>
      <c r="T45" s="61" t="str">
        <f>(IF((VLOOKUP(Table6[[#This Row],[SKU]],'All Skus'!$A:$AC,2,FALSE))="JBL",(VLOOKUP(Table6[[#This Row],[SKU]],'All Skus'!$A:$AC,22,FALSE)),""))</f>
        <v>CN</v>
      </c>
      <c r="U45" t="str">
        <f>(IF((VLOOKUP(Table6[[#This Row],[SKU]],'All Skus'!$A:$AC,2,FALSE))="JBL",(VLOOKUP(Table6[[#This Row],[SKU]],'All Skus'!$A:$AC,23,FALSE)),""))</f>
        <v>Non Compliant</v>
      </c>
      <c r="V45" s="284" t="str">
        <f>HYPERLINK((IF((VLOOKUP(Table6[[#This Row],[SKU]],'All Skus'!$A:$AC,2,FALSE))="JBL",(VLOOKUP(Table6[[#This Row],[SKU]],'All Skus'!$A:$AC,24,FALSE)),"")))</f>
        <v xml:space="preserve">http://www.jblpro.com/www/products/installed-sound/commercial-series/css-bb8x6 </v>
      </c>
      <c r="W45" s="151">
        <v>43</v>
      </c>
    </row>
    <row r="46" spans="1:23" ht="15" hidden="1" customHeight="1">
      <c r="A46" s="13" t="s">
        <v>1054</v>
      </c>
      <c r="B46" s="12" t="str">
        <f>(IF((VLOOKUP(Table6[[#This Row],[SKU]],'All Skus'!$A:$AC,2,FALSE))="JBL",(VLOOKUP(Table6[[#This Row],[SKU]],'All Skus'!$A:$AC,3,FALSE)),""))</f>
        <v>COMMERCIAL ACCESSORIES</v>
      </c>
      <c r="C46" s="12" t="str">
        <f>(IF((VLOOKUP(Table6[[#This Row],[SKU]],'All Skus'!$A:$AC,2,FALSE))="JBL",(VLOOKUP(Table6[[#This Row],[SKU]],'All Skus'!$A:$AC,4,FALSE)),""))</f>
        <v>CSS-TR4/8x12</v>
      </c>
      <c r="D46" s="61" t="str">
        <f>(IF((VLOOKUP(Table6[[#This Row],[SKU]],'All Skus'!$A:$AC,2,FALSE))="JBL",(VLOOKUP(Table6[[#This Row],[SKU]],'All Skus'!$A:$AC,5,FALSE)),""))</f>
        <v>JBL017</v>
      </c>
      <c r="E46" s="137">
        <f>(IF((VLOOKUP(Table6[[#This Row],[SKU]],'All Skus'!$A:$AC,2,FALSE))="JBL",(VLOOKUP(Table6[[#This Row],[SKU]],'All Skus'!$A:$AC,6,FALSE)),""))</f>
        <v>0</v>
      </c>
      <c r="F46" s="61">
        <f>(IF((VLOOKUP(Table6[[#This Row],[SKU]],'All Skus'!$A:$AC,2,FALSE))="JBL",(VLOOKUP(Table6[[#This Row],[SKU]],'All Skus'!$A:$AC,7,FALSE)),""))</f>
        <v>0</v>
      </c>
      <c r="G46" t="str">
        <f>(IF((VLOOKUP(Table6[[#This Row],[SKU]],'All Skus'!$A:$AC,2,FALSE))="JBL",(VLOOKUP(Table6[[#This Row],[SKU]],'All Skus'!$A:$AC,8,FALSE)),""))</f>
        <v>CSS-TR4/8x12</v>
      </c>
      <c r="H46" s="8" t="str">
        <f>(IF((VLOOKUP(Table6[[#This Row],[SKU]],'All Skus'!$A:$AC,2,FALSE))="JBL",(VLOOKUP(Table6[[#This Row],[SKU]],'All Skus'!$A:$AC,9,FALSE)),""))</f>
        <v>Pack of 12 pcs Tile Rails for CSS-BB4 and CSS-BB8 Backcans  (Priced as package)</v>
      </c>
      <c r="I46" s="101">
        <f>(IF((VLOOKUP(Table6[[#This Row],[SKU]],'All Skus'!$A:$AC,2,FALSE))="JBL",(VLOOKUP(Table6[[#This Row],[SKU]],'All Skus'!$A:$AC,10,FALSE)),""))</f>
        <v>51.31</v>
      </c>
      <c r="J46" s="101">
        <f>(IF((VLOOKUP(Table6[[#This Row],[SKU]],'All Skus'!$A:$AC,2,FALSE))="JBL",(VLOOKUP(Table6[[#This Row],[SKU]],'All Skus'!$A:$AC,11,FALSE)),""))</f>
        <v>47</v>
      </c>
      <c r="K46" s="102">
        <f>(IF((VLOOKUP(Table6[[#This Row],[SKU]],'All Skus'!$A:$AC,2,FALSE))="JBL",(VLOOKUP(Table6[[#This Row],[SKU]],'All Skus'!$A:$AC,13,FALSE)),""))</f>
        <v>0</v>
      </c>
      <c r="L46" s="102">
        <f>(IF((VLOOKUP(Table6[[#This Row],[SKU]],'All Skus'!$A:$AC,2,FALSE))="JBL",(VLOOKUP(Table6[[#This Row],[SKU]],'All Skus'!$A:$AC,14,FALSE)),""))</f>
        <v>0</v>
      </c>
      <c r="M46" s="143">
        <f>(IF((VLOOKUP(Table6[[#This Row],[SKU]],'All Skus'!$A:$AC,2,FALSE))="JBL",(VLOOKUP(Table6[[#This Row],[SKU]],'All Skus'!$A:$AC,15,FALSE)),""))</f>
        <v>0</v>
      </c>
      <c r="N46" s="137">
        <f>(IF((VLOOKUP(Table6[[#This Row],[SKU]],'All Skus'!$A:$AC,2,FALSE))="JBL",(VLOOKUP(Table6[[#This Row],[SKU]],'All Skus'!$A:$AC,16,FALSE)),""))</f>
        <v>50036904933</v>
      </c>
      <c r="O46" s="61">
        <f>(IF((VLOOKUP(Table6[[#This Row],[SKU]],'All Skus'!$A:$AC,2,FALSE))="JBL",(VLOOKUP(Table6[[#This Row],[SKU]],'All Skus'!$A:$AC,17,FALSE)),""))</f>
        <v>0</v>
      </c>
      <c r="P46" s="136">
        <f>(IF((VLOOKUP(Table6[[#This Row],[SKU]],'All Skus'!$A:$AC,2,FALSE))="JBL",(VLOOKUP(Table6[[#This Row],[SKU]],'All Skus'!$A:$AC,18,FALSE)),""))</f>
        <v>6.25</v>
      </c>
      <c r="Q46" s="136">
        <f>(IF((VLOOKUP(Table6[[#This Row],[SKU]],'All Skus'!$A:$AC,2,FALSE))="JBL",(VLOOKUP(Table6[[#This Row],[SKU]],'All Skus'!$A:$AC,19,FALSE)),""))</f>
        <v>26</v>
      </c>
      <c r="R46" s="136">
        <f>(IF((VLOOKUP(Table6[[#This Row],[SKU]],'All Skus'!$A:$AC,2,FALSE))="JBL",(VLOOKUP(Table6[[#This Row],[SKU]],'All Skus'!$A:$AC,20,FALSE)),""))</f>
        <v>3</v>
      </c>
      <c r="S46" s="61">
        <f>(IF((VLOOKUP(Table6[[#This Row],[SKU]],'All Skus'!$A:$AC,2,FALSE))="JBL",(VLOOKUP(Table6[[#This Row],[SKU]],'All Skus'!$A:$AC,21,FALSE)),""))</f>
        <v>11</v>
      </c>
      <c r="T46" s="61" t="str">
        <f>(IF((VLOOKUP(Table6[[#This Row],[SKU]],'All Skus'!$A:$AC,2,FALSE))="JBL",(VLOOKUP(Table6[[#This Row],[SKU]],'All Skus'!$A:$AC,22,FALSE)),""))</f>
        <v>CN</v>
      </c>
      <c r="U46">
        <f>(IF((VLOOKUP(Table6[[#This Row],[SKU]],'All Skus'!$A:$AC,2,FALSE))="JBL",(VLOOKUP(Table6[[#This Row],[SKU]],'All Skus'!$A:$AC,23,FALSE)),""))</f>
        <v>0</v>
      </c>
      <c r="V46" s="284" t="str">
        <f>HYPERLINK((IF((VLOOKUP(Table6[[#This Row],[SKU]],'All Skus'!$A:$AC,2,FALSE))="JBL",(VLOOKUP(Table6[[#This Row],[SKU]],'All Skus'!$A:$AC,24,FALSE)),"")))</f>
        <v/>
      </c>
      <c r="W46" s="151">
        <v>44</v>
      </c>
    </row>
    <row r="47" spans="1:23" ht="15" hidden="1" customHeight="1">
      <c r="A47" s="104" t="s">
        <v>1055</v>
      </c>
      <c r="B47" s="12">
        <f>(IF((VLOOKUP(Table6[[#This Row],[SKU]],'All Skus'!$A:$AC,2,FALSE))="JBL",(VLOOKUP(Table6[[#This Row],[SKU]],'All Skus'!$A:$AC,3,FALSE)),""))</f>
        <v>0</v>
      </c>
      <c r="C47" s="12">
        <f>(IF((VLOOKUP(Table6[[#This Row],[SKU]],'All Skus'!$A:$AC,2,FALSE))="JBL",(VLOOKUP(Table6[[#This Row],[SKU]],'All Skus'!$A:$AC,4,FALSE)),""))</f>
        <v>0</v>
      </c>
      <c r="D47" s="61">
        <f>(IF((VLOOKUP(Table6[[#This Row],[SKU]],'All Skus'!$A:$AC,2,FALSE))="JBL",(VLOOKUP(Table6[[#This Row],[SKU]],'All Skus'!$A:$AC,5,FALSE)),""))</f>
        <v>0</v>
      </c>
      <c r="E47" s="137">
        <f>(IF((VLOOKUP(Table6[[#This Row],[SKU]],'All Skus'!$A:$AC,2,FALSE))="JBL",(VLOOKUP(Table6[[#This Row],[SKU]],'All Skus'!$A:$AC,6,FALSE)),""))</f>
        <v>0</v>
      </c>
      <c r="F47" s="61">
        <f>(IF((VLOOKUP(Table6[[#This Row],[SKU]],'All Skus'!$A:$AC,2,FALSE))="JBL",(VLOOKUP(Table6[[#This Row],[SKU]],'All Skus'!$A:$AC,7,FALSE)),""))</f>
        <v>0</v>
      </c>
      <c r="G47">
        <f>(IF((VLOOKUP(Table6[[#This Row],[SKU]],'All Skus'!$A:$AC,2,FALSE))="JBL",(VLOOKUP(Table6[[#This Row],[SKU]],'All Skus'!$A:$AC,8,FALSE)),""))</f>
        <v>0</v>
      </c>
      <c r="H47" s="8">
        <f>(IF((VLOOKUP(Table6[[#This Row],[SKU]],'All Skus'!$A:$AC,2,FALSE))="JBL",(VLOOKUP(Table6[[#This Row],[SKU]],'All Skus'!$A:$AC,9,FALSE)),""))</f>
        <v>0</v>
      </c>
      <c r="I47" s="101">
        <f>(IF((VLOOKUP(Table6[[#This Row],[SKU]],'All Skus'!$A:$AC,2,FALSE))="JBL",(VLOOKUP(Table6[[#This Row],[SKU]],'All Skus'!$A:$AC,10,FALSE)),""))</f>
        <v>0</v>
      </c>
      <c r="J47" s="101">
        <f>(IF((VLOOKUP(Table6[[#This Row],[SKU]],'All Skus'!$A:$AC,2,FALSE))="JBL",(VLOOKUP(Table6[[#This Row],[SKU]],'All Skus'!$A:$AC,11,FALSE)),""))</f>
        <v>0</v>
      </c>
      <c r="K47" s="102">
        <f>(IF((VLOOKUP(Table6[[#This Row],[SKU]],'All Skus'!$A:$AC,2,FALSE))="JBL",(VLOOKUP(Table6[[#This Row],[SKU]],'All Skus'!$A:$AC,13,FALSE)),""))</f>
        <v>0</v>
      </c>
      <c r="L47" s="102">
        <f>(IF((VLOOKUP(Table6[[#This Row],[SKU]],'All Skus'!$A:$AC,2,FALSE))="JBL",(VLOOKUP(Table6[[#This Row],[SKU]],'All Skus'!$A:$AC,14,FALSE)),""))</f>
        <v>0</v>
      </c>
      <c r="M47" s="143">
        <f>(IF((VLOOKUP(Table6[[#This Row],[SKU]],'All Skus'!$A:$AC,2,FALSE))="JBL",(VLOOKUP(Table6[[#This Row],[SKU]],'All Skus'!$A:$AC,15,FALSE)),""))</f>
        <v>0</v>
      </c>
      <c r="N47" s="137">
        <f>(IF((VLOOKUP(Table6[[#This Row],[SKU]],'All Skus'!$A:$AC,2,FALSE))="JBL",(VLOOKUP(Table6[[#This Row],[SKU]],'All Skus'!$A:$AC,16,FALSE)),""))</f>
        <v>0</v>
      </c>
      <c r="O47" s="61">
        <f>(IF((VLOOKUP(Table6[[#This Row],[SKU]],'All Skus'!$A:$AC,2,FALSE))="JBL",(VLOOKUP(Table6[[#This Row],[SKU]],'All Skus'!$A:$AC,17,FALSE)),""))</f>
        <v>0</v>
      </c>
      <c r="P47" s="136">
        <f>(IF((VLOOKUP(Table6[[#This Row],[SKU]],'All Skus'!$A:$AC,2,FALSE))="JBL",(VLOOKUP(Table6[[#This Row],[SKU]],'All Skus'!$A:$AC,18,FALSE)),""))</f>
        <v>0</v>
      </c>
      <c r="Q47" s="136">
        <f>(IF((VLOOKUP(Table6[[#This Row],[SKU]],'All Skus'!$A:$AC,2,FALSE))="JBL",(VLOOKUP(Table6[[#This Row],[SKU]],'All Skus'!$A:$AC,19,FALSE)),""))</f>
        <v>0</v>
      </c>
      <c r="R47" s="136">
        <f>(IF((VLOOKUP(Table6[[#This Row],[SKU]],'All Skus'!$A:$AC,2,FALSE))="JBL",(VLOOKUP(Table6[[#This Row],[SKU]],'All Skus'!$A:$AC,20,FALSE)),""))</f>
        <v>0</v>
      </c>
      <c r="S47" s="61">
        <f>(IF((VLOOKUP(Table6[[#This Row],[SKU]],'All Skus'!$A:$AC,2,FALSE))="JBL",(VLOOKUP(Table6[[#This Row],[SKU]],'All Skus'!$A:$AC,21,FALSE)),""))</f>
        <v>0</v>
      </c>
      <c r="T47" s="61">
        <f>(IF((VLOOKUP(Table6[[#This Row],[SKU]],'All Skus'!$A:$AC,2,FALSE))="JBL",(VLOOKUP(Table6[[#This Row],[SKU]],'All Skus'!$A:$AC,22,FALSE)),""))</f>
        <v>0</v>
      </c>
      <c r="U47">
        <f>(IF((VLOOKUP(Table6[[#This Row],[SKU]],'All Skus'!$A:$AC,2,FALSE))="JBL",(VLOOKUP(Table6[[#This Row],[SKU]],'All Skus'!$A:$AC,23,FALSE)),""))</f>
        <v>0</v>
      </c>
      <c r="V47" s="284" t="str">
        <f>HYPERLINK((IF((VLOOKUP(Table6[[#This Row],[SKU]],'All Skus'!$A:$AC,2,FALSE))="JBL",(VLOOKUP(Table6[[#This Row],[SKU]],'All Skus'!$A:$AC,24,FALSE)),"")))</f>
        <v/>
      </c>
      <c r="W47" s="151">
        <v>45</v>
      </c>
    </row>
    <row r="48" spans="1:23" ht="15" hidden="1" customHeight="1">
      <c r="A48" s="13" t="s">
        <v>1056</v>
      </c>
      <c r="B48" s="12" t="str">
        <f>(IF((VLOOKUP(Table6[[#This Row],[SKU]],'All Skus'!$A:$AC,2,FALSE))="JBL",(VLOOKUP(Table6[[#This Row],[SKU]],'All Skus'!$A:$AC,3,FALSE)),""))</f>
        <v>Ceiling Speaker</v>
      </c>
      <c r="C48" s="12" t="str">
        <f>(IF((VLOOKUP(Table6[[#This Row],[SKU]],'All Skus'!$A:$AC,2,FALSE))="JBL",(VLOOKUP(Table6[[#This Row],[SKU]],'All Skus'!$A:$AC,4,FALSE)),""))</f>
        <v>LCT 81C/T</v>
      </c>
      <c r="D48" s="61" t="str">
        <f>(IF((VLOOKUP(Table6[[#This Row],[SKU]],'All Skus'!$A:$AC,2,FALSE))="JBL",(VLOOKUP(Table6[[#This Row],[SKU]],'All Skus'!$A:$AC,5,FALSE)),""))</f>
        <v>JBL017</v>
      </c>
      <c r="E48" s="137">
        <f>(IF((VLOOKUP(Table6[[#This Row],[SKU]],'All Skus'!$A:$AC,2,FALSE))="JBL",(VLOOKUP(Table6[[#This Row],[SKU]],'All Skus'!$A:$AC,6,FALSE)),""))</f>
        <v>0</v>
      </c>
      <c r="F48" s="61">
        <f>(IF((VLOOKUP(Table6[[#This Row],[SKU]],'All Skus'!$A:$AC,2,FALSE))="JBL",(VLOOKUP(Table6[[#This Row],[SKU]],'All Skus'!$A:$AC,7,FALSE)),""))</f>
        <v>0</v>
      </c>
      <c r="G48" t="str">
        <f>(IF((VLOOKUP(Table6[[#This Row],[SKU]],'All Skus'!$A:$AC,2,FALSE))="JBL",(VLOOKUP(Table6[[#This Row],[SKU]],'All Skus'!$A:$AC,8,FALSE)),""))</f>
        <v>Low-Profile Lay-In 2' x 2' Ceiling Tile Speaker w 8" driver</v>
      </c>
      <c r="H48" s="8" t="str">
        <f>(IF((VLOOKUP(Table6[[#This Row],[SKU]],'All Skus'!$A:$AC,2,FALSE))="JBL",(VLOOKUP(Table6[[#This Row],[SKU]],'All Skus'!$A:$AC,9,FALSE)),""))</f>
        <v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v>
      </c>
      <c r="I48" s="101">
        <f>(IF((VLOOKUP(Table6[[#This Row],[SKU]],'All Skus'!$A:$AC,2,FALSE))="JBL",(VLOOKUP(Table6[[#This Row],[SKU]],'All Skus'!$A:$AC,10,FALSE)),""))</f>
        <v>166.77</v>
      </c>
      <c r="J48" s="101">
        <f>(IF((VLOOKUP(Table6[[#This Row],[SKU]],'All Skus'!$A:$AC,2,FALSE))="JBL",(VLOOKUP(Table6[[#This Row],[SKU]],'All Skus'!$A:$AC,11,FALSE)),""))</f>
        <v>133</v>
      </c>
      <c r="K48" s="102">
        <f>(IF((VLOOKUP(Table6[[#This Row],[SKU]],'All Skus'!$A:$AC,2,FALSE))="JBL",(VLOOKUP(Table6[[#This Row],[SKU]],'All Skus'!$A:$AC,13,FALSE)),""))</f>
        <v>0</v>
      </c>
      <c r="L48" s="102">
        <f>(IF((VLOOKUP(Table6[[#This Row],[SKU]],'All Skus'!$A:$AC,2,FALSE))="JBL",(VLOOKUP(Table6[[#This Row],[SKU]],'All Skus'!$A:$AC,14,FALSE)),""))</f>
        <v>0</v>
      </c>
      <c r="M48" s="143">
        <f>(IF((VLOOKUP(Table6[[#This Row],[SKU]],'All Skus'!$A:$AC,2,FALSE))="JBL",(VLOOKUP(Table6[[#This Row],[SKU]],'All Skus'!$A:$AC,15,FALSE)),""))</f>
        <v>2</v>
      </c>
      <c r="N48" s="137">
        <f>(IF((VLOOKUP(Table6[[#This Row],[SKU]],'All Skus'!$A:$AC,2,FALSE))="JBL",(VLOOKUP(Table6[[#This Row],[SKU]],'All Skus'!$A:$AC,16,FALSE)),""))</f>
        <v>691991007446</v>
      </c>
      <c r="O48" s="61">
        <f>(IF((VLOOKUP(Table6[[#This Row],[SKU]],'All Skus'!$A:$AC,2,FALSE))="JBL",(VLOOKUP(Table6[[#This Row],[SKU]],'All Skus'!$A:$AC,17,FALSE)),""))</f>
        <v>0</v>
      </c>
      <c r="P48" s="136">
        <f>(IF((VLOOKUP(Table6[[#This Row],[SKU]],'All Skus'!$A:$AC,2,FALSE))="JBL",(VLOOKUP(Table6[[#This Row],[SKU]],'All Skus'!$A:$AC,18,FALSE)),""))</f>
        <v>35</v>
      </c>
      <c r="Q48" s="136">
        <f>(IF((VLOOKUP(Table6[[#This Row],[SKU]],'All Skus'!$A:$AC,2,FALSE))="JBL",(VLOOKUP(Table6[[#This Row],[SKU]],'All Skus'!$A:$AC,19,FALSE)),""))</f>
        <v>27.5</v>
      </c>
      <c r="R48" s="136">
        <f>(IF((VLOOKUP(Table6[[#This Row],[SKU]],'All Skus'!$A:$AC,2,FALSE))="JBL",(VLOOKUP(Table6[[#This Row],[SKU]],'All Skus'!$A:$AC,20,FALSE)),""))</f>
        <v>12</v>
      </c>
      <c r="S48" s="61">
        <f>(IF((VLOOKUP(Table6[[#This Row],[SKU]],'All Skus'!$A:$AC,2,FALSE))="JBL",(VLOOKUP(Table6[[#This Row],[SKU]],'All Skus'!$A:$AC,21,FALSE)),""))</f>
        <v>27</v>
      </c>
      <c r="T48" s="61" t="str">
        <f>(IF((VLOOKUP(Table6[[#This Row],[SKU]],'All Skus'!$A:$AC,2,FALSE))="JBL",(VLOOKUP(Table6[[#This Row],[SKU]],'All Skus'!$A:$AC,22,FALSE)),""))</f>
        <v>CN</v>
      </c>
      <c r="U48" t="str">
        <f>(IF((VLOOKUP(Table6[[#This Row],[SKU]],'All Skus'!$A:$AC,2,FALSE))="JBL",(VLOOKUP(Table6[[#This Row],[SKU]],'All Skus'!$A:$AC,23,FALSE)),""))</f>
        <v>Non Compliant</v>
      </c>
      <c r="V48" s="284" t="str">
        <f>HYPERLINK((IF((VLOOKUP(Table6[[#This Row],[SKU]],'All Skus'!$A:$AC,2,FALSE))="JBL",(VLOOKUP(Table6[[#This Row],[SKU]],'All Skus'!$A:$AC,24,FALSE)),"")))</f>
        <v/>
      </c>
      <c r="W48" s="151">
        <v>46</v>
      </c>
    </row>
    <row r="49" spans="1:23" ht="15" hidden="1" customHeight="1">
      <c r="A49" s="13" t="s">
        <v>1057</v>
      </c>
      <c r="B49" s="12" t="str">
        <f>(IF((VLOOKUP(Table6[[#This Row],[SKU]],'All Skus'!$A:$AC,2,FALSE))="JBL",(VLOOKUP(Table6[[#This Row],[SKU]],'All Skus'!$A:$AC,3,FALSE)),""))</f>
        <v>Ceiling Speaker</v>
      </c>
      <c r="C49" s="12" t="str">
        <f>(IF((VLOOKUP(Table6[[#This Row],[SKU]],'All Skus'!$A:$AC,2,FALSE))="JBL",(VLOOKUP(Table6[[#This Row],[SKU]],'All Skus'!$A:$AC,4,FALSE)),""))</f>
        <v xml:space="preserve">JBL-LCT 81C/TM </v>
      </c>
      <c r="D49" s="61" t="str">
        <f>(IF((VLOOKUP(Table6[[#This Row],[SKU]],'All Skus'!$A:$AC,2,FALSE))="JBL",(VLOOKUP(Table6[[#This Row],[SKU]],'All Skus'!$A:$AC,5,FALSE)),""))</f>
        <v>JBL018</v>
      </c>
      <c r="E49" s="137">
        <f>(IF((VLOOKUP(Table6[[#This Row],[SKU]],'All Skus'!$A:$AC,2,FALSE))="JBL",(VLOOKUP(Table6[[#This Row],[SKU]],'All Skus'!$A:$AC,6,FALSE)),""))</f>
        <v>0</v>
      </c>
      <c r="F49" s="61" t="str">
        <f>(IF((VLOOKUP(Table6[[#This Row],[SKU]],'All Skus'!$A:$AC,2,FALSE))="JBL",(VLOOKUP(Table6[[#This Row],[SKU]],'All Skus'!$A:$AC,7,FALSE)),""))</f>
        <v>NEW</v>
      </c>
      <c r="G49" t="str">
        <f>(IF((VLOOKUP(Table6[[#This Row],[SKU]],'All Skus'!$A:$AC,2,FALSE))="JBL",(VLOOKUP(Table6[[#This Row],[SKU]],'All Skus'!$A:$AC,8,FALSE)),""))</f>
        <v>Lay-In 600mm Ceiling Tile Spkr 8" Driver</v>
      </c>
      <c r="H49" s="8" t="str">
        <f>(IF((VLOOKUP(Table6[[#This Row],[SKU]],'All Skus'!$A:$AC,2,FALSE))="JBL",(VLOOKUP(Table6[[#This Row],[SKU]],'All Skus'!$A:$AC,9,FALSE)),""))</f>
        <v>Lay-in Ceiling Tile Speaker, 8" driver, for 600mm x 60mm suspended grid ceilings (NOT for US 2' x 2'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v>
      </c>
      <c r="I49" s="101">
        <f>(IF((VLOOKUP(Table6[[#This Row],[SKU]],'All Skus'!$A:$AC,2,FALSE))="JBL",(VLOOKUP(Table6[[#This Row],[SKU]],'All Skus'!$A:$AC,10,FALSE)),""))</f>
        <v>168.14</v>
      </c>
      <c r="J49" s="101">
        <f>(IF((VLOOKUP(Table6[[#This Row],[SKU]],'All Skus'!$A:$AC,2,FALSE))="JBL",(VLOOKUP(Table6[[#This Row],[SKU]],'All Skus'!$A:$AC,11,FALSE)),""))</f>
        <v>133</v>
      </c>
      <c r="K49" s="102">
        <f>(IF((VLOOKUP(Table6[[#This Row],[SKU]],'All Skus'!$A:$AC,2,FALSE))="JBL",(VLOOKUP(Table6[[#This Row],[SKU]],'All Skus'!$A:$AC,13,FALSE)),""))</f>
        <v>0</v>
      </c>
      <c r="L49" s="102">
        <f>(IF((VLOOKUP(Table6[[#This Row],[SKU]],'All Skus'!$A:$AC,2,FALSE))="JBL",(VLOOKUP(Table6[[#This Row],[SKU]],'All Skus'!$A:$AC,14,FALSE)),""))</f>
        <v>0</v>
      </c>
      <c r="M49" s="143">
        <f>(IF((VLOOKUP(Table6[[#This Row],[SKU]],'All Skus'!$A:$AC,2,FALSE))="JBL",(VLOOKUP(Table6[[#This Row],[SKU]],'All Skus'!$A:$AC,15,FALSE)),""))</f>
        <v>2</v>
      </c>
      <c r="N49" s="137">
        <f>(IF((VLOOKUP(Table6[[#This Row],[SKU]],'All Skus'!$A:$AC,2,FALSE))="JBL",(VLOOKUP(Table6[[#This Row],[SKU]],'All Skus'!$A:$AC,16,FALSE)),""))</f>
        <v>691991037351</v>
      </c>
      <c r="O49" s="61">
        <f>(IF((VLOOKUP(Table6[[#This Row],[SKU]],'All Skus'!$A:$AC,2,FALSE))="JBL",(VLOOKUP(Table6[[#This Row],[SKU]],'All Skus'!$A:$AC,17,FALSE)),""))</f>
        <v>0</v>
      </c>
      <c r="P49" s="136">
        <f>(IF((VLOOKUP(Table6[[#This Row],[SKU]],'All Skus'!$A:$AC,2,FALSE))="JBL",(VLOOKUP(Table6[[#This Row],[SKU]],'All Skus'!$A:$AC,18,FALSE)),""))</f>
        <v>15.2119</v>
      </c>
      <c r="Q49" s="136">
        <f>(IF((VLOOKUP(Table6[[#This Row],[SKU]],'All Skus'!$A:$AC,2,FALSE))="JBL",(VLOOKUP(Table6[[#This Row],[SKU]],'All Skus'!$A:$AC,19,FALSE)),""))</f>
        <v>23.4252</v>
      </c>
      <c r="R49" s="136">
        <f>(IF((VLOOKUP(Table6[[#This Row],[SKU]],'All Skus'!$A:$AC,2,FALSE))="JBL",(VLOOKUP(Table6[[#This Row],[SKU]],'All Skus'!$A:$AC,20,FALSE)),""))</f>
        <v>23.4252</v>
      </c>
      <c r="S49" s="61">
        <f>(IF((VLOOKUP(Table6[[#This Row],[SKU]],'All Skus'!$A:$AC,2,FALSE))="JBL",(VLOOKUP(Table6[[#This Row],[SKU]],'All Skus'!$A:$AC,21,FALSE)),""))</f>
        <v>4.05</v>
      </c>
      <c r="T49" s="61" t="str">
        <f>(IF((VLOOKUP(Table6[[#This Row],[SKU]],'All Skus'!$A:$AC,2,FALSE))="JBL",(VLOOKUP(Table6[[#This Row],[SKU]],'All Skus'!$A:$AC,22,FALSE)),""))</f>
        <v>CN</v>
      </c>
      <c r="U49" t="str">
        <f>(IF((VLOOKUP(Table6[[#This Row],[SKU]],'All Skus'!$A:$AC,2,FALSE))="JBL",(VLOOKUP(Table6[[#This Row],[SKU]],'All Skus'!$A:$AC,23,FALSE)),""))</f>
        <v>Non Compliant</v>
      </c>
      <c r="V49" s="284" t="str">
        <f>HYPERLINK((IF((VLOOKUP(Table6[[#This Row],[SKU]],'All Skus'!$A:$AC,2,FALSE))="JBL",(VLOOKUP(Table6[[#This Row],[SKU]],'All Skus'!$A:$AC,24,FALSE)),"")))</f>
        <v>https://jblpro.com/en/products/jbl-lct-81c-tm</v>
      </c>
      <c r="W49" s="151">
        <v>47</v>
      </c>
    </row>
    <row r="50" spans="1:23" ht="15" hidden="1" customHeight="1">
      <c r="A50" s="104" t="s">
        <v>1058</v>
      </c>
      <c r="B50" s="12">
        <f>(IF((VLOOKUP(Table6[[#This Row],[SKU]],'All Skus'!$A:$AC,2,FALSE))="JBL",(VLOOKUP(Table6[[#This Row],[SKU]],'All Skus'!$A:$AC,3,FALSE)),""))</f>
        <v>0</v>
      </c>
      <c r="C50" s="12">
        <f>(IF((VLOOKUP(Table6[[#This Row],[SKU]],'All Skus'!$A:$AC,2,FALSE))="JBL",(VLOOKUP(Table6[[#This Row],[SKU]],'All Skus'!$A:$AC,4,FALSE)),""))</f>
        <v>0</v>
      </c>
      <c r="D50" s="61">
        <f>(IF((VLOOKUP(Table6[[#This Row],[SKU]],'All Skus'!$A:$AC,2,FALSE))="JBL",(VLOOKUP(Table6[[#This Row],[SKU]],'All Skus'!$A:$AC,5,FALSE)),""))</f>
        <v>0</v>
      </c>
      <c r="E50" s="137">
        <f>(IF((VLOOKUP(Table6[[#This Row],[SKU]],'All Skus'!$A:$AC,2,FALSE))="JBL",(VLOOKUP(Table6[[#This Row],[SKU]],'All Skus'!$A:$AC,6,FALSE)),""))</f>
        <v>0</v>
      </c>
      <c r="F50" s="61">
        <f>(IF((VLOOKUP(Table6[[#This Row],[SKU]],'All Skus'!$A:$AC,2,FALSE))="JBL",(VLOOKUP(Table6[[#This Row],[SKU]],'All Skus'!$A:$AC,7,FALSE)),""))</f>
        <v>0</v>
      </c>
      <c r="G50">
        <f>(IF((VLOOKUP(Table6[[#This Row],[SKU]],'All Skus'!$A:$AC,2,FALSE))="JBL",(VLOOKUP(Table6[[#This Row],[SKU]],'All Skus'!$A:$AC,8,FALSE)),""))</f>
        <v>0</v>
      </c>
      <c r="H50" s="8">
        <f>(IF((VLOOKUP(Table6[[#This Row],[SKU]],'All Skus'!$A:$AC,2,FALSE))="JBL",(VLOOKUP(Table6[[#This Row],[SKU]],'All Skus'!$A:$AC,9,FALSE)),""))</f>
        <v>0</v>
      </c>
      <c r="I50" s="101">
        <f>(IF((VLOOKUP(Table6[[#This Row],[SKU]],'All Skus'!$A:$AC,2,FALSE))="JBL",(VLOOKUP(Table6[[#This Row],[SKU]],'All Skus'!$A:$AC,10,FALSE)),""))</f>
        <v>0</v>
      </c>
      <c r="J50" s="101">
        <f>(IF((VLOOKUP(Table6[[#This Row],[SKU]],'All Skus'!$A:$AC,2,FALSE))="JBL",(VLOOKUP(Table6[[#This Row],[SKU]],'All Skus'!$A:$AC,11,FALSE)),""))</f>
        <v>0</v>
      </c>
      <c r="K50" s="102">
        <f>(IF((VLOOKUP(Table6[[#This Row],[SKU]],'All Skus'!$A:$AC,2,FALSE))="JBL",(VLOOKUP(Table6[[#This Row],[SKU]],'All Skus'!$A:$AC,13,FALSE)),""))</f>
        <v>0</v>
      </c>
      <c r="L50" s="102">
        <f>(IF((VLOOKUP(Table6[[#This Row],[SKU]],'All Skus'!$A:$AC,2,FALSE))="JBL",(VLOOKUP(Table6[[#This Row],[SKU]],'All Skus'!$A:$AC,14,FALSE)),""))</f>
        <v>0</v>
      </c>
      <c r="M50" s="143">
        <f>(IF((VLOOKUP(Table6[[#This Row],[SKU]],'All Skus'!$A:$AC,2,FALSE))="JBL",(VLOOKUP(Table6[[#This Row],[SKU]],'All Skus'!$A:$AC,15,FALSE)),""))</f>
        <v>0</v>
      </c>
      <c r="N50" s="137">
        <f>(IF((VLOOKUP(Table6[[#This Row],[SKU]],'All Skus'!$A:$AC,2,FALSE))="JBL",(VLOOKUP(Table6[[#This Row],[SKU]],'All Skus'!$A:$AC,16,FALSE)),""))</f>
        <v>0</v>
      </c>
      <c r="O50" s="61">
        <f>(IF((VLOOKUP(Table6[[#This Row],[SKU]],'All Skus'!$A:$AC,2,FALSE))="JBL",(VLOOKUP(Table6[[#This Row],[SKU]],'All Skus'!$A:$AC,17,FALSE)),""))</f>
        <v>0</v>
      </c>
      <c r="P50" s="136">
        <f>(IF((VLOOKUP(Table6[[#This Row],[SKU]],'All Skus'!$A:$AC,2,FALSE))="JBL",(VLOOKUP(Table6[[#This Row],[SKU]],'All Skus'!$A:$AC,18,FALSE)),""))</f>
        <v>0</v>
      </c>
      <c r="Q50" s="136">
        <f>(IF((VLOOKUP(Table6[[#This Row],[SKU]],'All Skus'!$A:$AC,2,FALSE))="JBL",(VLOOKUP(Table6[[#This Row],[SKU]],'All Skus'!$A:$AC,19,FALSE)),""))</f>
        <v>0</v>
      </c>
      <c r="R50" s="136">
        <f>(IF((VLOOKUP(Table6[[#This Row],[SKU]],'All Skus'!$A:$AC,2,FALSE))="JBL",(VLOOKUP(Table6[[#This Row],[SKU]],'All Skus'!$A:$AC,20,FALSE)),""))</f>
        <v>0</v>
      </c>
      <c r="S50" s="61">
        <f>(IF((VLOOKUP(Table6[[#This Row],[SKU]],'All Skus'!$A:$AC,2,FALSE))="JBL",(VLOOKUP(Table6[[#This Row],[SKU]],'All Skus'!$A:$AC,21,FALSE)),""))</f>
        <v>0</v>
      </c>
      <c r="T50" s="61">
        <f>(IF((VLOOKUP(Table6[[#This Row],[SKU]],'All Skus'!$A:$AC,2,FALSE))="JBL",(VLOOKUP(Table6[[#This Row],[SKU]],'All Skus'!$A:$AC,22,FALSE)),""))</f>
        <v>0</v>
      </c>
      <c r="U50">
        <f>(IF((VLOOKUP(Table6[[#This Row],[SKU]],'All Skus'!$A:$AC,2,FALSE))="JBL",(VLOOKUP(Table6[[#This Row],[SKU]],'All Skus'!$A:$AC,23,FALSE)),""))</f>
        <v>0</v>
      </c>
      <c r="V50" s="284" t="str">
        <f>HYPERLINK((IF((VLOOKUP(Table6[[#This Row],[SKU]],'All Skus'!$A:$AC,2,FALSE))="JBL",(VLOOKUP(Table6[[#This Row],[SKU]],'All Skus'!$A:$AC,24,FALSE)),"")))</f>
        <v/>
      </c>
      <c r="W50" s="151">
        <v>48</v>
      </c>
    </row>
    <row r="51" spans="1:23" ht="15" hidden="1" customHeight="1">
      <c r="A51" s="103">
        <v>8124</v>
      </c>
      <c r="B51" s="12" t="str">
        <f>(IF((VLOOKUP(Table6[[#This Row],[SKU]],'All Skus'!$A:$AC,2,FALSE))="JBL",(VLOOKUP(Table6[[#This Row],[SKU]],'All Skus'!$A:$AC,3,FALSE)),""))</f>
        <v>Ceiling Speaker</v>
      </c>
      <c r="C51" s="12">
        <f>(IF((VLOOKUP(Table6[[#This Row],[SKU]],'All Skus'!$A:$AC,2,FALSE))="JBL",(VLOOKUP(Table6[[#This Row],[SKU]],'All Skus'!$A:$AC,4,FALSE)),""))</f>
        <v>8124</v>
      </c>
      <c r="D51" s="61">
        <f>(IF((VLOOKUP(Table6[[#This Row],[SKU]],'All Skus'!$A:$AC,2,FALSE))="JBL",(VLOOKUP(Table6[[#This Row],[SKU]],'All Skus'!$A:$AC,5,FALSE)),""))</f>
        <v>0</v>
      </c>
      <c r="E51" s="137">
        <f>(IF((VLOOKUP(Table6[[#This Row],[SKU]],'All Skus'!$A:$AC,2,FALSE))="JBL",(VLOOKUP(Table6[[#This Row],[SKU]],'All Skus'!$A:$AC,6,FALSE)),""))</f>
        <v>0</v>
      </c>
      <c r="F51" s="61">
        <f>(IF((VLOOKUP(Table6[[#This Row],[SKU]],'All Skus'!$A:$AC,2,FALSE))="JBL",(VLOOKUP(Table6[[#This Row],[SKU]],'All Skus'!$A:$AC,7,FALSE)),""))</f>
        <v>0</v>
      </c>
      <c r="G51" t="str">
        <f>(IF((VLOOKUP(Table6[[#This Row],[SKU]],'All Skus'!$A:$AC,2,FALSE))="JBL",(VLOOKUP(Table6[[#This Row],[SKU]],'All Skus'!$A:$AC,8,FALSE)),""))</f>
        <v>4"CEILING SPKR W/ X-FORMER (4PCS P/Ctn)</v>
      </c>
      <c r="H51" s="8" t="str">
        <f>(IF((VLOOKUP(Table6[[#This Row],[SKU]],'All Skus'!$A:$AC,2,FALSE))="JBL",(VLOOKUP(Table6[[#This Row],[SKU]],'All Skus'!$A:$AC,9,FALSE)),""))</f>
        <v>4" Open-Back Ceiling Speaker.  70V/100V taps at 6W, 3W, 1.5W (plus 0.75W at 70V), high 93 dB sens, 60 Hz to 18 kHz, for non-plenum applications, 1.2 kg (2.5 lb).   (Priced as each, sold in packages of 4 pcs)</v>
      </c>
      <c r="I51" s="101">
        <f>(IF((VLOOKUP(Table6[[#This Row],[SKU]],'All Skus'!$A:$AC,2,FALSE))="JBL",(VLOOKUP(Table6[[#This Row],[SKU]],'All Skus'!$A:$AC,10,FALSE)),""))</f>
        <v>44.92</v>
      </c>
      <c r="J51" s="101">
        <f>(IF((VLOOKUP(Table6[[#This Row],[SKU]],'All Skus'!$A:$AC,2,FALSE))="JBL",(VLOOKUP(Table6[[#This Row],[SKU]],'All Skus'!$A:$AC,11,FALSE)),""))</f>
        <v>44.92</v>
      </c>
      <c r="K51" s="102">
        <f>(IF((VLOOKUP(Table6[[#This Row],[SKU]],'All Skus'!$A:$AC,2,FALSE))="JBL",(VLOOKUP(Table6[[#This Row],[SKU]],'All Skus'!$A:$AC,13,FALSE)),""))</f>
        <v>24.650124999999999</v>
      </c>
      <c r="L51" s="102">
        <f>(IF((VLOOKUP(Table6[[#This Row],[SKU]],'All Skus'!$A:$AC,2,FALSE))="JBL",(VLOOKUP(Table6[[#This Row],[SKU]],'All Skus'!$A:$AC,14,FALSE)),""))</f>
        <v>23.35275</v>
      </c>
      <c r="M51" s="143">
        <f>(IF((VLOOKUP(Table6[[#This Row],[SKU]],'All Skus'!$A:$AC,2,FALSE))="JBL",(VLOOKUP(Table6[[#This Row],[SKU]],'All Skus'!$A:$AC,15,FALSE)),""))</f>
        <v>4</v>
      </c>
      <c r="N51" s="137">
        <f>(IF((VLOOKUP(Table6[[#This Row],[SKU]],'All Skus'!$A:$AC,2,FALSE))="JBL",(VLOOKUP(Table6[[#This Row],[SKU]],'All Skus'!$A:$AC,16,FALSE)),""))</f>
        <v>50036903974</v>
      </c>
      <c r="O51" s="61">
        <f>(IF((VLOOKUP(Table6[[#This Row],[SKU]],'All Skus'!$A:$AC,2,FALSE))="JBL",(VLOOKUP(Table6[[#This Row],[SKU]],'All Skus'!$A:$AC,17,FALSE)),""))</f>
        <v>0</v>
      </c>
      <c r="P51" s="136">
        <f>(IF((VLOOKUP(Table6[[#This Row],[SKU]],'All Skus'!$A:$AC,2,FALSE))="JBL",(VLOOKUP(Table6[[#This Row],[SKU]],'All Skus'!$A:$AC,18,FALSE)),""))</f>
        <v>0</v>
      </c>
      <c r="Q51" s="136">
        <f>(IF((VLOOKUP(Table6[[#This Row],[SKU]],'All Skus'!$A:$AC,2,FALSE))="JBL",(VLOOKUP(Table6[[#This Row],[SKU]],'All Skus'!$A:$AC,19,FALSE)),""))</f>
        <v>0</v>
      </c>
      <c r="R51" s="136">
        <f>(IF((VLOOKUP(Table6[[#This Row],[SKU]],'All Skus'!$A:$AC,2,FALSE))="JBL",(VLOOKUP(Table6[[#This Row],[SKU]],'All Skus'!$A:$AC,20,FALSE)),""))</f>
        <v>0</v>
      </c>
      <c r="S51" s="61">
        <f>(IF((VLOOKUP(Table6[[#This Row],[SKU]],'All Skus'!$A:$AC,2,FALSE))="JBL",(VLOOKUP(Table6[[#This Row],[SKU]],'All Skus'!$A:$AC,21,FALSE)),""))</f>
        <v>0</v>
      </c>
      <c r="T51" s="61" t="str">
        <f>(IF((VLOOKUP(Table6[[#This Row],[SKU]],'All Skus'!$A:$AC,2,FALSE))="JBL",(VLOOKUP(Table6[[#This Row],[SKU]],'All Skus'!$A:$AC,22,FALSE)),""))</f>
        <v>CN</v>
      </c>
      <c r="U51" t="str">
        <f>(IF((VLOOKUP(Table6[[#This Row],[SKU]],'All Skus'!$A:$AC,2,FALSE))="JBL",(VLOOKUP(Table6[[#This Row],[SKU]],'All Skus'!$A:$AC,23,FALSE)),""))</f>
        <v>Non Compliant</v>
      </c>
      <c r="V51" s="284" t="str">
        <f>HYPERLINK((IF((VLOOKUP(Table6[[#This Row],[SKU]],'All Skus'!$A:$AC,2,FALSE))="JBL",(VLOOKUP(Table6[[#This Row],[SKU]],'All Skus'!$A:$AC,24,FALSE)),"")))</f>
        <v>http://www.jblpro.com/www/products/installed-sound/8100-series/8124</v>
      </c>
      <c r="W51" s="151">
        <v>49</v>
      </c>
    </row>
    <row r="52" spans="1:23" ht="15" hidden="1" customHeight="1">
      <c r="A52" s="103">
        <v>8128</v>
      </c>
      <c r="B52" s="12" t="str">
        <f>(IF((VLOOKUP(Table6[[#This Row],[SKU]],'All Skus'!$A:$AC,2,FALSE))="JBL",(VLOOKUP(Table6[[#This Row],[SKU]],'All Skus'!$A:$AC,3,FALSE)),""))</f>
        <v>Ceiling Speaker</v>
      </c>
      <c r="C52" s="12">
        <f>(IF((VLOOKUP(Table6[[#This Row],[SKU]],'All Skus'!$A:$AC,2,FALSE))="JBL",(VLOOKUP(Table6[[#This Row],[SKU]],'All Skus'!$A:$AC,4,FALSE)),""))</f>
        <v>8128</v>
      </c>
      <c r="D52" s="61">
        <f>(IF((VLOOKUP(Table6[[#This Row],[SKU]],'All Skus'!$A:$AC,2,FALSE))="JBL",(VLOOKUP(Table6[[#This Row],[SKU]],'All Skus'!$A:$AC,5,FALSE)),""))</f>
        <v>0</v>
      </c>
      <c r="E52" s="137">
        <f>(IF((VLOOKUP(Table6[[#This Row],[SKU]],'All Skus'!$A:$AC,2,FALSE))="JBL",(VLOOKUP(Table6[[#This Row],[SKU]],'All Skus'!$A:$AC,6,FALSE)),""))</f>
        <v>0</v>
      </c>
      <c r="F52" s="61">
        <f>(IF((VLOOKUP(Table6[[#This Row],[SKU]],'All Skus'!$A:$AC,2,FALSE))="JBL",(VLOOKUP(Table6[[#This Row],[SKU]],'All Skus'!$A:$AC,7,FALSE)),""))</f>
        <v>0</v>
      </c>
      <c r="G52" t="str">
        <f>(IF((VLOOKUP(Table6[[#This Row],[SKU]],'All Skus'!$A:$AC,2,FALSE))="JBL",(VLOOKUP(Table6[[#This Row],[SKU]],'All Skus'!$A:$AC,8,FALSE)),""))</f>
        <v>8" CEILING SPKR W/ X-FORMER (4PCS P/Ctn)</v>
      </c>
      <c r="H52" s="8" t="str">
        <f>(IF((VLOOKUP(Table6[[#This Row],[SKU]],'All Skus'!$A:$AC,2,FALSE))="JBL",(VLOOKUP(Table6[[#This Row],[SKU]],'All Skus'!$A:$AC,9,FALSE)),""))</f>
        <v>8" Open-Back Ceiling Speaker.  70V/100V taps at 6W, 3W, 1.5W (plus 0.75W at 70V), very high 97 dB sens, 50 Hz to 16 kHz, for non-plenum applications, 1.4 kg (3.0 lb).    (Priced as each, sold in packages of 4 pcs)</v>
      </c>
      <c r="I52" s="101">
        <f>(IF((VLOOKUP(Table6[[#This Row],[SKU]],'All Skus'!$A:$AC,2,FALSE))="JBL",(VLOOKUP(Table6[[#This Row],[SKU]],'All Skus'!$A:$AC,10,FALSE)),""))</f>
        <v>58.41</v>
      </c>
      <c r="J52" s="101">
        <f>(IF((VLOOKUP(Table6[[#This Row],[SKU]],'All Skus'!$A:$AC,2,FALSE))="JBL",(VLOOKUP(Table6[[#This Row],[SKU]],'All Skus'!$A:$AC,11,FALSE)),""))</f>
        <v>58.41</v>
      </c>
      <c r="K52" s="102">
        <f>(IF((VLOOKUP(Table6[[#This Row],[SKU]],'All Skus'!$A:$AC,2,FALSE))="JBL",(VLOOKUP(Table6[[#This Row],[SKU]],'All Skus'!$A:$AC,13,FALSE)),""))</f>
        <v>32.721134999999997</v>
      </c>
      <c r="L52" s="102">
        <f>(IF((VLOOKUP(Table6[[#This Row],[SKU]],'All Skus'!$A:$AC,2,FALSE))="JBL",(VLOOKUP(Table6[[#This Row],[SKU]],'All Skus'!$A:$AC,14,FALSE)),""))</f>
        <v>30.99897</v>
      </c>
      <c r="M52" s="143">
        <f>(IF((VLOOKUP(Table6[[#This Row],[SKU]],'All Skus'!$A:$AC,2,FALSE))="JBL",(VLOOKUP(Table6[[#This Row],[SKU]],'All Skus'!$A:$AC,15,FALSE)),""))</f>
        <v>4</v>
      </c>
      <c r="N52" s="137">
        <f>(IF((VLOOKUP(Table6[[#This Row],[SKU]],'All Skus'!$A:$AC,2,FALSE))="JBL",(VLOOKUP(Table6[[#This Row],[SKU]],'All Skus'!$A:$AC,16,FALSE)),""))</f>
        <v>50036904667</v>
      </c>
      <c r="O52" s="61">
        <f>(IF((VLOOKUP(Table6[[#This Row],[SKU]],'All Skus'!$A:$AC,2,FALSE))="JBL",(VLOOKUP(Table6[[#This Row],[SKU]],'All Skus'!$A:$AC,17,FALSE)),""))</f>
        <v>0</v>
      </c>
      <c r="P52" s="136">
        <f>(IF((VLOOKUP(Table6[[#This Row],[SKU]],'All Skus'!$A:$AC,2,FALSE))="JBL",(VLOOKUP(Table6[[#This Row],[SKU]],'All Skus'!$A:$AC,18,FALSE)),""))</f>
        <v>0</v>
      </c>
      <c r="Q52" s="136">
        <f>(IF((VLOOKUP(Table6[[#This Row],[SKU]],'All Skus'!$A:$AC,2,FALSE))="JBL",(VLOOKUP(Table6[[#This Row],[SKU]],'All Skus'!$A:$AC,19,FALSE)),""))</f>
        <v>0</v>
      </c>
      <c r="R52" s="136">
        <f>(IF((VLOOKUP(Table6[[#This Row],[SKU]],'All Skus'!$A:$AC,2,FALSE))="JBL",(VLOOKUP(Table6[[#This Row],[SKU]],'All Skus'!$A:$AC,20,FALSE)),""))</f>
        <v>0</v>
      </c>
      <c r="S52" s="61">
        <f>(IF((VLOOKUP(Table6[[#This Row],[SKU]],'All Skus'!$A:$AC,2,FALSE))="JBL",(VLOOKUP(Table6[[#This Row],[SKU]],'All Skus'!$A:$AC,21,FALSE)),""))</f>
        <v>0</v>
      </c>
      <c r="T52" s="61" t="str">
        <f>(IF((VLOOKUP(Table6[[#This Row],[SKU]],'All Skus'!$A:$AC,2,FALSE))="JBL",(VLOOKUP(Table6[[#This Row],[SKU]],'All Skus'!$A:$AC,22,FALSE)),""))</f>
        <v>CN</v>
      </c>
      <c r="U52" t="str">
        <f>(IF((VLOOKUP(Table6[[#This Row],[SKU]],'All Skus'!$A:$AC,2,FALSE))="JBL",(VLOOKUP(Table6[[#This Row],[SKU]],'All Skus'!$A:$AC,23,FALSE)),""))</f>
        <v>Non Compliant</v>
      </c>
      <c r="V52" s="284" t="str">
        <f>HYPERLINK((IF((VLOOKUP(Table6[[#This Row],[SKU]],'All Skus'!$A:$AC,2,FALSE))="JBL",(VLOOKUP(Table6[[#This Row],[SKU]],'All Skus'!$A:$AC,24,FALSE)),"")))</f>
        <v>http://www.jblpro.com/www/products/installed-sound/8100-series/8128</v>
      </c>
      <c r="W52" s="151">
        <v>50</v>
      </c>
    </row>
    <row r="53" spans="1:23" ht="15" hidden="1" customHeight="1">
      <c r="A53" s="13" t="s">
        <v>1059</v>
      </c>
      <c r="B53" s="12" t="str">
        <f>(IF((VLOOKUP(Table6[[#This Row],[SKU]],'All Skus'!$A:$AC,2,FALSE))="JBL",(VLOOKUP(Table6[[#This Row],[SKU]],'All Skus'!$A:$AC,3,FALSE)),""))</f>
        <v>Ceiling Speaker</v>
      </c>
      <c r="C53" s="12" t="str">
        <f>(IF((VLOOKUP(Table6[[#This Row],[SKU]],'All Skus'!$A:$AC,2,FALSE))="JBL",(VLOOKUP(Table6[[#This Row],[SKU]],'All Skus'!$A:$AC,4,FALSE)),""))</f>
        <v>HPD8138</v>
      </c>
      <c r="D53" s="61" t="str">
        <f>(IF((VLOOKUP(Table6[[#This Row],[SKU]],'All Skus'!$A:$AC,2,FALSE))="JBL",(VLOOKUP(Table6[[#This Row],[SKU]],'All Skus'!$A:$AC,5,FALSE)),""))</f>
        <v>JBL018</v>
      </c>
      <c r="E53" s="137">
        <f>(IF((VLOOKUP(Table6[[#This Row],[SKU]],'All Skus'!$A:$AC,2,FALSE))="JBL",(VLOOKUP(Table6[[#This Row],[SKU]],'All Skus'!$A:$AC,6,FALSE)),""))</f>
        <v>0</v>
      </c>
      <c r="F53" s="61">
        <f>(IF((VLOOKUP(Table6[[#This Row],[SKU]],'All Skus'!$A:$AC,2,FALSE))="JBL",(VLOOKUP(Table6[[#This Row],[SKU]],'All Skus'!$A:$AC,7,FALSE)),""))</f>
        <v>0</v>
      </c>
      <c r="G53" t="str">
        <f>(IF((VLOOKUP(Table6[[#This Row],[SKU]],'All Skus'!$A:$AC,2,FALSE))="JBL",(VLOOKUP(Table6[[#This Row],[SKU]],'All Skus'!$A:$AC,8,FALSE)),""))</f>
        <v>FULL RANGE LOUDSPEAKERS (4PCS PER CTN)</v>
      </c>
      <c r="H53" s="8" t="str">
        <f>(IF((VLOOKUP(Table6[[#This Row],[SKU]],'All Skus'!$A:$AC,2,FALSE))="JBL",(VLOOKUP(Table6[[#This Row],[SKU]],'All Skus'!$A:$AC,9,FALSE)),""))</f>
        <v>8” Ceiling Speaker for Pre-Install Backcan, stylish look, for use with MTC-81BB8 backcan and MTC-81TB8 tile bridge, or standard backcans.  Very high 97 dB sens, 95 Hz – 18 kHz, 6W multiple tap transformer, 90° coverage. (priced as each, sold in packs of 4 pcs)</v>
      </c>
      <c r="I53" s="101">
        <f>(IF((VLOOKUP(Table6[[#This Row],[SKU]],'All Skus'!$A:$AC,2,FALSE))="JBL",(VLOOKUP(Table6[[#This Row],[SKU]],'All Skus'!$A:$AC,10,FALSE)),""))</f>
        <v>62.39</v>
      </c>
      <c r="J53" s="101">
        <f>(IF((VLOOKUP(Table6[[#This Row],[SKU]],'All Skus'!$A:$AC,2,FALSE))="JBL",(VLOOKUP(Table6[[#This Row],[SKU]],'All Skus'!$A:$AC,11,FALSE)),""))</f>
        <v>62.39</v>
      </c>
      <c r="K53" s="102">
        <f>(IF((VLOOKUP(Table6[[#This Row],[SKU]],'All Skus'!$A:$AC,2,FALSE))="JBL",(VLOOKUP(Table6[[#This Row],[SKU]],'All Skus'!$A:$AC,13,FALSE)),""))</f>
        <v>34.449185</v>
      </c>
      <c r="L53" s="102">
        <f>(IF((VLOOKUP(Table6[[#This Row],[SKU]],'All Skus'!$A:$AC,2,FALSE))="JBL",(VLOOKUP(Table6[[#This Row],[SKU]],'All Skus'!$A:$AC,14,FALSE)),""))</f>
        <v>32.636070000000004</v>
      </c>
      <c r="M53" s="143">
        <f>(IF((VLOOKUP(Table6[[#This Row],[SKU]],'All Skus'!$A:$AC,2,FALSE))="JBL",(VLOOKUP(Table6[[#This Row],[SKU]],'All Skus'!$A:$AC,15,FALSE)),""))</f>
        <v>4</v>
      </c>
      <c r="N53" s="137">
        <f>(IF((VLOOKUP(Table6[[#This Row],[SKU]],'All Skus'!$A:$AC,2,FALSE))="JBL",(VLOOKUP(Table6[[#This Row],[SKU]],'All Skus'!$A:$AC,16,FALSE)),""))</f>
        <v>50036904674</v>
      </c>
      <c r="O53" s="61">
        <f>(IF((VLOOKUP(Table6[[#This Row],[SKU]],'All Skus'!$A:$AC,2,FALSE))="JBL",(VLOOKUP(Table6[[#This Row],[SKU]],'All Skus'!$A:$AC,17,FALSE)),""))</f>
        <v>0</v>
      </c>
      <c r="P53" s="136">
        <f>(IF((VLOOKUP(Table6[[#This Row],[SKU]],'All Skus'!$A:$AC,2,FALSE))="JBL",(VLOOKUP(Table6[[#This Row],[SKU]],'All Skus'!$A:$AC,18,FALSE)),""))</f>
        <v>0</v>
      </c>
      <c r="Q53" s="136">
        <f>(IF((VLOOKUP(Table6[[#This Row],[SKU]],'All Skus'!$A:$AC,2,FALSE))="JBL",(VLOOKUP(Table6[[#This Row],[SKU]],'All Skus'!$A:$AC,19,FALSE)),""))</f>
        <v>0</v>
      </c>
      <c r="R53" s="136">
        <f>(IF((VLOOKUP(Table6[[#This Row],[SKU]],'All Skus'!$A:$AC,2,FALSE))="JBL",(VLOOKUP(Table6[[#This Row],[SKU]],'All Skus'!$A:$AC,20,FALSE)),""))</f>
        <v>0</v>
      </c>
      <c r="S53" s="61">
        <f>(IF((VLOOKUP(Table6[[#This Row],[SKU]],'All Skus'!$A:$AC,2,FALSE))="JBL",(VLOOKUP(Table6[[#This Row],[SKU]],'All Skus'!$A:$AC,21,FALSE)),""))</f>
        <v>0</v>
      </c>
      <c r="T53" s="61" t="str">
        <f>(IF((VLOOKUP(Table6[[#This Row],[SKU]],'All Skus'!$A:$AC,2,FALSE))="JBL",(VLOOKUP(Table6[[#This Row],[SKU]],'All Skus'!$A:$AC,22,FALSE)),""))</f>
        <v>CN</v>
      </c>
      <c r="U53" t="str">
        <f>(IF((VLOOKUP(Table6[[#This Row],[SKU]],'All Skus'!$A:$AC,2,FALSE))="JBL",(VLOOKUP(Table6[[#This Row],[SKU]],'All Skus'!$A:$AC,23,FALSE)),""))</f>
        <v>Non Compliant</v>
      </c>
      <c r="V53" s="284" t="str">
        <f>HYPERLINK((IF((VLOOKUP(Table6[[#This Row],[SKU]],'All Skus'!$A:$AC,2,FALSE))="JBL",(VLOOKUP(Table6[[#This Row],[SKU]],'All Skus'!$A:$AC,24,FALSE)),"")))</f>
        <v>http://www.jblpro.com/www/products/installed-sound/8100-series/8138</v>
      </c>
      <c r="W53" s="151">
        <v>51</v>
      </c>
    </row>
    <row r="54" spans="1:23" ht="15" hidden="1" customHeight="1">
      <c r="A54" s="13" t="s">
        <v>1060</v>
      </c>
      <c r="B54" s="12" t="str">
        <f>(IF((VLOOKUP(Table6[[#This Row],[SKU]],'All Skus'!$A:$AC,2,FALSE))="JBL",(VLOOKUP(Table6[[#This Row],[SKU]],'All Skus'!$A:$AC,3,FALSE)),""))</f>
        <v>Accessory</v>
      </c>
      <c r="C54" s="12" t="str">
        <f>(IF((VLOOKUP(Table6[[#This Row],[SKU]],'All Skus'!$A:$AC,2,FALSE))="JBL",(VLOOKUP(Table6[[#This Row],[SKU]],'All Skus'!$A:$AC,4,FALSE)),""))</f>
        <v>MTC-8124C</v>
      </c>
      <c r="D54" s="61" t="str">
        <f>(IF((VLOOKUP(Table6[[#This Row],[SKU]],'All Skus'!$A:$AC,2,FALSE))="JBL",(VLOOKUP(Table6[[#This Row],[SKU]],'All Skus'!$A:$AC,5,FALSE)),""))</f>
        <v>JBL018</v>
      </c>
      <c r="E54" s="137">
        <f>(IF((VLOOKUP(Table6[[#This Row],[SKU]],'All Skus'!$A:$AC,2,FALSE))="JBL",(VLOOKUP(Table6[[#This Row],[SKU]],'All Skus'!$A:$AC,6,FALSE)),""))</f>
        <v>0</v>
      </c>
      <c r="F54" s="61">
        <f>(IF((VLOOKUP(Table6[[#This Row],[SKU]],'All Skus'!$A:$AC,2,FALSE))="JBL",(VLOOKUP(Table6[[#This Row],[SKU]],'All Skus'!$A:$AC,7,FALSE)),""))</f>
        <v>0</v>
      </c>
      <c r="G54" t="str">
        <f>(IF((VLOOKUP(Table6[[#This Row],[SKU]],'All Skus'!$A:$AC,2,FALSE))="JBL",(VLOOKUP(Table6[[#This Row],[SKU]],'All Skus'!$A:$AC,8,FALSE)),""))</f>
        <v>C - RING for 8124</v>
      </c>
      <c r="H54" s="8" t="str">
        <f>(IF((VLOOKUP(Table6[[#This Row],[SKU]],'All Skus'!$A:$AC,2,FALSE))="JBL",(VLOOKUP(Table6[[#This Row],[SKU]],'All Skus'!$A:$AC,9,FALSE)),""))</f>
        <v>C-ring for 8124, for installations requiring C-ring to spread ceiling loading.  Integral clips for optional MTC-Rail tile rails.   (Priced as each, sold in packages of 4 pcs [for 4 speakers])</v>
      </c>
      <c r="I54" s="101">
        <f>(IF((VLOOKUP(Table6[[#This Row],[SKU]],'All Skus'!$A:$AC,2,FALSE))="JBL",(VLOOKUP(Table6[[#This Row],[SKU]],'All Skus'!$A:$AC,10,FALSE)),""))</f>
        <v>12.48</v>
      </c>
      <c r="J54" s="101">
        <f>(IF((VLOOKUP(Table6[[#This Row],[SKU]],'All Skus'!$A:$AC,2,FALSE))="JBL",(VLOOKUP(Table6[[#This Row],[SKU]],'All Skus'!$A:$AC,11,FALSE)),""))</f>
        <v>12.48</v>
      </c>
      <c r="K54" s="102">
        <f>(IF((VLOOKUP(Table6[[#This Row],[SKU]],'All Skus'!$A:$AC,2,FALSE))="JBL",(VLOOKUP(Table6[[#This Row],[SKU]],'All Skus'!$A:$AC,13,FALSE)),""))</f>
        <v>10.358134999999999</v>
      </c>
      <c r="L54" s="102">
        <f>(IF((VLOOKUP(Table6[[#This Row],[SKU]],'All Skus'!$A:$AC,2,FALSE))="JBL",(VLOOKUP(Table6[[#This Row],[SKU]],'All Skus'!$A:$AC,14,FALSE)),""))</f>
        <v>9.81297</v>
      </c>
      <c r="M54" s="143">
        <f>(IF((VLOOKUP(Table6[[#This Row],[SKU]],'All Skus'!$A:$AC,2,FALSE))="JBL",(VLOOKUP(Table6[[#This Row],[SKU]],'All Skus'!$A:$AC,15,FALSE)),""))</f>
        <v>4</v>
      </c>
      <c r="N54" s="137">
        <f>(IF((VLOOKUP(Table6[[#This Row],[SKU]],'All Skus'!$A:$AC,2,FALSE))="JBL",(VLOOKUP(Table6[[#This Row],[SKU]],'All Skus'!$A:$AC,16,FALSE)),""))</f>
        <v>691991300769</v>
      </c>
      <c r="O54" s="61">
        <f>(IF((VLOOKUP(Table6[[#This Row],[SKU]],'All Skus'!$A:$AC,2,FALSE))="JBL",(VLOOKUP(Table6[[#This Row],[SKU]],'All Skus'!$A:$AC,17,FALSE)),""))</f>
        <v>0</v>
      </c>
      <c r="P54" s="136">
        <f>(IF((VLOOKUP(Table6[[#This Row],[SKU]],'All Skus'!$A:$AC,2,FALSE))="JBL",(VLOOKUP(Table6[[#This Row],[SKU]],'All Skus'!$A:$AC,18,FALSE)),""))</f>
        <v>2</v>
      </c>
      <c r="Q54" s="136">
        <f>(IF((VLOOKUP(Table6[[#This Row],[SKU]],'All Skus'!$A:$AC,2,FALSE))="JBL",(VLOOKUP(Table6[[#This Row],[SKU]],'All Skus'!$A:$AC,19,FALSE)),""))</f>
        <v>4</v>
      </c>
      <c r="R54" s="136">
        <f>(IF((VLOOKUP(Table6[[#This Row],[SKU]],'All Skus'!$A:$AC,2,FALSE))="JBL",(VLOOKUP(Table6[[#This Row],[SKU]],'All Skus'!$A:$AC,20,FALSE)),""))</f>
        <v>5</v>
      </c>
      <c r="S54" s="61">
        <f>(IF((VLOOKUP(Table6[[#This Row],[SKU]],'All Skus'!$A:$AC,2,FALSE))="JBL",(VLOOKUP(Table6[[#This Row],[SKU]],'All Skus'!$A:$AC,21,FALSE)),""))</f>
        <v>4</v>
      </c>
      <c r="T54" s="61" t="str">
        <f>(IF((VLOOKUP(Table6[[#This Row],[SKU]],'All Skus'!$A:$AC,2,FALSE))="JBL",(VLOOKUP(Table6[[#This Row],[SKU]],'All Skus'!$A:$AC,22,FALSE)),""))</f>
        <v>CN</v>
      </c>
      <c r="U54" t="str">
        <f>(IF((VLOOKUP(Table6[[#This Row],[SKU]],'All Skus'!$A:$AC,2,FALSE))="JBL",(VLOOKUP(Table6[[#This Row],[SKU]],'All Skus'!$A:$AC,23,FALSE)),""))</f>
        <v>Non Compliant</v>
      </c>
      <c r="V54" s="284" t="str">
        <f>HYPERLINK((IF((VLOOKUP(Table6[[#This Row],[SKU]],'All Skus'!$A:$AC,2,FALSE))="JBL",(VLOOKUP(Table6[[#This Row],[SKU]],'All Skus'!$A:$AC,24,FALSE)),"")))</f>
        <v/>
      </c>
      <c r="W54" s="151">
        <v>52</v>
      </c>
    </row>
    <row r="55" spans="1:23" ht="15" hidden="1" customHeight="1">
      <c r="A55" s="13" t="s">
        <v>1061</v>
      </c>
      <c r="B55" s="12" t="str">
        <f>(IF((VLOOKUP(Table6[[#This Row],[SKU]],'All Skus'!$A:$AC,2,FALSE))="JBL",(VLOOKUP(Table6[[#This Row],[SKU]],'All Skus'!$A:$AC,3,FALSE)),""))</f>
        <v>Accessory</v>
      </c>
      <c r="C55" s="12" t="str">
        <f>(IF((VLOOKUP(Table6[[#This Row],[SKU]],'All Skus'!$A:$AC,2,FALSE))="JBL",(VLOOKUP(Table6[[#This Row],[SKU]],'All Skus'!$A:$AC,4,FALSE)),""))</f>
        <v>MTC-8128C</v>
      </c>
      <c r="D55" s="61" t="str">
        <f>(IF((VLOOKUP(Table6[[#This Row],[SKU]],'All Skus'!$A:$AC,2,FALSE))="JBL",(VLOOKUP(Table6[[#This Row],[SKU]],'All Skus'!$A:$AC,5,FALSE)),""))</f>
        <v>JBL018</v>
      </c>
      <c r="E55" s="137">
        <f>(IF((VLOOKUP(Table6[[#This Row],[SKU]],'All Skus'!$A:$AC,2,FALSE))="JBL",(VLOOKUP(Table6[[#This Row],[SKU]],'All Skus'!$A:$AC,6,FALSE)),""))</f>
        <v>0</v>
      </c>
      <c r="F55" s="61">
        <f>(IF((VLOOKUP(Table6[[#This Row],[SKU]],'All Skus'!$A:$AC,2,FALSE))="JBL",(VLOOKUP(Table6[[#This Row],[SKU]],'All Skus'!$A:$AC,7,FALSE)),""))</f>
        <v>0</v>
      </c>
      <c r="G55" t="str">
        <f>(IF((VLOOKUP(Table6[[#This Row],[SKU]],'All Skus'!$A:$AC,2,FALSE))="JBL",(VLOOKUP(Table6[[#This Row],[SKU]],'All Skus'!$A:$AC,8,FALSE)),""))</f>
        <v>C-RING for 8128</v>
      </c>
      <c r="H55" s="8" t="str">
        <f>(IF((VLOOKUP(Table6[[#This Row],[SKU]],'All Skus'!$A:$AC,2,FALSE))="JBL",(VLOOKUP(Table6[[#This Row],[SKU]],'All Skus'!$A:$AC,9,FALSE)),""))</f>
        <v>C-ring for 8128  (Priced as each, sold in packages of 4 pcs (for 4 speakers)</v>
      </c>
      <c r="I55" s="101">
        <f>(IF((VLOOKUP(Table6[[#This Row],[SKU]],'All Skus'!$A:$AC,2,FALSE))="JBL",(VLOOKUP(Table6[[#This Row],[SKU]],'All Skus'!$A:$AC,10,FALSE)),""))</f>
        <v>21.22</v>
      </c>
      <c r="J55" s="101">
        <f>(IF((VLOOKUP(Table6[[#This Row],[SKU]],'All Skus'!$A:$AC,2,FALSE))="JBL",(VLOOKUP(Table6[[#This Row],[SKU]],'All Skus'!$A:$AC,11,FALSE)),""))</f>
        <v>21.22</v>
      </c>
      <c r="K55" s="102">
        <f>(IF((VLOOKUP(Table6[[#This Row],[SKU]],'All Skus'!$A:$AC,2,FALSE))="JBL",(VLOOKUP(Table6[[#This Row],[SKU]],'All Skus'!$A:$AC,13,FALSE)),""))</f>
        <v>12.086185</v>
      </c>
      <c r="L55" s="102">
        <f>(IF((VLOOKUP(Table6[[#This Row],[SKU]],'All Skus'!$A:$AC,2,FALSE))="JBL",(VLOOKUP(Table6[[#This Row],[SKU]],'All Skus'!$A:$AC,14,FALSE)),""))</f>
        <v>11.45007</v>
      </c>
      <c r="M55" s="143">
        <f>(IF((VLOOKUP(Table6[[#This Row],[SKU]],'All Skus'!$A:$AC,2,FALSE))="JBL",(VLOOKUP(Table6[[#This Row],[SKU]],'All Skus'!$A:$AC,15,FALSE)),""))</f>
        <v>4</v>
      </c>
      <c r="N55" s="137">
        <f>(IF((VLOOKUP(Table6[[#This Row],[SKU]],'All Skus'!$A:$AC,2,FALSE))="JBL",(VLOOKUP(Table6[[#This Row],[SKU]],'All Skus'!$A:$AC,16,FALSE)),""))</f>
        <v>691991300776</v>
      </c>
      <c r="O55" s="61">
        <f>(IF((VLOOKUP(Table6[[#This Row],[SKU]],'All Skus'!$A:$AC,2,FALSE))="JBL",(VLOOKUP(Table6[[#This Row],[SKU]],'All Skus'!$A:$AC,17,FALSE)),""))</f>
        <v>0</v>
      </c>
      <c r="P55" s="136">
        <f>(IF((VLOOKUP(Table6[[#This Row],[SKU]],'All Skus'!$A:$AC,2,FALSE))="JBL",(VLOOKUP(Table6[[#This Row],[SKU]],'All Skus'!$A:$AC,18,FALSE)),""))</f>
        <v>2.35</v>
      </c>
      <c r="Q55" s="136">
        <f>(IF((VLOOKUP(Table6[[#This Row],[SKU]],'All Skus'!$A:$AC,2,FALSE))="JBL",(VLOOKUP(Table6[[#This Row],[SKU]],'All Skus'!$A:$AC,19,FALSE)),""))</f>
        <v>13.5</v>
      </c>
      <c r="R55" s="136">
        <f>(IF((VLOOKUP(Table6[[#This Row],[SKU]],'All Skus'!$A:$AC,2,FALSE))="JBL",(VLOOKUP(Table6[[#This Row],[SKU]],'All Skus'!$A:$AC,20,FALSE)),""))</f>
        <v>2</v>
      </c>
      <c r="S55" s="61">
        <f>(IF((VLOOKUP(Table6[[#This Row],[SKU]],'All Skus'!$A:$AC,2,FALSE))="JBL",(VLOOKUP(Table6[[#This Row],[SKU]],'All Skus'!$A:$AC,21,FALSE)),""))</f>
        <v>13.75</v>
      </c>
      <c r="T55" s="61" t="str">
        <f>(IF((VLOOKUP(Table6[[#This Row],[SKU]],'All Skus'!$A:$AC,2,FALSE))="JBL",(VLOOKUP(Table6[[#This Row],[SKU]],'All Skus'!$A:$AC,22,FALSE)),""))</f>
        <v>CN</v>
      </c>
      <c r="U55" t="str">
        <f>(IF((VLOOKUP(Table6[[#This Row],[SKU]],'All Skus'!$A:$AC,2,FALSE))="JBL",(VLOOKUP(Table6[[#This Row],[SKU]],'All Skus'!$A:$AC,23,FALSE)),""))</f>
        <v>Non Compliant</v>
      </c>
      <c r="V55" s="284" t="str">
        <f>HYPERLINK((IF((VLOOKUP(Table6[[#This Row],[SKU]],'All Skus'!$A:$AC,2,FALSE))="JBL",(VLOOKUP(Table6[[#This Row],[SKU]],'All Skus'!$A:$AC,24,FALSE)),"")))</f>
        <v/>
      </c>
      <c r="W55" s="151">
        <v>53</v>
      </c>
    </row>
    <row r="56" spans="1:23" ht="15" hidden="1" customHeight="1">
      <c r="A56" s="13" t="s">
        <v>1062</v>
      </c>
      <c r="B56" s="12" t="str">
        <f>(IF((VLOOKUP(Table6[[#This Row],[SKU]],'All Skus'!$A:$AC,2,FALSE))="JBL",(VLOOKUP(Table6[[#This Row],[SKU]],'All Skus'!$A:$AC,3,FALSE)),""))</f>
        <v>Accessory</v>
      </c>
      <c r="C56" s="12" t="str">
        <f>(IF((VLOOKUP(Table6[[#This Row],[SKU]],'All Skus'!$A:$AC,2,FALSE))="JBL",(VLOOKUP(Table6[[#This Row],[SKU]],'All Skus'!$A:$AC,4,FALSE)),""))</f>
        <v>MTC-81BB8</v>
      </c>
      <c r="D56" s="61" t="str">
        <f>(IF((VLOOKUP(Table6[[#This Row],[SKU]],'All Skus'!$A:$AC,2,FALSE))="JBL",(VLOOKUP(Table6[[#This Row],[SKU]],'All Skus'!$A:$AC,5,FALSE)),""))</f>
        <v>JBL018</v>
      </c>
      <c r="E56" s="137">
        <f>(IF((VLOOKUP(Table6[[#This Row],[SKU]],'All Skus'!$A:$AC,2,FALSE))="JBL",(VLOOKUP(Table6[[#This Row],[SKU]],'All Skus'!$A:$AC,6,FALSE)),""))</f>
        <v>0</v>
      </c>
      <c r="F56" s="61">
        <f>(IF((VLOOKUP(Table6[[#This Row],[SKU]],'All Skus'!$A:$AC,2,FALSE))="JBL",(VLOOKUP(Table6[[#This Row],[SKU]],'All Skus'!$A:$AC,7,FALSE)),""))</f>
        <v>0</v>
      </c>
      <c r="G56" t="str">
        <f>(IF((VLOOKUP(Table6[[#This Row],[SKU]],'All Skus'!$A:$AC,2,FALSE))="JBL",(VLOOKUP(Table6[[#This Row],[SKU]],'All Skus'!$A:$AC,8,FALSE)),""))</f>
        <v>DEEP BACK CAN FOR 8138 (4 PCS PER CTN)</v>
      </c>
      <c r="H56" s="8" t="str">
        <f>(IF((VLOOKUP(Table6[[#This Row],[SKU]],'All Skus'!$A:$AC,2,FALSE))="JBL",(VLOOKUP(Table6[[#This Row],[SKU]],'All Skus'!$A:$AC,9,FALSE)),""))</f>
        <v>Pre-Install backcan for 8138, 7.4 liter, 7"H x 11-3/4" dia, 11-1/4" mounting circle, 16 gauge steel, e-coated (priced as each sold in packs of 4 pcs)</v>
      </c>
      <c r="I56" s="101">
        <f>(IF((VLOOKUP(Table6[[#This Row],[SKU]],'All Skus'!$A:$AC,2,FALSE))="JBL",(VLOOKUP(Table6[[#This Row],[SKU]],'All Skus'!$A:$AC,10,FALSE)),""))</f>
        <v>47.41</v>
      </c>
      <c r="J56" s="101">
        <f>(IF((VLOOKUP(Table6[[#This Row],[SKU]],'All Skus'!$A:$AC,2,FALSE))="JBL",(VLOOKUP(Table6[[#This Row],[SKU]],'All Skus'!$A:$AC,11,FALSE)),""))</f>
        <v>47.41</v>
      </c>
      <c r="K56" s="102">
        <f>(IF((VLOOKUP(Table6[[#This Row],[SKU]],'All Skus'!$A:$AC,2,FALSE))="JBL",(VLOOKUP(Table6[[#This Row],[SKU]],'All Skus'!$A:$AC,13,FALSE)),""))</f>
        <v>26.296855000000001</v>
      </c>
      <c r="L56" s="102">
        <f>(IF((VLOOKUP(Table6[[#This Row],[SKU]],'All Skus'!$A:$AC,2,FALSE))="JBL",(VLOOKUP(Table6[[#This Row],[SKU]],'All Skus'!$A:$AC,14,FALSE)),""))</f>
        <v>24.91281</v>
      </c>
      <c r="M56" s="143">
        <f>(IF((VLOOKUP(Table6[[#This Row],[SKU]],'All Skus'!$A:$AC,2,FALSE))="JBL",(VLOOKUP(Table6[[#This Row],[SKU]],'All Skus'!$A:$AC,15,FALSE)),""))</f>
        <v>4</v>
      </c>
      <c r="N56" s="137">
        <f>(IF((VLOOKUP(Table6[[#This Row],[SKU]],'All Skus'!$A:$AC,2,FALSE))="JBL",(VLOOKUP(Table6[[#This Row],[SKU]],'All Skus'!$A:$AC,16,FALSE)),""))</f>
        <v>50036904353</v>
      </c>
      <c r="O56" s="61">
        <f>(IF((VLOOKUP(Table6[[#This Row],[SKU]],'All Skus'!$A:$AC,2,FALSE))="JBL",(VLOOKUP(Table6[[#This Row],[SKU]],'All Skus'!$A:$AC,17,FALSE)),""))</f>
        <v>0</v>
      </c>
      <c r="P56" s="136">
        <f>(IF((VLOOKUP(Table6[[#This Row],[SKU]],'All Skus'!$A:$AC,2,FALSE))="JBL",(VLOOKUP(Table6[[#This Row],[SKU]],'All Skus'!$A:$AC,18,FALSE)),""))</f>
        <v>3.8</v>
      </c>
      <c r="Q56" s="136">
        <f>(IF((VLOOKUP(Table6[[#This Row],[SKU]],'All Skus'!$A:$AC,2,FALSE))="JBL",(VLOOKUP(Table6[[#This Row],[SKU]],'All Skus'!$A:$AC,19,FALSE)),""))</f>
        <v>14</v>
      </c>
      <c r="R56" s="136">
        <f>(IF((VLOOKUP(Table6[[#This Row],[SKU]],'All Skus'!$A:$AC,2,FALSE))="JBL",(VLOOKUP(Table6[[#This Row],[SKU]],'All Skus'!$A:$AC,20,FALSE)),""))</f>
        <v>3.5</v>
      </c>
      <c r="S56" s="61">
        <f>(IF((VLOOKUP(Table6[[#This Row],[SKU]],'All Skus'!$A:$AC,2,FALSE))="JBL",(VLOOKUP(Table6[[#This Row],[SKU]],'All Skus'!$A:$AC,21,FALSE)),""))</f>
        <v>15</v>
      </c>
      <c r="T56" s="61" t="str">
        <f>(IF((VLOOKUP(Table6[[#This Row],[SKU]],'All Skus'!$A:$AC,2,FALSE))="JBL",(VLOOKUP(Table6[[#This Row],[SKU]],'All Skus'!$A:$AC,22,FALSE)),""))</f>
        <v>CN</v>
      </c>
      <c r="U56" t="str">
        <f>(IF((VLOOKUP(Table6[[#This Row],[SKU]],'All Skus'!$A:$AC,2,FALSE))="JBL",(VLOOKUP(Table6[[#This Row],[SKU]],'All Skus'!$A:$AC,23,FALSE)),""))</f>
        <v>Non Compliant</v>
      </c>
      <c r="V56" s="284" t="str">
        <f>HYPERLINK((IF((VLOOKUP(Table6[[#This Row],[SKU]],'All Skus'!$A:$AC,2,FALSE))="JBL",(VLOOKUP(Table6[[#This Row],[SKU]],'All Skus'!$A:$AC,24,FALSE)),"")))</f>
        <v xml:space="preserve">http://www.jblpro.com/www/products/installed-sound/8100-series/mtc-81bb8 </v>
      </c>
      <c r="W56" s="151">
        <v>54</v>
      </c>
    </row>
    <row r="57" spans="1:23" ht="15" hidden="1" customHeight="1">
      <c r="A57" s="13" t="s">
        <v>1063</v>
      </c>
      <c r="B57" s="12" t="str">
        <f>(IF((VLOOKUP(Table6[[#This Row],[SKU]],'All Skus'!$A:$AC,2,FALSE))="JBL",(VLOOKUP(Table6[[#This Row],[SKU]],'All Skus'!$A:$AC,3,FALSE)),""))</f>
        <v>Accessory</v>
      </c>
      <c r="C57" s="12" t="str">
        <f>(IF((VLOOKUP(Table6[[#This Row],[SKU]],'All Skus'!$A:$AC,2,FALSE))="JBL",(VLOOKUP(Table6[[#This Row],[SKU]],'All Skus'!$A:$AC,4,FALSE)),""))</f>
        <v>MTC-81TB8</v>
      </c>
      <c r="D57" s="61" t="str">
        <f>(IF((VLOOKUP(Table6[[#This Row],[SKU]],'All Skus'!$A:$AC,2,FALSE))="JBL",(VLOOKUP(Table6[[#This Row],[SKU]],'All Skus'!$A:$AC,5,FALSE)),""))</f>
        <v>JBL018</v>
      </c>
      <c r="E57" s="137">
        <f>(IF((VLOOKUP(Table6[[#This Row],[SKU]],'All Skus'!$A:$AC,2,FALSE))="JBL",(VLOOKUP(Table6[[#This Row],[SKU]],'All Skus'!$A:$AC,6,FALSE)),""))</f>
        <v>0</v>
      </c>
      <c r="F57" s="61">
        <f>(IF((VLOOKUP(Table6[[#This Row],[SKU]],'All Skus'!$A:$AC,2,FALSE))="JBL",(VLOOKUP(Table6[[#This Row],[SKU]],'All Skus'!$A:$AC,7,FALSE)),""))</f>
        <v>0</v>
      </c>
      <c r="G57" t="str">
        <f>(IF((VLOOKUP(Table6[[#This Row],[SKU]],'All Skus'!$A:$AC,2,FALSE))="JBL",(VLOOKUP(Table6[[#This Row],[SKU]],'All Skus'!$A:$AC,8,FALSE)),""))</f>
        <v>TILE BRIDGE  8138 &amp; 81BB8 (4PC PR CTN)</v>
      </c>
      <c r="H57" s="8" t="str">
        <f>(IF((VLOOKUP(Table6[[#This Row],[SKU]],'All Skus'!$A:$AC,2,FALSE))="JBL",(VLOOKUP(Table6[[#This Row],[SKU]],'All Skus'!$A:$AC,9,FALSE)),""))</f>
        <v>Tile Bridge for MTC-81BB8 backcan, 19 gauge steel with e-coating (priced as each, sold in packs of 4 pcs)</v>
      </c>
      <c r="I57" s="101">
        <f>(IF((VLOOKUP(Table6[[#This Row],[SKU]],'All Skus'!$A:$AC,2,FALSE))="JBL",(VLOOKUP(Table6[[#This Row],[SKU]],'All Skus'!$A:$AC,10,FALSE)),""))</f>
        <v>24.95</v>
      </c>
      <c r="J57" s="101">
        <f>(IF((VLOOKUP(Table6[[#This Row],[SKU]],'All Skus'!$A:$AC,2,FALSE))="JBL",(VLOOKUP(Table6[[#This Row],[SKU]],'All Skus'!$A:$AC,11,FALSE)),""))</f>
        <v>24.95</v>
      </c>
      <c r="K57" s="102">
        <f>(IF((VLOOKUP(Table6[[#This Row],[SKU]],'All Skus'!$A:$AC,2,FALSE))="JBL",(VLOOKUP(Table6[[#This Row],[SKU]],'All Skus'!$A:$AC,13,FALSE)),""))</f>
        <v>13.92605</v>
      </c>
      <c r="L57" s="102">
        <f>(IF((VLOOKUP(Table6[[#This Row],[SKU]],'All Skus'!$A:$AC,2,FALSE))="JBL",(VLOOKUP(Table6[[#This Row],[SKU]],'All Skus'!$A:$AC,14,FALSE)),""))</f>
        <v>13.193100000000001</v>
      </c>
      <c r="M57" s="143">
        <f>(IF((VLOOKUP(Table6[[#This Row],[SKU]],'All Skus'!$A:$AC,2,FALSE))="JBL",(VLOOKUP(Table6[[#This Row],[SKU]],'All Skus'!$A:$AC,15,FALSE)),""))</f>
        <v>4</v>
      </c>
      <c r="N57" s="137">
        <f>(IF((VLOOKUP(Table6[[#This Row],[SKU]],'All Skus'!$A:$AC,2,FALSE))="JBL",(VLOOKUP(Table6[[#This Row],[SKU]],'All Skus'!$A:$AC,16,FALSE)),""))</f>
        <v>50036904360</v>
      </c>
      <c r="O57" s="61">
        <f>(IF((VLOOKUP(Table6[[#This Row],[SKU]],'All Skus'!$A:$AC,2,FALSE))="JBL",(VLOOKUP(Table6[[#This Row],[SKU]],'All Skus'!$A:$AC,17,FALSE)),""))</f>
        <v>0</v>
      </c>
      <c r="P57" s="136">
        <f>(IF((VLOOKUP(Table6[[#This Row],[SKU]],'All Skus'!$A:$AC,2,FALSE))="JBL",(VLOOKUP(Table6[[#This Row],[SKU]],'All Skus'!$A:$AC,18,FALSE)),""))</f>
        <v>2.94</v>
      </c>
      <c r="Q57" s="136">
        <f>(IF((VLOOKUP(Table6[[#This Row],[SKU]],'All Skus'!$A:$AC,2,FALSE))="JBL",(VLOOKUP(Table6[[#This Row],[SKU]],'All Skus'!$A:$AC,19,FALSE)),""))</f>
        <v>15</v>
      </c>
      <c r="R57" s="136">
        <f>(IF((VLOOKUP(Table6[[#This Row],[SKU]],'All Skus'!$A:$AC,2,FALSE))="JBL",(VLOOKUP(Table6[[#This Row],[SKU]],'All Skus'!$A:$AC,20,FALSE)),""))</f>
        <v>25</v>
      </c>
      <c r="S57" s="61">
        <f>(IF((VLOOKUP(Table6[[#This Row],[SKU]],'All Skus'!$A:$AC,2,FALSE))="JBL",(VLOOKUP(Table6[[#This Row],[SKU]],'All Skus'!$A:$AC,21,FALSE)),""))</f>
        <v>2</v>
      </c>
      <c r="T57" s="61" t="str">
        <f>(IF((VLOOKUP(Table6[[#This Row],[SKU]],'All Skus'!$A:$AC,2,FALSE))="JBL",(VLOOKUP(Table6[[#This Row],[SKU]],'All Skus'!$A:$AC,22,FALSE)),""))</f>
        <v>CN</v>
      </c>
      <c r="U57" t="str">
        <f>(IF((VLOOKUP(Table6[[#This Row],[SKU]],'All Skus'!$A:$AC,2,FALSE))="JBL",(VLOOKUP(Table6[[#This Row],[SKU]],'All Skus'!$A:$AC,23,FALSE)),""))</f>
        <v>Non Compliant</v>
      </c>
      <c r="V57" s="284" t="str">
        <f>HYPERLINK((IF((VLOOKUP(Table6[[#This Row],[SKU]],'All Skus'!$A:$AC,2,FALSE))="JBL",(VLOOKUP(Table6[[#This Row],[SKU]],'All Skus'!$A:$AC,24,FALSE)),"")))</f>
        <v xml:space="preserve">http://www.jblpro.com/www/products/installed-sound/8100-series/mtc-81tb8 </v>
      </c>
      <c r="W57" s="151">
        <v>55</v>
      </c>
    </row>
    <row r="58" spans="1:23" ht="15" hidden="1" customHeight="1">
      <c r="A58" s="13" t="s">
        <v>1064</v>
      </c>
      <c r="B58" s="12" t="str">
        <f>(IF((VLOOKUP(Table6[[#This Row],[SKU]],'All Skus'!$A:$AC,2,FALSE))="JBL",(VLOOKUP(Table6[[#This Row],[SKU]],'All Skus'!$A:$AC,3,FALSE)),""))</f>
        <v>Accessory</v>
      </c>
      <c r="C58" s="12" t="str">
        <f>(IF((VLOOKUP(Table6[[#This Row],[SKU]],'All Skus'!$A:$AC,2,FALSE))="JBL",(VLOOKUP(Table6[[#This Row],[SKU]],'All Skus'!$A:$AC,4,FALSE)),""))</f>
        <v>MTC-ThinC-EAR</v>
      </c>
      <c r="D58" s="61" t="str">
        <f>(IF((VLOOKUP(Table6[[#This Row],[SKU]],'All Skus'!$A:$AC,2,FALSE))="JBL",(VLOOKUP(Table6[[#This Row],[SKU]],'All Skus'!$A:$AC,5,FALSE)),""))</f>
        <v>JBL018</v>
      </c>
      <c r="E58" s="137">
        <f>(IF((VLOOKUP(Table6[[#This Row],[SKU]],'All Skus'!$A:$AC,2,FALSE))="JBL",(VLOOKUP(Table6[[#This Row],[SKU]],'All Skus'!$A:$AC,6,FALSE)),""))</f>
        <v>0</v>
      </c>
      <c r="F58" s="61">
        <f>(IF((VLOOKUP(Table6[[#This Row],[SKU]],'All Skus'!$A:$AC,2,FALSE))="JBL",(VLOOKUP(Table6[[#This Row],[SKU]],'All Skus'!$A:$AC,7,FALSE)),""))</f>
        <v>0</v>
      </c>
      <c r="G58" t="str">
        <f>(IF((VLOOKUP(Table6[[#This Row],[SKU]],'All Skus'!$A:$AC,2,FALSE))="JBL",(VLOOKUP(Table6[[#This Row],[SKU]],'All Skus'!$A:$AC,8,FALSE)),""))</f>
        <v xml:space="preserve">THIN-CEILING DOG-EARS </v>
      </c>
      <c r="H58" s="8" t="str">
        <f>(IF((VLOOKUP(Table6[[#This Row],[SKU]],'All Skus'!$A:$AC,2,FALSE))="JBL",(VLOOKUP(Table6[[#This Row],[SKU]],'All Skus'!$A:$AC,9,FALSE)),""))</f>
        <v>Thin-ceiling dog-ears for when ceilings (or walls) are thin. Fits C24C/CT Micro &amp; MircroPlus, C24C/CT, C26C/CT, C19CS/CST. 1 pack contains 24 pcs of dog-ears, priced per pack.</v>
      </c>
      <c r="I58" s="101">
        <f>(IF((VLOOKUP(Table6[[#This Row],[SKU]],'All Skus'!$A:$AC,2,FALSE))="JBL",(VLOOKUP(Table6[[#This Row],[SKU]],'All Skus'!$A:$AC,10,FALSE)),""))</f>
        <v>9.99</v>
      </c>
      <c r="J58" s="101">
        <f>(IF((VLOOKUP(Table6[[#This Row],[SKU]],'All Skus'!$A:$AC,2,FALSE))="JBL",(VLOOKUP(Table6[[#This Row],[SKU]],'All Skus'!$A:$AC,11,FALSE)),""))</f>
        <v>9.99</v>
      </c>
      <c r="K58" s="102">
        <f>(IF((VLOOKUP(Table6[[#This Row],[SKU]],'All Skus'!$A:$AC,2,FALSE))="JBL",(VLOOKUP(Table6[[#This Row],[SKU]],'All Skus'!$A:$AC,13,FALSE)),""))</f>
        <v>5.5195949999999998</v>
      </c>
      <c r="L58" s="102">
        <f>(IF((VLOOKUP(Table6[[#This Row],[SKU]],'All Skus'!$A:$AC,2,FALSE))="JBL",(VLOOKUP(Table6[[#This Row],[SKU]],'All Skus'!$A:$AC,14,FALSE)),""))</f>
        <v>5.2290900000000002</v>
      </c>
      <c r="M58" s="143">
        <f>(IF((VLOOKUP(Table6[[#This Row],[SKU]],'All Skus'!$A:$AC,2,FALSE))="JBL",(VLOOKUP(Table6[[#This Row],[SKU]],'All Skus'!$A:$AC,15,FALSE)),""))</f>
        <v>0</v>
      </c>
      <c r="N58" s="137">
        <f>(IF((VLOOKUP(Table6[[#This Row],[SKU]],'All Skus'!$A:$AC,2,FALSE))="JBL",(VLOOKUP(Table6[[#This Row],[SKU]],'All Skus'!$A:$AC,16,FALSE)),""))</f>
        <v>691991016752</v>
      </c>
      <c r="O58" s="61">
        <f>(IF((VLOOKUP(Table6[[#This Row],[SKU]],'All Skus'!$A:$AC,2,FALSE))="JBL",(VLOOKUP(Table6[[#This Row],[SKU]],'All Skus'!$A:$AC,17,FALSE)),""))</f>
        <v>0</v>
      </c>
      <c r="P58" s="136">
        <f>(IF((VLOOKUP(Table6[[#This Row],[SKU]],'All Skus'!$A:$AC,2,FALSE))="JBL",(VLOOKUP(Table6[[#This Row],[SKU]],'All Skus'!$A:$AC,18,FALSE)),""))</f>
        <v>0.25</v>
      </c>
      <c r="Q58" s="136">
        <f>(IF((VLOOKUP(Table6[[#This Row],[SKU]],'All Skus'!$A:$AC,2,FALSE))="JBL",(VLOOKUP(Table6[[#This Row],[SKU]],'All Skus'!$A:$AC,19,FALSE)),""))</f>
        <v>5</v>
      </c>
      <c r="R58" s="136">
        <f>(IF((VLOOKUP(Table6[[#This Row],[SKU]],'All Skus'!$A:$AC,2,FALSE))="JBL",(VLOOKUP(Table6[[#This Row],[SKU]],'All Skus'!$A:$AC,20,FALSE)),""))</f>
        <v>5</v>
      </c>
      <c r="S58" s="61">
        <f>(IF((VLOOKUP(Table6[[#This Row],[SKU]],'All Skus'!$A:$AC,2,FALSE))="JBL",(VLOOKUP(Table6[[#This Row],[SKU]],'All Skus'!$A:$AC,21,FALSE)),""))</f>
        <v>2</v>
      </c>
      <c r="T58" s="61" t="str">
        <f>(IF((VLOOKUP(Table6[[#This Row],[SKU]],'All Skus'!$A:$AC,2,FALSE))="JBL",(VLOOKUP(Table6[[#This Row],[SKU]],'All Skus'!$A:$AC,22,FALSE)),""))</f>
        <v>CN</v>
      </c>
      <c r="U58" t="str">
        <f>(IF((VLOOKUP(Table6[[#This Row],[SKU]],'All Skus'!$A:$AC,2,FALSE))="JBL",(VLOOKUP(Table6[[#This Row],[SKU]],'All Skus'!$A:$AC,23,FALSE)),""))</f>
        <v>Non Compliant</v>
      </c>
      <c r="V58" s="284" t="str">
        <f>HYPERLINK((IF((VLOOKUP(Table6[[#This Row],[SKU]],'All Skus'!$A:$AC,2,FALSE))="JBL",(VLOOKUP(Table6[[#This Row],[SKU]],'All Skus'!$A:$AC,24,FALSE)),"")))</f>
        <v>TBD</v>
      </c>
      <c r="W58" s="151">
        <v>56</v>
      </c>
    </row>
    <row r="59" spans="1:23" ht="15" hidden="1" customHeight="1">
      <c r="A59" s="13" t="s">
        <v>1065</v>
      </c>
      <c r="B59" s="12" t="str">
        <f>(IF((VLOOKUP(Table6[[#This Row],[SKU]],'All Skus'!$A:$AC,2,FALSE))="JBL",(VLOOKUP(Table6[[#This Row],[SKU]],'All Skus'!$A:$AC,3,FALSE)),""))</f>
        <v>Accessory</v>
      </c>
      <c r="C59" s="12" t="str">
        <f>(IF((VLOOKUP(Table6[[#This Row],[SKU]],'All Skus'!$A:$AC,2,FALSE))="JBL",(VLOOKUP(Table6[[#This Row],[SKU]],'All Skus'!$A:$AC,4,FALSE)),""))</f>
        <v>MTC-RAIL</v>
      </c>
      <c r="D59" s="61" t="str">
        <f>(IF((VLOOKUP(Table6[[#This Row],[SKU]],'All Skus'!$A:$AC,2,FALSE))="JBL",(VLOOKUP(Table6[[#This Row],[SKU]],'All Skus'!$A:$AC,5,FALSE)),""))</f>
        <v>JBL018</v>
      </c>
      <c r="E59" s="137">
        <f>(IF((VLOOKUP(Table6[[#This Row],[SKU]],'All Skus'!$A:$AC,2,FALSE))="JBL",(VLOOKUP(Table6[[#This Row],[SKU]],'All Skus'!$A:$AC,6,FALSE)),""))</f>
        <v>0</v>
      </c>
      <c r="F59" s="61">
        <f>(IF((VLOOKUP(Table6[[#This Row],[SKU]],'All Skus'!$A:$AC,2,FALSE))="JBL",(VLOOKUP(Table6[[#This Row],[SKU]],'All Skus'!$A:$AC,7,FALSE)),""))</f>
        <v>0</v>
      </c>
      <c r="G59" t="str">
        <f>(IF((VLOOKUP(Table6[[#This Row],[SKU]],'All Skus'!$A:$AC,2,FALSE))="JBL",(VLOOKUP(Table6[[#This Row],[SKU]],'All Skus'!$A:$AC,8,FALSE)),""))</f>
        <v>TILE RAIL FOR 8124 &amp; 8128</v>
      </c>
      <c r="H59" s="8" t="str">
        <f>(IF((VLOOKUP(Table6[[#This Row],[SKU]],'All Skus'!$A:$AC,2,FALSE))="JBL",(VLOOKUP(Table6[[#This Row],[SKU]],'All Skus'!$A:$AC,9,FALSE)),""))</f>
        <v>Tile rails for 8124, 8128 (requires MTC-8124C or MTC-8128C c-rings) or for C42C speaker (with included c-ring), (priced as each. Sold in packs of 4 pcs, for 2 spkrs).</v>
      </c>
      <c r="I59" s="101">
        <f>(IF((VLOOKUP(Table6[[#This Row],[SKU]],'All Skus'!$A:$AC,2,FALSE))="JBL",(VLOOKUP(Table6[[#This Row],[SKU]],'All Skus'!$A:$AC,10,FALSE)),""))</f>
        <v>13.72</v>
      </c>
      <c r="J59" s="101">
        <f>(IF((VLOOKUP(Table6[[#This Row],[SKU]],'All Skus'!$A:$AC,2,FALSE))="JBL",(VLOOKUP(Table6[[#This Row],[SKU]],'All Skus'!$A:$AC,11,FALSE)),""))</f>
        <v>13.72</v>
      </c>
      <c r="K59" s="102">
        <f>(IF((VLOOKUP(Table6[[#This Row],[SKU]],'All Skus'!$A:$AC,2,FALSE))="JBL",(VLOOKUP(Table6[[#This Row],[SKU]],'All Skus'!$A:$AC,13,FALSE)),""))</f>
        <v>0</v>
      </c>
      <c r="L59" s="102">
        <f>(IF((VLOOKUP(Table6[[#This Row],[SKU]],'All Skus'!$A:$AC,2,FALSE))="JBL",(VLOOKUP(Table6[[#This Row],[SKU]],'All Skus'!$A:$AC,14,FALSE)),""))</f>
        <v>0</v>
      </c>
      <c r="M59" s="143">
        <f>(IF((VLOOKUP(Table6[[#This Row],[SKU]],'All Skus'!$A:$AC,2,FALSE))="JBL",(VLOOKUP(Table6[[#This Row],[SKU]],'All Skus'!$A:$AC,15,FALSE)),""))</f>
        <v>4</v>
      </c>
      <c r="N59" s="137">
        <f>(IF((VLOOKUP(Table6[[#This Row],[SKU]],'All Skus'!$A:$AC,2,FALSE))="JBL",(VLOOKUP(Table6[[#This Row],[SKU]],'All Skus'!$A:$AC,16,FALSE)),""))</f>
        <v>50036903950</v>
      </c>
      <c r="O59" s="61">
        <f>(IF((VLOOKUP(Table6[[#This Row],[SKU]],'All Skus'!$A:$AC,2,FALSE))="JBL",(VLOOKUP(Table6[[#This Row],[SKU]],'All Skus'!$A:$AC,17,FALSE)),""))</f>
        <v>0</v>
      </c>
      <c r="P59" s="136">
        <f>(IF((VLOOKUP(Table6[[#This Row],[SKU]],'All Skus'!$A:$AC,2,FALSE))="JBL",(VLOOKUP(Table6[[#This Row],[SKU]],'All Skus'!$A:$AC,18,FALSE)),""))</f>
        <v>2.25</v>
      </c>
      <c r="Q59" s="136">
        <f>(IF((VLOOKUP(Table6[[#This Row],[SKU]],'All Skus'!$A:$AC,2,FALSE))="JBL",(VLOOKUP(Table6[[#This Row],[SKU]],'All Skus'!$A:$AC,19,FALSE)),""))</f>
        <v>27</v>
      </c>
      <c r="R59" s="136">
        <f>(IF((VLOOKUP(Table6[[#This Row],[SKU]],'All Skus'!$A:$AC,2,FALSE))="JBL",(VLOOKUP(Table6[[#This Row],[SKU]],'All Skus'!$A:$AC,20,FALSE)),""))</f>
        <v>2</v>
      </c>
      <c r="S59" s="61">
        <f>(IF((VLOOKUP(Table6[[#This Row],[SKU]],'All Skus'!$A:$AC,2,FALSE))="JBL",(VLOOKUP(Table6[[#This Row],[SKU]],'All Skus'!$A:$AC,21,FALSE)),""))</f>
        <v>2</v>
      </c>
      <c r="T59" s="61" t="str">
        <f>(IF((VLOOKUP(Table6[[#This Row],[SKU]],'All Skus'!$A:$AC,2,FALSE))="JBL",(VLOOKUP(Table6[[#This Row],[SKU]],'All Skus'!$A:$AC,22,FALSE)),""))</f>
        <v>CN</v>
      </c>
      <c r="U59" t="str">
        <f>(IF((VLOOKUP(Table6[[#This Row],[SKU]],'All Skus'!$A:$AC,2,FALSE))="JBL",(VLOOKUP(Table6[[#This Row],[SKU]],'All Skus'!$A:$AC,23,FALSE)),""))</f>
        <v>Non Compliant</v>
      </c>
      <c r="V59" s="284" t="str">
        <f>HYPERLINK((IF((VLOOKUP(Table6[[#This Row],[SKU]],'All Skus'!$A:$AC,2,FALSE))="JBL",(VLOOKUP(Table6[[#This Row],[SKU]],'All Skus'!$A:$AC,24,FALSE)),"")))</f>
        <v/>
      </c>
      <c r="W59" s="151">
        <v>57</v>
      </c>
    </row>
    <row r="60" spans="1:23" ht="15" hidden="1" customHeight="1">
      <c r="A60" s="104" t="s">
        <v>1066</v>
      </c>
      <c r="B60" s="12">
        <f>(IF((VLOOKUP(Table6[[#This Row],[SKU]],'All Skus'!$A:$AC,2,FALSE))="JBL",(VLOOKUP(Table6[[#This Row],[SKU]],'All Skus'!$A:$AC,3,FALSE)),""))</f>
        <v>0</v>
      </c>
      <c r="C60" s="12">
        <f>(IF((VLOOKUP(Table6[[#This Row],[SKU]],'All Skus'!$A:$AC,2,FALSE))="JBL",(VLOOKUP(Table6[[#This Row],[SKU]],'All Skus'!$A:$AC,4,FALSE)),""))</f>
        <v>0</v>
      </c>
      <c r="D60" s="61">
        <f>(IF((VLOOKUP(Table6[[#This Row],[SKU]],'All Skus'!$A:$AC,2,FALSE))="JBL",(VLOOKUP(Table6[[#This Row],[SKU]],'All Skus'!$A:$AC,5,FALSE)),""))</f>
        <v>0</v>
      </c>
      <c r="E60" s="137">
        <f>(IF((VLOOKUP(Table6[[#This Row],[SKU]],'All Skus'!$A:$AC,2,FALSE))="JBL",(VLOOKUP(Table6[[#This Row],[SKU]],'All Skus'!$A:$AC,6,FALSE)),""))</f>
        <v>0</v>
      </c>
      <c r="F60" s="61">
        <f>(IF((VLOOKUP(Table6[[#This Row],[SKU]],'All Skus'!$A:$AC,2,FALSE))="JBL",(VLOOKUP(Table6[[#This Row],[SKU]],'All Skus'!$A:$AC,7,FALSE)),""))</f>
        <v>0</v>
      </c>
      <c r="G60">
        <f>(IF((VLOOKUP(Table6[[#This Row],[SKU]],'All Skus'!$A:$AC,2,FALSE))="JBL",(VLOOKUP(Table6[[#This Row],[SKU]],'All Skus'!$A:$AC,8,FALSE)),""))</f>
        <v>0</v>
      </c>
      <c r="H60" s="8">
        <f>(IF((VLOOKUP(Table6[[#This Row],[SKU]],'All Skus'!$A:$AC,2,FALSE))="JBL",(VLOOKUP(Table6[[#This Row],[SKU]],'All Skus'!$A:$AC,9,FALSE)),""))</f>
        <v>0</v>
      </c>
      <c r="I60" s="101">
        <f>(IF((VLOOKUP(Table6[[#This Row],[SKU]],'All Skus'!$A:$AC,2,FALSE))="JBL",(VLOOKUP(Table6[[#This Row],[SKU]],'All Skus'!$A:$AC,10,FALSE)),""))</f>
        <v>0</v>
      </c>
      <c r="J60" s="101">
        <f>(IF((VLOOKUP(Table6[[#This Row],[SKU]],'All Skus'!$A:$AC,2,FALSE))="JBL",(VLOOKUP(Table6[[#This Row],[SKU]],'All Skus'!$A:$AC,11,FALSE)),""))</f>
        <v>0</v>
      </c>
      <c r="K60" s="102">
        <f>(IF((VLOOKUP(Table6[[#This Row],[SKU]],'All Skus'!$A:$AC,2,FALSE))="JBL",(VLOOKUP(Table6[[#This Row],[SKU]],'All Skus'!$A:$AC,13,FALSE)),""))</f>
        <v>0</v>
      </c>
      <c r="L60" s="102">
        <f>(IF((VLOOKUP(Table6[[#This Row],[SKU]],'All Skus'!$A:$AC,2,FALSE))="JBL",(VLOOKUP(Table6[[#This Row],[SKU]],'All Skus'!$A:$AC,14,FALSE)),""))</f>
        <v>0</v>
      </c>
      <c r="M60" s="143">
        <f>(IF((VLOOKUP(Table6[[#This Row],[SKU]],'All Skus'!$A:$AC,2,FALSE))="JBL",(VLOOKUP(Table6[[#This Row],[SKU]],'All Skus'!$A:$AC,15,FALSE)),""))</f>
        <v>0</v>
      </c>
      <c r="N60" s="137">
        <f>(IF((VLOOKUP(Table6[[#This Row],[SKU]],'All Skus'!$A:$AC,2,FALSE))="JBL",(VLOOKUP(Table6[[#This Row],[SKU]],'All Skus'!$A:$AC,16,FALSE)),""))</f>
        <v>0</v>
      </c>
      <c r="O60" s="61">
        <f>(IF((VLOOKUP(Table6[[#This Row],[SKU]],'All Skus'!$A:$AC,2,FALSE))="JBL",(VLOOKUP(Table6[[#This Row],[SKU]],'All Skus'!$A:$AC,17,FALSE)),""))</f>
        <v>0</v>
      </c>
      <c r="P60" s="136">
        <f>(IF((VLOOKUP(Table6[[#This Row],[SKU]],'All Skus'!$A:$AC,2,FALSE))="JBL",(VLOOKUP(Table6[[#This Row],[SKU]],'All Skus'!$A:$AC,18,FALSE)),""))</f>
        <v>0</v>
      </c>
      <c r="Q60" s="136">
        <f>(IF((VLOOKUP(Table6[[#This Row],[SKU]],'All Skus'!$A:$AC,2,FALSE))="JBL",(VLOOKUP(Table6[[#This Row],[SKU]],'All Skus'!$A:$AC,19,FALSE)),""))</f>
        <v>0</v>
      </c>
      <c r="R60" s="136">
        <f>(IF((VLOOKUP(Table6[[#This Row],[SKU]],'All Skus'!$A:$AC,2,FALSE))="JBL",(VLOOKUP(Table6[[#This Row],[SKU]],'All Skus'!$A:$AC,20,FALSE)),""))</f>
        <v>0</v>
      </c>
      <c r="S60" s="61">
        <f>(IF((VLOOKUP(Table6[[#This Row],[SKU]],'All Skus'!$A:$AC,2,FALSE))="JBL",(VLOOKUP(Table6[[#This Row],[SKU]],'All Skus'!$A:$AC,21,FALSE)),""))</f>
        <v>0</v>
      </c>
      <c r="T60" s="61">
        <f>(IF((VLOOKUP(Table6[[#This Row],[SKU]],'All Skus'!$A:$AC,2,FALSE))="JBL",(VLOOKUP(Table6[[#This Row],[SKU]],'All Skus'!$A:$AC,22,FALSE)),""))</f>
        <v>0</v>
      </c>
      <c r="U60">
        <f>(IF((VLOOKUP(Table6[[#This Row],[SKU]],'All Skus'!$A:$AC,2,FALSE))="JBL",(VLOOKUP(Table6[[#This Row],[SKU]],'All Skus'!$A:$AC,23,FALSE)),""))</f>
        <v>0</v>
      </c>
      <c r="V60" s="284" t="str">
        <f>HYPERLINK((IF((VLOOKUP(Table6[[#This Row],[SKU]],'All Skus'!$A:$AC,2,FALSE))="JBL",(VLOOKUP(Table6[[#This Row],[SKU]],'All Skus'!$A:$AC,24,FALSE)),"")))</f>
        <v/>
      </c>
      <c r="W60" s="151">
        <v>58</v>
      </c>
    </row>
    <row r="61" spans="1:23" ht="15" hidden="1" customHeight="1">
      <c r="A61" s="13" t="s">
        <v>1067</v>
      </c>
      <c r="B61" s="12" t="str">
        <f>(IF((VLOOKUP(Table6[[#This Row],[SKU]],'All Skus'!$A:$AC,2,FALSE))="JBL",(VLOOKUP(Table6[[#This Row],[SKU]],'All Skus'!$A:$AC,3,FALSE)),""))</f>
        <v>Ceiling Speaker</v>
      </c>
      <c r="C61" s="12" t="str">
        <f>(IF((VLOOKUP(Table6[[#This Row],[SKU]],'All Skus'!$A:$AC,2,FALSE))="JBL",(VLOOKUP(Table6[[#This Row],[SKU]],'All Skus'!$A:$AC,4,FALSE)),""))</f>
        <v>CONTROL 12C/T</v>
      </c>
      <c r="D61" s="61" t="str">
        <f>(IF((VLOOKUP(Table6[[#This Row],[SKU]],'All Skus'!$A:$AC,2,FALSE))="JBL",(VLOOKUP(Table6[[#This Row],[SKU]],'All Skus'!$A:$AC,5,FALSE)),""))</f>
        <v>JBL018</v>
      </c>
      <c r="E61" s="137">
        <f>(IF((VLOOKUP(Table6[[#This Row],[SKU]],'All Skus'!$A:$AC,2,FALSE))="JBL",(VLOOKUP(Table6[[#This Row],[SKU]],'All Skus'!$A:$AC,6,FALSE)),""))</f>
        <v>0</v>
      </c>
      <c r="F61" s="61">
        <f>(IF((VLOOKUP(Table6[[#This Row],[SKU]],'All Skus'!$A:$AC,2,FALSE))="JBL",(VLOOKUP(Table6[[#This Row],[SKU]],'All Skus'!$A:$AC,7,FALSE)),""))</f>
        <v>0</v>
      </c>
      <c r="G61" t="str">
        <f>(IF((VLOOKUP(Table6[[#This Row],[SKU]],'All Skus'!$A:$AC,2,FALSE))="JBL",(VLOOKUP(Table6[[#This Row],[SKU]],'All Skus'!$A:$AC,8,FALSE)),""))</f>
        <v>3" FULL-RANGE CEILING SPKR (2 PER CTN)</v>
      </c>
      <c r="H61" s="8" t="str">
        <f>(IF((VLOOKUP(Table6[[#This Row],[SKU]],'All Skus'!$A:$AC,2,FALSE))="JBL",(VLOOKUP(Table6[[#This Row],[SKU]],'All Skus'!$A:$AC,9,FALSE)),""))</f>
        <v xml:space="preserve">Priced as each, packed and sold in pairs)” </v>
      </c>
      <c r="I61" s="101">
        <f>(IF((VLOOKUP(Table6[[#This Row],[SKU]],'All Skus'!$A:$AC,2,FALSE))="JBL",(VLOOKUP(Table6[[#This Row],[SKU]],'All Skus'!$A:$AC,10,FALSE)),""))</f>
        <v>102.55</v>
      </c>
      <c r="J61" s="101">
        <f>(IF((VLOOKUP(Table6[[#This Row],[SKU]],'All Skus'!$A:$AC,2,FALSE))="JBL",(VLOOKUP(Table6[[#This Row],[SKU]],'All Skus'!$A:$AC,11,FALSE)),""))</f>
        <v>82</v>
      </c>
      <c r="K61" s="102">
        <f>(IF((VLOOKUP(Table6[[#This Row],[SKU]],'All Skus'!$A:$AC,2,FALSE))="JBL",(VLOOKUP(Table6[[#This Row],[SKU]],'All Skus'!$A:$AC,13,FALSE)),""))</f>
        <v>56.751195000000003</v>
      </c>
      <c r="L61" s="102">
        <f>(IF((VLOOKUP(Table6[[#This Row],[SKU]],'All Skus'!$A:$AC,2,FALSE))="JBL",(VLOOKUP(Table6[[#This Row],[SKU]],'All Skus'!$A:$AC,14,FALSE)),""))</f>
        <v>53.764290000000003</v>
      </c>
      <c r="M61" s="143">
        <f>(IF((VLOOKUP(Table6[[#This Row],[SKU]],'All Skus'!$A:$AC,2,FALSE))="JBL",(VLOOKUP(Table6[[#This Row],[SKU]],'All Skus'!$A:$AC,15,FALSE)),""))</f>
        <v>2</v>
      </c>
      <c r="N61" s="137">
        <f>(IF((VLOOKUP(Table6[[#This Row],[SKU]],'All Skus'!$A:$AC,2,FALSE))="JBL",(VLOOKUP(Table6[[#This Row],[SKU]],'All Skus'!$A:$AC,16,FALSE)),""))</f>
        <v>50036904537</v>
      </c>
      <c r="O61" s="61">
        <f>(IF((VLOOKUP(Table6[[#This Row],[SKU]],'All Skus'!$A:$AC,2,FALSE))="JBL",(VLOOKUP(Table6[[#This Row],[SKU]],'All Skus'!$A:$AC,17,FALSE)),""))</f>
        <v>0</v>
      </c>
      <c r="P61" s="136">
        <f>(IF((VLOOKUP(Table6[[#This Row],[SKU]],'All Skus'!$A:$AC,2,FALSE))="JBL",(VLOOKUP(Table6[[#This Row],[SKU]],'All Skus'!$A:$AC,18,FALSE)),""))</f>
        <v>7.5</v>
      </c>
      <c r="Q61" s="136">
        <f>(IF((VLOOKUP(Table6[[#This Row],[SKU]],'All Skus'!$A:$AC,2,FALSE))="JBL",(VLOOKUP(Table6[[#This Row],[SKU]],'All Skus'!$A:$AC,19,FALSE)),""))</f>
        <v>13.5</v>
      </c>
      <c r="R61" s="136">
        <f>(IF((VLOOKUP(Table6[[#This Row],[SKU]],'All Skus'!$A:$AC,2,FALSE))="JBL",(VLOOKUP(Table6[[#This Row],[SKU]],'All Skus'!$A:$AC,20,FALSE)),""))</f>
        <v>5</v>
      </c>
      <c r="S61" s="61">
        <f>(IF((VLOOKUP(Table6[[#This Row],[SKU]],'All Skus'!$A:$AC,2,FALSE))="JBL",(VLOOKUP(Table6[[#This Row],[SKU]],'All Skus'!$A:$AC,21,FALSE)),""))</f>
        <v>5</v>
      </c>
      <c r="T61" s="61" t="str">
        <f>(IF((VLOOKUP(Table6[[#This Row],[SKU]],'All Skus'!$A:$AC,2,FALSE))="JBL",(VLOOKUP(Table6[[#This Row],[SKU]],'All Skus'!$A:$AC,22,FALSE)),""))</f>
        <v>CN</v>
      </c>
      <c r="U61" t="str">
        <f>(IF((VLOOKUP(Table6[[#This Row],[SKU]],'All Skus'!$A:$AC,2,FALSE))="JBL",(VLOOKUP(Table6[[#This Row],[SKU]],'All Skus'!$A:$AC,23,FALSE)),""))</f>
        <v>Non Compliant</v>
      </c>
      <c r="V61" s="284" t="str">
        <f>HYPERLINK((IF((VLOOKUP(Table6[[#This Row],[SKU]],'All Skus'!$A:$AC,2,FALSE))="JBL",(VLOOKUP(Table6[[#This Row],[SKU]],'All Skus'!$A:$AC,24,FALSE)),"")))</f>
        <v xml:space="preserve">http://www.jblpro.com/www/products/installed-sound/control-10-series/control-12c-t </v>
      </c>
      <c r="W61" s="151">
        <v>59</v>
      </c>
    </row>
    <row r="62" spans="1:23" ht="15" hidden="1" customHeight="1">
      <c r="A62" s="13" t="s">
        <v>1068</v>
      </c>
      <c r="B62" s="12" t="str">
        <f>(IF((VLOOKUP(Table6[[#This Row],[SKU]],'All Skus'!$A:$AC,2,FALSE))="JBL",(VLOOKUP(Table6[[#This Row],[SKU]],'All Skus'!$A:$AC,3,FALSE)),""))</f>
        <v>Ceiling Speaker</v>
      </c>
      <c r="C62" s="12" t="str">
        <f>(IF((VLOOKUP(Table6[[#This Row],[SKU]],'All Skus'!$A:$AC,2,FALSE))="JBL",(VLOOKUP(Table6[[#This Row],[SKU]],'All Skus'!$A:$AC,4,FALSE)),""))</f>
        <v>CONTROL 12C/T-BK</v>
      </c>
      <c r="D62" s="61" t="str">
        <f>(IF((VLOOKUP(Table6[[#This Row],[SKU]],'All Skus'!$A:$AC,2,FALSE))="JBL",(VLOOKUP(Table6[[#This Row],[SKU]],'All Skus'!$A:$AC,5,FALSE)),""))</f>
        <v>JBL018</v>
      </c>
      <c r="E62" s="137">
        <f>(IF((VLOOKUP(Table6[[#This Row],[SKU]],'All Skus'!$A:$AC,2,FALSE))="JBL",(VLOOKUP(Table6[[#This Row],[SKU]],'All Skus'!$A:$AC,6,FALSE)),""))</f>
        <v>0</v>
      </c>
      <c r="F62" s="61">
        <f>(IF((VLOOKUP(Table6[[#This Row],[SKU]],'All Skus'!$A:$AC,2,FALSE))="JBL",(VLOOKUP(Table6[[#This Row],[SKU]],'All Skus'!$A:$AC,7,FALSE)),""))</f>
        <v>0</v>
      </c>
      <c r="G62" t="str">
        <f>(IF((VLOOKUP(Table6[[#This Row],[SKU]],'All Skus'!$A:$AC,2,FALSE))="JBL",(VLOOKUP(Table6[[#This Row],[SKU]],'All Skus'!$A:$AC,8,FALSE)),""))</f>
        <v>3" FULL-RANGE CEILING SPKR (2 PER CTN), BLK</v>
      </c>
      <c r="H62" s="8" t="str">
        <f>(IF((VLOOKUP(Table6[[#This Row],[SKU]],'All Skus'!$A:$AC,2,FALSE))="JBL",(VLOOKUP(Table6[[#This Row],[SKU]],'All Skus'!$A:$AC,9,FALSE)),""))</f>
        <v>Compact Ceiling Loudspeaker with 76 mm (3 in) Full-Range Driver.  68 Hz – 17 kHz bandwidth, wide 130° coverage, 84 dB sensitivity Blind-mount backcan for quick and easy installation, dual conduit/cable clamp for in and thru cables. Combined 15 W multi-tap Priced as each, packed and sold in pairs)”  transformer at 70V/100V and 8Ω direct setting (20 W).  Low profile backcan for shallow ceilings.  Black.  Priced as each, sold in pairs.  International master pack is 2 speakers.</v>
      </c>
      <c r="I62" s="101">
        <f>(IF((VLOOKUP(Table6[[#This Row],[SKU]],'All Skus'!$A:$AC,2,FALSE))="JBL",(VLOOKUP(Table6[[#This Row],[SKU]],'All Skus'!$A:$AC,10,FALSE)),""))</f>
        <v>102.55</v>
      </c>
      <c r="J62" s="101">
        <f>(IF((VLOOKUP(Table6[[#This Row],[SKU]],'All Skus'!$A:$AC,2,FALSE))="JBL",(VLOOKUP(Table6[[#This Row],[SKU]],'All Skus'!$A:$AC,11,FALSE)),""))</f>
        <v>82</v>
      </c>
      <c r="K62" s="102">
        <f>(IF((VLOOKUP(Table6[[#This Row],[SKU]],'All Skus'!$A:$AC,2,FALSE))="JBL",(VLOOKUP(Table6[[#This Row],[SKU]],'All Skus'!$A:$AC,13,FALSE)),""))</f>
        <v>56.751195000000003</v>
      </c>
      <c r="L62" s="102">
        <f>(IF((VLOOKUP(Table6[[#This Row],[SKU]],'All Skus'!$A:$AC,2,FALSE))="JBL",(VLOOKUP(Table6[[#This Row],[SKU]],'All Skus'!$A:$AC,14,FALSE)),""))</f>
        <v>53.764290000000003</v>
      </c>
      <c r="M62" s="143">
        <f>(IF((VLOOKUP(Table6[[#This Row],[SKU]],'All Skus'!$A:$AC,2,FALSE))="JBL",(VLOOKUP(Table6[[#This Row],[SKU]],'All Skus'!$A:$AC,15,FALSE)),""))</f>
        <v>2</v>
      </c>
      <c r="N62" s="137">
        <f>(IF((VLOOKUP(Table6[[#This Row],[SKU]],'All Skus'!$A:$AC,2,FALSE))="JBL",(VLOOKUP(Table6[[#This Row],[SKU]],'All Skus'!$A:$AC,16,FALSE)),""))</f>
        <v>50036904544</v>
      </c>
      <c r="O62" s="61">
        <f>(IF((VLOOKUP(Table6[[#This Row],[SKU]],'All Skus'!$A:$AC,2,FALSE))="JBL",(VLOOKUP(Table6[[#This Row],[SKU]],'All Skus'!$A:$AC,17,FALSE)),""))</f>
        <v>0</v>
      </c>
      <c r="P62" s="136">
        <f>(IF((VLOOKUP(Table6[[#This Row],[SKU]],'All Skus'!$A:$AC,2,FALSE))="JBL",(VLOOKUP(Table6[[#This Row],[SKU]],'All Skus'!$A:$AC,18,FALSE)),""))</f>
        <v>7.25</v>
      </c>
      <c r="Q62" s="136">
        <f>(IF((VLOOKUP(Table6[[#This Row],[SKU]],'All Skus'!$A:$AC,2,FALSE))="JBL",(VLOOKUP(Table6[[#This Row],[SKU]],'All Skus'!$A:$AC,19,FALSE)),""))</f>
        <v>13.5</v>
      </c>
      <c r="R62" s="136">
        <f>(IF((VLOOKUP(Table6[[#This Row],[SKU]],'All Skus'!$A:$AC,2,FALSE))="JBL",(VLOOKUP(Table6[[#This Row],[SKU]],'All Skus'!$A:$AC,20,FALSE)),""))</f>
        <v>5</v>
      </c>
      <c r="S62" s="61">
        <f>(IF((VLOOKUP(Table6[[#This Row],[SKU]],'All Skus'!$A:$AC,2,FALSE))="JBL",(VLOOKUP(Table6[[#This Row],[SKU]],'All Skus'!$A:$AC,21,FALSE)),""))</f>
        <v>5</v>
      </c>
      <c r="T62" s="61" t="str">
        <f>(IF((VLOOKUP(Table6[[#This Row],[SKU]],'All Skus'!$A:$AC,2,FALSE))="JBL",(VLOOKUP(Table6[[#This Row],[SKU]],'All Skus'!$A:$AC,22,FALSE)),""))</f>
        <v>CN</v>
      </c>
      <c r="U62" t="str">
        <f>(IF((VLOOKUP(Table6[[#This Row],[SKU]],'All Skus'!$A:$AC,2,FALSE))="JBL",(VLOOKUP(Table6[[#This Row],[SKU]],'All Skus'!$A:$AC,23,FALSE)),""))</f>
        <v>Non Compliant</v>
      </c>
      <c r="V62" s="284" t="str">
        <f>HYPERLINK((IF((VLOOKUP(Table6[[#This Row],[SKU]],'All Skus'!$A:$AC,2,FALSE))="JBL",(VLOOKUP(Table6[[#This Row],[SKU]],'All Skus'!$A:$AC,24,FALSE)),"")))</f>
        <v xml:space="preserve">http://www.jblpro.com/www/products/installed-sound/control-10-series/control-12c-t </v>
      </c>
      <c r="W62" s="151">
        <v>60</v>
      </c>
    </row>
    <row r="63" spans="1:23" ht="15" hidden="1" customHeight="1">
      <c r="A63" s="13" t="s">
        <v>1069</v>
      </c>
      <c r="B63" s="12" t="str">
        <f>(IF((VLOOKUP(Table6[[#This Row],[SKU]],'All Skus'!$A:$AC,2,FALSE))="JBL",(VLOOKUP(Table6[[#This Row],[SKU]],'All Skus'!$A:$AC,3,FALSE)),""))</f>
        <v>Ceiling Speaker</v>
      </c>
      <c r="C63" s="12" t="str">
        <f>(IF((VLOOKUP(Table6[[#This Row],[SKU]],'All Skus'!$A:$AC,2,FALSE))="JBL",(VLOOKUP(Table6[[#This Row],[SKU]],'All Skus'!$A:$AC,4,FALSE)),""))</f>
        <v>CONTROL 14C/T</v>
      </c>
      <c r="D63" s="61" t="str">
        <f>(IF((VLOOKUP(Table6[[#This Row],[SKU]],'All Skus'!$A:$AC,2,FALSE))="JBL",(VLOOKUP(Table6[[#This Row],[SKU]],'All Skus'!$A:$AC,5,FALSE)),""))</f>
        <v>JBL018</v>
      </c>
      <c r="E63" s="137">
        <f>(IF((VLOOKUP(Table6[[#This Row],[SKU]],'All Skus'!$A:$AC,2,FALSE))="JBL",(VLOOKUP(Table6[[#This Row],[SKU]],'All Skus'!$A:$AC,6,FALSE)),""))</f>
        <v>0</v>
      </c>
      <c r="F63" s="61">
        <f>(IF((VLOOKUP(Table6[[#This Row],[SKU]],'All Skus'!$A:$AC,2,FALSE))="JBL",(VLOOKUP(Table6[[#This Row],[SKU]],'All Skus'!$A:$AC,7,FALSE)),""))</f>
        <v>0</v>
      </c>
      <c r="G63" t="str">
        <f>(IF((VLOOKUP(Table6[[#This Row],[SKU]],'All Skus'!$A:$AC,2,FALSE))="JBL",(VLOOKUP(Table6[[#This Row],[SKU]],'All Skus'!$A:$AC,8,FALSE)),""))</f>
        <v>4" CO-AX CEILING SPKR (2 PER CTN)</v>
      </c>
      <c r="H63" s="8" t="str">
        <f>(IF((VLOOKUP(Table6[[#This Row],[SKU]],'All Skus'!$A:$AC,2,FALSE))="JBL",(VLOOKUP(Table6[[#This Row],[SKU]],'All Skus'!$A:$AC,9,FALSE)),""))</f>
        <v>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White.  Priced as each, sold in pairs. International master pack is 2 speakers.</v>
      </c>
      <c r="I63" s="101">
        <f>(IF((VLOOKUP(Table6[[#This Row],[SKU]],'All Skus'!$A:$AC,2,FALSE))="JBL",(VLOOKUP(Table6[[#This Row],[SKU]],'All Skus'!$A:$AC,10,FALSE)),""))</f>
        <v>143.94999999999999</v>
      </c>
      <c r="J63" s="101">
        <f>(IF((VLOOKUP(Table6[[#This Row],[SKU]],'All Skus'!$A:$AC,2,FALSE))="JBL",(VLOOKUP(Table6[[#This Row],[SKU]],'All Skus'!$A:$AC,11,FALSE)),""))</f>
        <v>113</v>
      </c>
      <c r="K63" s="102">
        <f>(IF((VLOOKUP(Table6[[#This Row],[SKU]],'All Skus'!$A:$AC,2,FALSE))="JBL",(VLOOKUP(Table6[[#This Row],[SKU]],'All Skus'!$A:$AC,13,FALSE)),""))</f>
        <v>79.652940000000001</v>
      </c>
      <c r="L63" s="102">
        <f>(IF((VLOOKUP(Table6[[#This Row],[SKU]],'All Skus'!$A:$AC,2,FALSE))="JBL",(VLOOKUP(Table6[[#This Row],[SKU]],'All Skus'!$A:$AC,14,FALSE)),""))</f>
        <v>75.460680000000011</v>
      </c>
      <c r="M63" s="143">
        <f>(IF((VLOOKUP(Table6[[#This Row],[SKU]],'All Skus'!$A:$AC,2,FALSE))="JBL",(VLOOKUP(Table6[[#This Row],[SKU]],'All Skus'!$A:$AC,15,FALSE)),""))</f>
        <v>2</v>
      </c>
      <c r="N63" s="137">
        <f>(IF((VLOOKUP(Table6[[#This Row],[SKU]],'All Skus'!$A:$AC,2,FALSE))="JBL",(VLOOKUP(Table6[[#This Row],[SKU]],'All Skus'!$A:$AC,16,FALSE)),""))</f>
        <v>50036904551</v>
      </c>
      <c r="O63" s="61">
        <f>(IF((VLOOKUP(Table6[[#This Row],[SKU]],'All Skus'!$A:$AC,2,FALSE))="JBL",(VLOOKUP(Table6[[#This Row],[SKU]],'All Skus'!$A:$AC,17,FALSE)),""))</f>
        <v>0</v>
      </c>
      <c r="P63" s="136">
        <f>(IF((VLOOKUP(Table6[[#This Row],[SKU]],'All Skus'!$A:$AC,2,FALSE))="JBL",(VLOOKUP(Table6[[#This Row],[SKU]],'All Skus'!$A:$AC,18,FALSE)),""))</f>
        <v>9</v>
      </c>
      <c r="Q63" s="136">
        <f>(IF((VLOOKUP(Table6[[#This Row],[SKU]],'All Skus'!$A:$AC,2,FALSE))="JBL",(VLOOKUP(Table6[[#This Row],[SKU]],'All Skus'!$A:$AC,19,FALSE)),""))</f>
        <v>13.5</v>
      </c>
      <c r="R63" s="136">
        <f>(IF((VLOOKUP(Table6[[#This Row],[SKU]],'All Skus'!$A:$AC,2,FALSE))="JBL",(VLOOKUP(Table6[[#This Row],[SKU]],'All Skus'!$A:$AC,20,FALSE)),""))</f>
        <v>10</v>
      </c>
      <c r="S63" s="61">
        <f>(IF((VLOOKUP(Table6[[#This Row],[SKU]],'All Skus'!$A:$AC,2,FALSE))="JBL",(VLOOKUP(Table6[[#This Row],[SKU]],'All Skus'!$A:$AC,21,FALSE)),""))</f>
        <v>11</v>
      </c>
      <c r="T63" s="61" t="str">
        <f>(IF((VLOOKUP(Table6[[#This Row],[SKU]],'All Skus'!$A:$AC,2,FALSE))="JBL",(VLOOKUP(Table6[[#This Row],[SKU]],'All Skus'!$A:$AC,22,FALSE)),""))</f>
        <v>CN</v>
      </c>
      <c r="U63" t="str">
        <f>(IF((VLOOKUP(Table6[[#This Row],[SKU]],'All Skus'!$A:$AC,2,FALSE))="JBL",(VLOOKUP(Table6[[#This Row],[SKU]],'All Skus'!$A:$AC,23,FALSE)),""))</f>
        <v>Non Compliant</v>
      </c>
      <c r="V63" s="284" t="str">
        <f>HYPERLINK((IF((VLOOKUP(Table6[[#This Row],[SKU]],'All Skus'!$A:$AC,2,FALSE))="JBL",(VLOOKUP(Table6[[#This Row],[SKU]],'All Skus'!$A:$AC,24,FALSE)),"")))</f>
        <v xml:space="preserve">http://www.jblpro.com/www/products/installed-sound/control-10-series/control-14c-t </v>
      </c>
      <c r="W63" s="151">
        <v>61</v>
      </c>
    </row>
    <row r="64" spans="1:23" ht="15" hidden="1" customHeight="1">
      <c r="A64" s="13" t="s">
        <v>1070</v>
      </c>
      <c r="B64" s="12" t="str">
        <f>(IF((VLOOKUP(Table6[[#This Row],[SKU]],'All Skus'!$A:$AC,2,FALSE))="JBL",(VLOOKUP(Table6[[#This Row],[SKU]],'All Skus'!$A:$AC,3,FALSE)),""))</f>
        <v>Ceiling Speaker</v>
      </c>
      <c r="C64" s="12" t="str">
        <f>(IF((VLOOKUP(Table6[[#This Row],[SKU]],'All Skus'!$A:$AC,2,FALSE))="JBL",(VLOOKUP(Table6[[#This Row],[SKU]],'All Skus'!$A:$AC,4,FALSE)),""))</f>
        <v>CONTROL 14C/T-BK</v>
      </c>
      <c r="D64" s="61" t="str">
        <f>(IF((VLOOKUP(Table6[[#This Row],[SKU]],'All Skus'!$A:$AC,2,FALSE))="JBL",(VLOOKUP(Table6[[#This Row],[SKU]],'All Skus'!$A:$AC,5,FALSE)),""))</f>
        <v>JBL018</v>
      </c>
      <c r="E64" s="137">
        <f>(IF((VLOOKUP(Table6[[#This Row],[SKU]],'All Skus'!$A:$AC,2,FALSE))="JBL",(VLOOKUP(Table6[[#This Row],[SKU]],'All Skus'!$A:$AC,6,FALSE)),""))</f>
        <v>0</v>
      </c>
      <c r="F64" s="61">
        <f>(IF((VLOOKUP(Table6[[#This Row],[SKU]],'All Skus'!$A:$AC,2,FALSE))="JBL",(VLOOKUP(Table6[[#This Row],[SKU]],'All Skus'!$A:$AC,7,FALSE)),""))</f>
        <v>0</v>
      </c>
      <c r="G64" t="str">
        <f>(IF((VLOOKUP(Table6[[#This Row],[SKU]],'All Skus'!$A:$AC,2,FALSE))="JBL",(VLOOKUP(Table6[[#This Row],[SKU]],'All Skus'!$A:$AC,8,FALSE)),""))</f>
        <v>4" CO-AX CEILING SPKR (2 PER CTN), BLK</v>
      </c>
      <c r="H64" s="8" t="str">
        <f>(IF((VLOOKUP(Table6[[#This Row],[SKU]],'All Skus'!$A:$AC,2,FALSE))="JBL",(VLOOKUP(Table6[[#This Row],[SKU]],'All Skus'!$A:$AC,9,FALSE)),""))</f>
        <v>Two-Way 100 mm (4 in) Co-axial Ceiling Loudspeaker. 100 mm (4 in) high output driver with polypropylene cone and butyl rubber surround and 19 mm (3/4 in) soft-dome liquid-cooled tweeter, 74 Hz – 20 kHz bandwidth, wide 120° coverage, 87 dB sensitivity.  Blind-mount backcan for quick and easy installation, dual conduit/cable clamp for in and thru cables.  Combined 25 W multi-tap transformer at 70V/100V and 8Ω direct setting (30 W).  Black.  Priced as each, sold in pairs. International master pack is 2 speakers.</v>
      </c>
      <c r="I64" s="101">
        <f>(IF((VLOOKUP(Table6[[#This Row],[SKU]],'All Skus'!$A:$AC,2,FALSE))="JBL",(VLOOKUP(Table6[[#This Row],[SKU]],'All Skus'!$A:$AC,10,FALSE)),""))</f>
        <v>143.94999999999999</v>
      </c>
      <c r="J64" s="101">
        <f>(IF((VLOOKUP(Table6[[#This Row],[SKU]],'All Skus'!$A:$AC,2,FALSE))="JBL",(VLOOKUP(Table6[[#This Row],[SKU]],'All Skus'!$A:$AC,11,FALSE)),""))</f>
        <v>113</v>
      </c>
      <c r="K64" s="102">
        <f>(IF((VLOOKUP(Table6[[#This Row],[SKU]],'All Skus'!$A:$AC,2,FALSE))="JBL",(VLOOKUP(Table6[[#This Row],[SKU]],'All Skus'!$A:$AC,13,FALSE)),""))</f>
        <v>79.652940000000001</v>
      </c>
      <c r="L64" s="102">
        <f>(IF((VLOOKUP(Table6[[#This Row],[SKU]],'All Skus'!$A:$AC,2,FALSE))="JBL",(VLOOKUP(Table6[[#This Row],[SKU]],'All Skus'!$A:$AC,14,FALSE)),""))</f>
        <v>75.460680000000011</v>
      </c>
      <c r="M64" s="143">
        <f>(IF((VLOOKUP(Table6[[#This Row],[SKU]],'All Skus'!$A:$AC,2,FALSE))="JBL",(VLOOKUP(Table6[[#This Row],[SKU]],'All Skus'!$A:$AC,15,FALSE)),""))</f>
        <v>2</v>
      </c>
      <c r="N64" s="137">
        <f>(IF((VLOOKUP(Table6[[#This Row],[SKU]],'All Skus'!$A:$AC,2,FALSE))="JBL",(VLOOKUP(Table6[[#This Row],[SKU]],'All Skus'!$A:$AC,16,FALSE)),""))</f>
        <v>50036904568</v>
      </c>
      <c r="O64" s="61">
        <f>(IF((VLOOKUP(Table6[[#This Row],[SKU]],'All Skus'!$A:$AC,2,FALSE))="JBL",(VLOOKUP(Table6[[#This Row],[SKU]],'All Skus'!$A:$AC,17,FALSE)),""))</f>
        <v>0</v>
      </c>
      <c r="P64" s="136">
        <f>(IF((VLOOKUP(Table6[[#This Row],[SKU]],'All Skus'!$A:$AC,2,FALSE))="JBL",(VLOOKUP(Table6[[#This Row],[SKU]],'All Skus'!$A:$AC,18,FALSE)),""))</f>
        <v>9</v>
      </c>
      <c r="Q64" s="136">
        <f>(IF((VLOOKUP(Table6[[#This Row],[SKU]],'All Skus'!$A:$AC,2,FALSE))="JBL",(VLOOKUP(Table6[[#This Row],[SKU]],'All Skus'!$A:$AC,19,FALSE)),""))</f>
        <v>13</v>
      </c>
      <c r="R64" s="136">
        <f>(IF((VLOOKUP(Table6[[#This Row],[SKU]],'All Skus'!$A:$AC,2,FALSE))="JBL",(VLOOKUP(Table6[[#This Row],[SKU]],'All Skus'!$A:$AC,20,FALSE)),""))</f>
        <v>5</v>
      </c>
      <c r="S64" s="61">
        <f>(IF((VLOOKUP(Table6[[#This Row],[SKU]],'All Skus'!$A:$AC,2,FALSE))="JBL",(VLOOKUP(Table6[[#This Row],[SKU]],'All Skus'!$A:$AC,21,FALSE)),""))</f>
        <v>6</v>
      </c>
      <c r="T64" s="61" t="str">
        <f>(IF((VLOOKUP(Table6[[#This Row],[SKU]],'All Skus'!$A:$AC,2,FALSE))="JBL",(VLOOKUP(Table6[[#This Row],[SKU]],'All Skus'!$A:$AC,22,FALSE)),""))</f>
        <v>CN</v>
      </c>
      <c r="U64" t="str">
        <f>(IF((VLOOKUP(Table6[[#This Row],[SKU]],'All Skus'!$A:$AC,2,FALSE))="JBL",(VLOOKUP(Table6[[#This Row],[SKU]],'All Skus'!$A:$AC,23,FALSE)),""))</f>
        <v>Non Compliant</v>
      </c>
      <c r="V64" s="284" t="str">
        <f>HYPERLINK((IF((VLOOKUP(Table6[[#This Row],[SKU]],'All Skus'!$A:$AC,2,FALSE))="JBL",(VLOOKUP(Table6[[#This Row],[SKU]],'All Skus'!$A:$AC,24,FALSE)),"")))</f>
        <v xml:space="preserve">http://www.jblpro.com/www/products/installed-sound/control-10-series/control-14c-t </v>
      </c>
      <c r="W64" s="151">
        <v>62</v>
      </c>
    </row>
    <row r="65" spans="1:23" ht="15" hidden="1" customHeight="1">
      <c r="A65" s="13" t="s">
        <v>1071</v>
      </c>
      <c r="B65" s="12" t="str">
        <f>(IF((VLOOKUP(Table6[[#This Row],[SKU]],'All Skus'!$A:$AC,2,FALSE))="JBL",(VLOOKUP(Table6[[#This Row],[SKU]],'All Skus'!$A:$AC,3,FALSE)),""))</f>
        <v>Ceiling Speaker</v>
      </c>
      <c r="C65" s="12" t="str">
        <f>(IF((VLOOKUP(Table6[[#This Row],[SKU]],'All Skus'!$A:$AC,2,FALSE))="JBL",(VLOOKUP(Table6[[#This Row],[SKU]],'All Skus'!$A:$AC,4,FALSE)),""))</f>
        <v>CONTROL 16C/T</v>
      </c>
      <c r="D65" s="61" t="str">
        <f>(IF((VLOOKUP(Table6[[#This Row],[SKU]],'All Skus'!$A:$AC,2,FALSE))="JBL",(VLOOKUP(Table6[[#This Row],[SKU]],'All Skus'!$A:$AC,5,FALSE)),""))</f>
        <v>JBL018</v>
      </c>
      <c r="E65" s="137">
        <f>(IF((VLOOKUP(Table6[[#This Row],[SKU]],'All Skus'!$A:$AC,2,FALSE))="JBL",(VLOOKUP(Table6[[#This Row],[SKU]],'All Skus'!$A:$AC,6,FALSE)),""))</f>
        <v>0</v>
      </c>
      <c r="F65" s="61">
        <f>(IF((VLOOKUP(Table6[[#This Row],[SKU]],'All Skus'!$A:$AC,2,FALSE))="JBL",(VLOOKUP(Table6[[#This Row],[SKU]],'All Skus'!$A:$AC,7,FALSE)),""))</f>
        <v>0</v>
      </c>
      <c r="G65" t="str">
        <f>(IF((VLOOKUP(Table6[[#This Row],[SKU]],'All Skus'!$A:$AC,2,FALSE))="JBL",(VLOOKUP(Table6[[#This Row],[SKU]],'All Skus'!$A:$AC,8,FALSE)),""))</f>
        <v>6-1/2" CO-AX CEILING SPKR (2 PER CTN)</v>
      </c>
      <c r="H65" s="8" t="str">
        <f>(IF((VLOOKUP(Table6[[#This Row],[SKU]],'All Skus'!$A:$AC,2,FALSE))="JBL",(VLOOKUP(Table6[[#This Row],[SKU]],'All Skus'!$A:$AC,9,FALSE)),""))</f>
        <v>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White.  Priced as each, sold in pairs. International master pack is 2 speakers.</v>
      </c>
      <c r="I65" s="101">
        <f>(IF((VLOOKUP(Table6[[#This Row],[SKU]],'All Skus'!$A:$AC,2,FALSE))="JBL",(VLOOKUP(Table6[[#This Row],[SKU]],'All Skus'!$A:$AC,10,FALSE)),""))</f>
        <v>184.72</v>
      </c>
      <c r="J65" s="101">
        <f>(IF((VLOOKUP(Table6[[#This Row],[SKU]],'All Skus'!$A:$AC,2,FALSE))="JBL",(VLOOKUP(Table6[[#This Row],[SKU]],'All Skus'!$A:$AC,11,FALSE)),""))</f>
        <v>150</v>
      </c>
      <c r="K65" s="102">
        <f>(IF((VLOOKUP(Table6[[#This Row],[SKU]],'All Skus'!$A:$AC,2,FALSE))="JBL",(VLOOKUP(Table6[[#This Row],[SKU]],'All Skus'!$A:$AC,13,FALSE)),""))</f>
        <v>102.21924</v>
      </c>
      <c r="L65" s="102">
        <f>(IF((VLOOKUP(Table6[[#This Row],[SKU]],'All Skus'!$A:$AC,2,FALSE))="JBL",(VLOOKUP(Table6[[#This Row],[SKU]],'All Skus'!$A:$AC,14,FALSE)),""))</f>
        <v>96.839280000000016</v>
      </c>
      <c r="M65" s="143">
        <f>(IF((VLOOKUP(Table6[[#This Row],[SKU]],'All Skus'!$A:$AC,2,FALSE))="JBL",(VLOOKUP(Table6[[#This Row],[SKU]],'All Skus'!$A:$AC,15,FALSE)),""))</f>
        <v>2</v>
      </c>
      <c r="N65" s="137">
        <f>(IF((VLOOKUP(Table6[[#This Row],[SKU]],'All Skus'!$A:$AC,2,FALSE))="JBL",(VLOOKUP(Table6[[#This Row],[SKU]],'All Skus'!$A:$AC,16,FALSE)),""))</f>
        <v>50036904575</v>
      </c>
      <c r="O65" s="61">
        <f>(IF((VLOOKUP(Table6[[#This Row],[SKU]],'All Skus'!$A:$AC,2,FALSE))="JBL",(VLOOKUP(Table6[[#This Row],[SKU]],'All Skus'!$A:$AC,17,FALSE)),""))</f>
        <v>0</v>
      </c>
      <c r="P65" s="136">
        <f>(IF((VLOOKUP(Table6[[#This Row],[SKU]],'All Skus'!$A:$AC,2,FALSE))="JBL",(VLOOKUP(Table6[[#This Row],[SKU]],'All Skus'!$A:$AC,18,FALSE)),""))</f>
        <v>12.4</v>
      </c>
      <c r="Q65" s="136">
        <f>(IF((VLOOKUP(Table6[[#This Row],[SKU]],'All Skus'!$A:$AC,2,FALSE))="JBL",(VLOOKUP(Table6[[#This Row],[SKU]],'All Skus'!$A:$AC,19,FALSE)),""))</f>
        <v>6</v>
      </c>
      <c r="R65" s="136">
        <f>(IF((VLOOKUP(Table6[[#This Row],[SKU]],'All Skus'!$A:$AC,2,FALSE))="JBL",(VLOOKUP(Table6[[#This Row],[SKU]],'All Skus'!$A:$AC,20,FALSE)),""))</f>
        <v>14</v>
      </c>
      <c r="S65" s="61">
        <f>(IF((VLOOKUP(Table6[[#This Row],[SKU]],'All Skus'!$A:$AC,2,FALSE))="JBL",(VLOOKUP(Table6[[#This Row],[SKU]],'All Skus'!$A:$AC,21,FALSE)),""))</f>
        <v>7</v>
      </c>
      <c r="T65" s="61" t="str">
        <f>(IF((VLOOKUP(Table6[[#This Row],[SKU]],'All Skus'!$A:$AC,2,FALSE))="JBL",(VLOOKUP(Table6[[#This Row],[SKU]],'All Skus'!$A:$AC,22,FALSE)),""))</f>
        <v>CN</v>
      </c>
      <c r="U65" t="str">
        <f>(IF((VLOOKUP(Table6[[#This Row],[SKU]],'All Skus'!$A:$AC,2,FALSE))="JBL",(VLOOKUP(Table6[[#This Row],[SKU]],'All Skus'!$A:$AC,23,FALSE)),""))</f>
        <v>Non Compliant</v>
      </c>
      <c r="V65" s="284" t="str">
        <f>HYPERLINK((IF((VLOOKUP(Table6[[#This Row],[SKU]],'All Skus'!$A:$AC,2,FALSE))="JBL",(VLOOKUP(Table6[[#This Row],[SKU]],'All Skus'!$A:$AC,24,FALSE)),"")))</f>
        <v xml:space="preserve">http://www.jblpro.com/www/products/installed-sound/control-10-series/control-16c-t </v>
      </c>
      <c r="W65" s="151">
        <v>63</v>
      </c>
    </row>
    <row r="66" spans="1:23" ht="15" hidden="1" customHeight="1">
      <c r="A66" s="13" t="s">
        <v>1072</v>
      </c>
      <c r="B66" s="12" t="str">
        <f>(IF((VLOOKUP(Table6[[#This Row],[SKU]],'All Skus'!$A:$AC,2,FALSE))="JBL",(VLOOKUP(Table6[[#This Row],[SKU]],'All Skus'!$A:$AC,3,FALSE)),""))</f>
        <v>Ceiling Speaker</v>
      </c>
      <c r="C66" s="12" t="str">
        <f>(IF((VLOOKUP(Table6[[#This Row],[SKU]],'All Skus'!$A:$AC,2,FALSE))="JBL",(VLOOKUP(Table6[[#This Row],[SKU]],'All Skus'!$A:$AC,4,FALSE)),""))</f>
        <v>CONTROL 16C/T-BK</v>
      </c>
      <c r="D66" s="61" t="str">
        <f>(IF((VLOOKUP(Table6[[#This Row],[SKU]],'All Skus'!$A:$AC,2,FALSE))="JBL",(VLOOKUP(Table6[[#This Row],[SKU]],'All Skus'!$A:$AC,5,FALSE)),""))</f>
        <v>JBL018</v>
      </c>
      <c r="E66" s="137">
        <f>(IF((VLOOKUP(Table6[[#This Row],[SKU]],'All Skus'!$A:$AC,2,FALSE))="JBL",(VLOOKUP(Table6[[#This Row],[SKU]],'All Skus'!$A:$AC,6,FALSE)),""))</f>
        <v>0</v>
      </c>
      <c r="F66" s="61">
        <f>(IF((VLOOKUP(Table6[[#This Row],[SKU]],'All Skus'!$A:$AC,2,FALSE))="JBL",(VLOOKUP(Table6[[#This Row],[SKU]],'All Skus'!$A:$AC,7,FALSE)),""))</f>
        <v>0</v>
      </c>
      <c r="G66" t="str">
        <f>(IF((VLOOKUP(Table6[[#This Row],[SKU]],'All Skus'!$A:$AC,2,FALSE))="JBL",(VLOOKUP(Table6[[#This Row],[SKU]],'All Skus'!$A:$AC,8,FALSE)),""))</f>
        <v>6-1/2" CO-AX CEILING SPKR (2 PER CTN), BLK</v>
      </c>
      <c r="H66" s="8" t="str">
        <f>(IF((VLOOKUP(Table6[[#This Row],[SKU]],'All Skus'!$A:$AC,2,FALSE))="JBL",(VLOOKUP(Table6[[#This Row],[SKU]],'All Skus'!$A:$AC,9,FALSE)),""))</f>
        <v>Two-Way 165 mm (6.5 in) Co-axial Ceiling Loudspeaker. 165 mm (6.5 in) high output driver with polypropylene cone and butyl rubber surround and 19 mm (3/4 in) soft-dome liquid-cooled tweeter, 62 Hz – 20 kHz bandwidth, 110° coverage, high 91 dB sensitivity.  Blind-mount backcan for quick and easy installation, dual conduit/cable clamp for in and thru cables.  Combined 30 W multi-tap transformer at 70V/100V and 8Ω direct setting (50 W).  Black.  Priced as each, sold in pairs. International master pack is 2 speakers.</v>
      </c>
      <c r="I66" s="101">
        <f>(IF((VLOOKUP(Table6[[#This Row],[SKU]],'All Skus'!$A:$AC,2,FALSE))="JBL",(VLOOKUP(Table6[[#This Row],[SKU]],'All Skus'!$A:$AC,10,FALSE)),""))</f>
        <v>184.72</v>
      </c>
      <c r="J66" s="101">
        <f>(IF((VLOOKUP(Table6[[#This Row],[SKU]],'All Skus'!$A:$AC,2,FALSE))="JBL",(VLOOKUP(Table6[[#This Row],[SKU]],'All Skus'!$A:$AC,11,FALSE)),""))</f>
        <v>150</v>
      </c>
      <c r="K66" s="102">
        <f>(IF((VLOOKUP(Table6[[#This Row],[SKU]],'All Skus'!$A:$AC,2,FALSE))="JBL",(VLOOKUP(Table6[[#This Row],[SKU]],'All Skus'!$A:$AC,13,FALSE)),""))</f>
        <v>102.21924</v>
      </c>
      <c r="L66" s="102">
        <f>(IF((VLOOKUP(Table6[[#This Row],[SKU]],'All Skus'!$A:$AC,2,FALSE))="JBL",(VLOOKUP(Table6[[#This Row],[SKU]],'All Skus'!$A:$AC,14,FALSE)),""))</f>
        <v>96.839280000000016</v>
      </c>
      <c r="M66" s="143">
        <f>(IF((VLOOKUP(Table6[[#This Row],[SKU]],'All Skus'!$A:$AC,2,FALSE))="JBL",(VLOOKUP(Table6[[#This Row],[SKU]],'All Skus'!$A:$AC,15,FALSE)),""))</f>
        <v>2</v>
      </c>
      <c r="N66" s="137">
        <f>(IF((VLOOKUP(Table6[[#This Row],[SKU]],'All Skus'!$A:$AC,2,FALSE))="JBL",(VLOOKUP(Table6[[#This Row],[SKU]],'All Skus'!$A:$AC,16,FALSE)),""))</f>
        <v>50036904582</v>
      </c>
      <c r="O66" s="61">
        <f>(IF((VLOOKUP(Table6[[#This Row],[SKU]],'All Skus'!$A:$AC,2,FALSE))="JBL",(VLOOKUP(Table6[[#This Row],[SKU]],'All Skus'!$A:$AC,17,FALSE)),""))</f>
        <v>0</v>
      </c>
      <c r="P66" s="136">
        <f>(IF((VLOOKUP(Table6[[#This Row],[SKU]],'All Skus'!$A:$AC,2,FALSE))="JBL",(VLOOKUP(Table6[[#This Row],[SKU]],'All Skus'!$A:$AC,18,FALSE)),""))</f>
        <v>12</v>
      </c>
      <c r="Q66" s="136">
        <f>(IF((VLOOKUP(Table6[[#This Row],[SKU]],'All Skus'!$A:$AC,2,FALSE))="JBL",(VLOOKUP(Table6[[#This Row],[SKU]],'All Skus'!$A:$AC,19,FALSE)),""))</f>
        <v>6</v>
      </c>
      <c r="R66" s="136">
        <f>(IF((VLOOKUP(Table6[[#This Row],[SKU]],'All Skus'!$A:$AC,2,FALSE))="JBL",(VLOOKUP(Table6[[#This Row],[SKU]],'All Skus'!$A:$AC,20,FALSE)),""))</f>
        <v>14</v>
      </c>
      <c r="S66" s="61">
        <f>(IF((VLOOKUP(Table6[[#This Row],[SKU]],'All Skus'!$A:$AC,2,FALSE))="JBL",(VLOOKUP(Table6[[#This Row],[SKU]],'All Skus'!$A:$AC,21,FALSE)),""))</f>
        <v>7</v>
      </c>
      <c r="T66" s="61" t="str">
        <f>(IF((VLOOKUP(Table6[[#This Row],[SKU]],'All Skus'!$A:$AC,2,FALSE))="JBL",(VLOOKUP(Table6[[#This Row],[SKU]],'All Skus'!$A:$AC,22,FALSE)),""))</f>
        <v>CN</v>
      </c>
      <c r="U66" t="str">
        <f>(IF((VLOOKUP(Table6[[#This Row],[SKU]],'All Skus'!$A:$AC,2,FALSE))="JBL",(VLOOKUP(Table6[[#This Row],[SKU]],'All Skus'!$A:$AC,23,FALSE)),""))</f>
        <v>Non Compliant</v>
      </c>
      <c r="V66" s="284" t="str">
        <f>HYPERLINK((IF((VLOOKUP(Table6[[#This Row],[SKU]],'All Skus'!$A:$AC,2,FALSE))="JBL",(VLOOKUP(Table6[[#This Row],[SKU]],'All Skus'!$A:$AC,24,FALSE)),"")))</f>
        <v xml:space="preserve">http://www.jblpro.com/www/products/installed-sound/control-10-series/control-16c-t </v>
      </c>
      <c r="W66" s="151">
        <v>64</v>
      </c>
    </row>
    <row r="67" spans="1:23" ht="15" hidden="1" customHeight="1">
      <c r="A67" s="13" t="s">
        <v>1073</v>
      </c>
      <c r="B67" s="12" t="str">
        <f>(IF((VLOOKUP(Table6[[#This Row],[SKU]],'All Skus'!$A:$AC,2,FALSE))="JBL",(VLOOKUP(Table6[[#This Row],[SKU]],'All Skus'!$A:$AC,3,FALSE)),""))</f>
        <v>Ceiling Speaker</v>
      </c>
      <c r="C67" s="12" t="str">
        <f>(IF((VLOOKUP(Table6[[#This Row],[SKU]],'All Skus'!$A:$AC,2,FALSE))="JBL",(VLOOKUP(Table6[[#This Row],[SKU]],'All Skus'!$A:$AC,4,FALSE)),""))</f>
        <v>CONTROL 18C/T</v>
      </c>
      <c r="D67" s="61" t="str">
        <f>(IF((VLOOKUP(Table6[[#This Row],[SKU]],'All Skus'!$A:$AC,2,FALSE))="JBL",(VLOOKUP(Table6[[#This Row],[SKU]],'All Skus'!$A:$AC,5,FALSE)),""))</f>
        <v>JBL018</v>
      </c>
      <c r="E67" s="137">
        <f>(IF((VLOOKUP(Table6[[#This Row],[SKU]],'All Skus'!$A:$AC,2,FALSE))="JBL",(VLOOKUP(Table6[[#This Row],[SKU]],'All Skus'!$A:$AC,6,FALSE)),""))</f>
        <v>0</v>
      </c>
      <c r="F67" s="61">
        <f>(IF((VLOOKUP(Table6[[#This Row],[SKU]],'All Skus'!$A:$AC,2,FALSE))="JBL",(VLOOKUP(Table6[[#This Row],[SKU]],'All Skus'!$A:$AC,7,FALSE)),""))</f>
        <v>0</v>
      </c>
      <c r="G67" t="str">
        <f>(IF((VLOOKUP(Table6[[#This Row],[SKU]],'All Skus'!$A:$AC,2,FALSE))="JBL",(VLOOKUP(Table6[[#This Row],[SKU]],'All Skus'!$A:$AC,8,FALSE)),""))</f>
        <v>8" 2-WAY CEILING SPKR, WHT (2 PER CTN)</v>
      </c>
      <c r="H67" s="8" t="str">
        <f>(IF((VLOOKUP(Table6[[#This Row],[SKU]],'All Skus'!$A:$AC,2,FALSE))="JBL",(VLOOKUP(Table6[[#This Row],[SKU]],'All Skus'!$A:$AC,9,FALSE)),""))</f>
        <v>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White.  Priced as each, sold in pairs. Master pack = 2 speakers.</v>
      </c>
      <c r="I67" s="101">
        <f>(IF((VLOOKUP(Table6[[#This Row],[SKU]],'All Skus'!$A:$AC,2,FALSE))="JBL",(VLOOKUP(Table6[[#This Row],[SKU]],'All Skus'!$A:$AC,10,FALSE)),""))</f>
        <v>253.3</v>
      </c>
      <c r="J67" s="101">
        <f>(IF((VLOOKUP(Table6[[#This Row],[SKU]],'All Skus'!$A:$AC,2,FALSE))="JBL",(VLOOKUP(Table6[[#This Row],[SKU]],'All Skus'!$A:$AC,11,FALSE)),""))</f>
        <v>205</v>
      </c>
      <c r="K67" s="102">
        <f>(IF((VLOOKUP(Table6[[#This Row],[SKU]],'All Skus'!$A:$AC,2,FALSE))="JBL",(VLOOKUP(Table6[[#This Row],[SKU]],'All Skus'!$A:$AC,13,FALSE)),""))</f>
        <v>0</v>
      </c>
      <c r="L67" s="102">
        <f>(IF((VLOOKUP(Table6[[#This Row],[SKU]],'All Skus'!$A:$AC,2,FALSE))="JBL",(VLOOKUP(Table6[[#This Row],[SKU]],'All Skus'!$A:$AC,14,FALSE)),""))</f>
        <v>0</v>
      </c>
      <c r="M67" s="143">
        <f>(IF((VLOOKUP(Table6[[#This Row],[SKU]],'All Skus'!$A:$AC,2,FALSE))="JBL",(VLOOKUP(Table6[[#This Row],[SKU]],'All Skus'!$A:$AC,15,FALSE)),""))</f>
        <v>2</v>
      </c>
      <c r="N67" s="137">
        <f>(IF((VLOOKUP(Table6[[#This Row],[SKU]],'All Skus'!$A:$AC,2,FALSE))="JBL",(VLOOKUP(Table6[[#This Row],[SKU]],'All Skus'!$A:$AC,16,FALSE)),""))</f>
        <v>691991004728</v>
      </c>
      <c r="O67" s="61">
        <f>(IF((VLOOKUP(Table6[[#This Row],[SKU]],'All Skus'!$A:$AC,2,FALSE))="JBL",(VLOOKUP(Table6[[#This Row],[SKU]],'All Skus'!$A:$AC,17,FALSE)),""))</f>
        <v>0</v>
      </c>
      <c r="P67" s="136">
        <f>(IF((VLOOKUP(Table6[[#This Row],[SKU]],'All Skus'!$A:$AC,2,FALSE))="JBL",(VLOOKUP(Table6[[#This Row],[SKU]],'All Skus'!$A:$AC,18,FALSE)),""))</f>
        <v>19.399999999999999</v>
      </c>
      <c r="Q67" s="136">
        <f>(IF((VLOOKUP(Table6[[#This Row],[SKU]],'All Skus'!$A:$AC,2,FALSE))="JBL",(VLOOKUP(Table6[[#This Row],[SKU]],'All Skus'!$A:$AC,19,FALSE)),""))</f>
        <v>30</v>
      </c>
      <c r="R67" s="136">
        <f>(IF((VLOOKUP(Table6[[#This Row],[SKU]],'All Skus'!$A:$AC,2,FALSE))="JBL",(VLOOKUP(Table6[[#This Row],[SKU]],'All Skus'!$A:$AC,20,FALSE)),""))</f>
        <v>15.5</v>
      </c>
      <c r="S67" s="61">
        <f>(IF((VLOOKUP(Table6[[#This Row],[SKU]],'All Skus'!$A:$AC,2,FALSE))="JBL",(VLOOKUP(Table6[[#This Row],[SKU]],'All Skus'!$A:$AC,21,FALSE)),""))</f>
        <v>16</v>
      </c>
      <c r="T67" s="61" t="str">
        <f>(IF((VLOOKUP(Table6[[#This Row],[SKU]],'All Skus'!$A:$AC,2,FALSE))="JBL",(VLOOKUP(Table6[[#This Row],[SKU]],'All Skus'!$A:$AC,22,FALSE)),""))</f>
        <v>CN</v>
      </c>
      <c r="U67" t="str">
        <f>(IF((VLOOKUP(Table6[[#This Row],[SKU]],'All Skus'!$A:$AC,2,FALSE))="JBL",(VLOOKUP(Table6[[#This Row],[SKU]],'All Skus'!$A:$AC,23,FALSE)),""))</f>
        <v>Non Compliant</v>
      </c>
      <c r="V67" s="284" t="str">
        <f>HYPERLINK((IF((VLOOKUP(Table6[[#This Row],[SKU]],'All Skus'!$A:$AC,2,FALSE))="JBL",(VLOOKUP(Table6[[#This Row],[SKU]],'All Skus'!$A:$AC,24,FALSE)),"")))</f>
        <v>http://www.jblpro.com/www/products/installed-sound/control-10-series/control-18c-t</v>
      </c>
      <c r="W67" s="151">
        <v>65</v>
      </c>
    </row>
    <row r="68" spans="1:23" ht="15" hidden="1" customHeight="1">
      <c r="A68" s="13" t="s">
        <v>1074</v>
      </c>
      <c r="B68" s="12" t="str">
        <f>(IF((VLOOKUP(Table6[[#This Row],[SKU]],'All Skus'!$A:$AC,2,FALSE))="JBL",(VLOOKUP(Table6[[#This Row],[SKU]],'All Skus'!$A:$AC,3,FALSE)),""))</f>
        <v>Ceiling Speaker</v>
      </c>
      <c r="C68" s="12" t="str">
        <f>(IF((VLOOKUP(Table6[[#This Row],[SKU]],'All Skus'!$A:$AC,2,FALSE))="JBL",(VLOOKUP(Table6[[#This Row],[SKU]],'All Skus'!$A:$AC,4,FALSE)),""))</f>
        <v>CONTROL 18C/T-BK</v>
      </c>
      <c r="D68" s="61" t="str">
        <f>(IF((VLOOKUP(Table6[[#This Row],[SKU]],'All Skus'!$A:$AC,2,FALSE))="JBL",(VLOOKUP(Table6[[#This Row],[SKU]],'All Skus'!$A:$AC,5,FALSE)),""))</f>
        <v>JBL018</v>
      </c>
      <c r="E68" s="137">
        <f>(IF((VLOOKUP(Table6[[#This Row],[SKU]],'All Skus'!$A:$AC,2,FALSE))="JBL",(VLOOKUP(Table6[[#This Row],[SKU]],'All Skus'!$A:$AC,6,FALSE)),""))</f>
        <v>0</v>
      </c>
      <c r="F68" s="61">
        <f>(IF((VLOOKUP(Table6[[#This Row],[SKU]],'All Skus'!$A:$AC,2,FALSE))="JBL",(VLOOKUP(Table6[[#This Row],[SKU]],'All Skus'!$A:$AC,7,FALSE)),""))</f>
        <v>0</v>
      </c>
      <c r="G68" t="str">
        <f>(IF((VLOOKUP(Table6[[#This Row],[SKU]],'All Skus'!$A:$AC,2,FALSE))="JBL",(VLOOKUP(Table6[[#This Row],[SKU]],'All Skus'!$A:$AC,8,FALSE)),""))</f>
        <v>8" 2-WAY CEILING SPKR, BLK (2 PER CTN)</v>
      </c>
      <c r="H68" s="8" t="str">
        <f>(IF((VLOOKUP(Table6[[#This Row],[SKU]],'All Skus'!$A:$AC,2,FALSE))="JBL",(VLOOKUP(Table6[[#This Row],[SKU]],'All Skus'!$A:$AC,9,FALSE)),""))</f>
        <v>Two-Way 200 mm (8 in) Co-axial Ceiling Loudspeaker. 8 inch high output driver with polypropylene cone and butyl rubber surround and 25 mm (1 in) soft-dome liquid-cooled tweeter, 58 Hz – 20 kHz bandwidth, focused 90° coverage, high 92 dB sensitivity.  Blind-mount backcan for quick and easy installation, dual conduit/cable clamp for in and thru cables.  60 W multi-tap transformer at 70V/100V and 8Ω direct setting for 90 Watts (260W peak).  Black (-BK).  Priced as each, sold in pairs. Master pack = 2 speakers.</v>
      </c>
      <c r="I68" s="101">
        <f>(IF((VLOOKUP(Table6[[#This Row],[SKU]],'All Skus'!$A:$AC,2,FALSE))="JBL",(VLOOKUP(Table6[[#This Row],[SKU]],'All Skus'!$A:$AC,10,FALSE)),""))</f>
        <v>253.3</v>
      </c>
      <c r="J68" s="101">
        <f>(IF((VLOOKUP(Table6[[#This Row],[SKU]],'All Skus'!$A:$AC,2,FALSE))="JBL",(VLOOKUP(Table6[[#This Row],[SKU]],'All Skus'!$A:$AC,11,FALSE)),""))</f>
        <v>205</v>
      </c>
      <c r="K68" s="102">
        <f>(IF((VLOOKUP(Table6[[#This Row],[SKU]],'All Skus'!$A:$AC,2,FALSE))="JBL",(VLOOKUP(Table6[[#This Row],[SKU]],'All Skus'!$A:$AC,13,FALSE)),""))</f>
        <v>0</v>
      </c>
      <c r="L68" s="102">
        <f>(IF((VLOOKUP(Table6[[#This Row],[SKU]],'All Skus'!$A:$AC,2,FALSE))="JBL",(VLOOKUP(Table6[[#This Row],[SKU]],'All Skus'!$A:$AC,14,FALSE)),""))</f>
        <v>0</v>
      </c>
      <c r="M68" s="143">
        <f>(IF((VLOOKUP(Table6[[#This Row],[SKU]],'All Skus'!$A:$AC,2,FALSE))="JBL",(VLOOKUP(Table6[[#This Row],[SKU]],'All Skus'!$A:$AC,15,FALSE)),""))</f>
        <v>2</v>
      </c>
      <c r="N68" s="137">
        <f>(IF((VLOOKUP(Table6[[#This Row],[SKU]],'All Skus'!$A:$AC,2,FALSE))="JBL",(VLOOKUP(Table6[[#This Row],[SKU]],'All Skus'!$A:$AC,16,FALSE)),""))</f>
        <v>691991004735</v>
      </c>
      <c r="O68" s="61">
        <f>(IF((VLOOKUP(Table6[[#This Row],[SKU]],'All Skus'!$A:$AC,2,FALSE))="JBL",(VLOOKUP(Table6[[#This Row],[SKU]],'All Skus'!$A:$AC,17,FALSE)),""))</f>
        <v>0</v>
      </c>
      <c r="P68" s="136">
        <f>(IF((VLOOKUP(Table6[[#This Row],[SKU]],'All Skus'!$A:$AC,2,FALSE))="JBL",(VLOOKUP(Table6[[#This Row],[SKU]],'All Skus'!$A:$AC,18,FALSE)),""))</f>
        <v>39</v>
      </c>
      <c r="Q68" s="136">
        <f>(IF((VLOOKUP(Table6[[#This Row],[SKU]],'All Skus'!$A:$AC,2,FALSE))="JBL",(VLOOKUP(Table6[[#This Row],[SKU]],'All Skus'!$A:$AC,19,FALSE)),""))</f>
        <v>30</v>
      </c>
      <c r="R68" s="136">
        <f>(IF((VLOOKUP(Table6[[#This Row],[SKU]],'All Skus'!$A:$AC,2,FALSE))="JBL",(VLOOKUP(Table6[[#This Row],[SKU]],'All Skus'!$A:$AC,20,FALSE)),""))</f>
        <v>15.5</v>
      </c>
      <c r="S68" s="61">
        <f>(IF((VLOOKUP(Table6[[#This Row],[SKU]],'All Skus'!$A:$AC,2,FALSE))="JBL",(VLOOKUP(Table6[[#This Row],[SKU]],'All Skus'!$A:$AC,21,FALSE)),""))</f>
        <v>16</v>
      </c>
      <c r="T68" s="61" t="str">
        <f>(IF((VLOOKUP(Table6[[#This Row],[SKU]],'All Skus'!$A:$AC,2,FALSE))="JBL",(VLOOKUP(Table6[[#This Row],[SKU]],'All Skus'!$A:$AC,22,FALSE)),""))</f>
        <v>CN</v>
      </c>
      <c r="U68" t="str">
        <f>(IF((VLOOKUP(Table6[[#This Row],[SKU]],'All Skus'!$A:$AC,2,FALSE))="JBL",(VLOOKUP(Table6[[#This Row],[SKU]],'All Skus'!$A:$AC,23,FALSE)),""))</f>
        <v>Non Compliant</v>
      </c>
      <c r="V68" s="284" t="str">
        <f>HYPERLINK((IF((VLOOKUP(Table6[[#This Row],[SKU]],'All Skus'!$A:$AC,2,FALSE))="JBL",(VLOOKUP(Table6[[#This Row],[SKU]],'All Skus'!$A:$AC,24,FALSE)),"")))</f>
        <v>http://www.jblpro.com/www/products/installed-sound/control-10-series/control-18c-t</v>
      </c>
      <c r="W68" s="151">
        <v>66</v>
      </c>
    </row>
    <row r="69" spans="1:23" ht="15" hidden="1" customHeight="1">
      <c r="A69" s="13" t="s">
        <v>1075</v>
      </c>
      <c r="B69" s="12" t="str">
        <f>(IF((VLOOKUP(Table6[[#This Row],[SKU]],'All Skus'!$A:$AC,2,FALSE))="JBL",(VLOOKUP(Table6[[#This Row],[SKU]],'All Skus'!$A:$AC,3,FALSE)),""))</f>
        <v>Accessory</v>
      </c>
      <c r="C69" s="12" t="str">
        <f>(IF((VLOOKUP(Table6[[#This Row],[SKU]],'All Skus'!$A:$AC,2,FALSE))="JBL",(VLOOKUP(Table6[[#This Row],[SKU]],'All Skus'!$A:$AC,4,FALSE)),""))</f>
        <v>MTC-14WG</v>
      </c>
      <c r="D69" s="61" t="str">
        <f>(IF((VLOOKUP(Table6[[#This Row],[SKU]],'All Skus'!$A:$AC,2,FALSE))="JBL",(VLOOKUP(Table6[[#This Row],[SKU]],'All Skus'!$A:$AC,5,FALSE)),""))</f>
        <v>JBL018</v>
      </c>
      <c r="E69" s="137">
        <f>(IF((VLOOKUP(Table6[[#This Row],[SKU]],'All Skus'!$A:$AC,2,FALSE))="JBL",(VLOOKUP(Table6[[#This Row],[SKU]],'All Skus'!$A:$AC,6,FALSE)),""))</f>
        <v>0</v>
      </c>
      <c r="F69" s="61">
        <f>(IF((VLOOKUP(Table6[[#This Row],[SKU]],'All Skus'!$A:$AC,2,FALSE))="JBL",(VLOOKUP(Table6[[#This Row],[SKU]],'All Skus'!$A:$AC,7,FALSE)),""))</f>
        <v>0</v>
      </c>
      <c r="G69" t="str">
        <f>(IF((VLOOKUP(Table6[[#This Row],[SKU]],'All Skus'!$A:$AC,2,FALSE))="JBL",(VLOOKUP(Table6[[#This Row],[SKU]],'All Skus'!$A:$AC,8,FALSE)),""))</f>
        <v>WEATHER GRILLE C12,C14 WH  (2ea per ctn)</v>
      </c>
      <c r="H69" s="8" t="str">
        <f>(IF((VLOOKUP(Table6[[#This Row],[SKU]],'All Skus'!$A:$AC,2,FALSE))="JBL",(VLOOKUP(Table6[[#This Row],[SKU]],'All Skus'!$A:$AC,9,FALSE)),""))</f>
        <v>Weather Grille Accessory for Control 12C/T (White) and 14C/T (White). Aluminum, powder-coated, passed B117 salt-spray 200 hours, UV 100 hours, priced as each, packed in pairs. Masterpack 24 pieces.</v>
      </c>
      <c r="I69" s="101">
        <f>(IF((VLOOKUP(Table6[[#This Row],[SKU]],'All Skus'!$A:$AC,2,FALSE))="JBL",(VLOOKUP(Table6[[#This Row],[SKU]],'All Skus'!$A:$AC,10,FALSE)),""))</f>
        <v>23.71</v>
      </c>
      <c r="J69" s="101">
        <f>(IF((VLOOKUP(Table6[[#This Row],[SKU]],'All Skus'!$A:$AC,2,FALSE))="JBL",(VLOOKUP(Table6[[#This Row],[SKU]],'All Skus'!$A:$AC,11,FALSE)),""))</f>
        <v>23.71</v>
      </c>
      <c r="K69" s="102">
        <f>(IF((VLOOKUP(Table6[[#This Row],[SKU]],'All Skus'!$A:$AC,2,FALSE))="JBL",(VLOOKUP(Table6[[#This Row],[SKU]],'All Skus'!$A:$AC,13,FALSE)),""))</f>
        <v>0</v>
      </c>
      <c r="L69" s="102">
        <f>(IF((VLOOKUP(Table6[[#This Row],[SKU]],'All Skus'!$A:$AC,2,FALSE))="JBL",(VLOOKUP(Table6[[#This Row],[SKU]],'All Skus'!$A:$AC,14,FALSE)),""))</f>
        <v>0</v>
      </c>
      <c r="M69" s="143">
        <f>(IF((VLOOKUP(Table6[[#This Row],[SKU]],'All Skus'!$A:$AC,2,FALSE))="JBL",(VLOOKUP(Table6[[#This Row],[SKU]],'All Skus'!$A:$AC,15,FALSE)),""))</f>
        <v>2</v>
      </c>
      <c r="N69" s="137">
        <f>(IF((VLOOKUP(Table6[[#This Row],[SKU]],'All Skus'!$A:$AC,2,FALSE))="JBL",(VLOOKUP(Table6[[#This Row],[SKU]],'All Skus'!$A:$AC,16,FALSE)),""))</f>
        <v>691991300264</v>
      </c>
      <c r="O69" s="61">
        <f>(IF((VLOOKUP(Table6[[#This Row],[SKU]],'All Skus'!$A:$AC,2,FALSE))="JBL",(VLOOKUP(Table6[[#This Row],[SKU]],'All Skus'!$A:$AC,17,FALSE)),""))</f>
        <v>0</v>
      </c>
      <c r="P69" s="136">
        <f>(IF((VLOOKUP(Table6[[#This Row],[SKU]],'All Skus'!$A:$AC,2,FALSE))="JBL",(VLOOKUP(Table6[[#This Row],[SKU]],'All Skus'!$A:$AC,18,FALSE)),""))</f>
        <v>1.5</v>
      </c>
      <c r="Q69" s="136">
        <f>(IF((VLOOKUP(Table6[[#This Row],[SKU]],'All Skus'!$A:$AC,2,FALSE))="JBL",(VLOOKUP(Table6[[#This Row],[SKU]],'All Skus'!$A:$AC,19,FALSE)),""))</f>
        <v>6.75</v>
      </c>
      <c r="R69" s="136">
        <f>(IF((VLOOKUP(Table6[[#This Row],[SKU]],'All Skus'!$A:$AC,2,FALSE))="JBL",(VLOOKUP(Table6[[#This Row],[SKU]],'All Skus'!$A:$AC,20,FALSE)),""))</f>
        <v>1.5</v>
      </c>
      <c r="S69" s="61">
        <f>(IF((VLOOKUP(Table6[[#This Row],[SKU]],'All Skus'!$A:$AC,2,FALSE))="JBL",(VLOOKUP(Table6[[#This Row],[SKU]],'All Skus'!$A:$AC,21,FALSE)),""))</f>
        <v>7</v>
      </c>
      <c r="T69" s="61" t="str">
        <f>(IF((VLOOKUP(Table6[[#This Row],[SKU]],'All Skus'!$A:$AC,2,FALSE))="JBL",(VLOOKUP(Table6[[#This Row],[SKU]],'All Skus'!$A:$AC,22,FALSE)),""))</f>
        <v>CN</v>
      </c>
      <c r="U69" t="str">
        <f>(IF((VLOOKUP(Table6[[#This Row],[SKU]],'All Skus'!$A:$AC,2,FALSE))="JBL",(VLOOKUP(Table6[[#This Row],[SKU]],'All Skus'!$A:$AC,23,FALSE)),""))</f>
        <v>Non Compliant</v>
      </c>
      <c r="V69" s="284" t="str">
        <f>HYPERLINK((IF((VLOOKUP(Table6[[#This Row],[SKU]],'All Skus'!$A:$AC,2,FALSE))="JBL",(VLOOKUP(Table6[[#This Row],[SKU]],'All Skus'!$A:$AC,24,FALSE)),"")))</f>
        <v xml:space="preserve">http://www.jblpro.com/ProductAttachments/JBL_MTC-14WG16WG%20v4.pdf </v>
      </c>
      <c r="W69" s="151">
        <v>67</v>
      </c>
    </row>
    <row r="70" spans="1:23" ht="15" hidden="1" customHeight="1">
      <c r="A70" s="13" t="s">
        <v>1076</v>
      </c>
      <c r="B70" s="12" t="str">
        <f>(IF((VLOOKUP(Table6[[#This Row],[SKU]],'All Skus'!$A:$AC,2,FALSE))="JBL",(VLOOKUP(Table6[[#This Row],[SKU]],'All Skus'!$A:$AC,3,FALSE)),""))</f>
        <v>Accessory</v>
      </c>
      <c r="C70" s="12" t="str">
        <f>(IF((VLOOKUP(Table6[[#This Row],[SKU]],'All Skus'!$A:$AC,2,FALSE))="JBL",(VLOOKUP(Table6[[#This Row],[SKU]],'All Skus'!$A:$AC,4,FALSE)),""))</f>
        <v>MTC-14WG-BK</v>
      </c>
      <c r="D70" s="61" t="str">
        <f>(IF((VLOOKUP(Table6[[#This Row],[SKU]],'All Skus'!$A:$AC,2,FALSE))="JBL",(VLOOKUP(Table6[[#This Row],[SKU]],'All Skus'!$A:$AC,5,FALSE)),""))</f>
        <v>JBL018</v>
      </c>
      <c r="E70" s="137">
        <f>(IF((VLOOKUP(Table6[[#This Row],[SKU]],'All Skus'!$A:$AC,2,FALSE))="JBL",(VLOOKUP(Table6[[#This Row],[SKU]],'All Skus'!$A:$AC,6,FALSE)),""))</f>
        <v>0</v>
      </c>
      <c r="F70" s="61">
        <f>(IF((VLOOKUP(Table6[[#This Row],[SKU]],'All Skus'!$A:$AC,2,FALSE))="JBL",(VLOOKUP(Table6[[#This Row],[SKU]],'All Skus'!$A:$AC,7,FALSE)),""))</f>
        <v>0</v>
      </c>
      <c r="G70" t="str">
        <f>(IF((VLOOKUP(Table6[[#This Row],[SKU]],'All Skus'!$A:$AC,2,FALSE))="JBL",(VLOOKUP(Table6[[#This Row],[SKU]],'All Skus'!$A:$AC,8,FALSE)),""))</f>
        <v>WEATHER GRILLE C12, C14,  Black (2ea per ctn)</v>
      </c>
      <c r="H70" s="8" t="str">
        <f>(IF((VLOOKUP(Table6[[#This Row],[SKU]],'All Skus'!$A:$AC,2,FALSE))="JBL",(VLOOKUP(Table6[[#This Row],[SKU]],'All Skus'!$A:$AC,9,FALSE)),""))</f>
        <v>Weather Grille Accessory for Control 12C/T (Black) and 14C/T (Black). Aluminum, powder-coated, passed B117 salt-spray 200 hours, UV 100 hours, priced as each, packed in pairs. Masterpack 24 pieces.</v>
      </c>
      <c r="I70" s="101">
        <f>(IF((VLOOKUP(Table6[[#This Row],[SKU]],'All Skus'!$A:$AC,2,FALSE))="JBL",(VLOOKUP(Table6[[#This Row],[SKU]],'All Skus'!$A:$AC,10,FALSE)),""))</f>
        <v>22.46</v>
      </c>
      <c r="J70" s="101">
        <f>(IF((VLOOKUP(Table6[[#This Row],[SKU]],'All Skus'!$A:$AC,2,FALSE))="JBL",(VLOOKUP(Table6[[#This Row],[SKU]],'All Skus'!$A:$AC,11,FALSE)),""))</f>
        <v>22.46</v>
      </c>
      <c r="K70" s="102">
        <f>(IF((VLOOKUP(Table6[[#This Row],[SKU]],'All Skus'!$A:$AC,2,FALSE))="JBL",(VLOOKUP(Table6[[#This Row],[SKU]],'All Skus'!$A:$AC,13,FALSE)),""))</f>
        <v>0</v>
      </c>
      <c r="L70" s="102">
        <f>(IF((VLOOKUP(Table6[[#This Row],[SKU]],'All Skus'!$A:$AC,2,FALSE))="JBL",(VLOOKUP(Table6[[#This Row],[SKU]],'All Skus'!$A:$AC,14,FALSE)),""))</f>
        <v>0</v>
      </c>
      <c r="M70" s="143">
        <f>(IF((VLOOKUP(Table6[[#This Row],[SKU]],'All Skus'!$A:$AC,2,FALSE))="JBL",(VLOOKUP(Table6[[#This Row],[SKU]],'All Skus'!$A:$AC,15,FALSE)),""))</f>
        <v>2</v>
      </c>
      <c r="N70" s="137">
        <f>(IF((VLOOKUP(Table6[[#This Row],[SKU]],'All Skus'!$A:$AC,2,FALSE))="JBL",(VLOOKUP(Table6[[#This Row],[SKU]],'All Skus'!$A:$AC,16,FALSE)),""))</f>
        <v>691991300271</v>
      </c>
      <c r="O70" s="61">
        <f>(IF((VLOOKUP(Table6[[#This Row],[SKU]],'All Skus'!$A:$AC,2,FALSE))="JBL",(VLOOKUP(Table6[[#This Row],[SKU]],'All Skus'!$A:$AC,17,FALSE)),""))</f>
        <v>0</v>
      </c>
      <c r="P70" s="136">
        <f>(IF((VLOOKUP(Table6[[#This Row],[SKU]],'All Skus'!$A:$AC,2,FALSE))="JBL",(VLOOKUP(Table6[[#This Row],[SKU]],'All Skus'!$A:$AC,18,FALSE)),""))</f>
        <v>3</v>
      </c>
      <c r="Q70" s="136">
        <f>(IF((VLOOKUP(Table6[[#This Row],[SKU]],'All Skus'!$A:$AC,2,FALSE))="JBL",(VLOOKUP(Table6[[#This Row],[SKU]],'All Skus'!$A:$AC,19,FALSE)),""))</f>
        <v>18</v>
      </c>
      <c r="R70" s="136">
        <f>(IF((VLOOKUP(Table6[[#This Row],[SKU]],'All Skus'!$A:$AC,2,FALSE))="JBL",(VLOOKUP(Table6[[#This Row],[SKU]],'All Skus'!$A:$AC,20,FALSE)),""))</f>
        <v>15</v>
      </c>
      <c r="S70" s="61">
        <f>(IF((VLOOKUP(Table6[[#This Row],[SKU]],'All Skus'!$A:$AC,2,FALSE))="JBL",(VLOOKUP(Table6[[#This Row],[SKU]],'All Skus'!$A:$AC,21,FALSE)),""))</f>
        <v>8</v>
      </c>
      <c r="T70" s="61" t="str">
        <f>(IF((VLOOKUP(Table6[[#This Row],[SKU]],'All Skus'!$A:$AC,2,FALSE))="JBL",(VLOOKUP(Table6[[#This Row],[SKU]],'All Skus'!$A:$AC,22,FALSE)),""))</f>
        <v>CN</v>
      </c>
      <c r="U70" t="str">
        <f>(IF((VLOOKUP(Table6[[#This Row],[SKU]],'All Skus'!$A:$AC,2,FALSE))="JBL",(VLOOKUP(Table6[[#This Row],[SKU]],'All Skus'!$A:$AC,23,FALSE)),""))</f>
        <v>Non Compliant</v>
      </c>
      <c r="V70" s="284" t="str">
        <f>HYPERLINK((IF((VLOOKUP(Table6[[#This Row],[SKU]],'All Skus'!$A:$AC,2,FALSE))="JBL",(VLOOKUP(Table6[[#This Row],[SKU]],'All Skus'!$A:$AC,24,FALSE)),"")))</f>
        <v xml:space="preserve">http://www.jblpro.com/ProductAttachments/JBL_MTC-14WG16WG%20v4.pdf </v>
      </c>
      <c r="W70" s="151">
        <v>68</v>
      </c>
    </row>
    <row r="71" spans="1:23" ht="15" hidden="1" customHeight="1">
      <c r="A71" s="13" t="s">
        <v>1077</v>
      </c>
      <c r="B71" s="12" t="str">
        <f>(IF((VLOOKUP(Table6[[#This Row],[SKU]],'All Skus'!$A:$AC,2,FALSE))="JBL",(VLOOKUP(Table6[[#This Row],[SKU]],'All Skus'!$A:$AC,3,FALSE)),""))</f>
        <v>Accessory</v>
      </c>
      <c r="C71" s="12" t="str">
        <f>(IF((VLOOKUP(Table6[[#This Row],[SKU]],'All Skus'!$A:$AC,2,FALSE))="JBL",(VLOOKUP(Table6[[#This Row],[SKU]],'All Skus'!$A:$AC,4,FALSE)),""))</f>
        <v>MTC-16WG</v>
      </c>
      <c r="D71" s="61" t="str">
        <f>(IF((VLOOKUP(Table6[[#This Row],[SKU]],'All Skus'!$A:$AC,2,FALSE))="JBL",(VLOOKUP(Table6[[#This Row],[SKU]],'All Skus'!$A:$AC,5,FALSE)),""))</f>
        <v>JBL018</v>
      </c>
      <c r="E71" s="137">
        <f>(IF((VLOOKUP(Table6[[#This Row],[SKU]],'All Skus'!$A:$AC,2,FALSE))="JBL",(VLOOKUP(Table6[[#This Row],[SKU]],'All Skus'!$A:$AC,6,FALSE)),""))</f>
        <v>0</v>
      </c>
      <c r="F71" s="61">
        <f>(IF((VLOOKUP(Table6[[#This Row],[SKU]],'All Skus'!$A:$AC,2,FALSE))="JBL",(VLOOKUP(Table6[[#This Row],[SKU]],'All Skus'!$A:$AC,7,FALSE)),""))</f>
        <v>0</v>
      </c>
      <c r="G71" t="str">
        <f>(IF((VLOOKUP(Table6[[#This Row],[SKU]],'All Skus'!$A:$AC,2,FALSE))="JBL",(VLOOKUP(Table6[[#This Row],[SKU]],'All Skus'!$A:$AC,8,FALSE)),""))</f>
        <v>WEATHER GRILLE C16 WH (2ea per ctn)</v>
      </c>
      <c r="H71" s="8" t="str">
        <f>(IF((VLOOKUP(Table6[[#This Row],[SKU]],'All Skus'!$A:$AC,2,FALSE))="JBL",(VLOOKUP(Table6[[#This Row],[SKU]],'All Skus'!$A:$AC,9,FALSE)),""))</f>
        <v>Weather Grille Accessory for Control 16C/T (White) and Control 26C &amp; 26CT.  Aluminum, powder-coated, passed B117 salt-spray 200 hours, UV 100 hours, priced as each, packed in pairs. Masterpack 24 pieces.</v>
      </c>
      <c r="I71" s="101">
        <f>(IF((VLOOKUP(Table6[[#This Row],[SKU]],'All Skus'!$A:$AC,2,FALSE))="JBL",(VLOOKUP(Table6[[#This Row],[SKU]],'All Skus'!$A:$AC,10,FALSE)),""))</f>
        <v>27.45</v>
      </c>
      <c r="J71" s="101">
        <f>(IF((VLOOKUP(Table6[[#This Row],[SKU]],'All Skus'!$A:$AC,2,FALSE))="JBL",(VLOOKUP(Table6[[#This Row],[SKU]],'All Skus'!$A:$AC,11,FALSE)),""))</f>
        <v>27.45</v>
      </c>
      <c r="K71" s="102">
        <f>(IF((VLOOKUP(Table6[[#This Row],[SKU]],'All Skus'!$A:$AC,2,FALSE))="JBL",(VLOOKUP(Table6[[#This Row],[SKU]],'All Skus'!$A:$AC,13,FALSE)),""))</f>
        <v>0</v>
      </c>
      <c r="L71" s="102">
        <f>(IF((VLOOKUP(Table6[[#This Row],[SKU]],'All Skus'!$A:$AC,2,FALSE))="JBL",(VLOOKUP(Table6[[#This Row],[SKU]],'All Skus'!$A:$AC,14,FALSE)),""))</f>
        <v>0</v>
      </c>
      <c r="M71" s="143">
        <f>(IF((VLOOKUP(Table6[[#This Row],[SKU]],'All Skus'!$A:$AC,2,FALSE))="JBL",(VLOOKUP(Table6[[#This Row],[SKU]],'All Skus'!$A:$AC,15,FALSE)),""))</f>
        <v>2</v>
      </c>
      <c r="N71" s="137">
        <f>(IF((VLOOKUP(Table6[[#This Row],[SKU]],'All Skus'!$A:$AC,2,FALSE))="JBL",(VLOOKUP(Table6[[#This Row],[SKU]],'All Skus'!$A:$AC,16,FALSE)),""))</f>
        <v>691991300288</v>
      </c>
      <c r="O71" s="61">
        <f>(IF((VLOOKUP(Table6[[#This Row],[SKU]],'All Skus'!$A:$AC,2,FALSE))="JBL",(VLOOKUP(Table6[[#This Row],[SKU]],'All Skus'!$A:$AC,17,FALSE)),""))</f>
        <v>0</v>
      </c>
      <c r="P71" s="136">
        <f>(IF((VLOOKUP(Table6[[#This Row],[SKU]],'All Skus'!$A:$AC,2,FALSE))="JBL",(VLOOKUP(Table6[[#This Row],[SKU]],'All Skus'!$A:$AC,18,FALSE)),""))</f>
        <v>0.3</v>
      </c>
      <c r="Q71" s="136">
        <f>(IF((VLOOKUP(Table6[[#This Row],[SKU]],'All Skus'!$A:$AC,2,FALSE))="JBL",(VLOOKUP(Table6[[#This Row],[SKU]],'All Skus'!$A:$AC,19,FALSE)),""))</f>
        <v>19.5</v>
      </c>
      <c r="R71" s="136">
        <f>(IF((VLOOKUP(Table6[[#This Row],[SKU]],'All Skus'!$A:$AC,2,FALSE))="JBL",(VLOOKUP(Table6[[#This Row],[SKU]],'All Skus'!$A:$AC,20,FALSE)),""))</f>
        <v>18</v>
      </c>
      <c r="S71" s="61">
        <f>(IF((VLOOKUP(Table6[[#This Row],[SKU]],'All Skus'!$A:$AC,2,FALSE))="JBL",(VLOOKUP(Table6[[#This Row],[SKU]],'All Skus'!$A:$AC,21,FALSE)),""))</f>
        <v>10</v>
      </c>
      <c r="T71" s="61" t="str">
        <f>(IF((VLOOKUP(Table6[[#This Row],[SKU]],'All Skus'!$A:$AC,2,FALSE))="JBL",(VLOOKUP(Table6[[#This Row],[SKU]],'All Skus'!$A:$AC,22,FALSE)),""))</f>
        <v>CN</v>
      </c>
      <c r="U71" t="str">
        <f>(IF((VLOOKUP(Table6[[#This Row],[SKU]],'All Skus'!$A:$AC,2,FALSE))="JBL",(VLOOKUP(Table6[[#This Row],[SKU]],'All Skus'!$A:$AC,23,FALSE)),""))</f>
        <v>Non Compliant</v>
      </c>
      <c r="V71" s="284" t="str">
        <f>HYPERLINK((IF((VLOOKUP(Table6[[#This Row],[SKU]],'All Skus'!$A:$AC,2,FALSE))="JBL",(VLOOKUP(Table6[[#This Row],[SKU]],'All Skus'!$A:$AC,24,FALSE)),"")))</f>
        <v xml:space="preserve">http://www.jblpro.com/ProductAttachments/JBL_MTC-14WG16WG%20v4.pdf </v>
      </c>
      <c r="W71" s="151">
        <v>69</v>
      </c>
    </row>
    <row r="72" spans="1:23" ht="15" hidden="1" customHeight="1">
      <c r="A72" s="13" t="s">
        <v>1078</v>
      </c>
      <c r="B72" s="12" t="str">
        <f>(IF((VLOOKUP(Table6[[#This Row],[SKU]],'All Skus'!$A:$AC,2,FALSE))="JBL",(VLOOKUP(Table6[[#This Row],[SKU]],'All Skus'!$A:$AC,3,FALSE)),""))</f>
        <v>Accessory</v>
      </c>
      <c r="C72" s="12" t="str">
        <f>(IF((VLOOKUP(Table6[[#This Row],[SKU]],'All Skus'!$A:$AC,2,FALSE))="JBL",(VLOOKUP(Table6[[#This Row],[SKU]],'All Skus'!$A:$AC,4,FALSE)),""))</f>
        <v>MTC-16WG-BK</v>
      </c>
      <c r="D72" s="61" t="str">
        <f>(IF((VLOOKUP(Table6[[#This Row],[SKU]],'All Skus'!$A:$AC,2,FALSE))="JBL",(VLOOKUP(Table6[[#This Row],[SKU]],'All Skus'!$A:$AC,5,FALSE)),""))</f>
        <v>JBL018</v>
      </c>
      <c r="E72" s="137">
        <f>(IF((VLOOKUP(Table6[[#This Row],[SKU]],'All Skus'!$A:$AC,2,FALSE))="JBL",(VLOOKUP(Table6[[#This Row],[SKU]],'All Skus'!$A:$AC,6,FALSE)),""))</f>
        <v>0</v>
      </c>
      <c r="F72" s="61">
        <f>(IF((VLOOKUP(Table6[[#This Row],[SKU]],'All Skus'!$A:$AC,2,FALSE))="JBL",(VLOOKUP(Table6[[#This Row],[SKU]],'All Skus'!$A:$AC,7,FALSE)),""))</f>
        <v>0</v>
      </c>
      <c r="G72" t="str">
        <f>(IF((VLOOKUP(Table6[[#This Row],[SKU]],'All Skus'!$A:$AC,2,FALSE))="JBL",(VLOOKUP(Table6[[#This Row],[SKU]],'All Skus'!$A:$AC,8,FALSE)),""))</f>
        <v>WEATHER GRILLE C16, Black (2ea per ctn)</v>
      </c>
      <c r="H72" s="8" t="str">
        <f>(IF((VLOOKUP(Table6[[#This Row],[SKU]],'All Skus'!$A:$AC,2,FALSE))="JBL",(VLOOKUP(Table6[[#This Row],[SKU]],'All Skus'!$A:$AC,9,FALSE)),""))</f>
        <v>Weather Grille Accessory for Control 16C/T (Black). Aluminum, powder-coated, passed B117 salt-spray 200 hours, UV 100 hours, priced as each, packed in pairs. Masterpack 24 pieces.</v>
      </c>
      <c r="I72" s="101">
        <f>(IF((VLOOKUP(Table6[[#This Row],[SKU]],'All Skus'!$A:$AC,2,FALSE))="JBL",(VLOOKUP(Table6[[#This Row],[SKU]],'All Skus'!$A:$AC,10,FALSE)),""))</f>
        <v>27.45</v>
      </c>
      <c r="J72" s="101">
        <f>(IF((VLOOKUP(Table6[[#This Row],[SKU]],'All Skus'!$A:$AC,2,FALSE))="JBL",(VLOOKUP(Table6[[#This Row],[SKU]],'All Skus'!$A:$AC,11,FALSE)),""))</f>
        <v>27.45</v>
      </c>
      <c r="K72" s="102">
        <f>(IF((VLOOKUP(Table6[[#This Row],[SKU]],'All Skus'!$A:$AC,2,FALSE))="JBL",(VLOOKUP(Table6[[#This Row],[SKU]],'All Skus'!$A:$AC,13,FALSE)),""))</f>
        <v>0</v>
      </c>
      <c r="L72" s="102">
        <f>(IF((VLOOKUP(Table6[[#This Row],[SKU]],'All Skus'!$A:$AC,2,FALSE))="JBL",(VLOOKUP(Table6[[#This Row],[SKU]],'All Skus'!$A:$AC,14,FALSE)),""))</f>
        <v>0</v>
      </c>
      <c r="M72" s="143">
        <f>(IF((VLOOKUP(Table6[[#This Row],[SKU]],'All Skus'!$A:$AC,2,FALSE))="JBL",(VLOOKUP(Table6[[#This Row],[SKU]],'All Skus'!$A:$AC,15,FALSE)),""))</f>
        <v>2</v>
      </c>
      <c r="N72" s="137">
        <f>(IF((VLOOKUP(Table6[[#This Row],[SKU]],'All Skus'!$A:$AC,2,FALSE))="JBL",(VLOOKUP(Table6[[#This Row],[SKU]],'All Skus'!$A:$AC,16,FALSE)),""))</f>
        <v>691991300295</v>
      </c>
      <c r="O72" s="61">
        <f>(IF((VLOOKUP(Table6[[#This Row],[SKU]],'All Skus'!$A:$AC,2,FALSE))="JBL",(VLOOKUP(Table6[[#This Row],[SKU]],'All Skus'!$A:$AC,17,FALSE)),""))</f>
        <v>0</v>
      </c>
      <c r="P72" s="136">
        <f>(IF((VLOOKUP(Table6[[#This Row],[SKU]],'All Skus'!$A:$AC,2,FALSE))="JBL",(VLOOKUP(Table6[[#This Row],[SKU]],'All Skus'!$A:$AC,18,FALSE)),""))</f>
        <v>10</v>
      </c>
      <c r="Q72" s="136">
        <f>(IF((VLOOKUP(Table6[[#This Row],[SKU]],'All Skus'!$A:$AC,2,FALSE))="JBL",(VLOOKUP(Table6[[#This Row],[SKU]],'All Skus'!$A:$AC,19,FALSE)),""))</f>
        <v>19.5</v>
      </c>
      <c r="R72" s="136">
        <f>(IF((VLOOKUP(Table6[[#This Row],[SKU]],'All Skus'!$A:$AC,2,FALSE))="JBL",(VLOOKUP(Table6[[#This Row],[SKU]],'All Skus'!$A:$AC,20,FALSE)),""))</f>
        <v>18</v>
      </c>
      <c r="S72" s="61">
        <f>(IF((VLOOKUP(Table6[[#This Row],[SKU]],'All Skus'!$A:$AC,2,FALSE))="JBL",(VLOOKUP(Table6[[#This Row],[SKU]],'All Skus'!$A:$AC,21,FALSE)),""))</f>
        <v>10</v>
      </c>
      <c r="T72" s="61" t="str">
        <f>(IF((VLOOKUP(Table6[[#This Row],[SKU]],'All Skus'!$A:$AC,2,FALSE))="JBL",(VLOOKUP(Table6[[#This Row],[SKU]],'All Skus'!$A:$AC,22,FALSE)),""))</f>
        <v>CN</v>
      </c>
      <c r="U72" t="str">
        <f>(IF((VLOOKUP(Table6[[#This Row],[SKU]],'All Skus'!$A:$AC,2,FALSE))="JBL",(VLOOKUP(Table6[[#This Row],[SKU]],'All Skus'!$A:$AC,23,FALSE)),""))</f>
        <v>Non Compliant</v>
      </c>
      <c r="V72" s="284" t="str">
        <f>HYPERLINK((IF((VLOOKUP(Table6[[#This Row],[SKU]],'All Skus'!$A:$AC,2,FALSE))="JBL",(VLOOKUP(Table6[[#This Row],[SKU]],'All Skus'!$A:$AC,24,FALSE)),"")))</f>
        <v/>
      </c>
      <c r="W72" s="151">
        <v>70</v>
      </c>
    </row>
    <row r="73" spans="1:23" ht="15" hidden="1" customHeight="1">
      <c r="A73" s="13" t="s">
        <v>1079</v>
      </c>
      <c r="B73" s="12" t="str">
        <f>(IF((VLOOKUP(Table6[[#This Row],[SKU]],'All Skus'!$A:$AC,2,FALSE))="JBL",(VLOOKUP(Table6[[#This Row],[SKU]],'All Skus'!$A:$AC,3,FALSE)),""))</f>
        <v>Accessory</v>
      </c>
      <c r="C73" s="12" t="str">
        <f>(IF((VLOOKUP(Table6[[#This Row],[SKU]],'All Skus'!$A:$AC,2,FALSE))="JBL",(VLOOKUP(Table6[[#This Row],[SKU]],'All Skus'!$A:$AC,4,FALSE)),""))</f>
        <v>JBL-MTC-CSTETH1</v>
      </c>
      <c r="D73" s="61" t="str">
        <f>(IF((VLOOKUP(Table6[[#This Row],[SKU]],'All Skus'!$A:$AC,2,FALSE))="JBL",(VLOOKUP(Table6[[#This Row],[SKU]],'All Skus'!$A:$AC,5,FALSE)),""))</f>
        <v>JBL018</v>
      </c>
      <c r="E73" s="137">
        <f>(IF((VLOOKUP(Table6[[#This Row],[SKU]],'All Skus'!$A:$AC,2,FALSE))="JBL",(VLOOKUP(Table6[[#This Row],[SKU]],'All Skus'!$A:$AC,6,FALSE)),""))</f>
        <v>0</v>
      </c>
      <c r="F73" s="61" t="str">
        <f>(IF((VLOOKUP(Table6[[#This Row],[SKU]],'All Skus'!$A:$AC,2,FALSE))="JBL",(VLOOKUP(Table6[[#This Row],[SKU]],'All Skus'!$A:$AC,7,FALSE)),""))</f>
        <v>NEW</v>
      </c>
      <c r="G73" t="str">
        <f>(IF((VLOOKUP(Table6[[#This Row],[SKU]],'All Skus'!$A:$AC,2,FALSE))="JBL",(VLOOKUP(Table6[[#This Row],[SKU]],'All Skus'!$A:$AC,8,FALSE)),""))</f>
        <v>Safety Tether, CS Grilles (1=pack of 10)</v>
      </c>
      <c r="H73" s="8" t="str">
        <f>(IF((VLOOKUP(Table6[[#This Row],[SKU]],'All Skus'!$A:$AC,2,FALSE))="JBL",(VLOOKUP(Table6[[#This Row],[SKU]],'All Skus'!$A:$AC,9,FALSE)),""))</f>
        <v>Kit of 10 safety tethers for JBL press-in ceiling speaker grilles.  For Control 10 Series, Control Micros, Control 20 Series, and Control 40 Series models.  (1=pack of 10 tethers)   Shippable in single packs, or master pack of 40 kits.</v>
      </c>
      <c r="I73" s="101">
        <f>(IF((VLOOKUP(Table6[[#This Row],[SKU]],'All Skus'!$A:$AC,2,FALSE))="JBL",(VLOOKUP(Table6[[#This Row],[SKU]],'All Skus'!$A:$AC,10,FALSE)),""))</f>
        <v>37.92</v>
      </c>
      <c r="J73" s="101">
        <f>(IF((VLOOKUP(Table6[[#This Row],[SKU]],'All Skus'!$A:$AC,2,FALSE))="JBL",(VLOOKUP(Table6[[#This Row],[SKU]],'All Skus'!$A:$AC,11,FALSE)),""))</f>
        <v>30</v>
      </c>
      <c r="K73" s="102">
        <f>(IF((VLOOKUP(Table6[[#This Row],[SKU]],'All Skus'!$A:$AC,2,FALSE))="JBL",(VLOOKUP(Table6[[#This Row],[SKU]],'All Skus'!$A:$AC,13,FALSE)),""))</f>
        <v>0</v>
      </c>
      <c r="L73" s="102">
        <f>(IF((VLOOKUP(Table6[[#This Row],[SKU]],'All Skus'!$A:$AC,2,FALSE))="JBL",(VLOOKUP(Table6[[#This Row],[SKU]],'All Skus'!$A:$AC,14,FALSE)),""))</f>
        <v>0</v>
      </c>
      <c r="M73" s="143">
        <f>(IF((VLOOKUP(Table6[[#This Row],[SKU]],'All Skus'!$A:$AC,2,FALSE))="JBL",(VLOOKUP(Table6[[#This Row],[SKU]],'All Skus'!$A:$AC,15,FALSE)),""))</f>
        <v>40</v>
      </c>
      <c r="N73" s="137">
        <f>(IF((VLOOKUP(Table6[[#This Row],[SKU]],'All Skus'!$A:$AC,2,FALSE))="JBL",(VLOOKUP(Table6[[#This Row],[SKU]],'All Skus'!$A:$AC,16,FALSE)),""))</f>
        <v>691991037337</v>
      </c>
      <c r="O73" s="61">
        <f>(IF((VLOOKUP(Table6[[#This Row],[SKU]],'All Skus'!$A:$AC,2,FALSE))="JBL",(VLOOKUP(Table6[[#This Row],[SKU]],'All Skus'!$A:$AC,17,FALSE)),""))</f>
        <v>0</v>
      </c>
      <c r="P73" s="136">
        <f>(IF((VLOOKUP(Table6[[#This Row],[SKU]],'All Skus'!$A:$AC,2,FALSE))="JBL",(VLOOKUP(Table6[[#This Row],[SKU]],'All Skus'!$A:$AC,18,FALSE)),""))</f>
        <v>1</v>
      </c>
      <c r="Q73" s="136">
        <f>(IF((VLOOKUP(Table6[[#This Row],[SKU]],'All Skus'!$A:$AC,2,FALSE))="JBL",(VLOOKUP(Table6[[#This Row],[SKU]],'All Skus'!$A:$AC,19,FALSE)),""))</f>
        <v>9.5</v>
      </c>
      <c r="R73" s="136">
        <f>(IF((VLOOKUP(Table6[[#This Row],[SKU]],'All Skus'!$A:$AC,2,FALSE))="JBL",(VLOOKUP(Table6[[#This Row],[SKU]],'All Skus'!$A:$AC,20,FALSE)),""))</f>
        <v>0.59</v>
      </c>
      <c r="S73" s="61">
        <f>(IF((VLOOKUP(Table6[[#This Row],[SKU]],'All Skus'!$A:$AC,2,FALSE))="JBL",(VLOOKUP(Table6[[#This Row],[SKU]],'All Skus'!$A:$AC,21,FALSE)),""))</f>
        <v>0.59</v>
      </c>
      <c r="T73" s="61" t="str">
        <f>(IF((VLOOKUP(Table6[[#This Row],[SKU]],'All Skus'!$A:$AC,2,FALSE))="JBL",(VLOOKUP(Table6[[#This Row],[SKU]],'All Skus'!$A:$AC,22,FALSE)),""))</f>
        <v>CN</v>
      </c>
      <c r="U73" t="str">
        <f>(IF((VLOOKUP(Table6[[#This Row],[SKU]],'All Skus'!$A:$AC,2,FALSE))="JBL",(VLOOKUP(Table6[[#This Row],[SKU]],'All Skus'!$A:$AC,23,FALSE)),""))</f>
        <v>Non Compliant</v>
      </c>
      <c r="V73" s="284" t="str">
        <f>HYPERLINK((IF((VLOOKUP(Table6[[#This Row],[SKU]],'All Skus'!$A:$AC,2,FALSE))="JBL",(VLOOKUP(Table6[[#This Row],[SKU]],'All Skus'!$A:$AC,24,FALSE)),"")))</f>
        <v/>
      </c>
      <c r="W73" s="151">
        <v>71</v>
      </c>
    </row>
    <row r="74" spans="1:23" ht="15" hidden="1" customHeight="1">
      <c r="A74" s="104" t="s">
        <v>1080</v>
      </c>
      <c r="B74" s="12">
        <f>(IF((VLOOKUP(Table6[[#This Row],[SKU]],'All Skus'!$A:$AC,2,FALSE))="JBL",(VLOOKUP(Table6[[#This Row],[SKU]],'All Skus'!$A:$AC,3,FALSE)),""))</f>
        <v>0</v>
      </c>
      <c r="C74" s="12">
        <f>(IF((VLOOKUP(Table6[[#This Row],[SKU]],'All Skus'!$A:$AC,2,FALSE))="JBL",(VLOOKUP(Table6[[#This Row],[SKU]],'All Skus'!$A:$AC,4,FALSE)),""))</f>
        <v>0</v>
      </c>
      <c r="D74" s="61">
        <f>(IF((VLOOKUP(Table6[[#This Row],[SKU]],'All Skus'!$A:$AC,2,FALSE))="JBL",(VLOOKUP(Table6[[#This Row],[SKU]],'All Skus'!$A:$AC,5,FALSE)),""))</f>
        <v>0</v>
      </c>
      <c r="E74" s="137">
        <f>(IF((VLOOKUP(Table6[[#This Row],[SKU]],'All Skus'!$A:$AC,2,FALSE))="JBL",(VLOOKUP(Table6[[#This Row],[SKU]],'All Skus'!$A:$AC,6,FALSE)),""))</f>
        <v>0</v>
      </c>
      <c r="F74" s="61">
        <f>(IF((VLOOKUP(Table6[[#This Row],[SKU]],'All Skus'!$A:$AC,2,FALSE))="JBL",(VLOOKUP(Table6[[#This Row],[SKU]],'All Skus'!$A:$AC,7,FALSE)),""))</f>
        <v>0</v>
      </c>
      <c r="G74">
        <f>(IF((VLOOKUP(Table6[[#This Row],[SKU]],'All Skus'!$A:$AC,2,FALSE))="JBL",(VLOOKUP(Table6[[#This Row],[SKU]],'All Skus'!$A:$AC,8,FALSE)),""))</f>
        <v>0</v>
      </c>
      <c r="H74" s="8">
        <f>(IF((VLOOKUP(Table6[[#This Row],[SKU]],'All Skus'!$A:$AC,2,FALSE))="JBL",(VLOOKUP(Table6[[#This Row],[SKU]],'All Skus'!$A:$AC,9,FALSE)),""))</f>
        <v>0</v>
      </c>
      <c r="I74" s="101">
        <f>(IF((VLOOKUP(Table6[[#This Row],[SKU]],'All Skus'!$A:$AC,2,FALSE))="JBL",(VLOOKUP(Table6[[#This Row],[SKU]],'All Skus'!$A:$AC,10,FALSE)),""))</f>
        <v>0</v>
      </c>
      <c r="J74" s="101">
        <f>(IF((VLOOKUP(Table6[[#This Row],[SKU]],'All Skus'!$A:$AC,2,FALSE))="JBL",(VLOOKUP(Table6[[#This Row],[SKU]],'All Skus'!$A:$AC,11,FALSE)),""))</f>
        <v>0</v>
      </c>
      <c r="K74" s="102">
        <f>(IF((VLOOKUP(Table6[[#This Row],[SKU]],'All Skus'!$A:$AC,2,FALSE))="JBL",(VLOOKUP(Table6[[#This Row],[SKU]],'All Skus'!$A:$AC,13,FALSE)),""))</f>
        <v>0</v>
      </c>
      <c r="L74" s="102">
        <f>(IF((VLOOKUP(Table6[[#This Row],[SKU]],'All Skus'!$A:$AC,2,FALSE))="JBL",(VLOOKUP(Table6[[#This Row],[SKU]],'All Skus'!$A:$AC,14,FALSE)),""))</f>
        <v>0</v>
      </c>
      <c r="M74" s="143">
        <f>(IF((VLOOKUP(Table6[[#This Row],[SKU]],'All Skus'!$A:$AC,2,FALSE))="JBL",(VLOOKUP(Table6[[#This Row],[SKU]],'All Skus'!$A:$AC,15,FALSE)),""))</f>
        <v>0</v>
      </c>
      <c r="N74" s="137">
        <f>(IF((VLOOKUP(Table6[[#This Row],[SKU]],'All Skus'!$A:$AC,2,FALSE))="JBL",(VLOOKUP(Table6[[#This Row],[SKU]],'All Skus'!$A:$AC,16,FALSE)),""))</f>
        <v>0</v>
      </c>
      <c r="O74" s="61">
        <f>(IF((VLOOKUP(Table6[[#This Row],[SKU]],'All Skus'!$A:$AC,2,FALSE))="JBL",(VLOOKUP(Table6[[#This Row],[SKU]],'All Skus'!$A:$AC,17,FALSE)),""))</f>
        <v>0</v>
      </c>
      <c r="P74" s="136">
        <f>(IF((VLOOKUP(Table6[[#This Row],[SKU]],'All Skus'!$A:$AC,2,FALSE))="JBL",(VLOOKUP(Table6[[#This Row],[SKU]],'All Skus'!$A:$AC,18,FALSE)),""))</f>
        <v>0</v>
      </c>
      <c r="Q74" s="136">
        <f>(IF((VLOOKUP(Table6[[#This Row],[SKU]],'All Skus'!$A:$AC,2,FALSE))="JBL",(VLOOKUP(Table6[[#This Row],[SKU]],'All Skus'!$A:$AC,19,FALSE)),""))</f>
        <v>0</v>
      </c>
      <c r="R74" s="136">
        <f>(IF((VLOOKUP(Table6[[#This Row],[SKU]],'All Skus'!$A:$AC,2,FALSE))="JBL",(VLOOKUP(Table6[[#This Row],[SKU]],'All Skus'!$A:$AC,20,FALSE)),""))</f>
        <v>0</v>
      </c>
      <c r="S74" s="61">
        <f>(IF((VLOOKUP(Table6[[#This Row],[SKU]],'All Skus'!$A:$AC,2,FALSE))="JBL",(VLOOKUP(Table6[[#This Row],[SKU]],'All Skus'!$A:$AC,21,FALSE)),""))</f>
        <v>0</v>
      </c>
      <c r="T74" s="61" t="str">
        <f>(IF((VLOOKUP(Table6[[#This Row],[SKU]],'All Skus'!$A:$AC,2,FALSE))="JBL",(VLOOKUP(Table6[[#This Row],[SKU]],'All Skus'!$A:$AC,22,FALSE)),""))</f>
        <v>CN</v>
      </c>
      <c r="U74" t="str">
        <f>(IF((VLOOKUP(Table6[[#This Row],[SKU]],'All Skus'!$A:$AC,2,FALSE))="JBL",(VLOOKUP(Table6[[#This Row],[SKU]],'All Skus'!$A:$AC,23,FALSE)),""))</f>
        <v>Non Compliant</v>
      </c>
      <c r="V74" s="284" t="str">
        <f>HYPERLINK((IF((VLOOKUP(Table6[[#This Row],[SKU]],'All Skus'!$A:$AC,2,FALSE))="JBL",(VLOOKUP(Table6[[#This Row],[SKU]],'All Skus'!$A:$AC,24,FALSE)),"")))</f>
        <v/>
      </c>
      <c r="W74" s="151">
        <v>72</v>
      </c>
    </row>
    <row r="75" spans="1:23" ht="15" hidden="1" customHeight="1">
      <c r="A75" s="13" t="s">
        <v>1081</v>
      </c>
      <c r="B75" s="12" t="str">
        <f>(IF((VLOOKUP(Table6[[#This Row],[SKU]],'All Skus'!$A:$AC,2,FALSE))="JBL",(VLOOKUP(Table6[[#This Row],[SKU]],'All Skus'!$A:$AC,3,FALSE)),""))</f>
        <v>Ceiling Speaker</v>
      </c>
      <c r="C75" s="12" t="str">
        <f>(IF((VLOOKUP(Table6[[#This Row],[SKU]],'All Skus'!$A:$AC,2,FALSE))="JBL",(VLOOKUP(Table6[[#This Row],[SKU]],'All Skus'!$A:$AC,4,FALSE)),""))</f>
        <v>C24CT MICROPLUS</v>
      </c>
      <c r="D75" s="61" t="str">
        <f>(IF((VLOOKUP(Table6[[#This Row],[SKU]],'All Skus'!$A:$AC,2,FALSE))="JBL",(VLOOKUP(Table6[[#This Row],[SKU]],'All Skus'!$A:$AC,5,FALSE)),""))</f>
        <v>JBL018</v>
      </c>
      <c r="E75" s="137">
        <f>(IF((VLOOKUP(Table6[[#This Row],[SKU]],'All Skus'!$A:$AC,2,FALSE))="JBL",(VLOOKUP(Table6[[#This Row],[SKU]],'All Skus'!$A:$AC,6,FALSE)),""))</f>
        <v>0</v>
      </c>
      <c r="F75" s="61">
        <f>(IF((VLOOKUP(Table6[[#This Row],[SKU]],'All Skus'!$A:$AC,2,FALSE))="JBL",(VLOOKUP(Table6[[#This Row],[SKU]],'All Skus'!$A:$AC,7,FALSE)),""))</f>
        <v>0</v>
      </c>
      <c r="G75" t="str">
        <f>(IF((VLOOKUP(Table6[[#This Row],[SKU]],'All Skus'!$A:$AC,2,FALSE))="JBL",(VLOOKUP(Table6[[#This Row],[SKU]],'All Skus'!$A:$AC,8,FALSE)),""))</f>
        <v>CONTROL MICRO W/25 WATT TRANSFORMER</v>
      </c>
      <c r="H75" s="8" t="str">
        <f>(IF((VLOOKUP(Table6[[#This Row],[SKU]],'All Skus'!$A:$AC,2,FALSE))="JBL",(VLOOKUP(Table6[[#This Row],[SKU]],'All Skus'!$A:$AC,9,FALSE)),""))</f>
        <v>Medium Output Ceiling Speaker Assembly.  Complete Assembly Includes Backcan, Grille and Tile Rails.  Very Wide 150° Coverage.  Shallow 100 mm (4 in) Depth.  70V/100V Input Transformers with Taps at 25W and 12W (Plus 6W at 70V Only).  Priced as Each, Packed as Pairs.  Master Pack Quantity:  8 Pieces.</v>
      </c>
      <c r="I75" s="101">
        <f>(IF((VLOOKUP(Table6[[#This Row],[SKU]],'All Skus'!$A:$AC,2,FALSE))="JBL",(VLOOKUP(Table6[[#This Row],[SKU]],'All Skus'!$A:$AC,10,FALSE)),""))</f>
        <v>163.46</v>
      </c>
      <c r="J75" s="101">
        <f>(IF((VLOOKUP(Table6[[#This Row],[SKU]],'All Skus'!$A:$AC,2,FALSE))="JBL",(VLOOKUP(Table6[[#This Row],[SKU]],'All Skus'!$A:$AC,11,FALSE)),""))</f>
        <v>129</v>
      </c>
      <c r="K75" s="102">
        <f>(IF((VLOOKUP(Table6[[#This Row],[SKU]],'All Skus'!$A:$AC,2,FALSE))="JBL",(VLOOKUP(Table6[[#This Row],[SKU]],'All Skus'!$A:$AC,13,FALSE)),""))</f>
        <v>90.458335000000005</v>
      </c>
      <c r="L75" s="102">
        <f>(IF((VLOOKUP(Table6[[#This Row],[SKU]],'All Skus'!$A:$AC,2,FALSE))="JBL",(VLOOKUP(Table6[[#This Row],[SKU]],'All Skus'!$A:$AC,14,FALSE)),""))</f>
        <v>85.697370000000006</v>
      </c>
      <c r="M75" s="143">
        <f>(IF((VLOOKUP(Table6[[#This Row],[SKU]],'All Skus'!$A:$AC,2,FALSE))="JBL",(VLOOKUP(Table6[[#This Row],[SKU]],'All Skus'!$A:$AC,15,FALSE)),""))</f>
        <v>2</v>
      </c>
      <c r="N75" s="137">
        <f>(IF((VLOOKUP(Table6[[#This Row],[SKU]],'All Skus'!$A:$AC,2,FALSE))="JBL",(VLOOKUP(Table6[[#This Row],[SKU]],'All Skus'!$A:$AC,16,FALSE)),""))</f>
        <v>691991011863</v>
      </c>
      <c r="O75" s="61">
        <f>(IF((VLOOKUP(Table6[[#This Row],[SKU]],'All Skus'!$A:$AC,2,FALSE))="JBL",(VLOOKUP(Table6[[#This Row],[SKU]],'All Skus'!$A:$AC,17,FALSE)),""))</f>
        <v>0</v>
      </c>
      <c r="P75" s="136">
        <f>(IF((VLOOKUP(Table6[[#This Row],[SKU]],'All Skus'!$A:$AC,2,FALSE))="JBL",(VLOOKUP(Table6[[#This Row],[SKU]],'All Skus'!$A:$AC,18,FALSE)),""))</f>
        <v>8</v>
      </c>
      <c r="Q75" s="136">
        <f>(IF((VLOOKUP(Table6[[#This Row],[SKU]],'All Skus'!$A:$AC,2,FALSE))="JBL",(VLOOKUP(Table6[[#This Row],[SKU]],'All Skus'!$A:$AC,19,FALSE)),""))</f>
        <v>13</v>
      </c>
      <c r="R75" s="136">
        <f>(IF((VLOOKUP(Table6[[#This Row],[SKU]],'All Skus'!$A:$AC,2,FALSE))="JBL",(VLOOKUP(Table6[[#This Row],[SKU]],'All Skus'!$A:$AC,20,FALSE)),""))</f>
        <v>10.75</v>
      </c>
      <c r="S75" s="61">
        <f>(IF((VLOOKUP(Table6[[#This Row],[SKU]],'All Skus'!$A:$AC,2,FALSE))="JBL",(VLOOKUP(Table6[[#This Row],[SKU]],'All Skus'!$A:$AC,21,FALSE)),""))</f>
        <v>7.75</v>
      </c>
      <c r="T75" s="61" t="str">
        <f>(IF((VLOOKUP(Table6[[#This Row],[SKU]],'All Skus'!$A:$AC,2,FALSE))="JBL",(VLOOKUP(Table6[[#This Row],[SKU]],'All Skus'!$A:$AC,22,FALSE)),""))</f>
        <v>CN</v>
      </c>
      <c r="U75" t="str">
        <f>(IF((VLOOKUP(Table6[[#This Row],[SKU]],'All Skus'!$A:$AC,2,FALSE))="JBL",(VLOOKUP(Table6[[#This Row],[SKU]],'All Skus'!$A:$AC,23,FALSE)),""))</f>
        <v>Non Compliant</v>
      </c>
      <c r="V75" s="284" t="str">
        <f>HYPERLINK((IF((VLOOKUP(Table6[[#This Row],[SKU]],'All Skus'!$A:$AC,2,FALSE))="JBL",(VLOOKUP(Table6[[#This Row],[SKU]],'All Skus'!$A:$AC,24,FALSE)),"")))</f>
        <v xml:space="preserve">http://www.jblpro.com/www/products/installed-sound/control-contractor-series/control-24ct-micro-plus </v>
      </c>
      <c r="W75" s="151">
        <v>73</v>
      </c>
    </row>
    <row r="76" spans="1:23" ht="15" hidden="1" customHeight="1">
      <c r="A76" s="13" t="s">
        <v>1082</v>
      </c>
      <c r="B76" s="12" t="str">
        <f>(IF((VLOOKUP(Table6[[#This Row],[SKU]],'All Skus'!$A:$AC,2,FALSE))="JBL",(VLOOKUP(Table6[[#This Row],[SKU]],'All Skus'!$A:$AC,3,FALSE)),""))</f>
        <v>Ceiling Speaker</v>
      </c>
      <c r="C76" s="12" t="str">
        <f>(IF((VLOOKUP(Table6[[#This Row],[SKU]],'All Skus'!$A:$AC,2,FALSE))="JBL",(VLOOKUP(Table6[[#This Row],[SKU]],'All Skus'!$A:$AC,4,FALSE)),""))</f>
        <v>C24CT-BK</v>
      </c>
      <c r="D76" s="61" t="str">
        <f>(IF((VLOOKUP(Table6[[#This Row],[SKU]],'All Skus'!$A:$AC,2,FALSE))="JBL",(VLOOKUP(Table6[[#This Row],[SKU]],'All Skus'!$A:$AC,5,FALSE)),""))</f>
        <v>JBL018</v>
      </c>
      <c r="E76" s="137">
        <f>(IF((VLOOKUP(Table6[[#This Row],[SKU]],'All Skus'!$A:$AC,2,FALSE))="JBL",(VLOOKUP(Table6[[#This Row],[SKU]],'All Skus'!$A:$AC,6,FALSE)),""))</f>
        <v>0</v>
      </c>
      <c r="F76" s="61">
        <f>(IF((VLOOKUP(Table6[[#This Row],[SKU]],'All Skus'!$A:$AC,2,FALSE))="JBL",(VLOOKUP(Table6[[#This Row],[SKU]],'All Skus'!$A:$AC,7,FALSE)),""))</f>
        <v>0</v>
      </c>
      <c r="G76" t="str">
        <f>(IF((VLOOKUP(Table6[[#This Row],[SKU]],'All Skus'!$A:$AC,2,FALSE))="JBL",(VLOOKUP(Table6[[#This Row],[SKU]],'All Skus'!$A:$AC,8,FALSE)),""))</f>
        <v>CONTROL 24CT WITH TRANSFORMER BLACK</v>
      </c>
      <c r="H76" s="8" t="str">
        <f>(IF((VLOOKUP(Table6[[#This Row],[SKU]],'All Skus'!$A:$AC,2,FALSE))="JBL",(VLOOKUP(Table6[[#This Row],[SKU]],'All Skus'!$A:$AC,9,FALSE)),""))</f>
        <v>Control 24CT in Black.   4” two-way vented ceiling speaker, 80 Hz – 20 kHz, 86 dB sensitivity, 80W program and 40W pink noise power, for use on a 70.7V or 100V distributed line, switchable taps at 30W, 15W and 7.5W (plus 37W at 70.7V only, 130° coverage, packaged with backcan, grille, support plate and tile rails. (priced as each, sold in pairs).</v>
      </c>
      <c r="I76" s="101">
        <f>(IF((VLOOKUP(Table6[[#This Row],[SKU]],'All Skus'!$A:$AC,2,FALSE))="JBL",(VLOOKUP(Table6[[#This Row],[SKU]],'All Skus'!$A:$AC,10,FALSE)),""))</f>
        <v>180.34</v>
      </c>
      <c r="J76" s="101">
        <f>(IF((VLOOKUP(Table6[[#This Row],[SKU]],'All Skus'!$A:$AC,2,FALSE))="JBL",(VLOOKUP(Table6[[#This Row],[SKU]],'All Skus'!$A:$AC,11,FALSE)),""))</f>
        <v>144</v>
      </c>
      <c r="K76" s="102">
        <f>(IF((VLOOKUP(Table6[[#This Row],[SKU]],'All Skus'!$A:$AC,2,FALSE))="JBL",(VLOOKUP(Table6[[#This Row],[SKU]],'All Skus'!$A:$AC,13,FALSE)),""))</f>
        <v>99.789805000000001</v>
      </c>
      <c r="L76" s="102">
        <f>(IF((VLOOKUP(Table6[[#This Row],[SKU]],'All Skus'!$A:$AC,2,FALSE))="JBL",(VLOOKUP(Table6[[#This Row],[SKU]],'All Skus'!$A:$AC,14,FALSE)),""))</f>
        <v>94.537710000000018</v>
      </c>
      <c r="M76" s="143">
        <f>(IF((VLOOKUP(Table6[[#This Row],[SKU]],'All Skus'!$A:$AC,2,FALSE))="JBL",(VLOOKUP(Table6[[#This Row],[SKU]],'All Skus'!$A:$AC,15,FALSE)),""))</f>
        <v>2</v>
      </c>
      <c r="N76" s="137">
        <f>(IF((VLOOKUP(Table6[[#This Row],[SKU]],'All Skus'!$A:$AC,2,FALSE))="JBL",(VLOOKUP(Table6[[#This Row],[SKU]],'All Skus'!$A:$AC,16,FALSE)),""))</f>
        <v>50036904896</v>
      </c>
      <c r="O76" s="61">
        <f>(IF((VLOOKUP(Table6[[#This Row],[SKU]],'All Skus'!$A:$AC,2,FALSE))="JBL",(VLOOKUP(Table6[[#This Row],[SKU]],'All Skus'!$A:$AC,17,FALSE)),""))</f>
        <v>0</v>
      </c>
      <c r="P76" s="136">
        <f>(IF((VLOOKUP(Table6[[#This Row],[SKU]],'All Skus'!$A:$AC,2,FALSE))="JBL",(VLOOKUP(Table6[[#This Row],[SKU]],'All Skus'!$A:$AC,18,FALSE)),""))</f>
        <v>13</v>
      </c>
      <c r="Q76" s="136">
        <f>(IF((VLOOKUP(Table6[[#This Row],[SKU]],'All Skus'!$A:$AC,2,FALSE))="JBL",(VLOOKUP(Table6[[#This Row],[SKU]],'All Skus'!$A:$AC,19,FALSE)),""))</f>
        <v>4.75</v>
      </c>
      <c r="R76" s="136">
        <f>(IF((VLOOKUP(Table6[[#This Row],[SKU]],'All Skus'!$A:$AC,2,FALSE))="JBL",(VLOOKUP(Table6[[#This Row],[SKU]],'All Skus'!$A:$AC,20,FALSE)),""))</f>
        <v>26</v>
      </c>
      <c r="S76" s="61">
        <f>(IF((VLOOKUP(Table6[[#This Row],[SKU]],'All Skus'!$A:$AC,2,FALSE))="JBL",(VLOOKUP(Table6[[#This Row],[SKU]],'All Skus'!$A:$AC,21,FALSE)),""))</f>
        <v>6</v>
      </c>
      <c r="T76" s="61" t="str">
        <f>(IF((VLOOKUP(Table6[[#This Row],[SKU]],'All Skus'!$A:$AC,2,FALSE))="JBL",(VLOOKUP(Table6[[#This Row],[SKU]],'All Skus'!$A:$AC,22,FALSE)),""))</f>
        <v>CN</v>
      </c>
      <c r="U76" t="str">
        <f>(IF((VLOOKUP(Table6[[#This Row],[SKU]],'All Skus'!$A:$AC,2,FALSE))="JBL",(VLOOKUP(Table6[[#This Row],[SKU]],'All Skus'!$A:$AC,23,FALSE)),""))</f>
        <v>Non Compliant</v>
      </c>
      <c r="V76" s="284" t="str">
        <f>HYPERLINK((IF((VLOOKUP(Table6[[#This Row],[SKU]],'All Skus'!$A:$AC,2,FALSE))="JBL",(VLOOKUP(Table6[[#This Row],[SKU]],'All Skus'!$A:$AC,24,FALSE)),"")))</f>
        <v xml:space="preserve">http://www.jblpro.com/www/products/installed-sound/control-contractor-series/control-24ct-bk </v>
      </c>
      <c r="W76" s="151">
        <v>74</v>
      </c>
    </row>
    <row r="77" spans="1:23" ht="15" customHeight="1">
      <c r="A77" s="13" t="s">
        <v>1083</v>
      </c>
      <c r="B77" s="12" t="str">
        <f>(IF((VLOOKUP(Table6[[#This Row],[SKU]],'All Skus'!$A:$AC,2,FALSE))="JBL",(VLOOKUP(Table6[[#This Row],[SKU]],'All Skus'!$A:$AC,3,FALSE)),""))</f>
        <v>Ceiling Speaker</v>
      </c>
      <c r="C77" s="12" t="str">
        <f>(IF((VLOOKUP(Table6[[#This Row],[SKU]],'All Skus'!$A:$AC,2,FALSE))="JBL",(VLOOKUP(Table6[[#This Row],[SKU]],'All Skus'!$A:$AC,4,FALSE)),""))</f>
        <v>CONTROL 24C</v>
      </c>
      <c r="D77" s="61" t="str">
        <f>(IF((VLOOKUP(Table6[[#This Row],[SKU]],'All Skus'!$A:$AC,2,FALSE))="JBL",(VLOOKUP(Table6[[#This Row],[SKU]],'All Skus'!$A:$AC,5,FALSE)),""))</f>
        <v>JBL018</v>
      </c>
      <c r="E77" s="137">
        <f>(IF((VLOOKUP(Table6[[#This Row],[SKU]],'All Skus'!$A:$AC,2,FALSE))="JBL",(VLOOKUP(Table6[[#This Row],[SKU]],'All Skus'!$A:$AC,6,FALSE)),""))</f>
        <v>0</v>
      </c>
      <c r="F77" s="61">
        <f>(IF((VLOOKUP(Table6[[#This Row],[SKU]],'All Skus'!$A:$AC,2,FALSE))="JBL",(VLOOKUP(Table6[[#This Row],[SKU]],'All Skus'!$A:$AC,7,FALSE)),""))</f>
        <v>0</v>
      </c>
      <c r="G77" t="str">
        <f>(IF((VLOOKUP(Table6[[#This Row],[SKU]],'All Skus'!$A:$AC,2,FALSE))="JBL",(VLOOKUP(Table6[[#This Row],[SKU]],'All Skus'!$A:$AC,8,FALSE)),""))</f>
        <v>4" COAX CEILING SPKR ASSY (2 PER CTN)</v>
      </c>
      <c r="H77" s="8" t="str">
        <f>(IF((VLOOKUP(Table6[[#This Row],[SKU]],'All Skus'!$A:$AC,2,FALSE))="JBL",(VLOOKUP(Table6[[#This Row],[SKU]],'All Skus'!$A:$AC,9,FALSE)),""))</f>
        <v>4" Two-Way Vented Ceiling Speaker, 80Hz – 20kHz, 86dB Sensitivity, 80W Program and 40W Pink Noise Power Capacity, SonicGuard™ Overload Protection, 16 ohms, 130° Coverage, Packaged with Backcan, Grille, Support Plate and Tile Rails.  Priced as Each, Packed as Pairs.  Master Pack Quantity:  8 Pieces.</v>
      </c>
      <c r="I77" s="101">
        <f>(IF((VLOOKUP(Table6[[#This Row],[SKU]],'All Skus'!$A:$AC,2,FALSE))="JBL",(VLOOKUP(Table6[[#This Row],[SKU]],'All Skus'!$A:$AC,10,FALSE)),""))</f>
        <v>166.05</v>
      </c>
      <c r="J77" s="101">
        <f>(IF((VLOOKUP(Table6[[#This Row],[SKU]],'All Skus'!$A:$AC,2,FALSE))="JBL",(VLOOKUP(Table6[[#This Row],[SKU]],'All Skus'!$A:$AC,11,FALSE)),""))</f>
        <v>129</v>
      </c>
      <c r="K77" s="102">
        <f>(IF((VLOOKUP(Table6[[#This Row],[SKU]],'All Skus'!$A:$AC,2,FALSE))="JBL",(VLOOKUP(Table6[[#This Row],[SKU]],'All Skus'!$A:$AC,13,FALSE)),""))</f>
        <v>91.901764999999997</v>
      </c>
      <c r="L77" s="102">
        <f>(IF((VLOOKUP(Table6[[#This Row],[SKU]],'All Skus'!$A:$AC,2,FALSE))="JBL",(VLOOKUP(Table6[[#This Row],[SKU]],'All Skus'!$A:$AC,14,FALSE)),""))</f>
        <v>87.064830000000015</v>
      </c>
      <c r="M77" s="143">
        <f>(IF((VLOOKUP(Table6[[#This Row],[SKU]],'All Skus'!$A:$AC,2,FALSE))="JBL",(VLOOKUP(Table6[[#This Row],[SKU]],'All Skus'!$A:$AC,15,FALSE)),""))</f>
        <v>2</v>
      </c>
      <c r="N77" s="137">
        <f>(IF((VLOOKUP(Table6[[#This Row],[SKU]],'All Skus'!$A:$AC,2,FALSE))="JBL",(VLOOKUP(Table6[[#This Row],[SKU]],'All Skus'!$A:$AC,16,FALSE)),""))</f>
        <v>50036905046</v>
      </c>
      <c r="O77" s="61">
        <f>(IF((VLOOKUP(Table6[[#This Row],[SKU]],'All Skus'!$A:$AC,2,FALSE))="JBL",(VLOOKUP(Table6[[#This Row],[SKU]],'All Skus'!$A:$AC,17,FALSE)),""))</f>
        <v>0</v>
      </c>
      <c r="P77" s="136">
        <f>(IF((VLOOKUP(Table6[[#This Row],[SKU]],'All Skus'!$A:$AC,2,FALSE))="JBL",(VLOOKUP(Table6[[#This Row],[SKU]],'All Skus'!$A:$AC,18,FALSE)),""))</f>
        <v>8.25</v>
      </c>
      <c r="Q77" s="136">
        <f>(IF((VLOOKUP(Table6[[#This Row],[SKU]],'All Skus'!$A:$AC,2,FALSE))="JBL",(VLOOKUP(Table6[[#This Row],[SKU]],'All Skus'!$A:$AC,19,FALSE)),""))</f>
        <v>13.25</v>
      </c>
      <c r="R77" s="136">
        <f>(IF((VLOOKUP(Table6[[#This Row],[SKU]],'All Skus'!$A:$AC,2,FALSE))="JBL",(VLOOKUP(Table6[[#This Row],[SKU]],'All Skus'!$A:$AC,20,FALSE)),""))</f>
        <v>4.5</v>
      </c>
      <c r="S77" s="61">
        <f>(IF((VLOOKUP(Table6[[#This Row],[SKU]],'All Skus'!$A:$AC,2,FALSE))="JBL",(VLOOKUP(Table6[[#This Row],[SKU]],'All Skus'!$A:$AC,21,FALSE)),""))</f>
        <v>13</v>
      </c>
      <c r="T77" s="61" t="str">
        <f>(IF((VLOOKUP(Table6[[#This Row],[SKU]],'All Skus'!$A:$AC,2,FALSE))="JBL",(VLOOKUP(Table6[[#This Row],[SKU]],'All Skus'!$A:$AC,22,FALSE)),""))</f>
        <v>CN</v>
      </c>
      <c r="U77" t="str">
        <f>(IF((VLOOKUP(Table6[[#This Row],[SKU]],'All Skus'!$A:$AC,2,FALSE))="JBL",(VLOOKUP(Table6[[#This Row],[SKU]],'All Skus'!$A:$AC,23,FALSE)),""))</f>
        <v>Non Compliant</v>
      </c>
      <c r="V77" s="284" t="str">
        <f>HYPERLINK((IF((VLOOKUP(Table6[[#This Row],[SKU]],'All Skus'!$A:$AC,2,FALSE))="JBL",(VLOOKUP(Table6[[#This Row],[SKU]],'All Skus'!$A:$AC,24,FALSE)),"")))</f>
        <v xml:space="preserve">http://www.jblpro.com/www/products/installed-sound/control-contractor-series/control-24c </v>
      </c>
      <c r="W77" s="151">
        <v>75</v>
      </c>
    </row>
    <row r="78" spans="1:23" ht="15" customHeight="1">
      <c r="A78" s="13" t="s">
        <v>1084</v>
      </c>
      <c r="B78" s="12" t="str">
        <f>(IF((VLOOKUP(Table6[[#This Row],[SKU]],'All Skus'!$A:$AC,2,FALSE))="JBL",(VLOOKUP(Table6[[#This Row],[SKU]],'All Skus'!$A:$AC,3,FALSE)),""))</f>
        <v>Ceiling Speaker</v>
      </c>
      <c r="C78" s="12" t="str">
        <f>(IF((VLOOKUP(Table6[[#This Row],[SKU]],'All Skus'!$A:$AC,2,FALSE))="JBL",(VLOOKUP(Table6[[#This Row],[SKU]],'All Skus'!$A:$AC,4,FALSE)),""))</f>
        <v>CONTROL 24C MICRO</v>
      </c>
      <c r="D78" s="61" t="str">
        <f>(IF((VLOOKUP(Table6[[#This Row],[SKU]],'All Skus'!$A:$AC,2,FALSE))="JBL",(VLOOKUP(Table6[[#This Row],[SKU]],'All Skus'!$A:$AC,5,FALSE)),""))</f>
        <v>JBL018</v>
      </c>
      <c r="E78" s="137">
        <f>(IF((VLOOKUP(Table6[[#This Row],[SKU]],'All Skus'!$A:$AC,2,FALSE))="JBL",(VLOOKUP(Table6[[#This Row],[SKU]],'All Skus'!$A:$AC,6,FALSE)),""))</f>
        <v>0</v>
      </c>
      <c r="F78" s="61">
        <f>(IF((VLOOKUP(Table6[[#This Row],[SKU]],'All Skus'!$A:$AC,2,FALSE))="JBL",(VLOOKUP(Table6[[#This Row],[SKU]],'All Skus'!$A:$AC,7,FALSE)),""))</f>
        <v>0</v>
      </c>
      <c r="G78" t="str">
        <f>(IF((VLOOKUP(Table6[[#This Row],[SKU]],'All Skus'!$A:$AC,2,FALSE))="JBL",(VLOOKUP(Table6[[#This Row],[SKU]],'All Skus'!$A:$AC,8,FALSE)),""))</f>
        <v>4" COMPACT CEILING SPKR 8mstrpk</v>
      </c>
      <c r="H78" s="8" t="str">
        <f>(IF((VLOOKUP(Table6[[#This Row],[SKU]],'All Skus'!$A:$AC,2,FALSE))="JBL",(VLOOKUP(Table6[[#This Row],[SKU]],'All Skus'!$A:$AC,9,FALSE)),""))</f>
        <v>4" Two-Way Ceiling Speaker, 15W Pink Noise, 30W Program Power Capacity.  8 ohms, Shallow 4" Back Depth.  For Applications with Low Ceilings.  Features Extremely Wide 150° coverage.  Packaged with Backcan, Grille, Support Bracket and Tile Rails.   Priced as Each, Packed as Pairs.  Master Pack Quantity:  8 Pieces.</v>
      </c>
      <c r="I78" s="101">
        <f>(IF((VLOOKUP(Table6[[#This Row],[SKU]],'All Skus'!$A:$AC,2,FALSE))="JBL",(VLOOKUP(Table6[[#This Row],[SKU]],'All Skus'!$A:$AC,10,FALSE)),""))</f>
        <v>107.68</v>
      </c>
      <c r="J78" s="101">
        <f>(IF((VLOOKUP(Table6[[#This Row],[SKU]],'All Skus'!$A:$AC,2,FALSE))="JBL",(VLOOKUP(Table6[[#This Row],[SKU]],'All Skus'!$A:$AC,11,FALSE)),""))</f>
        <v>88</v>
      </c>
      <c r="K78" s="102">
        <f>(IF((VLOOKUP(Table6[[#This Row],[SKU]],'All Skus'!$A:$AC,2,FALSE))="JBL",(VLOOKUP(Table6[[#This Row],[SKU]],'All Skus'!$A:$AC,13,FALSE)),""))</f>
        <v>59.587229999999998</v>
      </c>
      <c r="L78" s="102">
        <f>(IF((VLOOKUP(Table6[[#This Row],[SKU]],'All Skus'!$A:$AC,2,FALSE))="JBL",(VLOOKUP(Table6[[#This Row],[SKU]],'All Skus'!$A:$AC,14,FALSE)),""))</f>
        <v>56.451059999999998</v>
      </c>
      <c r="M78" s="143">
        <f>(IF((VLOOKUP(Table6[[#This Row],[SKU]],'All Skus'!$A:$AC,2,FALSE))="JBL",(VLOOKUP(Table6[[#This Row],[SKU]],'All Skus'!$A:$AC,15,FALSE)),""))</f>
        <v>2</v>
      </c>
      <c r="N78" s="137">
        <f>(IF((VLOOKUP(Table6[[#This Row],[SKU]],'All Skus'!$A:$AC,2,FALSE))="JBL",(VLOOKUP(Table6[[#This Row],[SKU]],'All Skus'!$A:$AC,16,FALSE)),""))</f>
        <v>50036904643</v>
      </c>
      <c r="O78" s="61">
        <f>(IF((VLOOKUP(Table6[[#This Row],[SKU]],'All Skus'!$A:$AC,2,FALSE))="JBL",(VLOOKUP(Table6[[#This Row],[SKU]],'All Skus'!$A:$AC,17,FALSE)),""))</f>
        <v>0</v>
      </c>
      <c r="P78" s="136">
        <f>(IF((VLOOKUP(Table6[[#This Row],[SKU]],'All Skus'!$A:$AC,2,FALSE))="JBL",(VLOOKUP(Table6[[#This Row],[SKU]],'All Skus'!$A:$AC,18,FALSE)),""))</f>
        <v>7.3</v>
      </c>
      <c r="Q78" s="136">
        <f>(IF((VLOOKUP(Table6[[#This Row],[SKU]],'All Skus'!$A:$AC,2,FALSE))="JBL",(VLOOKUP(Table6[[#This Row],[SKU]],'All Skus'!$A:$AC,19,FALSE)),""))</f>
        <v>3.31</v>
      </c>
      <c r="R78" s="136">
        <f>(IF((VLOOKUP(Table6[[#This Row],[SKU]],'All Skus'!$A:$AC,2,FALSE))="JBL",(VLOOKUP(Table6[[#This Row],[SKU]],'All Skus'!$A:$AC,20,FALSE)),""))</f>
        <v>1.89</v>
      </c>
      <c r="S78" s="61">
        <f>(IF((VLOOKUP(Table6[[#This Row],[SKU]],'All Skus'!$A:$AC,2,FALSE))="JBL",(VLOOKUP(Table6[[#This Row],[SKU]],'All Skus'!$A:$AC,21,FALSE)),""))</f>
        <v>2.75</v>
      </c>
      <c r="T78" s="61" t="str">
        <f>(IF((VLOOKUP(Table6[[#This Row],[SKU]],'All Skus'!$A:$AC,2,FALSE))="JBL",(VLOOKUP(Table6[[#This Row],[SKU]],'All Skus'!$A:$AC,22,FALSE)),""))</f>
        <v>CN</v>
      </c>
      <c r="U78" t="str">
        <f>(IF((VLOOKUP(Table6[[#This Row],[SKU]],'All Skus'!$A:$AC,2,FALSE))="JBL",(VLOOKUP(Table6[[#This Row],[SKU]],'All Skus'!$A:$AC,23,FALSE)),""))</f>
        <v>Non Compliant</v>
      </c>
      <c r="V78" s="284" t="str">
        <f>HYPERLINK((IF((VLOOKUP(Table6[[#This Row],[SKU]],'All Skus'!$A:$AC,2,FALSE))="JBL",(VLOOKUP(Table6[[#This Row],[SKU]],'All Skus'!$A:$AC,24,FALSE)),"")))</f>
        <v xml:space="preserve">http://www.jblpro.com/www/products/installed-sound/control-contractor-series/control-24c-micro </v>
      </c>
      <c r="W78" s="151">
        <v>76</v>
      </c>
    </row>
    <row r="79" spans="1:23" ht="15" customHeight="1">
      <c r="A79" s="13" t="s">
        <v>1085</v>
      </c>
      <c r="B79" s="12" t="str">
        <f>(IF((VLOOKUP(Table6[[#This Row],[SKU]],'All Skus'!$A:$AC,2,FALSE))="JBL",(VLOOKUP(Table6[[#This Row],[SKU]],'All Skus'!$A:$AC,3,FALSE)),""))</f>
        <v>Ceiling Speaker</v>
      </c>
      <c r="C79" s="12" t="str">
        <f>(IF((VLOOKUP(Table6[[#This Row],[SKU]],'All Skus'!$A:$AC,2,FALSE))="JBL",(VLOOKUP(Table6[[#This Row],[SKU]],'All Skus'!$A:$AC,4,FALSE)),""))</f>
        <v>CONTROL 24CT</v>
      </c>
      <c r="D79" s="61" t="str">
        <f>(IF((VLOOKUP(Table6[[#This Row],[SKU]],'All Skus'!$A:$AC,2,FALSE))="JBL",(VLOOKUP(Table6[[#This Row],[SKU]],'All Skus'!$A:$AC,5,FALSE)),""))</f>
        <v>JBL018</v>
      </c>
      <c r="E79" s="137">
        <f>(IF((VLOOKUP(Table6[[#This Row],[SKU]],'All Skus'!$A:$AC,2,FALSE))="JBL",(VLOOKUP(Table6[[#This Row],[SKU]],'All Skus'!$A:$AC,6,FALSE)),""))</f>
        <v>0</v>
      </c>
      <c r="F79" s="61">
        <f>(IF((VLOOKUP(Table6[[#This Row],[SKU]],'All Skus'!$A:$AC,2,FALSE))="JBL",(VLOOKUP(Table6[[#This Row],[SKU]],'All Skus'!$A:$AC,7,FALSE)),""))</f>
        <v>0</v>
      </c>
      <c r="G79" t="str">
        <f>(IF((VLOOKUP(Table6[[#This Row],[SKU]],'All Skus'!$A:$AC,2,FALSE))="JBL",(VLOOKUP(Table6[[#This Row],[SKU]],'All Skus'!$A:$AC,8,FALSE)),""))</f>
        <v>4" CEILING SPKR W/X-FORMER (2 PER CTN)</v>
      </c>
      <c r="H79" s="8" t="str">
        <f>(IF((VLOOKUP(Table6[[#This Row],[SKU]],'All Skus'!$A:$AC,2,FALSE))="JBL",(VLOOKUP(Table6[[#This Row],[SKU]],'All Skus'!$A:$AC,9,FALSE)),""))</f>
        <v>Control 24C with Transformer.  For use on a 70.7V or 100V Distributed Line, Switchable Taps at 30W, 15W and 7.5W (Plus 3.7W at 70.7V only), No SonicGuard. Priced as Each, Packed as Pairs.  Master Pack Quantity:  8 Pieces.</v>
      </c>
      <c r="I79" s="101">
        <f>(IF((VLOOKUP(Table6[[#This Row],[SKU]],'All Skus'!$A:$AC,2,FALSE))="JBL",(VLOOKUP(Table6[[#This Row],[SKU]],'All Skus'!$A:$AC,10,FALSE)),""))</f>
        <v>178.61</v>
      </c>
      <c r="J79" s="101">
        <f>(IF((VLOOKUP(Table6[[#This Row],[SKU]],'All Skus'!$A:$AC,2,FALSE))="JBL",(VLOOKUP(Table6[[#This Row],[SKU]],'All Skus'!$A:$AC,11,FALSE)),""))</f>
        <v>144</v>
      </c>
      <c r="K79" s="102">
        <f>(IF((VLOOKUP(Table6[[#This Row],[SKU]],'All Skus'!$A:$AC,2,FALSE))="JBL",(VLOOKUP(Table6[[#This Row],[SKU]],'All Skus'!$A:$AC,13,FALSE)),""))</f>
        <v>99.789805000000001</v>
      </c>
      <c r="L79" s="102">
        <f>(IF((VLOOKUP(Table6[[#This Row],[SKU]],'All Skus'!$A:$AC,2,FALSE))="JBL",(VLOOKUP(Table6[[#This Row],[SKU]],'All Skus'!$A:$AC,14,FALSE)),""))</f>
        <v>94.537710000000018</v>
      </c>
      <c r="M79" s="143">
        <f>(IF((VLOOKUP(Table6[[#This Row],[SKU]],'All Skus'!$A:$AC,2,FALSE))="JBL",(VLOOKUP(Table6[[#This Row],[SKU]],'All Skus'!$A:$AC,15,FALSE)),""))</f>
        <v>2</v>
      </c>
      <c r="N79" s="137">
        <f>(IF((VLOOKUP(Table6[[#This Row],[SKU]],'All Skus'!$A:$AC,2,FALSE))="JBL",(VLOOKUP(Table6[[#This Row],[SKU]],'All Skus'!$A:$AC,16,FALSE)),""))</f>
        <v>50036903981</v>
      </c>
      <c r="O79" s="61">
        <f>(IF((VLOOKUP(Table6[[#This Row],[SKU]],'All Skus'!$A:$AC,2,FALSE))="JBL",(VLOOKUP(Table6[[#This Row],[SKU]],'All Skus'!$A:$AC,17,FALSE)),""))</f>
        <v>0</v>
      </c>
      <c r="P79" s="136">
        <f>(IF((VLOOKUP(Table6[[#This Row],[SKU]],'All Skus'!$A:$AC,2,FALSE))="JBL",(VLOOKUP(Table6[[#This Row],[SKU]],'All Skus'!$A:$AC,18,FALSE)),""))</f>
        <v>8.3000000000000007</v>
      </c>
      <c r="Q79" s="136">
        <f>(IF((VLOOKUP(Table6[[#This Row],[SKU]],'All Skus'!$A:$AC,2,FALSE))="JBL",(VLOOKUP(Table6[[#This Row],[SKU]],'All Skus'!$A:$AC,19,FALSE)),""))</f>
        <v>13</v>
      </c>
      <c r="R79" s="136">
        <f>(IF((VLOOKUP(Table6[[#This Row],[SKU]],'All Skus'!$A:$AC,2,FALSE))="JBL",(VLOOKUP(Table6[[#This Row],[SKU]],'All Skus'!$A:$AC,20,FALSE)),""))</f>
        <v>9.25</v>
      </c>
      <c r="S79" s="61">
        <f>(IF((VLOOKUP(Table6[[#This Row],[SKU]],'All Skus'!$A:$AC,2,FALSE))="JBL",(VLOOKUP(Table6[[#This Row],[SKU]],'All Skus'!$A:$AC,21,FALSE)),""))</f>
        <v>12</v>
      </c>
      <c r="T79" s="61" t="str">
        <f>(IF((VLOOKUP(Table6[[#This Row],[SKU]],'All Skus'!$A:$AC,2,FALSE))="JBL",(VLOOKUP(Table6[[#This Row],[SKU]],'All Skus'!$A:$AC,22,FALSE)),""))</f>
        <v>CN</v>
      </c>
      <c r="U79" t="str">
        <f>(IF((VLOOKUP(Table6[[#This Row],[SKU]],'All Skus'!$A:$AC,2,FALSE))="JBL",(VLOOKUP(Table6[[#This Row],[SKU]],'All Skus'!$A:$AC,23,FALSE)),""))</f>
        <v>Non Compliant</v>
      </c>
      <c r="V79" s="284" t="str">
        <f>HYPERLINK((IF((VLOOKUP(Table6[[#This Row],[SKU]],'All Skus'!$A:$AC,2,FALSE))="JBL",(VLOOKUP(Table6[[#This Row],[SKU]],'All Skus'!$A:$AC,24,FALSE)),"")))</f>
        <v xml:space="preserve">http://www.jblpro.com/www/products/installed-sound/control-contractor-series/control-24ct </v>
      </c>
      <c r="W79" s="151">
        <v>77</v>
      </c>
    </row>
    <row r="80" spans="1:23" ht="15" customHeight="1">
      <c r="A80" s="13" t="s">
        <v>1086</v>
      </c>
      <c r="B80" s="12" t="str">
        <f>(IF((VLOOKUP(Table6[[#This Row],[SKU]],'All Skus'!$A:$AC,2,FALSE))="JBL",(VLOOKUP(Table6[[#This Row],[SKU]],'All Skus'!$A:$AC,3,FALSE)),""))</f>
        <v>Ceiling Speaker</v>
      </c>
      <c r="C80" s="12" t="str">
        <f>(IF((VLOOKUP(Table6[[#This Row],[SKU]],'All Skus'!$A:$AC,2,FALSE))="JBL",(VLOOKUP(Table6[[#This Row],[SKU]],'All Skus'!$A:$AC,4,FALSE)),""))</f>
        <v>CONTROL 24CT MICRO</v>
      </c>
      <c r="D80" s="61" t="str">
        <f>(IF((VLOOKUP(Table6[[#This Row],[SKU]],'All Skus'!$A:$AC,2,FALSE))="JBL",(VLOOKUP(Table6[[#This Row],[SKU]],'All Skus'!$A:$AC,5,FALSE)),""))</f>
        <v>JBL018</v>
      </c>
      <c r="E80" s="137">
        <f>(IF((VLOOKUP(Table6[[#This Row],[SKU]],'All Skus'!$A:$AC,2,FALSE))="JBL",(VLOOKUP(Table6[[#This Row],[SKU]],'All Skus'!$A:$AC,6,FALSE)),""))</f>
        <v>0</v>
      </c>
      <c r="F80" s="61">
        <f>(IF((VLOOKUP(Table6[[#This Row],[SKU]],'All Skus'!$A:$AC,2,FALSE))="JBL",(VLOOKUP(Table6[[#This Row],[SKU]],'All Skus'!$A:$AC,7,FALSE)),""))</f>
        <v>0</v>
      </c>
      <c r="G80" t="str">
        <f>(IF((VLOOKUP(Table6[[#This Row],[SKU]],'All Skus'!$A:$AC,2,FALSE))="JBL",(VLOOKUP(Table6[[#This Row],[SKU]],'All Skus'!$A:$AC,8,FALSE)),""))</f>
        <v>4" COMPACT CEILING SPKR W/TRANS 8mstrpk</v>
      </c>
      <c r="H80" s="8" t="str">
        <f>(IF((VLOOKUP(Table6[[#This Row],[SKU]],'All Skus'!$A:$AC,2,FALSE))="JBL",(VLOOKUP(Table6[[#This Row],[SKU]],'All Skus'!$A:$AC,9,FALSE)),""))</f>
        <v>Control 24C Micro with Transformer.  For use on a 70.7V or 100V Distributed Line.  Taps are 8W, 4W and 2W, 1W (and 1/2W at  70.7V only).   Priced as Each, Packed as Pairs.  Master Pack Quantity:  8 Pieces.</v>
      </c>
      <c r="I80" s="101">
        <f>(IF((VLOOKUP(Table6[[#This Row],[SKU]],'All Skus'!$A:$AC,2,FALSE))="JBL",(VLOOKUP(Table6[[#This Row],[SKU]],'All Skus'!$A:$AC,10,FALSE)),""))</f>
        <v>114.17</v>
      </c>
      <c r="J80" s="101">
        <f>(IF((VLOOKUP(Table6[[#This Row],[SKU]],'All Skus'!$A:$AC,2,FALSE))="JBL",(VLOOKUP(Table6[[#This Row],[SKU]],'All Skus'!$A:$AC,11,FALSE)),""))</f>
        <v>92</v>
      </c>
      <c r="K80" s="102">
        <f>(IF((VLOOKUP(Table6[[#This Row],[SKU]],'All Skus'!$A:$AC,2,FALSE))="JBL",(VLOOKUP(Table6[[#This Row],[SKU]],'All Skus'!$A:$AC,13,FALSE)),""))</f>
        <v>63.175474999999999</v>
      </c>
      <c r="L80" s="102">
        <f>(IF((VLOOKUP(Table6[[#This Row],[SKU]],'All Skus'!$A:$AC,2,FALSE))="JBL",(VLOOKUP(Table6[[#This Row],[SKU]],'All Skus'!$A:$AC,14,FALSE)),""))</f>
        <v>59.850450000000002</v>
      </c>
      <c r="M80" s="143">
        <f>(IF((VLOOKUP(Table6[[#This Row],[SKU]],'All Skus'!$A:$AC,2,FALSE))="JBL",(VLOOKUP(Table6[[#This Row],[SKU]],'All Skus'!$A:$AC,15,FALSE)),""))</f>
        <v>2</v>
      </c>
      <c r="N80" s="137">
        <f>(IF((VLOOKUP(Table6[[#This Row],[SKU]],'All Skus'!$A:$AC,2,FALSE))="JBL",(VLOOKUP(Table6[[#This Row],[SKU]],'All Skus'!$A:$AC,16,FALSE)),""))</f>
        <v>50036904650</v>
      </c>
      <c r="O80" s="61">
        <f>(IF((VLOOKUP(Table6[[#This Row],[SKU]],'All Skus'!$A:$AC,2,FALSE))="JBL",(VLOOKUP(Table6[[#This Row],[SKU]],'All Skus'!$A:$AC,17,FALSE)),""))</f>
        <v>0</v>
      </c>
      <c r="P80" s="136">
        <f>(IF((VLOOKUP(Table6[[#This Row],[SKU]],'All Skus'!$A:$AC,2,FALSE))="JBL",(VLOOKUP(Table6[[#This Row],[SKU]],'All Skus'!$A:$AC,18,FALSE)),""))</f>
        <v>7.95</v>
      </c>
      <c r="Q80" s="136">
        <f>(IF((VLOOKUP(Table6[[#This Row],[SKU]],'All Skus'!$A:$AC,2,FALSE))="JBL",(VLOOKUP(Table6[[#This Row],[SKU]],'All Skus'!$A:$AC,19,FALSE)),""))</f>
        <v>13</v>
      </c>
      <c r="R80" s="136">
        <f>(IF((VLOOKUP(Table6[[#This Row],[SKU]],'All Skus'!$A:$AC,2,FALSE))="JBL",(VLOOKUP(Table6[[#This Row],[SKU]],'All Skus'!$A:$AC,20,FALSE)),""))</f>
        <v>10.75</v>
      </c>
      <c r="S80" s="61">
        <f>(IF((VLOOKUP(Table6[[#This Row],[SKU]],'All Skus'!$A:$AC,2,FALSE))="JBL",(VLOOKUP(Table6[[#This Row],[SKU]],'All Skus'!$A:$AC,21,FALSE)),""))</f>
        <v>7.5</v>
      </c>
      <c r="T80" s="61" t="str">
        <f>(IF((VLOOKUP(Table6[[#This Row],[SKU]],'All Skus'!$A:$AC,2,FALSE))="JBL",(VLOOKUP(Table6[[#This Row],[SKU]],'All Skus'!$A:$AC,22,FALSE)),""))</f>
        <v>CN</v>
      </c>
      <c r="U80" t="str">
        <f>(IF((VLOOKUP(Table6[[#This Row],[SKU]],'All Skus'!$A:$AC,2,FALSE))="JBL",(VLOOKUP(Table6[[#This Row],[SKU]],'All Skus'!$A:$AC,23,FALSE)),""))</f>
        <v>Non Compliant</v>
      </c>
      <c r="V80" s="284" t="str">
        <f>HYPERLINK((IF((VLOOKUP(Table6[[#This Row],[SKU]],'All Skus'!$A:$AC,2,FALSE))="JBL",(VLOOKUP(Table6[[#This Row],[SKU]],'All Skus'!$A:$AC,24,FALSE)),"")))</f>
        <v xml:space="preserve">http://www.jblpro.com/www/products/installed-sound/control-contractor-series/control-24ct-micro </v>
      </c>
      <c r="W80" s="151">
        <v>78</v>
      </c>
    </row>
    <row r="81" spans="1:23" ht="15" hidden="1" customHeight="1">
      <c r="A81" s="13" t="s">
        <v>1087</v>
      </c>
      <c r="B81" s="12" t="str">
        <f>(IF((VLOOKUP(Table6[[#This Row],[SKU]],'All Skus'!$A:$AC,2,FALSE))="JBL",(VLOOKUP(Table6[[#This Row],[SKU]],'All Skus'!$A:$AC,3,FALSE)),""))</f>
        <v>Ceiling Speaker</v>
      </c>
      <c r="C81" s="12" t="str">
        <f>(IF((VLOOKUP(Table6[[#This Row],[SKU]],'All Skus'!$A:$AC,2,FALSE))="JBL",(VLOOKUP(Table6[[#This Row],[SKU]],'All Skus'!$A:$AC,4,FALSE)),""))</f>
        <v>CONTROL 26C</v>
      </c>
      <c r="D81" s="61" t="str">
        <f>(IF((VLOOKUP(Table6[[#This Row],[SKU]],'All Skus'!$A:$AC,2,FALSE))="JBL",(VLOOKUP(Table6[[#This Row],[SKU]],'All Skus'!$A:$AC,5,FALSE)),""))</f>
        <v>JBL018</v>
      </c>
      <c r="E81" s="137">
        <f>(IF((VLOOKUP(Table6[[#This Row],[SKU]],'All Skus'!$A:$AC,2,FALSE))="JBL",(VLOOKUP(Table6[[#This Row],[SKU]],'All Skus'!$A:$AC,6,FALSE)),""))</f>
        <v>0</v>
      </c>
      <c r="F81" s="61">
        <f>(IF((VLOOKUP(Table6[[#This Row],[SKU]],'All Skus'!$A:$AC,2,FALSE))="JBL",(VLOOKUP(Table6[[#This Row],[SKU]],'All Skus'!$A:$AC,7,FALSE)),""))</f>
        <v>0</v>
      </c>
      <c r="G81" t="str">
        <f>(IF((VLOOKUP(Table6[[#This Row],[SKU]],'All Skus'!$A:$AC,2,FALSE))="JBL",(VLOOKUP(Table6[[#This Row],[SKU]],'All Skus'!$A:$AC,8,FALSE)),""))</f>
        <v>6.5" COAX CEILING SPEAKER (2 PER CARTON)</v>
      </c>
      <c r="H81" s="8" t="str">
        <f>(IF((VLOOKUP(Table6[[#This Row],[SKU]],'All Skus'!$A:$AC,2,FALSE))="JBL",(VLOOKUP(Table6[[#This Row],[SKU]],'All Skus'!$A:$AC,9,FALSE)),""))</f>
        <v>6.5" Two-Way Vented Ceiling Speaker, 75Hz – 20kHz, 89dB Sensitivity, 150W Program and 75W Pink Noise Power Capacity, SonicGuard Overload Protection, 16 Ohms, 100° Coverage, Packaged With Backcan, Grille, Support Plate and Tile Rails.  Priced as Each, Packed as Pairs.  Master Pack Quantity:  4 Pieces.</v>
      </c>
      <c r="I81" s="101">
        <f>(IF((VLOOKUP(Table6[[#This Row],[SKU]],'All Skus'!$A:$AC,2,FALSE))="JBL",(VLOOKUP(Table6[[#This Row],[SKU]],'All Skus'!$A:$AC,10,FALSE)),""))</f>
        <v>215.35</v>
      </c>
      <c r="J81" s="101">
        <f>(IF((VLOOKUP(Table6[[#This Row],[SKU]],'All Skus'!$A:$AC,2,FALSE))="JBL",(VLOOKUP(Table6[[#This Row],[SKU]],'All Skus'!$A:$AC,11,FALSE)),""))</f>
        <v>170</v>
      </c>
      <c r="K81" s="102">
        <f>(IF((VLOOKUP(Table6[[#This Row],[SKU]],'All Skus'!$A:$AC,2,FALSE))="JBL",(VLOOKUP(Table6[[#This Row],[SKU]],'All Skus'!$A:$AC,13,FALSE)),""))</f>
        <v>119.17446</v>
      </c>
      <c r="L81" s="102">
        <f>(IF((VLOOKUP(Table6[[#This Row],[SKU]],'All Skus'!$A:$AC,2,FALSE))="JBL",(VLOOKUP(Table6[[#This Row],[SKU]],'All Skus'!$A:$AC,14,FALSE)),""))</f>
        <v>112.90212</v>
      </c>
      <c r="M81" s="143">
        <f>(IF((VLOOKUP(Table6[[#This Row],[SKU]],'All Skus'!$A:$AC,2,FALSE))="JBL",(VLOOKUP(Table6[[#This Row],[SKU]],'All Skus'!$A:$AC,15,FALSE)),""))</f>
        <v>2</v>
      </c>
      <c r="N81" s="137">
        <f>(IF((VLOOKUP(Table6[[#This Row],[SKU]],'All Skus'!$A:$AC,2,FALSE))="JBL",(VLOOKUP(Table6[[#This Row],[SKU]],'All Skus'!$A:$AC,16,FALSE)),""))</f>
        <v>50036903967</v>
      </c>
      <c r="O81" s="61">
        <f>(IF((VLOOKUP(Table6[[#This Row],[SKU]],'All Skus'!$A:$AC,2,FALSE))="JBL",(VLOOKUP(Table6[[#This Row],[SKU]],'All Skus'!$A:$AC,17,FALSE)),""))</f>
        <v>0</v>
      </c>
      <c r="P81" s="136">
        <f>(IF((VLOOKUP(Table6[[#This Row],[SKU]],'All Skus'!$A:$AC,2,FALSE))="JBL",(VLOOKUP(Table6[[#This Row],[SKU]],'All Skus'!$A:$AC,18,FALSE)),""))</f>
        <v>9.15</v>
      </c>
      <c r="Q81" s="136">
        <f>(IF((VLOOKUP(Table6[[#This Row],[SKU]],'All Skus'!$A:$AC,2,FALSE))="JBL",(VLOOKUP(Table6[[#This Row],[SKU]],'All Skus'!$A:$AC,19,FALSE)),""))</f>
        <v>13</v>
      </c>
      <c r="R81" s="136">
        <f>(IF((VLOOKUP(Table6[[#This Row],[SKU]],'All Skus'!$A:$AC,2,FALSE))="JBL",(VLOOKUP(Table6[[#This Row],[SKU]],'All Skus'!$A:$AC,20,FALSE)),""))</f>
        <v>11</v>
      </c>
      <c r="S81" s="61">
        <f>(IF((VLOOKUP(Table6[[#This Row],[SKU]],'All Skus'!$A:$AC,2,FALSE))="JBL",(VLOOKUP(Table6[[#This Row],[SKU]],'All Skus'!$A:$AC,21,FALSE)),""))</f>
        <v>11</v>
      </c>
      <c r="T81" s="61" t="str">
        <f>(IF((VLOOKUP(Table6[[#This Row],[SKU]],'All Skus'!$A:$AC,2,FALSE))="JBL",(VLOOKUP(Table6[[#This Row],[SKU]],'All Skus'!$A:$AC,22,FALSE)),""))</f>
        <v>CN</v>
      </c>
      <c r="U81" t="str">
        <f>(IF((VLOOKUP(Table6[[#This Row],[SKU]],'All Skus'!$A:$AC,2,FALSE))="JBL",(VLOOKUP(Table6[[#This Row],[SKU]],'All Skus'!$A:$AC,23,FALSE)),""))</f>
        <v>Non Compliant</v>
      </c>
      <c r="V81" s="284" t="str">
        <f>HYPERLINK((IF((VLOOKUP(Table6[[#This Row],[SKU]],'All Skus'!$A:$AC,2,FALSE))="JBL",(VLOOKUP(Table6[[#This Row],[SKU]],'All Skus'!$A:$AC,24,FALSE)),"")))</f>
        <v xml:space="preserve">http://www.jblpro.com/www/products/installed-sound/control-contractor-series/control-26c </v>
      </c>
      <c r="W81" s="151">
        <v>79</v>
      </c>
    </row>
    <row r="82" spans="1:23" ht="15" hidden="1" customHeight="1">
      <c r="A82" s="13" t="s">
        <v>1088</v>
      </c>
      <c r="B82" s="12" t="str">
        <f>(IF((VLOOKUP(Table6[[#This Row],[SKU]],'All Skus'!$A:$AC,2,FALSE))="JBL",(VLOOKUP(Table6[[#This Row],[SKU]],'All Skus'!$A:$AC,3,FALSE)),""))</f>
        <v>Ceiling Speaker</v>
      </c>
      <c r="C82" s="12" t="str">
        <f>(IF((VLOOKUP(Table6[[#This Row],[SKU]],'All Skus'!$A:$AC,2,FALSE))="JBL",(VLOOKUP(Table6[[#This Row],[SKU]],'All Skus'!$A:$AC,4,FALSE)),""))</f>
        <v>CONTROL 26CT</v>
      </c>
      <c r="D82" s="61" t="str">
        <f>(IF((VLOOKUP(Table6[[#This Row],[SKU]],'All Skus'!$A:$AC,2,FALSE))="JBL",(VLOOKUP(Table6[[#This Row],[SKU]],'All Skus'!$A:$AC,5,FALSE)),""))</f>
        <v>JBL018</v>
      </c>
      <c r="E82" s="137">
        <f>(IF((VLOOKUP(Table6[[#This Row],[SKU]],'All Skus'!$A:$AC,2,FALSE))="JBL",(VLOOKUP(Table6[[#This Row],[SKU]],'All Skus'!$A:$AC,6,FALSE)),""))</f>
        <v>0</v>
      </c>
      <c r="F82" s="61">
        <f>(IF((VLOOKUP(Table6[[#This Row],[SKU]],'All Skus'!$A:$AC,2,FALSE))="JBL",(VLOOKUP(Table6[[#This Row],[SKU]],'All Skus'!$A:$AC,7,FALSE)),""))</f>
        <v>0</v>
      </c>
      <c r="G82" t="str">
        <f>(IF((VLOOKUP(Table6[[#This Row],[SKU]],'All Skus'!$A:$AC,2,FALSE))="JBL",(VLOOKUP(Table6[[#This Row],[SKU]],'All Skus'!$A:$AC,8,FALSE)),""))</f>
        <v>6.5"CEILING SPKR W/X-FRMER(2PR Per CTN)</v>
      </c>
      <c r="H82" s="8" t="str">
        <f>(IF((VLOOKUP(Table6[[#This Row],[SKU]],'All Skus'!$A:$AC,2,FALSE))="JBL",(VLOOKUP(Table6[[#This Row],[SKU]],'All Skus'!$A:$AC,9,FALSE)),""))</f>
        <v>Control 26C with Transformer.   For use on a 70.7V or 100V Distributed Line, Switchable Taps at 60W, 30W and 15W (Plus 7.5W at 70.7V only), No SonicGuard.  Priced as Each, Packed as Pairs.  Master Pack Quantity:  4 Pieces.</v>
      </c>
      <c r="I82" s="101">
        <f>(IF((VLOOKUP(Table6[[#This Row],[SKU]],'All Skus'!$A:$AC,2,FALSE))="JBL",(VLOOKUP(Table6[[#This Row],[SKU]],'All Skus'!$A:$AC,10,FALSE)),""))</f>
        <v>242.59</v>
      </c>
      <c r="J82" s="101">
        <f>(IF((VLOOKUP(Table6[[#This Row],[SKU]],'All Skus'!$A:$AC,2,FALSE))="JBL",(VLOOKUP(Table6[[#This Row],[SKU]],'All Skus'!$A:$AC,11,FALSE)),""))</f>
        <v>191</v>
      </c>
      <c r="K82" s="102">
        <f>(IF((VLOOKUP(Table6[[#This Row],[SKU]],'All Skus'!$A:$AC,2,FALSE))="JBL",(VLOOKUP(Table6[[#This Row],[SKU]],'All Skus'!$A:$AC,13,FALSE)),""))</f>
        <v>134.25932</v>
      </c>
      <c r="L82" s="102">
        <f>(IF((VLOOKUP(Table6[[#This Row],[SKU]],'All Skus'!$A:$AC,2,FALSE))="JBL",(VLOOKUP(Table6[[#This Row],[SKU]],'All Skus'!$A:$AC,14,FALSE)),""))</f>
        <v>127.19304000000001</v>
      </c>
      <c r="M82" s="143">
        <f>(IF((VLOOKUP(Table6[[#This Row],[SKU]],'All Skus'!$A:$AC,2,FALSE))="JBL",(VLOOKUP(Table6[[#This Row],[SKU]],'All Skus'!$A:$AC,15,FALSE)),""))</f>
        <v>2</v>
      </c>
      <c r="N82" s="137">
        <f>(IF((VLOOKUP(Table6[[#This Row],[SKU]],'All Skus'!$A:$AC,2,FALSE))="JBL",(VLOOKUP(Table6[[#This Row],[SKU]],'All Skus'!$A:$AC,16,FALSE)),""))</f>
        <v>50036904087</v>
      </c>
      <c r="O82" s="61">
        <f>(IF((VLOOKUP(Table6[[#This Row],[SKU]],'All Skus'!$A:$AC,2,FALSE))="JBL",(VLOOKUP(Table6[[#This Row],[SKU]],'All Skus'!$A:$AC,17,FALSE)),""))</f>
        <v>0</v>
      </c>
      <c r="P82" s="136">
        <f>(IF((VLOOKUP(Table6[[#This Row],[SKU]],'All Skus'!$A:$AC,2,FALSE))="JBL",(VLOOKUP(Table6[[#This Row],[SKU]],'All Skus'!$A:$AC,18,FALSE)),""))</f>
        <v>10.3</v>
      </c>
      <c r="Q82" s="136">
        <f>(IF((VLOOKUP(Table6[[#This Row],[SKU]],'All Skus'!$A:$AC,2,FALSE))="JBL",(VLOOKUP(Table6[[#This Row],[SKU]],'All Skus'!$A:$AC,19,FALSE)),""))</f>
        <v>13</v>
      </c>
      <c r="R82" s="136">
        <f>(IF((VLOOKUP(Table6[[#This Row],[SKU]],'All Skus'!$A:$AC,2,FALSE))="JBL",(VLOOKUP(Table6[[#This Row],[SKU]],'All Skus'!$A:$AC,20,FALSE)),""))</f>
        <v>11.5</v>
      </c>
      <c r="S82" s="61">
        <f>(IF((VLOOKUP(Table6[[#This Row],[SKU]],'All Skus'!$A:$AC,2,FALSE))="JBL",(VLOOKUP(Table6[[#This Row],[SKU]],'All Skus'!$A:$AC,21,FALSE)),""))</f>
        <v>12</v>
      </c>
      <c r="T82" s="61" t="str">
        <f>(IF((VLOOKUP(Table6[[#This Row],[SKU]],'All Skus'!$A:$AC,2,FALSE))="JBL",(VLOOKUP(Table6[[#This Row],[SKU]],'All Skus'!$A:$AC,22,FALSE)),""))</f>
        <v>CN</v>
      </c>
      <c r="U82" t="str">
        <f>(IF((VLOOKUP(Table6[[#This Row],[SKU]],'All Skus'!$A:$AC,2,FALSE))="JBL",(VLOOKUP(Table6[[#This Row],[SKU]],'All Skus'!$A:$AC,23,FALSE)),""))</f>
        <v>Non Compliant</v>
      </c>
      <c r="V82" s="284" t="str">
        <f>HYPERLINK((IF((VLOOKUP(Table6[[#This Row],[SKU]],'All Skus'!$A:$AC,2,FALSE))="JBL",(VLOOKUP(Table6[[#This Row],[SKU]],'All Skus'!$A:$AC,24,FALSE)),"")))</f>
        <v xml:space="preserve">http://www.jblpro.com/www/products/installed-sound/control-contractor-series/control-26ct </v>
      </c>
      <c r="W82" s="151">
        <v>80</v>
      </c>
    </row>
    <row r="83" spans="1:23" ht="15" hidden="1" customHeight="1">
      <c r="A83" s="13" t="s">
        <v>1089</v>
      </c>
      <c r="B83" s="12" t="str">
        <f>(IF((VLOOKUP(Table6[[#This Row],[SKU]],'All Skus'!$A:$AC,2,FALSE))="JBL",(VLOOKUP(Table6[[#This Row],[SKU]],'All Skus'!$A:$AC,3,FALSE)),""))</f>
        <v>Ceiling Speaker</v>
      </c>
      <c r="C83" s="12" t="str">
        <f>(IF((VLOOKUP(Table6[[#This Row],[SKU]],'All Skus'!$A:$AC,2,FALSE))="JBL",(VLOOKUP(Table6[[#This Row],[SKU]],'All Skus'!$A:$AC,4,FALSE)),""))</f>
        <v>CONTROL 26-DT</v>
      </c>
      <c r="D83" s="61" t="str">
        <f>(IF((VLOOKUP(Table6[[#This Row],[SKU]],'All Skus'!$A:$AC,2,FALSE))="JBL",(VLOOKUP(Table6[[#This Row],[SKU]],'All Skus'!$A:$AC,5,FALSE)),""))</f>
        <v>JBL018</v>
      </c>
      <c r="E83" s="137">
        <f>(IF((VLOOKUP(Table6[[#This Row],[SKU]],'All Skus'!$A:$AC,2,FALSE))="JBL",(VLOOKUP(Table6[[#This Row],[SKU]],'All Skus'!$A:$AC,6,FALSE)),""))</f>
        <v>0</v>
      </c>
      <c r="F83" s="61">
        <f>(IF((VLOOKUP(Table6[[#This Row],[SKU]],'All Skus'!$A:$AC,2,FALSE))="JBL",(VLOOKUP(Table6[[#This Row],[SKU]],'All Skus'!$A:$AC,7,FALSE)),""))</f>
        <v>0</v>
      </c>
      <c r="G83" t="str">
        <f>(IF((VLOOKUP(Table6[[#This Row],[SKU]],'All Skus'!$A:$AC,2,FALSE))="JBL",(VLOOKUP(Table6[[#This Row],[SKU]],'All Skus'!$A:$AC,8,FALSE)),""))</f>
        <v>CEILING SPKR-Xfrmr no Backcan 2ea Carton</v>
      </c>
      <c r="H83" s="8" t="str">
        <f>(IF((VLOOKUP(Table6[[#This Row],[SKU]],'All Skus'!$A:$AC,2,FALSE))="JBL",(VLOOKUP(Table6[[#This Row],[SKU]],'All Skus'!$A:$AC,9,FALSE)),""))</f>
        <v>200 mm (8 inch) Ceiling Speaker Transducer Assembly.  Driver, Crossover Network and 70V/100V Transformer Assembly.  Fits Standard Backcans for 8 Inch Speakers.  Backcan must have 5+ inches depth. Coverage of 90°.  Taps at 60W, 30W and 15W (Plus 7.5W at 70V Only).   1.9 kg (4.2 lb). Priced as Each, Packed as Pairs.  See wb-site for list of compatible backcans and grilles.</v>
      </c>
      <c r="I83" s="101">
        <f>(IF((VLOOKUP(Table6[[#This Row],[SKU]],'All Skus'!$A:$AC,2,FALSE))="JBL",(VLOOKUP(Table6[[#This Row],[SKU]],'All Skus'!$A:$AC,10,FALSE)),""))</f>
        <v>155.68</v>
      </c>
      <c r="J83" s="101">
        <f>(IF((VLOOKUP(Table6[[#This Row],[SKU]],'All Skus'!$A:$AC,2,FALSE))="JBL",(VLOOKUP(Table6[[#This Row],[SKU]],'All Skus'!$A:$AC,11,FALSE)),""))</f>
        <v>129</v>
      </c>
      <c r="K83" s="102">
        <f>(IF((VLOOKUP(Table6[[#This Row],[SKU]],'All Skus'!$A:$AC,2,FALSE))="JBL",(VLOOKUP(Table6[[#This Row],[SKU]],'All Skus'!$A:$AC,13,FALSE)),""))</f>
        <v>86.158540000000002</v>
      </c>
      <c r="L83" s="102">
        <f>(IF((VLOOKUP(Table6[[#This Row],[SKU]],'All Skus'!$A:$AC,2,FALSE))="JBL",(VLOOKUP(Table6[[#This Row],[SKU]],'All Skus'!$A:$AC,14,FALSE)),""))</f>
        <v>81.62388</v>
      </c>
      <c r="M83" s="143">
        <f>(IF((VLOOKUP(Table6[[#This Row],[SKU]],'All Skus'!$A:$AC,2,FALSE))="JBL",(VLOOKUP(Table6[[#This Row],[SKU]],'All Skus'!$A:$AC,15,FALSE)),""))</f>
        <v>2</v>
      </c>
      <c r="N83" s="137">
        <f>(IF((VLOOKUP(Table6[[#This Row],[SKU]],'All Skus'!$A:$AC,2,FALSE))="JBL",(VLOOKUP(Table6[[#This Row],[SKU]],'All Skus'!$A:$AC,16,FALSE)),""))</f>
        <v>50036905084</v>
      </c>
      <c r="O83" s="61">
        <f>(IF((VLOOKUP(Table6[[#This Row],[SKU]],'All Skus'!$A:$AC,2,FALSE))="JBL",(VLOOKUP(Table6[[#This Row],[SKU]],'All Skus'!$A:$AC,17,FALSE)),""))</f>
        <v>0</v>
      </c>
      <c r="P83" s="136">
        <f>(IF((VLOOKUP(Table6[[#This Row],[SKU]],'All Skus'!$A:$AC,2,FALSE))="JBL",(VLOOKUP(Table6[[#This Row],[SKU]],'All Skus'!$A:$AC,18,FALSE)),""))</f>
        <v>6</v>
      </c>
      <c r="Q83" s="136">
        <f>(IF((VLOOKUP(Table6[[#This Row],[SKU]],'All Skus'!$A:$AC,2,FALSE))="JBL",(VLOOKUP(Table6[[#This Row],[SKU]],'All Skus'!$A:$AC,19,FALSE)),""))</f>
        <v>11</v>
      </c>
      <c r="R83" s="136">
        <f>(IF((VLOOKUP(Table6[[#This Row],[SKU]],'All Skus'!$A:$AC,2,FALSE))="JBL",(VLOOKUP(Table6[[#This Row],[SKU]],'All Skus'!$A:$AC,20,FALSE)),""))</f>
        <v>5</v>
      </c>
      <c r="S83" s="61">
        <f>(IF((VLOOKUP(Table6[[#This Row],[SKU]],'All Skus'!$A:$AC,2,FALSE))="JBL",(VLOOKUP(Table6[[#This Row],[SKU]],'All Skus'!$A:$AC,21,FALSE)),""))</f>
        <v>3.5</v>
      </c>
      <c r="T83" s="61" t="str">
        <f>(IF((VLOOKUP(Table6[[#This Row],[SKU]],'All Skus'!$A:$AC,2,FALSE))="JBL",(VLOOKUP(Table6[[#This Row],[SKU]],'All Skus'!$A:$AC,22,FALSE)),""))</f>
        <v>CN</v>
      </c>
      <c r="U83" t="str">
        <f>(IF((VLOOKUP(Table6[[#This Row],[SKU]],'All Skus'!$A:$AC,2,FALSE))="JBL",(VLOOKUP(Table6[[#This Row],[SKU]],'All Skus'!$A:$AC,23,FALSE)),""))</f>
        <v>Non Compliant</v>
      </c>
      <c r="V83" s="284" t="str">
        <f>HYPERLINK((IF((VLOOKUP(Table6[[#This Row],[SKU]],'All Skus'!$A:$AC,2,FALSE))="JBL",(VLOOKUP(Table6[[#This Row],[SKU]],'All Skus'!$A:$AC,24,FALSE)),"")))</f>
        <v xml:space="preserve">http://www.jblpro.com/www/products/installed-sound/control-contractor-series/control-26-dt </v>
      </c>
      <c r="W83" s="151">
        <v>81</v>
      </c>
    </row>
    <row r="84" spans="1:23" ht="15" hidden="1" customHeight="1">
      <c r="A84" s="13" t="s">
        <v>1090</v>
      </c>
      <c r="B84" s="12" t="str">
        <f>(IF((VLOOKUP(Table6[[#This Row],[SKU]],'All Skus'!$A:$AC,2,FALSE))="JBL",(VLOOKUP(Table6[[#This Row],[SKU]],'All Skus'!$A:$AC,3,FALSE)),""))</f>
        <v>Ceiling Speaker</v>
      </c>
      <c r="C84" s="12" t="str">
        <f>(IF((VLOOKUP(Table6[[#This Row],[SKU]],'All Skus'!$A:$AC,2,FALSE))="JBL",(VLOOKUP(Table6[[#This Row],[SKU]],'All Skus'!$A:$AC,4,FALSE)),""))</f>
        <v>C26CT-LS</v>
      </c>
      <c r="D84" s="61" t="str">
        <f>(IF((VLOOKUP(Table6[[#This Row],[SKU]],'All Skus'!$A:$AC,2,FALSE))="JBL",(VLOOKUP(Table6[[#This Row],[SKU]],'All Skus'!$A:$AC,5,FALSE)),""))</f>
        <v>JBL018</v>
      </c>
      <c r="E84" s="137">
        <f>(IF((VLOOKUP(Table6[[#This Row],[SKU]],'All Skus'!$A:$AC,2,FALSE))="JBL",(VLOOKUP(Table6[[#This Row],[SKU]],'All Skus'!$A:$AC,6,FALSE)),""))</f>
        <v>0</v>
      </c>
      <c r="F84" s="61">
        <f>(IF((VLOOKUP(Table6[[#This Row],[SKU]],'All Skus'!$A:$AC,2,FALSE))="JBL",(VLOOKUP(Table6[[#This Row],[SKU]],'All Skus'!$A:$AC,7,FALSE)),""))</f>
        <v>0</v>
      </c>
      <c r="G84" t="str">
        <f>(IF((VLOOKUP(Table6[[#This Row],[SKU]],'All Skus'!$A:$AC,2,FALSE))="JBL",(VLOOKUP(Table6[[#This Row],[SKU]],'All Skus'!$A:$AC,8,FALSE)),""))</f>
        <v>6.5"CEILING SPKR W/X-FRMER(2PR Per CTN)</v>
      </c>
      <c r="H84" s="8" t="str">
        <f>(IF((VLOOKUP(Table6[[#This Row],[SKU]],'All Skus'!$A:$AC,2,FALSE))="JBL",(VLOOKUP(Table6[[#This Row],[SKU]],'All Skus'!$A:$AC,9,FALSE)),""))</f>
        <v>Professional Ceiling Speaker for Life-Safety Applications.
UL1480 UUMW Listed for use in Fire Alarm and/or Emergency
Communication Systems. 6.5” coax, 80 Hz – 20 kHz, all-in-one, backcan
attached. (priced as each; sold in pairs)</v>
      </c>
      <c r="I84" s="101">
        <f>(IF((VLOOKUP(Table6[[#This Row],[SKU]],'All Skus'!$A:$AC,2,FALSE))="JBL",(VLOOKUP(Table6[[#This Row],[SKU]],'All Skus'!$A:$AC,10,FALSE)),""))</f>
        <v>262.06</v>
      </c>
      <c r="J84" s="101">
        <f>(IF((VLOOKUP(Table6[[#This Row],[SKU]],'All Skus'!$A:$AC,2,FALSE))="JBL",(VLOOKUP(Table6[[#This Row],[SKU]],'All Skus'!$A:$AC,11,FALSE)),""))</f>
        <v>205</v>
      </c>
      <c r="K84" s="102">
        <f>(IF((VLOOKUP(Table6[[#This Row],[SKU]],'All Skus'!$A:$AC,2,FALSE))="JBL",(VLOOKUP(Table6[[#This Row],[SKU]],'All Skus'!$A:$AC,13,FALSE)),""))</f>
        <v>145.024055</v>
      </c>
      <c r="L84" s="102">
        <f>(IF((VLOOKUP(Table6[[#This Row],[SKU]],'All Skus'!$A:$AC,2,FALSE))="JBL",(VLOOKUP(Table6[[#This Row],[SKU]],'All Skus'!$A:$AC,14,FALSE)),""))</f>
        <v>137.39121</v>
      </c>
      <c r="M84" s="143">
        <f>(IF((VLOOKUP(Table6[[#This Row],[SKU]],'All Skus'!$A:$AC,2,FALSE))="JBL",(VLOOKUP(Table6[[#This Row],[SKU]],'All Skus'!$A:$AC,15,FALSE)),""))</f>
        <v>2</v>
      </c>
      <c r="N84" s="137">
        <f>(IF((VLOOKUP(Table6[[#This Row],[SKU]],'All Skus'!$A:$AC,2,FALSE))="JBL",(VLOOKUP(Table6[[#This Row],[SKU]],'All Skus'!$A:$AC,16,FALSE)),""))</f>
        <v>50036905268</v>
      </c>
      <c r="O84" s="61">
        <f>(IF((VLOOKUP(Table6[[#This Row],[SKU]],'All Skus'!$A:$AC,2,FALSE))="JBL",(VLOOKUP(Table6[[#This Row],[SKU]],'All Skus'!$A:$AC,17,FALSE)),""))</f>
        <v>0</v>
      </c>
      <c r="P84" s="136">
        <f>(IF((VLOOKUP(Table6[[#This Row],[SKU]],'All Skus'!$A:$AC,2,FALSE))="JBL",(VLOOKUP(Table6[[#This Row],[SKU]],'All Skus'!$A:$AC,18,FALSE)),""))</f>
        <v>10.5</v>
      </c>
      <c r="Q84" s="136">
        <f>(IF((VLOOKUP(Table6[[#This Row],[SKU]],'All Skus'!$A:$AC,2,FALSE))="JBL",(VLOOKUP(Table6[[#This Row],[SKU]],'All Skus'!$A:$AC,19,FALSE)),""))</f>
        <v>11</v>
      </c>
      <c r="R84" s="136">
        <f>(IF((VLOOKUP(Table6[[#This Row],[SKU]],'All Skus'!$A:$AC,2,FALSE))="JBL",(VLOOKUP(Table6[[#This Row],[SKU]],'All Skus'!$A:$AC,20,FALSE)),""))</f>
        <v>26</v>
      </c>
      <c r="S84" s="61">
        <f>(IF((VLOOKUP(Table6[[#This Row],[SKU]],'All Skus'!$A:$AC,2,FALSE))="JBL",(VLOOKUP(Table6[[#This Row],[SKU]],'All Skus'!$A:$AC,21,FALSE)),""))</f>
        <v>12</v>
      </c>
      <c r="T84" s="61" t="str">
        <f>(IF((VLOOKUP(Table6[[#This Row],[SKU]],'All Skus'!$A:$AC,2,FALSE))="JBL",(VLOOKUP(Table6[[#This Row],[SKU]],'All Skus'!$A:$AC,22,FALSE)),""))</f>
        <v>CN</v>
      </c>
      <c r="U84" t="str">
        <f>(IF((VLOOKUP(Table6[[#This Row],[SKU]],'All Skus'!$A:$AC,2,FALSE))="JBL",(VLOOKUP(Table6[[#This Row],[SKU]],'All Skus'!$A:$AC,23,FALSE)),""))</f>
        <v>Non Compliant</v>
      </c>
      <c r="V84" s="284" t="str">
        <f>HYPERLINK((IF((VLOOKUP(Table6[[#This Row],[SKU]],'All Skus'!$A:$AC,2,FALSE))="JBL",(VLOOKUP(Table6[[#This Row],[SKU]],'All Skus'!$A:$AC,24,FALSE)),"")))</f>
        <v xml:space="preserve">http://www.jblpro.com/www/products/installed-sound/control-contractor-series/control-26ct-ls </v>
      </c>
      <c r="W84" s="151">
        <v>82</v>
      </c>
    </row>
    <row r="85" spans="1:23" ht="15" hidden="1" customHeight="1">
      <c r="A85" s="13" t="s">
        <v>1091</v>
      </c>
      <c r="B85" s="12" t="str">
        <f>(IF((VLOOKUP(Table6[[#This Row],[SKU]],'All Skus'!$A:$AC,2,FALSE))="JBL",(VLOOKUP(Table6[[#This Row],[SKU]],'All Skus'!$A:$AC,3,FALSE)),""))</f>
        <v>Ceiling Speaker</v>
      </c>
      <c r="C85" s="12" t="str">
        <f>(IF((VLOOKUP(Table6[[#This Row],[SKU]],'All Skus'!$A:$AC,2,FALSE))="JBL",(VLOOKUP(Table6[[#This Row],[SKU]],'All Skus'!$A:$AC,4,FALSE)),""))</f>
        <v>CONTROL 19CS</v>
      </c>
      <c r="D85" s="61" t="str">
        <f>(IF((VLOOKUP(Table6[[#This Row],[SKU]],'All Skus'!$A:$AC,2,FALSE))="JBL",(VLOOKUP(Table6[[#This Row],[SKU]],'All Skus'!$A:$AC,5,FALSE)),""))</f>
        <v>JBL018</v>
      </c>
      <c r="E85" s="137">
        <f>(IF((VLOOKUP(Table6[[#This Row],[SKU]],'All Skus'!$A:$AC,2,FALSE))="JBL",(VLOOKUP(Table6[[#This Row],[SKU]],'All Skus'!$A:$AC,6,FALSE)),""))</f>
        <v>0</v>
      </c>
      <c r="F85" s="61">
        <f>(IF((VLOOKUP(Table6[[#This Row],[SKU]],'All Skus'!$A:$AC,2,FALSE))="JBL",(VLOOKUP(Table6[[#This Row],[SKU]],'All Skus'!$A:$AC,7,FALSE)),""))</f>
        <v>0</v>
      </c>
      <c r="G85" t="str">
        <f>(IF((VLOOKUP(Table6[[#This Row],[SKU]],'All Skus'!$A:$AC,2,FALSE))="JBL",(VLOOKUP(Table6[[#This Row],[SKU]],'All Skus'!$A:$AC,8,FALSE)),""))</f>
        <v>8" CEILING SUBWOOFER (2 PER CARTON)</v>
      </c>
      <c r="H85" s="8" t="str">
        <f>(IF((VLOOKUP(Table6[[#This Row],[SKU]],'All Skus'!$A:$AC,2,FALSE))="JBL",(VLOOKUP(Table6[[#This Row],[SKU]],'All Skus'!$A:$AC,9,FALSE)),""))</f>
        <v>8" In-Ceiling Subwoofer, Nested Chamber™ Design, Linear Aperture™ Port, 42Hz – 200Hz, 200W Program and 100W Pink Noise Power Capacity, SonicGuard Overload Protection, 8 ohms, Packaged with Backcan, Support Plate and Tile Rails.  Priced as Each, Packed  as Pairs.  Master Pack Quantity:  2 Pieces.</v>
      </c>
      <c r="I85" s="101">
        <f>(IF((VLOOKUP(Table6[[#This Row],[SKU]],'All Skus'!$A:$AC,2,FALSE))="JBL",(VLOOKUP(Table6[[#This Row],[SKU]],'All Skus'!$A:$AC,10,FALSE)),""))</f>
        <v>325.64</v>
      </c>
      <c r="J85" s="101">
        <f>(IF((VLOOKUP(Table6[[#This Row],[SKU]],'All Skus'!$A:$AC,2,FALSE))="JBL",(VLOOKUP(Table6[[#This Row],[SKU]],'All Skus'!$A:$AC,11,FALSE)),""))</f>
        <v>257</v>
      </c>
      <c r="K85" s="102">
        <f>(IF((VLOOKUP(Table6[[#This Row],[SKU]],'All Skus'!$A:$AC,2,FALSE))="JBL",(VLOOKUP(Table6[[#This Row],[SKU]],'All Skus'!$A:$AC,13,FALSE)),""))</f>
        <v>180.20511999999999</v>
      </c>
      <c r="L85" s="102">
        <f>(IF((VLOOKUP(Table6[[#This Row],[SKU]],'All Skus'!$A:$AC,2,FALSE))="JBL",(VLOOKUP(Table6[[#This Row],[SKU]],'All Skus'!$A:$AC,14,FALSE)),""))</f>
        <v>170.72064</v>
      </c>
      <c r="M85" s="143">
        <f>(IF((VLOOKUP(Table6[[#This Row],[SKU]],'All Skus'!$A:$AC,2,FALSE))="JBL",(VLOOKUP(Table6[[#This Row],[SKU]],'All Skus'!$A:$AC,15,FALSE)),""))</f>
        <v>2</v>
      </c>
      <c r="N85" s="137">
        <f>(IF((VLOOKUP(Table6[[#This Row],[SKU]],'All Skus'!$A:$AC,2,FALSE))="JBL",(VLOOKUP(Table6[[#This Row],[SKU]],'All Skus'!$A:$AC,16,FALSE)),""))</f>
        <v>50036903943</v>
      </c>
      <c r="O85" s="61">
        <f>(IF((VLOOKUP(Table6[[#This Row],[SKU]],'All Skus'!$A:$AC,2,FALSE))="JBL",(VLOOKUP(Table6[[#This Row],[SKU]],'All Skus'!$A:$AC,17,FALSE)),""))</f>
        <v>0</v>
      </c>
      <c r="P85" s="136">
        <f>(IF((VLOOKUP(Table6[[#This Row],[SKU]],'All Skus'!$A:$AC,2,FALSE))="JBL",(VLOOKUP(Table6[[#This Row],[SKU]],'All Skus'!$A:$AC,18,FALSE)),""))</f>
        <v>30</v>
      </c>
      <c r="Q85" s="136">
        <f>(IF((VLOOKUP(Table6[[#This Row],[SKU]],'All Skus'!$A:$AC,2,FALSE))="JBL",(VLOOKUP(Table6[[#This Row],[SKU]],'All Skus'!$A:$AC,19,FALSE)),""))</f>
        <v>33</v>
      </c>
      <c r="R85" s="136">
        <f>(IF((VLOOKUP(Table6[[#This Row],[SKU]],'All Skus'!$A:$AC,2,FALSE))="JBL",(VLOOKUP(Table6[[#This Row],[SKU]],'All Skus'!$A:$AC,20,FALSE)),""))</f>
        <v>17</v>
      </c>
      <c r="S85" s="61">
        <f>(IF((VLOOKUP(Table6[[#This Row],[SKU]],'All Skus'!$A:$AC,2,FALSE))="JBL",(VLOOKUP(Table6[[#This Row],[SKU]],'All Skus'!$A:$AC,21,FALSE)),""))</f>
        <v>17</v>
      </c>
      <c r="T85" s="61" t="str">
        <f>(IF((VLOOKUP(Table6[[#This Row],[SKU]],'All Skus'!$A:$AC,2,FALSE))="JBL",(VLOOKUP(Table6[[#This Row],[SKU]],'All Skus'!$A:$AC,22,FALSE)),""))</f>
        <v>CN</v>
      </c>
      <c r="U85" t="str">
        <f>(IF((VLOOKUP(Table6[[#This Row],[SKU]],'All Skus'!$A:$AC,2,FALSE))="JBL",(VLOOKUP(Table6[[#This Row],[SKU]],'All Skus'!$A:$AC,23,FALSE)),""))</f>
        <v>Non Compliant</v>
      </c>
      <c r="V85" s="284" t="str">
        <f>HYPERLINK((IF((VLOOKUP(Table6[[#This Row],[SKU]],'All Skus'!$A:$AC,2,FALSE))="JBL",(VLOOKUP(Table6[[#This Row],[SKU]],'All Skus'!$A:$AC,24,FALSE)),"")))</f>
        <v xml:space="preserve">http://www.jblpro.com/www/products/installed-sound/control-contractor-series/control-19cs </v>
      </c>
      <c r="W85" s="151">
        <v>83</v>
      </c>
    </row>
    <row r="86" spans="1:23" ht="15" hidden="1" customHeight="1">
      <c r="A86" s="13" t="s">
        <v>1092</v>
      </c>
      <c r="B86" s="12" t="str">
        <f>(IF((VLOOKUP(Table6[[#This Row],[SKU]],'All Skus'!$A:$AC,2,FALSE))="JBL",(VLOOKUP(Table6[[#This Row],[SKU]],'All Skus'!$A:$AC,3,FALSE)),""))</f>
        <v>Ceiling Speaker</v>
      </c>
      <c r="C86" s="12" t="str">
        <f>(IF((VLOOKUP(Table6[[#This Row],[SKU]],'All Skus'!$A:$AC,2,FALSE))="JBL",(VLOOKUP(Table6[[#This Row],[SKU]],'All Skus'!$A:$AC,4,FALSE)),""))</f>
        <v>CONTROL 19CST</v>
      </c>
      <c r="D86" s="61" t="str">
        <f>(IF((VLOOKUP(Table6[[#This Row],[SKU]],'All Skus'!$A:$AC,2,FALSE))="JBL",(VLOOKUP(Table6[[#This Row],[SKU]],'All Skus'!$A:$AC,5,FALSE)),""))</f>
        <v>JBL018</v>
      </c>
      <c r="E86" s="137">
        <f>(IF((VLOOKUP(Table6[[#This Row],[SKU]],'All Skus'!$A:$AC,2,FALSE))="JBL",(VLOOKUP(Table6[[#This Row],[SKU]],'All Skus'!$A:$AC,6,FALSE)),""))</f>
        <v>0</v>
      </c>
      <c r="F86" s="61">
        <f>(IF((VLOOKUP(Table6[[#This Row],[SKU]],'All Skus'!$A:$AC,2,FALSE))="JBL",(VLOOKUP(Table6[[#This Row],[SKU]],'All Skus'!$A:$AC,7,FALSE)),""))</f>
        <v>0</v>
      </c>
      <c r="G86" t="str">
        <f>(IF((VLOOKUP(Table6[[#This Row],[SKU]],'All Skus'!$A:$AC,2,FALSE))="JBL",(VLOOKUP(Table6[[#This Row],[SKU]],'All Skus'!$A:$AC,8,FALSE)),""))</f>
        <v>8" CEILING SUB W/X-FORMER (2 PER CARTON)</v>
      </c>
      <c r="H86" s="8" t="str">
        <f>(IF((VLOOKUP(Table6[[#This Row],[SKU]],'All Skus'!$A:$AC,2,FALSE))="JBL",(VLOOKUP(Table6[[#This Row],[SKU]],'All Skus'!$A:$AC,9,FALSE)),""))</f>
        <v>Control 19CS with Subwoofer Based Transformer.  For use on a 70.7V or 100V Distributed Line, Switchable Taps at 60W, 30W and 15W (Plus 7.5W at 70.7V only), No SonicGuard.  Priced as Each, Packed as Pairs.  Master Pack  Quantity:  2 Pieces.</v>
      </c>
      <c r="I86" s="101">
        <f>(IF((VLOOKUP(Table6[[#This Row],[SKU]],'All Skus'!$A:$AC,2,FALSE))="JBL",(VLOOKUP(Table6[[#This Row],[SKU]],'All Skus'!$A:$AC,10,FALSE)),""))</f>
        <v>352.88</v>
      </c>
      <c r="J86" s="101">
        <f>(IF((VLOOKUP(Table6[[#This Row],[SKU]],'All Skus'!$A:$AC,2,FALSE))="JBL",(VLOOKUP(Table6[[#This Row],[SKU]],'All Skus'!$A:$AC,11,FALSE)),""))</f>
        <v>284</v>
      </c>
      <c r="K86" s="102">
        <f>(IF((VLOOKUP(Table6[[#This Row],[SKU]],'All Skus'!$A:$AC,2,FALSE))="JBL",(VLOOKUP(Table6[[#This Row],[SKU]],'All Skus'!$A:$AC,13,FALSE)),""))</f>
        <v>195.27981500000004</v>
      </c>
      <c r="L86" s="102">
        <f>(IF((VLOOKUP(Table6[[#This Row],[SKU]],'All Skus'!$A:$AC,2,FALSE))="JBL",(VLOOKUP(Table6[[#This Row],[SKU]],'All Skus'!$A:$AC,14,FALSE)),""))</f>
        <v>185.00193000000004</v>
      </c>
      <c r="M86" s="143">
        <f>(IF((VLOOKUP(Table6[[#This Row],[SKU]],'All Skus'!$A:$AC,2,FALSE))="JBL",(VLOOKUP(Table6[[#This Row],[SKU]],'All Skus'!$A:$AC,15,FALSE)),""))</f>
        <v>2</v>
      </c>
      <c r="N86" s="137">
        <f>(IF((VLOOKUP(Table6[[#This Row],[SKU]],'All Skus'!$A:$AC,2,FALSE))="JBL",(VLOOKUP(Table6[[#This Row],[SKU]],'All Skus'!$A:$AC,16,FALSE)),""))</f>
        <v>50036904919</v>
      </c>
      <c r="O86" s="61">
        <f>(IF((VLOOKUP(Table6[[#This Row],[SKU]],'All Skus'!$A:$AC,2,FALSE))="JBL",(VLOOKUP(Table6[[#This Row],[SKU]],'All Skus'!$A:$AC,17,FALSE)),""))</f>
        <v>0</v>
      </c>
      <c r="P86" s="136">
        <f>(IF((VLOOKUP(Table6[[#This Row],[SKU]],'All Skus'!$A:$AC,2,FALSE))="JBL",(VLOOKUP(Table6[[#This Row],[SKU]],'All Skus'!$A:$AC,18,FALSE)),""))</f>
        <v>26</v>
      </c>
      <c r="Q86" s="136">
        <f>(IF((VLOOKUP(Table6[[#This Row],[SKU]],'All Skus'!$A:$AC,2,FALSE))="JBL",(VLOOKUP(Table6[[#This Row],[SKU]],'All Skus'!$A:$AC,19,FALSE)),""))</f>
        <v>16.125</v>
      </c>
      <c r="R86" s="136">
        <f>(IF((VLOOKUP(Table6[[#This Row],[SKU]],'All Skus'!$A:$AC,2,FALSE))="JBL",(VLOOKUP(Table6[[#This Row],[SKU]],'All Skus'!$A:$AC,20,FALSE)),""))</f>
        <v>16.75</v>
      </c>
      <c r="S86" s="61">
        <f>(IF((VLOOKUP(Table6[[#This Row],[SKU]],'All Skus'!$A:$AC,2,FALSE))="JBL",(VLOOKUP(Table6[[#This Row],[SKU]],'All Skus'!$A:$AC,21,FALSE)),""))</f>
        <v>16</v>
      </c>
      <c r="T86" s="61" t="str">
        <f>(IF((VLOOKUP(Table6[[#This Row],[SKU]],'All Skus'!$A:$AC,2,FALSE))="JBL",(VLOOKUP(Table6[[#This Row],[SKU]],'All Skus'!$A:$AC,22,FALSE)),""))</f>
        <v>CN</v>
      </c>
      <c r="U86" t="str">
        <f>(IF((VLOOKUP(Table6[[#This Row],[SKU]],'All Skus'!$A:$AC,2,FALSE))="JBL",(VLOOKUP(Table6[[#This Row],[SKU]],'All Skus'!$A:$AC,23,FALSE)),""))</f>
        <v>Non Compliant</v>
      </c>
      <c r="V86" s="284" t="str">
        <f>HYPERLINK((IF((VLOOKUP(Table6[[#This Row],[SKU]],'All Skus'!$A:$AC,2,FALSE))="JBL",(VLOOKUP(Table6[[#This Row],[SKU]],'All Skus'!$A:$AC,24,FALSE)),"")))</f>
        <v xml:space="preserve">http://www.jblpro.com/www/products/installed-sound/control-contractor-series/control-19cst </v>
      </c>
      <c r="W86" s="151">
        <v>84</v>
      </c>
    </row>
    <row r="87" spans="1:23" ht="15" hidden="1" customHeight="1">
      <c r="A87" s="13" t="s">
        <v>1093</v>
      </c>
      <c r="B87" s="12" t="str">
        <f>(IF((VLOOKUP(Table6[[#This Row],[SKU]],'All Skus'!$A:$AC,2,FALSE))="JBL",(VLOOKUP(Table6[[#This Row],[SKU]],'All Skus'!$A:$AC,3,FALSE)),""))</f>
        <v>Accessory</v>
      </c>
      <c r="C87" s="12" t="str">
        <f>(IF((VLOOKUP(Table6[[#This Row],[SKU]],'All Skus'!$A:$AC,2,FALSE))="JBL",(VLOOKUP(Table6[[#This Row],[SKU]],'All Skus'!$A:$AC,4,FALSE)),""))</f>
        <v>MTC-19MR</v>
      </c>
      <c r="D87" s="61" t="str">
        <f>(IF((VLOOKUP(Table6[[#This Row],[SKU]],'All Skus'!$A:$AC,2,FALSE))="JBL",(VLOOKUP(Table6[[#This Row],[SKU]],'All Skus'!$A:$AC,5,FALSE)),""))</f>
        <v>JBL018</v>
      </c>
      <c r="E87" s="137">
        <f>(IF((VLOOKUP(Table6[[#This Row],[SKU]],'All Skus'!$A:$AC,2,FALSE))="JBL",(VLOOKUP(Table6[[#This Row],[SKU]],'All Skus'!$A:$AC,6,FALSE)),""))</f>
        <v>0</v>
      </c>
      <c r="F87" s="61">
        <f>(IF((VLOOKUP(Table6[[#This Row],[SKU]],'All Skus'!$A:$AC,2,FALSE))="JBL",(VLOOKUP(Table6[[#This Row],[SKU]],'All Skus'!$A:$AC,7,FALSE)),""))</f>
        <v>0</v>
      </c>
      <c r="G87" t="str">
        <f>(IF((VLOOKUP(Table6[[#This Row],[SKU]],'All Skus'!$A:$AC,2,FALSE))="JBL",(VLOOKUP(Table6[[#This Row],[SKU]],'All Skus'!$A:$AC,8,FALSE)),""))</f>
        <v>MUD RING BRACKET, C19C/19CT (EA=6)</v>
      </c>
      <c r="H87" s="8" t="str">
        <f>(IF((VLOOKUP(Table6[[#This Row],[SKU]],'All Skus'!$A:$AC,2,FALSE))="JBL",(VLOOKUP(Table6[[#This Row],[SKU]],'All Skus'!$A:$AC,9,FALSE)),""))</f>
        <v>Optional Mud (Plaster) Ring Construction Bracket for Control 19CS, Control 19CST, and Control 226C/T. Installs before Sheetrock, Integral Ring Extension for Drywall Mudding.   Each Pack Contains 6 Pieces. Priced as one pack; one pack contains 6 Pieces)”</v>
      </c>
      <c r="I87" s="101">
        <f>(IF((VLOOKUP(Table6[[#This Row],[SKU]],'All Skus'!$A:$AC,2,FALSE))="JBL",(VLOOKUP(Table6[[#This Row],[SKU]],'All Skus'!$A:$AC,10,FALSE)),""))</f>
        <v>300.72000000000003</v>
      </c>
      <c r="J87" s="101">
        <f>(IF((VLOOKUP(Table6[[#This Row],[SKU]],'All Skus'!$A:$AC,2,FALSE))="JBL",(VLOOKUP(Table6[[#This Row],[SKU]],'All Skus'!$A:$AC,11,FALSE)),""))</f>
        <v>300.72000000000003</v>
      </c>
      <c r="K87" s="102">
        <f>(IF((VLOOKUP(Table6[[#This Row],[SKU]],'All Skus'!$A:$AC,2,FALSE))="JBL",(VLOOKUP(Table6[[#This Row],[SKU]],'All Skus'!$A:$AC,13,FALSE)),""))</f>
        <v>0</v>
      </c>
      <c r="L87" s="102">
        <f>(IF((VLOOKUP(Table6[[#This Row],[SKU]],'All Skus'!$A:$AC,2,FALSE))="JBL",(VLOOKUP(Table6[[#This Row],[SKU]],'All Skus'!$A:$AC,14,FALSE)),""))</f>
        <v>0</v>
      </c>
      <c r="M87" s="143">
        <f>(IF((VLOOKUP(Table6[[#This Row],[SKU]],'All Skus'!$A:$AC,2,FALSE))="JBL",(VLOOKUP(Table6[[#This Row],[SKU]],'All Skus'!$A:$AC,15,FALSE)),""))</f>
        <v>0</v>
      </c>
      <c r="N87" s="137">
        <f>(IF((VLOOKUP(Table6[[#This Row],[SKU]],'All Skus'!$A:$AC,2,FALSE))="JBL",(VLOOKUP(Table6[[#This Row],[SKU]],'All Skus'!$A:$AC,16,FALSE)),""))</f>
        <v>691991300301</v>
      </c>
      <c r="O87" s="61">
        <f>(IF((VLOOKUP(Table6[[#This Row],[SKU]],'All Skus'!$A:$AC,2,FALSE))="JBL",(VLOOKUP(Table6[[#This Row],[SKU]],'All Skus'!$A:$AC,17,FALSE)),""))</f>
        <v>0</v>
      </c>
      <c r="P87" s="136">
        <f>(IF((VLOOKUP(Table6[[#This Row],[SKU]],'All Skus'!$A:$AC,2,FALSE))="JBL",(VLOOKUP(Table6[[#This Row],[SKU]],'All Skus'!$A:$AC,18,FALSE)),""))</f>
        <v>7.6</v>
      </c>
      <c r="Q87" s="136">
        <f>(IF((VLOOKUP(Table6[[#This Row],[SKU]],'All Skus'!$A:$AC,2,FALSE))="JBL",(VLOOKUP(Table6[[#This Row],[SKU]],'All Skus'!$A:$AC,19,FALSE)),""))</f>
        <v>24</v>
      </c>
      <c r="R87" s="136">
        <f>(IF((VLOOKUP(Table6[[#This Row],[SKU]],'All Skus'!$A:$AC,2,FALSE))="JBL",(VLOOKUP(Table6[[#This Row],[SKU]],'All Skus'!$A:$AC,20,FALSE)),""))</f>
        <v>14.25</v>
      </c>
      <c r="S87" s="61">
        <f>(IF((VLOOKUP(Table6[[#This Row],[SKU]],'All Skus'!$A:$AC,2,FALSE))="JBL",(VLOOKUP(Table6[[#This Row],[SKU]],'All Skus'!$A:$AC,21,FALSE)),""))</f>
        <v>3.75</v>
      </c>
      <c r="T87" s="61" t="str">
        <f>(IF((VLOOKUP(Table6[[#This Row],[SKU]],'All Skus'!$A:$AC,2,FALSE))="JBL",(VLOOKUP(Table6[[#This Row],[SKU]],'All Skus'!$A:$AC,22,FALSE)),""))</f>
        <v>CN</v>
      </c>
      <c r="U87" t="str">
        <f>(IF((VLOOKUP(Table6[[#This Row],[SKU]],'All Skus'!$A:$AC,2,FALSE))="JBL",(VLOOKUP(Table6[[#This Row],[SKU]],'All Skus'!$A:$AC,23,FALSE)),""))</f>
        <v>Non Compliant</v>
      </c>
      <c r="V87" s="284" t="str">
        <f>HYPERLINK((IF((VLOOKUP(Table6[[#This Row],[SKU]],'All Skus'!$A:$AC,2,FALSE))="JBL",(VLOOKUP(Table6[[#This Row],[SKU]],'All Skus'!$A:$AC,24,FALSE)),"")))</f>
        <v xml:space="preserve">http://www.jblpro.com/ProductAttachments/mtc-mr.pdf </v>
      </c>
      <c r="W87" s="151">
        <v>85</v>
      </c>
    </row>
    <row r="88" spans="1:23" ht="15" hidden="1" customHeight="1">
      <c r="A88" s="13" t="s">
        <v>1094</v>
      </c>
      <c r="B88" s="12" t="str">
        <f>(IF((VLOOKUP(Table6[[#This Row],[SKU]],'All Skus'!$A:$AC,2,FALSE))="JBL",(VLOOKUP(Table6[[#This Row],[SKU]],'All Skus'!$A:$AC,3,FALSE)),""))</f>
        <v>Accessory</v>
      </c>
      <c r="C88" s="12" t="str">
        <f>(IF((VLOOKUP(Table6[[#This Row],[SKU]],'All Skus'!$A:$AC,2,FALSE))="JBL",(VLOOKUP(Table6[[#This Row],[SKU]],'All Skus'!$A:$AC,4,FALSE)),""))</f>
        <v>MTC-19NC</v>
      </c>
      <c r="D88" s="61" t="str">
        <f>(IF((VLOOKUP(Table6[[#This Row],[SKU]],'All Skus'!$A:$AC,2,FALSE))="JBL",(VLOOKUP(Table6[[#This Row],[SKU]],'All Skus'!$A:$AC,5,FALSE)),""))</f>
        <v>JBL018</v>
      </c>
      <c r="E88" s="137">
        <f>(IF((VLOOKUP(Table6[[#This Row],[SKU]],'All Skus'!$A:$AC,2,FALSE))="JBL",(VLOOKUP(Table6[[#This Row],[SKU]],'All Skus'!$A:$AC,6,FALSE)),""))</f>
        <v>0</v>
      </c>
      <c r="F88" s="61">
        <f>(IF((VLOOKUP(Table6[[#This Row],[SKU]],'All Skus'!$A:$AC,2,FALSE))="JBL",(VLOOKUP(Table6[[#This Row],[SKU]],'All Skus'!$A:$AC,7,FALSE)),""))</f>
        <v>0</v>
      </c>
      <c r="G88" t="str">
        <f>(IF((VLOOKUP(Table6[[#This Row],[SKU]],'All Skus'!$A:$AC,2,FALSE))="JBL",(VLOOKUP(Table6[[#This Row],[SKU]],'All Skus'!$A:$AC,8,FALSE)),""))</f>
        <v>NEW CONSTRUCTION BRKT,C19C/19CT (EA=6)</v>
      </c>
      <c r="H88" s="8" t="str">
        <f>(IF((VLOOKUP(Table6[[#This Row],[SKU]],'All Skus'!$A:$AC,2,FALSE))="JBL",(VLOOKUP(Table6[[#This Row],[SKU]],'All Skus'!$A:$AC,9,FALSE)),""))</f>
        <v xml:space="preserve">Optional New Construction Bracket for Control 19CS, Control 19CST, Control 226C/T, MTC-300BB8 and MTC-200BB6. Installs before Sheetrock as Cutout Template.  Each Pack Contains 6 Pieces. Priced as one pack; one pack contains 6 Pieces)” </v>
      </c>
      <c r="I88" s="101">
        <f>(IF((VLOOKUP(Table6[[#This Row],[SKU]],'All Skus'!$A:$AC,2,FALSE))="JBL",(VLOOKUP(Table6[[#This Row],[SKU]],'All Skus'!$A:$AC,10,FALSE)),""))</f>
        <v>218.37</v>
      </c>
      <c r="J88" s="101">
        <f>(IF((VLOOKUP(Table6[[#This Row],[SKU]],'All Skus'!$A:$AC,2,FALSE))="JBL",(VLOOKUP(Table6[[#This Row],[SKU]],'All Skus'!$A:$AC,11,FALSE)),""))</f>
        <v>218.37</v>
      </c>
      <c r="K88" s="102">
        <f>(IF((VLOOKUP(Table6[[#This Row],[SKU]],'All Skus'!$A:$AC,2,FALSE))="JBL",(VLOOKUP(Table6[[#This Row],[SKU]],'All Skus'!$A:$AC,13,FALSE)),""))</f>
        <v>0</v>
      </c>
      <c r="L88" s="102">
        <f>(IF((VLOOKUP(Table6[[#This Row],[SKU]],'All Skus'!$A:$AC,2,FALSE))="JBL",(VLOOKUP(Table6[[#This Row],[SKU]],'All Skus'!$A:$AC,14,FALSE)),""))</f>
        <v>0</v>
      </c>
      <c r="M88" s="143">
        <f>(IF((VLOOKUP(Table6[[#This Row],[SKU]],'All Skus'!$A:$AC,2,FALSE))="JBL",(VLOOKUP(Table6[[#This Row],[SKU]],'All Skus'!$A:$AC,15,FALSE)),""))</f>
        <v>0</v>
      </c>
      <c r="N88" s="137">
        <f>(IF((VLOOKUP(Table6[[#This Row],[SKU]],'All Skus'!$A:$AC,2,FALSE))="JBL",(VLOOKUP(Table6[[#This Row],[SKU]],'All Skus'!$A:$AC,16,FALSE)),""))</f>
        <v>691991300318</v>
      </c>
      <c r="O88" s="61">
        <f>(IF((VLOOKUP(Table6[[#This Row],[SKU]],'All Skus'!$A:$AC,2,FALSE))="JBL",(VLOOKUP(Table6[[#This Row],[SKU]],'All Skus'!$A:$AC,17,FALSE)),""))</f>
        <v>0</v>
      </c>
      <c r="P88" s="136">
        <f>(IF((VLOOKUP(Table6[[#This Row],[SKU]],'All Skus'!$A:$AC,2,FALSE))="JBL",(VLOOKUP(Table6[[#This Row],[SKU]],'All Skus'!$A:$AC,18,FALSE)),""))</f>
        <v>5.57</v>
      </c>
      <c r="Q88" s="136">
        <f>(IF((VLOOKUP(Table6[[#This Row],[SKU]],'All Skus'!$A:$AC,2,FALSE))="JBL",(VLOOKUP(Table6[[#This Row],[SKU]],'All Skus'!$A:$AC,19,FALSE)),""))</f>
        <v>25</v>
      </c>
      <c r="R88" s="136">
        <f>(IF((VLOOKUP(Table6[[#This Row],[SKU]],'All Skus'!$A:$AC,2,FALSE))="JBL",(VLOOKUP(Table6[[#This Row],[SKU]],'All Skus'!$A:$AC,20,FALSE)),""))</f>
        <v>15.5</v>
      </c>
      <c r="S88" s="61">
        <f>(IF((VLOOKUP(Table6[[#This Row],[SKU]],'All Skus'!$A:$AC,2,FALSE))="JBL",(VLOOKUP(Table6[[#This Row],[SKU]],'All Skus'!$A:$AC,21,FALSE)),""))</f>
        <v>0.75</v>
      </c>
      <c r="T88" s="61" t="str">
        <f>(IF((VLOOKUP(Table6[[#This Row],[SKU]],'All Skus'!$A:$AC,2,FALSE))="JBL",(VLOOKUP(Table6[[#This Row],[SKU]],'All Skus'!$A:$AC,22,FALSE)),""))</f>
        <v>CN</v>
      </c>
      <c r="U88" t="str">
        <f>(IF((VLOOKUP(Table6[[#This Row],[SKU]],'All Skus'!$A:$AC,2,FALSE))="JBL",(VLOOKUP(Table6[[#This Row],[SKU]],'All Skus'!$A:$AC,23,FALSE)),""))</f>
        <v>Non Compliant</v>
      </c>
      <c r="V88" s="284" t="str">
        <f>HYPERLINK((IF((VLOOKUP(Table6[[#This Row],[SKU]],'All Skus'!$A:$AC,2,FALSE))="JBL",(VLOOKUP(Table6[[#This Row],[SKU]],'All Skus'!$A:$AC,24,FALSE)),"")))</f>
        <v xml:space="preserve">http://www.jblpro.com/ProductAttachments/mtc-nc.pdf </v>
      </c>
      <c r="W88" s="151">
        <v>86</v>
      </c>
    </row>
    <row r="89" spans="1:23" ht="15" hidden="1" customHeight="1">
      <c r="A89" s="13" t="s">
        <v>1095</v>
      </c>
      <c r="B89" s="12" t="str">
        <f>(IF((VLOOKUP(Table6[[#This Row],[SKU]],'All Skus'!$A:$AC,2,FALSE))="JBL",(VLOOKUP(Table6[[#This Row],[SKU]],'All Skus'!$A:$AC,3,FALSE)),""))</f>
        <v>Accessory</v>
      </c>
      <c r="C89" s="12" t="str">
        <f>(IF((VLOOKUP(Table6[[#This Row],[SKU]],'All Skus'!$A:$AC,2,FALSE))="JBL",(VLOOKUP(Table6[[#This Row],[SKU]],'All Skus'!$A:$AC,4,FALSE)),""))</f>
        <v>MTC-24MR</v>
      </c>
      <c r="D89" s="61" t="str">
        <f>(IF((VLOOKUP(Table6[[#This Row],[SKU]],'All Skus'!$A:$AC,2,FALSE))="JBL",(VLOOKUP(Table6[[#This Row],[SKU]],'All Skus'!$A:$AC,5,FALSE)),""))</f>
        <v>JBL018</v>
      </c>
      <c r="E89" s="137">
        <f>(IF((VLOOKUP(Table6[[#This Row],[SKU]],'All Skus'!$A:$AC,2,FALSE))="JBL",(VLOOKUP(Table6[[#This Row],[SKU]],'All Skus'!$A:$AC,6,FALSE)),""))</f>
        <v>0</v>
      </c>
      <c r="F89" s="61">
        <f>(IF((VLOOKUP(Table6[[#This Row],[SKU]],'All Skus'!$A:$AC,2,FALSE))="JBL",(VLOOKUP(Table6[[#This Row],[SKU]],'All Skus'!$A:$AC,7,FALSE)),""))</f>
        <v>0</v>
      </c>
      <c r="G89" t="str">
        <f>(IF((VLOOKUP(Table6[[#This Row],[SKU]],'All Skus'!$A:$AC,2,FALSE))="JBL",(VLOOKUP(Table6[[#This Row],[SKU]],'All Skus'!$A:$AC,8,FALSE)),""))</f>
        <v>MUDRING BRKT, C24C/24CT (EA=6)</v>
      </c>
      <c r="H89" s="8" t="str">
        <f>(IF((VLOOKUP(Table6[[#This Row],[SKU]],'All Skus'!$A:$AC,2,FALSE))="JBL",(VLOOKUP(Table6[[#This Row],[SKU]],'All Skus'!$A:$AC,9,FALSE)),""))</f>
        <v>Optional Mud (Plaster) Ring Construction Bracket for Control 24C, 24CT, 24C Micro, 24CT Micro, and 24CT Micro Plus. Installs before Sheetrock, Integral Ring Extension for Drywall Mudding.  Each Pack Contains 6 Pieces. Priced as one pack; one pack contains 6 Pieces)”</v>
      </c>
      <c r="I89" s="101">
        <f>(IF((VLOOKUP(Table6[[#This Row],[SKU]],'All Skus'!$A:$AC,2,FALSE))="JBL",(VLOOKUP(Table6[[#This Row],[SKU]],'All Skus'!$A:$AC,10,FALSE)),""))</f>
        <v>182.18</v>
      </c>
      <c r="J89" s="101">
        <f>(IF((VLOOKUP(Table6[[#This Row],[SKU]],'All Skus'!$A:$AC,2,FALSE))="JBL",(VLOOKUP(Table6[[#This Row],[SKU]],'All Skus'!$A:$AC,11,FALSE)),""))</f>
        <v>182.18</v>
      </c>
      <c r="K89" s="102">
        <f>(IF((VLOOKUP(Table6[[#This Row],[SKU]],'All Skus'!$A:$AC,2,FALSE))="JBL",(VLOOKUP(Table6[[#This Row],[SKU]],'All Skus'!$A:$AC,13,FALSE)),""))</f>
        <v>0</v>
      </c>
      <c r="L89" s="102">
        <f>(IF((VLOOKUP(Table6[[#This Row],[SKU]],'All Skus'!$A:$AC,2,FALSE))="JBL",(VLOOKUP(Table6[[#This Row],[SKU]],'All Skus'!$A:$AC,14,FALSE)),""))</f>
        <v>0</v>
      </c>
      <c r="M89" s="143">
        <f>(IF((VLOOKUP(Table6[[#This Row],[SKU]],'All Skus'!$A:$AC,2,FALSE))="JBL",(VLOOKUP(Table6[[#This Row],[SKU]],'All Skus'!$A:$AC,15,FALSE)),""))</f>
        <v>0</v>
      </c>
      <c r="N89" s="137">
        <f>(IF((VLOOKUP(Table6[[#This Row],[SKU]],'All Skus'!$A:$AC,2,FALSE))="JBL",(VLOOKUP(Table6[[#This Row],[SKU]],'All Skus'!$A:$AC,16,FALSE)),""))</f>
        <v>691991300417</v>
      </c>
      <c r="O89" s="61">
        <f>(IF((VLOOKUP(Table6[[#This Row],[SKU]],'All Skus'!$A:$AC,2,FALSE))="JBL",(VLOOKUP(Table6[[#This Row],[SKU]],'All Skus'!$A:$AC,17,FALSE)),""))</f>
        <v>0</v>
      </c>
      <c r="P89" s="136">
        <f>(IF((VLOOKUP(Table6[[#This Row],[SKU]],'All Skus'!$A:$AC,2,FALSE))="JBL",(VLOOKUP(Table6[[#This Row],[SKU]],'All Skus'!$A:$AC,18,FALSE)),""))</f>
        <v>6.3</v>
      </c>
      <c r="Q89" s="136">
        <f>(IF((VLOOKUP(Table6[[#This Row],[SKU]],'All Skus'!$A:$AC,2,FALSE))="JBL",(VLOOKUP(Table6[[#This Row],[SKU]],'All Skus'!$A:$AC,19,FALSE)),""))</f>
        <v>15</v>
      </c>
      <c r="R89" s="136">
        <f>(IF((VLOOKUP(Table6[[#This Row],[SKU]],'All Skus'!$A:$AC,2,FALSE))="JBL",(VLOOKUP(Table6[[#This Row],[SKU]],'All Skus'!$A:$AC,20,FALSE)),""))</f>
        <v>24</v>
      </c>
      <c r="S89" s="61">
        <f>(IF((VLOOKUP(Table6[[#This Row],[SKU]],'All Skus'!$A:$AC,2,FALSE))="JBL",(VLOOKUP(Table6[[#This Row],[SKU]],'All Skus'!$A:$AC,21,FALSE)),""))</f>
        <v>4.0999999999999996</v>
      </c>
      <c r="T89" s="61" t="str">
        <f>(IF((VLOOKUP(Table6[[#This Row],[SKU]],'All Skus'!$A:$AC,2,FALSE))="JBL",(VLOOKUP(Table6[[#This Row],[SKU]],'All Skus'!$A:$AC,22,FALSE)),""))</f>
        <v>CN</v>
      </c>
      <c r="U89" t="str">
        <f>(IF((VLOOKUP(Table6[[#This Row],[SKU]],'All Skus'!$A:$AC,2,FALSE))="JBL",(VLOOKUP(Table6[[#This Row],[SKU]],'All Skus'!$A:$AC,23,FALSE)),""))</f>
        <v>Non Compliant</v>
      </c>
      <c r="V89" s="284" t="str">
        <f>HYPERLINK((IF((VLOOKUP(Table6[[#This Row],[SKU]],'All Skus'!$A:$AC,2,FALSE))="JBL",(VLOOKUP(Table6[[#This Row],[SKU]],'All Skus'!$A:$AC,24,FALSE)),"")))</f>
        <v xml:space="preserve">http://www.jblpro.com/ProductAttachments/mtc-mr.pdf </v>
      </c>
      <c r="W89" s="151">
        <v>87</v>
      </c>
    </row>
    <row r="90" spans="1:23" ht="15" hidden="1" customHeight="1">
      <c r="A90" s="13" t="s">
        <v>1096</v>
      </c>
      <c r="B90" s="12" t="str">
        <f>(IF((VLOOKUP(Table6[[#This Row],[SKU]],'All Skus'!$A:$AC,2,FALSE))="JBL",(VLOOKUP(Table6[[#This Row],[SKU]],'All Skus'!$A:$AC,3,FALSE)),""))</f>
        <v>Accessory</v>
      </c>
      <c r="C90" s="12" t="str">
        <f>(IF((VLOOKUP(Table6[[#This Row],[SKU]],'All Skus'!$A:$AC,2,FALSE))="JBL",(VLOOKUP(Table6[[#This Row],[SKU]],'All Skus'!$A:$AC,4,FALSE)),""))</f>
        <v>MTC-24NC</v>
      </c>
      <c r="D90" s="61" t="str">
        <f>(IF((VLOOKUP(Table6[[#This Row],[SKU]],'All Skus'!$A:$AC,2,FALSE))="JBL",(VLOOKUP(Table6[[#This Row],[SKU]],'All Skus'!$A:$AC,5,FALSE)),""))</f>
        <v>JBL018</v>
      </c>
      <c r="E90" s="137">
        <f>(IF((VLOOKUP(Table6[[#This Row],[SKU]],'All Skus'!$A:$AC,2,FALSE))="JBL",(VLOOKUP(Table6[[#This Row],[SKU]],'All Skus'!$A:$AC,6,FALSE)),""))</f>
        <v>0</v>
      </c>
      <c r="F90" s="61">
        <f>(IF((VLOOKUP(Table6[[#This Row],[SKU]],'All Skus'!$A:$AC,2,FALSE))="JBL",(VLOOKUP(Table6[[#This Row],[SKU]],'All Skus'!$A:$AC,7,FALSE)),""))</f>
        <v>0</v>
      </c>
      <c r="G90" t="str">
        <f>(IF((VLOOKUP(Table6[[#This Row],[SKU]],'All Skus'!$A:$AC,2,FALSE))="JBL",(VLOOKUP(Table6[[#This Row],[SKU]],'All Skus'!$A:$AC,8,FALSE)),""))</f>
        <v>NEWCNSTRCTN BRKT,C24C/CT(EA=6)</v>
      </c>
      <c r="H90" s="8" t="str">
        <f>(IF((VLOOKUP(Table6[[#This Row],[SKU]],'All Skus'!$A:$AC,2,FALSE))="JBL",(VLOOKUP(Table6[[#This Row],[SKU]],'All Skus'!$A:$AC,9,FALSE)),""))</f>
        <v>Optional New Construction Bracket for Control 24C, 24CT, 24C Micro, 24CT Micro, and 24CT Micro Plus. Installs before Sheetrock as Cutout Template.  Each Pack Contains 6 Pieces. Priced as one pack; one pack contains 6 Pieces)”</v>
      </c>
      <c r="I90" s="101">
        <f>(IF((VLOOKUP(Table6[[#This Row],[SKU]],'All Skus'!$A:$AC,2,FALSE))="JBL",(VLOOKUP(Table6[[#This Row],[SKU]],'All Skus'!$A:$AC,10,FALSE)),""))</f>
        <v>141</v>
      </c>
      <c r="J90" s="101">
        <f>(IF((VLOOKUP(Table6[[#This Row],[SKU]],'All Skus'!$A:$AC,2,FALSE))="JBL",(VLOOKUP(Table6[[#This Row],[SKU]],'All Skus'!$A:$AC,11,FALSE)),""))</f>
        <v>141</v>
      </c>
      <c r="K90" s="102">
        <f>(IF((VLOOKUP(Table6[[#This Row],[SKU]],'All Skus'!$A:$AC,2,FALSE))="JBL",(VLOOKUP(Table6[[#This Row],[SKU]],'All Skus'!$A:$AC,13,FALSE)),""))</f>
        <v>0</v>
      </c>
      <c r="L90" s="102">
        <f>(IF((VLOOKUP(Table6[[#This Row],[SKU]],'All Skus'!$A:$AC,2,FALSE))="JBL",(VLOOKUP(Table6[[#This Row],[SKU]],'All Skus'!$A:$AC,14,FALSE)),""))</f>
        <v>0</v>
      </c>
      <c r="M90" s="143">
        <f>(IF((VLOOKUP(Table6[[#This Row],[SKU]],'All Skus'!$A:$AC,2,FALSE))="JBL",(VLOOKUP(Table6[[#This Row],[SKU]],'All Skus'!$A:$AC,15,FALSE)),""))</f>
        <v>0</v>
      </c>
      <c r="N90" s="137">
        <f>(IF((VLOOKUP(Table6[[#This Row],[SKU]],'All Skus'!$A:$AC,2,FALSE))="JBL",(VLOOKUP(Table6[[#This Row],[SKU]],'All Skus'!$A:$AC,16,FALSE)),""))</f>
        <v>691991300424</v>
      </c>
      <c r="O90" s="61">
        <f>(IF((VLOOKUP(Table6[[#This Row],[SKU]],'All Skus'!$A:$AC,2,FALSE))="JBL",(VLOOKUP(Table6[[#This Row],[SKU]],'All Skus'!$A:$AC,17,FALSE)),""))</f>
        <v>0</v>
      </c>
      <c r="P90" s="136">
        <f>(IF((VLOOKUP(Table6[[#This Row],[SKU]],'All Skus'!$A:$AC,2,FALSE))="JBL",(VLOOKUP(Table6[[#This Row],[SKU]],'All Skus'!$A:$AC,18,FALSE)),""))</f>
        <v>5.25</v>
      </c>
      <c r="Q90" s="136">
        <f>(IF((VLOOKUP(Table6[[#This Row],[SKU]],'All Skus'!$A:$AC,2,FALSE))="JBL",(VLOOKUP(Table6[[#This Row],[SKU]],'All Skus'!$A:$AC,19,FALSE)),""))</f>
        <v>2.5</v>
      </c>
      <c r="R90" s="136">
        <f>(IF((VLOOKUP(Table6[[#This Row],[SKU]],'All Skus'!$A:$AC,2,FALSE))="JBL",(VLOOKUP(Table6[[#This Row],[SKU]],'All Skus'!$A:$AC,20,FALSE)),""))</f>
        <v>3</v>
      </c>
      <c r="S90" s="61">
        <f>(IF((VLOOKUP(Table6[[#This Row],[SKU]],'All Skus'!$A:$AC,2,FALSE))="JBL",(VLOOKUP(Table6[[#This Row],[SKU]],'All Skus'!$A:$AC,21,FALSE)),""))</f>
        <v>1.5</v>
      </c>
      <c r="T90" s="61" t="str">
        <f>(IF((VLOOKUP(Table6[[#This Row],[SKU]],'All Skus'!$A:$AC,2,FALSE))="JBL",(VLOOKUP(Table6[[#This Row],[SKU]],'All Skus'!$A:$AC,22,FALSE)),""))</f>
        <v>US</v>
      </c>
      <c r="U90" t="str">
        <f>(IF((VLOOKUP(Table6[[#This Row],[SKU]],'All Skus'!$A:$AC,2,FALSE))="JBL",(VLOOKUP(Table6[[#This Row],[SKU]],'All Skus'!$A:$AC,23,FALSE)),""))</f>
        <v>Compliant</v>
      </c>
      <c r="V90" s="284" t="str">
        <f>HYPERLINK((IF((VLOOKUP(Table6[[#This Row],[SKU]],'All Skus'!$A:$AC,2,FALSE))="JBL",(VLOOKUP(Table6[[#This Row],[SKU]],'All Skus'!$A:$AC,24,FALSE)),"")))</f>
        <v xml:space="preserve">http://www.jblpro.com/ProductAttachments/mtc-nc.pdf </v>
      </c>
      <c r="W90" s="151">
        <v>88</v>
      </c>
    </row>
    <row r="91" spans="1:23" ht="15" hidden="1" customHeight="1">
      <c r="A91" s="13" t="s">
        <v>1097</v>
      </c>
      <c r="B91" s="12" t="str">
        <f>(IF((VLOOKUP(Table6[[#This Row],[SKU]],'All Skus'!$A:$AC,2,FALSE))="JBL",(VLOOKUP(Table6[[#This Row],[SKU]],'All Skus'!$A:$AC,3,FALSE)),""))</f>
        <v>Accessory</v>
      </c>
      <c r="C91" s="12" t="str">
        <f>(IF((VLOOKUP(Table6[[#This Row],[SKU]],'All Skus'!$A:$AC,2,FALSE))="JBL",(VLOOKUP(Table6[[#This Row],[SKU]],'All Skus'!$A:$AC,4,FALSE)),""))</f>
        <v>MTC-24TR</v>
      </c>
      <c r="D91" s="61" t="str">
        <f>(IF((VLOOKUP(Table6[[#This Row],[SKU]],'All Skus'!$A:$AC,2,FALSE))="JBL",(VLOOKUP(Table6[[#This Row],[SKU]],'All Skus'!$A:$AC,5,FALSE)),""))</f>
        <v>JBL018</v>
      </c>
      <c r="E91" s="137">
        <f>(IF((VLOOKUP(Table6[[#This Row],[SKU]],'All Skus'!$A:$AC,2,FALSE))="JBL",(VLOOKUP(Table6[[#This Row],[SKU]],'All Skus'!$A:$AC,6,FALSE)),""))</f>
        <v>0</v>
      </c>
      <c r="F91" s="61">
        <f>(IF((VLOOKUP(Table6[[#This Row],[SKU]],'All Skus'!$A:$AC,2,FALSE))="JBL",(VLOOKUP(Table6[[#This Row],[SKU]],'All Skus'!$A:$AC,7,FALSE)),""))</f>
        <v>0</v>
      </c>
      <c r="G91" t="str">
        <f>(IF((VLOOKUP(Table6[[#This Row],[SKU]],'All Skus'!$A:$AC,2,FALSE))="JBL",(VLOOKUP(Table6[[#This Row],[SKU]],'All Skus'!$A:$AC,8,FALSE)),""))</f>
        <v>TRIMRING/RETROFIT C24 (1=10PCS)</v>
      </c>
      <c r="H91" s="8" t="str">
        <f>(IF((VLOOKUP(Table6[[#This Row],[SKU]],'All Skus'!$A:$AC,2,FALSE))="JBL",(VLOOKUP(Table6[[#This Row],[SKU]],'All Skus'!$A:$AC,9,FALSE)),""))</f>
        <v xml:space="preserve">Trim Ring for Retrofit Installations of Control 24 into Cutouts Up to 250mm (10") Diameter, White.  Each Pack Contains 10 Pieces. Priced as one pack; one pack contains 10 Pieces)” </v>
      </c>
      <c r="I91" s="101">
        <f>(IF((VLOOKUP(Table6[[#This Row],[SKU]],'All Skus'!$A:$AC,2,FALSE))="JBL",(VLOOKUP(Table6[[#This Row],[SKU]],'All Skus'!$A:$AC,10,FALSE)),""))</f>
        <v>189.98</v>
      </c>
      <c r="J91" s="101">
        <f>(IF((VLOOKUP(Table6[[#This Row],[SKU]],'All Skus'!$A:$AC,2,FALSE))="JBL",(VLOOKUP(Table6[[#This Row],[SKU]],'All Skus'!$A:$AC,11,FALSE)),""))</f>
        <v>189.98</v>
      </c>
      <c r="K91" s="102">
        <f>(IF((VLOOKUP(Table6[[#This Row],[SKU]],'All Skus'!$A:$AC,2,FALSE))="JBL",(VLOOKUP(Table6[[#This Row],[SKU]],'All Skus'!$A:$AC,13,FALSE)),""))</f>
        <v>0</v>
      </c>
      <c r="L91" s="102">
        <f>(IF((VLOOKUP(Table6[[#This Row],[SKU]],'All Skus'!$A:$AC,2,FALSE))="JBL",(VLOOKUP(Table6[[#This Row],[SKU]],'All Skus'!$A:$AC,14,FALSE)),""))</f>
        <v>0</v>
      </c>
      <c r="M91" s="143">
        <f>(IF((VLOOKUP(Table6[[#This Row],[SKU]],'All Skus'!$A:$AC,2,FALSE))="JBL",(VLOOKUP(Table6[[#This Row],[SKU]],'All Skus'!$A:$AC,15,FALSE)),""))</f>
        <v>0</v>
      </c>
      <c r="N91" s="137">
        <f>(IF((VLOOKUP(Table6[[#This Row],[SKU]],'All Skus'!$A:$AC,2,FALSE))="JBL",(VLOOKUP(Table6[[#This Row],[SKU]],'All Skus'!$A:$AC,16,FALSE)),""))</f>
        <v>691991300431</v>
      </c>
      <c r="O91" s="61">
        <f>(IF((VLOOKUP(Table6[[#This Row],[SKU]],'All Skus'!$A:$AC,2,FALSE))="JBL",(VLOOKUP(Table6[[#This Row],[SKU]],'All Skus'!$A:$AC,17,FALSE)),""))</f>
        <v>0</v>
      </c>
      <c r="P91" s="136">
        <f>(IF((VLOOKUP(Table6[[#This Row],[SKU]],'All Skus'!$A:$AC,2,FALSE))="JBL",(VLOOKUP(Table6[[#This Row],[SKU]],'All Skus'!$A:$AC,18,FALSE)),""))</f>
        <v>10</v>
      </c>
      <c r="Q91" s="136">
        <f>(IF((VLOOKUP(Table6[[#This Row],[SKU]],'All Skus'!$A:$AC,2,FALSE))="JBL",(VLOOKUP(Table6[[#This Row],[SKU]],'All Skus'!$A:$AC,19,FALSE)),""))</f>
        <v>17</v>
      </c>
      <c r="R91" s="136">
        <f>(IF((VLOOKUP(Table6[[#This Row],[SKU]],'All Skus'!$A:$AC,2,FALSE))="JBL",(VLOOKUP(Table6[[#This Row],[SKU]],'All Skus'!$A:$AC,20,FALSE)),""))</f>
        <v>18</v>
      </c>
      <c r="S91" s="61">
        <f>(IF((VLOOKUP(Table6[[#This Row],[SKU]],'All Skus'!$A:$AC,2,FALSE))="JBL",(VLOOKUP(Table6[[#This Row],[SKU]],'All Skus'!$A:$AC,21,FALSE)),""))</f>
        <v>2</v>
      </c>
      <c r="T91" s="61" t="str">
        <f>(IF((VLOOKUP(Table6[[#This Row],[SKU]],'All Skus'!$A:$AC,2,FALSE))="JBL",(VLOOKUP(Table6[[#This Row],[SKU]],'All Skus'!$A:$AC,22,FALSE)),""))</f>
        <v>CN</v>
      </c>
      <c r="U91" t="str">
        <f>(IF((VLOOKUP(Table6[[#This Row],[SKU]],'All Skus'!$A:$AC,2,FALSE))="JBL",(VLOOKUP(Table6[[#This Row],[SKU]],'All Skus'!$A:$AC,23,FALSE)),""))</f>
        <v>Non Compliant</v>
      </c>
      <c r="V91" s="284" t="str">
        <f>HYPERLINK((IF((VLOOKUP(Table6[[#This Row],[SKU]],'All Skus'!$A:$AC,2,FALSE))="JBL",(VLOOKUP(Table6[[#This Row],[SKU]],'All Skus'!$A:$AC,24,FALSE)),"")))</f>
        <v xml:space="preserve">http://www.jblpro.com/ProductAttachments/mtc-tr.pdf </v>
      </c>
      <c r="W91" s="151">
        <v>89</v>
      </c>
    </row>
    <row r="92" spans="1:23" ht="15" hidden="1" customHeight="1">
      <c r="A92" s="13" t="s">
        <v>1098</v>
      </c>
      <c r="B92" s="12" t="str">
        <f>(IF((VLOOKUP(Table6[[#This Row],[SKU]],'All Skus'!$A:$AC,2,FALSE))="JBL",(VLOOKUP(Table6[[#This Row],[SKU]],'All Skus'!$A:$AC,3,FALSE)),""))</f>
        <v>Accessory</v>
      </c>
      <c r="C92" s="12" t="str">
        <f>(IF((VLOOKUP(Table6[[#This Row],[SKU]],'All Skus'!$A:$AC,2,FALSE))="JBL",(VLOOKUP(Table6[[#This Row],[SKU]],'All Skus'!$A:$AC,4,FALSE)),""))</f>
        <v>MTC-26MR</v>
      </c>
      <c r="D92" s="61" t="str">
        <f>(IF((VLOOKUP(Table6[[#This Row],[SKU]],'All Skus'!$A:$AC,2,FALSE))="JBL",(VLOOKUP(Table6[[#This Row],[SKU]],'All Skus'!$A:$AC,5,FALSE)),""))</f>
        <v>JBL018</v>
      </c>
      <c r="E92" s="137">
        <f>(IF((VLOOKUP(Table6[[#This Row],[SKU]],'All Skus'!$A:$AC,2,FALSE))="JBL",(VLOOKUP(Table6[[#This Row],[SKU]],'All Skus'!$A:$AC,6,FALSE)),""))</f>
        <v>0</v>
      </c>
      <c r="F92" s="61">
        <f>(IF((VLOOKUP(Table6[[#This Row],[SKU]],'All Skus'!$A:$AC,2,FALSE))="JBL",(VLOOKUP(Table6[[#This Row],[SKU]],'All Skus'!$A:$AC,7,FALSE)),""))</f>
        <v>0</v>
      </c>
      <c r="G92" t="str">
        <f>(IF((VLOOKUP(Table6[[#This Row],[SKU]],'All Skus'!$A:$AC,2,FALSE))="JBL",(VLOOKUP(Table6[[#This Row],[SKU]],'All Skus'!$A:$AC,8,FALSE)),""))</f>
        <v>MUDRING BRKT, C26C/26CT (EA=6)</v>
      </c>
      <c r="H92" s="8" t="str">
        <f>(IF((VLOOKUP(Table6[[#This Row],[SKU]],'All Skus'!$A:$AC,2,FALSE))="JBL",(VLOOKUP(Table6[[#This Row],[SKU]],'All Skus'!$A:$AC,9,FALSE)),""))</f>
        <v>Optional Mud (Plaster) Ring Construction Bracket for Control 26C and Control 26CT, Installs before Sheetrock, Integral Ring Extension for Drywall Mudding.  Each Pack Contains 6 Pieces. “(Priced as one pack; one pack contains 6 Pieces)”</v>
      </c>
      <c r="I92" s="101">
        <f>(IF((VLOOKUP(Table6[[#This Row],[SKU]],'All Skus'!$A:$AC,2,FALSE))="JBL",(VLOOKUP(Table6[[#This Row],[SKU]],'All Skus'!$A:$AC,10,FALSE)),""))</f>
        <v>217.11</v>
      </c>
      <c r="J92" s="101">
        <f>(IF((VLOOKUP(Table6[[#This Row],[SKU]],'All Skus'!$A:$AC,2,FALSE))="JBL",(VLOOKUP(Table6[[#This Row],[SKU]],'All Skus'!$A:$AC,11,FALSE)),""))</f>
        <v>217.11</v>
      </c>
      <c r="K92" s="102">
        <f>(IF((VLOOKUP(Table6[[#This Row],[SKU]],'All Skus'!$A:$AC,2,FALSE))="JBL",(VLOOKUP(Table6[[#This Row],[SKU]],'All Skus'!$A:$AC,13,FALSE)),""))</f>
        <v>0</v>
      </c>
      <c r="L92" s="102">
        <f>(IF((VLOOKUP(Table6[[#This Row],[SKU]],'All Skus'!$A:$AC,2,FALSE))="JBL",(VLOOKUP(Table6[[#This Row],[SKU]],'All Skus'!$A:$AC,14,FALSE)),""))</f>
        <v>0</v>
      </c>
      <c r="M92" s="143">
        <f>(IF((VLOOKUP(Table6[[#This Row],[SKU]],'All Skus'!$A:$AC,2,FALSE))="JBL",(VLOOKUP(Table6[[#This Row],[SKU]],'All Skus'!$A:$AC,15,FALSE)),""))</f>
        <v>0</v>
      </c>
      <c r="N92" s="137">
        <f>(IF((VLOOKUP(Table6[[#This Row],[SKU]],'All Skus'!$A:$AC,2,FALSE))="JBL",(VLOOKUP(Table6[[#This Row],[SKU]],'All Skus'!$A:$AC,16,FALSE)),""))</f>
        <v>691991300516</v>
      </c>
      <c r="O92" s="61">
        <f>(IF((VLOOKUP(Table6[[#This Row],[SKU]],'All Skus'!$A:$AC,2,FALSE))="JBL",(VLOOKUP(Table6[[#This Row],[SKU]],'All Skus'!$A:$AC,17,FALSE)),""))</f>
        <v>0</v>
      </c>
      <c r="P92" s="136">
        <f>(IF((VLOOKUP(Table6[[#This Row],[SKU]],'All Skus'!$A:$AC,2,FALSE))="JBL",(VLOOKUP(Table6[[#This Row],[SKU]],'All Skus'!$A:$AC,18,FALSE)),""))</f>
        <v>6.8</v>
      </c>
      <c r="Q92" s="136">
        <f>(IF((VLOOKUP(Table6[[#This Row],[SKU]],'All Skus'!$A:$AC,2,FALSE))="JBL",(VLOOKUP(Table6[[#This Row],[SKU]],'All Skus'!$A:$AC,19,FALSE)),""))</f>
        <v>24</v>
      </c>
      <c r="R92" s="136">
        <f>(IF((VLOOKUP(Table6[[#This Row],[SKU]],'All Skus'!$A:$AC,2,FALSE))="JBL",(VLOOKUP(Table6[[#This Row],[SKU]],'All Skus'!$A:$AC,20,FALSE)),""))</f>
        <v>15</v>
      </c>
      <c r="S92" s="61">
        <f>(IF((VLOOKUP(Table6[[#This Row],[SKU]],'All Skus'!$A:$AC,2,FALSE))="JBL",(VLOOKUP(Table6[[#This Row],[SKU]],'All Skus'!$A:$AC,21,FALSE)),""))</f>
        <v>4.0999999999999996</v>
      </c>
      <c r="T92" s="61" t="str">
        <f>(IF((VLOOKUP(Table6[[#This Row],[SKU]],'All Skus'!$A:$AC,2,FALSE))="JBL",(VLOOKUP(Table6[[#This Row],[SKU]],'All Skus'!$A:$AC,22,FALSE)),""))</f>
        <v>CN</v>
      </c>
      <c r="U92" t="str">
        <f>(IF((VLOOKUP(Table6[[#This Row],[SKU]],'All Skus'!$A:$AC,2,FALSE))="JBL",(VLOOKUP(Table6[[#This Row],[SKU]],'All Skus'!$A:$AC,23,FALSE)),""))</f>
        <v>Non Compliant</v>
      </c>
      <c r="V92" s="284" t="str">
        <f>HYPERLINK((IF((VLOOKUP(Table6[[#This Row],[SKU]],'All Skus'!$A:$AC,2,FALSE))="JBL",(VLOOKUP(Table6[[#This Row],[SKU]],'All Skus'!$A:$AC,24,FALSE)),"")))</f>
        <v xml:space="preserve">http://www.jblpro.com/ProductAttachments/mtc-mr.pdf </v>
      </c>
      <c r="W92" s="151">
        <v>90</v>
      </c>
    </row>
    <row r="93" spans="1:23" ht="15" hidden="1" customHeight="1">
      <c r="A93" s="13" t="s">
        <v>1099</v>
      </c>
      <c r="B93" s="12" t="str">
        <f>(IF((VLOOKUP(Table6[[#This Row],[SKU]],'All Skus'!$A:$AC,2,FALSE))="JBL",(VLOOKUP(Table6[[#This Row],[SKU]],'All Skus'!$A:$AC,3,FALSE)),""))</f>
        <v>Accessory</v>
      </c>
      <c r="C93" s="12" t="str">
        <f>(IF((VLOOKUP(Table6[[#This Row],[SKU]],'All Skus'!$A:$AC,2,FALSE))="JBL",(VLOOKUP(Table6[[#This Row],[SKU]],'All Skus'!$A:$AC,4,FALSE)),""))</f>
        <v>MTC-26NC</v>
      </c>
      <c r="D93" s="61" t="str">
        <f>(IF((VLOOKUP(Table6[[#This Row],[SKU]],'All Skus'!$A:$AC,2,FALSE))="JBL",(VLOOKUP(Table6[[#This Row],[SKU]],'All Skus'!$A:$AC,5,FALSE)),""))</f>
        <v>JBL018</v>
      </c>
      <c r="E93" s="137">
        <f>(IF((VLOOKUP(Table6[[#This Row],[SKU]],'All Skus'!$A:$AC,2,FALSE))="JBL",(VLOOKUP(Table6[[#This Row],[SKU]],'All Skus'!$A:$AC,6,FALSE)),""))</f>
        <v>0</v>
      </c>
      <c r="F93" s="61">
        <f>(IF((VLOOKUP(Table6[[#This Row],[SKU]],'All Skus'!$A:$AC,2,FALSE))="JBL",(VLOOKUP(Table6[[#This Row],[SKU]],'All Skus'!$A:$AC,7,FALSE)),""))</f>
        <v>0</v>
      </c>
      <c r="G93" t="str">
        <f>(IF((VLOOKUP(Table6[[#This Row],[SKU]],'All Skus'!$A:$AC,2,FALSE))="JBL",(VLOOKUP(Table6[[#This Row],[SKU]],'All Skus'!$A:$AC,8,FALSE)),""))</f>
        <v>NEW CONSTRUCTION BRKT,C26C/26CT (EA=6)</v>
      </c>
      <c r="H93" s="8" t="str">
        <f>(IF((VLOOKUP(Table6[[#This Row],[SKU]],'All Skus'!$A:$AC,2,FALSE))="JBL",(VLOOKUP(Table6[[#This Row],[SKU]],'All Skus'!$A:$AC,9,FALSE)),""))</f>
        <v>Optional New Construction Bracket for Control 26C and Control 26CT, Installs Before Sheetrock as Cutout Template. Each Pack Contains 6 Pieces. “(Priced as one pack; one pack contains 6 Pieces)”</v>
      </c>
      <c r="I93" s="101">
        <f>(IF((VLOOKUP(Table6[[#This Row],[SKU]],'All Skus'!$A:$AC,2,FALSE))="JBL",(VLOOKUP(Table6[[#This Row],[SKU]],'All Skus'!$A:$AC,10,FALSE)),""))</f>
        <v>160.96</v>
      </c>
      <c r="J93" s="101">
        <f>(IF((VLOOKUP(Table6[[#This Row],[SKU]],'All Skus'!$A:$AC,2,FALSE))="JBL",(VLOOKUP(Table6[[#This Row],[SKU]],'All Skus'!$A:$AC,11,FALSE)),""))</f>
        <v>160.96</v>
      </c>
      <c r="K93" s="102">
        <f>(IF((VLOOKUP(Table6[[#This Row],[SKU]],'All Skus'!$A:$AC,2,FALSE))="JBL",(VLOOKUP(Table6[[#This Row],[SKU]],'All Skus'!$A:$AC,13,FALSE)),""))</f>
        <v>0</v>
      </c>
      <c r="L93" s="102">
        <f>(IF((VLOOKUP(Table6[[#This Row],[SKU]],'All Skus'!$A:$AC,2,FALSE))="JBL",(VLOOKUP(Table6[[#This Row],[SKU]],'All Skus'!$A:$AC,14,FALSE)),""))</f>
        <v>0</v>
      </c>
      <c r="M93" s="143">
        <f>(IF((VLOOKUP(Table6[[#This Row],[SKU]],'All Skus'!$A:$AC,2,FALSE))="JBL",(VLOOKUP(Table6[[#This Row],[SKU]],'All Skus'!$A:$AC,15,FALSE)),""))</f>
        <v>0</v>
      </c>
      <c r="N93" s="137">
        <f>(IF((VLOOKUP(Table6[[#This Row],[SKU]],'All Skus'!$A:$AC,2,FALSE))="JBL",(VLOOKUP(Table6[[#This Row],[SKU]],'All Skus'!$A:$AC,16,FALSE)),""))</f>
        <v>691991300523</v>
      </c>
      <c r="O93" s="61">
        <f>(IF((VLOOKUP(Table6[[#This Row],[SKU]],'All Skus'!$A:$AC,2,FALSE))="JBL",(VLOOKUP(Table6[[#This Row],[SKU]],'All Skus'!$A:$AC,17,FALSE)),""))</f>
        <v>0</v>
      </c>
      <c r="P93" s="136">
        <f>(IF((VLOOKUP(Table6[[#This Row],[SKU]],'All Skus'!$A:$AC,2,FALSE))="JBL",(VLOOKUP(Table6[[#This Row],[SKU]],'All Skus'!$A:$AC,18,FALSE)),""))</f>
        <v>5.25</v>
      </c>
      <c r="Q93" s="136">
        <f>(IF((VLOOKUP(Table6[[#This Row],[SKU]],'All Skus'!$A:$AC,2,FALSE))="JBL",(VLOOKUP(Table6[[#This Row],[SKU]],'All Skus'!$A:$AC,19,FALSE)),""))</f>
        <v>15</v>
      </c>
      <c r="R93" s="136">
        <f>(IF((VLOOKUP(Table6[[#This Row],[SKU]],'All Skus'!$A:$AC,2,FALSE))="JBL",(VLOOKUP(Table6[[#This Row],[SKU]],'All Skus'!$A:$AC,20,FALSE)),""))</f>
        <v>24</v>
      </c>
      <c r="S93" s="61">
        <f>(IF((VLOOKUP(Table6[[#This Row],[SKU]],'All Skus'!$A:$AC,2,FALSE))="JBL",(VLOOKUP(Table6[[#This Row],[SKU]],'All Skus'!$A:$AC,21,FALSE)),""))</f>
        <v>1</v>
      </c>
      <c r="T93" s="61" t="str">
        <f>(IF((VLOOKUP(Table6[[#This Row],[SKU]],'All Skus'!$A:$AC,2,FALSE))="JBL",(VLOOKUP(Table6[[#This Row],[SKU]],'All Skus'!$A:$AC,22,FALSE)),""))</f>
        <v>US</v>
      </c>
      <c r="U93" t="str">
        <f>(IF((VLOOKUP(Table6[[#This Row],[SKU]],'All Skus'!$A:$AC,2,FALSE))="JBL",(VLOOKUP(Table6[[#This Row],[SKU]],'All Skus'!$A:$AC,23,FALSE)),""))</f>
        <v>Compliant</v>
      </c>
      <c r="V93" s="284" t="str">
        <f>HYPERLINK((IF((VLOOKUP(Table6[[#This Row],[SKU]],'All Skus'!$A:$AC,2,FALSE))="JBL",(VLOOKUP(Table6[[#This Row],[SKU]],'All Skus'!$A:$AC,24,FALSE)),"")))</f>
        <v xml:space="preserve">http://www.jblpro.com/ProductAttachments/mtc-nc.pdf </v>
      </c>
      <c r="W93" s="151">
        <v>91</v>
      </c>
    </row>
    <row r="94" spans="1:23" ht="15" hidden="1" customHeight="1">
      <c r="A94" s="13" t="s">
        <v>1100</v>
      </c>
      <c r="B94" s="12" t="str">
        <f>(IF((VLOOKUP(Table6[[#This Row],[SKU]],'All Skus'!$A:$AC,2,FALSE))="JBL",(VLOOKUP(Table6[[#This Row],[SKU]],'All Skus'!$A:$AC,3,FALSE)),""))</f>
        <v>Accessory</v>
      </c>
      <c r="C94" s="12" t="str">
        <f>(IF((VLOOKUP(Table6[[#This Row],[SKU]],'All Skus'!$A:$AC,2,FALSE))="JBL",(VLOOKUP(Table6[[#This Row],[SKU]],'All Skus'!$A:$AC,4,FALSE)),""))</f>
        <v>MTC-26TR</v>
      </c>
      <c r="D94" s="61" t="str">
        <f>(IF((VLOOKUP(Table6[[#This Row],[SKU]],'All Skus'!$A:$AC,2,FALSE))="JBL",(VLOOKUP(Table6[[#This Row],[SKU]],'All Skus'!$A:$AC,5,FALSE)),""))</f>
        <v>JBL018</v>
      </c>
      <c r="E94" s="137">
        <f>(IF((VLOOKUP(Table6[[#This Row],[SKU]],'All Skus'!$A:$AC,2,FALSE))="JBL",(VLOOKUP(Table6[[#This Row],[SKU]],'All Skus'!$A:$AC,6,FALSE)),""))</f>
        <v>0</v>
      </c>
      <c r="F94" s="61">
        <f>(IF((VLOOKUP(Table6[[#This Row],[SKU]],'All Skus'!$A:$AC,2,FALSE))="JBL",(VLOOKUP(Table6[[#This Row],[SKU]],'All Skus'!$A:$AC,7,FALSE)),""))</f>
        <v>0</v>
      </c>
      <c r="G94" t="str">
        <f>(IF((VLOOKUP(Table6[[#This Row],[SKU]],'All Skus'!$A:$AC,2,FALSE))="JBL",(VLOOKUP(Table6[[#This Row],[SKU]],'All Skus'!$A:$AC,8,FALSE)),""))</f>
        <v>TRIMRING/RETROFIT C26 (1=10PCS)</v>
      </c>
      <c r="H94" s="8" t="str">
        <f>(IF((VLOOKUP(Table6[[#This Row],[SKU]],'All Skus'!$A:$AC,2,FALSE))="JBL",(VLOOKUP(Table6[[#This Row],[SKU]],'All Skus'!$A:$AC,9,FALSE)),""))</f>
        <v>Trim Ring for Retrofit Installations of Control 26 into Cutouts Up to 250mm (10") Diameter, White.  Each Pack Contains 10 Pieces. Priced as one pack; one pack contains 10 Pieces)”</v>
      </c>
      <c r="I94" s="101">
        <f>(IF((VLOOKUP(Table6[[#This Row],[SKU]],'All Skus'!$A:$AC,2,FALSE))="JBL",(VLOOKUP(Table6[[#This Row],[SKU]],'All Skus'!$A:$AC,10,FALSE)),""))</f>
        <v>189.98</v>
      </c>
      <c r="J94" s="101">
        <f>(IF((VLOOKUP(Table6[[#This Row],[SKU]],'All Skus'!$A:$AC,2,FALSE))="JBL",(VLOOKUP(Table6[[#This Row],[SKU]],'All Skus'!$A:$AC,11,FALSE)),""))</f>
        <v>189.98</v>
      </c>
      <c r="K94" s="102">
        <f>(IF((VLOOKUP(Table6[[#This Row],[SKU]],'All Skus'!$A:$AC,2,FALSE))="JBL",(VLOOKUP(Table6[[#This Row],[SKU]],'All Skus'!$A:$AC,13,FALSE)),""))</f>
        <v>0</v>
      </c>
      <c r="L94" s="102">
        <f>(IF((VLOOKUP(Table6[[#This Row],[SKU]],'All Skus'!$A:$AC,2,FALSE))="JBL",(VLOOKUP(Table6[[#This Row],[SKU]],'All Skus'!$A:$AC,14,FALSE)),""))</f>
        <v>0</v>
      </c>
      <c r="M94" s="143">
        <f>(IF((VLOOKUP(Table6[[#This Row],[SKU]],'All Skus'!$A:$AC,2,FALSE))="JBL",(VLOOKUP(Table6[[#This Row],[SKU]],'All Skus'!$A:$AC,15,FALSE)),""))</f>
        <v>0</v>
      </c>
      <c r="N94" s="137">
        <f>(IF((VLOOKUP(Table6[[#This Row],[SKU]],'All Skus'!$A:$AC,2,FALSE))="JBL",(VLOOKUP(Table6[[#This Row],[SKU]],'All Skus'!$A:$AC,16,FALSE)),""))</f>
        <v>691991300530</v>
      </c>
      <c r="O94" s="61">
        <f>(IF((VLOOKUP(Table6[[#This Row],[SKU]],'All Skus'!$A:$AC,2,FALSE))="JBL",(VLOOKUP(Table6[[#This Row],[SKU]],'All Skus'!$A:$AC,17,FALSE)),""))</f>
        <v>0</v>
      </c>
      <c r="P94" s="136">
        <f>(IF((VLOOKUP(Table6[[#This Row],[SKU]],'All Skus'!$A:$AC,2,FALSE))="JBL",(VLOOKUP(Table6[[#This Row],[SKU]],'All Skus'!$A:$AC,18,FALSE)),""))</f>
        <v>7.85</v>
      </c>
      <c r="Q94" s="136">
        <f>(IF((VLOOKUP(Table6[[#This Row],[SKU]],'All Skus'!$A:$AC,2,FALSE))="JBL",(VLOOKUP(Table6[[#This Row],[SKU]],'All Skus'!$A:$AC,19,FALSE)),""))</f>
        <v>17</v>
      </c>
      <c r="R94" s="136">
        <f>(IF((VLOOKUP(Table6[[#This Row],[SKU]],'All Skus'!$A:$AC,2,FALSE))="JBL",(VLOOKUP(Table6[[#This Row],[SKU]],'All Skus'!$A:$AC,20,FALSE)),""))</f>
        <v>17</v>
      </c>
      <c r="S94" s="61">
        <f>(IF((VLOOKUP(Table6[[#This Row],[SKU]],'All Skus'!$A:$AC,2,FALSE))="JBL",(VLOOKUP(Table6[[#This Row],[SKU]],'All Skus'!$A:$AC,21,FALSE)),""))</f>
        <v>2</v>
      </c>
      <c r="T94" s="61" t="str">
        <f>(IF((VLOOKUP(Table6[[#This Row],[SKU]],'All Skus'!$A:$AC,2,FALSE))="JBL",(VLOOKUP(Table6[[#This Row],[SKU]],'All Skus'!$A:$AC,22,FALSE)),""))</f>
        <v>CN</v>
      </c>
      <c r="U94" t="str">
        <f>(IF((VLOOKUP(Table6[[#This Row],[SKU]],'All Skus'!$A:$AC,2,FALSE))="JBL",(VLOOKUP(Table6[[#This Row],[SKU]],'All Skus'!$A:$AC,23,FALSE)),""))</f>
        <v>Non Compliant</v>
      </c>
      <c r="V94" s="284" t="str">
        <f>HYPERLINK((IF((VLOOKUP(Table6[[#This Row],[SKU]],'All Skus'!$A:$AC,2,FALSE))="JBL",(VLOOKUP(Table6[[#This Row],[SKU]],'All Skus'!$A:$AC,24,FALSE)),"")))</f>
        <v xml:space="preserve">http://www.jblpro.com/ProductAttachments/mtc-tr.pdf </v>
      </c>
      <c r="W94" s="151">
        <v>92</v>
      </c>
    </row>
    <row r="95" spans="1:23" ht="15" hidden="1" customHeight="1">
      <c r="A95" s="13" t="s">
        <v>1101</v>
      </c>
      <c r="B95" s="12" t="str">
        <f>(IF((VLOOKUP(Table6[[#This Row],[SKU]],'All Skus'!$A:$AC,2,FALSE))="JBL",(VLOOKUP(Table6[[#This Row],[SKU]],'All Skus'!$A:$AC,3,FALSE)),""))</f>
        <v>Accessory</v>
      </c>
      <c r="C95" s="12" t="str">
        <f>(IF((VLOOKUP(Table6[[#This Row],[SKU]],'All Skus'!$A:$AC,2,FALSE))="JBL",(VLOOKUP(Table6[[#This Row],[SKU]],'All Skus'!$A:$AC,4,FALSE)),""))</f>
        <v>MTC-48TRx12</v>
      </c>
      <c r="D95" s="61" t="str">
        <f>(IF((VLOOKUP(Table6[[#This Row],[SKU]],'All Skus'!$A:$AC,2,FALSE))="JBL",(VLOOKUP(Table6[[#This Row],[SKU]],'All Skus'!$A:$AC,5,FALSE)),""))</f>
        <v>JBL018</v>
      </c>
      <c r="E95" s="137">
        <f>(IF((VLOOKUP(Table6[[#This Row],[SKU]],'All Skus'!$A:$AC,2,FALSE))="JBL",(VLOOKUP(Table6[[#This Row],[SKU]],'All Skus'!$A:$AC,6,FALSE)),""))</f>
        <v>0</v>
      </c>
      <c r="F95" s="61">
        <f>(IF((VLOOKUP(Table6[[#This Row],[SKU]],'All Skus'!$A:$AC,2,FALSE))="JBL",(VLOOKUP(Table6[[#This Row],[SKU]],'All Skus'!$A:$AC,7,FALSE)),""))</f>
        <v>0</v>
      </c>
      <c r="G95" t="str">
        <f>(IF((VLOOKUP(Table6[[#This Row],[SKU]],'All Skus'!$A:$AC,2,FALSE))="JBL",(VLOOKUP(Table6[[#This Row],[SKU]],'All Skus'!$A:$AC,8,FALSE)),""))</f>
        <v>48" LONG TILE RAIL</v>
      </c>
      <c r="H95" s="8" t="str">
        <f>(IF((VLOOKUP(Table6[[#This Row],[SKU]],'All Skus'!$A:$AC,2,FALSE))="JBL",(VLOOKUP(Table6[[#This Row],[SKU]],'All Skus'!$A:$AC,9,FALSE)),""))</f>
        <v>Tile rails for using many of JBL's ceiling speaker in 1200 mm (48 in) ceiling tile grid systems. Inverted-V design.  Can be used with 8124/28, Control 19CS models.  Control 24C Micro models, Control 24C models, Control 26 models, Control 40 Series models, and Control 226C/T.   (Sold and packed as a kit of 12 tile rails (for 6 spkrs). (Priced as one pack; one pack contains 6 Pieces</v>
      </c>
      <c r="I95" s="101">
        <f>(IF((VLOOKUP(Table6[[#This Row],[SKU]],'All Skus'!$A:$AC,2,FALSE))="JBL",(VLOOKUP(Table6[[#This Row],[SKU]],'All Skus'!$A:$AC,10,FALSE)),""))</f>
        <v>335.66</v>
      </c>
      <c r="J95" s="101">
        <f>(IF((VLOOKUP(Table6[[#This Row],[SKU]],'All Skus'!$A:$AC,2,FALSE))="JBL",(VLOOKUP(Table6[[#This Row],[SKU]],'All Skus'!$A:$AC,11,FALSE)),""))</f>
        <v>335.66</v>
      </c>
      <c r="K95" s="102">
        <f>(IF((VLOOKUP(Table6[[#This Row],[SKU]],'All Skus'!$A:$AC,2,FALSE))="JBL",(VLOOKUP(Table6[[#This Row],[SKU]],'All Skus'!$A:$AC,13,FALSE)),""))</f>
        <v>0</v>
      </c>
      <c r="L95" s="102">
        <f>(IF((VLOOKUP(Table6[[#This Row],[SKU]],'All Skus'!$A:$AC,2,FALSE))="JBL",(VLOOKUP(Table6[[#This Row],[SKU]],'All Skus'!$A:$AC,14,FALSE)),""))</f>
        <v>0</v>
      </c>
      <c r="M95" s="143">
        <f>(IF((VLOOKUP(Table6[[#This Row],[SKU]],'All Skus'!$A:$AC,2,FALSE))="JBL",(VLOOKUP(Table6[[#This Row],[SKU]],'All Skus'!$A:$AC,15,FALSE)),""))</f>
        <v>0</v>
      </c>
      <c r="N95" s="137">
        <f>(IF((VLOOKUP(Table6[[#This Row],[SKU]],'All Skus'!$A:$AC,2,FALSE))="JBL",(VLOOKUP(Table6[[#This Row],[SKU]],'All Skus'!$A:$AC,16,FALSE)),""))</f>
        <v>691991300066</v>
      </c>
      <c r="O95" s="61">
        <f>(IF((VLOOKUP(Table6[[#This Row],[SKU]],'All Skus'!$A:$AC,2,FALSE))="JBL",(VLOOKUP(Table6[[#This Row],[SKU]],'All Skus'!$A:$AC,17,FALSE)),""))</f>
        <v>0</v>
      </c>
      <c r="P95" s="136">
        <f>(IF((VLOOKUP(Table6[[#This Row],[SKU]],'All Skus'!$A:$AC,2,FALSE))="JBL",(VLOOKUP(Table6[[#This Row],[SKU]],'All Skus'!$A:$AC,18,FALSE)),""))</f>
        <v>20.350000000000001</v>
      </c>
      <c r="Q95" s="136">
        <f>(IF((VLOOKUP(Table6[[#This Row],[SKU]],'All Skus'!$A:$AC,2,FALSE))="JBL",(VLOOKUP(Table6[[#This Row],[SKU]],'All Skus'!$A:$AC,19,FALSE)),""))</f>
        <v>9</v>
      </c>
      <c r="R95" s="136">
        <f>(IF((VLOOKUP(Table6[[#This Row],[SKU]],'All Skus'!$A:$AC,2,FALSE))="JBL",(VLOOKUP(Table6[[#This Row],[SKU]],'All Skus'!$A:$AC,20,FALSE)),""))</f>
        <v>48</v>
      </c>
      <c r="S95" s="61">
        <f>(IF((VLOOKUP(Table6[[#This Row],[SKU]],'All Skus'!$A:$AC,2,FALSE))="JBL",(VLOOKUP(Table6[[#This Row],[SKU]],'All Skus'!$A:$AC,21,FALSE)),""))</f>
        <v>3.5</v>
      </c>
      <c r="T95" s="61" t="str">
        <f>(IF((VLOOKUP(Table6[[#This Row],[SKU]],'All Skus'!$A:$AC,2,FALSE))="JBL",(VLOOKUP(Table6[[#This Row],[SKU]],'All Skus'!$A:$AC,22,FALSE)),""))</f>
        <v>CN</v>
      </c>
      <c r="U95" t="str">
        <f>(IF((VLOOKUP(Table6[[#This Row],[SKU]],'All Skus'!$A:$AC,2,FALSE))="JBL",(VLOOKUP(Table6[[#This Row],[SKU]],'All Skus'!$A:$AC,23,FALSE)),""))</f>
        <v>Non Compliant</v>
      </c>
      <c r="V95" s="284" t="str">
        <f>HYPERLINK((IF((VLOOKUP(Table6[[#This Row],[SKU]],'All Skus'!$A:$AC,2,FALSE))="JBL",(VLOOKUP(Table6[[#This Row],[SKU]],'All Skus'!$A:$AC,24,FALSE)),"")))</f>
        <v xml:space="preserve">http://www.jblpro.com/www/products/installed-sound/control-contractor-series/mtc-48trx12 </v>
      </c>
      <c r="W95" s="151">
        <v>93</v>
      </c>
    </row>
    <row r="96" spans="1:23" ht="15" hidden="1" customHeight="1">
      <c r="A96" s="13" t="s">
        <v>1102</v>
      </c>
      <c r="B96" s="12" t="str">
        <f>(IF((VLOOKUP(Table6[[#This Row],[SKU]],'All Skus'!$A:$AC,2,FALSE))="JBL",(VLOOKUP(Table6[[#This Row],[SKU]],'All Skus'!$A:$AC,3,FALSE)),""))</f>
        <v>Accessory</v>
      </c>
      <c r="C96" s="12" t="str">
        <f>(IF((VLOOKUP(Table6[[#This Row],[SKU]],'All Skus'!$A:$AC,2,FALSE))="JBL",(VLOOKUP(Table6[[#This Row],[SKU]],'All Skus'!$A:$AC,4,FALSE)),""))</f>
        <v>MTC-PC2</v>
      </c>
      <c r="D96" s="61" t="str">
        <f>(IF((VLOOKUP(Table6[[#This Row],[SKU]],'All Skus'!$A:$AC,2,FALSE))="JBL",(VLOOKUP(Table6[[#This Row],[SKU]],'All Skus'!$A:$AC,5,FALSE)),""))</f>
        <v>JBL018</v>
      </c>
      <c r="E96" s="137">
        <f>(IF((VLOOKUP(Table6[[#This Row],[SKU]],'All Skus'!$A:$AC,2,FALSE))="JBL",(VLOOKUP(Table6[[#This Row],[SKU]],'All Skus'!$A:$AC,6,FALSE)),""))</f>
        <v>0</v>
      </c>
      <c r="F96" s="61">
        <f>(IF((VLOOKUP(Table6[[#This Row],[SKU]],'All Skus'!$A:$AC,2,FALSE))="JBL",(VLOOKUP(Table6[[#This Row],[SKU]],'All Skus'!$A:$AC,7,FALSE)),""))</f>
        <v>0</v>
      </c>
      <c r="G96" t="str">
        <f>(IF((VLOOKUP(Table6[[#This Row],[SKU]],'All Skus'!$A:$AC,2,FALSE))="JBL",(VLOOKUP(Table6[[#This Row],[SKU]],'All Skus'!$A:$AC,8,FALSE)),""))</f>
        <v>SEALED PANEL COVER (1=2 pcs)</v>
      </c>
      <c r="H96" s="8" t="str">
        <f>(IF((VLOOKUP(Table6[[#This Row],[SKU]],'All Skus'!$A:$AC,2,FALSE))="JBL",(VLOOKUP(Table6[[#This Row],[SKU]],'All Skus'!$A:$AC,9,FALSE)),""))</f>
        <v>Sealed Panel Cover for Input Terminal Compartment.  Also functions as Strain Relief.  Fits all Surface-Mount Models.  Gland Nut Extends Toward Back. Priced is for a package of two covers.</v>
      </c>
      <c r="I96" s="101">
        <f>(IF((VLOOKUP(Table6[[#This Row],[SKU]],'All Skus'!$A:$AC,2,FALSE))="JBL",(VLOOKUP(Table6[[#This Row],[SKU]],'All Skus'!$A:$AC,10,FALSE)),""))</f>
        <v>33.69</v>
      </c>
      <c r="J96" s="101">
        <f>(IF((VLOOKUP(Table6[[#This Row],[SKU]],'All Skus'!$A:$AC,2,FALSE))="JBL",(VLOOKUP(Table6[[#This Row],[SKU]],'All Skus'!$A:$AC,11,FALSE)),""))</f>
        <v>33.69</v>
      </c>
      <c r="K96" s="102">
        <f>(IF((VLOOKUP(Table6[[#This Row],[SKU]],'All Skus'!$A:$AC,2,FALSE))="JBL",(VLOOKUP(Table6[[#This Row],[SKU]],'All Skus'!$A:$AC,13,FALSE)),""))</f>
        <v>0</v>
      </c>
      <c r="L96" s="102">
        <f>(IF((VLOOKUP(Table6[[#This Row],[SKU]],'All Skus'!$A:$AC,2,FALSE))="JBL",(VLOOKUP(Table6[[#This Row],[SKU]],'All Skus'!$A:$AC,14,FALSE)),""))</f>
        <v>0</v>
      </c>
      <c r="M96" s="143">
        <f>(IF((VLOOKUP(Table6[[#This Row],[SKU]],'All Skus'!$A:$AC,2,FALSE))="JBL",(VLOOKUP(Table6[[#This Row],[SKU]],'All Skus'!$A:$AC,15,FALSE)),""))</f>
        <v>0</v>
      </c>
      <c r="N96" s="137">
        <f>(IF((VLOOKUP(Table6[[#This Row],[SKU]],'All Skus'!$A:$AC,2,FALSE))="JBL",(VLOOKUP(Table6[[#This Row],[SKU]],'All Skus'!$A:$AC,16,FALSE)),""))</f>
        <v>50036904773</v>
      </c>
      <c r="O96" s="61">
        <f>(IF((VLOOKUP(Table6[[#This Row],[SKU]],'All Skus'!$A:$AC,2,FALSE))="JBL",(VLOOKUP(Table6[[#This Row],[SKU]],'All Skus'!$A:$AC,17,FALSE)),""))</f>
        <v>0</v>
      </c>
      <c r="P96" s="136">
        <f>(IF((VLOOKUP(Table6[[#This Row],[SKU]],'All Skus'!$A:$AC,2,FALSE))="JBL",(VLOOKUP(Table6[[#This Row],[SKU]],'All Skus'!$A:$AC,18,FALSE)),""))</f>
        <v>0.25</v>
      </c>
      <c r="Q96" s="136">
        <f>(IF((VLOOKUP(Table6[[#This Row],[SKU]],'All Skus'!$A:$AC,2,FALSE))="JBL",(VLOOKUP(Table6[[#This Row],[SKU]],'All Skus'!$A:$AC,19,FALSE)),""))</f>
        <v>3</v>
      </c>
      <c r="R96" s="136">
        <f>(IF((VLOOKUP(Table6[[#This Row],[SKU]],'All Skus'!$A:$AC,2,FALSE))="JBL",(VLOOKUP(Table6[[#This Row],[SKU]],'All Skus'!$A:$AC,20,FALSE)),""))</f>
        <v>4</v>
      </c>
      <c r="S96" s="61">
        <f>(IF((VLOOKUP(Table6[[#This Row],[SKU]],'All Skus'!$A:$AC,2,FALSE))="JBL",(VLOOKUP(Table6[[#This Row],[SKU]],'All Skus'!$A:$AC,21,FALSE)),""))</f>
        <v>3</v>
      </c>
      <c r="T96" s="61" t="str">
        <f>(IF((VLOOKUP(Table6[[#This Row],[SKU]],'All Skus'!$A:$AC,2,FALSE))="JBL",(VLOOKUP(Table6[[#This Row],[SKU]],'All Skus'!$A:$AC,22,FALSE)),""))</f>
        <v>CN</v>
      </c>
      <c r="U96" t="str">
        <f>(IF((VLOOKUP(Table6[[#This Row],[SKU]],'All Skus'!$A:$AC,2,FALSE))="JBL",(VLOOKUP(Table6[[#This Row],[SKU]],'All Skus'!$A:$AC,23,FALSE)),""))</f>
        <v>Non Compliant</v>
      </c>
      <c r="V96" s="284" t="str">
        <f>HYPERLINK((IF((VLOOKUP(Table6[[#This Row],[SKU]],'All Skus'!$A:$AC,2,FALSE))="JBL",(VLOOKUP(Table6[[#This Row],[SKU]],'All Skus'!$A:$AC,24,FALSE)),"")))</f>
        <v xml:space="preserve">http://www.jblpro.com/ProductAttachments/mtc-pc2%20instructions.pdf </v>
      </c>
      <c r="W96" s="151">
        <v>94</v>
      </c>
    </row>
    <row r="97" spans="1:23" ht="15" hidden="1" customHeight="1">
      <c r="A97" s="13" t="s">
        <v>1103</v>
      </c>
      <c r="B97" s="12" t="str">
        <f>(IF((VLOOKUP(Table6[[#This Row],[SKU]],'All Skus'!$A:$AC,2,FALSE))="JBL",(VLOOKUP(Table6[[#This Row],[SKU]],'All Skus'!$A:$AC,3,FALSE)),""))</f>
        <v>Accessory</v>
      </c>
      <c r="C97" s="12" t="str">
        <f>(IF((VLOOKUP(Table6[[#This Row],[SKU]],'All Skus'!$A:$AC,2,FALSE))="JBL",(VLOOKUP(Table6[[#This Row],[SKU]],'All Skus'!$A:$AC,4,FALSE)),""))</f>
        <v>MTC-PC3</v>
      </c>
      <c r="D97" s="61" t="str">
        <f>(IF((VLOOKUP(Table6[[#This Row],[SKU]],'All Skus'!$A:$AC,2,FALSE))="JBL",(VLOOKUP(Table6[[#This Row],[SKU]],'All Skus'!$A:$AC,5,FALSE)),""))</f>
        <v>JBL018</v>
      </c>
      <c r="E97" s="137">
        <f>(IF((VLOOKUP(Table6[[#This Row],[SKU]],'All Skus'!$A:$AC,2,FALSE))="JBL",(VLOOKUP(Table6[[#This Row],[SKU]],'All Skus'!$A:$AC,6,FALSE)),""))</f>
        <v>0</v>
      </c>
      <c r="F97" s="61">
        <f>(IF((VLOOKUP(Table6[[#This Row],[SKU]],'All Skus'!$A:$AC,2,FALSE))="JBL",(VLOOKUP(Table6[[#This Row],[SKU]],'All Skus'!$A:$AC,7,FALSE)),""))</f>
        <v>0</v>
      </c>
      <c r="G97" t="str">
        <f>(IF((VLOOKUP(Table6[[#This Row],[SKU]],'All Skus'!$A:$AC,2,FALSE))="JBL",(VLOOKUP(Table6[[#This Row],[SKU]],'All Skus'!$A:$AC,8,FALSE)),""))</f>
        <v>SEALED PANEL COVER (1=2 pcs)</v>
      </c>
      <c r="H97" s="8" t="str">
        <f>(IF((VLOOKUP(Table6[[#This Row],[SKU]],'All Skus'!$A:$AC,2,FALSE))="JBL",(VLOOKUP(Table6[[#This Row],[SKU]],'All Skus'!$A:$AC,9,FALSE)),""))</f>
        <v>Sealed Panel Cover for Input Terminal Compartment.  Also functions as Strain Relief.  Fits all Surface-Mount Models.  Side-Mounted Gland Nut for low-profile installations. Priced is for a package of two covers.</v>
      </c>
      <c r="I97" s="101">
        <f>(IF((VLOOKUP(Table6[[#This Row],[SKU]],'All Skus'!$A:$AC,2,FALSE))="JBL",(VLOOKUP(Table6[[#This Row],[SKU]],'All Skus'!$A:$AC,10,FALSE)),""))</f>
        <v>39.93</v>
      </c>
      <c r="J97" s="101">
        <f>(IF((VLOOKUP(Table6[[#This Row],[SKU]],'All Skus'!$A:$AC,2,FALSE))="JBL",(VLOOKUP(Table6[[#This Row],[SKU]],'All Skus'!$A:$AC,11,FALSE)),""))</f>
        <v>39.93</v>
      </c>
      <c r="K97" s="102">
        <f>(IF((VLOOKUP(Table6[[#This Row],[SKU]],'All Skus'!$A:$AC,2,FALSE))="JBL",(VLOOKUP(Table6[[#This Row],[SKU]],'All Skus'!$A:$AC,13,FALSE)),""))</f>
        <v>0</v>
      </c>
      <c r="L97" s="102">
        <f>(IF((VLOOKUP(Table6[[#This Row],[SKU]],'All Skus'!$A:$AC,2,FALSE))="JBL",(VLOOKUP(Table6[[#This Row],[SKU]],'All Skus'!$A:$AC,14,FALSE)),""))</f>
        <v>0</v>
      </c>
      <c r="M97" s="143">
        <f>(IF((VLOOKUP(Table6[[#This Row],[SKU]],'All Skus'!$A:$AC,2,FALSE))="JBL",(VLOOKUP(Table6[[#This Row],[SKU]],'All Skus'!$A:$AC,15,FALSE)),""))</f>
        <v>0</v>
      </c>
      <c r="N97" s="137">
        <f>(IF((VLOOKUP(Table6[[#This Row],[SKU]],'All Skus'!$A:$AC,2,FALSE))="JBL",(VLOOKUP(Table6[[#This Row],[SKU]],'All Skus'!$A:$AC,16,FALSE)),""))</f>
        <v>691991005275</v>
      </c>
      <c r="O97" s="61">
        <f>(IF((VLOOKUP(Table6[[#This Row],[SKU]],'All Skus'!$A:$AC,2,FALSE))="JBL",(VLOOKUP(Table6[[#This Row],[SKU]],'All Skus'!$A:$AC,17,FALSE)),""))</f>
        <v>0</v>
      </c>
      <c r="P97" s="136">
        <f>(IF((VLOOKUP(Table6[[#This Row],[SKU]],'All Skus'!$A:$AC,2,FALSE))="JBL",(VLOOKUP(Table6[[#This Row],[SKU]],'All Skus'!$A:$AC,18,FALSE)),""))</f>
        <v>0.5</v>
      </c>
      <c r="Q97" s="136">
        <f>(IF((VLOOKUP(Table6[[#This Row],[SKU]],'All Skus'!$A:$AC,2,FALSE))="JBL",(VLOOKUP(Table6[[#This Row],[SKU]],'All Skus'!$A:$AC,19,FALSE)),""))</f>
        <v>3</v>
      </c>
      <c r="R97" s="136">
        <f>(IF((VLOOKUP(Table6[[#This Row],[SKU]],'All Skus'!$A:$AC,2,FALSE))="JBL",(VLOOKUP(Table6[[#This Row],[SKU]],'All Skus'!$A:$AC,20,FALSE)),""))</f>
        <v>4</v>
      </c>
      <c r="S97" s="61">
        <f>(IF((VLOOKUP(Table6[[#This Row],[SKU]],'All Skus'!$A:$AC,2,FALSE))="JBL",(VLOOKUP(Table6[[#This Row],[SKU]],'All Skus'!$A:$AC,21,FALSE)),""))</f>
        <v>2.5</v>
      </c>
      <c r="T97" s="61" t="str">
        <f>(IF((VLOOKUP(Table6[[#This Row],[SKU]],'All Skus'!$A:$AC,2,FALSE))="JBL",(VLOOKUP(Table6[[#This Row],[SKU]],'All Skus'!$A:$AC,22,FALSE)),""))</f>
        <v>CN</v>
      </c>
      <c r="U97" t="str">
        <f>(IF((VLOOKUP(Table6[[#This Row],[SKU]],'All Skus'!$A:$AC,2,FALSE))="JBL",(VLOOKUP(Table6[[#This Row],[SKU]],'All Skus'!$A:$AC,23,FALSE)),""))</f>
        <v>Non Compliant</v>
      </c>
      <c r="V97" s="284" t="str">
        <f>HYPERLINK((IF((VLOOKUP(Table6[[#This Row],[SKU]],'All Skus'!$A:$AC,2,FALSE))="JBL",(VLOOKUP(Table6[[#This Row],[SKU]],'All Skus'!$A:$AC,24,FALSE)),"")))</f>
        <v/>
      </c>
      <c r="W97" s="151">
        <v>95</v>
      </c>
    </row>
    <row r="98" spans="1:23" ht="15" hidden="1" customHeight="1">
      <c r="A98" s="13" t="s">
        <v>1104</v>
      </c>
      <c r="B98" s="12" t="str">
        <f>(IF((VLOOKUP(Table6[[#This Row],[SKU]],'All Skus'!$A:$AC,2,FALSE))="JBL",(VLOOKUP(Table6[[#This Row],[SKU]],'All Skus'!$A:$AC,3,FALSE)),""))</f>
        <v>Accessory</v>
      </c>
      <c r="C98" s="12" t="str">
        <f>(IF((VLOOKUP(Table6[[#This Row],[SKU]],'All Skus'!$A:$AC,2,FALSE))="JBL",(VLOOKUP(Table6[[#This Row],[SKU]],'All Skus'!$A:$AC,4,FALSE)),""))</f>
        <v>MTC-TCD</v>
      </c>
      <c r="D98" s="61" t="str">
        <f>(IF((VLOOKUP(Table6[[#This Row],[SKU]],'All Skus'!$A:$AC,2,FALSE))="JBL",(VLOOKUP(Table6[[#This Row],[SKU]],'All Skus'!$A:$AC,5,FALSE)),""))</f>
        <v>JBL018</v>
      </c>
      <c r="E98" s="137">
        <f>(IF((VLOOKUP(Table6[[#This Row],[SKU]],'All Skus'!$A:$AC,2,FALSE))="JBL",(VLOOKUP(Table6[[#This Row],[SKU]],'All Skus'!$A:$AC,6,FALSE)),""))</f>
        <v>0</v>
      </c>
      <c r="F98" s="61">
        <f>(IF((VLOOKUP(Table6[[#This Row],[SKU]],'All Skus'!$A:$AC,2,FALSE))="JBL",(VLOOKUP(Table6[[#This Row],[SKU]],'All Skus'!$A:$AC,7,FALSE)),""))</f>
        <v>0</v>
      </c>
      <c r="G98" t="str">
        <f>(IF((VLOOKUP(Table6[[#This Row],[SKU]],'All Skus'!$A:$AC,2,FALSE))="JBL",(VLOOKUP(Table6[[#This Row],[SKU]],'All Skus'!$A:$AC,8,FALSE)),""))</f>
        <v>THICK-CEILING DOGEARS (1=24 pcs)</v>
      </c>
      <c r="H98" s="8" t="str">
        <f>(IF((VLOOKUP(Table6[[#This Row],[SKU]],'All Skus'!$A:$AC,2,FALSE))="JBL",(VLOOKUP(Table6[[#This Row],[SKU]],'All Skus'!$A:$AC,9,FALSE)),""))</f>
        <v>Thick-ceiling dogears for ceilings up to 60 mm (2.5 in) thick.  Fits C24C/CT Micro &amp; MicroPlus, C24C/CT, C26C/CT, C19CS/CST.  1 kit (an order of "1") contains 24 pcs of dogears, priced per kit.</v>
      </c>
      <c r="I98" s="101">
        <f>(IF((VLOOKUP(Table6[[#This Row],[SKU]],'All Skus'!$A:$AC,2,FALSE))="JBL",(VLOOKUP(Table6[[#This Row],[SKU]],'All Skus'!$A:$AC,10,FALSE)),""))</f>
        <v>9.7899999999999991</v>
      </c>
      <c r="J98" s="101">
        <f>(IF((VLOOKUP(Table6[[#This Row],[SKU]],'All Skus'!$A:$AC,2,FALSE))="JBL",(VLOOKUP(Table6[[#This Row],[SKU]],'All Skus'!$A:$AC,11,FALSE)),""))</f>
        <v>9.7899999999999991</v>
      </c>
      <c r="K98" s="102">
        <f>(IF((VLOOKUP(Table6[[#This Row],[SKU]],'All Skus'!$A:$AC,2,FALSE))="JBL",(VLOOKUP(Table6[[#This Row],[SKU]],'All Skus'!$A:$AC,13,FALSE)),""))</f>
        <v>0</v>
      </c>
      <c r="L98" s="102">
        <f>(IF((VLOOKUP(Table6[[#This Row],[SKU]],'All Skus'!$A:$AC,2,FALSE))="JBL",(VLOOKUP(Table6[[#This Row],[SKU]],'All Skus'!$A:$AC,14,FALSE)),""))</f>
        <v>0</v>
      </c>
      <c r="M98" s="143">
        <f>(IF((VLOOKUP(Table6[[#This Row],[SKU]],'All Skus'!$A:$AC,2,FALSE))="JBL",(VLOOKUP(Table6[[#This Row],[SKU]],'All Skus'!$A:$AC,15,FALSE)),""))</f>
        <v>0</v>
      </c>
      <c r="N98" s="137">
        <f>(IF((VLOOKUP(Table6[[#This Row],[SKU]],'All Skus'!$A:$AC,2,FALSE))="JBL",(VLOOKUP(Table6[[#This Row],[SKU]],'All Skus'!$A:$AC,16,FALSE)),""))</f>
        <v>691991300554</v>
      </c>
      <c r="O98" s="61">
        <f>(IF((VLOOKUP(Table6[[#This Row],[SKU]],'All Skus'!$A:$AC,2,FALSE))="JBL",(VLOOKUP(Table6[[#This Row],[SKU]],'All Skus'!$A:$AC,17,FALSE)),""))</f>
        <v>0</v>
      </c>
      <c r="P98" s="136">
        <f>(IF((VLOOKUP(Table6[[#This Row],[SKU]],'All Skus'!$A:$AC,2,FALSE))="JBL",(VLOOKUP(Table6[[#This Row],[SKU]],'All Skus'!$A:$AC,18,FALSE)),""))</f>
        <v>1</v>
      </c>
      <c r="Q98" s="136">
        <f>(IF((VLOOKUP(Table6[[#This Row],[SKU]],'All Skus'!$A:$AC,2,FALSE))="JBL",(VLOOKUP(Table6[[#This Row],[SKU]],'All Skus'!$A:$AC,19,FALSE)),""))</f>
        <v>4</v>
      </c>
      <c r="R98" s="136">
        <f>(IF((VLOOKUP(Table6[[#This Row],[SKU]],'All Skus'!$A:$AC,2,FALSE))="JBL",(VLOOKUP(Table6[[#This Row],[SKU]],'All Skus'!$A:$AC,20,FALSE)),""))</f>
        <v>2</v>
      </c>
      <c r="S98" s="61">
        <f>(IF((VLOOKUP(Table6[[#This Row],[SKU]],'All Skus'!$A:$AC,2,FALSE))="JBL",(VLOOKUP(Table6[[#This Row],[SKU]],'All Skus'!$A:$AC,21,FALSE)),""))</f>
        <v>1</v>
      </c>
      <c r="T98" s="61" t="str">
        <f>(IF((VLOOKUP(Table6[[#This Row],[SKU]],'All Skus'!$A:$AC,2,FALSE))="JBL",(VLOOKUP(Table6[[#This Row],[SKU]],'All Skus'!$A:$AC,22,FALSE)),""))</f>
        <v>CN</v>
      </c>
      <c r="U98" t="str">
        <f>(IF((VLOOKUP(Table6[[#This Row],[SKU]],'All Skus'!$A:$AC,2,FALSE))="JBL",(VLOOKUP(Table6[[#This Row],[SKU]],'All Skus'!$A:$AC,23,FALSE)),""))</f>
        <v>Non Compliant</v>
      </c>
      <c r="V98" s="284" t="str">
        <f>HYPERLINK((IF((VLOOKUP(Table6[[#This Row],[SKU]],'All Skus'!$A:$AC,2,FALSE))="JBL",(VLOOKUP(Table6[[#This Row],[SKU]],'All Skus'!$A:$AC,24,FALSE)),"")))</f>
        <v xml:space="preserve">http://www.jblpro.com/ProductAttachments/MTC-TCD%20Instructions%20Rev%20C.pdf </v>
      </c>
      <c r="W98" s="151">
        <v>96</v>
      </c>
    </row>
    <row r="99" spans="1:23" ht="15" hidden="1" customHeight="1">
      <c r="A99" s="104" t="s">
        <v>1105</v>
      </c>
      <c r="B99" s="12">
        <f>(IF((VLOOKUP(Table6[[#This Row],[SKU]],'All Skus'!$A:$AC,2,FALSE))="JBL",(VLOOKUP(Table6[[#This Row],[SKU]],'All Skus'!$A:$AC,3,FALSE)),""))</f>
        <v>0</v>
      </c>
      <c r="C99" s="12">
        <f>(IF((VLOOKUP(Table6[[#This Row],[SKU]],'All Skus'!$A:$AC,2,FALSE))="JBL",(VLOOKUP(Table6[[#This Row],[SKU]],'All Skus'!$A:$AC,4,FALSE)),""))</f>
        <v>0</v>
      </c>
      <c r="D99" s="61">
        <f>(IF((VLOOKUP(Table6[[#This Row],[SKU]],'All Skus'!$A:$AC,2,FALSE))="JBL",(VLOOKUP(Table6[[#This Row],[SKU]],'All Skus'!$A:$AC,5,FALSE)),""))</f>
        <v>0</v>
      </c>
      <c r="E99" s="137">
        <f>(IF((VLOOKUP(Table6[[#This Row],[SKU]],'All Skus'!$A:$AC,2,FALSE))="JBL",(VLOOKUP(Table6[[#This Row],[SKU]],'All Skus'!$A:$AC,6,FALSE)),""))</f>
        <v>0</v>
      </c>
      <c r="F99" s="61">
        <f>(IF((VLOOKUP(Table6[[#This Row],[SKU]],'All Skus'!$A:$AC,2,FALSE))="JBL",(VLOOKUP(Table6[[#This Row],[SKU]],'All Skus'!$A:$AC,7,FALSE)),""))</f>
        <v>0</v>
      </c>
      <c r="G99">
        <f>(IF((VLOOKUP(Table6[[#This Row],[SKU]],'All Skus'!$A:$AC,2,FALSE))="JBL",(VLOOKUP(Table6[[#This Row],[SKU]],'All Skus'!$A:$AC,8,FALSE)),""))</f>
        <v>0</v>
      </c>
      <c r="H99" s="8">
        <f>(IF((VLOOKUP(Table6[[#This Row],[SKU]],'All Skus'!$A:$AC,2,FALSE))="JBL",(VLOOKUP(Table6[[#This Row],[SKU]],'All Skus'!$A:$AC,9,FALSE)),""))</f>
        <v>0</v>
      </c>
      <c r="I99" s="101">
        <f>(IF((VLOOKUP(Table6[[#This Row],[SKU]],'All Skus'!$A:$AC,2,FALSE))="JBL",(VLOOKUP(Table6[[#This Row],[SKU]],'All Skus'!$A:$AC,10,FALSE)),""))</f>
        <v>0</v>
      </c>
      <c r="J99" s="101">
        <f>(IF((VLOOKUP(Table6[[#This Row],[SKU]],'All Skus'!$A:$AC,2,FALSE))="JBL",(VLOOKUP(Table6[[#This Row],[SKU]],'All Skus'!$A:$AC,11,FALSE)),""))</f>
        <v>0</v>
      </c>
      <c r="K99" s="102">
        <f>(IF((VLOOKUP(Table6[[#This Row],[SKU]],'All Skus'!$A:$AC,2,FALSE))="JBL",(VLOOKUP(Table6[[#This Row],[SKU]],'All Skus'!$A:$AC,13,FALSE)),""))</f>
        <v>0</v>
      </c>
      <c r="L99" s="102">
        <f>(IF((VLOOKUP(Table6[[#This Row],[SKU]],'All Skus'!$A:$AC,2,FALSE))="JBL",(VLOOKUP(Table6[[#This Row],[SKU]],'All Skus'!$A:$AC,14,FALSE)),""))</f>
        <v>0</v>
      </c>
      <c r="M99" s="143">
        <f>(IF((VLOOKUP(Table6[[#This Row],[SKU]],'All Skus'!$A:$AC,2,FALSE))="JBL",(VLOOKUP(Table6[[#This Row],[SKU]],'All Skus'!$A:$AC,15,FALSE)),""))</f>
        <v>0</v>
      </c>
      <c r="N99" s="137">
        <f>(IF((VLOOKUP(Table6[[#This Row],[SKU]],'All Skus'!$A:$AC,2,FALSE))="JBL",(VLOOKUP(Table6[[#This Row],[SKU]],'All Skus'!$A:$AC,16,FALSE)),""))</f>
        <v>0</v>
      </c>
      <c r="O99" s="61">
        <f>(IF((VLOOKUP(Table6[[#This Row],[SKU]],'All Skus'!$A:$AC,2,FALSE))="JBL",(VLOOKUP(Table6[[#This Row],[SKU]],'All Skus'!$A:$AC,17,FALSE)),""))</f>
        <v>0</v>
      </c>
      <c r="P99" s="136">
        <f>(IF((VLOOKUP(Table6[[#This Row],[SKU]],'All Skus'!$A:$AC,2,FALSE))="JBL",(VLOOKUP(Table6[[#This Row],[SKU]],'All Skus'!$A:$AC,18,FALSE)),""))</f>
        <v>0</v>
      </c>
      <c r="Q99" s="136">
        <f>(IF((VLOOKUP(Table6[[#This Row],[SKU]],'All Skus'!$A:$AC,2,FALSE))="JBL",(VLOOKUP(Table6[[#This Row],[SKU]],'All Skus'!$A:$AC,19,FALSE)),""))</f>
        <v>0</v>
      </c>
      <c r="R99" s="136">
        <f>(IF((VLOOKUP(Table6[[#This Row],[SKU]],'All Skus'!$A:$AC,2,FALSE))="JBL",(VLOOKUP(Table6[[#This Row],[SKU]],'All Skus'!$A:$AC,20,FALSE)),""))</f>
        <v>0</v>
      </c>
      <c r="S99" s="61">
        <f>(IF((VLOOKUP(Table6[[#This Row],[SKU]],'All Skus'!$A:$AC,2,FALSE))="JBL",(VLOOKUP(Table6[[#This Row],[SKU]],'All Skus'!$A:$AC,21,FALSE)),""))</f>
        <v>0</v>
      </c>
      <c r="T99" s="61" t="str">
        <f>(IF((VLOOKUP(Table6[[#This Row],[SKU]],'All Skus'!$A:$AC,2,FALSE))="JBL",(VLOOKUP(Table6[[#This Row],[SKU]],'All Skus'!$A:$AC,22,FALSE)),""))</f>
        <v>CN</v>
      </c>
      <c r="U99" t="str">
        <f>(IF((VLOOKUP(Table6[[#This Row],[SKU]],'All Skus'!$A:$AC,2,FALSE))="JBL",(VLOOKUP(Table6[[#This Row],[SKU]],'All Skus'!$A:$AC,23,FALSE)),""))</f>
        <v>Non Compliant</v>
      </c>
      <c r="V99" s="284" t="str">
        <f>HYPERLINK((IF((VLOOKUP(Table6[[#This Row],[SKU]],'All Skus'!$A:$AC,2,FALSE))="JBL",(VLOOKUP(Table6[[#This Row],[SKU]],'All Skus'!$A:$AC,24,FALSE)),"")))</f>
        <v/>
      </c>
      <c r="W99" s="151">
        <v>97</v>
      </c>
    </row>
    <row r="100" spans="1:23" ht="15" hidden="1" customHeight="1">
      <c r="A100" s="13" t="s">
        <v>1106</v>
      </c>
      <c r="B100" s="12" t="str">
        <f>(IF((VLOOKUP(Table6[[#This Row],[SKU]],'All Skus'!$A:$AC,2,FALSE))="JBL",(VLOOKUP(Table6[[#This Row],[SKU]],'All Skus'!$A:$AC,3,FALSE)),""))</f>
        <v>Ceiling Speaker</v>
      </c>
      <c r="C100" s="12" t="str">
        <f>(IF((VLOOKUP(Table6[[#This Row],[SKU]],'All Skus'!$A:$AC,2,FALSE))="JBL",(VLOOKUP(Table6[[#This Row],[SKU]],'All Skus'!$A:$AC,4,FALSE)),""))</f>
        <v>CONTROL 40CS/T</v>
      </c>
      <c r="D100" s="61" t="str">
        <f>(IF((VLOOKUP(Table6[[#This Row],[SKU]],'All Skus'!$A:$AC,2,FALSE))="JBL",(VLOOKUP(Table6[[#This Row],[SKU]],'All Skus'!$A:$AC,5,FALSE)),""))</f>
        <v>JBL018</v>
      </c>
      <c r="E100" s="137">
        <f>(IF((VLOOKUP(Table6[[#This Row],[SKU]],'All Skus'!$A:$AC,2,FALSE))="JBL",(VLOOKUP(Table6[[#This Row],[SKU]],'All Skus'!$A:$AC,6,FALSE)),""))</f>
        <v>0</v>
      </c>
      <c r="F100" s="61">
        <f>(IF((VLOOKUP(Table6[[#This Row],[SKU]],'All Skus'!$A:$AC,2,FALSE))="JBL",(VLOOKUP(Table6[[#This Row],[SKU]],'All Skus'!$A:$AC,7,FALSE)),""))</f>
        <v>0</v>
      </c>
      <c r="G100" t="str">
        <f>(IF((VLOOKUP(Table6[[#This Row],[SKU]],'All Skus'!$A:$AC,2,FALSE))="JBL",(VLOOKUP(Table6[[#This Row],[SKU]],'All Skus'!$A:$AC,8,FALSE)),""))</f>
        <v>PREMIUM IN-CEILING SUBWOOFER</v>
      </c>
      <c r="H100" s="8" t="str">
        <f>(IF((VLOOKUP(Table6[[#This Row],[SKU]],'All Skus'!$A:$AC,2,FALSE))="JBL",(VLOOKUP(Table6[[#This Row],[SKU]],'All Skus'!$A:$AC,9,FALSE)),""))</f>
        <v>Direct-Radiating In-Ceiling Subwoofer with 8" driver, built-in crossover network with outputs for 2 or 4 pcs of Control 42C satellite speakers, 30 Hz - 300 Hz, 200W program, 100W pink noise, 70V/100V taps at 80W, 40W, 20W (and 10W @ 70V), plus 8 ohm direct,  (priced as each, sold in pairs)</v>
      </c>
      <c r="I100" s="101">
        <f>(IF((VLOOKUP(Table6[[#This Row],[SKU]],'All Skus'!$A:$AC,2,FALSE))="JBL",(VLOOKUP(Table6[[#This Row],[SKU]],'All Skus'!$A:$AC,10,FALSE)),""))</f>
        <v>480.02</v>
      </c>
      <c r="J100" s="101">
        <f>(IF((VLOOKUP(Table6[[#This Row],[SKU]],'All Skus'!$A:$AC,2,FALSE))="JBL",(VLOOKUP(Table6[[#This Row],[SKU]],'All Skus'!$A:$AC,11,FALSE)),""))</f>
        <v>387</v>
      </c>
      <c r="K100" s="102">
        <f>(IF((VLOOKUP(Table6[[#This Row],[SKU]],'All Skus'!$A:$AC,2,FALSE))="JBL",(VLOOKUP(Table6[[#This Row],[SKU]],'All Skus'!$A:$AC,13,FALSE)),""))</f>
        <v>265.64194500000002</v>
      </c>
      <c r="L100" s="102">
        <f>(IF((VLOOKUP(Table6[[#This Row],[SKU]],'All Skus'!$A:$AC,2,FALSE))="JBL",(VLOOKUP(Table6[[#This Row],[SKU]],'All Skus'!$A:$AC,14,FALSE)),""))</f>
        <v>251.66079000000002</v>
      </c>
      <c r="M100" s="143">
        <f>(IF((VLOOKUP(Table6[[#This Row],[SKU]],'All Skus'!$A:$AC,2,FALSE))="JBL",(VLOOKUP(Table6[[#This Row],[SKU]],'All Skus'!$A:$AC,15,FALSE)),""))</f>
        <v>2</v>
      </c>
      <c r="N100" s="137">
        <f>(IF((VLOOKUP(Table6[[#This Row],[SKU]],'All Skus'!$A:$AC,2,FALSE))="JBL",(VLOOKUP(Table6[[#This Row],[SKU]],'All Skus'!$A:$AC,16,FALSE)),""))</f>
        <v>50036904971</v>
      </c>
      <c r="O100" s="61">
        <f>(IF((VLOOKUP(Table6[[#This Row],[SKU]],'All Skus'!$A:$AC,2,FALSE))="JBL",(VLOOKUP(Table6[[#This Row],[SKU]],'All Skus'!$A:$AC,17,FALSE)),""))</f>
        <v>0</v>
      </c>
      <c r="P100" s="136">
        <f>(IF((VLOOKUP(Table6[[#This Row],[SKU]],'All Skus'!$A:$AC,2,FALSE))="JBL",(VLOOKUP(Table6[[#This Row],[SKU]],'All Skus'!$A:$AC,18,FALSE)),""))</f>
        <v>26.5</v>
      </c>
      <c r="Q100" s="136">
        <f>(IF((VLOOKUP(Table6[[#This Row],[SKU]],'All Skus'!$A:$AC,2,FALSE))="JBL",(VLOOKUP(Table6[[#This Row],[SKU]],'All Skus'!$A:$AC,19,FALSE)),""))</f>
        <v>16</v>
      </c>
      <c r="R100" s="136">
        <f>(IF((VLOOKUP(Table6[[#This Row],[SKU]],'All Skus'!$A:$AC,2,FALSE))="JBL",(VLOOKUP(Table6[[#This Row],[SKU]],'All Skus'!$A:$AC,20,FALSE)),""))</f>
        <v>16.75</v>
      </c>
      <c r="S100" s="61">
        <f>(IF((VLOOKUP(Table6[[#This Row],[SKU]],'All Skus'!$A:$AC,2,FALSE))="JBL",(VLOOKUP(Table6[[#This Row],[SKU]],'All Skus'!$A:$AC,21,FALSE)),""))</f>
        <v>18</v>
      </c>
      <c r="T100" s="61" t="str">
        <f>(IF((VLOOKUP(Table6[[#This Row],[SKU]],'All Skus'!$A:$AC,2,FALSE))="JBL",(VLOOKUP(Table6[[#This Row],[SKU]],'All Skus'!$A:$AC,22,FALSE)),""))</f>
        <v>CN</v>
      </c>
      <c r="U100" t="str">
        <f>(IF((VLOOKUP(Table6[[#This Row],[SKU]],'All Skus'!$A:$AC,2,FALSE))="JBL",(VLOOKUP(Table6[[#This Row],[SKU]],'All Skus'!$A:$AC,23,FALSE)),""))</f>
        <v>Non Compliant</v>
      </c>
      <c r="V100" s="284" t="str">
        <f>HYPERLINK((IF((VLOOKUP(Table6[[#This Row],[SKU]],'All Skus'!$A:$AC,2,FALSE))="JBL",(VLOOKUP(Table6[[#This Row],[SKU]],'All Skus'!$A:$AC,24,FALSE)),"")))</f>
        <v xml:space="preserve">http://www.jblpro.com/www/products/installed-sound/control-40-series/control-40cs-t </v>
      </c>
      <c r="W100" s="151">
        <v>98</v>
      </c>
    </row>
    <row r="101" spans="1:23" ht="15" hidden="1" customHeight="1">
      <c r="A101" s="13" t="s">
        <v>1107</v>
      </c>
      <c r="B101" s="12" t="str">
        <f>(IF((VLOOKUP(Table6[[#This Row],[SKU]],'All Skus'!$A:$AC,2,FALSE))="JBL",(VLOOKUP(Table6[[#This Row],[SKU]],'All Skus'!$A:$AC,3,FALSE)),""))</f>
        <v>Ceiling Speaker</v>
      </c>
      <c r="C101" s="12" t="str">
        <f>(IF((VLOOKUP(Table6[[#This Row],[SKU]],'All Skus'!$A:$AC,2,FALSE))="JBL",(VLOOKUP(Table6[[#This Row],[SKU]],'All Skus'!$A:$AC,4,FALSE)),""))</f>
        <v>CONTROL 42C</v>
      </c>
      <c r="D101" s="61" t="str">
        <f>(IF((VLOOKUP(Table6[[#This Row],[SKU]],'All Skus'!$A:$AC,2,FALSE))="JBL",(VLOOKUP(Table6[[#This Row],[SKU]],'All Skus'!$A:$AC,5,FALSE)),""))</f>
        <v>JBL018</v>
      </c>
      <c r="E101" s="137">
        <f>(IF((VLOOKUP(Table6[[#This Row],[SKU]],'All Skus'!$A:$AC,2,FALSE))="JBL",(VLOOKUP(Table6[[#This Row],[SKU]],'All Skus'!$A:$AC,6,FALSE)),""))</f>
        <v>0</v>
      </c>
      <c r="F101" s="61">
        <f>(IF((VLOOKUP(Table6[[#This Row],[SKU]],'All Skus'!$A:$AC,2,FALSE))="JBL",(VLOOKUP(Table6[[#This Row],[SKU]],'All Skus'!$A:$AC,7,FALSE)),""))</f>
        <v>0</v>
      </c>
      <c r="G101" t="str">
        <f>(IF((VLOOKUP(Table6[[#This Row],[SKU]],'All Skus'!$A:$AC,2,FALSE))="JBL",(VLOOKUP(Table6[[#This Row],[SKU]],'All Skus'!$A:$AC,8,FALSE)),""))</f>
        <v>PREMIUM IN-CEILING SATELLITE</v>
      </c>
      <c r="H101" s="8" t="str">
        <f>(IF((VLOOKUP(Table6[[#This Row],[SKU]],'All Skus'!$A:$AC,2,FALSE))="JBL",(VLOOKUP(Table6[[#This Row],[SKU]],'All Skus'!$A:$AC,9,FALSE)),""))</f>
        <v>Ultra-Compact Satellite Speaker for use with Control 40CS/T of 50S/T subwoofer, 140 Hz - 20 kHz, 82 dB sens, 30W program and 15W pink noise, 16 ohm only, 160 degree coverage, Requires external high-pass (from subwoofer crossover or electronic crossover), C-ring included, tile rails optional (priced as each, sold in pairs).</v>
      </c>
      <c r="I101" s="101">
        <f>(IF((VLOOKUP(Table6[[#This Row],[SKU]],'All Skus'!$A:$AC,2,FALSE))="JBL",(VLOOKUP(Table6[[#This Row],[SKU]],'All Skus'!$A:$AC,10,FALSE)),""))</f>
        <v>103.78</v>
      </c>
      <c r="J101" s="101">
        <f>(IF((VLOOKUP(Table6[[#This Row],[SKU]],'All Skus'!$A:$AC,2,FALSE))="JBL",(VLOOKUP(Table6[[#This Row],[SKU]],'All Skus'!$A:$AC,11,FALSE)),""))</f>
        <v>82</v>
      </c>
      <c r="K101" s="102">
        <f>(IF((VLOOKUP(Table6[[#This Row],[SKU]],'All Skus'!$A:$AC,2,FALSE))="JBL",(VLOOKUP(Table6[[#This Row],[SKU]],'All Skus'!$A:$AC,13,FALSE)),""))</f>
        <v>57.432250000000003</v>
      </c>
      <c r="L101" s="102">
        <f>(IF((VLOOKUP(Table6[[#This Row],[SKU]],'All Skus'!$A:$AC,2,FALSE))="JBL",(VLOOKUP(Table6[[#This Row],[SKU]],'All Skus'!$A:$AC,14,FALSE)),""))</f>
        <v>54.409500000000008</v>
      </c>
      <c r="M101" s="143">
        <f>(IF((VLOOKUP(Table6[[#This Row],[SKU]],'All Skus'!$A:$AC,2,FALSE))="JBL",(VLOOKUP(Table6[[#This Row],[SKU]],'All Skus'!$A:$AC,15,FALSE)),""))</f>
        <v>2</v>
      </c>
      <c r="N101" s="137">
        <f>(IF((VLOOKUP(Table6[[#This Row],[SKU]],'All Skus'!$A:$AC,2,FALSE))="JBL",(VLOOKUP(Table6[[#This Row],[SKU]],'All Skus'!$A:$AC,16,FALSE)),""))</f>
        <v>50036904964</v>
      </c>
      <c r="O101" s="61">
        <f>(IF((VLOOKUP(Table6[[#This Row],[SKU]],'All Skus'!$A:$AC,2,FALSE))="JBL",(VLOOKUP(Table6[[#This Row],[SKU]],'All Skus'!$A:$AC,17,FALSE)),""))</f>
        <v>0</v>
      </c>
      <c r="P101" s="136">
        <f>(IF((VLOOKUP(Table6[[#This Row],[SKU]],'All Skus'!$A:$AC,2,FALSE))="JBL",(VLOOKUP(Table6[[#This Row],[SKU]],'All Skus'!$A:$AC,18,FALSE)),""))</f>
        <v>3.5</v>
      </c>
      <c r="Q101" s="136">
        <f>(IF((VLOOKUP(Table6[[#This Row],[SKU]],'All Skus'!$A:$AC,2,FALSE))="JBL",(VLOOKUP(Table6[[#This Row],[SKU]],'All Skus'!$A:$AC,19,FALSE)),""))</f>
        <v>7</v>
      </c>
      <c r="R101" s="136">
        <f>(IF((VLOOKUP(Table6[[#This Row],[SKU]],'All Skus'!$A:$AC,2,FALSE))="JBL",(VLOOKUP(Table6[[#This Row],[SKU]],'All Skus'!$A:$AC,20,FALSE)),""))</f>
        <v>8</v>
      </c>
      <c r="S101" s="61">
        <f>(IF((VLOOKUP(Table6[[#This Row],[SKU]],'All Skus'!$A:$AC,2,FALSE))="JBL",(VLOOKUP(Table6[[#This Row],[SKU]],'All Skus'!$A:$AC,21,FALSE)),""))</f>
        <v>7</v>
      </c>
      <c r="T101" s="61" t="str">
        <f>(IF((VLOOKUP(Table6[[#This Row],[SKU]],'All Skus'!$A:$AC,2,FALSE))="JBL",(VLOOKUP(Table6[[#This Row],[SKU]],'All Skus'!$A:$AC,22,FALSE)),""))</f>
        <v>CN</v>
      </c>
      <c r="U101" t="str">
        <f>(IF((VLOOKUP(Table6[[#This Row],[SKU]],'All Skus'!$A:$AC,2,FALSE))="JBL",(VLOOKUP(Table6[[#This Row],[SKU]],'All Skus'!$A:$AC,23,FALSE)),""))</f>
        <v>Non Compliant</v>
      </c>
      <c r="V101" s="284" t="str">
        <f>HYPERLINK((IF((VLOOKUP(Table6[[#This Row],[SKU]],'All Skus'!$A:$AC,2,FALSE))="JBL",(VLOOKUP(Table6[[#This Row],[SKU]],'All Skus'!$A:$AC,24,FALSE)),"")))</f>
        <v xml:space="preserve">http://www.jblpro.com/www/products/installed-sound/control-40-series/control-42c </v>
      </c>
      <c r="W101" s="151">
        <v>99</v>
      </c>
    </row>
    <row r="102" spans="1:23" ht="15" hidden="1" customHeight="1">
      <c r="A102" s="13" t="s">
        <v>1108</v>
      </c>
      <c r="B102" s="12" t="str">
        <f>(IF((VLOOKUP(Table6[[#This Row],[SKU]],'All Skus'!$A:$AC,2,FALSE))="JBL",(VLOOKUP(Table6[[#This Row],[SKU]],'All Skus'!$A:$AC,3,FALSE)),""))</f>
        <v>Ceiling Speaker</v>
      </c>
      <c r="C102" s="12" t="str">
        <f>(IF((VLOOKUP(Table6[[#This Row],[SKU]],'All Skus'!$A:$AC,2,FALSE))="JBL",(VLOOKUP(Table6[[#This Row],[SKU]],'All Skus'!$A:$AC,4,FALSE)),""))</f>
        <v>CONTROL 45C/T</v>
      </c>
      <c r="D102" s="61" t="str">
        <f>(IF((VLOOKUP(Table6[[#This Row],[SKU]],'All Skus'!$A:$AC,2,FALSE))="JBL",(VLOOKUP(Table6[[#This Row],[SKU]],'All Skus'!$A:$AC,5,FALSE)),""))</f>
        <v>JBL018</v>
      </c>
      <c r="E102" s="137">
        <f>(IF((VLOOKUP(Table6[[#This Row],[SKU]],'All Skus'!$A:$AC,2,FALSE))="JBL",(VLOOKUP(Table6[[#This Row],[SKU]],'All Skus'!$A:$AC,6,FALSE)),""))</f>
        <v>0</v>
      </c>
      <c r="F102" s="61">
        <f>(IF((VLOOKUP(Table6[[#This Row],[SKU]],'All Skus'!$A:$AC,2,FALSE))="JBL",(VLOOKUP(Table6[[#This Row],[SKU]],'All Skus'!$A:$AC,7,FALSE)),""))</f>
        <v>0</v>
      </c>
      <c r="G102" t="str">
        <f>(IF((VLOOKUP(Table6[[#This Row],[SKU]],'All Skus'!$A:$AC,2,FALSE))="JBL",(VLOOKUP(Table6[[#This Row],[SKU]],'All Skus'!$A:$AC,8,FALSE)),""))</f>
        <v>Two-Way 5.25" Coaxial Ceiling Loudspeaker</v>
      </c>
      <c r="H102" s="8" t="str">
        <f>(IF((VLOOKUP(Table6[[#This Row],[SKU]],'All Skus'!$A:$AC,2,FALSE))="JBL",(VLOOKUP(Table6[[#This Row],[SKU]],'All Skus'!$A:$AC,9,FALSE)),""))</f>
        <v xml:space="preserve">Extremely consistent 120° broadband pattern control featuring JBL's exclusive conical Radiation Boundary Integrator® (RBI™) technology. Very consistent, full-range coverage of listening area while providing a small ceiling footprint. Wide, consistent coverage requires fewer speakers, reducing the cost of the installed system without sacrificing performance. Coaxial design featuring: 130 mm (5.25 in) polypropylene-coated paper cone with butyl rubber surround. 20 mm (.75 in) soft-dome tweeter on 210 mm (8.25 in) diameter wave guide. Bass extension down to 55 Hz. 8 ohm and 70V/100V operation. Integrated backcan for easy blind-mount" install. Packaged with grille and tile rails for easy installation. Priced as each, packed and sold in pairs)”  Priced as each, packed and sold in pairs)” </v>
      </c>
      <c r="I102" s="101">
        <f>(IF((VLOOKUP(Table6[[#This Row],[SKU]],'All Skus'!$A:$AC,2,FALSE))="JBL",(VLOOKUP(Table6[[#This Row],[SKU]],'All Skus'!$A:$AC,10,FALSE)),""))</f>
        <v>296.52999999999997</v>
      </c>
      <c r="J102" s="101">
        <f>(IF((VLOOKUP(Table6[[#This Row],[SKU]],'All Skus'!$A:$AC,2,FALSE))="JBL",(VLOOKUP(Table6[[#This Row],[SKU]],'All Skus'!$A:$AC,11,FALSE)),""))</f>
        <v>236</v>
      </c>
      <c r="K102" s="102">
        <f>(IF((VLOOKUP(Table6[[#This Row],[SKU]],'All Skus'!$A:$AC,2,FALSE))="JBL",(VLOOKUP(Table6[[#This Row],[SKU]],'All Skus'!$A:$AC,13,FALSE)),""))</f>
        <v>164.10375999999999</v>
      </c>
      <c r="L102" s="102">
        <f>(IF((VLOOKUP(Table6[[#This Row],[SKU]],'All Skus'!$A:$AC,2,FALSE))="JBL",(VLOOKUP(Table6[[#This Row],[SKU]],'All Skus'!$A:$AC,14,FALSE)),""))</f>
        <v>155.46672000000001</v>
      </c>
      <c r="M102" s="143">
        <f>(IF((VLOOKUP(Table6[[#This Row],[SKU]],'All Skus'!$A:$AC,2,FALSE))="JBL",(VLOOKUP(Table6[[#This Row],[SKU]],'All Skus'!$A:$AC,15,FALSE)),""))</f>
        <v>2</v>
      </c>
      <c r="N102" s="137">
        <f>(IF((VLOOKUP(Table6[[#This Row],[SKU]],'All Skus'!$A:$AC,2,FALSE))="JBL",(VLOOKUP(Table6[[#This Row],[SKU]],'All Skus'!$A:$AC,16,FALSE)),""))</f>
        <v>50036905305</v>
      </c>
      <c r="O102" s="61">
        <f>(IF((VLOOKUP(Table6[[#This Row],[SKU]],'All Skus'!$A:$AC,2,FALSE))="JBL",(VLOOKUP(Table6[[#This Row],[SKU]],'All Skus'!$A:$AC,17,FALSE)),""))</f>
        <v>0</v>
      </c>
      <c r="P102" s="136">
        <f>(IF((VLOOKUP(Table6[[#This Row],[SKU]],'All Skus'!$A:$AC,2,FALSE))="JBL",(VLOOKUP(Table6[[#This Row],[SKU]],'All Skus'!$A:$AC,18,FALSE)),""))</f>
        <v>15.5</v>
      </c>
      <c r="Q102" s="136">
        <f>(IF((VLOOKUP(Table6[[#This Row],[SKU]],'All Skus'!$A:$AC,2,FALSE))="JBL",(VLOOKUP(Table6[[#This Row],[SKU]],'All Skus'!$A:$AC,19,FALSE)),""))</f>
        <v>7</v>
      </c>
      <c r="R102" s="136">
        <f>(IF((VLOOKUP(Table6[[#This Row],[SKU]],'All Skus'!$A:$AC,2,FALSE))="JBL",(VLOOKUP(Table6[[#This Row],[SKU]],'All Skus'!$A:$AC,20,FALSE)),""))</f>
        <v>13.5</v>
      </c>
      <c r="S102" s="61">
        <f>(IF((VLOOKUP(Table6[[#This Row],[SKU]],'All Skus'!$A:$AC,2,FALSE))="JBL",(VLOOKUP(Table6[[#This Row],[SKU]],'All Skus'!$A:$AC,21,FALSE)),""))</f>
        <v>7</v>
      </c>
      <c r="T102" s="61" t="str">
        <f>(IF((VLOOKUP(Table6[[#This Row],[SKU]],'All Skus'!$A:$AC,2,FALSE))="JBL",(VLOOKUP(Table6[[#This Row],[SKU]],'All Skus'!$A:$AC,22,FALSE)),""))</f>
        <v>CN</v>
      </c>
      <c r="U102" t="str">
        <f>(IF((VLOOKUP(Table6[[#This Row],[SKU]],'All Skus'!$A:$AC,2,FALSE))="JBL",(VLOOKUP(Table6[[#This Row],[SKU]],'All Skus'!$A:$AC,23,FALSE)),""))</f>
        <v>Non Compliant</v>
      </c>
      <c r="V102" s="284" t="str">
        <f>HYPERLINK((IF((VLOOKUP(Table6[[#This Row],[SKU]],'All Skus'!$A:$AC,2,FALSE))="JBL",(VLOOKUP(Table6[[#This Row],[SKU]],'All Skus'!$A:$AC,24,FALSE)),"")))</f>
        <v xml:space="preserve">http://www.jblpro.com/www/products/installed-sound/control-40-series/control-45c-t </v>
      </c>
      <c r="W102" s="151">
        <v>100</v>
      </c>
    </row>
    <row r="103" spans="1:23" ht="15" hidden="1" customHeight="1">
      <c r="A103" s="13" t="s">
        <v>1109</v>
      </c>
      <c r="B103" s="12" t="str">
        <f>(IF((VLOOKUP(Table6[[#This Row],[SKU]],'All Skus'!$A:$AC,2,FALSE))="JBL",(VLOOKUP(Table6[[#This Row],[SKU]],'All Skus'!$A:$AC,3,FALSE)),""))</f>
        <v>Ceiling Speaker</v>
      </c>
      <c r="C103" s="12" t="str">
        <f>(IF((VLOOKUP(Table6[[#This Row],[SKU]],'All Skus'!$A:$AC,2,FALSE))="JBL",(VLOOKUP(Table6[[#This Row],[SKU]],'All Skus'!$A:$AC,4,FALSE)),""))</f>
        <v>CONTROL 47C/T</v>
      </c>
      <c r="D103" s="61" t="str">
        <f>(IF((VLOOKUP(Table6[[#This Row],[SKU]],'All Skus'!$A:$AC,2,FALSE))="JBL",(VLOOKUP(Table6[[#This Row],[SKU]],'All Skus'!$A:$AC,5,FALSE)),""))</f>
        <v>JBL018</v>
      </c>
      <c r="E103" s="137">
        <f>(IF((VLOOKUP(Table6[[#This Row],[SKU]],'All Skus'!$A:$AC,2,FALSE))="JBL",(VLOOKUP(Table6[[#This Row],[SKU]],'All Skus'!$A:$AC,6,FALSE)),""))</f>
        <v>0</v>
      </c>
      <c r="F103" s="61">
        <f>(IF((VLOOKUP(Table6[[#This Row],[SKU]],'All Skus'!$A:$AC,2,FALSE))="JBL",(VLOOKUP(Table6[[#This Row],[SKU]],'All Skus'!$A:$AC,7,FALSE)),""))</f>
        <v>0</v>
      </c>
      <c r="G103" t="str">
        <f>(IF((VLOOKUP(Table6[[#This Row],[SKU]],'All Skus'!$A:$AC,2,FALSE))="JBL",(VLOOKUP(Table6[[#This Row],[SKU]],'All Skus'!$A:$AC,8,FALSE)),""))</f>
        <v>PREMIUM IN-CEILING COAX w/6.5"</v>
      </c>
      <c r="H103" s="8" t="str">
        <f>(IF((VLOOKUP(Table6[[#This Row],[SKU]],'All Skus'!$A:$AC,2,FALSE))="JBL",(VLOOKUP(Table6[[#This Row],[SKU]],'All Skus'!$A:$AC,9,FALSE)),""))</f>
        <v>Wide-coverage, extended bass ceiling spkr feature RBI. 6.5" two-way, 120 deg consistent coverage, 55 Hz - 20 kHz, 91 dB sens, taps at 60W, 30W, 15W (and 7.5W @ 70V) plus 8 ohm direct. (priced as each, sold in pairs.)</v>
      </c>
      <c r="I103" s="101">
        <f>(IF((VLOOKUP(Table6[[#This Row],[SKU]],'All Skus'!$A:$AC,2,FALSE))="JBL",(VLOOKUP(Table6[[#This Row],[SKU]],'All Skus'!$A:$AC,10,FALSE)),""))</f>
        <v>343.79</v>
      </c>
      <c r="J103" s="101">
        <f>(IF((VLOOKUP(Table6[[#This Row],[SKU]],'All Skus'!$A:$AC,2,FALSE))="JBL",(VLOOKUP(Table6[[#This Row],[SKU]],'All Skus'!$A:$AC,11,FALSE)),""))</f>
        <v>273</v>
      </c>
      <c r="K103" s="102">
        <f>(IF((VLOOKUP(Table6[[#This Row],[SKU]],'All Skus'!$A:$AC,2,FALSE))="JBL",(VLOOKUP(Table6[[#This Row],[SKU]],'All Skus'!$A:$AC,13,FALSE)),""))</f>
        <v>190.25830499999998</v>
      </c>
      <c r="L103" s="102">
        <f>(IF((VLOOKUP(Table6[[#This Row],[SKU]],'All Skus'!$A:$AC,2,FALSE))="JBL",(VLOOKUP(Table6[[#This Row],[SKU]],'All Skus'!$A:$AC,14,FALSE)),""))</f>
        <v>180.24471</v>
      </c>
      <c r="M103" s="143">
        <f>(IF((VLOOKUP(Table6[[#This Row],[SKU]],'All Skus'!$A:$AC,2,FALSE))="JBL",(VLOOKUP(Table6[[#This Row],[SKU]],'All Skus'!$A:$AC,15,FALSE)),""))</f>
        <v>2</v>
      </c>
      <c r="N103" s="137">
        <f>(IF((VLOOKUP(Table6[[#This Row],[SKU]],'All Skus'!$A:$AC,2,FALSE))="JBL",(VLOOKUP(Table6[[#This Row],[SKU]],'All Skus'!$A:$AC,16,FALSE)),""))</f>
        <v>50036904957</v>
      </c>
      <c r="O103" s="61">
        <f>(IF((VLOOKUP(Table6[[#This Row],[SKU]],'All Skus'!$A:$AC,2,FALSE))="JBL",(VLOOKUP(Table6[[#This Row],[SKU]],'All Skus'!$A:$AC,17,FALSE)),""))</f>
        <v>0</v>
      </c>
      <c r="P103" s="136">
        <f>(IF((VLOOKUP(Table6[[#This Row],[SKU]],'All Skus'!$A:$AC,2,FALSE))="JBL",(VLOOKUP(Table6[[#This Row],[SKU]],'All Skus'!$A:$AC,18,FALSE)),""))</f>
        <v>18.75</v>
      </c>
      <c r="Q103" s="136">
        <f>(IF((VLOOKUP(Table6[[#This Row],[SKU]],'All Skus'!$A:$AC,2,FALSE))="JBL",(VLOOKUP(Table6[[#This Row],[SKU]],'All Skus'!$A:$AC,19,FALSE)),""))</f>
        <v>15</v>
      </c>
      <c r="R103" s="136">
        <f>(IF((VLOOKUP(Table6[[#This Row],[SKU]],'All Skus'!$A:$AC,2,FALSE))="JBL",(VLOOKUP(Table6[[#This Row],[SKU]],'All Skus'!$A:$AC,20,FALSE)),""))</f>
        <v>30</v>
      </c>
      <c r="S103" s="61">
        <f>(IF((VLOOKUP(Table6[[#This Row],[SKU]],'All Skus'!$A:$AC,2,FALSE))="JBL",(VLOOKUP(Table6[[#This Row],[SKU]],'All Skus'!$A:$AC,21,FALSE)),""))</f>
        <v>15</v>
      </c>
      <c r="T103" s="61" t="str">
        <f>(IF((VLOOKUP(Table6[[#This Row],[SKU]],'All Skus'!$A:$AC,2,FALSE))="JBL",(VLOOKUP(Table6[[#This Row],[SKU]],'All Skus'!$A:$AC,22,FALSE)),""))</f>
        <v>CN</v>
      </c>
      <c r="U103" t="str">
        <f>(IF((VLOOKUP(Table6[[#This Row],[SKU]],'All Skus'!$A:$AC,2,FALSE))="JBL",(VLOOKUP(Table6[[#This Row],[SKU]],'All Skus'!$A:$AC,23,FALSE)),""))</f>
        <v>Non Compliant</v>
      </c>
      <c r="V103" s="284" t="str">
        <f>HYPERLINK((IF((VLOOKUP(Table6[[#This Row],[SKU]],'All Skus'!$A:$AC,2,FALSE))="JBL",(VLOOKUP(Table6[[#This Row],[SKU]],'All Skus'!$A:$AC,24,FALSE)),"")))</f>
        <v xml:space="preserve">http://www.jblpro.com/www/products/installed-sound/control-40-series/control-47c-t </v>
      </c>
      <c r="W103" s="151">
        <v>101</v>
      </c>
    </row>
    <row r="104" spans="1:23" ht="15" hidden="1" customHeight="1">
      <c r="A104" s="13" t="s">
        <v>1110</v>
      </c>
      <c r="B104" s="12" t="str">
        <f>(IF((VLOOKUP(Table6[[#This Row],[SKU]],'All Skus'!$A:$AC,2,FALSE))="JBL",(VLOOKUP(Table6[[#This Row],[SKU]],'All Skus'!$A:$AC,3,FALSE)),""))</f>
        <v>Ceiling Speaker</v>
      </c>
      <c r="C104" s="12" t="str">
        <f>(IF((VLOOKUP(Table6[[#This Row],[SKU]],'All Skus'!$A:$AC,2,FALSE))="JBL",(VLOOKUP(Table6[[#This Row],[SKU]],'All Skus'!$A:$AC,4,FALSE)),""))</f>
        <v>CONTROL 47HC</v>
      </c>
      <c r="D104" s="61" t="str">
        <f>(IF((VLOOKUP(Table6[[#This Row],[SKU]],'All Skus'!$A:$AC,2,FALSE))="JBL",(VLOOKUP(Table6[[#This Row],[SKU]],'All Skus'!$A:$AC,5,FALSE)),""))</f>
        <v>JBL018</v>
      </c>
      <c r="E104" s="137">
        <f>(IF((VLOOKUP(Table6[[#This Row],[SKU]],'All Skus'!$A:$AC,2,FALSE))="JBL",(VLOOKUP(Table6[[#This Row],[SKU]],'All Skus'!$A:$AC,6,FALSE)),""))</f>
        <v>0</v>
      </c>
      <c r="F104" s="61">
        <f>(IF((VLOOKUP(Table6[[#This Row],[SKU]],'All Skus'!$A:$AC,2,FALSE))="JBL",(VLOOKUP(Table6[[#This Row],[SKU]],'All Skus'!$A:$AC,7,FALSE)),""))</f>
        <v>0</v>
      </c>
      <c r="G104" t="str">
        <f>(IF((VLOOKUP(Table6[[#This Row],[SKU]],'All Skus'!$A:$AC,2,FALSE))="JBL",(VLOOKUP(Table6[[#This Row],[SKU]],'All Skus'!$A:$AC,8,FALSE)),""))</f>
        <v>PREMIUM HIGH-CEILING COAX w/ 6.5"</v>
      </c>
      <c r="H104" s="8" t="str">
        <f>(IF((VLOOKUP(Table6[[#This Row],[SKU]],'All Skus'!$A:$AC,2,FALSE))="JBL",(VLOOKUP(Table6[[#This Row],[SKU]],'All Skus'!$A:$AC,9,FALSE)),""))</f>
        <v>PREMIUM HIGH-CEILING COAX w/ 6.5"</v>
      </c>
      <c r="I104" s="101">
        <f>(IF((VLOOKUP(Table6[[#This Row],[SKU]],'All Skus'!$A:$AC,2,FALSE))="JBL",(VLOOKUP(Table6[[#This Row],[SKU]],'All Skus'!$A:$AC,10,FALSE)),""))</f>
        <v>415.15</v>
      </c>
      <c r="J104" s="101">
        <f>(IF((VLOOKUP(Table6[[#This Row],[SKU]],'All Skus'!$A:$AC,2,FALSE))="JBL",(VLOOKUP(Table6[[#This Row],[SKU]],'All Skus'!$A:$AC,11,FALSE)),""))</f>
        <v>329</v>
      </c>
      <c r="K104" s="102">
        <f>(IF((VLOOKUP(Table6[[#This Row],[SKU]],'All Skus'!$A:$AC,2,FALSE))="JBL",(VLOOKUP(Table6[[#This Row],[SKU]],'All Skus'!$A:$AC,13,FALSE)),""))</f>
        <v>229.73916499999999</v>
      </c>
      <c r="L104" s="102">
        <f>(IF((VLOOKUP(Table6[[#This Row],[SKU]],'All Skus'!$A:$AC,2,FALSE))="JBL",(VLOOKUP(Table6[[#This Row],[SKU]],'All Skus'!$A:$AC,14,FALSE)),""))</f>
        <v>217.64763000000002</v>
      </c>
      <c r="M104" s="143">
        <f>(IF((VLOOKUP(Table6[[#This Row],[SKU]],'All Skus'!$A:$AC,2,FALSE))="JBL",(VLOOKUP(Table6[[#This Row],[SKU]],'All Skus'!$A:$AC,15,FALSE)),""))</f>
        <v>2</v>
      </c>
      <c r="N104" s="137">
        <f>(IF((VLOOKUP(Table6[[#This Row],[SKU]],'All Skus'!$A:$AC,2,FALSE))="JBL",(VLOOKUP(Table6[[#This Row],[SKU]],'All Skus'!$A:$AC,16,FALSE)),""))</f>
        <v>50036904681</v>
      </c>
      <c r="O104" s="61">
        <f>(IF((VLOOKUP(Table6[[#This Row],[SKU]],'All Skus'!$A:$AC,2,FALSE))="JBL",(VLOOKUP(Table6[[#This Row],[SKU]],'All Skus'!$A:$AC,17,FALSE)),""))</f>
        <v>0</v>
      </c>
      <c r="P104" s="136">
        <f>(IF((VLOOKUP(Table6[[#This Row],[SKU]],'All Skus'!$A:$AC,2,FALSE))="JBL",(VLOOKUP(Table6[[#This Row],[SKU]],'All Skus'!$A:$AC,18,FALSE)),""))</f>
        <v>22.5</v>
      </c>
      <c r="Q104" s="136">
        <f>(IF((VLOOKUP(Table6[[#This Row],[SKU]],'All Skus'!$A:$AC,2,FALSE))="JBL",(VLOOKUP(Table6[[#This Row],[SKU]],'All Skus'!$A:$AC,19,FALSE)),""))</f>
        <v>16.125</v>
      </c>
      <c r="R104" s="136">
        <f>(IF((VLOOKUP(Table6[[#This Row],[SKU]],'All Skus'!$A:$AC,2,FALSE))="JBL",(VLOOKUP(Table6[[#This Row],[SKU]],'All Skus'!$A:$AC,20,FALSE)),""))</f>
        <v>17</v>
      </c>
      <c r="S104" s="61">
        <f>(IF((VLOOKUP(Table6[[#This Row],[SKU]],'All Skus'!$A:$AC,2,FALSE))="JBL",(VLOOKUP(Table6[[#This Row],[SKU]],'All Skus'!$A:$AC,21,FALSE)),""))</f>
        <v>18.5</v>
      </c>
      <c r="T104" s="61" t="str">
        <f>(IF((VLOOKUP(Table6[[#This Row],[SKU]],'All Skus'!$A:$AC,2,FALSE))="JBL",(VLOOKUP(Table6[[#This Row],[SKU]],'All Skus'!$A:$AC,22,FALSE)),""))</f>
        <v>CN</v>
      </c>
      <c r="U104" t="str">
        <f>(IF((VLOOKUP(Table6[[#This Row],[SKU]],'All Skus'!$A:$AC,2,FALSE))="JBL",(VLOOKUP(Table6[[#This Row],[SKU]],'All Skus'!$A:$AC,23,FALSE)),""))</f>
        <v>Non Compliant</v>
      </c>
      <c r="V104" s="284" t="str">
        <f>HYPERLINK((IF((VLOOKUP(Table6[[#This Row],[SKU]],'All Skus'!$A:$AC,2,FALSE))="JBL",(VLOOKUP(Table6[[#This Row],[SKU]],'All Skus'!$A:$AC,24,FALSE)),"")))</f>
        <v xml:space="preserve">http://www.jblpro.com/www/products/installed-sound/control-40-series/control-47hc </v>
      </c>
      <c r="W104" s="151">
        <v>102</v>
      </c>
    </row>
    <row r="105" spans="1:23" ht="15" hidden="1" customHeight="1">
      <c r="A105" s="13" t="s">
        <v>1111</v>
      </c>
      <c r="B105" s="12" t="str">
        <f>(IF((VLOOKUP(Table6[[#This Row],[SKU]],'All Skus'!$A:$AC,2,FALSE))="JBL",(VLOOKUP(Table6[[#This Row],[SKU]],'All Skus'!$A:$AC,3,FALSE)),""))</f>
        <v>Ceiling Speaker</v>
      </c>
      <c r="C105" s="12" t="str">
        <f>(IF((VLOOKUP(Table6[[#This Row],[SKU]],'All Skus'!$A:$AC,2,FALSE))="JBL",(VLOOKUP(Table6[[#This Row],[SKU]],'All Skus'!$A:$AC,4,FALSE)),""))</f>
        <v>CONTROL 47LP</v>
      </c>
      <c r="D105" s="61" t="str">
        <f>(IF((VLOOKUP(Table6[[#This Row],[SKU]],'All Skus'!$A:$AC,2,FALSE))="JBL",(VLOOKUP(Table6[[#This Row],[SKU]],'All Skus'!$A:$AC,5,FALSE)),""))</f>
        <v>JBL018</v>
      </c>
      <c r="E105" s="137">
        <f>(IF((VLOOKUP(Table6[[#This Row],[SKU]],'All Skus'!$A:$AC,2,FALSE))="JBL",(VLOOKUP(Table6[[#This Row],[SKU]],'All Skus'!$A:$AC,6,FALSE)),""))</f>
        <v>0</v>
      </c>
      <c r="F105" s="61">
        <f>(IF((VLOOKUP(Table6[[#This Row],[SKU]],'All Skus'!$A:$AC,2,FALSE))="JBL",(VLOOKUP(Table6[[#This Row],[SKU]],'All Skus'!$A:$AC,7,FALSE)),""))</f>
        <v>0</v>
      </c>
      <c r="G105" t="str">
        <f>(IF((VLOOKUP(Table6[[#This Row],[SKU]],'All Skus'!$A:$AC,2,FALSE))="JBL",(VLOOKUP(Table6[[#This Row],[SKU]],'All Skus'!$A:$AC,8,FALSE)),""))</f>
        <v>PREMIUM LOW-FROFILE CEILING</v>
      </c>
      <c r="H105" s="8" t="str">
        <f>(IF((VLOOKUP(Table6[[#This Row],[SKU]],'All Skus'!$A:$AC,2,FALSE))="JBL",(VLOOKUP(Table6[[#This Row],[SKU]],'All Skus'!$A:$AC,9,FALSE)),""))</f>
        <v>Low-=Profile version of C47D/T featuring RBI technology. Specs same as C47C/T except only 142 mm (5.6 in) deep, 68 Hz to 20 kHz.  (priced as each; sold in pairs)</v>
      </c>
      <c r="I105" s="101">
        <f>(IF((VLOOKUP(Table6[[#This Row],[SKU]],'All Skus'!$A:$AC,2,FALSE))="JBL",(VLOOKUP(Table6[[#This Row],[SKU]],'All Skus'!$A:$AC,10,FALSE)),""))</f>
        <v>295.79000000000002</v>
      </c>
      <c r="J105" s="101">
        <f>(IF((VLOOKUP(Table6[[#This Row],[SKU]],'All Skus'!$A:$AC,2,FALSE))="JBL",(VLOOKUP(Table6[[#This Row],[SKU]],'All Skus'!$A:$AC,11,FALSE)),""))</f>
        <v>236</v>
      </c>
      <c r="K105" s="102">
        <f>(IF((VLOOKUP(Table6[[#This Row],[SKU]],'All Skus'!$A:$AC,2,FALSE))="JBL",(VLOOKUP(Table6[[#This Row],[SKU]],'All Skus'!$A:$AC,13,FALSE)),""))</f>
        <v>163.68699500000002</v>
      </c>
      <c r="L105" s="102">
        <f>(IF((VLOOKUP(Table6[[#This Row],[SKU]],'All Skus'!$A:$AC,2,FALSE))="JBL",(VLOOKUP(Table6[[#This Row],[SKU]],'All Skus'!$A:$AC,14,FALSE)),""))</f>
        <v>155.07189000000002</v>
      </c>
      <c r="M105" s="143">
        <f>(IF((VLOOKUP(Table6[[#This Row],[SKU]],'All Skus'!$A:$AC,2,FALSE))="JBL",(VLOOKUP(Table6[[#This Row],[SKU]],'All Skus'!$A:$AC,15,FALSE)),""))</f>
        <v>2</v>
      </c>
      <c r="N105" s="137">
        <f>(IF((VLOOKUP(Table6[[#This Row],[SKU]],'All Skus'!$A:$AC,2,FALSE))="JBL",(VLOOKUP(Table6[[#This Row],[SKU]],'All Skus'!$A:$AC,16,FALSE)),""))</f>
        <v>50036904940</v>
      </c>
      <c r="O105" s="61">
        <f>(IF((VLOOKUP(Table6[[#This Row],[SKU]],'All Skus'!$A:$AC,2,FALSE))="JBL",(VLOOKUP(Table6[[#This Row],[SKU]],'All Skus'!$A:$AC,17,FALSE)),""))</f>
        <v>0</v>
      </c>
      <c r="P105" s="136">
        <f>(IF((VLOOKUP(Table6[[#This Row],[SKU]],'All Skus'!$A:$AC,2,FALSE))="JBL",(VLOOKUP(Table6[[#This Row],[SKU]],'All Skus'!$A:$AC,18,FALSE)),""))</f>
        <v>16</v>
      </c>
      <c r="Q105" s="136">
        <f>(IF((VLOOKUP(Table6[[#This Row],[SKU]],'All Skus'!$A:$AC,2,FALSE))="JBL",(VLOOKUP(Table6[[#This Row],[SKU]],'All Skus'!$A:$AC,19,FALSE)),""))</f>
        <v>15</v>
      </c>
      <c r="R105" s="136">
        <f>(IF((VLOOKUP(Table6[[#This Row],[SKU]],'All Skus'!$A:$AC,2,FALSE))="JBL",(VLOOKUP(Table6[[#This Row],[SKU]],'All Skus'!$A:$AC,20,FALSE)),""))</f>
        <v>19</v>
      </c>
      <c r="S105" s="61">
        <f>(IF((VLOOKUP(Table6[[#This Row],[SKU]],'All Skus'!$A:$AC,2,FALSE))="JBL",(VLOOKUP(Table6[[#This Row],[SKU]],'All Skus'!$A:$AC,21,FALSE)),""))</f>
        <v>9</v>
      </c>
      <c r="T105" s="61" t="str">
        <f>(IF((VLOOKUP(Table6[[#This Row],[SKU]],'All Skus'!$A:$AC,2,FALSE))="JBL",(VLOOKUP(Table6[[#This Row],[SKU]],'All Skus'!$A:$AC,22,FALSE)),""))</f>
        <v>CN</v>
      </c>
      <c r="U105" t="str">
        <f>(IF((VLOOKUP(Table6[[#This Row],[SKU]],'All Skus'!$A:$AC,2,FALSE))="JBL",(VLOOKUP(Table6[[#This Row],[SKU]],'All Skus'!$A:$AC,23,FALSE)),""))</f>
        <v>Non Compliant</v>
      </c>
      <c r="V105" s="284" t="str">
        <f>HYPERLINK((IF((VLOOKUP(Table6[[#This Row],[SKU]],'All Skus'!$A:$AC,2,FALSE))="JBL",(VLOOKUP(Table6[[#This Row],[SKU]],'All Skus'!$A:$AC,24,FALSE)),"")))</f>
        <v xml:space="preserve">http://www.jblpro.com/www/products/installed-sound/control-40-series/control-47lp </v>
      </c>
      <c r="W105" s="151">
        <v>103</v>
      </c>
    </row>
    <row r="106" spans="1:23" ht="15" hidden="1" customHeight="1">
      <c r="A106" s="13" t="s">
        <v>1112</v>
      </c>
      <c r="B106" s="12" t="str">
        <f>(IF((VLOOKUP(Table6[[#This Row],[SKU]],'All Skus'!$A:$AC,2,FALSE))="JBL",(VLOOKUP(Table6[[#This Row],[SKU]],'All Skus'!$A:$AC,3,FALSE)),""))</f>
        <v>Accessory</v>
      </c>
      <c r="C106" s="12" t="str">
        <f>(IF((VLOOKUP(Table6[[#This Row],[SKU]],'All Skus'!$A:$AC,2,FALSE))="JBL",(VLOOKUP(Table6[[#This Row],[SKU]],'All Skus'!$A:$AC,4,FALSE)),""))</f>
        <v>MTC-42MR</v>
      </c>
      <c r="D106" s="61" t="str">
        <f>(IF((VLOOKUP(Table6[[#This Row],[SKU]],'All Skus'!$A:$AC,2,FALSE))="JBL",(VLOOKUP(Table6[[#This Row],[SKU]],'All Skus'!$A:$AC,5,FALSE)),""))</f>
        <v>JBL018</v>
      </c>
      <c r="E106" s="137">
        <f>(IF((VLOOKUP(Table6[[#This Row],[SKU]],'All Skus'!$A:$AC,2,FALSE))="JBL",(VLOOKUP(Table6[[#This Row],[SKU]],'All Skus'!$A:$AC,6,FALSE)),""))</f>
        <v>0</v>
      </c>
      <c r="F106" s="61">
        <f>(IF((VLOOKUP(Table6[[#This Row],[SKU]],'All Skus'!$A:$AC,2,FALSE))="JBL",(VLOOKUP(Table6[[#This Row],[SKU]],'All Skus'!$A:$AC,7,FALSE)),""))</f>
        <v>0</v>
      </c>
      <c r="G106" t="str">
        <f>(IF((VLOOKUP(Table6[[#This Row],[SKU]],'All Skus'!$A:$AC,2,FALSE))="JBL",(VLOOKUP(Table6[[#This Row],[SKU]],'All Skus'!$A:$AC,8,FALSE)),""))</f>
        <v>MUD RING BRACKET FOR CONTROL 42C (1=6 pcs)</v>
      </c>
      <c r="H106" s="8" t="str">
        <f>(IF((VLOOKUP(Table6[[#This Row],[SKU]],'All Skus'!$A:$AC,2,FALSE))="JBL",(VLOOKUP(Table6[[#This Row],[SKU]],'All Skus'!$A:$AC,9,FALSE)),""))</f>
        <v>Mud-Ring Construction Brackets for C42C (each pack contains 6 pcs) (Priced as one pack; one pack contains 6 Pieces</v>
      </c>
      <c r="I106" s="101">
        <f>(IF((VLOOKUP(Table6[[#This Row],[SKU]],'All Skus'!$A:$AC,2,FALSE))="JBL",(VLOOKUP(Table6[[#This Row],[SKU]],'All Skus'!$A:$AC,10,FALSE)),""))</f>
        <v>172.29</v>
      </c>
      <c r="J106" s="101">
        <f>(IF((VLOOKUP(Table6[[#This Row],[SKU]],'All Skus'!$A:$AC,2,FALSE))="JBL",(VLOOKUP(Table6[[#This Row],[SKU]],'All Skus'!$A:$AC,11,FALSE)),""))</f>
        <v>172.29</v>
      </c>
      <c r="K106" s="102">
        <f>(IF((VLOOKUP(Table6[[#This Row],[SKU]],'All Skus'!$A:$AC,2,FALSE))="JBL",(VLOOKUP(Table6[[#This Row],[SKU]],'All Skus'!$A:$AC,13,FALSE)),""))</f>
        <v>0</v>
      </c>
      <c r="L106" s="102">
        <f>(IF((VLOOKUP(Table6[[#This Row],[SKU]],'All Skus'!$A:$AC,2,FALSE))="JBL",(VLOOKUP(Table6[[#This Row],[SKU]],'All Skus'!$A:$AC,14,FALSE)),""))</f>
        <v>0</v>
      </c>
      <c r="M106" s="143">
        <f>(IF((VLOOKUP(Table6[[#This Row],[SKU]],'All Skus'!$A:$AC,2,FALSE))="JBL",(VLOOKUP(Table6[[#This Row],[SKU]],'All Skus'!$A:$AC,15,FALSE)),""))</f>
        <v>0</v>
      </c>
      <c r="N106" s="137">
        <f>(IF((VLOOKUP(Table6[[#This Row],[SKU]],'All Skus'!$A:$AC,2,FALSE))="JBL",(VLOOKUP(Table6[[#This Row],[SKU]],'All Skus'!$A:$AC,16,FALSE)),""))</f>
        <v>691991300721</v>
      </c>
      <c r="O106" s="61">
        <f>(IF((VLOOKUP(Table6[[#This Row],[SKU]],'All Skus'!$A:$AC,2,FALSE))="JBL",(VLOOKUP(Table6[[#This Row],[SKU]],'All Skus'!$A:$AC,17,FALSE)),""))</f>
        <v>0</v>
      </c>
      <c r="P106" s="136">
        <f>(IF((VLOOKUP(Table6[[#This Row],[SKU]],'All Skus'!$A:$AC,2,FALSE))="JBL",(VLOOKUP(Table6[[#This Row],[SKU]],'All Skus'!$A:$AC,18,FALSE)),""))</f>
        <v>2.25</v>
      </c>
      <c r="Q106" s="136">
        <f>(IF((VLOOKUP(Table6[[#This Row],[SKU]],'All Skus'!$A:$AC,2,FALSE))="JBL",(VLOOKUP(Table6[[#This Row],[SKU]],'All Skus'!$A:$AC,19,FALSE)),""))</f>
        <v>15</v>
      </c>
      <c r="R106" s="136">
        <f>(IF((VLOOKUP(Table6[[#This Row],[SKU]],'All Skus'!$A:$AC,2,FALSE))="JBL",(VLOOKUP(Table6[[#This Row],[SKU]],'All Skus'!$A:$AC,20,FALSE)),""))</f>
        <v>24</v>
      </c>
      <c r="S106" s="61">
        <f>(IF((VLOOKUP(Table6[[#This Row],[SKU]],'All Skus'!$A:$AC,2,FALSE))="JBL",(VLOOKUP(Table6[[#This Row],[SKU]],'All Skus'!$A:$AC,21,FALSE)),""))</f>
        <v>6</v>
      </c>
      <c r="T106" s="61" t="str">
        <f>(IF((VLOOKUP(Table6[[#This Row],[SKU]],'All Skus'!$A:$AC,2,FALSE))="JBL",(VLOOKUP(Table6[[#This Row],[SKU]],'All Skus'!$A:$AC,22,FALSE)),""))</f>
        <v>CN</v>
      </c>
      <c r="U106" t="str">
        <f>(IF((VLOOKUP(Table6[[#This Row],[SKU]],'All Skus'!$A:$AC,2,FALSE))="JBL",(VLOOKUP(Table6[[#This Row],[SKU]],'All Skus'!$A:$AC,23,FALSE)),""))</f>
        <v>Non Compliant</v>
      </c>
      <c r="V106" s="284" t="str">
        <f>HYPERLINK((IF((VLOOKUP(Table6[[#This Row],[SKU]],'All Skus'!$A:$AC,2,FALSE))="JBL",(VLOOKUP(Table6[[#This Row],[SKU]],'All Skus'!$A:$AC,24,FALSE)),"")))</f>
        <v xml:space="preserve">http://www.jblpro.com/ProductAttachments/mtc-mr.pdf </v>
      </c>
      <c r="W106" s="151">
        <v>104</v>
      </c>
    </row>
    <row r="107" spans="1:23" ht="15" hidden="1" customHeight="1">
      <c r="A107" s="13" t="s">
        <v>1113</v>
      </c>
      <c r="B107" s="12" t="str">
        <f>(IF((VLOOKUP(Table6[[#This Row],[SKU]],'All Skus'!$A:$AC,2,FALSE))="JBL",(VLOOKUP(Table6[[#This Row],[SKU]],'All Skus'!$A:$AC,3,FALSE)),""))</f>
        <v>Accessory</v>
      </c>
      <c r="C107" s="12" t="str">
        <f>(IF((VLOOKUP(Table6[[#This Row],[SKU]],'All Skus'!$A:$AC,2,FALSE))="JBL",(VLOOKUP(Table6[[#This Row],[SKU]],'All Skus'!$A:$AC,4,FALSE)),""))</f>
        <v>MTC-42NC</v>
      </c>
      <c r="D107" s="61" t="str">
        <f>(IF((VLOOKUP(Table6[[#This Row],[SKU]],'All Skus'!$A:$AC,2,FALSE))="JBL",(VLOOKUP(Table6[[#This Row],[SKU]],'All Skus'!$A:$AC,5,FALSE)),""))</f>
        <v>JBL018</v>
      </c>
      <c r="E107" s="137">
        <f>(IF((VLOOKUP(Table6[[#This Row],[SKU]],'All Skus'!$A:$AC,2,FALSE))="JBL",(VLOOKUP(Table6[[#This Row],[SKU]],'All Skus'!$A:$AC,6,FALSE)),""))</f>
        <v>0</v>
      </c>
      <c r="F107" s="61">
        <f>(IF((VLOOKUP(Table6[[#This Row],[SKU]],'All Skus'!$A:$AC,2,FALSE))="JBL",(VLOOKUP(Table6[[#This Row],[SKU]],'All Skus'!$A:$AC,7,FALSE)),""))</f>
        <v>0</v>
      </c>
      <c r="G107" t="str">
        <f>(IF((VLOOKUP(Table6[[#This Row],[SKU]],'All Skus'!$A:$AC,2,FALSE))="JBL",(VLOOKUP(Table6[[#This Row],[SKU]],'All Skus'!$A:$AC,8,FALSE)),""))</f>
        <v>NEW CONSTRUCTION RING FOR C42 (1=6 pcs)</v>
      </c>
      <c r="H107" s="8" t="str">
        <f>(IF((VLOOKUP(Table6[[#This Row],[SKU]],'All Skus'!$A:$AC,2,FALSE))="JBL",(VLOOKUP(Table6[[#This Row],[SKU]],'All Skus'!$A:$AC,9,FALSE)),""))</f>
        <v>New Construction Ring Brackets for Control 42C (each pack contains 6 pcs) (Priced as one pack; one pack contains 6 Pieces</v>
      </c>
      <c r="I107" s="101">
        <f>(IF((VLOOKUP(Table6[[#This Row],[SKU]],'All Skus'!$A:$AC,2,FALSE))="JBL",(VLOOKUP(Table6[[#This Row],[SKU]],'All Skus'!$A:$AC,10,FALSE)),""))</f>
        <v>142.25</v>
      </c>
      <c r="J107" s="101">
        <f>(IF((VLOOKUP(Table6[[#This Row],[SKU]],'All Skus'!$A:$AC,2,FALSE))="JBL",(VLOOKUP(Table6[[#This Row],[SKU]],'All Skus'!$A:$AC,11,FALSE)),""))</f>
        <v>142.25</v>
      </c>
      <c r="K107" s="102">
        <f>(IF((VLOOKUP(Table6[[#This Row],[SKU]],'All Skus'!$A:$AC,2,FALSE))="JBL",(VLOOKUP(Table6[[#This Row],[SKU]],'All Skus'!$A:$AC,13,FALSE)),""))</f>
        <v>0</v>
      </c>
      <c r="L107" s="102">
        <f>(IF((VLOOKUP(Table6[[#This Row],[SKU]],'All Skus'!$A:$AC,2,FALSE))="JBL",(VLOOKUP(Table6[[#This Row],[SKU]],'All Skus'!$A:$AC,14,FALSE)),""))</f>
        <v>0</v>
      </c>
      <c r="M107" s="143">
        <f>(IF((VLOOKUP(Table6[[#This Row],[SKU]],'All Skus'!$A:$AC,2,FALSE))="JBL",(VLOOKUP(Table6[[#This Row],[SKU]],'All Skus'!$A:$AC,15,FALSE)),""))</f>
        <v>0</v>
      </c>
      <c r="N107" s="137">
        <f>(IF((VLOOKUP(Table6[[#This Row],[SKU]],'All Skus'!$A:$AC,2,FALSE))="JBL",(VLOOKUP(Table6[[#This Row],[SKU]],'All Skus'!$A:$AC,16,FALSE)),""))</f>
        <v>691991300738</v>
      </c>
      <c r="O107" s="61">
        <f>(IF((VLOOKUP(Table6[[#This Row],[SKU]],'All Skus'!$A:$AC,2,FALSE))="JBL",(VLOOKUP(Table6[[#This Row],[SKU]],'All Skus'!$A:$AC,17,FALSE)),""))</f>
        <v>0</v>
      </c>
      <c r="P107" s="136">
        <f>(IF((VLOOKUP(Table6[[#This Row],[SKU]],'All Skus'!$A:$AC,2,FALSE))="JBL",(VLOOKUP(Table6[[#This Row],[SKU]],'All Skus'!$A:$AC,18,FALSE)),""))</f>
        <v>41.8</v>
      </c>
      <c r="Q107" s="136">
        <f>(IF((VLOOKUP(Table6[[#This Row],[SKU]],'All Skus'!$A:$AC,2,FALSE))="JBL",(VLOOKUP(Table6[[#This Row],[SKU]],'All Skus'!$A:$AC,19,FALSE)),""))</f>
        <v>15</v>
      </c>
      <c r="R107" s="136">
        <f>(IF((VLOOKUP(Table6[[#This Row],[SKU]],'All Skus'!$A:$AC,2,FALSE))="JBL",(VLOOKUP(Table6[[#This Row],[SKU]],'All Skus'!$A:$AC,20,FALSE)),""))</f>
        <v>24</v>
      </c>
      <c r="S107" s="61">
        <f>(IF((VLOOKUP(Table6[[#This Row],[SKU]],'All Skus'!$A:$AC,2,FALSE))="JBL",(VLOOKUP(Table6[[#This Row],[SKU]],'All Skus'!$A:$AC,21,FALSE)),""))</f>
        <v>1</v>
      </c>
      <c r="T107" s="61" t="str">
        <f>(IF((VLOOKUP(Table6[[#This Row],[SKU]],'All Skus'!$A:$AC,2,FALSE))="JBL",(VLOOKUP(Table6[[#This Row],[SKU]],'All Skus'!$A:$AC,22,FALSE)),""))</f>
        <v>CN</v>
      </c>
      <c r="U107" t="str">
        <f>(IF((VLOOKUP(Table6[[#This Row],[SKU]],'All Skus'!$A:$AC,2,FALSE))="JBL",(VLOOKUP(Table6[[#This Row],[SKU]],'All Skus'!$A:$AC,23,FALSE)),""))</f>
        <v>Non Compliant</v>
      </c>
      <c r="V107" s="284" t="str">
        <f>HYPERLINK((IF((VLOOKUP(Table6[[#This Row],[SKU]],'All Skus'!$A:$AC,2,FALSE))="JBL",(VLOOKUP(Table6[[#This Row],[SKU]],'All Skus'!$A:$AC,24,FALSE)),"")))</f>
        <v xml:space="preserve">http://www.jblpro.com/ProductAttachments/mtc-nc.pdf </v>
      </c>
      <c r="W107" s="151">
        <v>105</v>
      </c>
    </row>
    <row r="108" spans="1:23" ht="15" hidden="1" customHeight="1">
      <c r="A108" s="13" t="s">
        <v>1114</v>
      </c>
      <c r="B108" s="12" t="str">
        <f>(IF((VLOOKUP(Table6[[#This Row],[SKU]],'All Skus'!$A:$AC,2,FALSE))="JBL",(VLOOKUP(Table6[[#This Row],[SKU]],'All Skus'!$A:$AC,3,FALSE)),""))</f>
        <v>Accessory</v>
      </c>
      <c r="C108" s="12" t="str">
        <f>(IF((VLOOKUP(Table6[[#This Row],[SKU]],'All Skus'!$A:$AC,2,FALSE))="JBL",(VLOOKUP(Table6[[#This Row],[SKU]],'All Skus'!$A:$AC,4,FALSE)),""))</f>
        <v>MTC-47MR</v>
      </c>
      <c r="D108" s="61" t="str">
        <f>(IF((VLOOKUP(Table6[[#This Row],[SKU]],'All Skus'!$A:$AC,2,FALSE))="JBL",(VLOOKUP(Table6[[#This Row],[SKU]],'All Skus'!$A:$AC,5,FALSE)),""))</f>
        <v>JBL018</v>
      </c>
      <c r="E108" s="137">
        <f>(IF((VLOOKUP(Table6[[#This Row],[SKU]],'All Skus'!$A:$AC,2,FALSE))="JBL",(VLOOKUP(Table6[[#This Row],[SKU]],'All Skus'!$A:$AC,6,FALSE)),""))</f>
        <v>0</v>
      </c>
      <c r="F108" s="61">
        <f>(IF((VLOOKUP(Table6[[#This Row],[SKU]],'All Skus'!$A:$AC,2,FALSE))="JBL",(VLOOKUP(Table6[[#This Row],[SKU]],'All Skus'!$A:$AC,7,FALSE)),""))</f>
        <v>0</v>
      </c>
      <c r="G108" t="str">
        <f>(IF((VLOOKUP(Table6[[#This Row],[SKU]],'All Skus'!$A:$AC,2,FALSE))="JBL",(VLOOKUP(Table6[[#This Row],[SKU]],'All Skus'!$A:$AC,8,FALSE)),""))</f>
        <v>MUD RING BRACKET FOR C47C/T &amp; C47LP (1=6 pcs)</v>
      </c>
      <c r="H108" s="8" t="str">
        <f>(IF((VLOOKUP(Table6[[#This Row],[SKU]],'All Skus'!$A:$AC,2,FALSE))="JBL",(VLOOKUP(Table6[[#This Row],[SKU]],'All Skus'!$A:$AC,9,FALSE)),""))</f>
        <v>Mud-Ring construction Brackets for C47C/T &amp; C47LP (each pack contains 6 pcs) (Priced as one pack; one pack contains 6 Pieces</v>
      </c>
      <c r="I108" s="101">
        <f>(IF((VLOOKUP(Table6[[#This Row],[SKU]],'All Skus'!$A:$AC,2,FALSE))="JBL",(VLOOKUP(Table6[[#This Row],[SKU]],'All Skus'!$A:$AC,10,FALSE)),""))</f>
        <v>313.19</v>
      </c>
      <c r="J108" s="101">
        <f>(IF((VLOOKUP(Table6[[#This Row],[SKU]],'All Skus'!$A:$AC,2,FALSE))="JBL",(VLOOKUP(Table6[[#This Row],[SKU]],'All Skus'!$A:$AC,11,FALSE)),""))</f>
        <v>313.19</v>
      </c>
      <c r="K108" s="102">
        <f>(IF((VLOOKUP(Table6[[#This Row],[SKU]],'All Skus'!$A:$AC,2,FALSE))="JBL",(VLOOKUP(Table6[[#This Row],[SKU]],'All Skus'!$A:$AC,13,FALSE)),""))</f>
        <v>0</v>
      </c>
      <c r="L108" s="102">
        <f>(IF((VLOOKUP(Table6[[#This Row],[SKU]],'All Skus'!$A:$AC,2,FALSE))="JBL",(VLOOKUP(Table6[[#This Row],[SKU]],'All Skus'!$A:$AC,14,FALSE)),""))</f>
        <v>0</v>
      </c>
      <c r="M108" s="143">
        <f>(IF((VLOOKUP(Table6[[#This Row],[SKU]],'All Skus'!$A:$AC,2,FALSE))="JBL",(VLOOKUP(Table6[[#This Row],[SKU]],'All Skus'!$A:$AC,15,FALSE)),""))</f>
        <v>0</v>
      </c>
      <c r="N108" s="137">
        <f>(IF((VLOOKUP(Table6[[#This Row],[SKU]],'All Skus'!$A:$AC,2,FALSE))="JBL",(VLOOKUP(Table6[[#This Row],[SKU]],'All Skus'!$A:$AC,16,FALSE)),""))</f>
        <v>691991300745</v>
      </c>
      <c r="O108" s="61">
        <f>(IF((VLOOKUP(Table6[[#This Row],[SKU]],'All Skus'!$A:$AC,2,FALSE))="JBL",(VLOOKUP(Table6[[#This Row],[SKU]],'All Skus'!$A:$AC,17,FALSE)),""))</f>
        <v>0</v>
      </c>
      <c r="P108" s="136">
        <f>(IF((VLOOKUP(Table6[[#This Row],[SKU]],'All Skus'!$A:$AC,2,FALSE))="JBL",(VLOOKUP(Table6[[#This Row],[SKU]],'All Skus'!$A:$AC,18,FALSE)),""))</f>
        <v>7.3</v>
      </c>
      <c r="Q108" s="136">
        <f>(IF((VLOOKUP(Table6[[#This Row],[SKU]],'All Skus'!$A:$AC,2,FALSE))="JBL",(VLOOKUP(Table6[[#This Row],[SKU]],'All Skus'!$A:$AC,19,FALSE)),""))</f>
        <v>24</v>
      </c>
      <c r="R108" s="136">
        <f>(IF((VLOOKUP(Table6[[#This Row],[SKU]],'All Skus'!$A:$AC,2,FALSE))="JBL",(VLOOKUP(Table6[[#This Row],[SKU]],'All Skus'!$A:$AC,20,FALSE)),""))</f>
        <v>14.25</v>
      </c>
      <c r="S108" s="61">
        <f>(IF((VLOOKUP(Table6[[#This Row],[SKU]],'All Skus'!$A:$AC,2,FALSE))="JBL",(VLOOKUP(Table6[[#This Row],[SKU]],'All Skus'!$A:$AC,21,FALSE)),""))</f>
        <v>3.75</v>
      </c>
      <c r="T108" s="61" t="str">
        <f>(IF((VLOOKUP(Table6[[#This Row],[SKU]],'All Skus'!$A:$AC,2,FALSE))="JBL",(VLOOKUP(Table6[[#This Row],[SKU]],'All Skus'!$A:$AC,22,FALSE)),""))</f>
        <v>CN</v>
      </c>
      <c r="U108" t="str">
        <f>(IF((VLOOKUP(Table6[[#This Row],[SKU]],'All Skus'!$A:$AC,2,FALSE))="JBL",(VLOOKUP(Table6[[#This Row],[SKU]],'All Skus'!$A:$AC,23,FALSE)),""))</f>
        <v>Non Compliant</v>
      </c>
      <c r="V108" s="284" t="str">
        <f>HYPERLINK((IF((VLOOKUP(Table6[[#This Row],[SKU]],'All Skus'!$A:$AC,2,FALSE))="JBL",(VLOOKUP(Table6[[#This Row],[SKU]],'All Skus'!$A:$AC,24,FALSE)),"")))</f>
        <v xml:space="preserve">http://www.jblpro.com/ProductAttachments/mtc-mr.pdf </v>
      </c>
      <c r="W108" s="151">
        <v>106</v>
      </c>
    </row>
    <row r="109" spans="1:23" ht="15" hidden="1" customHeight="1">
      <c r="A109" s="13" t="s">
        <v>1115</v>
      </c>
      <c r="B109" s="12" t="str">
        <f>(IF((VLOOKUP(Table6[[#This Row],[SKU]],'All Skus'!$A:$AC,2,FALSE))="JBL",(VLOOKUP(Table6[[#This Row],[SKU]],'All Skus'!$A:$AC,3,FALSE)),""))</f>
        <v>Accessory</v>
      </c>
      <c r="C109" s="12" t="str">
        <f>(IF((VLOOKUP(Table6[[#This Row],[SKU]],'All Skus'!$A:$AC,2,FALSE))="JBL",(VLOOKUP(Table6[[#This Row],[SKU]],'All Skus'!$A:$AC,4,FALSE)),""))</f>
        <v>MTC-47NC</v>
      </c>
      <c r="D109" s="61" t="str">
        <f>(IF((VLOOKUP(Table6[[#This Row],[SKU]],'All Skus'!$A:$AC,2,FALSE))="JBL",(VLOOKUP(Table6[[#This Row],[SKU]],'All Skus'!$A:$AC,5,FALSE)),""))</f>
        <v>JBL018</v>
      </c>
      <c r="E109" s="137">
        <f>(IF((VLOOKUP(Table6[[#This Row],[SKU]],'All Skus'!$A:$AC,2,FALSE))="JBL",(VLOOKUP(Table6[[#This Row],[SKU]],'All Skus'!$A:$AC,6,FALSE)),""))</f>
        <v>0</v>
      </c>
      <c r="F109" s="61">
        <f>(IF((VLOOKUP(Table6[[#This Row],[SKU]],'All Skus'!$A:$AC,2,FALSE))="JBL",(VLOOKUP(Table6[[#This Row],[SKU]],'All Skus'!$A:$AC,7,FALSE)),""))</f>
        <v>0</v>
      </c>
      <c r="G109" t="str">
        <f>(IF((VLOOKUP(Table6[[#This Row],[SKU]],'All Skus'!$A:$AC,2,FALSE))="JBL",(VLOOKUP(Table6[[#This Row],[SKU]],'All Skus'!$A:$AC,8,FALSE)),""))</f>
        <v>NEW CONSTRUCTION RING  C47C/T &amp; 47LP (1=6pcs)</v>
      </c>
      <c r="H109" s="8" t="str">
        <f>(IF((VLOOKUP(Table6[[#This Row],[SKU]],'All Skus'!$A:$AC,2,FALSE))="JBL",(VLOOKUP(Table6[[#This Row],[SKU]],'All Skus'!$A:$AC,9,FALSE)),""))</f>
        <v>New construction Brackets for C47C/T &amp; C47LP (each pack contains 6 pcs) (Priced as one pack; one pack contains 6 Pieces</v>
      </c>
      <c r="I109" s="101">
        <f>(IF((VLOOKUP(Table6[[#This Row],[SKU]],'All Skus'!$A:$AC,2,FALSE))="JBL",(VLOOKUP(Table6[[#This Row],[SKU]],'All Skus'!$A:$AC,10,FALSE)),""))</f>
        <v>225.85</v>
      </c>
      <c r="J109" s="101">
        <f>(IF((VLOOKUP(Table6[[#This Row],[SKU]],'All Skus'!$A:$AC,2,FALSE))="JBL",(VLOOKUP(Table6[[#This Row],[SKU]],'All Skus'!$A:$AC,11,FALSE)),""))</f>
        <v>225.85</v>
      </c>
      <c r="K109" s="102">
        <f>(IF((VLOOKUP(Table6[[#This Row],[SKU]],'All Skus'!$A:$AC,2,FALSE))="JBL",(VLOOKUP(Table6[[#This Row],[SKU]],'All Skus'!$A:$AC,13,FALSE)),""))</f>
        <v>0</v>
      </c>
      <c r="L109" s="102">
        <f>(IF((VLOOKUP(Table6[[#This Row],[SKU]],'All Skus'!$A:$AC,2,FALSE))="JBL",(VLOOKUP(Table6[[#This Row],[SKU]],'All Skus'!$A:$AC,14,FALSE)),""))</f>
        <v>0</v>
      </c>
      <c r="M109" s="143">
        <f>(IF((VLOOKUP(Table6[[#This Row],[SKU]],'All Skus'!$A:$AC,2,FALSE))="JBL",(VLOOKUP(Table6[[#This Row],[SKU]],'All Skus'!$A:$AC,15,FALSE)),""))</f>
        <v>0</v>
      </c>
      <c r="N109" s="137">
        <f>(IF((VLOOKUP(Table6[[#This Row],[SKU]],'All Skus'!$A:$AC,2,FALSE))="JBL",(VLOOKUP(Table6[[#This Row],[SKU]],'All Skus'!$A:$AC,16,FALSE)),""))</f>
        <v>691991300752</v>
      </c>
      <c r="O109" s="61">
        <f>(IF((VLOOKUP(Table6[[#This Row],[SKU]],'All Skus'!$A:$AC,2,FALSE))="JBL",(VLOOKUP(Table6[[#This Row],[SKU]],'All Skus'!$A:$AC,17,FALSE)),""))</f>
        <v>0</v>
      </c>
      <c r="P109" s="136">
        <f>(IF((VLOOKUP(Table6[[#This Row],[SKU]],'All Skus'!$A:$AC,2,FALSE))="JBL",(VLOOKUP(Table6[[#This Row],[SKU]],'All Skus'!$A:$AC,18,FALSE)),""))</f>
        <v>5.2</v>
      </c>
      <c r="Q109" s="136">
        <f>(IF((VLOOKUP(Table6[[#This Row],[SKU]],'All Skus'!$A:$AC,2,FALSE))="JBL",(VLOOKUP(Table6[[#This Row],[SKU]],'All Skus'!$A:$AC,19,FALSE)),""))</f>
        <v>24</v>
      </c>
      <c r="R109" s="136">
        <f>(IF((VLOOKUP(Table6[[#This Row],[SKU]],'All Skus'!$A:$AC,2,FALSE))="JBL",(VLOOKUP(Table6[[#This Row],[SKU]],'All Skus'!$A:$AC,20,FALSE)),""))</f>
        <v>15</v>
      </c>
      <c r="S109" s="61">
        <f>(IF((VLOOKUP(Table6[[#This Row],[SKU]],'All Skus'!$A:$AC,2,FALSE))="JBL",(VLOOKUP(Table6[[#This Row],[SKU]],'All Skus'!$A:$AC,21,FALSE)),""))</f>
        <v>1</v>
      </c>
      <c r="T109" s="61" t="str">
        <f>(IF((VLOOKUP(Table6[[#This Row],[SKU]],'All Skus'!$A:$AC,2,FALSE))="JBL",(VLOOKUP(Table6[[#This Row],[SKU]],'All Skus'!$A:$AC,22,FALSE)),""))</f>
        <v>CN</v>
      </c>
      <c r="U109" t="str">
        <f>(IF((VLOOKUP(Table6[[#This Row],[SKU]],'All Skus'!$A:$AC,2,FALSE))="JBL",(VLOOKUP(Table6[[#This Row],[SKU]],'All Skus'!$A:$AC,23,FALSE)),""))</f>
        <v>Non Compliant</v>
      </c>
      <c r="V109" s="284" t="str">
        <f>HYPERLINK((IF((VLOOKUP(Table6[[#This Row],[SKU]],'All Skus'!$A:$AC,2,FALSE))="JBL",(VLOOKUP(Table6[[#This Row],[SKU]],'All Skus'!$A:$AC,24,FALSE)),"")))</f>
        <v xml:space="preserve">http://www.jblpro.com/ProductAttachments/mtc-nc.pdf </v>
      </c>
      <c r="W109" s="151">
        <v>107</v>
      </c>
    </row>
    <row r="110" spans="1:23" ht="15" hidden="1" customHeight="1">
      <c r="A110" s="104" t="s">
        <v>1116</v>
      </c>
      <c r="B110" s="12">
        <f>(IF((VLOOKUP(Table6[[#This Row],[SKU]],'All Skus'!$A:$AC,2,FALSE))="JBL",(VLOOKUP(Table6[[#This Row],[SKU]],'All Skus'!$A:$AC,3,FALSE)),""))</f>
        <v>0</v>
      </c>
      <c r="C110" s="12">
        <f>(IF((VLOOKUP(Table6[[#This Row],[SKU]],'All Skus'!$A:$AC,2,FALSE))="JBL",(VLOOKUP(Table6[[#This Row],[SKU]],'All Skus'!$A:$AC,4,FALSE)),""))</f>
        <v>0</v>
      </c>
      <c r="D110" s="61">
        <f>(IF((VLOOKUP(Table6[[#This Row],[SKU]],'All Skus'!$A:$AC,2,FALSE))="JBL",(VLOOKUP(Table6[[#This Row],[SKU]],'All Skus'!$A:$AC,5,FALSE)),""))</f>
        <v>0</v>
      </c>
      <c r="E110" s="137">
        <f>(IF((VLOOKUP(Table6[[#This Row],[SKU]],'All Skus'!$A:$AC,2,FALSE))="JBL",(VLOOKUP(Table6[[#This Row],[SKU]],'All Skus'!$A:$AC,6,FALSE)),""))</f>
        <v>0</v>
      </c>
      <c r="F110" s="61">
        <f>(IF((VLOOKUP(Table6[[#This Row],[SKU]],'All Skus'!$A:$AC,2,FALSE))="JBL",(VLOOKUP(Table6[[#This Row],[SKU]],'All Skus'!$A:$AC,7,FALSE)),""))</f>
        <v>0</v>
      </c>
      <c r="G110">
        <f>(IF((VLOOKUP(Table6[[#This Row],[SKU]],'All Skus'!$A:$AC,2,FALSE))="JBL",(VLOOKUP(Table6[[#This Row],[SKU]],'All Skus'!$A:$AC,8,FALSE)),""))</f>
        <v>0</v>
      </c>
      <c r="H110" s="8">
        <f>(IF((VLOOKUP(Table6[[#This Row],[SKU]],'All Skus'!$A:$AC,2,FALSE))="JBL",(VLOOKUP(Table6[[#This Row],[SKU]],'All Skus'!$A:$AC,9,FALSE)),""))</f>
        <v>0</v>
      </c>
      <c r="I110" s="101">
        <f>(IF((VLOOKUP(Table6[[#This Row],[SKU]],'All Skus'!$A:$AC,2,FALSE))="JBL",(VLOOKUP(Table6[[#This Row],[SKU]],'All Skus'!$A:$AC,10,FALSE)),""))</f>
        <v>0</v>
      </c>
      <c r="J110" s="101">
        <f>(IF((VLOOKUP(Table6[[#This Row],[SKU]],'All Skus'!$A:$AC,2,FALSE))="JBL",(VLOOKUP(Table6[[#This Row],[SKU]],'All Skus'!$A:$AC,11,FALSE)),""))</f>
        <v>0</v>
      </c>
      <c r="K110" s="102">
        <f>(IF((VLOOKUP(Table6[[#This Row],[SKU]],'All Skus'!$A:$AC,2,FALSE))="JBL",(VLOOKUP(Table6[[#This Row],[SKU]],'All Skus'!$A:$AC,13,FALSE)),""))</f>
        <v>0</v>
      </c>
      <c r="L110" s="102">
        <f>(IF((VLOOKUP(Table6[[#This Row],[SKU]],'All Skus'!$A:$AC,2,FALSE))="JBL",(VLOOKUP(Table6[[#This Row],[SKU]],'All Skus'!$A:$AC,14,FALSE)),""))</f>
        <v>0</v>
      </c>
      <c r="M110" s="143">
        <f>(IF((VLOOKUP(Table6[[#This Row],[SKU]],'All Skus'!$A:$AC,2,FALSE))="JBL",(VLOOKUP(Table6[[#This Row],[SKU]],'All Skus'!$A:$AC,15,FALSE)),""))</f>
        <v>0</v>
      </c>
      <c r="N110" s="137">
        <f>(IF((VLOOKUP(Table6[[#This Row],[SKU]],'All Skus'!$A:$AC,2,FALSE))="JBL",(VLOOKUP(Table6[[#This Row],[SKU]],'All Skus'!$A:$AC,16,FALSE)),""))</f>
        <v>0</v>
      </c>
      <c r="O110" s="61">
        <f>(IF((VLOOKUP(Table6[[#This Row],[SKU]],'All Skus'!$A:$AC,2,FALSE))="JBL",(VLOOKUP(Table6[[#This Row],[SKU]],'All Skus'!$A:$AC,17,FALSE)),""))</f>
        <v>0</v>
      </c>
      <c r="P110" s="136">
        <f>(IF((VLOOKUP(Table6[[#This Row],[SKU]],'All Skus'!$A:$AC,2,FALSE))="JBL",(VLOOKUP(Table6[[#This Row],[SKU]],'All Skus'!$A:$AC,18,FALSE)),""))</f>
        <v>0</v>
      </c>
      <c r="Q110" s="136">
        <f>(IF((VLOOKUP(Table6[[#This Row],[SKU]],'All Skus'!$A:$AC,2,FALSE))="JBL",(VLOOKUP(Table6[[#This Row],[SKU]],'All Skus'!$A:$AC,19,FALSE)),""))</f>
        <v>0</v>
      </c>
      <c r="R110" s="136">
        <f>(IF((VLOOKUP(Table6[[#This Row],[SKU]],'All Skus'!$A:$AC,2,FALSE))="JBL",(VLOOKUP(Table6[[#This Row],[SKU]],'All Skus'!$A:$AC,20,FALSE)),""))</f>
        <v>0</v>
      </c>
      <c r="S110" s="61">
        <f>(IF((VLOOKUP(Table6[[#This Row],[SKU]],'All Skus'!$A:$AC,2,FALSE))="JBL",(VLOOKUP(Table6[[#This Row],[SKU]],'All Skus'!$A:$AC,21,FALSE)),""))</f>
        <v>0</v>
      </c>
      <c r="T110" s="61" t="str">
        <f>(IF((VLOOKUP(Table6[[#This Row],[SKU]],'All Skus'!$A:$AC,2,FALSE))="JBL",(VLOOKUP(Table6[[#This Row],[SKU]],'All Skus'!$A:$AC,22,FALSE)),""))</f>
        <v>CN</v>
      </c>
      <c r="U110" t="str">
        <f>(IF((VLOOKUP(Table6[[#This Row],[SKU]],'All Skus'!$A:$AC,2,FALSE))="JBL",(VLOOKUP(Table6[[#This Row],[SKU]],'All Skus'!$A:$AC,23,FALSE)),""))</f>
        <v>Non Compliant</v>
      </c>
      <c r="V110" s="284" t="str">
        <f>HYPERLINK((IF((VLOOKUP(Table6[[#This Row],[SKU]],'All Skus'!$A:$AC,2,FALSE))="JBL",(VLOOKUP(Table6[[#This Row],[SKU]],'All Skus'!$A:$AC,24,FALSE)),"")))</f>
        <v/>
      </c>
      <c r="W110" s="151">
        <v>108</v>
      </c>
    </row>
    <row r="111" spans="1:23" ht="15" hidden="1" customHeight="1">
      <c r="A111" s="13" t="s">
        <v>1117</v>
      </c>
      <c r="B111" s="12" t="str">
        <f>(IF((VLOOKUP(Table6[[#This Row],[SKU]],'All Skus'!$A:$AC,2,FALSE))="JBL",(VLOOKUP(Table6[[#This Row],[SKU]],'All Skus'!$A:$AC,3,FALSE)),""))</f>
        <v>Ceiling Speaker</v>
      </c>
      <c r="C111" s="12" t="str">
        <f>(IF((VLOOKUP(Table6[[#This Row],[SKU]],'All Skus'!$A:$AC,2,FALSE))="JBL",(VLOOKUP(Table6[[#This Row],[SKU]],'All Skus'!$A:$AC,4,FALSE)),""))</f>
        <v>CONTROL 226C/T</v>
      </c>
      <c r="D111" s="61" t="str">
        <f>(IF((VLOOKUP(Table6[[#This Row],[SKU]],'All Skus'!$A:$AC,2,FALSE))="JBL",(VLOOKUP(Table6[[#This Row],[SKU]],'All Skus'!$A:$AC,5,FALSE)),""))</f>
        <v>JBL018</v>
      </c>
      <c r="E111" s="137">
        <f>(IF((VLOOKUP(Table6[[#This Row],[SKU]],'All Skus'!$A:$AC,2,FALSE))="JBL",(VLOOKUP(Table6[[#This Row],[SKU]],'All Skus'!$A:$AC,6,FALSE)),""))</f>
        <v>0</v>
      </c>
      <c r="F111" s="61">
        <f>(IF((VLOOKUP(Table6[[#This Row],[SKU]],'All Skus'!$A:$AC,2,FALSE))="JBL",(VLOOKUP(Table6[[#This Row],[SKU]],'All Skus'!$A:$AC,7,FALSE)),""))</f>
        <v>0</v>
      </c>
      <c r="G111" t="str">
        <f>(IF((VLOOKUP(Table6[[#This Row],[SKU]],'All Skus'!$A:$AC,2,FALSE))="JBL",(VLOOKUP(Table6[[#This Row],[SKU]],'All Skus'!$A:$AC,8,FALSE)),""))</f>
        <v>6" CEILING SPKR W BACK CAN 2PER CTN</v>
      </c>
      <c r="H111" s="8" t="str">
        <f>(IF((VLOOKUP(Table6[[#This Row],[SKU]],'All Skus'!$A:$AC,2,FALSE))="JBL",(VLOOKUP(Table6[[#This Row],[SKU]],'All Skus'!$A:$AC,9,FALSE)),""))</f>
        <v>6.5” Coax Ceiling Loudspeaker. True-Broadband 120º Coverage.  150 Watts, 47 Hz to 19kHz Frequency Response, 90 dB Sensitivity. 1” Exit Compression Driver. 8 ohms Plus 70V/100V Taps at 60W, 30W, 15W (And 7.5W @ 70V).   13” Round Ported Baffle x 9.7” Deep.  (Priced as Each, Sold in Pairs).</v>
      </c>
      <c r="I111" s="101">
        <f>(IF((VLOOKUP(Table6[[#This Row],[SKU]],'All Skus'!$A:$AC,2,FALSE))="JBL",(VLOOKUP(Table6[[#This Row],[SKU]],'All Skus'!$A:$AC,10,FALSE)),""))</f>
        <v>454.08</v>
      </c>
      <c r="J111" s="101">
        <f>(IF((VLOOKUP(Table6[[#This Row],[SKU]],'All Skus'!$A:$AC,2,FALSE))="JBL",(VLOOKUP(Table6[[#This Row],[SKU]],'All Skus'!$A:$AC,11,FALSE)),""))</f>
        <v>360</v>
      </c>
      <c r="K111" s="102">
        <f>(IF((VLOOKUP(Table6[[#This Row],[SKU]],'All Skus'!$A:$AC,2,FALSE))="JBL",(VLOOKUP(Table6[[#This Row],[SKU]],'All Skus'!$A:$AC,13,FALSE)),""))</f>
        <v>251.27880000000002</v>
      </c>
      <c r="L111" s="102">
        <f>(IF((VLOOKUP(Table6[[#This Row],[SKU]],'All Skus'!$A:$AC,2,FALSE))="JBL",(VLOOKUP(Table6[[#This Row],[SKU]],'All Skus'!$A:$AC,14,FALSE)),""))</f>
        <v>238.05360000000002</v>
      </c>
      <c r="M111" s="143">
        <f>(IF((VLOOKUP(Table6[[#This Row],[SKU]],'All Skus'!$A:$AC,2,FALSE))="JBL",(VLOOKUP(Table6[[#This Row],[SKU]],'All Skus'!$A:$AC,15,FALSE)),""))</f>
        <v>2</v>
      </c>
      <c r="N111" s="137">
        <f>(IF((VLOOKUP(Table6[[#This Row],[SKU]],'All Skus'!$A:$AC,2,FALSE))="JBL",(VLOOKUP(Table6[[#This Row],[SKU]],'All Skus'!$A:$AC,16,FALSE)),""))</f>
        <v>50036905107</v>
      </c>
      <c r="O111" s="61">
        <f>(IF((VLOOKUP(Table6[[#This Row],[SKU]],'All Skus'!$A:$AC,2,FALSE))="JBL",(VLOOKUP(Table6[[#This Row],[SKU]],'All Skus'!$A:$AC,17,FALSE)),""))</f>
        <v>0</v>
      </c>
      <c r="P111" s="136">
        <f>(IF((VLOOKUP(Table6[[#This Row],[SKU]],'All Skus'!$A:$AC,2,FALSE))="JBL",(VLOOKUP(Table6[[#This Row],[SKU]],'All Skus'!$A:$AC,18,FALSE)),""))</f>
        <v>25</v>
      </c>
      <c r="Q111" s="136">
        <f>(IF((VLOOKUP(Table6[[#This Row],[SKU]],'All Skus'!$A:$AC,2,FALSE))="JBL",(VLOOKUP(Table6[[#This Row],[SKU]],'All Skus'!$A:$AC,19,FALSE)),""))</f>
        <v>15.5</v>
      </c>
      <c r="R111" s="136">
        <f>(IF((VLOOKUP(Table6[[#This Row],[SKU]],'All Skus'!$A:$AC,2,FALSE))="JBL",(VLOOKUP(Table6[[#This Row],[SKU]],'All Skus'!$A:$AC,20,FALSE)),""))</f>
        <v>7</v>
      </c>
      <c r="S111" s="61">
        <f>(IF((VLOOKUP(Table6[[#This Row],[SKU]],'All Skus'!$A:$AC,2,FALSE))="JBL",(VLOOKUP(Table6[[#This Row],[SKU]],'All Skus'!$A:$AC,21,FALSE)),""))</f>
        <v>8.5</v>
      </c>
      <c r="T111" s="61" t="str">
        <f>(IF((VLOOKUP(Table6[[#This Row],[SKU]],'All Skus'!$A:$AC,2,FALSE))="JBL",(VLOOKUP(Table6[[#This Row],[SKU]],'All Skus'!$A:$AC,22,FALSE)),""))</f>
        <v>CN</v>
      </c>
      <c r="U111" t="str">
        <f>(IF((VLOOKUP(Table6[[#This Row],[SKU]],'All Skus'!$A:$AC,2,FALSE))="JBL",(VLOOKUP(Table6[[#This Row],[SKU]],'All Skus'!$A:$AC,23,FALSE)),""))</f>
        <v>Non Compliant</v>
      </c>
      <c r="V111" s="284" t="str">
        <f>HYPERLINK((IF((VLOOKUP(Table6[[#This Row],[SKU]],'All Skus'!$A:$AC,2,FALSE))="JBL",(VLOOKUP(Table6[[#This Row],[SKU]],'All Skus'!$A:$AC,24,FALSE)),"")))</f>
        <v xml:space="preserve">http://www.jblpro.com/www/products/installed-sound/control-200-series/control-226c-t </v>
      </c>
      <c r="W111" s="151">
        <v>109</v>
      </c>
    </row>
    <row r="112" spans="1:23" ht="15" hidden="1" customHeight="1">
      <c r="A112" s="13" t="s">
        <v>1118</v>
      </c>
      <c r="B112" s="12" t="str">
        <f>(IF((VLOOKUP(Table6[[#This Row],[SKU]],'All Skus'!$A:$AC,2,FALSE))="JBL",(VLOOKUP(Table6[[#This Row],[SKU]],'All Skus'!$A:$AC,3,FALSE)),""))</f>
        <v>Ceiling Speaker</v>
      </c>
      <c r="C112" s="12" t="str">
        <f>(IF((VLOOKUP(Table6[[#This Row],[SKU]],'All Skus'!$A:$AC,2,FALSE))="JBL",(VLOOKUP(Table6[[#This Row],[SKU]],'All Skus'!$A:$AC,4,FALSE)),""))</f>
        <v>CONTROL 227C</v>
      </c>
      <c r="D112" s="61" t="str">
        <f>(IF((VLOOKUP(Table6[[#This Row],[SKU]],'All Skus'!$A:$AC,2,FALSE))="JBL",(VLOOKUP(Table6[[#This Row],[SKU]],'All Skus'!$A:$AC,5,FALSE)),""))</f>
        <v>JBL018</v>
      </c>
      <c r="E112" s="137">
        <f>(IF((VLOOKUP(Table6[[#This Row],[SKU]],'All Skus'!$A:$AC,2,FALSE))="JBL",(VLOOKUP(Table6[[#This Row],[SKU]],'All Skus'!$A:$AC,6,FALSE)),""))</f>
        <v>0</v>
      </c>
      <c r="F112" s="61">
        <f>(IF((VLOOKUP(Table6[[#This Row],[SKU]],'All Skus'!$A:$AC,2,FALSE))="JBL",(VLOOKUP(Table6[[#This Row],[SKU]],'All Skus'!$A:$AC,7,FALSE)),""))</f>
        <v>0</v>
      </c>
      <c r="G112" t="str">
        <f>(IF((VLOOKUP(Table6[[#This Row],[SKU]],'All Skus'!$A:$AC,2,FALSE))="JBL",(VLOOKUP(Table6[[#This Row],[SKU]],'All Skus'!$A:$AC,8,FALSE)),""))</f>
        <v>6" CEILING SPEAKER ON A BAFFLE</v>
      </c>
      <c r="H112" s="8" t="str">
        <f>(IF((VLOOKUP(Table6[[#This Row],[SKU]],'All Skus'!$A:$AC,2,FALSE))="JBL",(VLOOKUP(Table6[[#This Row],[SKU]],'All Skus'!$A:$AC,9,FALSE)),""))</f>
        <v>6.5” Coax Ceiling Loudspeaker with Compression Driver. Broadband 120º Coverage.  150 Watts, 43 Hz to 19kHz Frequency Response, 90 dB Sensitivity. 1” Exit Compression Driver.  8 ohms. 12” Round Ported Baffle x 5.8” Deep. (Priced and Sold as Each).  UL LISTED</v>
      </c>
      <c r="I112" s="101">
        <f>(IF((VLOOKUP(Table6[[#This Row],[SKU]],'All Skus'!$A:$AC,2,FALSE))="JBL",(VLOOKUP(Table6[[#This Row],[SKU]],'All Skus'!$A:$AC,10,FALSE)),""))</f>
        <v>361.96</v>
      </c>
      <c r="J112" s="101">
        <f>(IF((VLOOKUP(Table6[[#This Row],[SKU]],'All Skus'!$A:$AC,2,FALSE))="JBL",(VLOOKUP(Table6[[#This Row],[SKU]],'All Skus'!$A:$AC,11,FALSE)),""))</f>
        <v>294</v>
      </c>
      <c r="K112" s="102">
        <f>(IF((VLOOKUP(Table6[[#This Row],[SKU]],'All Skus'!$A:$AC,2,FALSE))="JBL",(VLOOKUP(Table6[[#This Row],[SKU]],'All Skus'!$A:$AC,13,FALSE)),""))</f>
        <v>200.31149000000002</v>
      </c>
      <c r="L112" s="102">
        <f>(IF((VLOOKUP(Table6[[#This Row],[SKU]],'All Skus'!$A:$AC,2,FALSE))="JBL",(VLOOKUP(Table6[[#This Row],[SKU]],'All Skus'!$A:$AC,14,FALSE)),""))</f>
        <v>189.76878000000002</v>
      </c>
      <c r="M112" s="143">
        <f>(IF((VLOOKUP(Table6[[#This Row],[SKU]],'All Skus'!$A:$AC,2,FALSE))="JBL",(VLOOKUP(Table6[[#This Row],[SKU]],'All Skus'!$A:$AC,15,FALSE)),""))</f>
        <v>0</v>
      </c>
      <c r="N112" s="137">
        <f>(IF((VLOOKUP(Table6[[#This Row],[SKU]],'All Skus'!$A:$AC,2,FALSE))="JBL",(VLOOKUP(Table6[[#This Row],[SKU]],'All Skus'!$A:$AC,16,FALSE)),""))</f>
        <v>50036905114</v>
      </c>
      <c r="O112" s="61">
        <f>(IF((VLOOKUP(Table6[[#This Row],[SKU]],'All Skus'!$A:$AC,2,FALSE))="JBL",(VLOOKUP(Table6[[#This Row],[SKU]],'All Skus'!$A:$AC,17,FALSE)),""))</f>
        <v>0</v>
      </c>
      <c r="P112" s="136">
        <f>(IF((VLOOKUP(Table6[[#This Row],[SKU]],'All Skus'!$A:$AC,2,FALSE))="JBL",(VLOOKUP(Table6[[#This Row],[SKU]],'All Skus'!$A:$AC,18,FALSE)),""))</f>
        <v>12.2</v>
      </c>
      <c r="Q112" s="136">
        <f>(IF((VLOOKUP(Table6[[#This Row],[SKU]],'All Skus'!$A:$AC,2,FALSE))="JBL",(VLOOKUP(Table6[[#This Row],[SKU]],'All Skus'!$A:$AC,19,FALSE)),""))</f>
        <v>15.5</v>
      </c>
      <c r="R112" s="136">
        <f>(IF((VLOOKUP(Table6[[#This Row],[SKU]],'All Skus'!$A:$AC,2,FALSE))="JBL",(VLOOKUP(Table6[[#This Row],[SKU]],'All Skus'!$A:$AC,20,FALSE)),""))</f>
        <v>15.5</v>
      </c>
      <c r="S112" s="61">
        <f>(IF((VLOOKUP(Table6[[#This Row],[SKU]],'All Skus'!$A:$AC,2,FALSE))="JBL",(VLOOKUP(Table6[[#This Row],[SKU]],'All Skus'!$A:$AC,21,FALSE)),""))</f>
        <v>10</v>
      </c>
      <c r="T112" s="61" t="str">
        <f>(IF((VLOOKUP(Table6[[#This Row],[SKU]],'All Skus'!$A:$AC,2,FALSE))="JBL",(VLOOKUP(Table6[[#This Row],[SKU]],'All Skus'!$A:$AC,22,FALSE)),""))</f>
        <v>CN</v>
      </c>
      <c r="U112" t="str">
        <f>(IF((VLOOKUP(Table6[[#This Row],[SKU]],'All Skus'!$A:$AC,2,FALSE))="JBL",(VLOOKUP(Table6[[#This Row],[SKU]],'All Skus'!$A:$AC,23,FALSE)),""))</f>
        <v>Non Compliant</v>
      </c>
      <c r="V112" s="284" t="str">
        <f>HYPERLINK((IF((VLOOKUP(Table6[[#This Row],[SKU]],'All Skus'!$A:$AC,2,FALSE))="JBL",(VLOOKUP(Table6[[#This Row],[SKU]],'All Skus'!$A:$AC,24,FALSE)),"")))</f>
        <v xml:space="preserve">http://www.jblpro.com/www/products/installed-sound/control-200-series/control-227c </v>
      </c>
      <c r="W112" s="151">
        <v>110</v>
      </c>
    </row>
    <row r="113" spans="1:23" ht="15" hidden="1" customHeight="1">
      <c r="A113" s="13" t="s">
        <v>1119</v>
      </c>
      <c r="B113" s="12" t="str">
        <f>(IF((VLOOKUP(Table6[[#This Row],[SKU]],'All Skus'!$A:$AC,2,FALSE))="JBL",(VLOOKUP(Table6[[#This Row],[SKU]],'All Skus'!$A:$AC,3,FALSE)),""))</f>
        <v>Ceiling Speaker</v>
      </c>
      <c r="C113" s="12" t="str">
        <f>(IF((VLOOKUP(Table6[[#This Row],[SKU]],'All Skus'!$A:$AC,2,FALSE))="JBL",(VLOOKUP(Table6[[#This Row],[SKU]],'All Skus'!$A:$AC,4,FALSE)),""))</f>
        <v>CONTROL 227CT</v>
      </c>
      <c r="D113" s="61" t="str">
        <f>(IF((VLOOKUP(Table6[[#This Row],[SKU]],'All Skus'!$A:$AC,2,FALSE))="JBL",(VLOOKUP(Table6[[#This Row],[SKU]],'All Skus'!$A:$AC,5,FALSE)),""))</f>
        <v>JBL018</v>
      </c>
      <c r="E113" s="137">
        <f>(IF((VLOOKUP(Table6[[#This Row],[SKU]],'All Skus'!$A:$AC,2,FALSE))="JBL",(VLOOKUP(Table6[[#This Row],[SKU]],'All Skus'!$A:$AC,6,FALSE)),""))</f>
        <v>0</v>
      </c>
      <c r="F113" s="61">
        <f>(IF((VLOOKUP(Table6[[#This Row],[SKU]],'All Skus'!$A:$AC,2,FALSE))="JBL",(VLOOKUP(Table6[[#This Row],[SKU]],'All Skus'!$A:$AC,7,FALSE)),""))</f>
        <v>0</v>
      </c>
      <c r="G113" t="str">
        <f>(IF((VLOOKUP(Table6[[#This Row],[SKU]],'All Skus'!$A:$AC,2,FALSE))="JBL",(VLOOKUP(Table6[[#This Row],[SKU]],'All Skus'!$A:$AC,8,FALSE)),""))</f>
        <v>6" CEILING SPEAKER ON A BAFFLE</v>
      </c>
      <c r="H113" s="8" t="str">
        <f>(IF((VLOOKUP(Table6[[#This Row],[SKU]],'All Skus'!$A:$AC,2,FALSE))="JBL",(VLOOKUP(Table6[[#This Row],[SKU]],'All Skus'!$A:$AC,9,FALSE)),""))</f>
        <v>Control 227C with Pre-Attached 60 Watt 70V/100V Multi-Tap Transformer.  Taps at 68 W, 34W and 17W (plus 8.5W at 70V only).  12” Round Baffle x 5.8” Deep. (Priced and Sold as Each).   UL LISTED</v>
      </c>
      <c r="I113" s="101">
        <f>(IF((VLOOKUP(Table6[[#This Row],[SKU]],'All Skus'!$A:$AC,2,FALSE))="JBL",(VLOOKUP(Table6[[#This Row],[SKU]],'All Skus'!$A:$AC,10,FALSE)),""))</f>
        <v>412.56</v>
      </c>
      <c r="J113" s="101">
        <f>(IF((VLOOKUP(Table6[[#This Row],[SKU]],'All Skus'!$A:$AC,2,FALSE))="JBL",(VLOOKUP(Table6[[#This Row],[SKU]],'All Skus'!$A:$AC,11,FALSE)),""))</f>
        <v>329</v>
      </c>
      <c r="K113" s="102">
        <f>(IF((VLOOKUP(Table6[[#This Row],[SKU]],'All Skus'!$A:$AC,2,FALSE))="JBL",(VLOOKUP(Table6[[#This Row],[SKU]],'All Skus'!$A:$AC,13,FALSE)),""))</f>
        <v>228.30589999999998</v>
      </c>
      <c r="L113" s="102">
        <f>(IF((VLOOKUP(Table6[[#This Row],[SKU]],'All Skus'!$A:$AC,2,FALSE))="JBL",(VLOOKUP(Table6[[#This Row],[SKU]],'All Skus'!$A:$AC,14,FALSE)),""))</f>
        <v>216.28980000000001</v>
      </c>
      <c r="M113" s="143">
        <f>(IF((VLOOKUP(Table6[[#This Row],[SKU]],'All Skus'!$A:$AC,2,FALSE))="JBL",(VLOOKUP(Table6[[#This Row],[SKU]],'All Skus'!$A:$AC,15,FALSE)),""))</f>
        <v>0</v>
      </c>
      <c r="N113" s="137">
        <f>(IF((VLOOKUP(Table6[[#This Row],[SKU]],'All Skus'!$A:$AC,2,FALSE))="JBL",(VLOOKUP(Table6[[#This Row],[SKU]],'All Skus'!$A:$AC,16,FALSE)),""))</f>
        <v>50036905121</v>
      </c>
      <c r="O113" s="61">
        <f>(IF((VLOOKUP(Table6[[#This Row],[SKU]],'All Skus'!$A:$AC,2,FALSE))="JBL",(VLOOKUP(Table6[[#This Row],[SKU]],'All Skus'!$A:$AC,17,FALSE)),""))</f>
        <v>0</v>
      </c>
      <c r="P113" s="136">
        <f>(IF((VLOOKUP(Table6[[#This Row],[SKU]],'All Skus'!$A:$AC,2,FALSE))="JBL",(VLOOKUP(Table6[[#This Row],[SKU]],'All Skus'!$A:$AC,18,FALSE)),""))</f>
        <v>14.65</v>
      </c>
      <c r="Q113" s="136">
        <f>(IF((VLOOKUP(Table6[[#This Row],[SKU]],'All Skus'!$A:$AC,2,FALSE))="JBL",(VLOOKUP(Table6[[#This Row],[SKU]],'All Skus'!$A:$AC,19,FALSE)),""))</f>
        <v>16</v>
      </c>
      <c r="R113" s="136">
        <f>(IF((VLOOKUP(Table6[[#This Row],[SKU]],'All Skus'!$A:$AC,2,FALSE))="JBL",(VLOOKUP(Table6[[#This Row],[SKU]],'All Skus'!$A:$AC,20,FALSE)),""))</f>
        <v>16</v>
      </c>
      <c r="S113" s="61">
        <f>(IF((VLOOKUP(Table6[[#This Row],[SKU]],'All Skus'!$A:$AC,2,FALSE))="JBL",(VLOOKUP(Table6[[#This Row],[SKU]],'All Skus'!$A:$AC,21,FALSE)),""))</f>
        <v>10</v>
      </c>
      <c r="T113" s="61" t="str">
        <f>(IF((VLOOKUP(Table6[[#This Row],[SKU]],'All Skus'!$A:$AC,2,FALSE))="JBL",(VLOOKUP(Table6[[#This Row],[SKU]],'All Skus'!$A:$AC,22,FALSE)),""))</f>
        <v>CN</v>
      </c>
      <c r="U113" t="str">
        <f>(IF((VLOOKUP(Table6[[#This Row],[SKU]],'All Skus'!$A:$AC,2,FALSE))="JBL",(VLOOKUP(Table6[[#This Row],[SKU]],'All Skus'!$A:$AC,23,FALSE)),""))</f>
        <v>Non Compliant</v>
      </c>
      <c r="V113" s="284" t="str">
        <f>HYPERLINK((IF((VLOOKUP(Table6[[#This Row],[SKU]],'All Skus'!$A:$AC,2,FALSE))="JBL",(VLOOKUP(Table6[[#This Row],[SKU]],'All Skus'!$A:$AC,24,FALSE)),"")))</f>
        <v xml:space="preserve">http://www.jblpro.com/www/products/installed-sound/control-200-series/control-227ct </v>
      </c>
      <c r="W113" s="151">
        <v>111</v>
      </c>
    </row>
    <row r="114" spans="1:23" ht="15" hidden="1" customHeight="1">
      <c r="A114" s="13" t="s">
        <v>1120</v>
      </c>
      <c r="B114" s="12" t="str">
        <f>(IF((VLOOKUP(Table6[[#This Row],[SKU]],'All Skus'!$A:$AC,2,FALSE))="JBL",(VLOOKUP(Table6[[#This Row],[SKU]],'All Skus'!$A:$AC,3,FALSE)),""))</f>
        <v>Accessory</v>
      </c>
      <c r="C114" s="12" t="str">
        <f>(IF((VLOOKUP(Table6[[#This Row],[SKU]],'All Skus'!$A:$AC,2,FALSE))="JBL",(VLOOKUP(Table6[[#This Row],[SKU]],'All Skus'!$A:$AC,4,FALSE)),""))</f>
        <v>MTC-200BB6</v>
      </c>
      <c r="D114" s="61" t="str">
        <f>(IF((VLOOKUP(Table6[[#This Row],[SKU]],'All Skus'!$A:$AC,2,FALSE))="JBL",(VLOOKUP(Table6[[#This Row],[SKU]],'All Skus'!$A:$AC,5,FALSE)),""))</f>
        <v>JBL018</v>
      </c>
      <c r="E114" s="137">
        <f>(IF((VLOOKUP(Table6[[#This Row],[SKU]],'All Skus'!$A:$AC,2,FALSE))="JBL",(VLOOKUP(Table6[[#This Row],[SKU]],'All Skus'!$A:$AC,6,FALSE)),""))</f>
        <v>0</v>
      </c>
      <c r="F114" s="61">
        <f>(IF((VLOOKUP(Table6[[#This Row],[SKU]],'All Skus'!$A:$AC,2,FALSE))="JBL",(VLOOKUP(Table6[[#This Row],[SKU]],'All Skus'!$A:$AC,7,FALSE)),""))</f>
        <v>0</v>
      </c>
      <c r="G114" t="str">
        <f>(IF((VLOOKUP(Table6[[#This Row],[SKU]],'All Skus'!$A:$AC,2,FALSE))="JBL",(VLOOKUP(Table6[[#This Row],[SKU]],'All Skus'!$A:$AC,8,FALSE)),""))</f>
        <v>BACKBOX FOR 6" C200</v>
      </c>
      <c r="H114" s="8" t="str">
        <f>(IF((VLOOKUP(Table6[[#This Row],[SKU]],'All Skus'!$A:$AC,2,FALSE))="JBL",(VLOOKUP(Table6[[#This Row],[SKU]],'All Skus'!$A:$AC,9,FALSE)),""))</f>
        <v>Backcan for Control 227C &amp; CT.  Round with extra-thick 16-gauge steel and heavy-duty 1/2" MDP reinforcement on top panel.  Knockouts on sides and top panel.  0.5 cu ft, 13.3" dia x 8.1" deep, UL LISTED, (priced and shipped in eaches).</v>
      </c>
      <c r="I114" s="101">
        <f>(IF((VLOOKUP(Table6[[#This Row],[SKU]],'All Skus'!$A:$AC,2,FALSE))="JBL",(VLOOKUP(Table6[[#This Row],[SKU]],'All Skus'!$A:$AC,10,FALSE)),""))</f>
        <v>94.84</v>
      </c>
      <c r="J114" s="101">
        <f>(IF((VLOOKUP(Table6[[#This Row],[SKU]],'All Skus'!$A:$AC,2,FALSE))="JBL",(VLOOKUP(Table6[[#This Row],[SKU]],'All Skus'!$A:$AC,11,FALSE)),""))</f>
        <v>94.84</v>
      </c>
      <c r="K114" s="102">
        <f>(IF((VLOOKUP(Table6[[#This Row],[SKU]],'All Skus'!$A:$AC,2,FALSE))="JBL",(VLOOKUP(Table6[[#This Row],[SKU]],'All Skus'!$A:$AC,13,FALSE)),""))</f>
        <v>52.441234999999999</v>
      </c>
      <c r="L114" s="102">
        <f>(IF((VLOOKUP(Table6[[#This Row],[SKU]],'All Skus'!$A:$AC,2,FALSE))="JBL",(VLOOKUP(Table6[[#This Row],[SKU]],'All Skus'!$A:$AC,14,FALSE)),""))</f>
        <v>49.681170000000002</v>
      </c>
      <c r="M114" s="143">
        <f>(IF((VLOOKUP(Table6[[#This Row],[SKU]],'All Skus'!$A:$AC,2,FALSE))="JBL",(VLOOKUP(Table6[[#This Row],[SKU]],'All Skus'!$A:$AC,15,FALSE)),""))</f>
        <v>0</v>
      </c>
      <c r="N114" s="137">
        <f>(IF((VLOOKUP(Table6[[#This Row],[SKU]],'All Skus'!$A:$AC,2,FALSE))="JBL",(VLOOKUP(Table6[[#This Row],[SKU]],'All Skus'!$A:$AC,16,FALSE)),""))</f>
        <v>691991300103</v>
      </c>
      <c r="O114" s="61">
        <f>(IF((VLOOKUP(Table6[[#This Row],[SKU]],'All Skus'!$A:$AC,2,FALSE))="JBL",(VLOOKUP(Table6[[#This Row],[SKU]],'All Skus'!$A:$AC,17,FALSE)),""))</f>
        <v>0</v>
      </c>
      <c r="P114" s="136">
        <f>(IF((VLOOKUP(Table6[[#This Row],[SKU]],'All Skus'!$A:$AC,2,FALSE))="JBL",(VLOOKUP(Table6[[#This Row],[SKU]],'All Skus'!$A:$AC,18,FALSE)),""))</f>
        <v>9.3000000000000007</v>
      </c>
      <c r="Q114" s="136">
        <f>(IF((VLOOKUP(Table6[[#This Row],[SKU]],'All Skus'!$A:$AC,2,FALSE))="JBL",(VLOOKUP(Table6[[#This Row],[SKU]],'All Skus'!$A:$AC,19,FALSE)),""))</f>
        <v>14</v>
      </c>
      <c r="R114" s="136">
        <f>(IF((VLOOKUP(Table6[[#This Row],[SKU]],'All Skus'!$A:$AC,2,FALSE))="JBL",(VLOOKUP(Table6[[#This Row],[SKU]],'All Skus'!$A:$AC,20,FALSE)),""))</f>
        <v>14</v>
      </c>
      <c r="S114" s="61">
        <f>(IF((VLOOKUP(Table6[[#This Row],[SKU]],'All Skus'!$A:$AC,2,FALSE))="JBL",(VLOOKUP(Table6[[#This Row],[SKU]],'All Skus'!$A:$AC,21,FALSE)),""))</f>
        <v>10</v>
      </c>
      <c r="T114" s="61" t="str">
        <f>(IF((VLOOKUP(Table6[[#This Row],[SKU]],'All Skus'!$A:$AC,2,FALSE))="JBL",(VLOOKUP(Table6[[#This Row],[SKU]],'All Skus'!$A:$AC,22,FALSE)),""))</f>
        <v>CN</v>
      </c>
      <c r="U114" t="str">
        <f>(IF((VLOOKUP(Table6[[#This Row],[SKU]],'All Skus'!$A:$AC,2,FALSE))="JBL",(VLOOKUP(Table6[[#This Row],[SKU]],'All Skus'!$A:$AC,23,FALSE)),""))</f>
        <v>Non Compliant</v>
      </c>
      <c r="V114" s="284" t="str">
        <f>HYPERLINK((IF((VLOOKUP(Table6[[#This Row],[SKU]],'All Skus'!$A:$AC,2,FALSE))="JBL",(VLOOKUP(Table6[[#This Row],[SKU]],'All Skus'!$A:$AC,24,FALSE)),"")))</f>
        <v xml:space="preserve">http://www.jblpro.com/www/products/installed-sound/control-200-series/mtc-200bb6 </v>
      </c>
      <c r="W114" s="151">
        <v>112</v>
      </c>
    </row>
    <row r="115" spans="1:23" ht="15" hidden="1" customHeight="1">
      <c r="A115" s="13" t="s">
        <v>1121</v>
      </c>
      <c r="B115" s="12" t="str">
        <f>(IF((VLOOKUP(Table6[[#This Row],[SKU]],'All Skus'!$A:$AC,2,FALSE))="JBL",(VLOOKUP(Table6[[#This Row],[SKU]],'All Skus'!$A:$AC,3,FALSE)),""))</f>
        <v>Accessory</v>
      </c>
      <c r="C115" s="12" t="str">
        <f>(IF((VLOOKUP(Table6[[#This Row],[SKU]],'All Skus'!$A:$AC,2,FALSE))="JBL",(VLOOKUP(Table6[[#This Row],[SKU]],'All Skus'!$A:$AC,4,FALSE)),""))</f>
        <v>MTC-RG6/8</v>
      </c>
      <c r="D115" s="61" t="str">
        <f>(IF((VLOOKUP(Table6[[#This Row],[SKU]],'All Skus'!$A:$AC,2,FALSE))="JBL",(VLOOKUP(Table6[[#This Row],[SKU]],'All Skus'!$A:$AC,5,FALSE)),""))</f>
        <v>JBL018</v>
      </c>
      <c r="E115" s="137">
        <f>(IF((VLOOKUP(Table6[[#This Row],[SKU]],'All Skus'!$A:$AC,2,FALSE))="JBL",(VLOOKUP(Table6[[#This Row],[SKU]],'All Skus'!$A:$AC,6,FALSE)),""))</f>
        <v>0</v>
      </c>
      <c r="F115" s="61">
        <f>(IF((VLOOKUP(Table6[[#This Row],[SKU]],'All Skus'!$A:$AC,2,FALSE))="JBL",(VLOOKUP(Table6[[#This Row],[SKU]],'All Skus'!$A:$AC,7,FALSE)),""))</f>
        <v>0</v>
      </c>
      <c r="G115" t="str">
        <f>(IF((VLOOKUP(Table6[[#This Row],[SKU]],'All Skus'!$A:$AC,2,FALSE))="JBL",(VLOOKUP(Table6[[#This Row],[SKU]],'All Skus'!$A:$AC,8,FALSE)),""))</f>
        <v>GRILLE FOR C328, C227</v>
      </c>
      <c r="H115" s="8" t="str">
        <f>(IF((VLOOKUP(Table6[[#This Row],[SKU]],'All Skus'!$A:$AC,2,FALSE))="JBL",(VLOOKUP(Table6[[#This Row],[SKU]],'All Skus'!$A:$AC,9,FALSE)),""))</f>
        <v>*Previously MTC-300RG8*.  Contemporary Round Grille for Control 227C/CT 6.5” and 328C/CT 8” Models”.  Fashionable Upscale Look, White, Metal, 13.6” Dia x 0.64” Deep.   UL LISTED.  Sold and Shipped as Eaches).</v>
      </c>
      <c r="I115" s="101">
        <f>(IF((VLOOKUP(Table6[[#This Row],[SKU]],'All Skus'!$A:$AC,2,FALSE))="JBL",(VLOOKUP(Table6[[#This Row],[SKU]],'All Skus'!$A:$AC,10,FALSE)),""))</f>
        <v>39.93</v>
      </c>
      <c r="J115" s="101">
        <f>(IF((VLOOKUP(Table6[[#This Row],[SKU]],'All Skus'!$A:$AC,2,FALSE))="JBL",(VLOOKUP(Table6[[#This Row],[SKU]],'All Skus'!$A:$AC,11,FALSE)),""))</f>
        <v>39.93</v>
      </c>
      <c r="K115" s="102">
        <f>(IF((VLOOKUP(Table6[[#This Row],[SKU]],'All Skus'!$A:$AC,2,FALSE))="JBL",(VLOOKUP(Table6[[#This Row],[SKU]],'All Skus'!$A:$AC,13,FALSE)),""))</f>
        <v>22.129204999999999</v>
      </c>
      <c r="L115" s="102">
        <f>(IF((VLOOKUP(Table6[[#This Row],[SKU]],'All Skus'!$A:$AC,2,FALSE))="JBL",(VLOOKUP(Table6[[#This Row],[SKU]],'All Skus'!$A:$AC,14,FALSE)),""))</f>
        <v>20.964510000000001</v>
      </c>
      <c r="M115" s="143">
        <f>(IF((VLOOKUP(Table6[[#This Row],[SKU]],'All Skus'!$A:$AC,2,FALSE))="JBL",(VLOOKUP(Table6[[#This Row],[SKU]],'All Skus'!$A:$AC,15,FALSE)),""))</f>
        <v>1</v>
      </c>
      <c r="N115" s="137">
        <f>(IF((VLOOKUP(Table6[[#This Row],[SKU]],'All Skus'!$A:$AC,2,FALSE))="JBL",(VLOOKUP(Table6[[#This Row],[SKU]],'All Skus'!$A:$AC,16,FALSE)),""))</f>
        <v>50036904780</v>
      </c>
      <c r="O115" s="61">
        <f>(IF((VLOOKUP(Table6[[#This Row],[SKU]],'All Skus'!$A:$AC,2,FALSE))="JBL",(VLOOKUP(Table6[[#This Row],[SKU]],'All Skus'!$A:$AC,17,FALSE)),""))</f>
        <v>0</v>
      </c>
      <c r="P115" s="136">
        <f>(IF((VLOOKUP(Table6[[#This Row],[SKU]],'All Skus'!$A:$AC,2,FALSE))="JBL",(VLOOKUP(Table6[[#This Row],[SKU]],'All Skus'!$A:$AC,18,FALSE)),""))</f>
        <v>1.75</v>
      </c>
      <c r="Q115" s="136">
        <f>(IF((VLOOKUP(Table6[[#This Row],[SKU]],'All Skus'!$A:$AC,2,FALSE))="JBL",(VLOOKUP(Table6[[#This Row],[SKU]],'All Skus'!$A:$AC,19,FALSE)),""))</f>
        <v>2</v>
      </c>
      <c r="R115" s="136">
        <f>(IF((VLOOKUP(Table6[[#This Row],[SKU]],'All Skus'!$A:$AC,2,FALSE))="JBL",(VLOOKUP(Table6[[#This Row],[SKU]],'All Skus'!$A:$AC,20,FALSE)),""))</f>
        <v>15</v>
      </c>
      <c r="S115" s="61">
        <f>(IF((VLOOKUP(Table6[[#This Row],[SKU]],'All Skus'!$A:$AC,2,FALSE))="JBL",(VLOOKUP(Table6[[#This Row],[SKU]],'All Skus'!$A:$AC,21,FALSE)),""))</f>
        <v>15</v>
      </c>
      <c r="T115" s="61" t="str">
        <f>(IF((VLOOKUP(Table6[[#This Row],[SKU]],'All Skus'!$A:$AC,2,FALSE))="JBL",(VLOOKUP(Table6[[#This Row],[SKU]],'All Skus'!$A:$AC,22,FALSE)),""))</f>
        <v>CN</v>
      </c>
      <c r="U115" t="str">
        <f>(IF((VLOOKUP(Table6[[#This Row],[SKU]],'All Skus'!$A:$AC,2,FALSE))="JBL",(VLOOKUP(Table6[[#This Row],[SKU]],'All Skus'!$A:$AC,23,FALSE)),""))</f>
        <v>Non Compliant</v>
      </c>
      <c r="V115" s="284" t="str">
        <f>HYPERLINK((IF((VLOOKUP(Table6[[#This Row],[SKU]],'All Skus'!$A:$AC,2,FALSE))="JBL",(VLOOKUP(Table6[[#This Row],[SKU]],'All Skus'!$A:$AC,24,FALSE)),"")))</f>
        <v xml:space="preserve">http://www.jblpro.com/www/products/installed-sound/control-200-series/mtc-rg6-8 </v>
      </c>
      <c r="W115" s="151">
        <v>113</v>
      </c>
    </row>
    <row r="116" spans="1:23" ht="15" hidden="1" customHeight="1">
      <c r="A116" s="13" t="s">
        <v>1122</v>
      </c>
      <c r="B116" s="12" t="str">
        <f>(IF((VLOOKUP(Table6[[#This Row],[SKU]],'All Skus'!$A:$AC,2,FALSE))="JBL",(VLOOKUP(Table6[[#This Row],[SKU]],'All Skus'!$A:$AC,3,FALSE)),""))</f>
        <v>Accessory</v>
      </c>
      <c r="C116" s="12" t="str">
        <f>(IF((VLOOKUP(Table6[[#This Row],[SKU]],'All Skus'!$A:$AC,2,FALSE))="JBL",(VLOOKUP(Table6[[#This Row],[SKU]],'All Skus'!$A:$AC,4,FALSE)),""))</f>
        <v>MTC-SG6/8</v>
      </c>
      <c r="D116" s="61" t="str">
        <f>(IF((VLOOKUP(Table6[[#This Row],[SKU]],'All Skus'!$A:$AC,2,FALSE))="JBL",(VLOOKUP(Table6[[#This Row],[SKU]],'All Skus'!$A:$AC,5,FALSE)),""))</f>
        <v>JBL018</v>
      </c>
      <c r="E116" s="137">
        <f>(IF((VLOOKUP(Table6[[#This Row],[SKU]],'All Skus'!$A:$AC,2,FALSE))="JBL",(VLOOKUP(Table6[[#This Row],[SKU]],'All Skus'!$A:$AC,6,FALSE)),""))</f>
        <v>0</v>
      </c>
      <c r="F116" s="61">
        <f>(IF((VLOOKUP(Table6[[#This Row],[SKU]],'All Skus'!$A:$AC,2,FALSE))="JBL",(VLOOKUP(Table6[[#This Row],[SKU]],'All Skus'!$A:$AC,7,FALSE)),""))</f>
        <v>0</v>
      </c>
      <c r="G116" t="str">
        <f>(IF((VLOOKUP(Table6[[#This Row],[SKU]],'All Skus'!$A:$AC,2,FALSE))="JBL",(VLOOKUP(Table6[[#This Row],[SKU]],'All Skus'!$A:$AC,8,FALSE)),""))</f>
        <v>SQUARE GRILLE FOR C328, C227</v>
      </c>
      <c r="H116" s="8" t="str">
        <f>(IF((VLOOKUP(Table6[[#This Row],[SKU]],'All Skus'!$A:$AC,2,FALSE))="JBL",(VLOOKUP(Table6[[#This Row],[SKU]],'All Skus'!$A:$AC,9,FALSE)),""))</f>
        <v>Contemporary Square Grille for Control 200 &amp; 300 Series 6.5” Medium-Format and 8” Large-format Coaxial Ceiling Loudspeakers.     Fashionable, upscale look, white finish over zinc-plated metal.  Fits Control 227C, 227CT, 328C and 328CT.</v>
      </c>
      <c r="I116" s="101">
        <f>(IF((VLOOKUP(Table6[[#This Row],[SKU]],'All Skus'!$A:$AC,2,FALSE))="JBL",(VLOOKUP(Table6[[#This Row],[SKU]],'All Skus'!$A:$AC,10,FALSE)),""))</f>
        <v>66.14</v>
      </c>
      <c r="J116" s="101">
        <f>(IF((VLOOKUP(Table6[[#This Row],[SKU]],'All Skus'!$A:$AC,2,FALSE))="JBL",(VLOOKUP(Table6[[#This Row],[SKU]],'All Skus'!$A:$AC,11,FALSE)),""))</f>
        <v>66.14</v>
      </c>
      <c r="K116" s="102">
        <f>(IF((VLOOKUP(Table6[[#This Row],[SKU]],'All Skus'!$A:$AC,2,FALSE))="JBL",(VLOOKUP(Table6[[#This Row],[SKU]],'All Skus'!$A:$AC,13,FALSE)),""))</f>
        <v>0</v>
      </c>
      <c r="L116" s="102">
        <f>(IF((VLOOKUP(Table6[[#This Row],[SKU]],'All Skus'!$A:$AC,2,FALSE))="JBL",(VLOOKUP(Table6[[#This Row],[SKU]],'All Skus'!$A:$AC,14,FALSE)),""))</f>
        <v>0</v>
      </c>
      <c r="M116" s="143">
        <f>(IF((VLOOKUP(Table6[[#This Row],[SKU]],'All Skus'!$A:$AC,2,FALSE))="JBL",(VLOOKUP(Table6[[#This Row],[SKU]],'All Skus'!$A:$AC,15,FALSE)),""))</f>
        <v>1</v>
      </c>
      <c r="N116" s="137">
        <f>(IF((VLOOKUP(Table6[[#This Row],[SKU]],'All Skus'!$A:$AC,2,FALSE))="JBL",(VLOOKUP(Table6[[#This Row],[SKU]],'All Skus'!$A:$AC,16,FALSE)),""))</f>
        <v>691991300097</v>
      </c>
      <c r="O116" s="61">
        <f>(IF((VLOOKUP(Table6[[#This Row],[SKU]],'All Skus'!$A:$AC,2,FALSE))="JBL",(VLOOKUP(Table6[[#This Row],[SKU]],'All Skus'!$A:$AC,17,FALSE)),""))</f>
        <v>0</v>
      </c>
      <c r="P116" s="136">
        <f>(IF((VLOOKUP(Table6[[#This Row],[SKU]],'All Skus'!$A:$AC,2,FALSE))="JBL",(VLOOKUP(Table6[[#This Row],[SKU]],'All Skus'!$A:$AC,18,FALSE)),""))</f>
        <v>2.25</v>
      </c>
      <c r="Q116" s="136">
        <f>(IF((VLOOKUP(Table6[[#This Row],[SKU]],'All Skus'!$A:$AC,2,FALSE))="JBL",(VLOOKUP(Table6[[#This Row],[SKU]],'All Skus'!$A:$AC,19,FALSE)),""))</f>
        <v>1</v>
      </c>
      <c r="R116" s="136">
        <f>(IF((VLOOKUP(Table6[[#This Row],[SKU]],'All Skus'!$A:$AC,2,FALSE))="JBL",(VLOOKUP(Table6[[#This Row],[SKU]],'All Skus'!$A:$AC,20,FALSE)),""))</f>
        <v>15</v>
      </c>
      <c r="S116" s="61">
        <f>(IF((VLOOKUP(Table6[[#This Row],[SKU]],'All Skus'!$A:$AC,2,FALSE))="JBL",(VLOOKUP(Table6[[#This Row],[SKU]],'All Skus'!$A:$AC,21,FALSE)),""))</f>
        <v>15</v>
      </c>
      <c r="T116" s="61" t="str">
        <f>(IF((VLOOKUP(Table6[[#This Row],[SKU]],'All Skus'!$A:$AC,2,FALSE))="JBL",(VLOOKUP(Table6[[#This Row],[SKU]],'All Skus'!$A:$AC,22,FALSE)),""))</f>
        <v>CN</v>
      </c>
      <c r="U116" t="str">
        <f>(IF((VLOOKUP(Table6[[#This Row],[SKU]],'All Skus'!$A:$AC,2,FALSE))="JBL",(VLOOKUP(Table6[[#This Row],[SKU]],'All Skus'!$A:$AC,23,FALSE)),""))</f>
        <v>Non Compliant</v>
      </c>
      <c r="V116" s="284" t="str">
        <f>HYPERLINK((IF((VLOOKUP(Table6[[#This Row],[SKU]],'All Skus'!$A:$AC,2,FALSE))="JBL",(VLOOKUP(Table6[[#This Row],[SKU]],'All Skus'!$A:$AC,24,FALSE)),"")))</f>
        <v xml:space="preserve">http://www.jblpro.com/www/products/installed-sound/control-200-series/mtc-sg6-8 </v>
      </c>
      <c r="W116" s="151">
        <v>114</v>
      </c>
    </row>
    <row r="117" spans="1:23" ht="15" hidden="1" customHeight="1">
      <c r="A117" s="13" t="s">
        <v>1123</v>
      </c>
      <c r="B117" s="12" t="str">
        <f>(IF((VLOOKUP(Table6[[#This Row],[SKU]],'All Skus'!$A:$AC,2,FALSE))="JBL",(VLOOKUP(Table6[[#This Row],[SKU]],'All Skus'!$A:$AC,3,FALSE)),""))</f>
        <v>Accessory</v>
      </c>
      <c r="C117" s="12" t="str">
        <f>(IF((VLOOKUP(Table6[[#This Row],[SKU]],'All Skus'!$A:$AC,2,FALSE))="JBL",(VLOOKUP(Table6[[#This Row],[SKU]],'All Skus'!$A:$AC,4,FALSE)),""))</f>
        <v>MTC-TB6/8</v>
      </c>
      <c r="D117" s="61" t="str">
        <f>(IF((VLOOKUP(Table6[[#This Row],[SKU]],'All Skus'!$A:$AC,2,FALSE))="JBL",(VLOOKUP(Table6[[#This Row],[SKU]],'All Skus'!$A:$AC,5,FALSE)),""))</f>
        <v>JBL018</v>
      </c>
      <c r="E117" s="137">
        <f>(IF((VLOOKUP(Table6[[#This Row],[SKU]],'All Skus'!$A:$AC,2,FALSE))="JBL",(VLOOKUP(Table6[[#This Row],[SKU]],'All Skus'!$A:$AC,6,FALSE)),""))</f>
        <v>0</v>
      </c>
      <c r="F117" s="61">
        <f>(IF((VLOOKUP(Table6[[#This Row],[SKU]],'All Skus'!$A:$AC,2,FALSE))="JBL",(VLOOKUP(Table6[[#This Row],[SKU]],'All Skus'!$A:$AC,7,FALSE)),""))</f>
        <v>0</v>
      </c>
      <c r="G117" t="str">
        <f>(IF((VLOOKUP(Table6[[#This Row],[SKU]],'All Skus'!$A:$AC,2,FALSE))="JBL",(VLOOKUP(Table6[[#This Row],[SKU]],'All Skus'!$A:$AC,8,FALSE)),""))</f>
        <v>TILE-BRIDGE FOR MTC-200BB6 &amp; MTC-300BB8</v>
      </c>
      <c r="H117" s="8" t="str">
        <f>(IF((VLOOKUP(Table6[[#This Row],[SKU]],'All Skus'!$A:$AC,2,FALSE))="JBL",(VLOOKUP(Table6[[#This Row],[SKU]],'All Skus'!$A:$AC,9,FALSE)),""))</f>
        <v>Tile Bridge for Medium (C227C &amp; C227CT) and Large (C328 &amp; C328CT) Format Ceiling Speakers.  18-Gauge steel.  25.4” x 16.3” x 1” Deep.  (Price as Each, Sold 6 pcs Per Box)</v>
      </c>
      <c r="I117" s="101">
        <f>(IF((VLOOKUP(Table6[[#This Row],[SKU]],'All Skus'!$A:$AC,2,FALSE))="JBL",(VLOOKUP(Table6[[#This Row],[SKU]],'All Skus'!$A:$AC,10,FALSE)),""))</f>
        <v>33.69</v>
      </c>
      <c r="J117" s="101">
        <f>(IF((VLOOKUP(Table6[[#This Row],[SKU]],'All Skus'!$A:$AC,2,FALSE))="JBL",(VLOOKUP(Table6[[#This Row],[SKU]],'All Skus'!$A:$AC,11,FALSE)),""))</f>
        <v>33.69</v>
      </c>
      <c r="K117" s="102">
        <f>(IF((VLOOKUP(Table6[[#This Row],[SKU]],'All Skus'!$A:$AC,2,FALSE))="JBL",(VLOOKUP(Table6[[#This Row],[SKU]],'All Skus'!$A:$AC,13,FALSE)),""))</f>
        <v>0</v>
      </c>
      <c r="L117" s="102">
        <f>(IF((VLOOKUP(Table6[[#This Row],[SKU]],'All Skus'!$A:$AC,2,FALSE))="JBL",(VLOOKUP(Table6[[#This Row],[SKU]],'All Skus'!$A:$AC,14,FALSE)),""))</f>
        <v>0</v>
      </c>
      <c r="M117" s="143">
        <f>(IF((VLOOKUP(Table6[[#This Row],[SKU]],'All Skus'!$A:$AC,2,FALSE))="JBL",(VLOOKUP(Table6[[#This Row],[SKU]],'All Skus'!$A:$AC,15,FALSE)),""))</f>
        <v>6</v>
      </c>
      <c r="N117" s="137">
        <f>(IF((VLOOKUP(Table6[[#This Row],[SKU]],'All Skus'!$A:$AC,2,FALSE))="JBL",(VLOOKUP(Table6[[#This Row],[SKU]],'All Skus'!$A:$AC,16,FALSE)),""))</f>
        <v>691991300080</v>
      </c>
      <c r="O117" s="61">
        <f>(IF((VLOOKUP(Table6[[#This Row],[SKU]],'All Skus'!$A:$AC,2,FALSE))="JBL",(VLOOKUP(Table6[[#This Row],[SKU]],'All Skus'!$A:$AC,17,FALSE)),""))</f>
        <v>0</v>
      </c>
      <c r="P117" s="136">
        <f>(IF((VLOOKUP(Table6[[#This Row],[SKU]],'All Skus'!$A:$AC,2,FALSE))="JBL",(VLOOKUP(Table6[[#This Row],[SKU]],'All Skus'!$A:$AC,18,FALSE)),""))</f>
        <v>6</v>
      </c>
      <c r="Q117" s="136">
        <f>(IF((VLOOKUP(Table6[[#This Row],[SKU]],'All Skus'!$A:$AC,2,FALSE))="JBL",(VLOOKUP(Table6[[#This Row],[SKU]],'All Skus'!$A:$AC,19,FALSE)),""))</f>
        <v>18.75</v>
      </c>
      <c r="R117" s="136">
        <f>(IF((VLOOKUP(Table6[[#This Row],[SKU]],'All Skus'!$A:$AC,2,FALSE))="JBL",(VLOOKUP(Table6[[#This Row],[SKU]],'All Skus'!$A:$AC,20,FALSE)),""))</f>
        <v>29</v>
      </c>
      <c r="S117" s="61">
        <f>(IF((VLOOKUP(Table6[[#This Row],[SKU]],'All Skus'!$A:$AC,2,FALSE))="JBL",(VLOOKUP(Table6[[#This Row],[SKU]],'All Skus'!$A:$AC,21,FALSE)),""))</f>
        <v>2.75</v>
      </c>
      <c r="T117" s="61" t="str">
        <f>(IF((VLOOKUP(Table6[[#This Row],[SKU]],'All Skus'!$A:$AC,2,FALSE))="JBL",(VLOOKUP(Table6[[#This Row],[SKU]],'All Skus'!$A:$AC,22,FALSE)),""))</f>
        <v>CN</v>
      </c>
      <c r="U117" t="str">
        <f>(IF((VLOOKUP(Table6[[#This Row],[SKU]],'All Skus'!$A:$AC,2,FALSE))="JBL",(VLOOKUP(Table6[[#This Row],[SKU]],'All Skus'!$A:$AC,23,FALSE)),""))</f>
        <v>Non Compliant</v>
      </c>
      <c r="V117" s="284" t="str">
        <f>HYPERLINK((IF((VLOOKUP(Table6[[#This Row],[SKU]],'All Skus'!$A:$AC,2,FALSE))="JBL",(VLOOKUP(Table6[[#This Row],[SKU]],'All Skus'!$A:$AC,24,FALSE)),"")))</f>
        <v xml:space="preserve">http://www.jblpro.com/www/products/installed-sound/control-200-series/mtc-tb6-8 </v>
      </c>
      <c r="W117" s="151">
        <v>115</v>
      </c>
    </row>
    <row r="118" spans="1:23" ht="15" hidden="1" customHeight="1">
      <c r="A118" s="104" t="s">
        <v>1124</v>
      </c>
      <c r="B118" s="12">
        <f>(IF((VLOOKUP(Table6[[#This Row],[SKU]],'All Skus'!$A:$AC,2,FALSE))="JBL",(VLOOKUP(Table6[[#This Row],[SKU]],'All Skus'!$A:$AC,3,FALSE)),""))</f>
        <v>0</v>
      </c>
      <c r="C118" s="12">
        <f>(IF((VLOOKUP(Table6[[#This Row],[SKU]],'All Skus'!$A:$AC,2,FALSE))="JBL",(VLOOKUP(Table6[[#This Row],[SKU]],'All Skus'!$A:$AC,4,FALSE)),""))</f>
        <v>0</v>
      </c>
      <c r="D118" s="61">
        <f>(IF((VLOOKUP(Table6[[#This Row],[SKU]],'All Skus'!$A:$AC,2,FALSE))="JBL",(VLOOKUP(Table6[[#This Row],[SKU]],'All Skus'!$A:$AC,5,FALSE)),""))</f>
        <v>0</v>
      </c>
      <c r="E118" s="137">
        <f>(IF((VLOOKUP(Table6[[#This Row],[SKU]],'All Skus'!$A:$AC,2,FALSE))="JBL",(VLOOKUP(Table6[[#This Row],[SKU]],'All Skus'!$A:$AC,6,FALSE)),""))</f>
        <v>0</v>
      </c>
      <c r="F118" s="61">
        <f>(IF((VLOOKUP(Table6[[#This Row],[SKU]],'All Skus'!$A:$AC,2,FALSE))="JBL",(VLOOKUP(Table6[[#This Row],[SKU]],'All Skus'!$A:$AC,7,FALSE)),""))</f>
        <v>0</v>
      </c>
      <c r="G118">
        <f>(IF((VLOOKUP(Table6[[#This Row],[SKU]],'All Skus'!$A:$AC,2,FALSE))="JBL",(VLOOKUP(Table6[[#This Row],[SKU]],'All Skus'!$A:$AC,8,FALSE)),""))</f>
        <v>0</v>
      </c>
      <c r="H118" s="8">
        <f>(IF((VLOOKUP(Table6[[#This Row],[SKU]],'All Skus'!$A:$AC,2,FALSE))="JBL",(VLOOKUP(Table6[[#This Row],[SKU]],'All Skus'!$A:$AC,9,FALSE)),""))</f>
        <v>0</v>
      </c>
      <c r="I118" s="101">
        <f>(IF((VLOOKUP(Table6[[#This Row],[SKU]],'All Skus'!$A:$AC,2,FALSE))="JBL",(VLOOKUP(Table6[[#This Row],[SKU]],'All Skus'!$A:$AC,10,FALSE)),""))</f>
        <v>0</v>
      </c>
      <c r="J118" s="101">
        <f>(IF((VLOOKUP(Table6[[#This Row],[SKU]],'All Skus'!$A:$AC,2,FALSE))="JBL",(VLOOKUP(Table6[[#This Row],[SKU]],'All Skus'!$A:$AC,11,FALSE)),""))</f>
        <v>0</v>
      </c>
      <c r="K118" s="102">
        <f>(IF((VLOOKUP(Table6[[#This Row],[SKU]],'All Skus'!$A:$AC,2,FALSE))="JBL",(VLOOKUP(Table6[[#This Row],[SKU]],'All Skus'!$A:$AC,13,FALSE)),""))</f>
        <v>0</v>
      </c>
      <c r="L118" s="102">
        <f>(IF((VLOOKUP(Table6[[#This Row],[SKU]],'All Skus'!$A:$AC,2,FALSE))="JBL",(VLOOKUP(Table6[[#This Row],[SKU]],'All Skus'!$A:$AC,14,FALSE)),""))</f>
        <v>0</v>
      </c>
      <c r="M118" s="143">
        <f>(IF((VLOOKUP(Table6[[#This Row],[SKU]],'All Skus'!$A:$AC,2,FALSE))="JBL",(VLOOKUP(Table6[[#This Row],[SKU]],'All Skus'!$A:$AC,15,FALSE)),""))</f>
        <v>0</v>
      </c>
      <c r="N118" s="137">
        <f>(IF((VLOOKUP(Table6[[#This Row],[SKU]],'All Skus'!$A:$AC,2,FALSE))="JBL",(VLOOKUP(Table6[[#This Row],[SKU]],'All Skus'!$A:$AC,16,FALSE)),""))</f>
        <v>0</v>
      </c>
      <c r="O118" s="61">
        <f>(IF((VLOOKUP(Table6[[#This Row],[SKU]],'All Skus'!$A:$AC,2,FALSE))="JBL",(VLOOKUP(Table6[[#This Row],[SKU]],'All Skus'!$A:$AC,17,FALSE)),""))</f>
        <v>0</v>
      </c>
      <c r="P118" s="136">
        <f>(IF((VLOOKUP(Table6[[#This Row],[SKU]],'All Skus'!$A:$AC,2,FALSE))="JBL",(VLOOKUP(Table6[[#This Row],[SKU]],'All Skus'!$A:$AC,18,FALSE)),""))</f>
        <v>0</v>
      </c>
      <c r="Q118" s="136">
        <f>(IF((VLOOKUP(Table6[[#This Row],[SKU]],'All Skus'!$A:$AC,2,FALSE))="JBL",(VLOOKUP(Table6[[#This Row],[SKU]],'All Skus'!$A:$AC,19,FALSE)),""))</f>
        <v>0</v>
      </c>
      <c r="R118" s="136">
        <f>(IF((VLOOKUP(Table6[[#This Row],[SKU]],'All Skus'!$A:$AC,2,FALSE))="JBL",(VLOOKUP(Table6[[#This Row],[SKU]],'All Skus'!$A:$AC,20,FALSE)),""))</f>
        <v>0</v>
      </c>
      <c r="S118" s="61">
        <f>(IF((VLOOKUP(Table6[[#This Row],[SKU]],'All Skus'!$A:$AC,2,FALSE))="JBL",(VLOOKUP(Table6[[#This Row],[SKU]],'All Skus'!$A:$AC,21,FALSE)),""))</f>
        <v>0</v>
      </c>
      <c r="T118" s="61" t="str">
        <f>(IF((VLOOKUP(Table6[[#This Row],[SKU]],'All Skus'!$A:$AC,2,FALSE))="JBL",(VLOOKUP(Table6[[#This Row],[SKU]],'All Skus'!$A:$AC,22,FALSE)),""))</f>
        <v>CN</v>
      </c>
      <c r="U118" t="str">
        <f>(IF((VLOOKUP(Table6[[#This Row],[SKU]],'All Skus'!$A:$AC,2,FALSE))="JBL",(VLOOKUP(Table6[[#This Row],[SKU]],'All Skus'!$A:$AC,23,FALSE)),""))</f>
        <v>Non Compliant</v>
      </c>
      <c r="V118" s="284" t="str">
        <f>HYPERLINK((IF((VLOOKUP(Table6[[#This Row],[SKU]],'All Skus'!$A:$AC,2,FALSE))="JBL",(VLOOKUP(Table6[[#This Row],[SKU]],'All Skus'!$A:$AC,24,FALSE)),"")))</f>
        <v/>
      </c>
      <c r="W118" s="151">
        <v>116</v>
      </c>
    </row>
    <row r="119" spans="1:23" ht="15" hidden="1" customHeight="1">
      <c r="A119" s="13" t="s">
        <v>1125</v>
      </c>
      <c r="B119" s="12" t="str">
        <f>(IF((VLOOKUP(Table6[[#This Row],[SKU]],'All Skus'!$A:$AC,2,FALSE))="JBL",(VLOOKUP(Table6[[#This Row],[SKU]],'All Skus'!$A:$AC,3,FALSE)),""))</f>
        <v>Ceiling Speaker</v>
      </c>
      <c r="C119" s="12" t="str">
        <f>(IF((VLOOKUP(Table6[[#This Row],[SKU]],'All Skus'!$A:$AC,2,FALSE))="JBL",(VLOOKUP(Table6[[#This Row],[SKU]],'All Skus'!$A:$AC,4,FALSE)),""))</f>
        <v>CONTROL 312CS</v>
      </c>
      <c r="D119" s="61" t="str">
        <f>(IF((VLOOKUP(Table6[[#This Row],[SKU]],'All Skus'!$A:$AC,2,FALSE))="JBL",(VLOOKUP(Table6[[#This Row],[SKU]],'All Skus'!$A:$AC,5,FALSE)),""))</f>
        <v>JBL018</v>
      </c>
      <c r="E119" s="137">
        <f>(IF((VLOOKUP(Table6[[#This Row],[SKU]],'All Skus'!$A:$AC,2,FALSE))="JBL",(VLOOKUP(Table6[[#This Row],[SKU]],'All Skus'!$A:$AC,6,FALSE)),""))</f>
        <v>0</v>
      </c>
      <c r="F119" s="61">
        <f>(IF((VLOOKUP(Table6[[#This Row],[SKU]],'All Skus'!$A:$AC,2,FALSE))="JBL",(VLOOKUP(Table6[[#This Row],[SKU]],'All Skus'!$A:$AC,7,FALSE)),""))</f>
        <v>0</v>
      </c>
      <c r="G119" t="str">
        <f>(IF((VLOOKUP(Table6[[#This Row],[SKU]],'All Skus'!$A:$AC,2,FALSE))="JBL",(VLOOKUP(Table6[[#This Row],[SKU]],'All Skus'!$A:$AC,8,FALSE)),""))</f>
        <v>12" CEILING SUBWOOFER</v>
      </c>
      <c r="H119" s="8" t="str">
        <f>(IF((VLOOKUP(Table6[[#This Row],[SKU]],'All Skus'!$A:$AC,2,FALSE))="JBL",(VLOOKUP(Table6[[#This Row],[SKU]],'All Skus'!$A:$AC,9,FALSE)),""))</f>
        <v>12” In-Ceiling Subwoofer.  400 Watts, 30 Hz – 4.5 kHz Frequency Response, 93 dB Sensitivity. 14.4” Square Ported Baffle x 6.3” Deep. EZ-Rail for Ease of Installation.   Sold and packed as Eaches</v>
      </c>
      <c r="I119" s="101">
        <f>(IF((VLOOKUP(Table6[[#This Row],[SKU]],'All Skus'!$A:$AC,2,FALSE))="JBL",(VLOOKUP(Table6[[#This Row],[SKU]],'All Skus'!$A:$AC,10,FALSE)),""))</f>
        <v>690.19</v>
      </c>
      <c r="J119" s="101">
        <f>(IF((VLOOKUP(Table6[[#This Row],[SKU]],'All Skus'!$A:$AC,2,FALSE))="JBL",(VLOOKUP(Table6[[#This Row],[SKU]],'All Skus'!$A:$AC,11,FALSE)),""))</f>
        <v>552</v>
      </c>
      <c r="K119" s="102">
        <f>(IF((VLOOKUP(Table6[[#This Row],[SKU]],'All Skus'!$A:$AC,2,FALSE))="JBL",(VLOOKUP(Table6[[#This Row],[SKU]],'All Skus'!$A:$AC,13,FALSE)),""))</f>
        <v>381.94987499999996</v>
      </c>
      <c r="L119" s="102">
        <f>(IF((VLOOKUP(Table6[[#This Row],[SKU]],'All Skus'!$A:$AC,2,FALSE))="JBL",(VLOOKUP(Table6[[#This Row],[SKU]],'All Skus'!$A:$AC,14,FALSE)),""))</f>
        <v>361.84725000000003</v>
      </c>
      <c r="M119" s="143">
        <f>(IF((VLOOKUP(Table6[[#This Row],[SKU]],'All Skus'!$A:$AC,2,FALSE))="JBL",(VLOOKUP(Table6[[#This Row],[SKU]],'All Skus'!$A:$AC,15,FALSE)),""))</f>
        <v>0</v>
      </c>
      <c r="N119" s="137">
        <f>(IF((VLOOKUP(Table6[[#This Row],[SKU]],'All Skus'!$A:$AC,2,FALSE))="JBL",(VLOOKUP(Table6[[#This Row],[SKU]],'All Skus'!$A:$AC,16,FALSE)),""))</f>
        <v>50036905138</v>
      </c>
      <c r="O119" s="61">
        <f>(IF((VLOOKUP(Table6[[#This Row],[SKU]],'All Skus'!$A:$AC,2,FALSE))="JBL",(VLOOKUP(Table6[[#This Row],[SKU]],'All Skus'!$A:$AC,17,FALSE)),""))</f>
        <v>0</v>
      </c>
      <c r="P119" s="136">
        <f>(IF((VLOOKUP(Table6[[#This Row],[SKU]],'All Skus'!$A:$AC,2,FALSE))="JBL",(VLOOKUP(Table6[[#This Row],[SKU]],'All Skus'!$A:$AC,18,FALSE)),""))</f>
        <v>23</v>
      </c>
      <c r="Q119" s="136">
        <f>(IF((VLOOKUP(Table6[[#This Row],[SKU]],'All Skus'!$A:$AC,2,FALSE))="JBL",(VLOOKUP(Table6[[#This Row],[SKU]],'All Skus'!$A:$AC,19,FALSE)),""))</f>
        <v>18</v>
      </c>
      <c r="R119" s="136">
        <f>(IF((VLOOKUP(Table6[[#This Row],[SKU]],'All Skus'!$A:$AC,2,FALSE))="JBL",(VLOOKUP(Table6[[#This Row],[SKU]],'All Skus'!$A:$AC,20,FALSE)),""))</f>
        <v>18</v>
      </c>
      <c r="S119" s="61">
        <f>(IF((VLOOKUP(Table6[[#This Row],[SKU]],'All Skus'!$A:$AC,2,FALSE))="JBL",(VLOOKUP(Table6[[#This Row],[SKU]],'All Skus'!$A:$AC,21,FALSE)),""))</f>
        <v>13</v>
      </c>
      <c r="T119" s="61" t="str">
        <f>(IF((VLOOKUP(Table6[[#This Row],[SKU]],'All Skus'!$A:$AC,2,FALSE))="JBL",(VLOOKUP(Table6[[#This Row],[SKU]],'All Skus'!$A:$AC,22,FALSE)),""))</f>
        <v>CN</v>
      </c>
      <c r="U119" t="str">
        <f>(IF((VLOOKUP(Table6[[#This Row],[SKU]],'All Skus'!$A:$AC,2,FALSE))="JBL",(VLOOKUP(Table6[[#This Row],[SKU]],'All Skus'!$A:$AC,23,FALSE)),""))</f>
        <v>Non Compliant</v>
      </c>
      <c r="V119" s="284" t="str">
        <f>HYPERLINK((IF((VLOOKUP(Table6[[#This Row],[SKU]],'All Skus'!$A:$AC,2,FALSE))="JBL",(VLOOKUP(Table6[[#This Row],[SKU]],'All Skus'!$A:$AC,24,FALSE)),"")))</f>
        <v xml:space="preserve">http://www.jblpro.com/www/products/installed-sound/control-300-series/control-312cs </v>
      </c>
      <c r="W119" s="151">
        <v>117</v>
      </c>
    </row>
    <row r="120" spans="1:23" ht="15" hidden="1" customHeight="1">
      <c r="A120" s="13" t="s">
        <v>1126</v>
      </c>
      <c r="B120" s="12" t="str">
        <f>(IF((VLOOKUP(Table6[[#This Row],[SKU]],'All Skus'!$A:$AC,2,FALSE))="JBL",(VLOOKUP(Table6[[#This Row],[SKU]],'All Skus'!$A:$AC,3,FALSE)),""))</f>
        <v>Ceiling Speaker</v>
      </c>
      <c r="C120" s="12" t="str">
        <f>(IF((VLOOKUP(Table6[[#This Row],[SKU]],'All Skus'!$A:$AC,2,FALSE))="JBL",(VLOOKUP(Table6[[#This Row],[SKU]],'All Skus'!$A:$AC,4,FALSE)),""))</f>
        <v>CONTROL 321C</v>
      </c>
      <c r="D120" s="61" t="str">
        <f>(IF((VLOOKUP(Table6[[#This Row],[SKU]],'All Skus'!$A:$AC,2,FALSE))="JBL",(VLOOKUP(Table6[[#This Row],[SKU]],'All Skus'!$A:$AC,5,FALSE)),""))</f>
        <v>JBL018</v>
      </c>
      <c r="E120" s="137">
        <f>(IF((VLOOKUP(Table6[[#This Row],[SKU]],'All Skus'!$A:$AC,2,FALSE))="JBL",(VLOOKUP(Table6[[#This Row],[SKU]],'All Skus'!$A:$AC,6,FALSE)),""))</f>
        <v>0</v>
      </c>
      <c r="F120" s="61">
        <f>(IF((VLOOKUP(Table6[[#This Row],[SKU]],'All Skus'!$A:$AC,2,FALSE))="JBL",(VLOOKUP(Table6[[#This Row],[SKU]],'All Skus'!$A:$AC,7,FALSE)),""))</f>
        <v>0</v>
      </c>
      <c r="G120" t="str">
        <f>(IF((VLOOKUP(Table6[[#This Row],[SKU]],'All Skus'!$A:$AC,2,FALSE))="JBL",(VLOOKUP(Table6[[#This Row],[SKU]],'All Skus'!$A:$AC,8,FALSE)),""))</f>
        <v>12" CEILING COAX</v>
      </c>
      <c r="H120" s="8" t="str">
        <f>(IF((VLOOKUP(Table6[[#This Row],[SKU]],'All Skus'!$A:$AC,2,FALSE))="JBL",(VLOOKUP(Table6[[#This Row],[SKU]],'All Skus'!$A:$AC,9,FALSE)),""))</f>
        <v>Premium 12” Coax Ceiling Loudspeaker. True-Broadband 90º Coverage.  250 Watts, 34 Hz to 18 kHz Frequency Response, 94 dB Sensitivity. 2412H Compression Driver.  14.4” Square Ported Baffle x 8.8” Deep.  EZ-Rail™ For Ease of Installation.   UL LISTED.Priced and sold as Each</v>
      </c>
      <c r="I120" s="101">
        <f>(IF((VLOOKUP(Table6[[#This Row],[SKU]],'All Skus'!$A:$AC,2,FALSE))="JBL",(VLOOKUP(Table6[[#This Row],[SKU]],'All Skus'!$A:$AC,10,FALSE)),""))</f>
        <v>556.54999999999995</v>
      </c>
      <c r="J120" s="101">
        <f>(IF((VLOOKUP(Table6[[#This Row],[SKU]],'All Skus'!$A:$AC,2,FALSE))="JBL",(VLOOKUP(Table6[[#This Row],[SKU]],'All Skus'!$A:$AC,11,FALSE)),""))</f>
        <v>449</v>
      </c>
      <c r="K120" s="102">
        <f>(IF((VLOOKUP(Table6[[#This Row],[SKU]],'All Skus'!$A:$AC,2,FALSE))="JBL",(VLOOKUP(Table6[[#This Row],[SKU]],'All Skus'!$A:$AC,13,FALSE)),""))</f>
        <v>307.99950000000001</v>
      </c>
      <c r="L120" s="102">
        <f>(IF((VLOOKUP(Table6[[#This Row],[SKU]],'All Skus'!$A:$AC,2,FALSE))="JBL",(VLOOKUP(Table6[[#This Row],[SKU]],'All Skus'!$A:$AC,14,FALSE)),""))</f>
        <v>291.78900000000004</v>
      </c>
      <c r="M120" s="143">
        <f>(IF((VLOOKUP(Table6[[#This Row],[SKU]],'All Skus'!$A:$AC,2,FALSE))="JBL",(VLOOKUP(Table6[[#This Row],[SKU]],'All Skus'!$A:$AC,15,FALSE)),""))</f>
        <v>0</v>
      </c>
      <c r="N120" s="137">
        <f>(IF((VLOOKUP(Table6[[#This Row],[SKU]],'All Skus'!$A:$AC,2,FALSE))="JBL",(VLOOKUP(Table6[[#This Row],[SKU]],'All Skus'!$A:$AC,16,FALSE)),""))</f>
        <v>50036905138</v>
      </c>
      <c r="O120" s="61">
        <f>(IF((VLOOKUP(Table6[[#This Row],[SKU]],'All Skus'!$A:$AC,2,FALSE))="JBL",(VLOOKUP(Table6[[#This Row],[SKU]],'All Skus'!$A:$AC,17,FALSE)),""))</f>
        <v>0</v>
      </c>
      <c r="P120" s="136">
        <f>(IF((VLOOKUP(Table6[[#This Row],[SKU]],'All Skus'!$A:$AC,2,FALSE))="JBL",(VLOOKUP(Table6[[#This Row],[SKU]],'All Skus'!$A:$AC,18,FALSE)),""))</f>
        <v>19.600000000000001</v>
      </c>
      <c r="Q120" s="136">
        <f>(IF((VLOOKUP(Table6[[#This Row],[SKU]],'All Skus'!$A:$AC,2,FALSE))="JBL",(VLOOKUP(Table6[[#This Row],[SKU]],'All Skus'!$A:$AC,19,FALSE)),""))</f>
        <v>17.5</v>
      </c>
      <c r="R120" s="136">
        <f>(IF((VLOOKUP(Table6[[#This Row],[SKU]],'All Skus'!$A:$AC,2,FALSE))="JBL",(VLOOKUP(Table6[[#This Row],[SKU]],'All Skus'!$A:$AC,20,FALSE)),""))</f>
        <v>18</v>
      </c>
      <c r="S120" s="61">
        <f>(IF((VLOOKUP(Table6[[#This Row],[SKU]],'All Skus'!$A:$AC,2,FALSE))="JBL",(VLOOKUP(Table6[[#This Row],[SKU]],'All Skus'!$A:$AC,21,FALSE)),""))</f>
        <v>12</v>
      </c>
      <c r="T120" s="61" t="str">
        <f>(IF((VLOOKUP(Table6[[#This Row],[SKU]],'All Skus'!$A:$AC,2,FALSE))="JBL",(VLOOKUP(Table6[[#This Row],[SKU]],'All Skus'!$A:$AC,22,FALSE)),""))</f>
        <v>CN</v>
      </c>
      <c r="U120" t="str">
        <f>(IF((VLOOKUP(Table6[[#This Row],[SKU]],'All Skus'!$A:$AC,2,FALSE))="JBL",(VLOOKUP(Table6[[#This Row],[SKU]],'All Skus'!$A:$AC,23,FALSE)),""))</f>
        <v>Non Compliant</v>
      </c>
      <c r="V120" s="284" t="str">
        <f>HYPERLINK((IF((VLOOKUP(Table6[[#This Row],[SKU]],'All Skus'!$A:$AC,2,FALSE))="JBL",(VLOOKUP(Table6[[#This Row],[SKU]],'All Skus'!$A:$AC,24,FALSE)),"")))</f>
        <v xml:space="preserve">http://www.jblpro.com/www/products/installed-sound/control-300-series/control-321c </v>
      </c>
      <c r="W120" s="151">
        <v>118</v>
      </c>
    </row>
    <row r="121" spans="1:23" ht="15" hidden="1" customHeight="1">
      <c r="A121" s="13" t="s">
        <v>1127</v>
      </c>
      <c r="B121" s="12" t="str">
        <f>(IF((VLOOKUP(Table6[[#This Row],[SKU]],'All Skus'!$A:$AC,2,FALSE))="JBL",(VLOOKUP(Table6[[#This Row],[SKU]],'All Skus'!$A:$AC,3,FALSE)),""))</f>
        <v>Ceiling Speaker</v>
      </c>
      <c r="C121" s="12" t="str">
        <f>(IF((VLOOKUP(Table6[[#This Row],[SKU]],'All Skus'!$A:$AC,2,FALSE))="JBL",(VLOOKUP(Table6[[#This Row],[SKU]],'All Skus'!$A:$AC,4,FALSE)),""))</f>
        <v>CONTROL 321CT</v>
      </c>
      <c r="D121" s="61" t="str">
        <f>(IF((VLOOKUP(Table6[[#This Row],[SKU]],'All Skus'!$A:$AC,2,FALSE))="JBL",(VLOOKUP(Table6[[#This Row],[SKU]],'All Skus'!$A:$AC,5,FALSE)),""))</f>
        <v>JBL018</v>
      </c>
      <c r="E121" s="137">
        <f>(IF((VLOOKUP(Table6[[#This Row],[SKU]],'All Skus'!$A:$AC,2,FALSE))="JBL",(VLOOKUP(Table6[[#This Row],[SKU]],'All Skus'!$A:$AC,6,FALSE)),""))</f>
        <v>0</v>
      </c>
      <c r="F121" s="61">
        <f>(IF((VLOOKUP(Table6[[#This Row],[SKU]],'All Skus'!$A:$AC,2,FALSE))="JBL",(VLOOKUP(Table6[[#This Row],[SKU]],'All Skus'!$A:$AC,7,FALSE)),""))</f>
        <v>0</v>
      </c>
      <c r="G121" t="str">
        <f>(IF((VLOOKUP(Table6[[#This Row],[SKU]],'All Skus'!$A:$AC,2,FALSE))="JBL",(VLOOKUP(Table6[[#This Row],[SKU]],'All Skus'!$A:$AC,8,FALSE)),""))</f>
        <v>C321C W/60W   X-FORMER</v>
      </c>
      <c r="H121" s="8" t="str">
        <f>(IF((VLOOKUP(Table6[[#This Row],[SKU]],'All Skus'!$A:$AC,2,FALSE))="JBL",(VLOOKUP(Table6[[#This Row],[SKU]],'All Skus'!$A:$AC,9,FALSE)),""))</f>
        <v>Control 321C with pre-attached 60 Watt 70V/100V Multi-Tap Transformer.  Taps at 68W, 34W and 17W (Plus 8.5W at 70V Only).  14.4” Square Ported Baffle x 9.5 Deep. EZ-Rail for Ease of Installation.    UL LISTED Priced and sold as Each</v>
      </c>
      <c r="I121" s="101">
        <f>(IF((VLOOKUP(Table6[[#This Row],[SKU]],'All Skus'!$A:$AC,2,FALSE))="JBL",(VLOOKUP(Table6[[#This Row],[SKU]],'All Skus'!$A:$AC,10,FALSE)),""))</f>
        <v>612.35</v>
      </c>
      <c r="J121" s="101">
        <f>(IF((VLOOKUP(Table6[[#This Row],[SKU]],'All Skus'!$A:$AC,2,FALSE))="JBL",(VLOOKUP(Table6[[#This Row],[SKU]],'All Skus'!$A:$AC,11,FALSE)),""))</f>
        <v>490</v>
      </c>
      <c r="K121" s="102">
        <f>(IF((VLOOKUP(Table6[[#This Row],[SKU]],'All Skus'!$A:$AC,2,FALSE))="JBL",(VLOOKUP(Table6[[#This Row],[SKU]],'All Skus'!$A:$AC,13,FALSE)),""))</f>
        <v>338.87060500000001</v>
      </c>
      <c r="L121" s="102">
        <f>(IF((VLOOKUP(Table6[[#This Row],[SKU]],'All Skus'!$A:$AC,2,FALSE))="JBL",(VLOOKUP(Table6[[#This Row],[SKU]],'All Skus'!$A:$AC,14,FALSE)),""))</f>
        <v>321.03531000000004</v>
      </c>
      <c r="M121" s="143">
        <f>(IF((VLOOKUP(Table6[[#This Row],[SKU]],'All Skus'!$A:$AC,2,FALSE))="JBL",(VLOOKUP(Table6[[#This Row],[SKU]],'All Skus'!$A:$AC,15,FALSE)),""))</f>
        <v>0</v>
      </c>
      <c r="N121" s="137">
        <f>(IF((VLOOKUP(Table6[[#This Row],[SKU]],'All Skus'!$A:$AC,2,FALSE))="JBL",(VLOOKUP(Table6[[#This Row],[SKU]],'All Skus'!$A:$AC,16,FALSE)),""))</f>
        <v>50036904070</v>
      </c>
      <c r="O121" s="61">
        <f>(IF((VLOOKUP(Table6[[#This Row],[SKU]],'All Skus'!$A:$AC,2,FALSE))="JBL",(VLOOKUP(Table6[[#This Row],[SKU]],'All Skus'!$A:$AC,17,FALSE)),""))</f>
        <v>0</v>
      </c>
      <c r="P121" s="136">
        <f>(IF((VLOOKUP(Table6[[#This Row],[SKU]],'All Skus'!$A:$AC,2,FALSE))="JBL",(VLOOKUP(Table6[[#This Row],[SKU]],'All Skus'!$A:$AC,18,FALSE)),""))</f>
        <v>21.75</v>
      </c>
      <c r="Q121" s="136">
        <f>(IF((VLOOKUP(Table6[[#This Row],[SKU]],'All Skus'!$A:$AC,2,FALSE))="JBL",(VLOOKUP(Table6[[#This Row],[SKU]],'All Skus'!$A:$AC,19,FALSE)),""))</f>
        <v>17.5</v>
      </c>
      <c r="R121" s="136">
        <f>(IF((VLOOKUP(Table6[[#This Row],[SKU]],'All Skus'!$A:$AC,2,FALSE))="JBL",(VLOOKUP(Table6[[#This Row],[SKU]],'All Skus'!$A:$AC,20,FALSE)),""))</f>
        <v>17.5</v>
      </c>
      <c r="S121" s="61">
        <f>(IF((VLOOKUP(Table6[[#This Row],[SKU]],'All Skus'!$A:$AC,2,FALSE))="JBL",(VLOOKUP(Table6[[#This Row],[SKU]],'All Skus'!$A:$AC,21,FALSE)),""))</f>
        <v>12</v>
      </c>
      <c r="T121" s="61" t="str">
        <f>(IF((VLOOKUP(Table6[[#This Row],[SKU]],'All Skus'!$A:$AC,2,FALSE))="JBL",(VLOOKUP(Table6[[#This Row],[SKU]],'All Skus'!$A:$AC,22,FALSE)),""))</f>
        <v>CN</v>
      </c>
      <c r="U121" t="str">
        <f>(IF((VLOOKUP(Table6[[#This Row],[SKU]],'All Skus'!$A:$AC,2,FALSE))="JBL",(VLOOKUP(Table6[[#This Row],[SKU]],'All Skus'!$A:$AC,23,FALSE)),""))</f>
        <v>Non Compliant</v>
      </c>
      <c r="V121" s="284" t="str">
        <f>HYPERLINK((IF((VLOOKUP(Table6[[#This Row],[SKU]],'All Skus'!$A:$AC,2,FALSE))="JBL",(VLOOKUP(Table6[[#This Row],[SKU]],'All Skus'!$A:$AC,24,FALSE)),"")))</f>
        <v xml:space="preserve">http://www.jblpro.com/www/products/installed-sound/control-300-series/control-321ct </v>
      </c>
      <c r="W121" s="151">
        <v>119</v>
      </c>
    </row>
    <row r="122" spans="1:23" ht="15" hidden="1" customHeight="1">
      <c r="A122" s="13" t="s">
        <v>1128</v>
      </c>
      <c r="B122" s="12" t="str">
        <f>(IF((VLOOKUP(Table6[[#This Row],[SKU]],'All Skus'!$A:$AC,2,FALSE))="JBL",(VLOOKUP(Table6[[#This Row],[SKU]],'All Skus'!$A:$AC,3,FALSE)),""))</f>
        <v>Ceiling Speaker</v>
      </c>
      <c r="C122" s="12" t="str">
        <f>(IF((VLOOKUP(Table6[[#This Row],[SKU]],'All Skus'!$A:$AC,2,FALSE))="JBL",(VLOOKUP(Table6[[#This Row],[SKU]],'All Skus'!$A:$AC,4,FALSE)),""))</f>
        <v>CONTROL 322C</v>
      </c>
      <c r="D122" s="61" t="str">
        <f>(IF((VLOOKUP(Table6[[#This Row],[SKU]],'All Skus'!$A:$AC,2,FALSE))="JBL",(VLOOKUP(Table6[[#This Row],[SKU]],'All Skus'!$A:$AC,5,FALSE)),""))</f>
        <v>JBL018</v>
      </c>
      <c r="E122" s="137">
        <f>(IF((VLOOKUP(Table6[[#This Row],[SKU]],'All Skus'!$A:$AC,2,FALSE))="JBL",(VLOOKUP(Table6[[#This Row],[SKU]],'All Skus'!$A:$AC,6,FALSE)),""))</f>
        <v>0</v>
      </c>
      <c r="F122" s="61">
        <f>(IF((VLOOKUP(Table6[[#This Row],[SKU]],'All Skus'!$A:$AC,2,FALSE))="JBL",(VLOOKUP(Table6[[#This Row],[SKU]],'All Skus'!$A:$AC,7,FALSE)),""))</f>
        <v>0</v>
      </c>
      <c r="G122" t="str">
        <f>(IF((VLOOKUP(Table6[[#This Row],[SKU]],'All Skus'!$A:$AC,2,FALSE))="JBL",(VLOOKUP(Table6[[#This Row],[SKU]],'All Skus'!$A:$AC,8,FALSE)),""))</f>
        <v>HIGH OUTPUT 12' CEILING COAX</v>
      </c>
      <c r="H122" s="8" t="str">
        <f>(IF((VLOOKUP(Table6[[#This Row],[SKU]],'All Skus'!$A:$AC,2,FALSE))="JBL",(VLOOKUP(Table6[[#This Row],[SKU]],'All Skus'!$A:$AC,9,FALSE)),""))</f>
        <v>High-Power 12” Coax Ceiling Loudpeaker with Medium Format Compression Driver.   True Broadband 90º Coverage.  400 Watts, 32 Hz to 20 kHz Frequency Response, 95 dB Sensitivity. 2407H Compression Driver.  14.4” Square Ported Baffle x 8.8” Deep. EZ-Rail for Ease of Installation.   UL LISTED Priced and sold as Each</v>
      </c>
      <c r="I122" s="101">
        <f>(IF((VLOOKUP(Table6[[#This Row],[SKU]],'All Skus'!$A:$AC,2,FALSE))="JBL",(VLOOKUP(Table6[[#This Row],[SKU]],'All Skus'!$A:$AC,10,FALSE)),""))</f>
        <v>809.54</v>
      </c>
      <c r="J122" s="101">
        <f>(IF((VLOOKUP(Table6[[#This Row],[SKU]],'All Skus'!$A:$AC,2,FALSE))="JBL",(VLOOKUP(Table6[[#This Row],[SKU]],'All Skus'!$A:$AC,11,FALSE)),""))</f>
        <v>648</v>
      </c>
      <c r="K122" s="102">
        <f>(IF((VLOOKUP(Table6[[#This Row],[SKU]],'All Skus'!$A:$AC,2,FALSE))="JBL",(VLOOKUP(Table6[[#This Row],[SKU]],'All Skus'!$A:$AC,13,FALSE)),""))</f>
        <v>448.00204500000001</v>
      </c>
      <c r="L122" s="102">
        <f>(IF((VLOOKUP(Table6[[#This Row],[SKU]],'All Skus'!$A:$AC,2,FALSE))="JBL",(VLOOKUP(Table6[[#This Row],[SKU]],'All Skus'!$A:$AC,14,FALSE)),""))</f>
        <v>424.42299000000003</v>
      </c>
      <c r="M122" s="143">
        <f>(IF((VLOOKUP(Table6[[#This Row],[SKU]],'All Skus'!$A:$AC,2,FALSE))="JBL",(VLOOKUP(Table6[[#This Row],[SKU]],'All Skus'!$A:$AC,15,FALSE)),""))</f>
        <v>0</v>
      </c>
      <c r="N122" s="137">
        <f>(IF((VLOOKUP(Table6[[#This Row],[SKU]],'All Skus'!$A:$AC,2,FALSE))="JBL",(VLOOKUP(Table6[[#This Row],[SKU]],'All Skus'!$A:$AC,16,FALSE)),""))</f>
        <v>50036905152</v>
      </c>
      <c r="O122" s="61">
        <f>(IF((VLOOKUP(Table6[[#This Row],[SKU]],'All Skus'!$A:$AC,2,FALSE))="JBL",(VLOOKUP(Table6[[#This Row],[SKU]],'All Skus'!$A:$AC,17,FALSE)),""))</f>
        <v>0</v>
      </c>
      <c r="P122" s="136">
        <f>(IF((VLOOKUP(Table6[[#This Row],[SKU]],'All Skus'!$A:$AC,2,FALSE))="JBL",(VLOOKUP(Table6[[#This Row],[SKU]],'All Skus'!$A:$AC,18,FALSE)),""))</f>
        <v>24</v>
      </c>
      <c r="Q122" s="136">
        <f>(IF((VLOOKUP(Table6[[#This Row],[SKU]],'All Skus'!$A:$AC,2,FALSE))="JBL",(VLOOKUP(Table6[[#This Row],[SKU]],'All Skus'!$A:$AC,19,FALSE)),""))</f>
        <v>17</v>
      </c>
      <c r="R122" s="136">
        <f>(IF((VLOOKUP(Table6[[#This Row],[SKU]],'All Skus'!$A:$AC,2,FALSE))="JBL",(VLOOKUP(Table6[[#This Row],[SKU]],'All Skus'!$A:$AC,20,FALSE)),""))</f>
        <v>17</v>
      </c>
      <c r="S122" s="61">
        <f>(IF((VLOOKUP(Table6[[#This Row],[SKU]],'All Skus'!$A:$AC,2,FALSE))="JBL",(VLOOKUP(Table6[[#This Row],[SKU]],'All Skus'!$A:$AC,21,FALSE)),""))</f>
        <v>12</v>
      </c>
      <c r="T122" s="61" t="str">
        <f>(IF((VLOOKUP(Table6[[#This Row],[SKU]],'All Skus'!$A:$AC,2,FALSE))="JBL",(VLOOKUP(Table6[[#This Row],[SKU]],'All Skus'!$A:$AC,22,FALSE)),""))</f>
        <v>CN</v>
      </c>
      <c r="U122" t="str">
        <f>(IF((VLOOKUP(Table6[[#This Row],[SKU]],'All Skus'!$A:$AC,2,FALSE))="JBL",(VLOOKUP(Table6[[#This Row],[SKU]],'All Skus'!$A:$AC,23,FALSE)),""))</f>
        <v>Non Compliant</v>
      </c>
      <c r="V122" s="284" t="str">
        <f>HYPERLINK((IF((VLOOKUP(Table6[[#This Row],[SKU]],'All Skus'!$A:$AC,2,FALSE))="JBL",(VLOOKUP(Table6[[#This Row],[SKU]],'All Skus'!$A:$AC,24,FALSE)),"")))</f>
        <v xml:space="preserve">http://www.jblpro.com/www/products/installed-sound/control-300-series/control-322c </v>
      </c>
      <c r="W122" s="151">
        <v>120</v>
      </c>
    </row>
    <row r="123" spans="1:23" ht="15" hidden="1" customHeight="1">
      <c r="A123" s="13" t="s">
        <v>1129</v>
      </c>
      <c r="B123" s="12" t="str">
        <f>(IF((VLOOKUP(Table6[[#This Row],[SKU]],'All Skus'!$A:$AC,2,FALSE))="JBL",(VLOOKUP(Table6[[#This Row],[SKU]],'All Skus'!$A:$AC,3,FALSE)),""))</f>
        <v>Ceiling Speaker</v>
      </c>
      <c r="C123" s="12" t="str">
        <f>(IF((VLOOKUP(Table6[[#This Row],[SKU]],'All Skus'!$A:$AC,2,FALSE))="JBL",(VLOOKUP(Table6[[#This Row],[SKU]],'All Skus'!$A:$AC,4,FALSE)),""))</f>
        <v>CONTROL 322CT</v>
      </c>
      <c r="D123" s="61" t="str">
        <f>(IF((VLOOKUP(Table6[[#This Row],[SKU]],'All Skus'!$A:$AC,2,FALSE))="JBL",(VLOOKUP(Table6[[#This Row],[SKU]],'All Skus'!$A:$AC,5,FALSE)),""))</f>
        <v>JBL018</v>
      </c>
      <c r="E123" s="137">
        <f>(IF((VLOOKUP(Table6[[#This Row],[SKU]],'All Skus'!$A:$AC,2,FALSE))="JBL",(VLOOKUP(Table6[[#This Row],[SKU]],'All Skus'!$A:$AC,6,FALSE)),""))</f>
        <v>0</v>
      </c>
      <c r="F123" s="61">
        <f>(IF((VLOOKUP(Table6[[#This Row],[SKU]],'All Skus'!$A:$AC,2,FALSE))="JBL",(VLOOKUP(Table6[[#This Row],[SKU]],'All Skus'!$A:$AC,7,FALSE)),""))</f>
        <v>0</v>
      </c>
      <c r="G123" t="str">
        <f>(IF((VLOOKUP(Table6[[#This Row],[SKU]],'All Skus'!$A:$AC,2,FALSE))="JBL",(VLOOKUP(Table6[[#This Row],[SKU]],'All Skus'!$A:$AC,8,FALSE)),""))</f>
        <v>C 322C W/100W  X-FORMER</v>
      </c>
      <c r="H123" s="8" t="str">
        <f>(IF((VLOOKUP(Table6[[#This Row],[SKU]],'All Skus'!$A:$AC,2,FALSE))="JBL",(VLOOKUP(Table6[[#This Row],[SKU]],'All Skus'!$A:$AC,9,FALSE)),""))</f>
        <v>Control 322C with pre-attached 100 Watt 70V/100V Multi-Tap Transformer.  Taps at 100W, 50W &amp; 25W (Plus 12.5W at 70V Only).  14.4” Square Ported Baffle x 9.5” Deep. EZ-Rail for Ease of Installation.  UL LISTED Priced and sold as Each</v>
      </c>
      <c r="I123" s="101">
        <f>(IF((VLOOKUP(Table6[[#This Row],[SKU]],'All Skus'!$A:$AC,2,FALSE))="JBL",(VLOOKUP(Table6[[#This Row],[SKU]],'All Skus'!$A:$AC,10,FALSE)),""))</f>
        <v>879.6</v>
      </c>
      <c r="J123" s="101">
        <f>(IF((VLOOKUP(Table6[[#This Row],[SKU]],'All Skus'!$A:$AC,2,FALSE))="JBL",(VLOOKUP(Table6[[#This Row],[SKU]],'All Skus'!$A:$AC,11,FALSE)),""))</f>
        <v>706</v>
      </c>
      <c r="K123" s="102">
        <f>(IF((VLOOKUP(Table6[[#This Row],[SKU]],'All Skus'!$A:$AC,2,FALSE))="JBL",(VLOOKUP(Table6[[#This Row],[SKU]],'All Skus'!$A:$AC,13,FALSE)),""))</f>
        <v>486.77135499999997</v>
      </c>
      <c r="L123" s="102">
        <f>(IF((VLOOKUP(Table6[[#This Row],[SKU]],'All Skus'!$A:$AC,2,FALSE))="JBL",(VLOOKUP(Table6[[#This Row],[SKU]],'All Skus'!$A:$AC,14,FALSE)),""))</f>
        <v>461.15181000000001</v>
      </c>
      <c r="M123" s="143">
        <f>(IF((VLOOKUP(Table6[[#This Row],[SKU]],'All Skus'!$A:$AC,2,FALSE))="JBL",(VLOOKUP(Table6[[#This Row],[SKU]],'All Skus'!$A:$AC,15,FALSE)),""))</f>
        <v>0</v>
      </c>
      <c r="N123" s="137">
        <f>(IF((VLOOKUP(Table6[[#This Row],[SKU]],'All Skus'!$A:$AC,2,FALSE))="JBL",(VLOOKUP(Table6[[#This Row],[SKU]],'All Skus'!$A:$AC,16,FALSE)),""))</f>
        <v>50036905169</v>
      </c>
      <c r="O123" s="61">
        <f>(IF((VLOOKUP(Table6[[#This Row],[SKU]],'All Skus'!$A:$AC,2,FALSE))="JBL",(VLOOKUP(Table6[[#This Row],[SKU]],'All Skus'!$A:$AC,17,FALSE)),""))</f>
        <v>0</v>
      </c>
      <c r="P123" s="136">
        <f>(IF((VLOOKUP(Table6[[#This Row],[SKU]],'All Skus'!$A:$AC,2,FALSE))="JBL",(VLOOKUP(Table6[[#This Row],[SKU]],'All Skus'!$A:$AC,18,FALSE)),""))</f>
        <v>26.15</v>
      </c>
      <c r="Q123" s="136">
        <f>(IF((VLOOKUP(Table6[[#This Row],[SKU]],'All Skus'!$A:$AC,2,FALSE))="JBL",(VLOOKUP(Table6[[#This Row],[SKU]],'All Skus'!$A:$AC,19,FALSE)),""))</f>
        <v>18</v>
      </c>
      <c r="R123" s="136">
        <f>(IF((VLOOKUP(Table6[[#This Row],[SKU]],'All Skus'!$A:$AC,2,FALSE))="JBL",(VLOOKUP(Table6[[#This Row],[SKU]],'All Skus'!$A:$AC,20,FALSE)),""))</f>
        <v>18</v>
      </c>
      <c r="S123" s="61">
        <f>(IF((VLOOKUP(Table6[[#This Row],[SKU]],'All Skus'!$A:$AC,2,FALSE))="JBL",(VLOOKUP(Table6[[#This Row],[SKU]],'All Skus'!$A:$AC,21,FALSE)),""))</f>
        <v>13</v>
      </c>
      <c r="T123" s="61" t="str">
        <f>(IF((VLOOKUP(Table6[[#This Row],[SKU]],'All Skus'!$A:$AC,2,FALSE))="JBL",(VLOOKUP(Table6[[#This Row],[SKU]],'All Skus'!$A:$AC,22,FALSE)),""))</f>
        <v>CN</v>
      </c>
      <c r="U123" t="str">
        <f>(IF((VLOOKUP(Table6[[#This Row],[SKU]],'All Skus'!$A:$AC,2,FALSE))="JBL",(VLOOKUP(Table6[[#This Row],[SKU]],'All Skus'!$A:$AC,23,FALSE)),""))</f>
        <v>Non Compliant</v>
      </c>
      <c r="V123" s="284" t="str">
        <f>HYPERLINK((IF((VLOOKUP(Table6[[#This Row],[SKU]],'All Skus'!$A:$AC,2,FALSE))="JBL",(VLOOKUP(Table6[[#This Row],[SKU]],'All Skus'!$A:$AC,24,FALSE)),"")))</f>
        <v xml:space="preserve">http://www.jblpro.com/www/products/installed-sound/control-300-series/control-322ct </v>
      </c>
      <c r="W123" s="151">
        <v>121</v>
      </c>
    </row>
    <row r="124" spans="1:23" ht="15" hidden="1" customHeight="1">
      <c r="A124" s="13" t="s">
        <v>1130</v>
      </c>
      <c r="B124" s="12" t="str">
        <f>(IF((VLOOKUP(Table6[[#This Row],[SKU]],'All Skus'!$A:$AC,2,FALSE))="JBL",(VLOOKUP(Table6[[#This Row],[SKU]],'All Skus'!$A:$AC,3,FALSE)),""))</f>
        <v>Ceiling Speaker</v>
      </c>
      <c r="C124" s="12" t="str">
        <f>(IF((VLOOKUP(Table6[[#This Row],[SKU]],'All Skus'!$A:$AC,2,FALSE))="JBL",(VLOOKUP(Table6[[#This Row],[SKU]],'All Skus'!$A:$AC,4,FALSE)),""))</f>
        <v>CONTROL 328C</v>
      </c>
      <c r="D124" s="61" t="str">
        <f>(IF((VLOOKUP(Table6[[#This Row],[SKU]],'All Skus'!$A:$AC,2,FALSE))="JBL",(VLOOKUP(Table6[[#This Row],[SKU]],'All Skus'!$A:$AC,5,FALSE)),""))</f>
        <v>JBL018</v>
      </c>
      <c r="E124" s="137">
        <f>(IF((VLOOKUP(Table6[[#This Row],[SKU]],'All Skus'!$A:$AC,2,FALSE))="JBL",(VLOOKUP(Table6[[#This Row],[SKU]],'All Skus'!$A:$AC,6,FALSE)),""))</f>
        <v>0</v>
      </c>
      <c r="F124" s="61">
        <f>(IF((VLOOKUP(Table6[[#This Row],[SKU]],'All Skus'!$A:$AC,2,FALSE))="JBL",(VLOOKUP(Table6[[#This Row],[SKU]],'All Skus'!$A:$AC,7,FALSE)),""))</f>
        <v>0</v>
      </c>
      <c r="G124" t="str">
        <f>(IF((VLOOKUP(Table6[[#This Row],[SKU]],'All Skus'!$A:$AC,2,FALSE))="JBL",(VLOOKUP(Table6[[#This Row],[SKU]],'All Skus'!$A:$AC,8,FALSE)),""))</f>
        <v>8" CEILING COAX</v>
      </c>
      <c r="H124" s="8" t="str">
        <f>(IF((VLOOKUP(Table6[[#This Row],[SKU]],'All Skus'!$A:$AC,2,FALSE))="JBL",(VLOOKUP(Table6[[#This Row],[SKU]],'All Skus'!$A:$AC,9,FALSE)),""))</f>
        <v>8” Coax Ceiling Speaker with 12” Waveguide.  Broadband 120º Coverage.  250 Watts, 45 Hz to 18 kHz Frequency Response, 93 dB Sensitivity. 2412H Compression driver.  12” Round Ported Baffle/Waveguide x 6.3” Deep.   UL LISTED Priced and sold as Each</v>
      </c>
      <c r="I124" s="101">
        <f>(IF((VLOOKUP(Table6[[#This Row],[SKU]],'All Skus'!$A:$AC,2,FALSE))="JBL",(VLOOKUP(Table6[[#This Row],[SKU]],'All Skus'!$A:$AC,10,FALSE)),""))</f>
        <v>451.48</v>
      </c>
      <c r="J124" s="101">
        <f>(IF((VLOOKUP(Table6[[#This Row],[SKU]],'All Skus'!$A:$AC,2,FALSE))="JBL",(VLOOKUP(Table6[[#This Row],[SKU]],'All Skus'!$A:$AC,11,FALSE)),""))</f>
        <v>360</v>
      </c>
      <c r="K124" s="102">
        <f>(IF((VLOOKUP(Table6[[#This Row],[SKU]],'All Skus'!$A:$AC,2,FALSE))="JBL",(VLOOKUP(Table6[[#This Row],[SKU]],'All Skus'!$A:$AC,13,FALSE)),""))</f>
        <v>249.84553499999998</v>
      </c>
      <c r="L124" s="102">
        <f>(IF((VLOOKUP(Table6[[#This Row],[SKU]],'All Skus'!$A:$AC,2,FALSE))="JBL",(VLOOKUP(Table6[[#This Row],[SKU]],'All Skus'!$A:$AC,14,FALSE)),""))</f>
        <v>236.69576999999998</v>
      </c>
      <c r="M124" s="143">
        <f>(IF((VLOOKUP(Table6[[#This Row],[SKU]],'All Skus'!$A:$AC,2,FALSE))="JBL",(VLOOKUP(Table6[[#This Row],[SKU]],'All Skus'!$A:$AC,15,FALSE)),""))</f>
        <v>0</v>
      </c>
      <c r="N124" s="137">
        <f>(IF((VLOOKUP(Table6[[#This Row],[SKU]],'All Skus'!$A:$AC,2,FALSE))="JBL",(VLOOKUP(Table6[[#This Row],[SKU]],'All Skus'!$A:$AC,16,FALSE)),""))</f>
        <v>50036905176</v>
      </c>
      <c r="O124" s="61">
        <f>(IF((VLOOKUP(Table6[[#This Row],[SKU]],'All Skus'!$A:$AC,2,FALSE))="JBL",(VLOOKUP(Table6[[#This Row],[SKU]],'All Skus'!$A:$AC,17,FALSE)),""))</f>
        <v>0</v>
      </c>
      <c r="P124" s="136">
        <f>(IF((VLOOKUP(Table6[[#This Row],[SKU]],'All Skus'!$A:$AC,2,FALSE))="JBL",(VLOOKUP(Table6[[#This Row],[SKU]],'All Skus'!$A:$AC,18,FALSE)),""))</f>
        <v>14.75</v>
      </c>
      <c r="Q124" s="136">
        <f>(IF((VLOOKUP(Table6[[#This Row],[SKU]],'All Skus'!$A:$AC,2,FALSE))="JBL",(VLOOKUP(Table6[[#This Row],[SKU]],'All Skus'!$A:$AC,19,FALSE)),""))</f>
        <v>15</v>
      </c>
      <c r="R124" s="136">
        <f>(IF((VLOOKUP(Table6[[#This Row],[SKU]],'All Skus'!$A:$AC,2,FALSE))="JBL",(VLOOKUP(Table6[[#This Row],[SKU]],'All Skus'!$A:$AC,20,FALSE)),""))</f>
        <v>15</v>
      </c>
      <c r="S124" s="61">
        <f>(IF((VLOOKUP(Table6[[#This Row],[SKU]],'All Skus'!$A:$AC,2,FALSE))="JBL",(VLOOKUP(Table6[[#This Row],[SKU]],'All Skus'!$A:$AC,21,FALSE)),""))</f>
        <v>12</v>
      </c>
      <c r="T124" s="61" t="str">
        <f>(IF((VLOOKUP(Table6[[#This Row],[SKU]],'All Skus'!$A:$AC,2,FALSE))="JBL",(VLOOKUP(Table6[[#This Row],[SKU]],'All Skus'!$A:$AC,22,FALSE)),""))</f>
        <v>CN</v>
      </c>
      <c r="U124" t="str">
        <f>(IF((VLOOKUP(Table6[[#This Row],[SKU]],'All Skus'!$A:$AC,2,FALSE))="JBL",(VLOOKUP(Table6[[#This Row],[SKU]],'All Skus'!$A:$AC,23,FALSE)),""))</f>
        <v>Non Compliant</v>
      </c>
      <c r="V124" s="284" t="str">
        <f>HYPERLINK((IF((VLOOKUP(Table6[[#This Row],[SKU]],'All Skus'!$A:$AC,2,FALSE))="JBL",(VLOOKUP(Table6[[#This Row],[SKU]],'All Skus'!$A:$AC,24,FALSE)),"")))</f>
        <v xml:space="preserve">http://www.jblpro.com/www/products/installed-sound/control-300-series/control-328c </v>
      </c>
      <c r="W124" s="151">
        <v>122</v>
      </c>
    </row>
    <row r="125" spans="1:23" ht="15" hidden="1" customHeight="1">
      <c r="A125" s="13" t="s">
        <v>1131</v>
      </c>
      <c r="B125" s="12" t="str">
        <f>(IF((VLOOKUP(Table6[[#This Row],[SKU]],'All Skus'!$A:$AC,2,FALSE))="JBL",(VLOOKUP(Table6[[#This Row],[SKU]],'All Skus'!$A:$AC,3,FALSE)),""))</f>
        <v>Ceiling Speaker</v>
      </c>
      <c r="C125" s="12" t="str">
        <f>(IF((VLOOKUP(Table6[[#This Row],[SKU]],'All Skus'!$A:$AC,2,FALSE))="JBL",(VLOOKUP(Table6[[#This Row],[SKU]],'All Skus'!$A:$AC,4,FALSE)),""))</f>
        <v>CONTROL 328CT</v>
      </c>
      <c r="D125" s="61" t="str">
        <f>(IF((VLOOKUP(Table6[[#This Row],[SKU]],'All Skus'!$A:$AC,2,FALSE))="JBL",(VLOOKUP(Table6[[#This Row],[SKU]],'All Skus'!$A:$AC,5,FALSE)),""))</f>
        <v>JBL018</v>
      </c>
      <c r="E125" s="137">
        <f>(IF((VLOOKUP(Table6[[#This Row],[SKU]],'All Skus'!$A:$AC,2,FALSE))="JBL",(VLOOKUP(Table6[[#This Row],[SKU]],'All Skus'!$A:$AC,6,FALSE)),""))</f>
        <v>0</v>
      </c>
      <c r="F125" s="61">
        <f>(IF((VLOOKUP(Table6[[#This Row],[SKU]],'All Skus'!$A:$AC,2,FALSE))="JBL",(VLOOKUP(Table6[[#This Row],[SKU]],'All Skus'!$A:$AC,7,FALSE)),""))</f>
        <v>0</v>
      </c>
      <c r="G125" t="str">
        <f>(IF((VLOOKUP(Table6[[#This Row],[SKU]],'All Skus'!$A:$AC,2,FALSE))="JBL",(VLOOKUP(Table6[[#This Row],[SKU]],'All Skus'!$A:$AC,8,FALSE)),""))</f>
        <v>8" CEILING COAX   W/60W X-FORMER</v>
      </c>
      <c r="H125" s="8" t="str">
        <f>(IF((VLOOKUP(Table6[[#This Row],[SKU]],'All Skus'!$A:$AC,2,FALSE))="JBL",(VLOOKUP(Table6[[#This Row],[SKU]],'All Skus'!$A:$AC,9,FALSE)),""))</f>
        <v>Control 328C with pre-attached 60 Watt 70V/100V Multi-Tap Transformer.  Taps at 68W, 34W &amp; 17W (Plus 8.5W at 70V Only). 12” Round Ported Baffle with Waveguide, Depth 8.6”.  UL LISTED Priced and sold as Each</v>
      </c>
      <c r="I125" s="101">
        <f>(IF((VLOOKUP(Table6[[#This Row],[SKU]],'All Skus'!$A:$AC,2,FALSE))="JBL",(VLOOKUP(Table6[[#This Row],[SKU]],'All Skus'!$A:$AC,10,FALSE)),""))</f>
        <v>507.26</v>
      </c>
      <c r="J125" s="101">
        <f>(IF((VLOOKUP(Table6[[#This Row],[SKU]],'All Skus'!$A:$AC,2,FALSE))="JBL",(VLOOKUP(Table6[[#This Row],[SKU]],'All Skus'!$A:$AC,11,FALSE)),""))</f>
        <v>407</v>
      </c>
      <c r="K125" s="102">
        <f>(IF((VLOOKUP(Table6[[#This Row],[SKU]],'All Skus'!$A:$AC,2,FALSE))="JBL",(VLOOKUP(Table6[[#This Row],[SKU]],'All Skus'!$A:$AC,13,FALSE)),""))</f>
        <v>280.71664000000004</v>
      </c>
      <c r="L125" s="102">
        <f>(IF((VLOOKUP(Table6[[#This Row],[SKU]],'All Skus'!$A:$AC,2,FALSE))="JBL",(VLOOKUP(Table6[[#This Row],[SKU]],'All Skus'!$A:$AC,14,FALSE)),""))</f>
        <v>265.94208000000003</v>
      </c>
      <c r="M125" s="143">
        <f>(IF((VLOOKUP(Table6[[#This Row],[SKU]],'All Skus'!$A:$AC,2,FALSE))="JBL",(VLOOKUP(Table6[[#This Row],[SKU]],'All Skus'!$A:$AC,15,FALSE)),""))</f>
        <v>0</v>
      </c>
      <c r="N125" s="137">
        <f>(IF((VLOOKUP(Table6[[#This Row],[SKU]],'All Skus'!$A:$AC,2,FALSE))="JBL",(VLOOKUP(Table6[[#This Row],[SKU]],'All Skus'!$A:$AC,16,FALSE)),""))</f>
        <v>50036905183</v>
      </c>
      <c r="O125" s="61">
        <f>(IF((VLOOKUP(Table6[[#This Row],[SKU]],'All Skus'!$A:$AC,2,FALSE))="JBL",(VLOOKUP(Table6[[#This Row],[SKU]],'All Skus'!$A:$AC,17,FALSE)),""))</f>
        <v>0</v>
      </c>
      <c r="P125" s="136">
        <f>(IF((VLOOKUP(Table6[[#This Row],[SKU]],'All Skus'!$A:$AC,2,FALSE))="JBL",(VLOOKUP(Table6[[#This Row],[SKU]],'All Skus'!$A:$AC,18,FALSE)),""))</f>
        <v>17.2</v>
      </c>
      <c r="Q125" s="136">
        <f>(IF((VLOOKUP(Table6[[#This Row],[SKU]],'All Skus'!$A:$AC,2,FALSE))="JBL",(VLOOKUP(Table6[[#This Row],[SKU]],'All Skus'!$A:$AC,19,FALSE)),""))</f>
        <v>15</v>
      </c>
      <c r="R125" s="136">
        <f>(IF((VLOOKUP(Table6[[#This Row],[SKU]],'All Skus'!$A:$AC,2,FALSE))="JBL",(VLOOKUP(Table6[[#This Row],[SKU]],'All Skus'!$A:$AC,20,FALSE)),""))</f>
        <v>15</v>
      </c>
      <c r="S125" s="61">
        <f>(IF((VLOOKUP(Table6[[#This Row],[SKU]],'All Skus'!$A:$AC,2,FALSE))="JBL",(VLOOKUP(Table6[[#This Row],[SKU]],'All Skus'!$A:$AC,21,FALSE)),""))</f>
        <v>12</v>
      </c>
      <c r="T125" s="61" t="str">
        <f>(IF((VLOOKUP(Table6[[#This Row],[SKU]],'All Skus'!$A:$AC,2,FALSE))="JBL",(VLOOKUP(Table6[[#This Row],[SKU]],'All Skus'!$A:$AC,22,FALSE)),""))</f>
        <v>CN</v>
      </c>
      <c r="U125" t="str">
        <f>(IF((VLOOKUP(Table6[[#This Row],[SKU]],'All Skus'!$A:$AC,2,FALSE))="JBL",(VLOOKUP(Table6[[#This Row],[SKU]],'All Skus'!$A:$AC,23,FALSE)),""))</f>
        <v>Non Compliant</v>
      </c>
      <c r="V125" s="284" t="str">
        <f>HYPERLINK((IF((VLOOKUP(Table6[[#This Row],[SKU]],'All Skus'!$A:$AC,2,FALSE))="JBL",(VLOOKUP(Table6[[#This Row],[SKU]],'All Skus'!$A:$AC,24,FALSE)),"")))</f>
        <v xml:space="preserve">http://www.jblpro.com/www/products/installed-sound/control-300-series/control-328ct </v>
      </c>
      <c r="W125" s="151">
        <v>123</v>
      </c>
    </row>
    <row r="126" spans="1:23" ht="15" hidden="1" customHeight="1">
      <c r="A126" s="13" t="s">
        <v>1132</v>
      </c>
      <c r="B126" s="12" t="str">
        <f>(IF((VLOOKUP(Table6[[#This Row],[SKU]],'All Skus'!$A:$AC,2,FALSE))="JBL",(VLOOKUP(Table6[[#This Row],[SKU]],'All Skus'!$A:$AC,3,FALSE)),""))</f>
        <v>Accessory</v>
      </c>
      <c r="C126" s="12" t="str">
        <f>(IF((VLOOKUP(Table6[[#This Row],[SKU]],'All Skus'!$A:$AC,2,FALSE))="JBL",(VLOOKUP(Table6[[#This Row],[SKU]],'All Skus'!$A:$AC,4,FALSE)),""))</f>
        <v>MTC-300BB12</v>
      </c>
      <c r="D126" s="61" t="str">
        <f>(IF((VLOOKUP(Table6[[#This Row],[SKU]],'All Skus'!$A:$AC,2,FALSE))="JBL",(VLOOKUP(Table6[[#This Row],[SKU]],'All Skus'!$A:$AC,5,FALSE)),""))</f>
        <v>JBL018</v>
      </c>
      <c r="E126" s="137">
        <f>(IF((VLOOKUP(Table6[[#This Row],[SKU]],'All Skus'!$A:$AC,2,FALSE))="JBL",(VLOOKUP(Table6[[#This Row],[SKU]],'All Skus'!$A:$AC,6,FALSE)),""))</f>
        <v>0</v>
      </c>
      <c r="F126" s="61">
        <f>(IF((VLOOKUP(Table6[[#This Row],[SKU]],'All Skus'!$A:$AC,2,FALSE))="JBL",(VLOOKUP(Table6[[#This Row],[SKU]],'All Skus'!$A:$AC,7,FALSE)),""))</f>
        <v>0</v>
      </c>
      <c r="G126" t="str">
        <f>(IF((VLOOKUP(Table6[[#This Row],[SKU]],'All Skus'!$A:$AC,2,FALSE))="JBL",(VLOOKUP(Table6[[#This Row],[SKU]],'All Skus'!$A:$AC,8,FALSE)),""))</f>
        <v>BACKBOX FOR 12" C300</v>
      </c>
      <c r="H126" s="8" t="str">
        <f>(IF((VLOOKUP(Table6[[#This Row],[SKU]],'All Skus'!$A:$AC,2,FALSE))="JBL",(VLOOKUP(Table6[[#This Row],[SKU]],'All Skus'!$A:$AC,9,FALSE)),""))</f>
        <v>Best-in-Class Three Cubic Foot Back Box for 12” Models.  Rectangular with Extra-Thick 16 Gauge Metal and Heavy Duty ½” MDF Reinforcement on Top and Side Panels. Fits Control 321C, 321CT, 322C, 322CT &amp; 321CS.   23.1” x 18.2” (20” Incl. Side Tabs) x 12.8” Deep.      NOW UL LISTED Sold and packed as Eaches</v>
      </c>
      <c r="I126" s="101">
        <f>(IF((VLOOKUP(Table6[[#This Row],[SKU]],'All Skus'!$A:$AC,2,FALSE))="JBL",(VLOOKUP(Table6[[#This Row],[SKU]],'All Skus'!$A:$AC,10,FALSE)),""))</f>
        <v>335.66</v>
      </c>
      <c r="J126" s="101">
        <f>(IF((VLOOKUP(Table6[[#This Row],[SKU]],'All Skus'!$A:$AC,2,FALSE))="JBL",(VLOOKUP(Table6[[#This Row],[SKU]],'All Skus'!$A:$AC,11,FALSE)),""))</f>
        <v>335.66</v>
      </c>
      <c r="K126" s="102">
        <f>(IF((VLOOKUP(Table6[[#This Row],[SKU]],'All Skus'!$A:$AC,2,FALSE))="JBL",(VLOOKUP(Table6[[#This Row],[SKU]],'All Skus'!$A:$AC,13,FALSE)),""))</f>
        <v>185.45025999999999</v>
      </c>
      <c r="L126" s="102">
        <f>(IF((VLOOKUP(Table6[[#This Row],[SKU]],'All Skus'!$A:$AC,2,FALSE))="JBL",(VLOOKUP(Table6[[#This Row],[SKU]],'All Skus'!$A:$AC,14,FALSE)),""))</f>
        <v>175.68972000000002</v>
      </c>
      <c r="M126" s="143">
        <f>(IF((VLOOKUP(Table6[[#This Row],[SKU]],'All Skus'!$A:$AC,2,FALSE))="JBL",(VLOOKUP(Table6[[#This Row],[SKU]],'All Skus'!$A:$AC,15,FALSE)),""))</f>
        <v>0</v>
      </c>
      <c r="N126" s="137">
        <f>(IF((VLOOKUP(Table6[[#This Row],[SKU]],'All Skus'!$A:$AC,2,FALSE))="JBL",(VLOOKUP(Table6[[#This Row],[SKU]],'All Skus'!$A:$AC,16,FALSE)),""))</f>
        <v>691991300127</v>
      </c>
      <c r="O126" s="61">
        <f>(IF((VLOOKUP(Table6[[#This Row],[SKU]],'All Skus'!$A:$AC,2,FALSE))="JBL",(VLOOKUP(Table6[[#This Row],[SKU]],'All Skus'!$A:$AC,17,FALSE)),""))</f>
        <v>0</v>
      </c>
      <c r="P126" s="136">
        <f>(IF((VLOOKUP(Table6[[#This Row],[SKU]],'All Skus'!$A:$AC,2,FALSE))="JBL",(VLOOKUP(Table6[[#This Row],[SKU]],'All Skus'!$A:$AC,18,FALSE)),""))</f>
        <v>47</v>
      </c>
      <c r="Q126" s="136">
        <f>(IF((VLOOKUP(Table6[[#This Row],[SKU]],'All Skus'!$A:$AC,2,FALSE))="JBL",(VLOOKUP(Table6[[#This Row],[SKU]],'All Skus'!$A:$AC,19,FALSE)),""))</f>
        <v>27</v>
      </c>
      <c r="R126" s="136">
        <f>(IF((VLOOKUP(Table6[[#This Row],[SKU]],'All Skus'!$A:$AC,2,FALSE))="JBL",(VLOOKUP(Table6[[#This Row],[SKU]],'All Skus'!$A:$AC,20,FALSE)),""))</f>
        <v>23</v>
      </c>
      <c r="S126" s="61">
        <f>(IF((VLOOKUP(Table6[[#This Row],[SKU]],'All Skus'!$A:$AC,2,FALSE))="JBL",(VLOOKUP(Table6[[#This Row],[SKU]],'All Skus'!$A:$AC,21,FALSE)),""))</f>
        <v>17</v>
      </c>
      <c r="T126" s="61" t="str">
        <f>(IF((VLOOKUP(Table6[[#This Row],[SKU]],'All Skus'!$A:$AC,2,FALSE))="JBL",(VLOOKUP(Table6[[#This Row],[SKU]],'All Skus'!$A:$AC,22,FALSE)),""))</f>
        <v>CN</v>
      </c>
      <c r="U126" t="str">
        <f>(IF((VLOOKUP(Table6[[#This Row],[SKU]],'All Skus'!$A:$AC,2,FALSE))="JBL",(VLOOKUP(Table6[[#This Row],[SKU]],'All Skus'!$A:$AC,23,FALSE)),""))</f>
        <v>Non Compliant</v>
      </c>
      <c r="V126" s="284" t="str">
        <f>HYPERLINK((IF((VLOOKUP(Table6[[#This Row],[SKU]],'All Skus'!$A:$AC,2,FALSE))="JBL",(VLOOKUP(Table6[[#This Row],[SKU]],'All Skus'!$A:$AC,24,FALSE)),"")))</f>
        <v xml:space="preserve">http://www.jblpro.com/www/products/installed-sound/control-300-series/mtc-300bb12 </v>
      </c>
      <c r="W126" s="151">
        <v>124</v>
      </c>
    </row>
    <row r="127" spans="1:23" ht="15" hidden="1" customHeight="1">
      <c r="A127" s="13" t="s">
        <v>1133</v>
      </c>
      <c r="B127" s="12" t="str">
        <f>(IF((VLOOKUP(Table6[[#This Row],[SKU]],'All Skus'!$A:$AC,2,FALSE))="JBL",(VLOOKUP(Table6[[#This Row],[SKU]],'All Skus'!$A:$AC,3,FALSE)),""))</f>
        <v>Accessory</v>
      </c>
      <c r="C127" s="12" t="str">
        <f>(IF((VLOOKUP(Table6[[#This Row],[SKU]],'All Skus'!$A:$AC,2,FALSE))="JBL",(VLOOKUP(Table6[[#This Row],[SKU]],'All Skus'!$A:$AC,4,FALSE)),""))</f>
        <v>MTC-300BB8</v>
      </c>
      <c r="D127" s="61" t="str">
        <f>(IF((VLOOKUP(Table6[[#This Row],[SKU]],'All Skus'!$A:$AC,2,FALSE))="JBL",(VLOOKUP(Table6[[#This Row],[SKU]],'All Skus'!$A:$AC,5,FALSE)),""))</f>
        <v>JBL018</v>
      </c>
      <c r="E127" s="137">
        <f>(IF((VLOOKUP(Table6[[#This Row],[SKU]],'All Skus'!$A:$AC,2,FALSE))="JBL",(VLOOKUP(Table6[[#This Row],[SKU]],'All Skus'!$A:$AC,6,FALSE)),""))</f>
        <v>0</v>
      </c>
      <c r="F127" s="61">
        <f>(IF((VLOOKUP(Table6[[#This Row],[SKU]],'All Skus'!$A:$AC,2,FALSE))="JBL",(VLOOKUP(Table6[[#This Row],[SKU]],'All Skus'!$A:$AC,7,FALSE)),""))</f>
        <v>0</v>
      </c>
      <c r="G127" t="str">
        <f>(IF((VLOOKUP(Table6[[#This Row],[SKU]],'All Skus'!$A:$AC,2,FALSE))="JBL",(VLOOKUP(Table6[[#This Row],[SKU]],'All Skus'!$A:$AC,8,FALSE)),""))</f>
        <v>BACKBOX FOR 8" C300</v>
      </c>
      <c r="H127" s="8" t="str">
        <f>(IF((VLOOKUP(Table6[[#This Row],[SKU]],'All Skus'!$A:$AC,2,FALSE))="JBL",(VLOOKUP(Table6[[#This Row],[SKU]],'All Skus'!$A:$AC,9,FALSE)),""))</f>
        <v>One Cubic Foot Back Box for 8” Models.  Round with Extra-Thick 16 Gauge Metal and Heavy Duty ½” MDF Reinforcement on Top Panel.  Knockouts on Sides and Top Panel.  Fits Control 328C &amp; 328CT.  15” Dia x 10.6” Deep.   NOW UL LISTED Sold and packed as Eaches</v>
      </c>
      <c r="I127" s="101">
        <f>(IF((VLOOKUP(Table6[[#This Row],[SKU]],'All Skus'!$A:$AC,2,FALSE))="JBL",(VLOOKUP(Table6[[#This Row],[SKU]],'All Skus'!$A:$AC,10,FALSE)),""))</f>
        <v>117.3</v>
      </c>
      <c r="J127" s="101">
        <f>(IF((VLOOKUP(Table6[[#This Row],[SKU]],'All Skus'!$A:$AC,2,FALSE))="JBL",(VLOOKUP(Table6[[#This Row],[SKU]],'All Skus'!$A:$AC,11,FALSE)),""))</f>
        <v>117.3</v>
      </c>
      <c r="K127" s="102">
        <f>(IF((VLOOKUP(Table6[[#This Row],[SKU]],'All Skus'!$A:$AC,2,FALSE))="JBL",(VLOOKUP(Table6[[#This Row],[SKU]],'All Skus'!$A:$AC,13,FALSE)),""))</f>
        <v>65.208475000000007</v>
      </c>
      <c r="L127" s="102">
        <f>(IF((VLOOKUP(Table6[[#This Row],[SKU]],'All Skus'!$A:$AC,2,FALSE))="JBL",(VLOOKUP(Table6[[#This Row],[SKU]],'All Skus'!$A:$AC,14,FALSE)),""))</f>
        <v>61.776450000000018</v>
      </c>
      <c r="M127" s="143">
        <f>(IF((VLOOKUP(Table6[[#This Row],[SKU]],'All Skus'!$A:$AC,2,FALSE))="JBL",(VLOOKUP(Table6[[#This Row],[SKU]],'All Skus'!$A:$AC,15,FALSE)),""))</f>
        <v>0</v>
      </c>
      <c r="N127" s="137">
        <f>(IF((VLOOKUP(Table6[[#This Row],[SKU]],'All Skus'!$A:$AC,2,FALSE))="JBL",(VLOOKUP(Table6[[#This Row],[SKU]],'All Skus'!$A:$AC,16,FALSE)),""))</f>
        <v>691991300110</v>
      </c>
      <c r="O127" s="61">
        <f>(IF((VLOOKUP(Table6[[#This Row],[SKU]],'All Skus'!$A:$AC,2,FALSE))="JBL",(VLOOKUP(Table6[[#This Row],[SKU]],'All Skus'!$A:$AC,17,FALSE)),""))</f>
        <v>0</v>
      </c>
      <c r="P127" s="136">
        <f>(IF((VLOOKUP(Table6[[#This Row],[SKU]],'All Skus'!$A:$AC,2,FALSE))="JBL",(VLOOKUP(Table6[[#This Row],[SKU]],'All Skus'!$A:$AC,18,FALSE)),""))</f>
        <v>14.05</v>
      </c>
      <c r="Q127" s="136">
        <f>(IF((VLOOKUP(Table6[[#This Row],[SKU]],'All Skus'!$A:$AC,2,FALSE))="JBL",(VLOOKUP(Table6[[#This Row],[SKU]],'All Skus'!$A:$AC,19,FALSE)),""))</f>
        <v>18.5</v>
      </c>
      <c r="R127" s="136">
        <f>(IF((VLOOKUP(Table6[[#This Row],[SKU]],'All Skus'!$A:$AC,2,FALSE))="JBL",(VLOOKUP(Table6[[#This Row],[SKU]],'All Skus'!$A:$AC,20,FALSE)),""))</f>
        <v>18</v>
      </c>
      <c r="S127" s="61">
        <f>(IF((VLOOKUP(Table6[[#This Row],[SKU]],'All Skus'!$A:$AC,2,FALSE))="JBL",(VLOOKUP(Table6[[#This Row],[SKU]],'All Skus'!$A:$AC,21,FALSE)),""))</f>
        <v>14</v>
      </c>
      <c r="T127" s="61" t="str">
        <f>(IF((VLOOKUP(Table6[[#This Row],[SKU]],'All Skus'!$A:$AC,2,FALSE))="JBL",(VLOOKUP(Table6[[#This Row],[SKU]],'All Skus'!$A:$AC,22,FALSE)),""))</f>
        <v>CN</v>
      </c>
      <c r="U127" t="str">
        <f>(IF((VLOOKUP(Table6[[#This Row],[SKU]],'All Skus'!$A:$AC,2,FALSE))="JBL",(VLOOKUP(Table6[[#This Row],[SKU]],'All Skus'!$A:$AC,23,FALSE)),""))</f>
        <v>Non Compliant</v>
      </c>
      <c r="V127" s="284" t="str">
        <f>HYPERLINK((IF((VLOOKUP(Table6[[#This Row],[SKU]],'All Skus'!$A:$AC,2,FALSE))="JBL",(VLOOKUP(Table6[[#This Row],[SKU]],'All Skus'!$A:$AC,24,FALSE)),"")))</f>
        <v xml:space="preserve">http://www.jblpro.com/www/products/installed-sound/control-300-series/mtc-300bb8 </v>
      </c>
      <c r="W127" s="151">
        <v>125</v>
      </c>
    </row>
    <row r="128" spans="1:23" ht="15" hidden="1" customHeight="1">
      <c r="A128" s="13" t="s">
        <v>1134</v>
      </c>
      <c r="B128" s="12" t="str">
        <f>(IF((VLOOKUP(Table6[[#This Row],[SKU]],'All Skus'!$A:$AC,2,FALSE))="JBL",(VLOOKUP(Table6[[#This Row],[SKU]],'All Skus'!$A:$AC,3,FALSE)),""))</f>
        <v>Accessory</v>
      </c>
      <c r="C128" s="12" t="str">
        <f>(IF((VLOOKUP(Table6[[#This Row],[SKU]],'All Skus'!$A:$AC,2,FALSE))="JBL",(VLOOKUP(Table6[[#This Row],[SKU]],'All Skus'!$A:$AC,4,FALSE)),""))</f>
        <v>MTC-300SG12</v>
      </c>
      <c r="D128" s="61" t="str">
        <f>(IF((VLOOKUP(Table6[[#This Row],[SKU]],'All Skus'!$A:$AC,2,FALSE))="JBL",(VLOOKUP(Table6[[#This Row],[SKU]],'All Skus'!$A:$AC,5,FALSE)),""))</f>
        <v>JBL018</v>
      </c>
      <c r="E128" s="137">
        <f>(IF((VLOOKUP(Table6[[#This Row],[SKU]],'All Skus'!$A:$AC,2,FALSE))="JBL",(VLOOKUP(Table6[[#This Row],[SKU]],'All Skus'!$A:$AC,6,FALSE)),""))</f>
        <v>0</v>
      </c>
      <c r="F128" s="61">
        <f>(IF((VLOOKUP(Table6[[#This Row],[SKU]],'All Skus'!$A:$AC,2,FALSE))="JBL",(VLOOKUP(Table6[[#This Row],[SKU]],'All Skus'!$A:$AC,7,FALSE)),""))</f>
        <v>0</v>
      </c>
      <c r="G128" t="str">
        <f>(IF((VLOOKUP(Table6[[#This Row],[SKU]],'All Skus'!$A:$AC,2,FALSE))="JBL",(VLOOKUP(Table6[[#This Row],[SKU]],'All Skus'!$A:$AC,8,FALSE)),""))</f>
        <v>SQUARE GRILLE FOR 12" C300</v>
      </c>
      <c r="H128" s="8" t="str">
        <f>(IF((VLOOKUP(Table6[[#This Row],[SKU]],'All Skus'!$A:$AC,2,FALSE))="JBL",(VLOOKUP(Table6[[#This Row],[SKU]],'All Skus'!$A:$AC,9,FALSE)),""))</f>
        <v>Contemporary Square Grille for 12” Models.  Fashionable Upscale Look, White, Metal,  16.3” x 16.3” x 0.4” Deep.   NOW UL LISTED Sold and packed as Eaches</v>
      </c>
      <c r="I128" s="101">
        <f>(IF((VLOOKUP(Table6[[#This Row],[SKU]],'All Skus'!$A:$AC,2,FALSE))="JBL",(VLOOKUP(Table6[[#This Row],[SKU]],'All Skus'!$A:$AC,10,FALSE)),""))</f>
        <v>53.65</v>
      </c>
      <c r="J128" s="101">
        <f>(IF((VLOOKUP(Table6[[#This Row],[SKU]],'All Skus'!$A:$AC,2,FALSE))="JBL",(VLOOKUP(Table6[[#This Row],[SKU]],'All Skus'!$A:$AC,11,FALSE)),""))</f>
        <v>53.65</v>
      </c>
      <c r="K128" s="102">
        <f>(IF((VLOOKUP(Table6[[#This Row],[SKU]],'All Skus'!$A:$AC,2,FALSE))="JBL",(VLOOKUP(Table6[[#This Row],[SKU]],'All Skus'!$A:$AC,13,FALSE)),""))</f>
        <v>29.458169999999999</v>
      </c>
      <c r="L128" s="102">
        <f>(IF((VLOOKUP(Table6[[#This Row],[SKU]],'All Skus'!$A:$AC,2,FALSE))="JBL",(VLOOKUP(Table6[[#This Row],[SKU]],'All Skus'!$A:$AC,14,FALSE)),""))</f>
        <v>27.90774</v>
      </c>
      <c r="M128" s="143">
        <f>(IF((VLOOKUP(Table6[[#This Row],[SKU]],'All Skus'!$A:$AC,2,FALSE))="JBL",(VLOOKUP(Table6[[#This Row],[SKU]],'All Skus'!$A:$AC,15,FALSE)),""))</f>
        <v>0</v>
      </c>
      <c r="N128" s="137">
        <f>(IF((VLOOKUP(Table6[[#This Row],[SKU]],'All Skus'!$A:$AC,2,FALSE))="JBL",(VLOOKUP(Table6[[#This Row],[SKU]],'All Skus'!$A:$AC,16,FALSE)),""))</f>
        <v>691991300134</v>
      </c>
      <c r="O128" s="61">
        <f>(IF((VLOOKUP(Table6[[#This Row],[SKU]],'All Skus'!$A:$AC,2,FALSE))="JBL",(VLOOKUP(Table6[[#This Row],[SKU]],'All Skus'!$A:$AC,17,FALSE)),""))</f>
        <v>0</v>
      </c>
      <c r="P128" s="136">
        <f>(IF((VLOOKUP(Table6[[#This Row],[SKU]],'All Skus'!$A:$AC,2,FALSE))="JBL",(VLOOKUP(Table6[[#This Row],[SKU]],'All Skus'!$A:$AC,18,FALSE)),""))</f>
        <v>2.96</v>
      </c>
      <c r="Q128" s="136">
        <f>(IF((VLOOKUP(Table6[[#This Row],[SKU]],'All Skus'!$A:$AC,2,FALSE))="JBL",(VLOOKUP(Table6[[#This Row],[SKU]],'All Skus'!$A:$AC,19,FALSE)),""))</f>
        <v>1</v>
      </c>
      <c r="R128" s="136">
        <f>(IF((VLOOKUP(Table6[[#This Row],[SKU]],'All Skus'!$A:$AC,2,FALSE))="JBL",(VLOOKUP(Table6[[#This Row],[SKU]],'All Skus'!$A:$AC,20,FALSE)),""))</f>
        <v>17</v>
      </c>
      <c r="S128" s="61">
        <f>(IF((VLOOKUP(Table6[[#This Row],[SKU]],'All Skus'!$A:$AC,2,FALSE))="JBL",(VLOOKUP(Table6[[#This Row],[SKU]],'All Skus'!$A:$AC,21,FALSE)),""))</f>
        <v>17</v>
      </c>
      <c r="T128" s="61" t="str">
        <f>(IF((VLOOKUP(Table6[[#This Row],[SKU]],'All Skus'!$A:$AC,2,FALSE))="JBL",(VLOOKUP(Table6[[#This Row],[SKU]],'All Skus'!$A:$AC,22,FALSE)),""))</f>
        <v>CN</v>
      </c>
      <c r="U128" t="str">
        <f>(IF((VLOOKUP(Table6[[#This Row],[SKU]],'All Skus'!$A:$AC,2,FALSE))="JBL",(VLOOKUP(Table6[[#This Row],[SKU]],'All Skus'!$A:$AC,23,FALSE)),""))</f>
        <v>Non Compliant</v>
      </c>
      <c r="V128" s="284" t="str">
        <f>HYPERLINK((IF((VLOOKUP(Table6[[#This Row],[SKU]],'All Skus'!$A:$AC,2,FALSE))="JBL",(VLOOKUP(Table6[[#This Row],[SKU]],'All Skus'!$A:$AC,24,FALSE)),"")))</f>
        <v xml:space="preserve">http://www.jblpro.com/www/products/installed-sound/control-300-series/mtc-300sg12 </v>
      </c>
      <c r="W128" s="151">
        <v>126</v>
      </c>
    </row>
    <row r="129" spans="1:23" ht="15" hidden="1" customHeight="1">
      <c r="A129" s="13" t="s">
        <v>1135</v>
      </c>
      <c r="B129" s="12" t="str">
        <f>(IF((VLOOKUP(Table6[[#This Row],[SKU]],'All Skus'!$A:$AC,2,FALSE))="JBL",(VLOOKUP(Table6[[#This Row],[SKU]],'All Skus'!$A:$AC,3,FALSE)),""))</f>
        <v>Accessory</v>
      </c>
      <c r="C129" s="12" t="str">
        <f>(IF((VLOOKUP(Table6[[#This Row],[SKU]],'All Skus'!$A:$AC,2,FALSE))="JBL",(VLOOKUP(Table6[[#This Row],[SKU]],'All Skus'!$A:$AC,4,FALSE)),""))</f>
        <v>MTC-300T150</v>
      </c>
      <c r="D129" s="61" t="str">
        <f>(IF((VLOOKUP(Table6[[#This Row],[SKU]],'All Skus'!$A:$AC,2,FALSE))="JBL",(VLOOKUP(Table6[[#This Row],[SKU]],'All Skus'!$A:$AC,5,FALSE)),""))</f>
        <v>JBL018</v>
      </c>
      <c r="E129" s="137">
        <f>(IF((VLOOKUP(Table6[[#This Row],[SKU]],'All Skus'!$A:$AC,2,FALSE))="JBL",(VLOOKUP(Table6[[#This Row],[SKU]],'All Skus'!$A:$AC,6,FALSE)),""))</f>
        <v>0</v>
      </c>
      <c r="F129" s="61">
        <f>(IF((VLOOKUP(Table6[[#This Row],[SKU]],'All Skus'!$A:$AC,2,FALSE))="JBL",(VLOOKUP(Table6[[#This Row],[SKU]],'All Skus'!$A:$AC,7,FALSE)),""))</f>
        <v>0</v>
      </c>
      <c r="G129" t="str">
        <f>(IF((VLOOKUP(Table6[[#This Row],[SKU]],'All Skus'!$A:$AC,2,FALSE))="JBL",(VLOOKUP(Table6[[#This Row],[SKU]],'All Skus'!$A:$AC,8,FALSE)),""))</f>
        <v>150W TRANSFORMER C300</v>
      </c>
      <c r="H129" s="8" t="str">
        <f>(IF((VLOOKUP(Table6[[#This Row],[SKU]],'All Skus'!$A:$AC,2,FALSE))="JBL",(VLOOKUP(Table6[[#This Row],[SKU]],'All Skus'!$A:$AC,9,FALSE)),""))</f>
        <v>150 Watt Transformer for Higher Output from a 70V or 100V System.  Use with Non-T Version Loudspeakers.   Mounts to Tabs Inside MTC-300BB12 Back Box (Does not Mount on Driver Assembly). 3.1” H x 3.4” W x 3.4” Deep. NOW UL LISTED Sold and packed as Eaches</v>
      </c>
      <c r="I129" s="101">
        <f>(IF((VLOOKUP(Table6[[#This Row],[SKU]],'All Skus'!$A:$AC,2,FALSE))="JBL",(VLOOKUP(Table6[[#This Row],[SKU]],'All Skus'!$A:$AC,10,FALSE)),""))</f>
        <v>109.8</v>
      </c>
      <c r="J129" s="101">
        <f>(IF((VLOOKUP(Table6[[#This Row],[SKU]],'All Skus'!$A:$AC,2,FALSE))="JBL",(VLOOKUP(Table6[[#This Row],[SKU]],'All Skus'!$A:$AC,11,FALSE)),""))</f>
        <v>109.8</v>
      </c>
      <c r="K129" s="102">
        <f>(IF((VLOOKUP(Table6[[#This Row],[SKU]],'All Skus'!$A:$AC,2,FALSE))="JBL",(VLOOKUP(Table6[[#This Row],[SKU]],'All Skus'!$A:$AC,13,FALSE)),""))</f>
        <v>65.208475000000007</v>
      </c>
      <c r="L129" s="102">
        <f>(IF((VLOOKUP(Table6[[#This Row],[SKU]],'All Skus'!$A:$AC,2,FALSE))="JBL",(VLOOKUP(Table6[[#This Row],[SKU]],'All Skus'!$A:$AC,14,FALSE)),""))</f>
        <v>61.776450000000018</v>
      </c>
      <c r="M129" s="143">
        <f>(IF((VLOOKUP(Table6[[#This Row],[SKU]],'All Skus'!$A:$AC,2,FALSE))="JBL",(VLOOKUP(Table6[[#This Row],[SKU]],'All Skus'!$A:$AC,15,FALSE)),""))</f>
        <v>0</v>
      </c>
      <c r="N129" s="137">
        <f>(IF((VLOOKUP(Table6[[#This Row],[SKU]],'All Skus'!$A:$AC,2,FALSE))="JBL",(VLOOKUP(Table6[[#This Row],[SKU]],'All Skus'!$A:$AC,16,FALSE)),""))</f>
        <v>691991300141</v>
      </c>
      <c r="O129" s="61">
        <f>(IF((VLOOKUP(Table6[[#This Row],[SKU]],'All Skus'!$A:$AC,2,FALSE))="JBL",(VLOOKUP(Table6[[#This Row],[SKU]],'All Skus'!$A:$AC,17,FALSE)),""))</f>
        <v>0</v>
      </c>
      <c r="P129" s="136">
        <f>(IF((VLOOKUP(Table6[[#This Row],[SKU]],'All Skus'!$A:$AC,2,FALSE))="JBL",(VLOOKUP(Table6[[#This Row],[SKU]],'All Skus'!$A:$AC,18,FALSE)),""))</f>
        <v>1.75</v>
      </c>
      <c r="Q129" s="136">
        <f>(IF((VLOOKUP(Table6[[#This Row],[SKU]],'All Skus'!$A:$AC,2,FALSE))="JBL",(VLOOKUP(Table6[[#This Row],[SKU]],'All Skus'!$A:$AC,19,FALSE)),""))</f>
        <v>5</v>
      </c>
      <c r="R129" s="136">
        <f>(IF((VLOOKUP(Table6[[#This Row],[SKU]],'All Skus'!$A:$AC,2,FALSE))="JBL",(VLOOKUP(Table6[[#This Row],[SKU]],'All Skus'!$A:$AC,20,FALSE)),""))</f>
        <v>4</v>
      </c>
      <c r="S129" s="61">
        <f>(IF((VLOOKUP(Table6[[#This Row],[SKU]],'All Skus'!$A:$AC,2,FALSE))="JBL",(VLOOKUP(Table6[[#This Row],[SKU]],'All Skus'!$A:$AC,21,FALSE)),""))</f>
        <v>4</v>
      </c>
      <c r="T129" s="61" t="str">
        <f>(IF((VLOOKUP(Table6[[#This Row],[SKU]],'All Skus'!$A:$AC,2,FALSE))="JBL",(VLOOKUP(Table6[[#This Row],[SKU]],'All Skus'!$A:$AC,22,FALSE)),""))</f>
        <v>CN</v>
      </c>
      <c r="U129" t="str">
        <f>(IF((VLOOKUP(Table6[[#This Row],[SKU]],'All Skus'!$A:$AC,2,FALSE))="JBL",(VLOOKUP(Table6[[#This Row],[SKU]],'All Skus'!$A:$AC,23,FALSE)),""))</f>
        <v>Non Compliant</v>
      </c>
      <c r="V129" s="284" t="str">
        <f>HYPERLINK((IF((VLOOKUP(Table6[[#This Row],[SKU]],'All Skus'!$A:$AC,2,FALSE))="JBL",(VLOOKUP(Table6[[#This Row],[SKU]],'All Skus'!$A:$AC,24,FALSE)),"")))</f>
        <v xml:space="preserve">http://www.jblpro.com/www/products/installed-sound/control-300-series/mtc-300t150 </v>
      </c>
      <c r="W129" s="151">
        <v>127</v>
      </c>
    </row>
    <row r="130" spans="1:23" ht="15" hidden="1" customHeight="1">
      <c r="A130" s="104" t="s">
        <v>1136</v>
      </c>
      <c r="B130" s="12">
        <f>(IF((VLOOKUP(Table6[[#This Row],[SKU]],'All Skus'!$A:$AC,2,FALSE))="JBL",(VLOOKUP(Table6[[#This Row],[SKU]],'All Skus'!$A:$AC,3,FALSE)),""))</f>
        <v>0</v>
      </c>
      <c r="C130" s="12">
        <f>(IF((VLOOKUP(Table6[[#This Row],[SKU]],'All Skus'!$A:$AC,2,FALSE))="JBL",(VLOOKUP(Table6[[#This Row],[SKU]],'All Skus'!$A:$AC,4,FALSE)),""))</f>
        <v>0</v>
      </c>
      <c r="D130" s="61">
        <f>(IF((VLOOKUP(Table6[[#This Row],[SKU]],'All Skus'!$A:$AC,2,FALSE))="JBL",(VLOOKUP(Table6[[#This Row],[SKU]],'All Skus'!$A:$AC,5,FALSE)),""))</f>
        <v>0</v>
      </c>
      <c r="E130" s="137">
        <f>(IF((VLOOKUP(Table6[[#This Row],[SKU]],'All Skus'!$A:$AC,2,FALSE))="JBL",(VLOOKUP(Table6[[#This Row],[SKU]],'All Skus'!$A:$AC,6,FALSE)),""))</f>
        <v>0</v>
      </c>
      <c r="F130" s="61">
        <f>(IF((VLOOKUP(Table6[[#This Row],[SKU]],'All Skus'!$A:$AC,2,FALSE))="JBL",(VLOOKUP(Table6[[#This Row],[SKU]],'All Skus'!$A:$AC,7,FALSE)),""))</f>
        <v>0</v>
      </c>
      <c r="G130">
        <f>(IF((VLOOKUP(Table6[[#This Row],[SKU]],'All Skus'!$A:$AC,2,FALSE))="JBL",(VLOOKUP(Table6[[#This Row],[SKU]],'All Skus'!$A:$AC,8,FALSE)),""))</f>
        <v>0</v>
      </c>
      <c r="H130" s="8">
        <f>(IF((VLOOKUP(Table6[[#This Row],[SKU]],'All Skus'!$A:$AC,2,FALSE))="JBL",(VLOOKUP(Table6[[#This Row],[SKU]],'All Skus'!$A:$AC,9,FALSE)),""))</f>
        <v>0</v>
      </c>
      <c r="I130" s="101">
        <f>(IF((VLOOKUP(Table6[[#This Row],[SKU]],'All Skus'!$A:$AC,2,FALSE))="JBL",(VLOOKUP(Table6[[#This Row],[SKU]],'All Skus'!$A:$AC,10,FALSE)),""))</f>
        <v>0</v>
      </c>
      <c r="J130" s="101">
        <f>(IF((VLOOKUP(Table6[[#This Row],[SKU]],'All Skus'!$A:$AC,2,FALSE))="JBL",(VLOOKUP(Table6[[#This Row],[SKU]],'All Skus'!$A:$AC,11,FALSE)),""))</f>
        <v>0</v>
      </c>
      <c r="K130" s="102">
        <f>(IF((VLOOKUP(Table6[[#This Row],[SKU]],'All Skus'!$A:$AC,2,FALSE))="JBL",(VLOOKUP(Table6[[#This Row],[SKU]],'All Skus'!$A:$AC,13,FALSE)),""))</f>
        <v>0</v>
      </c>
      <c r="L130" s="102">
        <f>(IF((VLOOKUP(Table6[[#This Row],[SKU]],'All Skus'!$A:$AC,2,FALSE))="JBL",(VLOOKUP(Table6[[#This Row],[SKU]],'All Skus'!$A:$AC,14,FALSE)),""))</f>
        <v>0</v>
      </c>
      <c r="M130" s="143">
        <f>(IF((VLOOKUP(Table6[[#This Row],[SKU]],'All Skus'!$A:$AC,2,FALSE))="JBL",(VLOOKUP(Table6[[#This Row],[SKU]],'All Skus'!$A:$AC,15,FALSE)),""))</f>
        <v>0</v>
      </c>
      <c r="N130" s="137">
        <f>(IF((VLOOKUP(Table6[[#This Row],[SKU]],'All Skus'!$A:$AC,2,FALSE))="JBL",(VLOOKUP(Table6[[#This Row],[SKU]],'All Skus'!$A:$AC,16,FALSE)),""))</f>
        <v>0</v>
      </c>
      <c r="O130" s="61">
        <f>(IF((VLOOKUP(Table6[[#This Row],[SKU]],'All Skus'!$A:$AC,2,FALSE))="JBL",(VLOOKUP(Table6[[#This Row],[SKU]],'All Skus'!$A:$AC,17,FALSE)),""))</f>
        <v>0</v>
      </c>
      <c r="P130" s="136">
        <f>(IF((VLOOKUP(Table6[[#This Row],[SKU]],'All Skus'!$A:$AC,2,FALSE))="JBL",(VLOOKUP(Table6[[#This Row],[SKU]],'All Skus'!$A:$AC,18,FALSE)),""))</f>
        <v>0</v>
      </c>
      <c r="Q130" s="136">
        <f>(IF((VLOOKUP(Table6[[#This Row],[SKU]],'All Skus'!$A:$AC,2,FALSE))="JBL",(VLOOKUP(Table6[[#This Row],[SKU]],'All Skus'!$A:$AC,19,FALSE)),""))</f>
        <v>0</v>
      </c>
      <c r="R130" s="136">
        <f>(IF((VLOOKUP(Table6[[#This Row],[SKU]],'All Skus'!$A:$AC,2,FALSE))="JBL",(VLOOKUP(Table6[[#This Row],[SKU]],'All Skus'!$A:$AC,20,FALSE)),""))</f>
        <v>0</v>
      </c>
      <c r="S130" s="61">
        <f>(IF((VLOOKUP(Table6[[#This Row],[SKU]],'All Skus'!$A:$AC,2,FALSE))="JBL",(VLOOKUP(Table6[[#This Row],[SKU]],'All Skus'!$A:$AC,21,FALSE)),""))</f>
        <v>0</v>
      </c>
      <c r="T130" s="61" t="str">
        <f>(IF((VLOOKUP(Table6[[#This Row],[SKU]],'All Skus'!$A:$AC,2,FALSE))="JBL",(VLOOKUP(Table6[[#This Row],[SKU]],'All Skus'!$A:$AC,22,FALSE)),""))</f>
        <v>CN</v>
      </c>
      <c r="U130" t="str">
        <f>(IF((VLOOKUP(Table6[[#This Row],[SKU]],'All Skus'!$A:$AC,2,FALSE))="JBL",(VLOOKUP(Table6[[#This Row],[SKU]],'All Skus'!$A:$AC,23,FALSE)),""))</f>
        <v>Non Compliant</v>
      </c>
      <c r="V130" s="284" t="str">
        <f>HYPERLINK((IF((VLOOKUP(Table6[[#This Row],[SKU]],'All Skus'!$A:$AC,2,FALSE))="JBL",(VLOOKUP(Table6[[#This Row],[SKU]],'All Skus'!$A:$AC,24,FALSE)),"")))</f>
        <v/>
      </c>
      <c r="W130" s="151">
        <v>128</v>
      </c>
    </row>
    <row r="131" spans="1:23" ht="15" hidden="1" customHeight="1">
      <c r="A131" s="13" t="s">
        <v>1137</v>
      </c>
      <c r="B131" s="12" t="str">
        <f>(IF((VLOOKUP(Table6[[#This Row],[SKU]],'All Skus'!$A:$AC,2,FALSE))="JBL",(VLOOKUP(Table6[[#This Row],[SKU]],'All Skus'!$A:$AC,3,FALSE)),""))</f>
        <v>Surface-Mount Speaker</v>
      </c>
      <c r="C131" s="12" t="str">
        <f>(IF((VLOOKUP(Table6[[#This Row],[SKU]],'All Skus'!$A:$AC,2,FALSE))="JBL",(VLOOKUP(Table6[[#This Row],[SKU]],'All Skus'!$A:$AC,4,FALSE)),""))</f>
        <v>CSS-1S/T</v>
      </c>
      <c r="D131" s="61" t="str">
        <f>(IF((VLOOKUP(Table6[[#This Row],[SKU]],'All Skus'!$A:$AC,2,FALSE))="JBL",(VLOOKUP(Table6[[#This Row],[SKU]],'All Skus'!$A:$AC,5,FALSE)),""))</f>
        <v>JBL017</v>
      </c>
      <c r="E131" s="137">
        <f>(IF((VLOOKUP(Table6[[#This Row],[SKU]],'All Skus'!$A:$AC,2,FALSE))="JBL",(VLOOKUP(Table6[[#This Row],[SKU]],'All Skus'!$A:$AC,6,FALSE)),""))</f>
        <v>0</v>
      </c>
      <c r="F131" s="61">
        <f>(IF((VLOOKUP(Table6[[#This Row],[SKU]],'All Skus'!$A:$AC,2,FALSE))="JBL",(VLOOKUP(Table6[[#This Row],[SKU]],'All Skus'!$A:$AC,7,FALSE)),""))</f>
        <v>0</v>
      </c>
      <c r="G131" t="str">
        <f>(IF((VLOOKUP(Table6[[#This Row],[SKU]],'All Skus'!$A:$AC,2,FALSE))="JBL",(VLOOKUP(Table6[[#This Row],[SKU]],'All Skus'!$A:$AC,8,FALSE)),""))</f>
        <v>2-way Surface-Mount Speaker with 8-ohm..</v>
      </c>
      <c r="H131" s="8" t="str">
        <f>(IF((VLOOKUP(Table6[[#This Row],[SKU]],'All Skus'!$A:$AC,2,FALSE))="JBL",(VLOOKUP(Table6[[#This Row],[SKU]],'All Skus'!$A:$AC,9,FALSE)),""))</f>
        <v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v>
      </c>
      <c r="I131" s="101">
        <f>(IF((VLOOKUP(Table6[[#This Row],[SKU]],'All Skus'!$A:$AC,2,FALSE))="JBL",(VLOOKUP(Table6[[#This Row],[SKU]],'All Skus'!$A:$AC,10,FALSE)),""))</f>
        <v>165.12</v>
      </c>
      <c r="J131" s="101">
        <f>(IF((VLOOKUP(Table6[[#This Row],[SKU]],'All Skus'!$A:$AC,2,FALSE))="JBL",(VLOOKUP(Table6[[#This Row],[SKU]],'All Skus'!$A:$AC,11,FALSE)),""))</f>
        <v>129</v>
      </c>
      <c r="K131" s="102">
        <f>(IF((VLOOKUP(Table6[[#This Row],[SKU]],'All Skus'!$A:$AC,2,FALSE))="JBL",(VLOOKUP(Table6[[#This Row],[SKU]],'All Skus'!$A:$AC,13,FALSE)),""))</f>
        <v>0</v>
      </c>
      <c r="L131" s="102">
        <f>(IF((VLOOKUP(Table6[[#This Row],[SKU]],'All Skus'!$A:$AC,2,FALSE))="JBL",(VLOOKUP(Table6[[#This Row],[SKU]],'All Skus'!$A:$AC,14,FALSE)),""))</f>
        <v>0</v>
      </c>
      <c r="M131" s="143">
        <f>(IF((VLOOKUP(Table6[[#This Row],[SKU]],'All Skus'!$A:$AC,2,FALSE))="JBL",(VLOOKUP(Table6[[#This Row],[SKU]],'All Skus'!$A:$AC,15,FALSE)),""))</f>
        <v>2</v>
      </c>
      <c r="N131" s="137">
        <f>(IF((VLOOKUP(Table6[[#This Row],[SKU]],'All Skus'!$A:$AC,2,FALSE))="JBL",(VLOOKUP(Table6[[#This Row],[SKU]],'All Skus'!$A:$AC,16,FALSE)),""))</f>
        <v>50036904698</v>
      </c>
      <c r="O131" s="61">
        <f>(IF((VLOOKUP(Table6[[#This Row],[SKU]],'All Skus'!$A:$AC,2,FALSE))="JBL",(VLOOKUP(Table6[[#This Row],[SKU]],'All Skus'!$A:$AC,17,FALSE)),""))</f>
        <v>0</v>
      </c>
      <c r="P131" s="136">
        <f>(IF((VLOOKUP(Table6[[#This Row],[SKU]],'All Skus'!$A:$AC,2,FALSE))="JBL",(VLOOKUP(Table6[[#This Row],[SKU]],'All Skus'!$A:$AC,18,FALSE)),""))</f>
        <v>6.1</v>
      </c>
      <c r="Q131" s="136">
        <f>(IF((VLOOKUP(Table6[[#This Row],[SKU]],'All Skus'!$A:$AC,2,FALSE))="JBL",(VLOOKUP(Table6[[#This Row],[SKU]],'All Skus'!$A:$AC,19,FALSE)),""))</f>
        <v>28</v>
      </c>
      <c r="R131" s="136">
        <f>(IF((VLOOKUP(Table6[[#This Row],[SKU]],'All Skus'!$A:$AC,2,FALSE))="JBL",(VLOOKUP(Table6[[#This Row],[SKU]],'All Skus'!$A:$AC,20,FALSE)),""))</f>
        <v>15</v>
      </c>
      <c r="S131" s="61">
        <f>(IF((VLOOKUP(Table6[[#This Row],[SKU]],'All Skus'!$A:$AC,2,FALSE))="JBL",(VLOOKUP(Table6[[#This Row],[SKU]],'All Skus'!$A:$AC,21,FALSE)),""))</f>
        <v>15</v>
      </c>
      <c r="T131" s="61" t="str">
        <f>(IF((VLOOKUP(Table6[[#This Row],[SKU]],'All Skus'!$A:$AC,2,FALSE))="JBL",(VLOOKUP(Table6[[#This Row],[SKU]],'All Skus'!$A:$AC,22,FALSE)),""))</f>
        <v>CN</v>
      </c>
      <c r="U131" t="str">
        <f>(IF((VLOOKUP(Table6[[#This Row],[SKU]],'All Skus'!$A:$AC,2,FALSE))="JBL",(VLOOKUP(Table6[[#This Row],[SKU]],'All Skus'!$A:$AC,23,FALSE)),""))</f>
        <v>Non Compliant</v>
      </c>
      <c r="V131" s="284" t="str">
        <f>HYPERLINK((IF((VLOOKUP(Table6[[#This Row],[SKU]],'All Skus'!$A:$AC,2,FALSE))="JBL",(VLOOKUP(Table6[[#This Row],[SKU]],'All Skus'!$A:$AC,24,FALSE)),"")))</f>
        <v xml:space="preserve">http://www.jblpro.com/www/products/installed-sound/commercial-series/css-1s-t </v>
      </c>
      <c r="W131" s="151">
        <v>129</v>
      </c>
    </row>
    <row r="132" spans="1:23" ht="15" hidden="1" customHeight="1">
      <c r="A132" s="13" t="s">
        <v>1138</v>
      </c>
      <c r="B132" s="12">
        <f>(IF((VLOOKUP(Table6[[#This Row],[SKU]],'All Skus'!$A:$AC,2,FALSE))="JBL",(VLOOKUP(Table6[[#This Row],[SKU]],'All Skus'!$A:$AC,3,FALSE)),""))</f>
        <v>0</v>
      </c>
      <c r="C132" s="12">
        <f>(IF((VLOOKUP(Table6[[#This Row],[SKU]],'All Skus'!$A:$AC,2,FALSE))="JBL",(VLOOKUP(Table6[[#This Row],[SKU]],'All Skus'!$A:$AC,4,FALSE)),""))</f>
        <v>0</v>
      </c>
      <c r="D132" s="61">
        <f>(IF((VLOOKUP(Table6[[#This Row],[SKU]],'All Skus'!$A:$AC,2,FALSE))="JBL",(VLOOKUP(Table6[[#This Row],[SKU]],'All Skus'!$A:$AC,5,FALSE)),""))</f>
        <v>0</v>
      </c>
      <c r="E132" s="137">
        <f>(IF((VLOOKUP(Table6[[#This Row],[SKU]],'All Skus'!$A:$AC,2,FALSE))="JBL",(VLOOKUP(Table6[[#This Row],[SKU]],'All Skus'!$A:$AC,6,FALSE)),""))</f>
        <v>0</v>
      </c>
      <c r="F132" s="61">
        <f>(IF((VLOOKUP(Table6[[#This Row],[SKU]],'All Skus'!$A:$AC,2,FALSE))="JBL",(VLOOKUP(Table6[[#This Row],[SKU]],'All Skus'!$A:$AC,7,FALSE)),""))</f>
        <v>0</v>
      </c>
      <c r="G132">
        <f>(IF((VLOOKUP(Table6[[#This Row],[SKU]],'All Skus'!$A:$AC,2,FALSE))="JBL",(VLOOKUP(Table6[[#This Row],[SKU]],'All Skus'!$A:$AC,8,FALSE)),""))</f>
        <v>0</v>
      </c>
      <c r="H132" s="8">
        <f>(IF((VLOOKUP(Table6[[#This Row],[SKU]],'All Skus'!$A:$AC,2,FALSE))="JBL",(VLOOKUP(Table6[[#This Row],[SKU]],'All Skus'!$A:$AC,9,FALSE)),""))</f>
        <v>0</v>
      </c>
      <c r="I132" s="101">
        <f>(IF((VLOOKUP(Table6[[#This Row],[SKU]],'All Skus'!$A:$AC,2,FALSE))="JBL",(VLOOKUP(Table6[[#This Row],[SKU]],'All Skus'!$A:$AC,10,FALSE)),""))</f>
        <v>0</v>
      </c>
      <c r="J132" s="101">
        <f>(IF((VLOOKUP(Table6[[#This Row],[SKU]],'All Skus'!$A:$AC,2,FALSE))="JBL",(VLOOKUP(Table6[[#This Row],[SKU]],'All Skus'!$A:$AC,11,FALSE)),""))</f>
        <v>0</v>
      </c>
      <c r="K132" s="102">
        <f>(IF((VLOOKUP(Table6[[#This Row],[SKU]],'All Skus'!$A:$AC,2,FALSE))="JBL",(VLOOKUP(Table6[[#This Row],[SKU]],'All Skus'!$A:$AC,13,FALSE)),""))</f>
        <v>0</v>
      </c>
      <c r="L132" s="102">
        <f>(IF((VLOOKUP(Table6[[#This Row],[SKU]],'All Skus'!$A:$AC,2,FALSE))="JBL",(VLOOKUP(Table6[[#This Row],[SKU]],'All Skus'!$A:$AC,14,FALSE)),""))</f>
        <v>0</v>
      </c>
      <c r="M132" s="143">
        <f>(IF((VLOOKUP(Table6[[#This Row],[SKU]],'All Skus'!$A:$AC,2,FALSE))="JBL",(VLOOKUP(Table6[[#This Row],[SKU]],'All Skus'!$A:$AC,15,FALSE)),""))</f>
        <v>0</v>
      </c>
      <c r="N132" s="137">
        <f>(IF((VLOOKUP(Table6[[#This Row],[SKU]],'All Skus'!$A:$AC,2,FALSE))="JBL",(VLOOKUP(Table6[[#This Row],[SKU]],'All Skus'!$A:$AC,16,FALSE)),""))</f>
        <v>0</v>
      </c>
      <c r="O132" s="61">
        <f>(IF((VLOOKUP(Table6[[#This Row],[SKU]],'All Skus'!$A:$AC,2,FALSE))="JBL",(VLOOKUP(Table6[[#This Row],[SKU]],'All Skus'!$A:$AC,17,FALSE)),""))</f>
        <v>0</v>
      </c>
      <c r="P132" s="136">
        <f>(IF((VLOOKUP(Table6[[#This Row],[SKU]],'All Skus'!$A:$AC,2,FALSE))="JBL",(VLOOKUP(Table6[[#This Row],[SKU]],'All Skus'!$A:$AC,18,FALSE)),""))</f>
        <v>0</v>
      </c>
      <c r="Q132" s="136">
        <f>(IF((VLOOKUP(Table6[[#This Row],[SKU]],'All Skus'!$A:$AC,2,FALSE))="JBL",(VLOOKUP(Table6[[#This Row],[SKU]],'All Skus'!$A:$AC,19,FALSE)),""))</f>
        <v>0</v>
      </c>
      <c r="R132" s="136">
        <f>(IF((VLOOKUP(Table6[[#This Row],[SKU]],'All Skus'!$A:$AC,2,FALSE))="JBL",(VLOOKUP(Table6[[#This Row],[SKU]],'All Skus'!$A:$AC,20,FALSE)),""))</f>
        <v>0</v>
      </c>
      <c r="S132" s="61">
        <f>(IF((VLOOKUP(Table6[[#This Row],[SKU]],'All Skus'!$A:$AC,2,FALSE))="JBL",(VLOOKUP(Table6[[#This Row],[SKU]],'All Skus'!$A:$AC,21,FALSE)),""))</f>
        <v>0</v>
      </c>
      <c r="T132" s="61" t="str">
        <f>(IF((VLOOKUP(Table6[[#This Row],[SKU]],'All Skus'!$A:$AC,2,FALSE))="JBL",(VLOOKUP(Table6[[#This Row],[SKU]],'All Skus'!$A:$AC,22,FALSE)),""))</f>
        <v>CN</v>
      </c>
      <c r="U132" t="str">
        <f>(IF((VLOOKUP(Table6[[#This Row],[SKU]],'All Skus'!$A:$AC,2,FALSE))="JBL",(VLOOKUP(Table6[[#This Row],[SKU]],'All Skus'!$A:$AC,23,FALSE)),""))</f>
        <v>Non Compliant</v>
      </c>
      <c r="V132" s="284" t="str">
        <f>HYPERLINK((IF((VLOOKUP(Table6[[#This Row],[SKU]],'All Skus'!$A:$AC,2,FALSE))="JBL",(VLOOKUP(Table6[[#This Row],[SKU]],'All Skus'!$A:$AC,24,FALSE)),"")))</f>
        <v/>
      </c>
      <c r="W132" s="151">
        <v>130</v>
      </c>
    </row>
    <row r="133" spans="1:23" ht="15" hidden="1" customHeight="1">
      <c r="A133" s="13" t="s">
        <v>1139</v>
      </c>
      <c r="B133" s="12" t="str">
        <f>(IF((VLOOKUP(Table6[[#This Row],[SKU]],'All Skus'!$A:$AC,2,FALSE))="JBL",(VLOOKUP(Table6[[#This Row],[SKU]],'All Skus'!$A:$AC,3,FALSE)),""))</f>
        <v>Paging Horn Speaker</v>
      </c>
      <c r="C133" s="12" t="str">
        <f>(IF((VLOOKUP(Table6[[#This Row],[SKU]],'All Skus'!$A:$AC,2,FALSE))="JBL",(VLOOKUP(Table6[[#This Row],[SKU]],'All Skus'!$A:$AC,4,FALSE)),""))</f>
        <v>CSS-H15</v>
      </c>
      <c r="D133" s="61" t="str">
        <f>(IF((VLOOKUP(Table6[[#This Row],[SKU]],'All Skus'!$A:$AC,2,FALSE))="JBL",(VLOOKUP(Table6[[#This Row],[SKU]],'All Skus'!$A:$AC,5,FALSE)),""))</f>
        <v>JBL017</v>
      </c>
      <c r="E133" s="137">
        <f>(IF((VLOOKUP(Table6[[#This Row],[SKU]],'All Skus'!$A:$AC,2,FALSE))="JBL",(VLOOKUP(Table6[[#This Row],[SKU]],'All Skus'!$A:$AC,6,FALSE)),""))</f>
        <v>0</v>
      </c>
      <c r="F133" s="61">
        <f>(IF((VLOOKUP(Table6[[#This Row],[SKU]],'All Skus'!$A:$AC,2,FALSE))="JBL",(VLOOKUP(Table6[[#This Row],[SKU]],'All Skus'!$A:$AC,7,FALSE)),""))</f>
        <v>0</v>
      </c>
      <c r="G133" t="str">
        <f>(IF((VLOOKUP(Table6[[#This Row],[SKU]],'All Skus'!$A:$AC,2,FALSE))="JBL",(VLOOKUP(Table6[[#This Row],[SKU]],'All Skus'!$A:$AC,8,FALSE)),""))</f>
        <v>15 Watt Paging Horn (6 in masterpack)</v>
      </c>
      <c r="H133" s="8" t="str">
        <f>(IF((VLOOKUP(Table6[[#This Row],[SKU]],'All Skus'!$A:$AC,2,FALSE))="JBL",(VLOOKUP(Table6[[#This Row],[SKU]],'All Skus'!$A:$AC,9,FALSE)),""))</f>
        <v>15 Watt Paging Horn. (Priced as each, 6 in masterpack)</v>
      </c>
      <c r="I133" s="101">
        <f>(IF((VLOOKUP(Table6[[#This Row],[SKU]],'All Skus'!$A:$AC,2,FALSE))="JBL",(VLOOKUP(Table6[[#This Row],[SKU]],'All Skus'!$A:$AC,10,FALSE)),""))</f>
        <v>121.87</v>
      </c>
      <c r="J133" s="101">
        <f>(IF((VLOOKUP(Table6[[#This Row],[SKU]],'All Skus'!$A:$AC,2,FALSE))="JBL",(VLOOKUP(Table6[[#This Row],[SKU]],'All Skus'!$A:$AC,11,FALSE)),""))</f>
        <v>98</v>
      </c>
      <c r="K133" s="102">
        <f>(IF((VLOOKUP(Table6[[#This Row],[SKU]],'All Skus'!$A:$AC,2,FALSE))="JBL",(VLOOKUP(Table6[[#This Row],[SKU]],'All Skus'!$A:$AC,13,FALSE)),""))</f>
        <v>0</v>
      </c>
      <c r="L133" s="102">
        <f>(IF((VLOOKUP(Table6[[#This Row],[SKU]],'All Skus'!$A:$AC,2,FALSE))="JBL",(VLOOKUP(Table6[[#This Row],[SKU]],'All Skus'!$A:$AC,14,FALSE)),""))</f>
        <v>0</v>
      </c>
      <c r="M133" s="143">
        <f>(IF((VLOOKUP(Table6[[#This Row],[SKU]],'All Skus'!$A:$AC,2,FALSE))="JBL",(VLOOKUP(Table6[[#This Row],[SKU]],'All Skus'!$A:$AC,15,FALSE)),""))</f>
        <v>0</v>
      </c>
      <c r="N133" s="137">
        <f>(IF((VLOOKUP(Table6[[#This Row],[SKU]],'All Skus'!$A:$AC,2,FALSE))="JBL",(VLOOKUP(Table6[[#This Row],[SKU]],'All Skus'!$A:$AC,16,FALSE)),""))</f>
        <v>50036904704</v>
      </c>
      <c r="O133" s="61">
        <f>(IF((VLOOKUP(Table6[[#This Row],[SKU]],'All Skus'!$A:$AC,2,FALSE))="JBL",(VLOOKUP(Table6[[#This Row],[SKU]],'All Skus'!$A:$AC,17,FALSE)),""))</f>
        <v>0</v>
      </c>
      <c r="P133" s="136">
        <f>(IF((VLOOKUP(Table6[[#This Row],[SKU]],'All Skus'!$A:$AC,2,FALSE))="JBL",(VLOOKUP(Table6[[#This Row],[SKU]],'All Skus'!$A:$AC,18,FALSE)),""))</f>
        <v>3.5</v>
      </c>
      <c r="Q133" s="136">
        <f>(IF((VLOOKUP(Table6[[#This Row],[SKU]],'All Skus'!$A:$AC,2,FALSE))="JBL",(VLOOKUP(Table6[[#This Row],[SKU]],'All Skus'!$A:$AC,19,FALSE)),""))</f>
        <v>10</v>
      </c>
      <c r="R133" s="136">
        <f>(IF((VLOOKUP(Table6[[#This Row],[SKU]],'All Skus'!$A:$AC,2,FALSE))="JBL",(VLOOKUP(Table6[[#This Row],[SKU]],'All Skus'!$A:$AC,20,FALSE)),""))</f>
        <v>7.5</v>
      </c>
      <c r="S133" s="61">
        <f>(IF((VLOOKUP(Table6[[#This Row],[SKU]],'All Skus'!$A:$AC,2,FALSE))="JBL",(VLOOKUP(Table6[[#This Row],[SKU]],'All Skus'!$A:$AC,21,FALSE)),""))</f>
        <v>9.25</v>
      </c>
      <c r="T133" s="61" t="str">
        <f>(IF((VLOOKUP(Table6[[#This Row],[SKU]],'All Skus'!$A:$AC,2,FALSE))="JBL",(VLOOKUP(Table6[[#This Row],[SKU]],'All Skus'!$A:$AC,22,FALSE)),""))</f>
        <v>CN</v>
      </c>
      <c r="U133" t="str">
        <f>(IF((VLOOKUP(Table6[[#This Row],[SKU]],'All Skus'!$A:$AC,2,FALSE))="JBL",(VLOOKUP(Table6[[#This Row],[SKU]],'All Skus'!$A:$AC,23,FALSE)),""))</f>
        <v>Non Compliant</v>
      </c>
      <c r="V133" s="284" t="str">
        <f>HYPERLINK((IF((VLOOKUP(Table6[[#This Row],[SKU]],'All Skus'!$A:$AC,2,FALSE))="JBL",(VLOOKUP(Table6[[#This Row],[SKU]],'All Skus'!$A:$AC,24,FALSE)),"")))</f>
        <v xml:space="preserve">http://www.jblpro.com/www/products/installed-sound/commercial-series/css-h15 </v>
      </c>
      <c r="W133" s="151">
        <v>131</v>
      </c>
    </row>
    <row r="134" spans="1:23" ht="15" hidden="1" customHeight="1">
      <c r="A134" s="13" t="s">
        <v>1140</v>
      </c>
      <c r="B134" s="12" t="str">
        <f>(IF((VLOOKUP(Table6[[#This Row],[SKU]],'All Skus'!$A:$AC,2,FALSE))="JBL",(VLOOKUP(Table6[[#This Row],[SKU]],'All Skus'!$A:$AC,3,FALSE)),""))</f>
        <v>Paging Horn Speaker</v>
      </c>
      <c r="C134" s="12" t="str">
        <f>(IF((VLOOKUP(Table6[[#This Row],[SKU]],'All Skus'!$A:$AC,2,FALSE))="JBL",(VLOOKUP(Table6[[#This Row],[SKU]],'All Skus'!$A:$AC,4,FALSE)),""))</f>
        <v>CSS-H30</v>
      </c>
      <c r="D134" s="61" t="str">
        <f>(IF((VLOOKUP(Table6[[#This Row],[SKU]],'All Skus'!$A:$AC,2,FALSE))="JBL",(VLOOKUP(Table6[[#This Row],[SKU]],'All Skus'!$A:$AC,5,FALSE)),""))</f>
        <v>JBL017</v>
      </c>
      <c r="E134" s="137">
        <f>(IF((VLOOKUP(Table6[[#This Row],[SKU]],'All Skus'!$A:$AC,2,FALSE))="JBL",(VLOOKUP(Table6[[#This Row],[SKU]],'All Skus'!$A:$AC,6,FALSE)),""))</f>
        <v>0</v>
      </c>
      <c r="F134" s="61">
        <f>(IF((VLOOKUP(Table6[[#This Row],[SKU]],'All Skus'!$A:$AC,2,FALSE))="JBL",(VLOOKUP(Table6[[#This Row],[SKU]],'All Skus'!$A:$AC,7,FALSE)),""))</f>
        <v>0</v>
      </c>
      <c r="G134" t="str">
        <f>(IF((VLOOKUP(Table6[[#This Row],[SKU]],'All Skus'!$A:$AC,2,FALSE))="JBL",(VLOOKUP(Table6[[#This Row],[SKU]],'All Skus'!$A:$AC,8,FALSE)),""))</f>
        <v>30 Watt Paging Horn (4 in masterpack)</v>
      </c>
      <c r="H134" s="8" t="str">
        <f>(IF((VLOOKUP(Table6[[#This Row],[SKU]],'All Skus'!$A:$AC,2,FALSE))="JBL",(VLOOKUP(Table6[[#This Row],[SKU]],'All Skus'!$A:$AC,9,FALSE)),""))</f>
        <v>30 Watt Paging Horn (Priced as each, 4 in masterpack)</v>
      </c>
      <c r="I134" s="101">
        <f>(IF((VLOOKUP(Table6[[#This Row],[SKU]],'All Skus'!$A:$AC,2,FALSE))="JBL",(VLOOKUP(Table6[[#This Row],[SKU]],'All Skus'!$A:$AC,10,FALSE)),""))</f>
        <v>166.77</v>
      </c>
      <c r="J134" s="101">
        <f>(IF((VLOOKUP(Table6[[#This Row],[SKU]],'All Skus'!$A:$AC,2,FALSE))="JBL",(VLOOKUP(Table6[[#This Row],[SKU]],'All Skus'!$A:$AC,11,FALSE)),""))</f>
        <v>133</v>
      </c>
      <c r="K134" s="102">
        <f>(IF((VLOOKUP(Table6[[#This Row],[SKU]],'All Skus'!$A:$AC,2,FALSE))="JBL",(VLOOKUP(Table6[[#This Row],[SKU]],'All Skus'!$A:$AC,13,FALSE)),""))</f>
        <v>0</v>
      </c>
      <c r="L134" s="102">
        <f>(IF((VLOOKUP(Table6[[#This Row],[SKU]],'All Skus'!$A:$AC,2,FALSE))="JBL",(VLOOKUP(Table6[[#This Row],[SKU]],'All Skus'!$A:$AC,14,FALSE)),""))</f>
        <v>0</v>
      </c>
      <c r="M134" s="143">
        <f>(IF((VLOOKUP(Table6[[#This Row],[SKU]],'All Skus'!$A:$AC,2,FALSE))="JBL",(VLOOKUP(Table6[[#This Row],[SKU]],'All Skus'!$A:$AC,15,FALSE)),""))</f>
        <v>0</v>
      </c>
      <c r="N134" s="137">
        <f>(IF((VLOOKUP(Table6[[#This Row],[SKU]],'All Skus'!$A:$AC,2,FALSE))="JBL",(VLOOKUP(Table6[[#This Row],[SKU]],'All Skus'!$A:$AC,16,FALSE)),""))</f>
        <v>50036904711</v>
      </c>
      <c r="O134" s="61">
        <f>(IF((VLOOKUP(Table6[[#This Row],[SKU]],'All Skus'!$A:$AC,2,FALSE))="JBL",(VLOOKUP(Table6[[#This Row],[SKU]],'All Skus'!$A:$AC,17,FALSE)),""))</f>
        <v>0</v>
      </c>
      <c r="P134" s="136">
        <f>(IF((VLOOKUP(Table6[[#This Row],[SKU]],'All Skus'!$A:$AC,2,FALSE))="JBL",(VLOOKUP(Table6[[#This Row],[SKU]],'All Skus'!$A:$AC,18,FALSE)),""))</f>
        <v>6</v>
      </c>
      <c r="Q134" s="136">
        <f>(IF((VLOOKUP(Table6[[#This Row],[SKU]],'All Skus'!$A:$AC,2,FALSE))="JBL",(VLOOKUP(Table6[[#This Row],[SKU]],'All Skus'!$A:$AC,19,FALSE)),""))</f>
        <v>13</v>
      </c>
      <c r="R134" s="136">
        <f>(IF((VLOOKUP(Table6[[#This Row],[SKU]],'All Skus'!$A:$AC,2,FALSE))="JBL",(VLOOKUP(Table6[[#This Row],[SKU]],'All Skus'!$A:$AC,20,FALSE)),""))</f>
        <v>10.5</v>
      </c>
      <c r="S134" s="61">
        <f>(IF((VLOOKUP(Table6[[#This Row],[SKU]],'All Skus'!$A:$AC,2,FALSE))="JBL",(VLOOKUP(Table6[[#This Row],[SKU]],'All Skus'!$A:$AC,21,FALSE)),""))</f>
        <v>12</v>
      </c>
      <c r="T134" s="61" t="str">
        <f>(IF((VLOOKUP(Table6[[#This Row],[SKU]],'All Skus'!$A:$AC,2,FALSE))="JBL",(VLOOKUP(Table6[[#This Row],[SKU]],'All Skus'!$A:$AC,22,FALSE)),""))</f>
        <v>CN</v>
      </c>
      <c r="U134" t="str">
        <f>(IF((VLOOKUP(Table6[[#This Row],[SKU]],'All Skus'!$A:$AC,2,FALSE))="JBL",(VLOOKUP(Table6[[#This Row],[SKU]],'All Skus'!$A:$AC,23,FALSE)),""))</f>
        <v>Non Compliant</v>
      </c>
      <c r="V134" s="284" t="str">
        <f>HYPERLINK((IF((VLOOKUP(Table6[[#This Row],[SKU]],'All Skus'!$A:$AC,2,FALSE))="JBL",(VLOOKUP(Table6[[#This Row],[SKU]],'All Skus'!$A:$AC,24,FALSE)),"")))</f>
        <v xml:space="preserve">http://www.jblpro.com/www/products/installed-sound/commercial-series/css-h30 </v>
      </c>
      <c r="W134" s="151">
        <v>132</v>
      </c>
    </row>
    <row r="135" spans="1:23" ht="15" hidden="1" customHeight="1">
      <c r="A135" s="104" t="s">
        <v>1141</v>
      </c>
      <c r="B135" s="12">
        <f>(IF((VLOOKUP(Table6[[#This Row],[SKU]],'All Skus'!$A:$AC,2,FALSE))="JBL",(VLOOKUP(Table6[[#This Row],[SKU]],'All Skus'!$A:$AC,3,FALSE)),""))</f>
        <v>0</v>
      </c>
      <c r="C135" s="12">
        <f>(IF((VLOOKUP(Table6[[#This Row],[SKU]],'All Skus'!$A:$AC,2,FALSE))="JBL",(VLOOKUP(Table6[[#This Row],[SKU]],'All Skus'!$A:$AC,4,FALSE)),""))</f>
        <v>0</v>
      </c>
      <c r="D135" s="61">
        <f>(IF((VLOOKUP(Table6[[#This Row],[SKU]],'All Skus'!$A:$AC,2,FALSE))="JBL",(VLOOKUP(Table6[[#This Row],[SKU]],'All Skus'!$A:$AC,5,FALSE)),""))</f>
        <v>0</v>
      </c>
      <c r="E135" s="137">
        <f>(IF((VLOOKUP(Table6[[#This Row],[SKU]],'All Skus'!$A:$AC,2,FALSE))="JBL",(VLOOKUP(Table6[[#This Row],[SKU]],'All Skus'!$A:$AC,6,FALSE)),""))</f>
        <v>0</v>
      </c>
      <c r="F135" s="61">
        <f>(IF((VLOOKUP(Table6[[#This Row],[SKU]],'All Skus'!$A:$AC,2,FALSE))="JBL",(VLOOKUP(Table6[[#This Row],[SKU]],'All Skus'!$A:$AC,7,FALSE)),""))</f>
        <v>0</v>
      </c>
      <c r="G135">
        <f>(IF((VLOOKUP(Table6[[#This Row],[SKU]],'All Skus'!$A:$AC,2,FALSE))="JBL",(VLOOKUP(Table6[[#This Row],[SKU]],'All Skus'!$A:$AC,8,FALSE)),""))</f>
        <v>0</v>
      </c>
      <c r="H135" s="8">
        <f>(IF((VLOOKUP(Table6[[#This Row],[SKU]],'All Skus'!$A:$AC,2,FALSE))="JBL",(VLOOKUP(Table6[[#This Row],[SKU]],'All Skus'!$A:$AC,9,FALSE)),""))</f>
        <v>0</v>
      </c>
      <c r="I135" s="101">
        <f>(IF((VLOOKUP(Table6[[#This Row],[SKU]],'All Skus'!$A:$AC,2,FALSE))="JBL",(VLOOKUP(Table6[[#This Row],[SKU]],'All Skus'!$A:$AC,10,FALSE)),""))</f>
        <v>0</v>
      </c>
      <c r="J135" s="101">
        <f>(IF((VLOOKUP(Table6[[#This Row],[SKU]],'All Skus'!$A:$AC,2,FALSE))="JBL",(VLOOKUP(Table6[[#This Row],[SKU]],'All Skus'!$A:$AC,11,FALSE)),""))</f>
        <v>0</v>
      </c>
      <c r="K135" s="102">
        <f>(IF((VLOOKUP(Table6[[#This Row],[SKU]],'All Skus'!$A:$AC,2,FALSE))="JBL",(VLOOKUP(Table6[[#This Row],[SKU]],'All Skus'!$A:$AC,13,FALSE)),""))</f>
        <v>0</v>
      </c>
      <c r="L135" s="102">
        <f>(IF((VLOOKUP(Table6[[#This Row],[SKU]],'All Skus'!$A:$AC,2,FALSE))="JBL",(VLOOKUP(Table6[[#This Row],[SKU]],'All Skus'!$A:$AC,14,FALSE)),""))</f>
        <v>0</v>
      </c>
      <c r="M135" s="143">
        <f>(IF((VLOOKUP(Table6[[#This Row],[SKU]],'All Skus'!$A:$AC,2,FALSE))="JBL",(VLOOKUP(Table6[[#This Row],[SKU]],'All Skus'!$A:$AC,15,FALSE)),""))</f>
        <v>0</v>
      </c>
      <c r="N135" s="137">
        <f>(IF((VLOOKUP(Table6[[#This Row],[SKU]],'All Skus'!$A:$AC,2,FALSE))="JBL",(VLOOKUP(Table6[[#This Row],[SKU]],'All Skus'!$A:$AC,16,FALSE)),""))</f>
        <v>0</v>
      </c>
      <c r="O135" s="61">
        <f>(IF((VLOOKUP(Table6[[#This Row],[SKU]],'All Skus'!$A:$AC,2,FALSE))="JBL",(VLOOKUP(Table6[[#This Row],[SKU]],'All Skus'!$A:$AC,17,FALSE)),""))</f>
        <v>0</v>
      </c>
      <c r="P135" s="136">
        <f>(IF((VLOOKUP(Table6[[#This Row],[SKU]],'All Skus'!$A:$AC,2,FALSE))="JBL",(VLOOKUP(Table6[[#This Row],[SKU]],'All Skus'!$A:$AC,18,FALSE)),""))</f>
        <v>0</v>
      </c>
      <c r="Q135" s="136">
        <f>(IF((VLOOKUP(Table6[[#This Row],[SKU]],'All Skus'!$A:$AC,2,FALSE))="JBL",(VLOOKUP(Table6[[#This Row],[SKU]],'All Skus'!$A:$AC,19,FALSE)),""))</f>
        <v>0</v>
      </c>
      <c r="R135" s="136">
        <f>(IF((VLOOKUP(Table6[[#This Row],[SKU]],'All Skus'!$A:$AC,2,FALSE))="JBL",(VLOOKUP(Table6[[#This Row],[SKU]],'All Skus'!$A:$AC,20,FALSE)),""))</f>
        <v>0</v>
      </c>
      <c r="S135" s="61">
        <f>(IF((VLOOKUP(Table6[[#This Row],[SKU]],'All Skus'!$A:$AC,2,FALSE))="JBL",(VLOOKUP(Table6[[#This Row],[SKU]],'All Skus'!$A:$AC,21,FALSE)),""))</f>
        <v>0</v>
      </c>
      <c r="T135" s="61" t="str">
        <f>(IF((VLOOKUP(Table6[[#This Row],[SKU]],'All Skus'!$A:$AC,2,FALSE))="JBL",(VLOOKUP(Table6[[#This Row],[SKU]],'All Skus'!$A:$AC,22,FALSE)),""))</f>
        <v>CN</v>
      </c>
      <c r="U135" t="str">
        <f>(IF((VLOOKUP(Table6[[#This Row],[SKU]],'All Skus'!$A:$AC,2,FALSE))="JBL",(VLOOKUP(Table6[[#This Row],[SKU]],'All Skus'!$A:$AC,23,FALSE)),""))</f>
        <v>Non Compliant</v>
      </c>
      <c r="V135" s="284" t="str">
        <f>HYPERLINK((IF((VLOOKUP(Table6[[#This Row],[SKU]],'All Skus'!$A:$AC,2,FALSE))="JBL",(VLOOKUP(Table6[[#This Row],[SKU]],'All Skus'!$A:$AC,24,FALSE)),"")))</f>
        <v/>
      </c>
      <c r="W135" s="151">
        <v>133</v>
      </c>
    </row>
    <row r="136" spans="1:23" ht="15" hidden="1" customHeight="1">
      <c r="A136" s="13" t="s">
        <v>1142</v>
      </c>
      <c r="B136" s="12" t="str">
        <f>(IF((VLOOKUP(Table6[[#This Row],[SKU]],'All Skus'!$A:$AC,2,FALSE))="JBL",(VLOOKUP(Table6[[#This Row],[SKU]],'All Skus'!$A:$AC,3,FALSE)),""))</f>
        <v>Surface-Mount Speaker</v>
      </c>
      <c r="C136" s="12" t="str">
        <f>(IF((VLOOKUP(Table6[[#This Row],[SKU]],'All Skus'!$A:$AC,2,FALSE))="JBL",(VLOOKUP(Table6[[#This Row],[SKU]],'All Skus'!$A:$AC,4,FALSE)),""))</f>
        <v>Control 23-1</v>
      </c>
      <c r="D136" s="61" t="str">
        <f>(IF((VLOOKUP(Table6[[#This Row],[SKU]],'All Skus'!$A:$AC,2,FALSE))="JBL",(VLOOKUP(Table6[[#This Row],[SKU]],'All Skus'!$A:$AC,5,FALSE)),""))</f>
        <v>JBL018</v>
      </c>
      <c r="E136" s="137">
        <f>(IF((VLOOKUP(Table6[[#This Row],[SKU]],'All Skus'!$A:$AC,2,FALSE))="JBL",(VLOOKUP(Table6[[#This Row],[SKU]],'All Skus'!$A:$AC,6,FALSE)),""))</f>
        <v>0</v>
      </c>
      <c r="F136" s="61">
        <f>(IF((VLOOKUP(Table6[[#This Row],[SKU]],'All Skus'!$A:$AC,2,FALSE))="JBL",(VLOOKUP(Table6[[#This Row],[SKU]],'All Skus'!$A:$AC,7,FALSE)),""))</f>
        <v>0</v>
      </c>
      <c r="G136" t="str">
        <f>(IF((VLOOKUP(Table6[[#This Row],[SKU]],'All Skus'!$A:$AC,2,FALSE))="JBL",(VLOOKUP(Table6[[#This Row],[SKU]],'All Skus'!$A:$AC,8,FALSE)),""))</f>
        <v>3" 2-WAY SURFACE-MT SPKR, BLK</v>
      </c>
      <c r="H136" s="8" t="str">
        <f>(IF((VLOOKUP(Table6[[#This Row],[SKU]],'All Skus'!$A:$AC,2,FALSE))="JBL",(VLOOKUP(Table6[[#This Row],[SKU]],'All Skus'!$A:$AC,9,FALSE)),""))</f>
        <v>3" Two-Way Vented Loudspeaker, Invisiball® Installation System (plus U-bracket attachment points). 70 Hz - 20 kHz Frequency Range. 50 Watts Cont. Pink Noise Power Handling (200W peak) at 8 ohms plus 70V/100V taps at 15W, 7.5W, 3.7W (&amp; 1.8W at 70V only). Woven Fiberglass Woofer. Black. priced as each; packaged and sold in pairs. Master Pack Quantity: 6 Pieces.</v>
      </c>
      <c r="I136" s="101">
        <f>(IF((VLOOKUP(Table6[[#This Row],[SKU]],'All Skus'!$A:$AC,2,FALSE))="JBL",(VLOOKUP(Table6[[#This Row],[SKU]],'All Skus'!$A:$AC,10,FALSE)),""))</f>
        <v>179.04</v>
      </c>
      <c r="J136" s="101">
        <f>(IF((VLOOKUP(Table6[[#This Row],[SKU]],'All Skus'!$A:$AC,2,FALSE))="JBL",(VLOOKUP(Table6[[#This Row],[SKU]],'All Skus'!$A:$AC,11,FALSE)),""))</f>
        <v>144</v>
      </c>
      <c r="K136" s="102">
        <f>(IF((VLOOKUP(Table6[[#This Row],[SKU]],'All Skus'!$A:$AC,2,FALSE))="JBL",(VLOOKUP(Table6[[#This Row],[SKU]],'All Skus'!$A:$AC,13,FALSE)),""))</f>
        <v>99.078254999999999</v>
      </c>
      <c r="L136" s="102">
        <f>(IF((VLOOKUP(Table6[[#This Row],[SKU]],'All Skus'!$A:$AC,2,FALSE))="JBL",(VLOOKUP(Table6[[#This Row],[SKU]],'All Skus'!$A:$AC,14,FALSE)),""))</f>
        <v>93.863610000000008</v>
      </c>
      <c r="M136" s="143">
        <f>(IF((VLOOKUP(Table6[[#This Row],[SKU]],'All Skus'!$A:$AC,2,FALSE))="JBL",(VLOOKUP(Table6[[#This Row],[SKU]],'All Skus'!$A:$AC,15,FALSE)),""))</f>
        <v>2</v>
      </c>
      <c r="N136" s="137">
        <f>(IF((VLOOKUP(Table6[[#This Row],[SKU]],'All Skus'!$A:$AC,2,FALSE))="JBL",(VLOOKUP(Table6[[#This Row],[SKU]],'All Skus'!$A:$AC,16,FALSE)),""))</f>
        <v>691991002007</v>
      </c>
      <c r="O136" s="61">
        <f>(IF((VLOOKUP(Table6[[#This Row],[SKU]],'All Skus'!$A:$AC,2,FALSE))="JBL",(VLOOKUP(Table6[[#This Row],[SKU]],'All Skus'!$A:$AC,17,FALSE)),""))</f>
        <v>0</v>
      </c>
      <c r="P136" s="136">
        <f>(IF((VLOOKUP(Table6[[#This Row],[SKU]],'All Skus'!$A:$AC,2,FALSE))="JBL",(VLOOKUP(Table6[[#This Row],[SKU]],'All Skus'!$A:$AC,18,FALSE)),""))</f>
        <v>4.59</v>
      </c>
      <c r="Q136" s="136">
        <f>(IF((VLOOKUP(Table6[[#This Row],[SKU]],'All Skus'!$A:$AC,2,FALSE))="JBL",(VLOOKUP(Table6[[#This Row],[SKU]],'All Skus'!$A:$AC,19,FALSE)),""))</f>
        <v>6.25</v>
      </c>
      <c r="R136" s="136">
        <f>(IF((VLOOKUP(Table6[[#This Row],[SKU]],'All Skus'!$A:$AC,2,FALSE))="JBL",(VLOOKUP(Table6[[#This Row],[SKU]],'All Skus'!$A:$AC,20,FALSE)),""))</f>
        <v>7</v>
      </c>
      <c r="S136" s="61">
        <f>(IF((VLOOKUP(Table6[[#This Row],[SKU]],'All Skus'!$A:$AC,2,FALSE))="JBL",(VLOOKUP(Table6[[#This Row],[SKU]],'All Skus'!$A:$AC,21,FALSE)),""))</f>
        <v>9.25</v>
      </c>
      <c r="T136" s="61" t="str">
        <f>(IF((VLOOKUP(Table6[[#This Row],[SKU]],'All Skus'!$A:$AC,2,FALSE))="JBL",(VLOOKUP(Table6[[#This Row],[SKU]],'All Skus'!$A:$AC,22,FALSE)),""))</f>
        <v>CN</v>
      </c>
      <c r="U136" t="str">
        <f>(IF((VLOOKUP(Table6[[#This Row],[SKU]],'All Skus'!$A:$AC,2,FALSE))="JBL",(VLOOKUP(Table6[[#This Row],[SKU]],'All Skus'!$A:$AC,23,FALSE)),""))</f>
        <v>Non Compliant</v>
      </c>
      <c r="V136" s="284" t="str">
        <f>HYPERLINK((IF((VLOOKUP(Table6[[#This Row],[SKU]],'All Skus'!$A:$AC,2,FALSE))="JBL",(VLOOKUP(Table6[[#This Row],[SKU]],'All Skus'!$A:$AC,24,FALSE)),"")))</f>
        <v xml:space="preserve">http://www.jblpro.com/www/products/installed-sound/control-contractor-series/control-23-1 </v>
      </c>
      <c r="W136" s="151">
        <v>134</v>
      </c>
    </row>
    <row r="137" spans="1:23" ht="15" hidden="1" customHeight="1">
      <c r="A137" s="13" t="s">
        <v>1143</v>
      </c>
      <c r="B137" s="12" t="str">
        <f>(IF((VLOOKUP(Table6[[#This Row],[SKU]],'All Skus'!$A:$AC,2,FALSE))="JBL",(VLOOKUP(Table6[[#This Row],[SKU]],'All Skus'!$A:$AC,3,FALSE)),""))</f>
        <v>Surface-Mount Speaker</v>
      </c>
      <c r="C137" s="12" t="str">
        <f>(IF((VLOOKUP(Table6[[#This Row],[SKU]],'All Skus'!$A:$AC,2,FALSE))="JBL",(VLOOKUP(Table6[[#This Row],[SKU]],'All Skus'!$A:$AC,4,FALSE)),""))</f>
        <v>CONTROL 23-1L</v>
      </c>
      <c r="D137" s="61" t="str">
        <f>(IF((VLOOKUP(Table6[[#This Row],[SKU]],'All Skus'!$A:$AC,2,FALSE))="JBL",(VLOOKUP(Table6[[#This Row],[SKU]],'All Skus'!$A:$AC,5,FALSE)),""))</f>
        <v>JBL018</v>
      </c>
      <c r="E137" s="137">
        <f>(IF((VLOOKUP(Table6[[#This Row],[SKU]],'All Skus'!$A:$AC,2,FALSE))="JBL",(VLOOKUP(Table6[[#This Row],[SKU]],'All Skus'!$A:$AC,6,FALSE)),""))</f>
        <v>0</v>
      </c>
      <c r="F137" s="61">
        <f>(IF((VLOOKUP(Table6[[#This Row],[SKU]],'All Skus'!$A:$AC,2,FALSE))="JBL",(VLOOKUP(Table6[[#This Row],[SKU]],'All Skus'!$A:$AC,7,FALSE)),""))</f>
        <v>0</v>
      </c>
      <c r="G137" t="str">
        <f>(IF((VLOOKUP(Table6[[#This Row],[SKU]],'All Skus'!$A:$AC,2,FALSE))="JBL",(VLOOKUP(Table6[[#This Row],[SKU]],'All Skus'!$A:$AC,8,FALSE)),""))</f>
        <v>3" 2-WAY SURFACE-MT SPKR, 8 OHM, BLK</v>
      </c>
      <c r="H137" s="8" t="str">
        <f>(IF((VLOOKUP(Table6[[#This Row],[SKU]],'All Skus'!$A:$AC,2,FALSE))="JBL",(VLOOKUP(Table6[[#This Row],[SKU]],'All Skus'!$A:$AC,9,FALSE)),""))</f>
        <v>Low-Impedance-Only Version of Control 23-1 (&amp;-WH), without 70V/100V transformer,  8 ohms only.priced as each; packaged and sold in pairs</v>
      </c>
      <c r="I137" s="101">
        <f>(IF((VLOOKUP(Table6[[#This Row],[SKU]],'All Skus'!$A:$AC,2,FALSE))="JBL",(VLOOKUP(Table6[[#This Row],[SKU]],'All Skus'!$A:$AC,10,FALSE)),""))</f>
        <v>166.8</v>
      </c>
      <c r="J137" s="101">
        <f>(IF((VLOOKUP(Table6[[#This Row],[SKU]],'All Skus'!$A:$AC,2,FALSE))="JBL",(VLOOKUP(Table6[[#This Row],[SKU]],'All Skus'!$A:$AC,11,FALSE)),""))</f>
        <v>129</v>
      </c>
      <c r="K137" s="102">
        <f>(IF((VLOOKUP(Table6[[#This Row],[SKU]],'All Skus'!$A:$AC,2,FALSE))="JBL",(VLOOKUP(Table6[[#This Row],[SKU]],'All Skus'!$A:$AC,13,FALSE)),""))</f>
        <v>92.308364999999995</v>
      </c>
      <c r="L137" s="102">
        <f>(IF((VLOOKUP(Table6[[#This Row],[SKU]],'All Skus'!$A:$AC,2,FALSE))="JBL",(VLOOKUP(Table6[[#This Row],[SKU]],'All Skus'!$A:$AC,14,FALSE)),""))</f>
        <v>87.450030000000012</v>
      </c>
      <c r="M137" s="143">
        <f>(IF((VLOOKUP(Table6[[#This Row],[SKU]],'All Skus'!$A:$AC,2,FALSE))="JBL",(VLOOKUP(Table6[[#This Row],[SKU]],'All Skus'!$A:$AC,15,FALSE)),""))</f>
        <v>2</v>
      </c>
      <c r="N137" s="137">
        <f>(IF((VLOOKUP(Table6[[#This Row],[SKU]],'All Skus'!$A:$AC,2,FALSE))="JBL",(VLOOKUP(Table6[[#This Row],[SKU]],'All Skus'!$A:$AC,16,FALSE)),""))</f>
        <v>691991005091</v>
      </c>
      <c r="O137" s="61">
        <f>(IF((VLOOKUP(Table6[[#This Row],[SKU]],'All Skus'!$A:$AC,2,FALSE))="JBL",(VLOOKUP(Table6[[#This Row],[SKU]],'All Skus'!$A:$AC,17,FALSE)),""))</f>
        <v>0</v>
      </c>
      <c r="P137" s="136">
        <f>(IF((VLOOKUP(Table6[[#This Row],[SKU]],'All Skus'!$A:$AC,2,FALSE))="JBL",(VLOOKUP(Table6[[#This Row],[SKU]],'All Skus'!$A:$AC,18,FALSE)),""))</f>
        <v>3.5</v>
      </c>
      <c r="Q137" s="136">
        <f>(IF((VLOOKUP(Table6[[#This Row],[SKU]],'All Skus'!$A:$AC,2,FALSE))="JBL",(VLOOKUP(Table6[[#This Row],[SKU]],'All Skus'!$A:$AC,19,FALSE)),""))</f>
        <v>6.25</v>
      </c>
      <c r="R137" s="136">
        <f>(IF((VLOOKUP(Table6[[#This Row],[SKU]],'All Skus'!$A:$AC,2,FALSE))="JBL",(VLOOKUP(Table6[[#This Row],[SKU]],'All Skus'!$A:$AC,20,FALSE)),""))</f>
        <v>7.25</v>
      </c>
      <c r="S137" s="61">
        <f>(IF((VLOOKUP(Table6[[#This Row],[SKU]],'All Skus'!$A:$AC,2,FALSE))="JBL",(VLOOKUP(Table6[[#This Row],[SKU]],'All Skus'!$A:$AC,21,FALSE)),""))</f>
        <v>9.5</v>
      </c>
      <c r="T137" s="61" t="str">
        <f>(IF((VLOOKUP(Table6[[#This Row],[SKU]],'All Skus'!$A:$AC,2,FALSE))="JBL",(VLOOKUP(Table6[[#This Row],[SKU]],'All Skus'!$A:$AC,22,FALSE)),""))</f>
        <v>CN</v>
      </c>
      <c r="U137" t="str">
        <f>(IF((VLOOKUP(Table6[[#This Row],[SKU]],'All Skus'!$A:$AC,2,FALSE))="JBL",(VLOOKUP(Table6[[#This Row],[SKU]],'All Skus'!$A:$AC,23,FALSE)),""))</f>
        <v>Non Compliant</v>
      </c>
      <c r="V137" s="284" t="str">
        <f>HYPERLINK((IF((VLOOKUP(Table6[[#This Row],[SKU]],'All Skus'!$A:$AC,2,FALSE))="JBL",(VLOOKUP(Table6[[#This Row],[SKU]],'All Skus'!$A:$AC,24,FALSE)),"")))</f>
        <v xml:space="preserve">http://www.jblpro.com/www/products/installed-sound/control-contractor-series/control-23-1l </v>
      </c>
      <c r="W137" s="151">
        <v>135</v>
      </c>
    </row>
    <row r="138" spans="1:23" ht="15" hidden="1" customHeight="1">
      <c r="A138" s="13" t="s">
        <v>1144</v>
      </c>
      <c r="B138" s="12" t="str">
        <f>(IF((VLOOKUP(Table6[[#This Row],[SKU]],'All Skus'!$A:$AC,2,FALSE))="JBL",(VLOOKUP(Table6[[#This Row],[SKU]],'All Skus'!$A:$AC,3,FALSE)),""))</f>
        <v>Surface-Mount Speaker</v>
      </c>
      <c r="C138" s="12" t="str">
        <f>(IF((VLOOKUP(Table6[[#This Row],[SKU]],'All Skus'!$A:$AC,2,FALSE))="JBL",(VLOOKUP(Table6[[#This Row],[SKU]],'All Skus'!$A:$AC,4,FALSE)),""))</f>
        <v>CONTROL 23-1L-WH</v>
      </c>
      <c r="D138" s="61" t="str">
        <f>(IF((VLOOKUP(Table6[[#This Row],[SKU]],'All Skus'!$A:$AC,2,FALSE))="JBL",(VLOOKUP(Table6[[#This Row],[SKU]],'All Skus'!$A:$AC,5,FALSE)),""))</f>
        <v>JBL018</v>
      </c>
      <c r="E138" s="137">
        <f>(IF((VLOOKUP(Table6[[#This Row],[SKU]],'All Skus'!$A:$AC,2,FALSE))="JBL",(VLOOKUP(Table6[[#This Row],[SKU]],'All Skus'!$A:$AC,6,FALSE)),""))</f>
        <v>0</v>
      </c>
      <c r="F138" s="61">
        <f>(IF((VLOOKUP(Table6[[#This Row],[SKU]],'All Skus'!$A:$AC,2,FALSE))="JBL",(VLOOKUP(Table6[[#This Row],[SKU]],'All Skus'!$A:$AC,7,FALSE)),""))</f>
        <v>0</v>
      </c>
      <c r="G138" t="str">
        <f>(IF((VLOOKUP(Table6[[#This Row],[SKU]],'All Skus'!$A:$AC,2,FALSE))="JBL",(VLOOKUP(Table6[[#This Row],[SKU]],'All Skus'!$A:$AC,8,FALSE)),""))</f>
        <v>3" 2-WAY SURFACE-MT SPKR, 8 OHM,. WHT</v>
      </c>
      <c r="H138" s="8" t="str">
        <f>(IF((VLOOKUP(Table6[[#This Row],[SKU]],'All Skus'!$A:$AC,2,FALSE))="JBL",(VLOOKUP(Table6[[#This Row],[SKU]],'All Skus'!$A:$AC,9,FALSE)),""))</f>
        <v>Control 23-1L in white priced as each; packaged and sold in pairs</v>
      </c>
      <c r="I138" s="101">
        <f>(IF((VLOOKUP(Table6[[#This Row],[SKU]],'All Skus'!$A:$AC,2,FALSE))="JBL",(VLOOKUP(Table6[[#This Row],[SKU]],'All Skus'!$A:$AC,10,FALSE)),""))</f>
        <v>166.8</v>
      </c>
      <c r="J138" s="101">
        <f>(IF((VLOOKUP(Table6[[#This Row],[SKU]],'All Skus'!$A:$AC,2,FALSE))="JBL",(VLOOKUP(Table6[[#This Row],[SKU]],'All Skus'!$A:$AC,11,FALSE)),""))</f>
        <v>129</v>
      </c>
      <c r="K138" s="102">
        <f>(IF((VLOOKUP(Table6[[#This Row],[SKU]],'All Skus'!$A:$AC,2,FALSE))="JBL",(VLOOKUP(Table6[[#This Row],[SKU]],'All Skus'!$A:$AC,13,FALSE)),""))</f>
        <v>92.308364999999995</v>
      </c>
      <c r="L138" s="102">
        <f>(IF((VLOOKUP(Table6[[#This Row],[SKU]],'All Skus'!$A:$AC,2,FALSE))="JBL",(VLOOKUP(Table6[[#This Row],[SKU]],'All Skus'!$A:$AC,14,FALSE)),""))</f>
        <v>87.450030000000012</v>
      </c>
      <c r="M138" s="143">
        <f>(IF((VLOOKUP(Table6[[#This Row],[SKU]],'All Skus'!$A:$AC,2,FALSE))="JBL",(VLOOKUP(Table6[[#This Row],[SKU]],'All Skus'!$A:$AC,15,FALSE)),""))</f>
        <v>2</v>
      </c>
      <c r="N138" s="137">
        <f>(IF((VLOOKUP(Table6[[#This Row],[SKU]],'All Skus'!$A:$AC,2,FALSE))="JBL",(VLOOKUP(Table6[[#This Row],[SKU]],'All Skus'!$A:$AC,16,FALSE)),""))</f>
        <v>691991005107</v>
      </c>
      <c r="O138" s="61">
        <f>(IF((VLOOKUP(Table6[[#This Row],[SKU]],'All Skus'!$A:$AC,2,FALSE))="JBL",(VLOOKUP(Table6[[#This Row],[SKU]],'All Skus'!$A:$AC,17,FALSE)),""))</f>
        <v>0</v>
      </c>
      <c r="P138" s="136">
        <f>(IF((VLOOKUP(Table6[[#This Row],[SKU]],'All Skus'!$A:$AC,2,FALSE))="JBL",(VLOOKUP(Table6[[#This Row],[SKU]],'All Skus'!$A:$AC,18,FALSE)),""))</f>
        <v>3.75</v>
      </c>
      <c r="Q138" s="136">
        <f>(IF((VLOOKUP(Table6[[#This Row],[SKU]],'All Skus'!$A:$AC,2,FALSE))="JBL",(VLOOKUP(Table6[[#This Row],[SKU]],'All Skus'!$A:$AC,19,FALSE)),""))</f>
        <v>7.75</v>
      </c>
      <c r="R138" s="136">
        <f>(IF((VLOOKUP(Table6[[#This Row],[SKU]],'All Skus'!$A:$AC,2,FALSE))="JBL",(VLOOKUP(Table6[[#This Row],[SKU]],'All Skus'!$A:$AC,20,FALSE)),""))</f>
        <v>6</v>
      </c>
      <c r="S138" s="61">
        <f>(IF((VLOOKUP(Table6[[#This Row],[SKU]],'All Skus'!$A:$AC,2,FALSE))="JBL",(VLOOKUP(Table6[[#This Row],[SKU]],'All Skus'!$A:$AC,21,FALSE)),""))</f>
        <v>3.5</v>
      </c>
      <c r="T138" s="61" t="str">
        <f>(IF((VLOOKUP(Table6[[#This Row],[SKU]],'All Skus'!$A:$AC,2,FALSE))="JBL",(VLOOKUP(Table6[[#This Row],[SKU]],'All Skus'!$A:$AC,22,FALSE)),""))</f>
        <v>CN</v>
      </c>
      <c r="U138" t="str">
        <f>(IF((VLOOKUP(Table6[[#This Row],[SKU]],'All Skus'!$A:$AC,2,FALSE))="JBL",(VLOOKUP(Table6[[#This Row],[SKU]],'All Skus'!$A:$AC,23,FALSE)),""))</f>
        <v>Non Compliant</v>
      </c>
      <c r="V138" s="284" t="str">
        <f>HYPERLINK((IF((VLOOKUP(Table6[[#This Row],[SKU]],'All Skus'!$A:$AC,2,FALSE))="JBL",(VLOOKUP(Table6[[#This Row],[SKU]],'All Skus'!$A:$AC,24,FALSE)),"")))</f>
        <v xml:space="preserve">http://www.jblpro.com/www/products/installed-sound/control-contractor-series/control-23-1l </v>
      </c>
      <c r="W138" s="151">
        <v>136</v>
      </c>
    </row>
    <row r="139" spans="1:23" ht="15" hidden="1" customHeight="1">
      <c r="A139" s="13" t="s">
        <v>1145</v>
      </c>
      <c r="B139" s="12" t="str">
        <f>(IF((VLOOKUP(Table6[[#This Row],[SKU]],'All Skus'!$A:$AC,2,FALSE))="JBL",(VLOOKUP(Table6[[#This Row],[SKU]],'All Skus'!$A:$AC,3,FALSE)),""))</f>
        <v>Surface-Mount Speaker</v>
      </c>
      <c r="C139" s="12" t="str">
        <f>(IF((VLOOKUP(Table6[[#This Row],[SKU]],'All Skus'!$A:$AC,2,FALSE))="JBL",(VLOOKUP(Table6[[#This Row],[SKU]],'All Skus'!$A:$AC,4,FALSE)),""))</f>
        <v>CONTROL 23-1-WH</v>
      </c>
      <c r="D139" s="61" t="str">
        <f>(IF((VLOOKUP(Table6[[#This Row],[SKU]],'All Skus'!$A:$AC,2,FALSE))="JBL",(VLOOKUP(Table6[[#This Row],[SKU]],'All Skus'!$A:$AC,5,FALSE)),""))</f>
        <v>JBL018</v>
      </c>
      <c r="E139" s="137">
        <f>(IF((VLOOKUP(Table6[[#This Row],[SKU]],'All Skus'!$A:$AC,2,FALSE))="JBL",(VLOOKUP(Table6[[#This Row],[SKU]],'All Skus'!$A:$AC,6,FALSE)),""))</f>
        <v>0</v>
      </c>
      <c r="F139" s="61">
        <f>(IF((VLOOKUP(Table6[[#This Row],[SKU]],'All Skus'!$A:$AC,2,FALSE))="JBL",(VLOOKUP(Table6[[#This Row],[SKU]],'All Skus'!$A:$AC,7,FALSE)),""))</f>
        <v>0</v>
      </c>
      <c r="G139" t="str">
        <f>(IF((VLOOKUP(Table6[[#This Row],[SKU]],'All Skus'!$A:$AC,2,FALSE))="JBL",(VLOOKUP(Table6[[#This Row],[SKU]],'All Skus'!$A:$AC,8,FALSE)),""))</f>
        <v>3" 2-WAY SURFACE-MT SPKR, WHT</v>
      </c>
      <c r="H139" s="8" t="str">
        <f>(IF((VLOOKUP(Table6[[#This Row],[SKU]],'All Skus'!$A:$AC,2,FALSE))="JBL",(VLOOKUP(Table6[[#This Row],[SKU]],'All Skus'!$A:$AC,9,FALSE)),""))</f>
        <v>Control 23-1 in white.</v>
      </c>
      <c r="I139" s="101">
        <f>(IF((VLOOKUP(Table6[[#This Row],[SKU]],'All Skus'!$A:$AC,2,FALSE))="JBL",(VLOOKUP(Table6[[#This Row],[SKU]],'All Skus'!$A:$AC,10,FALSE)),""))</f>
        <v>179.04</v>
      </c>
      <c r="J139" s="101">
        <f>(IF((VLOOKUP(Table6[[#This Row],[SKU]],'All Skus'!$A:$AC,2,FALSE))="JBL",(VLOOKUP(Table6[[#This Row],[SKU]],'All Skus'!$A:$AC,11,FALSE)),""))</f>
        <v>144</v>
      </c>
      <c r="K139" s="102">
        <f>(IF((VLOOKUP(Table6[[#This Row],[SKU]],'All Skus'!$A:$AC,2,FALSE))="JBL",(VLOOKUP(Table6[[#This Row],[SKU]],'All Skus'!$A:$AC,13,FALSE)),""))</f>
        <v>99.078254999999999</v>
      </c>
      <c r="L139" s="102">
        <f>(IF((VLOOKUP(Table6[[#This Row],[SKU]],'All Skus'!$A:$AC,2,FALSE))="JBL",(VLOOKUP(Table6[[#This Row],[SKU]],'All Skus'!$A:$AC,14,FALSE)),""))</f>
        <v>93.863610000000008</v>
      </c>
      <c r="M139" s="143">
        <f>(IF((VLOOKUP(Table6[[#This Row],[SKU]],'All Skus'!$A:$AC,2,FALSE))="JBL",(VLOOKUP(Table6[[#This Row],[SKU]],'All Skus'!$A:$AC,15,FALSE)),""))</f>
        <v>2</v>
      </c>
      <c r="N139" s="137">
        <f>(IF((VLOOKUP(Table6[[#This Row],[SKU]],'All Skus'!$A:$AC,2,FALSE))="JBL",(VLOOKUP(Table6[[#This Row],[SKU]],'All Skus'!$A:$AC,16,FALSE)),""))</f>
        <v>691991002014</v>
      </c>
      <c r="O139" s="61">
        <f>(IF((VLOOKUP(Table6[[#This Row],[SKU]],'All Skus'!$A:$AC,2,FALSE))="JBL",(VLOOKUP(Table6[[#This Row],[SKU]],'All Skus'!$A:$AC,17,FALSE)),""))</f>
        <v>0</v>
      </c>
      <c r="P139" s="136">
        <f>(IF((VLOOKUP(Table6[[#This Row],[SKU]],'All Skus'!$A:$AC,2,FALSE))="JBL",(VLOOKUP(Table6[[#This Row],[SKU]],'All Skus'!$A:$AC,18,FALSE)),""))</f>
        <v>4.59</v>
      </c>
      <c r="Q139" s="136">
        <f>(IF((VLOOKUP(Table6[[#This Row],[SKU]],'All Skus'!$A:$AC,2,FALSE))="JBL",(VLOOKUP(Table6[[#This Row],[SKU]],'All Skus'!$A:$AC,19,FALSE)),""))</f>
        <v>6.25</v>
      </c>
      <c r="R139" s="136">
        <f>(IF((VLOOKUP(Table6[[#This Row],[SKU]],'All Skus'!$A:$AC,2,FALSE))="JBL",(VLOOKUP(Table6[[#This Row],[SKU]],'All Skus'!$A:$AC,20,FALSE)),""))</f>
        <v>7</v>
      </c>
      <c r="S139" s="61">
        <f>(IF((VLOOKUP(Table6[[#This Row],[SKU]],'All Skus'!$A:$AC,2,FALSE))="JBL",(VLOOKUP(Table6[[#This Row],[SKU]],'All Skus'!$A:$AC,21,FALSE)),""))</f>
        <v>9.25</v>
      </c>
      <c r="T139" s="61" t="str">
        <f>(IF((VLOOKUP(Table6[[#This Row],[SKU]],'All Skus'!$A:$AC,2,FALSE))="JBL",(VLOOKUP(Table6[[#This Row],[SKU]],'All Skus'!$A:$AC,22,FALSE)),""))</f>
        <v>CN</v>
      </c>
      <c r="U139" t="str">
        <f>(IF((VLOOKUP(Table6[[#This Row],[SKU]],'All Skus'!$A:$AC,2,FALSE))="JBL",(VLOOKUP(Table6[[#This Row],[SKU]],'All Skus'!$A:$AC,23,FALSE)),""))</f>
        <v>Non Compliant</v>
      </c>
      <c r="V139" s="284" t="str">
        <f>HYPERLINK((IF((VLOOKUP(Table6[[#This Row],[SKU]],'All Skus'!$A:$AC,2,FALSE))="JBL",(VLOOKUP(Table6[[#This Row],[SKU]],'All Skus'!$A:$AC,24,FALSE)),"")))</f>
        <v xml:space="preserve">http://www.jblpro.com/www/products/installed-sound/control-contractor-series/control-23-1 </v>
      </c>
      <c r="W139" s="151">
        <v>137</v>
      </c>
    </row>
    <row r="140" spans="1:23" ht="15" hidden="1" customHeight="1">
      <c r="A140" s="13" t="s">
        <v>1146</v>
      </c>
      <c r="B140" s="12" t="str">
        <f>(IF((VLOOKUP(Table6[[#This Row],[SKU]],'All Skus'!$A:$AC,2,FALSE))="JBL",(VLOOKUP(Table6[[#This Row],[SKU]],'All Skus'!$A:$AC,3,FALSE)),""))</f>
        <v>Surface-Mount Speaker</v>
      </c>
      <c r="C140" s="12" t="str">
        <f>(IF((VLOOKUP(Table6[[#This Row],[SKU]],'All Skus'!$A:$AC,2,FALSE))="JBL",(VLOOKUP(Table6[[#This Row],[SKU]],'All Skus'!$A:$AC,4,FALSE)),""))</f>
        <v>Control 25-1</v>
      </c>
      <c r="D140" s="61" t="str">
        <f>(IF((VLOOKUP(Table6[[#This Row],[SKU]],'All Skus'!$A:$AC,2,FALSE))="JBL",(VLOOKUP(Table6[[#This Row],[SKU]],'All Skus'!$A:$AC,5,FALSE)),""))</f>
        <v>JBL018</v>
      </c>
      <c r="E140" s="137">
        <f>(IF((VLOOKUP(Table6[[#This Row],[SKU]],'All Skus'!$A:$AC,2,FALSE))="JBL",(VLOOKUP(Table6[[#This Row],[SKU]],'All Skus'!$A:$AC,6,FALSE)),""))</f>
        <v>0</v>
      </c>
      <c r="F140" s="61">
        <f>(IF((VLOOKUP(Table6[[#This Row],[SKU]],'All Skus'!$A:$AC,2,FALSE))="JBL",(VLOOKUP(Table6[[#This Row],[SKU]],'All Skus'!$A:$AC,7,FALSE)),""))</f>
        <v>0</v>
      </c>
      <c r="G140" t="str">
        <f>(IF((VLOOKUP(Table6[[#This Row],[SKU]],'All Skus'!$A:$AC,2,FALSE))="JBL",(VLOOKUP(Table6[[#This Row],[SKU]],'All Skus'!$A:$AC,8,FALSE)),""))</f>
        <v>5¼" 2-WAY SURFACE-MT SPKR, BLK</v>
      </c>
      <c r="H140" s="8" t="str">
        <f>(IF((VLOOKUP(Table6[[#This Row],[SKU]],'All Skus'!$A:$AC,2,FALSE))="JBL",(VLOOKUP(Table6[[#This Row],[SKU]],'All Skus'!$A:$AC,9,FALSE)),""))</f>
        <v>5.25" Two-Way Vented Loudspeaker, Invisiball® Installation System (plus U-bracket attachment points). 60 Hz - 20 kHz Frequency Range. 100 Watts Cont. Pink Noise Power Handling (400W peak) at 8 ohms plus 70V/100V taps at 30W, 15W, 7.5W (&amp; 3.7W at 70V only). Woven Fiberglass Woofer. Black or white (-WH). Priced as Each, Packed as Pairs.</v>
      </c>
      <c r="I140" s="101">
        <f>(IF((VLOOKUP(Table6[[#This Row],[SKU]],'All Skus'!$A:$AC,2,FALSE))="JBL",(VLOOKUP(Table6[[#This Row],[SKU]],'All Skus'!$A:$AC,10,FALSE)),""))</f>
        <v>240.93</v>
      </c>
      <c r="J140" s="101">
        <f>(IF((VLOOKUP(Table6[[#This Row],[SKU]],'All Skus'!$A:$AC,2,FALSE))="JBL",(VLOOKUP(Table6[[#This Row],[SKU]],'All Skus'!$A:$AC,11,FALSE)),""))</f>
        <v>191</v>
      </c>
      <c r="K140" s="102">
        <f>(IF((VLOOKUP(Table6[[#This Row],[SKU]],'All Skus'!$A:$AC,2,FALSE))="JBL",(VLOOKUP(Table6[[#This Row],[SKU]],'All Skus'!$A:$AC,13,FALSE)),""))</f>
        <v>133.334305</v>
      </c>
      <c r="L140" s="102" t="e">
        <f>(IF((VLOOKUP(Table6[[#This Row],[SKU]],'All Skus'!$A:$AC,2,FALSE))="JBL",(VLOOKUP(Table6[[#This Row],[SKU]],'All Skus'!$A:$AC,14,FALSE)),""))</f>
        <v>#REF!</v>
      </c>
      <c r="M140" s="143">
        <f>(IF((VLOOKUP(Table6[[#This Row],[SKU]],'All Skus'!$A:$AC,2,FALSE))="JBL",(VLOOKUP(Table6[[#This Row],[SKU]],'All Skus'!$A:$AC,15,FALSE)),""))</f>
        <v>2</v>
      </c>
      <c r="N140" s="137">
        <f>(IF((VLOOKUP(Table6[[#This Row],[SKU]],'All Skus'!$A:$AC,2,FALSE))="JBL",(VLOOKUP(Table6[[#This Row],[SKU]],'All Skus'!$A:$AC,16,FALSE)),""))</f>
        <v>691991002021</v>
      </c>
      <c r="O140" s="61">
        <f>(IF((VLOOKUP(Table6[[#This Row],[SKU]],'All Skus'!$A:$AC,2,FALSE))="JBL",(VLOOKUP(Table6[[#This Row],[SKU]],'All Skus'!$A:$AC,17,FALSE)),""))</f>
        <v>0</v>
      </c>
      <c r="P140" s="136">
        <f>(IF((VLOOKUP(Table6[[#This Row],[SKU]],'All Skus'!$A:$AC,2,FALSE))="JBL",(VLOOKUP(Table6[[#This Row],[SKU]],'All Skus'!$A:$AC,18,FALSE)),""))</f>
        <v>9</v>
      </c>
      <c r="Q140" s="136">
        <f>(IF((VLOOKUP(Table6[[#This Row],[SKU]],'All Skus'!$A:$AC,2,FALSE))="JBL",(VLOOKUP(Table6[[#This Row],[SKU]],'All Skus'!$A:$AC,19,FALSE)),""))</f>
        <v>8</v>
      </c>
      <c r="R140" s="136">
        <f>(IF((VLOOKUP(Table6[[#This Row],[SKU]],'All Skus'!$A:$AC,2,FALSE))="JBL",(VLOOKUP(Table6[[#This Row],[SKU]],'All Skus'!$A:$AC,20,FALSE)),""))</f>
        <v>11.5</v>
      </c>
      <c r="S140" s="61">
        <f>(IF((VLOOKUP(Table6[[#This Row],[SKU]],'All Skus'!$A:$AC,2,FALSE))="JBL",(VLOOKUP(Table6[[#This Row],[SKU]],'All Skus'!$A:$AC,21,FALSE)),""))</f>
        <v>12.25</v>
      </c>
      <c r="T140" s="61" t="str">
        <f>(IF((VLOOKUP(Table6[[#This Row],[SKU]],'All Skus'!$A:$AC,2,FALSE))="JBL",(VLOOKUP(Table6[[#This Row],[SKU]],'All Skus'!$A:$AC,22,FALSE)),""))</f>
        <v>CN</v>
      </c>
      <c r="U140" t="str">
        <f>(IF((VLOOKUP(Table6[[#This Row],[SKU]],'All Skus'!$A:$AC,2,FALSE))="JBL",(VLOOKUP(Table6[[#This Row],[SKU]],'All Skus'!$A:$AC,23,FALSE)),""))</f>
        <v>Non Compliant</v>
      </c>
      <c r="V140" s="284" t="str">
        <f>HYPERLINK((IF((VLOOKUP(Table6[[#This Row],[SKU]],'All Skus'!$A:$AC,2,FALSE))="JBL",(VLOOKUP(Table6[[#This Row],[SKU]],'All Skus'!$A:$AC,24,FALSE)),"")))</f>
        <v xml:space="preserve">http://www.jblpro.com/www/products/installed-sound/control-contractor-series/control-25-1 </v>
      </c>
      <c r="W140" s="151">
        <v>138</v>
      </c>
    </row>
    <row r="141" spans="1:23" ht="15" hidden="1" customHeight="1">
      <c r="A141" s="13" t="s">
        <v>1147</v>
      </c>
      <c r="B141" s="12" t="str">
        <f>(IF((VLOOKUP(Table6[[#This Row],[SKU]],'All Skus'!$A:$AC,2,FALSE))="JBL",(VLOOKUP(Table6[[#This Row],[SKU]],'All Skus'!$A:$AC,3,FALSE)),""))</f>
        <v>Surface-Mount Speaker</v>
      </c>
      <c r="C141" s="12" t="str">
        <f>(IF((VLOOKUP(Table6[[#This Row],[SKU]],'All Skus'!$A:$AC,2,FALSE))="JBL",(VLOOKUP(Table6[[#This Row],[SKU]],'All Skus'!$A:$AC,4,FALSE)),""))</f>
        <v>CONTROL 25-1L</v>
      </c>
      <c r="D141" s="61" t="str">
        <f>(IF((VLOOKUP(Table6[[#This Row],[SKU]],'All Skus'!$A:$AC,2,FALSE))="JBL",(VLOOKUP(Table6[[#This Row],[SKU]],'All Skus'!$A:$AC,5,FALSE)),""))</f>
        <v>JBL018</v>
      </c>
      <c r="E141" s="137">
        <f>(IF((VLOOKUP(Table6[[#This Row],[SKU]],'All Skus'!$A:$AC,2,FALSE))="JBL",(VLOOKUP(Table6[[#This Row],[SKU]],'All Skus'!$A:$AC,6,FALSE)),""))</f>
        <v>0</v>
      </c>
      <c r="F141" s="61">
        <f>(IF((VLOOKUP(Table6[[#This Row],[SKU]],'All Skus'!$A:$AC,2,FALSE))="JBL",(VLOOKUP(Table6[[#This Row],[SKU]],'All Skus'!$A:$AC,7,FALSE)),""))</f>
        <v>0</v>
      </c>
      <c r="G141" t="str">
        <f>(IF((VLOOKUP(Table6[[#This Row],[SKU]],'All Skus'!$A:$AC,2,FALSE))="JBL",(VLOOKUP(Table6[[#This Row],[SKU]],'All Skus'!$A:$AC,8,FALSE)),""))</f>
        <v>5¼" 2-WAY SURFACE-MT SPKR, 8 OHM, BLK</v>
      </c>
      <c r="H141" s="8" t="str">
        <f>(IF((VLOOKUP(Table6[[#This Row],[SKU]],'All Skus'!$A:$AC,2,FALSE))="JBL",(VLOOKUP(Table6[[#This Row],[SKU]],'All Skus'!$A:$AC,9,FALSE)),""))</f>
        <v>Low-Impedance-Only Version of Control 25-1 (&amp;-WH), without 70V/100V transformer,  8 ohms only. priced as each; packaged and sold in pairs</v>
      </c>
      <c r="I141" s="101">
        <f>(IF((VLOOKUP(Table6[[#This Row],[SKU]],'All Skus'!$A:$AC,2,FALSE))="JBL",(VLOOKUP(Table6[[#This Row],[SKU]],'All Skus'!$A:$AC,10,FALSE)),""))</f>
        <v>214.16</v>
      </c>
      <c r="J141" s="101">
        <f>(IF((VLOOKUP(Table6[[#This Row],[SKU]],'All Skus'!$A:$AC,2,FALSE))="JBL",(VLOOKUP(Table6[[#This Row],[SKU]],'All Skus'!$A:$AC,11,FALSE)),""))</f>
        <v>170</v>
      </c>
      <c r="K141" s="102">
        <f>(IF((VLOOKUP(Table6[[#This Row],[SKU]],'All Skus'!$A:$AC,2,FALSE))="JBL",(VLOOKUP(Table6[[#This Row],[SKU]],'All Skus'!$A:$AC,13,FALSE)),""))</f>
        <v>118.51373500000001</v>
      </c>
      <c r="L141" s="102">
        <f>(IF((VLOOKUP(Table6[[#This Row],[SKU]],'All Skus'!$A:$AC,2,FALSE))="JBL",(VLOOKUP(Table6[[#This Row],[SKU]],'All Skus'!$A:$AC,14,FALSE)),""))</f>
        <v>112.27617000000002</v>
      </c>
      <c r="M141" s="143">
        <f>(IF((VLOOKUP(Table6[[#This Row],[SKU]],'All Skus'!$A:$AC,2,FALSE))="JBL",(VLOOKUP(Table6[[#This Row],[SKU]],'All Skus'!$A:$AC,15,FALSE)),""))</f>
        <v>2</v>
      </c>
      <c r="N141" s="137">
        <f>(IF((VLOOKUP(Table6[[#This Row],[SKU]],'All Skus'!$A:$AC,2,FALSE))="JBL",(VLOOKUP(Table6[[#This Row],[SKU]],'All Skus'!$A:$AC,16,FALSE)),""))</f>
        <v>691991005114</v>
      </c>
      <c r="O141" s="61">
        <f>(IF((VLOOKUP(Table6[[#This Row],[SKU]],'All Skus'!$A:$AC,2,FALSE))="JBL",(VLOOKUP(Table6[[#This Row],[SKU]],'All Skus'!$A:$AC,17,FALSE)),""))</f>
        <v>0</v>
      </c>
      <c r="P141" s="136">
        <f>(IF((VLOOKUP(Table6[[#This Row],[SKU]],'All Skus'!$A:$AC,2,FALSE))="JBL",(VLOOKUP(Table6[[#This Row],[SKU]],'All Skus'!$A:$AC,18,FALSE)),""))</f>
        <v>7.3</v>
      </c>
      <c r="Q141" s="136">
        <f>(IF((VLOOKUP(Table6[[#This Row],[SKU]],'All Skus'!$A:$AC,2,FALSE))="JBL",(VLOOKUP(Table6[[#This Row],[SKU]],'All Skus'!$A:$AC,19,FALSE)),""))</f>
        <v>8</v>
      </c>
      <c r="R141" s="136">
        <f>(IF((VLOOKUP(Table6[[#This Row],[SKU]],'All Skus'!$A:$AC,2,FALSE))="JBL",(VLOOKUP(Table6[[#This Row],[SKU]],'All Skus'!$A:$AC,20,FALSE)),""))</f>
        <v>11.5</v>
      </c>
      <c r="S141" s="61">
        <f>(IF((VLOOKUP(Table6[[#This Row],[SKU]],'All Skus'!$A:$AC,2,FALSE))="JBL",(VLOOKUP(Table6[[#This Row],[SKU]],'All Skus'!$A:$AC,21,FALSE)),""))</f>
        <v>12.25</v>
      </c>
      <c r="T141" s="61" t="str">
        <f>(IF((VLOOKUP(Table6[[#This Row],[SKU]],'All Skus'!$A:$AC,2,FALSE))="JBL",(VLOOKUP(Table6[[#This Row],[SKU]],'All Skus'!$A:$AC,22,FALSE)),""))</f>
        <v>CN</v>
      </c>
      <c r="U141" t="str">
        <f>(IF((VLOOKUP(Table6[[#This Row],[SKU]],'All Skus'!$A:$AC,2,FALSE))="JBL",(VLOOKUP(Table6[[#This Row],[SKU]],'All Skus'!$A:$AC,23,FALSE)),""))</f>
        <v>Non Compliant</v>
      </c>
      <c r="V141" s="284" t="str">
        <f>HYPERLINK((IF((VLOOKUP(Table6[[#This Row],[SKU]],'All Skus'!$A:$AC,2,FALSE))="JBL",(VLOOKUP(Table6[[#This Row],[SKU]],'All Skus'!$A:$AC,24,FALSE)),"")))</f>
        <v xml:space="preserve">http://www.jblpro.com/www/products/installed-sound/control-contractor-series/control-25-1l </v>
      </c>
      <c r="W141" s="151">
        <v>139</v>
      </c>
    </row>
    <row r="142" spans="1:23" ht="15" hidden="1" customHeight="1">
      <c r="A142" s="13" t="s">
        <v>1148</v>
      </c>
      <c r="B142" s="12" t="str">
        <f>(IF((VLOOKUP(Table6[[#This Row],[SKU]],'All Skus'!$A:$AC,2,FALSE))="JBL",(VLOOKUP(Table6[[#This Row],[SKU]],'All Skus'!$A:$AC,3,FALSE)),""))</f>
        <v>Surface-Mount Speaker</v>
      </c>
      <c r="C142" s="12" t="str">
        <f>(IF((VLOOKUP(Table6[[#This Row],[SKU]],'All Skus'!$A:$AC,2,FALSE))="JBL",(VLOOKUP(Table6[[#This Row],[SKU]],'All Skus'!$A:$AC,4,FALSE)),""))</f>
        <v>CONTROL 25-1L-WH</v>
      </c>
      <c r="D142" s="61" t="str">
        <f>(IF((VLOOKUP(Table6[[#This Row],[SKU]],'All Skus'!$A:$AC,2,FALSE))="JBL",(VLOOKUP(Table6[[#This Row],[SKU]],'All Skus'!$A:$AC,5,FALSE)),""))</f>
        <v>JBL018</v>
      </c>
      <c r="E142" s="137">
        <f>(IF((VLOOKUP(Table6[[#This Row],[SKU]],'All Skus'!$A:$AC,2,FALSE))="JBL",(VLOOKUP(Table6[[#This Row],[SKU]],'All Skus'!$A:$AC,6,FALSE)),""))</f>
        <v>0</v>
      </c>
      <c r="F142" s="61">
        <f>(IF((VLOOKUP(Table6[[#This Row],[SKU]],'All Skus'!$A:$AC,2,FALSE))="JBL",(VLOOKUP(Table6[[#This Row],[SKU]],'All Skus'!$A:$AC,7,FALSE)),""))</f>
        <v>0</v>
      </c>
      <c r="G142" t="str">
        <f>(IF((VLOOKUP(Table6[[#This Row],[SKU]],'All Skus'!$A:$AC,2,FALSE))="JBL",(VLOOKUP(Table6[[#This Row],[SKU]],'All Skus'!$A:$AC,8,FALSE)),""))</f>
        <v>5¼" 2-WAY SURFACE-MT SPKR, 8 OHM,. WHT</v>
      </c>
      <c r="H142" s="8" t="str">
        <f>(IF((VLOOKUP(Table6[[#This Row],[SKU]],'All Skus'!$A:$AC,2,FALSE))="JBL",(VLOOKUP(Table6[[#This Row],[SKU]],'All Skus'!$A:$AC,9,FALSE)),""))</f>
        <v>Control 25-1L in white priced as each; packaged and sold in pairs</v>
      </c>
      <c r="I142" s="101">
        <f>(IF((VLOOKUP(Table6[[#This Row],[SKU]],'All Skus'!$A:$AC,2,FALSE))="JBL",(VLOOKUP(Table6[[#This Row],[SKU]],'All Skus'!$A:$AC,10,FALSE)),""))</f>
        <v>214.16</v>
      </c>
      <c r="J142" s="101">
        <f>(IF((VLOOKUP(Table6[[#This Row],[SKU]],'All Skus'!$A:$AC,2,FALSE))="JBL",(VLOOKUP(Table6[[#This Row],[SKU]],'All Skus'!$A:$AC,11,FALSE)),""))</f>
        <v>170</v>
      </c>
      <c r="K142" s="102">
        <f>(IF((VLOOKUP(Table6[[#This Row],[SKU]],'All Skus'!$A:$AC,2,FALSE))="JBL",(VLOOKUP(Table6[[#This Row],[SKU]],'All Skus'!$A:$AC,13,FALSE)),""))</f>
        <v>118.51373500000001</v>
      </c>
      <c r="L142" s="102">
        <f>(IF((VLOOKUP(Table6[[#This Row],[SKU]],'All Skus'!$A:$AC,2,FALSE))="JBL",(VLOOKUP(Table6[[#This Row],[SKU]],'All Skus'!$A:$AC,14,FALSE)),""))</f>
        <v>112.27617000000002</v>
      </c>
      <c r="M142" s="143">
        <f>(IF((VLOOKUP(Table6[[#This Row],[SKU]],'All Skus'!$A:$AC,2,FALSE))="JBL",(VLOOKUP(Table6[[#This Row],[SKU]],'All Skus'!$A:$AC,15,FALSE)),""))</f>
        <v>2</v>
      </c>
      <c r="N142" s="137">
        <f>(IF((VLOOKUP(Table6[[#This Row],[SKU]],'All Skus'!$A:$AC,2,FALSE))="JBL",(VLOOKUP(Table6[[#This Row],[SKU]],'All Skus'!$A:$AC,16,FALSE)),""))</f>
        <v>691991005121</v>
      </c>
      <c r="O142" s="61">
        <f>(IF((VLOOKUP(Table6[[#This Row],[SKU]],'All Skus'!$A:$AC,2,FALSE))="JBL",(VLOOKUP(Table6[[#This Row],[SKU]],'All Skus'!$A:$AC,17,FALSE)),""))</f>
        <v>0</v>
      </c>
      <c r="P142" s="136">
        <f>(IF((VLOOKUP(Table6[[#This Row],[SKU]],'All Skus'!$A:$AC,2,FALSE))="JBL",(VLOOKUP(Table6[[#This Row],[SKU]],'All Skus'!$A:$AC,18,FALSE)),""))</f>
        <v>7.3</v>
      </c>
      <c r="Q142" s="136">
        <f>(IF((VLOOKUP(Table6[[#This Row],[SKU]],'All Skus'!$A:$AC,2,FALSE))="JBL",(VLOOKUP(Table6[[#This Row],[SKU]],'All Skus'!$A:$AC,19,FALSE)),""))</f>
        <v>8</v>
      </c>
      <c r="R142" s="136">
        <f>(IF((VLOOKUP(Table6[[#This Row],[SKU]],'All Skus'!$A:$AC,2,FALSE))="JBL",(VLOOKUP(Table6[[#This Row],[SKU]],'All Skus'!$A:$AC,20,FALSE)),""))</f>
        <v>11.5</v>
      </c>
      <c r="S142" s="61">
        <f>(IF((VLOOKUP(Table6[[#This Row],[SKU]],'All Skus'!$A:$AC,2,FALSE))="JBL",(VLOOKUP(Table6[[#This Row],[SKU]],'All Skus'!$A:$AC,21,FALSE)),""))</f>
        <v>12.25</v>
      </c>
      <c r="T142" s="61" t="str">
        <f>(IF((VLOOKUP(Table6[[#This Row],[SKU]],'All Skus'!$A:$AC,2,FALSE))="JBL",(VLOOKUP(Table6[[#This Row],[SKU]],'All Skus'!$A:$AC,22,FALSE)),""))</f>
        <v>CN</v>
      </c>
      <c r="U142" t="str">
        <f>(IF((VLOOKUP(Table6[[#This Row],[SKU]],'All Skus'!$A:$AC,2,FALSE))="JBL",(VLOOKUP(Table6[[#This Row],[SKU]],'All Skus'!$A:$AC,23,FALSE)),""))</f>
        <v>Non Compliant</v>
      </c>
      <c r="V142" s="284" t="str">
        <f>HYPERLINK((IF((VLOOKUP(Table6[[#This Row],[SKU]],'All Skus'!$A:$AC,2,FALSE))="JBL",(VLOOKUP(Table6[[#This Row],[SKU]],'All Skus'!$A:$AC,24,FALSE)),"")))</f>
        <v xml:space="preserve">http://www.jblpro.com/www/products/installed-sound/control-contractor-series/control-25-1l </v>
      </c>
      <c r="W142" s="151">
        <v>140</v>
      </c>
    </row>
    <row r="143" spans="1:23" ht="15" hidden="1" customHeight="1">
      <c r="A143" s="13" t="s">
        <v>1149</v>
      </c>
      <c r="B143" s="12" t="str">
        <f>(IF((VLOOKUP(Table6[[#This Row],[SKU]],'All Skus'!$A:$AC,2,FALSE))="JBL",(VLOOKUP(Table6[[#This Row],[SKU]],'All Skus'!$A:$AC,3,FALSE)),""))</f>
        <v>Surface-Mount Speaker</v>
      </c>
      <c r="C143" s="12" t="str">
        <f>(IF((VLOOKUP(Table6[[#This Row],[SKU]],'All Skus'!$A:$AC,2,FALSE))="JBL",(VLOOKUP(Table6[[#This Row],[SKU]],'All Skus'!$A:$AC,4,FALSE)),""))</f>
        <v>CONTROL 25-1-WH</v>
      </c>
      <c r="D143" s="61" t="str">
        <f>(IF((VLOOKUP(Table6[[#This Row],[SKU]],'All Skus'!$A:$AC,2,FALSE))="JBL",(VLOOKUP(Table6[[#This Row],[SKU]],'All Skus'!$A:$AC,5,FALSE)),""))</f>
        <v>JBL018</v>
      </c>
      <c r="E143" s="137">
        <f>(IF((VLOOKUP(Table6[[#This Row],[SKU]],'All Skus'!$A:$AC,2,FALSE))="JBL",(VLOOKUP(Table6[[#This Row],[SKU]],'All Skus'!$A:$AC,6,FALSE)),""))</f>
        <v>0</v>
      </c>
      <c r="F143" s="61">
        <f>(IF((VLOOKUP(Table6[[#This Row],[SKU]],'All Skus'!$A:$AC,2,FALSE))="JBL",(VLOOKUP(Table6[[#This Row],[SKU]],'All Skus'!$A:$AC,7,FALSE)),""))</f>
        <v>0</v>
      </c>
      <c r="G143" t="str">
        <f>(IF((VLOOKUP(Table6[[#This Row],[SKU]],'All Skus'!$A:$AC,2,FALSE))="JBL",(VLOOKUP(Table6[[#This Row],[SKU]],'All Skus'!$A:$AC,8,FALSE)),""))</f>
        <v>5¼" 2-WAY SURFACE-MT SPKR, WHT</v>
      </c>
      <c r="H143" s="8" t="str">
        <f>(IF((VLOOKUP(Table6[[#This Row],[SKU]],'All Skus'!$A:$AC,2,FALSE))="JBL",(VLOOKUP(Table6[[#This Row],[SKU]],'All Skus'!$A:$AC,9,FALSE)),""))</f>
        <v>Control 25-1 in white.</v>
      </c>
      <c r="I143" s="101">
        <f>(IF((VLOOKUP(Table6[[#This Row],[SKU]],'All Skus'!$A:$AC,2,FALSE))="JBL",(VLOOKUP(Table6[[#This Row],[SKU]],'All Skus'!$A:$AC,10,FALSE)),""))</f>
        <v>240.93</v>
      </c>
      <c r="J143" s="101">
        <f>(IF((VLOOKUP(Table6[[#This Row],[SKU]],'All Skus'!$A:$AC,2,FALSE))="JBL",(VLOOKUP(Table6[[#This Row],[SKU]],'All Skus'!$A:$AC,11,FALSE)),""))</f>
        <v>191</v>
      </c>
      <c r="K143" s="102">
        <f>(IF((VLOOKUP(Table6[[#This Row],[SKU]],'All Skus'!$A:$AC,2,FALSE))="JBL",(VLOOKUP(Table6[[#This Row],[SKU]],'All Skus'!$A:$AC,13,FALSE)),""))</f>
        <v>133.334305</v>
      </c>
      <c r="L143" s="102">
        <f>(IF((VLOOKUP(Table6[[#This Row],[SKU]],'All Skus'!$A:$AC,2,FALSE))="JBL",(VLOOKUP(Table6[[#This Row],[SKU]],'All Skus'!$A:$AC,14,FALSE)),""))</f>
        <v>126.31671</v>
      </c>
      <c r="M143" s="143">
        <f>(IF((VLOOKUP(Table6[[#This Row],[SKU]],'All Skus'!$A:$AC,2,FALSE))="JBL",(VLOOKUP(Table6[[#This Row],[SKU]],'All Skus'!$A:$AC,15,FALSE)),""))</f>
        <v>2</v>
      </c>
      <c r="N143" s="137">
        <f>(IF((VLOOKUP(Table6[[#This Row],[SKU]],'All Skus'!$A:$AC,2,FALSE))="JBL",(VLOOKUP(Table6[[#This Row],[SKU]],'All Skus'!$A:$AC,16,FALSE)),""))</f>
        <v>691991002038</v>
      </c>
      <c r="O143" s="61">
        <f>(IF((VLOOKUP(Table6[[#This Row],[SKU]],'All Skus'!$A:$AC,2,FALSE))="JBL",(VLOOKUP(Table6[[#This Row],[SKU]],'All Skus'!$A:$AC,17,FALSE)),""))</f>
        <v>0</v>
      </c>
      <c r="P143" s="136">
        <f>(IF((VLOOKUP(Table6[[#This Row],[SKU]],'All Skus'!$A:$AC,2,FALSE))="JBL",(VLOOKUP(Table6[[#This Row],[SKU]],'All Skus'!$A:$AC,18,FALSE)),""))</f>
        <v>9</v>
      </c>
      <c r="Q143" s="136">
        <f>(IF((VLOOKUP(Table6[[#This Row],[SKU]],'All Skus'!$A:$AC,2,FALSE))="JBL",(VLOOKUP(Table6[[#This Row],[SKU]],'All Skus'!$A:$AC,19,FALSE)),""))</f>
        <v>8</v>
      </c>
      <c r="R143" s="136">
        <f>(IF((VLOOKUP(Table6[[#This Row],[SKU]],'All Skus'!$A:$AC,2,FALSE))="JBL",(VLOOKUP(Table6[[#This Row],[SKU]],'All Skus'!$A:$AC,20,FALSE)),""))</f>
        <v>11.5</v>
      </c>
      <c r="S143" s="61">
        <f>(IF((VLOOKUP(Table6[[#This Row],[SKU]],'All Skus'!$A:$AC,2,FALSE))="JBL",(VLOOKUP(Table6[[#This Row],[SKU]],'All Skus'!$A:$AC,21,FALSE)),""))</f>
        <v>12.25</v>
      </c>
      <c r="T143" s="61" t="str">
        <f>(IF((VLOOKUP(Table6[[#This Row],[SKU]],'All Skus'!$A:$AC,2,FALSE))="JBL",(VLOOKUP(Table6[[#This Row],[SKU]],'All Skus'!$A:$AC,22,FALSE)),""))</f>
        <v>CN</v>
      </c>
      <c r="U143" t="str">
        <f>(IF((VLOOKUP(Table6[[#This Row],[SKU]],'All Skus'!$A:$AC,2,FALSE))="JBL",(VLOOKUP(Table6[[#This Row],[SKU]],'All Skus'!$A:$AC,23,FALSE)),""))</f>
        <v>Non Compliant</v>
      </c>
      <c r="V143" s="284" t="str">
        <f>HYPERLINK((IF((VLOOKUP(Table6[[#This Row],[SKU]],'All Skus'!$A:$AC,2,FALSE))="JBL",(VLOOKUP(Table6[[#This Row],[SKU]],'All Skus'!$A:$AC,24,FALSE)),"")))</f>
        <v xml:space="preserve">http://www.jblpro.com/www/products/installed-sound/control-contractor-series/control-25-1 </v>
      </c>
      <c r="W143" s="151">
        <v>141</v>
      </c>
    </row>
    <row r="144" spans="1:23" ht="15" hidden="1" customHeight="1">
      <c r="A144" s="13" t="s">
        <v>1150</v>
      </c>
      <c r="B144" s="12" t="str">
        <f>(IF((VLOOKUP(Table6[[#This Row],[SKU]],'All Skus'!$A:$AC,2,FALSE))="JBL",(VLOOKUP(Table6[[#This Row],[SKU]],'All Skus'!$A:$AC,3,FALSE)),""))</f>
        <v>Surface-Mount Speaker</v>
      </c>
      <c r="C144" s="12" t="str">
        <f>(IF((VLOOKUP(Table6[[#This Row],[SKU]],'All Skus'!$A:$AC,2,FALSE))="JBL",(VLOOKUP(Table6[[#This Row],[SKU]],'All Skus'!$A:$AC,4,FALSE)),""))</f>
        <v>CONTROL 25AV</v>
      </c>
      <c r="D144" s="61" t="str">
        <f>(IF((VLOOKUP(Table6[[#This Row],[SKU]],'All Skus'!$A:$AC,2,FALSE))="JBL",(VLOOKUP(Table6[[#This Row],[SKU]],'All Skus'!$A:$AC,5,FALSE)),""))</f>
        <v>JBL018</v>
      </c>
      <c r="E144" s="137">
        <f>(IF((VLOOKUP(Table6[[#This Row],[SKU]],'All Skus'!$A:$AC,2,FALSE))="JBL",(VLOOKUP(Table6[[#This Row],[SKU]],'All Skus'!$A:$AC,6,FALSE)),""))</f>
        <v>0</v>
      </c>
      <c r="F144" s="61">
        <f>(IF((VLOOKUP(Table6[[#This Row],[SKU]],'All Skus'!$A:$AC,2,FALSE))="JBL",(VLOOKUP(Table6[[#This Row],[SKU]],'All Skus'!$A:$AC,7,FALSE)),""))</f>
        <v>0</v>
      </c>
      <c r="G144" t="str">
        <f>(IF((VLOOKUP(Table6[[#This Row],[SKU]],'All Skus'!$A:$AC,2,FALSE))="JBL",(VLOOKUP(Table6[[#This Row],[SKU]],'All Skus'!$A:$AC,8,FALSE)),""))</f>
        <v>5.25" 2-WAY W/HORN/AV VERSION</v>
      </c>
      <c r="H144" s="8" t="str">
        <f>(IF((VLOOKUP(Table6[[#This Row],[SKU]],'All Skus'!$A:$AC,2,FALSE))="JBL",(VLOOKUP(Table6[[#This Row],[SKU]],'All Skus'!$A:$AC,9,FALSE)),""))</f>
        <v>Premium Monitor Speaker.  5.25" Two-Way Vented System, Highly Weather Resistant with Indoor/Outdoor, Stainless Steel Grille, 100° x 100° Coverage, 200 W Program Power,  70V/100V taps of 60W, 30W and 15W (and 7.5 W at 70V), plus 8 ohm Thru, Built-In Invisiball® Installation System.  Includes MTC-PC Sealed-Entrance Panel Cover.  Priced as Each, Packed as Pairs.  Master Pack Quantity:  6 Pieces.</v>
      </c>
      <c r="I144" s="101">
        <f>(IF((VLOOKUP(Table6[[#This Row],[SKU]],'All Skus'!$A:$AC,2,FALSE))="JBL",(VLOOKUP(Table6[[#This Row],[SKU]],'All Skus'!$A:$AC,10,FALSE)),""))</f>
        <v>278.93</v>
      </c>
      <c r="J144" s="101">
        <f>(IF((VLOOKUP(Table6[[#This Row],[SKU]],'All Skus'!$A:$AC,2,FALSE))="JBL",(VLOOKUP(Table6[[#This Row],[SKU]],'All Skus'!$A:$AC,11,FALSE)),""))</f>
        <v>226</v>
      </c>
      <c r="K144" s="102">
        <f>(IF((VLOOKUP(Table6[[#This Row],[SKU]],'All Skus'!$A:$AC,2,FALSE))="JBL",(VLOOKUP(Table6[[#This Row],[SKU]],'All Skus'!$A:$AC,13,FALSE)),""))</f>
        <v>154.355525</v>
      </c>
      <c r="L144" s="102">
        <f>(IF((VLOOKUP(Table6[[#This Row],[SKU]],'All Skus'!$A:$AC,2,FALSE))="JBL",(VLOOKUP(Table6[[#This Row],[SKU]],'All Skus'!$A:$AC,14,FALSE)),""))</f>
        <v>146.23155</v>
      </c>
      <c r="M144" s="143">
        <f>(IF((VLOOKUP(Table6[[#This Row],[SKU]],'All Skus'!$A:$AC,2,FALSE))="JBL",(VLOOKUP(Table6[[#This Row],[SKU]],'All Skus'!$A:$AC,15,FALSE)),""))</f>
        <v>2</v>
      </c>
      <c r="N144" s="137">
        <f>(IF((VLOOKUP(Table6[[#This Row],[SKU]],'All Skus'!$A:$AC,2,FALSE))="JBL",(VLOOKUP(Table6[[#This Row],[SKU]],'All Skus'!$A:$AC,16,FALSE)),""))</f>
        <v>50036903301</v>
      </c>
      <c r="O144" s="61">
        <f>(IF((VLOOKUP(Table6[[#This Row],[SKU]],'All Skus'!$A:$AC,2,FALSE))="JBL",(VLOOKUP(Table6[[#This Row],[SKU]],'All Skus'!$A:$AC,17,FALSE)),""))</f>
        <v>0</v>
      </c>
      <c r="P144" s="136">
        <f>(IF((VLOOKUP(Table6[[#This Row],[SKU]],'All Skus'!$A:$AC,2,FALSE))="JBL",(VLOOKUP(Table6[[#This Row],[SKU]],'All Skus'!$A:$AC,18,FALSE)),""))</f>
        <v>10.199999999999999</v>
      </c>
      <c r="Q144" s="136">
        <f>(IF((VLOOKUP(Table6[[#This Row],[SKU]],'All Skus'!$A:$AC,2,FALSE))="JBL",(VLOOKUP(Table6[[#This Row],[SKU]],'All Skus'!$A:$AC,19,FALSE)),""))</f>
        <v>7.75</v>
      </c>
      <c r="R144" s="136">
        <f>(IF((VLOOKUP(Table6[[#This Row],[SKU]],'All Skus'!$A:$AC,2,FALSE))="JBL",(VLOOKUP(Table6[[#This Row],[SKU]],'All Skus'!$A:$AC,20,FALSE)),""))</f>
        <v>10.75</v>
      </c>
      <c r="S144" s="61">
        <f>(IF((VLOOKUP(Table6[[#This Row],[SKU]],'All Skus'!$A:$AC,2,FALSE))="JBL",(VLOOKUP(Table6[[#This Row],[SKU]],'All Skus'!$A:$AC,21,FALSE)),""))</f>
        <v>10.5</v>
      </c>
      <c r="T144" s="61" t="str">
        <f>(IF((VLOOKUP(Table6[[#This Row],[SKU]],'All Skus'!$A:$AC,2,FALSE))="JBL",(VLOOKUP(Table6[[#This Row],[SKU]],'All Skus'!$A:$AC,22,FALSE)),""))</f>
        <v>CN</v>
      </c>
      <c r="U144" t="str">
        <f>(IF((VLOOKUP(Table6[[#This Row],[SKU]],'All Skus'!$A:$AC,2,FALSE))="JBL",(VLOOKUP(Table6[[#This Row],[SKU]],'All Skus'!$A:$AC,23,FALSE)),""))</f>
        <v>Non Compliant</v>
      </c>
      <c r="V144" s="284" t="str">
        <f>HYPERLINK((IF((VLOOKUP(Table6[[#This Row],[SKU]],'All Skus'!$A:$AC,2,FALSE))="JBL",(VLOOKUP(Table6[[#This Row],[SKU]],'All Skus'!$A:$AC,24,FALSE)),"")))</f>
        <v xml:space="preserve">http://www.jblpro.com/www/products/installed-sound/control-contractor-series/control-25av </v>
      </c>
      <c r="W144" s="151">
        <v>142</v>
      </c>
    </row>
    <row r="145" spans="1:23" ht="15" hidden="1" customHeight="1">
      <c r="A145" s="13" t="s">
        <v>1151</v>
      </c>
      <c r="B145" s="12" t="str">
        <f>(IF((VLOOKUP(Table6[[#This Row],[SKU]],'All Skus'!$A:$AC,2,FALSE))="JBL",(VLOOKUP(Table6[[#This Row],[SKU]],'All Skus'!$A:$AC,3,FALSE)),""))</f>
        <v>Surface-Mount Speaker</v>
      </c>
      <c r="C145" s="12" t="str">
        <f>(IF((VLOOKUP(Table6[[#This Row],[SKU]],'All Skus'!$A:$AC,2,FALSE))="JBL",(VLOOKUP(Table6[[#This Row],[SKU]],'All Skus'!$A:$AC,4,FALSE)),""))</f>
        <v>CONTROL 25AV-WH</v>
      </c>
      <c r="D145" s="61" t="str">
        <f>(IF((VLOOKUP(Table6[[#This Row],[SKU]],'All Skus'!$A:$AC,2,FALSE))="JBL",(VLOOKUP(Table6[[#This Row],[SKU]],'All Skus'!$A:$AC,5,FALSE)),""))</f>
        <v>JBL018</v>
      </c>
      <c r="E145" s="137">
        <f>(IF((VLOOKUP(Table6[[#This Row],[SKU]],'All Skus'!$A:$AC,2,FALSE))="JBL",(VLOOKUP(Table6[[#This Row],[SKU]],'All Skus'!$A:$AC,6,FALSE)),""))</f>
        <v>0</v>
      </c>
      <c r="F145" s="61">
        <f>(IF((VLOOKUP(Table6[[#This Row],[SKU]],'All Skus'!$A:$AC,2,FALSE))="JBL",(VLOOKUP(Table6[[#This Row],[SKU]],'All Skus'!$A:$AC,7,FALSE)),""))</f>
        <v>0</v>
      </c>
      <c r="G145" t="str">
        <f>(IF((VLOOKUP(Table6[[#This Row],[SKU]],'All Skus'!$A:$AC,2,FALSE))="JBL",(VLOOKUP(Table6[[#This Row],[SKU]],'All Skus'!$A:$AC,8,FALSE)),""))</f>
        <v>5.25" 2-WAY W/HORN/AV VERSION</v>
      </c>
      <c r="H145" s="8" t="str">
        <f>(IF((VLOOKUP(Table6[[#This Row],[SKU]],'All Skus'!$A:$AC,2,FALSE))="JBL",(VLOOKUP(Table6[[#This Row],[SKU]],'All Skus'!$A:$AC,9,FALSE)),""))</f>
        <v>Premium Monitor Speaker.  5.25" Two-Way Vented System, Highly Weather Resistant with Indoor/Outdoor, Stainless Steel Grille, 100° x 100° Coverage, 200 W Program Power,  70V/100V taps of 60W, 30W and 15W (and 7.5 W at 70V), plus 8 ohm Thru, Built-In Invisiball® Installation System, in white.  Includes MTC-PC Sealed-Entrance Panel Cover.  Priced as Each, Packed as Pairs.  Master Pack Quantity:  6 Pieces.</v>
      </c>
      <c r="I145" s="101">
        <f>(IF((VLOOKUP(Table6[[#This Row],[SKU]],'All Skus'!$A:$AC,2,FALSE))="JBL",(VLOOKUP(Table6[[#This Row],[SKU]],'All Skus'!$A:$AC,10,FALSE)),""))</f>
        <v>278.93</v>
      </c>
      <c r="J145" s="101">
        <f>(IF((VLOOKUP(Table6[[#This Row],[SKU]],'All Skus'!$A:$AC,2,FALSE))="JBL",(VLOOKUP(Table6[[#This Row],[SKU]],'All Skus'!$A:$AC,11,FALSE)),""))</f>
        <v>226</v>
      </c>
      <c r="K145" s="102">
        <f>(IF((VLOOKUP(Table6[[#This Row],[SKU]],'All Skus'!$A:$AC,2,FALSE))="JBL",(VLOOKUP(Table6[[#This Row],[SKU]],'All Skus'!$A:$AC,13,FALSE)),""))</f>
        <v>154.355525</v>
      </c>
      <c r="L145" s="102">
        <f>(IF((VLOOKUP(Table6[[#This Row],[SKU]],'All Skus'!$A:$AC,2,FALSE))="JBL",(VLOOKUP(Table6[[#This Row],[SKU]],'All Skus'!$A:$AC,14,FALSE)),""))</f>
        <v>146.23155</v>
      </c>
      <c r="M145" s="143">
        <f>(IF((VLOOKUP(Table6[[#This Row],[SKU]],'All Skus'!$A:$AC,2,FALSE))="JBL",(VLOOKUP(Table6[[#This Row],[SKU]],'All Skus'!$A:$AC,15,FALSE)),""))</f>
        <v>2</v>
      </c>
      <c r="N145" s="137">
        <f>(IF((VLOOKUP(Table6[[#This Row],[SKU]],'All Skus'!$A:$AC,2,FALSE))="JBL",(VLOOKUP(Table6[[#This Row],[SKU]],'All Skus'!$A:$AC,16,FALSE)),""))</f>
        <v>50036903318</v>
      </c>
      <c r="O145" s="61">
        <f>(IF((VLOOKUP(Table6[[#This Row],[SKU]],'All Skus'!$A:$AC,2,FALSE))="JBL",(VLOOKUP(Table6[[#This Row],[SKU]],'All Skus'!$A:$AC,17,FALSE)),""))</f>
        <v>0</v>
      </c>
      <c r="P145" s="136">
        <f>(IF((VLOOKUP(Table6[[#This Row],[SKU]],'All Skus'!$A:$AC,2,FALSE))="JBL",(VLOOKUP(Table6[[#This Row],[SKU]],'All Skus'!$A:$AC,18,FALSE)),""))</f>
        <v>10.5</v>
      </c>
      <c r="Q145" s="136">
        <f>(IF((VLOOKUP(Table6[[#This Row],[SKU]],'All Skus'!$A:$AC,2,FALSE))="JBL",(VLOOKUP(Table6[[#This Row],[SKU]],'All Skus'!$A:$AC,19,FALSE)),""))</f>
        <v>5</v>
      </c>
      <c r="R145" s="136">
        <f>(IF((VLOOKUP(Table6[[#This Row],[SKU]],'All Skus'!$A:$AC,2,FALSE))="JBL",(VLOOKUP(Table6[[#This Row],[SKU]],'All Skus'!$A:$AC,20,FALSE)),""))</f>
        <v>7</v>
      </c>
      <c r="S145" s="61">
        <f>(IF((VLOOKUP(Table6[[#This Row],[SKU]],'All Skus'!$A:$AC,2,FALSE))="JBL",(VLOOKUP(Table6[[#This Row],[SKU]],'All Skus'!$A:$AC,21,FALSE)),""))</f>
        <v>5</v>
      </c>
      <c r="T145" s="61" t="str">
        <f>(IF((VLOOKUP(Table6[[#This Row],[SKU]],'All Skus'!$A:$AC,2,FALSE))="JBL",(VLOOKUP(Table6[[#This Row],[SKU]],'All Skus'!$A:$AC,22,FALSE)),""))</f>
        <v>CN</v>
      </c>
      <c r="U145" t="str">
        <f>(IF((VLOOKUP(Table6[[#This Row],[SKU]],'All Skus'!$A:$AC,2,FALSE))="JBL",(VLOOKUP(Table6[[#This Row],[SKU]],'All Skus'!$A:$AC,23,FALSE)),""))</f>
        <v>Non Compliant</v>
      </c>
      <c r="V145" s="284" t="str">
        <f>HYPERLINK((IF((VLOOKUP(Table6[[#This Row],[SKU]],'All Skus'!$A:$AC,2,FALSE))="JBL",(VLOOKUP(Table6[[#This Row],[SKU]],'All Skus'!$A:$AC,24,FALSE)),"")))</f>
        <v xml:space="preserve">http://www.jblpro.com/www/products/installed-sound/control-contractor-series/control-25av </v>
      </c>
      <c r="W145" s="151">
        <v>143</v>
      </c>
    </row>
    <row r="146" spans="1:23" ht="15" hidden="1" customHeight="1">
      <c r="A146" s="13" t="s">
        <v>1152</v>
      </c>
      <c r="B146" s="12" t="str">
        <f>(IF((VLOOKUP(Table6[[#This Row],[SKU]],'All Skus'!$A:$AC,2,FALSE))="JBL",(VLOOKUP(Table6[[#This Row],[SKU]],'All Skus'!$A:$AC,3,FALSE)),""))</f>
        <v>Surface-Mount Speaker</v>
      </c>
      <c r="C146" s="12" t="str">
        <f>(IF((VLOOKUP(Table6[[#This Row],[SKU]],'All Skus'!$A:$AC,2,FALSE))="JBL",(VLOOKUP(Table6[[#This Row],[SKU]],'All Skus'!$A:$AC,4,FALSE)),""))</f>
        <v>C25AV-LS</v>
      </c>
      <c r="D146" s="61" t="str">
        <f>(IF((VLOOKUP(Table6[[#This Row],[SKU]],'All Skus'!$A:$AC,2,FALSE))="JBL",(VLOOKUP(Table6[[#This Row],[SKU]],'All Skus'!$A:$AC,5,FALSE)),""))</f>
        <v>JBL018</v>
      </c>
      <c r="E146" s="137">
        <f>(IF((VLOOKUP(Table6[[#This Row],[SKU]],'All Skus'!$A:$AC,2,FALSE))="JBL",(VLOOKUP(Table6[[#This Row],[SKU]],'All Skus'!$A:$AC,6,FALSE)),""))</f>
        <v>0</v>
      </c>
      <c r="F146" s="61">
        <f>(IF((VLOOKUP(Table6[[#This Row],[SKU]],'All Skus'!$A:$AC,2,FALSE))="JBL",(VLOOKUP(Table6[[#This Row],[SKU]],'All Skus'!$A:$AC,7,FALSE)),""))</f>
        <v>0</v>
      </c>
      <c r="G146" t="str">
        <f>(IF((VLOOKUP(Table6[[#This Row],[SKU]],'All Skus'!$A:$AC,2,FALSE))="JBL",(VLOOKUP(Table6[[#This Row],[SKU]],'All Skus'!$A:$AC,8,FALSE)),""))</f>
        <v>UL Life Safety Version of C25AV</v>
      </c>
      <c r="H146" s="8" t="str">
        <f>(IF((VLOOKUP(Table6[[#This Row],[SKU]],'All Skus'!$A:$AC,2,FALSE))="JBL",(VLOOKUP(Table6[[#This Row],[SKU]],'All Skus'!$A:$AC,9,FALSE)),""))</f>
        <v>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v>
      </c>
      <c r="I146" s="101">
        <f>(IF((VLOOKUP(Table6[[#This Row],[SKU]],'All Skus'!$A:$AC,2,FALSE))="JBL",(VLOOKUP(Table6[[#This Row],[SKU]],'All Skus'!$A:$AC,10,FALSE)),""))</f>
        <v>300.98</v>
      </c>
      <c r="J146" s="101">
        <f>(IF((VLOOKUP(Table6[[#This Row],[SKU]],'All Skus'!$A:$AC,2,FALSE))="JBL",(VLOOKUP(Table6[[#This Row],[SKU]],'All Skus'!$A:$AC,11,FALSE)),""))</f>
        <v>243</v>
      </c>
      <c r="K146" s="102">
        <f>(IF((VLOOKUP(Table6[[#This Row],[SKU]],'All Skus'!$A:$AC,2,FALSE))="JBL",(VLOOKUP(Table6[[#This Row],[SKU]],'All Skus'!$A:$AC,13,FALSE)),""))</f>
        <v>166.56369000000001</v>
      </c>
      <c r="L146" s="102">
        <f>(IF((VLOOKUP(Table6[[#This Row],[SKU]],'All Skus'!$A:$AC,2,FALSE))="JBL",(VLOOKUP(Table6[[#This Row],[SKU]],'All Skus'!$A:$AC,14,FALSE)),""))</f>
        <v>157.79718000000003</v>
      </c>
      <c r="M146" s="143">
        <f>(IF((VLOOKUP(Table6[[#This Row],[SKU]],'All Skus'!$A:$AC,2,FALSE))="JBL",(VLOOKUP(Table6[[#This Row],[SKU]],'All Skus'!$A:$AC,15,FALSE)),""))</f>
        <v>2</v>
      </c>
      <c r="N146" s="137">
        <f>(IF((VLOOKUP(Table6[[#This Row],[SKU]],'All Skus'!$A:$AC,2,FALSE))="JBL",(VLOOKUP(Table6[[#This Row],[SKU]],'All Skus'!$A:$AC,16,FALSE)),""))</f>
        <v>50036905275</v>
      </c>
      <c r="O146" s="61">
        <f>(IF((VLOOKUP(Table6[[#This Row],[SKU]],'All Skus'!$A:$AC,2,FALSE))="JBL",(VLOOKUP(Table6[[#This Row],[SKU]],'All Skus'!$A:$AC,17,FALSE)),""))</f>
        <v>0</v>
      </c>
      <c r="P146" s="136">
        <f>(IF((VLOOKUP(Table6[[#This Row],[SKU]],'All Skus'!$A:$AC,2,FALSE))="JBL",(VLOOKUP(Table6[[#This Row],[SKU]],'All Skus'!$A:$AC,18,FALSE)),""))</f>
        <v>10.15</v>
      </c>
      <c r="Q146" s="136">
        <f>(IF((VLOOKUP(Table6[[#This Row],[SKU]],'All Skus'!$A:$AC,2,FALSE))="JBL",(VLOOKUP(Table6[[#This Row],[SKU]],'All Skus'!$A:$AC,19,FALSE)),""))</f>
        <v>12</v>
      </c>
      <c r="R146" s="136">
        <f>(IF((VLOOKUP(Table6[[#This Row],[SKU]],'All Skus'!$A:$AC,2,FALSE))="JBL",(VLOOKUP(Table6[[#This Row],[SKU]],'All Skus'!$A:$AC,20,FALSE)),""))</f>
        <v>16</v>
      </c>
      <c r="S146" s="61">
        <f>(IF((VLOOKUP(Table6[[#This Row],[SKU]],'All Skus'!$A:$AC,2,FALSE))="JBL",(VLOOKUP(Table6[[#This Row],[SKU]],'All Skus'!$A:$AC,21,FALSE)),""))</f>
        <v>13</v>
      </c>
      <c r="T146" s="61" t="str">
        <f>(IF((VLOOKUP(Table6[[#This Row],[SKU]],'All Skus'!$A:$AC,2,FALSE))="JBL",(VLOOKUP(Table6[[#This Row],[SKU]],'All Skus'!$A:$AC,22,FALSE)),""))</f>
        <v>CN</v>
      </c>
      <c r="U146" t="str">
        <f>(IF((VLOOKUP(Table6[[#This Row],[SKU]],'All Skus'!$A:$AC,2,FALSE))="JBL",(VLOOKUP(Table6[[#This Row],[SKU]],'All Skus'!$A:$AC,23,FALSE)),""))</f>
        <v>Non Compliant</v>
      </c>
      <c r="V146" s="284" t="str">
        <f>HYPERLINK((IF((VLOOKUP(Table6[[#This Row],[SKU]],'All Skus'!$A:$AC,2,FALSE))="JBL",(VLOOKUP(Table6[[#This Row],[SKU]],'All Skus'!$A:$AC,24,FALSE)),"")))</f>
        <v>http://www.jblpro.com/www/products/installed-sound/control-contractor-series/control-25av-ls</v>
      </c>
      <c r="W146" s="151">
        <v>144</v>
      </c>
    </row>
    <row r="147" spans="1:23" ht="15" hidden="1" customHeight="1">
      <c r="A147" s="13" t="s">
        <v>1153</v>
      </c>
      <c r="B147" s="12" t="str">
        <f>(IF((VLOOKUP(Table6[[#This Row],[SKU]],'All Skus'!$A:$AC,2,FALSE))="JBL",(VLOOKUP(Table6[[#This Row],[SKU]],'All Skus'!$A:$AC,3,FALSE)),""))</f>
        <v>Surface-Mount Speaker</v>
      </c>
      <c r="C147" s="12" t="str">
        <f>(IF((VLOOKUP(Table6[[#This Row],[SKU]],'All Skus'!$A:$AC,2,FALSE))="JBL",(VLOOKUP(Table6[[#This Row],[SKU]],'All Skus'!$A:$AC,4,FALSE)),""))</f>
        <v>C25AV-LS-WH</v>
      </c>
      <c r="D147" s="61" t="str">
        <f>(IF((VLOOKUP(Table6[[#This Row],[SKU]],'All Skus'!$A:$AC,2,FALSE))="JBL",(VLOOKUP(Table6[[#This Row],[SKU]],'All Skus'!$A:$AC,5,FALSE)),""))</f>
        <v>JBL018</v>
      </c>
      <c r="E147" s="137">
        <f>(IF((VLOOKUP(Table6[[#This Row],[SKU]],'All Skus'!$A:$AC,2,FALSE))="JBL",(VLOOKUP(Table6[[#This Row],[SKU]],'All Skus'!$A:$AC,6,FALSE)),""))</f>
        <v>0</v>
      </c>
      <c r="F147" s="61">
        <f>(IF((VLOOKUP(Table6[[#This Row],[SKU]],'All Skus'!$A:$AC,2,FALSE))="JBL",(VLOOKUP(Table6[[#This Row],[SKU]],'All Skus'!$A:$AC,7,FALSE)),""))</f>
        <v>0</v>
      </c>
      <c r="G147" t="str">
        <f>(IF((VLOOKUP(Table6[[#This Row],[SKU]],'All Skus'!$A:$AC,2,FALSE))="JBL",(VLOOKUP(Table6[[#This Row],[SKU]],'All Skus'!$A:$AC,8,FALSE)),""))</f>
        <v>UL Life Safety Version of C25AV, in White</v>
      </c>
      <c r="H147" s="8" t="str">
        <f>(IF((VLOOKUP(Table6[[#This Row],[SKU]],'All Skus'!$A:$AC,2,FALSE))="JBL",(VLOOKUP(Table6[[#This Row],[SKU]],'All Skus'!$A:$AC,9,FALSE)),""))</f>
        <v>Premium 5.25" two-way, UL1480 UUMW rated for fire alarm use, highly weather resistant, aluminum grille, UL1480/UUMW rated, 110 x 85 coverage, 200W program power, 70V/100V taps at 60W, 30W, 15W (7.5W @ 70V only), See spec sheet for details of UL listing, MTC-PC included, black (priced as each, sold in pairs)., in white</v>
      </c>
      <c r="I147" s="101">
        <f>(IF((VLOOKUP(Table6[[#This Row],[SKU]],'All Skus'!$A:$AC,2,FALSE))="JBL",(VLOOKUP(Table6[[#This Row],[SKU]],'All Skus'!$A:$AC,10,FALSE)),""))</f>
        <v>300.98</v>
      </c>
      <c r="J147" s="101">
        <f>(IF((VLOOKUP(Table6[[#This Row],[SKU]],'All Skus'!$A:$AC,2,FALSE))="JBL",(VLOOKUP(Table6[[#This Row],[SKU]],'All Skus'!$A:$AC,11,FALSE)),""))</f>
        <v>243</v>
      </c>
      <c r="K147" s="102">
        <f>(IF((VLOOKUP(Table6[[#This Row],[SKU]],'All Skus'!$A:$AC,2,FALSE))="JBL",(VLOOKUP(Table6[[#This Row],[SKU]],'All Skus'!$A:$AC,13,FALSE)),""))</f>
        <v>166.56369000000001</v>
      </c>
      <c r="L147" s="102">
        <f>(IF((VLOOKUP(Table6[[#This Row],[SKU]],'All Skus'!$A:$AC,2,FALSE))="JBL",(VLOOKUP(Table6[[#This Row],[SKU]],'All Skus'!$A:$AC,14,FALSE)),""))</f>
        <v>157.79718000000003</v>
      </c>
      <c r="M147" s="143">
        <f>(IF((VLOOKUP(Table6[[#This Row],[SKU]],'All Skus'!$A:$AC,2,FALSE))="JBL",(VLOOKUP(Table6[[#This Row],[SKU]],'All Skus'!$A:$AC,15,FALSE)),""))</f>
        <v>2</v>
      </c>
      <c r="N147" s="137">
        <f>(IF((VLOOKUP(Table6[[#This Row],[SKU]],'All Skus'!$A:$AC,2,FALSE))="JBL",(VLOOKUP(Table6[[#This Row],[SKU]],'All Skus'!$A:$AC,16,FALSE)),""))</f>
        <v>50036905282</v>
      </c>
      <c r="O147" s="61">
        <f>(IF((VLOOKUP(Table6[[#This Row],[SKU]],'All Skus'!$A:$AC,2,FALSE))="JBL",(VLOOKUP(Table6[[#This Row],[SKU]],'All Skus'!$A:$AC,17,FALSE)),""))</f>
        <v>0</v>
      </c>
      <c r="P147" s="136">
        <f>(IF((VLOOKUP(Table6[[#This Row],[SKU]],'All Skus'!$A:$AC,2,FALSE))="JBL",(VLOOKUP(Table6[[#This Row],[SKU]],'All Skus'!$A:$AC,18,FALSE)),""))</f>
        <v>19.75</v>
      </c>
      <c r="Q147" s="136">
        <f>(IF((VLOOKUP(Table6[[#This Row],[SKU]],'All Skus'!$A:$AC,2,FALSE))="JBL",(VLOOKUP(Table6[[#This Row],[SKU]],'All Skus'!$A:$AC,19,FALSE)),""))</f>
        <v>8</v>
      </c>
      <c r="R147" s="136">
        <f>(IF((VLOOKUP(Table6[[#This Row],[SKU]],'All Skus'!$A:$AC,2,FALSE))="JBL",(VLOOKUP(Table6[[#This Row],[SKU]],'All Skus'!$A:$AC,20,FALSE)),""))</f>
        <v>5</v>
      </c>
      <c r="S147" s="61">
        <f>(IF((VLOOKUP(Table6[[#This Row],[SKU]],'All Skus'!$A:$AC,2,FALSE))="JBL",(VLOOKUP(Table6[[#This Row],[SKU]],'All Skus'!$A:$AC,21,FALSE)),""))</f>
        <v>5</v>
      </c>
      <c r="T147" s="61" t="str">
        <f>(IF((VLOOKUP(Table6[[#This Row],[SKU]],'All Skus'!$A:$AC,2,FALSE))="JBL",(VLOOKUP(Table6[[#This Row],[SKU]],'All Skus'!$A:$AC,22,FALSE)),""))</f>
        <v>CN</v>
      </c>
      <c r="U147" t="str">
        <f>(IF((VLOOKUP(Table6[[#This Row],[SKU]],'All Skus'!$A:$AC,2,FALSE))="JBL",(VLOOKUP(Table6[[#This Row],[SKU]],'All Skus'!$A:$AC,23,FALSE)),""))</f>
        <v>Non Compliant</v>
      </c>
      <c r="V147" s="284" t="str">
        <f>HYPERLINK((IF((VLOOKUP(Table6[[#This Row],[SKU]],'All Skus'!$A:$AC,2,FALSE))="JBL",(VLOOKUP(Table6[[#This Row],[SKU]],'All Skus'!$A:$AC,24,FALSE)),"")))</f>
        <v>http://www.jblpro.com/www/products/installed-sound/control-contractor-series/control-25av-ls</v>
      </c>
      <c r="W147" s="151">
        <v>145</v>
      </c>
    </row>
    <row r="148" spans="1:23" ht="15" hidden="1" customHeight="1">
      <c r="A148" s="13" t="s">
        <v>1154</v>
      </c>
      <c r="B148" s="12" t="str">
        <f>(IF((VLOOKUP(Table6[[#This Row],[SKU]],'All Skus'!$A:$AC,2,FALSE))="JBL",(VLOOKUP(Table6[[#This Row],[SKU]],'All Skus'!$A:$AC,3,FALSE)),""))</f>
        <v>Surface-Mount Speaker</v>
      </c>
      <c r="C148" s="12" t="str">
        <f>(IF((VLOOKUP(Table6[[#This Row],[SKU]],'All Skus'!$A:$AC,2,FALSE))="JBL",(VLOOKUP(Table6[[#This Row],[SKU]],'All Skus'!$A:$AC,4,FALSE)),""))</f>
        <v>CONTROL 28-1</v>
      </c>
      <c r="D148" s="61" t="str">
        <f>(IF((VLOOKUP(Table6[[#This Row],[SKU]],'All Skus'!$A:$AC,2,FALSE))="JBL",(VLOOKUP(Table6[[#This Row],[SKU]],'All Skus'!$A:$AC,5,FALSE)),""))</f>
        <v>JBL018</v>
      </c>
      <c r="E148" s="137">
        <f>(IF((VLOOKUP(Table6[[#This Row],[SKU]],'All Skus'!$A:$AC,2,FALSE))="JBL",(VLOOKUP(Table6[[#This Row],[SKU]],'All Skus'!$A:$AC,6,FALSE)),""))</f>
        <v>0</v>
      </c>
      <c r="F148" s="61">
        <f>(IF((VLOOKUP(Table6[[#This Row],[SKU]],'All Skus'!$A:$AC,2,FALSE))="JBL",(VLOOKUP(Table6[[#This Row],[SKU]],'All Skus'!$A:$AC,7,FALSE)),""))</f>
        <v>0</v>
      </c>
      <c r="G148" t="str">
        <f>(IF((VLOOKUP(Table6[[#This Row],[SKU]],'All Skus'!$A:$AC,2,FALSE))="JBL",(VLOOKUP(Table6[[#This Row],[SKU]],'All Skus'!$A:$AC,8,FALSE)),""))</f>
        <v>8" 2-WAY SURFACE-MT SPKR, BLK</v>
      </c>
      <c r="H148" s="8" t="str">
        <f>(IF((VLOOKUP(Table6[[#This Row],[SKU]],'All Skus'!$A:$AC,2,FALSE))="JBL",(VLOOKUP(Table6[[#This Row],[SKU]],'All Skus'!$A:$AC,9,FALSE)),""))</f>
        <v>8" Two-Way Vented Loudspeaker, Invisiball® Installation System (plus U-bracket attachment points). 45 Hz - 20 kHz Frequency Range. 120 Watts Cont. Pink Noise Power Handling (480W peak) at 8 ohms plus 70V/100V taps at 60W, 30W, 15W (&amp; 7.5W at 70V only). Woven Fiberglass Woofer. Black or white (-WH). Priced as Each, Packed as Pairs.airs.</v>
      </c>
      <c r="I148" s="101">
        <f>(IF((VLOOKUP(Table6[[#This Row],[SKU]],'All Skus'!$A:$AC,2,FALSE))="JBL",(VLOOKUP(Table6[[#This Row],[SKU]],'All Skus'!$A:$AC,10,FALSE)),""))</f>
        <v>389.21</v>
      </c>
      <c r="J148" s="101">
        <f>(IF((VLOOKUP(Table6[[#This Row],[SKU]],'All Skus'!$A:$AC,2,FALSE))="JBL",(VLOOKUP(Table6[[#This Row],[SKU]],'All Skus'!$A:$AC,11,FALSE)),""))</f>
        <v>315</v>
      </c>
      <c r="K148" s="102">
        <f>(IF((VLOOKUP(Table6[[#This Row],[SKU]],'All Skus'!$A:$AC,2,FALSE))="JBL",(VLOOKUP(Table6[[#This Row],[SKU]],'All Skus'!$A:$AC,13,FALSE)),""))</f>
        <v>215.38618499999998</v>
      </c>
      <c r="L148" s="102">
        <f>(IF((VLOOKUP(Table6[[#This Row],[SKU]],'All Skus'!$A:$AC,2,FALSE))="JBL",(VLOOKUP(Table6[[#This Row],[SKU]],'All Skus'!$A:$AC,14,FALSE)),""))</f>
        <v>204.05007000000001</v>
      </c>
      <c r="M148" s="143">
        <f>(IF((VLOOKUP(Table6[[#This Row],[SKU]],'All Skus'!$A:$AC,2,FALSE))="JBL",(VLOOKUP(Table6[[#This Row],[SKU]],'All Skus'!$A:$AC,15,FALSE)),""))</f>
        <v>2</v>
      </c>
      <c r="N148" s="137">
        <f>(IF((VLOOKUP(Table6[[#This Row],[SKU]],'All Skus'!$A:$AC,2,FALSE))="JBL",(VLOOKUP(Table6[[#This Row],[SKU]],'All Skus'!$A:$AC,16,FALSE)),""))</f>
        <v>691991002045</v>
      </c>
      <c r="O148" s="61">
        <f>(IF((VLOOKUP(Table6[[#This Row],[SKU]],'All Skus'!$A:$AC,2,FALSE))="JBL",(VLOOKUP(Table6[[#This Row],[SKU]],'All Skus'!$A:$AC,17,FALSE)),""))</f>
        <v>0</v>
      </c>
      <c r="P148" s="136">
        <f>(IF((VLOOKUP(Table6[[#This Row],[SKU]],'All Skus'!$A:$AC,2,FALSE))="JBL",(VLOOKUP(Table6[[#This Row],[SKU]],'All Skus'!$A:$AC,18,FALSE)),""))</f>
        <v>17</v>
      </c>
      <c r="Q148" s="136">
        <f>(IF((VLOOKUP(Table6[[#This Row],[SKU]],'All Skus'!$A:$AC,2,FALSE))="JBL",(VLOOKUP(Table6[[#This Row],[SKU]],'All Skus'!$A:$AC,19,FALSE)),""))</f>
        <v>11.25</v>
      </c>
      <c r="R148" s="136">
        <f>(IF((VLOOKUP(Table6[[#This Row],[SKU]],'All Skus'!$A:$AC,2,FALSE))="JBL",(VLOOKUP(Table6[[#This Row],[SKU]],'All Skus'!$A:$AC,20,FALSE)),""))</f>
        <v>13.5</v>
      </c>
      <c r="S148" s="61">
        <f>(IF((VLOOKUP(Table6[[#This Row],[SKU]],'All Skus'!$A:$AC,2,FALSE))="JBL",(VLOOKUP(Table6[[#This Row],[SKU]],'All Skus'!$A:$AC,21,FALSE)),""))</f>
        <v>17.5</v>
      </c>
      <c r="T148" s="61" t="str">
        <f>(IF((VLOOKUP(Table6[[#This Row],[SKU]],'All Skus'!$A:$AC,2,FALSE))="JBL",(VLOOKUP(Table6[[#This Row],[SKU]],'All Skus'!$A:$AC,22,FALSE)),""))</f>
        <v>CN</v>
      </c>
      <c r="U148" t="str">
        <f>(IF((VLOOKUP(Table6[[#This Row],[SKU]],'All Skus'!$A:$AC,2,FALSE))="JBL",(VLOOKUP(Table6[[#This Row],[SKU]],'All Skus'!$A:$AC,23,FALSE)),""))</f>
        <v>Non Compliant</v>
      </c>
      <c r="V148" s="284" t="str">
        <f>HYPERLINK((IF((VLOOKUP(Table6[[#This Row],[SKU]],'All Skus'!$A:$AC,2,FALSE))="JBL",(VLOOKUP(Table6[[#This Row],[SKU]],'All Skus'!$A:$AC,24,FALSE)),"")))</f>
        <v xml:space="preserve">http://www.jblpro.com/www/products/installed-sound/control-contractor-series/control-28-1 </v>
      </c>
      <c r="W148" s="151">
        <v>146</v>
      </c>
    </row>
    <row r="149" spans="1:23" ht="15" hidden="1" customHeight="1">
      <c r="A149" s="13" t="s">
        <v>1155</v>
      </c>
      <c r="B149" s="12" t="str">
        <f>(IF((VLOOKUP(Table6[[#This Row],[SKU]],'All Skus'!$A:$AC,2,FALSE))="JBL",(VLOOKUP(Table6[[#This Row],[SKU]],'All Skus'!$A:$AC,3,FALSE)),""))</f>
        <v>Surface-Mount Speaker</v>
      </c>
      <c r="C149" s="12" t="str">
        <f>(IF((VLOOKUP(Table6[[#This Row],[SKU]],'All Skus'!$A:$AC,2,FALSE))="JBL",(VLOOKUP(Table6[[#This Row],[SKU]],'All Skus'!$A:$AC,4,FALSE)),""))</f>
        <v>CONTROL 28-1L</v>
      </c>
      <c r="D149" s="61" t="str">
        <f>(IF((VLOOKUP(Table6[[#This Row],[SKU]],'All Skus'!$A:$AC,2,FALSE))="JBL",(VLOOKUP(Table6[[#This Row],[SKU]],'All Skus'!$A:$AC,5,FALSE)),""))</f>
        <v>JBL018</v>
      </c>
      <c r="E149" s="137">
        <f>(IF((VLOOKUP(Table6[[#This Row],[SKU]],'All Skus'!$A:$AC,2,FALSE))="JBL",(VLOOKUP(Table6[[#This Row],[SKU]],'All Skus'!$A:$AC,6,FALSE)),""))</f>
        <v>0</v>
      </c>
      <c r="F149" s="61">
        <f>(IF((VLOOKUP(Table6[[#This Row],[SKU]],'All Skus'!$A:$AC,2,FALSE))="JBL",(VLOOKUP(Table6[[#This Row],[SKU]],'All Skus'!$A:$AC,7,FALSE)),""))</f>
        <v>0</v>
      </c>
      <c r="G149" t="str">
        <f>(IF((VLOOKUP(Table6[[#This Row],[SKU]],'All Skus'!$A:$AC,2,FALSE))="JBL",(VLOOKUP(Table6[[#This Row],[SKU]],'All Skus'!$A:$AC,8,FALSE)),""))</f>
        <v>8" 2-WAY SURFACE-MT SPKR, 8 OHM, BLK</v>
      </c>
      <c r="H149" s="8" t="str">
        <f>(IF((VLOOKUP(Table6[[#This Row],[SKU]],'All Skus'!$A:$AC,2,FALSE))="JBL",(VLOOKUP(Table6[[#This Row],[SKU]],'All Skus'!$A:$AC,9,FALSE)),""))</f>
        <v>Low-Impedance-Only Version of Control 28-1 (&amp;-WH), without 70V/100V transformer,  8 ohms only. priced as each; packaged and sold in pairs</v>
      </c>
      <c r="I149" s="101">
        <f>(IF((VLOOKUP(Table6[[#This Row],[SKU]],'All Skus'!$A:$AC,2,FALSE))="JBL",(VLOOKUP(Table6[[#This Row],[SKU]],'All Skus'!$A:$AC,10,FALSE)),""))</f>
        <v>364.49</v>
      </c>
      <c r="J149" s="101">
        <f>(IF((VLOOKUP(Table6[[#This Row],[SKU]],'All Skus'!$A:$AC,2,FALSE))="JBL",(VLOOKUP(Table6[[#This Row],[SKU]],'All Skus'!$A:$AC,11,FALSE)),""))</f>
        <v>294</v>
      </c>
      <c r="K149" s="102">
        <f>(IF((VLOOKUP(Table6[[#This Row],[SKU]],'All Skus'!$A:$AC,2,FALSE))="JBL",(VLOOKUP(Table6[[#This Row],[SKU]],'All Skus'!$A:$AC,13,FALSE)),""))</f>
        <v>201.70409500000002</v>
      </c>
      <c r="L149" s="102">
        <f>(IF((VLOOKUP(Table6[[#This Row],[SKU]],'All Skus'!$A:$AC,2,FALSE))="JBL",(VLOOKUP(Table6[[#This Row],[SKU]],'All Skus'!$A:$AC,14,FALSE)),""))</f>
        <v>191.08809000000002</v>
      </c>
      <c r="M149" s="143">
        <f>(IF((VLOOKUP(Table6[[#This Row],[SKU]],'All Skus'!$A:$AC,2,FALSE))="JBL",(VLOOKUP(Table6[[#This Row],[SKU]],'All Skus'!$A:$AC,15,FALSE)),""))</f>
        <v>2</v>
      </c>
      <c r="N149" s="137">
        <f>(IF((VLOOKUP(Table6[[#This Row],[SKU]],'All Skus'!$A:$AC,2,FALSE))="JBL",(VLOOKUP(Table6[[#This Row],[SKU]],'All Skus'!$A:$AC,16,FALSE)),""))</f>
        <v>691991005138</v>
      </c>
      <c r="O149" s="61">
        <f>(IF((VLOOKUP(Table6[[#This Row],[SKU]],'All Skus'!$A:$AC,2,FALSE))="JBL",(VLOOKUP(Table6[[#This Row],[SKU]],'All Skus'!$A:$AC,17,FALSE)),""))</f>
        <v>0</v>
      </c>
      <c r="P149" s="136">
        <f>(IF((VLOOKUP(Table6[[#This Row],[SKU]],'All Skus'!$A:$AC,2,FALSE))="JBL",(VLOOKUP(Table6[[#This Row],[SKU]],'All Skus'!$A:$AC,18,FALSE)),""))</f>
        <v>15</v>
      </c>
      <c r="Q149" s="136">
        <f>(IF((VLOOKUP(Table6[[#This Row],[SKU]],'All Skus'!$A:$AC,2,FALSE))="JBL",(VLOOKUP(Table6[[#This Row],[SKU]],'All Skus'!$A:$AC,19,FALSE)),""))</f>
        <v>11.25</v>
      </c>
      <c r="R149" s="136">
        <f>(IF((VLOOKUP(Table6[[#This Row],[SKU]],'All Skus'!$A:$AC,2,FALSE))="JBL",(VLOOKUP(Table6[[#This Row],[SKU]],'All Skus'!$A:$AC,20,FALSE)),""))</f>
        <v>13.75</v>
      </c>
      <c r="S149" s="61">
        <f>(IF((VLOOKUP(Table6[[#This Row],[SKU]],'All Skus'!$A:$AC,2,FALSE))="JBL",(VLOOKUP(Table6[[#This Row],[SKU]],'All Skus'!$A:$AC,21,FALSE)),""))</f>
        <v>18</v>
      </c>
      <c r="T149" s="61" t="str">
        <f>(IF((VLOOKUP(Table6[[#This Row],[SKU]],'All Skus'!$A:$AC,2,FALSE))="JBL",(VLOOKUP(Table6[[#This Row],[SKU]],'All Skus'!$A:$AC,22,FALSE)),""))</f>
        <v>CN</v>
      </c>
      <c r="U149" t="str">
        <f>(IF((VLOOKUP(Table6[[#This Row],[SKU]],'All Skus'!$A:$AC,2,FALSE))="JBL",(VLOOKUP(Table6[[#This Row],[SKU]],'All Skus'!$A:$AC,23,FALSE)),""))</f>
        <v>Non Compliant</v>
      </c>
      <c r="V149" s="284" t="str">
        <f>HYPERLINK((IF((VLOOKUP(Table6[[#This Row],[SKU]],'All Skus'!$A:$AC,2,FALSE))="JBL",(VLOOKUP(Table6[[#This Row],[SKU]],'All Skus'!$A:$AC,24,FALSE)),"")))</f>
        <v xml:space="preserve">http://www.jblpro.com/www/products/installed-sound/control-contractor-series/control-28-1l </v>
      </c>
      <c r="W149" s="151">
        <v>147</v>
      </c>
    </row>
    <row r="150" spans="1:23" ht="15" hidden="1" customHeight="1">
      <c r="A150" s="13" t="s">
        <v>1156</v>
      </c>
      <c r="B150" s="12" t="str">
        <f>(IF((VLOOKUP(Table6[[#This Row],[SKU]],'All Skus'!$A:$AC,2,FALSE))="JBL",(VLOOKUP(Table6[[#This Row],[SKU]],'All Skus'!$A:$AC,3,FALSE)),""))</f>
        <v>Surface-Mount Speaker</v>
      </c>
      <c r="C150" s="12" t="str">
        <f>(IF((VLOOKUP(Table6[[#This Row],[SKU]],'All Skus'!$A:$AC,2,FALSE))="JBL",(VLOOKUP(Table6[[#This Row],[SKU]],'All Skus'!$A:$AC,4,FALSE)),""))</f>
        <v>CONTROL 28-1L-WH</v>
      </c>
      <c r="D150" s="61" t="str">
        <f>(IF((VLOOKUP(Table6[[#This Row],[SKU]],'All Skus'!$A:$AC,2,FALSE))="JBL",(VLOOKUP(Table6[[#This Row],[SKU]],'All Skus'!$A:$AC,5,FALSE)),""))</f>
        <v>JBL018</v>
      </c>
      <c r="E150" s="137">
        <f>(IF((VLOOKUP(Table6[[#This Row],[SKU]],'All Skus'!$A:$AC,2,FALSE))="JBL",(VLOOKUP(Table6[[#This Row],[SKU]],'All Skus'!$A:$AC,6,FALSE)),""))</f>
        <v>0</v>
      </c>
      <c r="F150" s="61">
        <f>(IF((VLOOKUP(Table6[[#This Row],[SKU]],'All Skus'!$A:$AC,2,FALSE))="JBL",(VLOOKUP(Table6[[#This Row],[SKU]],'All Skus'!$A:$AC,7,FALSE)),""))</f>
        <v>0</v>
      </c>
      <c r="G150" t="str">
        <f>(IF((VLOOKUP(Table6[[#This Row],[SKU]],'All Skus'!$A:$AC,2,FALSE))="JBL",(VLOOKUP(Table6[[#This Row],[SKU]],'All Skus'!$A:$AC,8,FALSE)),""))</f>
        <v>8" 2-WAY SURFACE-MT SPKR, 8 OHM,. WHT</v>
      </c>
      <c r="H150" s="8" t="str">
        <f>(IF((VLOOKUP(Table6[[#This Row],[SKU]],'All Skus'!$A:$AC,2,FALSE))="JBL",(VLOOKUP(Table6[[#This Row],[SKU]],'All Skus'!$A:$AC,9,FALSE)),""))</f>
        <v>Control 28-1L in white priced as each; packaged and sold in pairs</v>
      </c>
      <c r="I150" s="101">
        <f>(IF((VLOOKUP(Table6[[#This Row],[SKU]],'All Skus'!$A:$AC,2,FALSE))="JBL",(VLOOKUP(Table6[[#This Row],[SKU]],'All Skus'!$A:$AC,10,FALSE)),""))</f>
        <v>364.49</v>
      </c>
      <c r="J150" s="101">
        <f>(IF((VLOOKUP(Table6[[#This Row],[SKU]],'All Skus'!$A:$AC,2,FALSE))="JBL",(VLOOKUP(Table6[[#This Row],[SKU]],'All Skus'!$A:$AC,11,FALSE)),""))</f>
        <v>294</v>
      </c>
      <c r="K150" s="102">
        <f>(IF((VLOOKUP(Table6[[#This Row],[SKU]],'All Skus'!$A:$AC,2,FALSE))="JBL",(VLOOKUP(Table6[[#This Row],[SKU]],'All Skus'!$A:$AC,13,FALSE)),""))</f>
        <v>201.70409500000002</v>
      </c>
      <c r="L150" s="102">
        <f>(IF((VLOOKUP(Table6[[#This Row],[SKU]],'All Skus'!$A:$AC,2,FALSE))="JBL",(VLOOKUP(Table6[[#This Row],[SKU]],'All Skus'!$A:$AC,14,FALSE)),""))</f>
        <v>191.08809000000002</v>
      </c>
      <c r="M150" s="143">
        <f>(IF((VLOOKUP(Table6[[#This Row],[SKU]],'All Skus'!$A:$AC,2,FALSE))="JBL",(VLOOKUP(Table6[[#This Row],[SKU]],'All Skus'!$A:$AC,15,FALSE)),""))</f>
        <v>2</v>
      </c>
      <c r="N150" s="137">
        <f>(IF((VLOOKUP(Table6[[#This Row],[SKU]],'All Skus'!$A:$AC,2,FALSE))="JBL",(VLOOKUP(Table6[[#This Row],[SKU]],'All Skus'!$A:$AC,16,FALSE)),""))</f>
        <v>691991005145</v>
      </c>
      <c r="O150" s="61">
        <f>(IF((VLOOKUP(Table6[[#This Row],[SKU]],'All Skus'!$A:$AC,2,FALSE))="JBL",(VLOOKUP(Table6[[#This Row],[SKU]],'All Skus'!$A:$AC,17,FALSE)),""))</f>
        <v>0</v>
      </c>
      <c r="P150" s="136">
        <f>(IF((VLOOKUP(Table6[[#This Row],[SKU]],'All Skus'!$A:$AC,2,FALSE))="JBL",(VLOOKUP(Table6[[#This Row],[SKU]],'All Skus'!$A:$AC,18,FALSE)),""))</f>
        <v>15</v>
      </c>
      <c r="Q150" s="136">
        <f>(IF((VLOOKUP(Table6[[#This Row],[SKU]],'All Skus'!$A:$AC,2,FALSE))="JBL",(VLOOKUP(Table6[[#This Row],[SKU]],'All Skus'!$A:$AC,19,FALSE)),""))</f>
        <v>11.25</v>
      </c>
      <c r="R150" s="136">
        <f>(IF((VLOOKUP(Table6[[#This Row],[SKU]],'All Skus'!$A:$AC,2,FALSE))="JBL",(VLOOKUP(Table6[[#This Row],[SKU]],'All Skus'!$A:$AC,20,FALSE)),""))</f>
        <v>13.75</v>
      </c>
      <c r="S150" s="61">
        <f>(IF((VLOOKUP(Table6[[#This Row],[SKU]],'All Skus'!$A:$AC,2,FALSE))="JBL",(VLOOKUP(Table6[[#This Row],[SKU]],'All Skus'!$A:$AC,21,FALSE)),""))</f>
        <v>18</v>
      </c>
      <c r="T150" s="61" t="str">
        <f>(IF((VLOOKUP(Table6[[#This Row],[SKU]],'All Skus'!$A:$AC,2,FALSE))="JBL",(VLOOKUP(Table6[[#This Row],[SKU]],'All Skus'!$A:$AC,22,FALSE)),""))</f>
        <v>CN</v>
      </c>
      <c r="U150" t="str">
        <f>(IF((VLOOKUP(Table6[[#This Row],[SKU]],'All Skus'!$A:$AC,2,FALSE))="JBL",(VLOOKUP(Table6[[#This Row],[SKU]],'All Skus'!$A:$AC,23,FALSE)),""))</f>
        <v>Non Compliant</v>
      </c>
      <c r="V150" s="284" t="str">
        <f>HYPERLINK((IF((VLOOKUP(Table6[[#This Row],[SKU]],'All Skus'!$A:$AC,2,FALSE))="JBL",(VLOOKUP(Table6[[#This Row],[SKU]],'All Skus'!$A:$AC,24,FALSE)),"")))</f>
        <v xml:space="preserve">http://www.jblpro.com/www/products/installed-sound/control-contractor-series/control-28-1l </v>
      </c>
      <c r="W150" s="151">
        <v>148</v>
      </c>
    </row>
    <row r="151" spans="1:23" ht="15" hidden="1" customHeight="1">
      <c r="A151" s="13" t="s">
        <v>1157</v>
      </c>
      <c r="B151" s="12" t="str">
        <f>(IF((VLOOKUP(Table6[[#This Row],[SKU]],'All Skus'!$A:$AC,2,FALSE))="JBL",(VLOOKUP(Table6[[#This Row],[SKU]],'All Skus'!$A:$AC,3,FALSE)),""))</f>
        <v>Surface-Mount Speaker</v>
      </c>
      <c r="C151" s="12" t="str">
        <f>(IF((VLOOKUP(Table6[[#This Row],[SKU]],'All Skus'!$A:$AC,2,FALSE))="JBL",(VLOOKUP(Table6[[#This Row],[SKU]],'All Skus'!$A:$AC,4,FALSE)),""))</f>
        <v>CONTROL 28-1-WH</v>
      </c>
      <c r="D151" s="61" t="str">
        <f>(IF((VLOOKUP(Table6[[#This Row],[SKU]],'All Skus'!$A:$AC,2,FALSE))="JBL",(VLOOKUP(Table6[[#This Row],[SKU]],'All Skus'!$A:$AC,5,FALSE)),""))</f>
        <v>JBL018</v>
      </c>
      <c r="E151" s="137">
        <f>(IF((VLOOKUP(Table6[[#This Row],[SKU]],'All Skus'!$A:$AC,2,FALSE))="JBL",(VLOOKUP(Table6[[#This Row],[SKU]],'All Skus'!$A:$AC,6,FALSE)),""))</f>
        <v>0</v>
      </c>
      <c r="F151" s="61">
        <f>(IF((VLOOKUP(Table6[[#This Row],[SKU]],'All Skus'!$A:$AC,2,FALSE))="JBL",(VLOOKUP(Table6[[#This Row],[SKU]],'All Skus'!$A:$AC,7,FALSE)),""))</f>
        <v>0</v>
      </c>
      <c r="G151" t="str">
        <f>(IF((VLOOKUP(Table6[[#This Row],[SKU]],'All Skus'!$A:$AC,2,FALSE))="JBL",(VLOOKUP(Table6[[#This Row],[SKU]],'All Skus'!$A:$AC,8,FALSE)),""))</f>
        <v>8" 2-WAY SURFACE-MT SPKR, WHT</v>
      </c>
      <c r="H151" s="8" t="str">
        <f>(IF((VLOOKUP(Table6[[#This Row],[SKU]],'All Skus'!$A:$AC,2,FALSE))="JBL",(VLOOKUP(Table6[[#This Row],[SKU]],'All Skus'!$A:$AC,9,FALSE)),""))</f>
        <v>Control 28-1 in white.</v>
      </c>
      <c r="I151" s="101">
        <f>(IF((VLOOKUP(Table6[[#This Row],[SKU]],'All Skus'!$A:$AC,2,FALSE))="JBL",(VLOOKUP(Table6[[#This Row],[SKU]],'All Skus'!$A:$AC,10,FALSE)),""))</f>
        <v>389.21</v>
      </c>
      <c r="J151" s="101">
        <f>(IF((VLOOKUP(Table6[[#This Row],[SKU]],'All Skus'!$A:$AC,2,FALSE))="JBL",(VLOOKUP(Table6[[#This Row],[SKU]],'All Skus'!$A:$AC,11,FALSE)),""))</f>
        <v>315</v>
      </c>
      <c r="K151" s="102">
        <f>(IF((VLOOKUP(Table6[[#This Row],[SKU]],'All Skus'!$A:$AC,2,FALSE))="JBL",(VLOOKUP(Table6[[#This Row],[SKU]],'All Skus'!$A:$AC,13,FALSE)),""))</f>
        <v>0</v>
      </c>
      <c r="L151" s="102">
        <f>(IF((VLOOKUP(Table6[[#This Row],[SKU]],'All Skus'!$A:$AC,2,FALSE))="JBL",(VLOOKUP(Table6[[#This Row],[SKU]],'All Skus'!$A:$AC,14,FALSE)),""))</f>
        <v>0</v>
      </c>
      <c r="M151" s="143">
        <f>(IF((VLOOKUP(Table6[[#This Row],[SKU]],'All Skus'!$A:$AC,2,FALSE))="JBL",(VLOOKUP(Table6[[#This Row],[SKU]],'All Skus'!$A:$AC,15,FALSE)),""))</f>
        <v>2</v>
      </c>
      <c r="N151" s="137">
        <f>(IF((VLOOKUP(Table6[[#This Row],[SKU]],'All Skus'!$A:$AC,2,FALSE))="JBL",(VLOOKUP(Table6[[#This Row],[SKU]],'All Skus'!$A:$AC,16,FALSE)),""))</f>
        <v>691991002052</v>
      </c>
      <c r="O151" s="61">
        <f>(IF((VLOOKUP(Table6[[#This Row],[SKU]],'All Skus'!$A:$AC,2,FALSE))="JBL",(VLOOKUP(Table6[[#This Row],[SKU]],'All Skus'!$A:$AC,17,FALSE)),""))</f>
        <v>0</v>
      </c>
      <c r="P151" s="136">
        <f>(IF((VLOOKUP(Table6[[#This Row],[SKU]],'All Skus'!$A:$AC,2,FALSE))="JBL",(VLOOKUP(Table6[[#This Row],[SKU]],'All Skus'!$A:$AC,18,FALSE)),""))</f>
        <v>17</v>
      </c>
      <c r="Q151" s="136">
        <f>(IF((VLOOKUP(Table6[[#This Row],[SKU]],'All Skus'!$A:$AC,2,FALSE))="JBL",(VLOOKUP(Table6[[#This Row],[SKU]],'All Skus'!$A:$AC,19,FALSE)),""))</f>
        <v>11.25</v>
      </c>
      <c r="R151" s="136">
        <f>(IF((VLOOKUP(Table6[[#This Row],[SKU]],'All Skus'!$A:$AC,2,FALSE))="JBL",(VLOOKUP(Table6[[#This Row],[SKU]],'All Skus'!$A:$AC,20,FALSE)),""))</f>
        <v>13.5</v>
      </c>
      <c r="S151" s="61">
        <f>(IF((VLOOKUP(Table6[[#This Row],[SKU]],'All Skus'!$A:$AC,2,FALSE))="JBL",(VLOOKUP(Table6[[#This Row],[SKU]],'All Skus'!$A:$AC,21,FALSE)),""))</f>
        <v>17.5</v>
      </c>
      <c r="T151" s="61" t="str">
        <f>(IF((VLOOKUP(Table6[[#This Row],[SKU]],'All Skus'!$A:$AC,2,FALSE))="JBL",(VLOOKUP(Table6[[#This Row],[SKU]],'All Skus'!$A:$AC,22,FALSE)),""))</f>
        <v>CN</v>
      </c>
      <c r="U151" t="str">
        <f>(IF((VLOOKUP(Table6[[#This Row],[SKU]],'All Skus'!$A:$AC,2,FALSE))="JBL",(VLOOKUP(Table6[[#This Row],[SKU]],'All Skus'!$A:$AC,23,FALSE)),""))</f>
        <v>Non Compliant</v>
      </c>
      <c r="V151" s="284" t="str">
        <f>HYPERLINK((IF((VLOOKUP(Table6[[#This Row],[SKU]],'All Skus'!$A:$AC,2,FALSE))="JBL",(VLOOKUP(Table6[[#This Row],[SKU]],'All Skus'!$A:$AC,24,FALSE)),"")))</f>
        <v xml:space="preserve">http://www.jblpro.com/www/products/installed-sound/control-contractor-series/control-28-1 </v>
      </c>
      <c r="W151" s="151">
        <v>149</v>
      </c>
    </row>
    <row r="152" spans="1:23" ht="15" hidden="1" customHeight="1">
      <c r="A152" s="13" t="s">
        <v>1158</v>
      </c>
      <c r="B152" s="12" t="str">
        <f>(IF((VLOOKUP(Table6[[#This Row],[SKU]],'All Skus'!$A:$AC,2,FALSE))="JBL",(VLOOKUP(Table6[[#This Row],[SKU]],'All Skus'!$A:$AC,3,FALSE)),""))</f>
        <v>Surface-Mount Speaker</v>
      </c>
      <c r="C152" s="12" t="str">
        <f>(IF((VLOOKUP(Table6[[#This Row],[SKU]],'All Skus'!$A:$AC,2,FALSE))="JBL",(VLOOKUP(Table6[[#This Row],[SKU]],'All Skus'!$A:$AC,4,FALSE)),""))</f>
        <v>C29AV-1</v>
      </c>
      <c r="D152" s="61" t="str">
        <f>(IF((VLOOKUP(Table6[[#This Row],[SKU]],'All Skus'!$A:$AC,2,FALSE))="JBL",(VLOOKUP(Table6[[#This Row],[SKU]],'All Skus'!$A:$AC,5,FALSE)),""))</f>
        <v>JBL018</v>
      </c>
      <c r="E152" s="137">
        <f>(IF((VLOOKUP(Table6[[#This Row],[SKU]],'All Skus'!$A:$AC,2,FALSE))="JBL",(VLOOKUP(Table6[[#This Row],[SKU]],'All Skus'!$A:$AC,6,FALSE)),""))</f>
        <v>0</v>
      </c>
      <c r="F152" s="61">
        <f>(IF((VLOOKUP(Table6[[#This Row],[SKU]],'All Skus'!$A:$AC,2,FALSE))="JBL",(VLOOKUP(Table6[[#This Row],[SKU]],'All Skus'!$A:$AC,7,FALSE)),""))</f>
        <v>0</v>
      </c>
      <c r="G152" t="str">
        <f>(IF((VLOOKUP(Table6[[#This Row],[SKU]],'All Skus'!$A:$AC,2,FALSE))="JBL",(VLOOKUP(Table6[[#This Row],[SKU]],'All Skus'!$A:$AC,8,FALSE)),""))</f>
        <v>8" 2-WAY MONITOR SPEAKER</v>
      </c>
      <c r="H152" s="8" t="str">
        <f>(IF((VLOOKUP(Table6[[#This Row],[SKU]],'All Skus'!$A:$AC,2,FALSE))="JBL",(VLOOKUP(Table6[[#This Row],[SKU]],'All Skus'!$A:$AC,9,FALSE)),""))</f>
        <v>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(Priced and Packed as Each)</v>
      </c>
      <c r="I152" s="101">
        <f>(IF((VLOOKUP(Table6[[#This Row],[SKU]],'All Skus'!$A:$AC,2,FALSE))="JBL",(VLOOKUP(Table6[[#This Row],[SKU]],'All Skus'!$A:$AC,10,FALSE)),""))</f>
        <v>605.86</v>
      </c>
      <c r="J152" s="101">
        <f>(IF((VLOOKUP(Table6[[#This Row],[SKU]],'All Skus'!$A:$AC,2,FALSE))="JBL",(VLOOKUP(Table6[[#This Row],[SKU]],'All Skus'!$A:$AC,11,FALSE)),""))</f>
        <v>479</v>
      </c>
      <c r="K152" s="102">
        <f>(IF((VLOOKUP(Table6[[#This Row],[SKU]],'All Skus'!$A:$AC,2,FALSE))="JBL",(VLOOKUP(Table6[[#This Row],[SKU]],'All Skus'!$A:$AC,13,FALSE)),""))</f>
        <v>335.28235999999993</v>
      </c>
      <c r="L152" s="102">
        <f>(IF((VLOOKUP(Table6[[#This Row],[SKU]],'All Skus'!$A:$AC,2,FALSE))="JBL",(VLOOKUP(Table6[[#This Row],[SKU]],'All Skus'!$A:$AC,14,FALSE)),""))</f>
        <v>317.63592</v>
      </c>
      <c r="M152" s="143">
        <f>(IF((VLOOKUP(Table6[[#This Row],[SKU]],'All Skus'!$A:$AC,2,FALSE))="JBL",(VLOOKUP(Table6[[#This Row],[SKU]],'All Skus'!$A:$AC,15,FALSE)),""))</f>
        <v>0</v>
      </c>
      <c r="N152" s="137">
        <f>(IF((VLOOKUP(Table6[[#This Row],[SKU]],'All Skus'!$A:$AC,2,FALSE))="JBL",(VLOOKUP(Table6[[#This Row],[SKU]],'All Skus'!$A:$AC,16,FALSE)),""))</f>
        <v>50036903387</v>
      </c>
      <c r="O152" s="61">
        <f>(IF((VLOOKUP(Table6[[#This Row],[SKU]],'All Skus'!$A:$AC,2,FALSE))="JBL",(VLOOKUP(Table6[[#This Row],[SKU]],'All Skus'!$A:$AC,17,FALSE)),""))</f>
        <v>0</v>
      </c>
      <c r="P152" s="136">
        <f>(IF((VLOOKUP(Table6[[#This Row],[SKU]],'All Skus'!$A:$AC,2,FALSE))="JBL",(VLOOKUP(Table6[[#This Row],[SKU]],'All Skus'!$A:$AC,18,FALSE)),""))</f>
        <v>27</v>
      </c>
      <c r="Q152" s="136">
        <f>(IF((VLOOKUP(Table6[[#This Row],[SKU]],'All Skus'!$A:$AC,2,FALSE))="JBL",(VLOOKUP(Table6[[#This Row],[SKU]],'All Skus'!$A:$AC,19,FALSE)),""))</f>
        <v>14</v>
      </c>
      <c r="R152" s="136">
        <f>(IF((VLOOKUP(Table6[[#This Row],[SKU]],'All Skus'!$A:$AC,2,FALSE))="JBL",(VLOOKUP(Table6[[#This Row],[SKU]],'All Skus'!$A:$AC,20,FALSE)),""))</f>
        <v>15</v>
      </c>
      <c r="S152" s="61">
        <f>(IF((VLOOKUP(Table6[[#This Row],[SKU]],'All Skus'!$A:$AC,2,FALSE))="JBL",(VLOOKUP(Table6[[#This Row],[SKU]],'All Skus'!$A:$AC,21,FALSE)),""))</f>
        <v>24</v>
      </c>
      <c r="T152" s="61" t="str">
        <f>(IF((VLOOKUP(Table6[[#This Row],[SKU]],'All Skus'!$A:$AC,2,FALSE))="JBL",(VLOOKUP(Table6[[#This Row],[SKU]],'All Skus'!$A:$AC,22,FALSE)),""))</f>
        <v>CN</v>
      </c>
      <c r="U152" t="str">
        <f>(IF((VLOOKUP(Table6[[#This Row],[SKU]],'All Skus'!$A:$AC,2,FALSE))="JBL",(VLOOKUP(Table6[[#This Row],[SKU]],'All Skus'!$A:$AC,23,FALSE)),""))</f>
        <v>Non Compliant</v>
      </c>
      <c r="V152" s="284" t="str">
        <f>HYPERLINK((IF((VLOOKUP(Table6[[#This Row],[SKU]],'All Skus'!$A:$AC,2,FALSE))="JBL",(VLOOKUP(Table6[[#This Row],[SKU]],'All Skus'!$A:$AC,24,FALSE)),"")))</f>
        <v xml:space="preserve">http://www.jblpro.com/www/products/installed-sound/control-contractor-series/control-29av-1 </v>
      </c>
      <c r="W152" s="151">
        <v>150</v>
      </c>
    </row>
    <row r="153" spans="1:23" ht="15" hidden="1" customHeight="1">
      <c r="A153" s="13" t="s">
        <v>1159</v>
      </c>
      <c r="B153" s="12" t="str">
        <f>(IF((VLOOKUP(Table6[[#This Row],[SKU]],'All Skus'!$A:$AC,2,FALSE))="JBL",(VLOOKUP(Table6[[#This Row],[SKU]],'All Skus'!$A:$AC,3,FALSE)),""))</f>
        <v>Surface-Mount Speaker</v>
      </c>
      <c r="C153" s="12" t="str">
        <f>(IF((VLOOKUP(Table6[[#This Row],[SKU]],'All Skus'!$A:$AC,2,FALSE))="JBL",(VLOOKUP(Table6[[#This Row],[SKU]],'All Skus'!$A:$AC,4,FALSE)),""))</f>
        <v>C29AV-WH-1</v>
      </c>
      <c r="D153" s="61" t="str">
        <f>(IF((VLOOKUP(Table6[[#This Row],[SKU]],'All Skus'!$A:$AC,2,FALSE))="JBL",(VLOOKUP(Table6[[#This Row],[SKU]],'All Skus'!$A:$AC,5,FALSE)),""))</f>
        <v>JBL018</v>
      </c>
      <c r="E153" s="137">
        <f>(IF((VLOOKUP(Table6[[#This Row],[SKU]],'All Skus'!$A:$AC,2,FALSE))="JBL",(VLOOKUP(Table6[[#This Row],[SKU]],'All Skus'!$A:$AC,6,FALSE)),""))</f>
        <v>0</v>
      </c>
      <c r="F153" s="61">
        <f>(IF((VLOOKUP(Table6[[#This Row],[SKU]],'All Skus'!$A:$AC,2,FALSE))="JBL",(VLOOKUP(Table6[[#This Row],[SKU]],'All Skus'!$A:$AC,7,FALSE)),""))</f>
        <v>0</v>
      </c>
      <c r="G153" t="str">
        <f>(IF((VLOOKUP(Table6[[#This Row],[SKU]],'All Skus'!$A:$AC,2,FALSE))="JBL",(VLOOKUP(Table6[[#This Row],[SKU]],'All Skus'!$A:$AC,8,FALSE)),""))</f>
        <v>8" 2-WAY MONITOR SPEAKER-WHITE</v>
      </c>
      <c r="H153" s="8" t="str">
        <f>(IF((VLOOKUP(Table6[[#This Row],[SKU]],'All Skus'!$A:$AC,2,FALSE))="JBL",(VLOOKUP(Table6[[#This Row],[SKU]],'All Skus'!$A:$AC,9,FALSE)),""))</f>
        <v>High Output Indoor/Outdoor Monitor Speaker.  150W Pink Noise, 300W Program Power, 92 dB Sensitivity.  70V/100V    Taps at 110W, 55W, &amp; 28W (and 14W at 70V) plus 8 ohm  Thru.  110° x 80° Coverage with Rotatable Horn.  Built-In Invisiball® Installation System plus Ten M6 Suspension Points.  Kevlar Cone Woofer and Titanium Compression Driver. Includes Sonicguard(tm) Overload Protection.  Includes MTC-PC2 Sealed-Entrance Panel Cover, in White.   (Priced and Packed as Each).</v>
      </c>
      <c r="I153" s="101">
        <f>(IF((VLOOKUP(Table6[[#This Row],[SKU]],'All Skus'!$A:$AC,2,FALSE))="JBL",(VLOOKUP(Table6[[#This Row],[SKU]],'All Skus'!$A:$AC,10,FALSE)),""))</f>
        <v>605.86</v>
      </c>
      <c r="J153" s="101">
        <f>(IF((VLOOKUP(Table6[[#This Row],[SKU]],'All Skus'!$A:$AC,2,FALSE))="JBL",(VLOOKUP(Table6[[#This Row],[SKU]],'All Skus'!$A:$AC,11,FALSE)),""))</f>
        <v>479</v>
      </c>
      <c r="K153" s="102">
        <f>(IF((VLOOKUP(Table6[[#This Row],[SKU]],'All Skus'!$A:$AC,2,FALSE))="JBL",(VLOOKUP(Table6[[#This Row],[SKU]],'All Skus'!$A:$AC,13,FALSE)),""))</f>
        <v>335.28235999999993</v>
      </c>
      <c r="L153" s="102">
        <f>(IF((VLOOKUP(Table6[[#This Row],[SKU]],'All Skus'!$A:$AC,2,FALSE))="JBL",(VLOOKUP(Table6[[#This Row],[SKU]],'All Skus'!$A:$AC,14,FALSE)),""))</f>
        <v>317.63592</v>
      </c>
      <c r="M153" s="143">
        <f>(IF((VLOOKUP(Table6[[#This Row],[SKU]],'All Skus'!$A:$AC,2,FALSE))="JBL",(VLOOKUP(Table6[[#This Row],[SKU]],'All Skus'!$A:$AC,15,FALSE)),""))</f>
        <v>0</v>
      </c>
      <c r="N153" s="137">
        <f>(IF((VLOOKUP(Table6[[#This Row],[SKU]],'All Skus'!$A:$AC,2,FALSE))="JBL",(VLOOKUP(Table6[[#This Row],[SKU]],'All Skus'!$A:$AC,16,FALSE)),""))</f>
        <v>50036903394</v>
      </c>
      <c r="O153" s="61">
        <f>(IF((VLOOKUP(Table6[[#This Row],[SKU]],'All Skus'!$A:$AC,2,FALSE))="JBL",(VLOOKUP(Table6[[#This Row],[SKU]],'All Skus'!$A:$AC,17,FALSE)),""))</f>
        <v>0</v>
      </c>
      <c r="P153" s="136">
        <f>(IF((VLOOKUP(Table6[[#This Row],[SKU]],'All Skus'!$A:$AC,2,FALSE))="JBL",(VLOOKUP(Table6[[#This Row],[SKU]],'All Skus'!$A:$AC,18,FALSE)),""))</f>
        <v>33.15</v>
      </c>
      <c r="Q153" s="136">
        <f>(IF((VLOOKUP(Table6[[#This Row],[SKU]],'All Skus'!$A:$AC,2,FALSE))="JBL",(VLOOKUP(Table6[[#This Row],[SKU]],'All Skus'!$A:$AC,19,FALSE)),""))</f>
        <v>13</v>
      </c>
      <c r="R153" s="136">
        <f>(IF((VLOOKUP(Table6[[#This Row],[SKU]],'All Skus'!$A:$AC,2,FALSE))="JBL",(VLOOKUP(Table6[[#This Row],[SKU]],'All Skus'!$A:$AC,20,FALSE)),""))</f>
        <v>15</v>
      </c>
      <c r="S153" s="61">
        <f>(IF((VLOOKUP(Table6[[#This Row],[SKU]],'All Skus'!$A:$AC,2,FALSE))="JBL",(VLOOKUP(Table6[[#This Row],[SKU]],'All Skus'!$A:$AC,21,FALSE)),""))</f>
        <v>24</v>
      </c>
      <c r="T153" s="61" t="str">
        <f>(IF((VLOOKUP(Table6[[#This Row],[SKU]],'All Skus'!$A:$AC,2,FALSE))="JBL",(VLOOKUP(Table6[[#This Row],[SKU]],'All Skus'!$A:$AC,22,FALSE)),""))</f>
        <v>CN</v>
      </c>
      <c r="U153" t="str">
        <f>(IF((VLOOKUP(Table6[[#This Row],[SKU]],'All Skus'!$A:$AC,2,FALSE))="JBL",(VLOOKUP(Table6[[#This Row],[SKU]],'All Skus'!$A:$AC,23,FALSE)),""))</f>
        <v>Non Compliant</v>
      </c>
      <c r="V153" s="284" t="str">
        <f>HYPERLINK((IF((VLOOKUP(Table6[[#This Row],[SKU]],'All Skus'!$A:$AC,2,FALSE))="JBL",(VLOOKUP(Table6[[#This Row],[SKU]],'All Skus'!$A:$AC,24,FALSE)),"")))</f>
        <v xml:space="preserve">http://www.jblpro.com/www/products/installed-sound/control-contractor-series/control-29av-1 </v>
      </c>
      <c r="W153" s="151">
        <v>151</v>
      </c>
    </row>
    <row r="154" spans="1:23" ht="15" hidden="1" customHeight="1">
      <c r="A154" s="13" t="s">
        <v>1160</v>
      </c>
      <c r="B154" s="12" t="str">
        <f>(IF((VLOOKUP(Table6[[#This Row],[SKU]],'All Skus'!$A:$AC,2,FALSE))="JBL",(VLOOKUP(Table6[[#This Row],[SKU]],'All Skus'!$A:$AC,3,FALSE)),""))</f>
        <v>Surface-Mount Speaker</v>
      </c>
      <c r="C154" s="12" t="str">
        <f>(IF((VLOOKUP(Table6[[#This Row],[SKU]],'All Skus'!$A:$AC,2,FALSE))="JBL",(VLOOKUP(Table6[[#This Row],[SKU]],'All Skus'!$A:$AC,4,FALSE)),""))</f>
        <v>CONTROL 30</v>
      </c>
      <c r="D154" s="61" t="str">
        <f>(IF((VLOOKUP(Table6[[#This Row],[SKU]],'All Skus'!$A:$AC,2,FALSE))="JBL",(VLOOKUP(Table6[[#This Row],[SKU]],'All Skus'!$A:$AC,5,FALSE)),""))</f>
        <v>JBL018</v>
      </c>
      <c r="E154" s="137">
        <f>(IF((VLOOKUP(Table6[[#This Row],[SKU]],'All Skus'!$A:$AC,2,FALSE))="JBL",(VLOOKUP(Table6[[#This Row],[SKU]],'All Skus'!$A:$AC,6,FALSE)),""))</f>
        <v>0</v>
      </c>
      <c r="F154" s="61">
        <f>(IF((VLOOKUP(Table6[[#This Row],[SKU]],'All Skus'!$A:$AC,2,FALSE))="JBL",(VLOOKUP(Table6[[#This Row],[SKU]],'All Skus'!$A:$AC,7,FALSE)),""))</f>
        <v>0</v>
      </c>
      <c r="G154" t="str">
        <f>(IF((VLOOKUP(Table6[[#This Row],[SKU]],'All Skus'!$A:$AC,2,FALSE))="JBL",(VLOOKUP(Table6[[#This Row],[SKU]],'All Skus'!$A:$AC,8,FALSE)),""))</f>
        <v>10" 3/WAY COMPACT WR W/TRANSFORMER</v>
      </c>
      <c r="H154" s="8" t="str">
        <f>(IF((VLOOKUP(Table6[[#This Row],[SKU]],'All Skus'!$A:$AC,2,FALSE))="JBL",(VLOOKUP(Table6[[#This Row],[SKU]],'All Skus'!$A:$AC,9,FALSE)),""))</f>
        <v>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Sold and packed as Eaches</v>
      </c>
      <c r="I154" s="101">
        <f>(IF((VLOOKUP(Table6[[#This Row],[SKU]],'All Skus'!$A:$AC,2,FALSE))="JBL",(VLOOKUP(Table6[[#This Row],[SKU]],'All Skus'!$A:$AC,10,FALSE)),""))</f>
        <v>1059.93</v>
      </c>
      <c r="J154" s="101">
        <f>(IF((VLOOKUP(Table6[[#This Row],[SKU]],'All Skus'!$A:$AC,2,FALSE))="JBL",(VLOOKUP(Table6[[#This Row],[SKU]],'All Skus'!$A:$AC,11,FALSE)),""))</f>
        <v>844</v>
      </c>
      <c r="K154" s="102">
        <f>(IF((VLOOKUP(Table6[[#This Row],[SKU]],'All Skus'!$A:$AC,2,FALSE))="JBL",(VLOOKUP(Table6[[#This Row],[SKU]],'All Skus'!$A:$AC,13,FALSE)),""))</f>
        <v>586.56115999999997</v>
      </c>
      <c r="L154" s="102">
        <f>(IF((VLOOKUP(Table6[[#This Row],[SKU]],'All Skus'!$A:$AC,2,FALSE))="JBL",(VLOOKUP(Table6[[#This Row],[SKU]],'All Skus'!$A:$AC,14,FALSE)),""))</f>
        <v>555.68952000000002</v>
      </c>
      <c r="M154" s="143">
        <f>(IF((VLOOKUP(Table6[[#This Row],[SKU]],'All Skus'!$A:$AC,2,FALSE))="JBL",(VLOOKUP(Table6[[#This Row],[SKU]],'All Skus'!$A:$AC,15,FALSE)),""))</f>
        <v>0</v>
      </c>
      <c r="N154" s="137">
        <f>(IF((VLOOKUP(Table6[[#This Row],[SKU]],'All Skus'!$A:$AC,2,FALSE))="JBL",(VLOOKUP(Table6[[#This Row],[SKU]],'All Skus'!$A:$AC,16,FALSE)),""))</f>
        <v>50036903400</v>
      </c>
      <c r="O154" s="61">
        <f>(IF((VLOOKUP(Table6[[#This Row],[SKU]],'All Skus'!$A:$AC,2,FALSE))="JBL",(VLOOKUP(Table6[[#This Row],[SKU]],'All Skus'!$A:$AC,17,FALSE)),""))</f>
        <v>0</v>
      </c>
      <c r="P154" s="136">
        <f>(IF((VLOOKUP(Table6[[#This Row],[SKU]],'All Skus'!$A:$AC,2,FALSE))="JBL",(VLOOKUP(Table6[[#This Row],[SKU]],'All Skus'!$A:$AC,18,FALSE)),""))</f>
        <v>52.95</v>
      </c>
      <c r="Q154" s="136">
        <f>(IF((VLOOKUP(Table6[[#This Row],[SKU]],'All Skus'!$A:$AC,2,FALSE))="JBL",(VLOOKUP(Table6[[#This Row],[SKU]],'All Skus'!$A:$AC,19,FALSE)),""))</f>
        <v>18.5</v>
      </c>
      <c r="R154" s="136">
        <f>(IF((VLOOKUP(Table6[[#This Row],[SKU]],'All Skus'!$A:$AC,2,FALSE))="JBL",(VLOOKUP(Table6[[#This Row],[SKU]],'All Skus'!$A:$AC,20,FALSE)),""))</f>
        <v>19</v>
      </c>
      <c r="S154" s="61">
        <f>(IF((VLOOKUP(Table6[[#This Row],[SKU]],'All Skus'!$A:$AC,2,FALSE))="JBL",(VLOOKUP(Table6[[#This Row],[SKU]],'All Skus'!$A:$AC,21,FALSE)),""))</f>
        <v>27.5</v>
      </c>
      <c r="T154" s="61" t="str">
        <f>(IF((VLOOKUP(Table6[[#This Row],[SKU]],'All Skus'!$A:$AC,2,FALSE))="JBL",(VLOOKUP(Table6[[#This Row],[SKU]],'All Skus'!$A:$AC,22,FALSE)),""))</f>
        <v>CN</v>
      </c>
      <c r="U154" t="str">
        <f>(IF((VLOOKUP(Table6[[#This Row],[SKU]],'All Skus'!$A:$AC,2,FALSE))="JBL",(VLOOKUP(Table6[[#This Row],[SKU]],'All Skus'!$A:$AC,23,FALSE)),""))</f>
        <v>Non Compliant</v>
      </c>
      <c r="V154" s="284" t="str">
        <f>HYPERLINK((IF((VLOOKUP(Table6[[#This Row],[SKU]],'All Skus'!$A:$AC,2,FALSE))="JBL",(VLOOKUP(Table6[[#This Row],[SKU]],'All Skus'!$A:$AC,24,FALSE)),"")))</f>
        <v xml:space="preserve">http://www.jblpro.com/www/products/installed-sound/control-contractor-series/control-30 </v>
      </c>
      <c r="W154" s="151">
        <v>152</v>
      </c>
    </row>
    <row r="155" spans="1:23" ht="15" hidden="1" customHeight="1">
      <c r="A155" s="13" t="s">
        <v>1161</v>
      </c>
      <c r="B155" s="12" t="str">
        <f>(IF((VLOOKUP(Table6[[#This Row],[SKU]],'All Skus'!$A:$AC,2,FALSE))="JBL",(VLOOKUP(Table6[[#This Row],[SKU]],'All Skus'!$A:$AC,3,FALSE)),""))</f>
        <v>Surface-Mount Speaker</v>
      </c>
      <c r="C155" s="12" t="str">
        <f>(IF((VLOOKUP(Table6[[#This Row],[SKU]],'All Skus'!$A:$AC,2,FALSE))="JBL",(VLOOKUP(Table6[[#This Row],[SKU]],'All Skus'!$A:$AC,4,FALSE)),""))</f>
        <v>CONTROL 30-WH</v>
      </c>
      <c r="D155" s="61" t="str">
        <f>(IF((VLOOKUP(Table6[[#This Row],[SKU]],'All Skus'!$A:$AC,2,FALSE))="JBL",(VLOOKUP(Table6[[#This Row],[SKU]],'All Skus'!$A:$AC,5,FALSE)),""))</f>
        <v>JBL018</v>
      </c>
      <c r="E155" s="137">
        <f>(IF((VLOOKUP(Table6[[#This Row],[SKU]],'All Skus'!$A:$AC,2,FALSE))="JBL",(VLOOKUP(Table6[[#This Row],[SKU]],'All Skus'!$A:$AC,6,FALSE)),""))</f>
        <v>0</v>
      </c>
      <c r="F155" s="61">
        <f>(IF((VLOOKUP(Table6[[#This Row],[SKU]],'All Skus'!$A:$AC,2,FALSE))="JBL",(VLOOKUP(Table6[[#This Row],[SKU]],'All Skus'!$A:$AC,7,FALSE)),""))</f>
        <v>0</v>
      </c>
      <c r="G155" t="str">
        <f>(IF((VLOOKUP(Table6[[#This Row],[SKU]],'All Skus'!$A:$AC,2,FALSE))="JBL",(VLOOKUP(Table6[[#This Row],[SKU]],'All Skus'!$A:$AC,8,FALSE)),""))</f>
        <v>10" 3/WAY COMPACT WR W/TRANSFORMER</v>
      </c>
      <c r="H155" s="8" t="str">
        <f>(IF((VLOOKUP(Table6[[#This Row],[SKU]],'All Skus'!$A:$AC,2,FALSE))="JBL",(VLOOKUP(Table6[[#This Row],[SKU]],'All Skus'!$A:$AC,9,FALSE)),""))</f>
        <v>High Output Indoor/Outdoor 3-Way Monitor Loudspeaker with 260mm (10 in) LF and Coaxial Mid-High Frequency Drivers.  Extended Bandwidth, Extremely Smooth Response.  Full Outdoor Capability (IP-x5).  38 Hz – 17 kHz. 250 Watts,  93 dB Sensitivity.  SonicGuard Overload Protection.  Included InvisiBall® Hardware Plus Ten 6 mm Attachment Points For Suspension and Optional U-Bracket.  Includes 70V/100V Input Line Transformer with Taps at 150W, 75W, and 38W (Plus 19W  At 70V only), Plus 4 ohm Bypass Position.  Compact at 593 x 372 x 345 mm (23.3 x 14.6 x 13.5 in).  20.3 kg (42 lb), in White. Sold and packed as Eaches</v>
      </c>
      <c r="I155" s="101">
        <f>(IF((VLOOKUP(Table6[[#This Row],[SKU]],'All Skus'!$A:$AC,2,FALSE))="JBL",(VLOOKUP(Table6[[#This Row],[SKU]],'All Skus'!$A:$AC,10,FALSE)),""))</f>
        <v>1059.93</v>
      </c>
      <c r="J155" s="101">
        <f>(IF((VLOOKUP(Table6[[#This Row],[SKU]],'All Skus'!$A:$AC,2,FALSE))="JBL",(VLOOKUP(Table6[[#This Row],[SKU]],'All Skus'!$A:$AC,11,FALSE)),""))</f>
        <v>844</v>
      </c>
      <c r="K155" s="102">
        <f>(IF((VLOOKUP(Table6[[#This Row],[SKU]],'All Skus'!$A:$AC,2,FALSE))="JBL",(VLOOKUP(Table6[[#This Row],[SKU]],'All Skus'!$A:$AC,13,FALSE)),""))</f>
        <v>586.56115999999997</v>
      </c>
      <c r="L155" s="102">
        <f>(IF((VLOOKUP(Table6[[#This Row],[SKU]],'All Skus'!$A:$AC,2,FALSE))="JBL",(VLOOKUP(Table6[[#This Row],[SKU]],'All Skus'!$A:$AC,14,FALSE)),""))</f>
        <v>555.68952000000002</v>
      </c>
      <c r="M155" s="143">
        <f>(IF((VLOOKUP(Table6[[#This Row],[SKU]],'All Skus'!$A:$AC,2,FALSE))="JBL",(VLOOKUP(Table6[[#This Row],[SKU]],'All Skus'!$A:$AC,15,FALSE)),""))</f>
        <v>0</v>
      </c>
      <c r="N155" s="137">
        <f>(IF((VLOOKUP(Table6[[#This Row],[SKU]],'All Skus'!$A:$AC,2,FALSE))="JBL",(VLOOKUP(Table6[[#This Row],[SKU]],'All Skus'!$A:$AC,16,FALSE)),""))</f>
        <v>50036903417</v>
      </c>
      <c r="O155" s="61">
        <f>(IF((VLOOKUP(Table6[[#This Row],[SKU]],'All Skus'!$A:$AC,2,FALSE))="JBL",(VLOOKUP(Table6[[#This Row],[SKU]],'All Skus'!$A:$AC,17,FALSE)),""))</f>
        <v>0</v>
      </c>
      <c r="P155" s="136">
        <f>(IF((VLOOKUP(Table6[[#This Row],[SKU]],'All Skus'!$A:$AC,2,FALSE))="JBL",(VLOOKUP(Table6[[#This Row],[SKU]],'All Skus'!$A:$AC,18,FALSE)),""))</f>
        <v>55</v>
      </c>
      <c r="Q155" s="136">
        <f>(IF((VLOOKUP(Table6[[#This Row],[SKU]],'All Skus'!$A:$AC,2,FALSE))="JBL",(VLOOKUP(Table6[[#This Row],[SKU]],'All Skus'!$A:$AC,19,FALSE)),""))</f>
        <v>18</v>
      </c>
      <c r="R155" s="136">
        <f>(IF((VLOOKUP(Table6[[#This Row],[SKU]],'All Skus'!$A:$AC,2,FALSE))="JBL",(VLOOKUP(Table6[[#This Row],[SKU]],'All Skus'!$A:$AC,20,FALSE)),""))</f>
        <v>18</v>
      </c>
      <c r="S155" s="61">
        <f>(IF((VLOOKUP(Table6[[#This Row],[SKU]],'All Skus'!$A:$AC,2,FALSE))="JBL",(VLOOKUP(Table6[[#This Row],[SKU]],'All Skus'!$A:$AC,21,FALSE)),""))</f>
        <v>27</v>
      </c>
      <c r="T155" s="61" t="str">
        <f>(IF((VLOOKUP(Table6[[#This Row],[SKU]],'All Skus'!$A:$AC,2,FALSE))="JBL",(VLOOKUP(Table6[[#This Row],[SKU]],'All Skus'!$A:$AC,22,FALSE)),""))</f>
        <v>CN</v>
      </c>
      <c r="U155" t="str">
        <f>(IF((VLOOKUP(Table6[[#This Row],[SKU]],'All Skus'!$A:$AC,2,FALSE))="JBL",(VLOOKUP(Table6[[#This Row],[SKU]],'All Skus'!$A:$AC,23,FALSE)),""))</f>
        <v>Non Compliant</v>
      </c>
      <c r="V155" s="284" t="str">
        <f>HYPERLINK((IF((VLOOKUP(Table6[[#This Row],[SKU]],'All Skus'!$A:$AC,2,FALSE))="JBL",(VLOOKUP(Table6[[#This Row],[SKU]],'All Skus'!$A:$AC,24,FALSE)),"")))</f>
        <v xml:space="preserve">http://www.jblpro.com/www/products/installed-sound/control-contractor-series/control-30 </v>
      </c>
      <c r="W155" s="151">
        <v>153</v>
      </c>
    </row>
    <row r="156" spans="1:23" ht="15" hidden="1" customHeight="1">
      <c r="A156" s="13" t="s">
        <v>1162</v>
      </c>
      <c r="B156" s="12" t="str">
        <f>(IF((VLOOKUP(Table6[[#This Row],[SKU]],'All Skus'!$A:$AC,2,FALSE))="JBL",(VLOOKUP(Table6[[#This Row],[SKU]],'All Skus'!$A:$AC,3,FALSE)),""))</f>
        <v>Surface-Mount Speaker</v>
      </c>
      <c r="C156" s="12" t="str">
        <f>(IF((VLOOKUP(Table6[[#This Row],[SKU]],'All Skus'!$A:$AC,2,FALSE))="JBL",(VLOOKUP(Table6[[#This Row],[SKU]],'All Skus'!$A:$AC,4,FALSE)),""))</f>
        <v>CONTROL 31</v>
      </c>
      <c r="D156" s="61" t="str">
        <f>(IF((VLOOKUP(Table6[[#This Row],[SKU]],'All Skus'!$A:$AC,2,FALSE))="JBL",(VLOOKUP(Table6[[#This Row],[SKU]],'All Skus'!$A:$AC,5,FALSE)),""))</f>
        <v>JBL018</v>
      </c>
      <c r="E156" s="137">
        <f>(IF((VLOOKUP(Table6[[#This Row],[SKU]],'All Skus'!$A:$AC,2,FALSE))="JBL",(VLOOKUP(Table6[[#This Row],[SKU]],'All Skus'!$A:$AC,6,FALSE)),""))</f>
        <v>0</v>
      </c>
      <c r="F156" s="61">
        <f>(IF((VLOOKUP(Table6[[#This Row],[SKU]],'All Skus'!$A:$AC,2,FALSE))="JBL",(VLOOKUP(Table6[[#This Row],[SKU]],'All Skus'!$A:$AC,7,FALSE)),""))</f>
        <v>0</v>
      </c>
      <c r="G156" t="str">
        <f>(IF((VLOOKUP(Table6[[#This Row],[SKU]],'All Skus'!$A:$AC,2,FALSE))="JBL",(VLOOKUP(Table6[[#This Row],[SKU]],'All Skus'!$A:$AC,8,FALSE)),""))</f>
        <v>2-WAY CONTROL CONTRACTOR ON-WALL SPEAKER W/ 250MM HIGH POWER</v>
      </c>
      <c r="H156" s="8" t="str">
        <f>(IF((VLOOKUP(Table6[[#This Row],[SKU]],'All Skus'!$A:$AC,2,FALSE))="JBL",(VLOOKUP(Table6[[#This Row],[SKU]],'All Skus'!$A:$AC,9,FALSE)),""))</f>
        <v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v>
      </c>
      <c r="I156" s="101">
        <f>(IF((VLOOKUP(Table6[[#This Row],[SKU]],'All Skus'!$A:$AC,2,FALSE))="JBL",(VLOOKUP(Table6[[#This Row],[SKU]],'All Skus'!$A:$AC,10,FALSE)),""))</f>
        <v>926.68</v>
      </c>
      <c r="J156" s="101">
        <f>(IF((VLOOKUP(Table6[[#This Row],[SKU]],'All Skus'!$A:$AC,2,FALSE))="JBL",(VLOOKUP(Table6[[#This Row],[SKU]],'All Skus'!$A:$AC,11,FALSE)),""))</f>
        <v>741</v>
      </c>
      <c r="K156" s="102">
        <f>(IF((VLOOKUP(Table6[[#This Row],[SKU]],'All Skus'!$A:$AC,2,FALSE))="JBL",(VLOOKUP(Table6[[#This Row],[SKU]],'All Skus'!$A:$AC,13,FALSE)),""))</f>
        <v>512.82425000000001</v>
      </c>
      <c r="L156" s="102">
        <f>(IF((VLOOKUP(Table6[[#This Row],[SKU]],'All Skus'!$A:$AC,2,FALSE))="JBL",(VLOOKUP(Table6[[#This Row],[SKU]],'All Skus'!$A:$AC,14,FALSE)),""))</f>
        <v>485.83350000000007</v>
      </c>
      <c r="M156" s="143">
        <f>(IF((VLOOKUP(Table6[[#This Row],[SKU]],'All Skus'!$A:$AC,2,FALSE))="JBL",(VLOOKUP(Table6[[#This Row],[SKU]],'All Skus'!$A:$AC,15,FALSE)),""))</f>
        <v>0</v>
      </c>
      <c r="N156" s="137">
        <f>(IF((VLOOKUP(Table6[[#This Row],[SKU]],'All Skus'!$A:$AC,2,FALSE))="JBL",(VLOOKUP(Table6[[#This Row],[SKU]],'All Skus'!$A:$AC,16,FALSE)),""))</f>
        <v>691991000805</v>
      </c>
      <c r="O156" s="61">
        <f>(IF((VLOOKUP(Table6[[#This Row],[SKU]],'All Skus'!$A:$AC,2,FALSE))="JBL",(VLOOKUP(Table6[[#This Row],[SKU]],'All Skus'!$A:$AC,17,FALSE)),""))</f>
        <v>0</v>
      </c>
      <c r="P156" s="136">
        <f>(IF((VLOOKUP(Table6[[#This Row],[SKU]],'All Skus'!$A:$AC,2,FALSE))="JBL",(VLOOKUP(Table6[[#This Row],[SKU]],'All Skus'!$A:$AC,18,FALSE)),""))</f>
        <v>22</v>
      </c>
      <c r="Q156" s="136">
        <f>(IF((VLOOKUP(Table6[[#This Row],[SKU]],'All Skus'!$A:$AC,2,FALSE))="JBL",(VLOOKUP(Table6[[#This Row],[SKU]],'All Skus'!$A:$AC,19,FALSE)),""))</f>
        <v>19</v>
      </c>
      <c r="R156" s="136">
        <f>(IF((VLOOKUP(Table6[[#This Row],[SKU]],'All Skus'!$A:$AC,2,FALSE))="JBL",(VLOOKUP(Table6[[#This Row],[SKU]],'All Skus'!$A:$AC,20,FALSE)),""))</f>
        <v>18</v>
      </c>
      <c r="S156" s="61">
        <f>(IF((VLOOKUP(Table6[[#This Row],[SKU]],'All Skus'!$A:$AC,2,FALSE))="JBL",(VLOOKUP(Table6[[#This Row],[SKU]],'All Skus'!$A:$AC,21,FALSE)),""))</f>
        <v>28</v>
      </c>
      <c r="T156" s="61" t="str">
        <f>(IF((VLOOKUP(Table6[[#This Row],[SKU]],'All Skus'!$A:$AC,2,FALSE))="JBL",(VLOOKUP(Table6[[#This Row],[SKU]],'All Skus'!$A:$AC,22,FALSE)),""))</f>
        <v>CN</v>
      </c>
      <c r="U156" t="str">
        <f>(IF((VLOOKUP(Table6[[#This Row],[SKU]],'All Skus'!$A:$AC,2,FALSE))="JBL",(VLOOKUP(Table6[[#This Row],[SKU]],'All Skus'!$A:$AC,23,FALSE)),""))</f>
        <v>Non Compliant</v>
      </c>
      <c r="V156" s="284" t="str">
        <f>HYPERLINK((IF((VLOOKUP(Table6[[#This Row],[SKU]],'All Skus'!$A:$AC,2,FALSE))="JBL",(VLOOKUP(Table6[[#This Row],[SKU]],'All Skus'!$A:$AC,24,FALSE)),"")))</f>
        <v xml:space="preserve">http://www.jblpro.com/www/products/installed-sound/control-contractor-series/control-31 </v>
      </c>
      <c r="W156" s="151">
        <v>154</v>
      </c>
    </row>
    <row r="157" spans="1:23" ht="15" hidden="1" customHeight="1">
      <c r="A157" s="13" t="s">
        <v>1163</v>
      </c>
      <c r="B157" s="12" t="str">
        <f>(IF((VLOOKUP(Table6[[#This Row],[SKU]],'All Skus'!$A:$AC,2,FALSE))="JBL",(VLOOKUP(Table6[[#This Row],[SKU]],'All Skus'!$A:$AC,3,FALSE)),""))</f>
        <v>Surface-Mount Speaker</v>
      </c>
      <c r="C157" s="12" t="str">
        <f>(IF((VLOOKUP(Table6[[#This Row],[SKU]],'All Skus'!$A:$AC,2,FALSE))="JBL",(VLOOKUP(Table6[[#This Row],[SKU]],'All Skus'!$A:$AC,4,FALSE)),""))</f>
        <v>CONTROL 31-WH</v>
      </c>
      <c r="D157" s="61" t="str">
        <f>(IF((VLOOKUP(Table6[[#This Row],[SKU]],'All Skus'!$A:$AC,2,FALSE))="JBL",(VLOOKUP(Table6[[#This Row],[SKU]],'All Skus'!$A:$AC,5,FALSE)),""))</f>
        <v>JBL018</v>
      </c>
      <c r="E157" s="137">
        <f>(IF((VLOOKUP(Table6[[#This Row],[SKU]],'All Skus'!$A:$AC,2,FALSE))="JBL",(VLOOKUP(Table6[[#This Row],[SKU]],'All Skus'!$A:$AC,6,FALSE)),""))</f>
        <v>0</v>
      </c>
      <c r="F157" s="61">
        <f>(IF((VLOOKUP(Table6[[#This Row],[SKU]],'All Skus'!$A:$AC,2,FALSE))="JBL",(VLOOKUP(Table6[[#This Row],[SKU]],'All Skus'!$A:$AC,7,FALSE)),""))</f>
        <v>0</v>
      </c>
      <c r="G157" t="str">
        <f>(IF((VLOOKUP(Table6[[#This Row],[SKU]],'All Skus'!$A:$AC,2,FALSE))="JBL",(VLOOKUP(Table6[[#This Row],[SKU]],'All Skus'!$A:$AC,8,FALSE)),""))</f>
        <v>2-WAY CONTROL CONTRACTOR ON-WALL SPEAKER W/ 250MM HIGH POWER, IN WHITE</v>
      </c>
      <c r="H157" s="8" t="str">
        <f>(IF((VLOOKUP(Table6[[#This Row],[SKU]],'All Skus'!$A:$AC,2,FALSE))="JBL",(VLOOKUP(Table6[[#This Row],[SKU]],'All Skus'!$A:$AC,9,FALSE)),""))</f>
        <v xml:space="preserve">Two-Way, High Output Indoor-Outdoor Monitor Loudspeaker with 260mm (10 in) LF and 2414H-C Compression Driver.  Extended Bandwidth, Extremely Smooth Response. Outdoor Capability to IP-55.  33 Hz – 19 kHz. 250 Watts,  92 dB Sensitivity.  Included InvisiBall® Hardware Plus Ten 6 mm Attachment Points For Suspension and Optional U-Bracket.  Includes 70V/100V Input Line Transformer with Taps at 150W, 75W, and 38W (Plus 19W  At 70V only), Plus 8 ohm Bypass Position.  593 x 372 x 345 mm (23.3 x 14.6 x 13.5 in).  18.8 kg (41.5 lb). Priced as Each, Packed as Singles.  </v>
      </c>
      <c r="I157" s="101">
        <f>(IF((VLOOKUP(Table6[[#This Row],[SKU]],'All Skus'!$A:$AC,2,FALSE))="JBL",(VLOOKUP(Table6[[#This Row],[SKU]],'All Skus'!$A:$AC,10,FALSE)),""))</f>
        <v>926.68</v>
      </c>
      <c r="J157" s="101">
        <f>(IF((VLOOKUP(Table6[[#This Row],[SKU]],'All Skus'!$A:$AC,2,FALSE))="JBL",(VLOOKUP(Table6[[#This Row],[SKU]],'All Skus'!$A:$AC,11,FALSE)),""))</f>
        <v>741</v>
      </c>
      <c r="K157" s="102">
        <f>(IF((VLOOKUP(Table6[[#This Row],[SKU]],'All Skus'!$A:$AC,2,FALSE))="JBL",(VLOOKUP(Table6[[#This Row],[SKU]],'All Skus'!$A:$AC,13,FALSE)),""))</f>
        <v>512.82425000000001</v>
      </c>
      <c r="L157" s="102">
        <f>(IF((VLOOKUP(Table6[[#This Row],[SKU]],'All Skus'!$A:$AC,2,FALSE))="JBL",(VLOOKUP(Table6[[#This Row],[SKU]],'All Skus'!$A:$AC,14,FALSE)),""))</f>
        <v>485.83350000000007</v>
      </c>
      <c r="M157" s="143">
        <f>(IF((VLOOKUP(Table6[[#This Row],[SKU]],'All Skus'!$A:$AC,2,FALSE))="JBL",(VLOOKUP(Table6[[#This Row],[SKU]],'All Skus'!$A:$AC,15,FALSE)),""))</f>
        <v>0</v>
      </c>
      <c r="N157" s="137">
        <f>(IF((VLOOKUP(Table6[[#This Row],[SKU]],'All Skus'!$A:$AC,2,FALSE))="JBL",(VLOOKUP(Table6[[#This Row],[SKU]],'All Skus'!$A:$AC,16,FALSE)),""))</f>
        <v>691991000812</v>
      </c>
      <c r="O157" s="61">
        <f>(IF((VLOOKUP(Table6[[#This Row],[SKU]],'All Skus'!$A:$AC,2,FALSE))="JBL",(VLOOKUP(Table6[[#This Row],[SKU]],'All Skus'!$A:$AC,17,FALSE)),""))</f>
        <v>0</v>
      </c>
      <c r="P157" s="136">
        <f>(IF((VLOOKUP(Table6[[#This Row],[SKU]],'All Skus'!$A:$AC,2,FALSE))="JBL",(VLOOKUP(Table6[[#This Row],[SKU]],'All Skus'!$A:$AC,18,FALSE)),""))</f>
        <v>22</v>
      </c>
      <c r="Q157" s="136">
        <f>(IF((VLOOKUP(Table6[[#This Row],[SKU]],'All Skus'!$A:$AC,2,FALSE))="JBL",(VLOOKUP(Table6[[#This Row],[SKU]],'All Skus'!$A:$AC,19,FALSE)),""))</f>
        <v>19</v>
      </c>
      <c r="R157" s="136">
        <f>(IF((VLOOKUP(Table6[[#This Row],[SKU]],'All Skus'!$A:$AC,2,FALSE))="JBL",(VLOOKUP(Table6[[#This Row],[SKU]],'All Skus'!$A:$AC,20,FALSE)),""))</f>
        <v>18</v>
      </c>
      <c r="S157" s="61">
        <f>(IF((VLOOKUP(Table6[[#This Row],[SKU]],'All Skus'!$A:$AC,2,FALSE))="JBL",(VLOOKUP(Table6[[#This Row],[SKU]],'All Skus'!$A:$AC,21,FALSE)),""))</f>
        <v>29</v>
      </c>
      <c r="T157" s="61" t="str">
        <f>(IF((VLOOKUP(Table6[[#This Row],[SKU]],'All Skus'!$A:$AC,2,FALSE))="JBL",(VLOOKUP(Table6[[#This Row],[SKU]],'All Skus'!$A:$AC,22,FALSE)),""))</f>
        <v>CN</v>
      </c>
      <c r="U157" t="str">
        <f>(IF((VLOOKUP(Table6[[#This Row],[SKU]],'All Skus'!$A:$AC,2,FALSE))="JBL",(VLOOKUP(Table6[[#This Row],[SKU]],'All Skus'!$A:$AC,23,FALSE)),""))</f>
        <v>Non Compliant</v>
      </c>
      <c r="V157" s="284" t="str">
        <f>HYPERLINK((IF((VLOOKUP(Table6[[#This Row],[SKU]],'All Skus'!$A:$AC,2,FALSE))="JBL",(VLOOKUP(Table6[[#This Row],[SKU]],'All Skus'!$A:$AC,24,FALSE)),"")))</f>
        <v xml:space="preserve">http://www.jblpro.com/www/products/installed-sound/control-contractor-series/control-31 </v>
      </c>
      <c r="W157" s="151">
        <v>155</v>
      </c>
    </row>
    <row r="158" spans="1:23" ht="15" hidden="1" customHeight="1">
      <c r="A158" s="13" t="s">
        <v>1164</v>
      </c>
      <c r="B158" s="12" t="str">
        <f>(IF((VLOOKUP(Table6[[#This Row],[SKU]],'All Skus'!$A:$AC,2,FALSE))="JBL",(VLOOKUP(Table6[[#This Row],[SKU]],'All Skus'!$A:$AC,3,FALSE)),""))</f>
        <v>Surface-Mount Speaker</v>
      </c>
      <c r="C158" s="12" t="str">
        <f>(IF((VLOOKUP(Table6[[#This Row],[SKU]],'All Skus'!$A:$AC,2,FALSE))="JBL",(VLOOKUP(Table6[[#This Row],[SKU]],'All Skus'!$A:$AC,4,FALSE)),""))</f>
        <v>CONTROL HST</v>
      </c>
      <c r="D158" s="61" t="str">
        <f>(IF((VLOOKUP(Table6[[#This Row],[SKU]],'All Skus'!$A:$AC,2,FALSE))="JBL",(VLOOKUP(Table6[[#This Row],[SKU]],'All Skus'!$A:$AC,5,FALSE)),""))</f>
        <v>JBL018</v>
      </c>
      <c r="E158" s="137">
        <f>(IF((VLOOKUP(Table6[[#This Row],[SKU]],'All Skus'!$A:$AC,2,FALSE))="JBL",(VLOOKUP(Table6[[#This Row],[SKU]],'All Skus'!$A:$AC,6,FALSE)),""))</f>
        <v>0</v>
      </c>
      <c r="F158" s="61">
        <f>(IF((VLOOKUP(Table6[[#This Row],[SKU]],'All Skus'!$A:$AC,2,FALSE))="JBL",(VLOOKUP(Table6[[#This Row],[SKU]],'All Skus'!$A:$AC,7,FALSE)),""))</f>
        <v>0</v>
      </c>
      <c r="G158" t="str">
        <f>(IF((VLOOKUP(Table6[[#This Row],[SKU]],'All Skus'!$A:$AC,2,FALSE))="JBL",(VLOOKUP(Table6[[#This Row],[SKU]],'All Skus'!$A:$AC,8,FALSE)),""))</f>
        <v>Control HST - Wide-Coverage On-Wall Speaker</v>
      </c>
      <c r="H158" s="8" t="str">
        <f>(IF((VLOOKUP(Table6[[#This Row],[SKU]],'All Skus'!$A:$AC,2,FALSE))="JBL",(VLOOKUP(Table6[[#This Row],[SKU]],'All Skus'!$A:$AC,9,FALSE)),""))</f>
        <v>Control HST - Wide-Coverage On-Wall Speaker Priced as one pack; Sold and packed as Eaches</v>
      </c>
      <c r="I158" s="101">
        <f>(IF((VLOOKUP(Table6[[#This Row],[SKU]],'All Skus'!$A:$AC,2,FALSE))="JBL",(VLOOKUP(Table6[[#This Row],[SKU]],'All Skus'!$A:$AC,10,FALSE)),""))</f>
        <v>410.21</v>
      </c>
      <c r="J158" s="101">
        <f>(IF((VLOOKUP(Table6[[#This Row],[SKU]],'All Skus'!$A:$AC,2,FALSE))="JBL",(VLOOKUP(Table6[[#This Row],[SKU]],'All Skus'!$A:$AC,11,FALSE)),""))</f>
        <v>329</v>
      </c>
      <c r="K158" s="102">
        <f>(IF((VLOOKUP(Table6[[#This Row],[SKU]],'All Skus'!$A:$AC,2,FALSE))="JBL",(VLOOKUP(Table6[[#This Row],[SKU]],'All Skus'!$A:$AC,13,FALSE)),""))</f>
        <v>227.00478000000001</v>
      </c>
      <c r="L158" s="102">
        <f>(IF((VLOOKUP(Table6[[#This Row],[SKU]],'All Skus'!$A:$AC,2,FALSE))="JBL",(VLOOKUP(Table6[[#This Row],[SKU]],'All Skus'!$A:$AC,14,FALSE)),""))</f>
        <v>215.05716000000001</v>
      </c>
      <c r="M158" s="143">
        <f>(IF((VLOOKUP(Table6[[#This Row],[SKU]],'All Skus'!$A:$AC,2,FALSE))="JBL",(VLOOKUP(Table6[[#This Row],[SKU]],'All Skus'!$A:$AC,15,FALSE)),""))</f>
        <v>0</v>
      </c>
      <c r="N158" s="137">
        <f>(IF((VLOOKUP(Table6[[#This Row],[SKU]],'All Skus'!$A:$AC,2,FALSE))="JBL",(VLOOKUP(Table6[[#This Row],[SKU]],'All Skus'!$A:$AC,16,FALSE)),""))</f>
        <v>691991000775</v>
      </c>
      <c r="O158" s="61">
        <f>(IF((VLOOKUP(Table6[[#This Row],[SKU]],'All Skus'!$A:$AC,2,FALSE))="JBL",(VLOOKUP(Table6[[#This Row],[SKU]],'All Skus'!$A:$AC,17,FALSE)),""))</f>
        <v>0</v>
      </c>
      <c r="P158" s="136">
        <f>(IF((VLOOKUP(Table6[[#This Row],[SKU]],'All Skus'!$A:$AC,2,FALSE))="JBL",(VLOOKUP(Table6[[#This Row],[SKU]],'All Skus'!$A:$AC,18,FALSE)),""))</f>
        <v>10</v>
      </c>
      <c r="Q158" s="136">
        <f>(IF((VLOOKUP(Table6[[#This Row],[SKU]],'All Skus'!$A:$AC,2,FALSE))="JBL",(VLOOKUP(Table6[[#This Row],[SKU]],'All Skus'!$A:$AC,19,FALSE)),""))</f>
        <v>17</v>
      </c>
      <c r="R158" s="136">
        <f>(IF((VLOOKUP(Table6[[#This Row],[SKU]],'All Skus'!$A:$AC,2,FALSE))="JBL",(VLOOKUP(Table6[[#This Row],[SKU]],'All Skus'!$A:$AC,20,FALSE)),""))</f>
        <v>10</v>
      </c>
      <c r="S158" s="61">
        <f>(IF((VLOOKUP(Table6[[#This Row],[SKU]],'All Skus'!$A:$AC,2,FALSE))="JBL",(VLOOKUP(Table6[[#This Row],[SKU]],'All Skus'!$A:$AC,21,FALSE)),""))</f>
        <v>13</v>
      </c>
      <c r="T158" s="61" t="str">
        <f>(IF((VLOOKUP(Table6[[#This Row],[SKU]],'All Skus'!$A:$AC,2,FALSE))="JBL",(VLOOKUP(Table6[[#This Row],[SKU]],'All Skus'!$A:$AC,22,FALSE)),""))</f>
        <v>CN</v>
      </c>
      <c r="U158" t="str">
        <f>(IF((VLOOKUP(Table6[[#This Row],[SKU]],'All Skus'!$A:$AC,2,FALSE))="JBL",(VLOOKUP(Table6[[#This Row],[SKU]],'All Skus'!$A:$AC,23,FALSE)),""))</f>
        <v>Non Compliant</v>
      </c>
      <c r="V158" s="284" t="str">
        <f>HYPERLINK((IF((VLOOKUP(Table6[[#This Row],[SKU]],'All Skus'!$A:$AC,2,FALSE))="JBL",(VLOOKUP(Table6[[#This Row],[SKU]],'All Skus'!$A:$AC,24,FALSE)),"")))</f>
        <v xml:space="preserve">http://www.jblpro.com/www/products/installed-sound/control-hst#.V4Vw7fkrLs0 </v>
      </c>
      <c r="W158" s="151">
        <v>156</v>
      </c>
    </row>
    <row r="159" spans="1:23" ht="15" hidden="1" customHeight="1">
      <c r="A159" s="13" t="s">
        <v>1165</v>
      </c>
      <c r="B159" s="12" t="str">
        <f>(IF((VLOOKUP(Table6[[#This Row],[SKU]],'All Skus'!$A:$AC,2,FALSE))="JBL",(VLOOKUP(Table6[[#This Row],[SKU]],'All Skus'!$A:$AC,3,FALSE)),""))</f>
        <v>Surface-Mount Speaker</v>
      </c>
      <c r="C159" s="12" t="str">
        <f>(IF((VLOOKUP(Table6[[#This Row],[SKU]],'All Skus'!$A:$AC,2,FALSE))="JBL",(VLOOKUP(Table6[[#This Row],[SKU]],'All Skus'!$A:$AC,4,FALSE)),""))</f>
        <v>CONTROL HST-WH</v>
      </c>
      <c r="D159" s="61" t="str">
        <f>(IF((VLOOKUP(Table6[[#This Row],[SKU]],'All Skus'!$A:$AC,2,FALSE))="JBL",(VLOOKUP(Table6[[#This Row],[SKU]],'All Skus'!$A:$AC,5,FALSE)),""))</f>
        <v>JBL018</v>
      </c>
      <c r="E159" s="137">
        <f>(IF((VLOOKUP(Table6[[#This Row],[SKU]],'All Skus'!$A:$AC,2,FALSE))="JBL",(VLOOKUP(Table6[[#This Row],[SKU]],'All Skus'!$A:$AC,6,FALSE)),""))</f>
        <v>0</v>
      </c>
      <c r="F159" s="61">
        <f>(IF((VLOOKUP(Table6[[#This Row],[SKU]],'All Skus'!$A:$AC,2,FALSE))="JBL",(VLOOKUP(Table6[[#This Row],[SKU]],'All Skus'!$A:$AC,7,FALSE)),""))</f>
        <v>0</v>
      </c>
      <c r="G159" t="str">
        <f>(IF((VLOOKUP(Table6[[#This Row],[SKU]],'All Skus'!$A:$AC,2,FALSE))="JBL",(VLOOKUP(Table6[[#This Row],[SKU]],'All Skus'!$A:$AC,8,FALSE)),""))</f>
        <v>Control HST - Wide-Coverage On-Wall Speaker</v>
      </c>
      <c r="H159" s="8" t="str">
        <f>(IF((VLOOKUP(Table6[[#This Row],[SKU]],'All Skus'!$A:$AC,2,FALSE))="JBL",(VLOOKUP(Table6[[#This Row],[SKU]],'All Skus'!$A:$AC,9,FALSE)),""))</f>
        <v>Control HST - Wide-Coverage On-Wall Speaker Priced as one pack;Sold and packed as Eaches</v>
      </c>
      <c r="I159" s="101">
        <f>(IF((VLOOKUP(Table6[[#This Row],[SKU]],'All Skus'!$A:$AC,2,FALSE))="JBL",(VLOOKUP(Table6[[#This Row],[SKU]],'All Skus'!$A:$AC,10,FALSE)),""))</f>
        <v>410.21</v>
      </c>
      <c r="J159" s="101">
        <f>(IF((VLOOKUP(Table6[[#This Row],[SKU]],'All Skus'!$A:$AC,2,FALSE))="JBL",(VLOOKUP(Table6[[#This Row],[SKU]],'All Skus'!$A:$AC,11,FALSE)),""))</f>
        <v>329</v>
      </c>
      <c r="K159" s="102">
        <f>(IF((VLOOKUP(Table6[[#This Row],[SKU]],'All Skus'!$A:$AC,2,FALSE))="JBL",(VLOOKUP(Table6[[#This Row],[SKU]],'All Skus'!$A:$AC,13,FALSE)),""))</f>
        <v>227.00478000000001</v>
      </c>
      <c r="L159" s="102">
        <f>(IF((VLOOKUP(Table6[[#This Row],[SKU]],'All Skus'!$A:$AC,2,FALSE))="JBL",(VLOOKUP(Table6[[#This Row],[SKU]],'All Skus'!$A:$AC,14,FALSE)),""))</f>
        <v>215.05716000000001</v>
      </c>
      <c r="M159" s="143">
        <f>(IF((VLOOKUP(Table6[[#This Row],[SKU]],'All Skus'!$A:$AC,2,FALSE))="JBL",(VLOOKUP(Table6[[#This Row],[SKU]],'All Skus'!$A:$AC,15,FALSE)),""))</f>
        <v>0</v>
      </c>
      <c r="N159" s="137">
        <f>(IF((VLOOKUP(Table6[[#This Row],[SKU]],'All Skus'!$A:$AC,2,FALSE))="JBL",(VLOOKUP(Table6[[#This Row],[SKU]],'All Skus'!$A:$AC,16,FALSE)),""))</f>
        <v>691991000782</v>
      </c>
      <c r="O159" s="61">
        <f>(IF((VLOOKUP(Table6[[#This Row],[SKU]],'All Skus'!$A:$AC,2,FALSE))="JBL",(VLOOKUP(Table6[[#This Row],[SKU]],'All Skus'!$A:$AC,17,FALSE)),""))</f>
        <v>0</v>
      </c>
      <c r="P159" s="136">
        <f>(IF((VLOOKUP(Table6[[#This Row],[SKU]],'All Skus'!$A:$AC,2,FALSE))="JBL",(VLOOKUP(Table6[[#This Row],[SKU]],'All Skus'!$A:$AC,18,FALSE)),""))</f>
        <v>10</v>
      </c>
      <c r="Q159" s="136">
        <f>(IF((VLOOKUP(Table6[[#This Row],[SKU]],'All Skus'!$A:$AC,2,FALSE))="JBL",(VLOOKUP(Table6[[#This Row],[SKU]],'All Skus'!$A:$AC,19,FALSE)),""))</f>
        <v>17</v>
      </c>
      <c r="R159" s="136">
        <f>(IF((VLOOKUP(Table6[[#This Row],[SKU]],'All Skus'!$A:$AC,2,FALSE))="JBL",(VLOOKUP(Table6[[#This Row],[SKU]],'All Skus'!$A:$AC,20,FALSE)),""))</f>
        <v>10</v>
      </c>
      <c r="S159" s="61">
        <f>(IF((VLOOKUP(Table6[[#This Row],[SKU]],'All Skus'!$A:$AC,2,FALSE))="JBL",(VLOOKUP(Table6[[#This Row],[SKU]],'All Skus'!$A:$AC,21,FALSE)),""))</f>
        <v>13</v>
      </c>
      <c r="T159" s="61" t="str">
        <f>(IF((VLOOKUP(Table6[[#This Row],[SKU]],'All Skus'!$A:$AC,2,FALSE))="JBL",(VLOOKUP(Table6[[#This Row],[SKU]],'All Skus'!$A:$AC,22,FALSE)),""))</f>
        <v>CN</v>
      </c>
      <c r="U159" t="str">
        <f>(IF((VLOOKUP(Table6[[#This Row],[SKU]],'All Skus'!$A:$AC,2,FALSE))="JBL",(VLOOKUP(Table6[[#This Row],[SKU]],'All Skus'!$A:$AC,23,FALSE)),""))</f>
        <v>Non Compliant</v>
      </c>
      <c r="V159" s="284" t="str">
        <f>HYPERLINK((IF((VLOOKUP(Table6[[#This Row],[SKU]],'All Skus'!$A:$AC,2,FALSE))="JBL",(VLOOKUP(Table6[[#This Row],[SKU]],'All Skus'!$A:$AC,24,FALSE)),"")))</f>
        <v xml:space="preserve">http://www.jblpro.com/www/products/installed-sound/control-hst#.V4Vw7fkrLs0 </v>
      </c>
      <c r="W159" s="151">
        <v>157</v>
      </c>
    </row>
    <row r="160" spans="1:23" ht="15" hidden="1" customHeight="1">
      <c r="A160" s="13" t="s">
        <v>1166</v>
      </c>
      <c r="B160" s="12" t="str">
        <f>(IF((VLOOKUP(Table6[[#This Row],[SKU]],'All Skus'!$A:$AC,2,FALSE))="JBL",(VLOOKUP(Table6[[#This Row],[SKU]],'All Skus'!$A:$AC,3,FALSE)),""))</f>
        <v>Surface-Mount Speaker</v>
      </c>
      <c r="C160" s="12" t="str">
        <f>(IF((VLOOKUP(Table6[[#This Row],[SKU]],'All Skus'!$A:$AC,2,FALSE))="JBL",(VLOOKUP(Table6[[#This Row],[SKU]],'All Skus'!$A:$AC,4,FALSE)),""))</f>
        <v>CONTROLCRV</v>
      </c>
      <c r="D160" s="61" t="str">
        <f>(IF((VLOOKUP(Table6[[#This Row],[SKU]],'All Skus'!$A:$AC,2,FALSE))="JBL",(VLOOKUP(Table6[[#This Row],[SKU]],'All Skus'!$A:$AC,5,FALSE)),""))</f>
        <v>JBL018</v>
      </c>
      <c r="E160" s="137">
        <f>(IF((VLOOKUP(Table6[[#This Row],[SKU]],'All Skus'!$A:$AC,2,FALSE))="JBL",(VLOOKUP(Table6[[#This Row],[SKU]],'All Skus'!$A:$AC,6,FALSE)),""))</f>
        <v>0</v>
      </c>
      <c r="F160" s="61">
        <f>(IF((VLOOKUP(Table6[[#This Row],[SKU]],'All Skus'!$A:$AC,2,FALSE))="JBL",(VLOOKUP(Table6[[#This Row],[SKU]],'All Skus'!$A:$AC,7,FALSE)),""))</f>
        <v>0</v>
      </c>
      <c r="G160" t="str">
        <f>(IF((VLOOKUP(Table6[[#This Row],[SKU]],'All Skus'!$A:$AC,2,FALSE))="JBL",(VLOOKUP(Table6[[#This Row],[SKU]],'All Skus'!$A:$AC,8,FALSE)),""))</f>
        <v>CONTROL CRV</v>
      </c>
      <c r="H160" s="8" t="str">
        <f>(IF((VLOOKUP(Table6[[#This Row],[SKU]],'All Skus'!$A:$AC,2,FALSE))="JBL",(VLOOKUP(Table6[[#This Row],[SKU]],'All Skus'!$A:$AC,9,FALSE)),""))</f>
        <v>Curved-Design Dual 4" Speaker, selectable 70V/100V or 4 ohm, indoor/outdoor, combinable, 80 Hz - 20 kHz, 75W cont pink (300W peak), wall-mount bracket included (prices as each and sold individually), black. Master Pack Quantity:  4 Pieces Priced as the Kit Sold and Packed as Eaches; Master Pack Qty 4 Pieces</v>
      </c>
      <c r="I160" s="101">
        <f>(IF((VLOOKUP(Table6[[#This Row],[SKU]],'All Skus'!$A:$AC,2,FALSE))="JBL",(VLOOKUP(Table6[[#This Row],[SKU]],'All Skus'!$A:$AC,10,FALSE)),""))</f>
        <v>323.04000000000002</v>
      </c>
      <c r="J160" s="101">
        <f>(IF((VLOOKUP(Table6[[#This Row],[SKU]],'All Skus'!$A:$AC,2,FALSE))="JBL",(VLOOKUP(Table6[[#This Row],[SKU]],'All Skus'!$A:$AC,11,FALSE)),""))</f>
        <v>257</v>
      </c>
      <c r="K160" s="102">
        <f>(IF((VLOOKUP(Table6[[#This Row],[SKU]],'All Skus'!$A:$AC,2,FALSE))="JBL",(VLOOKUP(Table6[[#This Row],[SKU]],'All Skus'!$A:$AC,13,FALSE)),""))</f>
        <v>178.77185499999999</v>
      </c>
      <c r="L160" s="102">
        <f>(IF((VLOOKUP(Table6[[#This Row],[SKU]],'All Skus'!$A:$AC,2,FALSE))="JBL",(VLOOKUP(Table6[[#This Row],[SKU]],'All Skus'!$A:$AC,14,FALSE)),""))</f>
        <v>169.36281000000002</v>
      </c>
      <c r="M160" s="143">
        <f>(IF((VLOOKUP(Table6[[#This Row],[SKU]],'All Skus'!$A:$AC,2,FALSE))="JBL",(VLOOKUP(Table6[[#This Row],[SKU]],'All Skus'!$A:$AC,15,FALSE)),""))</f>
        <v>4</v>
      </c>
      <c r="N160" s="137">
        <f>(IF((VLOOKUP(Table6[[#This Row],[SKU]],'All Skus'!$A:$AC,2,FALSE))="JBL",(VLOOKUP(Table6[[#This Row],[SKU]],'All Skus'!$A:$AC,16,FALSE)),""))</f>
        <v>50036904001</v>
      </c>
      <c r="O160" s="61">
        <f>(IF((VLOOKUP(Table6[[#This Row],[SKU]],'All Skus'!$A:$AC,2,FALSE))="JBL",(VLOOKUP(Table6[[#This Row],[SKU]],'All Skus'!$A:$AC,17,FALSE)),""))</f>
        <v>0</v>
      </c>
      <c r="P160" s="136">
        <f>(IF((VLOOKUP(Table6[[#This Row],[SKU]],'All Skus'!$A:$AC,2,FALSE))="JBL",(VLOOKUP(Table6[[#This Row],[SKU]],'All Skus'!$A:$AC,18,FALSE)),""))</f>
        <v>9.5</v>
      </c>
      <c r="Q160" s="136">
        <f>(IF((VLOOKUP(Table6[[#This Row],[SKU]],'All Skus'!$A:$AC,2,FALSE))="JBL",(VLOOKUP(Table6[[#This Row],[SKU]],'All Skus'!$A:$AC,19,FALSE)),""))</f>
        <v>16</v>
      </c>
      <c r="R160" s="136">
        <f>(IF((VLOOKUP(Table6[[#This Row],[SKU]],'All Skus'!$A:$AC,2,FALSE))="JBL",(VLOOKUP(Table6[[#This Row],[SKU]],'All Skus'!$A:$AC,20,FALSE)),""))</f>
        <v>14</v>
      </c>
      <c r="S160" s="61">
        <f>(IF((VLOOKUP(Table6[[#This Row],[SKU]],'All Skus'!$A:$AC,2,FALSE))="JBL",(VLOOKUP(Table6[[#This Row],[SKU]],'All Skus'!$A:$AC,21,FALSE)),""))</f>
        <v>28</v>
      </c>
      <c r="T160" s="61" t="str">
        <f>(IF((VLOOKUP(Table6[[#This Row],[SKU]],'All Skus'!$A:$AC,2,FALSE))="JBL",(VLOOKUP(Table6[[#This Row],[SKU]],'All Skus'!$A:$AC,22,FALSE)),""))</f>
        <v>CN</v>
      </c>
      <c r="U160" t="str">
        <f>(IF((VLOOKUP(Table6[[#This Row],[SKU]],'All Skus'!$A:$AC,2,FALSE))="JBL",(VLOOKUP(Table6[[#This Row],[SKU]],'All Skus'!$A:$AC,23,FALSE)),""))</f>
        <v>Non Compliant</v>
      </c>
      <c r="V160" s="284" t="str">
        <f>HYPERLINK((IF((VLOOKUP(Table6[[#This Row],[SKU]],'All Skus'!$A:$AC,2,FALSE))="JBL",(VLOOKUP(Table6[[#This Row],[SKU]],'All Skus'!$A:$AC,24,FALSE)),"")))</f>
        <v xml:space="preserve">http://www.jblpro.com/www/products/installed-sound/control-crv#.V4VxM_krLs0 </v>
      </c>
      <c r="W160" s="151">
        <v>158</v>
      </c>
    </row>
    <row r="161" spans="1:23" ht="15" hidden="1" customHeight="1">
      <c r="A161" s="13" t="s">
        <v>1167</v>
      </c>
      <c r="B161" s="12" t="str">
        <f>(IF((VLOOKUP(Table6[[#This Row],[SKU]],'All Skus'!$A:$AC,2,FALSE))="JBL",(VLOOKUP(Table6[[#This Row],[SKU]],'All Skus'!$A:$AC,3,FALSE)),""))</f>
        <v>Surface-Mount Speaker</v>
      </c>
      <c r="C161" s="12" t="str">
        <f>(IF((VLOOKUP(Table6[[#This Row],[SKU]],'All Skus'!$A:$AC,2,FALSE))="JBL",(VLOOKUP(Table6[[#This Row],[SKU]],'All Skus'!$A:$AC,4,FALSE)),""))</f>
        <v>CONTROLCRV-WH</v>
      </c>
      <c r="D161" s="61" t="str">
        <f>(IF((VLOOKUP(Table6[[#This Row],[SKU]],'All Skus'!$A:$AC,2,FALSE))="JBL",(VLOOKUP(Table6[[#This Row],[SKU]],'All Skus'!$A:$AC,5,FALSE)),""))</f>
        <v>JBL018</v>
      </c>
      <c r="E161" s="137">
        <f>(IF((VLOOKUP(Table6[[#This Row],[SKU]],'All Skus'!$A:$AC,2,FALSE))="JBL",(VLOOKUP(Table6[[#This Row],[SKU]],'All Skus'!$A:$AC,6,FALSE)),""))</f>
        <v>0</v>
      </c>
      <c r="F161" s="61">
        <f>(IF((VLOOKUP(Table6[[#This Row],[SKU]],'All Skus'!$A:$AC,2,FALSE))="JBL",(VLOOKUP(Table6[[#This Row],[SKU]],'All Skus'!$A:$AC,7,FALSE)),""))</f>
        <v>0</v>
      </c>
      <c r="G161" t="str">
        <f>(IF((VLOOKUP(Table6[[#This Row],[SKU]],'All Skus'!$A:$AC,2,FALSE))="JBL",(VLOOKUP(Table6[[#This Row],[SKU]],'All Skus'!$A:$AC,8,FALSE)),""))</f>
        <v>CONTROL CRV WHITE</v>
      </c>
      <c r="H161" s="8" t="str">
        <f>(IF((VLOOKUP(Table6[[#This Row],[SKU]],'All Skus'!$A:$AC,2,FALSE))="JBL",(VLOOKUP(Table6[[#This Row],[SKU]],'All Skus'!$A:$AC,9,FALSE)),""))</f>
        <v>Curved-Design Dual 4" Speaker, selectable 70V/100V or 4 ohm, indoor/outdoor, combinable, 80 Hz - 20 kHz, 75W cont pink (300W peak), wall-mount bracket included (prices as each and sold individually), white. Master Pack Quantity:  4 Pieces Priced as the Kit Sold and Packed as Eaches; Master Pack Qty 4 Pieces</v>
      </c>
      <c r="I161" s="101">
        <f>(IF((VLOOKUP(Table6[[#This Row],[SKU]],'All Skus'!$A:$AC,2,FALSE))="JBL",(VLOOKUP(Table6[[#This Row],[SKU]],'All Skus'!$A:$AC,10,FALSE)),""))</f>
        <v>323.04000000000002</v>
      </c>
      <c r="J161" s="101">
        <f>(IF((VLOOKUP(Table6[[#This Row],[SKU]],'All Skus'!$A:$AC,2,FALSE))="JBL",(VLOOKUP(Table6[[#This Row],[SKU]],'All Skus'!$A:$AC,11,FALSE)),""))</f>
        <v>257</v>
      </c>
      <c r="K161" s="102">
        <f>(IF((VLOOKUP(Table6[[#This Row],[SKU]],'All Skus'!$A:$AC,2,FALSE))="JBL",(VLOOKUP(Table6[[#This Row],[SKU]],'All Skus'!$A:$AC,13,FALSE)),""))</f>
        <v>178.77185499999999</v>
      </c>
      <c r="L161" s="102">
        <f>(IF((VLOOKUP(Table6[[#This Row],[SKU]],'All Skus'!$A:$AC,2,FALSE))="JBL",(VLOOKUP(Table6[[#This Row],[SKU]],'All Skus'!$A:$AC,14,FALSE)),""))</f>
        <v>169.36281000000002</v>
      </c>
      <c r="M161" s="143">
        <f>(IF((VLOOKUP(Table6[[#This Row],[SKU]],'All Skus'!$A:$AC,2,FALSE))="JBL",(VLOOKUP(Table6[[#This Row],[SKU]],'All Skus'!$A:$AC,15,FALSE)),""))</f>
        <v>4</v>
      </c>
      <c r="N161" s="137">
        <f>(IF((VLOOKUP(Table6[[#This Row],[SKU]],'All Skus'!$A:$AC,2,FALSE))="JBL",(VLOOKUP(Table6[[#This Row],[SKU]],'All Skus'!$A:$AC,16,FALSE)),""))</f>
        <v>50036904018</v>
      </c>
      <c r="O161" s="61">
        <f>(IF((VLOOKUP(Table6[[#This Row],[SKU]],'All Skus'!$A:$AC,2,FALSE))="JBL",(VLOOKUP(Table6[[#This Row],[SKU]],'All Skus'!$A:$AC,17,FALSE)),""))</f>
        <v>0</v>
      </c>
      <c r="P161" s="136">
        <f>(IF((VLOOKUP(Table6[[#This Row],[SKU]],'All Skus'!$A:$AC,2,FALSE))="JBL",(VLOOKUP(Table6[[#This Row],[SKU]],'All Skus'!$A:$AC,18,FALSE)),""))</f>
        <v>9.75</v>
      </c>
      <c r="Q161" s="136">
        <f>(IF((VLOOKUP(Table6[[#This Row],[SKU]],'All Skus'!$A:$AC,2,FALSE))="JBL",(VLOOKUP(Table6[[#This Row],[SKU]],'All Skus'!$A:$AC,19,FALSE)),""))</f>
        <v>28</v>
      </c>
      <c r="R161" s="136">
        <f>(IF((VLOOKUP(Table6[[#This Row],[SKU]],'All Skus'!$A:$AC,2,FALSE))="JBL",(VLOOKUP(Table6[[#This Row],[SKU]],'All Skus'!$A:$AC,20,FALSE)),""))</f>
        <v>16</v>
      </c>
      <c r="S161" s="61">
        <f>(IF((VLOOKUP(Table6[[#This Row],[SKU]],'All Skus'!$A:$AC,2,FALSE))="JBL",(VLOOKUP(Table6[[#This Row],[SKU]],'All Skus'!$A:$AC,21,FALSE)),""))</f>
        <v>15</v>
      </c>
      <c r="T161" s="61" t="str">
        <f>(IF((VLOOKUP(Table6[[#This Row],[SKU]],'All Skus'!$A:$AC,2,FALSE))="JBL",(VLOOKUP(Table6[[#This Row],[SKU]],'All Skus'!$A:$AC,22,FALSE)),""))</f>
        <v>MX</v>
      </c>
      <c r="U161" t="str">
        <f>(IF((VLOOKUP(Table6[[#This Row],[SKU]],'All Skus'!$A:$AC,2,FALSE))="JBL",(VLOOKUP(Table6[[#This Row],[SKU]],'All Skus'!$A:$AC,23,FALSE)),""))</f>
        <v>Compliant</v>
      </c>
      <c r="V161" s="284" t="str">
        <f>HYPERLINK((IF((VLOOKUP(Table6[[#This Row],[SKU]],'All Skus'!$A:$AC,2,FALSE))="JBL",(VLOOKUP(Table6[[#This Row],[SKU]],'All Skus'!$A:$AC,24,FALSE)),"")))</f>
        <v xml:space="preserve">http://www.jblpro.com/www/products/installed-sound/control-crv#.V4VxM_krLs0 </v>
      </c>
      <c r="W161" s="151">
        <v>159</v>
      </c>
    </row>
    <row r="162" spans="1:23" ht="15" hidden="1" customHeight="1">
      <c r="A162" s="13" t="s">
        <v>1168</v>
      </c>
      <c r="B162" s="12" t="str">
        <f>(IF((VLOOKUP(Table6[[#This Row],[SKU]],'All Skus'!$A:$AC,2,FALSE))="JBL",(VLOOKUP(Table6[[#This Row],[SKU]],'All Skus'!$A:$AC,3,FALSE)),""))</f>
        <v>Surface-Mount Speaker</v>
      </c>
      <c r="C162" s="12" t="str">
        <f>(IF((VLOOKUP(Table6[[#This Row],[SKU]],'All Skus'!$A:$AC,2,FALSE))="JBL",(VLOOKUP(Table6[[#This Row],[SKU]],'All Skus'!$A:$AC,4,FALSE)),""))</f>
        <v>CONTROL SB2210</v>
      </c>
      <c r="D162" s="61" t="str">
        <f>(IF((VLOOKUP(Table6[[#This Row],[SKU]],'All Skus'!$A:$AC,2,FALSE))="JBL",(VLOOKUP(Table6[[#This Row],[SKU]],'All Skus'!$A:$AC,5,FALSE)),""))</f>
        <v>JBL018</v>
      </c>
      <c r="E162" s="137">
        <f>(IF((VLOOKUP(Table6[[#This Row],[SKU]],'All Skus'!$A:$AC,2,FALSE))="JBL",(VLOOKUP(Table6[[#This Row],[SKU]],'All Skus'!$A:$AC,6,FALSE)),""))</f>
        <v>0</v>
      </c>
      <c r="F162" s="61">
        <f>(IF((VLOOKUP(Table6[[#This Row],[SKU]],'All Skus'!$A:$AC,2,FALSE))="JBL",(VLOOKUP(Table6[[#This Row],[SKU]],'All Skus'!$A:$AC,7,FALSE)),""))</f>
        <v>0</v>
      </c>
      <c r="G162" t="str">
        <f>(IF((VLOOKUP(Table6[[#This Row],[SKU]],'All Skus'!$A:$AC,2,FALSE))="JBL",(VLOOKUP(Table6[[#This Row],[SKU]],'All Skus'!$A:$AC,8,FALSE)),""))</f>
        <v>COMPACT DUAL 10" SUBWOOFER, BLK</v>
      </c>
      <c r="H162" s="8" t="str">
        <f>(IF((VLOOKUP(Table6[[#This Row],[SKU]],'All Skus'!$A:$AC,2,FALSE))="JBL",(VLOOKUP(Table6[[#This Row],[SKU]],'All Skus'!$A:$AC,9,FALSE)),""))</f>
        <v>Compact, Low Profile, High-Power Subwoofer with 2 x 250mm (10 Inch) Woven-Fiberglass Cone Drivers. 500 Watts Cont. Pink Noise Power Handling (2000W peak), 13 M6 Suspension Points, feet, Optional U-bracket. 38 Hz-500 Hz Frequency Range, 355 x 590 x 570 mm, (14 x 23.3 x 22.5 In). Black. Priced and sold individually. Sold and packed as Eaches</v>
      </c>
      <c r="I162" s="101">
        <f>(IF((VLOOKUP(Table6[[#This Row],[SKU]],'All Skus'!$A:$AC,2,FALSE))="JBL",(VLOOKUP(Table6[[#This Row],[SKU]],'All Skus'!$A:$AC,10,FALSE)),""))</f>
        <v>957.56</v>
      </c>
      <c r="J162" s="101">
        <f>(IF((VLOOKUP(Table6[[#This Row],[SKU]],'All Skus'!$A:$AC,2,FALSE))="JBL",(VLOOKUP(Table6[[#This Row],[SKU]],'All Skus'!$A:$AC,11,FALSE)),""))</f>
        <v>768</v>
      </c>
      <c r="K162" s="102">
        <f>(IF((VLOOKUP(Table6[[#This Row],[SKU]],'All Skus'!$A:$AC,2,FALSE))="JBL",(VLOOKUP(Table6[[#This Row],[SKU]],'All Skus'!$A:$AC,13,FALSE)),""))</f>
        <v>529.91161499999998</v>
      </c>
      <c r="L162" s="102">
        <f>(IF((VLOOKUP(Table6[[#This Row],[SKU]],'All Skus'!$A:$AC,2,FALSE))="JBL",(VLOOKUP(Table6[[#This Row],[SKU]],'All Skus'!$A:$AC,14,FALSE)),""))</f>
        <v>502.02152999999998</v>
      </c>
      <c r="M162" s="143">
        <f>(IF((VLOOKUP(Table6[[#This Row],[SKU]],'All Skus'!$A:$AC,2,FALSE))="JBL",(VLOOKUP(Table6[[#This Row],[SKU]],'All Skus'!$A:$AC,15,FALSE)),""))</f>
        <v>0</v>
      </c>
      <c r="N162" s="137">
        <f>(IF((VLOOKUP(Table6[[#This Row],[SKU]],'All Skus'!$A:$AC,2,FALSE))="JBL",(VLOOKUP(Table6[[#This Row],[SKU]],'All Skus'!$A:$AC,16,FALSE)),""))</f>
        <v>691991004322</v>
      </c>
      <c r="O162" s="61">
        <f>(IF((VLOOKUP(Table6[[#This Row],[SKU]],'All Skus'!$A:$AC,2,FALSE))="JBL",(VLOOKUP(Table6[[#This Row],[SKU]],'All Skus'!$A:$AC,17,FALSE)),""))</f>
        <v>0</v>
      </c>
      <c r="P162" s="136">
        <f>(IF((VLOOKUP(Table6[[#This Row],[SKU]],'All Skus'!$A:$AC,2,FALSE))="JBL",(VLOOKUP(Table6[[#This Row],[SKU]],'All Skus'!$A:$AC,18,FALSE)),""))</f>
        <v>59</v>
      </c>
      <c r="Q162" s="136">
        <f>(IF((VLOOKUP(Table6[[#This Row],[SKU]],'All Skus'!$A:$AC,2,FALSE))="JBL",(VLOOKUP(Table6[[#This Row],[SKU]],'All Skus'!$A:$AC,19,FALSE)),""))</f>
        <v>29</v>
      </c>
      <c r="R162" s="136">
        <f>(IF((VLOOKUP(Table6[[#This Row],[SKU]],'All Skus'!$A:$AC,2,FALSE))="JBL",(VLOOKUP(Table6[[#This Row],[SKU]],'All Skus'!$A:$AC,20,FALSE)),""))</f>
        <v>28</v>
      </c>
      <c r="S162" s="61">
        <f>(IF((VLOOKUP(Table6[[#This Row],[SKU]],'All Skus'!$A:$AC,2,FALSE))="JBL",(VLOOKUP(Table6[[#This Row],[SKU]],'All Skus'!$A:$AC,21,FALSE)),""))</f>
        <v>20</v>
      </c>
      <c r="T162" s="61" t="str">
        <f>(IF((VLOOKUP(Table6[[#This Row],[SKU]],'All Skus'!$A:$AC,2,FALSE))="JBL",(VLOOKUP(Table6[[#This Row],[SKU]],'All Skus'!$A:$AC,22,FALSE)),""))</f>
        <v>CN</v>
      </c>
      <c r="U162" t="str">
        <f>(IF((VLOOKUP(Table6[[#This Row],[SKU]],'All Skus'!$A:$AC,2,FALSE))="JBL",(VLOOKUP(Table6[[#This Row],[SKU]],'All Skus'!$A:$AC,23,FALSE)),""))</f>
        <v>Non Compliant</v>
      </c>
      <c r="V162" s="284" t="str">
        <f>HYPERLINK((IF((VLOOKUP(Table6[[#This Row],[SKU]],'All Skus'!$A:$AC,2,FALSE))="JBL",(VLOOKUP(Table6[[#This Row],[SKU]],'All Skus'!$A:$AC,24,FALSE)),"")))</f>
        <v xml:space="preserve">http://www.jblpro.com/www/products/installed-sound/control-contractor-series/control-sb2210 </v>
      </c>
      <c r="W162" s="151">
        <v>160</v>
      </c>
    </row>
    <row r="163" spans="1:23" ht="15" hidden="1" customHeight="1">
      <c r="A163" s="13" t="s">
        <v>1169</v>
      </c>
      <c r="B163" s="12" t="str">
        <f>(IF((VLOOKUP(Table6[[#This Row],[SKU]],'All Skus'!$A:$AC,2,FALSE))="JBL",(VLOOKUP(Table6[[#This Row],[SKU]],'All Skus'!$A:$AC,3,FALSE)),""))</f>
        <v>Surface-Mount Speaker</v>
      </c>
      <c r="C163" s="12" t="str">
        <f>(IF((VLOOKUP(Table6[[#This Row],[SKU]],'All Skus'!$A:$AC,2,FALSE))="JBL",(VLOOKUP(Table6[[#This Row],[SKU]],'All Skus'!$A:$AC,4,FALSE)),""))</f>
        <v>CONTROL SB2210-WH</v>
      </c>
      <c r="D163" s="61" t="str">
        <f>(IF((VLOOKUP(Table6[[#This Row],[SKU]],'All Skus'!$A:$AC,2,FALSE))="JBL",(VLOOKUP(Table6[[#This Row],[SKU]],'All Skus'!$A:$AC,5,FALSE)),""))</f>
        <v>JBL018</v>
      </c>
      <c r="E163" s="137">
        <f>(IF((VLOOKUP(Table6[[#This Row],[SKU]],'All Skus'!$A:$AC,2,FALSE))="JBL",(VLOOKUP(Table6[[#This Row],[SKU]],'All Skus'!$A:$AC,6,FALSE)),""))</f>
        <v>0</v>
      </c>
      <c r="F163" s="61">
        <f>(IF((VLOOKUP(Table6[[#This Row],[SKU]],'All Skus'!$A:$AC,2,FALSE))="JBL",(VLOOKUP(Table6[[#This Row],[SKU]],'All Skus'!$A:$AC,7,FALSE)),""))</f>
        <v>0</v>
      </c>
      <c r="G163" t="str">
        <f>(IF((VLOOKUP(Table6[[#This Row],[SKU]],'All Skus'!$A:$AC,2,FALSE))="JBL",(VLOOKUP(Table6[[#This Row],[SKU]],'All Skus'!$A:$AC,8,FALSE)),""))</f>
        <v>COMPACT DUAL 10" SUBWOOFER, WHT</v>
      </c>
      <c r="H163" s="8" t="str">
        <f>(IF((VLOOKUP(Table6[[#This Row],[SKU]],'All Skus'!$A:$AC,2,FALSE))="JBL",(VLOOKUP(Table6[[#This Row],[SKU]],'All Skus'!$A:$AC,9,FALSE)),""))</f>
        <v>Compact, Low Profile, High-Power Subwoofer with 2 x 250mm (10 Inch) Woven-Fiberglass Cone Drivers. 500 Watts Cont. Pink Noise Power Handling (2000W peak), 13 M6 Suspension Points, feet, Optional U-bracket. 38 Hz-500 Hz Frequency Range, 355 x 590 x 570 mm, (14 x 23.3 x 22.5 In). White. Priced and sold individually. Sold and packed as Eaches</v>
      </c>
      <c r="I163" s="101">
        <f>(IF((VLOOKUP(Table6[[#This Row],[SKU]],'All Skus'!$A:$AC,2,FALSE))="JBL",(VLOOKUP(Table6[[#This Row],[SKU]],'All Skus'!$A:$AC,10,FALSE)),""))</f>
        <v>957.56</v>
      </c>
      <c r="J163" s="101">
        <f>(IF((VLOOKUP(Table6[[#This Row],[SKU]],'All Skus'!$A:$AC,2,FALSE))="JBL",(VLOOKUP(Table6[[#This Row],[SKU]],'All Skus'!$A:$AC,11,FALSE)),""))</f>
        <v>768</v>
      </c>
      <c r="K163" s="102">
        <f>(IF((VLOOKUP(Table6[[#This Row],[SKU]],'All Skus'!$A:$AC,2,FALSE))="JBL",(VLOOKUP(Table6[[#This Row],[SKU]],'All Skus'!$A:$AC,13,FALSE)),""))</f>
        <v>529.91161499999998</v>
      </c>
      <c r="L163" s="102">
        <f>(IF((VLOOKUP(Table6[[#This Row],[SKU]],'All Skus'!$A:$AC,2,FALSE))="JBL",(VLOOKUP(Table6[[#This Row],[SKU]],'All Skus'!$A:$AC,14,FALSE)),""))</f>
        <v>502.02152999999998</v>
      </c>
      <c r="M163" s="143">
        <f>(IF((VLOOKUP(Table6[[#This Row],[SKU]],'All Skus'!$A:$AC,2,FALSE))="JBL",(VLOOKUP(Table6[[#This Row],[SKU]],'All Skus'!$A:$AC,15,FALSE)),""))</f>
        <v>0</v>
      </c>
      <c r="N163" s="137">
        <f>(IF((VLOOKUP(Table6[[#This Row],[SKU]],'All Skus'!$A:$AC,2,FALSE))="JBL",(VLOOKUP(Table6[[#This Row],[SKU]],'All Skus'!$A:$AC,16,FALSE)),""))</f>
        <v>691991004339</v>
      </c>
      <c r="O163" s="61">
        <f>(IF((VLOOKUP(Table6[[#This Row],[SKU]],'All Skus'!$A:$AC,2,FALSE))="JBL",(VLOOKUP(Table6[[#This Row],[SKU]],'All Skus'!$A:$AC,17,FALSE)),""))</f>
        <v>0</v>
      </c>
      <c r="P163" s="136">
        <f>(IF((VLOOKUP(Table6[[#This Row],[SKU]],'All Skus'!$A:$AC,2,FALSE))="JBL",(VLOOKUP(Table6[[#This Row],[SKU]],'All Skus'!$A:$AC,18,FALSE)),""))</f>
        <v>59.5</v>
      </c>
      <c r="Q163" s="136">
        <f>(IF((VLOOKUP(Table6[[#This Row],[SKU]],'All Skus'!$A:$AC,2,FALSE))="JBL",(VLOOKUP(Table6[[#This Row],[SKU]],'All Skus'!$A:$AC,19,FALSE)),""))</f>
        <v>29</v>
      </c>
      <c r="R163" s="136">
        <f>(IF((VLOOKUP(Table6[[#This Row],[SKU]],'All Skus'!$A:$AC,2,FALSE))="JBL",(VLOOKUP(Table6[[#This Row],[SKU]],'All Skus'!$A:$AC,20,FALSE)),""))</f>
        <v>28</v>
      </c>
      <c r="S163" s="61">
        <f>(IF((VLOOKUP(Table6[[#This Row],[SKU]],'All Skus'!$A:$AC,2,FALSE))="JBL",(VLOOKUP(Table6[[#This Row],[SKU]],'All Skus'!$A:$AC,21,FALSE)),""))</f>
        <v>20</v>
      </c>
      <c r="T163" s="61" t="str">
        <f>(IF((VLOOKUP(Table6[[#This Row],[SKU]],'All Skus'!$A:$AC,2,FALSE))="JBL",(VLOOKUP(Table6[[#This Row],[SKU]],'All Skus'!$A:$AC,22,FALSE)),""))</f>
        <v>CN</v>
      </c>
      <c r="U163">
        <f>(IF((VLOOKUP(Table6[[#This Row],[SKU]],'All Skus'!$A:$AC,2,FALSE))="JBL",(VLOOKUP(Table6[[#This Row],[SKU]],'All Skus'!$A:$AC,23,FALSE)),""))</f>
        <v>0</v>
      </c>
      <c r="V163" s="284" t="str">
        <f>HYPERLINK((IF((VLOOKUP(Table6[[#This Row],[SKU]],'All Skus'!$A:$AC,2,FALSE))="JBL",(VLOOKUP(Table6[[#This Row],[SKU]],'All Skus'!$A:$AC,24,FALSE)),"")))</f>
        <v xml:space="preserve">http://www.jblpro.com/www/products/installed-sound/control-contractor-series/control-sb2210 </v>
      </c>
      <c r="W163" s="151">
        <v>161</v>
      </c>
    </row>
    <row r="164" spans="1:23" ht="15" hidden="1" customHeight="1">
      <c r="A164" s="13" t="s">
        <v>1170</v>
      </c>
      <c r="B164" s="12" t="str">
        <f>(IF((VLOOKUP(Table6[[#This Row],[SKU]],'All Skus'!$A:$AC,2,FALSE))="JBL",(VLOOKUP(Table6[[#This Row],[SKU]],'All Skus'!$A:$AC,3,FALSE)),""))</f>
        <v>Accessory</v>
      </c>
      <c r="C164" s="12" t="str">
        <f>(IF((VLOOKUP(Table6[[#This Row],[SKU]],'All Skus'!$A:$AC,2,FALSE))="JBL",(VLOOKUP(Table6[[#This Row],[SKU]],'All Skus'!$A:$AC,4,FALSE)),""))</f>
        <v>MTC-210UB</v>
      </c>
      <c r="D164" s="61" t="str">
        <f>(IF((VLOOKUP(Table6[[#This Row],[SKU]],'All Skus'!$A:$AC,2,FALSE))="JBL",(VLOOKUP(Table6[[#This Row],[SKU]],'All Skus'!$A:$AC,5,FALSE)),""))</f>
        <v>JBL018</v>
      </c>
      <c r="E164" s="137">
        <f>(IF((VLOOKUP(Table6[[#This Row],[SKU]],'All Skus'!$A:$AC,2,FALSE))="JBL",(VLOOKUP(Table6[[#This Row],[SKU]],'All Skus'!$A:$AC,6,FALSE)),""))</f>
        <v>0</v>
      </c>
      <c r="F164" s="61">
        <f>(IF((VLOOKUP(Table6[[#This Row],[SKU]],'All Skus'!$A:$AC,2,FALSE))="JBL",(VLOOKUP(Table6[[#This Row],[SKU]],'All Skus'!$A:$AC,7,FALSE)),""))</f>
        <v>0</v>
      </c>
      <c r="G164" t="str">
        <f>(IF((VLOOKUP(Table6[[#This Row],[SKU]],'All Skus'!$A:$AC,2,FALSE))="JBL",(VLOOKUP(Table6[[#This Row],[SKU]],'All Skus'!$A:$AC,8,FALSE)),""))</f>
        <v>MOUNTING BRACKET, FOR CONTROL SB-210</v>
      </c>
      <c r="H164" s="8" t="str">
        <f>(IF((VLOOKUP(Table6[[#This Row],[SKU]],'All Skus'!$A:$AC,2,FALSE))="JBL",(VLOOKUP(Table6[[#This Row],[SKU]],'All Skus'!$A:$AC,9,FALSE)),""))</f>
        <v>U-Bracket for Control SB-2210 Subwoofer, Black. Priced as one pack; Sold and packed as Eaches</v>
      </c>
      <c r="I164" s="101">
        <f>(IF((VLOOKUP(Table6[[#This Row],[SKU]],'All Skus'!$A:$AC,2,FALSE))="JBL",(VLOOKUP(Table6[[#This Row],[SKU]],'All Skus'!$A:$AC,10,FALSE)),""))</f>
        <v>117.91</v>
      </c>
      <c r="J164" s="101">
        <f>(IF((VLOOKUP(Table6[[#This Row],[SKU]],'All Skus'!$A:$AC,2,FALSE))="JBL",(VLOOKUP(Table6[[#This Row],[SKU]],'All Skus'!$A:$AC,11,FALSE)),""))</f>
        <v>117.91</v>
      </c>
      <c r="K164" s="102">
        <f>(IF((VLOOKUP(Table6[[#This Row],[SKU]],'All Skus'!$A:$AC,2,FALSE))="JBL",(VLOOKUP(Table6[[#This Row],[SKU]],'All Skus'!$A:$AC,13,FALSE)),""))</f>
        <v>65.259299999999996</v>
      </c>
      <c r="L164" s="102">
        <f>(IF((VLOOKUP(Table6[[#This Row],[SKU]],'All Skus'!$A:$AC,2,FALSE))="JBL",(VLOOKUP(Table6[[#This Row],[SKU]],'All Skus'!$A:$AC,14,FALSE)),""))</f>
        <v>61.824600000000004</v>
      </c>
      <c r="M164" s="143">
        <f>(IF((VLOOKUP(Table6[[#This Row],[SKU]],'All Skus'!$A:$AC,2,FALSE))="JBL",(VLOOKUP(Table6[[#This Row],[SKU]],'All Skus'!$A:$AC,15,FALSE)),""))</f>
        <v>0</v>
      </c>
      <c r="N164" s="137">
        <f>(IF((VLOOKUP(Table6[[#This Row],[SKU]],'All Skus'!$A:$AC,2,FALSE))="JBL",(VLOOKUP(Table6[[#This Row],[SKU]],'All Skus'!$A:$AC,16,FALSE)),""))</f>
        <v>50036904728</v>
      </c>
      <c r="O164" s="61">
        <f>(IF((VLOOKUP(Table6[[#This Row],[SKU]],'All Skus'!$A:$AC,2,FALSE))="JBL",(VLOOKUP(Table6[[#This Row],[SKU]],'All Skus'!$A:$AC,17,FALSE)),""))</f>
        <v>0</v>
      </c>
      <c r="P164" s="136">
        <f>(IF((VLOOKUP(Table6[[#This Row],[SKU]],'All Skus'!$A:$AC,2,FALSE))="JBL",(VLOOKUP(Table6[[#This Row],[SKU]],'All Skus'!$A:$AC,18,FALSE)),""))</f>
        <v>9</v>
      </c>
      <c r="Q164" s="136">
        <f>(IF((VLOOKUP(Table6[[#This Row],[SKU]],'All Skus'!$A:$AC,2,FALSE))="JBL",(VLOOKUP(Table6[[#This Row],[SKU]],'All Skus'!$A:$AC,19,FALSE)),""))</f>
        <v>28</v>
      </c>
      <c r="R164" s="136">
        <f>(IF((VLOOKUP(Table6[[#This Row],[SKU]],'All Skus'!$A:$AC,2,FALSE))="JBL",(VLOOKUP(Table6[[#This Row],[SKU]],'All Skus'!$A:$AC,20,FALSE)),""))</f>
        <v>17</v>
      </c>
      <c r="S164" s="61">
        <f>(IF((VLOOKUP(Table6[[#This Row],[SKU]],'All Skus'!$A:$AC,2,FALSE))="JBL",(VLOOKUP(Table6[[#This Row],[SKU]],'All Skus'!$A:$AC,21,FALSE)),""))</f>
        <v>5</v>
      </c>
      <c r="T164" s="61" t="str">
        <f>(IF((VLOOKUP(Table6[[#This Row],[SKU]],'All Skus'!$A:$AC,2,FALSE))="JBL",(VLOOKUP(Table6[[#This Row],[SKU]],'All Skus'!$A:$AC,22,FALSE)),""))</f>
        <v>US</v>
      </c>
      <c r="U164" t="str">
        <f>(IF((VLOOKUP(Table6[[#This Row],[SKU]],'All Skus'!$A:$AC,2,FALSE))="JBL",(VLOOKUP(Table6[[#This Row],[SKU]],'All Skus'!$A:$AC,23,FALSE)),""))</f>
        <v>Compliant</v>
      </c>
      <c r="V164" s="284" t="str">
        <f>HYPERLINK((IF((VLOOKUP(Table6[[#This Row],[SKU]],'All Skus'!$A:$AC,2,FALSE))="JBL",(VLOOKUP(Table6[[#This Row],[SKU]],'All Skus'!$A:$AC,24,FALSE)),"")))</f>
        <v/>
      </c>
      <c r="W164" s="151">
        <v>162</v>
      </c>
    </row>
    <row r="165" spans="1:23" ht="15" hidden="1" customHeight="1">
      <c r="A165" s="13" t="s">
        <v>1171</v>
      </c>
      <c r="B165" s="12" t="str">
        <f>(IF((VLOOKUP(Table6[[#This Row],[SKU]],'All Skus'!$A:$AC,2,FALSE))="JBL",(VLOOKUP(Table6[[#This Row],[SKU]],'All Skus'!$A:$AC,3,FALSE)),""))</f>
        <v>Accessory</v>
      </c>
      <c r="C165" s="12" t="str">
        <f>(IF((VLOOKUP(Table6[[#This Row],[SKU]],'All Skus'!$A:$AC,2,FALSE))="JBL",(VLOOKUP(Table6[[#This Row],[SKU]],'All Skus'!$A:$AC,4,FALSE)),""))</f>
        <v>MTC-210UB-WH</v>
      </c>
      <c r="D165" s="61" t="str">
        <f>(IF((VLOOKUP(Table6[[#This Row],[SKU]],'All Skus'!$A:$AC,2,FALSE))="JBL",(VLOOKUP(Table6[[#This Row],[SKU]],'All Skus'!$A:$AC,5,FALSE)),""))</f>
        <v>JBL018</v>
      </c>
      <c r="E165" s="137">
        <f>(IF((VLOOKUP(Table6[[#This Row],[SKU]],'All Skus'!$A:$AC,2,FALSE))="JBL",(VLOOKUP(Table6[[#This Row],[SKU]],'All Skus'!$A:$AC,6,FALSE)),""))</f>
        <v>0</v>
      </c>
      <c r="F165" s="61">
        <f>(IF((VLOOKUP(Table6[[#This Row],[SKU]],'All Skus'!$A:$AC,2,FALSE))="JBL",(VLOOKUP(Table6[[#This Row],[SKU]],'All Skus'!$A:$AC,7,FALSE)),""))</f>
        <v>0</v>
      </c>
      <c r="G165" t="str">
        <f>(IF((VLOOKUP(Table6[[#This Row],[SKU]],'All Skus'!$A:$AC,2,FALSE))="JBL",(VLOOKUP(Table6[[#This Row],[SKU]],'All Skus'!$A:$AC,8,FALSE)),""))</f>
        <v>MOUNTING BRACKET, FOR CONTROL SB-210</v>
      </c>
      <c r="H165" s="8" t="str">
        <f>(IF((VLOOKUP(Table6[[#This Row],[SKU]],'All Skus'!$A:$AC,2,FALSE))="JBL",(VLOOKUP(Table6[[#This Row],[SKU]],'All Skus'!$A:$AC,9,FALSE)),""))</f>
        <v>U-Bracket for Control SB-2210 Subwoofer, White Priced as one pack; Sold and packed as Eaches</v>
      </c>
      <c r="I165" s="101">
        <f>(IF((VLOOKUP(Table6[[#This Row],[SKU]],'All Skus'!$A:$AC,2,FALSE))="JBL",(VLOOKUP(Table6[[#This Row],[SKU]],'All Skus'!$A:$AC,10,FALSE)),""))</f>
        <v>117.91</v>
      </c>
      <c r="J165" s="101">
        <f>(IF((VLOOKUP(Table6[[#This Row],[SKU]],'All Skus'!$A:$AC,2,FALSE))="JBL",(VLOOKUP(Table6[[#This Row],[SKU]],'All Skus'!$A:$AC,11,FALSE)),""))</f>
        <v>117.91</v>
      </c>
      <c r="K165" s="102">
        <f>(IF((VLOOKUP(Table6[[#This Row],[SKU]],'All Skus'!$A:$AC,2,FALSE))="JBL",(VLOOKUP(Table6[[#This Row],[SKU]],'All Skus'!$A:$AC,13,FALSE)),""))</f>
        <v>0</v>
      </c>
      <c r="L165" s="102">
        <f>(IF((VLOOKUP(Table6[[#This Row],[SKU]],'All Skus'!$A:$AC,2,FALSE))="JBL",(VLOOKUP(Table6[[#This Row],[SKU]],'All Skus'!$A:$AC,14,FALSE)),""))</f>
        <v>0</v>
      </c>
      <c r="M165" s="143">
        <f>(IF((VLOOKUP(Table6[[#This Row],[SKU]],'All Skus'!$A:$AC,2,FALSE))="JBL",(VLOOKUP(Table6[[#This Row],[SKU]],'All Skus'!$A:$AC,15,FALSE)),""))</f>
        <v>0</v>
      </c>
      <c r="N165" s="137">
        <f>(IF((VLOOKUP(Table6[[#This Row],[SKU]],'All Skus'!$A:$AC,2,FALSE))="JBL",(VLOOKUP(Table6[[#This Row],[SKU]],'All Skus'!$A:$AC,16,FALSE)),""))</f>
        <v>691991300325</v>
      </c>
      <c r="O165" s="61">
        <f>(IF((VLOOKUP(Table6[[#This Row],[SKU]],'All Skus'!$A:$AC,2,FALSE))="JBL",(VLOOKUP(Table6[[#This Row],[SKU]],'All Skus'!$A:$AC,17,FALSE)),""))</f>
        <v>0</v>
      </c>
      <c r="P165" s="136">
        <f>(IF((VLOOKUP(Table6[[#This Row],[SKU]],'All Skus'!$A:$AC,2,FALSE))="JBL",(VLOOKUP(Table6[[#This Row],[SKU]],'All Skus'!$A:$AC,18,FALSE)),""))</f>
        <v>20</v>
      </c>
      <c r="Q165" s="136">
        <f>(IF((VLOOKUP(Table6[[#This Row],[SKU]],'All Skus'!$A:$AC,2,FALSE))="JBL",(VLOOKUP(Table6[[#This Row],[SKU]],'All Skus'!$A:$AC,19,FALSE)),""))</f>
        <v>5</v>
      </c>
      <c r="R165" s="136">
        <f>(IF((VLOOKUP(Table6[[#This Row],[SKU]],'All Skus'!$A:$AC,2,FALSE))="JBL",(VLOOKUP(Table6[[#This Row],[SKU]],'All Skus'!$A:$AC,20,FALSE)),""))</f>
        <v>17</v>
      </c>
      <c r="S165" s="61">
        <f>(IF((VLOOKUP(Table6[[#This Row],[SKU]],'All Skus'!$A:$AC,2,FALSE))="JBL",(VLOOKUP(Table6[[#This Row],[SKU]],'All Skus'!$A:$AC,21,FALSE)),""))</f>
        <v>28</v>
      </c>
      <c r="T165" s="61" t="str">
        <f>(IF((VLOOKUP(Table6[[#This Row],[SKU]],'All Skus'!$A:$AC,2,FALSE))="JBL",(VLOOKUP(Table6[[#This Row],[SKU]],'All Skus'!$A:$AC,22,FALSE)),""))</f>
        <v>CN</v>
      </c>
      <c r="U165" t="str">
        <f>(IF((VLOOKUP(Table6[[#This Row],[SKU]],'All Skus'!$A:$AC,2,FALSE))="JBL",(VLOOKUP(Table6[[#This Row],[SKU]],'All Skus'!$A:$AC,23,FALSE)),""))</f>
        <v>Non Compliant</v>
      </c>
      <c r="V165" s="284" t="str">
        <f>HYPERLINK((IF((VLOOKUP(Table6[[#This Row],[SKU]],'All Skus'!$A:$AC,2,FALSE))="JBL",(VLOOKUP(Table6[[#This Row],[SKU]],'All Skus'!$A:$AC,24,FALSE)),"")))</f>
        <v/>
      </c>
      <c r="W165" s="151">
        <v>163</v>
      </c>
    </row>
    <row r="166" spans="1:23" ht="15" hidden="1" customHeight="1">
      <c r="A166" s="13" t="s">
        <v>1172</v>
      </c>
      <c r="B166" s="12" t="str">
        <f>(IF((VLOOKUP(Table6[[#This Row],[SKU]],'All Skus'!$A:$AC,2,FALSE))="JBL",(VLOOKUP(Table6[[#This Row],[SKU]],'All Skus'!$A:$AC,3,FALSE)),""))</f>
        <v>Accessory</v>
      </c>
      <c r="C166" s="12" t="str">
        <f>(IF((VLOOKUP(Table6[[#This Row],[SKU]],'All Skus'!$A:$AC,2,FALSE))="JBL",(VLOOKUP(Table6[[#This Row],[SKU]],'All Skus'!$A:$AC,4,FALSE)),""))</f>
        <v>MTC-23CM</v>
      </c>
      <c r="D166" s="61" t="str">
        <f>(IF((VLOOKUP(Table6[[#This Row],[SKU]],'All Skus'!$A:$AC,2,FALSE))="JBL",(VLOOKUP(Table6[[#This Row],[SKU]],'All Skus'!$A:$AC,5,FALSE)),""))</f>
        <v>JBL018</v>
      </c>
      <c r="E166" s="137">
        <f>(IF((VLOOKUP(Table6[[#This Row],[SKU]],'All Skus'!$A:$AC,2,FALSE))="JBL",(VLOOKUP(Table6[[#This Row],[SKU]],'All Skus'!$A:$AC,6,FALSE)),""))</f>
        <v>0</v>
      </c>
      <c r="F166" s="61">
        <f>(IF((VLOOKUP(Table6[[#This Row],[SKU]],'All Skus'!$A:$AC,2,FALSE))="JBL",(VLOOKUP(Table6[[#This Row],[SKU]],'All Skus'!$A:$AC,7,FALSE)),""))</f>
        <v>0</v>
      </c>
      <c r="G166" t="str">
        <f>(IF((VLOOKUP(Table6[[#This Row],[SKU]],'All Skus'!$A:$AC,2,FALSE))="JBL",(VLOOKUP(Table6[[#This Row],[SKU]],'All Skus'!$A:$AC,8,FALSE)),""))</f>
        <v>CEILING MT. ADPT C/23-1PR PER BOX</v>
      </c>
      <c r="H166" s="8" t="str">
        <f>(IF((VLOOKUP(Table6[[#This Row],[SKU]],'All Skus'!$A:$AC,2,FALSE))="JBL",(VLOOKUP(Table6[[#This Row],[SKU]],'All Skus'!$A:$AC,9,FALSE)),""))</f>
        <v>Ceiling-Mount Adapter for Control 23,  Black.  Each Pack Contains 2 Pieces. Priced as one pack; one pack contains 2 Pieces)”</v>
      </c>
      <c r="I166" s="101">
        <f>(IF((VLOOKUP(Table6[[#This Row],[SKU]],'All Skus'!$A:$AC,2,FALSE))="JBL",(VLOOKUP(Table6[[#This Row],[SKU]],'All Skus'!$A:$AC,10,FALSE)),""))</f>
        <v>19.97</v>
      </c>
      <c r="J166" s="101">
        <f>(IF((VLOOKUP(Table6[[#This Row],[SKU]],'All Skus'!$A:$AC,2,FALSE))="JBL",(VLOOKUP(Table6[[#This Row],[SKU]],'All Skus'!$A:$AC,11,FALSE)),""))</f>
        <v>19.97</v>
      </c>
      <c r="K166" s="102">
        <f>(IF((VLOOKUP(Table6[[#This Row],[SKU]],'All Skus'!$A:$AC,2,FALSE))="JBL",(VLOOKUP(Table6[[#This Row],[SKU]],'All Skus'!$A:$AC,13,FALSE)),""))</f>
        <v>0</v>
      </c>
      <c r="L166" s="102">
        <f>(IF((VLOOKUP(Table6[[#This Row],[SKU]],'All Skus'!$A:$AC,2,FALSE))="JBL",(VLOOKUP(Table6[[#This Row],[SKU]],'All Skus'!$A:$AC,14,FALSE)),""))</f>
        <v>0</v>
      </c>
      <c r="M166" s="143">
        <f>(IF((VLOOKUP(Table6[[#This Row],[SKU]],'All Skus'!$A:$AC,2,FALSE))="JBL",(VLOOKUP(Table6[[#This Row],[SKU]],'All Skus'!$A:$AC,15,FALSE)),""))</f>
        <v>0</v>
      </c>
      <c r="N166" s="137">
        <f>(IF((VLOOKUP(Table6[[#This Row],[SKU]],'All Skus'!$A:$AC,2,FALSE))="JBL",(VLOOKUP(Table6[[#This Row],[SKU]],'All Skus'!$A:$AC,16,FALSE)),""))</f>
        <v>691991300332</v>
      </c>
      <c r="O166" s="61">
        <f>(IF((VLOOKUP(Table6[[#This Row],[SKU]],'All Skus'!$A:$AC,2,FALSE))="JBL",(VLOOKUP(Table6[[#This Row],[SKU]],'All Skus'!$A:$AC,17,FALSE)),""))</f>
        <v>0</v>
      </c>
      <c r="P166" s="136">
        <f>(IF((VLOOKUP(Table6[[#This Row],[SKU]],'All Skus'!$A:$AC,2,FALSE))="JBL",(VLOOKUP(Table6[[#This Row],[SKU]],'All Skus'!$A:$AC,18,FALSE)),""))</f>
        <v>1</v>
      </c>
      <c r="Q166" s="136">
        <f>(IF((VLOOKUP(Table6[[#This Row],[SKU]],'All Skus'!$A:$AC,2,FALSE))="JBL",(VLOOKUP(Table6[[#This Row],[SKU]],'All Skus'!$A:$AC,19,FALSE)),""))</f>
        <v>6</v>
      </c>
      <c r="R166" s="136">
        <f>(IF((VLOOKUP(Table6[[#This Row],[SKU]],'All Skus'!$A:$AC,2,FALSE))="JBL",(VLOOKUP(Table6[[#This Row],[SKU]],'All Skus'!$A:$AC,20,FALSE)),""))</f>
        <v>2</v>
      </c>
      <c r="S166" s="61">
        <f>(IF((VLOOKUP(Table6[[#This Row],[SKU]],'All Skus'!$A:$AC,2,FALSE))="JBL",(VLOOKUP(Table6[[#This Row],[SKU]],'All Skus'!$A:$AC,21,FALSE)),""))</f>
        <v>2</v>
      </c>
      <c r="T166" s="61" t="str">
        <f>(IF((VLOOKUP(Table6[[#This Row],[SKU]],'All Skus'!$A:$AC,2,FALSE))="JBL",(VLOOKUP(Table6[[#This Row],[SKU]],'All Skus'!$A:$AC,22,FALSE)),""))</f>
        <v>CN</v>
      </c>
      <c r="U166" t="str">
        <f>(IF((VLOOKUP(Table6[[#This Row],[SKU]],'All Skus'!$A:$AC,2,FALSE))="JBL",(VLOOKUP(Table6[[#This Row],[SKU]],'All Skus'!$A:$AC,23,FALSE)),""))</f>
        <v>Non Compliant</v>
      </c>
      <c r="V166" s="284" t="str">
        <f>HYPERLINK((IF((VLOOKUP(Table6[[#This Row],[SKU]],'All Skus'!$A:$AC,2,FALSE))="JBL",(VLOOKUP(Table6[[#This Row],[SKU]],'All Skus'!$A:$AC,24,FALSE)),"")))</f>
        <v/>
      </c>
      <c r="W166" s="151">
        <v>164</v>
      </c>
    </row>
    <row r="167" spans="1:23" ht="15" hidden="1" customHeight="1">
      <c r="A167" s="13" t="s">
        <v>1173</v>
      </c>
      <c r="B167" s="12" t="str">
        <f>(IF((VLOOKUP(Table6[[#This Row],[SKU]],'All Skus'!$A:$AC,2,FALSE))="JBL",(VLOOKUP(Table6[[#This Row],[SKU]],'All Skus'!$A:$AC,3,FALSE)),""))</f>
        <v>Accessory</v>
      </c>
      <c r="C167" s="12" t="str">
        <f>(IF((VLOOKUP(Table6[[#This Row],[SKU]],'All Skus'!$A:$AC,2,FALSE))="JBL",(VLOOKUP(Table6[[#This Row],[SKU]],'All Skus'!$A:$AC,4,FALSE)),""))</f>
        <v>MTC-23CM-WH</v>
      </c>
      <c r="D167" s="61" t="str">
        <f>(IF((VLOOKUP(Table6[[#This Row],[SKU]],'All Skus'!$A:$AC,2,FALSE))="JBL",(VLOOKUP(Table6[[#This Row],[SKU]],'All Skus'!$A:$AC,5,FALSE)),""))</f>
        <v>JBL018</v>
      </c>
      <c r="E167" s="137">
        <f>(IF((VLOOKUP(Table6[[#This Row],[SKU]],'All Skus'!$A:$AC,2,FALSE))="JBL",(VLOOKUP(Table6[[#This Row],[SKU]],'All Skus'!$A:$AC,6,FALSE)),""))</f>
        <v>0</v>
      </c>
      <c r="F167" s="61">
        <f>(IF((VLOOKUP(Table6[[#This Row],[SKU]],'All Skus'!$A:$AC,2,FALSE))="JBL",(VLOOKUP(Table6[[#This Row],[SKU]],'All Skus'!$A:$AC,7,FALSE)),""))</f>
        <v>0</v>
      </c>
      <c r="G167" t="str">
        <f>(IF((VLOOKUP(Table6[[#This Row],[SKU]],'All Skus'!$A:$AC,2,FALSE))="JBL",(VLOOKUP(Table6[[#This Row],[SKU]],'All Skus'!$A:$AC,8,FALSE)),""))</f>
        <v>CEILING MT. ADPT C/23-1PR PER BOX-WHITE</v>
      </c>
      <c r="H167" s="8" t="str">
        <f>(IF((VLOOKUP(Table6[[#This Row],[SKU]],'All Skus'!$A:$AC,2,FALSE))="JBL",(VLOOKUP(Table6[[#This Row],[SKU]],'All Skus'!$A:$AC,9,FALSE)),""))</f>
        <v>Ceiling-Mount Adapter for Control 23,  White.  Each Pack Contains 2 Pieces. Priced as one pack; one pack contains 2 Pieces)”</v>
      </c>
      <c r="I167" s="101">
        <f>(IF((VLOOKUP(Table6[[#This Row],[SKU]],'All Skus'!$A:$AC,2,FALSE))="JBL",(VLOOKUP(Table6[[#This Row],[SKU]],'All Skus'!$A:$AC,10,FALSE)),""))</f>
        <v>21.22</v>
      </c>
      <c r="J167" s="101">
        <f>(IF((VLOOKUP(Table6[[#This Row],[SKU]],'All Skus'!$A:$AC,2,FALSE))="JBL",(VLOOKUP(Table6[[#This Row],[SKU]],'All Skus'!$A:$AC,11,FALSE)),""))</f>
        <v>21.22</v>
      </c>
      <c r="K167" s="102">
        <f>(IF((VLOOKUP(Table6[[#This Row],[SKU]],'All Skus'!$A:$AC,2,FALSE))="JBL",(VLOOKUP(Table6[[#This Row],[SKU]],'All Skus'!$A:$AC,13,FALSE)),""))</f>
        <v>0</v>
      </c>
      <c r="L167" s="102">
        <f>(IF((VLOOKUP(Table6[[#This Row],[SKU]],'All Skus'!$A:$AC,2,FALSE))="JBL",(VLOOKUP(Table6[[#This Row],[SKU]],'All Skus'!$A:$AC,14,FALSE)),""))</f>
        <v>0</v>
      </c>
      <c r="M167" s="143">
        <f>(IF((VLOOKUP(Table6[[#This Row],[SKU]],'All Skus'!$A:$AC,2,FALSE))="JBL",(VLOOKUP(Table6[[#This Row],[SKU]],'All Skus'!$A:$AC,15,FALSE)),""))</f>
        <v>0</v>
      </c>
      <c r="N167" s="137">
        <f>(IF((VLOOKUP(Table6[[#This Row],[SKU]],'All Skus'!$A:$AC,2,FALSE))="JBL",(VLOOKUP(Table6[[#This Row],[SKU]],'All Skus'!$A:$AC,16,FALSE)),""))</f>
        <v>691991300349</v>
      </c>
      <c r="O167" s="61">
        <f>(IF((VLOOKUP(Table6[[#This Row],[SKU]],'All Skus'!$A:$AC,2,FALSE))="JBL",(VLOOKUP(Table6[[#This Row],[SKU]],'All Skus'!$A:$AC,17,FALSE)),""))</f>
        <v>0</v>
      </c>
      <c r="P167" s="136">
        <f>(IF((VLOOKUP(Table6[[#This Row],[SKU]],'All Skus'!$A:$AC,2,FALSE))="JBL",(VLOOKUP(Table6[[#This Row],[SKU]],'All Skus'!$A:$AC,18,FALSE)),""))</f>
        <v>1</v>
      </c>
      <c r="Q167" s="136">
        <f>(IF((VLOOKUP(Table6[[#This Row],[SKU]],'All Skus'!$A:$AC,2,FALSE))="JBL",(VLOOKUP(Table6[[#This Row],[SKU]],'All Skus'!$A:$AC,19,FALSE)),""))</f>
        <v>6</v>
      </c>
      <c r="R167" s="136">
        <f>(IF((VLOOKUP(Table6[[#This Row],[SKU]],'All Skus'!$A:$AC,2,FALSE))="JBL",(VLOOKUP(Table6[[#This Row],[SKU]],'All Skus'!$A:$AC,20,FALSE)),""))</f>
        <v>2</v>
      </c>
      <c r="S167" s="61">
        <f>(IF((VLOOKUP(Table6[[#This Row],[SKU]],'All Skus'!$A:$AC,2,FALSE))="JBL",(VLOOKUP(Table6[[#This Row],[SKU]],'All Skus'!$A:$AC,21,FALSE)),""))</f>
        <v>2</v>
      </c>
      <c r="T167" s="61" t="str">
        <f>(IF((VLOOKUP(Table6[[#This Row],[SKU]],'All Skus'!$A:$AC,2,FALSE))="JBL",(VLOOKUP(Table6[[#This Row],[SKU]],'All Skus'!$A:$AC,22,FALSE)),""))</f>
        <v>CN</v>
      </c>
      <c r="U167" t="str">
        <f>(IF((VLOOKUP(Table6[[#This Row],[SKU]],'All Skus'!$A:$AC,2,FALSE))="JBL",(VLOOKUP(Table6[[#This Row],[SKU]],'All Skus'!$A:$AC,23,FALSE)),""))</f>
        <v>Non Compliant</v>
      </c>
      <c r="V167" s="284" t="str">
        <f>HYPERLINK((IF((VLOOKUP(Table6[[#This Row],[SKU]],'All Skus'!$A:$AC,2,FALSE))="JBL",(VLOOKUP(Table6[[#This Row],[SKU]],'All Skus'!$A:$AC,24,FALSE)),"")))</f>
        <v/>
      </c>
      <c r="W167" s="151">
        <v>165</v>
      </c>
    </row>
    <row r="168" spans="1:23" ht="15" hidden="1" customHeight="1">
      <c r="A168" s="13" t="s">
        <v>1174</v>
      </c>
      <c r="B168" s="12" t="str">
        <f>(IF((VLOOKUP(Table6[[#This Row],[SKU]],'All Skus'!$A:$AC,2,FALSE))="JBL",(VLOOKUP(Table6[[#This Row],[SKU]],'All Skus'!$A:$AC,3,FALSE)),""))</f>
        <v>Accessory</v>
      </c>
      <c r="C168" s="12" t="str">
        <f>(IF((VLOOKUP(Table6[[#This Row],[SKU]],'All Skus'!$A:$AC,2,FALSE))="JBL",(VLOOKUP(Table6[[#This Row],[SKU]],'All Skus'!$A:$AC,4,FALSE)),""))</f>
        <v>MTC-23UB-1</v>
      </c>
      <c r="D168" s="61" t="str">
        <f>(IF((VLOOKUP(Table6[[#This Row],[SKU]],'All Skus'!$A:$AC,2,FALSE))="JBL",(VLOOKUP(Table6[[#This Row],[SKU]],'All Skus'!$A:$AC,5,FALSE)),""))</f>
        <v>JBL018</v>
      </c>
      <c r="E168" s="137">
        <f>(IF((VLOOKUP(Table6[[#This Row],[SKU]],'All Skus'!$A:$AC,2,FALSE))="JBL",(VLOOKUP(Table6[[#This Row],[SKU]],'All Skus'!$A:$AC,6,FALSE)),""))</f>
        <v>0</v>
      </c>
      <c r="F168" s="61">
        <f>(IF((VLOOKUP(Table6[[#This Row],[SKU]],'All Skus'!$A:$AC,2,FALSE))="JBL",(VLOOKUP(Table6[[#This Row],[SKU]],'All Skus'!$A:$AC,7,FALSE)),""))</f>
        <v>0</v>
      </c>
      <c r="G168" t="str">
        <f>(IF((VLOOKUP(Table6[[#This Row],[SKU]],'All Skus'!$A:$AC,2,FALSE))="JBL",(VLOOKUP(Table6[[#This Row],[SKU]],'All Skus'!$A:$AC,8,FALSE)),""))</f>
        <v>U-BRACKET FOR CONTROL 23-1/1L, BLK</v>
      </c>
      <c r="H168" s="8" t="str">
        <f>(IF((VLOOKUP(Table6[[#This Row],[SKU]],'All Skus'!$A:$AC,2,FALSE))="JBL",(VLOOKUP(Table6[[#This Row],[SKU]],'All Skus'!$A:$AC,9,FALSE)),""))</f>
        <v>U-Bracket for Control 23-1 &amp; 23-1L. Black. Priced and packaged individually.  Master Pack = 6 pcs. Sold and packed as Eaches</v>
      </c>
      <c r="I168" s="101">
        <f>(IF((VLOOKUP(Table6[[#This Row],[SKU]],'All Skus'!$A:$AC,2,FALSE))="JBL",(VLOOKUP(Table6[[#This Row],[SKU]],'All Skus'!$A:$AC,10,FALSE)),""))</f>
        <v>38.68</v>
      </c>
      <c r="J168" s="101">
        <f>(IF((VLOOKUP(Table6[[#This Row],[SKU]],'All Skus'!$A:$AC,2,FALSE))="JBL",(VLOOKUP(Table6[[#This Row],[SKU]],'All Skus'!$A:$AC,11,FALSE)),""))</f>
        <v>38.68</v>
      </c>
      <c r="K168" s="102">
        <f>(IF((VLOOKUP(Table6[[#This Row],[SKU]],'All Skus'!$A:$AC,2,FALSE))="JBL",(VLOOKUP(Table6[[#This Row],[SKU]],'All Skus'!$A:$AC,13,FALSE)),""))</f>
        <v>0</v>
      </c>
      <c r="L168" s="102">
        <f>(IF((VLOOKUP(Table6[[#This Row],[SKU]],'All Skus'!$A:$AC,2,FALSE))="JBL",(VLOOKUP(Table6[[#This Row],[SKU]],'All Skus'!$A:$AC,14,FALSE)),""))</f>
        <v>0</v>
      </c>
      <c r="M168" s="143">
        <f>(IF((VLOOKUP(Table6[[#This Row],[SKU]],'All Skus'!$A:$AC,2,FALSE))="JBL",(VLOOKUP(Table6[[#This Row],[SKU]],'All Skus'!$A:$AC,15,FALSE)),""))</f>
        <v>0</v>
      </c>
      <c r="N168" s="137">
        <f>(IF((VLOOKUP(Table6[[#This Row],[SKU]],'All Skus'!$A:$AC,2,FALSE))="JBL",(VLOOKUP(Table6[[#This Row],[SKU]],'All Skus'!$A:$AC,16,FALSE)),""))</f>
        <v>691991005213</v>
      </c>
      <c r="O168" s="61">
        <f>(IF((VLOOKUP(Table6[[#This Row],[SKU]],'All Skus'!$A:$AC,2,FALSE))="JBL",(VLOOKUP(Table6[[#This Row],[SKU]],'All Skus'!$A:$AC,17,FALSE)),""))</f>
        <v>0</v>
      </c>
      <c r="P168" s="136">
        <f>(IF((VLOOKUP(Table6[[#This Row],[SKU]],'All Skus'!$A:$AC,2,FALSE))="JBL",(VLOOKUP(Table6[[#This Row],[SKU]],'All Skus'!$A:$AC,18,FALSE)),""))</f>
        <v>1</v>
      </c>
      <c r="Q168" s="136">
        <f>(IF((VLOOKUP(Table6[[#This Row],[SKU]],'All Skus'!$A:$AC,2,FALSE))="JBL",(VLOOKUP(Table6[[#This Row],[SKU]],'All Skus'!$A:$AC,19,FALSE)),""))</f>
        <v>4.5</v>
      </c>
      <c r="R168" s="136">
        <f>(IF((VLOOKUP(Table6[[#This Row],[SKU]],'All Skus'!$A:$AC,2,FALSE))="JBL",(VLOOKUP(Table6[[#This Row],[SKU]],'All Skus'!$A:$AC,20,FALSE)),""))</f>
        <v>9</v>
      </c>
      <c r="S168" s="61">
        <f>(IF((VLOOKUP(Table6[[#This Row],[SKU]],'All Skus'!$A:$AC,2,FALSE))="JBL",(VLOOKUP(Table6[[#This Row],[SKU]],'All Skus'!$A:$AC,21,FALSE)),""))</f>
        <v>5.5</v>
      </c>
      <c r="T168" s="61" t="str">
        <f>(IF((VLOOKUP(Table6[[#This Row],[SKU]],'All Skus'!$A:$AC,2,FALSE))="JBL",(VLOOKUP(Table6[[#This Row],[SKU]],'All Skus'!$A:$AC,22,FALSE)),""))</f>
        <v>CN</v>
      </c>
      <c r="U168" t="str">
        <f>(IF((VLOOKUP(Table6[[#This Row],[SKU]],'All Skus'!$A:$AC,2,FALSE))="JBL",(VLOOKUP(Table6[[#This Row],[SKU]],'All Skus'!$A:$AC,23,FALSE)),""))</f>
        <v>Non Compliant</v>
      </c>
      <c r="V168" s="284" t="str">
        <f>HYPERLINK((IF((VLOOKUP(Table6[[#This Row],[SKU]],'All Skus'!$A:$AC,2,FALSE))="JBL",(VLOOKUP(Table6[[#This Row],[SKU]],'All Skus'!$A:$AC,24,FALSE)),"")))</f>
        <v/>
      </c>
      <c r="W168" s="151">
        <v>166</v>
      </c>
    </row>
    <row r="169" spans="1:23" ht="15" hidden="1" customHeight="1">
      <c r="A169" s="13" t="s">
        <v>1175</v>
      </c>
      <c r="B169" s="12" t="str">
        <f>(IF((VLOOKUP(Table6[[#This Row],[SKU]],'All Skus'!$A:$AC,2,FALSE))="JBL",(VLOOKUP(Table6[[#This Row],[SKU]],'All Skus'!$A:$AC,3,FALSE)),""))</f>
        <v>Accessory</v>
      </c>
      <c r="C169" s="12" t="str">
        <f>(IF((VLOOKUP(Table6[[#This Row],[SKU]],'All Skus'!$A:$AC,2,FALSE))="JBL",(VLOOKUP(Table6[[#This Row],[SKU]],'All Skus'!$A:$AC,4,FALSE)),""))</f>
        <v>MTC-23UB-1-WH</v>
      </c>
      <c r="D169" s="61" t="str">
        <f>(IF((VLOOKUP(Table6[[#This Row],[SKU]],'All Skus'!$A:$AC,2,FALSE))="JBL",(VLOOKUP(Table6[[#This Row],[SKU]],'All Skus'!$A:$AC,5,FALSE)),""))</f>
        <v>JBL018</v>
      </c>
      <c r="E169" s="137">
        <f>(IF((VLOOKUP(Table6[[#This Row],[SKU]],'All Skus'!$A:$AC,2,FALSE))="JBL",(VLOOKUP(Table6[[#This Row],[SKU]],'All Skus'!$A:$AC,6,FALSE)),""))</f>
        <v>0</v>
      </c>
      <c r="F169" s="61">
        <f>(IF((VLOOKUP(Table6[[#This Row],[SKU]],'All Skus'!$A:$AC,2,FALSE))="JBL",(VLOOKUP(Table6[[#This Row],[SKU]],'All Skus'!$A:$AC,7,FALSE)),""))</f>
        <v>0</v>
      </c>
      <c r="G169" t="str">
        <f>(IF((VLOOKUP(Table6[[#This Row],[SKU]],'All Skus'!$A:$AC,2,FALSE))="JBL",(VLOOKUP(Table6[[#This Row],[SKU]],'All Skus'!$A:$AC,8,FALSE)),""))</f>
        <v>U-BRACKET FOR CONTROL 23-1/1L, WHT</v>
      </c>
      <c r="H169" s="8" t="str">
        <f>(IF((VLOOKUP(Table6[[#This Row],[SKU]],'All Skus'!$A:$AC,2,FALSE))="JBL",(VLOOKUP(Table6[[#This Row],[SKU]],'All Skus'!$A:$AC,9,FALSE)),""))</f>
        <v>MTC-23UB-1 in white. Sold and packed as Eaches</v>
      </c>
      <c r="I169" s="101">
        <f>(IF((VLOOKUP(Table6[[#This Row],[SKU]],'All Skus'!$A:$AC,2,FALSE))="JBL",(VLOOKUP(Table6[[#This Row],[SKU]],'All Skus'!$A:$AC,10,FALSE)),""))</f>
        <v>38.68</v>
      </c>
      <c r="J169" s="101">
        <f>(IF((VLOOKUP(Table6[[#This Row],[SKU]],'All Skus'!$A:$AC,2,FALSE))="JBL",(VLOOKUP(Table6[[#This Row],[SKU]],'All Skus'!$A:$AC,11,FALSE)),""))</f>
        <v>38.68</v>
      </c>
      <c r="K169" s="102">
        <f>(IF((VLOOKUP(Table6[[#This Row],[SKU]],'All Skus'!$A:$AC,2,FALSE))="JBL",(VLOOKUP(Table6[[#This Row],[SKU]],'All Skus'!$A:$AC,13,FALSE)),""))</f>
        <v>0</v>
      </c>
      <c r="L169" s="102">
        <f>(IF((VLOOKUP(Table6[[#This Row],[SKU]],'All Skus'!$A:$AC,2,FALSE))="JBL",(VLOOKUP(Table6[[#This Row],[SKU]],'All Skus'!$A:$AC,14,FALSE)),""))</f>
        <v>0</v>
      </c>
      <c r="M169" s="143">
        <f>(IF((VLOOKUP(Table6[[#This Row],[SKU]],'All Skus'!$A:$AC,2,FALSE))="JBL",(VLOOKUP(Table6[[#This Row],[SKU]],'All Skus'!$A:$AC,15,FALSE)),""))</f>
        <v>0</v>
      </c>
      <c r="N169" s="137">
        <f>(IF((VLOOKUP(Table6[[#This Row],[SKU]],'All Skus'!$A:$AC,2,FALSE))="JBL",(VLOOKUP(Table6[[#This Row],[SKU]],'All Skus'!$A:$AC,16,FALSE)),""))</f>
        <v>691991005220</v>
      </c>
      <c r="O169" s="61">
        <f>(IF((VLOOKUP(Table6[[#This Row],[SKU]],'All Skus'!$A:$AC,2,FALSE))="JBL",(VLOOKUP(Table6[[#This Row],[SKU]],'All Skus'!$A:$AC,17,FALSE)),""))</f>
        <v>0</v>
      </c>
      <c r="P169" s="136">
        <f>(IF((VLOOKUP(Table6[[#This Row],[SKU]],'All Skus'!$A:$AC,2,FALSE))="JBL",(VLOOKUP(Table6[[#This Row],[SKU]],'All Skus'!$A:$AC,18,FALSE)),""))</f>
        <v>1</v>
      </c>
      <c r="Q169" s="136">
        <f>(IF((VLOOKUP(Table6[[#This Row],[SKU]],'All Skus'!$A:$AC,2,FALSE))="JBL",(VLOOKUP(Table6[[#This Row],[SKU]],'All Skus'!$A:$AC,19,FALSE)),""))</f>
        <v>4.5</v>
      </c>
      <c r="R169" s="136">
        <f>(IF((VLOOKUP(Table6[[#This Row],[SKU]],'All Skus'!$A:$AC,2,FALSE))="JBL",(VLOOKUP(Table6[[#This Row],[SKU]],'All Skus'!$A:$AC,20,FALSE)),""))</f>
        <v>9</v>
      </c>
      <c r="S169" s="61">
        <f>(IF((VLOOKUP(Table6[[#This Row],[SKU]],'All Skus'!$A:$AC,2,FALSE))="JBL",(VLOOKUP(Table6[[#This Row],[SKU]],'All Skus'!$A:$AC,21,FALSE)),""))</f>
        <v>5.5</v>
      </c>
      <c r="T169" s="61" t="str">
        <f>(IF((VLOOKUP(Table6[[#This Row],[SKU]],'All Skus'!$A:$AC,2,FALSE))="JBL",(VLOOKUP(Table6[[#This Row],[SKU]],'All Skus'!$A:$AC,22,FALSE)),""))</f>
        <v>US</v>
      </c>
      <c r="U169" t="str">
        <f>(IF((VLOOKUP(Table6[[#This Row],[SKU]],'All Skus'!$A:$AC,2,FALSE))="JBL",(VLOOKUP(Table6[[#This Row],[SKU]],'All Skus'!$A:$AC,23,FALSE)),""))</f>
        <v>Compliant</v>
      </c>
      <c r="V169" s="284" t="str">
        <f>HYPERLINK((IF((VLOOKUP(Table6[[#This Row],[SKU]],'All Skus'!$A:$AC,2,FALSE))="JBL",(VLOOKUP(Table6[[#This Row],[SKU]],'All Skus'!$A:$AC,24,FALSE)),"")))</f>
        <v xml:space="preserve">http://www.jblpro.com/ProductAttachments/brktmanl.pdf </v>
      </c>
      <c r="W169" s="151">
        <v>167</v>
      </c>
    </row>
    <row r="170" spans="1:23" ht="15" hidden="1" customHeight="1">
      <c r="A170" s="13" t="s">
        <v>1176</v>
      </c>
      <c r="B170" s="12" t="str">
        <f>(IF((VLOOKUP(Table6[[#This Row],[SKU]],'All Skus'!$A:$AC,2,FALSE))="JBL",(VLOOKUP(Table6[[#This Row],[SKU]],'All Skus'!$A:$AC,3,FALSE)),""))</f>
        <v>Accessory</v>
      </c>
      <c r="C170" s="12" t="str">
        <f>(IF((VLOOKUP(Table6[[#This Row],[SKU]],'All Skus'!$A:$AC,2,FALSE))="JBL",(VLOOKUP(Table6[[#This Row],[SKU]],'All Skus'!$A:$AC,4,FALSE)),""))</f>
        <v>MTC-23WMG-1</v>
      </c>
      <c r="D170" s="61" t="str">
        <f>(IF((VLOOKUP(Table6[[#This Row],[SKU]],'All Skus'!$A:$AC,2,FALSE))="JBL",(VLOOKUP(Table6[[#This Row],[SKU]],'All Skus'!$A:$AC,5,FALSE)),""))</f>
        <v>JBL018</v>
      </c>
      <c r="E170" s="137">
        <f>(IF((VLOOKUP(Table6[[#This Row],[SKU]],'All Skus'!$A:$AC,2,FALSE))="JBL",(VLOOKUP(Table6[[#This Row],[SKU]],'All Skus'!$A:$AC,6,FALSE)),""))</f>
        <v>0</v>
      </c>
      <c r="F170" s="61">
        <f>(IF((VLOOKUP(Table6[[#This Row],[SKU]],'All Skus'!$A:$AC,2,FALSE))="JBL",(VLOOKUP(Table6[[#This Row],[SKU]],'All Skus'!$A:$AC,7,FALSE)),""))</f>
        <v>0</v>
      </c>
      <c r="G170" t="str">
        <f>(IF((VLOOKUP(Table6[[#This Row],[SKU]],'All Skus'!$A:$AC,2,FALSE))="JBL",(VLOOKUP(Table6[[#This Row],[SKU]],'All Skus'!$A:$AC,8,FALSE)),""))</f>
        <v>WEATHERMAX™ GRILLE FOR C23-1/1L, BLK</v>
      </c>
      <c r="H170" s="8" t="str">
        <f>(IF((VLOOKUP(Table6[[#This Row],[SKU]],'All Skus'!$A:$AC,2,FALSE))="JBL",(VLOOKUP(Table6[[#This Row],[SKU]],'All Skus'!$A:$AC,9,FALSE)),""))</f>
        <v>WeatherMax™ Replacement Grille for Control 23-1 for harsh environments. Thick aluminum with 3-layer foam backing and powdercoat finish, black. Provides IP-55 Grille Rating. Priced and packaged individually. Priced as one pack; Sold and packed as Eaches</v>
      </c>
      <c r="I170" s="101">
        <f>(IF((VLOOKUP(Table6[[#This Row],[SKU]],'All Skus'!$A:$AC,2,FALSE))="JBL",(VLOOKUP(Table6[[#This Row],[SKU]],'All Skus'!$A:$AC,10,FALSE)),""))</f>
        <v>46.17</v>
      </c>
      <c r="J170" s="101">
        <f>(IF((VLOOKUP(Table6[[#This Row],[SKU]],'All Skus'!$A:$AC,2,FALSE))="JBL",(VLOOKUP(Table6[[#This Row],[SKU]],'All Skus'!$A:$AC,11,FALSE)),""))</f>
        <v>46.17</v>
      </c>
      <c r="K170" s="102">
        <f>(IF((VLOOKUP(Table6[[#This Row],[SKU]],'All Skus'!$A:$AC,2,FALSE))="JBL",(VLOOKUP(Table6[[#This Row],[SKU]],'All Skus'!$A:$AC,13,FALSE)),""))</f>
        <v>0</v>
      </c>
      <c r="L170" s="102">
        <f>(IF((VLOOKUP(Table6[[#This Row],[SKU]],'All Skus'!$A:$AC,2,FALSE))="JBL",(VLOOKUP(Table6[[#This Row],[SKU]],'All Skus'!$A:$AC,14,FALSE)),""))</f>
        <v>0</v>
      </c>
      <c r="M170" s="143">
        <f>(IF((VLOOKUP(Table6[[#This Row],[SKU]],'All Skus'!$A:$AC,2,FALSE))="JBL",(VLOOKUP(Table6[[#This Row],[SKU]],'All Skus'!$A:$AC,15,FALSE)),""))</f>
        <v>0</v>
      </c>
      <c r="N170" s="137">
        <f>(IF((VLOOKUP(Table6[[#This Row],[SKU]],'All Skus'!$A:$AC,2,FALSE))="JBL",(VLOOKUP(Table6[[#This Row],[SKU]],'All Skus'!$A:$AC,16,FALSE)),""))</f>
        <v>691991005152</v>
      </c>
      <c r="O170" s="61">
        <f>(IF((VLOOKUP(Table6[[#This Row],[SKU]],'All Skus'!$A:$AC,2,FALSE))="JBL",(VLOOKUP(Table6[[#This Row],[SKU]],'All Skus'!$A:$AC,17,FALSE)),""))</f>
        <v>0</v>
      </c>
      <c r="P170" s="136">
        <f>(IF((VLOOKUP(Table6[[#This Row],[SKU]],'All Skus'!$A:$AC,2,FALSE))="JBL",(VLOOKUP(Table6[[#This Row],[SKU]],'All Skus'!$A:$AC,18,FALSE)),""))</f>
        <v>0.5</v>
      </c>
      <c r="Q170" s="136">
        <f>(IF((VLOOKUP(Table6[[#This Row],[SKU]],'All Skus'!$A:$AC,2,FALSE))="JBL",(VLOOKUP(Table6[[#This Row],[SKU]],'All Skus'!$A:$AC,19,FALSE)),""))</f>
        <v>1.5</v>
      </c>
      <c r="R170" s="136">
        <f>(IF((VLOOKUP(Table6[[#This Row],[SKU]],'All Skus'!$A:$AC,2,FALSE))="JBL",(VLOOKUP(Table6[[#This Row],[SKU]],'All Skus'!$A:$AC,20,FALSE)),""))</f>
        <v>6</v>
      </c>
      <c r="S170" s="61">
        <f>(IF((VLOOKUP(Table6[[#This Row],[SKU]],'All Skus'!$A:$AC,2,FALSE))="JBL",(VLOOKUP(Table6[[#This Row],[SKU]],'All Skus'!$A:$AC,21,FALSE)),""))</f>
        <v>8.5</v>
      </c>
      <c r="T170" s="61" t="str">
        <f>(IF((VLOOKUP(Table6[[#This Row],[SKU]],'All Skus'!$A:$AC,2,FALSE))="JBL",(VLOOKUP(Table6[[#This Row],[SKU]],'All Skus'!$A:$AC,22,FALSE)),""))</f>
        <v>CN</v>
      </c>
      <c r="U170" t="str">
        <f>(IF((VLOOKUP(Table6[[#This Row],[SKU]],'All Skus'!$A:$AC,2,FALSE))="JBL",(VLOOKUP(Table6[[#This Row],[SKU]],'All Skus'!$A:$AC,23,FALSE)),""))</f>
        <v>Non Compliant</v>
      </c>
      <c r="V170" s="284" t="str">
        <f>HYPERLINK((IF((VLOOKUP(Table6[[#This Row],[SKU]],'All Skus'!$A:$AC,2,FALSE))="JBL",(VLOOKUP(Table6[[#This Row],[SKU]],'All Skus'!$A:$AC,24,FALSE)),"")))</f>
        <v/>
      </c>
      <c r="W170" s="151">
        <v>168</v>
      </c>
    </row>
    <row r="171" spans="1:23" ht="15" hidden="1" customHeight="1">
      <c r="A171" s="13" t="s">
        <v>1177</v>
      </c>
      <c r="B171" s="12" t="str">
        <f>(IF((VLOOKUP(Table6[[#This Row],[SKU]],'All Skus'!$A:$AC,2,FALSE))="JBL",(VLOOKUP(Table6[[#This Row],[SKU]],'All Skus'!$A:$AC,3,FALSE)),""))</f>
        <v>Accessory</v>
      </c>
      <c r="C171" s="12" t="str">
        <f>(IF((VLOOKUP(Table6[[#This Row],[SKU]],'All Skus'!$A:$AC,2,FALSE))="JBL",(VLOOKUP(Table6[[#This Row],[SKU]],'All Skus'!$A:$AC,4,FALSE)),""))</f>
        <v>MTC-23WMG-1-WH</v>
      </c>
      <c r="D171" s="61" t="str">
        <f>(IF((VLOOKUP(Table6[[#This Row],[SKU]],'All Skus'!$A:$AC,2,FALSE))="JBL",(VLOOKUP(Table6[[#This Row],[SKU]],'All Skus'!$A:$AC,5,FALSE)),""))</f>
        <v>JBL018</v>
      </c>
      <c r="E171" s="137">
        <f>(IF((VLOOKUP(Table6[[#This Row],[SKU]],'All Skus'!$A:$AC,2,FALSE))="JBL",(VLOOKUP(Table6[[#This Row],[SKU]],'All Skus'!$A:$AC,6,FALSE)),""))</f>
        <v>0</v>
      </c>
      <c r="F171" s="61">
        <f>(IF((VLOOKUP(Table6[[#This Row],[SKU]],'All Skus'!$A:$AC,2,FALSE))="JBL",(VLOOKUP(Table6[[#This Row],[SKU]],'All Skus'!$A:$AC,7,FALSE)),""))</f>
        <v>0</v>
      </c>
      <c r="G171" t="str">
        <f>(IF((VLOOKUP(Table6[[#This Row],[SKU]],'All Skus'!$A:$AC,2,FALSE))="JBL",(VLOOKUP(Table6[[#This Row],[SKU]],'All Skus'!$A:$AC,8,FALSE)),""))</f>
        <v>WEATHERMAX™ GRILLE FOR C23-1/1L, WHT</v>
      </c>
      <c r="H171" s="8" t="str">
        <f>(IF((VLOOKUP(Table6[[#This Row],[SKU]],'All Skus'!$A:$AC,2,FALSE))="JBL",(VLOOKUP(Table6[[#This Row],[SKU]],'All Skus'!$A:$AC,9,FALSE)),""))</f>
        <v>MTC-23WMG-1 in white. Priced as one pack; Sold and packed as Eaches</v>
      </c>
      <c r="I171" s="101">
        <f>(IF((VLOOKUP(Table6[[#This Row],[SKU]],'All Skus'!$A:$AC,2,FALSE))="JBL",(VLOOKUP(Table6[[#This Row],[SKU]],'All Skus'!$A:$AC,10,FALSE)),""))</f>
        <v>46.17</v>
      </c>
      <c r="J171" s="101">
        <f>(IF((VLOOKUP(Table6[[#This Row],[SKU]],'All Skus'!$A:$AC,2,FALSE))="JBL",(VLOOKUP(Table6[[#This Row],[SKU]],'All Skus'!$A:$AC,11,FALSE)),""))</f>
        <v>46.17</v>
      </c>
      <c r="K171" s="102">
        <f>(IF((VLOOKUP(Table6[[#This Row],[SKU]],'All Skus'!$A:$AC,2,FALSE))="JBL",(VLOOKUP(Table6[[#This Row],[SKU]],'All Skus'!$A:$AC,13,FALSE)),""))</f>
        <v>0</v>
      </c>
      <c r="L171" s="102">
        <f>(IF((VLOOKUP(Table6[[#This Row],[SKU]],'All Skus'!$A:$AC,2,FALSE))="JBL",(VLOOKUP(Table6[[#This Row],[SKU]],'All Skus'!$A:$AC,14,FALSE)),""))</f>
        <v>0</v>
      </c>
      <c r="M171" s="143">
        <f>(IF((VLOOKUP(Table6[[#This Row],[SKU]],'All Skus'!$A:$AC,2,FALSE))="JBL",(VLOOKUP(Table6[[#This Row],[SKU]],'All Skus'!$A:$AC,15,FALSE)),""))</f>
        <v>0</v>
      </c>
      <c r="N171" s="137">
        <f>(IF((VLOOKUP(Table6[[#This Row],[SKU]],'All Skus'!$A:$AC,2,FALSE))="JBL",(VLOOKUP(Table6[[#This Row],[SKU]],'All Skus'!$A:$AC,16,FALSE)),""))</f>
        <v>691991005169</v>
      </c>
      <c r="O171" s="61">
        <f>(IF((VLOOKUP(Table6[[#This Row],[SKU]],'All Skus'!$A:$AC,2,FALSE))="JBL",(VLOOKUP(Table6[[#This Row],[SKU]],'All Skus'!$A:$AC,17,FALSE)),""))</f>
        <v>0</v>
      </c>
      <c r="P171" s="136">
        <f>(IF((VLOOKUP(Table6[[#This Row],[SKU]],'All Skus'!$A:$AC,2,FALSE))="JBL",(VLOOKUP(Table6[[#This Row],[SKU]],'All Skus'!$A:$AC,18,FALSE)),""))</f>
        <v>0.5</v>
      </c>
      <c r="Q171" s="136">
        <f>(IF((VLOOKUP(Table6[[#This Row],[SKU]],'All Skus'!$A:$AC,2,FALSE))="JBL",(VLOOKUP(Table6[[#This Row],[SKU]],'All Skus'!$A:$AC,19,FALSE)),""))</f>
        <v>1.5</v>
      </c>
      <c r="R171" s="136">
        <f>(IF((VLOOKUP(Table6[[#This Row],[SKU]],'All Skus'!$A:$AC,2,FALSE))="JBL",(VLOOKUP(Table6[[#This Row],[SKU]],'All Skus'!$A:$AC,20,FALSE)),""))</f>
        <v>6</v>
      </c>
      <c r="S171" s="61">
        <f>(IF((VLOOKUP(Table6[[#This Row],[SKU]],'All Skus'!$A:$AC,2,FALSE))="JBL",(VLOOKUP(Table6[[#This Row],[SKU]],'All Skus'!$A:$AC,21,FALSE)),""))</f>
        <v>8.5</v>
      </c>
      <c r="T171" s="61" t="str">
        <f>(IF((VLOOKUP(Table6[[#This Row],[SKU]],'All Skus'!$A:$AC,2,FALSE))="JBL",(VLOOKUP(Table6[[#This Row],[SKU]],'All Skus'!$A:$AC,22,FALSE)),""))</f>
        <v>CN</v>
      </c>
      <c r="U171" t="str">
        <f>(IF((VLOOKUP(Table6[[#This Row],[SKU]],'All Skus'!$A:$AC,2,FALSE))="JBL",(VLOOKUP(Table6[[#This Row],[SKU]],'All Skus'!$A:$AC,23,FALSE)),""))</f>
        <v>Non Compliant</v>
      </c>
      <c r="V171" s="284" t="str">
        <f>HYPERLINK((IF((VLOOKUP(Table6[[#This Row],[SKU]],'All Skus'!$A:$AC,2,FALSE))="JBL",(VLOOKUP(Table6[[#This Row],[SKU]],'All Skus'!$A:$AC,24,FALSE)),"")))</f>
        <v/>
      </c>
      <c r="W171" s="151">
        <v>169</v>
      </c>
    </row>
    <row r="172" spans="1:23" ht="15" hidden="1" customHeight="1">
      <c r="A172" s="13" t="s">
        <v>1178</v>
      </c>
      <c r="B172" s="12" t="str">
        <f>(IF((VLOOKUP(Table6[[#This Row],[SKU]],'All Skus'!$A:$AC,2,FALSE))="JBL",(VLOOKUP(Table6[[#This Row],[SKU]],'All Skus'!$A:$AC,3,FALSE)),""))</f>
        <v>Accessory</v>
      </c>
      <c r="C172" s="12" t="str">
        <f>(IF((VLOOKUP(Table6[[#This Row],[SKU]],'All Skus'!$A:$AC,2,FALSE))="JBL",(VLOOKUP(Table6[[#This Row],[SKU]],'All Skus'!$A:$AC,4,FALSE)),""))</f>
        <v>MTC-25UB-1</v>
      </c>
      <c r="D172" s="61" t="str">
        <f>(IF((VLOOKUP(Table6[[#This Row],[SKU]],'All Skus'!$A:$AC,2,FALSE))="JBL",(VLOOKUP(Table6[[#This Row],[SKU]],'All Skus'!$A:$AC,5,FALSE)),""))</f>
        <v>JBL018</v>
      </c>
      <c r="E172" s="137">
        <f>(IF((VLOOKUP(Table6[[#This Row],[SKU]],'All Skus'!$A:$AC,2,FALSE))="JBL",(VLOOKUP(Table6[[#This Row],[SKU]],'All Skus'!$A:$AC,6,FALSE)),""))</f>
        <v>0</v>
      </c>
      <c r="F172" s="61">
        <f>(IF((VLOOKUP(Table6[[#This Row],[SKU]],'All Skus'!$A:$AC,2,FALSE))="JBL",(VLOOKUP(Table6[[#This Row],[SKU]],'All Skus'!$A:$AC,7,FALSE)),""))</f>
        <v>0</v>
      </c>
      <c r="G172" t="str">
        <f>(IF((VLOOKUP(Table6[[#This Row],[SKU]],'All Skus'!$A:$AC,2,FALSE))="JBL",(VLOOKUP(Table6[[#This Row],[SKU]],'All Skus'!$A:$AC,8,FALSE)),""))</f>
        <v>U-BRACKET FOR CONTROL 25-1/1L, BLK</v>
      </c>
      <c r="H172" s="8" t="str">
        <f>(IF((VLOOKUP(Table6[[#This Row],[SKU]],'All Skus'!$A:$AC,2,FALSE))="JBL",(VLOOKUP(Table6[[#This Row],[SKU]],'All Skus'!$A:$AC,9,FALSE)),""))</f>
        <v>U-Bracket for Control 25-1 &amp; 25-1L. Black. Priced and packaged individually.  Master Pack = 6 pcs. Priced as one pack; Sold and packed as Eaches</v>
      </c>
      <c r="I172" s="101">
        <f>(IF((VLOOKUP(Table6[[#This Row],[SKU]],'All Skus'!$A:$AC,2,FALSE))="JBL",(VLOOKUP(Table6[[#This Row],[SKU]],'All Skus'!$A:$AC,10,FALSE)),""))</f>
        <v>51.16</v>
      </c>
      <c r="J172" s="101">
        <f>(IF((VLOOKUP(Table6[[#This Row],[SKU]],'All Skus'!$A:$AC,2,FALSE))="JBL",(VLOOKUP(Table6[[#This Row],[SKU]],'All Skus'!$A:$AC,11,FALSE)),""))</f>
        <v>51.16</v>
      </c>
      <c r="K172" s="102">
        <f>(IF((VLOOKUP(Table6[[#This Row],[SKU]],'All Skus'!$A:$AC,2,FALSE))="JBL",(VLOOKUP(Table6[[#This Row],[SKU]],'All Skus'!$A:$AC,13,FALSE)),""))</f>
        <v>0</v>
      </c>
      <c r="L172" s="102">
        <f>(IF((VLOOKUP(Table6[[#This Row],[SKU]],'All Skus'!$A:$AC,2,FALSE))="JBL",(VLOOKUP(Table6[[#This Row],[SKU]],'All Skus'!$A:$AC,14,FALSE)),""))</f>
        <v>0</v>
      </c>
      <c r="M172" s="143">
        <f>(IF((VLOOKUP(Table6[[#This Row],[SKU]],'All Skus'!$A:$AC,2,FALSE))="JBL",(VLOOKUP(Table6[[#This Row],[SKU]],'All Skus'!$A:$AC,15,FALSE)),""))</f>
        <v>0</v>
      </c>
      <c r="N172" s="137">
        <f>(IF((VLOOKUP(Table6[[#This Row],[SKU]],'All Skus'!$A:$AC,2,FALSE))="JBL",(VLOOKUP(Table6[[#This Row],[SKU]],'All Skus'!$A:$AC,16,FALSE)),""))</f>
        <v>691991005237</v>
      </c>
      <c r="O172" s="61">
        <f>(IF((VLOOKUP(Table6[[#This Row],[SKU]],'All Skus'!$A:$AC,2,FALSE))="JBL",(VLOOKUP(Table6[[#This Row],[SKU]],'All Skus'!$A:$AC,17,FALSE)),""))</f>
        <v>0</v>
      </c>
      <c r="P172" s="136">
        <f>(IF((VLOOKUP(Table6[[#This Row],[SKU]],'All Skus'!$A:$AC,2,FALSE))="JBL",(VLOOKUP(Table6[[#This Row],[SKU]],'All Skus'!$A:$AC,18,FALSE)),""))</f>
        <v>1</v>
      </c>
      <c r="Q172" s="136">
        <f>(IF((VLOOKUP(Table6[[#This Row],[SKU]],'All Skus'!$A:$AC,2,FALSE))="JBL",(VLOOKUP(Table6[[#This Row],[SKU]],'All Skus'!$A:$AC,19,FALSE)),""))</f>
        <v>5.5</v>
      </c>
      <c r="R172" s="136">
        <f>(IF((VLOOKUP(Table6[[#This Row],[SKU]],'All Skus'!$A:$AC,2,FALSE))="JBL",(VLOOKUP(Table6[[#This Row],[SKU]],'All Skus'!$A:$AC,20,FALSE)),""))</f>
        <v>11</v>
      </c>
      <c r="S172" s="61">
        <f>(IF((VLOOKUP(Table6[[#This Row],[SKU]],'All Skus'!$A:$AC,2,FALSE))="JBL",(VLOOKUP(Table6[[#This Row],[SKU]],'All Skus'!$A:$AC,21,FALSE)),""))</f>
        <v>6.5</v>
      </c>
      <c r="T172" s="61" t="str">
        <f>(IF((VLOOKUP(Table6[[#This Row],[SKU]],'All Skus'!$A:$AC,2,FALSE))="JBL",(VLOOKUP(Table6[[#This Row],[SKU]],'All Skus'!$A:$AC,22,FALSE)),""))</f>
        <v>CN</v>
      </c>
      <c r="U172" t="str">
        <f>(IF((VLOOKUP(Table6[[#This Row],[SKU]],'All Skus'!$A:$AC,2,FALSE))="JBL",(VLOOKUP(Table6[[#This Row],[SKU]],'All Skus'!$A:$AC,23,FALSE)),""))</f>
        <v>Non Compliant</v>
      </c>
      <c r="V172" s="284" t="str">
        <f>HYPERLINK((IF((VLOOKUP(Table6[[#This Row],[SKU]],'All Skus'!$A:$AC,2,FALSE))="JBL",(VLOOKUP(Table6[[#This Row],[SKU]],'All Skus'!$A:$AC,24,FALSE)),"")))</f>
        <v/>
      </c>
      <c r="W172" s="151">
        <v>170</v>
      </c>
    </row>
    <row r="173" spans="1:23" ht="15" hidden="1" customHeight="1">
      <c r="A173" s="13" t="s">
        <v>1179</v>
      </c>
      <c r="B173" s="12" t="str">
        <f>(IF((VLOOKUP(Table6[[#This Row],[SKU]],'All Skus'!$A:$AC,2,FALSE))="JBL",(VLOOKUP(Table6[[#This Row],[SKU]],'All Skus'!$A:$AC,3,FALSE)),""))</f>
        <v>Accessory</v>
      </c>
      <c r="C173" s="12" t="str">
        <f>(IF((VLOOKUP(Table6[[#This Row],[SKU]],'All Skus'!$A:$AC,2,FALSE))="JBL",(VLOOKUP(Table6[[#This Row],[SKU]],'All Skus'!$A:$AC,4,FALSE)),""))</f>
        <v>MTC-25UB-1-WH</v>
      </c>
      <c r="D173" s="61" t="str">
        <f>(IF((VLOOKUP(Table6[[#This Row],[SKU]],'All Skus'!$A:$AC,2,FALSE))="JBL",(VLOOKUP(Table6[[#This Row],[SKU]],'All Skus'!$A:$AC,5,FALSE)),""))</f>
        <v>JBL018</v>
      </c>
      <c r="E173" s="137">
        <f>(IF((VLOOKUP(Table6[[#This Row],[SKU]],'All Skus'!$A:$AC,2,FALSE))="JBL",(VLOOKUP(Table6[[#This Row],[SKU]],'All Skus'!$A:$AC,6,FALSE)),""))</f>
        <v>0</v>
      </c>
      <c r="F173" s="61">
        <f>(IF((VLOOKUP(Table6[[#This Row],[SKU]],'All Skus'!$A:$AC,2,FALSE))="JBL",(VLOOKUP(Table6[[#This Row],[SKU]],'All Skus'!$A:$AC,7,FALSE)),""))</f>
        <v>0</v>
      </c>
      <c r="G173" t="str">
        <f>(IF((VLOOKUP(Table6[[#This Row],[SKU]],'All Skus'!$A:$AC,2,FALSE))="JBL",(VLOOKUP(Table6[[#This Row],[SKU]],'All Skus'!$A:$AC,8,FALSE)),""))</f>
        <v>U-BRACKET FOR CONTROL 25-1/1L, WHT</v>
      </c>
      <c r="H173" s="8" t="str">
        <f>(IF((VLOOKUP(Table6[[#This Row],[SKU]],'All Skus'!$A:$AC,2,FALSE))="JBL",(VLOOKUP(Table6[[#This Row],[SKU]],'All Skus'!$A:$AC,9,FALSE)),""))</f>
        <v>MTC-25UB-1 in white.</v>
      </c>
      <c r="I173" s="101">
        <f>(IF((VLOOKUP(Table6[[#This Row],[SKU]],'All Skus'!$A:$AC,2,FALSE))="JBL",(VLOOKUP(Table6[[#This Row],[SKU]],'All Skus'!$A:$AC,10,FALSE)),""))</f>
        <v>51.16</v>
      </c>
      <c r="J173" s="101">
        <f>(IF((VLOOKUP(Table6[[#This Row],[SKU]],'All Skus'!$A:$AC,2,FALSE))="JBL",(VLOOKUP(Table6[[#This Row],[SKU]],'All Skus'!$A:$AC,11,FALSE)),""))</f>
        <v>51.16</v>
      </c>
      <c r="K173" s="102">
        <f>(IF((VLOOKUP(Table6[[#This Row],[SKU]],'All Skus'!$A:$AC,2,FALSE))="JBL",(VLOOKUP(Table6[[#This Row],[SKU]],'All Skus'!$A:$AC,13,FALSE)),""))</f>
        <v>0</v>
      </c>
      <c r="L173" s="102">
        <f>(IF((VLOOKUP(Table6[[#This Row],[SKU]],'All Skus'!$A:$AC,2,FALSE))="JBL",(VLOOKUP(Table6[[#This Row],[SKU]],'All Skus'!$A:$AC,14,FALSE)),""))</f>
        <v>0</v>
      </c>
      <c r="M173" s="143">
        <f>(IF((VLOOKUP(Table6[[#This Row],[SKU]],'All Skus'!$A:$AC,2,FALSE))="JBL",(VLOOKUP(Table6[[#This Row],[SKU]],'All Skus'!$A:$AC,15,FALSE)),""))</f>
        <v>0</v>
      </c>
      <c r="N173" s="137">
        <f>(IF((VLOOKUP(Table6[[#This Row],[SKU]],'All Skus'!$A:$AC,2,FALSE))="JBL",(VLOOKUP(Table6[[#This Row],[SKU]],'All Skus'!$A:$AC,16,FALSE)),""))</f>
        <v>691991005848</v>
      </c>
      <c r="O173" s="61">
        <f>(IF((VLOOKUP(Table6[[#This Row],[SKU]],'All Skus'!$A:$AC,2,FALSE))="JBL",(VLOOKUP(Table6[[#This Row],[SKU]],'All Skus'!$A:$AC,17,FALSE)),""))</f>
        <v>0</v>
      </c>
      <c r="P173" s="136">
        <f>(IF((VLOOKUP(Table6[[#This Row],[SKU]],'All Skus'!$A:$AC,2,FALSE))="JBL",(VLOOKUP(Table6[[#This Row],[SKU]],'All Skus'!$A:$AC,18,FALSE)),""))</f>
        <v>1</v>
      </c>
      <c r="Q173" s="136">
        <f>(IF((VLOOKUP(Table6[[#This Row],[SKU]],'All Skus'!$A:$AC,2,FALSE))="JBL",(VLOOKUP(Table6[[#This Row],[SKU]],'All Skus'!$A:$AC,19,FALSE)),""))</f>
        <v>5.5</v>
      </c>
      <c r="R173" s="136">
        <f>(IF((VLOOKUP(Table6[[#This Row],[SKU]],'All Skus'!$A:$AC,2,FALSE))="JBL",(VLOOKUP(Table6[[#This Row],[SKU]],'All Skus'!$A:$AC,20,FALSE)),""))</f>
        <v>11</v>
      </c>
      <c r="S173" s="61">
        <f>(IF((VLOOKUP(Table6[[#This Row],[SKU]],'All Skus'!$A:$AC,2,FALSE))="JBL",(VLOOKUP(Table6[[#This Row],[SKU]],'All Skus'!$A:$AC,21,FALSE)),""))</f>
        <v>6.5</v>
      </c>
      <c r="T173" s="61" t="str">
        <f>(IF((VLOOKUP(Table6[[#This Row],[SKU]],'All Skus'!$A:$AC,2,FALSE))="JBL",(VLOOKUP(Table6[[#This Row],[SKU]],'All Skus'!$A:$AC,22,FALSE)),""))</f>
        <v>US</v>
      </c>
      <c r="U173" t="str">
        <f>(IF((VLOOKUP(Table6[[#This Row],[SKU]],'All Skus'!$A:$AC,2,FALSE))="JBL",(VLOOKUP(Table6[[#This Row],[SKU]],'All Skus'!$A:$AC,23,FALSE)),""))</f>
        <v>Compliant</v>
      </c>
      <c r="V173" s="284" t="str">
        <f>HYPERLINK((IF((VLOOKUP(Table6[[#This Row],[SKU]],'All Skus'!$A:$AC,2,FALSE))="JBL",(VLOOKUP(Table6[[#This Row],[SKU]],'All Skus'!$A:$AC,24,FALSE)),"")))</f>
        <v xml:space="preserve">http://www.jblpro.com/ProductAttachments/brktmanl.pdf </v>
      </c>
      <c r="W173" s="151">
        <v>171</v>
      </c>
    </row>
    <row r="174" spans="1:23" ht="15" hidden="1" customHeight="1">
      <c r="A174" s="13" t="s">
        <v>1180</v>
      </c>
      <c r="B174" s="12" t="str">
        <f>(IF((VLOOKUP(Table6[[#This Row],[SKU]],'All Skus'!$A:$AC,2,FALSE))="JBL",(VLOOKUP(Table6[[#This Row],[SKU]],'All Skus'!$A:$AC,3,FALSE)),""))</f>
        <v>Accessory</v>
      </c>
      <c r="C174" s="12" t="str">
        <f>(IF((VLOOKUP(Table6[[#This Row],[SKU]],'All Skus'!$A:$AC,2,FALSE))="JBL",(VLOOKUP(Table6[[#This Row],[SKU]],'All Skus'!$A:$AC,4,FALSE)),""))</f>
        <v>MTC-25WMG-1</v>
      </c>
      <c r="D174" s="61" t="str">
        <f>(IF((VLOOKUP(Table6[[#This Row],[SKU]],'All Skus'!$A:$AC,2,FALSE))="JBL",(VLOOKUP(Table6[[#This Row],[SKU]],'All Skus'!$A:$AC,5,FALSE)),""))</f>
        <v>JBL018</v>
      </c>
      <c r="E174" s="137">
        <f>(IF((VLOOKUP(Table6[[#This Row],[SKU]],'All Skus'!$A:$AC,2,FALSE))="JBL",(VLOOKUP(Table6[[#This Row],[SKU]],'All Skus'!$A:$AC,6,FALSE)),""))</f>
        <v>0</v>
      </c>
      <c r="F174" s="61">
        <f>(IF((VLOOKUP(Table6[[#This Row],[SKU]],'All Skus'!$A:$AC,2,FALSE))="JBL",(VLOOKUP(Table6[[#This Row],[SKU]],'All Skus'!$A:$AC,7,FALSE)),""))</f>
        <v>0</v>
      </c>
      <c r="G174" t="str">
        <f>(IF((VLOOKUP(Table6[[#This Row],[SKU]],'All Skus'!$A:$AC,2,FALSE))="JBL",(VLOOKUP(Table6[[#This Row],[SKU]],'All Skus'!$A:$AC,8,FALSE)),""))</f>
        <v>WEATHERMAX™ GRILLE FOR C25-1/1L, BLK</v>
      </c>
      <c r="H174" s="8" t="str">
        <f>(IF((VLOOKUP(Table6[[#This Row],[SKU]],'All Skus'!$A:$AC,2,FALSE))="JBL",(VLOOKUP(Table6[[#This Row],[SKU]],'All Skus'!$A:$AC,9,FALSE)),""))</f>
        <v>WeatherMax™ Replacement Grille for Control 25-1 &amp; 25-1L for harsh environments. Thick aluminum with 3-layer foam backing and powdercoat finish, black. Provides IP-55 Grille Rating. Priced and packaged individually. Sold and packed as Eaches</v>
      </c>
      <c r="I174" s="101">
        <f>(IF((VLOOKUP(Table6[[#This Row],[SKU]],'All Skus'!$A:$AC,2,FALSE))="JBL",(VLOOKUP(Table6[[#This Row],[SKU]],'All Skus'!$A:$AC,10,FALSE)),""))</f>
        <v>64.88</v>
      </c>
      <c r="J174" s="101">
        <f>(IF((VLOOKUP(Table6[[#This Row],[SKU]],'All Skus'!$A:$AC,2,FALSE))="JBL",(VLOOKUP(Table6[[#This Row],[SKU]],'All Skus'!$A:$AC,11,FALSE)),""))</f>
        <v>64.88</v>
      </c>
      <c r="K174" s="102">
        <f>(IF((VLOOKUP(Table6[[#This Row],[SKU]],'All Skus'!$A:$AC,2,FALSE))="JBL",(VLOOKUP(Table6[[#This Row],[SKU]],'All Skus'!$A:$AC,13,FALSE)),""))</f>
        <v>0</v>
      </c>
      <c r="L174" s="102">
        <f>(IF((VLOOKUP(Table6[[#This Row],[SKU]],'All Skus'!$A:$AC,2,FALSE))="JBL",(VLOOKUP(Table6[[#This Row],[SKU]],'All Skus'!$A:$AC,14,FALSE)),""))</f>
        <v>0</v>
      </c>
      <c r="M174" s="143">
        <f>(IF((VLOOKUP(Table6[[#This Row],[SKU]],'All Skus'!$A:$AC,2,FALSE))="JBL",(VLOOKUP(Table6[[#This Row],[SKU]],'All Skus'!$A:$AC,15,FALSE)),""))</f>
        <v>0</v>
      </c>
      <c r="N174" s="137">
        <f>(IF((VLOOKUP(Table6[[#This Row],[SKU]],'All Skus'!$A:$AC,2,FALSE))="JBL",(VLOOKUP(Table6[[#This Row],[SKU]],'All Skus'!$A:$AC,16,FALSE)),""))</f>
        <v>691991005176</v>
      </c>
      <c r="O174" s="61">
        <f>(IF((VLOOKUP(Table6[[#This Row],[SKU]],'All Skus'!$A:$AC,2,FALSE))="JBL",(VLOOKUP(Table6[[#This Row],[SKU]],'All Skus'!$A:$AC,17,FALSE)),""))</f>
        <v>0</v>
      </c>
      <c r="P174" s="136">
        <f>(IF((VLOOKUP(Table6[[#This Row],[SKU]],'All Skus'!$A:$AC,2,FALSE))="JBL",(VLOOKUP(Table6[[#This Row],[SKU]],'All Skus'!$A:$AC,18,FALSE)),""))</f>
        <v>1</v>
      </c>
      <c r="Q174" s="136">
        <f>(IF((VLOOKUP(Table6[[#This Row],[SKU]],'All Skus'!$A:$AC,2,FALSE))="JBL",(VLOOKUP(Table6[[#This Row],[SKU]],'All Skus'!$A:$AC,19,FALSE)),""))</f>
        <v>1.5</v>
      </c>
      <c r="R174" s="136">
        <f>(IF((VLOOKUP(Table6[[#This Row],[SKU]],'All Skus'!$A:$AC,2,FALSE))="JBL",(VLOOKUP(Table6[[#This Row],[SKU]],'All Skus'!$A:$AC,20,FALSE)),""))</f>
        <v>7.5</v>
      </c>
      <c r="S174" s="61">
        <f>(IF((VLOOKUP(Table6[[#This Row],[SKU]],'All Skus'!$A:$AC,2,FALSE))="JBL",(VLOOKUP(Table6[[#This Row],[SKU]],'All Skus'!$A:$AC,21,FALSE)),""))</f>
        <v>10</v>
      </c>
      <c r="T174" s="61" t="str">
        <f>(IF((VLOOKUP(Table6[[#This Row],[SKU]],'All Skus'!$A:$AC,2,FALSE))="JBL",(VLOOKUP(Table6[[#This Row],[SKU]],'All Skus'!$A:$AC,22,FALSE)),""))</f>
        <v>CN</v>
      </c>
      <c r="U174" t="str">
        <f>(IF((VLOOKUP(Table6[[#This Row],[SKU]],'All Skus'!$A:$AC,2,FALSE))="JBL",(VLOOKUP(Table6[[#This Row],[SKU]],'All Skus'!$A:$AC,23,FALSE)),""))</f>
        <v>Non Compliant</v>
      </c>
      <c r="V174" s="284" t="str">
        <f>HYPERLINK((IF((VLOOKUP(Table6[[#This Row],[SKU]],'All Skus'!$A:$AC,2,FALSE))="JBL",(VLOOKUP(Table6[[#This Row],[SKU]],'All Skus'!$A:$AC,24,FALSE)),"")))</f>
        <v/>
      </c>
      <c r="W174" s="151">
        <v>172</v>
      </c>
    </row>
    <row r="175" spans="1:23" ht="15" hidden="1" customHeight="1">
      <c r="A175" s="13" t="s">
        <v>1181</v>
      </c>
      <c r="B175" s="12" t="str">
        <f>(IF((VLOOKUP(Table6[[#This Row],[SKU]],'All Skus'!$A:$AC,2,FALSE))="JBL",(VLOOKUP(Table6[[#This Row],[SKU]],'All Skus'!$A:$AC,3,FALSE)),""))</f>
        <v>Accessory</v>
      </c>
      <c r="C175" s="12" t="str">
        <f>(IF((VLOOKUP(Table6[[#This Row],[SKU]],'All Skus'!$A:$AC,2,FALSE))="JBL",(VLOOKUP(Table6[[#This Row],[SKU]],'All Skus'!$A:$AC,4,FALSE)),""))</f>
        <v>MTC-25WMG-1-WH</v>
      </c>
      <c r="D175" s="61" t="str">
        <f>(IF((VLOOKUP(Table6[[#This Row],[SKU]],'All Skus'!$A:$AC,2,FALSE))="JBL",(VLOOKUP(Table6[[#This Row],[SKU]],'All Skus'!$A:$AC,5,FALSE)),""))</f>
        <v>JBL018</v>
      </c>
      <c r="E175" s="137">
        <f>(IF((VLOOKUP(Table6[[#This Row],[SKU]],'All Skus'!$A:$AC,2,FALSE))="JBL",(VLOOKUP(Table6[[#This Row],[SKU]],'All Skus'!$A:$AC,6,FALSE)),""))</f>
        <v>0</v>
      </c>
      <c r="F175" s="61">
        <f>(IF((VLOOKUP(Table6[[#This Row],[SKU]],'All Skus'!$A:$AC,2,FALSE))="JBL",(VLOOKUP(Table6[[#This Row],[SKU]],'All Skus'!$A:$AC,7,FALSE)),""))</f>
        <v>0</v>
      </c>
      <c r="G175" t="str">
        <f>(IF((VLOOKUP(Table6[[#This Row],[SKU]],'All Skus'!$A:$AC,2,FALSE))="JBL",(VLOOKUP(Table6[[#This Row],[SKU]],'All Skus'!$A:$AC,8,FALSE)),""))</f>
        <v>WEATHERMAX™ GRILLE FOR C25-1/1L, WHT</v>
      </c>
      <c r="H175" s="8" t="str">
        <f>(IF((VLOOKUP(Table6[[#This Row],[SKU]],'All Skus'!$A:$AC,2,FALSE))="JBL",(VLOOKUP(Table6[[#This Row],[SKU]],'All Skus'!$A:$AC,9,FALSE)),""))</f>
        <v>MTC-25WMG-1 in white. Sold and packed as Eaches</v>
      </c>
      <c r="I175" s="101">
        <f>(IF((VLOOKUP(Table6[[#This Row],[SKU]],'All Skus'!$A:$AC,2,FALSE))="JBL",(VLOOKUP(Table6[[#This Row],[SKU]],'All Skus'!$A:$AC,10,FALSE)),""))</f>
        <v>64.88</v>
      </c>
      <c r="J175" s="101">
        <f>(IF((VLOOKUP(Table6[[#This Row],[SKU]],'All Skus'!$A:$AC,2,FALSE))="JBL",(VLOOKUP(Table6[[#This Row],[SKU]],'All Skus'!$A:$AC,11,FALSE)),""))</f>
        <v>64.88</v>
      </c>
      <c r="K175" s="102">
        <f>(IF((VLOOKUP(Table6[[#This Row],[SKU]],'All Skus'!$A:$AC,2,FALSE))="JBL",(VLOOKUP(Table6[[#This Row],[SKU]],'All Skus'!$A:$AC,13,FALSE)),""))</f>
        <v>0</v>
      </c>
      <c r="L175" s="102">
        <f>(IF((VLOOKUP(Table6[[#This Row],[SKU]],'All Skus'!$A:$AC,2,FALSE))="JBL",(VLOOKUP(Table6[[#This Row],[SKU]],'All Skus'!$A:$AC,14,FALSE)),""))</f>
        <v>0</v>
      </c>
      <c r="M175" s="143">
        <f>(IF((VLOOKUP(Table6[[#This Row],[SKU]],'All Skus'!$A:$AC,2,FALSE))="JBL",(VLOOKUP(Table6[[#This Row],[SKU]],'All Skus'!$A:$AC,15,FALSE)),""))</f>
        <v>0</v>
      </c>
      <c r="N175" s="137">
        <f>(IF((VLOOKUP(Table6[[#This Row],[SKU]],'All Skus'!$A:$AC,2,FALSE))="JBL",(VLOOKUP(Table6[[#This Row],[SKU]],'All Skus'!$A:$AC,16,FALSE)),""))</f>
        <v>691991005183</v>
      </c>
      <c r="O175" s="61">
        <f>(IF((VLOOKUP(Table6[[#This Row],[SKU]],'All Skus'!$A:$AC,2,FALSE))="JBL",(VLOOKUP(Table6[[#This Row],[SKU]],'All Skus'!$A:$AC,17,FALSE)),""))</f>
        <v>0</v>
      </c>
      <c r="P175" s="136">
        <f>(IF((VLOOKUP(Table6[[#This Row],[SKU]],'All Skus'!$A:$AC,2,FALSE))="JBL",(VLOOKUP(Table6[[#This Row],[SKU]],'All Skus'!$A:$AC,18,FALSE)),""))</f>
        <v>1</v>
      </c>
      <c r="Q175" s="136">
        <f>(IF((VLOOKUP(Table6[[#This Row],[SKU]],'All Skus'!$A:$AC,2,FALSE))="JBL",(VLOOKUP(Table6[[#This Row],[SKU]],'All Skus'!$A:$AC,19,FALSE)),""))</f>
        <v>1.5</v>
      </c>
      <c r="R175" s="136">
        <f>(IF((VLOOKUP(Table6[[#This Row],[SKU]],'All Skus'!$A:$AC,2,FALSE))="JBL",(VLOOKUP(Table6[[#This Row],[SKU]],'All Skus'!$A:$AC,20,FALSE)),""))</f>
        <v>7.5</v>
      </c>
      <c r="S175" s="61">
        <f>(IF((VLOOKUP(Table6[[#This Row],[SKU]],'All Skus'!$A:$AC,2,FALSE))="JBL",(VLOOKUP(Table6[[#This Row],[SKU]],'All Skus'!$A:$AC,21,FALSE)),""))</f>
        <v>10</v>
      </c>
      <c r="T175" s="61" t="str">
        <f>(IF((VLOOKUP(Table6[[#This Row],[SKU]],'All Skus'!$A:$AC,2,FALSE))="JBL",(VLOOKUP(Table6[[#This Row],[SKU]],'All Skus'!$A:$AC,22,FALSE)),""))</f>
        <v>CN</v>
      </c>
      <c r="U175" t="str">
        <f>(IF((VLOOKUP(Table6[[#This Row],[SKU]],'All Skus'!$A:$AC,2,FALSE))="JBL",(VLOOKUP(Table6[[#This Row],[SKU]],'All Skus'!$A:$AC,23,FALSE)),""))</f>
        <v>Non Compliant</v>
      </c>
      <c r="V175" s="284" t="str">
        <f>HYPERLINK((IF((VLOOKUP(Table6[[#This Row],[SKU]],'All Skus'!$A:$AC,2,FALSE))="JBL",(VLOOKUP(Table6[[#This Row],[SKU]],'All Skus'!$A:$AC,24,FALSE)),"")))</f>
        <v/>
      </c>
      <c r="W175" s="151">
        <v>173</v>
      </c>
    </row>
    <row r="176" spans="1:23" ht="15" hidden="1" customHeight="1">
      <c r="A176" s="13" t="s">
        <v>1182</v>
      </c>
      <c r="B176" s="12" t="str">
        <f>(IF((VLOOKUP(Table6[[#This Row],[SKU]],'All Skus'!$A:$AC,2,FALSE))="JBL",(VLOOKUP(Table6[[#This Row],[SKU]],'All Skus'!$A:$AC,3,FALSE)),""))</f>
        <v>Accessory</v>
      </c>
      <c r="C176" s="12" t="str">
        <f>(IF((VLOOKUP(Table6[[#This Row],[SKU]],'All Skus'!$A:$AC,2,FALSE))="JBL",(VLOOKUP(Table6[[#This Row],[SKU]],'All Skus'!$A:$AC,4,FALSE)),""))</f>
        <v>MTC-28/25CM</v>
      </c>
      <c r="D176" s="61" t="str">
        <f>(IF((VLOOKUP(Table6[[#This Row],[SKU]],'All Skus'!$A:$AC,2,FALSE))="JBL",(VLOOKUP(Table6[[#This Row],[SKU]],'All Skus'!$A:$AC,5,FALSE)),""))</f>
        <v>JBL018</v>
      </c>
      <c r="E176" s="137">
        <f>(IF((VLOOKUP(Table6[[#This Row],[SKU]],'All Skus'!$A:$AC,2,FALSE))="JBL",(VLOOKUP(Table6[[#This Row],[SKU]],'All Skus'!$A:$AC,6,FALSE)),""))</f>
        <v>0</v>
      </c>
      <c r="F176" s="61">
        <f>(IF((VLOOKUP(Table6[[#This Row],[SKU]],'All Skus'!$A:$AC,2,FALSE))="JBL",(VLOOKUP(Table6[[#This Row],[SKU]],'All Skus'!$A:$AC,7,FALSE)),""))</f>
        <v>0</v>
      </c>
      <c r="G176" t="str">
        <f>(IF((VLOOKUP(Table6[[#This Row],[SKU]],'All Skus'!$A:$AC,2,FALSE))="JBL",(VLOOKUP(Table6[[#This Row],[SKU]],'All Skus'!$A:$AC,8,FALSE)),""))</f>
        <v>CEILING MT. ADPT C/28/C25-1PR PER BOX</v>
      </c>
      <c r="H176" s="8" t="str">
        <f>(IF((VLOOKUP(Table6[[#This Row],[SKU]],'All Skus'!$A:$AC,2,FALSE))="JBL",(VLOOKUP(Table6[[#This Row],[SKU]],'All Skus'!$A:$AC,9,FALSE)),""))</f>
        <v>Ceiling-Mount Adapter for Control 28 and Control 25, Black. Each Pack Contains 2 Pieces. Priced as one pack; one pack contains 2 Pieces)”</v>
      </c>
      <c r="I176" s="101">
        <f>(IF((VLOOKUP(Table6[[#This Row],[SKU]],'All Skus'!$A:$AC,2,FALSE))="JBL",(VLOOKUP(Table6[[#This Row],[SKU]],'All Skus'!$A:$AC,10,FALSE)),""))</f>
        <v>37.44</v>
      </c>
      <c r="J176" s="101">
        <f>(IF((VLOOKUP(Table6[[#This Row],[SKU]],'All Skus'!$A:$AC,2,FALSE))="JBL",(VLOOKUP(Table6[[#This Row],[SKU]],'All Skus'!$A:$AC,11,FALSE)),""))</f>
        <v>37.44</v>
      </c>
      <c r="K176" s="102">
        <f>(IF((VLOOKUP(Table6[[#This Row],[SKU]],'All Skus'!$A:$AC,2,FALSE))="JBL",(VLOOKUP(Table6[[#This Row],[SKU]],'All Skus'!$A:$AC,13,FALSE)),""))</f>
        <v>0</v>
      </c>
      <c r="L176" s="102">
        <f>(IF((VLOOKUP(Table6[[#This Row],[SKU]],'All Skus'!$A:$AC,2,FALSE))="JBL",(VLOOKUP(Table6[[#This Row],[SKU]],'All Skus'!$A:$AC,14,FALSE)),""))</f>
        <v>0</v>
      </c>
      <c r="M176" s="143">
        <f>(IF((VLOOKUP(Table6[[#This Row],[SKU]],'All Skus'!$A:$AC,2,FALSE))="JBL",(VLOOKUP(Table6[[#This Row],[SKU]],'All Skus'!$A:$AC,15,FALSE)),""))</f>
        <v>0</v>
      </c>
      <c r="N176" s="137">
        <f>(IF((VLOOKUP(Table6[[#This Row],[SKU]],'All Skus'!$A:$AC,2,FALSE))="JBL",(VLOOKUP(Table6[[#This Row],[SKU]],'All Skus'!$A:$AC,16,FALSE)),""))</f>
        <v>50036904735</v>
      </c>
      <c r="O176" s="61">
        <f>(IF((VLOOKUP(Table6[[#This Row],[SKU]],'All Skus'!$A:$AC,2,FALSE))="JBL",(VLOOKUP(Table6[[#This Row],[SKU]],'All Skus'!$A:$AC,17,FALSE)),""))</f>
        <v>0</v>
      </c>
      <c r="P176" s="136">
        <f>(IF((VLOOKUP(Table6[[#This Row],[SKU]],'All Skus'!$A:$AC,2,FALSE))="JBL",(VLOOKUP(Table6[[#This Row],[SKU]],'All Skus'!$A:$AC,18,FALSE)),""))</f>
        <v>1.1000000000000001</v>
      </c>
      <c r="Q176" s="136">
        <f>(IF((VLOOKUP(Table6[[#This Row],[SKU]],'All Skus'!$A:$AC,2,FALSE))="JBL",(VLOOKUP(Table6[[#This Row],[SKU]],'All Skus'!$A:$AC,19,FALSE)),""))</f>
        <v>4</v>
      </c>
      <c r="R176" s="136">
        <f>(IF((VLOOKUP(Table6[[#This Row],[SKU]],'All Skus'!$A:$AC,2,FALSE))="JBL",(VLOOKUP(Table6[[#This Row],[SKU]],'All Skus'!$A:$AC,20,FALSE)),""))</f>
        <v>12</v>
      </c>
      <c r="S176" s="61">
        <f>(IF((VLOOKUP(Table6[[#This Row],[SKU]],'All Skus'!$A:$AC,2,FALSE))="JBL",(VLOOKUP(Table6[[#This Row],[SKU]],'All Skus'!$A:$AC,21,FALSE)),""))</f>
        <v>2</v>
      </c>
      <c r="T176" s="61" t="str">
        <f>(IF((VLOOKUP(Table6[[#This Row],[SKU]],'All Skus'!$A:$AC,2,FALSE))="JBL",(VLOOKUP(Table6[[#This Row],[SKU]],'All Skus'!$A:$AC,22,FALSE)),""))</f>
        <v>CN</v>
      </c>
      <c r="U176" t="str">
        <f>(IF((VLOOKUP(Table6[[#This Row],[SKU]],'All Skus'!$A:$AC,2,FALSE))="JBL",(VLOOKUP(Table6[[#This Row],[SKU]],'All Skus'!$A:$AC,23,FALSE)),""))</f>
        <v>Non Compliant</v>
      </c>
      <c r="V176" s="284" t="str">
        <f>HYPERLINK((IF((VLOOKUP(Table6[[#This Row],[SKU]],'All Skus'!$A:$AC,2,FALSE))="JBL",(VLOOKUP(Table6[[#This Row],[SKU]],'All Skus'!$A:$AC,24,FALSE)),"")))</f>
        <v/>
      </c>
      <c r="W176" s="151">
        <v>174</v>
      </c>
    </row>
    <row r="177" spans="1:23" ht="15" hidden="1" customHeight="1">
      <c r="A177" s="13" t="s">
        <v>1183</v>
      </c>
      <c r="B177" s="12" t="str">
        <f>(IF((VLOOKUP(Table6[[#This Row],[SKU]],'All Skus'!$A:$AC,2,FALSE))="JBL",(VLOOKUP(Table6[[#This Row],[SKU]],'All Skus'!$A:$AC,3,FALSE)),""))</f>
        <v>Accessory</v>
      </c>
      <c r="C177" s="12" t="str">
        <f>(IF((VLOOKUP(Table6[[#This Row],[SKU]],'All Skus'!$A:$AC,2,FALSE))="JBL",(VLOOKUP(Table6[[#This Row],[SKU]],'All Skus'!$A:$AC,4,FALSE)),""))</f>
        <v>MTC-28/25CM-WH</v>
      </c>
      <c r="D177" s="61" t="str">
        <f>(IF((VLOOKUP(Table6[[#This Row],[SKU]],'All Skus'!$A:$AC,2,FALSE))="JBL",(VLOOKUP(Table6[[#This Row],[SKU]],'All Skus'!$A:$AC,5,FALSE)),""))</f>
        <v>JBL018</v>
      </c>
      <c r="E177" s="137">
        <f>(IF((VLOOKUP(Table6[[#This Row],[SKU]],'All Skus'!$A:$AC,2,FALSE))="JBL",(VLOOKUP(Table6[[#This Row],[SKU]],'All Skus'!$A:$AC,6,FALSE)),""))</f>
        <v>0</v>
      </c>
      <c r="F177" s="61">
        <f>(IF((VLOOKUP(Table6[[#This Row],[SKU]],'All Skus'!$A:$AC,2,FALSE))="JBL",(VLOOKUP(Table6[[#This Row],[SKU]],'All Skus'!$A:$AC,7,FALSE)),""))</f>
        <v>0</v>
      </c>
      <c r="G177" t="str">
        <f>(IF((VLOOKUP(Table6[[#This Row],[SKU]],'All Skus'!$A:$AC,2,FALSE))="JBL",(VLOOKUP(Table6[[#This Row],[SKU]],'All Skus'!$A:$AC,8,FALSE)),""))</f>
        <v>CEILING MT. ADPT C28/C25-1PR PER BOX-WHT</v>
      </c>
      <c r="H177" s="8" t="str">
        <f>(IF((VLOOKUP(Table6[[#This Row],[SKU]],'All Skus'!$A:$AC,2,FALSE))="JBL",(VLOOKUP(Table6[[#This Row],[SKU]],'All Skus'!$A:$AC,9,FALSE)),""))</f>
        <v>Ceiling-Mount Adapter for Control 28 and Control 25, White.  Each Pack Contains 2 Pieces. Priced as one pack; one pack contains 2 Pieces)</v>
      </c>
      <c r="I177" s="101">
        <f>(IF((VLOOKUP(Table6[[#This Row],[SKU]],'All Skus'!$A:$AC,2,FALSE))="JBL",(VLOOKUP(Table6[[#This Row],[SKU]],'All Skus'!$A:$AC,10,FALSE)),""))</f>
        <v>37.44</v>
      </c>
      <c r="J177" s="101">
        <f>(IF((VLOOKUP(Table6[[#This Row],[SKU]],'All Skus'!$A:$AC,2,FALSE))="JBL",(VLOOKUP(Table6[[#This Row],[SKU]],'All Skus'!$A:$AC,11,FALSE)),""))</f>
        <v>37.44</v>
      </c>
      <c r="K177" s="102">
        <f>(IF((VLOOKUP(Table6[[#This Row],[SKU]],'All Skus'!$A:$AC,2,FALSE))="JBL",(VLOOKUP(Table6[[#This Row],[SKU]],'All Skus'!$A:$AC,13,FALSE)),""))</f>
        <v>0</v>
      </c>
      <c r="L177" s="102">
        <f>(IF((VLOOKUP(Table6[[#This Row],[SKU]],'All Skus'!$A:$AC,2,FALSE))="JBL",(VLOOKUP(Table6[[#This Row],[SKU]],'All Skus'!$A:$AC,14,FALSE)),""))</f>
        <v>0</v>
      </c>
      <c r="M177" s="143">
        <f>(IF((VLOOKUP(Table6[[#This Row],[SKU]],'All Skus'!$A:$AC,2,FALSE))="JBL",(VLOOKUP(Table6[[#This Row],[SKU]],'All Skus'!$A:$AC,15,FALSE)),""))</f>
        <v>0</v>
      </c>
      <c r="N177" s="137">
        <f>(IF((VLOOKUP(Table6[[#This Row],[SKU]],'All Skus'!$A:$AC,2,FALSE))="JBL",(VLOOKUP(Table6[[#This Row],[SKU]],'All Skus'!$A:$AC,16,FALSE)),""))</f>
        <v>50036904742</v>
      </c>
      <c r="O177" s="61">
        <f>(IF((VLOOKUP(Table6[[#This Row],[SKU]],'All Skus'!$A:$AC,2,FALSE))="JBL",(VLOOKUP(Table6[[#This Row],[SKU]],'All Skus'!$A:$AC,17,FALSE)),""))</f>
        <v>0</v>
      </c>
      <c r="P177" s="136">
        <f>(IF((VLOOKUP(Table6[[#This Row],[SKU]],'All Skus'!$A:$AC,2,FALSE))="JBL",(VLOOKUP(Table6[[#This Row],[SKU]],'All Skus'!$A:$AC,18,FALSE)),""))</f>
        <v>1.5</v>
      </c>
      <c r="Q177" s="136">
        <f>(IF((VLOOKUP(Table6[[#This Row],[SKU]],'All Skus'!$A:$AC,2,FALSE))="JBL",(VLOOKUP(Table6[[#This Row],[SKU]],'All Skus'!$A:$AC,19,FALSE)),""))</f>
        <v>12</v>
      </c>
      <c r="R177" s="136">
        <f>(IF((VLOOKUP(Table6[[#This Row],[SKU]],'All Skus'!$A:$AC,2,FALSE))="JBL",(VLOOKUP(Table6[[#This Row],[SKU]],'All Skus'!$A:$AC,20,FALSE)),""))</f>
        <v>3</v>
      </c>
      <c r="S177" s="61">
        <f>(IF((VLOOKUP(Table6[[#This Row],[SKU]],'All Skus'!$A:$AC,2,FALSE))="JBL",(VLOOKUP(Table6[[#This Row],[SKU]],'All Skus'!$A:$AC,21,FALSE)),""))</f>
        <v>2</v>
      </c>
      <c r="T177" s="61" t="str">
        <f>(IF((VLOOKUP(Table6[[#This Row],[SKU]],'All Skus'!$A:$AC,2,FALSE))="JBL",(VLOOKUP(Table6[[#This Row],[SKU]],'All Skus'!$A:$AC,22,FALSE)),""))</f>
        <v>US</v>
      </c>
      <c r="U177" t="str">
        <f>(IF((VLOOKUP(Table6[[#This Row],[SKU]],'All Skus'!$A:$AC,2,FALSE))="JBL",(VLOOKUP(Table6[[#This Row],[SKU]],'All Skus'!$A:$AC,23,FALSE)),""))</f>
        <v>Compliant</v>
      </c>
      <c r="V177" s="284" t="str">
        <f>HYPERLINK((IF((VLOOKUP(Table6[[#This Row],[SKU]],'All Skus'!$A:$AC,2,FALSE))="JBL",(VLOOKUP(Table6[[#This Row],[SKU]],'All Skus'!$A:$AC,24,FALSE)),"")))</f>
        <v xml:space="preserve">http://www.jblpro.com/ProductAttachments/brktmanl.pdf </v>
      </c>
      <c r="W177" s="151">
        <v>175</v>
      </c>
    </row>
    <row r="178" spans="1:23" ht="15" hidden="1" customHeight="1">
      <c r="A178" s="13" t="s">
        <v>1184</v>
      </c>
      <c r="B178" s="12" t="str">
        <f>(IF((VLOOKUP(Table6[[#This Row],[SKU]],'All Skus'!$A:$AC,2,FALSE))="JBL",(VLOOKUP(Table6[[#This Row],[SKU]],'All Skus'!$A:$AC,3,FALSE)),""))</f>
        <v>Accessory</v>
      </c>
      <c r="C178" s="12" t="str">
        <f>(IF((VLOOKUP(Table6[[#This Row],[SKU]],'All Skus'!$A:$AC,2,FALSE))="JBL",(VLOOKUP(Table6[[#This Row],[SKU]],'All Skus'!$A:$AC,4,FALSE)),""))</f>
        <v>MTC-28UB-1</v>
      </c>
      <c r="D178" s="61" t="str">
        <f>(IF((VLOOKUP(Table6[[#This Row],[SKU]],'All Skus'!$A:$AC,2,FALSE))="JBL",(VLOOKUP(Table6[[#This Row],[SKU]],'All Skus'!$A:$AC,5,FALSE)),""))</f>
        <v>JBL018</v>
      </c>
      <c r="E178" s="137">
        <f>(IF((VLOOKUP(Table6[[#This Row],[SKU]],'All Skus'!$A:$AC,2,FALSE))="JBL",(VLOOKUP(Table6[[#This Row],[SKU]],'All Skus'!$A:$AC,6,FALSE)),""))</f>
        <v>0</v>
      </c>
      <c r="F178" s="61">
        <f>(IF((VLOOKUP(Table6[[#This Row],[SKU]],'All Skus'!$A:$AC,2,FALSE))="JBL",(VLOOKUP(Table6[[#This Row],[SKU]],'All Skus'!$A:$AC,7,FALSE)),""))</f>
        <v>0</v>
      </c>
      <c r="G178" t="str">
        <f>(IF((VLOOKUP(Table6[[#This Row],[SKU]],'All Skus'!$A:$AC,2,FALSE))="JBL",(VLOOKUP(Table6[[#This Row],[SKU]],'All Skus'!$A:$AC,8,FALSE)),""))</f>
        <v>U-BRACKET FOR CONTROL 28-1/1L, BLK</v>
      </c>
      <c r="H178" s="8" t="str">
        <f>(IF((VLOOKUP(Table6[[#This Row],[SKU]],'All Skus'!$A:$AC,2,FALSE))="JBL",(VLOOKUP(Table6[[#This Row],[SKU]],'All Skus'!$A:$AC,9,FALSE)),""))</f>
        <v>U-Bracket for Control 28-1 &amp; 28-1L. Black. Priced and packaged individually.  Master Pack = 6 pcs.</v>
      </c>
      <c r="I178" s="101">
        <f>(IF((VLOOKUP(Table6[[#This Row],[SKU]],'All Skus'!$A:$AC,2,FALSE))="JBL",(VLOOKUP(Table6[[#This Row],[SKU]],'All Skus'!$A:$AC,10,FALSE)),""))</f>
        <v>66.14</v>
      </c>
      <c r="J178" s="101">
        <f>(IF((VLOOKUP(Table6[[#This Row],[SKU]],'All Skus'!$A:$AC,2,FALSE))="JBL",(VLOOKUP(Table6[[#This Row],[SKU]],'All Skus'!$A:$AC,11,FALSE)),""))</f>
        <v>66.14</v>
      </c>
      <c r="K178" s="102">
        <f>(IF((VLOOKUP(Table6[[#This Row],[SKU]],'All Skus'!$A:$AC,2,FALSE))="JBL",(VLOOKUP(Table6[[#This Row],[SKU]],'All Skus'!$A:$AC,13,FALSE)),""))</f>
        <v>0</v>
      </c>
      <c r="L178" s="102">
        <f>(IF((VLOOKUP(Table6[[#This Row],[SKU]],'All Skus'!$A:$AC,2,FALSE))="JBL",(VLOOKUP(Table6[[#This Row],[SKU]],'All Skus'!$A:$AC,14,FALSE)),""))</f>
        <v>0</v>
      </c>
      <c r="M178" s="143">
        <f>(IF((VLOOKUP(Table6[[#This Row],[SKU]],'All Skus'!$A:$AC,2,FALSE))="JBL",(VLOOKUP(Table6[[#This Row],[SKU]],'All Skus'!$A:$AC,15,FALSE)),""))</f>
        <v>0</v>
      </c>
      <c r="N178" s="137">
        <f>(IF((VLOOKUP(Table6[[#This Row],[SKU]],'All Skus'!$A:$AC,2,FALSE))="JBL",(VLOOKUP(Table6[[#This Row],[SKU]],'All Skus'!$A:$AC,16,FALSE)),""))</f>
        <v>691991005251</v>
      </c>
      <c r="O178" s="61">
        <f>(IF((VLOOKUP(Table6[[#This Row],[SKU]],'All Skus'!$A:$AC,2,FALSE))="JBL",(VLOOKUP(Table6[[#This Row],[SKU]],'All Skus'!$A:$AC,17,FALSE)),""))</f>
        <v>0</v>
      </c>
      <c r="P178" s="136">
        <f>(IF((VLOOKUP(Table6[[#This Row],[SKU]],'All Skus'!$A:$AC,2,FALSE))="JBL",(VLOOKUP(Table6[[#This Row],[SKU]],'All Skus'!$A:$AC,18,FALSE)),""))</f>
        <v>4</v>
      </c>
      <c r="Q178" s="136">
        <f>(IF((VLOOKUP(Table6[[#This Row],[SKU]],'All Skus'!$A:$AC,2,FALSE))="JBL",(VLOOKUP(Table6[[#This Row],[SKU]],'All Skus'!$A:$AC,19,FALSE)),""))</f>
        <v>5</v>
      </c>
      <c r="R178" s="136">
        <f>(IF((VLOOKUP(Table6[[#This Row],[SKU]],'All Skus'!$A:$AC,2,FALSE))="JBL",(VLOOKUP(Table6[[#This Row],[SKU]],'All Skus'!$A:$AC,20,FALSE)),""))</f>
        <v>16.5</v>
      </c>
      <c r="S178" s="61">
        <f>(IF((VLOOKUP(Table6[[#This Row],[SKU]],'All Skus'!$A:$AC,2,FALSE))="JBL",(VLOOKUP(Table6[[#This Row],[SKU]],'All Skus'!$A:$AC,21,FALSE)),""))</f>
        <v>8</v>
      </c>
      <c r="T178" s="61" t="str">
        <f>(IF((VLOOKUP(Table6[[#This Row],[SKU]],'All Skus'!$A:$AC,2,FALSE))="JBL",(VLOOKUP(Table6[[#This Row],[SKU]],'All Skus'!$A:$AC,22,FALSE)),""))</f>
        <v>CN</v>
      </c>
      <c r="U178" t="str">
        <f>(IF((VLOOKUP(Table6[[#This Row],[SKU]],'All Skus'!$A:$AC,2,FALSE))="JBL",(VLOOKUP(Table6[[#This Row],[SKU]],'All Skus'!$A:$AC,23,FALSE)),""))</f>
        <v>Non Compliant</v>
      </c>
      <c r="V178" s="284" t="str">
        <f>HYPERLINK((IF((VLOOKUP(Table6[[#This Row],[SKU]],'All Skus'!$A:$AC,2,FALSE))="JBL",(VLOOKUP(Table6[[#This Row],[SKU]],'All Skus'!$A:$AC,24,FALSE)),"")))</f>
        <v/>
      </c>
      <c r="W178" s="151">
        <v>176</v>
      </c>
    </row>
    <row r="179" spans="1:23" ht="15" hidden="1" customHeight="1">
      <c r="A179" s="13" t="s">
        <v>1185</v>
      </c>
      <c r="B179" s="12" t="str">
        <f>(IF((VLOOKUP(Table6[[#This Row],[SKU]],'All Skus'!$A:$AC,2,FALSE))="JBL",(VLOOKUP(Table6[[#This Row],[SKU]],'All Skus'!$A:$AC,3,FALSE)),""))</f>
        <v>Accessory</v>
      </c>
      <c r="C179" s="12" t="str">
        <f>(IF((VLOOKUP(Table6[[#This Row],[SKU]],'All Skus'!$A:$AC,2,FALSE))="JBL",(VLOOKUP(Table6[[#This Row],[SKU]],'All Skus'!$A:$AC,4,FALSE)),""))</f>
        <v>MTC-28UB-1-WH</v>
      </c>
      <c r="D179" s="61" t="str">
        <f>(IF((VLOOKUP(Table6[[#This Row],[SKU]],'All Skus'!$A:$AC,2,FALSE))="JBL",(VLOOKUP(Table6[[#This Row],[SKU]],'All Skus'!$A:$AC,5,FALSE)),""))</f>
        <v>JBL018</v>
      </c>
      <c r="E179" s="137">
        <f>(IF((VLOOKUP(Table6[[#This Row],[SKU]],'All Skus'!$A:$AC,2,FALSE))="JBL",(VLOOKUP(Table6[[#This Row],[SKU]],'All Skus'!$A:$AC,6,FALSE)),""))</f>
        <v>0</v>
      </c>
      <c r="F179" s="61">
        <f>(IF((VLOOKUP(Table6[[#This Row],[SKU]],'All Skus'!$A:$AC,2,FALSE))="JBL",(VLOOKUP(Table6[[#This Row],[SKU]],'All Skus'!$A:$AC,7,FALSE)),""))</f>
        <v>0</v>
      </c>
      <c r="G179" t="str">
        <f>(IF((VLOOKUP(Table6[[#This Row],[SKU]],'All Skus'!$A:$AC,2,FALSE))="JBL",(VLOOKUP(Table6[[#This Row],[SKU]],'All Skus'!$A:$AC,8,FALSE)),""))</f>
        <v>U-BRACKET FOR CONTROL 28-1/1L, WHT</v>
      </c>
      <c r="H179" s="8" t="str">
        <f>(IF((VLOOKUP(Table6[[#This Row],[SKU]],'All Skus'!$A:$AC,2,FALSE))="JBL",(VLOOKUP(Table6[[#This Row],[SKU]],'All Skus'!$A:$AC,9,FALSE)),""))</f>
        <v>MTC-25UB-1 in white. Sold and packed as Eaches</v>
      </c>
      <c r="I179" s="101">
        <f>(IF((VLOOKUP(Table6[[#This Row],[SKU]],'All Skus'!$A:$AC,2,FALSE))="JBL",(VLOOKUP(Table6[[#This Row],[SKU]],'All Skus'!$A:$AC,10,FALSE)),""))</f>
        <v>66.14</v>
      </c>
      <c r="J179" s="101">
        <f>(IF((VLOOKUP(Table6[[#This Row],[SKU]],'All Skus'!$A:$AC,2,FALSE))="JBL",(VLOOKUP(Table6[[#This Row],[SKU]],'All Skus'!$A:$AC,11,FALSE)),""))</f>
        <v>66.14</v>
      </c>
      <c r="K179" s="102">
        <f>(IF((VLOOKUP(Table6[[#This Row],[SKU]],'All Skus'!$A:$AC,2,FALSE))="JBL",(VLOOKUP(Table6[[#This Row],[SKU]],'All Skus'!$A:$AC,13,FALSE)),""))</f>
        <v>0</v>
      </c>
      <c r="L179" s="102">
        <f>(IF((VLOOKUP(Table6[[#This Row],[SKU]],'All Skus'!$A:$AC,2,FALSE))="JBL",(VLOOKUP(Table6[[#This Row],[SKU]],'All Skus'!$A:$AC,14,FALSE)),""))</f>
        <v>0</v>
      </c>
      <c r="M179" s="143">
        <f>(IF((VLOOKUP(Table6[[#This Row],[SKU]],'All Skus'!$A:$AC,2,FALSE))="JBL",(VLOOKUP(Table6[[#This Row],[SKU]],'All Skus'!$A:$AC,15,FALSE)),""))</f>
        <v>0</v>
      </c>
      <c r="N179" s="137">
        <f>(IF((VLOOKUP(Table6[[#This Row],[SKU]],'All Skus'!$A:$AC,2,FALSE))="JBL",(VLOOKUP(Table6[[#This Row],[SKU]],'All Skus'!$A:$AC,16,FALSE)),""))</f>
        <v>691991005855</v>
      </c>
      <c r="O179" s="61">
        <f>(IF((VLOOKUP(Table6[[#This Row],[SKU]],'All Skus'!$A:$AC,2,FALSE))="JBL",(VLOOKUP(Table6[[#This Row],[SKU]],'All Skus'!$A:$AC,17,FALSE)),""))</f>
        <v>0</v>
      </c>
      <c r="P179" s="136">
        <f>(IF((VLOOKUP(Table6[[#This Row],[SKU]],'All Skus'!$A:$AC,2,FALSE))="JBL",(VLOOKUP(Table6[[#This Row],[SKU]],'All Skus'!$A:$AC,18,FALSE)),""))</f>
        <v>4</v>
      </c>
      <c r="Q179" s="136">
        <f>(IF((VLOOKUP(Table6[[#This Row],[SKU]],'All Skus'!$A:$AC,2,FALSE))="JBL",(VLOOKUP(Table6[[#This Row],[SKU]],'All Skus'!$A:$AC,19,FALSE)),""))</f>
        <v>5</v>
      </c>
      <c r="R179" s="136">
        <f>(IF((VLOOKUP(Table6[[#This Row],[SKU]],'All Skus'!$A:$AC,2,FALSE))="JBL",(VLOOKUP(Table6[[#This Row],[SKU]],'All Skus'!$A:$AC,20,FALSE)),""))</f>
        <v>16.5</v>
      </c>
      <c r="S179" s="61">
        <f>(IF((VLOOKUP(Table6[[#This Row],[SKU]],'All Skus'!$A:$AC,2,FALSE))="JBL",(VLOOKUP(Table6[[#This Row],[SKU]],'All Skus'!$A:$AC,21,FALSE)),""))</f>
        <v>8</v>
      </c>
      <c r="T179" s="61" t="str">
        <f>(IF((VLOOKUP(Table6[[#This Row],[SKU]],'All Skus'!$A:$AC,2,FALSE))="JBL",(VLOOKUP(Table6[[#This Row],[SKU]],'All Skus'!$A:$AC,22,FALSE)),""))</f>
        <v>US</v>
      </c>
      <c r="U179" t="str">
        <f>(IF((VLOOKUP(Table6[[#This Row],[SKU]],'All Skus'!$A:$AC,2,FALSE))="JBL",(VLOOKUP(Table6[[#This Row],[SKU]],'All Skus'!$A:$AC,23,FALSE)),""))</f>
        <v>Compliant</v>
      </c>
      <c r="V179" s="284" t="str">
        <f>HYPERLINK((IF((VLOOKUP(Table6[[#This Row],[SKU]],'All Skus'!$A:$AC,2,FALSE))="JBL",(VLOOKUP(Table6[[#This Row],[SKU]],'All Skus'!$A:$AC,24,FALSE)),"")))</f>
        <v xml:space="preserve">http://www.jblpro.com/ProductAttachments/brktmanl.pdf </v>
      </c>
      <c r="W179" s="151">
        <v>177</v>
      </c>
    </row>
    <row r="180" spans="1:23" ht="15" hidden="1" customHeight="1">
      <c r="A180" s="13" t="s">
        <v>1186</v>
      </c>
      <c r="B180" s="12" t="str">
        <f>(IF((VLOOKUP(Table6[[#This Row],[SKU]],'All Skus'!$A:$AC,2,FALSE))="JBL",(VLOOKUP(Table6[[#This Row],[SKU]],'All Skus'!$A:$AC,3,FALSE)),""))</f>
        <v>Accessory</v>
      </c>
      <c r="C180" s="12" t="str">
        <f>(IF((VLOOKUP(Table6[[#This Row],[SKU]],'All Skus'!$A:$AC,2,FALSE))="JBL",(VLOOKUP(Table6[[#This Row],[SKU]],'All Skus'!$A:$AC,4,FALSE)),""))</f>
        <v>MTC-28WMG-1</v>
      </c>
      <c r="D180" s="61" t="str">
        <f>(IF((VLOOKUP(Table6[[#This Row],[SKU]],'All Skus'!$A:$AC,2,FALSE))="JBL",(VLOOKUP(Table6[[#This Row],[SKU]],'All Skus'!$A:$AC,5,FALSE)),""))</f>
        <v>JBL018</v>
      </c>
      <c r="E180" s="137">
        <f>(IF((VLOOKUP(Table6[[#This Row],[SKU]],'All Skus'!$A:$AC,2,FALSE))="JBL",(VLOOKUP(Table6[[#This Row],[SKU]],'All Skus'!$A:$AC,6,FALSE)),""))</f>
        <v>0</v>
      </c>
      <c r="F180" s="61">
        <f>(IF((VLOOKUP(Table6[[#This Row],[SKU]],'All Skus'!$A:$AC,2,FALSE))="JBL",(VLOOKUP(Table6[[#This Row],[SKU]],'All Skus'!$A:$AC,7,FALSE)),""))</f>
        <v>0</v>
      </c>
      <c r="G180" t="str">
        <f>(IF((VLOOKUP(Table6[[#This Row],[SKU]],'All Skus'!$A:$AC,2,FALSE))="JBL",(VLOOKUP(Table6[[#This Row],[SKU]],'All Skus'!$A:$AC,8,FALSE)),""))</f>
        <v>WEATHERMAX™ GRILLE FOR C28-1/1L, BLK</v>
      </c>
      <c r="H180" s="8" t="str">
        <f>(IF((VLOOKUP(Table6[[#This Row],[SKU]],'All Skus'!$A:$AC,2,FALSE))="JBL",(VLOOKUP(Table6[[#This Row],[SKU]],'All Skus'!$A:$AC,9,FALSE)),""))</f>
        <v>WeatherMax™ Replacement Grille for Control 28-1 &amp; 28-1L for harsh environments. Thick aluminum with 3-layer foam backing and powdercoat finish, black. Provides IP-55 Grille Rating. Priced and packaged individually.</v>
      </c>
      <c r="I180" s="101">
        <f>(IF((VLOOKUP(Table6[[#This Row],[SKU]],'All Skus'!$A:$AC,2,FALSE))="JBL",(VLOOKUP(Table6[[#This Row],[SKU]],'All Skus'!$A:$AC,10,FALSE)),""))</f>
        <v>91.09</v>
      </c>
      <c r="J180" s="101">
        <f>(IF((VLOOKUP(Table6[[#This Row],[SKU]],'All Skus'!$A:$AC,2,FALSE))="JBL",(VLOOKUP(Table6[[#This Row],[SKU]],'All Skus'!$A:$AC,11,FALSE)),""))</f>
        <v>91.09</v>
      </c>
      <c r="K180" s="102">
        <f>(IF((VLOOKUP(Table6[[#This Row],[SKU]],'All Skus'!$A:$AC,2,FALSE))="JBL",(VLOOKUP(Table6[[#This Row],[SKU]],'All Skus'!$A:$AC,13,FALSE)),""))</f>
        <v>0</v>
      </c>
      <c r="L180" s="102">
        <f>(IF((VLOOKUP(Table6[[#This Row],[SKU]],'All Skus'!$A:$AC,2,FALSE))="JBL",(VLOOKUP(Table6[[#This Row],[SKU]],'All Skus'!$A:$AC,14,FALSE)),""))</f>
        <v>0</v>
      </c>
      <c r="M180" s="143">
        <f>(IF((VLOOKUP(Table6[[#This Row],[SKU]],'All Skus'!$A:$AC,2,FALSE))="JBL",(VLOOKUP(Table6[[#This Row],[SKU]],'All Skus'!$A:$AC,15,FALSE)),""))</f>
        <v>0</v>
      </c>
      <c r="N180" s="137">
        <f>(IF((VLOOKUP(Table6[[#This Row],[SKU]],'All Skus'!$A:$AC,2,FALSE))="JBL",(VLOOKUP(Table6[[#This Row],[SKU]],'All Skus'!$A:$AC,16,FALSE)),""))</f>
        <v>691991005190</v>
      </c>
      <c r="O180" s="61">
        <f>(IF((VLOOKUP(Table6[[#This Row],[SKU]],'All Skus'!$A:$AC,2,FALSE))="JBL",(VLOOKUP(Table6[[#This Row],[SKU]],'All Skus'!$A:$AC,17,FALSE)),""))</f>
        <v>0</v>
      </c>
      <c r="P180" s="136">
        <f>(IF((VLOOKUP(Table6[[#This Row],[SKU]],'All Skus'!$A:$AC,2,FALSE))="JBL",(VLOOKUP(Table6[[#This Row],[SKU]],'All Skus'!$A:$AC,18,FALSE)),""))</f>
        <v>2</v>
      </c>
      <c r="Q180" s="136">
        <f>(IF((VLOOKUP(Table6[[#This Row],[SKU]],'All Skus'!$A:$AC,2,FALSE))="JBL",(VLOOKUP(Table6[[#This Row],[SKU]],'All Skus'!$A:$AC,19,FALSE)),""))</f>
        <v>2</v>
      </c>
      <c r="R180" s="136">
        <f>(IF((VLOOKUP(Table6[[#This Row],[SKU]],'All Skus'!$A:$AC,2,FALSE))="JBL",(VLOOKUP(Table6[[#This Row],[SKU]],'All Skus'!$A:$AC,20,FALSE)),""))</f>
        <v>11</v>
      </c>
      <c r="S180" s="61">
        <f>(IF((VLOOKUP(Table6[[#This Row],[SKU]],'All Skus'!$A:$AC,2,FALSE))="JBL",(VLOOKUP(Table6[[#This Row],[SKU]],'All Skus'!$A:$AC,21,FALSE)),""))</f>
        <v>15</v>
      </c>
      <c r="T180" s="61" t="str">
        <f>(IF((VLOOKUP(Table6[[#This Row],[SKU]],'All Skus'!$A:$AC,2,FALSE))="JBL",(VLOOKUP(Table6[[#This Row],[SKU]],'All Skus'!$A:$AC,22,FALSE)),""))</f>
        <v>CN</v>
      </c>
      <c r="U180" t="str">
        <f>(IF((VLOOKUP(Table6[[#This Row],[SKU]],'All Skus'!$A:$AC,2,FALSE))="JBL",(VLOOKUP(Table6[[#This Row],[SKU]],'All Skus'!$A:$AC,23,FALSE)),""))</f>
        <v>Non Compliant</v>
      </c>
      <c r="V180" s="284" t="str">
        <f>HYPERLINK((IF((VLOOKUP(Table6[[#This Row],[SKU]],'All Skus'!$A:$AC,2,FALSE))="JBL",(VLOOKUP(Table6[[#This Row],[SKU]],'All Skus'!$A:$AC,24,FALSE)),"")))</f>
        <v/>
      </c>
      <c r="W180" s="151">
        <v>178</v>
      </c>
    </row>
    <row r="181" spans="1:23" ht="15" hidden="1" customHeight="1">
      <c r="A181" s="13" t="s">
        <v>1187</v>
      </c>
      <c r="B181" s="12" t="str">
        <f>(IF((VLOOKUP(Table6[[#This Row],[SKU]],'All Skus'!$A:$AC,2,FALSE))="JBL",(VLOOKUP(Table6[[#This Row],[SKU]],'All Skus'!$A:$AC,3,FALSE)),""))</f>
        <v>Accessory</v>
      </c>
      <c r="C181" s="12" t="str">
        <f>(IF((VLOOKUP(Table6[[#This Row],[SKU]],'All Skus'!$A:$AC,2,FALSE))="JBL",(VLOOKUP(Table6[[#This Row],[SKU]],'All Skus'!$A:$AC,4,FALSE)),""))</f>
        <v>MTC-28WMG-1-WH</v>
      </c>
      <c r="D181" s="61" t="str">
        <f>(IF((VLOOKUP(Table6[[#This Row],[SKU]],'All Skus'!$A:$AC,2,FALSE))="JBL",(VLOOKUP(Table6[[#This Row],[SKU]],'All Skus'!$A:$AC,5,FALSE)),""))</f>
        <v>JBL018</v>
      </c>
      <c r="E181" s="137">
        <f>(IF((VLOOKUP(Table6[[#This Row],[SKU]],'All Skus'!$A:$AC,2,FALSE))="JBL",(VLOOKUP(Table6[[#This Row],[SKU]],'All Skus'!$A:$AC,6,FALSE)),""))</f>
        <v>0</v>
      </c>
      <c r="F181" s="61">
        <f>(IF((VLOOKUP(Table6[[#This Row],[SKU]],'All Skus'!$A:$AC,2,FALSE))="JBL",(VLOOKUP(Table6[[#This Row],[SKU]],'All Skus'!$A:$AC,7,FALSE)),""))</f>
        <v>0</v>
      </c>
      <c r="G181" t="str">
        <f>(IF((VLOOKUP(Table6[[#This Row],[SKU]],'All Skus'!$A:$AC,2,FALSE))="JBL",(VLOOKUP(Table6[[#This Row],[SKU]],'All Skus'!$A:$AC,8,FALSE)),""))</f>
        <v>WEATHERMAX™ GRILLE FOR C28-1-WH/1L-WH, WHT</v>
      </c>
      <c r="H181" s="8" t="str">
        <f>(IF((VLOOKUP(Table6[[#This Row],[SKU]],'All Skus'!$A:$AC,2,FALSE))="JBL",(VLOOKUP(Table6[[#This Row],[SKU]],'All Skus'!$A:$AC,9,FALSE)),""))</f>
        <v>MTC-28WMG-1 in white. Sold and packed as Eaches</v>
      </c>
      <c r="I181" s="101">
        <f>(IF((VLOOKUP(Table6[[#This Row],[SKU]],'All Skus'!$A:$AC,2,FALSE))="JBL",(VLOOKUP(Table6[[#This Row],[SKU]],'All Skus'!$A:$AC,10,FALSE)),""))</f>
        <v>91.09</v>
      </c>
      <c r="J181" s="101">
        <f>(IF((VLOOKUP(Table6[[#This Row],[SKU]],'All Skus'!$A:$AC,2,FALSE))="JBL",(VLOOKUP(Table6[[#This Row],[SKU]],'All Skus'!$A:$AC,11,FALSE)),""))</f>
        <v>91.09</v>
      </c>
      <c r="K181" s="102">
        <f>(IF((VLOOKUP(Table6[[#This Row],[SKU]],'All Skus'!$A:$AC,2,FALSE))="JBL",(VLOOKUP(Table6[[#This Row],[SKU]],'All Skus'!$A:$AC,13,FALSE)),""))</f>
        <v>0</v>
      </c>
      <c r="L181" s="102">
        <f>(IF((VLOOKUP(Table6[[#This Row],[SKU]],'All Skus'!$A:$AC,2,FALSE))="JBL",(VLOOKUP(Table6[[#This Row],[SKU]],'All Skus'!$A:$AC,14,FALSE)),""))</f>
        <v>0</v>
      </c>
      <c r="M181" s="143">
        <f>(IF((VLOOKUP(Table6[[#This Row],[SKU]],'All Skus'!$A:$AC,2,FALSE))="JBL",(VLOOKUP(Table6[[#This Row],[SKU]],'All Skus'!$A:$AC,15,FALSE)),""))</f>
        <v>0</v>
      </c>
      <c r="N181" s="137">
        <f>(IF((VLOOKUP(Table6[[#This Row],[SKU]],'All Skus'!$A:$AC,2,FALSE))="JBL",(VLOOKUP(Table6[[#This Row],[SKU]],'All Skus'!$A:$AC,16,FALSE)),""))</f>
        <v>691991005206</v>
      </c>
      <c r="O181" s="61">
        <f>(IF((VLOOKUP(Table6[[#This Row],[SKU]],'All Skus'!$A:$AC,2,FALSE))="JBL",(VLOOKUP(Table6[[#This Row],[SKU]],'All Skus'!$A:$AC,17,FALSE)),""))</f>
        <v>0</v>
      </c>
      <c r="P181" s="136">
        <f>(IF((VLOOKUP(Table6[[#This Row],[SKU]],'All Skus'!$A:$AC,2,FALSE))="JBL",(VLOOKUP(Table6[[#This Row],[SKU]],'All Skus'!$A:$AC,18,FALSE)),""))</f>
        <v>2</v>
      </c>
      <c r="Q181" s="136">
        <f>(IF((VLOOKUP(Table6[[#This Row],[SKU]],'All Skus'!$A:$AC,2,FALSE))="JBL",(VLOOKUP(Table6[[#This Row],[SKU]],'All Skus'!$A:$AC,19,FALSE)),""))</f>
        <v>2</v>
      </c>
      <c r="R181" s="136">
        <f>(IF((VLOOKUP(Table6[[#This Row],[SKU]],'All Skus'!$A:$AC,2,FALSE))="JBL",(VLOOKUP(Table6[[#This Row],[SKU]],'All Skus'!$A:$AC,20,FALSE)),""))</f>
        <v>11</v>
      </c>
      <c r="S181" s="61">
        <f>(IF((VLOOKUP(Table6[[#This Row],[SKU]],'All Skus'!$A:$AC,2,FALSE))="JBL",(VLOOKUP(Table6[[#This Row],[SKU]],'All Skus'!$A:$AC,21,FALSE)),""))</f>
        <v>15</v>
      </c>
      <c r="T181" s="61" t="str">
        <f>(IF((VLOOKUP(Table6[[#This Row],[SKU]],'All Skus'!$A:$AC,2,FALSE))="JBL",(VLOOKUP(Table6[[#This Row],[SKU]],'All Skus'!$A:$AC,22,FALSE)),""))</f>
        <v>CN</v>
      </c>
      <c r="U181" t="str">
        <f>(IF((VLOOKUP(Table6[[#This Row],[SKU]],'All Skus'!$A:$AC,2,FALSE))="JBL",(VLOOKUP(Table6[[#This Row],[SKU]],'All Skus'!$A:$AC,23,FALSE)),""))</f>
        <v>Non Compliant</v>
      </c>
      <c r="V181" s="284" t="str">
        <f>HYPERLINK((IF((VLOOKUP(Table6[[#This Row],[SKU]],'All Skus'!$A:$AC,2,FALSE))="JBL",(VLOOKUP(Table6[[#This Row],[SKU]],'All Skus'!$A:$AC,24,FALSE)),"")))</f>
        <v/>
      </c>
      <c r="W181" s="151">
        <v>179</v>
      </c>
    </row>
    <row r="182" spans="1:23" ht="15" hidden="1" customHeight="1">
      <c r="A182" s="13" t="s">
        <v>1188</v>
      </c>
      <c r="B182" s="12" t="str">
        <f>(IF((VLOOKUP(Table6[[#This Row],[SKU]],'All Skus'!$A:$AC,2,FALSE))="JBL",(VLOOKUP(Table6[[#This Row],[SKU]],'All Skus'!$A:$AC,3,FALSE)),""))</f>
        <v>Accessory</v>
      </c>
      <c r="C182" s="12" t="str">
        <f>(IF((VLOOKUP(Table6[[#This Row],[SKU]],'All Skus'!$A:$AC,2,FALSE))="JBL",(VLOOKUP(Table6[[#This Row],[SKU]],'All Skus'!$A:$AC,4,FALSE)),""))</f>
        <v>MTC-29MK</v>
      </c>
      <c r="D182" s="61" t="str">
        <f>(IF((VLOOKUP(Table6[[#This Row],[SKU]],'All Skus'!$A:$AC,2,FALSE))="JBL",(VLOOKUP(Table6[[#This Row],[SKU]],'All Skus'!$A:$AC,5,FALSE)),""))</f>
        <v>JBL018</v>
      </c>
      <c r="E182" s="137">
        <f>(IF((VLOOKUP(Table6[[#This Row],[SKU]],'All Skus'!$A:$AC,2,FALSE))="JBL",(VLOOKUP(Table6[[#This Row],[SKU]],'All Skus'!$A:$AC,6,FALSE)),""))</f>
        <v>0</v>
      </c>
      <c r="F182" s="61">
        <f>(IF((VLOOKUP(Table6[[#This Row],[SKU]],'All Skus'!$A:$AC,2,FALSE))="JBL",(VLOOKUP(Table6[[#This Row],[SKU]],'All Skus'!$A:$AC,7,FALSE)),""))</f>
        <v>0</v>
      </c>
      <c r="G182" t="str">
        <f>(IF((VLOOKUP(Table6[[#This Row],[SKU]],'All Skus'!$A:$AC,2,FALSE))="JBL",(VLOOKUP(Table6[[#This Row],[SKU]],'All Skus'!$A:$AC,8,FALSE)),""))</f>
        <v>GRILLE KIT TO PREVENT RUSTING - BLACK.</v>
      </c>
      <c r="H182" s="8" t="str">
        <f>(IF((VLOOKUP(Table6[[#This Row],[SKU]],'All Skus'!$A:$AC,2,FALSE))="JBL",(VLOOKUP(Table6[[#This Row],[SKU]],'All Skus'!$A:$AC,9,FALSE)),""))</f>
        <v>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 Sold and packed as Eaches</v>
      </c>
      <c r="I182" s="101">
        <f>(IF((VLOOKUP(Table6[[#This Row],[SKU]],'All Skus'!$A:$AC,2,FALSE))="JBL",(VLOOKUP(Table6[[#This Row],[SKU]],'All Skus'!$A:$AC,10,FALSE)),""))</f>
        <v>179.37</v>
      </c>
      <c r="J182" s="101">
        <f>(IF((VLOOKUP(Table6[[#This Row],[SKU]],'All Skus'!$A:$AC,2,FALSE))="JBL",(VLOOKUP(Table6[[#This Row],[SKU]],'All Skus'!$A:$AC,11,FALSE)),""))</f>
        <v>144</v>
      </c>
      <c r="K182" s="102">
        <f>(IF((VLOOKUP(Table6[[#This Row],[SKU]],'All Skus'!$A:$AC,2,FALSE))="JBL",(VLOOKUP(Table6[[#This Row],[SKU]],'All Skus'!$A:$AC,13,FALSE)),""))</f>
        <v>0</v>
      </c>
      <c r="L182" s="102">
        <f>(IF((VLOOKUP(Table6[[#This Row],[SKU]],'All Skus'!$A:$AC,2,FALSE))="JBL",(VLOOKUP(Table6[[#This Row],[SKU]],'All Skus'!$A:$AC,14,FALSE)),""))</f>
        <v>0</v>
      </c>
      <c r="M182" s="143">
        <f>(IF((VLOOKUP(Table6[[#This Row],[SKU]],'All Skus'!$A:$AC,2,FALSE))="JBL",(VLOOKUP(Table6[[#This Row],[SKU]],'All Skus'!$A:$AC,15,FALSE)),""))</f>
        <v>0</v>
      </c>
      <c r="N182" s="137">
        <f>(IF((VLOOKUP(Table6[[#This Row],[SKU]],'All Skus'!$A:$AC,2,FALSE))="JBL",(VLOOKUP(Table6[[#This Row],[SKU]],'All Skus'!$A:$AC,16,FALSE)),""))</f>
        <v>691991006524</v>
      </c>
      <c r="O182" s="61">
        <f>(IF((VLOOKUP(Table6[[#This Row],[SKU]],'All Skus'!$A:$AC,2,FALSE))="JBL",(VLOOKUP(Table6[[#This Row],[SKU]],'All Skus'!$A:$AC,17,FALSE)),""))</f>
        <v>0</v>
      </c>
      <c r="P182" s="136">
        <f>(IF((VLOOKUP(Table6[[#This Row],[SKU]],'All Skus'!$A:$AC,2,FALSE))="JBL",(VLOOKUP(Table6[[#This Row],[SKU]],'All Skus'!$A:$AC,18,FALSE)),""))</f>
        <v>1</v>
      </c>
      <c r="Q182" s="136">
        <f>(IF((VLOOKUP(Table6[[#This Row],[SKU]],'All Skus'!$A:$AC,2,FALSE))="JBL",(VLOOKUP(Table6[[#This Row],[SKU]],'All Skus'!$A:$AC,19,FALSE)),""))</f>
        <v>21.5</v>
      </c>
      <c r="R182" s="136">
        <f>(IF((VLOOKUP(Table6[[#This Row],[SKU]],'All Skus'!$A:$AC,2,FALSE))="JBL",(VLOOKUP(Table6[[#This Row],[SKU]],'All Skus'!$A:$AC,20,FALSE)),""))</f>
        <v>11.5</v>
      </c>
      <c r="S182" s="61">
        <f>(IF((VLOOKUP(Table6[[#This Row],[SKU]],'All Skus'!$A:$AC,2,FALSE))="JBL",(VLOOKUP(Table6[[#This Row],[SKU]],'All Skus'!$A:$AC,21,FALSE)),""))</f>
        <v>2</v>
      </c>
      <c r="T182" s="61" t="str">
        <f>(IF((VLOOKUP(Table6[[#This Row],[SKU]],'All Skus'!$A:$AC,2,FALSE))="JBL",(VLOOKUP(Table6[[#This Row],[SKU]],'All Skus'!$A:$AC,22,FALSE)),""))</f>
        <v>CN</v>
      </c>
      <c r="U182" t="str">
        <f>(IF((VLOOKUP(Table6[[#This Row],[SKU]],'All Skus'!$A:$AC,2,FALSE))="JBL",(VLOOKUP(Table6[[#This Row],[SKU]],'All Skus'!$A:$AC,23,FALSE)),""))</f>
        <v>Non Compliant</v>
      </c>
      <c r="V182" s="284" t="str">
        <f>HYPERLINK((IF((VLOOKUP(Table6[[#This Row],[SKU]],'All Skus'!$A:$AC,2,FALSE))="JBL",(VLOOKUP(Table6[[#This Row],[SKU]],'All Skus'!$A:$AC,24,FALSE)),"")))</f>
        <v/>
      </c>
      <c r="W182" s="151">
        <v>180</v>
      </c>
    </row>
    <row r="183" spans="1:23" ht="15" hidden="1" customHeight="1">
      <c r="A183" s="13" t="s">
        <v>1189</v>
      </c>
      <c r="B183" s="12" t="str">
        <f>(IF((VLOOKUP(Table6[[#This Row],[SKU]],'All Skus'!$A:$AC,2,FALSE))="JBL",(VLOOKUP(Table6[[#This Row],[SKU]],'All Skus'!$A:$AC,3,FALSE)),""))</f>
        <v>Accessory</v>
      </c>
      <c r="C183" s="12" t="str">
        <f>(IF((VLOOKUP(Table6[[#This Row],[SKU]],'All Skus'!$A:$AC,2,FALSE))="JBL",(VLOOKUP(Table6[[#This Row],[SKU]],'All Skus'!$A:$AC,4,FALSE)),""))</f>
        <v>MTC-29MK-WH</v>
      </c>
      <c r="D183" s="61" t="str">
        <f>(IF((VLOOKUP(Table6[[#This Row],[SKU]],'All Skus'!$A:$AC,2,FALSE))="JBL",(VLOOKUP(Table6[[#This Row],[SKU]],'All Skus'!$A:$AC,5,FALSE)),""))</f>
        <v>JBL018</v>
      </c>
      <c r="E183" s="137">
        <f>(IF((VLOOKUP(Table6[[#This Row],[SKU]],'All Skus'!$A:$AC,2,FALSE))="JBL",(VLOOKUP(Table6[[#This Row],[SKU]],'All Skus'!$A:$AC,6,FALSE)),""))</f>
        <v>0</v>
      </c>
      <c r="F183" s="61">
        <f>(IF((VLOOKUP(Table6[[#This Row],[SKU]],'All Skus'!$A:$AC,2,FALSE))="JBL",(VLOOKUP(Table6[[#This Row],[SKU]],'All Skus'!$A:$AC,7,FALSE)),""))</f>
        <v>0</v>
      </c>
      <c r="G183" t="str">
        <f>(IF((VLOOKUP(Table6[[#This Row],[SKU]],'All Skus'!$A:$AC,2,FALSE))="JBL",(VLOOKUP(Table6[[#This Row],[SKU]],'All Skus'!$A:$AC,8,FALSE)),""))</f>
        <v>GRILLE KIT TO PREVENT RUSTING - WHITE</v>
      </c>
      <c r="H183" s="8" t="str">
        <f>(IF((VLOOKUP(Table6[[#This Row],[SKU]],'All Skus'!$A:$AC,2,FALSE))="JBL",(VLOOKUP(Table6[[#This Row],[SKU]],'All Skus'!$A:$AC,9,FALSE)),""))</f>
        <v>Marine Grille Kit for C29AV-1 Loudspeaker.   Retrofit grille, adds extra durability when installing C29AV-1s in challenging corrosive environments such as sea-side restaurants, resorts in salt-air areas, water parks and swimming facilities.  Kit includes extra-thick painted aluminum grille with WeatherMax™ backing plus stainless steel grille screws.  Black.</v>
      </c>
      <c r="I183" s="101">
        <f>(IF((VLOOKUP(Table6[[#This Row],[SKU]],'All Skus'!$A:$AC,2,FALSE))="JBL",(VLOOKUP(Table6[[#This Row],[SKU]],'All Skus'!$A:$AC,10,FALSE)),""))</f>
        <v>179.37</v>
      </c>
      <c r="J183" s="101">
        <f>(IF((VLOOKUP(Table6[[#This Row],[SKU]],'All Skus'!$A:$AC,2,FALSE))="JBL",(VLOOKUP(Table6[[#This Row],[SKU]],'All Skus'!$A:$AC,11,FALSE)),""))</f>
        <v>144</v>
      </c>
      <c r="K183" s="102">
        <f>(IF((VLOOKUP(Table6[[#This Row],[SKU]],'All Skus'!$A:$AC,2,FALSE))="JBL",(VLOOKUP(Table6[[#This Row],[SKU]],'All Skus'!$A:$AC,13,FALSE)),""))</f>
        <v>0</v>
      </c>
      <c r="L183" s="102">
        <f>(IF((VLOOKUP(Table6[[#This Row],[SKU]],'All Skus'!$A:$AC,2,FALSE))="JBL",(VLOOKUP(Table6[[#This Row],[SKU]],'All Skus'!$A:$AC,14,FALSE)),""))</f>
        <v>0</v>
      </c>
      <c r="M183" s="143">
        <f>(IF((VLOOKUP(Table6[[#This Row],[SKU]],'All Skus'!$A:$AC,2,FALSE))="JBL",(VLOOKUP(Table6[[#This Row],[SKU]],'All Skus'!$A:$AC,15,FALSE)),""))</f>
        <v>0</v>
      </c>
      <c r="N183" s="137">
        <f>(IF((VLOOKUP(Table6[[#This Row],[SKU]],'All Skus'!$A:$AC,2,FALSE))="JBL",(VLOOKUP(Table6[[#This Row],[SKU]],'All Skus'!$A:$AC,16,FALSE)),""))</f>
        <v>691991039171</v>
      </c>
      <c r="O183" s="61">
        <f>(IF((VLOOKUP(Table6[[#This Row],[SKU]],'All Skus'!$A:$AC,2,FALSE))="JBL",(VLOOKUP(Table6[[#This Row],[SKU]],'All Skus'!$A:$AC,17,FALSE)),""))</f>
        <v>0</v>
      </c>
      <c r="P183" s="136">
        <f>(IF((VLOOKUP(Table6[[#This Row],[SKU]],'All Skus'!$A:$AC,2,FALSE))="JBL",(VLOOKUP(Table6[[#This Row],[SKU]],'All Skus'!$A:$AC,18,FALSE)),""))</f>
        <v>1</v>
      </c>
      <c r="Q183" s="136">
        <f>(IF((VLOOKUP(Table6[[#This Row],[SKU]],'All Skus'!$A:$AC,2,FALSE))="JBL",(VLOOKUP(Table6[[#This Row],[SKU]],'All Skus'!$A:$AC,19,FALSE)),""))</f>
        <v>21.5</v>
      </c>
      <c r="R183" s="136">
        <f>(IF((VLOOKUP(Table6[[#This Row],[SKU]],'All Skus'!$A:$AC,2,FALSE))="JBL",(VLOOKUP(Table6[[#This Row],[SKU]],'All Skus'!$A:$AC,20,FALSE)),""))</f>
        <v>11.5</v>
      </c>
      <c r="S183" s="61">
        <f>(IF((VLOOKUP(Table6[[#This Row],[SKU]],'All Skus'!$A:$AC,2,FALSE))="JBL",(VLOOKUP(Table6[[#This Row],[SKU]],'All Skus'!$A:$AC,21,FALSE)),""))</f>
        <v>2</v>
      </c>
      <c r="T183" s="61" t="str">
        <f>(IF((VLOOKUP(Table6[[#This Row],[SKU]],'All Skus'!$A:$AC,2,FALSE))="JBL",(VLOOKUP(Table6[[#This Row],[SKU]],'All Skus'!$A:$AC,22,FALSE)),""))</f>
        <v>CN</v>
      </c>
      <c r="U183" t="str">
        <f>(IF((VLOOKUP(Table6[[#This Row],[SKU]],'All Skus'!$A:$AC,2,FALSE))="JBL",(VLOOKUP(Table6[[#This Row],[SKU]],'All Skus'!$A:$AC,23,FALSE)),""))</f>
        <v>Non Compliant</v>
      </c>
      <c r="V183" s="284" t="str">
        <f>HYPERLINK((IF((VLOOKUP(Table6[[#This Row],[SKU]],'All Skus'!$A:$AC,2,FALSE))="JBL",(VLOOKUP(Table6[[#This Row],[SKU]],'All Skus'!$A:$AC,24,FALSE)),"")))</f>
        <v/>
      </c>
      <c r="W183" s="151">
        <v>181</v>
      </c>
    </row>
    <row r="184" spans="1:23" ht="15" hidden="1" customHeight="1">
      <c r="A184" s="13" t="s">
        <v>1190</v>
      </c>
      <c r="B184" s="12" t="str">
        <f>(IF((VLOOKUP(Table6[[#This Row],[SKU]],'All Skus'!$A:$AC,2,FALSE))="JBL",(VLOOKUP(Table6[[#This Row],[SKU]],'All Skus'!$A:$AC,3,FALSE)),""))</f>
        <v>Accessory</v>
      </c>
      <c r="C184" s="12" t="str">
        <f>(IF((VLOOKUP(Table6[[#This Row],[SKU]],'All Skus'!$A:$AC,2,FALSE))="JBL",(VLOOKUP(Table6[[#This Row],[SKU]],'All Skus'!$A:$AC,4,FALSE)),""))</f>
        <v>MTC-29CM</v>
      </c>
      <c r="D184" s="61" t="str">
        <f>(IF((VLOOKUP(Table6[[#This Row],[SKU]],'All Skus'!$A:$AC,2,FALSE))="JBL",(VLOOKUP(Table6[[#This Row],[SKU]],'All Skus'!$A:$AC,5,FALSE)),""))</f>
        <v>JBL018</v>
      </c>
      <c r="E184" s="137">
        <f>(IF((VLOOKUP(Table6[[#This Row],[SKU]],'All Skus'!$A:$AC,2,FALSE))="JBL",(VLOOKUP(Table6[[#This Row],[SKU]],'All Skus'!$A:$AC,6,FALSE)),""))</f>
        <v>0</v>
      </c>
      <c r="F184" s="61">
        <f>(IF((VLOOKUP(Table6[[#This Row],[SKU]],'All Skus'!$A:$AC,2,FALSE))="JBL",(VLOOKUP(Table6[[#This Row],[SKU]],'All Skus'!$A:$AC,7,FALSE)),""))</f>
        <v>0</v>
      </c>
      <c r="G184" t="str">
        <f>(IF((VLOOKUP(Table6[[#This Row],[SKU]],'All Skus'!$A:$AC,2,FALSE))="JBL",(VLOOKUP(Table6[[#This Row],[SKU]],'All Skus'!$A:$AC,8,FALSE)),""))</f>
        <v>CEILING MOUNT ADAPTER, FOR C29AV</v>
      </c>
      <c r="H184" s="8" t="str">
        <f>(IF((VLOOKUP(Table6[[#This Row],[SKU]],'All Skus'!$A:$AC,2,FALSE))="JBL",(VLOOKUP(Table6[[#This Row],[SKU]],'All Skus'!$A:$AC,9,FALSE)),""))</f>
        <v>Ceiling-Mount Adapter for Control 29AV, Black.  Each Pack Contains 1 Piece.</v>
      </c>
      <c r="I184" s="101">
        <f>(IF((VLOOKUP(Table6[[#This Row],[SKU]],'All Skus'!$A:$AC,2,FALSE))="JBL",(VLOOKUP(Table6[[#This Row],[SKU]],'All Skus'!$A:$AC,10,FALSE)),""))</f>
        <v>37.44</v>
      </c>
      <c r="J184" s="101">
        <f>(IF((VLOOKUP(Table6[[#This Row],[SKU]],'All Skus'!$A:$AC,2,FALSE))="JBL",(VLOOKUP(Table6[[#This Row],[SKU]],'All Skus'!$A:$AC,11,FALSE)),""))</f>
        <v>37.44</v>
      </c>
      <c r="K184" s="102">
        <f>(IF((VLOOKUP(Table6[[#This Row],[SKU]],'All Skus'!$A:$AC,2,FALSE))="JBL",(VLOOKUP(Table6[[#This Row],[SKU]],'All Skus'!$A:$AC,13,FALSE)),""))</f>
        <v>0</v>
      </c>
      <c r="L184" s="102">
        <f>(IF((VLOOKUP(Table6[[#This Row],[SKU]],'All Skus'!$A:$AC,2,FALSE))="JBL",(VLOOKUP(Table6[[#This Row],[SKU]],'All Skus'!$A:$AC,14,FALSE)),""))</f>
        <v>0</v>
      </c>
      <c r="M184" s="143">
        <f>(IF((VLOOKUP(Table6[[#This Row],[SKU]],'All Skus'!$A:$AC,2,FALSE))="JBL",(VLOOKUP(Table6[[#This Row],[SKU]],'All Skus'!$A:$AC,15,FALSE)),""))</f>
        <v>0</v>
      </c>
      <c r="N184" s="137">
        <f>(IF((VLOOKUP(Table6[[#This Row],[SKU]],'All Skus'!$A:$AC,2,FALSE))="JBL",(VLOOKUP(Table6[[#This Row],[SKU]],'All Skus'!$A:$AC,16,FALSE)),""))</f>
        <v>691991300639</v>
      </c>
      <c r="O184" s="61">
        <f>(IF((VLOOKUP(Table6[[#This Row],[SKU]],'All Skus'!$A:$AC,2,FALSE))="JBL",(VLOOKUP(Table6[[#This Row],[SKU]],'All Skus'!$A:$AC,17,FALSE)),""))</f>
        <v>0</v>
      </c>
      <c r="P184" s="136">
        <f>(IF((VLOOKUP(Table6[[#This Row],[SKU]],'All Skus'!$A:$AC,2,FALSE))="JBL",(VLOOKUP(Table6[[#This Row],[SKU]],'All Skus'!$A:$AC,18,FALSE)),""))</f>
        <v>2.25</v>
      </c>
      <c r="Q184" s="136">
        <f>(IF((VLOOKUP(Table6[[#This Row],[SKU]],'All Skus'!$A:$AC,2,FALSE))="JBL",(VLOOKUP(Table6[[#This Row],[SKU]],'All Skus'!$A:$AC,19,FALSE)),""))</f>
        <v>4</v>
      </c>
      <c r="R184" s="136">
        <f>(IF((VLOOKUP(Table6[[#This Row],[SKU]],'All Skus'!$A:$AC,2,FALSE))="JBL",(VLOOKUP(Table6[[#This Row],[SKU]],'All Skus'!$A:$AC,20,FALSE)),""))</f>
        <v>15</v>
      </c>
      <c r="S184" s="61">
        <f>(IF((VLOOKUP(Table6[[#This Row],[SKU]],'All Skus'!$A:$AC,2,FALSE))="JBL",(VLOOKUP(Table6[[#This Row],[SKU]],'All Skus'!$A:$AC,21,FALSE)),""))</f>
        <v>4</v>
      </c>
      <c r="T184" s="61" t="str">
        <f>(IF((VLOOKUP(Table6[[#This Row],[SKU]],'All Skus'!$A:$AC,2,FALSE))="JBL",(VLOOKUP(Table6[[#This Row],[SKU]],'All Skus'!$A:$AC,22,FALSE)),""))</f>
        <v>CN</v>
      </c>
      <c r="U184" t="str">
        <f>(IF((VLOOKUP(Table6[[#This Row],[SKU]],'All Skus'!$A:$AC,2,FALSE))="JBL",(VLOOKUP(Table6[[#This Row],[SKU]],'All Skus'!$A:$AC,23,FALSE)),""))</f>
        <v>Non Compliant</v>
      </c>
      <c r="V184" s="284" t="str">
        <f>HYPERLINK((IF((VLOOKUP(Table6[[#This Row],[SKU]],'All Skus'!$A:$AC,2,FALSE))="JBL",(VLOOKUP(Table6[[#This Row],[SKU]],'All Skus'!$A:$AC,24,FALSE)),"")))</f>
        <v/>
      </c>
      <c r="W184" s="151">
        <v>182</v>
      </c>
    </row>
    <row r="185" spans="1:23" ht="15" hidden="1" customHeight="1">
      <c r="A185" s="13" t="s">
        <v>1191</v>
      </c>
      <c r="B185" s="12" t="str">
        <f>(IF((VLOOKUP(Table6[[#This Row],[SKU]],'All Skus'!$A:$AC,2,FALSE))="JBL",(VLOOKUP(Table6[[#This Row],[SKU]],'All Skus'!$A:$AC,3,FALSE)),""))</f>
        <v>Accessory</v>
      </c>
      <c r="C185" s="12" t="str">
        <f>(IF((VLOOKUP(Table6[[#This Row],[SKU]],'All Skus'!$A:$AC,2,FALSE))="JBL",(VLOOKUP(Table6[[#This Row],[SKU]],'All Skus'!$A:$AC,4,FALSE)),""))</f>
        <v>MTC-29CM-WH</v>
      </c>
      <c r="D185" s="61" t="str">
        <f>(IF((VLOOKUP(Table6[[#This Row],[SKU]],'All Skus'!$A:$AC,2,FALSE))="JBL",(VLOOKUP(Table6[[#This Row],[SKU]],'All Skus'!$A:$AC,5,FALSE)),""))</f>
        <v>JBL018</v>
      </c>
      <c r="E185" s="137">
        <f>(IF((VLOOKUP(Table6[[#This Row],[SKU]],'All Skus'!$A:$AC,2,FALSE))="JBL",(VLOOKUP(Table6[[#This Row],[SKU]],'All Skus'!$A:$AC,6,FALSE)),""))</f>
        <v>0</v>
      </c>
      <c r="F185" s="61">
        <f>(IF((VLOOKUP(Table6[[#This Row],[SKU]],'All Skus'!$A:$AC,2,FALSE))="JBL",(VLOOKUP(Table6[[#This Row],[SKU]],'All Skus'!$A:$AC,7,FALSE)),""))</f>
        <v>0</v>
      </c>
      <c r="G185" t="str">
        <f>(IF((VLOOKUP(Table6[[#This Row],[SKU]],'All Skus'!$A:$AC,2,FALSE))="JBL",(VLOOKUP(Table6[[#This Row],[SKU]],'All Skus'!$A:$AC,8,FALSE)),""))</f>
        <v>CEILING MT ADAPTER/C29AV-WH</v>
      </c>
      <c r="H185" s="8" t="str">
        <f>(IF((VLOOKUP(Table6[[#This Row],[SKU]],'All Skus'!$A:$AC,2,FALSE))="JBL",(VLOOKUP(Table6[[#This Row],[SKU]],'All Skus'!$A:$AC,9,FALSE)),""))</f>
        <v>Ceiling-Mount Adapter for Control 29AV, White.  Each Pack Contains 1 Piece.</v>
      </c>
      <c r="I185" s="101">
        <f>(IF((VLOOKUP(Table6[[#This Row],[SKU]],'All Skus'!$A:$AC,2,FALSE))="JBL",(VLOOKUP(Table6[[#This Row],[SKU]],'All Skus'!$A:$AC,10,FALSE)),""))</f>
        <v>37.44</v>
      </c>
      <c r="J185" s="101">
        <f>(IF((VLOOKUP(Table6[[#This Row],[SKU]],'All Skus'!$A:$AC,2,FALSE))="JBL",(VLOOKUP(Table6[[#This Row],[SKU]],'All Skus'!$A:$AC,11,FALSE)),""))</f>
        <v>37.44</v>
      </c>
      <c r="K185" s="102">
        <f>(IF((VLOOKUP(Table6[[#This Row],[SKU]],'All Skus'!$A:$AC,2,FALSE))="JBL",(VLOOKUP(Table6[[#This Row],[SKU]],'All Skus'!$A:$AC,13,FALSE)),""))</f>
        <v>0</v>
      </c>
      <c r="L185" s="102">
        <f>(IF((VLOOKUP(Table6[[#This Row],[SKU]],'All Skus'!$A:$AC,2,FALSE))="JBL",(VLOOKUP(Table6[[#This Row],[SKU]],'All Skus'!$A:$AC,14,FALSE)),""))</f>
        <v>0</v>
      </c>
      <c r="M185" s="143">
        <f>(IF((VLOOKUP(Table6[[#This Row],[SKU]],'All Skus'!$A:$AC,2,FALSE))="JBL",(VLOOKUP(Table6[[#This Row],[SKU]],'All Skus'!$A:$AC,15,FALSE)),""))</f>
        <v>0</v>
      </c>
      <c r="N185" s="137">
        <f>(IF((VLOOKUP(Table6[[#This Row],[SKU]],'All Skus'!$A:$AC,2,FALSE))="JBL",(VLOOKUP(Table6[[#This Row],[SKU]],'All Skus'!$A:$AC,16,FALSE)),""))</f>
        <v>691991300646</v>
      </c>
      <c r="O185" s="61">
        <f>(IF((VLOOKUP(Table6[[#This Row],[SKU]],'All Skus'!$A:$AC,2,FALSE))="JBL",(VLOOKUP(Table6[[#This Row],[SKU]],'All Skus'!$A:$AC,17,FALSE)),""))</f>
        <v>0</v>
      </c>
      <c r="P185" s="136">
        <f>(IF((VLOOKUP(Table6[[#This Row],[SKU]],'All Skus'!$A:$AC,2,FALSE))="JBL",(VLOOKUP(Table6[[#This Row],[SKU]],'All Skus'!$A:$AC,18,FALSE)),""))</f>
        <v>1.5</v>
      </c>
      <c r="Q185" s="136">
        <f>(IF((VLOOKUP(Table6[[#This Row],[SKU]],'All Skus'!$A:$AC,2,FALSE))="JBL",(VLOOKUP(Table6[[#This Row],[SKU]],'All Skus'!$A:$AC,19,FALSE)),""))</f>
        <v>5</v>
      </c>
      <c r="R185" s="136">
        <f>(IF((VLOOKUP(Table6[[#This Row],[SKU]],'All Skus'!$A:$AC,2,FALSE))="JBL",(VLOOKUP(Table6[[#This Row],[SKU]],'All Skus'!$A:$AC,20,FALSE)),""))</f>
        <v>15</v>
      </c>
      <c r="S185" s="61">
        <f>(IF((VLOOKUP(Table6[[#This Row],[SKU]],'All Skus'!$A:$AC,2,FALSE))="JBL",(VLOOKUP(Table6[[#This Row],[SKU]],'All Skus'!$A:$AC,21,FALSE)),""))</f>
        <v>5</v>
      </c>
      <c r="T185" s="61" t="str">
        <f>(IF((VLOOKUP(Table6[[#This Row],[SKU]],'All Skus'!$A:$AC,2,FALSE))="JBL",(VLOOKUP(Table6[[#This Row],[SKU]],'All Skus'!$A:$AC,22,FALSE)),""))</f>
        <v>US</v>
      </c>
      <c r="U185" t="str">
        <f>(IF((VLOOKUP(Table6[[#This Row],[SKU]],'All Skus'!$A:$AC,2,FALSE))="JBL",(VLOOKUP(Table6[[#This Row],[SKU]],'All Skus'!$A:$AC,23,FALSE)),""))</f>
        <v>Compliant</v>
      </c>
      <c r="V185" s="284" t="str">
        <f>HYPERLINK((IF((VLOOKUP(Table6[[#This Row],[SKU]],'All Skus'!$A:$AC,2,FALSE))="JBL",(VLOOKUP(Table6[[#This Row],[SKU]],'All Skus'!$A:$AC,24,FALSE)),"")))</f>
        <v xml:space="preserve">http://www.jblpro.com/ProductAttachments/C29AV-1mtc-29ub%20instr.pdf </v>
      </c>
      <c r="W185" s="151">
        <v>183</v>
      </c>
    </row>
    <row r="186" spans="1:23" ht="15" hidden="1" customHeight="1">
      <c r="A186" s="13" t="s">
        <v>1192</v>
      </c>
      <c r="B186" s="12" t="str">
        <f>(IF((VLOOKUP(Table6[[#This Row],[SKU]],'All Skus'!$A:$AC,2,FALSE))="JBL",(VLOOKUP(Table6[[#This Row],[SKU]],'All Skus'!$A:$AC,3,FALSE)),""))</f>
        <v>Accessory</v>
      </c>
      <c r="C186" s="12" t="str">
        <f>(IF((VLOOKUP(Table6[[#This Row],[SKU]],'All Skus'!$A:$AC,2,FALSE))="JBL",(VLOOKUP(Table6[[#This Row],[SKU]],'All Skus'!$A:$AC,4,FALSE)),""))</f>
        <v>MTC-29UB</v>
      </c>
      <c r="D186" s="61" t="str">
        <f>(IF((VLOOKUP(Table6[[#This Row],[SKU]],'All Skus'!$A:$AC,2,FALSE))="JBL",(VLOOKUP(Table6[[#This Row],[SKU]],'All Skus'!$A:$AC,5,FALSE)),""))</f>
        <v>JBL018</v>
      </c>
      <c r="E186" s="137">
        <f>(IF((VLOOKUP(Table6[[#This Row],[SKU]],'All Skus'!$A:$AC,2,FALSE))="JBL",(VLOOKUP(Table6[[#This Row],[SKU]],'All Skus'!$A:$AC,6,FALSE)),""))</f>
        <v>0</v>
      </c>
      <c r="F186" s="61">
        <f>(IF((VLOOKUP(Table6[[#This Row],[SKU]],'All Skus'!$A:$AC,2,FALSE))="JBL",(VLOOKUP(Table6[[#This Row],[SKU]],'All Skus'!$A:$AC,7,FALSE)),""))</f>
        <v>0</v>
      </c>
      <c r="G186" t="str">
        <f>(IF((VLOOKUP(Table6[[#This Row],[SKU]],'All Skus'!$A:$AC,2,FALSE))="JBL",(VLOOKUP(Table6[[#This Row],[SKU]],'All Skus'!$A:$AC,8,FALSE)),""))</f>
        <v>MOUNTING BRACKET, FOR CONTROL 29AV</v>
      </c>
      <c r="H186" s="8" t="str">
        <f>(IF((VLOOKUP(Table6[[#This Row],[SKU]],'All Skus'!$A:$AC,2,FALSE))="JBL",(VLOOKUP(Table6[[#This Row],[SKU]],'All Skus'!$A:$AC,9,FALSE)),""))</f>
        <v>U-Bracket for Control 29AV.</v>
      </c>
      <c r="I186" s="101">
        <f>(IF((VLOOKUP(Table6[[#This Row],[SKU]],'All Skus'!$A:$AC,2,FALSE))="JBL",(VLOOKUP(Table6[[#This Row],[SKU]],'All Skus'!$A:$AC,10,FALSE)),""))</f>
        <v>100.89</v>
      </c>
      <c r="J186" s="101">
        <f>(IF((VLOOKUP(Table6[[#This Row],[SKU]],'All Skus'!$A:$AC,2,FALSE))="JBL",(VLOOKUP(Table6[[#This Row],[SKU]],'All Skus'!$A:$AC,11,FALSE)),""))</f>
        <v>100.89</v>
      </c>
      <c r="K186" s="102">
        <f>(IF((VLOOKUP(Table6[[#This Row],[SKU]],'All Skus'!$A:$AC,2,FALSE))="JBL",(VLOOKUP(Table6[[#This Row],[SKU]],'All Skus'!$A:$AC,13,FALSE)),""))</f>
        <v>0</v>
      </c>
      <c r="L186" s="102">
        <f>(IF((VLOOKUP(Table6[[#This Row],[SKU]],'All Skus'!$A:$AC,2,FALSE))="JBL",(VLOOKUP(Table6[[#This Row],[SKU]],'All Skus'!$A:$AC,14,FALSE)),""))</f>
        <v>0</v>
      </c>
      <c r="M186" s="143">
        <f>(IF((VLOOKUP(Table6[[#This Row],[SKU]],'All Skus'!$A:$AC,2,FALSE))="JBL",(VLOOKUP(Table6[[#This Row],[SKU]],'All Skus'!$A:$AC,15,FALSE)),""))</f>
        <v>0</v>
      </c>
      <c r="N186" s="137">
        <f>(IF((VLOOKUP(Table6[[#This Row],[SKU]],'All Skus'!$A:$AC,2,FALSE))="JBL",(VLOOKUP(Table6[[#This Row],[SKU]],'All Skus'!$A:$AC,16,FALSE)),""))</f>
        <v>50036904759</v>
      </c>
      <c r="O186" s="61">
        <f>(IF((VLOOKUP(Table6[[#This Row],[SKU]],'All Skus'!$A:$AC,2,FALSE))="JBL",(VLOOKUP(Table6[[#This Row],[SKU]],'All Skus'!$A:$AC,17,FALSE)),""))</f>
        <v>0</v>
      </c>
      <c r="P186" s="136">
        <f>(IF((VLOOKUP(Table6[[#This Row],[SKU]],'All Skus'!$A:$AC,2,FALSE))="JBL",(VLOOKUP(Table6[[#This Row],[SKU]],'All Skus'!$A:$AC,18,FALSE)),""))</f>
        <v>5.5</v>
      </c>
      <c r="Q186" s="136">
        <f>(IF((VLOOKUP(Table6[[#This Row],[SKU]],'All Skus'!$A:$AC,2,FALSE))="JBL",(VLOOKUP(Table6[[#This Row],[SKU]],'All Skus'!$A:$AC,19,FALSE)),""))</f>
        <v>10</v>
      </c>
      <c r="R186" s="136">
        <f>(IF((VLOOKUP(Table6[[#This Row],[SKU]],'All Skus'!$A:$AC,2,FALSE))="JBL",(VLOOKUP(Table6[[#This Row],[SKU]],'All Skus'!$A:$AC,20,FALSE)),""))</f>
        <v>22.5</v>
      </c>
      <c r="S186" s="61">
        <f>(IF((VLOOKUP(Table6[[#This Row],[SKU]],'All Skus'!$A:$AC,2,FALSE))="JBL",(VLOOKUP(Table6[[#This Row],[SKU]],'All Skus'!$A:$AC,21,FALSE)),""))</f>
        <v>5</v>
      </c>
      <c r="T186" s="61" t="str">
        <f>(IF((VLOOKUP(Table6[[#This Row],[SKU]],'All Skus'!$A:$AC,2,FALSE))="JBL",(VLOOKUP(Table6[[#This Row],[SKU]],'All Skus'!$A:$AC,22,FALSE)),""))</f>
        <v>US</v>
      </c>
      <c r="U186" t="str">
        <f>(IF((VLOOKUP(Table6[[#This Row],[SKU]],'All Skus'!$A:$AC,2,FALSE))="JBL",(VLOOKUP(Table6[[#This Row],[SKU]],'All Skus'!$A:$AC,23,FALSE)),""))</f>
        <v>Compliant</v>
      </c>
      <c r="V186" s="284" t="str">
        <f>HYPERLINK((IF((VLOOKUP(Table6[[#This Row],[SKU]],'All Skus'!$A:$AC,2,FALSE))="JBL",(VLOOKUP(Table6[[#This Row],[SKU]],'All Skus'!$A:$AC,24,FALSE)),"")))</f>
        <v xml:space="preserve">http://www.jblpro.com/ProductAttachments/C29AV-1mtc-29ub%20instr.pdf </v>
      </c>
      <c r="W186" s="151">
        <v>184</v>
      </c>
    </row>
    <row r="187" spans="1:23" ht="15" hidden="1" customHeight="1">
      <c r="A187" s="13" t="s">
        <v>1193</v>
      </c>
      <c r="B187" s="12" t="str">
        <f>(IF((VLOOKUP(Table6[[#This Row],[SKU]],'All Skus'!$A:$AC,2,FALSE))="JBL",(VLOOKUP(Table6[[#This Row],[SKU]],'All Skus'!$A:$AC,3,FALSE)),""))</f>
        <v>Accessory</v>
      </c>
      <c r="C187" s="12" t="str">
        <f>(IF((VLOOKUP(Table6[[#This Row],[SKU]],'All Skus'!$A:$AC,2,FALSE))="JBL",(VLOOKUP(Table6[[#This Row],[SKU]],'All Skus'!$A:$AC,4,FALSE)),""))</f>
        <v>MTC-29UB-WH</v>
      </c>
      <c r="D187" s="61" t="str">
        <f>(IF((VLOOKUP(Table6[[#This Row],[SKU]],'All Skus'!$A:$AC,2,FALSE))="JBL",(VLOOKUP(Table6[[#This Row],[SKU]],'All Skus'!$A:$AC,5,FALSE)),""))</f>
        <v>JBL018</v>
      </c>
      <c r="E187" s="137">
        <f>(IF((VLOOKUP(Table6[[#This Row],[SKU]],'All Skus'!$A:$AC,2,FALSE))="JBL",(VLOOKUP(Table6[[#This Row],[SKU]],'All Skus'!$A:$AC,6,FALSE)),""))</f>
        <v>0</v>
      </c>
      <c r="F187" s="61">
        <f>(IF((VLOOKUP(Table6[[#This Row],[SKU]],'All Skus'!$A:$AC,2,FALSE))="JBL",(VLOOKUP(Table6[[#This Row],[SKU]],'All Skus'!$A:$AC,7,FALSE)),""))</f>
        <v>0</v>
      </c>
      <c r="G187" t="str">
        <f>(IF((VLOOKUP(Table6[[#This Row],[SKU]],'All Skus'!$A:$AC,2,FALSE))="JBL",(VLOOKUP(Table6[[#This Row],[SKU]],'All Skus'!$A:$AC,8,FALSE)),""))</f>
        <v>MOUNTING BRACKET, FOR CONTROL 29AV</v>
      </c>
      <c r="H187" s="8" t="str">
        <f>(IF((VLOOKUP(Table6[[#This Row],[SKU]],'All Skus'!$A:$AC,2,FALSE))="JBL",(VLOOKUP(Table6[[#This Row],[SKU]],'All Skus'!$A:$AC,9,FALSE)),""))</f>
        <v>U-Bracket for Control 29AV, in White. Sold and packed as Eaches</v>
      </c>
      <c r="I187" s="101">
        <f>(IF((VLOOKUP(Table6[[#This Row],[SKU]],'All Skus'!$A:$AC,2,FALSE))="JBL",(VLOOKUP(Table6[[#This Row],[SKU]],'All Skus'!$A:$AC,10,FALSE)),""))</f>
        <v>100.89</v>
      </c>
      <c r="J187" s="101">
        <f>(IF((VLOOKUP(Table6[[#This Row],[SKU]],'All Skus'!$A:$AC,2,FALSE))="JBL",(VLOOKUP(Table6[[#This Row],[SKU]],'All Skus'!$A:$AC,11,FALSE)),""))</f>
        <v>100.89</v>
      </c>
      <c r="K187" s="102">
        <f>(IF((VLOOKUP(Table6[[#This Row],[SKU]],'All Skus'!$A:$AC,2,FALSE))="JBL",(VLOOKUP(Table6[[#This Row],[SKU]],'All Skus'!$A:$AC,13,FALSE)),""))</f>
        <v>0</v>
      </c>
      <c r="L187" s="102">
        <f>(IF((VLOOKUP(Table6[[#This Row],[SKU]],'All Skus'!$A:$AC,2,FALSE))="JBL",(VLOOKUP(Table6[[#This Row],[SKU]],'All Skus'!$A:$AC,14,FALSE)),""))</f>
        <v>0</v>
      </c>
      <c r="M187" s="143">
        <f>(IF((VLOOKUP(Table6[[#This Row],[SKU]],'All Skus'!$A:$AC,2,FALSE))="JBL",(VLOOKUP(Table6[[#This Row],[SKU]],'All Skus'!$A:$AC,15,FALSE)),""))</f>
        <v>0</v>
      </c>
      <c r="N187" s="137">
        <f>(IF((VLOOKUP(Table6[[#This Row],[SKU]],'All Skus'!$A:$AC,2,FALSE))="JBL",(VLOOKUP(Table6[[#This Row],[SKU]],'All Skus'!$A:$AC,16,FALSE)),""))</f>
        <v>50036904766</v>
      </c>
      <c r="O187" s="61">
        <f>(IF((VLOOKUP(Table6[[#This Row],[SKU]],'All Skus'!$A:$AC,2,FALSE))="JBL",(VLOOKUP(Table6[[#This Row],[SKU]],'All Skus'!$A:$AC,17,FALSE)),""))</f>
        <v>0</v>
      </c>
      <c r="P187" s="136">
        <f>(IF((VLOOKUP(Table6[[#This Row],[SKU]],'All Skus'!$A:$AC,2,FALSE))="JBL",(VLOOKUP(Table6[[#This Row],[SKU]],'All Skus'!$A:$AC,18,FALSE)),""))</f>
        <v>5</v>
      </c>
      <c r="Q187" s="136">
        <f>(IF((VLOOKUP(Table6[[#This Row],[SKU]],'All Skus'!$A:$AC,2,FALSE))="JBL",(VLOOKUP(Table6[[#This Row],[SKU]],'All Skus'!$A:$AC,19,FALSE)),""))</f>
        <v>10</v>
      </c>
      <c r="R187" s="136">
        <f>(IF((VLOOKUP(Table6[[#This Row],[SKU]],'All Skus'!$A:$AC,2,FALSE))="JBL",(VLOOKUP(Table6[[#This Row],[SKU]],'All Skus'!$A:$AC,20,FALSE)),""))</f>
        <v>22.5</v>
      </c>
      <c r="S187" s="61">
        <f>(IF((VLOOKUP(Table6[[#This Row],[SKU]],'All Skus'!$A:$AC,2,FALSE))="JBL",(VLOOKUP(Table6[[#This Row],[SKU]],'All Skus'!$A:$AC,21,FALSE)),""))</f>
        <v>5</v>
      </c>
      <c r="T187" s="61" t="str">
        <f>(IF((VLOOKUP(Table6[[#This Row],[SKU]],'All Skus'!$A:$AC,2,FALSE))="JBL",(VLOOKUP(Table6[[#This Row],[SKU]],'All Skus'!$A:$AC,22,FALSE)),""))</f>
        <v>CN</v>
      </c>
      <c r="U187" t="str">
        <f>(IF((VLOOKUP(Table6[[#This Row],[SKU]],'All Skus'!$A:$AC,2,FALSE))="JBL",(VLOOKUP(Table6[[#This Row],[SKU]],'All Skus'!$A:$AC,23,FALSE)),""))</f>
        <v>Non Compliant</v>
      </c>
      <c r="V187" s="284" t="str">
        <f>HYPERLINK((IF((VLOOKUP(Table6[[#This Row],[SKU]],'All Skus'!$A:$AC,2,FALSE))="JBL",(VLOOKUP(Table6[[#This Row],[SKU]],'All Skus'!$A:$AC,24,FALSE)),"")))</f>
        <v/>
      </c>
      <c r="W187" s="151">
        <v>185</v>
      </c>
    </row>
    <row r="188" spans="1:23" ht="15" hidden="1" customHeight="1">
      <c r="A188" s="13" t="s">
        <v>1194</v>
      </c>
      <c r="B188" s="12" t="str">
        <f>(IF((VLOOKUP(Table6[[#This Row],[SKU]],'All Skus'!$A:$AC,2,FALSE))="JBL",(VLOOKUP(Table6[[#This Row],[SKU]],'All Skus'!$A:$AC,3,FALSE)),""))</f>
        <v>Accessory</v>
      </c>
      <c r="C188" s="12" t="str">
        <f>(IF((VLOOKUP(Table6[[#This Row],[SKU]],'All Skus'!$A:$AC,2,FALSE))="JBL",(VLOOKUP(Table6[[#This Row],[SKU]],'All Skus'!$A:$AC,4,FALSE)),""))</f>
        <v>MTC-30CM</v>
      </c>
      <c r="D188" s="61" t="str">
        <f>(IF((VLOOKUP(Table6[[#This Row],[SKU]],'All Skus'!$A:$AC,2,FALSE))="JBL",(VLOOKUP(Table6[[#This Row],[SKU]],'All Skus'!$A:$AC,5,FALSE)),""))</f>
        <v>JBL018</v>
      </c>
      <c r="E188" s="137">
        <f>(IF((VLOOKUP(Table6[[#This Row],[SKU]],'All Skus'!$A:$AC,2,FALSE))="JBL",(VLOOKUP(Table6[[#This Row],[SKU]],'All Skus'!$A:$AC,6,FALSE)),""))</f>
        <v>0</v>
      </c>
      <c r="F188" s="61">
        <f>(IF((VLOOKUP(Table6[[#This Row],[SKU]],'All Skus'!$A:$AC,2,FALSE))="JBL",(VLOOKUP(Table6[[#This Row],[SKU]],'All Skus'!$A:$AC,7,FALSE)),""))</f>
        <v>0</v>
      </c>
      <c r="G188" t="str">
        <f>(IF((VLOOKUP(Table6[[#This Row],[SKU]],'All Skus'!$A:$AC,2,FALSE))="JBL",(VLOOKUP(Table6[[#This Row],[SKU]],'All Skus'!$A:$AC,8,FALSE)),""))</f>
        <v>CEILING MOUNT ADAPTER, FOR CONTROL 30</v>
      </c>
      <c r="H188" s="8" t="str">
        <f>(IF((VLOOKUP(Table6[[#This Row],[SKU]],'All Skus'!$A:$AC,2,FALSE))="JBL",(VLOOKUP(Table6[[#This Row],[SKU]],'All Skus'!$A:$AC,9,FALSE)),""))</f>
        <v>Ceiling-Mount Adapter for Control 30, Black.  Contains 1 Piece. Sold and packed as Eaches</v>
      </c>
      <c r="I188" s="101">
        <f>(IF((VLOOKUP(Table6[[#This Row],[SKU]],'All Skus'!$A:$AC,2,FALSE))="JBL",(VLOOKUP(Table6[[#This Row],[SKU]],'All Skus'!$A:$AC,10,FALSE)),""))</f>
        <v>43.24</v>
      </c>
      <c r="J188" s="101">
        <f>(IF((VLOOKUP(Table6[[#This Row],[SKU]],'All Skus'!$A:$AC,2,FALSE))="JBL",(VLOOKUP(Table6[[#This Row],[SKU]],'All Skus'!$A:$AC,11,FALSE)),""))</f>
        <v>43.24</v>
      </c>
      <c r="K188" s="102">
        <f>(IF((VLOOKUP(Table6[[#This Row],[SKU]],'All Skus'!$A:$AC,2,FALSE))="JBL",(VLOOKUP(Table6[[#This Row],[SKU]],'All Skus'!$A:$AC,13,FALSE)),""))</f>
        <v>0</v>
      </c>
      <c r="L188" s="102">
        <f>(IF((VLOOKUP(Table6[[#This Row],[SKU]],'All Skus'!$A:$AC,2,FALSE))="JBL",(VLOOKUP(Table6[[#This Row],[SKU]],'All Skus'!$A:$AC,14,FALSE)),""))</f>
        <v>0</v>
      </c>
      <c r="M188" s="143">
        <f>(IF((VLOOKUP(Table6[[#This Row],[SKU]],'All Skus'!$A:$AC,2,FALSE))="JBL",(VLOOKUP(Table6[[#This Row],[SKU]],'All Skus'!$A:$AC,15,FALSE)),""))</f>
        <v>0</v>
      </c>
      <c r="N188" s="137">
        <f>(IF((VLOOKUP(Table6[[#This Row],[SKU]],'All Skus'!$A:$AC,2,FALSE))="JBL",(VLOOKUP(Table6[[#This Row],[SKU]],'All Skus'!$A:$AC,16,FALSE)),""))</f>
        <v>691991300677</v>
      </c>
      <c r="O188" s="61">
        <f>(IF((VLOOKUP(Table6[[#This Row],[SKU]],'All Skus'!$A:$AC,2,FALSE))="JBL",(VLOOKUP(Table6[[#This Row],[SKU]],'All Skus'!$A:$AC,17,FALSE)),""))</f>
        <v>0</v>
      </c>
      <c r="P188" s="136">
        <f>(IF((VLOOKUP(Table6[[#This Row],[SKU]],'All Skus'!$A:$AC,2,FALSE))="JBL",(VLOOKUP(Table6[[#This Row],[SKU]],'All Skus'!$A:$AC,18,FALSE)),""))</f>
        <v>3.3</v>
      </c>
      <c r="Q188" s="136">
        <f>(IF((VLOOKUP(Table6[[#This Row],[SKU]],'All Skus'!$A:$AC,2,FALSE))="JBL",(VLOOKUP(Table6[[#This Row],[SKU]],'All Skus'!$A:$AC,19,FALSE)),""))</f>
        <v>10</v>
      </c>
      <c r="R188" s="136">
        <f>(IF((VLOOKUP(Table6[[#This Row],[SKU]],'All Skus'!$A:$AC,2,FALSE))="JBL",(VLOOKUP(Table6[[#This Row],[SKU]],'All Skus'!$A:$AC,20,FALSE)),""))</f>
        <v>15</v>
      </c>
      <c r="S188" s="61">
        <f>(IF((VLOOKUP(Table6[[#This Row],[SKU]],'All Skus'!$A:$AC,2,FALSE))="JBL",(VLOOKUP(Table6[[#This Row],[SKU]],'All Skus'!$A:$AC,21,FALSE)),""))</f>
        <v>6</v>
      </c>
      <c r="T188" s="61" t="str">
        <f>(IF((VLOOKUP(Table6[[#This Row],[SKU]],'All Skus'!$A:$AC,2,FALSE))="JBL",(VLOOKUP(Table6[[#This Row],[SKU]],'All Skus'!$A:$AC,22,FALSE)),""))</f>
        <v>CN</v>
      </c>
      <c r="U188" t="str">
        <f>(IF((VLOOKUP(Table6[[#This Row],[SKU]],'All Skus'!$A:$AC,2,FALSE))="JBL",(VLOOKUP(Table6[[#This Row],[SKU]],'All Skus'!$A:$AC,23,FALSE)),""))</f>
        <v>Non Compliant</v>
      </c>
      <c r="V188" s="284" t="str">
        <f>HYPERLINK((IF((VLOOKUP(Table6[[#This Row],[SKU]],'All Skus'!$A:$AC,2,FALSE))="JBL",(VLOOKUP(Table6[[#This Row],[SKU]],'All Skus'!$A:$AC,24,FALSE)),"")))</f>
        <v/>
      </c>
      <c r="W188" s="151">
        <v>186</v>
      </c>
    </row>
    <row r="189" spans="1:23" ht="15" hidden="1" customHeight="1">
      <c r="A189" s="13" t="s">
        <v>1195</v>
      </c>
      <c r="B189" s="12" t="str">
        <f>(IF((VLOOKUP(Table6[[#This Row],[SKU]],'All Skus'!$A:$AC,2,FALSE))="JBL",(VLOOKUP(Table6[[#This Row],[SKU]],'All Skus'!$A:$AC,3,FALSE)),""))</f>
        <v>Accessory</v>
      </c>
      <c r="C189" s="12" t="str">
        <f>(IF((VLOOKUP(Table6[[#This Row],[SKU]],'All Skus'!$A:$AC,2,FALSE))="JBL",(VLOOKUP(Table6[[#This Row],[SKU]],'All Skus'!$A:$AC,4,FALSE)),""))</f>
        <v>MTC-30CM-WH</v>
      </c>
      <c r="D189" s="61" t="str">
        <f>(IF((VLOOKUP(Table6[[#This Row],[SKU]],'All Skus'!$A:$AC,2,FALSE))="JBL",(VLOOKUP(Table6[[#This Row],[SKU]],'All Skus'!$A:$AC,5,FALSE)),""))</f>
        <v>JBL018</v>
      </c>
      <c r="E189" s="137">
        <f>(IF((VLOOKUP(Table6[[#This Row],[SKU]],'All Skus'!$A:$AC,2,FALSE))="JBL",(VLOOKUP(Table6[[#This Row],[SKU]],'All Skus'!$A:$AC,6,FALSE)),""))</f>
        <v>0</v>
      </c>
      <c r="F189" s="61">
        <f>(IF((VLOOKUP(Table6[[#This Row],[SKU]],'All Skus'!$A:$AC,2,FALSE))="JBL",(VLOOKUP(Table6[[#This Row],[SKU]],'All Skus'!$A:$AC,7,FALSE)),""))</f>
        <v>0</v>
      </c>
      <c r="G189" t="str">
        <f>(IF((VLOOKUP(Table6[[#This Row],[SKU]],'All Skus'!$A:$AC,2,FALSE))="JBL",(VLOOKUP(Table6[[#This Row],[SKU]],'All Skus'!$A:$AC,8,FALSE)),""))</f>
        <v>CEILING MOUNT ADAPTER, FOR C30-WH</v>
      </c>
      <c r="H189" s="8" t="str">
        <f>(IF((VLOOKUP(Table6[[#This Row],[SKU]],'All Skus'!$A:$AC,2,FALSE))="JBL",(VLOOKUP(Table6[[#This Row],[SKU]],'All Skus'!$A:$AC,9,FALSE)),""))</f>
        <v>Ceiling-Mount Adapter for Control 30, White.  Contains 1 Piece. Sold and packed as Eaches</v>
      </c>
      <c r="I189" s="101">
        <f>(IF((VLOOKUP(Table6[[#This Row],[SKU]],'All Skus'!$A:$AC,2,FALSE))="JBL",(VLOOKUP(Table6[[#This Row],[SKU]],'All Skus'!$A:$AC,10,FALSE)),""))</f>
        <v>43.24</v>
      </c>
      <c r="J189" s="101">
        <f>(IF((VLOOKUP(Table6[[#This Row],[SKU]],'All Skus'!$A:$AC,2,FALSE))="JBL",(VLOOKUP(Table6[[#This Row],[SKU]],'All Skus'!$A:$AC,11,FALSE)),""))</f>
        <v>43.24</v>
      </c>
      <c r="K189" s="102">
        <f>(IF((VLOOKUP(Table6[[#This Row],[SKU]],'All Skus'!$A:$AC,2,FALSE))="JBL",(VLOOKUP(Table6[[#This Row],[SKU]],'All Skus'!$A:$AC,13,FALSE)),""))</f>
        <v>0</v>
      </c>
      <c r="L189" s="102">
        <f>(IF((VLOOKUP(Table6[[#This Row],[SKU]],'All Skus'!$A:$AC,2,FALSE))="JBL",(VLOOKUP(Table6[[#This Row],[SKU]],'All Skus'!$A:$AC,14,FALSE)),""))</f>
        <v>0</v>
      </c>
      <c r="M189" s="143">
        <f>(IF((VLOOKUP(Table6[[#This Row],[SKU]],'All Skus'!$A:$AC,2,FALSE))="JBL",(VLOOKUP(Table6[[#This Row],[SKU]],'All Skus'!$A:$AC,15,FALSE)),""))</f>
        <v>0</v>
      </c>
      <c r="N189" s="137">
        <f>(IF((VLOOKUP(Table6[[#This Row],[SKU]],'All Skus'!$A:$AC,2,FALSE))="JBL",(VLOOKUP(Table6[[#This Row],[SKU]],'All Skus'!$A:$AC,16,FALSE)),""))</f>
        <v>691991300684</v>
      </c>
      <c r="O189" s="61">
        <f>(IF((VLOOKUP(Table6[[#This Row],[SKU]],'All Skus'!$A:$AC,2,FALSE))="JBL",(VLOOKUP(Table6[[#This Row],[SKU]],'All Skus'!$A:$AC,17,FALSE)),""))</f>
        <v>0</v>
      </c>
      <c r="P189" s="136">
        <f>(IF((VLOOKUP(Table6[[#This Row],[SKU]],'All Skus'!$A:$AC,2,FALSE))="JBL",(VLOOKUP(Table6[[#This Row],[SKU]],'All Skus'!$A:$AC,18,FALSE)),""))</f>
        <v>2.5</v>
      </c>
      <c r="Q189" s="136">
        <f>(IF((VLOOKUP(Table6[[#This Row],[SKU]],'All Skus'!$A:$AC,2,FALSE))="JBL",(VLOOKUP(Table6[[#This Row],[SKU]],'All Skus'!$A:$AC,19,FALSE)),""))</f>
        <v>5</v>
      </c>
      <c r="R189" s="136">
        <f>(IF((VLOOKUP(Table6[[#This Row],[SKU]],'All Skus'!$A:$AC,2,FALSE))="JBL",(VLOOKUP(Table6[[#This Row],[SKU]],'All Skus'!$A:$AC,20,FALSE)),""))</f>
        <v>14</v>
      </c>
      <c r="S189" s="61">
        <f>(IF((VLOOKUP(Table6[[#This Row],[SKU]],'All Skus'!$A:$AC,2,FALSE))="JBL",(VLOOKUP(Table6[[#This Row],[SKU]],'All Skus'!$A:$AC,21,FALSE)),""))</f>
        <v>5</v>
      </c>
      <c r="T189" s="61" t="str">
        <f>(IF((VLOOKUP(Table6[[#This Row],[SKU]],'All Skus'!$A:$AC,2,FALSE))="JBL",(VLOOKUP(Table6[[#This Row],[SKU]],'All Skus'!$A:$AC,22,FALSE)),""))</f>
        <v>CN</v>
      </c>
      <c r="U189" t="str">
        <f>(IF((VLOOKUP(Table6[[#This Row],[SKU]],'All Skus'!$A:$AC,2,FALSE))="JBL",(VLOOKUP(Table6[[#This Row],[SKU]],'All Skus'!$A:$AC,23,FALSE)),""))</f>
        <v>Non Compliant</v>
      </c>
      <c r="V189" s="284" t="str">
        <f>HYPERLINK((IF((VLOOKUP(Table6[[#This Row],[SKU]],'All Skus'!$A:$AC,2,FALSE))="JBL",(VLOOKUP(Table6[[#This Row],[SKU]],'All Skus'!$A:$AC,24,FALSE)),"")))</f>
        <v xml:space="preserve">http://www.jblpro.com/ProductAttachments/MTC_30MK_Installation_Instructions.pdf </v>
      </c>
      <c r="W189" s="151">
        <v>187</v>
      </c>
    </row>
    <row r="190" spans="1:23" ht="15" hidden="1" customHeight="1">
      <c r="A190" s="13" t="s">
        <v>1196</v>
      </c>
      <c r="B190" s="12" t="str">
        <f>(IF((VLOOKUP(Table6[[#This Row],[SKU]],'All Skus'!$A:$AC,2,FALSE))="JBL",(VLOOKUP(Table6[[#This Row],[SKU]],'All Skus'!$A:$AC,3,FALSE)),""))</f>
        <v>Accessory</v>
      </c>
      <c r="C190" s="12" t="str">
        <f>(IF((VLOOKUP(Table6[[#This Row],[SKU]],'All Skus'!$A:$AC,2,FALSE))="JBL",(VLOOKUP(Table6[[#This Row],[SKU]],'All Skus'!$A:$AC,4,FALSE)),""))</f>
        <v>MTC-30MK</v>
      </c>
      <c r="D190" s="61" t="str">
        <f>(IF((VLOOKUP(Table6[[#This Row],[SKU]],'All Skus'!$A:$AC,2,FALSE))="JBL",(VLOOKUP(Table6[[#This Row],[SKU]],'All Skus'!$A:$AC,5,FALSE)),""))</f>
        <v>JBL018</v>
      </c>
      <c r="E190" s="137">
        <f>(IF((VLOOKUP(Table6[[#This Row],[SKU]],'All Skus'!$A:$AC,2,FALSE))="JBL",(VLOOKUP(Table6[[#This Row],[SKU]],'All Skus'!$A:$AC,6,FALSE)),""))</f>
        <v>0</v>
      </c>
      <c r="F190" s="61">
        <f>(IF((VLOOKUP(Table6[[#This Row],[SKU]],'All Skus'!$A:$AC,2,FALSE))="JBL",(VLOOKUP(Table6[[#This Row],[SKU]],'All Skus'!$A:$AC,7,FALSE)),""))</f>
        <v>0</v>
      </c>
      <c r="G190" t="str">
        <f>(IF((VLOOKUP(Table6[[#This Row],[SKU]],'All Skus'!$A:$AC,2,FALSE))="JBL",(VLOOKUP(Table6[[#This Row],[SKU]],'All Skus'!$A:$AC,8,FALSE)),""))</f>
        <v>GRILLE KIT TO PREVENT RUSTING - BLACK.</v>
      </c>
      <c r="H190" s="8" t="str">
        <f>(IF((VLOOKUP(Table6[[#This Row],[SKU]],'All Skus'!$A:$AC,2,FALSE))="JBL",(VLOOKUP(Table6[[#This Row],[SKU]],'All Skus'!$A:$AC,9,FALSE)),""))</f>
        <v>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Black. Sold and packed as Eaches</v>
      </c>
      <c r="I190" s="101">
        <f>(IF((VLOOKUP(Table6[[#This Row],[SKU]],'All Skus'!$A:$AC,2,FALSE))="JBL",(VLOOKUP(Table6[[#This Row],[SKU]],'All Skus'!$A:$AC,10,FALSE)),""))</f>
        <v>179.5</v>
      </c>
      <c r="J190" s="101">
        <f>(IF((VLOOKUP(Table6[[#This Row],[SKU]],'All Skus'!$A:$AC,2,FALSE))="JBL",(VLOOKUP(Table6[[#This Row],[SKU]],'All Skus'!$A:$AC,11,FALSE)),""))</f>
        <v>179.5</v>
      </c>
      <c r="K190" s="102">
        <f>(IF((VLOOKUP(Table6[[#This Row],[SKU]],'All Skus'!$A:$AC,2,FALSE))="JBL",(VLOOKUP(Table6[[#This Row],[SKU]],'All Skus'!$A:$AC,13,FALSE)),""))</f>
        <v>0</v>
      </c>
      <c r="L190" s="102">
        <f>(IF((VLOOKUP(Table6[[#This Row],[SKU]],'All Skus'!$A:$AC,2,FALSE))="JBL",(VLOOKUP(Table6[[#This Row],[SKU]],'All Skus'!$A:$AC,14,FALSE)),""))</f>
        <v>0</v>
      </c>
      <c r="M190" s="143">
        <f>(IF((VLOOKUP(Table6[[#This Row],[SKU]],'All Skus'!$A:$AC,2,FALSE))="JBL",(VLOOKUP(Table6[[#This Row],[SKU]],'All Skus'!$A:$AC,15,FALSE)),""))</f>
        <v>0</v>
      </c>
      <c r="N190" s="137">
        <f>(IF((VLOOKUP(Table6[[#This Row],[SKU]],'All Skus'!$A:$AC,2,FALSE))="JBL",(VLOOKUP(Table6[[#This Row],[SKU]],'All Skus'!$A:$AC,16,FALSE)),""))</f>
        <v>691991001604</v>
      </c>
      <c r="O190" s="61">
        <f>(IF((VLOOKUP(Table6[[#This Row],[SKU]],'All Skus'!$A:$AC,2,FALSE))="JBL",(VLOOKUP(Table6[[#This Row],[SKU]],'All Skus'!$A:$AC,17,FALSE)),""))</f>
        <v>0</v>
      </c>
      <c r="P190" s="136">
        <f>(IF((VLOOKUP(Table6[[#This Row],[SKU]],'All Skus'!$A:$AC,2,FALSE))="JBL",(VLOOKUP(Table6[[#This Row],[SKU]],'All Skus'!$A:$AC,18,FALSE)),""))</f>
        <v>2</v>
      </c>
      <c r="Q190" s="136">
        <f>(IF((VLOOKUP(Table6[[#This Row],[SKU]],'All Skus'!$A:$AC,2,FALSE))="JBL",(VLOOKUP(Table6[[#This Row],[SKU]],'All Skus'!$A:$AC,19,FALSE)),""))</f>
        <v>2</v>
      </c>
      <c r="R190" s="136">
        <f>(IF((VLOOKUP(Table6[[#This Row],[SKU]],'All Skus'!$A:$AC,2,FALSE))="JBL",(VLOOKUP(Table6[[#This Row],[SKU]],'All Skus'!$A:$AC,20,FALSE)),""))</f>
        <v>14</v>
      </c>
      <c r="S190" s="61">
        <f>(IF((VLOOKUP(Table6[[#This Row],[SKU]],'All Skus'!$A:$AC,2,FALSE))="JBL",(VLOOKUP(Table6[[#This Row],[SKU]],'All Skus'!$A:$AC,21,FALSE)),""))</f>
        <v>24</v>
      </c>
      <c r="T190" s="61" t="str">
        <f>(IF((VLOOKUP(Table6[[#This Row],[SKU]],'All Skus'!$A:$AC,2,FALSE))="JBL",(VLOOKUP(Table6[[#This Row],[SKU]],'All Skus'!$A:$AC,22,FALSE)),""))</f>
        <v>CN</v>
      </c>
      <c r="U190" t="str">
        <f>(IF((VLOOKUP(Table6[[#This Row],[SKU]],'All Skus'!$A:$AC,2,FALSE))="JBL",(VLOOKUP(Table6[[#This Row],[SKU]],'All Skus'!$A:$AC,23,FALSE)),""))</f>
        <v>Non Compliant</v>
      </c>
      <c r="V190" s="284" t="str">
        <f>HYPERLINK((IF((VLOOKUP(Table6[[#This Row],[SKU]],'All Skus'!$A:$AC,2,FALSE))="JBL",(VLOOKUP(Table6[[#This Row],[SKU]],'All Skus'!$A:$AC,24,FALSE)),"")))</f>
        <v xml:space="preserve">http://www.jblpro.com/ProductAttachments/MTC_30MK_Installation_Instructions.pdf </v>
      </c>
      <c r="W190" s="151">
        <v>188</v>
      </c>
    </row>
    <row r="191" spans="1:23" ht="15" hidden="1" customHeight="1">
      <c r="A191" s="13" t="s">
        <v>1197</v>
      </c>
      <c r="B191" s="12" t="str">
        <f>(IF((VLOOKUP(Table6[[#This Row],[SKU]],'All Skus'!$A:$AC,2,FALSE))="JBL",(VLOOKUP(Table6[[#This Row],[SKU]],'All Skus'!$A:$AC,3,FALSE)),""))</f>
        <v>Accessory</v>
      </c>
      <c r="C191" s="12" t="str">
        <f>(IF((VLOOKUP(Table6[[#This Row],[SKU]],'All Skus'!$A:$AC,2,FALSE))="JBL",(VLOOKUP(Table6[[#This Row],[SKU]],'All Skus'!$A:$AC,4,FALSE)),""))</f>
        <v>MTC-30MK-WH</v>
      </c>
      <c r="D191" s="61" t="str">
        <f>(IF((VLOOKUP(Table6[[#This Row],[SKU]],'All Skus'!$A:$AC,2,FALSE))="JBL",(VLOOKUP(Table6[[#This Row],[SKU]],'All Skus'!$A:$AC,5,FALSE)),""))</f>
        <v>JBL018</v>
      </c>
      <c r="E191" s="137">
        <f>(IF((VLOOKUP(Table6[[#This Row],[SKU]],'All Skus'!$A:$AC,2,FALSE))="JBL",(VLOOKUP(Table6[[#This Row],[SKU]],'All Skus'!$A:$AC,6,FALSE)),""))</f>
        <v>0</v>
      </c>
      <c r="F191" s="61">
        <f>(IF((VLOOKUP(Table6[[#This Row],[SKU]],'All Skus'!$A:$AC,2,FALSE))="JBL",(VLOOKUP(Table6[[#This Row],[SKU]],'All Skus'!$A:$AC,7,FALSE)),""))</f>
        <v>0</v>
      </c>
      <c r="G191" t="str">
        <f>(IF((VLOOKUP(Table6[[#This Row],[SKU]],'All Skus'!$A:$AC,2,FALSE))="JBL",(VLOOKUP(Table6[[#This Row],[SKU]],'All Skus'!$A:$AC,8,FALSE)),""))</f>
        <v>GRILLE KIT TO PREVENT RUSTING - WHITE.</v>
      </c>
      <c r="H191" s="8" t="str">
        <f>(IF((VLOOKUP(Table6[[#This Row],[SKU]],'All Skus'!$A:$AC,2,FALSE))="JBL",(VLOOKUP(Table6[[#This Row],[SKU]],'All Skus'!$A:$AC,9,FALSE)),""))</f>
        <v>Marine Grille Kit for Control 30 Loudspeaker.   Retrofit grille, adds extra durability when installing Control 30’s in challenging corrosive environments such as cruise ships, sea-side restaurants, resorts in salt-air areas, water parks and swimming facilities.  Kit includes extra-thick painted aluminum grille with WeatherMax™ backing plus stainless steel grille screws and protection caps for baffle screws.  White. Sold and packed as Eaches</v>
      </c>
      <c r="I191" s="101">
        <f>(IF((VLOOKUP(Table6[[#This Row],[SKU]],'All Skus'!$A:$AC,2,FALSE))="JBL",(VLOOKUP(Table6[[#This Row],[SKU]],'All Skus'!$A:$AC,10,FALSE)),""))</f>
        <v>202.15</v>
      </c>
      <c r="J191" s="101">
        <f>(IF((VLOOKUP(Table6[[#This Row],[SKU]],'All Skus'!$A:$AC,2,FALSE))="JBL",(VLOOKUP(Table6[[#This Row],[SKU]],'All Skus'!$A:$AC,11,FALSE)),""))</f>
        <v>202.15</v>
      </c>
      <c r="K191" s="102">
        <f>(IF((VLOOKUP(Table6[[#This Row],[SKU]],'All Skus'!$A:$AC,2,FALSE))="JBL",(VLOOKUP(Table6[[#This Row],[SKU]],'All Skus'!$A:$AC,13,FALSE)),""))</f>
        <v>0</v>
      </c>
      <c r="L191" s="102">
        <f>(IF((VLOOKUP(Table6[[#This Row],[SKU]],'All Skus'!$A:$AC,2,FALSE))="JBL",(VLOOKUP(Table6[[#This Row],[SKU]],'All Skus'!$A:$AC,14,FALSE)),""))</f>
        <v>0</v>
      </c>
      <c r="M191" s="143">
        <f>(IF((VLOOKUP(Table6[[#This Row],[SKU]],'All Skus'!$A:$AC,2,FALSE))="JBL",(VLOOKUP(Table6[[#This Row],[SKU]],'All Skus'!$A:$AC,15,FALSE)),""))</f>
        <v>0</v>
      </c>
      <c r="N191" s="137">
        <f>(IF((VLOOKUP(Table6[[#This Row],[SKU]],'All Skus'!$A:$AC,2,FALSE))="JBL",(VLOOKUP(Table6[[#This Row],[SKU]],'All Skus'!$A:$AC,16,FALSE)),""))</f>
        <v>691991300691</v>
      </c>
      <c r="O191" s="61">
        <f>(IF((VLOOKUP(Table6[[#This Row],[SKU]],'All Skus'!$A:$AC,2,FALSE))="JBL",(VLOOKUP(Table6[[#This Row],[SKU]],'All Skus'!$A:$AC,17,FALSE)),""))</f>
        <v>0</v>
      </c>
      <c r="P191" s="136">
        <f>(IF((VLOOKUP(Table6[[#This Row],[SKU]],'All Skus'!$A:$AC,2,FALSE))="JBL",(VLOOKUP(Table6[[#This Row],[SKU]],'All Skus'!$A:$AC,18,FALSE)),""))</f>
        <v>1.25</v>
      </c>
      <c r="Q191" s="136">
        <f>(IF((VLOOKUP(Table6[[#This Row],[SKU]],'All Skus'!$A:$AC,2,FALSE))="JBL",(VLOOKUP(Table6[[#This Row],[SKU]],'All Skus'!$A:$AC,19,FALSE)),""))</f>
        <v>13</v>
      </c>
      <c r="R191" s="136">
        <f>(IF((VLOOKUP(Table6[[#This Row],[SKU]],'All Skus'!$A:$AC,2,FALSE))="JBL",(VLOOKUP(Table6[[#This Row],[SKU]],'All Skus'!$A:$AC,20,FALSE)),""))</f>
        <v>14</v>
      </c>
      <c r="S191" s="61">
        <f>(IF((VLOOKUP(Table6[[#This Row],[SKU]],'All Skus'!$A:$AC,2,FALSE))="JBL",(VLOOKUP(Table6[[#This Row],[SKU]],'All Skus'!$A:$AC,21,FALSE)),""))</f>
        <v>4</v>
      </c>
      <c r="T191" s="61" t="str">
        <f>(IF((VLOOKUP(Table6[[#This Row],[SKU]],'All Skus'!$A:$AC,2,FALSE))="JBL",(VLOOKUP(Table6[[#This Row],[SKU]],'All Skus'!$A:$AC,22,FALSE)),""))</f>
        <v>US</v>
      </c>
      <c r="U191" t="str">
        <f>(IF((VLOOKUP(Table6[[#This Row],[SKU]],'All Skus'!$A:$AC,2,FALSE))="JBL",(VLOOKUP(Table6[[#This Row],[SKU]],'All Skus'!$A:$AC,23,FALSE)),""))</f>
        <v>Compliant</v>
      </c>
      <c r="V191" s="284" t="str">
        <f>HYPERLINK((IF((VLOOKUP(Table6[[#This Row],[SKU]],'All Skus'!$A:$AC,2,FALSE))="JBL",(VLOOKUP(Table6[[#This Row],[SKU]],'All Skus'!$A:$AC,24,FALSE)),"")))</f>
        <v/>
      </c>
      <c r="W191" s="151">
        <v>189</v>
      </c>
    </row>
    <row r="192" spans="1:23" ht="15" hidden="1" customHeight="1">
      <c r="A192" s="13" t="s">
        <v>1198</v>
      </c>
      <c r="B192" s="12" t="str">
        <f>(IF((VLOOKUP(Table6[[#This Row],[SKU]],'All Skus'!$A:$AC,2,FALSE))="JBL",(VLOOKUP(Table6[[#This Row],[SKU]],'All Skus'!$A:$AC,3,FALSE)),""))</f>
        <v>Accessory</v>
      </c>
      <c r="C192" s="12" t="str">
        <f>(IF((VLOOKUP(Table6[[#This Row],[SKU]],'All Skus'!$A:$AC,2,FALSE))="JBL",(VLOOKUP(Table6[[#This Row],[SKU]],'All Skus'!$A:$AC,4,FALSE)),""))</f>
        <v>MTC-30UB</v>
      </c>
      <c r="D192" s="61" t="str">
        <f>(IF((VLOOKUP(Table6[[#This Row],[SKU]],'All Skus'!$A:$AC,2,FALSE))="JBL",(VLOOKUP(Table6[[#This Row],[SKU]],'All Skus'!$A:$AC,5,FALSE)),""))</f>
        <v>JBL018</v>
      </c>
      <c r="E192" s="137">
        <f>(IF((VLOOKUP(Table6[[#This Row],[SKU]],'All Skus'!$A:$AC,2,FALSE))="JBL",(VLOOKUP(Table6[[#This Row],[SKU]],'All Skus'!$A:$AC,6,FALSE)),""))</f>
        <v>0</v>
      </c>
      <c r="F192" s="61">
        <f>(IF((VLOOKUP(Table6[[#This Row],[SKU]],'All Skus'!$A:$AC,2,FALSE))="JBL",(VLOOKUP(Table6[[#This Row],[SKU]],'All Skus'!$A:$AC,7,FALSE)),""))</f>
        <v>0</v>
      </c>
      <c r="G192" t="str">
        <f>(IF((VLOOKUP(Table6[[#This Row],[SKU]],'All Skus'!$A:$AC,2,FALSE))="JBL",(VLOOKUP(Table6[[#This Row],[SKU]],'All Skus'!$A:$AC,8,FALSE)),""))</f>
        <v>MOUNTING BRACKET, FOR CONTROL 30</v>
      </c>
      <c r="H192" s="8" t="str">
        <f>(IF((VLOOKUP(Table6[[#This Row],[SKU]],'All Skus'!$A:$AC,2,FALSE))="JBL",(VLOOKUP(Table6[[#This Row],[SKU]],'All Skus'!$A:$AC,9,FALSE)),""))</f>
        <v>U-Bracket for Control 30, black. Sold and packed as Eaches</v>
      </c>
      <c r="I192" s="101">
        <f>(IF((VLOOKUP(Table6[[#This Row],[SKU]],'All Skus'!$A:$AC,2,FALSE))="JBL",(VLOOKUP(Table6[[#This Row],[SKU]],'All Skus'!$A:$AC,10,FALSE)),""))</f>
        <v>110.06</v>
      </c>
      <c r="J192" s="101">
        <f>(IF((VLOOKUP(Table6[[#This Row],[SKU]],'All Skus'!$A:$AC,2,FALSE))="JBL",(VLOOKUP(Table6[[#This Row],[SKU]],'All Skus'!$A:$AC,11,FALSE)),""))</f>
        <v>110.06</v>
      </c>
      <c r="K192" s="102">
        <f>(IF((VLOOKUP(Table6[[#This Row],[SKU]],'All Skus'!$A:$AC,2,FALSE))="JBL",(VLOOKUP(Table6[[#This Row],[SKU]],'All Skus'!$A:$AC,13,FALSE)),""))</f>
        <v>0</v>
      </c>
      <c r="L192" s="102">
        <f>(IF((VLOOKUP(Table6[[#This Row],[SKU]],'All Skus'!$A:$AC,2,FALSE))="JBL",(VLOOKUP(Table6[[#This Row],[SKU]],'All Skus'!$A:$AC,14,FALSE)),""))</f>
        <v>0</v>
      </c>
      <c r="M192" s="143">
        <f>(IF((VLOOKUP(Table6[[#This Row],[SKU]],'All Skus'!$A:$AC,2,FALSE))="JBL",(VLOOKUP(Table6[[#This Row],[SKU]],'All Skus'!$A:$AC,15,FALSE)),""))</f>
        <v>0</v>
      </c>
      <c r="N192" s="137">
        <f>(IF((VLOOKUP(Table6[[#This Row],[SKU]],'All Skus'!$A:$AC,2,FALSE))="JBL",(VLOOKUP(Table6[[#This Row],[SKU]],'All Skus'!$A:$AC,16,FALSE)),""))</f>
        <v>691991300707</v>
      </c>
      <c r="O192" s="61">
        <f>(IF((VLOOKUP(Table6[[#This Row],[SKU]],'All Skus'!$A:$AC,2,FALSE))="JBL",(VLOOKUP(Table6[[#This Row],[SKU]],'All Skus'!$A:$AC,17,FALSE)),""))</f>
        <v>0</v>
      </c>
      <c r="P192" s="136">
        <f>(IF((VLOOKUP(Table6[[#This Row],[SKU]],'All Skus'!$A:$AC,2,FALSE))="JBL",(VLOOKUP(Table6[[#This Row],[SKU]],'All Skus'!$A:$AC,18,FALSE)),""))</f>
        <v>6.75</v>
      </c>
      <c r="Q192" s="136">
        <f>(IF((VLOOKUP(Table6[[#This Row],[SKU]],'All Skus'!$A:$AC,2,FALSE))="JBL",(VLOOKUP(Table6[[#This Row],[SKU]],'All Skus'!$A:$AC,19,FALSE)),""))</f>
        <v>14</v>
      </c>
      <c r="R192" s="136">
        <f>(IF((VLOOKUP(Table6[[#This Row],[SKU]],'All Skus'!$A:$AC,2,FALSE))="JBL",(VLOOKUP(Table6[[#This Row],[SKU]],'All Skus'!$A:$AC,20,FALSE)),""))</f>
        <v>24</v>
      </c>
      <c r="S192" s="61">
        <f>(IF((VLOOKUP(Table6[[#This Row],[SKU]],'All Skus'!$A:$AC,2,FALSE))="JBL",(VLOOKUP(Table6[[#This Row],[SKU]],'All Skus'!$A:$AC,21,FALSE)),""))</f>
        <v>5</v>
      </c>
      <c r="T192" s="61" t="str">
        <f>(IF((VLOOKUP(Table6[[#This Row],[SKU]],'All Skus'!$A:$AC,2,FALSE))="JBL",(VLOOKUP(Table6[[#This Row],[SKU]],'All Skus'!$A:$AC,22,FALSE)),""))</f>
        <v>US</v>
      </c>
      <c r="U192" t="str">
        <f>(IF((VLOOKUP(Table6[[#This Row],[SKU]],'All Skus'!$A:$AC,2,FALSE))="JBL",(VLOOKUP(Table6[[#This Row],[SKU]],'All Skus'!$A:$AC,23,FALSE)),""))</f>
        <v>Compliant</v>
      </c>
      <c r="V192" s="284" t="str">
        <f>HYPERLINK((IF((VLOOKUP(Table6[[#This Row],[SKU]],'All Skus'!$A:$AC,2,FALSE))="JBL",(VLOOKUP(Table6[[#This Row],[SKU]],'All Skus'!$A:$AC,24,FALSE)),"")))</f>
        <v/>
      </c>
      <c r="W192" s="151">
        <v>190</v>
      </c>
    </row>
    <row r="193" spans="1:23" ht="15" hidden="1" customHeight="1">
      <c r="A193" s="13" t="s">
        <v>1199</v>
      </c>
      <c r="B193" s="12" t="str">
        <f>(IF((VLOOKUP(Table6[[#This Row],[SKU]],'All Skus'!$A:$AC,2,FALSE))="JBL",(VLOOKUP(Table6[[#This Row],[SKU]],'All Skus'!$A:$AC,3,FALSE)),""))</f>
        <v>Accessory</v>
      </c>
      <c r="C193" s="12" t="str">
        <f>(IF((VLOOKUP(Table6[[#This Row],[SKU]],'All Skus'!$A:$AC,2,FALSE))="JBL",(VLOOKUP(Table6[[#This Row],[SKU]],'All Skus'!$A:$AC,4,FALSE)),""))</f>
        <v>MTC-30UB-WH</v>
      </c>
      <c r="D193" s="61" t="str">
        <f>(IF((VLOOKUP(Table6[[#This Row],[SKU]],'All Skus'!$A:$AC,2,FALSE))="JBL",(VLOOKUP(Table6[[#This Row],[SKU]],'All Skus'!$A:$AC,5,FALSE)),""))</f>
        <v>JBL018</v>
      </c>
      <c r="E193" s="137">
        <f>(IF((VLOOKUP(Table6[[#This Row],[SKU]],'All Skus'!$A:$AC,2,FALSE))="JBL",(VLOOKUP(Table6[[#This Row],[SKU]],'All Skus'!$A:$AC,6,FALSE)),""))</f>
        <v>0</v>
      </c>
      <c r="F193" s="61">
        <f>(IF((VLOOKUP(Table6[[#This Row],[SKU]],'All Skus'!$A:$AC,2,FALSE))="JBL",(VLOOKUP(Table6[[#This Row],[SKU]],'All Skus'!$A:$AC,7,FALSE)),""))</f>
        <v>0</v>
      </c>
      <c r="G193" t="str">
        <f>(IF((VLOOKUP(Table6[[#This Row],[SKU]],'All Skus'!$A:$AC,2,FALSE))="JBL",(VLOOKUP(Table6[[#This Row],[SKU]],'All Skus'!$A:$AC,8,FALSE)),""))</f>
        <v>MOUNTING BRACKET, FOR CONTROL 30-WH</v>
      </c>
      <c r="H193" s="8" t="str">
        <f>(IF((VLOOKUP(Table6[[#This Row],[SKU]],'All Skus'!$A:$AC,2,FALSE))="JBL",(VLOOKUP(Table6[[#This Row],[SKU]],'All Skus'!$A:$AC,9,FALSE)),""))</f>
        <v>U-Bracket for Control 30, white. Sold and packed as Eaches</v>
      </c>
      <c r="I193" s="101">
        <f>(IF((VLOOKUP(Table6[[#This Row],[SKU]],'All Skus'!$A:$AC,2,FALSE))="JBL",(VLOOKUP(Table6[[#This Row],[SKU]],'All Skus'!$A:$AC,10,FALSE)),""))</f>
        <v>110.06</v>
      </c>
      <c r="J193" s="101">
        <f>(IF((VLOOKUP(Table6[[#This Row],[SKU]],'All Skus'!$A:$AC,2,FALSE))="JBL",(VLOOKUP(Table6[[#This Row],[SKU]],'All Skus'!$A:$AC,11,FALSE)),""))</f>
        <v>110.06</v>
      </c>
      <c r="K193" s="102">
        <f>(IF((VLOOKUP(Table6[[#This Row],[SKU]],'All Skus'!$A:$AC,2,FALSE))="JBL",(VLOOKUP(Table6[[#This Row],[SKU]],'All Skus'!$A:$AC,13,FALSE)),""))</f>
        <v>0</v>
      </c>
      <c r="L193" s="102">
        <f>(IF((VLOOKUP(Table6[[#This Row],[SKU]],'All Skus'!$A:$AC,2,FALSE))="JBL",(VLOOKUP(Table6[[#This Row],[SKU]],'All Skus'!$A:$AC,14,FALSE)),""))</f>
        <v>0</v>
      </c>
      <c r="M193" s="143">
        <f>(IF((VLOOKUP(Table6[[#This Row],[SKU]],'All Skus'!$A:$AC,2,FALSE))="JBL",(VLOOKUP(Table6[[#This Row],[SKU]],'All Skus'!$A:$AC,15,FALSE)),""))</f>
        <v>0</v>
      </c>
      <c r="N193" s="137">
        <f>(IF((VLOOKUP(Table6[[#This Row],[SKU]],'All Skus'!$A:$AC,2,FALSE))="JBL",(VLOOKUP(Table6[[#This Row],[SKU]],'All Skus'!$A:$AC,16,FALSE)),""))</f>
        <v>691991300714</v>
      </c>
      <c r="O193" s="61">
        <f>(IF((VLOOKUP(Table6[[#This Row],[SKU]],'All Skus'!$A:$AC,2,FALSE))="JBL",(VLOOKUP(Table6[[#This Row],[SKU]],'All Skus'!$A:$AC,17,FALSE)),""))</f>
        <v>0</v>
      </c>
      <c r="P193" s="136">
        <f>(IF((VLOOKUP(Table6[[#This Row],[SKU]],'All Skus'!$A:$AC,2,FALSE))="JBL",(VLOOKUP(Table6[[#This Row],[SKU]],'All Skus'!$A:$AC,18,FALSE)),""))</f>
        <v>6.65</v>
      </c>
      <c r="Q193" s="136">
        <f>(IF((VLOOKUP(Table6[[#This Row],[SKU]],'All Skus'!$A:$AC,2,FALSE))="JBL",(VLOOKUP(Table6[[#This Row],[SKU]],'All Skus'!$A:$AC,19,FALSE)),""))</f>
        <v>14</v>
      </c>
      <c r="R193" s="136">
        <f>(IF((VLOOKUP(Table6[[#This Row],[SKU]],'All Skus'!$A:$AC,2,FALSE))="JBL",(VLOOKUP(Table6[[#This Row],[SKU]],'All Skus'!$A:$AC,20,FALSE)),""))</f>
        <v>24</v>
      </c>
      <c r="S193" s="61">
        <f>(IF((VLOOKUP(Table6[[#This Row],[SKU]],'All Skus'!$A:$AC,2,FALSE))="JBL",(VLOOKUP(Table6[[#This Row],[SKU]],'All Skus'!$A:$AC,21,FALSE)),""))</f>
        <v>5</v>
      </c>
      <c r="T193" s="61" t="str">
        <f>(IF((VLOOKUP(Table6[[#This Row],[SKU]],'All Skus'!$A:$AC,2,FALSE))="JBL",(VLOOKUP(Table6[[#This Row],[SKU]],'All Skus'!$A:$AC,22,FALSE)),""))</f>
        <v>CN</v>
      </c>
      <c r="U193" t="str">
        <f>(IF((VLOOKUP(Table6[[#This Row],[SKU]],'All Skus'!$A:$AC,2,FALSE))="JBL",(VLOOKUP(Table6[[#This Row],[SKU]],'All Skus'!$A:$AC,23,FALSE)),""))</f>
        <v>Non Compliant</v>
      </c>
      <c r="V193" s="284" t="str">
        <f>HYPERLINK((IF((VLOOKUP(Table6[[#This Row],[SKU]],'All Skus'!$A:$AC,2,FALSE))="JBL",(VLOOKUP(Table6[[#This Row],[SKU]],'All Skus'!$A:$AC,24,FALSE)),"")))</f>
        <v xml:space="preserve">http://www.jblpro.com/ProductAttachments/mtc-sb2c.pdf </v>
      </c>
      <c r="W193" s="151">
        <v>191</v>
      </c>
    </row>
    <row r="194" spans="1:23" ht="15" hidden="1" customHeight="1">
      <c r="A194" s="13" t="s">
        <v>1200</v>
      </c>
      <c r="B194" s="12" t="str">
        <f>(IF((VLOOKUP(Table6[[#This Row],[SKU]],'All Skus'!$A:$AC,2,FALSE))="JBL",(VLOOKUP(Table6[[#This Row],[SKU]],'All Skus'!$A:$AC,3,FALSE)),""))</f>
        <v>Accessory</v>
      </c>
      <c r="C194" s="12" t="str">
        <f>(IF((VLOOKUP(Table6[[#This Row],[SKU]],'All Skus'!$A:$AC,2,FALSE))="JBL",(VLOOKUP(Table6[[#This Row],[SKU]],'All Skus'!$A:$AC,4,FALSE)),""))</f>
        <v>MTC-SBT300</v>
      </c>
      <c r="D194" s="61" t="str">
        <f>(IF((VLOOKUP(Table6[[#This Row],[SKU]],'All Skus'!$A:$AC,2,FALSE))="JBL",(VLOOKUP(Table6[[#This Row],[SKU]],'All Skus'!$A:$AC,5,FALSE)),""))</f>
        <v>JBL018</v>
      </c>
      <c r="E194" s="137">
        <f>(IF((VLOOKUP(Table6[[#This Row],[SKU]],'All Skus'!$A:$AC,2,FALSE))="JBL",(VLOOKUP(Table6[[#This Row],[SKU]],'All Skus'!$A:$AC,6,FALSE)),""))</f>
        <v>0</v>
      </c>
      <c r="F194" s="61">
        <f>(IF((VLOOKUP(Table6[[#This Row],[SKU]],'All Skus'!$A:$AC,2,FALSE))="JBL",(VLOOKUP(Table6[[#This Row],[SKU]],'All Skus'!$A:$AC,7,FALSE)),""))</f>
        <v>0</v>
      </c>
      <c r="G194" t="str">
        <f>(IF((VLOOKUP(Table6[[#This Row],[SKU]],'All Skus'!$A:$AC,2,FALSE))="JBL",(VLOOKUP(Table6[[#This Row],[SKU]],'All Skus'!$A:$AC,8,FALSE)),""))</f>
        <v>300W 70V/100V X-former for SB2210</v>
      </c>
      <c r="H194" s="8" t="str">
        <f>(IF((VLOOKUP(Table6[[#This Row],[SKU]],'All Skus'!$A:$AC,2,FALSE))="JBL",(VLOOKUP(Table6[[#This Row],[SKU]],'All Skus'!$A:$AC,9,FALSE)),""))</f>
        <v>300 Watt Multi-Tap 70V/100V Transformer for SB2210. Kit includes transformer (for mounting on existing studs inside input plate) with modular connectors for fast hook-up. Connect proper wire for tap setting. 300W, 150W, 75W at 70V/100V (plus 37W at 70V). Priced and packaged individually.</v>
      </c>
      <c r="I194" s="101">
        <f>(IF((VLOOKUP(Table6[[#This Row],[SKU]],'All Skus'!$A:$AC,2,FALSE))="JBL",(VLOOKUP(Table6[[#This Row],[SKU]],'All Skus'!$A:$AC,10,FALSE)),""))</f>
        <v>124.78</v>
      </c>
      <c r="J194" s="101">
        <f>(IF((VLOOKUP(Table6[[#This Row],[SKU]],'All Skus'!$A:$AC,2,FALSE))="JBL",(VLOOKUP(Table6[[#This Row],[SKU]],'All Skus'!$A:$AC,11,FALSE)),""))</f>
        <v>109</v>
      </c>
      <c r="K194" s="102">
        <f>(IF((VLOOKUP(Table6[[#This Row],[SKU]],'All Skus'!$A:$AC,2,FALSE))="JBL",(VLOOKUP(Table6[[#This Row],[SKU]],'All Skus'!$A:$AC,13,FALSE)),""))</f>
        <v>0</v>
      </c>
      <c r="L194" s="102">
        <f>(IF((VLOOKUP(Table6[[#This Row],[SKU]],'All Skus'!$A:$AC,2,FALSE))="JBL",(VLOOKUP(Table6[[#This Row],[SKU]],'All Skus'!$A:$AC,14,FALSE)),""))</f>
        <v>0</v>
      </c>
      <c r="M194" s="143">
        <f>(IF((VLOOKUP(Table6[[#This Row],[SKU]],'All Skus'!$A:$AC,2,FALSE))="JBL",(VLOOKUP(Table6[[#This Row],[SKU]],'All Skus'!$A:$AC,15,FALSE)),""))</f>
        <v>0</v>
      </c>
      <c r="N194" s="137">
        <f>(IF((VLOOKUP(Table6[[#This Row],[SKU]],'All Skus'!$A:$AC,2,FALSE))="JBL",(VLOOKUP(Table6[[#This Row],[SKU]],'All Skus'!$A:$AC,16,FALSE)),""))</f>
        <v>691991004971</v>
      </c>
      <c r="O194" s="61">
        <f>(IF((VLOOKUP(Table6[[#This Row],[SKU]],'All Skus'!$A:$AC,2,FALSE))="JBL",(VLOOKUP(Table6[[#This Row],[SKU]],'All Skus'!$A:$AC,17,FALSE)),""))</f>
        <v>0</v>
      </c>
      <c r="P194" s="136">
        <f>(IF((VLOOKUP(Table6[[#This Row],[SKU]],'All Skus'!$A:$AC,2,FALSE))="JBL",(VLOOKUP(Table6[[#This Row],[SKU]],'All Skus'!$A:$AC,18,FALSE)),""))</f>
        <v>4</v>
      </c>
      <c r="Q194" s="136">
        <f>(IF((VLOOKUP(Table6[[#This Row],[SKU]],'All Skus'!$A:$AC,2,FALSE))="JBL",(VLOOKUP(Table6[[#This Row],[SKU]],'All Skus'!$A:$AC,19,FALSE)),""))</f>
        <v>6.5</v>
      </c>
      <c r="R194" s="136">
        <f>(IF((VLOOKUP(Table6[[#This Row],[SKU]],'All Skus'!$A:$AC,2,FALSE))="JBL",(VLOOKUP(Table6[[#This Row],[SKU]],'All Skus'!$A:$AC,20,FALSE)),""))</f>
        <v>4</v>
      </c>
      <c r="S194" s="61">
        <f>(IF((VLOOKUP(Table6[[#This Row],[SKU]],'All Skus'!$A:$AC,2,FALSE))="JBL",(VLOOKUP(Table6[[#This Row],[SKU]],'All Skus'!$A:$AC,21,FALSE)),""))</f>
        <v>5</v>
      </c>
      <c r="T194" s="61" t="str">
        <f>(IF((VLOOKUP(Table6[[#This Row],[SKU]],'All Skus'!$A:$AC,2,FALSE))="JBL",(VLOOKUP(Table6[[#This Row],[SKU]],'All Skus'!$A:$AC,22,FALSE)),""))</f>
        <v>CN</v>
      </c>
      <c r="U194" t="str">
        <f>(IF((VLOOKUP(Table6[[#This Row],[SKU]],'All Skus'!$A:$AC,2,FALSE))="JBL",(VLOOKUP(Table6[[#This Row],[SKU]],'All Skus'!$A:$AC,23,FALSE)),""))</f>
        <v>Non Compliant</v>
      </c>
      <c r="V194" s="284" t="str">
        <f>HYPERLINK((IF((VLOOKUP(Table6[[#This Row],[SKU]],'All Skus'!$A:$AC,2,FALSE))="JBL",(VLOOKUP(Table6[[#This Row],[SKU]],'All Skus'!$A:$AC,24,FALSE)),"")))</f>
        <v xml:space="preserve">http://www.jblpro.com/ProductAttachments/OM_CRV_0509.pdf </v>
      </c>
      <c r="W194" s="151">
        <v>192</v>
      </c>
    </row>
    <row r="195" spans="1:23" ht="15" hidden="1" customHeight="1">
      <c r="A195" s="13" t="s">
        <v>1201</v>
      </c>
      <c r="B195" s="12">
        <f>(IF((VLOOKUP(Table6[[#This Row],[SKU]],'All Skus'!$A:$AC,2,FALSE))="JBL",(VLOOKUP(Table6[[#This Row],[SKU]],'All Skus'!$A:$AC,3,FALSE)),""))</f>
        <v>0</v>
      </c>
      <c r="C195" s="12">
        <f>(IF((VLOOKUP(Table6[[#This Row],[SKU]],'All Skus'!$A:$AC,2,FALSE))="JBL",(VLOOKUP(Table6[[#This Row],[SKU]],'All Skus'!$A:$AC,4,FALSE)),""))</f>
        <v>0</v>
      </c>
      <c r="D195" s="61">
        <f>(IF((VLOOKUP(Table6[[#This Row],[SKU]],'All Skus'!$A:$AC,2,FALSE))="JBL",(VLOOKUP(Table6[[#This Row],[SKU]],'All Skus'!$A:$AC,5,FALSE)),""))</f>
        <v>0</v>
      </c>
      <c r="E195" s="137">
        <f>(IF((VLOOKUP(Table6[[#This Row],[SKU]],'All Skus'!$A:$AC,2,FALSE))="JBL",(VLOOKUP(Table6[[#This Row],[SKU]],'All Skus'!$A:$AC,6,FALSE)),""))</f>
        <v>0</v>
      </c>
      <c r="F195" s="61">
        <f>(IF((VLOOKUP(Table6[[#This Row],[SKU]],'All Skus'!$A:$AC,2,FALSE))="JBL",(VLOOKUP(Table6[[#This Row],[SKU]],'All Skus'!$A:$AC,7,FALSE)),""))</f>
        <v>0</v>
      </c>
      <c r="G195">
        <f>(IF((VLOOKUP(Table6[[#This Row],[SKU]],'All Skus'!$A:$AC,2,FALSE))="JBL",(VLOOKUP(Table6[[#This Row],[SKU]],'All Skus'!$A:$AC,8,FALSE)),""))</f>
        <v>0</v>
      </c>
      <c r="H195" s="8">
        <f>(IF((VLOOKUP(Table6[[#This Row],[SKU]],'All Skus'!$A:$AC,2,FALSE))="JBL",(VLOOKUP(Table6[[#This Row],[SKU]],'All Skus'!$A:$AC,9,FALSE)),""))</f>
        <v>0</v>
      </c>
      <c r="I195" s="101">
        <f>(IF((VLOOKUP(Table6[[#This Row],[SKU]],'All Skus'!$A:$AC,2,FALSE))="JBL",(VLOOKUP(Table6[[#This Row],[SKU]],'All Skus'!$A:$AC,10,FALSE)),""))</f>
        <v>0</v>
      </c>
      <c r="J195" s="101">
        <f>(IF((VLOOKUP(Table6[[#This Row],[SKU]],'All Skus'!$A:$AC,2,FALSE))="JBL",(VLOOKUP(Table6[[#This Row],[SKU]],'All Skus'!$A:$AC,11,FALSE)),""))</f>
        <v>0</v>
      </c>
      <c r="K195" s="102">
        <f>(IF((VLOOKUP(Table6[[#This Row],[SKU]],'All Skus'!$A:$AC,2,FALSE))="JBL",(VLOOKUP(Table6[[#This Row],[SKU]],'All Skus'!$A:$AC,13,FALSE)),""))</f>
        <v>0</v>
      </c>
      <c r="L195" s="102">
        <f>(IF((VLOOKUP(Table6[[#This Row],[SKU]],'All Skus'!$A:$AC,2,FALSE))="JBL",(VLOOKUP(Table6[[#This Row],[SKU]],'All Skus'!$A:$AC,14,FALSE)),""))</f>
        <v>0</v>
      </c>
      <c r="M195" s="143">
        <f>(IF((VLOOKUP(Table6[[#This Row],[SKU]],'All Skus'!$A:$AC,2,FALSE))="JBL",(VLOOKUP(Table6[[#This Row],[SKU]],'All Skus'!$A:$AC,15,FALSE)),""))</f>
        <v>0</v>
      </c>
      <c r="N195" s="137">
        <f>(IF((VLOOKUP(Table6[[#This Row],[SKU]],'All Skus'!$A:$AC,2,FALSE))="JBL",(VLOOKUP(Table6[[#This Row],[SKU]],'All Skus'!$A:$AC,16,FALSE)),""))</f>
        <v>0</v>
      </c>
      <c r="O195" s="61">
        <f>(IF((VLOOKUP(Table6[[#This Row],[SKU]],'All Skus'!$A:$AC,2,FALSE))="JBL",(VLOOKUP(Table6[[#This Row],[SKU]],'All Skus'!$A:$AC,17,FALSE)),""))</f>
        <v>0</v>
      </c>
      <c r="P195" s="136">
        <f>(IF((VLOOKUP(Table6[[#This Row],[SKU]],'All Skus'!$A:$AC,2,FALSE))="JBL",(VLOOKUP(Table6[[#This Row],[SKU]],'All Skus'!$A:$AC,18,FALSE)),""))</f>
        <v>0</v>
      </c>
      <c r="Q195" s="136">
        <f>(IF((VLOOKUP(Table6[[#This Row],[SKU]],'All Skus'!$A:$AC,2,FALSE))="JBL",(VLOOKUP(Table6[[#This Row],[SKU]],'All Skus'!$A:$AC,19,FALSE)),""))</f>
        <v>0</v>
      </c>
      <c r="R195" s="136">
        <f>(IF((VLOOKUP(Table6[[#This Row],[SKU]],'All Skus'!$A:$AC,2,FALSE))="JBL",(VLOOKUP(Table6[[#This Row],[SKU]],'All Skus'!$A:$AC,20,FALSE)),""))</f>
        <v>0</v>
      </c>
      <c r="S195" s="61">
        <f>(IF((VLOOKUP(Table6[[#This Row],[SKU]],'All Skus'!$A:$AC,2,FALSE))="JBL",(VLOOKUP(Table6[[#This Row],[SKU]],'All Skus'!$A:$AC,21,FALSE)),""))</f>
        <v>0</v>
      </c>
      <c r="T195" s="61">
        <f>(IF((VLOOKUP(Table6[[#This Row],[SKU]],'All Skus'!$A:$AC,2,FALSE))="JBL",(VLOOKUP(Table6[[#This Row],[SKU]],'All Skus'!$A:$AC,22,FALSE)),""))</f>
        <v>0</v>
      </c>
      <c r="U195">
        <f>(IF((VLOOKUP(Table6[[#This Row],[SKU]],'All Skus'!$A:$AC,2,FALSE))="JBL",(VLOOKUP(Table6[[#This Row],[SKU]],'All Skus'!$A:$AC,23,FALSE)),""))</f>
        <v>0</v>
      </c>
      <c r="V195" s="284" t="str">
        <f>HYPERLINK((IF((VLOOKUP(Table6[[#This Row],[SKU]],'All Skus'!$A:$AC,2,FALSE))="JBL",(VLOOKUP(Table6[[#This Row],[SKU]],'All Skus'!$A:$AC,24,FALSE)),"")))</f>
        <v/>
      </c>
      <c r="W195" s="151">
        <v>193</v>
      </c>
    </row>
    <row r="196" spans="1:23" ht="15" hidden="1" customHeight="1">
      <c r="A196" s="13" t="s">
        <v>1202</v>
      </c>
      <c r="B196" s="12" t="str">
        <f>(IF((VLOOKUP(Table6[[#This Row],[SKU]],'All Skus'!$A:$AC,2,FALSE))="JBL",(VLOOKUP(Table6[[#This Row],[SKU]],'All Skus'!$A:$AC,3,FALSE)),""))</f>
        <v>Surface-Mount Speaker</v>
      </c>
      <c r="C196" s="12" t="str">
        <f>(IF((VLOOKUP(Table6[[#This Row],[SKU]],'All Skus'!$A:$AC,2,FALSE))="JBL",(VLOOKUP(Table6[[#This Row],[SKU]],'All Skus'!$A:$AC,4,FALSE)),""))</f>
        <v>JBL-SLP12/T-BK</v>
      </c>
      <c r="D196" s="61" t="str">
        <f>(IF((VLOOKUP(Table6[[#This Row],[SKU]],'All Skus'!$A:$AC,2,FALSE))="JBL",(VLOOKUP(Table6[[#This Row],[SKU]],'All Skus'!$A:$AC,5,FALSE)),""))</f>
        <v>JBL018</v>
      </c>
      <c r="E196" s="137">
        <f>(IF((VLOOKUP(Table6[[#This Row],[SKU]],'All Skus'!$A:$AC,2,FALSE))="JBL",(VLOOKUP(Table6[[#This Row],[SKU]],'All Skus'!$A:$AC,6,FALSE)),""))</f>
        <v>0</v>
      </c>
      <c r="F196" s="61" t="str">
        <f>(IF((VLOOKUP(Table6[[#This Row],[SKU]],'All Skus'!$A:$AC,2,FALSE))="JBL",(VLOOKUP(Table6[[#This Row],[SKU]],'All Skus'!$A:$AC,7,FALSE)),""))</f>
        <v xml:space="preserve">NEW </v>
      </c>
      <c r="G196" t="str">
        <f>(IF((VLOOKUP(Table6[[#This Row],[SKU]],'All Skus'!$A:$AC,2,FALSE))="JBL",(VLOOKUP(Table6[[#This Row],[SKU]],'All Skus'!$A:$AC,8,FALSE)),""))</f>
        <v>Sleek Low-Profile On-Wall Spkr, 3", Blk, 1 pc</v>
      </c>
      <c r="H196" s="8" t="str">
        <f>(IF((VLOOKUP(Table6[[#This Row],[SKU]],'All Skus'!$A:$AC,2,FALSE))="JBL",(VLOOKUP(Table6[[#This Row],[SKU]],'All Skus'!$A:$AC,9,FALSE)),""))</f>
        <v>Sleek Low-Profile On-Wall Speaker, 3" (75mm)  Full-Range driver, 74Hz - 20KHz Frequency Range, shallow depth, 40W (160W peak) cont Pink Noise power handling (2hr), 15W multitap transformer with 8Ω Direct, 15° down-tilted coverage, IP44 rated, Black (RAL9004) (Priced as each; Sold in pairs)</v>
      </c>
      <c r="I196" s="101">
        <f>(IF((VLOOKUP(Table6[[#This Row],[SKU]],'All Skus'!$A:$AC,2,FALSE))="JBL",(VLOOKUP(Table6[[#This Row],[SKU]],'All Skus'!$A:$AC,10,FALSE)),""))</f>
        <v>127</v>
      </c>
      <c r="J196" s="101">
        <f>(IF((VLOOKUP(Table6[[#This Row],[SKU]],'All Skus'!$A:$AC,2,FALSE))="JBL",(VLOOKUP(Table6[[#This Row],[SKU]],'All Skus'!$A:$AC,11,FALSE)),""))</f>
        <v>101.6</v>
      </c>
      <c r="K196" s="102">
        <f>(IF((VLOOKUP(Table6[[#This Row],[SKU]],'All Skus'!$A:$AC,2,FALSE))="JBL",(VLOOKUP(Table6[[#This Row],[SKU]],'All Skus'!$A:$AC,13,FALSE)),""))</f>
        <v>72.39</v>
      </c>
      <c r="L196" s="102">
        <f>(IF((VLOOKUP(Table6[[#This Row],[SKU]],'All Skus'!$A:$AC,2,FALSE))="JBL",(VLOOKUP(Table6[[#This Row],[SKU]],'All Skus'!$A:$AC,14,FALSE)),""))</f>
        <v>68.58</v>
      </c>
      <c r="M196" s="143">
        <f>(IF((VLOOKUP(Table6[[#This Row],[SKU]],'All Skus'!$A:$AC,2,FALSE))="JBL",(VLOOKUP(Table6[[#This Row],[SKU]],'All Skus'!$A:$AC,15,FALSE)),""))</f>
        <v>2</v>
      </c>
      <c r="N196" s="137">
        <f>(IF((VLOOKUP(Table6[[#This Row],[SKU]],'All Skus'!$A:$AC,2,FALSE))="JBL",(VLOOKUP(Table6[[#This Row],[SKU]],'All Skus'!$A:$AC,16,FALSE)),""))</f>
        <v>691991037849</v>
      </c>
      <c r="O196" s="61">
        <f>(IF((VLOOKUP(Table6[[#This Row],[SKU]],'All Skus'!$A:$AC,2,FALSE))="JBL",(VLOOKUP(Table6[[#This Row],[SKU]],'All Skus'!$A:$AC,17,FALSE)),""))</f>
        <v>0</v>
      </c>
      <c r="P196" s="136">
        <f>(IF((VLOOKUP(Table6[[#This Row],[SKU]],'All Skus'!$A:$AC,2,FALSE))="JBL",(VLOOKUP(Table6[[#This Row],[SKU]],'All Skus'!$A:$AC,18,FALSE)),""))</f>
        <v>10.3635</v>
      </c>
      <c r="Q196" s="136">
        <f>(IF((VLOOKUP(Table6[[#This Row],[SKU]],'All Skus'!$A:$AC,2,FALSE))="JBL",(VLOOKUP(Table6[[#This Row],[SKU]],'All Skus'!$A:$AC,19,FALSE)),""))</f>
        <v>12.007874015748</v>
      </c>
      <c r="R196" s="136">
        <f>(IF((VLOOKUP(Table6[[#This Row],[SKU]],'All Skus'!$A:$AC,2,FALSE))="JBL",(VLOOKUP(Table6[[#This Row],[SKU]],'All Skus'!$A:$AC,20,FALSE)),""))</f>
        <v>9.0551181102362204</v>
      </c>
      <c r="S196" s="61">
        <f>(IF((VLOOKUP(Table6[[#This Row],[SKU]],'All Skus'!$A:$AC,2,FALSE))="JBL",(VLOOKUP(Table6[[#This Row],[SKU]],'All Skus'!$A:$AC,21,FALSE)),""))</f>
        <v>13.582677165354299</v>
      </c>
      <c r="T196" s="61" t="str">
        <f>(IF((VLOOKUP(Table6[[#This Row],[SKU]],'All Skus'!$A:$AC,2,FALSE))="JBL",(VLOOKUP(Table6[[#This Row],[SKU]],'All Skus'!$A:$AC,22,FALSE)),""))</f>
        <v>CN</v>
      </c>
      <c r="U196" t="str">
        <f>(IF((VLOOKUP(Table6[[#This Row],[SKU]],'All Skus'!$A:$AC,2,FALSE))="JBL",(VLOOKUP(Table6[[#This Row],[SKU]],'All Skus'!$A:$AC,23,FALSE)),""))</f>
        <v>Non Compliant</v>
      </c>
      <c r="V196" s="284" t="str">
        <f>HYPERLINK((IF((VLOOKUP(Table6[[#This Row],[SKU]],'All Skus'!$A:$AC,2,FALSE))="JBL",(VLOOKUP(Table6[[#This Row],[SKU]],'All Skus'!$A:$AC,24,FALSE)),"")))</f>
        <v>https://jblpro.com/en/products/slp12-t</v>
      </c>
      <c r="W196" s="151">
        <v>194</v>
      </c>
    </row>
    <row r="197" spans="1:23" ht="15" hidden="1" customHeight="1">
      <c r="A197" s="13" t="s">
        <v>1203</v>
      </c>
      <c r="B197" s="12" t="str">
        <f>(IF((VLOOKUP(Table6[[#This Row],[SKU]],'All Skus'!$A:$AC,2,FALSE))="JBL",(VLOOKUP(Table6[[#This Row],[SKU]],'All Skus'!$A:$AC,3,FALSE)),""))</f>
        <v>Surface-Mount Speaker</v>
      </c>
      <c r="C197" s="12" t="str">
        <f>(IF((VLOOKUP(Table6[[#This Row],[SKU]],'All Skus'!$A:$AC,2,FALSE))="JBL",(VLOOKUP(Table6[[#This Row],[SKU]],'All Skus'!$A:$AC,4,FALSE)),""))</f>
        <v>JBL-SLP12/T-WH</v>
      </c>
      <c r="D197" s="61" t="str">
        <f>(IF((VLOOKUP(Table6[[#This Row],[SKU]],'All Skus'!$A:$AC,2,FALSE))="JBL",(VLOOKUP(Table6[[#This Row],[SKU]],'All Skus'!$A:$AC,5,FALSE)),""))</f>
        <v>JBL018</v>
      </c>
      <c r="E197" s="137">
        <f>(IF((VLOOKUP(Table6[[#This Row],[SKU]],'All Skus'!$A:$AC,2,FALSE))="JBL",(VLOOKUP(Table6[[#This Row],[SKU]],'All Skus'!$A:$AC,6,FALSE)),""))</f>
        <v>0</v>
      </c>
      <c r="F197" s="61" t="str">
        <f>(IF((VLOOKUP(Table6[[#This Row],[SKU]],'All Skus'!$A:$AC,2,FALSE))="JBL",(VLOOKUP(Table6[[#This Row],[SKU]],'All Skus'!$A:$AC,7,FALSE)),""))</f>
        <v xml:space="preserve">NEW </v>
      </c>
      <c r="G197" t="str">
        <f>(IF((VLOOKUP(Table6[[#This Row],[SKU]],'All Skus'!$A:$AC,2,FALSE))="JBL",(VLOOKUP(Table6[[#This Row],[SKU]],'All Skus'!$A:$AC,8,FALSE)),""))</f>
        <v>Sleek Low-Profile On-Wall Spkr, 3", Wht, 1 pc</v>
      </c>
      <c r="H197" s="8" t="str">
        <f>(IF((VLOOKUP(Table6[[#This Row],[SKU]],'All Skus'!$A:$AC,2,FALSE))="JBL",(VLOOKUP(Table6[[#This Row],[SKU]],'All Skus'!$A:$AC,9,FALSE)),""))</f>
        <v>Sleek Low-Profile On-Wall Speaker, 3" (75mm)  Full-Range driver, 74Hz - 20KHz Frequency Range, shallow depth, 40W (160W peak) cont Pink Noise power handling (2hr), 15W multitap transformer with 8Ω Direct, 15° down-tilted coverage, IP44 rated, White (RAL9016) (Priced as each; Sold in pairs)</v>
      </c>
      <c r="I197" s="101">
        <f>(IF((VLOOKUP(Table6[[#This Row],[SKU]],'All Skus'!$A:$AC,2,FALSE))="JBL",(VLOOKUP(Table6[[#This Row],[SKU]],'All Skus'!$A:$AC,10,FALSE)),""))</f>
        <v>127</v>
      </c>
      <c r="J197" s="101">
        <f>(IF((VLOOKUP(Table6[[#This Row],[SKU]],'All Skus'!$A:$AC,2,FALSE))="JBL",(VLOOKUP(Table6[[#This Row],[SKU]],'All Skus'!$A:$AC,11,FALSE)),""))</f>
        <v>101.6</v>
      </c>
      <c r="K197" s="102">
        <f>(IF((VLOOKUP(Table6[[#This Row],[SKU]],'All Skus'!$A:$AC,2,FALSE))="JBL",(VLOOKUP(Table6[[#This Row],[SKU]],'All Skus'!$A:$AC,13,FALSE)),""))</f>
        <v>72.39</v>
      </c>
      <c r="L197" s="102">
        <f>(IF((VLOOKUP(Table6[[#This Row],[SKU]],'All Skus'!$A:$AC,2,FALSE))="JBL",(VLOOKUP(Table6[[#This Row],[SKU]],'All Skus'!$A:$AC,14,FALSE)),""))</f>
        <v>68.58</v>
      </c>
      <c r="M197" s="143">
        <f>(IF((VLOOKUP(Table6[[#This Row],[SKU]],'All Skus'!$A:$AC,2,FALSE))="JBL",(VLOOKUP(Table6[[#This Row],[SKU]],'All Skus'!$A:$AC,15,FALSE)),""))</f>
        <v>2</v>
      </c>
      <c r="N197" s="137">
        <f>(IF((VLOOKUP(Table6[[#This Row],[SKU]],'All Skus'!$A:$AC,2,FALSE))="JBL",(VLOOKUP(Table6[[#This Row],[SKU]],'All Skus'!$A:$AC,16,FALSE)),""))</f>
        <v>691991037856</v>
      </c>
      <c r="O197" s="61">
        <f>(IF((VLOOKUP(Table6[[#This Row],[SKU]],'All Skus'!$A:$AC,2,FALSE))="JBL",(VLOOKUP(Table6[[#This Row],[SKU]],'All Skus'!$A:$AC,17,FALSE)),""))</f>
        <v>0</v>
      </c>
      <c r="P197" s="136">
        <f>(IF((VLOOKUP(Table6[[#This Row],[SKU]],'All Skus'!$A:$AC,2,FALSE))="JBL",(VLOOKUP(Table6[[#This Row],[SKU]],'All Skus'!$A:$AC,18,FALSE)),""))</f>
        <v>10.3635</v>
      </c>
      <c r="Q197" s="136">
        <f>(IF((VLOOKUP(Table6[[#This Row],[SKU]],'All Skus'!$A:$AC,2,FALSE))="JBL",(VLOOKUP(Table6[[#This Row],[SKU]],'All Skus'!$A:$AC,19,FALSE)),""))</f>
        <v>12.007874015748</v>
      </c>
      <c r="R197" s="136">
        <f>(IF((VLOOKUP(Table6[[#This Row],[SKU]],'All Skus'!$A:$AC,2,FALSE))="JBL",(VLOOKUP(Table6[[#This Row],[SKU]],'All Skus'!$A:$AC,20,FALSE)),""))</f>
        <v>9.0551181102362204</v>
      </c>
      <c r="S197" s="61">
        <f>(IF((VLOOKUP(Table6[[#This Row],[SKU]],'All Skus'!$A:$AC,2,FALSE))="JBL",(VLOOKUP(Table6[[#This Row],[SKU]],'All Skus'!$A:$AC,21,FALSE)),""))</f>
        <v>13.582677165354299</v>
      </c>
      <c r="T197" s="61" t="str">
        <f>(IF((VLOOKUP(Table6[[#This Row],[SKU]],'All Skus'!$A:$AC,2,FALSE))="JBL",(VLOOKUP(Table6[[#This Row],[SKU]],'All Skus'!$A:$AC,22,FALSE)),""))</f>
        <v>CN</v>
      </c>
      <c r="U197" t="str">
        <f>(IF((VLOOKUP(Table6[[#This Row],[SKU]],'All Skus'!$A:$AC,2,FALSE))="JBL",(VLOOKUP(Table6[[#This Row],[SKU]],'All Skus'!$A:$AC,23,FALSE)),""))</f>
        <v>Non Compliant</v>
      </c>
      <c r="V197" s="284" t="str">
        <f>HYPERLINK((IF((VLOOKUP(Table6[[#This Row],[SKU]],'All Skus'!$A:$AC,2,FALSE))="JBL",(VLOOKUP(Table6[[#This Row],[SKU]],'All Skus'!$A:$AC,24,FALSE)),"")))</f>
        <v>https://jblpro.com/en/products/slp12-t</v>
      </c>
      <c r="W197" s="151">
        <v>195</v>
      </c>
    </row>
    <row r="198" spans="1:23" ht="15" hidden="1" customHeight="1">
      <c r="A198" s="13" t="s">
        <v>1204</v>
      </c>
      <c r="B198" s="12" t="str">
        <f>(IF((VLOOKUP(Table6[[#This Row],[SKU]],'All Skus'!$A:$AC,2,FALSE))="JBL",(VLOOKUP(Table6[[#This Row],[SKU]],'All Skus'!$A:$AC,3,FALSE)),""))</f>
        <v>Surface-Mount Speaker</v>
      </c>
      <c r="C198" s="12" t="str">
        <f>(IF((VLOOKUP(Table6[[#This Row],[SKU]],'All Skus'!$A:$AC,2,FALSE))="JBL",(VLOOKUP(Table6[[#This Row],[SKU]],'All Skus'!$A:$AC,4,FALSE)),""))</f>
        <v>JBL-SLP14/T-BK</v>
      </c>
      <c r="D198" s="61" t="str">
        <f>(IF((VLOOKUP(Table6[[#This Row],[SKU]],'All Skus'!$A:$AC,2,FALSE))="JBL",(VLOOKUP(Table6[[#This Row],[SKU]],'All Skus'!$A:$AC,5,FALSE)),""))</f>
        <v>JBL018</v>
      </c>
      <c r="E198" s="137">
        <f>(IF((VLOOKUP(Table6[[#This Row],[SKU]],'All Skus'!$A:$AC,2,FALSE))="JBL",(VLOOKUP(Table6[[#This Row],[SKU]],'All Skus'!$A:$AC,6,FALSE)),""))</f>
        <v>0</v>
      </c>
      <c r="F198" s="61" t="str">
        <f>(IF((VLOOKUP(Table6[[#This Row],[SKU]],'All Skus'!$A:$AC,2,FALSE))="JBL",(VLOOKUP(Table6[[#This Row],[SKU]],'All Skus'!$A:$AC,7,FALSE)),""))</f>
        <v xml:space="preserve">NEW </v>
      </c>
      <c r="G198" t="str">
        <f>(IF((VLOOKUP(Table6[[#This Row],[SKU]],'All Skus'!$A:$AC,2,FALSE))="JBL",(VLOOKUP(Table6[[#This Row],[SKU]],'All Skus'!$A:$AC,8,FALSE)),""))</f>
        <v>Sleek Low-Profile On-Wall Spkr, 4.5", Blk, 1 pc</v>
      </c>
      <c r="H198" s="8" t="str">
        <f>(IF((VLOOKUP(Table6[[#This Row],[SKU]],'All Skus'!$A:$AC,2,FALSE))="JBL",(VLOOKUP(Table6[[#This Row],[SKU]],'All Skus'!$A:$AC,9,FALSE)),""))</f>
        <v>Sleek Low-Profile On-Wall 2-way Speaker, 4.5" (120mm) Woofer &amp; 0.79" (20mm) Tweeter, 70Hz - 20KHz Frequency Range, shallow depth, 50W (200W peak) cont. Pink Noise power handling (2hr), 25W multitap transformer with 8Ω Direct, 15° down-tilted coverage, IP44 rated, Black (RAL9004) (Priced as each; Sold in pairs)</v>
      </c>
      <c r="I198" s="101">
        <f>(IF((VLOOKUP(Table6[[#This Row],[SKU]],'All Skus'!$A:$AC,2,FALSE))="JBL",(VLOOKUP(Table6[[#This Row],[SKU]],'All Skus'!$A:$AC,10,FALSE)),""))</f>
        <v>178</v>
      </c>
      <c r="J198" s="101">
        <f>(IF((VLOOKUP(Table6[[#This Row],[SKU]],'All Skus'!$A:$AC,2,FALSE))="JBL",(VLOOKUP(Table6[[#This Row],[SKU]],'All Skus'!$A:$AC,11,FALSE)),""))</f>
        <v>142.4</v>
      </c>
      <c r="K198" s="102">
        <f>(IF((VLOOKUP(Table6[[#This Row],[SKU]],'All Skus'!$A:$AC,2,FALSE))="JBL",(VLOOKUP(Table6[[#This Row],[SKU]],'All Skus'!$A:$AC,13,FALSE)),""))</f>
        <v>101.46</v>
      </c>
      <c r="L198" s="102">
        <f>(IF((VLOOKUP(Table6[[#This Row],[SKU]],'All Skus'!$A:$AC,2,FALSE))="JBL",(VLOOKUP(Table6[[#This Row],[SKU]],'All Skus'!$A:$AC,14,FALSE)),""))</f>
        <v>96.12</v>
      </c>
      <c r="M198" s="143">
        <f>(IF((VLOOKUP(Table6[[#This Row],[SKU]],'All Skus'!$A:$AC,2,FALSE))="JBL",(VLOOKUP(Table6[[#This Row],[SKU]],'All Skus'!$A:$AC,15,FALSE)),""))</f>
        <v>2</v>
      </c>
      <c r="N198" s="137">
        <f>(IF((VLOOKUP(Table6[[#This Row],[SKU]],'All Skus'!$A:$AC,2,FALSE))="JBL",(VLOOKUP(Table6[[#This Row],[SKU]],'All Skus'!$A:$AC,16,FALSE)),""))</f>
        <v>691991037863</v>
      </c>
      <c r="O198" s="61">
        <f>(IF((VLOOKUP(Table6[[#This Row],[SKU]],'All Skus'!$A:$AC,2,FALSE))="JBL",(VLOOKUP(Table6[[#This Row],[SKU]],'All Skus'!$A:$AC,17,FALSE)),""))</f>
        <v>0</v>
      </c>
      <c r="P198" s="136">
        <f>(IF((VLOOKUP(Table6[[#This Row],[SKU]],'All Skus'!$A:$AC,2,FALSE))="JBL",(VLOOKUP(Table6[[#This Row],[SKU]],'All Skus'!$A:$AC,18,FALSE)),""))</f>
        <v>13.670999999999999</v>
      </c>
      <c r="Q198" s="136">
        <f>(IF((VLOOKUP(Table6[[#This Row],[SKU]],'All Skus'!$A:$AC,2,FALSE))="JBL",(VLOOKUP(Table6[[#This Row],[SKU]],'All Skus'!$A:$AC,19,FALSE)),""))</f>
        <v>12.795275590551199</v>
      </c>
      <c r="R198" s="136">
        <f>(IF((VLOOKUP(Table6[[#This Row],[SKU]],'All Skus'!$A:$AC,2,FALSE))="JBL",(VLOOKUP(Table6[[#This Row],[SKU]],'All Skus'!$A:$AC,20,FALSE)),""))</f>
        <v>8.5039370078740202</v>
      </c>
      <c r="S198" s="61">
        <f>(IF((VLOOKUP(Table6[[#This Row],[SKU]],'All Skus'!$A:$AC,2,FALSE))="JBL",(VLOOKUP(Table6[[#This Row],[SKU]],'All Skus'!$A:$AC,21,FALSE)),""))</f>
        <v>14.5669291338583</v>
      </c>
      <c r="T198" s="61" t="str">
        <f>(IF((VLOOKUP(Table6[[#This Row],[SKU]],'All Skus'!$A:$AC,2,FALSE))="JBL",(VLOOKUP(Table6[[#This Row],[SKU]],'All Skus'!$A:$AC,22,FALSE)),""))</f>
        <v>CN</v>
      </c>
      <c r="U198" t="str">
        <f>(IF((VLOOKUP(Table6[[#This Row],[SKU]],'All Skus'!$A:$AC,2,FALSE))="JBL",(VLOOKUP(Table6[[#This Row],[SKU]],'All Skus'!$A:$AC,23,FALSE)),""))</f>
        <v>Non Compliant</v>
      </c>
      <c r="V198" s="284" t="str">
        <f>HYPERLINK((IF((VLOOKUP(Table6[[#This Row],[SKU]],'All Skus'!$A:$AC,2,FALSE))="JBL",(VLOOKUP(Table6[[#This Row],[SKU]],'All Skus'!$A:$AC,24,FALSE)),"")))</f>
        <v>https://jblpro.com/en/products/slp14-t</v>
      </c>
      <c r="W198" s="151">
        <v>196</v>
      </c>
    </row>
    <row r="199" spans="1:23" ht="15" hidden="1" customHeight="1">
      <c r="A199" s="13" t="s">
        <v>1205</v>
      </c>
      <c r="B199" s="12" t="str">
        <f>(IF((VLOOKUP(Table6[[#This Row],[SKU]],'All Skus'!$A:$AC,2,FALSE))="JBL",(VLOOKUP(Table6[[#This Row],[SKU]],'All Skus'!$A:$AC,3,FALSE)),""))</f>
        <v>Surface-Mount Speaker</v>
      </c>
      <c r="C199" s="12" t="str">
        <f>(IF((VLOOKUP(Table6[[#This Row],[SKU]],'All Skus'!$A:$AC,2,FALSE))="JBL",(VLOOKUP(Table6[[#This Row],[SKU]],'All Skus'!$A:$AC,4,FALSE)),""))</f>
        <v>JBL-SLP14/T-WH</v>
      </c>
      <c r="D199" s="61" t="str">
        <f>(IF((VLOOKUP(Table6[[#This Row],[SKU]],'All Skus'!$A:$AC,2,FALSE))="JBL",(VLOOKUP(Table6[[#This Row],[SKU]],'All Skus'!$A:$AC,5,FALSE)),""))</f>
        <v>JBL018</v>
      </c>
      <c r="E199" s="137">
        <f>(IF((VLOOKUP(Table6[[#This Row],[SKU]],'All Skus'!$A:$AC,2,FALSE))="JBL",(VLOOKUP(Table6[[#This Row],[SKU]],'All Skus'!$A:$AC,6,FALSE)),""))</f>
        <v>0</v>
      </c>
      <c r="F199" s="61" t="str">
        <f>(IF((VLOOKUP(Table6[[#This Row],[SKU]],'All Skus'!$A:$AC,2,FALSE))="JBL",(VLOOKUP(Table6[[#This Row],[SKU]],'All Skus'!$A:$AC,7,FALSE)),""))</f>
        <v xml:space="preserve">NEW </v>
      </c>
      <c r="G199" t="str">
        <f>(IF((VLOOKUP(Table6[[#This Row],[SKU]],'All Skus'!$A:$AC,2,FALSE))="JBL",(VLOOKUP(Table6[[#This Row],[SKU]],'All Skus'!$A:$AC,8,FALSE)),""))</f>
        <v>Sleek Low-Profile On-Wall Spkr, 4.5", Wht, 1 pc</v>
      </c>
      <c r="H199" s="8" t="str">
        <f>(IF((VLOOKUP(Table6[[#This Row],[SKU]],'All Skus'!$A:$AC,2,FALSE))="JBL",(VLOOKUP(Table6[[#This Row],[SKU]],'All Skus'!$A:$AC,9,FALSE)),""))</f>
        <v>Sleek Low-Profile On-Wall 2-way Speaker, 4.5" (120mm) Woofer &amp; 0.79" (20mm) Tweeter, 70Hz - 20KHz Frequency Range, shallow depth, 50W (200W peak) cont. Pink Noise power handling (2hr), 25W multitap transformer with 8Ω Direct, 15° down-tilted coverage, IP44 rated, White (RAL9016) (Priced as each; Sold in pairs)</v>
      </c>
      <c r="I199" s="101">
        <f>(IF((VLOOKUP(Table6[[#This Row],[SKU]],'All Skus'!$A:$AC,2,FALSE))="JBL",(VLOOKUP(Table6[[#This Row],[SKU]],'All Skus'!$A:$AC,10,FALSE)),""))</f>
        <v>178</v>
      </c>
      <c r="J199" s="101">
        <f>(IF((VLOOKUP(Table6[[#This Row],[SKU]],'All Skus'!$A:$AC,2,FALSE))="JBL",(VLOOKUP(Table6[[#This Row],[SKU]],'All Skus'!$A:$AC,11,FALSE)),""))</f>
        <v>142.4</v>
      </c>
      <c r="K199" s="102">
        <f>(IF((VLOOKUP(Table6[[#This Row],[SKU]],'All Skus'!$A:$AC,2,FALSE))="JBL",(VLOOKUP(Table6[[#This Row],[SKU]],'All Skus'!$A:$AC,13,FALSE)),""))</f>
        <v>101.46</v>
      </c>
      <c r="L199" s="102">
        <f>(IF((VLOOKUP(Table6[[#This Row],[SKU]],'All Skus'!$A:$AC,2,FALSE))="JBL",(VLOOKUP(Table6[[#This Row],[SKU]],'All Skus'!$A:$AC,14,FALSE)),""))</f>
        <v>96.12</v>
      </c>
      <c r="M199" s="143">
        <f>(IF((VLOOKUP(Table6[[#This Row],[SKU]],'All Skus'!$A:$AC,2,FALSE))="JBL",(VLOOKUP(Table6[[#This Row],[SKU]],'All Skus'!$A:$AC,15,FALSE)),""))</f>
        <v>2</v>
      </c>
      <c r="N199" s="137">
        <f>(IF((VLOOKUP(Table6[[#This Row],[SKU]],'All Skus'!$A:$AC,2,FALSE))="JBL",(VLOOKUP(Table6[[#This Row],[SKU]],'All Skus'!$A:$AC,16,FALSE)),""))</f>
        <v>691991037870</v>
      </c>
      <c r="O199" s="61">
        <f>(IF((VLOOKUP(Table6[[#This Row],[SKU]],'All Skus'!$A:$AC,2,FALSE))="JBL",(VLOOKUP(Table6[[#This Row],[SKU]],'All Skus'!$A:$AC,17,FALSE)),""))</f>
        <v>0</v>
      </c>
      <c r="P199" s="136">
        <f>(IF((VLOOKUP(Table6[[#This Row],[SKU]],'All Skus'!$A:$AC,2,FALSE))="JBL",(VLOOKUP(Table6[[#This Row],[SKU]],'All Skus'!$A:$AC,18,FALSE)),""))</f>
        <v>13.670999999999999</v>
      </c>
      <c r="Q199" s="136">
        <f>(IF((VLOOKUP(Table6[[#This Row],[SKU]],'All Skus'!$A:$AC,2,FALSE))="JBL",(VLOOKUP(Table6[[#This Row],[SKU]],'All Skus'!$A:$AC,19,FALSE)),""))</f>
        <v>12.795275590551199</v>
      </c>
      <c r="R199" s="136">
        <f>(IF((VLOOKUP(Table6[[#This Row],[SKU]],'All Skus'!$A:$AC,2,FALSE))="JBL",(VLOOKUP(Table6[[#This Row],[SKU]],'All Skus'!$A:$AC,20,FALSE)),""))</f>
        <v>8.5039370078740202</v>
      </c>
      <c r="S199" s="61">
        <f>(IF((VLOOKUP(Table6[[#This Row],[SKU]],'All Skus'!$A:$AC,2,FALSE))="JBL",(VLOOKUP(Table6[[#This Row],[SKU]],'All Skus'!$A:$AC,21,FALSE)),""))</f>
        <v>14.5669291338583</v>
      </c>
      <c r="T199" s="61" t="str">
        <f>(IF((VLOOKUP(Table6[[#This Row],[SKU]],'All Skus'!$A:$AC,2,FALSE))="JBL",(VLOOKUP(Table6[[#This Row],[SKU]],'All Skus'!$A:$AC,22,FALSE)),""))</f>
        <v>CN</v>
      </c>
      <c r="U199" t="str">
        <f>(IF((VLOOKUP(Table6[[#This Row],[SKU]],'All Skus'!$A:$AC,2,FALSE))="JBL",(VLOOKUP(Table6[[#This Row],[SKU]],'All Skus'!$A:$AC,23,FALSE)),""))</f>
        <v>Non Compliant</v>
      </c>
      <c r="V199" s="284" t="str">
        <f>HYPERLINK((IF((VLOOKUP(Table6[[#This Row],[SKU]],'All Skus'!$A:$AC,2,FALSE))="JBL",(VLOOKUP(Table6[[#This Row],[SKU]],'All Skus'!$A:$AC,24,FALSE)),"")))</f>
        <v>https://jblpro.com/en/products/slp14-t</v>
      </c>
      <c r="W199" s="151">
        <v>197</v>
      </c>
    </row>
    <row r="200" spans="1:23" ht="15" hidden="1" customHeight="1">
      <c r="A200" s="104" t="s">
        <v>1206</v>
      </c>
      <c r="B200" s="12">
        <f>(IF((VLOOKUP(Table6[[#This Row],[SKU]],'All Skus'!$A:$AC,2,FALSE))="JBL",(VLOOKUP(Table6[[#This Row],[SKU]],'All Skus'!$A:$AC,3,FALSE)),""))</f>
        <v>0</v>
      </c>
      <c r="C200" s="12">
        <f>(IF((VLOOKUP(Table6[[#This Row],[SKU]],'All Skus'!$A:$AC,2,FALSE))="JBL",(VLOOKUP(Table6[[#This Row],[SKU]],'All Skus'!$A:$AC,4,FALSE)),""))</f>
        <v>0</v>
      </c>
      <c r="D200" s="61">
        <f>(IF((VLOOKUP(Table6[[#This Row],[SKU]],'All Skus'!$A:$AC,2,FALSE))="JBL",(VLOOKUP(Table6[[#This Row],[SKU]],'All Skus'!$A:$AC,5,FALSE)),""))</f>
        <v>0</v>
      </c>
      <c r="E200" s="137">
        <f>(IF((VLOOKUP(Table6[[#This Row],[SKU]],'All Skus'!$A:$AC,2,FALSE))="JBL",(VLOOKUP(Table6[[#This Row],[SKU]],'All Skus'!$A:$AC,6,FALSE)),""))</f>
        <v>0</v>
      </c>
      <c r="F200" s="61">
        <f>(IF((VLOOKUP(Table6[[#This Row],[SKU]],'All Skus'!$A:$AC,2,FALSE))="JBL",(VLOOKUP(Table6[[#This Row],[SKU]],'All Skus'!$A:$AC,7,FALSE)),""))</f>
        <v>0</v>
      </c>
      <c r="G200">
        <f>(IF((VLOOKUP(Table6[[#This Row],[SKU]],'All Skus'!$A:$AC,2,FALSE))="JBL",(VLOOKUP(Table6[[#This Row],[SKU]],'All Skus'!$A:$AC,8,FALSE)),""))</f>
        <v>0</v>
      </c>
      <c r="H200" s="8">
        <f>(IF((VLOOKUP(Table6[[#This Row],[SKU]],'All Skus'!$A:$AC,2,FALSE))="JBL",(VLOOKUP(Table6[[#This Row],[SKU]],'All Skus'!$A:$AC,9,FALSE)),""))</f>
        <v>0</v>
      </c>
      <c r="I200" s="101">
        <f>(IF((VLOOKUP(Table6[[#This Row],[SKU]],'All Skus'!$A:$AC,2,FALSE))="JBL",(VLOOKUP(Table6[[#This Row],[SKU]],'All Skus'!$A:$AC,10,FALSE)),""))</f>
        <v>0</v>
      </c>
      <c r="J200" s="101">
        <f>(IF((VLOOKUP(Table6[[#This Row],[SKU]],'All Skus'!$A:$AC,2,FALSE))="JBL",(VLOOKUP(Table6[[#This Row],[SKU]],'All Skus'!$A:$AC,11,FALSE)),""))</f>
        <v>0</v>
      </c>
      <c r="K200" s="102">
        <f>(IF((VLOOKUP(Table6[[#This Row],[SKU]],'All Skus'!$A:$AC,2,FALSE))="JBL",(VLOOKUP(Table6[[#This Row],[SKU]],'All Skus'!$A:$AC,13,FALSE)),""))</f>
        <v>0</v>
      </c>
      <c r="L200" s="102">
        <f>(IF((VLOOKUP(Table6[[#This Row],[SKU]],'All Skus'!$A:$AC,2,FALSE))="JBL",(VLOOKUP(Table6[[#This Row],[SKU]],'All Skus'!$A:$AC,14,FALSE)),""))</f>
        <v>0</v>
      </c>
      <c r="M200" s="143">
        <f>(IF((VLOOKUP(Table6[[#This Row],[SKU]],'All Skus'!$A:$AC,2,FALSE))="JBL",(VLOOKUP(Table6[[#This Row],[SKU]],'All Skus'!$A:$AC,15,FALSE)),""))</f>
        <v>0</v>
      </c>
      <c r="N200" s="137">
        <f>(IF((VLOOKUP(Table6[[#This Row],[SKU]],'All Skus'!$A:$AC,2,FALSE))="JBL",(VLOOKUP(Table6[[#This Row],[SKU]],'All Skus'!$A:$AC,16,FALSE)),""))</f>
        <v>0</v>
      </c>
      <c r="O200" s="61">
        <f>(IF((VLOOKUP(Table6[[#This Row],[SKU]],'All Skus'!$A:$AC,2,FALSE))="JBL",(VLOOKUP(Table6[[#This Row],[SKU]],'All Skus'!$A:$AC,17,FALSE)),""))</f>
        <v>0</v>
      </c>
      <c r="P200" s="136">
        <f>(IF((VLOOKUP(Table6[[#This Row],[SKU]],'All Skus'!$A:$AC,2,FALSE))="JBL",(VLOOKUP(Table6[[#This Row],[SKU]],'All Skus'!$A:$AC,18,FALSE)),""))</f>
        <v>0</v>
      </c>
      <c r="Q200" s="136">
        <f>(IF((VLOOKUP(Table6[[#This Row],[SKU]],'All Skus'!$A:$AC,2,FALSE))="JBL",(VLOOKUP(Table6[[#This Row],[SKU]],'All Skus'!$A:$AC,19,FALSE)),""))</f>
        <v>0</v>
      </c>
      <c r="R200" s="136">
        <f>(IF((VLOOKUP(Table6[[#This Row],[SKU]],'All Skus'!$A:$AC,2,FALSE))="JBL",(VLOOKUP(Table6[[#This Row],[SKU]],'All Skus'!$A:$AC,20,FALSE)),""))</f>
        <v>0</v>
      </c>
      <c r="S200" s="61">
        <f>(IF((VLOOKUP(Table6[[#This Row],[SKU]],'All Skus'!$A:$AC,2,FALSE))="JBL",(VLOOKUP(Table6[[#This Row],[SKU]],'All Skus'!$A:$AC,21,FALSE)),""))</f>
        <v>0</v>
      </c>
      <c r="T200" s="61" t="str">
        <f>(IF((VLOOKUP(Table6[[#This Row],[SKU]],'All Skus'!$A:$AC,2,FALSE))="JBL",(VLOOKUP(Table6[[#This Row],[SKU]],'All Skus'!$A:$AC,22,FALSE)),""))</f>
        <v>CN</v>
      </c>
      <c r="U200" t="str">
        <f>(IF((VLOOKUP(Table6[[#This Row],[SKU]],'All Skus'!$A:$AC,2,FALSE))="JBL",(VLOOKUP(Table6[[#This Row],[SKU]],'All Skus'!$A:$AC,23,FALSE)),""))</f>
        <v>Non Compliant</v>
      </c>
      <c r="V200" s="284" t="str">
        <f>HYPERLINK((IF((VLOOKUP(Table6[[#This Row],[SKU]],'All Skus'!$A:$AC,2,FALSE))="JBL",(VLOOKUP(Table6[[#This Row],[SKU]],'All Skus'!$A:$AC,24,FALSE)),"")))</f>
        <v/>
      </c>
      <c r="W200" s="151">
        <v>198</v>
      </c>
    </row>
    <row r="201" spans="1:23" ht="15" hidden="1" customHeight="1">
      <c r="A201" s="13" t="s">
        <v>1207</v>
      </c>
      <c r="B201" s="12" t="str">
        <f>(IF((VLOOKUP(Table6[[#This Row],[SKU]],'All Skus'!$A:$AC,2,FALSE))="JBL",(VLOOKUP(Table6[[#This Row],[SKU]],'All Skus'!$A:$AC,3,FALSE)),""))</f>
        <v>Surface-Mount Speaker</v>
      </c>
      <c r="C201" s="12" t="str">
        <f>(IF((VLOOKUP(Table6[[#This Row],[SKU]],'All Skus'!$A:$AC,2,FALSE))="JBL",(VLOOKUP(Table6[[#This Row],[SKU]],'All Skus'!$A:$AC,4,FALSE)),""))</f>
        <v>CONTROL 50S/T</v>
      </c>
      <c r="D201" s="61" t="str">
        <f>(IF((VLOOKUP(Table6[[#This Row],[SKU]],'All Skus'!$A:$AC,2,FALSE))="JBL",(VLOOKUP(Table6[[#This Row],[SKU]],'All Skus'!$A:$AC,5,FALSE)),""))</f>
        <v>JBL018</v>
      </c>
      <c r="E201" s="137">
        <f>(IF((VLOOKUP(Table6[[#This Row],[SKU]],'All Skus'!$A:$AC,2,FALSE))="JBL",(VLOOKUP(Table6[[#This Row],[SKU]],'All Skus'!$A:$AC,6,FALSE)),""))</f>
        <v>0</v>
      </c>
      <c r="F201" s="61">
        <f>(IF((VLOOKUP(Table6[[#This Row],[SKU]],'All Skus'!$A:$AC,2,FALSE))="JBL",(VLOOKUP(Table6[[#This Row],[SKU]],'All Skus'!$A:$AC,7,FALSE)),""))</f>
        <v>0</v>
      </c>
      <c r="G201" t="str">
        <f>(IF((VLOOKUP(Table6[[#This Row],[SKU]],'All Skus'!$A:$AC,2,FALSE))="JBL",(VLOOKUP(Table6[[#This Row],[SKU]],'All Skus'!$A:$AC,8,FALSE)),""))</f>
        <v>CONTROL 50CS/T SUBWOOFER (1pc per ctn)</v>
      </c>
      <c r="H201" s="8" t="str">
        <f>(IF((VLOOKUP(Table6[[#This Row],[SKU]],'All Skus'!$A:$AC,2,FALSE))="JBL",(VLOOKUP(Table6[[#This Row],[SKU]],'All Skus'!$A:$AC,9,FALSE)),""))</f>
        <v>Compact surfact-mount subwoofer with built-in crossover. 200 mm (8 in) long-throw woofer, 100W cont pink noise (400W peak), selectable 70V/100V or low-impedance, drives 2 or 4 satellite speakers (C42C, C52 or C62P), wall-mount bracket included, black (priced as each;.</v>
      </c>
      <c r="I201" s="101">
        <f>(IF((VLOOKUP(Table6[[#This Row],[SKU]],'All Skus'!$A:$AC,2,FALSE))="JBL",(VLOOKUP(Table6[[#This Row],[SKU]],'All Skus'!$A:$AC,10,FALSE)),""))</f>
        <v>486.51</v>
      </c>
      <c r="J201" s="101">
        <f>(IF((VLOOKUP(Table6[[#This Row],[SKU]],'All Skus'!$A:$AC,2,FALSE))="JBL",(VLOOKUP(Table6[[#This Row],[SKU]],'All Skus'!$A:$AC,11,FALSE)),""))</f>
        <v>391</v>
      </c>
      <c r="K201" s="102">
        <f>(IF((VLOOKUP(Table6[[#This Row],[SKU]],'All Skus'!$A:$AC,2,FALSE))="JBL",(VLOOKUP(Table6[[#This Row],[SKU]],'All Skus'!$A:$AC,13,FALSE)),""))</f>
        <v>269.23019000000005</v>
      </c>
      <c r="L201" s="102">
        <f>(IF((VLOOKUP(Table6[[#This Row],[SKU]],'All Skus'!$A:$AC,2,FALSE))="JBL",(VLOOKUP(Table6[[#This Row],[SKU]],'All Skus'!$A:$AC,14,FALSE)),""))</f>
        <v>255.06018000000003</v>
      </c>
      <c r="M201" s="143">
        <f>(IF((VLOOKUP(Table6[[#This Row],[SKU]],'All Skus'!$A:$AC,2,FALSE))="JBL",(VLOOKUP(Table6[[#This Row],[SKU]],'All Skus'!$A:$AC,15,FALSE)),""))</f>
        <v>1</v>
      </c>
      <c r="N201" s="137">
        <f>(IF((VLOOKUP(Table6[[#This Row],[SKU]],'All Skus'!$A:$AC,2,FALSE))="JBL",(VLOOKUP(Table6[[#This Row],[SKU]],'All Skus'!$A:$AC,16,FALSE)),""))</f>
        <v>50036905206</v>
      </c>
      <c r="O201" s="61">
        <f>(IF((VLOOKUP(Table6[[#This Row],[SKU]],'All Skus'!$A:$AC,2,FALSE))="JBL",(VLOOKUP(Table6[[#This Row],[SKU]],'All Skus'!$A:$AC,17,FALSE)),""))</f>
        <v>0</v>
      </c>
      <c r="P201" s="136">
        <f>(IF((VLOOKUP(Table6[[#This Row],[SKU]],'All Skus'!$A:$AC,2,FALSE))="JBL",(VLOOKUP(Table6[[#This Row],[SKU]],'All Skus'!$A:$AC,18,FALSE)),""))</f>
        <v>25</v>
      </c>
      <c r="Q201" s="136">
        <f>(IF((VLOOKUP(Table6[[#This Row],[SKU]],'All Skus'!$A:$AC,2,FALSE))="JBL",(VLOOKUP(Table6[[#This Row],[SKU]],'All Skus'!$A:$AC,19,FALSE)),""))</f>
        <v>18</v>
      </c>
      <c r="R201" s="136">
        <f>(IF((VLOOKUP(Table6[[#This Row],[SKU]],'All Skus'!$A:$AC,2,FALSE))="JBL",(VLOOKUP(Table6[[#This Row],[SKU]],'All Skus'!$A:$AC,20,FALSE)),""))</f>
        <v>11</v>
      </c>
      <c r="S201" s="61">
        <f>(IF((VLOOKUP(Table6[[#This Row],[SKU]],'All Skus'!$A:$AC,2,FALSE))="JBL",(VLOOKUP(Table6[[#This Row],[SKU]],'All Skus'!$A:$AC,21,FALSE)),""))</f>
        <v>18</v>
      </c>
      <c r="T201" s="61" t="str">
        <f>(IF((VLOOKUP(Table6[[#This Row],[SKU]],'All Skus'!$A:$AC,2,FALSE))="JBL",(VLOOKUP(Table6[[#This Row],[SKU]],'All Skus'!$A:$AC,22,FALSE)),""))</f>
        <v>CN</v>
      </c>
      <c r="U201" t="str">
        <f>(IF((VLOOKUP(Table6[[#This Row],[SKU]],'All Skus'!$A:$AC,2,FALSE))="JBL",(VLOOKUP(Table6[[#This Row],[SKU]],'All Skus'!$A:$AC,23,FALSE)),""))</f>
        <v>Non Compliant</v>
      </c>
      <c r="V201" s="284" t="str">
        <f>HYPERLINK((IF((VLOOKUP(Table6[[#This Row],[SKU]],'All Skus'!$A:$AC,2,FALSE))="JBL",(VLOOKUP(Table6[[#This Row],[SKU]],'All Skus'!$A:$AC,24,FALSE)),"")))</f>
        <v xml:space="preserve">http://www.jblpro.com/www/products/installed-sound/control-50-series/control-50s-t </v>
      </c>
      <c r="W201" s="151">
        <v>199</v>
      </c>
    </row>
    <row r="202" spans="1:23" ht="15" hidden="1" customHeight="1">
      <c r="A202" s="13" t="s">
        <v>1208</v>
      </c>
      <c r="B202" s="12" t="str">
        <f>(IF((VLOOKUP(Table6[[#This Row],[SKU]],'All Skus'!$A:$AC,2,FALSE))="JBL",(VLOOKUP(Table6[[#This Row],[SKU]],'All Skus'!$A:$AC,3,FALSE)),""))</f>
        <v>Surface-Mount Speaker</v>
      </c>
      <c r="C202" s="12" t="str">
        <f>(IF((VLOOKUP(Table6[[#This Row],[SKU]],'All Skus'!$A:$AC,2,FALSE))="JBL",(VLOOKUP(Table6[[#This Row],[SKU]],'All Skus'!$A:$AC,4,FALSE)),""))</f>
        <v>CONTROL 50S/T-WH</v>
      </c>
      <c r="D202" s="61" t="str">
        <f>(IF((VLOOKUP(Table6[[#This Row],[SKU]],'All Skus'!$A:$AC,2,FALSE))="JBL",(VLOOKUP(Table6[[#This Row],[SKU]],'All Skus'!$A:$AC,5,FALSE)),""))</f>
        <v>JBL018</v>
      </c>
      <c r="E202" s="137">
        <f>(IF((VLOOKUP(Table6[[#This Row],[SKU]],'All Skus'!$A:$AC,2,FALSE))="JBL",(VLOOKUP(Table6[[#This Row],[SKU]],'All Skus'!$A:$AC,6,FALSE)),""))</f>
        <v>0</v>
      </c>
      <c r="F202" s="61">
        <f>(IF((VLOOKUP(Table6[[#This Row],[SKU]],'All Skus'!$A:$AC,2,FALSE))="JBL",(VLOOKUP(Table6[[#This Row],[SKU]],'All Skus'!$A:$AC,7,FALSE)),""))</f>
        <v>0</v>
      </c>
      <c r="G202" t="str">
        <f>(IF((VLOOKUP(Table6[[#This Row],[SKU]],'All Skus'!$A:$AC,2,FALSE))="JBL",(VLOOKUP(Table6[[#This Row],[SKU]],'All Skus'!$A:$AC,8,FALSE)),""))</f>
        <v>CONTROL 50CS/T SUBWOOFER WHITE</v>
      </c>
      <c r="H202" s="8" t="str">
        <f>(IF((VLOOKUP(Table6[[#This Row],[SKU]],'All Skus'!$A:$AC,2,FALSE))="JBL",(VLOOKUP(Table6[[#This Row],[SKU]],'All Skus'!$A:$AC,9,FALSE)),""))</f>
        <v>Compact surfact-mount subwoofer with built-in crossover. 200 mm (8 in) long-throw woofer, 100W cont pink noise (400W peak), selectable 70V/100V or low-impedance, drives 2 or 4 satellite speakers (C42C, C52 or C62P), wall-mount bracket included, black (priced as each;.</v>
      </c>
      <c r="I202" s="101">
        <f>(IF((VLOOKUP(Table6[[#This Row],[SKU]],'All Skus'!$A:$AC,2,FALSE))="JBL",(VLOOKUP(Table6[[#This Row],[SKU]],'All Skus'!$A:$AC,10,FALSE)),""))</f>
        <v>486.51</v>
      </c>
      <c r="J202" s="101">
        <f>(IF((VLOOKUP(Table6[[#This Row],[SKU]],'All Skus'!$A:$AC,2,FALSE))="JBL",(VLOOKUP(Table6[[#This Row],[SKU]],'All Skus'!$A:$AC,11,FALSE)),""))</f>
        <v>391</v>
      </c>
      <c r="K202" s="102">
        <f>(IF((VLOOKUP(Table6[[#This Row],[SKU]],'All Skus'!$A:$AC,2,FALSE))="JBL",(VLOOKUP(Table6[[#This Row],[SKU]],'All Skus'!$A:$AC,13,FALSE)),""))</f>
        <v>269.23019000000005</v>
      </c>
      <c r="L202" s="102">
        <f>(IF((VLOOKUP(Table6[[#This Row],[SKU]],'All Skus'!$A:$AC,2,FALSE))="JBL",(VLOOKUP(Table6[[#This Row],[SKU]],'All Skus'!$A:$AC,14,FALSE)),""))</f>
        <v>255.06018000000003</v>
      </c>
      <c r="M202" s="143">
        <f>(IF((VLOOKUP(Table6[[#This Row],[SKU]],'All Skus'!$A:$AC,2,FALSE))="JBL",(VLOOKUP(Table6[[#This Row],[SKU]],'All Skus'!$A:$AC,15,FALSE)),""))</f>
        <v>1</v>
      </c>
      <c r="N202" s="137">
        <f>(IF((VLOOKUP(Table6[[#This Row],[SKU]],'All Skus'!$A:$AC,2,FALSE))="JBL",(VLOOKUP(Table6[[#This Row],[SKU]],'All Skus'!$A:$AC,16,FALSE)),""))</f>
        <v>50036905244</v>
      </c>
      <c r="O202" s="61">
        <f>(IF((VLOOKUP(Table6[[#This Row],[SKU]],'All Skus'!$A:$AC,2,FALSE))="JBL",(VLOOKUP(Table6[[#This Row],[SKU]],'All Skus'!$A:$AC,17,FALSE)),""))</f>
        <v>0</v>
      </c>
      <c r="P202" s="136">
        <f>(IF((VLOOKUP(Table6[[#This Row],[SKU]],'All Skus'!$A:$AC,2,FALSE))="JBL",(VLOOKUP(Table6[[#This Row],[SKU]],'All Skus'!$A:$AC,18,FALSE)),""))</f>
        <v>25</v>
      </c>
      <c r="Q202" s="136">
        <f>(IF((VLOOKUP(Table6[[#This Row],[SKU]],'All Skus'!$A:$AC,2,FALSE))="JBL",(VLOOKUP(Table6[[#This Row],[SKU]],'All Skus'!$A:$AC,19,FALSE)),""))</f>
        <v>11</v>
      </c>
      <c r="R202" s="136">
        <f>(IF((VLOOKUP(Table6[[#This Row],[SKU]],'All Skus'!$A:$AC,2,FALSE))="JBL",(VLOOKUP(Table6[[#This Row],[SKU]],'All Skus'!$A:$AC,20,FALSE)),""))</f>
        <v>18</v>
      </c>
      <c r="S202" s="61">
        <f>(IF((VLOOKUP(Table6[[#This Row],[SKU]],'All Skus'!$A:$AC,2,FALSE))="JBL",(VLOOKUP(Table6[[#This Row],[SKU]],'All Skus'!$A:$AC,21,FALSE)),""))</f>
        <v>17</v>
      </c>
      <c r="T202" s="61" t="str">
        <f>(IF((VLOOKUP(Table6[[#This Row],[SKU]],'All Skus'!$A:$AC,2,FALSE))="JBL",(VLOOKUP(Table6[[#This Row],[SKU]],'All Skus'!$A:$AC,22,FALSE)),""))</f>
        <v>CN</v>
      </c>
      <c r="U202" t="str">
        <f>(IF((VLOOKUP(Table6[[#This Row],[SKU]],'All Skus'!$A:$AC,2,FALSE))="JBL",(VLOOKUP(Table6[[#This Row],[SKU]],'All Skus'!$A:$AC,23,FALSE)),""))</f>
        <v>Non Compliant</v>
      </c>
      <c r="V202" s="284" t="str">
        <f>HYPERLINK((IF((VLOOKUP(Table6[[#This Row],[SKU]],'All Skus'!$A:$AC,2,FALSE))="JBL",(VLOOKUP(Table6[[#This Row],[SKU]],'All Skus'!$A:$AC,24,FALSE)),"")))</f>
        <v xml:space="preserve">http://www.jblpro.com/www/products/installed-sound/control-50-series/control-50s-t </v>
      </c>
      <c r="W202" s="151">
        <v>200</v>
      </c>
    </row>
    <row r="203" spans="1:23" ht="15" hidden="1" customHeight="1">
      <c r="A203" s="13" t="s">
        <v>1209</v>
      </c>
      <c r="B203" s="12" t="str">
        <f>(IF((VLOOKUP(Table6[[#This Row],[SKU]],'All Skus'!$A:$AC,2,FALSE))="JBL",(VLOOKUP(Table6[[#This Row],[SKU]],'All Skus'!$A:$AC,3,FALSE)),""))</f>
        <v>Surface-Mount Speaker</v>
      </c>
      <c r="C203" s="12" t="str">
        <f>(IF((VLOOKUP(Table6[[#This Row],[SKU]],'All Skus'!$A:$AC,2,FALSE))="JBL",(VLOOKUP(Table6[[#This Row],[SKU]],'All Skus'!$A:$AC,4,FALSE)),""))</f>
        <v>CONTROL 52</v>
      </c>
      <c r="D203" s="61" t="str">
        <f>(IF((VLOOKUP(Table6[[#This Row],[SKU]],'All Skus'!$A:$AC,2,FALSE))="JBL",(VLOOKUP(Table6[[#This Row],[SKU]],'All Skus'!$A:$AC,5,FALSE)),""))</f>
        <v>JBL018</v>
      </c>
      <c r="E203" s="137">
        <f>(IF((VLOOKUP(Table6[[#This Row],[SKU]],'All Skus'!$A:$AC,2,FALSE))="JBL",(VLOOKUP(Table6[[#This Row],[SKU]],'All Skus'!$A:$AC,6,FALSE)),""))</f>
        <v>0</v>
      </c>
      <c r="F203" s="61">
        <f>(IF((VLOOKUP(Table6[[#This Row],[SKU]],'All Skus'!$A:$AC,2,FALSE))="JBL",(VLOOKUP(Table6[[#This Row],[SKU]],'All Skus'!$A:$AC,7,FALSE)),""))</f>
        <v>0</v>
      </c>
      <c r="G203" t="str">
        <f>(IF((VLOOKUP(Table6[[#This Row],[SKU]],'All Skus'!$A:$AC,2,FALSE))="JBL",(VLOOKUP(Table6[[#This Row],[SKU]],'All Skus'!$A:$AC,8,FALSE)),""))</f>
        <v>CONTROL 52C SATELLITE</v>
      </c>
      <c r="H203" s="8" t="str">
        <f>(IF((VLOOKUP(Table6[[#This Row],[SKU]],'All Skus'!$A:$AC,2,FALSE))="JBL",(VLOOKUP(Table6[[#This Row],[SKU]],'All Skus'!$A:$AC,9,FALSE)),""))</f>
        <v>Satellite Speaker, 60 mm (2.5 in) low-distortion driver, for use with C50S/T or C50CS/T subwoofer or requires external high-pass, 16 ohms, wall-mount bracket included (priced as each, sold in pairs), black.</v>
      </c>
      <c r="I203" s="101">
        <f>(IF((VLOOKUP(Table6[[#This Row],[SKU]],'All Skus'!$A:$AC,2,FALSE))="JBL",(VLOOKUP(Table6[[#This Row],[SKU]],'All Skus'!$A:$AC,10,FALSE)),""))</f>
        <v>86.92</v>
      </c>
      <c r="J203" s="101">
        <f>(IF((VLOOKUP(Table6[[#This Row],[SKU]],'All Skus'!$A:$AC,2,FALSE))="JBL",(VLOOKUP(Table6[[#This Row],[SKU]],'All Skus'!$A:$AC,11,FALSE)),""))</f>
        <v>72</v>
      </c>
      <c r="K203" s="102">
        <f>(IF((VLOOKUP(Table6[[#This Row],[SKU]],'All Skus'!$A:$AC,2,FALSE))="JBL",(VLOOKUP(Table6[[#This Row],[SKU]],'All Skus'!$A:$AC,13,FALSE)),""))</f>
        <v>48.10078</v>
      </c>
      <c r="L203" s="102">
        <f>(IF((VLOOKUP(Table6[[#This Row],[SKU]],'All Skus'!$A:$AC,2,FALSE))="JBL",(VLOOKUP(Table6[[#This Row],[SKU]],'All Skus'!$A:$AC,14,FALSE)),""))</f>
        <v>45.569160000000004</v>
      </c>
      <c r="M203" s="143">
        <f>(IF((VLOOKUP(Table6[[#This Row],[SKU]],'All Skus'!$A:$AC,2,FALSE))="JBL",(VLOOKUP(Table6[[#This Row],[SKU]],'All Skus'!$A:$AC,15,FALSE)),""))</f>
        <v>2</v>
      </c>
      <c r="N203" s="137">
        <f>(IF((VLOOKUP(Table6[[#This Row],[SKU]],'All Skus'!$A:$AC,2,FALSE))="JBL",(VLOOKUP(Table6[[#This Row],[SKU]],'All Skus'!$A:$AC,16,FALSE)),""))</f>
        <v>50036905190</v>
      </c>
      <c r="O203" s="61">
        <f>(IF((VLOOKUP(Table6[[#This Row],[SKU]],'All Skus'!$A:$AC,2,FALSE))="JBL",(VLOOKUP(Table6[[#This Row],[SKU]],'All Skus'!$A:$AC,17,FALSE)),""))</f>
        <v>0</v>
      </c>
      <c r="P203" s="136">
        <f>(IF((VLOOKUP(Table6[[#This Row],[SKU]],'All Skus'!$A:$AC,2,FALSE))="JBL",(VLOOKUP(Table6[[#This Row],[SKU]],'All Skus'!$A:$AC,18,FALSE)),""))</f>
        <v>3.7</v>
      </c>
      <c r="Q203" s="136">
        <f>(IF((VLOOKUP(Table6[[#This Row],[SKU]],'All Skus'!$A:$AC,2,FALSE))="JBL",(VLOOKUP(Table6[[#This Row],[SKU]],'All Skus'!$A:$AC,19,FALSE)),""))</f>
        <v>2</v>
      </c>
      <c r="R203" s="136">
        <f>(IF((VLOOKUP(Table6[[#This Row],[SKU]],'All Skus'!$A:$AC,2,FALSE))="JBL",(VLOOKUP(Table6[[#This Row],[SKU]],'All Skus'!$A:$AC,20,FALSE)),""))</f>
        <v>5</v>
      </c>
      <c r="S203" s="61">
        <f>(IF((VLOOKUP(Table6[[#This Row],[SKU]],'All Skus'!$A:$AC,2,FALSE))="JBL",(VLOOKUP(Table6[[#This Row],[SKU]],'All Skus'!$A:$AC,21,FALSE)),""))</f>
        <v>3</v>
      </c>
      <c r="T203" s="61" t="str">
        <f>(IF((VLOOKUP(Table6[[#This Row],[SKU]],'All Skus'!$A:$AC,2,FALSE))="JBL",(VLOOKUP(Table6[[#This Row],[SKU]],'All Skus'!$A:$AC,22,FALSE)),""))</f>
        <v>CN</v>
      </c>
      <c r="U203" t="str">
        <f>(IF((VLOOKUP(Table6[[#This Row],[SKU]],'All Skus'!$A:$AC,2,FALSE))="JBL",(VLOOKUP(Table6[[#This Row],[SKU]],'All Skus'!$A:$AC,23,FALSE)),""))</f>
        <v>Non Compliant</v>
      </c>
      <c r="V203" s="284" t="str">
        <f>HYPERLINK((IF((VLOOKUP(Table6[[#This Row],[SKU]],'All Skus'!$A:$AC,2,FALSE))="JBL",(VLOOKUP(Table6[[#This Row],[SKU]],'All Skus'!$A:$AC,24,FALSE)),"")))</f>
        <v xml:space="preserve">http://www.jblpro.com/www/products/installed-sound/control-50-series/control-52 </v>
      </c>
      <c r="W203" s="151">
        <v>201</v>
      </c>
    </row>
    <row r="204" spans="1:23" ht="15" hidden="1" customHeight="1">
      <c r="A204" s="13" t="s">
        <v>1210</v>
      </c>
      <c r="B204" s="12" t="str">
        <f>(IF((VLOOKUP(Table6[[#This Row],[SKU]],'All Skus'!$A:$AC,2,FALSE))="JBL",(VLOOKUP(Table6[[#This Row],[SKU]],'All Skus'!$A:$AC,3,FALSE)),""))</f>
        <v>Surface-Mount Speaker</v>
      </c>
      <c r="C204" s="12" t="str">
        <f>(IF((VLOOKUP(Table6[[#This Row],[SKU]],'All Skus'!$A:$AC,2,FALSE))="JBL",(VLOOKUP(Table6[[#This Row],[SKU]],'All Skus'!$A:$AC,4,FALSE)),""))</f>
        <v>CONTROL 52-WH</v>
      </c>
      <c r="D204" s="61" t="str">
        <f>(IF((VLOOKUP(Table6[[#This Row],[SKU]],'All Skus'!$A:$AC,2,FALSE))="JBL",(VLOOKUP(Table6[[#This Row],[SKU]],'All Skus'!$A:$AC,5,FALSE)),""))</f>
        <v>JBL018</v>
      </c>
      <c r="E204" s="137">
        <f>(IF((VLOOKUP(Table6[[#This Row],[SKU]],'All Skus'!$A:$AC,2,FALSE))="JBL",(VLOOKUP(Table6[[#This Row],[SKU]],'All Skus'!$A:$AC,6,FALSE)),""))</f>
        <v>0</v>
      </c>
      <c r="F204" s="61">
        <f>(IF((VLOOKUP(Table6[[#This Row],[SKU]],'All Skus'!$A:$AC,2,FALSE))="JBL",(VLOOKUP(Table6[[#This Row],[SKU]],'All Skus'!$A:$AC,7,FALSE)),""))</f>
        <v>0</v>
      </c>
      <c r="G204" t="str">
        <f>(IF((VLOOKUP(Table6[[#This Row],[SKU]],'All Skus'!$A:$AC,2,FALSE))="JBL",(VLOOKUP(Table6[[#This Row],[SKU]],'All Skus'!$A:$AC,8,FALSE)),""))</f>
        <v>CONTROL 52C SATELLITE</v>
      </c>
      <c r="H204" s="8" t="str">
        <f>(IF((VLOOKUP(Table6[[#This Row],[SKU]],'All Skus'!$A:$AC,2,FALSE))="JBL",(VLOOKUP(Table6[[#This Row],[SKU]],'All Skus'!$A:$AC,9,FALSE)),""))</f>
        <v>Satellite Speaker, 60 mm (2.5 in) low-distortion driver, for use with C50S/T or C50CS/T subwoofer or requires external high-pass, 16 ohms, wall-mount bracket included (priced as each, sold in pairs), white.</v>
      </c>
      <c r="I204" s="101">
        <f>(IF((VLOOKUP(Table6[[#This Row],[SKU]],'All Skus'!$A:$AC,2,FALSE))="JBL",(VLOOKUP(Table6[[#This Row],[SKU]],'All Skus'!$A:$AC,10,FALSE)),""))</f>
        <v>86.92</v>
      </c>
      <c r="J204" s="101">
        <f>(IF((VLOOKUP(Table6[[#This Row],[SKU]],'All Skus'!$A:$AC,2,FALSE))="JBL",(VLOOKUP(Table6[[#This Row],[SKU]],'All Skus'!$A:$AC,11,FALSE)),""))</f>
        <v>67</v>
      </c>
      <c r="K204" s="102">
        <f>(IF((VLOOKUP(Table6[[#This Row],[SKU]],'All Skus'!$A:$AC,2,FALSE))="JBL",(VLOOKUP(Table6[[#This Row],[SKU]],'All Skus'!$A:$AC,13,FALSE)),""))</f>
        <v>48.10078</v>
      </c>
      <c r="L204" s="102">
        <f>(IF((VLOOKUP(Table6[[#This Row],[SKU]],'All Skus'!$A:$AC,2,FALSE))="JBL",(VLOOKUP(Table6[[#This Row],[SKU]],'All Skus'!$A:$AC,14,FALSE)),""))</f>
        <v>45.569160000000004</v>
      </c>
      <c r="M204" s="143">
        <f>(IF((VLOOKUP(Table6[[#This Row],[SKU]],'All Skus'!$A:$AC,2,FALSE))="JBL",(VLOOKUP(Table6[[#This Row],[SKU]],'All Skus'!$A:$AC,15,FALSE)),""))</f>
        <v>2</v>
      </c>
      <c r="N204" s="137">
        <f>(IF((VLOOKUP(Table6[[#This Row],[SKU]],'All Skus'!$A:$AC,2,FALSE))="JBL",(VLOOKUP(Table6[[#This Row],[SKU]],'All Skus'!$A:$AC,16,FALSE)),""))</f>
        <v>50036905091</v>
      </c>
      <c r="O204" s="61">
        <f>(IF((VLOOKUP(Table6[[#This Row],[SKU]],'All Skus'!$A:$AC,2,FALSE))="JBL",(VLOOKUP(Table6[[#This Row],[SKU]],'All Skus'!$A:$AC,17,FALSE)),""))</f>
        <v>0</v>
      </c>
      <c r="P204" s="136">
        <f>(IF((VLOOKUP(Table6[[#This Row],[SKU]],'All Skus'!$A:$AC,2,FALSE))="JBL",(VLOOKUP(Table6[[#This Row],[SKU]],'All Skus'!$A:$AC,18,FALSE)),""))</f>
        <v>3.7</v>
      </c>
      <c r="Q204" s="136">
        <f>(IF((VLOOKUP(Table6[[#This Row],[SKU]],'All Skus'!$A:$AC,2,FALSE))="JBL",(VLOOKUP(Table6[[#This Row],[SKU]],'All Skus'!$A:$AC,19,FALSE)),""))</f>
        <v>2</v>
      </c>
      <c r="R204" s="136">
        <f>(IF((VLOOKUP(Table6[[#This Row],[SKU]],'All Skus'!$A:$AC,2,FALSE))="JBL",(VLOOKUP(Table6[[#This Row],[SKU]],'All Skus'!$A:$AC,20,FALSE)),""))</f>
        <v>5</v>
      </c>
      <c r="S204" s="61">
        <f>(IF((VLOOKUP(Table6[[#This Row],[SKU]],'All Skus'!$A:$AC,2,FALSE))="JBL",(VLOOKUP(Table6[[#This Row],[SKU]],'All Skus'!$A:$AC,21,FALSE)),""))</f>
        <v>3</v>
      </c>
      <c r="T204" s="61" t="str">
        <f>(IF((VLOOKUP(Table6[[#This Row],[SKU]],'All Skus'!$A:$AC,2,FALSE))="JBL",(VLOOKUP(Table6[[#This Row],[SKU]],'All Skus'!$A:$AC,22,FALSE)),""))</f>
        <v>CN</v>
      </c>
      <c r="U204" t="str">
        <f>(IF((VLOOKUP(Table6[[#This Row],[SKU]],'All Skus'!$A:$AC,2,FALSE))="JBL",(VLOOKUP(Table6[[#This Row],[SKU]],'All Skus'!$A:$AC,23,FALSE)),""))</f>
        <v>Non Compliant</v>
      </c>
      <c r="V204" s="284" t="str">
        <f>HYPERLINK((IF((VLOOKUP(Table6[[#This Row],[SKU]],'All Skus'!$A:$AC,2,FALSE))="JBL",(VLOOKUP(Table6[[#This Row],[SKU]],'All Skus'!$A:$AC,24,FALSE)),"")))</f>
        <v xml:space="preserve">http://www.jblpro.com/www/products/installed-sound/control-50-series/control-52 </v>
      </c>
      <c r="W204" s="151">
        <v>202</v>
      </c>
    </row>
    <row r="205" spans="1:23" ht="15" hidden="1" customHeight="1">
      <c r="A205" s="13" t="s">
        <v>1211</v>
      </c>
      <c r="B205" s="12" t="str">
        <f>(IF((VLOOKUP(Table6[[#This Row],[SKU]],'All Skus'!$A:$AC,2,FALSE))="JBL",(VLOOKUP(Table6[[#This Row],[SKU]],'All Skus'!$A:$AC,3,FALSE)),""))</f>
        <v>Surface-Mount Speaker</v>
      </c>
      <c r="C205" s="12" t="str">
        <f>(IF((VLOOKUP(Table6[[#This Row],[SKU]],'All Skus'!$A:$AC,2,FALSE))="JBL",(VLOOKUP(Table6[[#This Row],[SKU]],'All Skus'!$A:$AC,4,FALSE)),""))</f>
        <v>C50PACK</v>
      </c>
      <c r="D205" s="61" t="str">
        <f>(IF((VLOOKUP(Table6[[#This Row],[SKU]],'All Skus'!$A:$AC,2,FALSE))="JBL",(VLOOKUP(Table6[[#This Row],[SKU]],'All Skus'!$A:$AC,5,FALSE)),""))</f>
        <v>JBL018</v>
      </c>
      <c r="E205" s="137">
        <f>(IF((VLOOKUP(Table6[[#This Row],[SKU]],'All Skus'!$A:$AC,2,FALSE))="JBL",(VLOOKUP(Table6[[#This Row],[SKU]],'All Skus'!$A:$AC,6,FALSE)),""))</f>
        <v>0</v>
      </c>
      <c r="F205" s="61">
        <f>(IF((VLOOKUP(Table6[[#This Row],[SKU]],'All Skus'!$A:$AC,2,FALSE))="JBL",(VLOOKUP(Table6[[#This Row],[SKU]],'All Skus'!$A:$AC,7,FALSE)),""))</f>
        <v>0</v>
      </c>
      <c r="G205" t="str">
        <f>(IF((VLOOKUP(Table6[[#This Row],[SKU]],'All Skus'!$A:$AC,2,FALSE))="JBL",(VLOOKUP(Table6[[#This Row],[SKU]],'All Skus'!$A:$AC,8,FALSE)),""))</f>
        <v>CONTROL 50 PK (1subwoofer + 4 Satellite)</v>
      </c>
      <c r="H205" s="8" t="str">
        <f>(IF((VLOOKUP(Table6[[#This Row],[SKU]],'All Skus'!$A:$AC,2,FALSE))="JBL",(VLOOKUP(Table6[[#This Row],[SKU]],'All Skus'!$A:$AC,9,FALSE)),""))</f>
        <v>Subwoofer-Satellite System with 4 Satellite Speakers.  Includes 1 pc Control 50S/T and 4 pcs Control 52, 30 – 20 kHz response, 100W, selectable 70V/100V or 4 ohms, wall-mount brackets included, black. (each pack contains 1 subwoofer + 4 satellites)</v>
      </c>
      <c r="I205" s="101">
        <f>(IF((VLOOKUP(Table6[[#This Row],[SKU]],'All Skus'!$A:$AC,2,FALSE))="JBL",(VLOOKUP(Table6[[#This Row],[SKU]],'All Skus'!$A:$AC,10,FALSE)),""))</f>
        <v>791.38</v>
      </c>
      <c r="J205" s="101">
        <f>(IF((VLOOKUP(Table6[[#This Row],[SKU]],'All Skus'!$A:$AC,2,FALSE))="JBL",(VLOOKUP(Table6[[#This Row],[SKU]],'All Skus'!$A:$AC,11,FALSE)),""))</f>
        <v>634</v>
      </c>
      <c r="K205" s="102">
        <f>(IF((VLOOKUP(Table6[[#This Row],[SKU]],'All Skus'!$A:$AC,2,FALSE))="JBL",(VLOOKUP(Table6[[#This Row],[SKU]],'All Skus'!$A:$AC,13,FALSE)),""))</f>
        <v>437.94885999999997</v>
      </c>
      <c r="L205" s="102">
        <f>(IF((VLOOKUP(Table6[[#This Row],[SKU]],'All Skus'!$A:$AC,2,FALSE))="JBL",(VLOOKUP(Table6[[#This Row],[SKU]],'All Skus'!$A:$AC,14,FALSE)),""))</f>
        <v>414.89892000000003</v>
      </c>
      <c r="M205" s="143">
        <f>(IF((VLOOKUP(Table6[[#This Row],[SKU]],'All Skus'!$A:$AC,2,FALSE))="JBL",(VLOOKUP(Table6[[#This Row],[SKU]],'All Skus'!$A:$AC,15,FALSE)),""))</f>
        <v>0</v>
      </c>
      <c r="N205" s="137">
        <f>(IF((VLOOKUP(Table6[[#This Row],[SKU]],'All Skus'!$A:$AC,2,FALSE))="JBL",(VLOOKUP(Table6[[#This Row],[SKU]],'All Skus'!$A:$AC,16,FALSE)),""))</f>
        <v>50036905213</v>
      </c>
      <c r="O205" s="61">
        <f>(IF((VLOOKUP(Table6[[#This Row],[SKU]],'All Skus'!$A:$AC,2,FALSE))="JBL",(VLOOKUP(Table6[[#This Row],[SKU]],'All Skus'!$A:$AC,17,FALSE)),""))</f>
        <v>0</v>
      </c>
      <c r="P205" s="136">
        <f>(IF((VLOOKUP(Table6[[#This Row],[SKU]],'All Skus'!$A:$AC,2,FALSE))="JBL",(VLOOKUP(Table6[[#This Row],[SKU]],'All Skus'!$A:$AC,18,FALSE)),""))</f>
        <v>32.450000000000003</v>
      </c>
      <c r="Q205" s="136">
        <f>(IF((VLOOKUP(Table6[[#This Row],[SKU]],'All Skus'!$A:$AC,2,FALSE))="JBL",(VLOOKUP(Table6[[#This Row],[SKU]],'All Skus'!$A:$AC,19,FALSE)),""))</f>
        <v>19</v>
      </c>
      <c r="R205" s="136">
        <f>(IF((VLOOKUP(Table6[[#This Row],[SKU]],'All Skus'!$A:$AC,2,FALSE))="JBL",(VLOOKUP(Table6[[#This Row],[SKU]],'All Skus'!$A:$AC,20,FALSE)),""))</f>
        <v>21</v>
      </c>
      <c r="S205" s="61">
        <f>(IF((VLOOKUP(Table6[[#This Row],[SKU]],'All Skus'!$A:$AC,2,FALSE))="JBL",(VLOOKUP(Table6[[#This Row],[SKU]],'All Skus'!$A:$AC,21,FALSE)),""))</f>
        <v>11</v>
      </c>
      <c r="T205" s="61" t="str">
        <f>(IF((VLOOKUP(Table6[[#This Row],[SKU]],'All Skus'!$A:$AC,2,FALSE))="JBL",(VLOOKUP(Table6[[#This Row],[SKU]],'All Skus'!$A:$AC,22,FALSE)),""))</f>
        <v>CN</v>
      </c>
      <c r="U205" t="str">
        <f>(IF((VLOOKUP(Table6[[#This Row],[SKU]],'All Skus'!$A:$AC,2,FALSE))="JBL",(VLOOKUP(Table6[[#This Row],[SKU]],'All Skus'!$A:$AC,23,FALSE)),""))</f>
        <v>Non Compliant</v>
      </c>
      <c r="V205" s="284" t="str">
        <f>HYPERLINK((IF((VLOOKUP(Table6[[#This Row],[SKU]],'All Skus'!$A:$AC,2,FALSE))="JBL",(VLOOKUP(Table6[[#This Row],[SKU]],'All Skus'!$A:$AC,24,FALSE)),"")))</f>
        <v xml:space="preserve">http://www.jblpro.com/www/products/installed-sound/control-50-series/c50pack </v>
      </c>
      <c r="W205" s="151">
        <v>203</v>
      </c>
    </row>
    <row r="206" spans="1:23" ht="15" hidden="1" customHeight="1">
      <c r="A206" s="13" t="s">
        <v>1212</v>
      </c>
      <c r="B206" s="12" t="str">
        <f>(IF((VLOOKUP(Table6[[#This Row],[SKU]],'All Skus'!$A:$AC,2,FALSE))="JBL",(VLOOKUP(Table6[[#This Row],[SKU]],'All Skus'!$A:$AC,3,FALSE)),""))</f>
        <v>Surface-Mount Speaker</v>
      </c>
      <c r="C206" s="12" t="str">
        <f>(IF((VLOOKUP(Table6[[#This Row],[SKU]],'All Skus'!$A:$AC,2,FALSE))="JBL",(VLOOKUP(Table6[[#This Row],[SKU]],'All Skus'!$A:$AC,4,FALSE)),""))</f>
        <v>C50PACK-WH</v>
      </c>
      <c r="D206" s="61" t="str">
        <f>(IF((VLOOKUP(Table6[[#This Row],[SKU]],'All Skus'!$A:$AC,2,FALSE))="JBL",(VLOOKUP(Table6[[#This Row],[SKU]],'All Skus'!$A:$AC,5,FALSE)),""))</f>
        <v>JBL018</v>
      </c>
      <c r="E206" s="137">
        <f>(IF((VLOOKUP(Table6[[#This Row],[SKU]],'All Skus'!$A:$AC,2,FALSE))="JBL",(VLOOKUP(Table6[[#This Row],[SKU]],'All Skus'!$A:$AC,6,FALSE)),""))</f>
        <v>0</v>
      </c>
      <c r="F206" s="61">
        <f>(IF((VLOOKUP(Table6[[#This Row],[SKU]],'All Skus'!$A:$AC,2,FALSE))="JBL",(VLOOKUP(Table6[[#This Row],[SKU]],'All Skus'!$A:$AC,7,FALSE)),""))</f>
        <v>0</v>
      </c>
      <c r="G206" t="str">
        <f>(IF((VLOOKUP(Table6[[#This Row],[SKU]],'All Skus'!$A:$AC,2,FALSE))="JBL",(VLOOKUP(Table6[[#This Row],[SKU]],'All Skus'!$A:$AC,8,FALSE)),""))</f>
        <v>CONTROL 50 PK (1subwoofer + 4 Satellite)</v>
      </c>
      <c r="H206" s="8" t="str">
        <f>(IF((VLOOKUP(Table6[[#This Row],[SKU]],'All Skus'!$A:$AC,2,FALSE))="JBL",(VLOOKUP(Table6[[#This Row],[SKU]],'All Skus'!$A:$AC,9,FALSE)),""))</f>
        <v>Subwoofer-Satellite System with 4 Satellite Speakers.  Includes 1 pc Control 50S/T and 4 pcs Control 52, 30 – 20 kHz response, 100W, selectable 70V/100V or 4 ohms, wall-mount brackets included, black or white. (each pack contains 1 subwoofer + 4 satellites), in white</v>
      </c>
      <c r="I206" s="101">
        <f>(IF((VLOOKUP(Table6[[#This Row],[SKU]],'All Skus'!$A:$AC,2,FALSE))="JBL",(VLOOKUP(Table6[[#This Row],[SKU]],'All Skus'!$A:$AC,10,FALSE)),""))</f>
        <v>791.38</v>
      </c>
      <c r="J206" s="101">
        <f>(IF((VLOOKUP(Table6[[#This Row],[SKU]],'All Skus'!$A:$AC,2,FALSE))="JBL",(VLOOKUP(Table6[[#This Row],[SKU]],'All Skus'!$A:$AC,11,FALSE)),""))</f>
        <v>634</v>
      </c>
      <c r="K206" s="102">
        <f>(IF((VLOOKUP(Table6[[#This Row],[SKU]],'All Skus'!$A:$AC,2,FALSE))="JBL",(VLOOKUP(Table6[[#This Row],[SKU]],'All Skus'!$A:$AC,13,FALSE)),""))</f>
        <v>437.94885999999997</v>
      </c>
      <c r="L206" s="102">
        <f>(IF((VLOOKUP(Table6[[#This Row],[SKU]],'All Skus'!$A:$AC,2,FALSE))="JBL",(VLOOKUP(Table6[[#This Row],[SKU]],'All Skus'!$A:$AC,14,FALSE)),""))</f>
        <v>414.89892000000003</v>
      </c>
      <c r="M206" s="143">
        <f>(IF((VLOOKUP(Table6[[#This Row],[SKU]],'All Skus'!$A:$AC,2,FALSE))="JBL",(VLOOKUP(Table6[[#This Row],[SKU]],'All Skus'!$A:$AC,15,FALSE)),""))</f>
        <v>1</v>
      </c>
      <c r="N206" s="137">
        <f>(IF((VLOOKUP(Table6[[#This Row],[SKU]],'All Skus'!$A:$AC,2,FALSE))="JBL",(VLOOKUP(Table6[[#This Row],[SKU]],'All Skus'!$A:$AC,16,FALSE)),""))</f>
        <v>50036905251</v>
      </c>
      <c r="O206" s="61">
        <f>(IF((VLOOKUP(Table6[[#This Row],[SKU]],'All Skus'!$A:$AC,2,FALSE))="JBL",(VLOOKUP(Table6[[#This Row],[SKU]],'All Skus'!$A:$AC,17,FALSE)),""))</f>
        <v>0</v>
      </c>
      <c r="P206" s="136">
        <f>(IF((VLOOKUP(Table6[[#This Row],[SKU]],'All Skus'!$A:$AC,2,FALSE))="JBL",(VLOOKUP(Table6[[#This Row],[SKU]],'All Skus'!$A:$AC,18,FALSE)),""))</f>
        <v>32.700000000000003</v>
      </c>
      <c r="Q206" s="136">
        <f>(IF((VLOOKUP(Table6[[#This Row],[SKU]],'All Skus'!$A:$AC,2,FALSE))="JBL",(VLOOKUP(Table6[[#This Row],[SKU]],'All Skus'!$A:$AC,19,FALSE)),""))</f>
        <v>18</v>
      </c>
      <c r="R206" s="136">
        <f>(IF((VLOOKUP(Table6[[#This Row],[SKU]],'All Skus'!$A:$AC,2,FALSE))="JBL",(VLOOKUP(Table6[[#This Row],[SKU]],'All Skus'!$A:$AC,20,FALSE)),""))</f>
        <v>21</v>
      </c>
      <c r="S206" s="61">
        <f>(IF((VLOOKUP(Table6[[#This Row],[SKU]],'All Skus'!$A:$AC,2,FALSE))="JBL",(VLOOKUP(Table6[[#This Row],[SKU]],'All Skus'!$A:$AC,21,FALSE)),""))</f>
        <v>11</v>
      </c>
      <c r="T206" s="61" t="str">
        <f>(IF((VLOOKUP(Table6[[#This Row],[SKU]],'All Skus'!$A:$AC,2,FALSE))="JBL",(VLOOKUP(Table6[[#This Row],[SKU]],'All Skus'!$A:$AC,22,FALSE)),""))</f>
        <v>CN</v>
      </c>
      <c r="U206" t="str">
        <f>(IF((VLOOKUP(Table6[[#This Row],[SKU]],'All Skus'!$A:$AC,2,FALSE))="JBL",(VLOOKUP(Table6[[#This Row],[SKU]],'All Skus'!$A:$AC,23,FALSE)),""))</f>
        <v>Non Compliant</v>
      </c>
      <c r="V206" s="284" t="str">
        <f>HYPERLINK((IF((VLOOKUP(Table6[[#This Row],[SKU]],'All Skus'!$A:$AC,2,FALSE))="JBL",(VLOOKUP(Table6[[#This Row],[SKU]],'All Skus'!$A:$AC,24,FALSE)),"")))</f>
        <v xml:space="preserve">http://www.jblpro.com/www/products/installed-sound/control-50-series/c50pack </v>
      </c>
      <c r="W206" s="151">
        <v>204</v>
      </c>
    </row>
    <row r="207" spans="1:23" ht="15" hidden="1" customHeight="1">
      <c r="A207" s="104" t="s">
        <v>1213</v>
      </c>
      <c r="B207" s="12">
        <f>(IF((VLOOKUP(Table6[[#This Row],[SKU]],'All Skus'!$A:$AC,2,FALSE))="JBL",(VLOOKUP(Table6[[#This Row],[SKU]],'All Skus'!$A:$AC,3,FALSE)),""))</f>
        <v>0</v>
      </c>
      <c r="C207" s="12">
        <f>(IF((VLOOKUP(Table6[[#This Row],[SKU]],'All Skus'!$A:$AC,2,FALSE))="JBL",(VLOOKUP(Table6[[#This Row],[SKU]],'All Skus'!$A:$AC,4,FALSE)),""))</f>
        <v>0</v>
      </c>
      <c r="D207" s="61">
        <f>(IF((VLOOKUP(Table6[[#This Row],[SKU]],'All Skus'!$A:$AC,2,FALSE))="JBL",(VLOOKUP(Table6[[#This Row],[SKU]],'All Skus'!$A:$AC,5,FALSE)),""))</f>
        <v>0</v>
      </c>
      <c r="E207" s="137">
        <f>(IF((VLOOKUP(Table6[[#This Row],[SKU]],'All Skus'!$A:$AC,2,FALSE))="JBL",(VLOOKUP(Table6[[#This Row],[SKU]],'All Skus'!$A:$AC,6,FALSE)),""))</f>
        <v>0</v>
      </c>
      <c r="F207" s="61">
        <f>(IF((VLOOKUP(Table6[[#This Row],[SKU]],'All Skus'!$A:$AC,2,FALSE))="JBL",(VLOOKUP(Table6[[#This Row],[SKU]],'All Skus'!$A:$AC,7,FALSE)),""))</f>
        <v>0</v>
      </c>
      <c r="G207">
        <f>(IF((VLOOKUP(Table6[[#This Row],[SKU]],'All Skus'!$A:$AC,2,FALSE))="JBL",(VLOOKUP(Table6[[#This Row],[SKU]],'All Skus'!$A:$AC,8,FALSE)),""))</f>
        <v>0</v>
      </c>
      <c r="H207" s="8">
        <f>(IF((VLOOKUP(Table6[[#This Row],[SKU]],'All Skus'!$A:$AC,2,FALSE))="JBL",(VLOOKUP(Table6[[#This Row],[SKU]],'All Skus'!$A:$AC,9,FALSE)),""))</f>
        <v>0</v>
      </c>
      <c r="I207" s="101">
        <f>(IF((VLOOKUP(Table6[[#This Row],[SKU]],'All Skus'!$A:$AC,2,FALSE))="JBL",(VLOOKUP(Table6[[#This Row],[SKU]],'All Skus'!$A:$AC,10,FALSE)),""))</f>
        <v>0</v>
      </c>
      <c r="J207" s="101">
        <f>(IF((VLOOKUP(Table6[[#This Row],[SKU]],'All Skus'!$A:$AC,2,FALSE))="JBL",(VLOOKUP(Table6[[#This Row],[SKU]],'All Skus'!$A:$AC,11,FALSE)),""))</f>
        <v>0</v>
      </c>
      <c r="K207" s="102">
        <f>(IF((VLOOKUP(Table6[[#This Row],[SKU]],'All Skus'!$A:$AC,2,FALSE))="JBL",(VLOOKUP(Table6[[#This Row],[SKU]],'All Skus'!$A:$AC,13,FALSE)),""))</f>
        <v>0</v>
      </c>
      <c r="L207" s="102">
        <f>(IF((VLOOKUP(Table6[[#This Row],[SKU]],'All Skus'!$A:$AC,2,FALSE))="JBL",(VLOOKUP(Table6[[#This Row],[SKU]],'All Skus'!$A:$AC,14,FALSE)),""))</f>
        <v>0</v>
      </c>
      <c r="M207" s="143">
        <f>(IF((VLOOKUP(Table6[[#This Row],[SKU]],'All Skus'!$A:$AC,2,FALSE))="JBL",(VLOOKUP(Table6[[#This Row],[SKU]],'All Skus'!$A:$AC,15,FALSE)),""))</f>
        <v>0</v>
      </c>
      <c r="N207" s="137">
        <f>(IF((VLOOKUP(Table6[[#This Row],[SKU]],'All Skus'!$A:$AC,2,FALSE))="JBL",(VLOOKUP(Table6[[#This Row],[SKU]],'All Skus'!$A:$AC,16,FALSE)),""))</f>
        <v>0</v>
      </c>
      <c r="O207" s="61">
        <f>(IF((VLOOKUP(Table6[[#This Row],[SKU]],'All Skus'!$A:$AC,2,FALSE))="JBL",(VLOOKUP(Table6[[#This Row],[SKU]],'All Skus'!$A:$AC,17,FALSE)),""))</f>
        <v>0</v>
      </c>
      <c r="P207" s="136">
        <f>(IF((VLOOKUP(Table6[[#This Row],[SKU]],'All Skus'!$A:$AC,2,FALSE))="JBL",(VLOOKUP(Table6[[#This Row],[SKU]],'All Skus'!$A:$AC,18,FALSE)),""))</f>
        <v>0</v>
      </c>
      <c r="Q207" s="136">
        <f>(IF((VLOOKUP(Table6[[#This Row],[SKU]],'All Skus'!$A:$AC,2,FALSE))="JBL",(VLOOKUP(Table6[[#This Row],[SKU]],'All Skus'!$A:$AC,19,FALSE)),""))</f>
        <v>0</v>
      </c>
      <c r="R207" s="136">
        <f>(IF((VLOOKUP(Table6[[#This Row],[SKU]],'All Skus'!$A:$AC,2,FALSE))="JBL",(VLOOKUP(Table6[[#This Row],[SKU]],'All Skus'!$A:$AC,20,FALSE)),""))</f>
        <v>0</v>
      </c>
      <c r="S207" s="61">
        <f>(IF((VLOOKUP(Table6[[#This Row],[SKU]],'All Skus'!$A:$AC,2,FALSE))="JBL",(VLOOKUP(Table6[[#This Row],[SKU]],'All Skus'!$A:$AC,21,FALSE)),""))</f>
        <v>0</v>
      </c>
      <c r="T207" s="61" t="str">
        <f>(IF((VLOOKUP(Table6[[#This Row],[SKU]],'All Skus'!$A:$AC,2,FALSE))="JBL",(VLOOKUP(Table6[[#This Row],[SKU]],'All Skus'!$A:$AC,22,FALSE)),""))</f>
        <v>CN</v>
      </c>
      <c r="U207" t="str">
        <f>(IF((VLOOKUP(Table6[[#This Row],[SKU]],'All Skus'!$A:$AC,2,FALSE))="JBL",(VLOOKUP(Table6[[#This Row],[SKU]],'All Skus'!$A:$AC,23,FALSE)),""))</f>
        <v>Non Compliant</v>
      </c>
      <c r="V207" s="284" t="str">
        <f>HYPERLINK((IF((VLOOKUP(Table6[[#This Row],[SKU]],'All Skus'!$A:$AC,2,FALSE))="JBL",(VLOOKUP(Table6[[#This Row],[SKU]],'All Skus'!$A:$AC,24,FALSE)),"")))</f>
        <v/>
      </c>
      <c r="W207" s="151">
        <v>205</v>
      </c>
    </row>
    <row r="208" spans="1:23" ht="15" hidden="1" customHeight="1">
      <c r="A208" s="13" t="s">
        <v>1214</v>
      </c>
      <c r="B208" s="12" t="str">
        <f>(IF((VLOOKUP(Table6[[#This Row],[SKU]],'All Skus'!$A:$AC,2,FALSE))="JBL",(VLOOKUP(Table6[[#This Row],[SKU]],'All Skus'!$A:$AC,3,FALSE)),""))</f>
        <v>Pendant Speaker</v>
      </c>
      <c r="C208" s="12" t="str">
        <f>(IF((VLOOKUP(Table6[[#This Row],[SKU]],'All Skus'!$A:$AC,2,FALSE))="JBL",(VLOOKUP(Table6[[#This Row],[SKU]],'All Skus'!$A:$AC,4,FALSE)),""))</f>
        <v>C60PS/T</v>
      </c>
      <c r="D208" s="61" t="str">
        <f>(IF((VLOOKUP(Table6[[#This Row],[SKU]],'All Skus'!$A:$AC,2,FALSE))="JBL",(VLOOKUP(Table6[[#This Row],[SKU]],'All Skus'!$A:$AC,5,FALSE)),""))</f>
        <v>JBL018</v>
      </c>
      <c r="E208" s="137">
        <f>(IF((VLOOKUP(Table6[[#This Row],[SKU]],'All Skus'!$A:$AC,2,FALSE))="JBL",(VLOOKUP(Table6[[#This Row],[SKU]],'All Skus'!$A:$AC,6,FALSE)),""))</f>
        <v>0</v>
      </c>
      <c r="F208" s="61">
        <f>(IF((VLOOKUP(Table6[[#This Row],[SKU]],'All Skus'!$A:$AC,2,FALSE))="JBL",(VLOOKUP(Table6[[#This Row],[SKU]],'All Skus'!$A:$AC,7,FALSE)),""))</f>
        <v>0</v>
      </c>
      <c r="G208" t="str">
        <f>(IF((VLOOKUP(Table6[[#This Row],[SKU]],'All Skus'!$A:$AC,2,FALSE))="JBL",(VLOOKUP(Table6[[#This Row],[SKU]],'All Skus'!$A:$AC,8,FALSE)),""))</f>
        <v>C60 PENDANT SUBWOOFER</v>
      </c>
      <c r="H208" s="8" t="str">
        <f>(IF((VLOOKUP(Table6[[#This Row],[SKU]],'All Skus'!$A:$AC,2,FALSE))="JBL",(VLOOKUP(Table6[[#This Row],[SKU]],'All Skus'!$A:$AC,9,FALSE)),""))</f>
        <v>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v>
      </c>
      <c r="I208" s="101">
        <f>(IF((VLOOKUP(Table6[[#This Row],[SKU]],'All Skus'!$A:$AC,2,FALSE))="JBL",(VLOOKUP(Table6[[#This Row],[SKU]],'All Skus'!$A:$AC,10,FALSE)),""))</f>
        <v>512.76</v>
      </c>
      <c r="J208" s="101">
        <f>(IF((VLOOKUP(Table6[[#This Row],[SKU]],'All Skus'!$A:$AC,2,FALSE))="JBL",(VLOOKUP(Table6[[#This Row],[SKU]],'All Skus'!$A:$AC,11,FALSE)),""))</f>
        <v>407</v>
      </c>
      <c r="K208" s="102">
        <f>(IF((VLOOKUP(Table6[[#This Row],[SKU]],'All Skus'!$A:$AC,2,FALSE))="JBL",(VLOOKUP(Table6[[#This Row],[SKU]],'All Skus'!$A:$AC,13,FALSE)),""))</f>
        <v>283.75597499999998</v>
      </c>
      <c r="L208" s="102">
        <f>(IF((VLOOKUP(Table6[[#This Row],[SKU]],'All Skus'!$A:$AC,2,FALSE))="JBL",(VLOOKUP(Table6[[#This Row],[SKU]],'All Skus'!$A:$AC,14,FALSE)),""))</f>
        <v>268.82144999999997</v>
      </c>
      <c r="M208" s="143">
        <f>(IF((VLOOKUP(Table6[[#This Row],[SKU]],'All Skus'!$A:$AC,2,FALSE))="JBL",(VLOOKUP(Table6[[#This Row],[SKU]],'All Skus'!$A:$AC,15,FALSE)),""))</f>
        <v>2</v>
      </c>
      <c r="N208" s="137">
        <f>(IF((VLOOKUP(Table6[[#This Row],[SKU]],'All Skus'!$A:$AC,2,FALSE))="JBL",(VLOOKUP(Table6[[#This Row],[SKU]],'All Skus'!$A:$AC,16,FALSE)),""))</f>
        <v>50036904889</v>
      </c>
      <c r="O208" s="61">
        <f>(IF((VLOOKUP(Table6[[#This Row],[SKU]],'All Skus'!$A:$AC,2,FALSE))="JBL",(VLOOKUP(Table6[[#This Row],[SKU]],'All Skus'!$A:$AC,17,FALSE)),""))</f>
        <v>0</v>
      </c>
      <c r="P208" s="136">
        <f>(IF((VLOOKUP(Table6[[#This Row],[SKU]],'All Skus'!$A:$AC,2,FALSE))="JBL",(VLOOKUP(Table6[[#This Row],[SKU]],'All Skus'!$A:$AC,18,FALSE)),""))</f>
        <v>9.5</v>
      </c>
      <c r="Q208" s="136">
        <f>(IF((VLOOKUP(Table6[[#This Row],[SKU]],'All Skus'!$A:$AC,2,FALSE))="JBL",(VLOOKUP(Table6[[#This Row],[SKU]],'All Skus'!$A:$AC,19,FALSE)),""))</f>
        <v>14</v>
      </c>
      <c r="R208" s="136">
        <f>(IF((VLOOKUP(Table6[[#This Row],[SKU]],'All Skus'!$A:$AC,2,FALSE))="JBL",(VLOOKUP(Table6[[#This Row],[SKU]],'All Skus'!$A:$AC,20,FALSE)),""))</f>
        <v>8</v>
      </c>
      <c r="S208" s="61">
        <f>(IF((VLOOKUP(Table6[[#This Row],[SKU]],'All Skus'!$A:$AC,2,FALSE))="JBL",(VLOOKUP(Table6[[#This Row],[SKU]],'All Skus'!$A:$AC,21,FALSE)),""))</f>
        <v>7</v>
      </c>
      <c r="T208" s="61" t="str">
        <f>(IF((VLOOKUP(Table6[[#This Row],[SKU]],'All Skus'!$A:$AC,2,FALSE))="JBL",(VLOOKUP(Table6[[#This Row],[SKU]],'All Skus'!$A:$AC,22,FALSE)),""))</f>
        <v>CN</v>
      </c>
      <c r="U208" t="str">
        <f>(IF((VLOOKUP(Table6[[#This Row],[SKU]],'All Skus'!$A:$AC,2,FALSE))="JBL",(VLOOKUP(Table6[[#This Row],[SKU]],'All Skus'!$A:$AC,23,FALSE)),""))</f>
        <v>Non Compliant</v>
      </c>
      <c r="V208" s="284" t="str">
        <f>HYPERLINK((IF((VLOOKUP(Table6[[#This Row],[SKU]],'All Skus'!$A:$AC,2,FALSE))="JBL",(VLOOKUP(Table6[[#This Row],[SKU]],'All Skus'!$A:$AC,24,FALSE)),"")))</f>
        <v xml:space="preserve">http://www.jblpro.com/www/products/installed-sound/control-60-series/control-60ps-t </v>
      </c>
      <c r="W208" s="151">
        <v>206</v>
      </c>
    </row>
    <row r="209" spans="1:23" ht="15" hidden="1" customHeight="1">
      <c r="A209" s="13" t="s">
        <v>1215</v>
      </c>
      <c r="B209" s="12" t="str">
        <f>(IF((VLOOKUP(Table6[[#This Row],[SKU]],'All Skus'!$A:$AC,2,FALSE))="JBL",(VLOOKUP(Table6[[#This Row],[SKU]],'All Skus'!$A:$AC,3,FALSE)),""))</f>
        <v>Pendant Speaker</v>
      </c>
      <c r="C209" s="12" t="str">
        <f>(IF((VLOOKUP(Table6[[#This Row],[SKU]],'All Skus'!$A:$AC,2,FALSE))="JBL",(VLOOKUP(Table6[[#This Row],[SKU]],'All Skus'!$A:$AC,4,FALSE)),""))</f>
        <v>C60PS/T-WH</v>
      </c>
      <c r="D209" s="61" t="str">
        <f>(IF((VLOOKUP(Table6[[#This Row],[SKU]],'All Skus'!$A:$AC,2,FALSE))="JBL",(VLOOKUP(Table6[[#This Row],[SKU]],'All Skus'!$A:$AC,5,FALSE)),""))</f>
        <v>JBL018</v>
      </c>
      <c r="E209" s="137">
        <f>(IF((VLOOKUP(Table6[[#This Row],[SKU]],'All Skus'!$A:$AC,2,FALSE))="JBL",(VLOOKUP(Table6[[#This Row],[SKU]],'All Skus'!$A:$AC,6,FALSE)),""))</f>
        <v>0</v>
      </c>
      <c r="F209" s="61">
        <f>(IF((VLOOKUP(Table6[[#This Row],[SKU]],'All Skus'!$A:$AC,2,FALSE))="JBL",(VLOOKUP(Table6[[#This Row],[SKU]],'All Skus'!$A:$AC,7,FALSE)),""))</f>
        <v>0</v>
      </c>
      <c r="G209" t="str">
        <f>(IF((VLOOKUP(Table6[[#This Row],[SKU]],'All Skus'!$A:$AC,2,FALSE))="JBL",(VLOOKUP(Table6[[#This Row],[SKU]],'All Skus'!$A:$AC,8,FALSE)),""))</f>
        <v>C60 PENDANT SUBWOOFER - White</v>
      </c>
      <c r="H209" s="8" t="str">
        <f>(IF((VLOOKUP(Table6[[#This Row],[SKU]],'All Skus'!$A:$AC,2,FALSE))="JBL",(VLOOKUP(Table6[[#This Row],[SKU]],'All Skus'!$A:$AC,9,FALSE)),""))</f>
        <v>High impact, 150 Watt direct radiating pendant subwoofer with built-in passive crossover for up to four satellite speakers. 200 mm (8 in) long-excursion driver. 8 ohm (150 Watt) and 70V/100V (100 Watt) operation. Hanging hardware with 4.5 m (15 foot) galvanized steel cable and easy to adjust clamp. Stylish design, available in black or white (-WH). UL listed (speaker and hanging cable system).(priced as each; sold in pairs).</v>
      </c>
      <c r="I209" s="101">
        <f>(IF((VLOOKUP(Table6[[#This Row],[SKU]],'All Skus'!$A:$AC,2,FALSE))="JBL",(VLOOKUP(Table6[[#This Row],[SKU]],'All Skus'!$A:$AC,10,FALSE)),""))</f>
        <v>512.76</v>
      </c>
      <c r="J209" s="101">
        <f>(IF((VLOOKUP(Table6[[#This Row],[SKU]],'All Skus'!$A:$AC,2,FALSE))="JBL",(VLOOKUP(Table6[[#This Row],[SKU]],'All Skus'!$A:$AC,11,FALSE)),""))</f>
        <v>407</v>
      </c>
      <c r="K209" s="102">
        <f>(IF((VLOOKUP(Table6[[#This Row],[SKU]],'All Skus'!$A:$AC,2,FALSE))="JBL",(VLOOKUP(Table6[[#This Row],[SKU]],'All Skus'!$A:$AC,13,FALSE)),""))</f>
        <v>0</v>
      </c>
      <c r="L209" s="102">
        <f>(IF((VLOOKUP(Table6[[#This Row],[SKU]],'All Skus'!$A:$AC,2,FALSE))="JBL",(VLOOKUP(Table6[[#This Row],[SKU]],'All Skus'!$A:$AC,14,FALSE)),""))</f>
        <v>0</v>
      </c>
      <c r="M209" s="143">
        <f>(IF((VLOOKUP(Table6[[#This Row],[SKU]],'All Skus'!$A:$AC,2,FALSE))="JBL",(VLOOKUP(Table6[[#This Row],[SKU]],'All Skus'!$A:$AC,15,FALSE)),""))</f>
        <v>2</v>
      </c>
      <c r="N209" s="137">
        <f>(IF((VLOOKUP(Table6[[#This Row],[SKU]],'All Skus'!$A:$AC,2,FALSE))="JBL",(VLOOKUP(Table6[[#This Row],[SKU]],'All Skus'!$A:$AC,16,FALSE)),""))</f>
        <v>691991000263</v>
      </c>
      <c r="O209" s="61">
        <f>(IF((VLOOKUP(Table6[[#This Row],[SKU]],'All Skus'!$A:$AC,2,FALSE))="JBL",(VLOOKUP(Table6[[#This Row],[SKU]],'All Skus'!$A:$AC,17,FALSE)),""))</f>
        <v>0</v>
      </c>
      <c r="P209" s="136">
        <f>(IF((VLOOKUP(Table6[[#This Row],[SKU]],'All Skus'!$A:$AC,2,FALSE))="JBL",(VLOOKUP(Table6[[#This Row],[SKU]],'All Skus'!$A:$AC,18,FALSE)),""))</f>
        <v>19</v>
      </c>
      <c r="Q209" s="136">
        <f>(IF((VLOOKUP(Table6[[#This Row],[SKU]],'All Skus'!$A:$AC,2,FALSE))="JBL",(VLOOKUP(Table6[[#This Row],[SKU]],'All Skus'!$A:$AC,19,FALSE)),""))</f>
        <v>28.5</v>
      </c>
      <c r="R209" s="136">
        <f>(IF((VLOOKUP(Table6[[#This Row],[SKU]],'All Skus'!$A:$AC,2,FALSE))="JBL",(VLOOKUP(Table6[[#This Row],[SKU]],'All Skus'!$A:$AC,20,FALSE)),""))</f>
        <v>14.5</v>
      </c>
      <c r="S209" s="61">
        <f>(IF((VLOOKUP(Table6[[#This Row],[SKU]],'All Skus'!$A:$AC,2,FALSE))="JBL",(VLOOKUP(Table6[[#This Row],[SKU]],'All Skus'!$A:$AC,21,FALSE)),""))</f>
        <v>16.5</v>
      </c>
      <c r="T209" s="61" t="str">
        <f>(IF((VLOOKUP(Table6[[#This Row],[SKU]],'All Skus'!$A:$AC,2,FALSE))="JBL",(VLOOKUP(Table6[[#This Row],[SKU]],'All Skus'!$A:$AC,22,FALSE)),""))</f>
        <v>CN</v>
      </c>
      <c r="U209" t="str">
        <f>(IF((VLOOKUP(Table6[[#This Row],[SKU]],'All Skus'!$A:$AC,2,FALSE))="JBL",(VLOOKUP(Table6[[#This Row],[SKU]],'All Skus'!$A:$AC,23,FALSE)),""))</f>
        <v>Non Compliant</v>
      </c>
      <c r="V209" s="284" t="str">
        <f>HYPERLINK((IF((VLOOKUP(Table6[[#This Row],[SKU]],'All Skus'!$A:$AC,2,FALSE))="JBL",(VLOOKUP(Table6[[#This Row],[SKU]],'All Skus'!$A:$AC,24,FALSE)),"")))</f>
        <v xml:space="preserve">http://www.jblpro.com/www/products/installed-sound/control-60-series/control-60ps-t </v>
      </c>
      <c r="W209" s="151">
        <v>207</v>
      </c>
    </row>
    <row r="210" spans="1:23" ht="15" hidden="1" customHeight="1">
      <c r="A210" s="13" t="s">
        <v>1216</v>
      </c>
      <c r="B210" s="12" t="str">
        <f>(IF((VLOOKUP(Table6[[#This Row],[SKU]],'All Skus'!$A:$AC,2,FALSE))="JBL",(VLOOKUP(Table6[[#This Row],[SKU]],'All Skus'!$A:$AC,3,FALSE)),""))</f>
        <v>Pendant Speaker</v>
      </c>
      <c r="C210" s="12" t="str">
        <f>(IF((VLOOKUP(Table6[[#This Row],[SKU]],'All Skus'!$A:$AC,2,FALSE))="JBL",(VLOOKUP(Table6[[#This Row],[SKU]],'All Skus'!$A:$AC,4,FALSE)),""))</f>
        <v>C62P</v>
      </c>
      <c r="D210" s="61" t="str">
        <f>(IF((VLOOKUP(Table6[[#This Row],[SKU]],'All Skus'!$A:$AC,2,FALSE))="JBL",(VLOOKUP(Table6[[#This Row],[SKU]],'All Skus'!$A:$AC,5,FALSE)),""))</f>
        <v>JBL018</v>
      </c>
      <c r="E210" s="137">
        <f>(IF((VLOOKUP(Table6[[#This Row],[SKU]],'All Skus'!$A:$AC,2,FALSE))="JBL",(VLOOKUP(Table6[[#This Row],[SKU]],'All Skus'!$A:$AC,6,FALSE)),""))</f>
        <v>0</v>
      </c>
      <c r="F210" s="61">
        <f>(IF((VLOOKUP(Table6[[#This Row],[SKU]],'All Skus'!$A:$AC,2,FALSE))="JBL",(VLOOKUP(Table6[[#This Row],[SKU]],'All Skus'!$A:$AC,7,FALSE)),""))</f>
        <v>0</v>
      </c>
      <c r="G210" t="str">
        <f>(IF((VLOOKUP(Table6[[#This Row],[SKU]],'All Skus'!$A:$AC,2,FALSE))="JBL",(VLOOKUP(Table6[[#This Row],[SKU]],'All Skus'!$A:$AC,8,FALSE)),""))</f>
        <v>Ultra-Compact Mid/High Pendant w 2"</v>
      </c>
      <c r="H210" s="8" t="str">
        <f>(IF((VLOOKUP(Table6[[#This Row],[SKU]],'All Skus'!$A:$AC,2,FALSE))="JBL",(VLOOKUP(Table6[[#This Row],[SKU]],'All Skus'!$A:$AC,9,FALSE)),""))</f>
        <v>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v>
      </c>
      <c r="I210" s="101">
        <f>(IF((VLOOKUP(Table6[[#This Row],[SKU]],'All Skus'!$A:$AC,2,FALSE))="JBL",(VLOOKUP(Table6[[#This Row],[SKU]],'All Skus'!$A:$AC,10,FALSE)),""))</f>
        <v>129.74</v>
      </c>
      <c r="J210" s="101">
        <f>(IF((VLOOKUP(Table6[[#This Row],[SKU]],'All Skus'!$A:$AC,2,FALSE))="JBL",(VLOOKUP(Table6[[#This Row],[SKU]],'All Skus'!$A:$AC,11,FALSE)),""))</f>
        <v>102</v>
      </c>
      <c r="K210" s="102">
        <f>(IF((VLOOKUP(Table6[[#This Row],[SKU]],'All Skus'!$A:$AC,2,FALSE))="JBL",(VLOOKUP(Table6[[#This Row],[SKU]],'All Skus'!$A:$AC,13,FALSE)),""))</f>
        <v>71.795394999999999</v>
      </c>
      <c r="L210" s="102">
        <f>(IF((VLOOKUP(Table6[[#This Row],[SKU]],'All Skus'!$A:$AC,2,FALSE))="JBL",(VLOOKUP(Table6[[#This Row],[SKU]],'All Skus'!$A:$AC,14,FALSE)),""))</f>
        <v>68.016689999999997</v>
      </c>
      <c r="M210" s="143">
        <f>(IF((VLOOKUP(Table6[[#This Row],[SKU]],'All Skus'!$A:$AC,2,FALSE))="JBL",(VLOOKUP(Table6[[#This Row],[SKU]],'All Skus'!$A:$AC,15,FALSE)),""))</f>
        <v>2</v>
      </c>
      <c r="N210" s="137">
        <f>(IF((VLOOKUP(Table6[[#This Row],[SKU]],'All Skus'!$A:$AC,2,FALSE))="JBL",(VLOOKUP(Table6[[#This Row],[SKU]],'All Skus'!$A:$AC,16,FALSE)),""))</f>
        <v>50036903837</v>
      </c>
      <c r="O210" s="61">
        <f>(IF((VLOOKUP(Table6[[#This Row],[SKU]],'All Skus'!$A:$AC,2,FALSE))="JBL",(VLOOKUP(Table6[[#This Row],[SKU]],'All Skus'!$A:$AC,17,FALSE)),""))</f>
        <v>0</v>
      </c>
      <c r="P210" s="136">
        <f>(IF((VLOOKUP(Table6[[#This Row],[SKU]],'All Skus'!$A:$AC,2,FALSE))="JBL",(VLOOKUP(Table6[[#This Row],[SKU]],'All Skus'!$A:$AC,18,FALSE)),""))</f>
        <v>5.05</v>
      </c>
      <c r="Q210" s="136">
        <f>(IF((VLOOKUP(Table6[[#This Row],[SKU]],'All Skus'!$A:$AC,2,FALSE))="JBL",(VLOOKUP(Table6[[#This Row],[SKU]],'All Skus'!$A:$AC,19,FALSE)),""))</f>
        <v>6</v>
      </c>
      <c r="R210" s="136">
        <f>(IF((VLOOKUP(Table6[[#This Row],[SKU]],'All Skus'!$A:$AC,2,FALSE))="JBL",(VLOOKUP(Table6[[#This Row],[SKU]],'All Skus'!$A:$AC,20,FALSE)),""))</f>
        <v>12</v>
      </c>
      <c r="S210" s="61">
        <f>(IF((VLOOKUP(Table6[[#This Row],[SKU]],'All Skus'!$A:$AC,2,FALSE))="JBL",(VLOOKUP(Table6[[#This Row],[SKU]],'All Skus'!$A:$AC,21,FALSE)),""))</f>
        <v>7</v>
      </c>
      <c r="T210" s="61" t="str">
        <f>(IF((VLOOKUP(Table6[[#This Row],[SKU]],'All Skus'!$A:$AC,2,FALSE))="JBL",(VLOOKUP(Table6[[#This Row],[SKU]],'All Skus'!$A:$AC,22,FALSE)),""))</f>
        <v>CN</v>
      </c>
      <c r="U210" t="str">
        <f>(IF((VLOOKUP(Table6[[#This Row],[SKU]],'All Skus'!$A:$AC,2,FALSE))="JBL",(VLOOKUP(Table6[[#This Row],[SKU]],'All Skus'!$A:$AC,23,FALSE)),""))</f>
        <v>Non Compliant</v>
      </c>
      <c r="V210" s="284" t="str">
        <f>HYPERLINK((IF((VLOOKUP(Table6[[#This Row],[SKU]],'All Skus'!$A:$AC,2,FALSE))="JBL",(VLOOKUP(Table6[[#This Row],[SKU]],'All Skus'!$A:$AC,24,FALSE)),"")))</f>
        <v xml:space="preserve">http://www.jblpro.com/www/products/installed-sound/control-60-series/control-62p </v>
      </c>
      <c r="W210" s="151">
        <v>208</v>
      </c>
    </row>
    <row r="211" spans="1:23" ht="15" hidden="1" customHeight="1">
      <c r="A211" s="13" t="s">
        <v>1217</v>
      </c>
      <c r="B211" s="12" t="str">
        <f>(IF((VLOOKUP(Table6[[#This Row],[SKU]],'All Skus'!$A:$AC,2,FALSE))="JBL",(VLOOKUP(Table6[[#This Row],[SKU]],'All Skus'!$A:$AC,3,FALSE)),""))</f>
        <v>Pendant Speaker</v>
      </c>
      <c r="C211" s="12" t="str">
        <f>(IF((VLOOKUP(Table6[[#This Row],[SKU]],'All Skus'!$A:$AC,2,FALSE))="JBL",(VLOOKUP(Table6[[#This Row],[SKU]],'All Skus'!$A:$AC,4,FALSE)),""))</f>
        <v>C62P-WH</v>
      </c>
      <c r="D211" s="61" t="str">
        <f>(IF((VLOOKUP(Table6[[#This Row],[SKU]],'All Skus'!$A:$AC,2,FALSE))="JBL",(VLOOKUP(Table6[[#This Row],[SKU]],'All Skus'!$A:$AC,5,FALSE)),""))</f>
        <v>JBL018</v>
      </c>
      <c r="E211" s="137">
        <f>(IF((VLOOKUP(Table6[[#This Row],[SKU]],'All Skus'!$A:$AC,2,FALSE))="JBL",(VLOOKUP(Table6[[#This Row],[SKU]],'All Skus'!$A:$AC,6,FALSE)),""))</f>
        <v>0</v>
      </c>
      <c r="F211" s="61">
        <f>(IF((VLOOKUP(Table6[[#This Row],[SKU]],'All Skus'!$A:$AC,2,FALSE))="JBL",(VLOOKUP(Table6[[#This Row],[SKU]],'All Skus'!$A:$AC,7,FALSE)),""))</f>
        <v>0</v>
      </c>
      <c r="G211" t="str">
        <f>(IF((VLOOKUP(Table6[[#This Row],[SKU]],'All Skus'!$A:$AC,2,FALSE))="JBL",(VLOOKUP(Table6[[#This Row],[SKU]],'All Skus'!$A:$AC,8,FALSE)),""))</f>
        <v>Ultra-Compact Mid/High Pendant w 2"</v>
      </c>
      <c r="H211" s="8" t="str">
        <f>(IF((VLOOKUP(Table6[[#This Row],[SKU]],'All Skus'!$A:$AC,2,FALSE))="JBL",(VLOOKUP(Table6[[#This Row],[SKU]],'All Skus'!$A:$AC,9,FALSE)),""))</f>
        <v>Ultra-Compact Mid-High Satellite Pendant Speaker.  2.5" driver, ideal for speech and mid-high music and for visually sensitive applications.  Add up to 4 pics on a Control 50S/T (or 40 CS/T) subwoofer for full-range, 20W, 16 ohms, redundant suspension cable system included (priced as each; sold in pairs), in white</v>
      </c>
      <c r="I211" s="101">
        <f>(IF((VLOOKUP(Table6[[#This Row],[SKU]],'All Skus'!$A:$AC,2,FALSE))="JBL",(VLOOKUP(Table6[[#This Row],[SKU]],'All Skus'!$A:$AC,10,FALSE)),""))</f>
        <v>129.74</v>
      </c>
      <c r="J211" s="101">
        <f>(IF((VLOOKUP(Table6[[#This Row],[SKU]],'All Skus'!$A:$AC,2,FALSE))="JBL",(VLOOKUP(Table6[[#This Row],[SKU]],'All Skus'!$A:$AC,11,FALSE)),""))</f>
        <v>102</v>
      </c>
      <c r="K211" s="102">
        <f>(IF((VLOOKUP(Table6[[#This Row],[SKU]],'All Skus'!$A:$AC,2,FALSE))="JBL",(VLOOKUP(Table6[[#This Row],[SKU]],'All Skus'!$A:$AC,13,FALSE)),""))</f>
        <v>71.795394999999999</v>
      </c>
      <c r="L211" s="102">
        <f>(IF((VLOOKUP(Table6[[#This Row],[SKU]],'All Skus'!$A:$AC,2,FALSE))="JBL",(VLOOKUP(Table6[[#This Row],[SKU]],'All Skus'!$A:$AC,14,FALSE)),""))</f>
        <v>68.016689999999997</v>
      </c>
      <c r="M211" s="143">
        <f>(IF((VLOOKUP(Table6[[#This Row],[SKU]],'All Skus'!$A:$AC,2,FALSE))="JBL",(VLOOKUP(Table6[[#This Row],[SKU]],'All Skus'!$A:$AC,15,FALSE)),""))</f>
        <v>2</v>
      </c>
      <c r="N211" s="137">
        <f>(IF((VLOOKUP(Table6[[#This Row],[SKU]],'All Skus'!$A:$AC,2,FALSE))="JBL",(VLOOKUP(Table6[[#This Row],[SKU]],'All Skus'!$A:$AC,16,FALSE)),""))</f>
        <v>50036903844</v>
      </c>
      <c r="O211" s="61">
        <f>(IF((VLOOKUP(Table6[[#This Row],[SKU]],'All Skus'!$A:$AC,2,FALSE))="JBL",(VLOOKUP(Table6[[#This Row],[SKU]],'All Skus'!$A:$AC,17,FALSE)),""))</f>
        <v>0</v>
      </c>
      <c r="P211" s="136">
        <f>(IF((VLOOKUP(Table6[[#This Row],[SKU]],'All Skus'!$A:$AC,2,FALSE))="JBL",(VLOOKUP(Table6[[#This Row],[SKU]],'All Skus'!$A:$AC,18,FALSE)),""))</f>
        <v>5.5</v>
      </c>
      <c r="Q211" s="136">
        <f>(IF((VLOOKUP(Table6[[#This Row],[SKU]],'All Skus'!$A:$AC,2,FALSE))="JBL",(VLOOKUP(Table6[[#This Row],[SKU]],'All Skus'!$A:$AC,19,FALSE)),""))</f>
        <v>3</v>
      </c>
      <c r="R211" s="136">
        <f>(IF((VLOOKUP(Table6[[#This Row],[SKU]],'All Skus'!$A:$AC,2,FALSE))="JBL",(VLOOKUP(Table6[[#This Row],[SKU]],'All Skus'!$A:$AC,20,FALSE)),""))</f>
        <v>6</v>
      </c>
      <c r="S211" s="61">
        <f>(IF((VLOOKUP(Table6[[#This Row],[SKU]],'All Skus'!$A:$AC,2,FALSE))="JBL",(VLOOKUP(Table6[[#This Row],[SKU]],'All Skus'!$A:$AC,21,FALSE)),""))</f>
        <v>3.5</v>
      </c>
      <c r="T211" s="61" t="str">
        <f>(IF((VLOOKUP(Table6[[#This Row],[SKU]],'All Skus'!$A:$AC,2,FALSE))="JBL",(VLOOKUP(Table6[[#This Row],[SKU]],'All Skus'!$A:$AC,22,FALSE)),""))</f>
        <v>CN</v>
      </c>
      <c r="U211" t="str">
        <f>(IF((VLOOKUP(Table6[[#This Row],[SKU]],'All Skus'!$A:$AC,2,FALSE))="JBL",(VLOOKUP(Table6[[#This Row],[SKU]],'All Skus'!$A:$AC,23,FALSE)),""))</f>
        <v>Non Compliant</v>
      </c>
      <c r="V211" s="284" t="str">
        <f>HYPERLINK((IF((VLOOKUP(Table6[[#This Row],[SKU]],'All Skus'!$A:$AC,2,FALSE))="JBL",(VLOOKUP(Table6[[#This Row],[SKU]],'All Skus'!$A:$AC,24,FALSE)),"")))</f>
        <v xml:space="preserve">http://www.jblpro.com/www/products/installed-sound/control-60-series/control-62p </v>
      </c>
      <c r="W211" s="151">
        <v>209</v>
      </c>
    </row>
    <row r="212" spans="1:23" ht="15" hidden="1" customHeight="1">
      <c r="A212" s="13" t="s">
        <v>1218</v>
      </c>
      <c r="B212" s="12" t="str">
        <f>(IF((VLOOKUP(Table6[[#This Row],[SKU]],'All Skus'!$A:$AC,2,FALSE))="JBL",(VLOOKUP(Table6[[#This Row],[SKU]],'All Skus'!$A:$AC,3,FALSE)),""))</f>
        <v>Pendant Speaker</v>
      </c>
      <c r="C212" s="12" t="str">
        <f>(IF((VLOOKUP(Table6[[#This Row],[SKU]],'All Skus'!$A:$AC,2,FALSE))="JBL",(VLOOKUP(Table6[[#This Row],[SKU]],'All Skus'!$A:$AC,4,FALSE)),""))</f>
        <v>C64P/T</v>
      </c>
      <c r="D212" s="61" t="str">
        <f>(IF((VLOOKUP(Table6[[#This Row],[SKU]],'All Skus'!$A:$AC,2,FALSE))="JBL",(VLOOKUP(Table6[[#This Row],[SKU]],'All Skus'!$A:$AC,5,FALSE)),""))</f>
        <v>JBL018</v>
      </c>
      <c r="E212" s="137">
        <f>(IF((VLOOKUP(Table6[[#This Row],[SKU]],'All Skus'!$A:$AC,2,FALSE))="JBL",(VLOOKUP(Table6[[#This Row],[SKU]],'All Skus'!$A:$AC,6,FALSE)),""))</f>
        <v>0</v>
      </c>
      <c r="F212" s="61">
        <f>(IF((VLOOKUP(Table6[[#This Row],[SKU]],'All Skus'!$A:$AC,2,FALSE))="JBL",(VLOOKUP(Table6[[#This Row],[SKU]],'All Skus'!$A:$AC,7,FALSE)),""))</f>
        <v>0</v>
      </c>
      <c r="G212" t="str">
        <f>(IF((VLOOKUP(Table6[[#This Row],[SKU]],'All Skus'!$A:$AC,2,FALSE))="JBL",(VLOOKUP(Table6[[#This Row],[SKU]],'All Skus'!$A:$AC,8,FALSE)),""))</f>
        <v>4" FULL-RANGE PENDANT SPKR, BLK</v>
      </c>
      <c r="H212" s="8" t="str">
        <f>(IF((VLOOKUP(Table6[[#This Row],[SKU]],'All Skus'!$A:$AC,2,FALSE))="JBL",(VLOOKUP(Table6[[#This Row],[SKU]],'All Skus'!$A:$AC,9,FALSE)),""))</f>
        <v>Compact Full-Range Pendant Speaker. 4" (100 mm) driver with polypropylene cone, 120 degree conical coverage, 50 Watts Cont. Pink Noise Power Handling (200W peak) at 8 ohms, plus 30W 70V/100V multi-tap transformer, redundant suspension cable system included. Black. Priced as each, sold and packaged in pairs.</v>
      </c>
      <c r="I212" s="101">
        <f>(IF((VLOOKUP(Table6[[#This Row],[SKU]],'All Skus'!$A:$AC,2,FALSE))="JBL",(VLOOKUP(Table6[[#This Row],[SKU]],'All Skus'!$A:$AC,10,FALSE)),""))</f>
        <v>222.4</v>
      </c>
      <c r="J212" s="101">
        <f>(IF((VLOOKUP(Table6[[#This Row],[SKU]],'All Skus'!$A:$AC,2,FALSE))="JBL",(VLOOKUP(Table6[[#This Row],[SKU]],'All Skus'!$A:$AC,11,FALSE)),""))</f>
        <v>175</v>
      </c>
      <c r="K212" s="102">
        <f>(IF((VLOOKUP(Table6[[#This Row],[SKU]],'All Skus'!$A:$AC,2,FALSE))="JBL",(VLOOKUP(Table6[[#This Row],[SKU]],'All Skus'!$A:$AC,13,FALSE)),""))</f>
        <v>0</v>
      </c>
      <c r="L212" s="102">
        <f>(IF((VLOOKUP(Table6[[#This Row],[SKU]],'All Skus'!$A:$AC,2,FALSE))="JBL",(VLOOKUP(Table6[[#This Row],[SKU]],'All Skus'!$A:$AC,14,FALSE)),""))</f>
        <v>0</v>
      </c>
      <c r="M212" s="143">
        <f>(IF((VLOOKUP(Table6[[#This Row],[SKU]],'All Skus'!$A:$AC,2,FALSE))="JBL",(VLOOKUP(Table6[[#This Row],[SKU]],'All Skus'!$A:$AC,15,FALSE)),""))</f>
        <v>2</v>
      </c>
      <c r="N212" s="137">
        <f>(IF((VLOOKUP(Table6[[#This Row],[SKU]],'All Skus'!$A:$AC,2,FALSE))="JBL",(VLOOKUP(Table6[[#This Row],[SKU]],'All Skus'!$A:$AC,16,FALSE)),""))</f>
        <v>691991004230</v>
      </c>
      <c r="O212" s="61">
        <f>(IF((VLOOKUP(Table6[[#This Row],[SKU]],'All Skus'!$A:$AC,2,FALSE))="JBL",(VLOOKUP(Table6[[#This Row],[SKU]],'All Skus'!$A:$AC,17,FALSE)),""))</f>
        <v>0</v>
      </c>
      <c r="P212" s="136">
        <f>(IF((VLOOKUP(Table6[[#This Row],[SKU]],'All Skus'!$A:$AC,2,FALSE))="JBL",(VLOOKUP(Table6[[#This Row],[SKU]],'All Skus'!$A:$AC,18,FALSE)),""))</f>
        <v>6.75</v>
      </c>
      <c r="Q212" s="136">
        <f>(IF((VLOOKUP(Table6[[#This Row],[SKU]],'All Skus'!$A:$AC,2,FALSE))="JBL",(VLOOKUP(Table6[[#This Row],[SKU]],'All Skus'!$A:$AC,19,FALSE)),""))</f>
        <v>10.5</v>
      </c>
      <c r="R212" s="136">
        <f>(IF((VLOOKUP(Table6[[#This Row],[SKU]],'All Skus'!$A:$AC,2,FALSE))="JBL",(VLOOKUP(Table6[[#This Row],[SKU]],'All Skus'!$A:$AC,20,FALSE)),""))</f>
        <v>10.75</v>
      </c>
      <c r="S212" s="61">
        <f>(IF((VLOOKUP(Table6[[#This Row],[SKU]],'All Skus'!$A:$AC,2,FALSE))="JBL",(VLOOKUP(Table6[[#This Row],[SKU]],'All Skus'!$A:$AC,21,FALSE)),""))</f>
        <v>13.25</v>
      </c>
      <c r="T212" s="61" t="str">
        <f>(IF((VLOOKUP(Table6[[#This Row],[SKU]],'All Skus'!$A:$AC,2,FALSE))="JBL",(VLOOKUP(Table6[[#This Row],[SKU]],'All Skus'!$A:$AC,22,FALSE)),""))</f>
        <v>CN</v>
      </c>
      <c r="U212" t="str">
        <f>(IF((VLOOKUP(Table6[[#This Row],[SKU]],'All Skus'!$A:$AC,2,FALSE))="JBL",(VLOOKUP(Table6[[#This Row],[SKU]],'All Skus'!$A:$AC,23,FALSE)),""))</f>
        <v>Non Compliant</v>
      </c>
      <c r="V212" s="284" t="str">
        <f>HYPERLINK((IF((VLOOKUP(Table6[[#This Row],[SKU]],'All Skus'!$A:$AC,2,FALSE))="JBL",(VLOOKUP(Table6[[#This Row],[SKU]],'All Skus'!$A:$AC,24,FALSE)),"")))</f>
        <v xml:space="preserve">http://www.jblpro.com/www/products/installed-sound/control-60-series/control-64p-t </v>
      </c>
      <c r="W212" s="151">
        <v>210</v>
      </c>
    </row>
    <row r="213" spans="1:23" ht="15" hidden="1" customHeight="1">
      <c r="A213" s="13" t="s">
        <v>1219</v>
      </c>
      <c r="B213" s="12" t="str">
        <f>(IF((VLOOKUP(Table6[[#This Row],[SKU]],'All Skus'!$A:$AC,2,FALSE))="JBL",(VLOOKUP(Table6[[#This Row],[SKU]],'All Skus'!$A:$AC,3,FALSE)),""))</f>
        <v>Pendant Speaker</v>
      </c>
      <c r="C213" s="12" t="str">
        <f>(IF((VLOOKUP(Table6[[#This Row],[SKU]],'All Skus'!$A:$AC,2,FALSE))="JBL",(VLOOKUP(Table6[[#This Row],[SKU]],'All Skus'!$A:$AC,4,FALSE)),""))</f>
        <v>C64P/T-WH</v>
      </c>
      <c r="D213" s="61" t="str">
        <f>(IF((VLOOKUP(Table6[[#This Row],[SKU]],'All Skus'!$A:$AC,2,FALSE))="JBL",(VLOOKUP(Table6[[#This Row],[SKU]],'All Skus'!$A:$AC,5,FALSE)),""))</f>
        <v>JBL018</v>
      </c>
      <c r="E213" s="137">
        <f>(IF((VLOOKUP(Table6[[#This Row],[SKU]],'All Skus'!$A:$AC,2,FALSE))="JBL",(VLOOKUP(Table6[[#This Row],[SKU]],'All Skus'!$A:$AC,6,FALSE)),""))</f>
        <v>0</v>
      </c>
      <c r="F213" s="61">
        <f>(IF((VLOOKUP(Table6[[#This Row],[SKU]],'All Skus'!$A:$AC,2,FALSE))="JBL",(VLOOKUP(Table6[[#This Row],[SKU]],'All Skus'!$A:$AC,7,FALSE)),""))</f>
        <v>0</v>
      </c>
      <c r="G213" t="str">
        <f>(IF((VLOOKUP(Table6[[#This Row],[SKU]],'All Skus'!$A:$AC,2,FALSE))="JBL",(VLOOKUP(Table6[[#This Row],[SKU]],'All Skus'!$A:$AC,8,FALSE)),""))</f>
        <v>4" FULL-RANGE PENDANT SPKR, WHT</v>
      </c>
      <c r="H213" s="8" t="str">
        <f>(IF((VLOOKUP(Table6[[#This Row],[SKU]],'All Skus'!$A:$AC,2,FALSE))="JBL",(VLOOKUP(Table6[[#This Row],[SKU]],'All Skus'!$A:$AC,9,FALSE)),""))</f>
        <v>Compact Full-Range Pendant Speaker. 4" (100 mm) driver with polypropylene cone, 120 degree conical coverage, 50 Watts Cont. Pink Noise Power Handling (200W peak) at 8 ohms, plus 30W 70V/100V multi-tap transformer, redundant suspension cable system included. White (-WH). Priced as each, sold and packaged in pairs.</v>
      </c>
      <c r="I213" s="101">
        <f>(IF((VLOOKUP(Table6[[#This Row],[SKU]],'All Skus'!$A:$AC,2,FALSE))="JBL",(VLOOKUP(Table6[[#This Row],[SKU]],'All Skus'!$A:$AC,10,FALSE)),""))</f>
        <v>222.4</v>
      </c>
      <c r="J213" s="101">
        <f>(IF((VLOOKUP(Table6[[#This Row],[SKU]],'All Skus'!$A:$AC,2,FALSE))="JBL",(VLOOKUP(Table6[[#This Row],[SKU]],'All Skus'!$A:$AC,11,FALSE)),""))</f>
        <v>175</v>
      </c>
      <c r="K213" s="102">
        <f>(IF((VLOOKUP(Table6[[#This Row],[SKU]],'All Skus'!$A:$AC,2,FALSE))="JBL",(VLOOKUP(Table6[[#This Row],[SKU]],'All Skus'!$A:$AC,13,FALSE)),""))</f>
        <v>0</v>
      </c>
      <c r="L213" s="102">
        <f>(IF((VLOOKUP(Table6[[#This Row],[SKU]],'All Skus'!$A:$AC,2,FALSE))="JBL",(VLOOKUP(Table6[[#This Row],[SKU]],'All Skus'!$A:$AC,14,FALSE)),""))</f>
        <v>0</v>
      </c>
      <c r="M213" s="143">
        <f>(IF((VLOOKUP(Table6[[#This Row],[SKU]],'All Skus'!$A:$AC,2,FALSE))="JBL",(VLOOKUP(Table6[[#This Row],[SKU]],'All Skus'!$A:$AC,15,FALSE)),""))</f>
        <v>2</v>
      </c>
      <c r="N213" s="137">
        <f>(IF((VLOOKUP(Table6[[#This Row],[SKU]],'All Skus'!$A:$AC,2,FALSE))="JBL",(VLOOKUP(Table6[[#This Row],[SKU]],'All Skus'!$A:$AC,16,FALSE)),""))</f>
        <v>691991004247</v>
      </c>
      <c r="O213" s="61">
        <f>(IF((VLOOKUP(Table6[[#This Row],[SKU]],'All Skus'!$A:$AC,2,FALSE))="JBL",(VLOOKUP(Table6[[#This Row],[SKU]],'All Skus'!$A:$AC,17,FALSE)),""))</f>
        <v>0</v>
      </c>
      <c r="P213" s="136">
        <f>(IF((VLOOKUP(Table6[[#This Row],[SKU]],'All Skus'!$A:$AC,2,FALSE))="JBL",(VLOOKUP(Table6[[#This Row],[SKU]],'All Skus'!$A:$AC,18,FALSE)),""))</f>
        <v>13</v>
      </c>
      <c r="Q213" s="136">
        <f>(IF((VLOOKUP(Table6[[#This Row],[SKU]],'All Skus'!$A:$AC,2,FALSE))="JBL",(VLOOKUP(Table6[[#This Row],[SKU]],'All Skus'!$A:$AC,19,FALSE)),""))</f>
        <v>10.5</v>
      </c>
      <c r="R213" s="136">
        <f>(IF((VLOOKUP(Table6[[#This Row],[SKU]],'All Skus'!$A:$AC,2,FALSE))="JBL",(VLOOKUP(Table6[[#This Row],[SKU]],'All Skus'!$A:$AC,20,FALSE)),""))</f>
        <v>10</v>
      </c>
      <c r="S213" s="61">
        <f>(IF((VLOOKUP(Table6[[#This Row],[SKU]],'All Skus'!$A:$AC,2,FALSE))="JBL",(VLOOKUP(Table6[[#This Row],[SKU]],'All Skus'!$A:$AC,21,FALSE)),""))</f>
        <v>13</v>
      </c>
      <c r="T213" s="61" t="str">
        <f>(IF((VLOOKUP(Table6[[#This Row],[SKU]],'All Skus'!$A:$AC,2,FALSE))="JBL",(VLOOKUP(Table6[[#This Row],[SKU]],'All Skus'!$A:$AC,22,FALSE)),""))</f>
        <v>CN</v>
      </c>
      <c r="U213" t="str">
        <f>(IF((VLOOKUP(Table6[[#This Row],[SKU]],'All Skus'!$A:$AC,2,FALSE))="JBL",(VLOOKUP(Table6[[#This Row],[SKU]],'All Skus'!$A:$AC,23,FALSE)),""))</f>
        <v>Non Compliant</v>
      </c>
      <c r="V213" s="284" t="str">
        <f>HYPERLINK((IF((VLOOKUP(Table6[[#This Row],[SKU]],'All Skus'!$A:$AC,2,FALSE))="JBL",(VLOOKUP(Table6[[#This Row],[SKU]],'All Skus'!$A:$AC,24,FALSE)),"")))</f>
        <v xml:space="preserve">http://www.jblpro.com/www/products/installed-sound/control-60-series/control-64p-t </v>
      </c>
      <c r="W213" s="151">
        <v>211</v>
      </c>
    </row>
    <row r="214" spans="1:23" ht="15" hidden="1" customHeight="1">
      <c r="A214" s="13" t="s">
        <v>1220</v>
      </c>
      <c r="B214" s="12" t="str">
        <f>(IF((VLOOKUP(Table6[[#This Row],[SKU]],'All Skus'!$A:$AC,2,FALSE))="JBL",(VLOOKUP(Table6[[#This Row],[SKU]],'All Skus'!$A:$AC,3,FALSE)),""))</f>
        <v>Pendant Speaker</v>
      </c>
      <c r="C214" s="12" t="str">
        <f>(IF((VLOOKUP(Table6[[#This Row],[SKU]],'All Skus'!$A:$AC,2,FALSE))="JBL",(VLOOKUP(Table6[[#This Row],[SKU]],'All Skus'!$A:$AC,4,FALSE)),""))</f>
        <v>C65P/T</v>
      </c>
      <c r="D214" s="61" t="str">
        <f>(IF((VLOOKUP(Table6[[#This Row],[SKU]],'All Skus'!$A:$AC,2,FALSE))="JBL",(VLOOKUP(Table6[[#This Row],[SKU]],'All Skus'!$A:$AC,5,FALSE)),""))</f>
        <v>JBL018</v>
      </c>
      <c r="E214" s="137">
        <f>(IF((VLOOKUP(Table6[[#This Row],[SKU]],'All Skus'!$A:$AC,2,FALSE))="JBL",(VLOOKUP(Table6[[#This Row],[SKU]],'All Skus'!$A:$AC,6,FALSE)),""))</f>
        <v>0</v>
      </c>
      <c r="F214" s="61">
        <f>(IF((VLOOKUP(Table6[[#This Row],[SKU]],'All Skus'!$A:$AC,2,FALSE))="JBL",(VLOOKUP(Table6[[#This Row],[SKU]],'All Skus'!$A:$AC,7,FALSE)),""))</f>
        <v>0</v>
      </c>
      <c r="G214" t="str">
        <f>(IF((VLOOKUP(Table6[[#This Row],[SKU]],'All Skus'!$A:$AC,2,FALSE))="JBL",(VLOOKUP(Table6[[#This Row],[SKU]],'All Skus'!$A:$AC,8,FALSE)),""))</f>
        <v>Compact Full-Range Pendant Spkr w 5-1/4"</v>
      </c>
      <c r="H214" s="8" t="str">
        <f>(IF((VLOOKUP(Table6[[#This Row],[SKU]],'All Skus'!$A:$AC,2,FALSE))="JBL",(VLOOKUP(Table6[[#This Row],[SKU]],'All Skus'!$A:$AC,9,FALSE)),""))</f>
        <v>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v>
      </c>
      <c r="I214" s="101">
        <f>(IF((VLOOKUP(Table6[[#This Row],[SKU]],'All Skus'!$A:$AC,2,FALSE))="JBL",(VLOOKUP(Table6[[#This Row],[SKU]],'All Skus'!$A:$AC,10,FALSE)),""))</f>
        <v>290.36</v>
      </c>
      <c r="J214" s="101">
        <f>(IF((VLOOKUP(Table6[[#This Row],[SKU]],'All Skus'!$A:$AC,2,FALSE))="JBL",(VLOOKUP(Table6[[#This Row],[SKU]],'All Skus'!$A:$AC,11,FALSE)),""))</f>
        <v>232</v>
      </c>
      <c r="K214" s="102">
        <f>(IF((VLOOKUP(Table6[[#This Row],[SKU]],'All Skus'!$A:$AC,2,FALSE))="JBL",(VLOOKUP(Table6[[#This Row],[SKU]],'All Skus'!$A:$AC,13,FALSE)),""))</f>
        <v>160.68832000000003</v>
      </c>
      <c r="L214" s="102">
        <f>(IF((VLOOKUP(Table6[[#This Row],[SKU]],'All Skus'!$A:$AC,2,FALSE))="JBL",(VLOOKUP(Table6[[#This Row],[SKU]],'All Skus'!$A:$AC,14,FALSE)),""))</f>
        <v>152.23104000000004</v>
      </c>
      <c r="M214" s="143">
        <f>(IF((VLOOKUP(Table6[[#This Row],[SKU]],'All Skus'!$A:$AC,2,FALSE))="JBL",(VLOOKUP(Table6[[#This Row],[SKU]],'All Skus'!$A:$AC,15,FALSE)),""))</f>
        <v>2</v>
      </c>
      <c r="N214" s="137">
        <f>(IF((VLOOKUP(Table6[[#This Row],[SKU]],'All Skus'!$A:$AC,2,FALSE))="JBL",(VLOOKUP(Table6[[#This Row],[SKU]],'All Skus'!$A:$AC,16,FALSE)),""))</f>
        <v>50036903851</v>
      </c>
      <c r="O214" s="61">
        <f>(IF((VLOOKUP(Table6[[#This Row],[SKU]],'All Skus'!$A:$AC,2,FALSE))="JBL",(VLOOKUP(Table6[[#This Row],[SKU]],'All Skus'!$A:$AC,17,FALSE)),""))</f>
        <v>0</v>
      </c>
      <c r="P214" s="136">
        <f>(IF((VLOOKUP(Table6[[#This Row],[SKU]],'All Skus'!$A:$AC,2,FALSE))="JBL",(VLOOKUP(Table6[[#This Row],[SKU]],'All Skus'!$A:$AC,18,FALSE)),""))</f>
        <v>10.199999999999999</v>
      </c>
      <c r="Q214" s="136">
        <f>(IF((VLOOKUP(Table6[[#This Row],[SKU]],'All Skus'!$A:$AC,2,FALSE))="JBL",(VLOOKUP(Table6[[#This Row],[SKU]],'All Skus'!$A:$AC,19,FALSE)),""))</f>
        <v>5.5</v>
      </c>
      <c r="R214" s="136">
        <f>(IF((VLOOKUP(Table6[[#This Row],[SKU]],'All Skus'!$A:$AC,2,FALSE))="JBL",(VLOOKUP(Table6[[#This Row],[SKU]],'All Skus'!$A:$AC,20,FALSE)),""))</f>
        <v>11</v>
      </c>
      <c r="S214" s="61">
        <f>(IF((VLOOKUP(Table6[[#This Row],[SKU]],'All Skus'!$A:$AC,2,FALSE))="JBL",(VLOOKUP(Table6[[#This Row],[SKU]],'All Skus'!$A:$AC,21,FALSE)),""))</f>
        <v>7</v>
      </c>
      <c r="T214" s="61" t="str">
        <f>(IF((VLOOKUP(Table6[[#This Row],[SKU]],'All Skus'!$A:$AC,2,FALSE))="JBL",(VLOOKUP(Table6[[#This Row],[SKU]],'All Skus'!$A:$AC,22,FALSE)),""))</f>
        <v>CN</v>
      </c>
      <c r="U214" t="str">
        <f>(IF((VLOOKUP(Table6[[#This Row],[SKU]],'All Skus'!$A:$AC,2,FALSE))="JBL",(VLOOKUP(Table6[[#This Row],[SKU]],'All Skus'!$A:$AC,23,FALSE)),""))</f>
        <v>Non Compliant</v>
      </c>
      <c r="V214" s="284" t="str">
        <f>HYPERLINK((IF((VLOOKUP(Table6[[#This Row],[SKU]],'All Skus'!$A:$AC,2,FALSE))="JBL",(VLOOKUP(Table6[[#This Row],[SKU]],'All Skus'!$A:$AC,24,FALSE)),"")))</f>
        <v xml:space="preserve">http://www.jblpro.com/www/products/installed-sound/control-60-series/control-65p-t </v>
      </c>
      <c r="W214" s="151">
        <v>212</v>
      </c>
    </row>
    <row r="215" spans="1:23" ht="15" hidden="1" customHeight="1">
      <c r="A215" s="13" t="s">
        <v>1221</v>
      </c>
      <c r="B215" s="12" t="str">
        <f>(IF((VLOOKUP(Table6[[#This Row],[SKU]],'All Skus'!$A:$AC,2,FALSE))="JBL",(VLOOKUP(Table6[[#This Row],[SKU]],'All Skus'!$A:$AC,3,FALSE)),""))</f>
        <v>Pendant Speaker</v>
      </c>
      <c r="C215" s="12" t="str">
        <f>(IF((VLOOKUP(Table6[[#This Row],[SKU]],'All Skus'!$A:$AC,2,FALSE))="JBL",(VLOOKUP(Table6[[#This Row],[SKU]],'All Skus'!$A:$AC,4,FALSE)),""))</f>
        <v>C65P/T-WH</v>
      </c>
      <c r="D215" s="61" t="str">
        <f>(IF((VLOOKUP(Table6[[#This Row],[SKU]],'All Skus'!$A:$AC,2,FALSE))="JBL",(VLOOKUP(Table6[[#This Row],[SKU]],'All Skus'!$A:$AC,5,FALSE)),""))</f>
        <v>JBL018</v>
      </c>
      <c r="E215" s="137">
        <f>(IF((VLOOKUP(Table6[[#This Row],[SKU]],'All Skus'!$A:$AC,2,FALSE))="JBL",(VLOOKUP(Table6[[#This Row],[SKU]],'All Skus'!$A:$AC,6,FALSE)),""))</f>
        <v>0</v>
      </c>
      <c r="F215" s="61">
        <f>(IF((VLOOKUP(Table6[[#This Row],[SKU]],'All Skus'!$A:$AC,2,FALSE))="JBL",(VLOOKUP(Table6[[#This Row],[SKU]],'All Skus'!$A:$AC,7,FALSE)),""))</f>
        <v>0</v>
      </c>
      <c r="G215" t="str">
        <f>(IF((VLOOKUP(Table6[[#This Row],[SKU]],'All Skus'!$A:$AC,2,FALSE))="JBL",(VLOOKUP(Table6[[#This Row],[SKU]],'All Skus'!$A:$AC,8,FALSE)),""))</f>
        <v>Compact Full-Range Pendant Spkr w 5-1/4"</v>
      </c>
      <c r="H215" s="8" t="str">
        <f>(IF((VLOOKUP(Table6[[#This Row],[SKU]],'All Skus'!$A:$AC,2,FALSE))="JBL",(VLOOKUP(Table6[[#This Row],[SKU]],'All Skus'!$A:$AC,9,FALSE)),""))</f>
        <v>Compact Full-Range Pendant Speaker with RBI.  5-1/4" (130 mm) LF &amp; silk dome HF, RBI Radiation Boundary Integrator® technology with 120 degree conical coverage, true coax, 75W at 8 ohms, plus 10W 70V/100V multi-tap transformer, redundant suspension cable system included (priced as each sold in pairs), in white.</v>
      </c>
      <c r="I215" s="101">
        <f>(IF((VLOOKUP(Table6[[#This Row],[SKU]],'All Skus'!$A:$AC,2,FALSE))="JBL",(VLOOKUP(Table6[[#This Row],[SKU]],'All Skus'!$A:$AC,10,FALSE)),""))</f>
        <v>290.36</v>
      </c>
      <c r="J215" s="101">
        <f>(IF((VLOOKUP(Table6[[#This Row],[SKU]],'All Skus'!$A:$AC,2,FALSE))="JBL",(VLOOKUP(Table6[[#This Row],[SKU]],'All Skus'!$A:$AC,11,FALSE)),""))</f>
        <v>232</v>
      </c>
      <c r="K215" s="102">
        <f>(IF((VLOOKUP(Table6[[#This Row],[SKU]],'All Skus'!$A:$AC,2,FALSE))="JBL",(VLOOKUP(Table6[[#This Row],[SKU]],'All Skus'!$A:$AC,13,FALSE)),""))</f>
        <v>160.68832000000003</v>
      </c>
      <c r="L215" s="102">
        <f>(IF((VLOOKUP(Table6[[#This Row],[SKU]],'All Skus'!$A:$AC,2,FALSE))="JBL",(VLOOKUP(Table6[[#This Row],[SKU]],'All Skus'!$A:$AC,14,FALSE)),""))</f>
        <v>152.23104000000004</v>
      </c>
      <c r="M215" s="143">
        <f>(IF((VLOOKUP(Table6[[#This Row],[SKU]],'All Skus'!$A:$AC,2,FALSE))="JBL",(VLOOKUP(Table6[[#This Row],[SKU]],'All Skus'!$A:$AC,15,FALSE)),""))</f>
        <v>2</v>
      </c>
      <c r="N215" s="137">
        <f>(IF((VLOOKUP(Table6[[#This Row],[SKU]],'All Skus'!$A:$AC,2,FALSE))="JBL",(VLOOKUP(Table6[[#This Row],[SKU]],'All Skus'!$A:$AC,16,FALSE)),""))</f>
        <v>50036903868</v>
      </c>
      <c r="O215" s="61">
        <f>(IF((VLOOKUP(Table6[[#This Row],[SKU]],'All Skus'!$A:$AC,2,FALSE))="JBL",(VLOOKUP(Table6[[#This Row],[SKU]],'All Skus'!$A:$AC,17,FALSE)),""))</f>
        <v>0</v>
      </c>
      <c r="P215" s="136">
        <f>(IF((VLOOKUP(Table6[[#This Row],[SKU]],'All Skus'!$A:$AC,2,FALSE))="JBL",(VLOOKUP(Table6[[#This Row],[SKU]],'All Skus'!$A:$AC,18,FALSE)),""))</f>
        <v>10.5</v>
      </c>
      <c r="Q215" s="136">
        <f>(IF((VLOOKUP(Table6[[#This Row],[SKU]],'All Skus'!$A:$AC,2,FALSE))="JBL",(VLOOKUP(Table6[[#This Row],[SKU]],'All Skus'!$A:$AC,19,FALSE)),""))</f>
        <v>10.5</v>
      </c>
      <c r="R215" s="136">
        <f>(IF((VLOOKUP(Table6[[#This Row],[SKU]],'All Skus'!$A:$AC,2,FALSE))="JBL",(VLOOKUP(Table6[[#This Row],[SKU]],'All Skus'!$A:$AC,20,FALSE)),""))</f>
        <v>5.5</v>
      </c>
      <c r="S215" s="61">
        <f>(IF((VLOOKUP(Table6[[#This Row],[SKU]],'All Skus'!$A:$AC,2,FALSE))="JBL",(VLOOKUP(Table6[[#This Row],[SKU]],'All Skus'!$A:$AC,21,FALSE)),""))</f>
        <v>6.5</v>
      </c>
      <c r="T215" s="61" t="str">
        <f>(IF((VLOOKUP(Table6[[#This Row],[SKU]],'All Skus'!$A:$AC,2,FALSE))="JBL",(VLOOKUP(Table6[[#This Row],[SKU]],'All Skus'!$A:$AC,22,FALSE)),""))</f>
        <v>CN</v>
      </c>
      <c r="U215" t="str">
        <f>(IF((VLOOKUP(Table6[[#This Row],[SKU]],'All Skus'!$A:$AC,2,FALSE))="JBL",(VLOOKUP(Table6[[#This Row],[SKU]],'All Skus'!$A:$AC,23,FALSE)),""))</f>
        <v>Non Compliant</v>
      </c>
      <c r="V215" s="284" t="str">
        <f>HYPERLINK((IF((VLOOKUP(Table6[[#This Row],[SKU]],'All Skus'!$A:$AC,2,FALSE))="JBL",(VLOOKUP(Table6[[#This Row],[SKU]],'All Skus'!$A:$AC,24,FALSE)),"")))</f>
        <v xml:space="preserve">http://www.jblpro.com/www/products/installed-sound/control-60-series/control-65p-t </v>
      </c>
      <c r="W215" s="151">
        <v>213</v>
      </c>
    </row>
    <row r="216" spans="1:23" ht="15" hidden="1" customHeight="1">
      <c r="A216" s="13" t="s">
        <v>1222</v>
      </c>
      <c r="B216" s="12" t="str">
        <f>(IF((VLOOKUP(Table6[[#This Row],[SKU]],'All Skus'!$A:$AC,2,FALSE))="JBL",(VLOOKUP(Table6[[#This Row],[SKU]],'All Skus'!$A:$AC,3,FALSE)),""))</f>
        <v>Pendant Speaker</v>
      </c>
      <c r="C216" s="12" t="str">
        <f>(IF((VLOOKUP(Table6[[#This Row],[SKU]],'All Skus'!$A:$AC,2,FALSE))="JBL",(VLOOKUP(Table6[[#This Row],[SKU]],'All Skus'!$A:$AC,4,FALSE)),""))</f>
        <v>C67HC/T</v>
      </c>
      <c r="D216" s="61" t="str">
        <f>(IF((VLOOKUP(Table6[[#This Row],[SKU]],'All Skus'!$A:$AC,2,FALSE))="JBL",(VLOOKUP(Table6[[#This Row],[SKU]],'All Skus'!$A:$AC,5,FALSE)),""))</f>
        <v>JBL018</v>
      </c>
      <c r="E216" s="137">
        <f>(IF((VLOOKUP(Table6[[#This Row],[SKU]],'All Skus'!$A:$AC,2,FALSE))="JBL",(VLOOKUP(Table6[[#This Row],[SKU]],'All Skus'!$A:$AC,6,FALSE)),""))</f>
        <v>0</v>
      </c>
      <c r="F216" s="61">
        <f>(IF((VLOOKUP(Table6[[#This Row],[SKU]],'All Skus'!$A:$AC,2,FALSE))="JBL",(VLOOKUP(Table6[[#This Row],[SKU]],'All Skus'!$A:$AC,7,FALSE)),""))</f>
        <v>0</v>
      </c>
      <c r="G216" t="str">
        <f>(IF((VLOOKUP(Table6[[#This Row],[SKU]],'All Skus'!$A:$AC,2,FALSE))="JBL",(VLOOKUP(Table6[[#This Row],[SKU]],'All Skus'!$A:$AC,8,FALSE)),""))</f>
        <v>Narrow-Coverage Pendant Spkr w 6-1/2"</v>
      </c>
      <c r="H216" s="8" t="str">
        <f>(IF((VLOOKUP(Table6[[#This Row],[SKU]],'All Skus'!$A:$AC,2,FALSE))="JBL",(VLOOKUP(Table6[[#This Row],[SKU]],'All Skus'!$A:$AC,9,FALSE)),""))</f>
        <v>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v>
      </c>
      <c r="I216" s="101">
        <f>(IF((VLOOKUP(Table6[[#This Row],[SKU]],'All Skus'!$A:$AC,2,FALSE))="JBL",(VLOOKUP(Table6[[#This Row],[SKU]],'All Skus'!$A:$AC,10,FALSE)),""))</f>
        <v>494.23</v>
      </c>
      <c r="J216" s="101">
        <f>(IF((VLOOKUP(Table6[[#This Row],[SKU]],'All Skus'!$A:$AC,2,FALSE))="JBL",(VLOOKUP(Table6[[#This Row],[SKU]],'All Skus'!$A:$AC,11,FALSE)),""))</f>
        <v>397</v>
      </c>
      <c r="K216" s="102">
        <f>(IF((VLOOKUP(Table6[[#This Row],[SKU]],'All Skus'!$A:$AC,2,FALSE))="JBL",(VLOOKUP(Table6[[#This Row],[SKU]],'All Skus'!$A:$AC,13,FALSE)),""))</f>
        <v>273.49948999999998</v>
      </c>
      <c r="L216" s="102">
        <f>(IF((VLOOKUP(Table6[[#This Row],[SKU]],'All Skus'!$A:$AC,2,FALSE))="JBL",(VLOOKUP(Table6[[#This Row],[SKU]],'All Skus'!$A:$AC,14,FALSE)),""))</f>
        <v>259.10478000000001</v>
      </c>
      <c r="M216" s="143">
        <f>(IF((VLOOKUP(Table6[[#This Row],[SKU]],'All Skus'!$A:$AC,2,FALSE))="JBL",(VLOOKUP(Table6[[#This Row],[SKU]],'All Skus'!$A:$AC,15,FALSE)),""))</f>
        <v>2</v>
      </c>
      <c r="N216" s="137">
        <f>(IF((VLOOKUP(Table6[[#This Row],[SKU]],'All Skus'!$A:$AC,2,FALSE))="JBL",(VLOOKUP(Table6[[#This Row],[SKU]],'All Skus'!$A:$AC,16,FALSE)),""))</f>
        <v>50036903875</v>
      </c>
      <c r="O216" s="61">
        <f>(IF((VLOOKUP(Table6[[#This Row],[SKU]],'All Skus'!$A:$AC,2,FALSE))="JBL",(VLOOKUP(Table6[[#This Row],[SKU]],'All Skus'!$A:$AC,17,FALSE)),""))</f>
        <v>0</v>
      </c>
      <c r="P216" s="136">
        <f>(IF((VLOOKUP(Table6[[#This Row],[SKU]],'All Skus'!$A:$AC,2,FALSE))="JBL",(VLOOKUP(Table6[[#This Row],[SKU]],'All Skus'!$A:$AC,18,FALSE)),""))</f>
        <v>16</v>
      </c>
      <c r="Q216" s="136">
        <f>(IF((VLOOKUP(Table6[[#This Row],[SKU]],'All Skus'!$A:$AC,2,FALSE))="JBL",(VLOOKUP(Table6[[#This Row],[SKU]],'All Skus'!$A:$AC,19,FALSE)),""))</f>
        <v>14</v>
      </c>
      <c r="R216" s="136">
        <f>(IF((VLOOKUP(Table6[[#This Row],[SKU]],'All Skus'!$A:$AC,2,FALSE))="JBL",(VLOOKUP(Table6[[#This Row],[SKU]],'All Skus'!$A:$AC,20,FALSE)),""))</f>
        <v>7</v>
      </c>
      <c r="S216" s="61">
        <f>(IF((VLOOKUP(Table6[[#This Row],[SKU]],'All Skus'!$A:$AC,2,FALSE))="JBL",(VLOOKUP(Table6[[#This Row],[SKU]],'All Skus'!$A:$AC,21,FALSE)),""))</f>
        <v>8</v>
      </c>
      <c r="T216" s="61" t="str">
        <f>(IF((VLOOKUP(Table6[[#This Row],[SKU]],'All Skus'!$A:$AC,2,FALSE))="JBL",(VLOOKUP(Table6[[#This Row],[SKU]],'All Skus'!$A:$AC,22,FALSE)),""))</f>
        <v>CN</v>
      </c>
      <c r="U216" t="str">
        <f>(IF((VLOOKUP(Table6[[#This Row],[SKU]],'All Skus'!$A:$AC,2,FALSE))="JBL",(VLOOKUP(Table6[[#This Row],[SKU]],'All Skus'!$A:$AC,23,FALSE)),""))</f>
        <v>Non Compliant</v>
      </c>
      <c r="V216" s="284" t="str">
        <f>HYPERLINK((IF((VLOOKUP(Table6[[#This Row],[SKU]],'All Skus'!$A:$AC,2,FALSE))="JBL",(VLOOKUP(Table6[[#This Row],[SKU]],'All Skus'!$A:$AC,24,FALSE)),"")))</f>
        <v xml:space="preserve">http://www.jblpro.com/www/products/installed-sound/control-60-series/control-67hc-t </v>
      </c>
      <c r="W216" s="151">
        <v>214</v>
      </c>
    </row>
    <row r="217" spans="1:23" ht="15" hidden="1" customHeight="1">
      <c r="A217" s="13" t="s">
        <v>1223</v>
      </c>
      <c r="B217" s="12" t="str">
        <f>(IF((VLOOKUP(Table6[[#This Row],[SKU]],'All Skus'!$A:$AC,2,FALSE))="JBL",(VLOOKUP(Table6[[#This Row],[SKU]],'All Skus'!$A:$AC,3,FALSE)),""))</f>
        <v>Pendant Speaker</v>
      </c>
      <c r="C217" s="12" t="str">
        <f>(IF((VLOOKUP(Table6[[#This Row],[SKU]],'All Skus'!$A:$AC,2,FALSE))="JBL",(VLOOKUP(Table6[[#This Row],[SKU]],'All Skus'!$A:$AC,4,FALSE)),""))</f>
        <v>C67HC/T-WH</v>
      </c>
      <c r="D217" s="61" t="str">
        <f>(IF((VLOOKUP(Table6[[#This Row],[SKU]],'All Skus'!$A:$AC,2,FALSE))="JBL",(VLOOKUP(Table6[[#This Row],[SKU]],'All Skus'!$A:$AC,5,FALSE)),""))</f>
        <v>JBL018</v>
      </c>
      <c r="E217" s="137">
        <f>(IF((VLOOKUP(Table6[[#This Row],[SKU]],'All Skus'!$A:$AC,2,FALSE))="JBL",(VLOOKUP(Table6[[#This Row],[SKU]],'All Skus'!$A:$AC,6,FALSE)),""))</f>
        <v>0</v>
      </c>
      <c r="F217" s="61">
        <f>(IF((VLOOKUP(Table6[[#This Row],[SKU]],'All Skus'!$A:$AC,2,FALSE))="JBL",(VLOOKUP(Table6[[#This Row],[SKU]],'All Skus'!$A:$AC,7,FALSE)),""))</f>
        <v>0</v>
      </c>
      <c r="G217" t="str">
        <f>(IF((VLOOKUP(Table6[[#This Row],[SKU]],'All Skus'!$A:$AC,2,FALSE))="JBL",(VLOOKUP(Table6[[#This Row],[SKU]],'All Skus'!$A:$AC,8,FALSE)),""))</f>
        <v>Narrow-Coverage Pendant Spkr w 6-1/2"</v>
      </c>
      <c r="H217" s="8" t="str">
        <f>(IF((VLOOKUP(Table6[[#This Row],[SKU]],'All Skus'!$A:$AC,2,FALSE))="JBL",(VLOOKUP(Table6[[#This Row],[SKU]],'All Skus'!$A:$AC,9,FALSE)),""))</f>
        <v>Narrow-coverage High-Ceiling Pendant Speaker with RBI.  6-1/2" (165 mm) LF &amp; silk dome HF, RBI Radiation Boundary Integrator® technology with narrow 75 degree conical coverage, true coax, excellent clarity in high-ceiling installs and reverberant spaces, 75W at 8 ohms plus 60W 70V/100V multi-tap transformer, redundant suspension cable system included (priced as each; sold in pairs), in white.</v>
      </c>
      <c r="I217" s="101">
        <f>(IF((VLOOKUP(Table6[[#This Row],[SKU]],'All Skus'!$A:$AC,2,FALSE))="JBL",(VLOOKUP(Table6[[#This Row],[SKU]],'All Skus'!$A:$AC,10,FALSE)),""))</f>
        <v>494.23</v>
      </c>
      <c r="J217" s="101">
        <f>(IF((VLOOKUP(Table6[[#This Row],[SKU]],'All Skus'!$A:$AC,2,FALSE))="JBL",(VLOOKUP(Table6[[#This Row],[SKU]],'All Skus'!$A:$AC,11,FALSE)),""))</f>
        <v>397</v>
      </c>
      <c r="K217" s="102">
        <f>(IF((VLOOKUP(Table6[[#This Row],[SKU]],'All Skus'!$A:$AC,2,FALSE))="JBL",(VLOOKUP(Table6[[#This Row],[SKU]],'All Skus'!$A:$AC,13,FALSE)),""))</f>
        <v>273.49948999999998</v>
      </c>
      <c r="L217" s="102">
        <f>(IF((VLOOKUP(Table6[[#This Row],[SKU]],'All Skus'!$A:$AC,2,FALSE))="JBL",(VLOOKUP(Table6[[#This Row],[SKU]],'All Skus'!$A:$AC,14,FALSE)),""))</f>
        <v>259.10478000000001</v>
      </c>
      <c r="M217" s="143">
        <f>(IF((VLOOKUP(Table6[[#This Row],[SKU]],'All Skus'!$A:$AC,2,FALSE))="JBL",(VLOOKUP(Table6[[#This Row],[SKU]],'All Skus'!$A:$AC,15,FALSE)),""))</f>
        <v>2</v>
      </c>
      <c r="N217" s="137">
        <f>(IF((VLOOKUP(Table6[[#This Row],[SKU]],'All Skus'!$A:$AC,2,FALSE))="JBL",(VLOOKUP(Table6[[#This Row],[SKU]],'All Skus'!$A:$AC,16,FALSE)),""))</f>
        <v>50036903882</v>
      </c>
      <c r="O217" s="61">
        <f>(IF((VLOOKUP(Table6[[#This Row],[SKU]],'All Skus'!$A:$AC,2,FALSE))="JBL",(VLOOKUP(Table6[[#This Row],[SKU]],'All Skus'!$A:$AC,17,FALSE)),""))</f>
        <v>0</v>
      </c>
      <c r="P217" s="136">
        <f>(IF((VLOOKUP(Table6[[#This Row],[SKU]],'All Skus'!$A:$AC,2,FALSE))="JBL",(VLOOKUP(Table6[[#This Row],[SKU]],'All Skus'!$A:$AC,18,FALSE)),""))</f>
        <v>16.25</v>
      </c>
      <c r="Q217" s="136">
        <f>(IF((VLOOKUP(Table6[[#This Row],[SKU]],'All Skus'!$A:$AC,2,FALSE))="JBL",(VLOOKUP(Table6[[#This Row],[SKU]],'All Skus'!$A:$AC,19,FALSE)),""))</f>
        <v>14.25</v>
      </c>
      <c r="R217" s="136">
        <f>(IF((VLOOKUP(Table6[[#This Row],[SKU]],'All Skus'!$A:$AC,2,FALSE))="JBL",(VLOOKUP(Table6[[#This Row],[SKU]],'All Skus'!$A:$AC,20,FALSE)),""))</f>
        <v>7</v>
      </c>
      <c r="S217" s="61">
        <f>(IF((VLOOKUP(Table6[[#This Row],[SKU]],'All Skus'!$A:$AC,2,FALSE))="JBL",(VLOOKUP(Table6[[#This Row],[SKU]],'All Skus'!$A:$AC,21,FALSE)),""))</f>
        <v>8.25</v>
      </c>
      <c r="T217" s="61" t="str">
        <f>(IF((VLOOKUP(Table6[[#This Row],[SKU]],'All Skus'!$A:$AC,2,FALSE))="JBL",(VLOOKUP(Table6[[#This Row],[SKU]],'All Skus'!$A:$AC,22,FALSE)),""))</f>
        <v>CN</v>
      </c>
      <c r="U217" t="str">
        <f>(IF((VLOOKUP(Table6[[#This Row],[SKU]],'All Skus'!$A:$AC,2,FALSE))="JBL",(VLOOKUP(Table6[[#This Row],[SKU]],'All Skus'!$A:$AC,23,FALSE)),""))</f>
        <v>Non Compliant</v>
      </c>
      <c r="V217" s="284" t="str">
        <f>HYPERLINK((IF((VLOOKUP(Table6[[#This Row],[SKU]],'All Skus'!$A:$AC,2,FALSE))="JBL",(VLOOKUP(Table6[[#This Row],[SKU]],'All Skus'!$A:$AC,24,FALSE)),"")))</f>
        <v xml:space="preserve">http://www.jblpro.com/www/products/installed-sound/control-60-series/control-67hc-t </v>
      </c>
      <c r="W217" s="151">
        <v>215</v>
      </c>
    </row>
    <row r="218" spans="1:23" ht="15" hidden="1" customHeight="1">
      <c r="A218" s="13" t="s">
        <v>1224</v>
      </c>
      <c r="B218" s="12" t="str">
        <f>(IF((VLOOKUP(Table6[[#This Row],[SKU]],'All Skus'!$A:$AC,2,FALSE))="JBL",(VLOOKUP(Table6[[#This Row],[SKU]],'All Skus'!$A:$AC,3,FALSE)),""))</f>
        <v>Pendant Speaker</v>
      </c>
      <c r="C218" s="12" t="str">
        <f>(IF((VLOOKUP(Table6[[#This Row],[SKU]],'All Skus'!$A:$AC,2,FALSE))="JBL",(VLOOKUP(Table6[[#This Row],[SKU]],'All Skus'!$A:$AC,4,FALSE)),""))</f>
        <v>C67P/T</v>
      </c>
      <c r="D218" s="61" t="str">
        <f>(IF((VLOOKUP(Table6[[#This Row],[SKU]],'All Skus'!$A:$AC,2,FALSE))="JBL",(VLOOKUP(Table6[[#This Row],[SKU]],'All Skus'!$A:$AC,5,FALSE)),""))</f>
        <v>JBL018</v>
      </c>
      <c r="E218" s="137">
        <f>(IF((VLOOKUP(Table6[[#This Row],[SKU]],'All Skus'!$A:$AC,2,FALSE))="JBL",(VLOOKUP(Table6[[#This Row],[SKU]],'All Skus'!$A:$AC,6,FALSE)),""))</f>
        <v>0</v>
      </c>
      <c r="F218" s="61">
        <f>(IF((VLOOKUP(Table6[[#This Row],[SKU]],'All Skus'!$A:$AC,2,FALSE))="JBL",(VLOOKUP(Table6[[#This Row],[SKU]],'All Skus'!$A:$AC,7,FALSE)),""))</f>
        <v>0</v>
      </c>
      <c r="G218" t="str">
        <f>(IF((VLOOKUP(Table6[[#This Row],[SKU]],'All Skus'!$A:$AC,2,FALSE))="JBL",(VLOOKUP(Table6[[#This Row],[SKU]],'All Skus'!$A:$AC,8,FALSE)),""))</f>
        <v>Extended-Bass Pendant Spkr w 6-1/2"</v>
      </c>
      <c r="H218" s="8" t="str">
        <f>(IF((VLOOKUP(Table6[[#This Row],[SKU]],'All Skus'!$A:$AC,2,FALSE))="JBL",(VLOOKUP(Table6[[#This Row],[SKU]],'All Skus'!$A:$AC,9,FALSE)),""))</f>
        <v>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v>
      </c>
      <c r="I218" s="101">
        <f>(IF((VLOOKUP(Table6[[#This Row],[SKU]],'All Skus'!$A:$AC,2,FALSE))="JBL",(VLOOKUP(Table6[[#This Row],[SKU]],'All Skus'!$A:$AC,10,FALSE)),""))</f>
        <v>420.09</v>
      </c>
      <c r="J218" s="101">
        <f>(IF((VLOOKUP(Table6[[#This Row],[SKU]],'All Skus'!$A:$AC,2,FALSE))="JBL",(VLOOKUP(Table6[[#This Row],[SKU]],'All Skus'!$A:$AC,11,FALSE)),""))</f>
        <v>335</v>
      </c>
      <c r="K218" s="102">
        <f>(IF((VLOOKUP(Table6[[#This Row],[SKU]],'All Skus'!$A:$AC,2,FALSE))="JBL",(VLOOKUP(Table6[[#This Row],[SKU]],'All Skus'!$A:$AC,13,FALSE)),""))</f>
        <v>232.47354999999999</v>
      </c>
      <c r="L218" s="102">
        <f>(IF((VLOOKUP(Table6[[#This Row],[SKU]],'All Skus'!$A:$AC,2,FALSE))="JBL",(VLOOKUP(Table6[[#This Row],[SKU]],'All Skus'!$A:$AC,14,FALSE)),""))</f>
        <v>220.2381</v>
      </c>
      <c r="M218" s="143">
        <f>(IF((VLOOKUP(Table6[[#This Row],[SKU]],'All Skus'!$A:$AC,2,FALSE))="JBL",(VLOOKUP(Table6[[#This Row],[SKU]],'All Skus'!$A:$AC,15,FALSE)),""))</f>
        <v>2</v>
      </c>
      <c r="N218" s="137">
        <f>(IF((VLOOKUP(Table6[[#This Row],[SKU]],'All Skus'!$A:$AC,2,FALSE))="JBL",(VLOOKUP(Table6[[#This Row],[SKU]],'All Skus'!$A:$AC,16,FALSE)),""))</f>
        <v>50036903899</v>
      </c>
      <c r="O218" s="61">
        <f>(IF((VLOOKUP(Table6[[#This Row],[SKU]],'All Skus'!$A:$AC,2,FALSE))="JBL",(VLOOKUP(Table6[[#This Row],[SKU]],'All Skus'!$A:$AC,17,FALSE)),""))</f>
        <v>0</v>
      </c>
      <c r="P218" s="136">
        <f>(IF((VLOOKUP(Table6[[#This Row],[SKU]],'All Skus'!$A:$AC,2,FALSE))="JBL",(VLOOKUP(Table6[[#This Row],[SKU]],'All Skus'!$A:$AC,18,FALSE)),""))</f>
        <v>15</v>
      </c>
      <c r="Q218" s="136">
        <f>(IF((VLOOKUP(Table6[[#This Row],[SKU]],'All Skus'!$A:$AC,2,FALSE))="JBL",(VLOOKUP(Table6[[#This Row],[SKU]],'All Skus'!$A:$AC,19,FALSE)),""))</f>
        <v>10.5</v>
      </c>
      <c r="R218" s="136">
        <f>(IF((VLOOKUP(Table6[[#This Row],[SKU]],'All Skus'!$A:$AC,2,FALSE))="JBL",(VLOOKUP(Table6[[#This Row],[SKU]],'All Skus'!$A:$AC,20,FALSE)),""))</f>
        <v>10.75</v>
      </c>
      <c r="S218" s="61">
        <f>(IF((VLOOKUP(Table6[[#This Row],[SKU]],'All Skus'!$A:$AC,2,FALSE))="JBL",(VLOOKUP(Table6[[#This Row],[SKU]],'All Skus'!$A:$AC,21,FALSE)),""))</f>
        <v>13.25</v>
      </c>
      <c r="T218" s="61" t="str">
        <f>(IF((VLOOKUP(Table6[[#This Row],[SKU]],'All Skus'!$A:$AC,2,FALSE))="JBL",(VLOOKUP(Table6[[#This Row],[SKU]],'All Skus'!$A:$AC,22,FALSE)),""))</f>
        <v>CN</v>
      </c>
      <c r="U218" t="str">
        <f>(IF((VLOOKUP(Table6[[#This Row],[SKU]],'All Skus'!$A:$AC,2,FALSE))="JBL",(VLOOKUP(Table6[[#This Row],[SKU]],'All Skus'!$A:$AC,23,FALSE)),""))</f>
        <v>Non Compliant</v>
      </c>
      <c r="V218" s="284" t="str">
        <f>HYPERLINK((IF((VLOOKUP(Table6[[#This Row],[SKU]],'All Skus'!$A:$AC,2,FALSE))="JBL",(VLOOKUP(Table6[[#This Row],[SKU]],'All Skus'!$A:$AC,24,FALSE)),"")))</f>
        <v>http://www.jblpro.com/www/products/installed-sound/control-60-series/control-67p-t</v>
      </c>
      <c r="W218" s="151">
        <v>216</v>
      </c>
    </row>
    <row r="219" spans="1:23" ht="15" hidden="1" customHeight="1">
      <c r="A219" s="13" t="s">
        <v>1225</v>
      </c>
      <c r="B219" s="12" t="str">
        <f>(IF((VLOOKUP(Table6[[#This Row],[SKU]],'All Skus'!$A:$AC,2,FALSE))="JBL",(VLOOKUP(Table6[[#This Row],[SKU]],'All Skus'!$A:$AC,3,FALSE)),""))</f>
        <v>Pendant Speaker</v>
      </c>
      <c r="C219" s="12" t="str">
        <f>(IF((VLOOKUP(Table6[[#This Row],[SKU]],'All Skus'!$A:$AC,2,FALSE))="JBL",(VLOOKUP(Table6[[#This Row],[SKU]],'All Skus'!$A:$AC,4,FALSE)),""))</f>
        <v>C67P/T-WH</v>
      </c>
      <c r="D219" s="61" t="str">
        <f>(IF((VLOOKUP(Table6[[#This Row],[SKU]],'All Skus'!$A:$AC,2,FALSE))="JBL",(VLOOKUP(Table6[[#This Row],[SKU]],'All Skus'!$A:$AC,5,FALSE)),""))</f>
        <v>JBL018</v>
      </c>
      <c r="E219" s="137">
        <f>(IF((VLOOKUP(Table6[[#This Row],[SKU]],'All Skus'!$A:$AC,2,FALSE))="JBL",(VLOOKUP(Table6[[#This Row],[SKU]],'All Skus'!$A:$AC,6,FALSE)),""))</f>
        <v>0</v>
      </c>
      <c r="F219" s="61">
        <f>(IF((VLOOKUP(Table6[[#This Row],[SKU]],'All Skus'!$A:$AC,2,FALSE))="JBL",(VLOOKUP(Table6[[#This Row],[SKU]],'All Skus'!$A:$AC,7,FALSE)),""))</f>
        <v>0</v>
      </c>
      <c r="G219" t="str">
        <f>(IF((VLOOKUP(Table6[[#This Row],[SKU]],'All Skus'!$A:$AC,2,FALSE))="JBL",(VLOOKUP(Table6[[#This Row],[SKU]],'All Skus'!$A:$AC,8,FALSE)),""))</f>
        <v>Extended-Bass Pendant Spkr w 6-1/2"</v>
      </c>
      <c r="H219" s="8" t="str">
        <f>(IF((VLOOKUP(Table6[[#This Row],[SKU]],'All Skus'!$A:$AC,2,FALSE))="JBL",(VLOOKUP(Table6[[#This Row],[SKU]],'All Skus'!$A:$AC,9,FALSE)),""))</f>
        <v>Extended-Bass Full-Range Pendant Speaker with RBI.  6-1/2" (165 mm) LF &amp; silk dome HF, RBI Radiation Boundary Integrator® technology with 120 degree conical coverage, true coax, 75W at 8 ohms plus 60W 70V/100V multi-tap transformer, redundant suspension cable system included (priced as each; sold in pairs), in white.</v>
      </c>
      <c r="I219" s="101">
        <f>(IF((VLOOKUP(Table6[[#This Row],[SKU]],'All Skus'!$A:$AC,2,FALSE))="JBL",(VLOOKUP(Table6[[#This Row],[SKU]],'All Skus'!$A:$AC,10,FALSE)),""))</f>
        <v>420.09</v>
      </c>
      <c r="J219" s="101">
        <f>(IF((VLOOKUP(Table6[[#This Row],[SKU]],'All Skus'!$A:$AC,2,FALSE))="JBL",(VLOOKUP(Table6[[#This Row],[SKU]],'All Skus'!$A:$AC,11,FALSE)),""))</f>
        <v>335</v>
      </c>
      <c r="K219" s="102">
        <f>(IF((VLOOKUP(Table6[[#This Row],[SKU]],'All Skus'!$A:$AC,2,FALSE))="JBL",(VLOOKUP(Table6[[#This Row],[SKU]],'All Skus'!$A:$AC,13,FALSE)),""))</f>
        <v>232.47354999999999</v>
      </c>
      <c r="L219" s="102">
        <f>(IF((VLOOKUP(Table6[[#This Row],[SKU]],'All Skus'!$A:$AC,2,FALSE))="JBL",(VLOOKUP(Table6[[#This Row],[SKU]],'All Skus'!$A:$AC,14,FALSE)),""))</f>
        <v>220.2381</v>
      </c>
      <c r="M219" s="143">
        <f>(IF((VLOOKUP(Table6[[#This Row],[SKU]],'All Skus'!$A:$AC,2,FALSE))="JBL",(VLOOKUP(Table6[[#This Row],[SKU]],'All Skus'!$A:$AC,15,FALSE)),""))</f>
        <v>2</v>
      </c>
      <c r="N219" s="137">
        <f>(IF((VLOOKUP(Table6[[#This Row],[SKU]],'All Skus'!$A:$AC,2,FALSE))="JBL",(VLOOKUP(Table6[[#This Row],[SKU]],'All Skus'!$A:$AC,16,FALSE)),""))</f>
        <v>50036903905</v>
      </c>
      <c r="O219" s="61">
        <f>(IF((VLOOKUP(Table6[[#This Row],[SKU]],'All Skus'!$A:$AC,2,FALSE))="JBL",(VLOOKUP(Table6[[#This Row],[SKU]],'All Skus'!$A:$AC,17,FALSE)),""))</f>
        <v>0</v>
      </c>
      <c r="P219" s="136">
        <f>(IF((VLOOKUP(Table6[[#This Row],[SKU]],'All Skus'!$A:$AC,2,FALSE))="JBL",(VLOOKUP(Table6[[#This Row],[SKU]],'All Skus'!$A:$AC,18,FALSE)),""))</f>
        <v>15</v>
      </c>
      <c r="Q219" s="136">
        <f>(IF((VLOOKUP(Table6[[#This Row],[SKU]],'All Skus'!$A:$AC,2,FALSE))="JBL",(VLOOKUP(Table6[[#This Row],[SKU]],'All Skus'!$A:$AC,19,FALSE)),""))</f>
        <v>10.5</v>
      </c>
      <c r="R219" s="136">
        <f>(IF((VLOOKUP(Table6[[#This Row],[SKU]],'All Skus'!$A:$AC,2,FALSE))="JBL",(VLOOKUP(Table6[[#This Row],[SKU]],'All Skus'!$A:$AC,20,FALSE)),""))</f>
        <v>10.75</v>
      </c>
      <c r="S219" s="61">
        <f>(IF((VLOOKUP(Table6[[#This Row],[SKU]],'All Skus'!$A:$AC,2,FALSE))="JBL",(VLOOKUP(Table6[[#This Row],[SKU]],'All Skus'!$A:$AC,21,FALSE)),""))</f>
        <v>13.25</v>
      </c>
      <c r="T219" s="61" t="str">
        <f>(IF((VLOOKUP(Table6[[#This Row],[SKU]],'All Skus'!$A:$AC,2,FALSE))="JBL",(VLOOKUP(Table6[[#This Row],[SKU]],'All Skus'!$A:$AC,22,FALSE)),""))</f>
        <v>CN</v>
      </c>
      <c r="U219" t="str">
        <f>(IF((VLOOKUP(Table6[[#This Row],[SKU]],'All Skus'!$A:$AC,2,FALSE))="JBL",(VLOOKUP(Table6[[#This Row],[SKU]],'All Skus'!$A:$AC,23,FALSE)),""))</f>
        <v>Non Compliant</v>
      </c>
      <c r="V219" s="284" t="str">
        <f>HYPERLINK((IF((VLOOKUP(Table6[[#This Row],[SKU]],'All Skus'!$A:$AC,2,FALSE))="JBL",(VLOOKUP(Table6[[#This Row],[SKU]],'All Skus'!$A:$AC,24,FALSE)),"")))</f>
        <v>http://www.jblpro.com/www/products/installed-sound/control-60-series/control-67p-t</v>
      </c>
      <c r="W219" s="151">
        <v>217</v>
      </c>
    </row>
    <row r="220" spans="1:23" ht="15" hidden="1" customHeight="1">
      <c r="A220" s="13" t="s">
        <v>1226</v>
      </c>
      <c r="B220" s="12" t="str">
        <f>(IF((VLOOKUP(Table6[[#This Row],[SKU]],'All Skus'!$A:$AC,2,FALSE))="JBL",(VLOOKUP(Table6[[#This Row],[SKU]],'All Skus'!$A:$AC,3,FALSE)),""))</f>
        <v>Pendant Speaker</v>
      </c>
      <c r="C220" s="12" t="str">
        <f>(IF((VLOOKUP(Table6[[#This Row],[SKU]],'All Skus'!$A:$AC,2,FALSE))="JBL",(VLOOKUP(Table6[[#This Row],[SKU]],'All Skus'!$A:$AC,4,FALSE)),""))</f>
        <v>JBL-C68HP</v>
      </c>
      <c r="D220" s="61">
        <f>(IF((VLOOKUP(Table6[[#This Row],[SKU]],'All Skus'!$A:$AC,2,FALSE))="JBL",(VLOOKUP(Table6[[#This Row],[SKU]],'All Skus'!$A:$AC,5,FALSE)),""))</f>
        <v>0</v>
      </c>
      <c r="E220" s="137">
        <f>(IF((VLOOKUP(Table6[[#This Row],[SKU]],'All Skus'!$A:$AC,2,FALSE))="JBL",(VLOOKUP(Table6[[#This Row],[SKU]],'All Skus'!$A:$AC,6,FALSE)),""))</f>
        <v>0</v>
      </c>
      <c r="F220" s="61" t="str">
        <f>(IF((VLOOKUP(Table6[[#This Row],[SKU]],'All Skus'!$A:$AC,2,FALSE))="JBL",(VLOOKUP(Table6[[#This Row],[SKU]],'All Skus'!$A:$AC,7,FALSE)),""))</f>
        <v xml:space="preserve">NEW </v>
      </c>
      <c r="G220" t="str">
        <f>(IF((VLOOKUP(Table6[[#This Row],[SKU]],'All Skus'!$A:$AC,2,FALSE))="JBL",(VLOOKUP(Table6[[#This Row],[SKU]],'All Skus'!$A:$AC,8,FALSE)),""))</f>
        <v>High-Power Pendant Spkr, 8" Coax, Blk, 1pc</v>
      </c>
      <c r="H220" s="8" t="str">
        <f>(IF((VLOOKUP(Table6[[#This Row],[SKU]],'All Skus'!$A:$AC,2,FALSE))="JBL",(VLOOKUP(Table6[[#This Row],[SKU]],'All Skus'!$A:$AC,9,FALSE)),""))</f>
        <v>High-Power Full-Range 2-way Pendant Speaker with RBI, 8" (209mm) LF &amp; 1" (25mm) compression driver, Radiation Boundary Integrator® technology with 110° conical coverage, 52Hz - 17KHz Frequency Range, 250W (1000W peak) cont. Pink Noise Power Handling (2hr), 68W 70V/100V multi-tap transformer with 8Ω Direct, IP44 rated, UL1480A, Redundant suspension cable system included, Black (RAL9004) (Priced as each; Sold in pairs)</v>
      </c>
      <c r="I220" s="101">
        <f>(IF((VLOOKUP(Table6[[#This Row],[SKU]],'All Skus'!$A:$AC,2,FALSE))="JBL",(VLOOKUP(Table6[[#This Row],[SKU]],'All Skus'!$A:$AC,10,FALSE)),""))</f>
        <v>559</v>
      </c>
      <c r="J220" s="101">
        <f>(IF((VLOOKUP(Table6[[#This Row],[SKU]],'All Skus'!$A:$AC,2,FALSE))="JBL",(VLOOKUP(Table6[[#This Row],[SKU]],'All Skus'!$A:$AC,11,FALSE)),""))</f>
        <v>447.2</v>
      </c>
      <c r="K220" s="102">
        <f>(IF((VLOOKUP(Table6[[#This Row],[SKU]],'All Skus'!$A:$AC,2,FALSE))="JBL",(VLOOKUP(Table6[[#This Row],[SKU]],'All Skus'!$A:$AC,13,FALSE)),""))</f>
        <v>318.62999999999994</v>
      </c>
      <c r="L220" s="102">
        <f>(IF((VLOOKUP(Table6[[#This Row],[SKU]],'All Skus'!$A:$AC,2,FALSE))="JBL",(VLOOKUP(Table6[[#This Row],[SKU]],'All Skus'!$A:$AC,14,FALSE)),""))</f>
        <v>301.86</v>
      </c>
      <c r="M220" s="143">
        <f>(IF((VLOOKUP(Table6[[#This Row],[SKU]],'All Skus'!$A:$AC,2,FALSE))="JBL",(VLOOKUP(Table6[[#This Row],[SKU]],'All Skus'!$A:$AC,15,FALSE)),""))</f>
        <v>2</v>
      </c>
      <c r="N220" s="137">
        <f>(IF((VLOOKUP(Table6[[#This Row],[SKU]],'All Skus'!$A:$AC,2,FALSE))="JBL",(VLOOKUP(Table6[[#This Row],[SKU]],'All Skus'!$A:$AC,16,FALSE)),""))</f>
        <v>691991039331</v>
      </c>
      <c r="O220" s="61">
        <f>(IF((VLOOKUP(Table6[[#This Row],[SKU]],'All Skus'!$A:$AC,2,FALSE))="JBL",(VLOOKUP(Table6[[#This Row],[SKU]],'All Skus'!$A:$AC,17,FALSE)),""))</f>
        <v>0</v>
      </c>
      <c r="P220" s="136">
        <f>(IF((VLOOKUP(Table6[[#This Row],[SKU]],'All Skus'!$A:$AC,2,FALSE))="JBL",(VLOOKUP(Table6[[#This Row],[SKU]],'All Skus'!$A:$AC,18,FALSE)),""))</f>
        <v>37.926000000000002</v>
      </c>
      <c r="Q220" s="136">
        <f>(IF((VLOOKUP(Table6[[#This Row],[SKU]],'All Skus'!$A:$AC,2,FALSE))="JBL",(VLOOKUP(Table6[[#This Row],[SKU]],'All Skus'!$A:$AC,19,FALSE)),""))</f>
        <v>27.9527559055118</v>
      </c>
      <c r="R220" s="136">
        <f>(IF((VLOOKUP(Table6[[#This Row],[SKU]],'All Skus'!$A:$AC,2,FALSE))="JBL",(VLOOKUP(Table6[[#This Row],[SKU]],'All Skus'!$A:$AC,20,FALSE)),""))</f>
        <v>14.1732283464567</v>
      </c>
      <c r="S220" s="61">
        <f>(IF((VLOOKUP(Table6[[#This Row],[SKU]],'All Skus'!$A:$AC,2,FALSE))="JBL",(VLOOKUP(Table6[[#This Row],[SKU]],'All Skus'!$A:$AC,21,FALSE)),""))</f>
        <v>15.748031496063</v>
      </c>
      <c r="T220" s="61" t="str">
        <f>(IF((VLOOKUP(Table6[[#This Row],[SKU]],'All Skus'!$A:$AC,2,FALSE))="JBL",(VLOOKUP(Table6[[#This Row],[SKU]],'All Skus'!$A:$AC,22,FALSE)),""))</f>
        <v>CN</v>
      </c>
      <c r="U220" t="str">
        <f>(IF((VLOOKUP(Table6[[#This Row],[SKU]],'All Skus'!$A:$AC,2,FALSE))="JBL",(VLOOKUP(Table6[[#This Row],[SKU]],'All Skus'!$A:$AC,23,FALSE)),""))</f>
        <v>Non Compliant</v>
      </c>
      <c r="V220" s="284" t="str">
        <f>HYPERLINK((IF((VLOOKUP(Table6[[#This Row],[SKU]],'All Skus'!$A:$AC,2,FALSE))="JBL",(VLOOKUP(Table6[[#This Row],[SKU]],'All Skus'!$A:$AC,24,FALSE)),"")))</f>
        <v>https://jblpro.com/en/products/control-68hp</v>
      </c>
      <c r="W220" s="151">
        <v>218</v>
      </c>
    </row>
    <row r="221" spans="1:23" ht="15" hidden="1" customHeight="1">
      <c r="A221" s="13" t="s">
        <v>1227</v>
      </c>
      <c r="B221" s="12" t="str">
        <f>(IF((VLOOKUP(Table6[[#This Row],[SKU]],'All Skus'!$A:$AC,2,FALSE))="JBL",(VLOOKUP(Table6[[#This Row],[SKU]],'All Skus'!$A:$AC,3,FALSE)),""))</f>
        <v>Pendant Speaker</v>
      </c>
      <c r="C221" s="12" t="str">
        <f>(IF((VLOOKUP(Table6[[#This Row],[SKU]],'All Skus'!$A:$AC,2,FALSE))="JBL",(VLOOKUP(Table6[[#This Row],[SKU]],'All Skus'!$A:$AC,4,FALSE)),""))</f>
        <v>JBL-C68HP</v>
      </c>
      <c r="D221" s="61">
        <f>(IF((VLOOKUP(Table6[[#This Row],[SKU]],'All Skus'!$A:$AC,2,FALSE))="JBL",(VLOOKUP(Table6[[#This Row],[SKU]],'All Skus'!$A:$AC,5,FALSE)),""))</f>
        <v>0</v>
      </c>
      <c r="E221" s="137">
        <f>(IF((VLOOKUP(Table6[[#This Row],[SKU]],'All Skus'!$A:$AC,2,FALSE))="JBL",(VLOOKUP(Table6[[#This Row],[SKU]],'All Skus'!$A:$AC,6,FALSE)),""))</f>
        <v>0</v>
      </c>
      <c r="F221" s="61" t="str">
        <f>(IF((VLOOKUP(Table6[[#This Row],[SKU]],'All Skus'!$A:$AC,2,FALSE))="JBL",(VLOOKUP(Table6[[#This Row],[SKU]],'All Skus'!$A:$AC,7,FALSE)),""))</f>
        <v xml:space="preserve">NEW </v>
      </c>
      <c r="G221" t="str">
        <f>(IF((VLOOKUP(Table6[[#This Row],[SKU]],'All Skus'!$A:$AC,2,FALSE))="JBL",(VLOOKUP(Table6[[#This Row],[SKU]],'All Skus'!$A:$AC,8,FALSE)),""))</f>
        <v>High-Power Pendant Spkr, 8" Coax, Wht, 1pc</v>
      </c>
      <c r="H221" s="8" t="str">
        <f>(IF((VLOOKUP(Table6[[#This Row],[SKU]],'All Skus'!$A:$AC,2,FALSE))="JBL",(VLOOKUP(Table6[[#This Row],[SKU]],'All Skus'!$A:$AC,9,FALSE)),""))</f>
        <v>High-Power Full-Range 2-way Pendant Speaker with RBI. 8" (209mm) LF &amp; 1" (25mm) compression driver, Radiation Boundary Integrator® technology with 110° conical coverage, 52Hz - 17KHz Frequency Range, 250W (1000W peak) cont. Pink Noise Power Handling (2hr), 68W 70V/100V multi-tap transformer with 8Ω Direct, IP44 rated, UL1480A, Redundant suspension cable system included, White (RAL9016) (Priced as each; Sold in pairs)</v>
      </c>
      <c r="I221" s="101">
        <f>(IF((VLOOKUP(Table6[[#This Row],[SKU]],'All Skus'!$A:$AC,2,FALSE))="JBL",(VLOOKUP(Table6[[#This Row],[SKU]],'All Skus'!$A:$AC,10,FALSE)),""))</f>
        <v>559</v>
      </c>
      <c r="J221" s="101">
        <f>(IF((VLOOKUP(Table6[[#This Row],[SKU]],'All Skus'!$A:$AC,2,FALSE))="JBL",(VLOOKUP(Table6[[#This Row],[SKU]],'All Skus'!$A:$AC,11,FALSE)),""))</f>
        <v>447.2</v>
      </c>
      <c r="K221" s="102">
        <f>(IF((VLOOKUP(Table6[[#This Row],[SKU]],'All Skus'!$A:$AC,2,FALSE))="JBL",(VLOOKUP(Table6[[#This Row],[SKU]],'All Skus'!$A:$AC,13,FALSE)),""))</f>
        <v>318.62999999999994</v>
      </c>
      <c r="L221" s="102">
        <f>(IF((VLOOKUP(Table6[[#This Row],[SKU]],'All Skus'!$A:$AC,2,FALSE))="JBL",(VLOOKUP(Table6[[#This Row],[SKU]],'All Skus'!$A:$AC,14,FALSE)),""))</f>
        <v>301.86</v>
      </c>
      <c r="M221" s="143">
        <f>(IF((VLOOKUP(Table6[[#This Row],[SKU]],'All Skus'!$A:$AC,2,FALSE))="JBL",(VLOOKUP(Table6[[#This Row],[SKU]],'All Skus'!$A:$AC,15,FALSE)),""))</f>
        <v>2</v>
      </c>
      <c r="N221" s="137">
        <f>(IF((VLOOKUP(Table6[[#This Row],[SKU]],'All Skus'!$A:$AC,2,FALSE))="JBL",(VLOOKUP(Table6[[#This Row],[SKU]],'All Skus'!$A:$AC,16,FALSE)),""))</f>
        <v>691991039324</v>
      </c>
      <c r="O221" s="61">
        <f>(IF((VLOOKUP(Table6[[#This Row],[SKU]],'All Skus'!$A:$AC,2,FALSE))="JBL",(VLOOKUP(Table6[[#This Row],[SKU]],'All Skus'!$A:$AC,17,FALSE)),""))</f>
        <v>0</v>
      </c>
      <c r="P221" s="136">
        <f>(IF((VLOOKUP(Table6[[#This Row],[SKU]],'All Skus'!$A:$AC,2,FALSE))="JBL",(VLOOKUP(Table6[[#This Row],[SKU]],'All Skus'!$A:$AC,18,FALSE)),""))</f>
        <v>37.926000000000002</v>
      </c>
      <c r="Q221" s="136">
        <f>(IF((VLOOKUP(Table6[[#This Row],[SKU]],'All Skus'!$A:$AC,2,FALSE))="JBL",(VLOOKUP(Table6[[#This Row],[SKU]],'All Skus'!$A:$AC,19,FALSE)),""))</f>
        <v>27.9527559055118</v>
      </c>
      <c r="R221" s="136">
        <f>(IF((VLOOKUP(Table6[[#This Row],[SKU]],'All Skus'!$A:$AC,2,FALSE))="JBL",(VLOOKUP(Table6[[#This Row],[SKU]],'All Skus'!$A:$AC,20,FALSE)),""))</f>
        <v>14.1732283464567</v>
      </c>
      <c r="S221" s="61">
        <f>(IF((VLOOKUP(Table6[[#This Row],[SKU]],'All Skus'!$A:$AC,2,FALSE))="JBL",(VLOOKUP(Table6[[#This Row],[SKU]],'All Skus'!$A:$AC,21,FALSE)),""))</f>
        <v>15.748031496063</v>
      </c>
      <c r="T221" s="61" t="str">
        <f>(IF((VLOOKUP(Table6[[#This Row],[SKU]],'All Skus'!$A:$AC,2,FALSE))="JBL",(VLOOKUP(Table6[[#This Row],[SKU]],'All Skus'!$A:$AC,22,FALSE)),""))</f>
        <v>CN</v>
      </c>
      <c r="U221" t="str">
        <f>(IF((VLOOKUP(Table6[[#This Row],[SKU]],'All Skus'!$A:$AC,2,FALSE))="JBL",(VLOOKUP(Table6[[#This Row],[SKU]],'All Skus'!$A:$AC,23,FALSE)),""))</f>
        <v>Non Compliant</v>
      </c>
      <c r="V221" s="284" t="str">
        <f>HYPERLINK((IF((VLOOKUP(Table6[[#This Row],[SKU]],'All Skus'!$A:$AC,2,FALSE))="JBL",(VLOOKUP(Table6[[#This Row],[SKU]],'All Skus'!$A:$AC,24,FALSE)),"")))</f>
        <v>https://jblpro.com/en/products/control-68hp</v>
      </c>
      <c r="W221" s="151">
        <v>219</v>
      </c>
    </row>
    <row r="222" spans="1:23" ht="15" hidden="1" customHeight="1">
      <c r="A222" s="13" t="s">
        <v>1228</v>
      </c>
      <c r="B222" s="12" t="str">
        <f>(IF((VLOOKUP(Table6[[#This Row],[SKU]],'All Skus'!$A:$AC,2,FALSE))="JBL",(VLOOKUP(Table6[[#This Row],[SKU]],'All Skus'!$A:$AC,3,FALSE)),""))</f>
        <v>Accessory</v>
      </c>
      <c r="C222" s="12" t="str">
        <f>(IF((VLOOKUP(Table6[[#This Row],[SKU]],'All Skus'!$A:$AC,2,FALSE))="JBL",(VLOOKUP(Table6[[#This Row],[SKU]],'All Skus'!$A:$AC,4,FALSE)),""))</f>
        <v>MTC-PC60</v>
      </c>
      <c r="D222" s="61" t="str">
        <f>(IF((VLOOKUP(Table6[[#This Row],[SKU]],'All Skus'!$A:$AC,2,FALSE))="JBL",(VLOOKUP(Table6[[#This Row],[SKU]],'All Skus'!$A:$AC,5,FALSE)),""))</f>
        <v>JBL018</v>
      </c>
      <c r="E222" s="137">
        <f>(IF((VLOOKUP(Table6[[#This Row],[SKU]],'All Skus'!$A:$AC,2,FALSE))="JBL",(VLOOKUP(Table6[[#This Row],[SKU]],'All Skus'!$A:$AC,6,FALSE)),""))</f>
        <v>0</v>
      </c>
      <c r="F222" s="61">
        <f>(IF((VLOOKUP(Table6[[#This Row],[SKU]],'All Skus'!$A:$AC,2,FALSE))="JBL",(VLOOKUP(Table6[[#This Row],[SKU]],'All Skus'!$A:$AC,7,FALSE)),""))</f>
        <v>0</v>
      </c>
      <c r="G222" t="str">
        <f>(IF((VLOOKUP(Table6[[#This Row],[SKU]],'All Skus'!$A:$AC,2,FALSE))="JBL",(VLOOKUP(Table6[[#This Row],[SKU]],'All Skus'!$A:$AC,8,FALSE)),""))</f>
        <v>TERMINAL COVER for C65, C67 P/T &amp; C67HCT</v>
      </c>
      <c r="H222" s="8" t="str">
        <f>(IF((VLOOKUP(Table6[[#This Row],[SKU]],'All Skus'!$A:$AC,2,FALSE))="JBL",(VLOOKUP(Table6[[#This Row],[SKU]],'All Skus'!$A:$AC,9,FALSE)),""))</f>
        <v>Terminal Cover for C64P/T, C65P/T, C67 P/T &amp; C67HCT.  Comes in black only, but is intended for use on white speakers also.  Sold and packed as Eaches</v>
      </c>
      <c r="I222" s="101">
        <f>(IF((VLOOKUP(Table6[[#This Row],[SKU]],'All Skus'!$A:$AC,2,FALSE))="JBL",(VLOOKUP(Table6[[#This Row],[SKU]],'All Skus'!$A:$AC,10,FALSE)),""))</f>
        <v>17.47</v>
      </c>
      <c r="J222" s="101">
        <f>(IF((VLOOKUP(Table6[[#This Row],[SKU]],'All Skus'!$A:$AC,2,FALSE))="JBL",(VLOOKUP(Table6[[#This Row],[SKU]],'All Skus'!$A:$AC,11,FALSE)),""))</f>
        <v>17.47</v>
      </c>
      <c r="K222" s="102">
        <f>(IF((VLOOKUP(Table6[[#This Row],[SKU]],'All Skus'!$A:$AC,2,FALSE))="JBL",(VLOOKUP(Table6[[#This Row],[SKU]],'All Skus'!$A:$AC,13,FALSE)),""))</f>
        <v>0</v>
      </c>
      <c r="L222" s="102">
        <f>(IF((VLOOKUP(Table6[[#This Row],[SKU]],'All Skus'!$A:$AC,2,FALSE))="JBL",(VLOOKUP(Table6[[#This Row],[SKU]],'All Skus'!$A:$AC,14,FALSE)),""))</f>
        <v>0</v>
      </c>
      <c r="M222" s="143">
        <f>(IF((VLOOKUP(Table6[[#This Row],[SKU]],'All Skus'!$A:$AC,2,FALSE))="JBL",(VLOOKUP(Table6[[#This Row],[SKU]],'All Skus'!$A:$AC,15,FALSE)),""))</f>
        <v>0</v>
      </c>
      <c r="N222" s="137">
        <f>(IF((VLOOKUP(Table6[[#This Row],[SKU]],'All Skus'!$A:$AC,2,FALSE))="JBL",(VLOOKUP(Table6[[#This Row],[SKU]],'All Skus'!$A:$AC,16,FALSE)),""))</f>
        <v>691991300219</v>
      </c>
      <c r="O222" s="61">
        <f>(IF((VLOOKUP(Table6[[#This Row],[SKU]],'All Skus'!$A:$AC,2,FALSE))="JBL",(VLOOKUP(Table6[[#This Row],[SKU]],'All Skus'!$A:$AC,17,FALSE)),""))</f>
        <v>0</v>
      </c>
      <c r="P222" s="136">
        <f>(IF((VLOOKUP(Table6[[#This Row],[SKU]],'All Skus'!$A:$AC,2,FALSE))="JBL",(VLOOKUP(Table6[[#This Row],[SKU]],'All Skus'!$A:$AC,18,FALSE)),""))</f>
        <v>0.5</v>
      </c>
      <c r="Q222" s="136">
        <f>(IF((VLOOKUP(Table6[[#This Row],[SKU]],'All Skus'!$A:$AC,2,FALSE))="JBL",(VLOOKUP(Table6[[#This Row],[SKU]],'All Skus'!$A:$AC,19,FALSE)),""))</f>
        <v>2</v>
      </c>
      <c r="R222" s="136">
        <f>(IF((VLOOKUP(Table6[[#This Row],[SKU]],'All Skus'!$A:$AC,2,FALSE))="JBL",(VLOOKUP(Table6[[#This Row],[SKU]],'All Skus'!$A:$AC,20,FALSE)),""))</f>
        <v>8</v>
      </c>
      <c r="S222" s="61">
        <f>(IF((VLOOKUP(Table6[[#This Row],[SKU]],'All Skus'!$A:$AC,2,FALSE))="JBL",(VLOOKUP(Table6[[#This Row],[SKU]],'All Skus'!$A:$AC,21,FALSE)),""))</f>
        <v>7</v>
      </c>
      <c r="T222" s="61" t="str">
        <f>(IF((VLOOKUP(Table6[[#This Row],[SKU]],'All Skus'!$A:$AC,2,FALSE))="JBL",(VLOOKUP(Table6[[#This Row],[SKU]],'All Skus'!$A:$AC,22,FALSE)),""))</f>
        <v>CN</v>
      </c>
      <c r="U222" t="str">
        <f>(IF((VLOOKUP(Table6[[#This Row],[SKU]],'All Skus'!$A:$AC,2,FALSE))="JBL",(VLOOKUP(Table6[[#This Row],[SKU]],'All Skus'!$A:$AC,23,FALSE)),""))</f>
        <v>Non Compliant</v>
      </c>
      <c r="V222" s="284" t="str">
        <f>HYPERLINK((IF((VLOOKUP(Table6[[#This Row],[SKU]],'All Skus'!$A:$AC,2,FALSE))="JBL",(VLOOKUP(Table6[[#This Row],[SKU]],'All Skus'!$A:$AC,24,FALSE)),"")))</f>
        <v xml:space="preserve">http://www.jblpro.com/ProductAttachments/C60_Panel_Covers140514.pdf </v>
      </c>
      <c r="W222" s="151">
        <v>220</v>
      </c>
    </row>
    <row r="223" spans="1:23" ht="15" hidden="1" customHeight="1">
      <c r="A223" s="13" t="s">
        <v>1229</v>
      </c>
      <c r="B223" s="12" t="str">
        <f>(IF((VLOOKUP(Table6[[#This Row],[SKU]],'All Skus'!$A:$AC,2,FALSE))="JBL",(VLOOKUP(Table6[[#This Row],[SKU]],'All Skus'!$A:$AC,3,FALSE)),""))</f>
        <v>Accessory</v>
      </c>
      <c r="C223" s="12" t="str">
        <f>(IF((VLOOKUP(Table6[[#This Row],[SKU]],'All Skus'!$A:$AC,2,FALSE))="JBL",(VLOOKUP(Table6[[#This Row],[SKU]],'All Skus'!$A:$AC,4,FALSE)),""))</f>
        <v>MTC-PC62</v>
      </c>
      <c r="D223" s="61" t="str">
        <f>(IF((VLOOKUP(Table6[[#This Row],[SKU]],'All Skus'!$A:$AC,2,FALSE))="JBL",(VLOOKUP(Table6[[#This Row],[SKU]],'All Skus'!$A:$AC,5,FALSE)),""))</f>
        <v>JBL018</v>
      </c>
      <c r="E223" s="137">
        <f>(IF((VLOOKUP(Table6[[#This Row],[SKU]],'All Skus'!$A:$AC,2,FALSE))="JBL",(VLOOKUP(Table6[[#This Row],[SKU]],'All Skus'!$A:$AC,6,FALSE)),""))</f>
        <v>0</v>
      </c>
      <c r="F223" s="61">
        <f>(IF((VLOOKUP(Table6[[#This Row],[SKU]],'All Skus'!$A:$AC,2,FALSE))="JBL",(VLOOKUP(Table6[[#This Row],[SKU]],'All Skus'!$A:$AC,7,FALSE)),""))</f>
        <v>0</v>
      </c>
      <c r="G223" t="str">
        <f>(IF((VLOOKUP(Table6[[#This Row],[SKU]],'All Skus'!$A:$AC,2,FALSE))="JBL",(VLOOKUP(Table6[[#This Row],[SKU]],'All Skus'!$A:$AC,8,FALSE)),""))</f>
        <v>TERMINAL COVER for C62P</v>
      </c>
      <c r="H223" s="8" t="str">
        <f>(IF((VLOOKUP(Table6[[#This Row],[SKU]],'All Skus'!$A:$AC,2,FALSE))="JBL",(VLOOKUP(Table6[[#This Row],[SKU]],'All Skus'!$A:$AC,9,FALSE)),""))</f>
        <v>Terminal Cover for C62P, blk only vSold and packed as Eaches</v>
      </c>
      <c r="I223" s="101">
        <f>(IF((VLOOKUP(Table6[[#This Row],[SKU]],'All Skus'!$A:$AC,2,FALSE))="JBL",(VLOOKUP(Table6[[#This Row],[SKU]],'All Skus'!$A:$AC,10,FALSE)),""))</f>
        <v>11.45</v>
      </c>
      <c r="J223" s="101">
        <f>(IF((VLOOKUP(Table6[[#This Row],[SKU]],'All Skus'!$A:$AC,2,FALSE))="JBL",(VLOOKUP(Table6[[#This Row],[SKU]],'All Skus'!$A:$AC,11,FALSE)),""))</f>
        <v>11.45</v>
      </c>
      <c r="K223" s="102">
        <f>(IF((VLOOKUP(Table6[[#This Row],[SKU]],'All Skus'!$A:$AC,2,FALSE))="JBL",(VLOOKUP(Table6[[#This Row],[SKU]],'All Skus'!$A:$AC,13,FALSE)),""))</f>
        <v>0</v>
      </c>
      <c r="L223" s="102">
        <f>(IF((VLOOKUP(Table6[[#This Row],[SKU]],'All Skus'!$A:$AC,2,FALSE))="JBL",(VLOOKUP(Table6[[#This Row],[SKU]],'All Skus'!$A:$AC,14,FALSE)),""))</f>
        <v>0</v>
      </c>
      <c r="M223" s="143">
        <f>(IF((VLOOKUP(Table6[[#This Row],[SKU]],'All Skus'!$A:$AC,2,FALSE))="JBL",(VLOOKUP(Table6[[#This Row],[SKU]],'All Skus'!$A:$AC,15,FALSE)),""))</f>
        <v>2</v>
      </c>
      <c r="N223" s="137">
        <f>(IF((VLOOKUP(Table6[[#This Row],[SKU]],'All Skus'!$A:$AC,2,FALSE))="JBL",(VLOOKUP(Table6[[#This Row],[SKU]],'All Skus'!$A:$AC,16,FALSE)),""))</f>
        <v>691991300202</v>
      </c>
      <c r="O223" s="61">
        <f>(IF((VLOOKUP(Table6[[#This Row],[SKU]],'All Skus'!$A:$AC,2,FALSE))="JBL",(VLOOKUP(Table6[[#This Row],[SKU]],'All Skus'!$A:$AC,17,FALSE)),""))</f>
        <v>0</v>
      </c>
      <c r="P223" s="136">
        <f>(IF((VLOOKUP(Table6[[#This Row],[SKU]],'All Skus'!$A:$AC,2,FALSE))="JBL",(VLOOKUP(Table6[[#This Row],[SKU]],'All Skus'!$A:$AC,18,FALSE)),""))</f>
        <v>0.2</v>
      </c>
      <c r="Q223" s="136">
        <f>(IF((VLOOKUP(Table6[[#This Row],[SKU]],'All Skus'!$A:$AC,2,FALSE))="JBL",(VLOOKUP(Table6[[#This Row],[SKU]],'All Skus'!$A:$AC,19,FALSE)),""))</f>
        <v>6</v>
      </c>
      <c r="R223" s="136">
        <f>(IF((VLOOKUP(Table6[[#This Row],[SKU]],'All Skus'!$A:$AC,2,FALSE))="JBL",(VLOOKUP(Table6[[#This Row],[SKU]],'All Skus'!$A:$AC,20,FALSE)),""))</f>
        <v>5</v>
      </c>
      <c r="S223" s="61">
        <f>(IF((VLOOKUP(Table6[[#This Row],[SKU]],'All Skus'!$A:$AC,2,FALSE))="JBL",(VLOOKUP(Table6[[#This Row],[SKU]],'All Skus'!$A:$AC,21,FALSE)),""))</f>
        <v>2</v>
      </c>
      <c r="T223" s="61" t="str">
        <f>(IF((VLOOKUP(Table6[[#This Row],[SKU]],'All Skus'!$A:$AC,2,FALSE))="JBL",(VLOOKUP(Table6[[#This Row],[SKU]],'All Skus'!$A:$AC,22,FALSE)),""))</f>
        <v>CN</v>
      </c>
      <c r="U223" t="str">
        <f>(IF((VLOOKUP(Table6[[#This Row],[SKU]],'All Skus'!$A:$AC,2,FALSE))="JBL",(VLOOKUP(Table6[[#This Row],[SKU]],'All Skus'!$A:$AC,23,FALSE)),""))</f>
        <v>Non Compliant</v>
      </c>
      <c r="V223" s="284" t="str">
        <f>HYPERLINK((IF((VLOOKUP(Table6[[#This Row],[SKU]],'All Skus'!$A:$AC,2,FALSE))="JBL",(VLOOKUP(Table6[[#This Row],[SKU]],'All Skus'!$A:$AC,24,FALSE)),"")))</f>
        <v/>
      </c>
      <c r="W223" s="151">
        <v>221</v>
      </c>
    </row>
    <row r="224" spans="1:23" ht="15" hidden="1" customHeight="1">
      <c r="A224" s="104" t="s">
        <v>1230</v>
      </c>
      <c r="B224" s="12">
        <f>(IF((VLOOKUP(Table6[[#This Row],[SKU]],'All Skus'!$A:$AC,2,FALSE))="JBL",(VLOOKUP(Table6[[#This Row],[SKU]],'All Skus'!$A:$AC,3,FALSE)),""))</f>
        <v>0</v>
      </c>
      <c r="C224" s="12">
        <f>(IF((VLOOKUP(Table6[[#This Row],[SKU]],'All Skus'!$A:$AC,2,FALSE))="JBL",(VLOOKUP(Table6[[#This Row],[SKU]],'All Skus'!$A:$AC,4,FALSE)),""))</f>
        <v>0</v>
      </c>
      <c r="D224" s="61">
        <f>(IF((VLOOKUP(Table6[[#This Row],[SKU]],'All Skus'!$A:$AC,2,FALSE))="JBL",(VLOOKUP(Table6[[#This Row],[SKU]],'All Skus'!$A:$AC,5,FALSE)),""))</f>
        <v>0</v>
      </c>
      <c r="E224" s="137">
        <f>(IF((VLOOKUP(Table6[[#This Row],[SKU]],'All Skus'!$A:$AC,2,FALSE))="JBL",(VLOOKUP(Table6[[#This Row],[SKU]],'All Skus'!$A:$AC,6,FALSE)),""))</f>
        <v>0</v>
      </c>
      <c r="F224" s="61">
        <f>(IF((VLOOKUP(Table6[[#This Row],[SKU]],'All Skus'!$A:$AC,2,FALSE))="JBL",(VLOOKUP(Table6[[#This Row],[SKU]],'All Skus'!$A:$AC,7,FALSE)),""))</f>
        <v>0</v>
      </c>
      <c r="G224">
        <f>(IF((VLOOKUP(Table6[[#This Row],[SKU]],'All Skus'!$A:$AC,2,FALSE))="JBL",(VLOOKUP(Table6[[#This Row],[SKU]],'All Skus'!$A:$AC,8,FALSE)),""))</f>
        <v>0</v>
      </c>
      <c r="H224" s="8">
        <f>(IF((VLOOKUP(Table6[[#This Row],[SKU]],'All Skus'!$A:$AC,2,FALSE))="JBL",(VLOOKUP(Table6[[#This Row],[SKU]],'All Skus'!$A:$AC,9,FALSE)),""))</f>
        <v>0</v>
      </c>
      <c r="I224" s="101">
        <f>(IF((VLOOKUP(Table6[[#This Row],[SKU]],'All Skus'!$A:$AC,2,FALSE))="JBL",(VLOOKUP(Table6[[#This Row],[SKU]],'All Skus'!$A:$AC,10,FALSE)),""))</f>
        <v>0</v>
      </c>
      <c r="J224" s="101">
        <f>(IF((VLOOKUP(Table6[[#This Row],[SKU]],'All Skus'!$A:$AC,2,FALSE))="JBL",(VLOOKUP(Table6[[#This Row],[SKU]],'All Skus'!$A:$AC,11,FALSE)),""))</f>
        <v>0</v>
      </c>
      <c r="K224" s="102">
        <f>(IF((VLOOKUP(Table6[[#This Row],[SKU]],'All Skus'!$A:$AC,2,FALSE))="JBL",(VLOOKUP(Table6[[#This Row],[SKU]],'All Skus'!$A:$AC,13,FALSE)),""))</f>
        <v>0</v>
      </c>
      <c r="L224" s="102">
        <f>(IF((VLOOKUP(Table6[[#This Row],[SKU]],'All Skus'!$A:$AC,2,FALSE))="JBL",(VLOOKUP(Table6[[#This Row],[SKU]],'All Skus'!$A:$AC,14,FALSE)),""))</f>
        <v>0</v>
      </c>
      <c r="M224" s="143">
        <f>(IF((VLOOKUP(Table6[[#This Row],[SKU]],'All Skus'!$A:$AC,2,FALSE))="JBL",(VLOOKUP(Table6[[#This Row],[SKU]],'All Skus'!$A:$AC,15,FALSE)),""))</f>
        <v>0</v>
      </c>
      <c r="N224" s="137">
        <f>(IF((VLOOKUP(Table6[[#This Row],[SKU]],'All Skus'!$A:$AC,2,FALSE))="JBL",(VLOOKUP(Table6[[#This Row],[SKU]],'All Skus'!$A:$AC,16,FALSE)),""))</f>
        <v>0</v>
      </c>
      <c r="O224" s="61">
        <f>(IF((VLOOKUP(Table6[[#This Row],[SKU]],'All Skus'!$A:$AC,2,FALSE))="JBL",(VLOOKUP(Table6[[#This Row],[SKU]],'All Skus'!$A:$AC,17,FALSE)),""))</f>
        <v>0</v>
      </c>
      <c r="P224" s="136">
        <f>(IF((VLOOKUP(Table6[[#This Row],[SKU]],'All Skus'!$A:$AC,2,FALSE))="JBL",(VLOOKUP(Table6[[#This Row],[SKU]],'All Skus'!$A:$AC,18,FALSE)),""))</f>
        <v>0</v>
      </c>
      <c r="Q224" s="136">
        <f>(IF((VLOOKUP(Table6[[#This Row],[SKU]],'All Skus'!$A:$AC,2,FALSE))="JBL",(VLOOKUP(Table6[[#This Row],[SKU]],'All Skus'!$A:$AC,19,FALSE)),""))</f>
        <v>0</v>
      </c>
      <c r="R224" s="136">
        <f>(IF((VLOOKUP(Table6[[#This Row],[SKU]],'All Skus'!$A:$AC,2,FALSE))="JBL",(VLOOKUP(Table6[[#This Row],[SKU]],'All Skus'!$A:$AC,20,FALSE)),""))</f>
        <v>0</v>
      </c>
      <c r="S224" s="61">
        <f>(IF((VLOOKUP(Table6[[#This Row],[SKU]],'All Skus'!$A:$AC,2,FALSE))="JBL",(VLOOKUP(Table6[[#This Row],[SKU]],'All Skus'!$A:$AC,21,FALSE)),""))</f>
        <v>0</v>
      </c>
      <c r="T224" s="61" t="str">
        <f>(IF((VLOOKUP(Table6[[#This Row],[SKU]],'All Skus'!$A:$AC,2,FALSE))="JBL",(VLOOKUP(Table6[[#This Row],[SKU]],'All Skus'!$A:$AC,22,FALSE)),""))</f>
        <v>CN</v>
      </c>
      <c r="U224" t="str">
        <f>(IF((VLOOKUP(Table6[[#This Row],[SKU]],'All Skus'!$A:$AC,2,FALSE))="JBL",(VLOOKUP(Table6[[#This Row],[SKU]],'All Skus'!$A:$AC,23,FALSE)),""))</f>
        <v>Non Compliant</v>
      </c>
      <c r="V224" s="284" t="str">
        <f>HYPERLINK((IF((VLOOKUP(Table6[[#This Row],[SKU]],'All Skus'!$A:$AC,2,FALSE))="JBL",(VLOOKUP(Table6[[#This Row],[SKU]],'All Skus'!$A:$AC,24,FALSE)),"")))</f>
        <v xml:space="preserve">http://www.jblpro.com/www/products/installed-sound/control-contractor-series/control-126w  </v>
      </c>
      <c r="W224" s="151">
        <v>222</v>
      </c>
    </row>
    <row r="225" spans="1:23" ht="15" hidden="1" customHeight="1">
      <c r="A225" s="13" t="s">
        <v>1231</v>
      </c>
      <c r="B225" s="12" t="str">
        <f>(IF((VLOOKUP(Table6[[#This Row],[SKU]],'All Skus'!$A:$AC,2,FALSE))="JBL",(VLOOKUP(Table6[[#This Row],[SKU]],'All Skus'!$A:$AC,3,FALSE)),""))</f>
        <v>In-Wall Sprk</v>
      </c>
      <c r="C225" s="12" t="str">
        <f>(IF((VLOOKUP(Table6[[#This Row],[SKU]],'All Skus'!$A:$AC,2,FALSE))="JBL",(VLOOKUP(Table6[[#This Row],[SKU]],'All Skus'!$A:$AC,4,FALSE)),""))</f>
        <v>CONTROL 126W</v>
      </c>
      <c r="D225" s="61" t="str">
        <f>(IF((VLOOKUP(Table6[[#This Row],[SKU]],'All Skus'!$A:$AC,2,FALSE))="JBL",(VLOOKUP(Table6[[#This Row],[SKU]],'All Skus'!$A:$AC,5,FALSE)),""))</f>
        <v>JBL018</v>
      </c>
      <c r="E225" s="137">
        <f>(IF((VLOOKUP(Table6[[#This Row],[SKU]],'All Skus'!$A:$AC,2,FALSE))="JBL",(VLOOKUP(Table6[[#This Row],[SKU]],'All Skus'!$A:$AC,6,FALSE)),""))</f>
        <v>0</v>
      </c>
      <c r="F225" s="61">
        <f>(IF((VLOOKUP(Table6[[#This Row],[SKU]],'All Skus'!$A:$AC,2,FALSE))="JBL",(VLOOKUP(Table6[[#This Row],[SKU]],'All Skus'!$A:$AC,7,FALSE)),""))</f>
        <v>0</v>
      </c>
      <c r="G225" t="str">
        <f>(IF((VLOOKUP(Table6[[#This Row],[SKU]],'All Skus'!$A:$AC,2,FALSE))="JBL",(VLOOKUP(Table6[[#This Row],[SKU]],'All Skus'!$A:$AC,8,FALSE)),""))</f>
        <v>6.5"2-way inwall SPKR 2per ctn</v>
      </c>
      <c r="H225" s="8" t="str">
        <f>(IF((VLOOKUP(Table6[[#This Row],[SKU]],'All Skus'!$A:$AC,2,FALSE))="JBL",(VLOOKUP(Table6[[#This Row],[SKU]],'All Skus'!$A:$AC,9,FALSE)),""))</f>
        <v>Premium In-Wall Two-Way Loudspeaker with 6-1/2" (165 mm) Woofer.  Polymer-Coated Aluminum-Cone Woofer With Pure Butyl Rubber Surround, Low-Diffraction Swivel Aimable Titanium Tweeter.  High-Slope Crossover Network, Paintable, 98 mm ( 3-7/8 in) Depth (For Wallboard Plus Stud).  88 dB Sensitivity, 100 Watts (50W RMS/200W Peak), 38 Hz to 20 kHz Frequency Response.  Sold in Pairs, Priced as Each.</v>
      </c>
      <c r="I225" s="101">
        <f>(IF((VLOOKUP(Table6[[#This Row],[SKU]],'All Skus'!$A:$AC,2,FALSE))="JBL",(VLOOKUP(Table6[[#This Row],[SKU]],'All Skus'!$A:$AC,10,FALSE)),""))</f>
        <v>246.51</v>
      </c>
      <c r="J225" s="101">
        <f>(IF((VLOOKUP(Table6[[#This Row],[SKU]],'All Skus'!$A:$AC,2,FALSE))="JBL",(VLOOKUP(Table6[[#This Row],[SKU]],'All Skus'!$A:$AC,11,FALSE)),""))</f>
        <v>195</v>
      </c>
      <c r="K225" s="102">
        <f>(IF((VLOOKUP(Table6[[#This Row],[SKU]],'All Skus'!$A:$AC,2,FALSE))="JBL",(VLOOKUP(Table6[[#This Row],[SKU]],'All Skus'!$A:$AC,13,FALSE)),""))</f>
        <v>136.4143</v>
      </c>
      <c r="L225" s="102">
        <f>(IF((VLOOKUP(Table6[[#This Row],[SKU]],'All Skus'!$A:$AC,2,FALSE))="JBL",(VLOOKUP(Table6[[#This Row],[SKU]],'All Skus'!$A:$AC,14,FALSE)),""))</f>
        <v>129.2346</v>
      </c>
      <c r="M225" s="143">
        <f>(IF((VLOOKUP(Table6[[#This Row],[SKU]],'All Skus'!$A:$AC,2,FALSE))="JBL",(VLOOKUP(Table6[[#This Row],[SKU]],'All Skus'!$A:$AC,15,FALSE)),""))</f>
        <v>2</v>
      </c>
      <c r="N225" s="137">
        <f>(IF((VLOOKUP(Table6[[#This Row],[SKU]],'All Skus'!$A:$AC,2,FALSE))="JBL",(VLOOKUP(Table6[[#This Row],[SKU]],'All Skus'!$A:$AC,16,FALSE)),""))</f>
        <v>50036904988</v>
      </c>
      <c r="O225" s="61">
        <f>(IF((VLOOKUP(Table6[[#This Row],[SKU]],'All Skus'!$A:$AC,2,FALSE))="JBL",(VLOOKUP(Table6[[#This Row],[SKU]],'All Skus'!$A:$AC,17,FALSE)),""))</f>
        <v>0</v>
      </c>
      <c r="P225" s="136">
        <f>(IF((VLOOKUP(Table6[[#This Row],[SKU]],'All Skus'!$A:$AC,2,FALSE))="JBL",(VLOOKUP(Table6[[#This Row],[SKU]],'All Skus'!$A:$AC,18,FALSE)),""))</f>
        <v>5</v>
      </c>
      <c r="Q225" s="136">
        <f>(IF((VLOOKUP(Table6[[#This Row],[SKU]],'All Skus'!$A:$AC,2,FALSE))="JBL",(VLOOKUP(Table6[[#This Row],[SKU]],'All Skus'!$A:$AC,19,FALSE)),""))</f>
        <v>4</v>
      </c>
      <c r="R225" s="136">
        <f>(IF((VLOOKUP(Table6[[#This Row],[SKU]],'All Skus'!$A:$AC,2,FALSE))="JBL",(VLOOKUP(Table6[[#This Row],[SKU]],'All Skus'!$A:$AC,20,FALSE)),""))</f>
        <v>6</v>
      </c>
      <c r="S225" s="61">
        <f>(IF((VLOOKUP(Table6[[#This Row],[SKU]],'All Skus'!$A:$AC,2,FALSE))="JBL",(VLOOKUP(Table6[[#This Row],[SKU]],'All Skus'!$A:$AC,21,FALSE)),""))</f>
        <v>4</v>
      </c>
      <c r="T225" s="61" t="str">
        <f>(IF((VLOOKUP(Table6[[#This Row],[SKU]],'All Skus'!$A:$AC,2,FALSE))="JBL",(VLOOKUP(Table6[[#This Row],[SKU]],'All Skus'!$A:$AC,22,FALSE)),""))</f>
        <v>CN</v>
      </c>
      <c r="U225" t="str">
        <f>(IF((VLOOKUP(Table6[[#This Row],[SKU]],'All Skus'!$A:$AC,2,FALSE))="JBL",(VLOOKUP(Table6[[#This Row],[SKU]],'All Skus'!$A:$AC,23,FALSE)),""))</f>
        <v>Non Compliant</v>
      </c>
      <c r="V225" s="284" t="str">
        <f>HYPERLINK((IF((VLOOKUP(Table6[[#This Row],[SKU]],'All Skus'!$A:$AC,2,FALSE))="JBL",(VLOOKUP(Table6[[#This Row],[SKU]],'All Skus'!$A:$AC,24,FALSE)),"")))</f>
        <v xml:space="preserve">http://www.jblpro.com/www/products/installed-sound/control-contractor-series/control-126wt </v>
      </c>
      <c r="W225" s="151">
        <v>223</v>
      </c>
    </row>
    <row r="226" spans="1:23" ht="15" hidden="1" customHeight="1">
      <c r="A226" s="13" t="s">
        <v>1232</v>
      </c>
      <c r="B226" s="12" t="str">
        <f>(IF((VLOOKUP(Table6[[#This Row],[SKU]],'All Skus'!$A:$AC,2,FALSE))="JBL",(VLOOKUP(Table6[[#This Row],[SKU]],'All Skus'!$A:$AC,3,FALSE)),""))</f>
        <v>In-Wall Sprk</v>
      </c>
      <c r="C226" s="12" t="str">
        <f>(IF((VLOOKUP(Table6[[#This Row],[SKU]],'All Skus'!$A:$AC,2,FALSE))="JBL",(VLOOKUP(Table6[[#This Row],[SKU]],'All Skus'!$A:$AC,4,FALSE)),""))</f>
        <v>CONTROL 126WT</v>
      </c>
      <c r="D226" s="61" t="str">
        <f>(IF((VLOOKUP(Table6[[#This Row],[SKU]],'All Skus'!$A:$AC,2,FALSE))="JBL",(VLOOKUP(Table6[[#This Row],[SKU]],'All Skus'!$A:$AC,5,FALSE)),""))</f>
        <v>JBL018</v>
      </c>
      <c r="E226" s="137">
        <f>(IF((VLOOKUP(Table6[[#This Row],[SKU]],'All Skus'!$A:$AC,2,FALSE))="JBL",(VLOOKUP(Table6[[#This Row],[SKU]],'All Skus'!$A:$AC,6,FALSE)),""))</f>
        <v>0</v>
      </c>
      <c r="F226" s="61">
        <f>(IF((VLOOKUP(Table6[[#This Row],[SKU]],'All Skus'!$A:$AC,2,FALSE))="JBL",(VLOOKUP(Table6[[#This Row],[SKU]],'All Skus'!$A:$AC,7,FALSE)),""))</f>
        <v>0</v>
      </c>
      <c r="G226" t="str">
        <f>(IF((VLOOKUP(Table6[[#This Row],[SKU]],'All Skus'!$A:$AC,2,FALSE))="JBL",(VLOOKUP(Table6[[#This Row],[SKU]],'All Skus'!$A:$AC,8,FALSE)),""))</f>
        <v>6.5"2-way inwall SPKR 2per ctn</v>
      </c>
      <c r="H226" s="8" t="str">
        <f>(IF((VLOOKUP(Table6[[#This Row],[SKU]],'All Skus'!$A:$AC,2,FALSE))="JBL",(VLOOKUP(Table6[[#This Row],[SKU]],'All Skus'!$A:$AC,9,FALSE)),""))</f>
        <v>Control 126W With Transformer for Use on a 70.7V or 100V Distributed Line. Selectable Taps at 30W, 15W, and 7.5W (Plus 3.7W at 70V Only).  (Priced as Each, Sold in Pairs).</v>
      </c>
      <c r="I226" s="101">
        <f>(IF((VLOOKUP(Table6[[#This Row],[SKU]],'All Skus'!$A:$AC,2,FALSE))="JBL",(VLOOKUP(Table6[[#This Row],[SKU]],'All Skus'!$A:$AC,10,FALSE)),""))</f>
        <v>272.45</v>
      </c>
      <c r="J226" s="101">
        <f>(IF((VLOOKUP(Table6[[#This Row],[SKU]],'All Skus'!$A:$AC,2,FALSE))="JBL",(VLOOKUP(Table6[[#This Row],[SKU]],'All Skus'!$A:$AC,11,FALSE)),""))</f>
        <v>222</v>
      </c>
      <c r="K226" s="102">
        <f>(IF((VLOOKUP(Table6[[#This Row],[SKU]],'All Skus'!$A:$AC,2,FALSE))="JBL",(VLOOKUP(Table6[[#This Row],[SKU]],'All Skus'!$A:$AC,13,FALSE)),""))</f>
        <v>150.76728</v>
      </c>
      <c r="L226" s="102">
        <f>(IF((VLOOKUP(Table6[[#This Row],[SKU]],'All Skus'!$A:$AC,2,FALSE))="JBL",(VLOOKUP(Table6[[#This Row],[SKU]],'All Skus'!$A:$AC,14,FALSE)),""))</f>
        <v>142.83216000000002</v>
      </c>
      <c r="M226" s="143">
        <f>(IF((VLOOKUP(Table6[[#This Row],[SKU]],'All Skus'!$A:$AC,2,FALSE))="JBL",(VLOOKUP(Table6[[#This Row],[SKU]],'All Skus'!$A:$AC,15,FALSE)),""))</f>
        <v>2</v>
      </c>
      <c r="N226" s="137">
        <f>(IF((VLOOKUP(Table6[[#This Row],[SKU]],'All Skus'!$A:$AC,2,FALSE))="JBL",(VLOOKUP(Table6[[#This Row],[SKU]],'All Skus'!$A:$AC,16,FALSE)),""))</f>
        <v>50036904995</v>
      </c>
      <c r="O226" s="61">
        <f>(IF((VLOOKUP(Table6[[#This Row],[SKU]],'All Skus'!$A:$AC,2,FALSE))="JBL",(VLOOKUP(Table6[[#This Row],[SKU]],'All Skus'!$A:$AC,17,FALSE)),""))</f>
        <v>0</v>
      </c>
      <c r="P226" s="136">
        <f>(IF((VLOOKUP(Table6[[#This Row],[SKU]],'All Skus'!$A:$AC,2,FALSE))="JBL",(VLOOKUP(Table6[[#This Row],[SKU]],'All Skus'!$A:$AC,18,FALSE)),""))</f>
        <v>6.5</v>
      </c>
      <c r="Q226" s="136">
        <f>(IF((VLOOKUP(Table6[[#This Row],[SKU]],'All Skus'!$A:$AC,2,FALSE))="JBL",(VLOOKUP(Table6[[#This Row],[SKU]],'All Skus'!$A:$AC,19,FALSE)),""))</f>
        <v>12</v>
      </c>
      <c r="R226" s="136">
        <f>(IF((VLOOKUP(Table6[[#This Row],[SKU]],'All Skus'!$A:$AC,2,FALSE))="JBL",(VLOOKUP(Table6[[#This Row],[SKU]],'All Skus'!$A:$AC,20,FALSE)),""))</f>
        <v>10</v>
      </c>
      <c r="S226" s="61">
        <f>(IF((VLOOKUP(Table6[[#This Row],[SKU]],'All Skus'!$A:$AC,2,FALSE))="JBL",(VLOOKUP(Table6[[#This Row],[SKU]],'All Skus'!$A:$AC,21,FALSE)),""))</f>
        <v>9</v>
      </c>
      <c r="T226" s="61" t="str">
        <f>(IF((VLOOKUP(Table6[[#This Row],[SKU]],'All Skus'!$A:$AC,2,FALSE))="JBL",(VLOOKUP(Table6[[#This Row],[SKU]],'All Skus'!$A:$AC,22,FALSE)),""))</f>
        <v>CN</v>
      </c>
      <c r="U226" t="str">
        <f>(IF((VLOOKUP(Table6[[#This Row],[SKU]],'All Skus'!$A:$AC,2,FALSE))="JBL",(VLOOKUP(Table6[[#This Row],[SKU]],'All Skus'!$A:$AC,23,FALSE)),""))</f>
        <v>Non Compliant</v>
      </c>
      <c r="V226" s="284" t="str">
        <f>HYPERLINK((IF((VLOOKUP(Table6[[#This Row],[SKU]],'All Skus'!$A:$AC,2,FALSE))="JBL",(VLOOKUP(Table6[[#This Row],[SKU]],'All Skus'!$A:$AC,24,FALSE)),"")))</f>
        <v xml:space="preserve">http://www.jblpro.com/www/products/installed-sound/control-contractor-series/control-128w </v>
      </c>
      <c r="W226" s="151">
        <v>224</v>
      </c>
    </row>
    <row r="227" spans="1:23" ht="15" hidden="1" customHeight="1">
      <c r="A227" s="13" t="s">
        <v>1233</v>
      </c>
      <c r="B227" s="12" t="str">
        <f>(IF((VLOOKUP(Table6[[#This Row],[SKU]],'All Skus'!$A:$AC,2,FALSE))="JBL",(VLOOKUP(Table6[[#This Row],[SKU]],'All Skus'!$A:$AC,3,FALSE)),""))</f>
        <v>In-Wall Sprk</v>
      </c>
      <c r="C227" s="12" t="str">
        <f>(IF((VLOOKUP(Table6[[#This Row],[SKU]],'All Skus'!$A:$AC,2,FALSE))="JBL",(VLOOKUP(Table6[[#This Row],[SKU]],'All Skus'!$A:$AC,4,FALSE)),""))</f>
        <v>CONTROL 128W</v>
      </c>
      <c r="D227" s="61" t="str">
        <f>(IF((VLOOKUP(Table6[[#This Row],[SKU]],'All Skus'!$A:$AC,2,FALSE))="JBL",(VLOOKUP(Table6[[#This Row],[SKU]],'All Skus'!$A:$AC,5,FALSE)),""))</f>
        <v>JBL018</v>
      </c>
      <c r="E227" s="137">
        <f>(IF((VLOOKUP(Table6[[#This Row],[SKU]],'All Skus'!$A:$AC,2,FALSE))="JBL",(VLOOKUP(Table6[[#This Row],[SKU]],'All Skus'!$A:$AC,6,FALSE)),""))</f>
        <v>0</v>
      </c>
      <c r="F227" s="61">
        <f>(IF((VLOOKUP(Table6[[#This Row],[SKU]],'All Skus'!$A:$AC,2,FALSE))="JBL",(VLOOKUP(Table6[[#This Row],[SKU]],'All Skus'!$A:$AC,7,FALSE)),""))</f>
        <v>0</v>
      </c>
      <c r="G227" t="str">
        <f>(IF((VLOOKUP(Table6[[#This Row],[SKU]],'All Skus'!$A:$AC,2,FALSE))="JBL",(VLOOKUP(Table6[[#This Row],[SKU]],'All Skus'!$A:$AC,8,FALSE)),""))</f>
        <v>8"2-way inwall spkr 2per ctn.</v>
      </c>
      <c r="H227" s="8" t="str">
        <f>(IF((VLOOKUP(Table6[[#This Row],[SKU]],'All Skus'!$A:$AC,2,FALSE))="JBL",(VLOOKUP(Table6[[#This Row],[SKU]],'All Skus'!$A:$AC,9,FALSE)),""))</f>
        <v>Premium Quality In-Wall Two-Way Loudspeaker with 8" (200 mm) Woofer.  Polymer-Coated Aluminum-Cone Woofer With Pure Butyl Rubber Surround, Low-Diffraction Swivel Aimable Titanium Tweeter.  High-Slope Crossover Network, Paintable, 102 mm ( 4 in) Depth (For Wallboard Plus Stud).  90 dB Sensitivity, 60 Watts RMS (120W Program/240W Peak), 30 Hz to 20 kHz Frequency Response. priced as each; packaged and sold in pairs</v>
      </c>
      <c r="I227" s="101">
        <f>(IF((VLOOKUP(Table6[[#This Row],[SKU]],'All Skus'!$A:$AC,2,FALSE))="JBL",(VLOOKUP(Table6[[#This Row],[SKU]],'All Skus'!$A:$AC,10,FALSE)),""))</f>
        <v>303.58</v>
      </c>
      <c r="J227" s="101">
        <f>(IF((VLOOKUP(Table6[[#This Row],[SKU]],'All Skus'!$A:$AC,2,FALSE))="JBL",(VLOOKUP(Table6[[#This Row],[SKU]],'All Skus'!$A:$AC,11,FALSE)),""))</f>
        <v>243</v>
      </c>
      <c r="K227" s="102">
        <f>(IF((VLOOKUP(Table6[[#This Row],[SKU]],'All Skus'!$A:$AC,2,FALSE))="JBL",(VLOOKUP(Table6[[#This Row],[SKU]],'All Skus'!$A:$AC,13,FALSE)),""))</f>
        <v>167.99695500000001</v>
      </c>
      <c r="L227" s="102">
        <f>(IF((VLOOKUP(Table6[[#This Row],[SKU]],'All Skus'!$A:$AC,2,FALSE))="JBL",(VLOOKUP(Table6[[#This Row],[SKU]],'All Skus'!$A:$AC,14,FALSE)),""))</f>
        <v>159.15501000000003</v>
      </c>
      <c r="M227" s="143">
        <f>(IF((VLOOKUP(Table6[[#This Row],[SKU]],'All Skus'!$A:$AC,2,FALSE))="JBL",(VLOOKUP(Table6[[#This Row],[SKU]],'All Skus'!$A:$AC,15,FALSE)),""))</f>
        <v>2</v>
      </c>
      <c r="N227" s="137">
        <f>(IF((VLOOKUP(Table6[[#This Row],[SKU]],'All Skus'!$A:$AC,2,FALSE))="JBL",(VLOOKUP(Table6[[#This Row],[SKU]],'All Skus'!$A:$AC,16,FALSE)),""))</f>
        <v>50036905008</v>
      </c>
      <c r="O227" s="61">
        <f>(IF((VLOOKUP(Table6[[#This Row],[SKU]],'All Skus'!$A:$AC,2,FALSE))="JBL",(VLOOKUP(Table6[[#This Row],[SKU]],'All Skus'!$A:$AC,17,FALSE)),""))</f>
        <v>0</v>
      </c>
      <c r="P227" s="136">
        <f>(IF((VLOOKUP(Table6[[#This Row],[SKU]],'All Skus'!$A:$AC,2,FALSE))="JBL",(VLOOKUP(Table6[[#This Row],[SKU]],'All Skus'!$A:$AC,18,FALSE)),""))</f>
        <v>8.5</v>
      </c>
      <c r="Q227" s="136">
        <f>(IF((VLOOKUP(Table6[[#This Row],[SKU]],'All Skus'!$A:$AC,2,FALSE))="JBL",(VLOOKUP(Table6[[#This Row],[SKU]],'All Skus'!$A:$AC,19,FALSE)),""))</f>
        <v>16</v>
      </c>
      <c r="R227" s="136">
        <f>(IF((VLOOKUP(Table6[[#This Row],[SKU]],'All Skus'!$A:$AC,2,FALSE))="JBL",(VLOOKUP(Table6[[#This Row],[SKU]],'All Skus'!$A:$AC,20,FALSE)),""))</f>
        <v>12</v>
      </c>
      <c r="S227" s="61">
        <f>(IF((VLOOKUP(Table6[[#This Row],[SKU]],'All Skus'!$A:$AC,2,FALSE))="JBL",(VLOOKUP(Table6[[#This Row],[SKU]],'All Skus'!$A:$AC,21,FALSE)),""))</f>
        <v>8</v>
      </c>
      <c r="T227" s="61" t="str">
        <f>(IF((VLOOKUP(Table6[[#This Row],[SKU]],'All Skus'!$A:$AC,2,FALSE))="JBL",(VLOOKUP(Table6[[#This Row],[SKU]],'All Skus'!$A:$AC,22,FALSE)),""))</f>
        <v>CN</v>
      </c>
      <c r="U227" t="str">
        <f>(IF((VLOOKUP(Table6[[#This Row],[SKU]],'All Skus'!$A:$AC,2,FALSE))="JBL",(VLOOKUP(Table6[[#This Row],[SKU]],'All Skus'!$A:$AC,23,FALSE)),""))</f>
        <v>Non Compliant</v>
      </c>
      <c r="V227" s="284" t="str">
        <f>HYPERLINK((IF((VLOOKUP(Table6[[#This Row],[SKU]],'All Skus'!$A:$AC,2,FALSE))="JBL",(VLOOKUP(Table6[[#This Row],[SKU]],'All Skus'!$A:$AC,24,FALSE)),"")))</f>
        <v xml:space="preserve">http://www.jblpro.com/www/products/installed-sound/control-contractor-series/control-128wt </v>
      </c>
      <c r="W227" s="151">
        <v>225</v>
      </c>
    </row>
    <row r="228" spans="1:23" ht="15" hidden="1" customHeight="1">
      <c r="A228" s="13" t="s">
        <v>1234</v>
      </c>
      <c r="B228" s="12" t="str">
        <f>(IF((VLOOKUP(Table6[[#This Row],[SKU]],'All Skus'!$A:$AC,2,FALSE))="JBL",(VLOOKUP(Table6[[#This Row],[SKU]],'All Skus'!$A:$AC,3,FALSE)),""))</f>
        <v>In-Wall Sprk</v>
      </c>
      <c r="C228" s="12" t="str">
        <f>(IF((VLOOKUP(Table6[[#This Row],[SKU]],'All Skus'!$A:$AC,2,FALSE))="JBL",(VLOOKUP(Table6[[#This Row],[SKU]],'All Skus'!$A:$AC,4,FALSE)),""))</f>
        <v>CONTROL 128WT</v>
      </c>
      <c r="D228" s="61" t="str">
        <f>(IF((VLOOKUP(Table6[[#This Row],[SKU]],'All Skus'!$A:$AC,2,FALSE))="JBL",(VLOOKUP(Table6[[#This Row],[SKU]],'All Skus'!$A:$AC,5,FALSE)),""))</f>
        <v>JBL018</v>
      </c>
      <c r="E228" s="137">
        <f>(IF((VLOOKUP(Table6[[#This Row],[SKU]],'All Skus'!$A:$AC,2,FALSE))="JBL",(VLOOKUP(Table6[[#This Row],[SKU]],'All Skus'!$A:$AC,6,FALSE)),""))</f>
        <v>0</v>
      </c>
      <c r="F228" s="61">
        <f>(IF((VLOOKUP(Table6[[#This Row],[SKU]],'All Skus'!$A:$AC,2,FALSE))="JBL",(VLOOKUP(Table6[[#This Row],[SKU]],'All Skus'!$A:$AC,7,FALSE)),""))</f>
        <v>0</v>
      </c>
      <c r="G228" t="str">
        <f>(IF((VLOOKUP(Table6[[#This Row],[SKU]],'All Skus'!$A:$AC,2,FALSE))="JBL",(VLOOKUP(Table6[[#This Row],[SKU]],'All Skus'!$A:$AC,8,FALSE)),""))</f>
        <v>8"2-way inwall spkr 2per ctn.</v>
      </c>
      <c r="H228" s="8" t="str">
        <f>(IF((VLOOKUP(Table6[[#This Row],[SKU]],'All Skus'!$A:$AC,2,FALSE))="JBL",(VLOOKUP(Table6[[#This Row],[SKU]],'All Skus'!$A:$AC,9,FALSE)),""))</f>
        <v>Control 128W With Transformer for Use on a 70.7V or 100V Distributed Line. Selectable Taps at 50W, 25W, and 12W (Plus 6W at 70V Only).  (Priced as Each, Sold in Pairs).</v>
      </c>
      <c r="I228" s="101">
        <f>(IF((VLOOKUP(Table6[[#This Row],[SKU]],'All Skus'!$A:$AC,2,FALSE))="JBL",(VLOOKUP(Table6[[#This Row],[SKU]],'All Skus'!$A:$AC,10,FALSE)),""))</f>
        <v>334.72</v>
      </c>
      <c r="J228" s="101">
        <f>(IF((VLOOKUP(Table6[[#This Row],[SKU]],'All Skus'!$A:$AC,2,FALSE))="JBL",(VLOOKUP(Table6[[#This Row],[SKU]],'All Skus'!$A:$AC,11,FALSE)),""))</f>
        <v>267</v>
      </c>
      <c r="K228" s="102">
        <f>(IF((VLOOKUP(Table6[[#This Row],[SKU]],'All Skus'!$A:$AC,2,FALSE))="JBL",(VLOOKUP(Table6[[#This Row],[SKU]],'All Skus'!$A:$AC,13,FALSE)),""))</f>
        <v>185.22663</v>
      </c>
      <c r="L228" s="102">
        <f>(IF((VLOOKUP(Table6[[#This Row],[SKU]],'All Skus'!$A:$AC,2,FALSE))="JBL",(VLOOKUP(Table6[[#This Row],[SKU]],'All Skus'!$A:$AC,14,FALSE)),""))</f>
        <v>175.47786000000002</v>
      </c>
      <c r="M228" s="143">
        <f>(IF((VLOOKUP(Table6[[#This Row],[SKU]],'All Skus'!$A:$AC,2,FALSE))="JBL",(VLOOKUP(Table6[[#This Row],[SKU]],'All Skus'!$A:$AC,15,FALSE)),""))</f>
        <v>2</v>
      </c>
      <c r="N228" s="137">
        <f>(IF((VLOOKUP(Table6[[#This Row],[SKU]],'All Skus'!$A:$AC,2,FALSE))="JBL",(VLOOKUP(Table6[[#This Row],[SKU]],'All Skus'!$A:$AC,16,FALSE)),""))</f>
        <v>50036905015</v>
      </c>
      <c r="O228" s="61">
        <f>(IF((VLOOKUP(Table6[[#This Row],[SKU]],'All Skus'!$A:$AC,2,FALSE))="JBL",(VLOOKUP(Table6[[#This Row],[SKU]],'All Skus'!$A:$AC,17,FALSE)),""))</f>
        <v>0</v>
      </c>
      <c r="P228" s="136">
        <f>(IF((VLOOKUP(Table6[[#This Row],[SKU]],'All Skus'!$A:$AC,2,FALSE))="JBL",(VLOOKUP(Table6[[#This Row],[SKU]],'All Skus'!$A:$AC,18,FALSE)),""))</f>
        <v>8</v>
      </c>
      <c r="Q228" s="136">
        <f>(IF((VLOOKUP(Table6[[#This Row],[SKU]],'All Skus'!$A:$AC,2,FALSE))="JBL",(VLOOKUP(Table6[[#This Row],[SKU]],'All Skus'!$A:$AC,19,FALSE)),""))</f>
        <v>5.25</v>
      </c>
      <c r="R228" s="136">
        <f>(IF((VLOOKUP(Table6[[#This Row],[SKU]],'All Skus'!$A:$AC,2,FALSE))="JBL",(VLOOKUP(Table6[[#This Row],[SKU]],'All Skus'!$A:$AC,20,FALSE)),""))</f>
        <v>6.25</v>
      </c>
      <c r="S228" s="61">
        <f>(IF((VLOOKUP(Table6[[#This Row],[SKU]],'All Skus'!$A:$AC,2,FALSE))="JBL",(VLOOKUP(Table6[[#This Row],[SKU]],'All Skus'!$A:$AC,21,FALSE)),""))</f>
        <v>7.75</v>
      </c>
      <c r="T228" s="61" t="str">
        <f>(IF((VLOOKUP(Table6[[#This Row],[SKU]],'All Skus'!$A:$AC,2,FALSE))="JBL",(VLOOKUP(Table6[[#This Row],[SKU]],'All Skus'!$A:$AC,22,FALSE)),""))</f>
        <v>CN</v>
      </c>
      <c r="U228" t="str">
        <f>(IF((VLOOKUP(Table6[[#This Row],[SKU]],'All Skus'!$A:$AC,2,FALSE))="JBL",(VLOOKUP(Table6[[#This Row],[SKU]],'All Skus'!$A:$AC,23,FALSE)),""))</f>
        <v>Non Compliant</v>
      </c>
      <c r="V228" s="284" t="str">
        <f>HYPERLINK((IF((VLOOKUP(Table6[[#This Row],[SKU]],'All Skus'!$A:$AC,2,FALSE))="JBL",(VLOOKUP(Table6[[#This Row],[SKU]],'All Skus'!$A:$AC,24,FALSE)),"")))</f>
        <v/>
      </c>
      <c r="W228" s="151">
        <v>226</v>
      </c>
    </row>
    <row r="229" spans="1:23" ht="15" hidden="1" customHeight="1">
      <c r="A229" s="13" t="s">
        <v>1235</v>
      </c>
      <c r="B229" s="12" t="str">
        <f>(IF((VLOOKUP(Table6[[#This Row],[SKU]],'All Skus'!$A:$AC,2,FALSE))="JBL",(VLOOKUP(Table6[[#This Row],[SKU]],'All Skus'!$A:$AC,3,FALSE)),""))</f>
        <v>Accessory</v>
      </c>
      <c r="C229" s="12" t="str">
        <f>(IF((VLOOKUP(Table6[[#This Row],[SKU]],'All Skus'!$A:$AC,2,FALSE))="JBL",(VLOOKUP(Table6[[#This Row],[SKU]],'All Skus'!$A:$AC,4,FALSE)),""))</f>
        <v>WB6</v>
      </c>
      <c r="D229" s="61" t="str">
        <f>(IF((VLOOKUP(Table6[[#This Row],[SKU]],'All Skus'!$A:$AC,2,FALSE))="JBL",(VLOOKUP(Table6[[#This Row],[SKU]],'All Skus'!$A:$AC,5,FALSE)),""))</f>
        <v>JBL018</v>
      </c>
      <c r="E229" s="137">
        <f>(IF((VLOOKUP(Table6[[#This Row],[SKU]],'All Skus'!$A:$AC,2,FALSE))="JBL",(VLOOKUP(Table6[[#This Row],[SKU]],'All Skus'!$A:$AC,6,FALSE)),""))</f>
        <v>0</v>
      </c>
      <c r="F229" s="61">
        <f>(IF((VLOOKUP(Table6[[#This Row],[SKU]],'All Skus'!$A:$AC,2,FALSE))="JBL",(VLOOKUP(Table6[[#This Row],[SKU]],'All Skus'!$A:$AC,7,FALSE)),""))</f>
        <v>0</v>
      </c>
      <c r="G229" t="str">
        <f>(IF((VLOOKUP(Table6[[#This Row],[SKU]],'All Skus'!$A:$AC,2,FALSE))="JBL",(VLOOKUP(Table6[[#This Row],[SKU]],'All Skus'!$A:$AC,8,FALSE)),""))</f>
        <v>Install Bracket</v>
      </c>
      <c r="H229" s="8" t="str">
        <f>(IF((VLOOKUP(Table6[[#This Row],[SKU]],'All Skus'!$A:$AC,2,FALSE))="JBL",(VLOOKUP(Table6[[#This Row],[SKU]],'All Skus'!$A:$AC,9,FALSE)),""))</f>
        <v>PRE-INSTALL BRCKT C126W to studs in New Construction sold as Each priced as each</v>
      </c>
      <c r="I229" s="101">
        <f>(IF((VLOOKUP(Table6[[#This Row],[SKU]],'All Skus'!$A:$AC,2,FALSE))="JBL",(VLOOKUP(Table6[[#This Row],[SKU]],'All Skus'!$A:$AC,10,FALSE)),""))</f>
        <v>34.07</v>
      </c>
      <c r="J229" s="101">
        <f>(IF((VLOOKUP(Table6[[#This Row],[SKU]],'All Skus'!$A:$AC,2,FALSE))="JBL",(VLOOKUP(Table6[[#This Row],[SKU]],'All Skus'!$A:$AC,11,FALSE)),""))</f>
        <v>34.07</v>
      </c>
      <c r="K229" s="102">
        <f>(IF((VLOOKUP(Table6[[#This Row],[SKU]],'All Skus'!$A:$AC,2,FALSE))="JBL",(VLOOKUP(Table6[[#This Row],[SKU]],'All Skus'!$A:$AC,13,FALSE)),""))</f>
        <v>18.856075000000001</v>
      </c>
      <c r="L229" s="102">
        <f>(IF((VLOOKUP(Table6[[#This Row],[SKU]],'All Skus'!$A:$AC,2,FALSE))="JBL",(VLOOKUP(Table6[[#This Row],[SKU]],'All Skus'!$A:$AC,14,FALSE)),""))</f>
        <v>17.863650000000003</v>
      </c>
      <c r="M229" s="143">
        <f>(IF((VLOOKUP(Table6[[#This Row],[SKU]],'All Skus'!$A:$AC,2,FALSE))="JBL",(VLOOKUP(Table6[[#This Row],[SKU]],'All Skus'!$A:$AC,15,FALSE)),""))</f>
        <v>0</v>
      </c>
      <c r="N229" s="137">
        <f>(IF((VLOOKUP(Table6[[#This Row],[SKU]],'All Skus'!$A:$AC,2,FALSE))="JBL",(VLOOKUP(Table6[[#This Row],[SKU]],'All Skus'!$A:$AC,16,FALSE)),""))</f>
        <v>848592001278</v>
      </c>
      <c r="O229" s="61">
        <f>(IF((VLOOKUP(Table6[[#This Row],[SKU]],'All Skus'!$A:$AC,2,FALSE))="JBL",(VLOOKUP(Table6[[#This Row],[SKU]],'All Skus'!$A:$AC,17,FALSE)),""))</f>
        <v>0</v>
      </c>
      <c r="P229" s="136">
        <f>(IF((VLOOKUP(Table6[[#This Row],[SKU]],'All Skus'!$A:$AC,2,FALSE))="JBL",(VLOOKUP(Table6[[#This Row],[SKU]],'All Skus'!$A:$AC,18,FALSE)),""))</f>
        <v>0.75</v>
      </c>
      <c r="Q229" s="136">
        <f>(IF((VLOOKUP(Table6[[#This Row],[SKU]],'All Skus'!$A:$AC,2,FALSE))="JBL",(VLOOKUP(Table6[[#This Row],[SKU]],'All Skus'!$A:$AC,19,FALSE)),""))</f>
        <v>1</v>
      </c>
      <c r="R229" s="136">
        <f>(IF((VLOOKUP(Table6[[#This Row],[SKU]],'All Skus'!$A:$AC,2,FALSE))="JBL",(VLOOKUP(Table6[[#This Row],[SKU]],'All Skus'!$A:$AC,20,FALSE)),""))</f>
        <v>9.5</v>
      </c>
      <c r="S229" s="61">
        <f>(IF((VLOOKUP(Table6[[#This Row],[SKU]],'All Skus'!$A:$AC,2,FALSE))="JBL",(VLOOKUP(Table6[[#This Row],[SKU]],'All Skus'!$A:$AC,21,FALSE)),""))</f>
        <v>16.5</v>
      </c>
      <c r="T229" s="61" t="str">
        <f>(IF((VLOOKUP(Table6[[#This Row],[SKU]],'All Skus'!$A:$AC,2,FALSE))="JBL",(VLOOKUP(Table6[[#This Row],[SKU]],'All Skus'!$A:$AC,22,FALSE)),""))</f>
        <v>CN</v>
      </c>
      <c r="U229" t="str">
        <f>(IF((VLOOKUP(Table6[[#This Row],[SKU]],'All Skus'!$A:$AC,2,FALSE))="JBL",(VLOOKUP(Table6[[#This Row],[SKU]],'All Skus'!$A:$AC,23,FALSE)),""))</f>
        <v>Non Compliant</v>
      </c>
      <c r="V229" s="284" t="str">
        <f>HYPERLINK((IF((VLOOKUP(Table6[[#This Row],[SKU]],'All Skus'!$A:$AC,2,FALSE))="JBL",(VLOOKUP(Table6[[#This Row],[SKU]],'All Skus'!$A:$AC,24,FALSE)),"")))</f>
        <v/>
      </c>
      <c r="W229" s="151">
        <v>227</v>
      </c>
    </row>
    <row r="230" spans="1:23" ht="15" hidden="1" customHeight="1">
      <c r="A230" s="13" t="s">
        <v>1236</v>
      </c>
      <c r="B230" s="12" t="str">
        <f>(IF((VLOOKUP(Table6[[#This Row],[SKU]],'All Skus'!$A:$AC,2,FALSE))="JBL",(VLOOKUP(Table6[[#This Row],[SKU]],'All Skus'!$A:$AC,3,FALSE)),""))</f>
        <v>Accessory</v>
      </c>
      <c r="C230" s="12" t="str">
        <f>(IF((VLOOKUP(Table6[[#This Row],[SKU]],'All Skus'!$A:$AC,2,FALSE))="JBL",(VLOOKUP(Table6[[#This Row],[SKU]],'All Skus'!$A:$AC,4,FALSE)),""))</f>
        <v>WB8</v>
      </c>
      <c r="D230" s="61" t="str">
        <f>(IF((VLOOKUP(Table6[[#This Row],[SKU]],'All Skus'!$A:$AC,2,FALSE))="JBL",(VLOOKUP(Table6[[#This Row],[SKU]],'All Skus'!$A:$AC,5,FALSE)),""))</f>
        <v>JBL018</v>
      </c>
      <c r="E230" s="137">
        <f>(IF((VLOOKUP(Table6[[#This Row],[SKU]],'All Skus'!$A:$AC,2,FALSE))="JBL",(VLOOKUP(Table6[[#This Row],[SKU]],'All Skus'!$A:$AC,6,FALSE)),""))</f>
        <v>0</v>
      </c>
      <c r="F230" s="61">
        <f>(IF((VLOOKUP(Table6[[#This Row],[SKU]],'All Skus'!$A:$AC,2,FALSE))="JBL",(VLOOKUP(Table6[[#This Row],[SKU]],'All Skus'!$A:$AC,7,FALSE)),""))</f>
        <v>0</v>
      </c>
      <c r="G230" t="str">
        <f>(IF((VLOOKUP(Table6[[#This Row],[SKU]],'All Skus'!$A:$AC,2,FALSE))="JBL",(VLOOKUP(Table6[[#This Row],[SKU]],'All Skus'!$A:$AC,8,FALSE)),""))</f>
        <v>Rough in Kit for C128W/WT - per set. ,6per  Mstr CTN</v>
      </c>
      <c r="H230" s="8" t="str">
        <f>(IF((VLOOKUP(Table6[[#This Row],[SKU]],'All Skus'!$A:$AC,2,FALSE))="JBL",(VLOOKUP(Table6[[#This Row],[SKU]],'All Skus'!$A:$AC,9,FALSE)),""))</f>
        <v>Rough-In Frame for Installing Control 128W to Studs in New Construction.  Sold as Each, Priced as Each.</v>
      </c>
      <c r="I230" s="101">
        <f>(IF((VLOOKUP(Table6[[#This Row],[SKU]],'All Skus'!$A:$AC,2,FALSE))="JBL",(VLOOKUP(Table6[[#This Row],[SKU]],'All Skus'!$A:$AC,10,FALSE)),""))</f>
        <v>34.07</v>
      </c>
      <c r="J230" s="101">
        <f>(IF((VLOOKUP(Table6[[#This Row],[SKU]],'All Skus'!$A:$AC,2,FALSE))="JBL",(VLOOKUP(Table6[[#This Row],[SKU]],'All Skus'!$A:$AC,11,FALSE)),""))</f>
        <v>34.07</v>
      </c>
      <c r="K230" s="102">
        <f>(IF((VLOOKUP(Table6[[#This Row],[SKU]],'All Skus'!$A:$AC,2,FALSE))="JBL",(VLOOKUP(Table6[[#This Row],[SKU]],'All Skus'!$A:$AC,13,FALSE)),""))</f>
        <v>18.856075000000001</v>
      </c>
      <c r="L230" s="102">
        <f>(IF((VLOOKUP(Table6[[#This Row],[SKU]],'All Skus'!$A:$AC,2,FALSE))="JBL",(VLOOKUP(Table6[[#This Row],[SKU]],'All Skus'!$A:$AC,14,FALSE)),""))</f>
        <v>17.863650000000003</v>
      </c>
      <c r="M230" s="143">
        <f>(IF((VLOOKUP(Table6[[#This Row],[SKU]],'All Skus'!$A:$AC,2,FALSE))="JBL",(VLOOKUP(Table6[[#This Row],[SKU]],'All Skus'!$A:$AC,15,FALSE)),""))</f>
        <v>0</v>
      </c>
      <c r="N230" s="137">
        <f>(IF((VLOOKUP(Table6[[#This Row],[SKU]],'All Skus'!$A:$AC,2,FALSE))="JBL",(VLOOKUP(Table6[[#This Row],[SKU]],'All Skus'!$A:$AC,16,FALSE)),""))</f>
        <v>691991300257</v>
      </c>
      <c r="O230" s="61">
        <f>(IF((VLOOKUP(Table6[[#This Row],[SKU]],'All Skus'!$A:$AC,2,FALSE))="JBL",(VLOOKUP(Table6[[#This Row],[SKU]],'All Skus'!$A:$AC,17,FALSE)),""))</f>
        <v>0</v>
      </c>
      <c r="P230" s="136">
        <f>(IF((VLOOKUP(Table6[[#This Row],[SKU]],'All Skus'!$A:$AC,2,FALSE))="JBL",(VLOOKUP(Table6[[#This Row],[SKU]],'All Skus'!$A:$AC,18,FALSE)),""))</f>
        <v>0</v>
      </c>
      <c r="Q230" s="136">
        <f>(IF((VLOOKUP(Table6[[#This Row],[SKU]],'All Skus'!$A:$AC,2,FALSE))="JBL",(VLOOKUP(Table6[[#This Row],[SKU]],'All Skus'!$A:$AC,19,FALSE)),""))</f>
        <v>0</v>
      </c>
      <c r="R230" s="136">
        <f>(IF((VLOOKUP(Table6[[#This Row],[SKU]],'All Skus'!$A:$AC,2,FALSE))="JBL",(VLOOKUP(Table6[[#This Row],[SKU]],'All Skus'!$A:$AC,20,FALSE)),""))</f>
        <v>0</v>
      </c>
      <c r="S230" s="61">
        <f>(IF((VLOOKUP(Table6[[#This Row],[SKU]],'All Skus'!$A:$AC,2,FALSE))="JBL",(VLOOKUP(Table6[[#This Row],[SKU]],'All Skus'!$A:$AC,21,FALSE)),""))</f>
        <v>0</v>
      </c>
      <c r="T230" s="61" t="str">
        <f>(IF((VLOOKUP(Table6[[#This Row],[SKU]],'All Skus'!$A:$AC,2,FALSE))="JBL",(VLOOKUP(Table6[[#This Row],[SKU]],'All Skus'!$A:$AC,22,FALSE)),""))</f>
        <v>CN</v>
      </c>
      <c r="U230" t="str">
        <f>(IF((VLOOKUP(Table6[[#This Row],[SKU]],'All Skus'!$A:$AC,2,FALSE))="JBL",(VLOOKUP(Table6[[#This Row],[SKU]],'All Skus'!$A:$AC,23,FALSE)),""))</f>
        <v>Non Compliant</v>
      </c>
      <c r="V230" s="284" t="str">
        <f>HYPERLINK((IF((VLOOKUP(Table6[[#This Row],[SKU]],'All Skus'!$A:$AC,2,FALSE))="JBL",(VLOOKUP(Table6[[#This Row],[SKU]],'All Skus'!$A:$AC,24,FALSE)),"")))</f>
        <v xml:space="preserve">http://www.jblpro.com/www/products/installed-sound/control-80-series-landscape-speakers/control-85m </v>
      </c>
      <c r="W230" s="151">
        <v>228</v>
      </c>
    </row>
    <row r="231" spans="1:23" ht="15" hidden="1" customHeight="1">
      <c r="A231" s="104" t="s">
        <v>1237</v>
      </c>
      <c r="B231" s="12">
        <f>(IF((VLOOKUP(Table6[[#This Row],[SKU]],'All Skus'!$A:$AC,2,FALSE))="JBL",(VLOOKUP(Table6[[#This Row],[SKU]],'All Skus'!$A:$AC,3,FALSE)),""))</f>
        <v>0</v>
      </c>
      <c r="C231" s="12">
        <f>(IF((VLOOKUP(Table6[[#This Row],[SKU]],'All Skus'!$A:$AC,2,FALSE))="JBL",(VLOOKUP(Table6[[#This Row],[SKU]],'All Skus'!$A:$AC,4,FALSE)),""))</f>
        <v>0</v>
      </c>
      <c r="D231" s="61">
        <f>(IF((VLOOKUP(Table6[[#This Row],[SKU]],'All Skus'!$A:$AC,2,FALSE))="JBL",(VLOOKUP(Table6[[#This Row],[SKU]],'All Skus'!$A:$AC,5,FALSE)),""))</f>
        <v>0</v>
      </c>
      <c r="E231" s="137">
        <f>(IF((VLOOKUP(Table6[[#This Row],[SKU]],'All Skus'!$A:$AC,2,FALSE))="JBL",(VLOOKUP(Table6[[#This Row],[SKU]],'All Skus'!$A:$AC,6,FALSE)),""))</f>
        <v>0</v>
      </c>
      <c r="F231" s="61">
        <f>(IF((VLOOKUP(Table6[[#This Row],[SKU]],'All Skus'!$A:$AC,2,FALSE))="JBL",(VLOOKUP(Table6[[#This Row],[SKU]],'All Skus'!$A:$AC,7,FALSE)),""))</f>
        <v>0</v>
      </c>
      <c r="G231">
        <f>(IF((VLOOKUP(Table6[[#This Row],[SKU]],'All Skus'!$A:$AC,2,FALSE))="JBL",(VLOOKUP(Table6[[#This Row],[SKU]],'All Skus'!$A:$AC,8,FALSE)),""))</f>
        <v>0</v>
      </c>
      <c r="H231" s="8">
        <f>(IF((VLOOKUP(Table6[[#This Row],[SKU]],'All Skus'!$A:$AC,2,FALSE))="JBL",(VLOOKUP(Table6[[#This Row],[SKU]],'All Skus'!$A:$AC,9,FALSE)),""))</f>
        <v>0</v>
      </c>
      <c r="I231" s="101">
        <f>(IF((VLOOKUP(Table6[[#This Row],[SKU]],'All Skus'!$A:$AC,2,FALSE))="JBL",(VLOOKUP(Table6[[#This Row],[SKU]],'All Skus'!$A:$AC,10,FALSE)),""))</f>
        <v>0</v>
      </c>
      <c r="J231" s="101">
        <f>(IF((VLOOKUP(Table6[[#This Row],[SKU]],'All Skus'!$A:$AC,2,FALSE))="JBL",(VLOOKUP(Table6[[#This Row],[SKU]],'All Skus'!$A:$AC,11,FALSE)),""))</f>
        <v>0</v>
      </c>
      <c r="K231" s="102">
        <f>(IF((VLOOKUP(Table6[[#This Row],[SKU]],'All Skus'!$A:$AC,2,FALSE))="JBL",(VLOOKUP(Table6[[#This Row],[SKU]],'All Skus'!$A:$AC,13,FALSE)),""))</f>
        <v>0</v>
      </c>
      <c r="L231" s="102">
        <f>(IF((VLOOKUP(Table6[[#This Row],[SKU]],'All Skus'!$A:$AC,2,FALSE))="JBL",(VLOOKUP(Table6[[#This Row],[SKU]],'All Skus'!$A:$AC,14,FALSE)),""))</f>
        <v>0</v>
      </c>
      <c r="M231" s="143">
        <f>(IF((VLOOKUP(Table6[[#This Row],[SKU]],'All Skus'!$A:$AC,2,FALSE))="JBL",(VLOOKUP(Table6[[#This Row],[SKU]],'All Skus'!$A:$AC,15,FALSE)),""))</f>
        <v>0</v>
      </c>
      <c r="N231" s="137">
        <f>(IF((VLOOKUP(Table6[[#This Row],[SKU]],'All Skus'!$A:$AC,2,FALSE))="JBL",(VLOOKUP(Table6[[#This Row],[SKU]],'All Skus'!$A:$AC,16,FALSE)),""))</f>
        <v>0</v>
      </c>
      <c r="O231" s="61">
        <f>(IF((VLOOKUP(Table6[[#This Row],[SKU]],'All Skus'!$A:$AC,2,FALSE))="JBL",(VLOOKUP(Table6[[#This Row],[SKU]],'All Skus'!$A:$AC,17,FALSE)),""))</f>
        <v>0</v>
      </c>
      <c r="P231" s="136">
        <f>(IF((VLOOKUP(Table6[[#This Row],[SKU]],'All Skus'!$A:$AC,2,FALSE))="JBL",(VLOOKUP(Table6[[#This Row],[SKU]],'All Skus'!$A:$AC,18,FALSE)),""))</f>
        <v>0</v>
      </c>
      <c r="Q231" s="136">
        <f>(IF((VLOOKUP(Table6[[#This Row],[SKU]],'All Skus'!$A:$AC,2,FALSE))="JBL",(VLOOKUP(Table6[[#This Row],[SKU]],'All Skus'!$A:$AC,19,FALSE)),""))</f>
        <v>0</v>
      </c>
      <c r="R231" s="136">
        <f>(IF((VLOOKUP(Table6[[#This Row],[SKU]],'All Skus'!$A:$AC,2,FALSE))="JBL",(VLOOKUP(Table6[[#This Row],[SKU]],'All Skus'!$A:$AC,20,FALSE)),""))</f>
        <v>0</v>
      </c>
      <c r="S231" s="61">
        <f>(IF((VLOOKUP(Table6[[#This Row],[SKU]],'All Skus'!$A:$AC,2,FALSE))="JBL",(VLOOKUP(Table6[[#This Row],[SKU]],'All Skus'!$A:$AC,21,FALSE)),""))</f>
        <v>0</v>
      </c>
      <c r="T231" s="61">
        <f>(IF((VLOOKUP(Table6[[#This Row],[SKU]],'All Skus'!$A:$AC,2,FALSE))="JBL",(VLOOKUP(Table6[[#This Row],[SKU]],'All Skus'!$A:$AC,22,FALSE)),""))</f>
        <v>0</v>
      </c>
      <c r="U231">
        <f>(IF((VLOOKUP(Table6[[#This Row],[SKU]],'All Skus'!$A:$AC,2,FALSE))="JBL",(VLOOKUP(Table6[[#This Row],[SKU]],'All Skus'!$A:$AC,23,FALSE)),""))</f>
        <v>0</v>
      </c>
      <c r="V231" s="284" t="str">
        <f>HYPERLINK((IF((VLOOKUP(Table6[[#This Row],[SKU]],'All Skus'!$A:$AC,2,FALSE))="JBL",(VLOOKUP(Table6[[#This Row],[SKU]],'All Skus'!$A:$AC,24,FALSE)),"")))</f>
        <v/>
      </c>
      <c r="W231" s="151">
        <v>229</v>
      </c>
    </row>
    <row r="232" spans="1:23" ht="15" hidden="1" customHeight="1">
      <c r="A232" s="13" t="s">
        <v>1238</v>
      </c>
      <c r="B232" s="12" t="str">
        <f>(IF((VLOOKUP(Table6[[#This Row],[SKU]],'All Skus'!$A:$AC,2,FALSE))="JBL",(VLOOKUP(Table6[[#This Row],[SKU]],'All Skus'!$A:$AC,3,FALSE)),""))</f>
        <v>Landscape Speaker</v>
      </c>
      <c r="C232" s="12" t="str">
        <f>(IF((VLOOKUP(Table6[[#This Row],[SKU]],'All Skus'!$A:$AC,2,FALSE))="JBL",(VLOOKUP(Table6[[#This Row],[SKU]],'All Skus'!$A:$AC,4,FALSE)),""))</f>
        <v>CONTROL 85M</v>
      </c>
      <c r="D232" s="61" t="str">
        <f>(IF((VLOOKUP(Table6[[#This Row],[SKU]],'All Skus'!$A:$AC,2,FALSE))="JBL",(VLOOKUP(Table6[[#This Row],[SKU]],'All Skus'!$A:$AC,5,FALSE)),""))</f>
        <v>JBL018</v>
      </c>
      <c r="E232" s="137">
        <f>(IF((VLOOKUP(Table6[[#This Row],[SKU]],'All Skus'!$A:$AC,2,FALSE))="JBL",(VLOOKUP(Table6[[#This Row],[SKU]],'All Skus'!$A:$AC,6,FALSE)),""))</f>
        <v>0</v>
      </c>
      <c r="F232" s="61">
        <f>(IF((VLOOKUP(Table6[[#This Row],[SKU]],'All Skus'!$A:$AC,2,FALSE))="JBL",(VLOOKUP(Table6[[#This Row],[SKU]],'All Skus'!$A:$AC,7,FALSE)),""))</f>
        <v>0</v>
      </c>
      <c r="G232" t="str">
        <f>(IF((VLOOKUP(Table6[[#This Row],[SKU]],'All Skus'!$A:$AC,2,FALSE))="JBL",(VLOOKUP(Table6[[#This Row],[SKU]],'All Skus'!$A:$AC,8,FALSE)),""))</f>
        <v>5¼" 2-Way Landscape Speaker</v>
      </c>
      <c r="H232" s="8" t="str">
        <f>(IF((VLOOKUP(Table6[[#This Row],[SKU]],'All Skus'!$A:$AC,2,FALSE))="JBL",(VLOOKUP(Table6[[#This Row],[SKU]],'All Skus'!$A:$AC,9,FALSE)),""))</f>
        <v>Compact 5¼" Mushroom-Style Landscape Speaker. 5-1/4" (130 mm) polypropylene cone woofer with rubber surround &amp; 3/4" (19 mm) tweeter, 55 Hz - 18 kHz, 80 Watts Cont. Pink Noise Power Handling (320W peak) at 8 ohms, plus 30W multi-tap transformer.  IP-56 rated.  Hunter green. Priced and packed individually.</v>
      </c>
      <c r="I232" s="101">
        <f>(IF((VLOOKUP(Table6[[#This Row],[SKU]],'All Skus'!$A:$AC,2,FALSE))="JBL",(VLOOKUP(Table6[[#This Row],[SKU]],'All Skus'!$A:$AC,10,FALSE)),""))</f>
        <v>308.89999999999998</v>
      </c>
      <c r="J232" s="101">
        <f>(IF((VLOOKUP(Table6[[#This Row],[SKU]],'All Skus'!$A:$AC,2,FALSE))="JBL",(VLOOKUP(Table6[[#This Row],[SKU]],'All Skus'!$A:$AC,11,FALSE)),""))</f>
        <v>247</v>
      </c>
      <c r="K232" s="102">
        <f>(IF((VLOOKUP(Table6[[#This Row],[SKU]],'All Skus'!$A:$AC,2,FALSE))="JBL",(VLOOKUP(Table6[[#This Row],[SKU]],'All Skus'!$A:$AC,13,FALSE)),""))</f>
        <v>170.944805</v>
      </c>
      <c r="L232" s="102">
        <f>(IF((VLOOKUP(Table6[[#This Row],[SKU]],'All Skus'!$A:$AC,2,FALSE))="JBL",(VLOOKUP(Table6[[#This Row],[SKU]],'All Skus'!$A:$AC,14,FALSE)),""))</f>
        <v>161.94771</v>
      </c>
      <c r="M232" s="143">
        <f>(IF((VLOOKUP(Table6[[#This Row],[SKU]],'All Skus'!$A:$AC,2,FALSE))="JBL",(VLOOKUP(Table6[[#This Row],[SKU]],'All Skus'!$A:$AC,15,FALSE)),""))</f>
        <v>0</v>
      </c>
      <c r="N232" s="137">
        <f>(IF((VLOOKUP(Table6[[#This Row],[SKU]],'All Skus'!$A:$AC,2,FALSE))="JBL",(VLOOKUP(Table6[[#This Row],[SKU]],'All Skus'!$A:$AC,16,FALSE)),""))</f>
        <v>691991005077</v>
      </c>
      <c r="O232" s="61">
        <f>(IF((VLOOKUP(Table6[[#This Row],[SKU]],'All Skus'!$A:$AC,2,FALSE))="JBL",(VLOOKUP(Table6[[#This Row],[SKU]],'All Skus'!$A:$AC,17,FALSE)),""))</f>
        <v>0</v>
      </c>
      <c r="P232" s="136">
        <f>(IF((VLOOKUP(Table6[[#This Row],[SKU]],'All Skus'!$A:$AC,2,FALSE))="JBL",(VLOOKUP(Table6[[#This Row],[SKU]],'All Skus'!$A:$AC,18,FALSE)),""))</f>
        <v>25</v>
      </c>
      <c r="Q232" s="136">
        <f>(IF((VLOOKUP(Table6[[#This Row],[SKU]],'All Skus'!$A:$AC,2,FALSE))="JBL",(VLOOKUP(Table6[[#This Row],[SKU]],'All Skus'!$A:$AC,19,FALSE)),""))</f>
        <v>16</v>
      </c>
      <c r="R232" s="136">
        <f>(IF((VLOOKUP(Table6[[#This Row],[SKU]],'All Skus'!$A:$AC,2,FALSE))="JBL",(VLOOKUP(Table6[[#This Row],[SKU]],'All Skus'!$A:$AC,20,FALSE)),""))</f>
        <v>19.5</v>
      </c>
      <c r="S232" s="61">
        <f>(IF((VLOOKUP(Table6[[#This Row],[SKU]],'All Skus'!$A:$AC,2,FALSE))="JBL",(VLOOKUP(Table6[[#This Row],[SKU]],'All Skus'!$A:$AC,21,FALSE)),""))</f>
        <v>16</v>
      </c>
      <c r="T232" s="61" t="str">
        <f>(IF((VLOOKUP(Table6[[#This Row],[SKU]],'All Skus'!$A:$AC,2,FALSE))="JBL",(VLOOKUP(Table6[[#This Row],[SKU]],'All Skus'!$A:$AC,22,FALSE)),""))</f>
        <v>CN</v>
      </c>
      <c r="U232" t="str">
        <f>(IF((VLOOKUP(Table6[[#This Row],[SKU]],'All Skus'!$A:$AC,2,FALSE))="JBL",(VLOOKUP(Table6[[#This Row],[SKU]],'All Skus'!$A:$AC,23,FALSE)),""))</f>
        <v>Non Compliant</v>
      </c>
      <c r="V232" s="284" t="str">
        <f>HYPERLINK((IF((VLOOKUP(Table6[[#This Row],[SKU]],'All Skus'!$A:$AC,2,FALSE))="JBL",(VLOOKUP(Table6[[#This Row],[SKU]],'All Skus'!$A:$AC,24,FALSE)),"")))</f>
        <v xml:space="preserve">http://www.jblpro.com/www/products/installed-sound/control-80-series-landscape-speakers/control-88m </v>
      </c>
      <c r="W232" s="151">
        <v>230</v>
      </c>
    </row>
    <row r="233" spans="1:23" ht="15" hidden="1" customHeight="1">
      <c r="A233" s="13" t="s">
        <v>1239</v>
      </c>
      <c r="B233" s="12" t="str">
        <f>(IF((VLOOKUP(Table6[[#This Row],[SKU]],'All Skus'!$A:$AC,2,FALSE))="JBL",(VLOOKUP(Table6[[#This Row],[SKU]],'All Skus'!$A:$AC,3,FALSE)),""))</f>
        <v>Landscape Speaker</v>
      </c>
      <c r="C233" s="12" t="str">
        <f>(IF((VLOOKUP(Table6[[#This Row],[SKU]],'All Skus'!$A:$AC,2,FALSE))="JBL",(VLOOKUP(Table6[[#This Row],[SKU]],'All Skus'!$A:$AC,4,FALSE)),""))</f>
        <v>CONTROL 88M</v>
      </c>
      <c r="D233" s="61" t="str">
        <f>(IF((VLOOKUP(Table6[[#This Row],[SKU]],'All Skus'!$A:$AC,2,FALSE))="JBL",(VLOOKUP(Table6[[#This Row],[SKU]],'All Skus'!$A:$AC,5,FALSE)),""))</f>
        <v>JBL018</v>
      </c>
      <c r="E233" s="137">
        <f>(IF((VLOOKUP(Table6[[#This Row],[SKU]],'All Skus'!$A:$AC,2,FALSE))="JBL",(VLOOKUP(Table6[[#This Row],[SKU]],'All Skus'!$A:$AC,6,FALSE)),""))</f>
        <v>0</v>
      </c>
      <c r="F233" s="61">
        <f>(IF((VLOOKUP(Table6[[#This Row],[SKU]],'All Skus'!$A:$AC,2,FALSE))="JBL",(VLOOKUP(Table6[[#This Row],[SKU]],'All Skus'!$A:$AC,7,FALSE)),""))</f>
        <v>0</v>
      </c>
      <c r="G233" t="str">
        <f>(IF((VLOOKUP(Table6[[#This Row],[SKU]],'All Skus'!$A:$AC,2,FALSE))="JBL",(VLOOKUP(Table6[[#This Row],[SKU]],'All Skus'!$A:$AC,8,FALSE)),""))</f>
        <v>8" 2-Way Landscape Speaker</v>
      </c>
      <c r="H233" s="8" t="str">
        <f>(IF((VLOOKUP(Table6[[#This Row],[SKU]],'All Skus'!$A:$AC,2,FALSE))="JBL",(VLOOKUP(Table6[[#This Row],[SKU]],'All Skus'!$A:$AC,9,FALSE)),""))</f>
        <v>High-Power 8" Mushroom-Style Landscape Speaker. 8" (200 mm) polypropylene cone woofer with rubber surround &amp; 1" (25 mm) tweeter, 47 Hz - 16 kHz, 120 Watts Cont. Pink Noise Power Handling (480W peak) at 8 ohms, plus 60W multi-tap transformer. IP-56 rated.  Hunter green. Priced and packed individually.</v>
      </c>
      <c r="I233" s="101">
        <f>(IF((VLOOKUP(Table6[[#This Row],[SKU]],'All Skus'!$A:$AC,2,FALSE))="JBL",(VLOOKUP(Table6[[#This Row],[SKU]],'All Skus'!$A:$AC,10,FALSE)),""))</f>
        <v>463.33</v>
      </c>
      <c r="J233" s="101">
        <f>(IF((VLOOKUP(Table6[[#This Row],[SKU]],'All Skus'!$A:$AC,2,FALSE))="JBL",(VLOOKUP(Table6[[#This Row],[SKU]],'All Skus'!$A:$AC,11,FALSE)),""))</f>
        <v>370</v>
      </c>
      <c r="K233" s="102">
        <f>(IF((VLOOKUP(Table6[[#This Row],[SKU]],'All Skus'!$A:$AC,2,FALSE))="JBL",(VLOOKUP(Table6[[#This Row],[SKU]],'All Skus'!$A:$AC,13,FALSE)),""))</f>
        <v>256.412125</v>
      </c>
      <c r="L233" s="102">
        <f>(IF((VLOOKUP(Table6[[#This Row],[SKU]],'All Skus'!$A:$AC,2,FALSE))="JBL",(VLOOKUP(Table6[[#This Row],[SKU]],'All Skus'!$A:$AC,14,FALSE)),""))</f>
        <v>242.91675000000004</v>
      </c>
      <c r="M233" s="143">
        <f>(IF((VLOOKUP(Table6[[#This Row],[SKU]],'All Skus'!$A:$AC,2,FALSE))="JBL",(VLOOKUP(Table6[[#This Row],[SKU]],'All Skus'!$A:$AC,15,FALSE)),""))</f>
        <v>0</v>
      </c>
      <c r="N233" s="137">
        <f>(IF((VLOOKUP(Table6[[#This Row],[SKU]],'All Skus'!$A:$AC,2,FALSE))="JBL",(VLOOKUP(Table6[[#This Row],[SKU]],'All Skus'!$A:$AC,16,FALSE)),""))</f>
        <v>691991005084</v>
      </c>
      <c r="O233" s="61">
        <f>(IF((VLOOKUP(Table6[[#This Row],[SKU]],'All Skus'!$A:$AC,2,FALSE))="JBL",(VLOOKUP(Table6[[#This Row],[SKU]],'All Skus'!$A:$AC,17,FALSE)),""))</f>
        <v>0</v>
      </c>
      <c r="P233" s="136">
        <f>(IF((VLOOKUP(Table6[[#This Row],[SKU]],'All Skus'!$A:$AC,2,FALSE))="JBL",(VLOOKUP(Table6[[#This Row],[SKU]],'All Skus'!$A:$AC,18,FALSE)),""))</f>
        <v>24.15</v>
      </c>
      <c r="Q233" s="136">
        <f>(IF((VLOOKUP(Table6[[#This Row],[SKU]],'All Skus'!$A:$AC,2,FALSE))="JBL",(VLOOKUP(Table6[[#This Row],[SKU]],'All Skus'!$A:$AC,19,FALSE)),""))</f>
        <v>19.25</v>
      </c>
      <c r="R233" s="136">
        <f>(IF((VLOOKUP(Table6[[#This Row],[SKU]],'All Skus'!$A:$AC,2,FALSE))="JBL",(VLOOKUP(Table6[[#This Row],[SKU]],'All Skus'!$A:$AC,20,FALSE)),""))</f>
        <v>19.25</v>
      </c>
      <c r="S233" s="61">
        <f>(IF((VLOOKUP(Table6[[#This Row],[SKU]],'All Skus'!$A:$AC,2,FALSE))="JBL",(VLOOKUP(Table6[[#This Row],[SKU]],'All Skus'!$A:$AC,21,FALSE)),""))</f>
        <v>23.25</v>
      </c>
      <c r="T233" s="61" t="str">
        <f>(IF((VLOOKUP(Table6[[#This Row],[SKU]],'All Skus'!$A:$AC,2,FALSE))="JBL",(VLOOKUP(Table6[[#This Row],[SKU]],'All Skus'!$A:$AC,22,FALSE)),""))</f>
        <v>CN</v>
      </c>
      <c r="U233" t="str">
        <f>(IF((VLOOKUP(Table6[[#This Row],[SKU]],'All Skus'!$A:$AC,2,FALSE))="JBL",(VLOOKUP(Table6[[#This Row],[SKU]],'All Skus'!$A:$AC,23,FALSE)),""))</f>
        <v>Non Compliant</v>
      </c>
      <c r="V233" s="284" t="str">
        <f>HYPERLINK((IF((VLOOKUP(Table6[[#This Row],[SKU]],'All Skus'!$A:$AC,2,FALSE))="JBL",(VLOOKUP(Table6[[#This Row],[SKU]],'All Skus'!$A:$AC,24,FALSE)),"")))</f>
        <v/>
      </c>
      <c r="W233" s="151">
        <v>231</v>
      </c>
    </row>
    <row r="234" spans="1:23" ht="15" hidden="1" customHeight="1">
      <c r="A234" s="13" t="s">
        <v>1240</v>
      </c>
      <c r="B234" s="12">
        <f>(IF((VLOOKUP(Table6[[#This Row],[SKU]],'All Skus'!$A:$AC,2,FALSE))="JBL",(VLOOKUP(Table6[[#This Row],[SKU]],'All Skus'!$A:$AC,3,FALSE)),""))</f>
        <v>0</v>
      </c>
      <c r="C234" s="12">
        <f>(IF((VLOOKUP(Table6[[#This Row],[SKU]],'All Skus'!$A:$AC,2,FALSE))="JBL",(VLOOKUP(Table6[[#This Row],[SKU]],'All Skus'!$A:$AC,4,FALSE)),""))</f>
        <v>0</v>
      </c>
      <c r="D234" s="61" t="str">
        <f>(IF((VLOOKUP(Table6[[#This Row],[SKU]],'All Skus'!$A:$AC,2,FALSE))="JBL",(VLOOKUP(Table6[[#This Row],[SKU]],'All Skus'!$A:$AC,5,FALSE)),""))</f>
        <v>JBL018</v>
      </c>
      <c r="E234" s="137">
        <f>(IF((VLOOKUP(Table6[[#This Row],[SKU]],'All Skus'!$A:$AC,2,FALSE))="JBL",(VLOOKUP(Table6[[#This Row],[SKU]],'All Skus'!$A:$AC,6,FALSE)),""))</f>
        <v>0</v>
      </c>
      <c r="F234" s="61" t="str">
        <f>(IF((VLOOKUP(Table6[[#This Row],[SKU]],'All Skus'!$A:$AC,2,FALSE))="JBL",(VLOOKUP(Table6[[#This Row],[SKU]],'All Skus'!$A:$AC,7,FALSE)),""))</f>
        <v>NEW</v>
      </c>
      <c r="G234" t="str">
        <f>(IF((VLOOKUP(Table6[[#This Row],[SKU]],'All Skus'!$A:$AC,2,FALSE))="JBL",(VLOOKUP(Table6[[#This Row],[SKU]],'All Skus'!$A:$AC,8,FALSE)),""))</f>
        <v>8" Landscape Mushroom Subwoofer</v>
      </c>
      <c r="H234" s="8" t="str">
        <f>(IF((VLOOKUP(Table6[[#This Row],[SKU]],'All Skus'!$A:$AC,2,FALSE))="JBL",(VLOOKUP(Table6[[#This Row],[SKU]],'All Skus'!$A:$AC,9,FALSE)),""))</f>
        <v xml:space="preserve">8" Mushroom-Style Landscape Subwoofer, .  8" (200mm) polypropylenee cone woofer with TPV surround, 40 Hz - 150 Hz, 150 Watts Cont. Pink Noise Power Handling (600W peak) at 8 ohms, plus special subwoofer-band 80W multi-tap transformer.  IP-56 rated. Hunter green. Priced and packed individually. </v>
      </c>
      <c r="I234" s="101">
        <f>(IF((VLOOKUP(Table6[[#This Row],[SKU]],'All Skus'!$A:$AC,2,FALSE))="JBL",(VLOOKUP(Table6[[#This Row],[SKU]],'All Skus'!$A:$AC,10,FALSE)),""))</f>
        <v>454.75</v>
      </c>
      <c r="J234" s="101">
        <f>(IF((VLOOKUP(Table6[[#This Row],[SKU]],'All Skus'!$A:$AC,2,FALSE))="JBL",(VLOOKUP(Table6[[#This Row],[SKU]],'All Skus'!$A:$AC,11,FALSE)),""))</f>
        <v>365</v>
      </c>
      <c r="K234" s="102">
        <f>(IF((VLOOKUP(Table6[[#This Row],[SKU]],'All Skus'!$A:$AC,2,FALSE))="JBL",(VLOOKUP(Table6[[#This Row],[SKU]],'All Skus'!$A:$AC,13,FALSE)),""))</f>
        <v>259.20749999999998</v>
      </c>
      <c r="L234" s="102">
        <f>(IF((VLOOKUP(Table6[[#This Row],[SKU]],'All Skus'!$A:$AC,2,FALSE))="JBL",(VLOOKUP(Table6[[#This Row],[SKU]],'All Skus'!$A:$AC,14,FALSE)),""))</f>
        <v>245.56500000000003</v>
      </c>
      <c r="M234" s="143">
        <f>(IF((VLOOKUP(Table6[[#This Row],[SKU]],'All Skus'!$A:$AC,2,FALSE))="JBL",(VLOOKUP(Table6[[#This Row],[SKU]],'All Skus'!$A:$AC,15,FALSE)),""))</f>
        <v>0</v>
      </c>
      <c r="N234" s="137">
        <f>(IF((VLOOKUP(Table6[[#This Row],[SKU]],'All Skus'!$A:$AC,2,FALSE))="JBL",(VLOOKUP(Table6[[#This Row],[SKU]],'All Skus'!$A:$AC,16,FALSE)),""))</f>
        <v>691991037344</v>
      </c>
      <c r="O234" s="61">
        <f>(IF((VLOOKUP(Table6[[#This Row],[SKU]],'All Skus'!$A:$AC,2,FALSE))="JBL",(VLOOKUP(Table6[[#This Row],[SKU]],'All Skus'!$A:$AC,17,FALSE)),""))</f>
        <v>0</v>
      </c>
      <c r="P234" s="136">
        <f>(IF((VLOOKUP(Table6[[#This Row],[SKU]],'All Skus'!$A:$AC,2,FALSE))="JBL",(VLOOKUP(Table6[[#This Row],[SKU]],'All Skus'!$A:$AC,18,FALSE)),""))</f>
        <v>30</v>
      </c>
      <c r="Q234" s="136">
        <f>(IF((VLOOKUP(Table6[[#This Row],[SKU]],'All Skus'!$A:$AC,2,FALSE))="JBL",(VLOOKUP(Table6[[#This Row],[SKU]],'All Skus'!$A:$AC,19,FALSE)),""))</f>
        <v>1.581</v>
      </c>
      <c r="R234" s="136">
        <f>(IF((VLOOKUP(Table6[[#This Row],[SKU]],'All Skus'!$A:$AC,2,FALSE))="JBL",(VLOOKUP(Table6[[#This Row],[SKU]],'All Skus'!$A:$AC,20,FALSE)),""))</f>
        <v>1.581</v>
      </c>
      <c r="S234" s="61">
        <f>(IF((VLOOKUP(Table6[[#This Row],[SKU]],'All Skus'!$A:$AC,2,FALSE))="JBL",(VLOOKUP(Table6[[#This Row],[SKU]],'All Skus'!$A:$AC,21,FALSE)),""))</f>
        <v>1.91</v>
      </c>
      <c r="T234" s="61" t="str">
        <f>(IF((VLOOKUP(Table6[[#This Row],[SKU]],'All Skus'!$A:$AC,2,FALSE))="JBL",(VLOOKUP(Table6[[#This Row],[SKU]],'All Skus'!$A:$AC,22,FALSE)),""))</f>
        <v>CN</v>
      </c>
      <c r="U234" t="str">
        <f>(IF((VLOOKUP(Table6[[#This Row],[SKU]],'All Skus'!$A:$AC,2,FALSE))="JBL",(VLOOKUP(Table6[[#This Row],[SKU]],'All Skus'!$A:$AC,23,FALSE)),""))</f>
        <v>Non Compliant</v>
      </c>
      <c r="V234" s="284" t="str">
        <f>HYPERLINK((IF((VLOOKUP(Table6[[#This Row],[SKU]],'All Skus'!$A:$AC,2,FALSE))="JBL",(VLOOKUP(Table6[[#This Row],[SKU]],'All Skus'!$A:$AC,24,FALSE)),"")))</f>
        <v>https://jblpro.com/en/products/control-89ms</v>
      </c>
      <c r="W234" s="151">
        <v>232</v>
      </c>
    </row>
    <row r="235" spans="1:23" ht="15" hidden="1" customHeight="1">
      <c r="A235" s="13" t="s">
        <v>1241</v>
      </c>
      <c r="B235" s="12">
        <f>(IF((VLOOKUP(Table6[[#This Row],[SKU]],'All Skus'!$A:$AC,2,FALSE))="JBL",(VLOOKUP(Table6[[#This Row],[SKU]],'All Skus'!$A:$AC,3,FALSE)),""))</f>
        <v>0</v>
      </c>
      <c r="C235" s="12">
        <f>(IF((VLOOKUP(Table6[[#This Row],[SKU]],'All Skus'!$A:$AC,2,FALSE))="JBL",(VLOOKUP(Table6[[#This Row],[SKU]],'All Skus'!$A:$AC,4,FALSE)),""))</f>
        <v>0</v>
      </c>
      <c r="D235" s="61">
        <f>(IF((VLOOKUP(Table6[[#This Row],[SKU]],'All Skus'!$A:$AC,2,FALSE))="JBL",(VLOOKUP(Table6[[#This Row],[SKU]],'All Skus'!$A:$AC,5,FALSE)),""))</f>
        <v>0</v>
      </c>
      <c r="E235" s="137">
        <f>(IF((VLOOKUP(Table6[[#This Row],[SKU]],'All Skus'!$A:$AC,2,FALSE))="JBL",(VLOOKUP(Table6[[#This Row],[SKU]],'All Skus'!$A:$AC,6,FALSE)),""))</f>
        <v>0</v>
      </c>
      <c r="F235" s="61">
        <f>(IF((VLOOKUP(Table6[[#This Row],[SKU]],'All Skus'!$A:$AC,2,FALSE))="JBL",(VLOOKUP(Table6[[#This Row],[SKU]],'All Skus'!$A:$AC,7,FALSE)),""))</f>
        <v>0</v>
      </c>
      <c r="G235">
        <f>(IF((VLOOKUP(Table6[[#This Row],[SKU]],'All Skus'!$A:$AC,2,FALSE))="JBL",(VLOOKUP(Table6[[#This Row],[SKU]],'All Skus'!$A:$AC,8,FALSE)),""))</f>
        <v>0</v>
      </c>
      <c r="H235" s="8">
        <f>(IF((VLOOKUP(Table6[[#This Row],[SKU]],'All Skus'!$A:$AC,2,FALSE))="JBL",(VLOOKUP(Table6[[#This Row],[SKU]],'All Skus'!$A:$AC,9,FALSE)),""))</f>
        <v>0</v>
      </c>
      <c r="I235" s="101">
        <f>(IF((VLOOKUP(Table6[[#This Row],[SKU]],'All Skus'!$A:$AC,2,FALSE))="JBL",(VLOOKUP(Table6[[#This Row],[SKU]],'All Skus'!$A:$AC,10,FALSE)),""))</f>
        <v>0</v>
      </c>
      <c r="J235" s="101">
        <f>(IF((VLOOKUP(Table6[[#This Row],[SKU]],'All Skus'!$A:$AC,2,FALSE))="JBL",(VLOOKUP(Table6[[#This Row],[SKU]],'All Skus'!$A:$AC,11,FALSE)),""))</f>
        <v>0</v>
      </c>
      <c r="K235" s="102">
        <f>(IF((VLOOKUP(Table6[[#This Row],[SKU]],'All Skus'!$A:$AC,2,FALSE))="JBL",(VLOOKUP(Table6[[#This Row],[SKU]],'All Skus'!$A:$AC,13,FALSE)),""))</f>
        <v>0</v>
      </c>
      <c r="L235" s="102">
        <f>(IF((VLOOKUP(Table6[[#This Row],[SKU]],'All Skus'!$A:$AC,2,FALSE))="JBL",(VLOOKUP(Table6[[#This Row],[SKU]],'All Skus'!$A:$AC,14,FALSE)),""))</f>
        <v>0</v>
      </c>
      <c r="M235" s="143">
        <f>(IF((VLOOKUP(Table6[[#This Row],[SKU]],'All Skus'!$A:$AC,2,FALSE))="JBL",(VLOOKUP(Table6[[#This Row],[SKU]],'All Skus'!$A:$AC,15,FALSE)),""))</f>
        <v>0</v>
      </c>
      <c r="N235" s="137">
        <f>(IF((VLOOKUP(Table6[[#This Row],[SKU]],'All Skus'!$A:$AC,2,FALSE))="JBL",(VLOOKUP(Table6[[#This Row],[SKU]],'All Skus'!$A:$AC,16,FALSE)),""))</f>
        <v>0</v>
      </c>
      <c r="O235" s="61">
        <f>(IF((VLOOKUP(Table6[[#This Row],[SKU]],'All Skus'!$A:$AC,2,FALSE))="JBL",(VLOOKUP(Table6[[#This Row],[SKU]],'All Skus'!$A:$AC,17,FALSE)),""))</f>
        <v>0</v>
      </c>
      <c r="P235" s="136">
        <f>(IF((VLOOKUP(Table6[[#This Row],[SKU]],'All Skus'!$A:$AC,2,FALSE))="JBL",(VLOOKUP(Table6[[#This Row],[SKU]],'All Skus'!$A:$AC,18,FALSE)),""))</f>
        <v>0</v>
      </c>
      <c r="Q235" s="136">
        <f>(IF((VLOOKUP(Table6[[#This Row],[SKU]],'All Skus'!$A:$AC,2,FALSE))="JBL",(VLOOKUP(Table6[[#This Row],[SKU]],'All Skus'!$A:$AC,19,FALSE)),""))</f>
        <v>0</v>
      </c>
      <c r="R235" s="136">
        <f>(IF((VLOOKUP(Table6[[#This Row],[SKU]],'All Skus'!$A:$AC,2,FALSE))="JBL",(VLOOKUP(Table6[[#This Row],[SKU]],'All Skus'!$A:$AC,20,FALSE)),""))</f>
        <v>0</v>
      </c>
      <c r="S235" s="61">
        <f>(IF((VLOOKUP(Table6[[#This Row],[SKU]],'All Skus'!$A:$AC,2,FALSE))="JBL",(VLOOKUP(Table6[[#This Row],[SKU]],'All Skus'!$A:$AC,21,FALSE)),""))</f>
        <v>0</v>
      </c>
      <c r="T235" s="61">
        <f>(IF((VLOOKUP(Table6[[#This Row],[SKU]],'All Skus'!$A:$AC,2,FALSE))="JBL",(VLOOKUP(Table6[[#This Row],[SKU]],'All Skus'!$A:$AC,22,FALSE)),""))</f>
        <v>0</v>
      </c>
      <c r="U235">
        <f>(IF((VLOOKUP(Table6[[#This Row],[SKU]],'All Skus'!$A:$AC,2,FALSE))="JBL",(VLOOKUP(Table6[[#This Row],[SKU]],'All Skus'!$A:$AC,23,FALSE)),""))</f>
        <v>0</v>
      </c>
      <c r="V235" s="284" t="str">
        <f>HYPERLINK((IF((VLOOKUP(Table6[[#This Row],[SKU]],'All Skus'!$A:$AC,2,FALSE))="JBL",(VLOOKUP(Table6[[#This Row],[SKU]],'All Skus'!$A:$AC,24,FALSE)),"")))</f>
        <v/>
      </c>
      <c r="W235" s="151">
        <v>233</v>
      </c>
    </row>
    <row r="236" spans="1:23" ht="15" hidden="1" customHeight="1">
      <c r="A236" s="13" t="s">
        <v>1242</v>
      </c>
      <c r="B236" s="12" t="str">
        <f>(IF((VLOOKUP(Table6[[#This Row],[SKU]],'All Skus'!$A:$AC,2,FALSE))="JBL",(VLOOKUP(Table6[[#This Row],[SKU]],'All Skus'!$A:$AC,3,FALSE)),""))</f>
        <v>Landscape Speaker</v>
      </c>
      <c r="C236" s="12" t="str">
        <f>(IF((VLOOKUP(Table6[[#This Row],[SKU]],'All Skus'!$A:$AC,2,FALSE))="JBL",(VLOOKUP(Table6[[#This Row],[SKU]],'All Skus'!$A:$AC,4,FALSE)),""))</f>
        <v>JBL-GSF3-GN</v>
      </c>
      <c r="D236" s="61">
        <f>(IF((VLOOKUP(Table6[[#This Row],[SKU]],'All Skus'!$A:$AC,2,FALSE))="JBL",(VLOOKUP(Table6[[#This Row],[SKU]],'All Skus'!$A:$AC,5,FALSE)),""))</f>
        <v>0</v>
      </c>
      <c r="E236" s="137">
        <f>(IF((VLOOKUP(Table6[[#This Row],[SKU]],'All Skus'!$A:$AC,2,FALSE))="JBL",(VLOOKUP(Table6[[#This Row],[SKU]],'All Skus'!$A:$AC,6,FALSE)),""))</f>
        <v>0</v>
      </c>
      <c r="F236" s="61" t="str">
        <f>(IF((VLOOKUP(Table6[[#This Row],[SKU]],'All Skus'!$A:$AC,2,FALSE))="JBL",(VLOOKUP(Table6[[#This Row],[SKU]],'All Skus'!$A:$AC,7,FALSE)),""))</f>
        <v xml:space="preserve">NEW </v>
      </c>
      <c r="G236" t="str">
        <f>(IF((VLOOKUP(Table6[[#This Row],[SKU]],'All Skus'!$A:$AC,2,FALSE))="JBL",(VLOOKUP(Table6[[#This Row],[SKU]],'All Skus'!$A:$AC,8,FALSE)),""))</f>
        <v>Ground-Stake Spkr, 3" Coax, Grn, 1 pc</v>
      </c>
      <c r="H236" s="8" t="str">
        <f>(IF((VLOOKUP(Table6[[#This Row],[SKU]],'All Skus'!$A:$AC,2,FALSE))="JBL",(VLOOKUP(Table6[[#This Row],[SKU]],'All Skus'!$A:$AC,9,FALSE)),""))</f>
        <v>Compact aimable coax Landscape Speaker, 3" (83mm) polypropylene cone woofer &amp; 0.8" (20mm) tweeter, 74Hz - 20kHz Frequency Range, 30W (120W peak) Cont. Pink Noise Power Handling (2hr) at 8Ω, 15W multi-tap transformer, IP-66 rated, Hunter Green (RAL6028) (Priced as each; Sold in pairs)</v>
      </c>
      <c r="I236" s="101">
        <f>(IF((VLOOKUP(Table6[[#This Row],[SKU]],'All Skus'!$A:$AC,2,FALSE))="JBL",(VLOOKUP(Table6[[#This Row],[SKU]],'All Skus'!$A:$AC,10,FALSE)),""))</f>
        <v>231</v>
      </c>
      <c r="J236" s="101">
        <f>(IF((VLOOKUP(Table6[[#This Row],[SKU]],'All Skus'!$A:$AC,2,FALSE))="JBL",(VLOOKUP(Table6[[#This Row],[SKU]],'All Skus'!$A:$AC,11,FALSE)),""))</f>
        <v>184.8</v>
      </c>
      <c r="K236" s="102">
        <f>(IF((VLOOKUP(Table6[[#This Row],[SKU]],'All Skus'!$A:$AC,2,FALSE))="JBL",(VLOOKUP(Table6[[#This Row],[SKU]],'All Skus'!$A:$AC,13,FALSE)),""))</f>
        <v>131.66999999999999</v>
      </c>
      <c r="L236" s="102">
        <f>(IF((VLOOKUP(Table6[[#This Row],[SKU]],'All Skus'!$A:$AC,2,FALSE))="JBL",(VLOOKUP(Table6[[#This Row],[SKU]],'All Skus'!$A:$AC,14,FALSE)),""))</f>
        <v>124.74</v>
      </c>
      <c r="M236" s="143">
        <f>(IF((VLOOKUP(Table6[[#This Row],[SKU]],'All Skus'!$A:$AC,2,FALSE))="JBL",(VLOOKUP(Table6[[#This Row],[SKU]],'All Skus'!$A:$AC,15,FALSE)),""))</f>
        <v>2</v>
      </c>
      <c r="N236" s="137">
        <f>(IF((VLOOKUP(Table6[[#This Row],[SKU]],'All Skus'!$A:$AC,2,FALSE))="JBL",(VLOOKUP(Table6[[#This Row],[SKU]],'All Skus'!$A:$AC,16,FALSE)),""))</f>
        <v>691991039300</v>
      </c>
      <c r="O236" s="61">
        <f>(IF((VLOOKUP(Table6[[#This Row],[SKU]],'All Skus'!$A:$AC,2,FALSE))="JBL",(VLOOKUP(Table6[[#This Row],[SKU]],'All Skus'!$A:$AC,17,FALSE)),""))</f>
        <v>0</v>
      </c>
      <c r="P236" s="136">
        <f>(IF((VLOOKUP(Table6[[#This Row],[SKU]],'All Skus'!$A:$AC,2,FALSE))="JBL",(VLOOKUP(Table6[[#This Row],[SKU]],'All Skus'!$A:$AC,18,FALSE)),""))</f>
        <v>13.670999999999999</v>
      </c>
      <c r="Q236" s="136">
        <f>(IF((VLOOKUP(Table6[[#This Row],[SKU]],'All Skus'!$A:$AC,2,FALSE))="JBL",(VLOOKUP(Table6[[#This Row],[SKU]],'All Skus'!$A:$AC,19,FALSE)),""))</f>
        <v>13.8582677165354</v>
      </c>
      <c r="R236" s="136">
        <f>(IF((VLOOKUP(Table6[[#This Row],[SKU]],'All Skus'!$A:$AC,2,FALSE))="JBL",(VLOOKUP(Table6[[#This Row],[SKU]],'All Skus'!$A:$AC,20,FALSE)),""))</f>
        <v>9.9212598425196905</v>
      </c>
      <c r="S236" s="61">
        <f>(IF((VLOOKUP(Table6[[#This Row],[SKU]],'All Skus'!$A:$AC,2,FALSE))="JBL",(VLOOKUP(Table6[[#This Row],[SKU]],'All Skus'!$A:$AC,21,FALSE)),""))</f>
        <v>9.2519685039370092</v>
      </c>
      <c r="T236" s="61" t="str">
        <f>(IF((VLOOKUP(Table6[[#This Row],[SKU]],'All Skus'!$A:$AC,2,FALSE))="JBL",(VLOOKUP(Table6[[#This Row],[SKU]],'All Skus'!$A:$AC,22,FALSE)),""))</f>
        <v>CN</v>
      </c>
      <c r="U236" t="str">
        <f>(IF((VLOOKUP(Table6[[#This Row],[SKU]],'All Skus'!$A:$AC,2,FALSE))="JBL",(VLOOKUP(Table6[[#This Row],[SKU]],'All Skus'!$A:$AC,23,FALSE)),""))</f>
        <v>Non Compliant</v>
      </c>
      <c r="V236" s="284" t="str">
        <f>HYPERLINK((IF((VLOOKUP(Table6[[#This Row],[SKU]],'All Skus'!$A:$AC,2,FALSE))="JBL",(VLOOKUP(Table6[[#This Row],[SKU]],'All Skus'!$A:$AC,24,FALSE)),"")))</f>
        <v>https://jblpro.com/en/products/gsf3</v>
      </c>
      <c r="W236" s="151">
        <v>234</v>
      </c>
    </row>
    <row r="237" spans="1:23" ht="15" hidden="1" customHeight="1">
      <c r="A237" s="13" t="s">
        <v>1243</v>
      </c>
      <c r="B237" s="12" t="str">
        <f>(IF((VLOOKUP(Table6[[#This Row],[SKU]],'All Skus'!$A:$AC,2,FALSE))="JBL",(VLOOKUP(Table6[[#This Row],[SKU]],'All Skus'!$A:$AC,3,FALSE)),""))</f>
        <v>Landscape Speaker</v>
      </c>
      <c r="C237" s="12" t="str">
        <f>(IF((VLOOKUP(Table6[[#This Row],[SKU]],'All Skus'!$A:$AC,2,FALSE))="JBL",(VLOOKUP(Table6[[#This Row],[SKU]],'All Skus'!$A:$AC,4,FALSE)),""))</f>
        <v>JBL-GSF3-TN</v>
      </c>
      <c r="D237" s="61">
        <f>(IF((VLOOKUP(Table6[[#This Row],[SKU]],'All Skus'!$A:$AC,2,FALSE))="JBL",(VLOOKUP(Table6[[#This Row],[SKU]],'All Skus'!$A:$AC,5,FALSE)),""))</f>
        <v>0</v>
      </c>
      <c r="E237" s="137">
        <f>(IF((VLOOKUP(Table6[[#This Row],[SKU]],'All Skus'!$A:$AC,2,FALSE))="JBL",(VLOOKUP(Table6[[#This Row],[SKU]],'All Skus'!$A:$AC,6,FALSE)),""))</f>
        <v>0</v>
      </c>
      <c r="F237" s="61" t="str">
        <f>(IF((VLOOKUP(Table6[[#This Row],[SKU]],'All Skus'!$A:$AC,2,FALSE))="JBL",(VLOOKUP(Table6[[#This Row],[SKU]],'All Skus'!$A:$AC,7,FALSE)),""))</f>
        <v xml:space="preserve">NEW </v>
      </c>
      <c r="G237" t="str">
        <f>(IF((VLOOKUP(Table6[[#This Row],[SKU]],'All Skus'!$A:$AC,2,FALSE))="JBL",(VLOOKUP(Table6[[#This Row],[SKU]],'All Skus'!$A:$AC,8,FALSE)),""))</f>
        <v>Ground-Stake Spkr, 3" Coax, Tan, 1 pc</v>
      </c>
      <c r="H237" s="8" t="str">
        <f>(IF((VLOOKUP(Table6[[#This Row],[SKU]],'All Skus'!$A:$AC,2,FALSE))="JBL",(VLOOKUP(Table6[[#This Row],[SKU]],'All Skus'!$A:$AC,9,FALSE)),""))</f>
        <v>Compact aimable coax Landscape Speaker, 3" (83mm) polypropylene cone woofer &amp; 0.8" (20mm) tweeter, 74Hz - 20kHz Frequency Range, 30W (120W peak) Cont. Pink Noise Power Handling (2hr) at 8Ω, 15W multi-tap transformer, IP-66 rated, Tan (RAL7006) (Priced as each; Sold in pairs)</v>
      </c>
      <c r="I237" s="101">
        <f>(IF((VLOOKUP(Table6[[#This Row],[SKU]],'All Skus'!$A:$AC,2,FALSE))="JBL",(VLOOKUP(Table6[[#This Row],[SKU]],'All Skus'!$A:$AC,10,FALSE)),""))</f>
        <v>231</v>
      </c>
      <c r="J237" s="101">
        <f>(IF((VLOOKUP(Table6[[#This Row],[SKU]],'All Skus'!$A:$AC,2,FALSE))="JBL",(VLOOKUP(Table6[[#This Row],[SKU]],'All Skus'!$A:$AC,11,FALSE)),""))</f>
        <v>184.8</v>
      </c>
      <c r="K237" s="102">
        <f>(IF((VLOOKUP(Table6[[#This Row],[SKU]],'All Skus'!$A:$AC,2,FALSE))="JBL",(VLOOKUP(Table6[[#This Row],[SKU]],'All Skus'!$A:$AC,13,FALSE)),""))</f>
        <v>131.66999999999999</v>
      </c>
      <c r="L237" s="102">
        <f>(IF((VLOOKUP(Table6[[#This Row],[SKU]],'All Skus'!$A:$AC,2,FALSE))="JBL",(VLOOKUP(Table6[[#This Row],[SKU]],'All Skus'!$A:$AC,14,FALSE)),""))</f>
        <v>124.74</v>
      </c>
      <c r="M237" s="143">
        <f>(IF((VLOOKUP(Table6[[#This Row],[SKU]],'All Skus'!$A:$AC,2,FALSE))="JBL",(VLOOKUP(Table6[[#This Row],[SKU]],'All Skus'!$A:$AC,15,FALSE)),""))</f>
        <v>2</v>
      </c>
      <c r="N237" s="137">
        <f>(IF((VLOOKUP(Table6[[#This Row],[SKU]],'All Skus'!$A:$AC,2,FALSE))="JBL",(VLOOKUP(Table6[[#This Row],[SKU]],'All Skus'!$A:$AC,16,FALSE)),""))</f>
        <v>691991039317</v>
      </c>
      <c r="O237" s="61">
        <f>(IF((VLOOKUP(Table6[[#This Row],[SKU]],'All Skus'!$A:$AC,2,FALSE))="JBL",(VLOOKUP(Table6[[#This Row],[SKU]],'All Skus'!$A:$AC,17,FALSE)),""))</f>
        <v>0</v>
      </c>
      <c r="P237" s="136">
        <f>(IF((VLOOKUP(Table6[[#This Row],[SKU]],'All Skus'!$A:$AC,2,FALSE))="JBL",(VLOOKUP(Table6[[#This Row],[SKU]],'All Skus'!$A:$AC,18,FALSE)),""))</f>
        <v>13.670999999999999</v>
      </c>
      <c r="Q237" s="136">
        <f>(IF((VLOOKUP(Table6[[#This Row],[SKU]],'All Skus'!$A:$AC,2,FALSE))="JBL",(VLOOKUP(Table6[[#This Row],[SKU]],'All Skus'!$A:$AC,19,FALSE)),""))</f>
        <v>13.8582677165354</v>
      </c>
      <c r="R237" s="136">
        <f>(IF((VLOOKUP(Table6[[#This Row],[SKU]],'All Skus'!$A:$AC,2,FALSE))="JBL",(VLOOKUP(Table6[[#This Row],[SKU]],'All Skus'!$A:$AC,20,FALSE)),""))</f>
        <v>9.9212598425196905</v>
      </c>
      <c r="S237" s="61">
        <f>(IF((VLOOKUP(Table6[[#This Row],[SKU]],'All Skus'!$A:$AC,2,FALSE))="JBL",(VLOOKUP(Table6[[#This Row],[SKU]],'All Skus'!$A:$AC,21,FALSE)),""))</f>
        <v>9.2519685039370092</v>
      </c>
      <c r="T237" s="61" t="str">
        <f>(IF((VLOOKUP(Table6[[#This Row],[SKU]],'All Skus'!$A:$AC,2,FALSE))="JBL",(VLOOKUP(Table6[[#This Row],[SKU]],'All Skus'!$A:$AC,22,FALSE)),""))</f>
        <v>CN</v>
      </c>
      <c r="U237" t="str">
        <f>(IF((VLOOKUP(Table6[[#This Row],[SKU]],'All Skus'!$A:$AC,2,FALSE))="JBL",(VLOOKUP(Table6[[#This Row],[SKU]],'All Skus'!$A:$AC,23,FALSE)),""))</f>
        <v>Non Compliant</v>
      </c>
      <c r="V237" s="284" t="str">
        <f>HYPERLINK((IF((VLOOKUP(Table6[[#This Row],[SKU]],'All Skus'!$A:$AC,2,FALSE))="JBL",(VLOOKUP(Table6[[#This Row],[SKU]],'All Skus'!$A:$AC,24,FALSE)),"")))</f>
        <v xml:space="preserve">https://jblpro.com/en/products/gsf3 </v>
      </c>
      <c r="W237" s="151">
        <v>235</v>
      </c>
    </row>
    <row r="238" spans="1:23" ht="15" hidden="1" customHeight="1">
      <c r="A238" s="13" t="s">
        <v>1244</v>
      </c>
      <c r="B238" s="12" t="str">
        <f>(IF((VLOOKUP(Table6[[#This Row],[SKU]],'All Skus'!$A:$AC,2,FALSE))="JBL",(VLOOKUP(Table6[[#This Row],[SKU]],'All Skus'!$A:$AC,3,FALSE)),""))</f>
        <v>Landscape Speaker</v>
      </c>
      <c r="C238" s="12" t="str">
        <f>(IF((VLOOKUP(Table6[[#This Row],[SKU]],'All Skus'!$A:$AC,2,FALSE))="JBL",(VLOOKUP(Table6[[#This Row],[SKU]],'All Skus'!$A:$AC,4,FALSE)),""))</f>
        <v>JBL-GSF6-GN</v>
      </c>
      <c r="D238" s="61">
        <f>(IF((VLOOKUP(Table6[[#This Row],[SKU]],'All Skus'!$A:$AC,2,FALSE))="JBL",(VLOOKUP(Table6[[#This Row],[SKU]],'All Skus'!$A:$AC,5,FALSE)),""))</f>
        <v>0</v>
      </c>
      <c r="E238" s="137">
        <f>(IF((VLOOKUP(Table6[[#This Row],[SKU]],'All Skus'!$A:$AC,2,FALSE))="JBL",(VLOOKUP(Table6[[#This Row],[SKU]],'All Skus'!$A:$AC,6,FALSE)),""))</f>
        <v>0</v>
      </c>
      <c r="F238" s="61" t="str">
        <f>(IF((VLOOKUP(Table6[[#This Row],[SKU]],'All Skus'!$A:$AC,2,FALSE))="JBL",(VLOOKUP(Table6[[#This Row],[SKU]],'All Skus'!$A:$AC,7,FALSE)),""))</f>
        <v xml:space="preserve">NEW </v>
      </c>
      <c r="G238" t="str">
        <f>(IF((VLOOKUP(Table6[[#This Row],[SKU]],'All Skus'!$A:$AC,2,FALSE))="JBL",(VLOOKUP(Table6[[#This Row],[SKU]],'All Skus'!$A:$AC,8,FALSE)),""))</f>
        <v>Ground-Stake Spkr, 6.5" Coax, Grn, 1 pc</v>
      </c>
      <c r="H238" s="8" t="str">
        <f>(IF((VLOOKUP(Table6[[#This Row],[SKU]],'All Skus'!$A:$AC,2,FALSE))="JBL",(VLOOKUP(Table6[[#This Row],[SKU]],'All Skus'!$A:$AC,9,FALSE)),""))</f>
        <v>Compact aimable coax Landscape Speaker, 6.5" (165mm) polypropylene cone woofer &amp; 1" (25mm) tweeter, 65Hz - 20kHz Frequency Range, 50W (200W peak) Cont. Pink Noise Power Handling (2hr) at 8Ω, 30W multi-tap transformer, IP-66 rated,  Hunter Green (RAL6028) (Priced as each; Sold in pairs)</v>
      </c>
      <c r="I238" s="101">
        <f>(IF((VLOOKUP(Table6[[#This Row],[SKU]],'All Skus'!$A:$AC,2,FALSE))="JBL",(VLOOKUP(Table6[[#This Row],[SKU]],'All Skus'!$A:$AC,10,FALSE)),""))</f>
        <v>313</v>
      </c>
      <c r="J238" s="101">
        <f>(IF((VLOOKUP(Table6[[#This Row],[SKU]],'All Skus'!$A:$AC,2,FALSE))="JBL",(VLOOKUP(Table6[[#This Row],[SKU]],'All Skus'!$A:$AC,11,FALSE)),""))</f>
        <v>250.4</v>
      </c>
      <c r="K238" s="102">
        <f>(IF((VLOOKUP(Table6[[#This Row],[SKU]],'All Skus'!$A:$AC,2,FALSE))="JBL",(VLOOKUP(Table6[[#This Row],[SKU]],'All Skus'!$A:$AC,13,FALSE)),""))</f>
        <v>178.41</v>
      </c>
      <c r="L238" s="102">
        <f>(IF((VLOOKUP(Table6[[#This Row],[SKU]],'All Skus'!$A:$AC,2,FALSE))="JBL",(VLOOKUP(Table6[[#This Row],[SKU]],'All Skus'!$A:$AC,14,FALSE)),""))</f>
        <v>169.02</v>
      </c>
      <c r="M238" s="143">
        <f>(IF((VLOOKUP(Table6[[#This Row],[SKU]],'All Skus'!$A:$AC,2,FALSE))="JBL",(VLOOKUP(Table6[[#This Row],[SKU]],'All Skus'!$A:$AC,15,FALSE)),""))</f>
        <v>2</v>
      </c>
      <c r="N238" s="137">
        <f>(IF((VLOOKUP(Table6[[#This Row],[SKU]],'All Skus'!$A:$AC,2,FALSE))="JBL",(VLOOKUP(Table6[[#This Row],[SKU]],'All Skus'!$A:$AC,16,FALSE)),""))</f>
        <v>691991039355</v>
      </c>
      <c r="O238" s="61">
        <f>(IF((VLOOKUP(Table6[[#This Row],[SKU]],'All Skus'!$A:$AC,2,FALSE))="JBL",(VLOOKUP(Table6[[#This Row],[SKU]],'All Skus'!$A:$AC,17,FALSE)),""))</f>
        <v>0</v>
      </c>
      <c r="P238" s="136">
        <f>(IF((VLOOKUP(Table6[[#This Row],[SKU]],'All Skus'!$A:$AC,2,FALSE))="JBL",(VLOOKUP(Table6[[#This Row],[SKU]],'All Skus'!$A:$AC,18,FALSE)),""))</f>
        <v>18.081</v>
      </c>
      <c r="Q238" s="136">
        <f>(IF((VLOOKUP(Table6[[#This Row],[SKU]],'All Skus'!$A:$AC,2,FALSE))="JBL",(VLOOKUP(Table6[[#This Row],[SKU]],'All Skus'!$A:$AC,19,FALSE)),""))</f>
        <v>20.866141732283499</v>
      </c>
      <c r="R238" s="136">
        <f>(IF((VLOOKUP(Table6[[#This Row],[SKU]],'All Skus'!$A:$AC,2,FALSE))="JBL",(VLOOKUP(Table6[[#This Row],[SKU]],'All Skus'!$A:$AC,20,FALSE)),""))</f>
        <v>14.1732283464567</v>
      </c>
      <c r="S238" s="61">
        <f>(IF((VLOOKUP(Table6[[#This Row],[SKU]],'All Skus'!$A:$AC,2,FALSE))="JBL",(VLOOKUP(Table6[[#This Row],[SKU]],'All Skus'!$A:$AC,21,FALSE)),""))</f>
        <v>13.3858267716535</v>
      </c>
      <c r="T238" s="61" t="str">
        <f>(IF((VLOOKUP(Table6[[#This Row],[SKU]],'All Skus'!$A:$AC,2,FALSE))="JBL",(VLOOKUP(Table6[[#This Row],[SKU]],'All Skus'!$A:$AC,22,FALSE)),""))</f>
        <v>CN</v>
      </c>
      <c r="U238" t="str">
        <f>(IF((VLOOKUP(Table6[[#This Row],[SKU]],'All Skus'!$A:$AC,2,FALSE))="JBL",(VLOOKUP(Table6[[#This Row],[SKU]],'All Skus'!$A:$AC,23,FALSE)),""))</f>
        <v>Non Compliant</v>
      </c>
      <c r="V238" s="284" t="str">
        <f>HYPERLINK((IF((VLOOKUP(Table6[[#This Row],[SKU]],'All Skus'!$A:$AC,2,FALSE))="JBL",(VLOOKUP(Table6[[#This Row],[SKU]],'All Skus'!$A:$AC,24,FALSE)),"")))</f>
        <v>https://jblpro.com/en/products/gsf6</v>
      </c>
      <c r="W238" s="151">
        <v>236</v>
      </c>
    </row>
    <row r="239" spans="1:23" ht="15" hidden="1" customHeight="1">
      <c r="A239" s="13" t="s">
        <v>1245</v>
      </c>
      <c r="B239" s="12" t="str">
        <f>(IF((VLOOKUP(Table6[[#This Row],[SKU]],'All Skus'!$A:$AC,2,FALSE))="JBL",(VLOOKUP(Table6[[#This Row],[SKU]],'All Skus'!$A:$AC,3,FALSE)),""))</f>
        <v>Landscape Speaker</v>
      </c>
      <c r="C239" s="12" t="str">
        <f>(IF((VLOOKUP(Table6[[#This Row],[SKU]],'All Skus'!$A:$AC,2,FALSE))="JBL",(VLOOKUP(Table6[[#This Row],[SKU]],'All Skus'!$A:$AC,4,FALSE)),""))</f>
        <v>JBL-GSF6-TN</v>
      </c>
      <c r="D239" s="61">
        <f>(IF((VLOOKUP(Table6[[#This Row],[SKU]],'All Skus'!$A:$AC,2,FALSE))="JBL",(VLOOKUP(Table6[[#This Row],[SKU]],'All Skus'!$A:$AC,5,FALSE)),""))</f>
        <v>0</v>
      </c>
      <c r="E239" s="137">
        <f>(IF((VLOOKUP(Table6[[#This Row],[SKU]],'All Skus'!$A:$AC,2,FALSE))="JBL",(VLOOKUP(Table6[[#This Row],[SKU]],'All Skus'!$A:$AC,6,FALSE)),""))</f>
        <v>0</v>
      </c>
      <c r="F239" s="61" t="str">
        <f>(IF((VLOOKUP(Table6[[#This Row],[SKU]],'All Skus'!$A:$AC,2,FALSE))="JBL",(VLOOKUP(Table6[[#This Row],[SKU]],'All Skus'!$A:$AC,7,FALSE)),""))</f>
        <v xml:space="preserve">NEW </v>
      </c>
      <c r="G239" t="str">
        <f>(IF((VLOOKUP(Table6[[#This Row],[SKU]],'All Skus'!$A:$AC,2,FALSE))="JBL",(VLOOKUP(Table6[[#This Row],[SKU]],'All Skus'!$A:$AC,8,FALSE)),""))</f>
        <v>Ground-Stake Spkr, 6.5" Coax, Tan, 1 pc</v>
      </c>
      <c r="H239" s="8" t="str">
        <f>(IF((VLOOKUP(Table6[[#This Row],[SKU]],'All Skus'!$A:$AC,2,FALSE))="JBL",(VLOOKUP(Table6[[#This Row],[SKU]],'All Skus'!$A:$AC,9,FALSE)),""))</f>
        <v>Compact aimable coax Landscape Speaker, 6.5"(165mm) polypropylene cone woofer &amp; 1" (25mm) tweeter, 65Hz - 20kHz Frequency Range, 50W (200W peak) Cont. Pink Noise Power Handling (2hr) at 8Ω, 30W multi-tap transformer, IP-66 rated, Tan (RAL7006) (Priced as each; Sold in pairs)</v>
      </c>
      <c r="I239" s="101">
        <f>(IF((VLOOKUP(Table6[[#This Row],[SKU]],'All Skus'!$A:$AC,2,FALSE))="JBL",(VLOOKUP(Table6[[#This Row],[SKU]],'All Skus'!$A:$AC,10,FALSE)),""))</f>
        <v>313</v>
      </c>
      <c r="J239" s="101">
        <f>(IF((VLOOKUP(Table6[[#This Row],[SKU]],'All Skus'!$A:$AC,2,FALSE))="JBL",(VLOOKUP(Table6[[#This Row],[SKU]],'All Skus'!$A:$AC,11,FALSE)),""))</f>
        <v>250.4</v>
      </c>
      <c r="K239" s="102">
        <f>(IF((VLOOKUP(Table6[[#This Row],[SKU]],'All Skus'!$A:$AC,2,FALSE))="JBL",(VLOOKUP(Table6[[#This Row],[SKU]],'All Skus'!$A:$AC,13,FALSE)),""))</f>
        <v>178.41</v>
      </c>
      <c r="L239" s="102">
        <f>(IF((VLOOKUP(Table6[[#This Row],[SKU]],'All Skus'!$A:$AC,2,FALSE))="JBL",(VLOOKUP(Table6[[#This Row],[SKU]],'All Skus'!$A:$AC,14,FALSE)),""))</f>
        <v>169.02</v>
      </c>
      <c r="M239" s="143">
        <f>(IF((VLOOKUP(Table6[[#This Row],[SKU]],'All Skus'!$A:$AC,2,FALSE))="JBL",(VLOOKUP(Table6[[#This Row],[SKU]],'All Skus'!$A:$AC,15,FALSE)),""))</f>
        <v>2</v>
      </c>
      <c r="N239" s="137">
        <f>(IF((VLOOKUP(Table6[[#This Row],[SKU]],'All Skus'!$A:$AC,2,FALSE))="JBL",(VLOOKUP(Table6[[#This Row],[SKU]],'All Skus'!$A:$AC,16,FALSE)),""))</f>
        <v>691991039348</v>
      </c>
      <c r="O239" s="61">
        <f>(IF((VLOOKUP(Table6[[#This Row],[SKU]],'All Skus'!$A:$AC,2,FALSE))="JBL",(VLOOKUP(Table6[[#This Row],[SKU]],'All Skus'!$A:$AC,17,FALSE)),""))</f>
        <v>0</v>
      </c>
      <c r="P239" s="136">
        <f>(IF((VLOOKUP(Table6[[#This Row],[SKU]],'All Skus'!$A:$AC,2,FALSE))="JBL",(VLOOKUP(Table6[[#This Row],[SKU]],'All Skus'!$A:$AC,18,FALSE)),""))</f>
        <v>18.081</v>
      </c>
      <c r="Q239" s="136">
        <f>(IF((VLOOKUP(Table6[[#This Row],[SKU]],'All Skus'!$A:$AC,2,FALSE))="JBL",(VLOOKUP(Table6[[#This Row],[SKU]],'All Skus'!$A:$AC,19,FALSE)),""))</f>
        <v>20.866141732283499</v>
      </c>
      <c r="R239" s="136">
        <f>(IF((VLOOKUP(Table6[[#This Row],[SKU]],'All Skus'!$A:$AC,2,FALSE))="JBL",(VLOOKUP(Table6[[#This Row],[SKU]],'All Skus'!$A:$AC,20,FALSE)),""))</f>
        <v>14.1732283464567</v>
      </c>
      <c r="S239" s="61">
        <f>(IF((VLOOKUP(Table6[[#This Row],[SKU]],'All Skus'!$A:$AC,2,FALSE))="JBL",(VLOOKUP(Table6[[#This Row],[SKU]],'All Skus'!$A:$AC,21,FALSE)),""))</f>
        <v>13.3858267716535</v>
      </c>
      <c r="T239" s="61" t="str">
        <f>(IF((VLOOKUP(Table6[[#This Row],[SKU]],'All Skus'!$A:$AC,2,FALSE))="JBL",(VLOOKUP(Table6[[#This Row],[SKU]],'All Skus'!$A:$AC,22,FALSE)),""))</f>
        <v>CN</v>
      </c>
      <c r="U239" t="str">
        <f>(IF((VLOOKUP(Table6[[#This Row],[SKU]],'All Skus'!$A:$AC,2,FALSE))="JBL",(VLOOKUP(Table6[[#This Row],[SKU]],'All Skus'!$A:$AC,23,FALSE)),""))</f>
        <v>Non Compliant</v>
      </c>
      <c r="V239" s="284" t="str">
        <f>HYPERLINK((IF((VLOOKUP(Table6[[#This Row],[SKU]],'All Skus'!$A:$AC,2,FALSE))="JBL",(VLOOKUP(Table6[[#This Row],[SKU]],'All Skus'!$A:$AC,24,FALSE)),"")))</f>
        <v xml:space="preserve">https://jblpro.com/en/products/gsf6 </v>
      </c>
      <c r="W239" s="151">
        <v>237</v>
      </c>
    </row>
    <row r="240" spans="1:23" ht="15" hidden="1" customHeight="1">
      <c r="A240" s="13" t="s">
        <v>1246</v>
      </c>
      <c r="B240" s="12" t="str">
        <f>(IF((VLOOKUP(Table6[[#This Row],[SKU]],'All Skus'!$A:$AC,2,FALSE))="JBL",(VLOOKUP(Table6[[#This Row],[SKU]],'All Skus'!$A:$AC,3,FALSE)),""))</f>
        <v>Landscape Subwoofer</v>
      </c>
      <c r="C240" s="12" t="str">
        <f>(IF((VLOOKUP(Table6[[#This Row],[SKU]],'All Skus'!$A:$AC,2,FALSE))="JBL",(VLOOKUP(Table6[[#This Row],[SKU]],'All Skus'!$A:$AC,4,FALSE)),""))</f>
        <v>JBL-GSB8-GN</v>
      </c>
      <c r="D240" s="61" t="str">
        <f>(IF((VLOOKUP(Table6[[#This Row],[SKU]],'All Skus'!$A:$AC,2,FALSE))="JBL",(VLOOKUP(Table6[[#This Row],[SKU]],'All Skus'!$A:$AC,5,FALSE)),""))</f>
        <v>JBL018</v>
      </c>
      <c r="E240" s="137">
        <f>(IF((VLOOKUP(Table6[[#This Row],[SKU]],'All Skus'!$A:$AC,2,FALSE))="JBL",(VLOOKUP(Table6[[#This Row],[SKU]],'All Skus'!$A:$AC,6,FALSE)),""))</f>
        <v>0</v>
      </c>
      <c r="F240" s="61" t="str">
        <f>(IF((VLOOKUP(Table6[[#This Row],[SKU]],'All Skus'!$A:$AC,2,FALSE))="JBL",(VLOOKUP(Table6[[#This Row],[SKU]],'All Skus'!$A:$AC,7,FALSE)),""))</f>
        <v xml:space="preserve">NEW </v>
      </c>
      <c r="G240" t="str">
        <f>(IF((VLOOKUP(Table6[[#This Row],[SKU]],'All Skus'!$A:$AC,2,FALSE))="JBL",(VLOOKUP(Table6[[#This Row],[SKU]],'All Skus'!$A:$AC,8,FALSE)),""))</f>
        <v>8" In-Ground Subwoofer, Grn, 1 pc</v>
      </c>
      <c r="H240" s="8" t="str">
        <f>(IF((VLOOKUP(Table6[[#This Row],[SKU]],'All Skus'!$A:$AC,2,FALSE))="JBL",(VLOOKUP(Table6[[#This Row],[SKU]],'All Skus'!$A:$AC,9,FALSE)),""))</f>
        <v>In-ground Landscape subwoofer, 8" (209mm) polypropylene cone woofer, 35Hz - 130Hz Frequency Range, 250W (1000W peak) Cont. Pink Noise Power Handling (2hr), 100W multi-tap transformer with 6Ω direct, IP-66 rated, Hunter Green (RAL6028) (Priced and sold as each)</v>
      </c>
      <c r="I240" s="101">
        <f>(IF((VLOOKUP(Table6[[#This Row],[SKU]],'All Skus'!$A:$AC,2,FALSE))="JBL",(VLOOKUP(Table6[[#This Row],[SKU]],'All Skus'!$A:$AC,10,FALSE)),""))</f>
        <v>554</v>
      </c>
      <c r="J240" s="101">
        <f>(IF((VLOOKUP(Table6[[#This Row],[SKU]],'All Skus'!$A:$AC,2,FALSE))="JBL",(VLOOKUP(Table6[[#This Row],[SKU]],'All Skus'!$A:$AC,11,FALSE)),""))</f>
        <v>443.2</v>
      </c>
      <c r="K240" s="102">
        <f>(IF((VLOOKUP(Table6[[#This Row],[SKU]],'All Skus'!$A:$AC,2,FALSE))="JBL",(VLOOKUP(Table6[[#This Row],[SKU]],'All Skus'!$A:$AC,13,FALSE)),""))</f>
        <v>315.77999999999997</v>
      </c>
      <c r="L240" s="102">
        <f>(IF((VLOOKUP(Table6[[#This Row],[SKU]],'All Skus'!$A:$AC,2,FALSE))="JBL",(VLOOKUP(Table6[[#This Row],[SKU]],'All Skus'!$A:$AC,14,FALSE)),""))</f>
        <v>299.15999999999997</v>
      </c>
      <c r="M240" s="143">
        <f>(IF((VLOOKUP(Table6[[#This Row],[SKU]],'All Skus'!$A:$AC,2,FALSE))="JBL",(VLOOKUP(Table6[[#This Row],[SKU]],'All Skus'!$A:$AC,15,FALSE)),""))</f>
        <v>1</v>
      </c>
      <c r="N240" s="137">
        <f>(IF((VLOOKUP(Table6[[#This Row],[SKU]],'All Skus'!$A:$AC,2,FALSE))="JBL",(VLOOKUP(Table6[[#This Row],[SKU]],'All Skus'!$A:$AC,16,FALSE)),""))</f>
        <v>691991037795</v>
      </c>
      <c r="O240" s="61">
        <f>(IF((VLOOKUP(Table6[[#This Row],[SKU]],'All Skus'!$A:$AC,2,FALSE))="JBL",(VLOOKUP(Table6[[#This Row],[SKU]],'All Skus'!$A:$AC,17,FALSE)),""))</f>
        <v>0</v>
      </c>
      <c r="P240" s="136">
        <f>(IF((VLOOKUP(Table6[[#This Row],[SKU]],'All Skus'!$A:$AC,2,FALSE))="JBL",(VLOOKUP(Table6[[#This Row],[SKU]],'All Skus'!$A:$AC,18,FALSE)),""))</f>
        <v>26.018999999999998</v>
      </c>
      <c r="Q240" s="136">
        <f>(IF((VLOOKUP(Table6[[#This Row],[SKU]],'All Skus'!$A:$AC,2,FALSE))="JBL",(VLOOKUP(Table6[[#This Row],[SKU]],'All Skus'!$A:$AC,19,FALSE)),""))</f>
        <v>30.708661417322801</v>
      </c>
      <c r="R240" s="136">
        <f>(IF((VLOOKUP(Table6[[#This Row],[SKU]],'All Skus'!$A:$AC,2,FALSE))="JBL",(VLOOKUP(Table6[[#This Row],[SKU]],'All Skus'!$A:$AC,20,FALSE)),""))</f>
        <v>18.031496062992101</v>
      </c>
      <c r="S240" s="61">
        <f>(IF((VLOOKUP(Table6[[#This Row],[SKU]],'All Skus'!$A:$AC,2,FALSE))="JBL",(VLOOKUP(Table6[[#This Row],[SKU]],'All Skus'!$A:$AC,21,FALSE)),""))</f>
        <v>15.2755905511811</v>
      </c>
      <c r="T240" s="61" t="str">
        <f>(IF((VLOOKUP(Table6[[#This Row],[SKU]],'All Skus'!$A:$AC,2,FALSE))="JBL",(VLOOKUP(Table6[[#This Row],[SKU]],'All Skus'!$A:$AC,22,FALSE)),""))</f>
        <v>CN</v>
      </c>
      <c r="U240" t="str">
        <f>(IF((VLOOKUP(Table6[[#This Row],[SKU]],'All Skus'!$A:$AC,2,FALSE))="JBL",(VLOOKUP(Table6[[#This Row],[SKU]],'All Skus'!$A:$AC,23,FALSE)),""))</f>
        <v>Non Compliant</v>
      </c>
      <c r="V240" s="284" t="str">
        <f>HYPERLINK((IF((VLOOKUP(Table6[[#This Row],[SKU]],'All Skus'!$A:$AC,2,FALSE))="JBL",(VLOOKUP(Table6[[#This Row],[SKU]],'All Skus'!$A:$AC,24,FALSE)),"")))</f>
        <v>https://jblpro.com/en/products/gsb8</v>
      </c>
      <c r="W240" s="151">
        <v>238</v>
      </c>
    </row>
    <row r="241" spans="1:23" ht="15" hidden="1" customHeight="1">
      <c r="A241" s="13" t="s">
        <v>1247</v>
      </c>
      <c r="B241" s="12" t="str">
        <f>(IF((VLOOKUP(Table6[[#This Row],[SKU]],'All Skus'!$A:$AC,2,FALSE))="JBL",(VLOOKUP(Table6[[#This Row],[SKU]],'All Skus'!$A:$AC,3,FALSE)),""))</f>
        <v>Landscape Subwoofer</v>
      </c>
      <c r="C241" s="12" t="str">
        <f>(IF((VLOOKUP(Table6[[#This Row],[SKU]],'All Skus'!$A:$AC,2,FALSE))="JBL",(VLOOKUP(Table6[[#This Row],[SKU]],'All Skus'!$A:$AC,4,FALSE)),""))</f>
        <v>JBL-GSB8-TN</v>
      </c>
      <c r="D241" s="61" t="str">
        <f>(IF((VLOOKUP(Table6[[#This Row],[SKU]],'All Skus'!$A:$AC,2,FALSE))="JBL",(VLOOKUP(Table6[[#This Row],[SKU]],'All Skus'!$A:$AC,5,FALSE)),""))</f>
        <v>JBL018</v>
      </c>
      <c r="E241" s="137">
        <f>(IF((VLOOKUP(Table6[[#This Row],[SKU]],'All Skus'!$A:$AC,2,FALSE))="JBL",(VLOOKUP(Table6[[#This Row],[SKU]],'All Skus'!$A:$AC,6,FALSE)),""))</f>
        <v>0</v>
      </c>
      <c r="F241" s="61" t="str">
        <f>(IF((VLOOKUP(Table6[[#This Row],[SKU]],'All Skus'!$A:$AC,2,FALSE))="JBL",(VLOOKUP(Table6[[#This Row],[SKU]],'All Skus'!$A:$AC,7,FALSE)),""))</f>
        <v xml:space="preserve">NEW </v>
      </c>
      <c r="G241" t="str">
        <f>(IF((VLOOKUP(Table6[[#This Row],[SKU]],'All Skus'!$A:$AC,2,FALSE))="JBL",(VLOOKUP(Table6[[#This Row],[SKU]],'All Skus'!$A:$AC,8,FALSE)),""))</f>
        <v>8" In-Ground Subwoofer, Tan, 1 pc</v>
      </c>
      <c r="H241" s="8" t="str">
        <f>(IF((VLOOKUP(Table6[[#This Row],[SKU]],'All Skus'!$A:$AC,2,FALSE))="JBL",(VLOOKUP(Table6[[#This Row],[SKU]],'All Skus'!$A:$AC,9,FALSE)),""))</f>
        <v>In-ground Landscape subwoofer, 8" (209mm) polypropylene cone woofer, 35Hz - 130Hz Frequency Range, 250W (1000W peak) Cont. Pink Noise Power Handling (2hr), 100W multi-tap  transformer with 6Ω direct, IP-66 rated, Tan (RAL7006) (Priced and sold as each)</v>
      </c>
      <c r="I241" s="101">
        <f>(IF((VLOOKUP(Table6[[#This Row],[SKU]],'All Skus'!$A:$AC,2,FALSE))="JBL",(VLOOKUP(Table6[[#This Row],[SKU]],'All Skus'!$A:$AC,10,FALSE)),""))</f>
        <v>554</v>
      </c>
      <c r="J241" s="101">
        <f>(IF((VLOOKUP(Table6[[#This Row],[SKU]],'All Skus'!$A:$AC,2,FALSE))="JBL",(VLOOKUP(Table6[[#This Row],[SKU]],'All Skus'!$A:$AC,11,FALSE)),""))</f>
        <v>443.2</v>
      </c>
      <c r="K241" s="102">
        <f>(IF((VLOOKUP(Table6[[#This Row],[SKU]],'All Skus'!$A:$AC,2,FALSE))="JBL",(VLOOKUP(Table6[[#This Row],[SKU]],'All Skus'!$A:$AC,13,FALSE)),""))</f>
        <v>315.77999999999997</v>
      </c>
      <c r="L241" s="102">
        <f>(IF((VLOOKUP(Table6[[#This Row],[SKU]],'All Skus'!$A:$AC,2,FALSE))="JBL",(VLOOKUP(Table6[[#This Row],[SKU]],'All Skus'!$A:$AC,14,FALSE)),""))</f>
        <v>299.15999999999997</v>
      </c>
      <c r="M241" s="143">
        <f>(IF((VLOOKUP(Table6[[#This Row],[SKU]],'All Skus'!$A:$AC,2,FALSE))="JBL",(VLOOKUP(Table6[[#This Row],[SKU]],'All Skus'!$A:$AC,15,FALSE)),""))</f>
        <v>1</v>
      </c>
      <c r="N241" s="137">
        <f>(IF((VLOOKUP(Table6[[#This Row],[SKU]],'All Skus'!$A:$AC,2,FALSE))="JBL",(VLOOKUP(Table6[[#This Row],[SKU]],'All Skus'!$A:$AC,16,FALSE)),""))</f>
        <v>691991037801</v>
      </c>
      <c r="O241" s="61">
        <f>(IF((VLOOKUP(Table6[[#This Row],[SKU]],'All Skus'!$A:$AC,2,FALSE))="JBL",(VLOOKUP(Table6[[#This Row],[SKU]],'All Skus'!$A:$AC,17,FALSE)),""))</f>
        <v>0</v>
      </c>
      <c r="P241" s="136">
        <f>(IF((VLOOKUP(Table6[[#This Row],[SKU]],'All Skus'!$A:$AC,2,FALSE))="JBL",(VLOOKUP(Table6[[#This Row],[SKU]],'All Skus'!$A:$AC,18,FALSE)),""))</f>
        <v>26.018999999999998</v>
      </c>
      <c r="Q241" s="136">
        <f>(IF((VLOOKUP(Table6[[#This Row],[SKU]],'All Skus'!$A:$AC,2,FALSE))="JBL",(VLOOKUP(Table6[[#This Row],[SKU]],'All Skus'!$A:$AC,19,FALSE)),""))</f>
        <v>30.708661417322801</v>
      </c>
      <c r="R241" s="136">
        <f>(IF((VLOOKUP(Table6[[#This Row],[SKU]],'All Skus'!$A:$AC,2,FALSE))="JBL",(VLOOKUP(Table6[[#This Row],[SKU]],'All Skus'!$A:$AC,20,FALSE)),""))</f>
        <v>18.031496062992101</v>
      </c>
      <c r="S241" s="61">
        <f>(IF((VLOOKUP(Table6[[#This Row],[SKU]],'All Skus'!$A:$AC,2,FALSE))="JBL",(VLOOKUP(Table6[[#This Row],[SKU]],'All Skus'!$A:$AC,21,FALSE)),""))</f>
        <v>15.2755905511811</v>
      </c>
      <c r="T241" s="61" t="str">
        <f>(IF((VLOOKUP(Table6[[#This Row],[SKU]],'All Skus'!$A:$AC,2,FALSE))="JBL",(VLOOKUP(Table6[[#This Row],[SKU]],'All Skus'!$A:$AC,22,FALSE)),""))</f>
        <v>CN</v>
      </c>
      <c r="U241" t="str">
        <f>(IF((VLOOKUP(Table6[[#This Row],[SKU]],'All Skus'!$A:$AC,2,FALSE))="JBL",(VLOOKUP(Table6[[#This Row],[SKU]],'All Skus'!$A:$AC,23,FALSE)),""))</f>
        <v>Non Compliant</v>
      </c>
      <c r="V241" s="284" t="str">
        <f>HYPERLINK((IF((VLOOKUP(Table6[[#This Row],[SKU]],'All Skus'!$A:$AC,2,FALSE))="JBL",(VLOOKUP(Table6[[#This Row],[SKU]],'All Skus'!$A:$AC,24,FALSE)),"")))</f>
        <v>https://jblpro.com/en/products/gsb8</v>
      </c>
      <c r="W241" s="151">
        <v>239</v>
      </c>
    </row>
    <row r="242" spans="1:23" ht="15" hidden="1" customHeight="1">
      <c r="A242" s="13" t="s">
        <v>1248</v>
      </c>
      <c r="B242" s="12" t="str">
        <f>(IF((VLOOKUP(Table6[[#This Row],[SKU]],'All Skus'!$A:$AC,2,FALSE))="JBL",(VLOOKUP(Table6[[#This Row],[SKU]],'All Skus'!$A:$AC,3,FALSE)),""))</f>
        <v>Landscape Subwoofer</v>
      </c>
      <c r="C242" s="12" t="str">
        <f>(IF((VLOOKUP(Table6[[#This Row],[SKU]],'All Skus'!$A:$AC,2,FALSE))="JBL",(VLOOKUP(Table6[[#This Row],[SKU]],'All Skus'!$A:$AC,4,FALSE)),""))</f>
        <v>JBL-GSB12-GN</v>
      </c>
      <c r="D242" s="61" t="str">
        <f>(IF((VLOOKUP(Table6[[#This Row],[SKU]],'All Skus'!$A:$AC,2,FALSE))="JBL",(VLOOKUP(Table6[[#This Row],[SKU]],'All Skus'!$A:$AC,5,FALSE)),""))</f>
        <v>JBL018</v>
      </c>
      <c r="E242" s="137">
        <f>(IF((VLOOKUP(Table6[[#This Row],[SKU]],'All Skus'!$A:$AC,2,FALSE))="JBL",(VLOOKUP(Table6[[#This Row],[SKU]],'All Skus'!$A:$AC,6,FALSE)),""))</f>
        <v>0</v>
      </c>
      <c r="F242" s="61" t="str">
        <f>(IF((VLOOKUP(Table6[[#This Row],[SKU]],'All Skus'!$A:$AC,2,FALSE))="JBL",(VLOOKUP(Table6[[#This Row],[SKU]],'All Skus'!$A:$AC,7,FALSE)),""))</f>
        <v xml:space="preserve">NEW </v>
      </c>
      <c r="G242" t="str">
        <f>(IF((VLOOKUP(Table6[[#This Row],[SKU]],'All Skus'!$A:$AC,2,FALSE))="JBL",(VLOOKUP(Table6[[#This Row],[SKU]],'All Skus'!$A:$AC,8,FALSE)),""))</f>
        <v>12" In-Ground Subwoofer, Grn, 1 pc</v>
      </c>
      <c r="H242" s="8" t="str">
        <f>(IF((VLOOKUP(Table6[[#This Row],[SKU]],'All Skus'!$A:$AC,2,FALSE))="JBL",(VLOOKUP(Table6[[#This Row],[SKU]],'All Skus'!$A:$AC,9,FALSE)),""))</f>
        <v>In-ground Landscape subwoofer, 12" (305mm) polypropylene cone woofer, 30Hz - 120Hz Frequency Range, 450W (1800W peak) Cont. Pink Noise Power Handling (2hr), 200W multi-tap  transformer with 6Ω direct, IP-66 rated, Hunter Green (RAL6028) (Priced and sold as each)</v>
      </c>
      <c r="I242" s="101">
        <f>(IF((VLOOKUP(Table6[[#This Row],[SKU]],'All Skus'!$A:$AC,2,FALSE))="JBL",(VLOOKUP(Table6[[#This Row],[SKU]],'All Skus'!$A:$AC,10,FALSE)),""))</f>
        <v>866</v>
      </c>
      <c r="J242" s="101">
        <f>(IF((VLOOKUP(Table6[[#This Row],[SKU]],'All Skus'!$A:$AC,2,FALSE))="JBL",(VLOOKUP(Table6[[#This Row],[SKU]],'All Skus'!$A:$AC,11,FALSE)),""))</f>
        <v>692.8</v>
      </c>
      <c r="K242" s="102">
        <f>(IF((VLOOKUP(Table6[[#This Row],[SKU]],'All Skus'!$A:$AC,2,FALSE))="JBL",(VLOOKUP(Table6[[#This Row],[SKU]],'All Skus'!$A:$AC,13,FALSE)),""))</f>
        <v>493.62</v>
      </c>
      <c r="L242" s="102">
        <f>(IF((VLOOKUP(Table6[[#This Row],[SKU]],'All Skus'!$A:$AC,2,FALSE))="JBL",(VLOOKUP(Table6[[#This Row],[SKU]],'All Skus'!$A:$AC,14,FALSE)),""))</f>
        <v>467.64000000000004</v>
      </c>
      <c r="M242" s="143">
        <f>(IF((VLOOKUP(Table6[[#This Row],[SKU]],'All Skus'!$A:$AC,2,FALSE))="JBL",(VLOOKUP(Table6[[#This Row],[SKU]],'All Skus'!$A:$AC,15,FALSE)),""))</f>
        <v>1</v>
      </c>
      <c r="N242" s="137">
        <f>(IF((VLOOKUP(Table6[[#This Row],[SKU]],'All Skus'!$A:$AC,2,FALSE))="JBL",(VLOOKUP(Table6[[#This Row],[SKU]],'All Skus'!$A:$AC,16,FALSE)),""))</f>
        <v>691991037818</v>
      </c>
      <c r="O242" s="61">
        <f>(IF((VLOOKUP(Table6[[#This Row],[SKU]],'All Skus'!$A:$AC,2,FALSE))="JBL",(VLOOKUP(Table6[[#This Row],[SKU]],'All Skus'!$A:$AC,17,FALSE)),""))</f>
        <v>0</v>
      </c>
      <c r="P242" s="136">
        <f>(IF((VLOOKUP(Table6[[#This Row],[SKU]],'All Skus'!$A:$AC,2,FALSE))="JBL",(VLOOKUP(Table6[[#This Row],[SKU]],'All Skus'!$A:$AC,18,FALSE)),""))</f>
        <v>42.997500000000002</v>
      </c>
      <c r="Q242" s="136">
        <f>(IF((VLOOKUP(Table6[[#This Row],[SKU]],'All Skus'!$A:$AC,2,FALSE))="JBL",(VLOOKUP(Table6[[#This Row],[SKU]],'All Skus'!$A:$AC,19,FALSE)),""))</f>
        <v>33.543307086614199</v>
      </c>
      <c r="R242" s="136">
        <f>(IF((VLOOKUP(Table6[[#This Row],[SKU]],'All Skus'!$A:$AC,2,FALSE))="JBL",(VLOOKUP(Table6[[#This Row],[SKU]],'All Skus'!$A:$AC,20,FALSE)),""))</f>
        <v>21.5748031496063</v>
      </c>
      <c r="S242" s="61">
        <f>(IF((VLOOKUP(Table6[[#This Row],[SKU]],'All Skus'!$A:$AC,2,FALSE))="JBL",(VLOOKUP(Table6[[#This Row],[SKU]],'All Skus'!$A:$AC,21,FALSE)),""))</f>
        <v>18.818897637795299</v>
      </c>
      <c r="T242" s="61" t="str">
        <f>(IF((VLOOKUP(Table6[[#This Row],[SKU]],'All Skus'!$A:$AC,2,FALSE))="JBL",(VLOOKUP(Table6[[#This Row],[SKU]],'All Skus'!$A:$AC,22,FALSE)),""))</f>
        <v>CN</v>
      </c>
      <c r="U242" t="str">
        <f>(IF((VLOOKUP(Table6[[#This Row],[SKU]],'All Skus'!$A:$AC,2,FALSE))="JBL",(VLOOKUP(Table6[[#This Row],[SKU]],'All Skus'!$A:$AC,23,FALSE)),""))</f>
        <v>Non Compliant</v>
      </c>
      <c r="V242" s="284" t="str">
        <f>HYPERLINK((IF((VLOOKUP(Table6[[#This Row],[SKU]],'All Skus'!$A:$AC,2,FALSE))="JBL",(VLOOKUP(Table6[[#This Row],[SKU]],'All Skus'!$A:$AC,24,FALSE)),"")))</f>
        <v>https://jblpro.com/en/products/gsb12</v>
      </c>
      <c r="W242" s="151">
        <v>240</v>
      </c>
    </row>
    <row r="243" spans="1:23" ht="15" hidden="1" customHeight="1">
      <c r="A243" s="13" t="s">
        <v>1249</v>
      </c>
      <c r="B243" s="12" t="str">
        <f>(IF((VLOOKUP(Table6[[#This Row],[SKU]],'All Skus'!$A:$AC,2,FALSE))="JBL",(VLOOKUP(Table6[[#This Row],[SKU]],'All Skus'!$A:$AC,3,FALSE)),""))</f>
        <v>Landscape Subwoofer</v>
      </c>
      <c r="C243" s="12" t="str">
        <f>(IF((VLOOKUP(Table6[[#This Row],[SKU]],'All Skus'!$A:$AC,2,FALSE))="JBL",(VLOOKUP(Table6[[#This Row],[SKU]],'All Skus'!$A:$AC,4,FALSE)),""))</f>
        <v>JBL-GSB12-TN</v>
      </c>
      <c r="D243" s="61" t="str">
        <f>(IF((VLOOKUP(Table6[[#This Row],[SKU]],'All Skus'!$A:$AC,2,FALSE))="JBL",(VLOOKUP(Table6[[#This Row],[SKU]],'All Skus'!$A:$AC,5,FALSE)),""))</f>
        <v>JBL018</v>
      </c>
      <c r="E243" s="137">
        <f>(IF((VLOOKUP(Table6[[#This Row],[SKU]],'All Skus'!$A:$AC,2,FALSE))="JBL",(VLOOKUP(Table6[[#This Row],[SKU]],'All Skus'!$A:$AC,6,FALSE)),""))</f>
        <v>0</v>
      </c>
      <c r="F243" s="61" t="str">
        <f>(IF((VLOOKUP(Table6[[#This Row],[SKU]],'All Skus'!$A:$AC,2,FALSE))="JBL",(VLOOKUP(Table6[[#This Row],[SKU]],'All Skus'!$A:$AC,7,FALSE)),""))</f>
        <v xml:space="preserve">NEW </v>
      </c>
      <c r="G243" t="str">
        <f>(IF((VLOOKUP(Table6[[#This Row],[SKU]],'All Skus'!$A:$AC,2,FALSE))="JBL",(VLOOKUP(Table6[[#This Row],[SKU]],'All Skus'!$A:$AC,8,FALSE)),""))</f>
        <v>12" In-Ground Subwoofer, Tan, 1 pc</v>
      </c>
      <c r="H243" s="8" t="str">
        <f>(IF((VLOOKUP(Table6[[#This Row],[SKU]],'All Skus'!$A:$AC,2,FALSE))="JBL",(VLOOKUP(Table6[[#This Row],[SKU]],'All Skus'!$A:$AC,9,FALSE)),""))</f>
        <v>In-ground Landscape subwoofer, 12" (305mm) polypropylene cone woofer, 30Hz - 120Hz Frequency Range, 450W (1800W peak) Cont. Pink Noise Power Handling (2hr), 200W multi-tap  transformer with 6Ω direct,  IP-66 rated, Tan (RAL7006) (Priced and sold as each)</v>
      </c>
      <c r="I243" s="101">
        <f>(IF((VLOOKUP(Table6[[#This Row],[SKU]],'All Skus'!$A:$AC,2,FALSE))="JBL",(VLOOKUP(Table6[[#This Row],[SKU]],'All Skus'!$A:$AC,10,FALSE)),""))</f>
        <v>866</v>
      </c>
      <c r="J243" s="101">
        <f>(IF((VLOOKUP(Table6[[#This Row],[SKU]],'All Skus'!$A:$AC,2,FALSE))="JBL",(VLOOKUP(Table6[[#This Row],[SKU]],'All Skus'!$A:$AC,11,FALSE)),""))</f>
        <v>692.8</v>
      </c>
      <c r="K243" s="102">
        <f>(IF((VLOOKUP(Table6[[#This Row],[SKU]],'All Skus'!$A:$AC,2,FALSE))="JBL",(VLOOKUP(Table6[[#This Row],[SKU]],'All Skus'!$A:$AC,13,FALSE)),""))</f>
        <v>493.10699999999991</v>
      </c>
      <c r="L243" s="102">
        <f>(IF((VLOOKUP(Table6[[#This Row],[SKU]],'All Skus'!$A:$AC,2,FALSE))="JBL",(VLOOKUP(Table6[[#This Row],[SKU]],'All Skus'!$A:$AC,14,FALSE)),""))</f>
        <v>467.15399999999994</v>
      </c>
      <c r="M243" s="143">
        <f>(IF((VLOOKUP(Table6[[#This Row],[SKU]],'All Skus'!$A:$AC,2,FALSE))="JBL",(VLOOKUP(Table6[[#This Row],[SKU]],'All Skus'!$A:$AC,15,FALSE)),""))</f>
        <v>1</v>
      </c>
      <c r="N243" s="137">
        <f>(IF((VLOOKUP(Table6[[#This Row],[SKU]],'All Skus'!$A:$AC,2,FALSE))="JBL",(VLOOKUP(Table6[[#This Row],[SKU]],'All Skus'!$A:$AC,16,FALSE)),""))</f>
        <v>691991037825</v>
      </c>
      <c r="O243" s="61">
        <f>(IF((VLOOKUP(Table6[[#This Row],[SKU]],'All Skus'!$A:$AC,2,FALSE))="JBL",(VLOOKUP(Table6[[#This Row],[SKU]],'All Skus'!$A:$AC,17,FALSE)),""))</f>
        <v>0</v>
      </c>
      <c r="P243" s="136">
        <f>(IF((VLOOKUP(Table6[[#This Row],[SKU]],'All Skus'!$A:$AC,2,FALSE))="JBL",(VLOOKUP(Table6[[#This Row],[SKU]],'All Skus'!$A:$AC,18,FALSE)),""))</f>
        <v>42.997500000000002</v>
      </c>
      <c r="Q243" s="136">
        <f>(IF((VLOOKUP(Table6[[#This Row],[SKU]],'All Skus'!$A:$AC,2,FALSE))="JBL",(VLOOKUP(Table6[[#This Row],[SKU]],'All Skus'!$A:$AC,19,FALSE)),""))</f>
        <v>33.543307086614199</v>
      </c>
      <c r="R243" s="136">
        <f>(IF((VLOOKUP(Table6[[#This Row],[SKU]],'All Skus'!$A:$AC,2,FALSE))="JBL",(VLOOKUP(Table6[[#This Row],[SKU]],'All Skus'!$A:$AC,20,FALSE)),""))</f>
        <v>21.5748031496063</v>
      </c>
      <c r="S243" s="61">
        <f>(IF((VLOOKUP(Table6[[#This Row],[SKU]],'All Skus'!$A:$AC,2,FALSE))="JBL",(VLOOKUP(Table6[[#This Row],[SKU]],'All Skus'!$A:$AC,21,FALSE)),""))</f>
        <v>18.818897637795299</v>
      </c>
      <c r="T243" s="61" t="str">
        <f>(IF((VLOOKUP(Table6[[#This Row],[SKU]],'All Skus'!$A:$AC,2,FALSE))="JBL",(VLOOKUP(Table6[[#This Row],[SKU]],'All Skus'!$A:$AC,22,FALSE)),""))</f>
        <v>CN</v>
      </c>
      <c r="U243" t="str">
        <f>(IF((VLOOKUP(Table6[[#This Row],[SKU]],'All Skus'!$A:$AC,2,FALSE))="JBL",(VLOOKUP(Table6[[#This Row],[SKU]],'All Skus'!$A:$AC,23,FALSE)),""))</f>
        <v>Non Compliant</v>
      </c>
      <c r="V243" s="284" t="str">
        <f>HYPERLINK((IF((VLOOKUP(Table6[[#This Row],[SKU]],'All Skus'!$A:$AC,2,FALSE))="JBL",(VLOOKUP(Table6[[#This Row],[SKU]],'All Skus'!$A:$AC,24,FALSE)),"")))</f>
        <v>https://jblpro.com/en/products/gsb12</v>
      </c>
      <c r="W243" s="151">
        <v>241</v>
      </c>
    </row>
    <row r="244" spans="1:23" ht="15" hidden="1" customHeight="1">
      <c r="A244" s="13" t="s">
        <v>1250</v>
      </c>
      <c r="B244" s="12">
        <f>(IF((VLOOKUP(Table6[[#This Row],[SKU]],'All Skus'!$A:$AC,2,FALSE))="JBL",(VLOOKUP(Table6[[#This Row],[SKU]],'All Skus'!$A:$AC,3,FALSE)),""))</f>
        <v>0</v>
      </c>
      <c r="C244" s="12">
        <f>(IF((VLOOKUP(Table6[[#This Row],[SKU]],'All Skus'!$A:$AC,2,FALSE))="JBL",(VLOOKUP(Table6[[#This Row],[SKU]],'All Skus'!$A:$AC,4,FALSE)),""))</f>
        <v>0</v>
      </c>
      <c r="D244" s="61">
        <f>(IF((VLOOKUP(Table6[[#This Row],[SKU]],'All Skus'!$A:$AC,2,FALSE))="JBL",(VLOOKUP(Table6[[#This Row],[SKU]],'All Skus'!$A:$AC,5,FALSE)),""))</f>
        <v>0</v>
      </c>
      <c r="E244" s="137">
        <f>(IF((VLOOKUP(Table6[[#This Row],[SKU]],'All Skus'!$A:$AC,2,FALSE))="JBL",(VLOOKUP(Table6[[#This Row],[SKU]],'All Skus'!$A:$AC,6,FALSE)),""))</f>
        <v>0</v>
      </c>
      <c r="F244" s="61">
        <f>(IF((VLOOKUP(Table6[[#This Row],[SKU]],'All Skus'!$A:$AC,2,FALSE))="JBL",(VLOOKUP(Table6[[#This Row],[SKU]],'All Skus'!$A:$AC,7,FALSE)),""))</f>
        <v>0</v>
      </c>
      <c r="G244">
        <f>(IF((VLOOKUP(Table6[[#This Row],[SKU]],'All Skus'!$A:$AC,2,FALSE))="JBL",(VLOOKUP(Table6[[#This Row],[SKU]],'All Skus'!$A:$AC,8,FALSE)),""))</f>
        <v>0</v>
      </c>
      <c r="H244" s="8">
        <f>(IF((VLOOKUP(Table6[[#This Row],[SKU]],'All Skus'!$A:$AC,2,FALSE))="JBL",(VLOOKUP(Table6[[#This Row],[SKU]],'All Skus'!$A:$AC,9,FALSE)),""))</f>
        <v>0</v>
      </c>
      <c r="I244" s="101">
        <f>(IF((VLOOKUP(Table6[[#This Row],[SKU]],'All Skus'!$A:$AC,2,FALSE))="JBL",(VLOOKUP(Table6[[#This Row],[SKU]],'All Skus'!$A:$AC,10,FALSE)),""))</f>
        <v>0</v>
      </c>
      <c r="J244" s="101">
        <f>(IF((VLOOKUP(Table6[[#This Row],[SKU]],'All Skus'!$A:$AC,2,FALSE))="JBL",(VLOOKUP(Table6[[#This Row],[SKU]],'All Skus'!$A:$AC,11,FALSE)),""))</f>
        <v>0</v>
      </c>
      <c r="K244" s="102">
        <f>(IF((VLOOKUP(Table6[[#This Row],[SKU]],'All Skus'!$A:$AC,2,FALSE))="JBL",(VLOOKUP(Table6[[#This Row],[SKU]],'All Skus'!$A:$AC,13,FALSE)),""))</f>
        <v>0</v>
      </c>
      <c r="L244" s="102">
        <f>(IF((VLOOKUP(Table6[[#This Row],[SKU]],'All Skus'!$A:$AC,2,FALSE))="JBL",(VLOOKUP(Table6[[#This Row],[SKU]],'All Skus'!$A:$AC,14,FALSE)),""))</f>
        <v>0</v>
      </c>
      <c r="M244" s="143">
        <f>(IF((VLOOKUP(Table6[[#This Row],[SKU]],'All Skus'!$A:$AC,2,FALSE))="JBL",(VLOOKUP(Table6[[#This Row],[SKU]],'All Skus'!$A:$AC,15,FALSE)),""))</f>
        <v>0</v>
      </c>
      <c r="N244" s="137">
        <f>(IF((VLOOKUP(Table6[[#This Row],[SKU]],'All Skus'!$A:$AC,2,FALSE))="JBL",(VLOOKUP(Table6[[#This Row],[SKU]],'All Skus'!$A:$AC,16,FALSE)),""))</f>
        <v>0</v>
      </c>
      <c r="O244" s="61">
        <f>(IF((VLOOKUP(Table6[[#This Row],[SKU]],'All Skus'!$A:$AC,2,FALSE))="JBL",(VLOOKUP(Table6[[#This Row],[SKU]],'All Skus'!$A:$AC,17,FALSE)),""))</f>
        <v>0</v>
      </c>
      <c r="P244" s="136">
        <f>(IF((VLOOKUP(Table6[[#This Row],[SKU]],'All Skus'!$A:$AC,2,FALSE))="JBL",(VLOOKUP(Table6[[#This Row],[SKU]],'All Skus'!$A:$AC,18,FALSE)),""))</f>
        <v>0</v>
      </c>
      <c r="Q244" s="136">
        <f>(IF((VLOOKUP(Table6[[#This Row],[SKU]],'All Skus'!$A:$AC,2,FALSE))="JBL",(VLOOKUP(Table6[[#This Row],[SKU]],'All Skus'!$A:$AC,19,FALSE)),""))</f>
        <v>0</v>
      </c>
      <c r="R244" s="136">
        <f>(IF((VLOOKUP(Table6[[#This Row],[SKU]],'All Skus'!$A:$AC,2,FALSE))="JBL",(VLOOKUP(Table6[[#This Row],[SKU]],'All Skus'!$A:$AC,20,FALSE)),""))</f>
        <v>0</v>
      </c>
      <c r="S244" s="61">
        <f>(IF((VLOOKUP(Table6[[#This Row],[SKU]],'All Skus'!$A:$AC,2,FALSE))="JBL",(VLOOKUP(Table6[[#This Row],[SKU]],'All Skus'!$A:$AC,21,FALSE)),""))</f>
        <v>0</v>
      </c>
      <c r="T244" s="61" t="str">
        <f>(IF((VLOOKUP(Table6[[#This Row],[SKU]],'All Skus'!$A:$AC,2,FALSE))="JBL",(VLOOKUP(Table6[[#This Row],[SKU]],'All Skus'!$A:$AC,22,FALSE)),""))</f>
        <v>CN</v>
      </c>
      <c r="U244" t="str">
        <f>(IF((VLOOKUP(Table6[[#This Row],[SKU]],'All Skus'!$A:$AC,2,FALSE))="JBL",(VLOOKUP(Table6[[#This Row],[SKU]],'All Skus'!$A:$AC,23,FALSE)),""))</f>
        <v>Non Compliant</v>
      </c>
      <c r="V244" s="284" t="str">
        <f>HYPERLINK((IF((VLOOKUP(Table6[[#This Row],[SKU]],'All Skus'!$A:$AC,2,FALSE))="JBL",(VLOOKUP(Table6[[#This Row],[SKU]],'All Skus'!$A:$AC,24,FALSE)),"")))</f>
        <v/>
      </c>
      <c r="W244" s="151">
        <v>242</v>
      </c>
    </row>
    <row r="245" spans="1:23" ht="15" hidden="1" customHeight="1">
      <c r="A245" s="13" t="s">
        <v>1251</v>
      </c>
      <c r="B245" s="12" t="str">
        <f>(IF((VLOOKUP(Table6[[#This Row],[SKU]],'All Skus'!$A:$AC,2,FALSE))="JBL",(VLOOKUP(Table6[[#This Row],[SKU]],'All Skus'!$A:$AC,3,FALSE)),""))</f>
        <v>Column Speaker</v>
      </c>
      <c r="C245" s="12" t="str">
        <f>(IF((VLOOKUP(Table6[[#This Row],[SKU]],'All Skus'!$A:$AC,2,FALSE))="JBL",(VLOOKUP(Table6[[#This Row],[SKU]],'All Skus'!$A:$AC,4,FALSE)),""))</f>
        <v>COL600-BK</v>
      </c>
      <c r="D245" s="61" t="str">
        <f>(IF((VLOOKUP(Table6[[#This Row],[SKU]],'All Skus'!$A:$AC,2,FALSE))="JBL",(VLOOKUP(Table6[[#This Row],[SKU]],'All Skus'!$A:$AC,5,FALSE)),""))</f>
        <v>JBL018</v>
      </c>
      <c r="E245" s="137">
        <f>(IF((VLOOKUP(Table6[[#This Row],[SKU]],'All Skus'!$A:$AC,2,FALSE))="JBL",(VLOOKUP(Table6[[#This Row],[SKU]],'All Skus'!$A:$AC,6,FALSE)),""))</f>
        <v>0</v>
      </c>
      <c r="F245" s="61">
        <f>(IF((VLOOKUP(Table6[[#This Row],[SKU]],'All Skus'!$A:$AC,2,FALSE))="JBL",(VLOOKUP(Table6[[#This Row],[SKU]],'All Skus'!$A:$AC,7,FALSE)),""))</f>
        <v>0</v>
      </c>
      <c r="G245" t="str">
        <f>(IF((VLOOKUP(Table6[[#This Row],[SKU]],'All Skus'!$A:$AC,2,FALSE))="JBL",(VLOOKUP(Table6[[#This Row],[SKU]],'All Skus'!$A:$AC,8,FALSE)),""))</f>
        <v>24" Slim Column Speaker, Blk, 1 pc</v>
      </c>
      <c r="H245" s="8" t="str">
        <f>(IF((VLOOKUP(Table6[[#This Row],[SKU]],'All Skus'!$A:$AC,2,FALSE))="JBL",(VLOOKUP(Table6[[#This Row],[SKU]],'All Skus'!$A:$AC,9,FALSE)),""))</f>
        <v>24" Slim Column Speaker, two 5" x 2¼" LF &amp; one 1" HF, 10° downward tilt aim, 160° x 110° coverage, 80W (320W peak) cont. Pink Noise power handling (2hr), 70Hz - 20kHz Frequency Range, 20W transformer with 8Ω direct, 111dB peak SPL, (2) L-brackets + swivel/tilt wall bracket included, Black (RAL9004). (Priced and sold as each)</v>
      </c>
      <c r="I245" s="101">
        <f>(IF((VLOOKUP(Table6[[#This Row],[SKU]],'All Skus'!$A:$AC,2,FALSE))="JBL",(VLOOKUP(Table6[[#This Row],[SKU]],'All Skus'!$A:$AC,10,FALSE)),""))</f>
        <v>375</v>
      </c>
      <c r="J245" s="101">
        <f>(IF((VLOOKUP(Table6[[#This Row],[SKU]],'All Skus'!$A:$AC,2,FALSE))="JBL",(VLOOKUP(Table6[[#This Row],[SKU]],'All Skus'!$A:$AC,11,FALSE)),""))</f>
        <v>300</v>
      </c>
      <c r="K245" s="102">
        <f>(IF((VLOOKUP(Table6[[#This Row],[SKU]],'All Skus'!$A:$AC,2,FALSE))="JBL",(VLOOKUP(Table6[[#This Row],[SKU]],'All Skus'!$A:$AC,13,FALSE)),""))</f>
        <v>0</v>
      </c>
      <c r="L245" s="102">
        <f>(IF((VLOOKUP(Table6[[#This Row],[SKU]],'All Skus'!$A:$AC,2,FALSE))="JBL",(VLOOKUP(Table6[[#This Row],[SKU]],'All Skus'!$A:$AC,14,FALSE)),""))</f>
        <v>0</v>
      </c>
      <c r="M245" s="143">
        <f>(IF((VLOOKUP(Table6[[#This Row],[SKU]],'All Skus'!$A:$AC,2,FALSE))="JBL",(VLOOKUP(Table6[[#This Row],[SKU]],'All Skus'!$A:$AC,15,FALSE)),""))</f>
        <v>1</v>
      </c>
      <c r="N245" s="137">
        <f>(IF((VLOOKUP(Table6[[#This Row],[SKU]],'All Skus'!$A:$AC,2,FALSE))="JBL",(VLOOKUP(Table6[[#This Row],[SKU]],'All Skus'!$A:$AC,16,FALSE)),""))</f>
        <v>691991039270</v>
      </c>
      <c r="O245" s="61">
        <f>(IF((VLOOKUP(Table6[[#This Row],[SKU]],'All Skus'!$A:$AC,2,FALSE))="JBL",(VLOOKUP(Table6[[#This Row],[SKU]],'All Skus'!$A:$AC,17,FALSE)),""))</f>
        <v>0</v>
      </c>
      <c r="P245" s="136">
        <f>(IF((VLOOKUP(Table6[[#This Row],[SKU]],'All Skus'!$A:$AC,2,FALSE))="JBL",(VLOOKUP(Table6[[#This Row],[SKU]],'All Skus'!$A:$AC,18,FALSE)),""))</f>
        <v>9.8343000000000007</v>
      </c>
      <c r="Q245" s="136">
        <f>(IF((VLOOKUP(Table6[[#This Row],[SKU]],'All Skus'!$A:$AC,2,FALSE))="JBL",(VLOOKUP(Table6[[#This Row],[SKU]],'All Skus'!$A:$AC,19,FALSE)),""))</f>
        <v>29.094488188976399</v>
      </c>
      <c r="R245" s="136">
        <f>(IF((VLOOKUP(Table6[[#This Row],[SKU]],'All Skus'!$A:$AC,2,FALSE))="JBL",(VLOOKUP(Table6[[#This Row],[SKU]],'All Skus'!$A:$AC,20,FALSE)),""))</f>
        <v>6.4173228346456703</v>
      </c>
      <c r="S245" s="61">
        <f>(IF((VLOOKUP(Table6[[#This Row],[SKU]],'All Skus'!$A:$AC,2,FALSE))="JBL",(VLOOKUP(Table6[[#This Row],[SKU]],'All Skus'!$A:$AC,21,FALSE)),""))</f>
        <v>6.8503937007874001</v>
      </c>
      <c r="T245" s="61" t="str">
        <f>(IF((VLOOKUP(Table6[[#This Row],[SKU]],'All Skus'!$A:$AC,2,FALSE))="JBL",(VLOOKUP(Table6[[#This Row],[SKU]],'All Skus'!$A:$AC,22,FALSE)),""))</f>
        <v>CN</v>
      </c>
      <c r="U245">
        <f>(IF((VLOOKUP(Table6[[#This Row],[SKU]],'All Skus'!$A:$AC,2,FALSE))="JBL",(VLOOKUP(Table6[[#This Row],[SKU]],'All Skus'!$A:$AC,23,FALSE)),""))</f>
        <v>0</v>
      </c>
      <c r="V245" s="284" t="str">
        <f>HYPERLINK((IF((VLOOKUP(Table6[[#This Row],[SKU]],'All Skus'!$A:$AC,2,FALSE))="JBL",(VLOOKUP(Table6[[#This Row],[SKU]],'All Skus'!$A:$AC,24,FALSE)),"")))</f>
        <v>https://jblpro.com/products/col600</v>
      </c>
      <c r="W245" s="151">
        <v>243</v>
      </c>
    </row>
    <row r="246" spans="1:23" ht="15" hidden="1" customHeight="1">
      <c r="A246" s="13" t="s">
        <v>1252</v>
      </c>
      <c r="B246" s="12" t="str">
        <f>(IF((VLOOKUP(Table6[[#This Row],[SKU]],'All Skus'!$A:$AC,2,FALSE))="JBL",(VLOOKUP(Table6[[#This Row],[SKU]],'All Skus'!$A:$AC,3,FALSE)),""))</f>
        <v>Column Speaker</v>
      </c>
      <c r="C246" s="12" t="str">
        <f>(IF((VLOOKUP(Table6[[#This Row],[SKU]],'All Skus'!$A:$AC,2,FALSE))="JBL",(VLOOKUP(Table6[[#This Row],[SKU]],'All Skus'!$A:$AC,4,FALSE)),""))</f>
        <v>COL600-WH</v>
      </c>
      <c r="D246" s="61" t="str">
        <f>(IF((VLOOKUP(Table6[[#This Row],[SKU]],'All Skus'!$A:$AC,2,FALSE))="JBL",(VLOOKUP(Table6[[#This Row],[SKU]],'All Skus'!$A:$AC,5,FALSE)),""))</f>
        <v>JBL018</v>
      </c>
      <c r="E246" s="137">
        <f>(IF((VLOOKUP(Table6[[#This Row],[SKU]],'All Skus'!$A:$AC,2,FALSE))="JBL",(VLOOKUP(Table6[[#This Row],[SKU]],'All Skus'!$A:$AC,6,FALSE)),""))</f>
        <v>0</v>
      </c>
      <c r="F246" s="61">
        <f>(IF((VLOOKUP(Table6[[#This Row],[SKU]],'All Skus'!$A:$AC,2,FALSE))="JBL",(VLOOKUP(Table6[[#This Row],[SKU]],'All Skus'!$A:$AC,7,FALSE)),""))</f>
        <v>0</v>
      </c>
      <c r="G246" t="str">
        <f>(IF((VLOOKUP(Table6[[#This Row],[SKU]],'All Skus'!$A:$AC,2,FALSE))="JBL",(VLOOKUP(Table6[[#This Row],[SKU]],'All Skus'!$A:$AC,8,FALSE)),""))</f>
        <v>24" Slim Column Speaker, Wht, 1 pc</v>
      </c>
      <c r="H246" s="8" t="str">
        <f>(IF((VLOOKUP(Table6[[#This Row],[SKU]],'All Skus'!$A:$AC,2,FALSE))="JBL",(VLOOKUP(Table6[[#This Row],[SKU]],'All Skus'!$A:$AC,9,FALSE)),""))</f>
        <v>24" Slim Column Speaker, two 5" x 2¼" LF &amp; one 1" HF, 10° downward tilt aim, 160° x 110° coverage, 80W (320W peak) cont. Pink Noise power handling (2hr), 70Hz - 20kHz Frequency Range, 20W transformer with 8Ω direct, 111dB peak SPL, (2) L-brackets + swivel/tilt wall bracket included, White (RAL9016). (Priced and sold as each)</v>
      </c>
      <c r="I246" s="101">
        <f>(IF((VLOOKUP(Table6[[#This Row],[SKU]],'All Skus'!$A:$AC,2,FALSE))="JBL",(VLOOKUP(Table6[[#This Row],[SKU]],'All Skus'!$A:$AC,10,FALSE)),""))</f>
        <v>375</v>
      </c>
      <c r="J246" s="101">
        <f>(IF((VLOOKUP(Table6[[#This Row],[SKU]],'All Skus'!$A:$AC,2,FALSE))="JBL",(VLOOKUP(Table6[[#This Row],[SKU]],'All Skus'!$A:$AC,11,FALSE)),""))</f>
        <v>300</v>
      </c>
      <c r="K246" s="102">
        <f>(IF((VLOOKUP(Table6[[#This Row],[SKU]],'All Skus'!$A:$AC,2,FALSE))="JBL",(VLOOKUP(Table6[[#This Row],[SKU]],'All Skus'!$A:$AC,13,FALSE)),""))</f>
        <v>0</v>
      </c>
      <c r="L246" s="102">
        <f>(IF((VLOOKUP(Table6[[#This Row],[SKU]],'All Skus'!$A:$AC,2,FALSE))="JBL",(VLOOKUP(Table6[[#This Row],[SKU]],'All Skus'!$A:$AC,14,FALSE)),""))</f>
        <v>0</v>
      </c>
      <c r="M246" s="143">
        <f>(IF((VLOOKUP(Table6[[#This Row],[SKU]],'All Skus'!$A:$AC,2,FALSE))="JBL",(VLOOKUP(Table6[[#This Row],[SKU]],'All Skus'!$A:$AC,15,FALSE)),""))</f>
        <v>1</v>
      </c>
      <c r="N246" s="137">
        <f>(IF((VLOOKUP(Table6[[#This Row],[SKU]],'All Skus'!$A:$AC,2,FALSE))="JBL",(VLOOKUP(Table6[[#This Row],[SKU]],'All Skus'!$A:$AC,16,FALSE)),""))</f>
        <v>691991039287</v>
      </c>
      <c r="O246" s="61">
        <f>(IF((VLOOKUP(Table6[[#This Row],[SKU]],'All Skus'!$A:$AC,2,FALSE))="JBL",(VLOOKUP(Table6[[#This Row],[SKU]],'All Skus'!$A:$AC,17,FALSE)),""))</f>
        <v>0</v>
      </c>
      <c r="P246" s="136">
        <f>(IF((VLOOKUP(Table6[[#This Row],[SKU]],'All Skus'!$A:$AC,2,FALSE))="JBL",(VLOOKUP(Table6[[#This Row],[SKU]],'All Skus'!$A:$AC,18,FALSE)),""))</f>
        <v>9.8343000000000007</v>
      </c>
      <c r="Q246" s="136">
        <f>(IF((VLOOKUP(Table6[[#This Row],[SKU]],'All Skus'!$A:$AC,2,FALSE))="JBL",(VLOOKUP(Table6[[#This Row],[SKU]],'All Skus'!$A:$AC,19,FALSE)),""))</f>
        <v>29.094488188976399</v>
      </c>
      <c r="R246" s="136">
        <f>(IF((VLOOKUP(Table6[[#This Row],[SKU]],'All Skus'!$A:$AC,2,FALSE))="JBL",(VLOOKUP(Table6[[#This Row],[SKU]],'All Skus'!$A:$AC,20,FALSE)),""))</f>
        <v>6.4173228346456703</v>
      </c>
      <c r="S246" s="61">
        <f>(IF((VLOOKUP(Table6[[#This Row],[SKU]],'All Skus'!$A:$AC,2,FALSE))="JBL",(VLOOKUP(Table6[[#This Row],[SKU]],'All Skus'!$A:$AC,21,FALSE)),""))</f>
        <v>6.8503937007874001</v>
      </c>
      <c r="T246" s="61" t="str">
        <f>(IF((VLOOKUP(Table6[[#This Row],[SKU]],'All Skus'!$A:$AC,2,FALSE))="JBL",(VLOOKUP(Table6[[#This Row],[SKU]],'All Skus'!$A:$AC,22,FALSE)),""))</f>
        <v>CN</v>
      </c>
      <c r="U246">
        <f>(IF((VLOOKUP(Table6[[#This Row],[SKU]],'All Skus'!$A:$AC,2,FALSE))="JBL",(VLOOKUP(Table6[[#This Row],[SKU]],'All Skus'!$A:$AC,23,FALSE)),""))</f>
        <v>0</v>
      </c>
      <c r="V246" s="284" t="str">
        <f>HYPERLINK((IF((VLOOKUP(Table6[[#This Row],[SKU]],'All Skus'!$A:$AC,2,FALSE))="JBL",(VLOOKUP(Table6[[#This Row],[SKU]],'All Skus'!$A:$AC,24,FALSE)),"")))</f>
        <v>https://jblpro.com/products/col600</v>
      </c>
      <c r="W246" s="151">
        <v>244</v>
      </c>
    </row>
    <row r="247" spans="1:23" ht="15" hidden="1" customHeight="1">
      <c r="A247" s="13" t="s">
        <v>1253</v>
      </c>
      <c r="B247" s="12" t="str">
        <f>(IF((VLOOKUP(Table6[[#This Row],[SKU]],'All Skus'!$A:$AC,2,FALSE))="JBL",(VLOOKUP(Table6[[#This Row],[SKU]],'All Skus'!$A:$AC,3,FALSE)),""))</f>
        <v>Column Speaker</v>
      </c>
      <c r="C247" s="12" t="str">
        <f>(IF((VLOOKUP(Table6[[#This Row],[SKU]],'All Skus'!$A:$AC,2,FALSE))="JBL",(VLOOKUP(Table6[[#This Row],[SKU]],'All Skus'!$A:$AC,4,FALSE)),""))</f>
        <v>COL800-BK</v>
      </c>
      <c r="D247" s="61" t="str">
        <f>(IF((VLOOKUP(Table6[[#This Row],[SKU]],'All Skus'!$A:$AC,2,FALSE))="JBL",(VLOOKUP(Table6[[#This Row],[SKU]],'All Skus'!$A:$AC,5,FALSE)),""))</f>
        <v>JBL018</v>
      </c>
      <c r="E247" s="137">
        <f>(IF((VLOOKUP(Table6[[#This Row],[SKU]],'All Skus'!$A:$AC,2,FALSE))="JBL",(VLOOKUP(Table6[[#This Row],[SKU]],'All Skus'!$A:$AC,6,FALSE)),""))</f>
        <v>0</v>
      </c>
      <c r="F247" s="61">
        <f>(IF((VLOOKUP(Table6[[#This Row],[SKU]],'All Skus'!$A:$AC,2,FALSE))="JBL",(VLOOKUP(Table6[[#This Row],[SKU]],'All Skus'!$A:$AC,7,FALSE)),""))</f>
        <v>0</v>
      </c>
      <c r="G247" t="str">
        <f>(IF((VLOOKUP(Table6[[#This Row],[SKU]],'All Skus'!$A:$AC,2,FALSE))="JBL",(VLOOKUP(Table6[[#This Row],[SKU]],'All Skus'!$A:$AC,8,FALSE)),""))</f>
        <v>32" Slim Column Speaker, Blk, 1 pc</v>
      </c>
      <c r="H247" s="8" t="str">
        <f>(IF((VLOOKUP(Table6[[#This Row],[SKU]],'All Skus'!$A:$AC,2,FALSE))="JBL",(VLOOKUP(Table6[[#This Row],[SKU]],'All Skus'!$A:$AC,9,FALSE)),""))</f>
        <v>32" Slim Column Speaker, four 5" x 2¼" LF &amp; two 0.8" HF, 10° downward tilt aim, 160° x 60° coverage, 150W (600W peak) cont. Pink Noise power handling (2hr), 85Hz - 20kHz Frequency Range, 60W transformer with 8Ω direct, 116dB peak SPL, (2) L-brackets + swivel/tilt wall bracket included. Black (RAL9004). (Priced and sold as each)</v>
      </c>
      <c r="I247" s="101">
        <f>(IF((VLOOKUP(Table6[[#This Row],[SKU]],'All Skus'!$A:$AC,2,FALSE))="JBL",(VLOOKUP(Table6[[#This Row],[SKU]],'All Skus'!$A:$AC,10,FALSE)),""))</f>
        <v>625</v>
      </c>
      <c r="J247" s="101">
        <f>(IF((VLOOKUP(Table6[[#This Row],[SKU]],'All Skus'!$A:$AC,2,FALSE))="JBL",(VLOOKUP(Table6[[#This Row],[SKU]],'All Skus'!$A:$AC,11,FALSE)),""))</f>
        <v>500</v>
      </c>
      <c r="K247" s="102">
        <f>(IF((VLOOKUP(Table6[[#This Row],[SKU]],'All Skus'!$A:$AC,2,FALSE))="JBL",(VLOOKUP(Table6[[#This Row],[SKU]],'All Skus'!$A:$AC,13,FALSE)),""))</f>
        <v>0</v>
      </c>
      <c r="L247" s="102">
        <f>(IF((VLOOKUP(Table6[[#This Row],[SKU]],'All Skus'!$A:$AC,2,FALSE))="JBL",(VLOOKUP(Table6[[#This Row],[SKU]],'All Skus'!$A:$AC,14,FALSE)),""))</f>
        <v>0</v>
      </c>
      <c r="M247" s="143">
        <f>(IF((VLOOKUP(Table6[[#This Row],[SKU]],'All Skus'!$A:$AC,2,FALSE))="JBL",(VLOOKUP(Table6[[#This Row],[SKU]],'All Skus'!$A:$AC,15,FALSE)),""))</f>
        <v>1</v>
      </c>
      <c r="N247" s="137">
        <f>(IF((VLOOKUP(Table6[[#This Row],[SKU]],'All Skus'!$A:$AC,2,FALSE))="JBL",(VLOOKUP(Table6[[#This Row],[SKU]],'All Skus'!$A:$AC,16,FALSE)),""))</f>
        <v>691991039263</v>
      </c>
      <c r="O247" s="61">
        <f>(IF((VLOOKUP(Table6[[#This Row],[SKU]],'All Skus'!$A:$AC,2,FALSE))="JBL",(VLOOKUP(Table6[[#This Row],[SKU]],'All Skus'!$A:$AC,17,FALSE)),""))</f>
        <v>0</v>
      </c>
      <c r="P247" s="136">
        <f>(IF((VLOOKUP(Table6[[#This Row],[SKU]],'All Skus'!$A:$AC,2,FALSE))="JBL",(VLOOKUP(Table6[[#This Row],[SKU]],'All Skus'!$A:$AC,18,FALSE)),""))</f>
        <v>13.935600000000001</v>
      </c>
      <c r="Q247" s="136">
        <f>(IF((VLOOKUP(Table6[[#This Row],[SKU]],'All Skus'!$A:$AC,2,FALSE))="JBL",(VLOOKUP(Table6[[#This Row],[SKU]],'All Skus'!$A:$AC,19,FALSE)),""))</f>
        <v>37.086614173228298</v>
      </c>
      <c r="R247" s="136">
        <f>(IF((VLOOKUP(Table6[[#This Row],[SKU]],'All Skus'!$A:$AC,2,FALSE))="JBL",(VLOOKUP(Table6[[#This Row],[SKU]],'All Skus'!$A:$AC,20,FALSE)),""))</f>
        <v>6.4173228346456703</v>
      </c>
      <c r="S247" s="61">
        <f>(IF((VLOOKUP(Table6[[#This Row],[SKU]],'All Skus'!$A:$AC,2,FALSE))="JBL",(VLOOKUP(Table6[[#This Row],[SKU]],'All Skus'!$A:$AC,21,FALSE)),""))</f>
        <v>6.8503937007874001</v>
      </c>
      <c r="T247" s="61" t="str">
        <f>(IF((VLOOKUP(Table6[[#This Row],[SKU]],'All Skus'!$A:$AC,2,FALSE))="JBL",(VLOOKUP(Table6[[#This Row],[SKU]],'All Skus'!$A:$AC,22,FALSE)),""))</f>
        <v>CN</v>
      </c>
      <c r="U247">
        <f>(IF((VLOOKUP(Table6[[#This Row],[SKU]],'All Skus'!$A:$AC,2,FALSE))="JBL",(VLOOKUP(Table6[[#This Row],[SKU]],'All Skus'!$A:$AC,23,FALSE)),""))</f>
        <v>0</v>
      </c>
      <c r="V247" s="284" t="str">
        <f>HYPERLINK((IF((VLOOKUP(Table6[[#This Row],[SKU]],'All Skus'!$A:$AC,2,FALSE))="JBL",(VLOOKUP(Table6[[#This Row],[SKU]],'All Skus'!$A:$AC,24,FALSE)),"")))</f>
        <v>Https://jblpro.com/products/col800</v>
      </c>
      <c r="W247" s="151">
        <v>245</v>
      </c>
    </row>
    <row r="248" spans="1:23" ht="15" hidden="1" customHeight="1">
      <c r="A248" s="13" t="s">
        <v>1254</v>
      </c>
      <c r="B248" s="12" t="str">
        <f>(IF((VLOOKUP(Table6[[#This Row],[SKU]],'All Skus'!$A:$AC,2,FALSE))="JBL",(VLOOKUP(Table6[[#This Row],[SKU]],'All Skus'!$A:$AC,3,FALSE)),""))</f>
        <v>Column Speaker</v>
      </c>
      <c r="C248" s="12" t="str">
        <f>(IF((VLOOKUP(Table6[[#This Row],[SKU]],'All Skus'!$A:$AC,2,FALSE))="JBL",(VLOOKUP(Table6[[#This Row],[SKU]],'All Skus'!$A:$AC,4,FALSE)),""))</f>
        <v>COL600-WH</v>
      </c>
      <c r="D248" s="61" t="str">
        <f>(IF((VLOOKUP(Table6[[#This Row],[SKU]],'All Skus'!$A:$AC,2,FALSE))="JBL",(VLOOKUP(Table6[[#This Row],[SKU]],'All Skus'!$A:$AC,5,FALSE)),""))</f>
        <v>JBL018</v>
      </c>
      <c r="E248" s="137">
        <f>(IF((VLOOKUP(Table6[[#This Row],[SKU]],'All Skus'!$A:$AC,2,FALSE))="JBL",(VLOOKUP(Table6[[#This Row],[SKU]],'All Skus'!$A:$AC,6,FALSE)),""))</f>
        <v>0</v>
      </c>
      <c r="F248" s="61">
        <f>(IF((VLOOKUP(Table6[[#This Row],[SKU]],'All Skus'!$A:$AC,2,FALSE))="JBL",(VLOOKUP(Table6[[#This Row],[SKU]],'All Skus'!$A:$AC,7,FALSE)),""))</f>
        <v>0</v>
      </c>
      <c r="G248" t="str">
        <f>(IF((VLOOKUP(Table6[[#This Row],[SKU]],'All Skus'!$A:$AC,2,FALSE))="JBL",(VLOOKUP(Table6[[#This Row],[SKU]],'All Skus'!$A:$AC,8,FALSE)),""))</f>
        <v>32" Slim Column Speaker, Wht, 1pc</v>
      </c>
      <c r="H248" s="8" t="str">
        <f>(IF((VLOOKUP(Table6[[#This Row],[SKU]],'All Skus'!$A:$AC,2,FALSE))="JBL",(VLOOKUP(Table6[[#This Row],[SKU]],'All Skus'!$A:$AC,9,FALSE)),""))</f>
        <v>32" Slim Column Speaker, four 5" x 2¼" LF &amp; two 0.8" HF, 10° downward tilt aim, 160° x 60° coverage, 150W (600W peak) cont. Pink Noise power handling (2hr), 85Hz - 20kHz Frequency Range, 60W transformer with 8Ω direct, 116dB peak SPL, (2) L-brackets + swivel/tilt wall bracket included. White (RAL9016). (Priced and sold as each)</v>
      </c>
      <c r="I248" s="101">
        <f>(IF((VLOOKUP(Table6[[#This Row],[SKU]],'All Skus'!$A:$AC,2,FALSE))="JBL",(VLOOKUP(Table6[[#This Row],[SKU]],'All Skus'!$A:$AC,10,FALSE)),""))</f>
        <v>625</v>
      </c>
      <c r="J248" s="101">
        <f>(IF((VLOOKUP(Table6[[#This Row],[SKU]],'All Skus'!$A:$AC,2,FALSE))="JBL",(VLOOKUP(Table6[[#This Row],[SKU]],'All Skus'!$A:$AC,11,FALSE)),""))</f>
        <v>500</v>
      </c>
      <c r="K248" s="102">
        <f>(IF((VLOOKUP(Table6[[#This Row],[SKU]],'All Skus'!$A:$AC,2,FALSE))="JBL",(VLOOKUP(Table6[[#This Row],[SKU]],'All Skus'!$A:$AC,13,FALSE)),""))</f>
        <v>0</v>
      </c>
      <c r="L248" s="102">
        <f>(IF((VLOOKUP(Table6[[#This Row],[SKU]],'All Skus'!$A:$AC,2,FALSE))="JBL",(VLOOKUP(Table6[[#This Row],[SKU]],'All Skus'!$A:$AC,14,FALSE)),""))</f>
        <v>0</v>
      </c>
      <c r="M248" s="143">
        <f>(IF((VLOOKUP(Table6[[#This Row],[SKU]],'All Skus'!$A:$AC,2,FALSE))="JBL",(VLOOKUP(Table6[[#This Row],[SKU]],'All Skus'!$A:$AC,15,FALSE)),""))</f>
        <v>1</v>
      </c>
      <c r="N248" s="137">
        <f>(IF((VLOOKUP(Table6[[#This Row],[SKU]],'All Skus'!$A:$AC,2,FALSE))="JBL",(VLOOKUP(Table6[[#This Row],[SKU]],'All Skus'!$A:$AC,16,FALSE)),""))</f>
        <v>691991039294</v>
      </c>
      <c r="O248" s="61">
        <f>(IF((VLOOKUP(Table6[[#This Row],[SKU]],'All Skus'!$A:$AC,2,FALSE))="JBL",(VLOOKUP(Table6[[#This Row],[SKU]],'All Skus'!$A:$AC,17,FALSE)),""))</f>
        <v>0</v>
      </c>
      <c r="P248" s="136">
        <f>(IF((VLOOKUP(Table6[[#This Row],[SKU]],'All Skus'!$A:$AC,2,FALSE))="JBL",(VLOOKUP(Table6[[#This Row],[SKU]],'All Skus'!$A:$AC,18,FALSE)),""))</f>
        <v>13.935600000000001</v>
      </c>
      <c r="Q248" s="136">
        <f>(IF((VLOOKUP(Table6[[#This Row],[SKU]],'All Skus'!$A:$AC,2,FALSE))="JBL",(VLOOKUP(Table6[[#This Row],[SKU]],'All Skus'!$A:$AC,19,FALSE)),""))</f>
        <v>37.086614173228298</v>
      </c>
      <c r="R248" s="136">
        <f>(IF((VLOOKUP(Table6[[#This Row],[SKU]],'All Skus'!$A:$AC,2,FALSE))="JBL",(VLOOKUP(Table6[[#This Row],[SKU]],'All Skus'!$A:$AC,20,FALSE)),""))</f>
        <v>6.4173228346456703</v>
      </c>
      <c r="S248" s="61">
        <f>(IF((VLOOKUP(Table6[[#This Row],[SKU]],'All Skus'!$A:$AC,2,FALSE))="JBL",(VLOOKUP(Table6[[#This Row],[SKU]],'All Skus'!$A:$AC,21,FALSE)),""))</f>
        <v>6.8503937007874001</v>
      </c>
      <c r="T248" s="61" t="str">
        <f>(IF((VLOOKUP(Table6[[#This Row],[SKU]],'All Skus'!$A:$AC,2,FALSE))="JBL",(VLOOKUP(Table6[[#This Row],[SKU]],'All Skus'!$A:$AC,22,FALSE)),""))</f>
        <v>CN</v>
      </c>
      <c r="U248">
        <f>(IF((VLOOKUP(Table6[[#This Row],[SKU]],'All Skus'!$A:$AC,2,FALSE))="JBL",(VLOOKUP(Table6[[#This Row],[SKU]],'All Skus'!$A:$AC,23,FALSE)),""))</f>
        <v>0</v>
      </c>
      <c r="V248" s="284" t="str">
        <f>HYPERLINK((IF((VLOOKUP(Table6[[#This Row],[SKU]],'All Skus'!$A:$AC,2,FALSE))="JBL",(VLOOKUP(Table6[[#This Row],[SKU]],'All Skus'!$A:$AC,24,FALSE)),"")))</f>
        <v>Https://jblpro.com/products/col800</v>
      </c>
      <c r="W248" s="151">
        <v>246</v>
      </c>
    </row>
    <row r="249" spans="1:23" ht="15" hidden="1" customHeight="1">
      <c r="A249" s="13" t="s">
        <v>1255</v>
      </c>
      <c r="B249" s="12" t="str">
        <f>(IF((VLOOKUP(Table6[[#This Row],[SKU]],'All Skus'!$A:$AC,2,FALSE))="JBL",(VLOOKUP(Table6[[#This Row],[SKU]],'All Skus'!$A:$AC,3,FALSE)),""))</f>
        <v>Column Speaker</v>
      </c>
      <c r="C249" s="12" t="str">
        <f>(IF((VLOOKUP(Table6[[#This Row],[SKU]],'All Skus'!$A:$AC,2,FALSE))="JBL",(VLOOKUP(Table6[[#This Row],[SKU]],'All Skus'!$A:$AC,4,FALSE)),""))</f>
        <v>CBT 50LA-1</v>
      </c>
      <c r="D249" s="61" t="str">
        <f>(IF((VLOOKUP(Table6[[#This Row],[SKU]],'All Skus'!$A:$AC,2,FALSE))="JBL",(VLOOKUP(Table6[[#This Row],[SKU]],'All Skus'!$A:$AC,5,FALSE)),""))</f>
        <v>JBL018</v>
      </c>
      <c r="E249" s="137">
        <f>(IF((VLOOKUP(Table6[[#This Row],[SKU]],'All Skus'!$A:$AC,2,FALSE))="JBL",(VLOOKUP(Table6[[#This Row],[SKU]],'All Skus'!$A:$AC,6,FALSE)),""))</f>
        <v>0</v>
      </c>
      <c r="F249" s="61">
        <f>(IF((VLOOKUP(Table6[[#This Row],[SKU]],'All Skus'!$A:$AC,2,FALSE))="JBL",(VLOOKUP(Table6[[#This Row],[SKU]],'All Skus'!$A:$AC,7,FALSE)),""))</f>
        <v>0</v>
      </c>
      <c r="G249" t="str">
        <f>(IF((VLOOKUP(Table6[[#This Row],[SKU]],'All Skus'!$A:$AC,2,FALSE))="JBL",(VLOOKUP(Table6[[#This Row],[SKU]],'All Skus'!$A:$AC,8,FALSE)),""))</f>
        <v>Compact line array column, 100 cm tall, 16 2"</v>
      </c>
      <c r="H249" s="8" t="str">
        <f>(IF((VLOOKUP(Table6[[#This Row],[SKU]],'All Skus'!$A:$AC,2,FALSE))="JBL",(VLOOKUP(Table6[[#This Row],[SKU]],'All Skus'!$A:$AC,9,FALSE)),""))</f>
        <v>50 cm Straight Line Array Column with 8 x 2” Drivers and Constant Beamwidth Technology, 20° vertical coverage, music (flat)/speech switch,  60W multi-tap transformer or 8 ohms, 80 Hz – 20 kHz, 150W cont pink (600W peak), wall bracket included.  (priced and sold individually)</v>
      </c>
      <c r="I249" s="101">
        <f>(IF((VLOOKUP(Table6[[#This Row],[SKU]],'All Skus'!$A:$AC,2,FALSE))="JBL",(VLOOKUP(Table6[[#This Row],[SKU]],'All Skus'!$A:$AC,10,FALSE)),""))</f>
        <v>623.96</v>
      </c>
      <c r="J249" s="101">
        <f>(IF((VLOOKUP(Table6[[#This Row],[SKU]],'All Skus'!$A:$AC,2,FALSE))="JBL",(VLOOKUP(Table6[[#This Row],[SKU]],'All Skus'!$A:$AC,11,FALSE)),""))</f>
        <v>500</v>
      </c>
      <c r="K249" s="102">
        <f>(IF((VLOOKUP(Table6[[#This Row],[SKU]],'All Skus'!$A:$AC,2,FALSE))="JBL",(VLOOKUP(Table6[[#This Row],[SKU]],'All Skus'!$A:$AC,13,FALSE)),""))</f>
        <v>0</v>
      </c>
      <c r="L249" s="102">
        <f>(IF((VLOOKUP(Table6[[#This Row],[SKU]],'All Skus'!$A:$AC,2,FALSE))="JBL",(VLOOKUP(Table6[[#This Row],[SKU]],'All Skus'!$A:$AC,14,FALSE)),""))</f>
        <v>0</v>
      </c>
      <c r="M249" s="143">
        <f>(IF((VLOOKUP(Table6[[#This Row],[SKU]],'All Skus'!$A:$AC,2,FALSE))="JBL",(VLOOKUP(Table6[[#This Row],[SKU]],'All Skus'!$A:$AC,15,FALSE)),""))</f>
        <v>0</v>
      </c>
      <c r="N249" s="137">
        <f>(IF((VLOOKUP(Table6[[#This Row],[SKU]],'All Skus'!$A:$AC,2,FALSE))="JBL",(VLOOKUP(Table6[[#This Row],[SKU]],'All Skus'!$A:$AC,16,FALSE)),""))</f>
        <v>50036904254</v>
      </c>
      <c r="O249" s="61">
        <f>(IF((VLOOKUP(Table6[[#This Row],[SKU]],'All Skus'!$A:$AC,2,FALSE))="JBL",(VLOOKUP(Table6[[#This Row],[SKU]],'All Skus'!$A:$AC,17,FALSE)),""))</f>
        <v>0</v>
      </c>
      <c r="P249" s="136">
        <f>(IF((VLOOKUP(Table6[[#This Row],[SKU]],'All Skus'!$A:$AC,2,FALSE))="JBL",(VLOOKUP(Table6[[#This Row],[SKU]],'All Skus'!$A:$AC,18,FALSE)),""))</f>
        <v>17</v>
      </c>
      <c r="Q249" s="136">
        <f>(IF((VLOOKUP(Table6[[#This Row],[SKU]],'All Skus'!$A:$AC,2,FALSE))="JBL",(VLOOKUP(Table6[[#This Row],[SKU]],'All Skus'!$A:$AC,19,FALSE)),""))</f>
        <v>30</v>
      </c>
      <c r="R249" s="136">
        <f>(IF((VLOOKUP(Table6[[#This Row],[SKU]],'All Skus'!$A:$AC,2,FALSE))="JBL",(VLOOKUP(Table6[[#This Row],[SKU]],'All Skus'!$A:$AC,20,FALSE)),""))</f>
        <v>12.5</v>
      </c>
      <c r="S249" s="61">
        <f>(IF((VLOOKUP(Table6[[#This Row],[SKU]],'All Skus'!$A:$AC,2,FALSE))="JBL",(VLOOKUP(Table6[[#This Row],[SKU]],'All Skus'!$A:$AC,21,FALSE)),""))</f>
        <v>8</v>
      </c>
      <c r="T249" s="61" t="str">
        <f>(IF((VLOOKUP(Table6[[#This Row],[SKU]],'All Skus'!$A:$AC,2,FALSE))="JBL",(VLOOKUP(Table6[[#This Row],[SKU]],'All Skus'!$A:$AC,22,FALSE)),""))</f>
        <v>CN</v>
      </c>
      <c r="U249" t="str">
        <f>(IF((VLOOKUP(Table6[[#This Row],[SKU]],'All Skus'!$A:$AC,2,FALSE))="JBL",(VLOOKUP(Table6[[#This Row],[SKU]],'All Skus'!$A:$AC,23,FALSE)),""))</f>
        <v>Non Compliant</v>
      </c>
      <c r="V249" s="284" t="str">
        <f>HYPERLINK((IF((VLOOKUP(Table6[[#This Row],[SKU]],'All Skus'!$A:$AC,2,FALSE))="JBL",(VLOOKUP(Table6[[#This Row],[SKU]],'All Skus'!$A:$AC,24,FALSE)),"")))</f>
        <v xml:space="preserve">http://www.jblpro.com/www/products/installed-sound/cbt-series/cbt50la-1 </v>
      </c>
      <c r="W249" s="151">
        <v>247</v>
      </c>
    </row>
    <row r="250" spans="1:23" ht="15" hidden="1" customHeight="1">
      <c r="A250" s="13" t="s">
        <v>1256</v>
      </c>
      <c r="B250" s="12" t="str">
        <f>(IF((VLOOKUP(Table6[[#This Row],[SKU]],'All Skus'!$A:$AC,2,FALSE))="JBL",(VLOOKUP(Table6[[#This Row],[SKU]],'All Skus'!$A:$AC,3,FALSE)),""))</f>
        <v>Column Speaker</v>
      </c>
      <c r="C250" s="12" t="str">
        <f>(IF((VLOOKUP(Table6[[#This Row],[SKU]],'All Skus'!$A:$AC,2,FALSE))="JBL",(VLOOKUP(Table6[[#This Row],[SKU]],'All Skus'!$A:$AC,4,FALSE)),""))</f>
        <v>CBT 100LA-1</v>
      </c>
      <c r="D250" s="61" t="str">
        <f>(IF((VLOOKUP(Table6[[#This Row],[SKU]],'All Skus'!$A:$AC,2,FALSE))="JBL",(VLOOKUP(Table6[[#This Row],[SKU]],'All Skus'!$A:$AC,5,FALSE)),""))</f>
        <v>JBL018</v>
      </c>
      <c r="E250" s="137">
        <f>(IF((VLOOKUP(Table6[[#This Row],[SKU]],'All Skus'!$A:$AC,2,FALSE))="JBL",(VLOOKUP(Table6[[#This Row],[SKU]],'All Skus'!$A:$AC,6,FALSE)),""))</f>
        <v>0</v>
      </c>
      <c r="F250" s="61">
        <f>(IF((VLOOKUP(Table6[[#This Row],[SKU]],'All Skus'!$A:$AC,2,FALSE))="JBL",(VLOOKUP(Table6[[#This Row],[SKU]],'All Skus'!$A:$AC,7,FALSE)),""))</f>
        <v>0</v>
      </c>
      <c r="G250" t="str">
        <f>(IF((VLOOKUP(Table6[[#This Row],[SKU]],'All Skus'!$A:$AC,2,FALSE))="JBL",(VLOOKUP(Table6[[#This Row],[SKU]],'All Skus'!$A:$AC,8,FALSE)),""))</f>
        <v>Line array column, 100 cm tall, 16 2"</v>
      </c>
      <c r="H250" s="8" t="str">
        <f>(IF((VLOOKUP(Table6[[#This Row],[SKU]],'All Skus'!$A:$AC,2,FALSE))="JBL",(VLOOKUP(Table6[[#This Row],[SKU]],'All Skus'!$A:$AC,9,FALSE)),""))</f>
        <v>Straight Line Array Column with 16 x 2” Drivers and Constant Beamwidth Technology. Switchable 40° or 15° vertical coverage, music (flat)/speech switch, 100W multi-tap transformer or 8 ohms, 80 Hz – 20 kHz, 325W continuous pink noise, 100 cm tall (priced and sold individually) .</v>
      </c>
      <c r="I250" s="101">
        <f>(IF((VLOOKUP(Table6[[#This Row],[SKU]],'All Skus'!$A:$AC,2,FALSE))="JBL",(VLOOKUP(Table6[[#This Row],[SKU]],'All Skus'!$A:$AC,10,FALSE)),""))</f>
        <v>1136.72</v>
      </c>
      <c r="J250" s="101">
        <f>(IF((VLOOKUP(Table6[[#This Row],[SKU]],'All Skus'!$A:$AC,2,FALSE))="JBL",(VLOOKUP(Table6[[#This Row],[SKU]],'All Skus'!$A:$AC,11,FALSE)),""))</f>
        <v>912</v>
      </c>
      <c r="K250" s="102">
        <f>(IF((VLOOKUP(Table6[[#This Row],[SKU]],'All Skus'!$A:$AC,2,FALSE))="JBL",(VLOOKUP(Table6[[#This Row],[SKU]],'All Skus'!$A:$AC,13,FALSE)),""))</f>
        <v>0</v>
      </c>
      <c r="L250" s="102">
        <f>(IF((VLOOKUP(Table6[[#This Row],[SKU]],'All Skus'!$A:$AC,2,FALSE))="JBL",(VLOOKUP(Table6[[#This Row],[SKU]],'All Skus'!$A:$AC,14,FALSE)),""))</f>
        <v>0</v>
      </c>
      <c r="M250" s="143">
        <f>(IF((VLOOKUP(Table6[[#This Row],[SKU]],'All Skus'!$A:$AC,2,FALSE))="JBL",(VLOOKUP(Table6[[#This Row],[SKU]],'All Skus'!$A:$AC,15,FALSE)),""))</f>
        <v>0</v>
      </c>
      <c r="N250" s="137">
        <f>(IF((VLOOKUP(Table6[[#This Row],[SKU]],'All Skus'!$A:$AC,2,FALSE))="JBL",(VLOOKUP(Table6[[#This Row],[SKU]],'All Skus'!$A:$AC,16,FALSE)),""))</f>
        <v>50036904278</v>
      </c>
      <c r="O250" s="61">
        <f>(IF((VLOOKUP(Table6[[#This Row],[SKU]],'All Skus'!$A:$AC,2,FALSE))="JBL",(VLOOKUP(Table6[[#This Row],[SKU]],'All Skus'!$A:$AC,17,FALSE)),""))</f>
        <v>0</v>
      </c>
      <c r="P250" s="136">
        <f>(IF((VLOOKUP(Table6[[#This Row],[SKU]],'All Skus'!$A:$AC,2,FALSE))="JBL",(VLOOKUP(Table6[[#This Row],[SKU]],'All Skus'!$A:$AC,18,FALSE)),""))</f>
        <v>25.6</v>
      </c>
      <c r="Q250" s="136">
        <f>(IF((VLOOKUP(Table6[[#This Row],[SKU]],'All Skus'!$A:$AC,2,FALSE))="JBL",(VLOOKUP(Table6[[#This Row],[SKU]],'All Skus'!$A:$AC,19,FALSE)),""))</f>
        <v>49</v>
      </c>
      <c r="R250" s="136">
        <f>(IF((VLOOKUP(Table6[[#This Row],[SKU]],'All Skus'!$A:$AC,2,FALSE))="JBL",(VLOOKUP(Table6[[#This Row],[SKU]],'All Skus'!$A:$AC,20,FALSE)),""))</f>
        <v>13</v>
      </c>
      <c r="S250" s="61">
        <f>(IF((VLOOKUP(Table6[[#This Row],[SKU]],'All Skus'!$A:$AC,2,FALSE))="JBL",(VLOOKUP(Table6[[#This Row],[SKU]],'All Skus'!$A:$AC,21,FALSE)),""))</f>
        <v>8</v>
      </c>
      <c r="T250" s="61" t="str">
        <f>(IF((VLOOKUP(Table6[[#This Row],[SKU]],'All Skus'!$A:$AC,2,FALSE))="JBL",(VLOOKUP(Table6[[#This Row],[SKU]],'All Skus'!$A:$AC,22,FALSE)),""))</f>
        <v>CN</v>
      </c>
      <c r="U250" t="str">
        <f>(IF((VLOOKUP(Table6[[#This Row],[SKU]],'All Skus'!$A:$AC,2,FALSE))="JBL",(VLOOKUP(Table6[[#This Row],[SKU]],'All Skus'!$A:$AC,23,FALSE)),""))</f>
        <v>Non Compliant</v>
      </c>
      <c r="V250" s="284" t="str">
        <f>HYPERLINK((IF((VLOOKUP(Table6[[#This Row],[SKU]],'All Skus'!$A:$AC,2,FALSE))="JBL",(VLOOKUP(Table6[[#This Row],[SKU]],'All Skus'!$A:$AC,24,FALSE)),"")))</f>
        <v xml:space="preserve">http://www.jblpro.com/www/products/installed-sound/cbt-series/cbt100la-1 </v>
      </c>
      <c r="W250" s="151">
        <v>248</v>
      </c>
    </row>
    <row r="251" spans="1:23" ht="15" hidden="1" customHeight="1">
      <c r="A251" s="13" t="s">
        <v>1257</v>
      </c>
      <c r="B251" s="12" t="str">
        <f>(IF((VLOOKUP(Table6[[#This Row],[SKU]],'All Skus'!$A:$AC,2,FALSE))="JBL",(VLOOKUP(Table6[[#This Row],[SKU]],'All Skus'!$A:$AC,3,FALSE)),""))</f>
        <v>Column Speaker</v>
      </c>
      <c r="C251" s="12" t="str">
        <f>(IF((VLOOKUP(Table6[[#This Row],[SKU]],'All Skus'!$A:$AC,2,FALSE))="JBL",(VLOOKUP(Table6[[#This Row],[SKU]],'All Skus'!$A:$AC,4,FALSE)),""))</f>
        <v>CBT 50LA-1-WH</v>
      </c>
      <c r="D251" s="61" t="str">
        <f>(IF((VLOOKUP(Table6[[#This Row],[SKU]],'All Skus'!$A:$AC,2,FALSE))="JBL",(VLOOKUP(Table6[[#This Row],[SKU]],'All Skus'!$A:$AC,5,FALSE)),""))</f>
        <v>JBL018</v>
      </c>
      <c r="E251" s="137">
        <f>(IF((VLOOKUP(Table6[[#This Row],[SKU]],'All Skus'!$A:$AC,2,FALSE))="JBL",(VLOOKUP(Table6[[#This Row],[SKU]],'All Skus'!$A:$AC,6,FALSE)),""))</f>
        <v>0</v>
      </c>
      <c r="F251" s="61">
        <f>(IF((VLOOKUP(Table6[[#This Row],[SKU]],'All Skus'!$A:$AC,2,FALSE))="JBL",(VLOOKUP(Table6[[#This Row],[SKU]],'All Skus'!$A:$AC,7,FALSE)),""))</f>
        <v>0</v>
      </c>
      <c r="G251" t="str">
        <f>(IF((VLOOKUP(Table6[[#This Row],[SKU]],'All Skus'!$A:$AC,2,FALSE))="JBL",(VLOOKUP(Table6[[#This Row],[SKU]],'All Skus'!$A:$AC,8,FALSE)),""))</f>
        <v>Compact line array column, 100 cm tall, 16 2"</v>
      </c>
      <c r="H251" s="8" t="str">
        <f>(IF((VLOOKUP(Table6[[#This Row],[SKU]],'All Skus'!$A:$AC,2,FALSE))="JBL",(VLOOKUP(Table6[[#This Row],[SKU]],'All Skus'!$A:$AC,9,FALSE)),""))</f>
        <v>50 cm Straight Line Array Column with 8 x 2” Drivers and Constant Beamwidth Technology, 20° vertical coverage, music (flat)/speech switch,  60W multi-tap transformer or 8 ohms, 80 Hz – 20 kHz, 150W cont pink (600W peak), wall bracket included.  (priced and sold individually)</v>
      </c>
      <c r="I251" s="101">
        <f>(IF((VLOOKUP(Table6[[#This Row],[SKU]],'All Skus'!$A:$AC,2,FALSE))="JBL",(VLOOKUP(Table6[[#This Row],[SKU]],'All Skus'!$A:$AC,10,FALSE)),""))</f>
        <v>623.96</v>
      </c>
      <c r="J251" s="101">
        <f>(IF((VLOOKUP(Table6[[#This Row],[SKU]],'All Skus'!$A:$AC,2,FALSE))="JBL",(VLOOKUP(Table6[[#This Row],[SKU]],'All Skus'!$A:$AC,11,FALSE)),""))</f>
        <v>500</v>
      </c>
      <c r="K251" s="102">
        <f>(IF((VLOOKUP(Table6[[#This Row],[SKU]],'All Skus'!$A:$AC,2,FALSE))="JBL",(VLOOKUP(Table6[[#This Row],[SKU]],'All Skus'!$A:$AC,13,FALSE)),""))</f>
        <v>0</v>
      </c>
      <c r="L251" s="102">
        <f>(IF((VLOOKUP(Table6[[#This Row],[SKU]],'All Skus'!$A:$AC,2,FALSE))="JBL",(VLOOKUP(Table6[[#This Row],[SKU]],'All Skus'!$A:$AC,14,FALSE)),""))</f>
        <v>0</v>
      </c>
      <c r="M251" s="143">
        <f>(IF((VLOOKUP(Table6[[#This Row],[SKU]],'All Skus'!$A:$AC,2,FALSE))="JBL",(VLOOKUP(Table6[[#This Row],[SKU]],'All Skus'!$A:$AC,15,FALSE)),""))</f>
        <v>0</v>
      </c>
      <c r="N251" s="137">
        <f>(IF((VLOOKUP(Table6[[#This Row],[SKU]],'All Skus'!$A:$AC,2,FALSE))="JBL",(VLOOKUP(Table6[[#This Row],[SKU]],'All Skus'!$A:$AC,16,FALSE)),""))</f>
        <v>50036904261</v>
      </c>
      <c r="O251" s="61">
        <f>(IF((VLOOKUP(Table6[[#This Row],[SKU]],'All Skus'!$A:$AC,2,FALSE))="JBL",(VLOOKUP(Table6[[#This Row],[SKU]],'All Skus'!$A:$AC,17,FALSE)),""))</f>
        <v>0</v>
      </c>
      <c r="P251" s="136">
        <f>(IF((VLOOKUP(Table6[[#This Row],[SKU]],'All Skus'!$A:$AC,2,FALSE))="JBL",(VLOOKUP(Table6[[#This Row],[SKU]],'All Skus'!$A:$AC,18,FALSE)),""))</f>
        <v>17</v>
      </c>
      <c r="Q251" s="136">
        <f>(IF((VLOOKUP(Table6[[#This Row],[SKU]],'All Skus'!$A:$AC,2,FALSE))="JBL",(VLOOKUP(Table6[[#This Row],[SKU]],'All Skus'!$A:$AC,19,FALSE)),""))</f>
        <v>30</v>
      </c>
      <c r="R251" s="136">
        <f>(IF((VLOOKUP(Table6[[#This Row],[SKU]],'All Skus'!$A:$AC,2,FALSE))="JBL",(VLOOKUP(Table6[[#This Row],[SKU]],'All Skus'!$A:$AC,20,FALSE)),""))</f>
        <v>13</v>
      </c>
      <c r="S251" s="61">
        <f>(IF((VLOOKUP(Table6[[#This Row],[SKU]],'All Skus'!$A:$AC,2,FALSE))="JBL",(VLOOKUP(Table6[[#This Row],[SKU]],'All Skus'!$A:$AC,21,FALSE)),""))</f>
        <v>8</v>
      </c>
      <c r="T251" s="61" t="str">
        <f>(IF((VLOOKUP(Table6[[#This Row],[SKU]],'All Skus'!$A:$AC,2,FALSE))="JBL",(VLOOKUP(Table6[[#This Row],[SKU]],'All Skus'!$A:$AC,22,FALSE)),""))</f>
        <v>CN</v>
      </c>
      <c r="U251" t="str">
        <f>(IF((VLOOKUP(Table6[[#This Row],[SKU]],'All Skus'!$A:$AC,2,FALSE))="JBL",(VLOOKUP(Table6[[#This Row],[SKU]],'All Skus'!$A:$AC,23,FALSE)),""))</f>
        <v>Non Compliant</v>
      </c>
      <c r="V251" s="284" t="str">
        <f>HYPERLINK((IF((VLOOKUP(Table6[[#This Row],[SKU]],'All Skus'!$A:$AC,2,FALSE))="JBL",(VLOOKUP(Table6[[#This Row],[SKU]],'All Skus'!$A:$AC,24,FALSE)),"")))</f>
        <v xml:space="preserve">http://www.jblpro.com/www/products/installed-sound/cbt-series/cbt50la-1 </v>
      </c>
      <c r="W251" s="151">
        <v>249</v>
      </c>
    </row>
    <row r="252" spans="1:23" ht="15" hidden="1" customHeight="1">
      <c r="A252" s="13" t="s">
        <v>1258</v>
      </c>
      <c r="B252" s="12" t="str">
        <f>(IF((VLOOKUP(Table6[[#This Row],[SKU]],'All Skus'!$A:$AC,2,FALSE))="JBL",(VLOOKUP(Table6[[#This Row],[SKU]],'All Skus'!$A:$AC,3,FALSE)),""))</f>
        <v>Column Speaker</v>
      </c>
      <c r="C252" s="12" t="str">
        <f>(IF((VLOOKUP(Table6[[#This Row],[SKU]],'All Skus'!$A:$AC,2,FALSE))="JBL",(VLOOKUP(Table6[[#This Row],[SKU]],'All Skus'!$A:$AC,4,FALSE)),""))</f>
        <v>CBT 100LA-1-WH</v>
      </c>
      <c r="D252" s="61" t="str">
        <f>(IF((VLOOKUP(Table6[[#This Row],[SKU]],'All Skus'!$A:$AC,2,FALSE))="JBL",(VLOOKUP(Table6[[#This Row],[SKU]],'All Skus'!$A:$AC,5,FALSE)),""))</f>
        <v>JBL018</v>
      </c>
      <c r="E252" s="137">
        <f>(IF((VLOOKUP(Table6[[#This Row],[SKU]],'All Skus'!$A:$AC,2,FALSE))="JBL",(VLOOKUP(Table6[[#This Row],[SKU]],'All Skus'!$A:$AC,6,FALSE)),""))</f>
        <v>0</v>
      </c>
      <c r="F252" s="61">
        <f>(IF((VLOOKUP(Table6[[#This Row],[SKU]],'All Skus'!$A:$AC,2,FALSE))="JBL",(VLOOKUP(Table6[[#This Row],[SKU]],'All Skus'!$A:$AC,7,FALSE)),""))</f>
        <v>0</v>
      </c>
      <c r="G252" t="str">
        <f>(IF((VLOOKUP(Table6[[#This Row],[SKU]],'All Skus'!$A:$AC,2,FALSE))="JBL",(VLOOKUP(Table6[[#This Row],[SKU]],'All Skus'!$A:$AC,8,FALSE)),""))</f>
        <v>Line array column, 100 cm tall, 16 2"</v>
      </c>
      <c r="H252" s="8" t="str">
        <f>(IF((VLOOKUP(Table6[[#This Row],[SKU]],'All Skus'!$A:$AC,2,FALSE))="JBL",(VLOOKUP(Table6[[#This Row],[SKU]],'All Skus'!$A:$AC,9,FALSE)),""))</f>
        <v>Straight Line Array Column with 16 x 2” Drivers and Constant Beamwidth Technology. Switchable 40° or 15° vertical coverage, music (flat)/speech switch, 100W multi-tap transformer or 8 ohms, 80 Hz – 20 kHz, 325W continuous pink noise, 100 cm tall (priced and sold individually).</v>
      </c>
      <c r="I252" s="101">
        <f>(IF((VLOOKUP(Table6[[#This Row],[SKU]],'All Skus'!$A:$AC,2,FALSE))="JBL",(VLOOKUP(Table6[[#This Row],[SKU]],'All Skus'!$A:$AC,10,FALSE)),""))</f>
        <v>1136.72</v>
      </c>
      <c r="J252" s="101">
        <f>(IF((VLOOKUP(Table6[[#This Row],[SKU]],'All Skus'!$A:$AC,2,FALSE))="JBL",(VLOOKUP(Table6[[#This Row],[SKU]],'All Skus'!$A:$AC,11,FALSE)),""))</f>
        <v>912</v>
      </c>
      <c r="K252" s="102">
        <f>(IF((VLOOKUP(Table6[[#This Row],[SKU]],'All Skus'!$A:$AC,2,FALSE))="JBL",(VLOOKUP(Table6[[#This Row],[SKU]],'All Skus'!$A:$AC,13,FALSE)),""))</f>
        <v>0</v>
      </c>
      <c r="L252" s="102">
        <f>(IF((VLOOKUP(Table6[[#This Row],[SKU]],'All Skus'!$A:$AC,2,FALSE))="JBL",(VLOOKUP(Table6[[#This Row],[SKU]],'All Skus'!$A:$AC,14,FALSE)),""))</f>
        <v>0</v>
      </c>
      <c r="M252" s="143">
        <f>(IF((VLOOKUP(Table6[[#This Row],[SKU]],'All Skus'!$A:$AC,2,FALSE))="JBL",(VLOOKUP(Table6[[#This Row],[SKU]],'All Skus'!$A:$AC,15,FALSE)),""))</f>
        <v>0</v>
      </c>
      <c r="N252" s="137">
        <f>(IF((VLOOKUP(Table6[[#This Row],[SKU]],'All Skus'!$A:$AC,2,FALSE))="JBL",(VLOOKUP(Table6[[#This Row],[SKU]],'All Skus'!$A:$AC,16,FALSE)),""))</f>
        <v>50036904285</v>
      </c>
      <c r="O252" s="61">
        <f>(IF((VLOOKUP(Table6[[#This Row],[SKU]],'All Skus'!$A:$AC,2,FALSE))="JBL",(VLOOKUP(Table6[[#This Row],[SKU]],'All Skus'!$A:$AC,17,FALSE)),""))</f>
        <v>0</v>
      </c>
      <c r="P252" s="136">
        <f>(IF((VLOOKUP(Table6[[#This Row],[SKU]],'All Skus'!$A:$AC,2,FALSE))="JBL",(VLOOKUP(Table6[[#This Row],[SKU]],'All Skus'!$A:$AC,18,FALSE)),""))</f>
        <v>25</v>
      </c>
      <c r="Q252" s="136">
        <f>(IF((VLOOKUP(Table6[[#This Row],[SKU]],'All Skus'!$A:$AC,2,FALSE))="JBL",(VLOOKUP(Table6[[#This Row],[SKU]],'All Skus'!$A:$AC,19,FALSE)),""))</f>
        <v>48</v>
      </c>
      <c r="R252" s="136">
        <f>(IF((VLOOKUP(Table6[[#This Row],[SKU]],'All Skus'!$A:$AC,2,FALSE))="JBL",(VLOOKUP(Table6[[#This Row],[SKU]],'All Skus'!$A:$AC,20,FALSE)),""))</f>
        <v>13</v>
      </c>
      <c r="S252" s="61">
        <f>(IF((VLOOKUP(Table6[[#This Row],[SKU]],'All Skus'!$A:$AC,2,FALSE))="JBL",(VLOOKUP(Table6[[#This Row],[SKU]],'All Skus'!$A:$AC,21,FALSE)),""))</f>
        <v>8</v>
      </c>
      <c r="T252" s="61" t="str">
        <f>(IF((VLOOKUP(Table6[[#This Row],[SKU]],'All Skus'!$A:$AC,2,FALSE))="JBL",(VLOOKUP(Table6[[#This Row],[SKU]],'All Skus'!$A:$AC,22,FALSE)),""))</f>
        <v>CN</v>
      </c>
      <c r="U252" t="str">
        <f>(IF((VLOOKUP(Table6[[#This Row],[SKU]],'All Skus'!$A:$AC,2,FALSE))="JBL",(VLOOKUP(Table6[[#This Row],[SKU]],'All Skus'!$A:$AC,23,FALSE)),""))</f>
        <v>Non Compliant</v>
      </c>
      <c r="V252" s="284" t="str">
        <f>HYPERLINK((IF((VLOOKUP(Table6[[#This Row],[SKU]],'All Skus'!$A:$AC,2,FALSE))="JBL",(VLOOKUP(Table6[[#This Row],[SKU]],'All Skus'!$A:$AC,24,FALSE)),"")))</f>
        <v xml:space="preserve">http://www.jblpro.com/www/products/installed-sound/cbt-series/cbt100la-1 </v>
      </c>
      <c r="W252" s="151">
        <v>250</v>
      </c>
    </row>
    <row r="253" spans="1:23" ht="15" hidden="1" customHeight="1">
      <c r="A253" s="13" t="s">
        <v>1259</v>
      </c>
      <c r="B253" s="12" t="str">
        <f>(IF((VLOOKUP(Table6[[#This Row],[SKU]],'All Skus'!$A:$AC,2,FALSE))="JBL",(VLOOKUP(Table6[[#This Row],[SKU]],'All Skus'!$A:$AC,3,FALSE)),""))</f>
        <v>Column Speaker</v>
      </c>
      <c r="C253" s="12" t="str">
        <f>(IF((VLOOKUP(Table6[[#This Row],[SKU]],'All Skus'!$A:$AC,2,FALSE))="JBL",(VLOOKUP(Table6[[#This Row],[SKU]],'All Skus'!$A:$AC,4,FALSE)),""))</f>
        <v>CBT 50LA-LS</v>
      </c>
      <c r="D253" s="61" t="str">
        <f>(IF((VLOOKUP(Table6[[#This Row],[SKU]],'All Skus'!$A:$AC,2,FALSE))="JBL",(VLOOKUP(Table6[[#This Row],[SKU]],'All Skus'!$A:$AC,5,FALSE)),""))</f>
        <v>JBL018</v>
      </c>
      <c r="E253" s="137">
        <f>(IF((VLOOKUP(Table6[[#This Row],[SKU]],'All Skus'!$A:$AC,2,FALSE))="JBL",(VLOOKUP(Table6[[#This Row],[SKU]],'All Skus'!$A:$AC,6,FALSE)),""))</f>
        <v>0</v>
      </c>
      <c r="F253" s="61">
        <f>(IF((VLOOKUP(Table6[[#This Row],[SKU]],'All Skus'!$A:$AC,2,FALSE))="JBL",(VLOOKUP(Table6[[#This Row],[SKU]],'All Skus'!$A:$AC,7,FALSE)),""))</f>
        <v>0</v>
      </c>
      <c r="G253" t="str">
        <f>(IF((VLOOKUP(Table6[[#This Row],[SKU]],'All Skus'!$A:$AC,2,FALSE))="JBL",(VLOOKUP(Table6[[#This Row],[SKU]],'All Skus'!$A:$AC,8,FALSE)),""))</f>
        <v>50CM Tall Column Spkr, EN54 1 per carton, 1 per Masterpack</v>
      </c>
      <c r="H253" s="8" t="str">
        <f>(IF((VLOOKUP(Table6[[#This Row],[SKU]],'All Skus'!$A:$AC,2,FALSE))="JBL",(VLOOKUP(Table6[[#This Row],[SKU]],'All Skus'!$A:$AC,9,FALSE)),""))</f>
        <v>50CM Tall Column Spkr, EN54 1 per carton, 1 per Masterpack</v>
      </c>
      <c r="I253" s="101">
        <f>(IF((VLOOKUP(Table6[[#This Row],[SKU]],'All Skus'!$A:$AC,2,FALSE))="JBL",(VLOOKUP(Table6[[#This Row],[SKU]],'All Skus'!$A:$AC,10,FALSE)),""))</f>
        <v>673.38</v>
      </c>
      <c r="J253" s="101">
        <f>(IF((VLOOKUP(Table6[[#This Row],[SKU]],'All Skus'!$A:$AC,2,FALSE))="JBL",(VLOOKUP(Table6[[#This Row],[SKU]],'All Skus'!$A:$AC,11,FALSE)),""))</f>
        <v>535</v>
      </c>
      <c r="K253" s="102">
        <f>(IF((VLOOKUP(Table6[[#This Row],[SKU]],'All Skus'!$A:$AC,2,FALSE))="JBL",(VLOOKUP(Table6[[#This Row],[SKU]],'All Skus'!$A:$AC,13,FALSE)),""))</f>
        <v>0</v>
      </c>
      <c r="L253" s="102">
        <f>(IF((VLOOKUP(Table6[[#This Row],[SKU]],'All Skus'!$A:$AC,2,FALSE))="JBL",(VLOOKUP(Table6[[#This Row],[SKU]],'All Skus'!$A:$AC,14,FALSE)),""))</f>
        <v>0</v>
      </c>
      <c r="M253" s="143">
        <f>(IF((VLOOKUP(Table6[[#This Row],[SKU]],'All Skus'!$A:$AC,2,FALSE))="JBL",(VLOOKUP(Table6[[#This Row],[SKU]],'All Skus'!$A:$AC,15,FALSE)),""))</f>
        <v>0</v>
      </c>
      <c r="N253" s="137">
        <f>(IF((VLOOKUP(Table6[[#This Row],[SKU]],'All Skus'!$A:$AC,2,FALSE))="JBL",(VLOOKUP(Table6[[#This Row],[SKU]],'All Skus'!$A:$AC,16,FALSE)),""))</f>
        <v>691991011870</v>
      </c>
      <c r="O253" s="61">
        <f>(IF((VLOOKUP(Table6[[#This Row],[SKU]],'All Skus'!$A:$AC,2,FALSE))="JBL",(VLOOKUP(Table6[[#This Row],[SKU]],'All Skus'!$A:$AC,17,FALSE)),""))</f>
        <v>0</v>
      </c>
      <c r="P253" s="136">
        <f>(IF((VLOOKUP(Table6[[#This Row],[SKU]],'All Skus'!$A:$AC,2,FALSE))="JBL",(VLOOKUP(Table6[[#This Row],[SKU]],'All Skus'!$A:$AC,18,FALSE)),""))</f>
        <v>20</v>
      </c>
      <c r="Q253" s="136">
        <f>(IF((VLOOKUP(Table6[[#This Row],[SKU]],'All Skus'!$A:$AC,2,FALSE))="JBL",(VLOOKUP(Table6[[#This Row],[SKU]],'All Skus'!$A:$AC,19,FALSE)),""))</f>
        <v>30</v>
      </c>
      <c r="R253" s="136">
        <f>(IF((VLOOKUP(Table6[[#This Row],[SKU]],'All Skus'!$A:$AC,2,FALSE))="JBL",(VLOOKUP(Table6[[#This Row],[SKU]],'All Skus'!$A:$AC,20,FALSE)),""))</f>
        <v>12</v>
      </c>
      <c r="S253" s="61">
        <f>(IF((VLOOKUP(Table6[[#This Row],[SKU]],'All Skus'!$A:$AC,2,FALSE))="JBL",(VLOOKUP(Table6[[#This Row],[SKU]],'All Skus'!$A:$AC,21,FALSE)),""))</f>
        <v>8</v>
      </c>
      <c r="T253" s="61" t="str">
        <f>(IF((VLOOKUP(Table6[[#This Row],[SKU]],'All Skus'!$A:$AC,2,FALSE))="JBL",(VLOOKUP(Table6[[#This Row],[SKU]],'All Skus'!$A:$AC,22,FALSE)),""))</f>
        <v>CN</v>
      </c>
      <c r="U253" t="str">
        <f>(IF((VLOOKUP(Table6[[#This Row],[SKU]],'All Skus'!$A:$AC,2,FALSE))="JBL",(VLOOKUP(Table6[[#This Row],[SKU]],'All Skus'!$A:$AC,23,FALSE)),""))</f>
        <v>Non Compliant</v>
      </c>
      <c r="V253" s="284" t="str">
        <f>HYPERLINK((IF((VLOOKUP(Table6[[#This Row],[SKU]],'All Skus'!$A:$AC,2,FALSE))="JBL",(VLOOKUP(Table6[[#This Row],[SKU]],'All Skus'!$A:$AC,24,FALSE)),"")))</f>
        <v xml:space="preserve">http://www.jblpro.com/www/products/installed-sound/cbt-series/cbt50la-ls </v>
      </c>
      <c r="W253" s="151">
        <v>251</v>
      </c>
    </row>
    <row r="254" spans="1:23" ht="15" hidden="1" customHeight="1">
      <c r="A254" s="13" t="s">
        <v>1260</v>
      </c>
      <c r="B254" s="12" t="str">
        <f>(IF((VLOOKUP(Table6[[#This Row],[SKU]],'All Skus'!$A:$AC,2,FALSE))="JBL",(VLOOKUP(Table6[[#This Row],[SKU]],'All Skus'!$A:$AC,3,FALSE)),""))</f>
        <v>Column Speaker</v>
      </c>
      <c r="C254" s="12" t="str">
        <f>(IF((VLOOKUP(Table6[[#This Row],[SKU]],'All Skus'!$A:$AC,2,FALSE))="JBL",(VLOOKUP(Table6[[#This Row],[SKU]],'All Skus'!$A:$AC,4,FALSE)),""))</f>
        <v>CBT 100LA-LS</v>
      </c>
      <c r="D254" s="61" t="str">
        <f>(IF((VLOOKUP(Table6[[#This Row],[SKU]],'All Skus'!$A:$AC,2,FALSE))="JBL",(VLOOKUP(Table6[[#This Row],[SKU]],'All Skus'!$A:$AC,5,FALSE)),""))</f>
        <v>JBL018</v>
      </c>
      <c r="E254" s="137">
        <f>(IF((VLOOKUP(Table6[[#This Row],[SKU]],'All Skus'!$A:$AC,2,FALSE))="JBL",(VLOOKUP(Table6[[#This Row],[SKU]],'All Skus'!$A:$AC,6,FALSE)),""))</f>
        <v>0</v>
      </c>
      <c r="F254" s="61">
        <f>(IF((VLOOKUP(Table6[[#This Row],[SKU]],'All Skus'!$A:$AC,2,FALSE))="JBL",(VLOOKUP(Table6[[#This Row],[SKU]],'All Skus'!$A:$AC,7,FALSE)),""))</f>
        <v>0</v>
      </c>
      <c r="G254" t="str">
        <f>(IF((VLOOKUP(Table6[[#This Row],[SKU]],'All Skus'!$A:$AC,2,FALSE))="JBL",(VLOOKUP(Table6[[#This Row],[SKU]],'All Skus'!$A:$AC,8,FALSE)),""))</f>
        <v>(EN54 Life/Safety) Line array column, 100 cm tall, 16 2"</v>
      </c>
      <c r="H254" s="8" t="str">
        <f>(IF((VLOOKUP(Table6[[#This Row],[SKU]],'All Skus'!$A:$AC,2,FALSE))="JBL",(VLOOKUP(Table6[[#This Row],[SKU]],'All Skus'!$A:$AC,9,FALSE)),""))</f>
        <v>(EN54 Life/Safety) Straight Line Array Column with 16 x 2” Drivers and Constant Beamwidth Technology. Switchable 40° or 15° vertical coverage, music (flat)/speech switch, 100W multi-tap transformer or 8 ohms, 80 Hz – 20 kHz, 325W continuous pink noise, 100 cm tall (priced and sold individually).</v>
      </c>
      <c r="I254" s="101">
        <f>(IF((VLOOKUP(Table6[[#This Row],[SKU]],'All Skus'!$A:$AC,2,FALSE))="JBL",(VLOOKUP(Table6[[#This Row],[SKU]],'All Skus'!$A:$AC,10,FALSE)),""))</f>
        <v>1273.1199999999999</v>
      </c>
      <c r="J254" s="101">
        <f>(IF((VLOOKUP(Table6[[#This Row],[SKU]],'All Skus'!$A:$AC,2,FALSE))="JBL",(VLOOKUP(Table6[[#This Row],[SKU]],'All Skus'!$A:$AC,11,FALSE)),""))</f>
        <v>1019</v>
      </c>
      <c r="K254" s="102">
        <f>(IF((VLOOKUP(Table6[[#This Row],[SKU]],'All Skus'!$A:$AC,2,FALSE))="JBL",(VLOOKUP(Table6[[#This Row],[SKU]],'All Skus'!$A:$AC,13,FALSE)),""))</f>
        <v>0</v>
      </c>
      <c r="L254" s="102">
        <f>(IF((VLOOKUP(Table6[[#This Row],[SKU]],'All Skus'!$A:$AC,2,FALSE))="JBL",(VLOOKUP(Table6[[#This Row],[SKU]],'All Skus'!$A:$AC,14,FALSE)),""))</f>
        <v>0</v>
      </c>
      <c r="M254" s="143">
        <f>(IF((VLOOKUP(Table6[[#This Row],[SKU]],'All Skus'!$A:$AC,2,FALSE))="JBL",(VLOOKUP(Table6[[#This Row],[SKU]],'All Skus'!$A:$AC,15,FALSE)),""))</f>
        <v>0</v>
      </c>
      <c r="N254" s="137">
        <f>(IF((VLOOKUP(Table6[[#This Row],[SKU]],'All Skus'!$A:$AC,2,FALSE))="JBL",(VLOOKUP(Table6[[#This Row],[SKU]],'All Skus'!$A:$AC,16,FALSE)),""))</f>
        <v>691991000119</v>
      </c>
      <c r="O254" s="61">
        <f>(IF((VLOOKUP(Table6[[#This Row],[SKU]],'All Skus'!$A:$AC,2,FALSE))="JBL",(VLOOKUP(Table6[[#This Row],[SKU]],'All Skus'!$A:$AC,17,FALSE)),""))</f>
        <v>0</v>
      </c>
      <c r="P254" s="136">
        <f>(IF((VLOOKUP(Table6[[#This Row],[SKU]],'All Skus'!$A:$AC,2,FALSE))="JBL",(VLOOKUP(Table6[[#This Row],[SKU]],'All Skus'!$A:$AC,18,FALSE)),""))</f>
        <v>25.5</v>
      </c>
      <c r="Q254" s="136">
        <f>(IF((VLOOKUP(Table6[[#This Row],[SKU]],'All Skus'!$A:$AC,2,FALSE))="JBL",(VLOOKUP(Table6[[#This Row],[SKU]],'All Skus'!$A:$AC,19,FALSE)),""))</f>
        <v>48</v>
      </c>
      <c r="R254" s="136">
        <f>(IF((VLOOKUP(Table6[[#This Row],[SKU]],'All Skus'!$A:$AC,2,FALSE))="JBL",(VLOOKUP(Table6[[#This Row],[SKU]],'All Skus'!$A:$AC,20,FALSE)),""))</f>
        <v>13</v>
      </c>
      <c r="S254" s="61">
        <f>(IF((VLOOKUP(Table6[[#This Row],[SKU]],'All Skus'!$A:$AC,2,FALSE))="JBL",(VLOOKUP(Table6[[#This Row],[SKU]],'All Skus'!$A:$AC,21,FALSE)),""))</f>
        <v>8</v>
      </c>
      <c r="T254" s="61" t="str">
        <f>(IF((VLOOKUP(Table6[[#This Row],[SKU]],'All Skus'!$A:$AC,2,FALSE))="JBL",(VLOOKUP(Table6[[#This Row],[SKU]],'All Skus'!$A:$AC,22,FALSE)),""))</f>
        <v>CN</v>
      </c>
      <c r="U254" t="str">
        <f>(IF((VLOOKUP(Table6[[#This Row],[SKU]],'All Skus'!$A:$AC,2,FALSE))="JBL",(VLOOKUP(Table6[[#This Row],[SKU]],'All Skus'!$A:$AC,23,FALSE)),""))</f>
        <v>Non Compliant</v>
      </c>
      <c r="V254" s="284" t="str">
        <f>HYPERLINK((IF((VLOOKUP(Table6[[#This Row],[SKU]],'All Skus'!$A:$AC,2,FALSE))="JBL",(VLOOKUP(Table6[[#This Row],[SKU]],'All Skus'!$A:$AC,24,FALSE)),"")))</f>
        <v xml:space="preserve">http://www.jblpro.com/www/products/installed-sound/cbt-series/cbt100la-ls </v>
      </c>
      <c r="W254" s="151">
        <v>252</v>
      </c>
    </row>
    <row r="255" spans="1:23" ht="15" hidden="1" customHeight="1">
      <c r="A255" s="13" t="s">
        <v>1261</v>
      </c>
      <c r="B255" s="12" t="str">
        <f>(IF((VLOOKUP(Table6[[#This Row],[SKU]],'All Skus'!$A:$AC,2,FALSE))="JBL",(VLOOKUP(Table6[[#This Row],[SKU]],'All Skus'!$A:$AC,3,FALSE)),""))</f>
        <v>Column Speaker</v>
      </c>
      <c r="C255" s="12" t="str">
        <f>(IF((VLOOKUP(Table6[[#This Row],[SKU]],'All Skus'!$A:$AC,2,FALSE))="JBL",(VLOOKUP(Table6[[#This Row],[SKU]],'All Skus'!$A:$AC,4,FALSE)),""))</f>
        <v>CBT 50LA-LS-WH</v>
      </c>
      <c r="D255" s="61" t="str">
        <f>(IF((VLOOKUP(Table6[[#This Row],[SKU]],'All Skus'!$A:$AC,2,FALSE))="JBL",(VLOOKUP(Table6[[#This Row],[SKU]],'All Skus'!$A:$AC,5,FALSE)),""))</f>
        <v>JBL018</v>
      </c>
      <c r="E255" s="137">
        <f>(IF((VLOOKUP(Table6[[#This Row],[SKU]],'All Skus'!$A:$AC,2,FALSE))="JBL",(VLOOKUP(Table6[[#This Row],[SKU]],'All Skus'!$A:$AC,6,FALSE)),""))</f>
        <v>0</v>
      </c>
      <c r="F255" s="61">
        <f>(IF((VLOOKUP(Table6[[#This Row],[SKU]],'All Skus'!$A:$AC,2,FALSE))="JBL",(VLOOKUP(Table6[[#This Row],[SKU]],'All Skus'!$A:$AC,7,FALSE)),""))</f>
        <v>0</v>
      </c>
      <c r="G255" t="str">
        <f>(IF((VLOOKUP(Table6[[#This Row],[SKU]],'All Skus'!$A:$AC,2,FALSE))="JBL",(VLOOKUP(Table6[[#This Row],[SKU]],'All Skus'!$A:$AC,8,FALSE)),""))</f>
        <v>50CM Tall Column Spkr, WH,EN54 1 per carton, 1 per Masterpack</v>
      </c>
      <c r="H255" s="8" t="str">
        <f>(IF((VLOOKUP(Table6[[#This Row],[SKU]],'All Skus'!$A:$AC,2,FALSE))="JBL",(VLOOKUP(Table6[[#This Row],[SKU]],'All Skus'!$A:$AC,9,FALSE)),""))</f>
        <v>50CM Tall Column Spkr, WH,EN54 1 per carton, 1 per Masterpack</v>
      </c>
      <c r="I255" s="101">
        <f>(IF((VLOOKUP(Table6[[#This Row],[SKU]],'All Skus'!$A:$AC,2,FALSE))="JBL",(VLOOKUP(Table6[[#This Row],[SKU]],'All Skus'!$A:$AC,10,FALSE)),""))</f>
        <v>673.38</v>
      </c>
      <c r="J255" s="101">
        <f>(IF((VLOOKUP(Table6[[#This Row],[SKU]],'All Skus'!$A:$AC,2,FALSE))="JBL",(VLOOKUP(Table6[[#This Row],[SKU]],'All Skus'!$A:$AC,11,FALSE)),""))</f>
        <v>535</v>
      </c>
      <c r="K255" s="102">
        <f>(IF((VLOOKUP(Table6[[#This Row],[SKU]],'All Skus'!$A:$AC,2,FALSE))="JBL",(VLOOKUP(Table6[[#This Row],[SKU]],'All Skus'!$A:$AC,13,FALSE)),""))</f>
        <v>0</v>
      </c>
      <c r="L255" s="102">
        <f>(IF((VLOOKUP(Table6[[#This Row],[SKU]],'All Skus'!$A:$AC,2,FALSE))="JBL",(VLOOKUP(Table6[[#This Row],[SKU]],'All Skus'!$A:$AC,14,FALSE)),""))</f>
        <v>0</v>
      </c>
      <c r="M255" s="143">
        <f>(IF((VLOOKUP(Table6[[#This Row],[SKU]],'All Skus'!$A:$AC,2,FALSE))="JBL",(VLOOKUP(Table6[[#This Row],[SKU]],'All Skus'!$A:$AC,15,FALSE)),""))</f>
        <v>0</v>
      </c>
      <c r="N255" s="137">
        <f>(IF((VLOOKUP(Table6[[#This Row],[SKU]],'All Skus'!$A:$AC,2,FALSE))="JBL",(VLOOKUP(Table6[[#This Row],[SKU]],'All Skus'!$A:$AC,16,FALSE)),""))</f>
        <v>691991011887</v>
      </c>
      <c r="O255" s="61">
        <f>(IF((VLOOKUP(Table6[[#This Row],[SKU]],'All Skus'!$A:$AC,2,FALSE))="JBL",(VLOOKUP(Table6[[#This Row],[SKU]],'All Skus'!$A:$AC,17,FALSE)),""))</f>
        <v>0</v>
      </c>
      <c r="P255" s="136">
        <f>(IF((VLOOKUP(Table6[[#This Row],[SKU]],'All Skus'!$A:$AC,2,FALSE))="JBL",(VLOOKUP(Table6[[#This Row],[SKU]],'All Skus'!$A:$AC,18,FALSE)),""))</f>
        <v>20</v>
      </c>
      <c r="Q255" s="136">
        <f>(IF((VLOOKUP(Table6[[#This Row],[SKU]],'All Skus'!$A:$AC,2,FALSE))="JBL",(VLOOKUP(Table6[[#This Row],[SKU]],'All Skus'!$A:$AC,19,FALSE)),""))</f>
        <v>30</v>
      </c>
      <c r="R255" s="136">
        <f>(IF((VLOOKUP(Table6[[#This Row],[SKU]],'All Skus'!$A:$AC,2,FALSE))="JBL",(VLOOKUP(Table6[[#This Row],[SKU]],'All Skus'!$A:$AC,20,FALSE)),""))</f>
        <v>12.5</v>
      </c>
      <c r="S255" s="61">
        <f>(IF((VLOOKUP(Table6[[#This Row],[SKU]],'All Skus'!$A:$AC,2,FALSE))="JBL",(VLOOKUP(Table6[[#This Row],[SKU]],'All Skus'!$A:$AC,21,FALSE)),""))</f>
        <v>8</v>
      </c>
      <c r="T255" s="61" t="str">
        <f>(IF((VLOOKUP(Table6[[#This Row],[SKU]],'All Skus'!$A:$AC,2,FALSE))="JBL",(VLOOKUP(Table6[[#This Row],[SKU]],'All Skus'!$A:$AC,22,FALSE)),""))</f>
        <v>CN</v>
      </c>
      <c r="U255" t="str">
        <f>(IF((VLOOKUP(Table6[[#This Row],[SKU]],'All Skus'!$A:$AC,2,FALSE))="JBL",(VLOOKUP(Table6[[#This Row],[SKU]],'All Skus'!$A:$AC,23,FALSE)),""))</f>
        <v>Non Compliant</v>
      </c>
      <c r="V255" s="284" t="str">
        <f>HYPERLINK((IF((VLOOKUP(Table6[[#This Row],[SKU]],'All Skus'!$A:$AC,2,FALSE))="JBL",(VLOOKUP(Table6[[#This Row],[SKU]],'All Skus'!$A:$AC,24,FALSE)),"")))</f>
        <v xml:space="preserve">http://www.jblpro.com/www/products/installed-sound/cbt-series/cbt50la-ls </v>
      </c>
      <c r="W255" s="151">
        <v>253</v>
      </c>
    </row>
    <row r="256" spans="1:23" ht="15" hidden="1" customHeight="1">
      <c r="A256" s="13" t="s">
        <v>1262</v>
      </c>
      <c r="B256" s="12" t="str">
        <f>(IF((VLOOKUP(Table6[[#This Row],[SKU]],'All Skus'!$A:$AC,2,FALSE))="JBL",(VLOOKUP(Table6[[#This Row],[SKU]],'All Skus'!$A:$AC,3,FALSE)),""))</f>
        <v>Column Speaker</v>
      </c>
      <c r="C256" s="12" t="str">
        <f>(IF((VLOOKUP(Table6[[#This Row],[SKU]],'All Skus'!$A:$AC,2,FALSE))="JBL",(VLOOKUP(Table6[[#This Row],[SKU]],'All Skus'!$A:$AC,4,FALSE)),""))</f>
        <v>CBT 100LA-LS-WH</v>
      </c>
      <c r="D256" s="61" t="str">
        <f>(IF((VLOOKUP(Table6[[#This Row],[SKU]],'All Skus'!$A:$AC,2,FALSE))="JBL",(VLOOKUP(Table6[[#This Row],[SKU]],'All Skus'!$A:$AC,5,FALSE)),""))</f>
        <v>JBL018</v>
      </c>
      <c r="E256" s="137">
        <f>(IF((VLOOKUP(Table6[[#This Row],[SKU]],'All Skus'!$A:$AC,2,FALSE))="JBL",(VLOOKUP(Table6[[#This Row],[SKU]],'All Skus'!$A:$AC,6,FALSE)),""))</f>
        <v>0</v>
      </c>
      <c r="F256" s="61">
        <f>(IF((VLOOKUP(Table6[[#This Row],[SKU]],'All Skus'!$A:$AC,2,FALSE))="JBL",(VLOOKUP(Table6[[#This Row],[SKU]],'All Skus'!$A:$AC,7,FALSE)),""))</f>
        <v>0</v>
      </c>
      <c r="G256" t="str">
        <f>(IF((VLOOKUP(Table6[[#This Row],[SKU]],'All Skus'!$A:$AC,2,FALSE))="JBL",(VLOOKUP(Table6[[#This Row],[SKU]],'All Skus'!$A:$AC,8,FALSE)),""))</f>
        <v>(EN54 Life/Safety) Line array column, 100 cm tall, 16 2"</v>
      </c>
      <c r="H256" s="8" t="str">
        <f>(IF((VLOOKUP(Table6[[#This Row],[SKU]],'All Skus'!$A:$AC,2,FALSE))="JBL",(VLOOKUP(Table6[[#This Row],[SKU]],'All Skus'!$A:$AC,9,FALSE)),""))</f>
        <v>(EN54 Life/Safety) Straight Line Array Column with 16 x 2” Drivers and Constant
Beamwidth Technology. Switchable 40° or 15° vertical coverage, music
(flat)/speech switch, 100W multi-tap transformer or 8 ohms, 80 Hz – 20 kHz,
325W continuous pink noise, 100 cm tall (priced and sold individually)
New in -1 version: Included wall bracket adjusts for SWIVEL (pan) as well as tilt aiming, for increased aiming versatility.</v>
      </c>
      <c r="I256" s="101">
        <f>(IF((VLOOKUP(Table6[[#This Row],[SKU]],'All Skus'!$A:$AC,2,FALSE))="JBL",(VLOOKUP(Table6[[#This Row],[SKU]],'All Skus'!$A:$AC,10,FALSE)),""))</f>
        <v>1273.1199999999999</v>
      </c>
      <c r="J256" s="101">
        <f>(IF((VLOOKUP(Table6[[#This Row],[SKU]],'All Skus'!$A:$AC,2,FALSE))="JBL",(VLOOKUP(Table6[[#This Row],[SKU]],'All Skus'!$A:$AC,11,FALSE)),""))</f>
        <v>1019</v>
      </c>
      <c r="K256" s="102">
        <f>(IF((VLOOKUP(Table6[[#This Row],[SKU]],'All Skus'!$A:$AC,2,FALSE))="JBL",(VLOOKUP(Table6[[#This Row],[SKU]],'All Skus'!$A:$AC,13,FALSE)),""))</f>
        <v>0</v>
      </c>
      <c r="L256" s="102">
        <f>(IF((VLOOKUP(Table6[[#This Row],[SKU]],'All Skus'!$A:$AC,2,FALSE))="JBL",(VLOOKUP(Table6[[#This Row],[SKU]],'All Skus'!$A:$AC,14,FALSE)),""))</f>
        <v>0</v>
      </c>
      <c r="M256" s="143">
        <f>(IF((VLOOKUP(Table6[[#This Row],[SKU]],'All Skus'!$A:$AC,2,FALSE))="JBL",(VLOOKUP(Table6[[#This Row],[SKU]],'All Skus'!$A:$AC,15,FALSE)),""))</f>
        <v>0</v>
      </c>
      <c r="N256" s="137">
        <f>(IF((VLOOKUP(Table6[[#This Row],[SKU]],'All Skus'!$A:$AC,2,FALSE))="JBL",(VLOOKUP(Table6[[#This Row],[SKU]],'All Skus'!$A:$AC,16,FALSE)),""))</f>
        <v>691991000126</v>
      </c>
      <c r="O256" s="61">
        <f>(IF((VLOOKUP(Table6[[#This Row],[SKU]],'All Skus'!$A:$AC,2,FALSE))="JBL",(VLOOKUP(Table6[[#This Row],[SKU]],'All Skus'!$A:$AC,17,FALSE)),""))</f>
        <v>0</v>
      </c>
      <c r="P256" s="136">
        <f>(IF((VLOOKUP(Table6[[#This Row],[SKU]],'All Skus'!$A:$AC,2,FALSE))="JBL",(VLOOKUP(Table6[[#This Row],[SKU]],'All Skus'!$A:$AC,18,FALSE)),""))</f>
        <v>23</v>
      </c>
      <c r="Q256" s="136">
        <f>(IF((VLOOKUP(Table6[[#This Row],[SKU]],'All Skus'!$A:$AC,2,FALSE))="JBL",(VLOOKUP(Table6[[#This Row],[SKU]],'All Skus'!$A:$AC,19,FALSE)),""))</f>
        <v>48</v>
      </c>
      <c r="R256" s="136">
        <f>(IF((VLOOKUP(Table6[[#This Row],[SKU]],'All Skus'!$A:$AC,2,FALSE))="JBL",(VLOOKUP(Table6[[#This Row],[SKU]],'All Skus'!$A:$AC,20,FALSE)),""))</f>
        <v>12.5</v>
      </c>
      <c r="S256" s="61">
        <f>(IF((VLOOKUP(Table6[[#This Row],[SKU]],'All Skus'!$A:$AC,2,FALSE))="JBL",(VLOOKUP(Table6[[#This Row],[SKU]],'All Skus'!$A:$AC,21,FALSE)),""))</f>
        <v>8</v>
      </c>
      <c r="T256" s="61" t="str">
        <f>(IF((VLOOKUP(Table6[[#This Row],[SKU]],'All Skus'!$A:$AC,2,FALSE))="JBL",(VLOOKUP(Table6[[#This Row],[SKU]],'All Skus'!$A:$AC,22,FALSE)),""))</f>
        <v>CN</v>
      </c>
      <c r="U256" t="str">
        <f>(IF((VLOOKUP(Table6[[#This Row],[SKU]],'All Skus'!$A:$AC,2,FALSE))="JBL",(VLOOKUP(Table6[[#This Row],[SKU]],'All Skus'!$A:$AC,23,FALSE)),""))</f>
        <v>Non Compliant</v>
      </c>
      <c r="V256" s="284" t="str">
        <f>HYPERLINK((IF((VLOOKUP(Table6[[#This Row],[SKU]],'All Skus'!$A:$AC,2,FALSE))="JBL",(VLOOKUP(Table6[[#This Row],[SKU]],'All Skus'!$A:$AC,24,FALSE)),"")))</f>
        <v xml:space="preserve">http://www.jblpro.com/www/products/installed-sound/cbt-series/cbt100la-ls </v>
      </c>
      <c r="W256" s="151">
        <v>254</v>
      </c>
    </row>
    <row r="257" spans="1:23" ht="15" hidden="1" customHeight="1">
      <c r="A257" s="13" t="s">
        <v>1263</v>
      </c>
      <c r="B257" s="12" t="str">
        <f>(IF((VLOOKUP(Table6[[#This Row],[SKU]],'All Skus'!$A:$AC,2,FALSE))="JBL",(VLOOKUP(Table6[[#This Row],[SKU]],'All Skus'!$A:$AC,3,FALSE)),""))</f>
        <v>Column Speaker</v>
      </c>
      <c r="C257" s="12" t="str">
        <f>(IF((VLOOKUP(Table6[[#This Row],[SKU]],'All Skus'!$A:$AC,2,FALSE))="JBL",(VLOOKUP(Table6[[#This Row],[SKU]],'All Skus'!$A:$AC,4,FALSE)),""))</f>
        <v>CBT 200LA-1</v>
      </c>
      <c r="D257" s="61" t="str">
        <f>(IF((VLOOKUP(Table6[[#This Row],[SKU]],'All Skus'!$A:$AC,2,FALSE))="JBL",(VLOOKUP(Table6[[#This Row],[SKU]],'All Skus'!$A:$AC,5,FALSE)),""))</f>
        <v>JBL018</v>
      </c>
      <c r="E257" s="137">
        <f>(IF((VLOOKUP(Table6[[#This Row],[SKU]],'All Skus'!$A:$AC,2,FALSE))="JBL",(VLOOKUP(Table6[[#This Row],[SKU]],'All Skus'!$A:$AC,6,FALSE)),""))</f>
        <v>0</v>
      </c>
      <c r="F257" s="61">
        <f>(IF((VLOOKUP(Table6[[#This Row],[SKU]],'All Skus'!$A:$AC,2,FALSE))="JBL",(VLOOKUP(Table6[[#This Row],[SKU]],'All Skus'!$A:$AC,7,FALSE)),""))</f>
        <v>0</v>
      </c>
      <c r="G257" t="str">
        <f>(IF((VLOOKUP(Table6[[#This Row],[SKU]],'All Skus'!$A:$AC,2,FALSE))="JBL",(VLOOKUP(Table6[[#This Row],[SKU]],'All Skus'!$A:$AC,8,FALSE)),""))</f>
        <v>2 METER TALL, 32 ELEMENT LINE ARRAY</v>
      </c>
      <c r="H257" s="8" t="str">
        <f>(IF((VLOOKUP(Table6[[#This Row],[SKU]],'All Skus'!$A:$AC,2,FALSE))="JBL",(VLOOKUP(Table6[[#This Row],[SKU]],'All Skus'!$A:$AC,9,FALSE)),""))</f>
        <v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v>
      </c>
      <c r="I257" s="101">
        <f>(IF((VLOOKUP(Table6[[#This Row],[SKU]],'All Skus'!$A:$AC,2,FALSE))="JBL",(VLOOKUP(Table6[[#This Row],[SKU]],'All Skus'!$A:$AC,10,FALSE)),""))</f>
        <v>2656.47</v>
      </c>
      <c r="J257" s="101">
        <f>(IF((VLOOKUP(Table6[[#This Row],[SKU]],'All Skus'!$A:$AC,2,FALSE))="JBL",(VLOOKUP(Table6[[#This Row],[SKU]],'All Skus'!$A:$AC,11,FALSE)),""))</f>
        <v>2127</v>
      </c>
      <c r="K257" s="102">
        <f>(IF((VLOOKUP(Table6[[#This Row],[SKU]],'All Skus'!$A:$AC,2,FALSE))="JBL",(VLOOKUP(Table6[[#This Row],[SKU]],'All Skus'!$A:$AC,13,FALSE)),""))</f>
        <v>0</v>
      </c>
      <c r="L257" s="102">
        <f>(IF((VLOOKUP(Table6[[#This Row],[SKU]],'All Skus'!$A:$AC,2,FALSE))="JBL",(VLOOKUP(Table6[[#This Row],[SKU]],'All Skus'!$A:$AC,14,FALSE)),""))</f>
        <v>0</v>
      </c>
      <c r="M257" s="143">
        <f>(IF((VLOOKUP(Table6[[#This Row],[SKU]],'All Skus'!$A:$AC,2,FALSE))="JBL",(VLOOKUP(Table6[[#This Row],[SKU]],'All Skus'!$A:$AC,15,FALSE)),""))</f>
        <v>0</v>
      </c>
      <c r="N257" s="137">
        <f>(IF((VLOOKUP(Table6[[#This Row],[SKU]],'All Skus'!$A:$AC,2,FALSE))="JBL",(VLOOKUP(Table6[[#This Row],[SKU]],'All Skus'!$A:$AC,16,FALSE)),""))</f>
        <v>50036904292</v>
      </c>
      <c r="O257" s="61">
        <f>(IF((VLOOKUP(Table6[[#This Row],[SKU]],'All Skus'!$A:$AC,2,FALSE))="JBL",(VLOOKUP(Table6[[#This Row],[SKU]],'All Skus'!$A:$AC,17,FALSE)),""))</f>
        <v>0</v>
      </c>
      <c r="P257" s="136">
        <f>(IF((VLOOKUP(Table6[[#This Row],[SKU]],'All Skus'!$A:$AC,2,FALSE))="JBL",(VLOOKUP(Table6[[#This Row],[SKU]],'All Skus'!$A:$AC,18,FALSE)),""))</f>
        <v>45.65</v>
      </c>
      <c r="Q257" s="136">
        <f>(IF((VLOOKUP(Table6[[#This Row],[SKU]],'All Skus'!$A:$AC,2,FALSE))="JBL",(VLOOKUP(Table6[[#This Row],[SKU]],'All Skus'!$A:$AC,19,FALSE)),""))</f>
        <v>50</v>
      </c>
      <c r="R257" s="136">
        <f>(IF((VLOOKUP(Table6[[#This Row],[SKU]],'All Skus'!$A:$AC,2,FALSE))="JBL",(VLOOKUP(Table6[[#This Row],[SKU]],'All Skus'!$A:$AC,20,FALSE)),""))</f>
        <v>20</v>
      </c>
      <c r="S257" s="61">
        <f>(IF((VLOOKUP(Table6[[#This Row],[SKU]],'All Skus'!$A:$AC,2,FALSE))="JBL",(VLOOKUP(Table6[[#This Row],[SKU]],'All Skus'!$A:$AC,21,FALSE)),""))</f>
        <v>8</v>
      </c>
      <c r="T257" s="61" t="str">
        <f>(IF((VLOOKUP(Table6[[#This Row],[SKU]],'All Skus'!$A:$AC,2,FALSE))="JBL",(VLOOKUP(Table6[[#This Row],[SKU]],'All Skus'!$A:$AC,22,FALSE)),""))</f>
        <v>CN</v>
      </c>
      <c r="U257" t="str">
        <f>(IF((VLOOKUP(Table6[[#This Row],[SKU]],'All Skus'!$A:$AC,2,FALSE))="JBL",(VLOOKUP(Table6[[#This Row],[SKU]],'All Skus'!$A:$AC,23,FALSE)),""))</f>
        <v>Non Compliant</v>
      </c>
      <c r="V257" s="284" t="str">
        <f>HYPERLINK((IF((VLOOKUP(Table6[[#This Row],[SKU]],'All Skus'!$A:$AC,2,FALSE))="JBL",(VLOOKUP(Table6[[#This Row],[SKU]],'All Skus'!$A:$AC,24,FALSE)),"")))</f>
        <v xml:space="preserve">http://www.jblpro.com/www/products/installed-sound/cbt-series/cbt200la-1 </v>
      </c>
      <c r="W257" s="151">
        <v>255</v>
      </c>
    </row>
    <row r="258" spans="1:23" ht="15" hidden="1" customHeight="1">
      <c r="A258" s="13" t="s">
        <v>1264</v>
      </c>
      <c r="B258" s="12" t="str">
        <f>(IF((VLOOKUP(Table6[[#This Row],[SKU]],'All Skus'!$A:$AC,2,FALSE))="JBL",(VLOOKUP(Table6[[#This Row],[SKU]],'All Skus'!$A:$AC,3,FALSE)),""))</f>
        <v>Column Speaker</v>
      </c>
      <c r="C258" s="12" t="str">
        <f>(IF((VLOOKUP(Table6[[#This Row],[SKU]],'All Skus'!$A:$AC,2,FALSE))="JBL",(VLOOKUP(Table6[[#This Row],[SKU]],'All Skus'!$A:$AC,4,FALSE)),""))</f>
        <v>CBT 200LA-1-WH</v>
      </c>
      <c r="D258" s="61" t="str">
        <f>(IF((VLOOKUP(Table6[[#This Row],[SKU]],'All Skus'!$A:$AC,2,FALSE))="JBL",(VLOOKUP(Table6[[#This Row],[SKU]],'All Skus'!$A:$AC,5,FALSE)),""))</f>
        <v>JBL018</v>
      </c>
      <c r="E258" s="137">
        <f>(IF((VLOOKUP(Table6[[#This Row],[SKU]],'All Skus'!$A:$AC,2,FALSE))="JBL",(VLOOKUP(Table6[[#This Row],[SKU]],'All Skus'!$A:$AC,6,FALSE)),""))</f>
        <v>0</v>
      </c>
      <c r="F258" s="61">
        <f>(IF((VLOOKUP(Table6[[#This Row],[SKU]],'All Skus'!$A:$AC,2,FALSE))="JBL",(VLOOKUP(Table6[[#This Row],[SKU]],'All Skus'!$A:$AC,7,FALSE)),""))</f>
        <v>0</v>
      </c>
      <c r="G258" t="str">
        <f>(IF((VLOOKUP(Table6[[#This Row],[SKU]],'All Skus'!$A:$AC,2,FALSE))="JBL",(VLOOKUP(Table6[[#This Row],[SKU]],'All Skus'!$A:$AC,8,FALSE)),""))</f>
        <v>2 METER TALL, 32 ELEMENT LINE ARRAY</v>
      </c>
      <c r="H258" s="8" t="str">
        <f>(IF((VLOOKUP(Table6[[#This Row],[SKU]],'All Skus'!$A:$AC,2,FALSE))="JBL",(VLOOKUP(Table6[[#This Row],[SKU]],'All Skus'!$A:$AC,9,FALSE)),""))</f>
        <v xml:space="preserve">200 cm (6.6 ft) Tall Constant Beamwidth Technology™ Line Array Column with Thirty-Two 50 mm (2 in) Drivers.  Patented CBT Technology for true constant directivity &amp; reduced lobing.  Extended pattern control.  Selectable vertical pattern ─ 30° or 15° for medium or long-throw.  Asymmetrical Progressive-Gradient vertical coverage setting directs more sound toward far areas.  Dynamic Sonic-Guard™ low-audibility overload protection.  Swivel (pan) / tilt wall bracket included  70V/100V transformer (each module, for 120W + 120W), plus direct capability.    Available black or white (-WH). Sold and packed as each -- carton includes top and bottom speaker modules and coupling plate, which comprise one CBT 200LA-1 column, plus wall bracket </v>
      </c>
      <c r="I258" s="101">
        <f>(IF((VLOOKUP(Table6[[#This Row],[SKU]],'All Skus'!$A:$AC,2,FALSE))="JBL",(VLOOKUP(Table6[[#This Row],[SKU]],'All Skus'!$A:$AC,10,FALSE)),""))</f>
        <v>2656.47</v>
      </c>
      <c r="J258" s="101">
        <f>(IF((VLOOKUP(Table6[[#This Row],[SKU]],'All Skus'!$A:$AC,2,FALSE))="JBL",(VLOOKUP(Table6[[#This Row],[SKU]],'All Skus'!$A:$AC,11,FALSE)),""))</f>
        <v>2127</v>
      </c>
      <c r="K258" s="102">
        <f>(IF((VLOOKUP(Table6[[#This Row],[SKU]],'All Skus'!$A:$AC,2,FALSE))="JBL",(VLOOKUP(Table6[[#This Row],[SKU]],'All Skus'!$A:$AC,13,FALSE)),""))</f>
        <v>0</v>
      </c>
      <c r="L258" s="102">
        <f>(IF((VLOOKUP(Table6[[#This Row],[SKU]],'All Skus'!$A:$AC,2,FALSE))="JBL",(VLOOKUP(Table6[[#This Row],[SKU]],'All Skus'!$A:$AC,14,FALSE)),""))</f>
        <v>0</v>
      </c>
      <c r="M258" s="143">
        <f>(IF((VLOOKUP(Table6[[#This Row],[SKU]],'All Skus'!$A:$AC,2,FALSE))="JBL",(VLOOKUP(Table6[[#This Row],[SKU]],'All Skus'!$A:$AC,15,FALSE)),""))</f>
        <v>0</v>
      </c>
      <c r="N258" s="137">
        <f>(IF((VLOOKUP(Table6[[#This Row],[SKU]],'All Skus'!$A:$AC,2,FALSE))="JBL",(VLOOKUP(Table6[[#This Row],[SKU]],'All Skus'!$A:$AC,16,FALSE)),""))</f>
        <v>50036904308</v>
      </c>
      <c r="O258" s="61">
        <f>(IF((VLOOKUP(Table6[[#This Row],[SKU]],'All Skus'!$A:$AC,2,FALSE))="JBL",(VLOOKUP(Table6[[#This Row],[SKU]],'All Skus'!$A:$AC,17,FALSE)),""))</f>
        <v>0</v>
      </c>
      <c r="P258" s="136">
        <f>(IF((VLOOKUP(Table6[[#This Row],[SKU]],'All Skus'!$A:$AC,2,FALSE))="JBL",(VLOOKUP(Table6[[#This Row],[SKU]],'All Skus'!$A:$AC,18,FALSE)),""))</f>
        <v>46.1</v>
      </c>
      <c r="Q258" s="136">
        <f>(IF((VLOOKUP(Table6[[#This Row],[SKU]],'All Skus'!$A:$AC,2,FALSE))="JBL",(VLOOKUP(Table6[[#This Row],[SKU]],'All Skus'!$A:$AC,19,FALSE)),""))</f>
        <v>50</v>
      </c>
      <c r="R258" s="136">
        <f>(IF((VLOOKUP(Table6[[#This Row],[SKU]],'All Skus'!$A:$AC,2,FALSE))="JBL",(VLOOKUP(Table6[[#This Row],[SKU]],'All Skus'!$A:$AC,20,FALSE)),""))</f>
        <v>20</v>
      </c>
      <c r="S258" s="61">
        <f>(IF((VLOOKUP(Table6[[#This Row],[SKU]],'All Skus'!$A:$AC,2,FALSE))="JBL",(VLOOKUP(Table6[[#This Row],[SKU]],'All Skus'!$A:$AC,21,FALSE)),""))</f>
        <v>9</v>
      </c>
      <c r="T258" s="61" t="str">
        <f>(IF((VLOOKUP(Table6[[#This Row],[SKU]],'All Skus'!$A:$AC,2,FALSE))="JBL",(VLOOKUP(Table6[[#This Row],[SKU]],'All Skus'!$A:$AC,22,FALSE)),""))</f>
        <v>CN</v>
      </c>
      <c r="U258" t="str">
        <f>(IF((VLOOKUP(Table6[[#This Row],[SKU]],'All Skus'!$A:$AC,2,FALSE))="JBL",(VLOOKUP(Table6[[#This Row],[SKU]],'All Skus'!$A:$AC,23,FALSE)),""))</f>
        <v>Non Compliant</v>
      </c>
      <c r="V258" s="284" t="str">
        <f>HYPERLINK((IF((VLOOKUP(Table6[[#This Row],[SKU]],'All Skus'!$A:$AC,2,FALSE))="JBL",(VLOOKUP(Table6[[#This Row],[SKU]],'All Skus'!$A:$AC,24,FALSE)),"")))</f>
        <v xml:space="preserve">http://www.jblpro.com/www/products/installed-sound/cbt-series/cbt200la-1 </v>
      </c>
      <c r="W258" s="151">
        <v>256</v>
      </c>
    </row>
    <row r="259" spans="1:23" ht="15" hidden="1" customHeight="1">
      <c r="A259" s="13" t="s">
        <v>1265</v>
      </c>
      <c r="B259" s="12" t="str">
        <f>(IF((VLOOKUP(Table6[[#This Row],[SKU]],'All Skus'!$A:$AC,2,FALSE))="JBL",(VLOOKUP(Table6[[#This Row],[SKU]],'All Skus'!$A:$AC,3,FALSE)),""))</f>
        <v>Column Speaker</v>
      </c>
      <c r="C259" s="12" t="str">
        <f>(IF((VLOOKUP(Table6[[#This Row],[SKU]],'All Skus'!$A:$AC,2,FALSE))="JBL",(VLOOKUP(Table6[[#This Row],[SKU]],'All Skus'!$A:$AC,4,FALSE)),""))</f>
        <v>CBT 70J-1</v>
      </c>
      <c r="D259" s="61" t="str">
        <f>(IF((VLOOKUP(Table6[[#This Row],[SKU]],'All Skus'!$A:$AC,2,FALSE))="JBL",(VLOOKUP(Table6[[#This Row],[SKU]],'All Skus'!$A:$AC,5,FALSE)),""))</f>
        <v>JBL018</v>
      </c>
      <c r="E259" s="137">
        <f>(IF((VLOOKUP(Table6[[#This Row],[SKU]],'All Skus'!$A:$AC,2,FALSE))="JBL",(VLOOKUP(Table6[[#This Row],[SKU]],'All Skus'!$A:$AC,6,FALSE)),""))</f>
        <v>0</v>
      </c>
      <c r="F259" s="61">
        <f>(IF((VLOOKUP(Table6[[#This Row],[SKU]],'All Skus'!$A:$AC,2,FALSE))="JBL",(VLOOKUP(Table6[[#This Row],[SKU]],'All Skus'!$A:$AC,7,FALSE)),""))</f>
        <v>0</v>
      </c>
      <c r="G259" t="str">
        <f>(IF((VLOOKUP(Table6[[#This Row],[SKU]],'All Skus'!$A:$AC,2,FALSE))="JBL",(VLOOKUP(Table6[[#This Row],[SKU]],'All Skus'!$A:$AC,8,FALSE)),""))</f>
        <v>High-Power J-shaped line array column</v>
      </c>
      <c r="H259" s="8" t="str">
        <f>(IF((VLOOKUP(Table6[[#This Row],[SKU]],'All Skus'!$A:$AC,2,FALSE))="JBL",(VLOOKUP(Table6[[#This Row],[SKU]],'All Skus'!$A:$AC,9,FALSE)),""))</f>
        <v>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v>
      </c>
      <c r="I259" s="101">
        <f>(IF((VLOOKUP(Table6[[#This Row],[SKU]],'All Skus'!$A:$AC,2,FALSE))="JBL",(VLOOKUP(Table6[[#This Row],[SKU]],'All Skus'!$A:$AC,10,FALSE)),""))</f>
        <v>1602.11</v>
      </c>
      <c r="J259" s="101">
        <f>(IF((VLOOKUP(Table6[[#This Row],[SKU]],'All Skus'!$A:$AC,2,FALSE))="JBL",(VLOOKUP(Table6[[#This Row],[SKU]],'All Skus'!$A:$AC,11,FALSE)),""))</f>
        <v>1283</v>
      </c>
      <c r="K259" s="102">
        <f>(IF((VLOOKUP(Table6[[#This Row],[SKU]],'All Skus'!$A:$AC,2,FALSE))="JBL",(VLOOKUP(Table6[[#This Row],[SKU]],'All Skus'!$A:$AC,13,FALSE)),""))</f>
        <v>0</v>
      </c>
      <c r="L259" s="102">
        <f>(IF((VLOOKUP(Table6[[#This Row],[SKU]],'All Skus'!$A:$AC,2,FALSE))="JBL",(VLOOKUP(Table6[[#This Row],[SKU]],'All Skus'!$A:$AC,14,FALSE)),""))</f>
        <v>0</v>
      </c>
      <c r="M259" s="143">
        <f>(IF((VLOOKUP(Table6[[#This Row],[SKU]],'All Skus'!$A:$AC,2,FALSE))="JBL",(VLOOKUP(Table6[[#This Row],[SKU]],'All Skus'!$A:$AC,15,FALSE)),""))</f>
        <v>0</v>
      </c>
      <c r="N259" s="137">
        <f>(IF((VLOOKUP(Table6[[#This Row],[SKU]],'All Skus'!$A:$AC,2,FALSE))="JBL",(VLOOKUP(Table6[[#This Row],[SKU]],'All Skus'!$A:$AC,16,FALSE)),""))</f>
        <v>50036904216</v>
      </c>
      <c r="O259" s="61">
        <f>(IF((VLOOKUP(Table6[[#This Row],[SKU]],'All Skus'!$A:$AC,2,FALSE))="JBL",(VLOOKUP(Table6[[#This Row],[SKU]],'All Skus'!$A:$AC,17,FALSE)),""))</f>
        <v>0</v>
      </c>
      <c r="P259" s="136">
        <f>(IF((VLOOKUP(Table6[[#This Row],[SKU]],'All Skus'!$A:$AC,2,FALSE))="JBL",(VLOOKUP(Table6[[#This Row],[SKU]],'All Skus'!$A:$AC,18,FALSE)),""))</f>
        <v>31.95</v>
      </c>
      <c r="Q259" s="136">
        <f>(IF((VLOOKUP(Table6[[#This Row],[SKU]],'All Skus'!$A:$AC,2,FALSE))="JBL",(VLOOKUP(Table6[[#This Row],[SKU]],'All Skus'!$A:$AC,19,FALSE)),""))</f>
        <v>36.5</v>
      </c>
      <c r="R259" s="136">
        <f>(IF((VLOOKUP(Table6[[#This Row],[SKU]],'All Skus'!$A:$AC,2,FALSE))="JBL",(VLOOKUP(Table6[[#This Row],[SKU]],'All Skus'!$A:$AC,20,FALSE)),""))</f>
        <v>14</v>
      </c>
      <c r="S259" s="61">
        <f>(IF((VLOOKUP(Table6[[#This Row],[SKU]],'All Skus'!$A:$AC,2,FALSE))="JBL",(VLOOKUP(Table6[[#This Row],[SKU]],'All Skus'!$A:$AC,21,FALSE)),""))</f>
        <v>12</v>
      </c>
      <c r="T259" s="61" t="str">
        <f>(IF((VLOOKUP(Table6[[#This Row],[SKU]],'All Skus'!$A:$AC,2,FALSE))="JBL",(VLOOKUP(Table6[[#This Row],[SKU]],'All Skus'!$A:$AC,22,FALSE)),""))</f>
        <v>CN</v>
      </c>
      <c r="U259" t="str">
        <f>(IF((VLOOKUP(Table6[[#This Row],[SKU]],'All Skus'!$A:$AC,2,FALSE))="JBL",(VLOOKUP(Table6[[#This Row],[SKU]],'All Skus'!$A:$AC,23,FALSE)),""))</f>
        <v>Non Compliant</v>
      </c>
      <c r="V259" s="284" t="str">
        <f>HYPERLINK((IF((VLOOKUP(Table6[[#This Row],[SKU]],'All Skus'!$A:$AC,2,FALSE))="JBL",(VLOOKUP(Table6[[#This Row],[SKU]],'All Skus'!$A:$AC,24,FALSE)),"")))</f>
        <v xml:space="preserve">http://www.jblpro.com/www/products/installed-sound/cbt-series/cbt70j-1 </v>
      </c>
      <c r="W259" s="151">
        <v>257</v>
      </c>
    </row>
    <row r="260" spans="1:23" ht="15" hidden="1" customHeight="1">
      <c r="A260" s="13" t="s">
        <v>1266</v>
      </c>
      <c r="B260" s="12" t="str">
        <f>(IF((VLOOKUP(Table6[[#This Row],[SKU]],'All Skus'!$A:$AC,2,FALSE))="JBL",(VLOOKUP(Table6[[#This Row],[SKU]],'All Skus'!$A:$AC,3,FALSE)),""))</f>
        <v>Column Speaker</v>
      </c>
      <c r="C260" s="12" t="str">
        <f>(IF((VLOOKUP(Table6[[#This Row],[SKU]],'All Skus'!$A:$AC,2,FALSE))="JBL",(VLOOKUP(Table6[[#This Row],[SKU]],'All Skus'!$A:$AC,4,FALSE)),""))</f>
        <v>CBT 70J-1-WH</v>
      </c>
      <c r="D260" s="61" t="str">
        <f>(IF((VLOOKUP(Table6[[#This Row],[SKU]],'All Skus'!$A:$AC,2,FALSE))="JBL",(VLOOKUP(Table6[[#This Row],[SKU]],'All Skus'!$A:$AC,5,FALSE)),""))</f>
        <v>JBL018</v>
      </c>
      <c r="E260" s="137">
        <f>(IF((VLOOKUP(Table6[[#This Row],[SKU]],'All Skus'!$A:$AC,2,FALSE))="JBL",(VLOOKUP(Table6[[#This Row],[SKU]],'All Skus'!$A:$AC,6,FALSE)),""))</f>
        <v>0</v>
      </c>
      <c r="F260" s="61">
        <f>(IF((VLOOKUP(Table6[[#This Row],[SKU]],'All Skus'!$A:$AC,2,FALSE))="JBL",(VLOOKUP(Table6[[#This Row],[SKU]],'All Skus'!$A:$AC,7,FALSE)),""))</f>
        <v>0</v>
      </c>
      <c r="G260" t="str">
        <f>(IF((VLOOKUP(Table6[[#This Row],[SKU]],'All Skus'!$A:$AC,2,FALSE))="JBL",(VLOOKUP(Table6[[#This Row],[SKU]],'All Skus'!$A:$AC,8,FALSE)),""))</f>
        <v>High-Power J-shaped line array column</v>
      </c>
      <c r="H260" s="8" t="str">
        <f>(IF((VLOOKUP(Table6[[#This Row],[SKU]],'All Skus'!$A:$AC,2,FALSE))="JBL",(VLOOKUP(Table6[[#This Row],[SKU]],'All Skus'!$A:$AC,9,FALSE)),""))</f>
        <v>70 cm J-Shaped Coaxial Line Array with 16 x 1” and 4 x 5” Drivers and Asymmetrical Coverage.  Constant Beamwidth Technology, switchable 45° or 25° vertical coverage, music (flat)/speech switch, 8 ohms, 60 Hz – 20 kHz, 500W cont pink (2000W peak), wall bracket included.  (priced and sold individually).  New in -1 version:  Included wall bracket adjusts for SWIVEL (pan) as well as tilt aiming, for increased aiming versatitlity.  Thicker, stronger grille which is more robust for use in temporary special event applications.</v>
      </c>
      <c r="I260" s="101">
        <f>(IF((VLOOKUP(Table6[[#This Row],[SKU]],'All Skus'!$A:$AC,2,FALSE))="JBL",(VLOOKUP(Table6[[#This Row],[SKU]],'All Skus'!$A:$AC,10,FALSE)),""))</f>
        <v>1602.11</v>
      </c>
      <c r="J260" s="101">
        <f>(IF((VLOOKUP(Table6[[#This Row],[SKU]],'All Skus'!$A:$AC,2,FALSE))="JBL",(VLOOKUP(Table6[[#This Row],[SKU]],'All Skus'!$A:$AC,11,FALSE)),""))</f>
        <v>1283</v>
      </c>
      <c r="K260" s="102">
        <f>(IF((VLOOKUP(Table6[[#This Row],[SKU]],'All Skus'!$A:$AC,2,FALSE))="JBL",(VLOOKUP(Table6[[#This Row],[SKU]],'All Skus'!$A:$AC,13,FALSE)),""))</f>
        <v>0</v>
      </c>
      <c r="L260" s="102">
        <f>(IF((VLOOKUP(Table6[[#This Row],[SKU]],'All Skus'!$A:$AC,2,FALSE))="JBL",(VLOOKUP(Table6[[#This Row],[SKU]],'All Skus'!$A:$AC,14,FALSE)),""))</f>
        <v>0</v>
      </c>
      <c r="M260" s="143">
        <f>(IF((VLOOKUP(Table6[[#This Row],[SKU]],'All Skus'!$A:$AC,2,FALSE))="JBL",(VLOOKUP(Table6[[#This Row],[SKU]],'All Skus'!$A:$AC,15,FALSE)),""))</f>
        <v>1</v>
      </c>
      <c r="N260" s="137">
        <f>(IF((VLOOKUP(Table6[[#This Row],[SKU]],'All Skus'!$A:$AC,2,FALSE))="JBL",(VLOOKUP(Table6[[#This Row],[SKU]],'All Skus'!$A:$AC,16,FALSE)),""))</f>
        <v>50036904223</v>
      </c>
      <c r="O260" s="61">
        <f>(IF((VLOOKUP(Table6[[#This Row],[SKU]],'All Skus'!$A:$AC,2,FALSE))="JBL",(VLOOKUP(Table6[[#This Row],[SKU]],'All Skus'!$A:$AC,17,FALSE)),""))</f>
        <v>0</v>
      </c>
      <c r="P260" s="136">
        <f>(IF((VLOOKUP(Table6[[#This Row],[SKU]],'All Skus'!$A:$AC,2,FALSE))="JBL",(VLOOKUP(Table6[[#This Row],[SKU]],'All Skus'!$A:$AC,18,FALSE)),""))</f>
        <v>31.7</v>
      </c>
      <c r="Q260" s="136">
        <f>(IF((VLOOKUP(Table6[[#This Row],[SKU]],'All Skus'!$A:$AC,2,FALSE))="JBL",(VLOOKUP(Table6[[#This Row],[SKU]],'All Skus'!$A:$AC,19,FALSE)),""))</f>
        <v>36.5</v>
      </c>
      <c r="R260" s="136">
        <f>(IF((VLOOKUP(Table6[[#This Row],[SKU]],'All Skus'!$A:$AC,2,FALSE))="JBL",(VLOOKUP(Table6[[#This Row],[SKU]],'All Skus'!$A:$AC,20,FALSE)),""))</f>
        <v>13.5</v>
      </c>
      <c r="S260" s="61">
        <f>(IF((VLOOKUP(Table6[[#This Row],[SKU]],'All Skus'!$A:$AC,2,FALSE))="JBL",(VLOOKUP(Table6[[#This Row],[SKU]],'All Skus'!$A:$AC,21,FALSE)),""))</f>
        <v>12.5</v>
      </c>
      <c r="T260" s="61" t="str">
        <f>(IF((VLOOKUP(Table6[[#This Row],[SKU]],'All Skus'!$A:$AC,2,FALSE))="JBL",(VLOOKUP(Table6[[#This Row],[SKU]],'All Skus'!$A:$AC,22,FALSE)),""))</f>
        <v>CN</v>
      </c>
      <c r="U260" t="str">
        <f>(IF((VLOOKUP(Table6[[#This Row],[SKU]],'All Skus'!$A:$AC,2,FALSE))="JBL",(VLOOKUP(Table6[[#This Row],[SKU]],'All Skus'!$A:$AC,23,FALSE)),""))</f>
        <v>Non Compliant</v>
      </c>
      <c r="V260" s="284" t="str">
        <f>HYPERLINK((IF((VLOOKUP(Table6[[#This Row],[SKU]],'All Skus'!$A:$AC,2,FALSE))="JBL",(VLOOKUP(Table6[[#This Row],[SKU]],'All Skus'!$A:$AC,24,FALSE)),"")))</f>
        <v xml:space="preserve">http://www.jblpro.com/www/products/installed-sound/cbt-series/cbt70j-1 </v>
      </c>
      <c r="W260" s="151">
        <v>258</v>
      </c>
    </row>
    <row r="261" spans="1:23" ht="15" hidden="1" customHeight="1">
      <c r="A261" s="13" t="s">
        <v>1267</v>
      </c>
      <c r="B261" s="12" t="str">
        <f>(IF((VLOOKUP(Table6[[#This Row],[SKU]],'All Skus'!$A:$AC,2,FALSE))="JBL",(VLOOKUP(Table6[[#This Row],[SKU]],'All Skus'!$A:$AC,3,FALSE)),""))</f>
        <v>Column Speaker</v>
      </c>
      <c r="C261" s="12" t="str">
        <f>(IF((VLOOKUP(Table6[[#This Row],[SKU]],'All Skus'!$A:$AC,2,FALSE))="JBL",(VLOOKUP(Table6[[#This Row],[SKU]],'All Skus'!$A:$AC,4,FALSE)),""))</f>
        <v>CBT 70JE-1</v>
      </c>
      <c r="D261" s="61" t="str">
        <f>(IF((VLOOKUP(Table6[[#This Row],[SKU]],'All Skus'!$A:$AC,2,FALSE))="JBL",(VLOOKUP(Table6[[#This Row],[SKU]],'All Skus'!$A:$AC,5,FALSE)),""))</f>
        <v>JBL018</v>
      </c>
      <c r="E261" s="137">
        <f>(IF((VLOOKUP(Table6[[#This Row],[SKU]],'All Skus'!$A:$AC,2,FALSE))="JBL",(VLOOKUP(Table6[[#This Row],[SKU]],'All Skus'!$A:$AC,6,FALSE)),""))</f>
        <v>0</v>
      </c>
      <c r="F261" s="61">
        <f>(IF((VLOOKUP(Table6[[#This Row],[SKU]],'All Skus'!$A:$AC,2,FALSE))="JBL",(VLOOKUP(Table6[[#This Row],[SKU]],'All Skus'!$A:$AC,7,FALSE)),""))</f>
        <v>0</v>
      </c>
      <c r="G261" t="str">
        <f>(IF((VLOOKUP(Table6[[#This Row],[SKU]],'All Skus'!$A:$AC,2,FALSE))="JBL",(VLOOKUP(Table6[[#This Row],[SKU]],'All Skus'!$A:$AC,8,FALSE)),""))</f>
        <v>S/M, CBT 70JE</v>
      </c>
      <c r="H261" s="8" t="str">
        <f>(IF((VLOOKUP(Table6[[#This Row],[SKU]],'All Skus'!$A:$AC,2,FALSE))="JBL",(VLOOKUP(Table6[[#This Row],[SKU]],'All Skus'!$A:$AC,9,FALSE)),""))</f>
        <v>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v>
      </c>
      <c r="I261" s="101">
        <f>(IF((VLOOKUP(Table6[[#This Row],[SKU]],'All Skus'!$A:$AC,2,FALSE))="JBL",(VLOOKUP(Table6[[#This Row],[SKU]],'All Skus'!$A:$AC,10,FALSE)),""))</f>
        <v>908.14</v>
      </c>
      <c r="J261" s="101">
        <f>(IF((VLOOKUP(Table6[[#This Row],[SKU]],'All Skus'!$A:$AC,2,FALSE))="JBL",(VLOOKUP(Table6[[#This Row],[SKU]],'All Skus'!$A:$AC,11,FALSE)),""))</f>
        <v>727</v>
      </c>
      <c r="K261" s="102">
        <f>(IF((VLOOKUP(Table6[[#This Row],[SKU]],'All Skus'!$A:$AC,2,FALSE))="JBL",(VLOOKUP(Table6[[#This Row],[SKU]],'All Skus'!$A:$AC,13,FALSE)),""))</f>
        <v>0</v>
      </c>
      <c r="L261" s="102">
        <f>(IF((VLOOKUP(Table6[[#This Row],[SKU]],'All Skus'!$A:$AC,2,FALSE))="JBL",(VLOOKUP(Table6[[#This Row],[SKU]],'All Skus'!$A:$AC,14,FALSE)),""))</f>
        <v>0</v>
      </c>
      <c r="M261" s="143">
        <f>(IF((VLOOKUP(Table6[[#This Row],[SKU]],'All Skus'!$A:$AC,2,FALSE))="JBL",(VLOOKUP(Table6[[#This Row],[SKU]],'All Skus'!$A:$AC,15,FALSE)),""))</f>
        <v>0</v>
      </c>
      <c r="N261" s="137">
        <f>(IF((VLOOKUP(Table6[[#This Row],[SKU]],'All Skus'!$A:$AC,2,FALSE))="JBL",(VLOOKUP(Table6[[#This Row],[SKU]],'All Skus'!$A:$AC,16,FALSE)),""))</f>
        <v>50036904230</v>
      </c>
      <c r="O261" s="61">
        <f>(IF((VLOOKUP(Table6[[#This Row],[SKU]],'All Skus'!$A:$AC,2,FALSE))="JBL",(VLOOKUP(Table6[[#This Row],[SKU]],'All Skus'!$A:$AC,17,FALSE)),""))</f>
        <v>0</v>
      </c>
      <c r="P261" s="136">
        <f>(IF((VLOOKUP(Table6[[#This Row],[SKU]],'All Skus'!$A:$AC,2,FALSE))="JBL",(VLOOKUP(Table6[[#This Row],[SKU]],'All Skus'!$A:$AC,18,FALSE)),""))</f>
        <v>26.1</v>
      </c>
      <c r="Q261" s="136">
        <f>(IF((VLOOKUP(Table6[[#This Row],[SKU]],'All Skus'!$A:$AC,2,FALSE))="JBL",(VLOOKUP(Table6[[#This Row],[SKU]],'All Skus'!$A:$AC,19,FALSE)),""))</f>
        <v>31</v>
      </c>
      <c r="R261" s="136">
        <f>(IF((VLOOKUP(Table6[[#This Row],[SKU]],'All Skus'!$A:$AC,2,FALSE))="JBL",(VLOOKUP(Table6[[#This Row],[SKU]],'All Skus'!$A:$AC,20,FALSE)),""))</f>
        <v>13</v>
      </c>
      <c r="S261" s="61">
        <f>(IF((VLOOKUP(Table6[[#This Row],[SKU]],'All Skus'!$A:$AC,2,FALSE))="JBL",(VLOOKUP(Table6[[#This Row],[SKU]],'All Skus'!$A:$AC,21,FALSE)),""))</f>
        <v>12</v>
      </c>
      <c r="T261" s="61" t="str">
        <f>(IF((VLOOKUP(Table6[[#This Row],[SKU]],'All Skus'!$A:$AC,2,FALSE))="JBL",(VLOOKUP(Table6[[#This Row],[SKU]],'All Skus'!$A:$AC,22,FALSE)),""))</f>
        <v>CN</v>
      </c>
      <c r="U261" t="str">
        <f>(IF((VLOOKUP(Table6[[#This Row],[SKU]],'All Skus'!$A:$AC,2,FALSE))="JBL",(VLOOKUP(Table6[[#This Row],[SKU]],'All Skus'!$A:$AC,23,FALSE)),""))</f>
        <v>Non Compliant</v>
      </c>
      <c r="V261" s="284" t="str">
        <f>HYPERLINK((IF((VLOOKUP(Table6[[#This Row],[SKU]],'All Skus'!$A:$AC,2,FALSE))="JBL",(VLOOKUP(Table6[[#This Row],[SKU]],'All Skus'!$A:$AC,24,FALSE)),"")))</f>
        <v xml:space="preserve">http://www.jblpro.com/www/products/installed-sound/cbt-series/cbt70j-1-plus-70je-1-system </v>
      </c>
      <c r="W261" s="151">
        <v>259</v>
      </c>
    </row>
    <row r="262" spans="1:23" ht="15" hidden="1" customHeight="1">
      <c r="A262" s="13" t="s">
        <v>1268</v>
      </c>
      <c r="B262" s="12" t="str">
        <f>(IF((VLOOKUP(Table6[[#This Row],[SKU]],'All Skus'!$A:$AC,2,FALSE))="JBL",(VLOOKUP(Table6[[#This Row],[SKU]],'All Skus'!$A:$AC,3,FALSE)),""))</f>
        <v>Column Speaker</v>
      </c>
      <c r="C262" s="12" t="str">
        <f>(IF((VLOOKUP(Table6[[#This Row],[SKU]],'All Skus'!$A:$AC,2,FALSE))="JBL",(VLOOKUP(Table6[[#This Row],[SKU]],'All Skus'!$A:$AC,4,FALSE)),""))</f>
        <v>CBT 70JE-1-WH</v>
      </c>
      <c r="D262" s="61" t="str">
        <f>(IF((VLOOKUP(Table6[[#This Row],[SKU]],'All Skus'!$A:$AC,2,FALSE))="JBL",(VLOOKUP(Table6[[#This Row],[SKU]],'All Skus'!$A:$AC,5,FALSE)),""))</f>
        <v>JBL018</v>
      </c>
      <c r="E262" s="137">
        <f>(IF((VLOOKUP(Table6[[#This Row],[SKU]],'All Skus'!$A:$AC,2,FALSE))="JBL",(VLOOKUP(Table6[[#This Row],[SKU]],'All Skus'!$A:$AC,6,FALSE)),""))</f>
        <v>0</v>
      </c>
      <c r="F262" s="61">
        <f>(IF((VLOOKUP(Table6[[#This Row],[SKU]],'All Skus'!$A:$AC,2,FALSE))="JBL",(VLOOKUP(Table6[[#This Row],[SKU]],'All Skus'!$A:$AC,7,FALSE)),""))</f>
        <v>0</v>
      </c>
      <c r="G262" t="str">
        <f>(IF((VLOOKUP(Table6[[#This Row],[SKU]],'All Skus'!$A:$AC,2,FALSE))="JBL",(VLOOKUP(Table6[[#This Row],[SKU]],'All Skus'!$A:$AC,8,FALSE)),""))</f>
        <v>S/M, CBT 70JE</v>
      </c>
      <c r="H262" s="8" t="str">
        <f>(IF((VLOOKUP(Table6[[#This Row],[SKU]],'All Skus'!$A:$AC,2,FALSE))="JBL",(VLOOKUP(Table6[[#This Row],[SKU]],'All Skus'!$A:$AC,9,FALSE)),""))</f>
        <v>70 cm Extension for CBT 70J-1 Line Array, 4 x 5” Drivers. 500W continuous pink noise, 8 ohms, linking bracket included, 70 cm tall for 140 cm tall CBT 70J-1/JE-1 array, connect 70J-1 and 70JE-1 in parallel. (priced and sold individually). Combined with CBT 70J-1, system response is 45 Hz – 20 kHz with well controlled pattern to 250 Hz.</v>
      </c>
      <c r="I262" s="101">
        <f>(IF((VLOOKUP(Table6[[#This Row],[SKU]],'All Skus'!$A:$AC,2,FALSE))="JBL",(VLOOKUP(Table6[[#This Row],[SKU]],'All Skus'!$A:$AC,10,FALSE)),""))</f>
        <v>908.14</v>
      </c>
      <c r="J262" s="101">
        <f>(IF((VLOOKUP(Table6[[#This Row],[SKU]],'All Skus'!$A:$AC,2,FALSE))="JBL",(VLOOKUP(Table6[[#This Row],[SKU]],'All Skus'!$A:$AC,11,FALSE)),""))</f>
        <v>727</v>
      </c>
      <c r="K262" s="102">
        <f>(IF((VLOOKUP(Table6[[#This Row],[SKU]],'All Skus'!$A:$AC,2,FALSE))="JBL",(VLOOKUP(Table6[[#This Row],[SKU]],'All Skus'!$A:$AC,13,FALSE)),""))</f>
        <v>0</v>
      </c>
      <c r="L262" s="102">
        <f>(IF((VLOOKUP(Table6[[#This Row],[SKU]],'All Skus'!$A:$AC,2,FALSE))="JBL",(VLOOKUP(Table6[[#This Row],[SKU]],'All Skus'!$A:$AC,14,FALSE)),""))</f>
        <v>0</v>
      </c>
      <c r="M262" s="143">
        <f>(IF((VLOOKUP(Table6[[#This Row],[SKU]],'All Skus'!$A:$AC,2,FALSE))="JBL",(VLOOKUP(Table6[[#This Row],[SKU]],'All Skus'!$A:$AC,15,FALSE)),""))</f>
        <v>0</v>
      </c>
      <c r="N262" s="137">
        <f>(IF((VLOOKUP(Table6[[#This Row],[SKU]],'All Skus'!$A:$AC,2,FALSE))="JBL",(VLOOKUP(Table6[[#This Row],[SKU]],'All Skus'!$A:$AC,16,FALSE)),""))</f>
        <v>50036904247</v>
      </c>
      <c r="O262" s="61">
        <f>(IF((VLOOKUP(Table6[[#This Row],[SKU]],'All Skus'!$A:$AC,2,FALSE))="JBL",(VLOOKUP(Table6[[#This Row],[SKU]],'All Skus'!$A:$AC,17,FALSE)),""))</f>
        <v>0</v>
      </c>
      <c r="P262" s="136">
        <f>(IF((VLOOKUP(Table6[[#This Row],[SKU]],'All Skus'!$A:$AC,2,FALSE))="JBL",(VLOOKUP(Table6[[#This Row],[SKU]],'All Skus'!$A:$AC,18,FALSE)),""))</f>
        <v>27.65</v>
      </c>
      <c r="Q262" s="136">
        <f>(IF((VLOOKUP(Table6[[#This Row],[SKU]],'All Skus'!$A:$AC,2,FALSE))="JBL",(VLOOKUP(Table6[[#This Row],[SKU]],'All Skus'!$A:$AC,19,FALSE)),""))</f>
        <v>31</v>
      </c>
      <c r="R262" s="136">
        <f>(IF((VLOOKUP(Table6[[#This Row],[SKU]],'All Skus'!$A:$AC,2,FALSE))="JBL",(VLOOKUP(Table6[[#This Row],[SKU]],'All Skus'!$A:$AC,20,FALSE)),""))</f>
        <v>14</v>
      </c>
      <c r="S262" s="61">
        <f>(IF((VLOOKUP(Table6[[#This Row],[SKU]],'All Skus'!$A:$AC,2,FALSE))="JBL",(VLOOKUP(Table6[[#This Row],[SKU]],'All Skus'!$A:$AC,21,FALSE)),""))</f>
        <v>12</v>
      </c>
      <c r="T262" s="61" t="str">
        <f>(IF((VLOOKUP(Table6[[#This Row],[SKU]],'All Skus'!$A:$AC,2,FALSE))="JBL",(VLOOKUP(Table6[[#This Row],[SKU]],'All Skus'!$A:$AC,22,FALSE)),""))</f>
        <v>CN</v>
      </c>
      <c r="U262" t="str">
        <f>(IF((VLOOKUP(Table6[[#This Row],[SKU]],'All Skus'!$A:$AC,2,FALSE))="JBL",(VLOOKUP(Table6[[#This Row],[SKU]],'All Skus'!$A:$AC,23,FALSE)),""))</f>
        <v>Non Compliant</v>
      </c>
      <c r="V262" s="284" t="str">
        <f>HYPERLINK((IF((VLOOKUP(Table6[[#This Row],[SKU]],'All Skus'!$A:$AC,2,FALSE))="JBL",(VLOOKUP(Table6[[#This Row],[SKU]],'All Skus'!$A:$AC,24,FALSE)),"")))</f>
        <v xml:space="preserve">http://www.jblpro.com/www/products/installed-sound/cbt-series/cbt70j-1-plus-70je-1-system </v>
      </c>
      <c r="W262" s="151">
        <v>260</v>
      </c>
    </row>
    <row r="263" spans="1:23" ht="15" hidden="1" customHeight="1">
      <c r="A263" s="13" t="s">
        <v>1269</v>
      </c>
      <c r="B263" s="12" t="str">
        <f>(IF((VLOOKUP(Table6[[#This Row],[SKU]],'All Skus'!$A:$AC,2,FALSE))="JBL",(VLOOKUP(Table6[[#This Row],[SKU]],'All Skus'!$A:$AC,3,FALSE)),""))</f>
        <v>Column Speaker</v>
      </c>
      <c r="C263" s="12" t="str">
        <f>(IF((VLOOKUP(Table6[[#This Row],[SKU]],'All Skus'!$A:$AC,2,FALSE))="JBL",(VLOOKUP(Table6[[#This Row],[SKU]],'All Skus'!$A:$AC,4,FALSE)),""))</f>
        <v>CBT 1000</v>
      </c>
      <c r="D263" s="61" t="str">
        <f>(IF((VLOOKUP(Table6[[#This Row],[SKU]],'All Skus'!$A:$AC,2,FALSE))="JBL",(VLOOKUP(Table6[[#This Row],[SKU]],'All Skus'!$A:$AC,5,FALSE)),""))</f>
        <v>JBL018</v>
      </c>
      <c r="E263" s="137">
        <f>(IF((VLOOKUP(Table6[[#This Row],[SKU]],'All Skus'!$A:$AC,2,FALSE))="JBL",(VLOOKUP(Table6[[#This Row],[SKU]],'All Skus'!$A:$AC,6,FALSE)),""))</f>
        <v>0</v>
      </c>
      <c r="F263" s="61">
        <f>(IF((VLOOKUP(Table6[[#This Row],[SKU]],'All Skus'!$A:$AC,2,FALSE))="JBL",(VLOOKUP(Table6[[#This Row],[SKU]],'All Skus'!$A:$AC,7,FALSE)),""))</f>
        <v>0</v>
      </c>
      <c r="G263" t="str">
        <f>(IF((VLOOKUP(Table6[[#This Row],[SKU]],'All Skus'!$A:$AC,2,FALSE))="JBL",(VLOOKUP(Table6[[#This Row],[SKU]],'All Skus'!$A:$AC,8,FALSE)),""))</f>
        <v>High-Output Two-Way Line Array Column with Highly  Adjustable Vertical Coverage</v>
      </c>
      <c r="H263" s="8" t="str">
        <f>(IF((VLOOKUP(Table6[[#This Row],[SKU]],'All Skus'!$A:$AC,2,FALSE))="JBL",(VLOOKUP(Table6[[#This Row],[SKU]],'All Skus'!$A:$AC,9,FALSE)),""))</f>
        <v xml:space="preserve">High-Output Two-Way Line Array Column with Highly  Adjustable Vertical Coverage and Tapered Horizontal Waveguide.  Six (6) 165 mm (6-1/2 in) high-excursion LF drivers and twenty-four (24) 25 mm (1 in) extra-high-power soft dome tweeters. .Constant Beamwidth Technology, switchable between 4 "pattern up" and 4 "pattern down" vertical coverages (for total of 16 settings, music (flat)/speech switch, 4 ohms, 45 Hz – 20 kHz, 1500W cont pink (6000W peak), two-part wall bracket included.  Black. (Priced and sold individually).  </v>
      </c>
      <c r="I263" s="101">
        <f>(IF((VLOOKUP(Table6[[#This Row],[SKU]],'All Skus'!$A:$AC,2,FALSE))="JBL",(VLOOKUP(Table6[[#This Row],[SKU]],'All Skus'!$A:$AC,10,FALSE)),""))</f>
        <v>3274.25</v>
      </c>
      <c r="J263" s="101">
        <f>(IF((VLOOKUP(Table6[[#This Row],[SKU]],'All Skus'!$A:$AC,2,FALSE))="JBL",(VLOOKUP(Table6[[#This Row],[SKU]],'All Skus'!$A:$AC,11,FALSE)),""))</f>
        <v>2615</v>
      </c>
      <c r="K263" s="102">
        <f>(IF((VLOOKUP(Table6[[#This Row],[SKU]],'All Skus'!$A:$AC,2,FALSE))="JBL",(VLOOKUP(Table6[[#This Row],[SKU]],'All Skus'!$A:$AC,13,FALSE)),""))</f>
        <v>0</v>
      </c>
      <c r="L263" s="102">
        <f>(IF((VLOOKUP(Table6[[#This Row],[SKU]],'All Skus'!$A:$AC,2,FALSE))="JBL",(VLOOKUP(Table6[[#This Row],[SKU]],'All Skus'!$A:$AC,14,FALSE)),""))</f>
        <v>0</v>
      </c>
      <c r="M263" s="143">
        <f>(IF((VLOOKUP(Table6[[#This Row],[SKU]],'All Skus'!$A:$AC,2,FALSE))="JBL",(VLOOKUP(Table6[[#This Row],[SKU]],'All Skus'!$A:$AC,15,FALSE)),""))</f>
        <v>0</v>
      </c>
      <c r="N263" s="137">
        <f>(IF((VLOOKUP(Table6[[#This Row],[SKU]],'All Skus'!$A:$AC,2,FALSE))="JBL",(VLOOKUP(Table6[[#This Row],[SKU]],'All Skus'!$A:$AC,16,FALSE)),""))</f>
        <v>691991005688</v>
      </c>
      <c r="O263" s="61">
        <f>(IF((VLOOKUP(Table6[[#This Row],[SKU]],'All Skus'!$A:$AC,2,FALSE))="JBL",(VLOOKUP(Table6[[#This Row],[SKU]],'All Skus'!$A:$AC,17,FALSE)),""))</f>
        <v>0</v>
      </c>
      <c r="P263" s="136">
        <f>(IF((VLOOKUP(Table6[[#This Row],[SKU]],'All Skus'!$A:$AC,2,FALSE))="JBL",(VLOOKUP(Table6[[#This Row],[SKU]],'All Skus'!$A:$AC,18,FALSE)),""))</f>
        <v>84</v>
      </c>
      <c r="Q263" s="136">
        <f>(IF((VLOOKUP(Table6[[#This Row],[SKU]],'All Skus'!$A:$AC,2,FALSE))="JBL",(VLOOKUP(Table6[[#This Row],[SKU]],'All Skus'!$A:$AC,19,FALSE)),""))</f>
        <v>46.5</v>
      </c>
      <c r="R263" s="136">
        <f>(IF((VLOOKUP(Table6[[#This Row],[SKU]],'All Skus'!$A:$AC,2,FALSE))="JBL",(VLOOKUP(Table6[[#This Row],[SKU]],'All Skus'!$A:$AC,20,FALSE)),""))</f>
        <v>18.5</v>
      </c>
      <c r="S263" s="61">
        <f>(IF((VLOOKUP(Table6[[#This Row],[SKU]],'All Skus'!$A:$AC,2,FALSE))="JBL",(VLOOKUP(Table6[[#This Row],[SKU]],'All Skus'!$A:$AC,21,FALSE)),""))</f>
        <v>15.5</v>
      </c>
      <c r="T263" s="61" t="str">
        <f>(IF((VLOOKUP(Table6[[#This Row],[SKU]],'All Skus'!$A:$AC,2,FALSE))="JBL",(VLOOKUP(Table6[[#This Row],[SKU]],'All Skus'!$A:$AC,22,FALSE)),""))</f>
        <v>CN</v>
      </c>
      <c r="U263" t="str">
        <f>(IF((VLOOKUP(Table6[[#This Row],[SKU]],'All Skus'!$A:$AC,2,FALSE))="JBL",(VLOOKUP(Table6[[#This Row],[SKU]],'All Skus'!$A:$AC,23,FALSE)),""))</f>
        <v>Non Compliant</v>
      </c>
      <c r="V263" s="284" t="str">
        <f>HYPERLINK((IF((VLOOKUP(Table6[[#This Row],[SKU]],'All Skus'!$A:$AC,2,FALSE))="JBL",(VLOOKUP(Table6[[#This Row],[SKU]],'All Skus'!$A:$AC,24,FALSE)),"")))</f>
        <v>http://www.jblpro.com/www/products/installed-sound/cbt-series/cbt-1000</v>
      </c>
      <c r="W263" s="151">
        <v>261</v>
      </c>
    </row>
    <row r="264" spans="1:23" ht="15" hidden="1" customHeight="1">
      <c r="A264" s="13" t="s">
        <v>1270</v>
      </c>
      <c r="B264" s="12" t="str">
        <f>(IF((VLOOKUP(Table6[[#This Row],[SKU]],'All Skus'!$A:$AC,2,FALSE))="JBL",(VLOOKUP(Table6[[#This Row],[SKU]],'All Skus'!$A:$AC,3,FALSE)),""))</f>
        <v>Column Speaker</v>
      </c>
      <c r="C264" s="12" t="str">
        <f>(IF((VLOOKUP(Table6[[#This Row],[SKU]],'All Skus'!$A:$AC,2,FALSE))="JBL",(VLOOKUP(Table6[[#This Row],[SKU]],'All Skus'!$A:$AC,4,FALSE)),""))</f>
        <v>CBT 1000E</v>
      </c>
      <c r="D264" s="61" t="str">
        <f>(IF((VLOOKUP(Table6[[#This Row],[SKU]],'All Skus'!$A:$AC,2,FALSE))="JBL",(VLOOKUP(Table6[[#This Row],[SKU]],'All Skus'!$A:$AC,5,FALSE)),""))</f>
        <v>JBL018</v>
      </c>
      <c r="E264" s="137">
        <f>(IF((VLOOKUP(Table6[[#This Row],[SKU]],'All Skus'!$A:$AC,2,FALSE))="JBL",(VLOOKUP(Table6[[#This Row],[SKU]],'All Skus'!$A:$AC,6,FALSE)),""))</f>
        <v>0</v>
      </c>
      <c r="F264" s="61">
        <f>(IF((VLOOKUP(Table6[[#This Row],[SKU]],'All Skus'!$A:$AC,2,FALSE))="JBL",(VLOOKUP(Table6[[#This Row],[SKU]],'All Skus'!$A:$AC,7,FALSE)),""))</f>
        <v>0</v>
      </c>
      <c r="G264" t="str">
        <f>(IF((VLOOKUP(Table6[[#This Row],[SKU]],'All Skus'!$A:$AC,2,FALSE))="JBL",(VLOOKUP(Table6[[#This Row],[SKU]],'All Skus'!$A:$AC,8,FALSE)),""))</f>
        <v>High-Output Column Extension Speaker</v>
      </c>
      <c r="H264" s="8" t="str">
        <f>(IF((VLOOKUP(Table6[[#This Row],[SKU]],'All Skus'!$A:$AC,2,FALSE))="JBL",(VLOOKUP(Table6[[#This Row],[SKU]],'All Skus'!$A:$AC,9,FALSE)),""))</f>
        <v xml:space="preserve">Extension for CBT 1000 Line Array, six (6) 165 mm (6-1/2") high-excursion LF drivers, 1500W cont pink noise (6000 W peak), 8 ohms (note CBT1000+1000E is a 4 ohm system), linking coupler bracket included, 100 cm tall for 200 cm tall CBT 1000+E array, connect CBT1000 and CBT1000E in parallel. Combined with CBT 1000, system response is 38 Hz – 20 kHz with well controlled pattern to 200 Hz.  (priced and sold individually).  </v>
      </c>
      <c r="I264" s="101">
        <f>(IF((VLOOKUP(Table6[[#This Row],[SKU]],'All Skus'!$A:$AC,2,FALSE))="JBL",(VLOOKUP(Table6[[#This Row],[SKU]],'All Skus'!$A:$AC,10,FALSE)),""))</f>
        <v>1791.57</v>
      </c>
      <c r="J264" s="101">
        <f>(IF((VLOOKUP(Table6[[#This Row],[SKU]],'All Skus'!$A:$AC,2,FALSE))="JBL",(VLOOKUP(Table6[[#This Row],[SKU]],'All Skus'!$A:$AC,11,FALSE)),""))</f>
        <v>1431</v>
      </c>
      <c r="K264" s="102">
        <f>(IF((VLOOKUP(Table6[[#This Row],[SKU]],'All Skus'!$A:$AC,2,FALSE))="JBL",(VLOOKUP(Table6[[#This Row],[SKU]],'All Skus'!$A:$AC,13,FALSE)),""))</f>
        <v>0</v>
      </c>
      <c r="L264" s="102">
        <f>(IF((VLOOKUP(Table6[[#This Row],[SKU]],'All Skus'!$A:$AC,2,FALSE))="JBL",(VLOOKUP(Table6[[#This Row],[SKU]],'All Skus'!$A:$AC,14,FALSE)),""))</f>
        <v>0</v>
      </c>
      <c r="M264" s="143">
        <f>(IF((VLOOKUP(Table6[[#This Row],[SKU]],'All Skus'!$A:$AC,2,FALSE))="JBL",(VLOOKUP(Table6[[#This Row],[SKU]],'All Skus'!$A:$AC,15,FALSE)),""))</f>
        <v>0</v>
      </c>
      <c r="N264" s="137">
        <f>(IF((VLOOKUP(Table6[[#This Row],[SKU]],'All Skus'!$A:$AC,2,FALSE))="JBL",(VLOOKUP(Table6[[#This Row],[SKU]],'All Skus'!$A:$AC,16,FALSE)),""))</f>
        <v>691991005701</v>
      </c>
      <c r="O264" s="61">
        <f>(IF((VLOOKUP(Table6[[#This Row],[SKU]],'All Skus'!$A:$AC,2,FALSE))="JBL",(VLOOKUP(Table6[[#This Row],[SKU]],'All Skus'!$A:$AC,17,FALSE)),""))</f>
        <v>0</v>
      </c>
      <c r="P264" s="136">
        <f>(IF((VLOOKUP(Table6[[#This Row],[SKU]],'All Skus'!$A:$AC,2,FALSE))="JBL",(VLOOKUP(Table6[[#This Row],[SKU]],'All Skus'!$A:$AC,18,FALSE)),""))</f>
        <v>64.5</v>
      </c>
      <c r="Q264" s="136">
        <f>(IF((VLOOKUP(Table6[[#This Row],[SKU]],'All Skus'!$A:$AC,2,FALSE))="JBL",(VLOOKUP(Table6[[#This Row],[SKU]],'All Skus'!$A:$AC,19,FALSE)),""))</f>
        <v>46.5</v>
      </c>
      <c r="R264" s="136">
        <f>(IF((VLOOKUP(Table6[[#This Row],[SKU]],'All Skus'!$A:$AC,2,FALSE))="JBL",(VLOOKUP(Table6[[#This Row],[SKU]],'All Skus'!$A:$AC,20,FALSE)),""))</f>
        <v>18.5</v>
      </c>
      <c r="S264" s="61">
        <f>(IF((VLOOKUP(Table6[[#This Row],[SKU]],'All Skus'!$A:$AC,2,FALSE))="JBL",(VLOOKUP(Table6[[#This Row],[SKU]],'All Skus'!$A:$AC,21,FALSE)),""))</f>
        <v>15.5</v>
      </c>
      <c r="T264" s="61" t="str">
        <f>(IF((VLOOKUP(Table6[[#This Row],[SKU]],'All Skus'!$A:$AC,2,FALSE))="JBL",(VLOOKUP(Table6[[#This Row],[SKU]],'All Skus'!$A:$AC,22,FALSE)),""))</f>
        <v>CN</v>
      </c>
      <c r="U264" t="str">
        <f>(IF((VLOOKUP(Table6[[#This Row],[SKU]],'All Skus'!$A:$AC,2,FALSE))="JBL",(VLOOKUP(Table6[[#This Row],[SKU]],'All Skus'!$A:$AC,23,FALSE)),""))</f>
        <v>Non Compliant</v>
      </c>
      <c r="V264" s="284" t="str">
        <f>HYPERLINK((IF((VLOOKUP(Table6[[#This Row],[SKU]],'All Skus'!$A:$AC,2,FALSE))="JBL",(VLOOKUP(Table6[[#This Row],[SKU]],'All Skus'!$A:$AC,24,FALSE)),"")))</f>
        <v>http://www.jblpro.com/www/products/installed-sound/cbt-series/cbt-1000-cbt-1000e-system</v>
      </c>
      <c r="W264" s="151">
        <v>262</v>
      </c>
    </row>
    <row r="265" spans="1:23" ht="15" hidden="1" customHeight="1">
      <c r="A265" s="13" t="s">
        <v>1271</v>
      </c>
      <c r="B265" s="12" t="str">
        <f>(IF((VLOOKUP(Table6[[#This Row],[SKU]],'All Skus'!$A:$AC,2,FALSE))="JBL",(VLOOKUP(Table6[[#This Row],[SKU]],'All Skus'!$A:$AC,3,FALSE)),""))</f>
        <v>Column Speaker</v>
      </c>
      <c r="C265" s="12" t="str">
        <f>(IF((VLOOKUP(Table6[[#This Row],[SKU]],'All Skus'!$A:$AC,2,FALSE))="JBL",(VLOOKUP(Table6[[#This Row],[SKU]],'All Skus'!$A:$AC,4,FALSE)),""))</f>
        <v>CBT 1000E-WH</v>
      </c>
      <c r="D265" s="61" t="str">
        <f>(IF((VLOOKUP(Table6[[#This Row],[SKU]],'All Skus'!$A:$AC,2,FALSE))="JBL",(VLOOKUP(Table6[[#This Row],[SKU]],'All Skus'!$A:$AC,5,FALSE)),""))</f>
        <v>JBL018</v>
      </c>
      <c r="E265" s="137">
        <f>(IF((VLOOKUP(Table6[[#This Row],[SKU]],'All Skus'!$A:$AC,2,FALSE))="JBL",(VLOOKUP(Table6[[#This Row],[SKU]],'All Skus'!$A:$AC,6,FALSE)),""))</f>
        <v>0</v>
      </c>
      <c r="F265" s="61">
        <f>(IF((VLOOKUP(Table6[[#This Row],[SKU]],'All Skus'!$A:$AC,2,FALSE))="JBL",(VLOOKUP(Table6[[#This Row],[SKU]],'All Skus'!$A:$AC,7,FALSE)),""))</f>
        <v>0</v>
      </c>
      <c r="G265" t="str">
        <f>(IF((VLOOKUP(Table6[[#This Row],[SKU]],'All Skus'!$A:$AC,2,FALSE))="JBL",(VLOOKUP(Table6[[#This Row],[SKU]],'All Skus'!$A:$AC,8,FALSE)),""))</f>
        <v>High-Output Column Extension Speaker</v>
      </c>
      <c r="H265" s="8" t="str">
        <f>(IF((VLOOKUP(Table6[[#This Row],[SKU]],'All Skus'!$A:$AC,2,FALSE))="JBL",(VLOOKUP(Table6[[#This Row],[SKU]],'All Skus'!$A:$AC,9,FALSE)),""))</f>
        <v xml:space="preserve">Extension for CBT 1000 Line Array.  Same as CBT1000E, in white.   (priced and sold individually).  </v>
      </c>
      <c r="I265" s="101">
        <f>(IF((VLOOKUP(Table6[[#This Row],[SKU]],'All Skus'!$A:$AC,2,FALSE))="JBL",(VLOOKUP(Table6[[#This Row],[SKU]],'All Skus'!$A:$AC,10,FALSE)),""))</f>
        <v>1791.57</v>
      </c>
      <c r="J265" s="101">
        <f>(IF((VLOOKUP(Table6[[#This Row],[SKU]],'All Skus'!$A:$AC,2,FALSE))="JBL",(VLOOKUP(Table6[[#This Row],[SKU]],'All Skus'!$A:$AC,11,FALSE)),""))</f>
        <v>1431</v>
      </c>
      <c r="K265" s="102">
        <f>(IF((VLOOKUP(Table6[[#This Row],[SKU]],'All Skus'!$A:$AC,2,FALSE))="JBL",(VLOOKUP(Table6[[#This Row],[SKU]],'All Skus'!$A:$AC,13,FALSE)),""))</f>
        <v>0</v>
      </c>
      <c r="L265" s="102">
        <f>(IF((VLOOKUP(Table6[[#This Row],[SKU]],'All Skus'!$A:$AC,2,FALSE))="JBL",(VLOOKUP(Table6[[#This Row],[SKU]],'All Skus'!$A:$AC,14,FALSE)),""))</f>
        <v>0</v>
      </c>
      <c r="M265" s="143">
        <f>(IF((VLOOKUP(Table6[[#This Row],[SKU]],'All Skus'!$A:$AC,2,FALSE))="JBL",(VLOOKUP(Table6[[#This Row],[SKU]],'All Skus'!$A:$AC,15,FALSE)),""))</f>
        <v>0</v>
      </c>
      <c r="N265" s="137">
        <f>(IF((VLOOKUP(Table6[[#This Row],[SKU]],'All Skus'!$A:$AC,2,FALSE))="JBL",(VLOOKUP(Table6[[#This Row],[SKU]],'All Skus'!$A:$AC,16,FALSE)),""))</f>
        <v>691991005718</v>
      </c>
      <c r="O265" s="61">
        <f>(IF((VLOOKUP(Table6[[#This Row],[SKU]],'All Skus'!$A:$AC,2,FALSE))="JBL",(VLOOKUP(Table6[[#This Row],[SKU]],'All Skus'!$A:$AC,17,FALSE)),""))</f>
        <v>0</v>
      </c>
      <c r="P265" s="136">
        <f>(IF((VLOOKUP(Table6[[#This Row],[SKU]],'All Skus'!$A:$AC,2,FALSE))="JBL",(VLOOKUP(Table6[[#This Row],[SKU]],'All Skus'!$A:$AC,18,FALSE)),""))</f>
        <v>64.5</v>
      </c>
      <c r="Q265" s="136">
        <f>(IF((VLOOKUP(Table6[[#This Row],[SKU]],'All Skus'!$A:$AC,2,FALSE))="JBL",(VLOOKUP(Table6[[#This Row],[SKU]],'All Skus'!$A:$AC,19,FALSE)),""))</f>
        <v>46.5</v>
      </c>
      <c r="R265" s="136">
        <f>(IF((VLOOKUP(Table6[[#This Row],[SKU]],'All Skus'!$A:$AC,2,FALSE))="JBL",(VLOOKUP(Table6[[#This Row],[SKU]],'All Skus'!$A:$AC,20,FALSE)),""))</f>
        <v>18.5</v>
      </c>
      <c r="S265" s="61">
        <f>(IF((VLOOKUP(Table6[[#This Row],[SKU]],'All Skus'!$A:$AC,2,FALSE))="JBL",(VLOOKUP(Table6[[#This Row],[SKU]],'All Skus'!$A:$AC,21,FALSE)),""))</f>
        <v>15.5</v>
      </c>
      <c r="T265" s="61" t="str">
        <f>(IF((VLOOKUP(Table6[[#This Row],[SKU]],'All Skus'!$A:$AC,2,FALSE))="JBL",(VLOOKUP(Table6[[#This Row],[SKU]],'All Skus'!$A:$AC,22,FALSE)),""))</f>
        <v>CN</v>
      </c>
      <c r="U265" t="str">
        <f>(IF((VLOOKUP(Table6[[#This Row],[SKU]],'All Skus'!$A:$AC,2,FALSE))="JBL",(VLOOKUP(Table6[[#This Row],[SKU]],'All Skus'!$A:$AC,23,FALSE)),""))</f>
        <v>Non Compliant</v>
      </c>
      <c r="V265" s="284" t="str">
        <f>HYPERLINK((IF((VLOOKUP(Table6[[#This Row],[SKU]],'All Skus'!$A:$AC,2,FALSE))="JBL",(VLOOKUP(Table6[[#This Row],[SKU]],'All Skus'!$A:$AC,24,FALSE)),"")))</f>
        <v>http://www.jblpro.com/www/products/installed-sound/cbt-series/cbt-1000-cbt-1000e-system</v>
      </c>
      <c r="W265" s="151">
        <v>263</v>
      </c>
    </row>
    <row r="266" spans="1:23" ht="15" hidden="1" customHeight="1">
      <c r="A266" s="13" t="s">
        <v>1272</v>
      </c>
      <c r="B266" s="12" t="str">
        <f>(IF((VLOOKUP(Table6[[#This Row],[SKU]],'All Skus'!$A:$AC,2,FALSE))="JBL",(VLOOKUP(Table6[[#This Row],[SKU]],'All Skus'!$A:$AC,3,FALSE)),""))</f>
        <v>Column Speaker</v>
      </c>
      <c r="C266" s="12" t="str">
        <f>(IF((VLOOKUP(Table6[[#This Row],[SKU]],'All Skus'!$A:$AC,2,FALSE))="JBL",(VLOOKUP(Table6[[#This Row],[SKU]],'All Skus'!$A:$AC,4,FALSE)),""))</f>
        <v>CBT 1000-WH</v>
      </c>
      <c r="D266" s="61" t="str">
        <f>(IF((VLOOKUP(Table6[[#This Row],[SKU]],'All Skus'!$A:$AC,2,FALSE))="JBL",(VLOOKUP(Table6[[#This Row],[SKU]],'All Skus'!$A:$AC,5,FALSE)),""))</f>
        <v>JBL018</v>
      </c>
      <c r="E266" s="137">
        <f>(IF((VLOOKUP(Table6[[#This Row],[SKU]],'All Skus'!$A:$AC,2,FALSE))="JBL",(VLOOKUP(Table6[[#This Row],[SKU]],'All Skus'!$A:$AC,6,FALSE)),""))</f>
        <v>0</v>
      </c>
      <c r="F266" s="61">
        <f>(IF((VLOOKUP(Table6[[#This Row],[SKU]],'All Skus'!$A:$AC,2,FALSE))="JBL",(VLOOKUP(Table6[[#This Row],[SKU]],'All Skus'!$A:$AC,7,FALSE)),""))</f>
        <v>0</v>
      </c>
      <c r="G266" t="str">
        <f>(IF((VLOOKUP(Table6[[#This Row],[SKU]],'All Skus'!$A:$AC,2,FALSE))="JBL",(VLOOKUP(Table6[[#This Row],[SKU]],'All Skus'!$A:$AC,8,FALSE)),""))</f>
        <v>High-Output Two-Way Line Array Column with Highly  Adjustable Vertical Coverage</v>
      </c>
      <c r="H266" s="8" t="str">
        <f>(IF((VLOOKUP(Table6[[#This Row],[SKU]],'All Skus'!$A:$AC,2,FALSE))="JBL",(VLOOKUP(Table6[[#This Row],[SKU]],'All Skus'!$A:$AC,9,FALSE)),""))</f>
        <v xml:space="preserve">High-Output Two-Way Line Array Column with Highly  Adjustable Vertical Coverage and Tapered Horizontal Waveguide.  Same as CBT1000, in white.  (Priced and sold individually).  </v>
      </c>
      <c r="I266" s="101">
        <f>(IF((VLOOKUP(Table6[[#This Row],[SKU]],'All Skus'!$A:$AC,2,FALSE))="JBL",(VLOOKUP(Table6[[#This Row],[SKU]],'All Skus'!$A:$AC,10,FALSE)),""))</f>
        <v>3274.25</v>
      </c>
      <c r="J266" s="101">
        <f>(IF((VLOOKUP(Table6[[#This Row],[SKU]],'All Skus'!$A:$AC,2,FALSE))="JBL",(VLOOKUP(Table6[[#This Row],[SKU]],'All Skus'!$A:$AC,11,FALSE)),""))</f>
        <v>2615</v>
      </c>
      <c r="K266" s="102">
        <f>(IF((VLOOKUP(Table6[[#This Row],[SKU]],'All Skus'!$A:$AC,2,FALSE))="JBL",(VLOOKUP(Table6[[#This Row],[SKU]],'All Skus'!$A:$AC,13,FALSE)),""))</f>
        <v>0</v>
      </c>
      <c r="L266" s="102">
        <f>(IF((VLOOKUP(Table6[[#This Row],[SKU]],'All Skus'!$A:$AC,2,FALSE))="JBL",(VLOOKUP(Table6[[#This Row],[SKU]],'All Skus'!$A:$AC,14,FALSE)),""))</f>
        <v>0</v>
      </c>
      <c r="M266" s="143">
        <f>(IF((VLOOKUP(Table6[[#This Row],[SKU]],'All Skus'!$A:$AC,2,FALSE))="JBL",(VLOOKUP(Table6[[#This Row],[SKU]],'All Skus'!$A:$AC,15,FALSE)),""))</f>
        <v>0</v>
      </c>
      <c r="N266" s="137">
        <f>(IF((VLOOKUP(Table6[[#This Row],[SKU]],'All Skus'!$A:$AC,2,FALSE))="JBL",(VLOOKUP(Table6[[#This Row],[SKU]],'All Skus'!$A:$AC,16,FALSE)),""))</f>
        <v>691991005695</v>
      </c>
      <c r="O266" s="61">
        <f>(IF((VLOOKUP(Table6[[#This Row],[SKU]],'All Skus'!$A:$AC,2,FALSE))="JBL",(VLOOKUP(Table6[[#This Row],[SKU]],'All Skus'!$A:$AC,17,FALSE)),""))</f>
        <v>0</v>
      </c>
      <c r="P266" s="136">
        <f>(IF((VLOOKUP(Table6[[#This Row],[SKU]],'All Skus'!$A:$AC,2,FALSE))="JBL",(VLOOKUP(Table6[[#This Row],[SKU]],'All Skus'!$A:$AC,18,FALSE)),""))</f>
        <v>86</v>
      </c>
      <c r="Q266" s="136">
        <f>(IF((VLOOKUP(Table6[[#This Row],[SKU]],'All Skus'!$A:$AC,2,FALSE))="JBL",(VLOOKUP(Table6[[#This Row],[SKU]],'All Skus'!$A:$AC,19,FALSE)),""))</f>
        <v>50</v>
      </c>
      <c r="R266" s="136">
        <f>(IF((VLOOKUP(Table6[[#This Row],[SKU]],'All Skus'!$A:$AC,2,FALSE))="JBL",(VLOOKUP(Table6[[#This Row],[SKU]],'All Skus'!$A:$AC,20,FALSE)),""))</f>
        <v>19.25</v>
      </c>
      <c r="S266" s="61">
        <f>(IF((VLOOKUP(Table6[[#This Row],[SKU]],'All Skus'!$A:$AC,2,FALSE))="JBL",(VLOOKUP(Table6[[#This Row],[SKU]],'All Skus'!$A:$AC,21,FALSE)),""))</f>
        <v>16</v>
      </c>
      <c r="T266" s="61" t="str">
        <f>(IF((VLOOKUP(Table6[[#This Row],[SKU]],'All Skus'!$A:$AC,2,FALSE))="JBL",(VLOOKUP(Table6[[#This Row],[SKU]],'All Skus'!$A:$AC,22,FALSE)),""))</f>
        <v>CN</v>
      </c>
      <c r="U266" t="str">
        <f>(IF((VLOOKUP(Table6[[#This Row],[SKU]],'All Skus'!$A:$AC,2,FALSE))="JBL",(VLOOKUP(Table6[[#This Row],[SKU]],'All Skus'!$A:$AC,23,FALSE)),""))</f>
        <v>Non Compliant</v>
      </c>
      <c r="V266" s="284" t="str">
        <f>HYPERLINK((IF((VLOOKUP(Table6[[#This Row],[SKU]],'All Skus'!$A:$AC,2,FALSE))="JBL",(VLOOKUP(Table6[[#This Row],[SKU]],'All Skus'!$A:$AC,24,FALSE)),"")))</f>
        <v>http://www.jblpro.com/www/products/installed-sound/cbt-series/cbt-1000</v>
      </c>
      <c r="W266" s="151">
        <v>264</v>
      </c>
    </row>
    <row r="267" spans="1:23" ht="15" hidden="1" customHeight="1">
      <c r="A267" s="13" t="s">
        <v>1273</v>
      </c>
      <c r="B267" s="12" t="str">
        <f>(IF((VLOOKUP(Table6[[#This Row],[SKU]],'All Skus'!$A:$AC,2,FALSE))="JBL",(VLOOKUP(Table6[[#This Row],[SKU]],'All Skus'!$A:$AC,3,FALSE)),""))</f>
        <v>Column Speaker Accessory</v>
      </c>
      <c r="C267" s="12" t="str">
        <f>(IF((VLOOKUP(Table6[[#This Row],[SKU]],'All Skus'!$A:$AC,2,FALSE))="JBL",(VLOOKUP(Table6[[#This Row],[SKU]],'All Skus'!$A:$AC,4,FALSE)),""))</f>
        <v>CBT1K-ACC1</v>
      </c>
      <c r="D267" s="61" t="str">
        <f>(IF((VLOOKUP(Table6[[#This Row],[SKU]],'All Skus'!$A:$AC,2,FALSE))="JBL",(VLOOKUP(Table6[[#This Row],[SKU]],'All Skus'!$A:$AC,5,FALSE)),""))</f>
        <v>JBL018</v>
      </c>
      <c r="E267" s="137">
        <f>(IF((VLOOKUP(Table6[[#This Row],[SKU]],'All Skus'!$A:$AC,2,FALSE))="JBL",(VLOOKUP(Table6[[#This Row],[SKU]],'All Skus'!$A:$AC,6,FALSE)),""))</f>
        <v>0</v>
      </c>
      <c r="F267" s="61">
        <f>(IF((VLOOKUP(Table6[[#This Row],[SKU]],'All Skus'!$A:$AC,2,FALSE))="JBL",(VLOOKUP(Table6[[#This Row],[SKU]],'All Skus'!$A:$AC,7,FALSE)),""))</f>
        <v>0</v>
      </c>
      <c r="G267" t="str">
        <f>(IF((VLOOKUP(Table6[[#This Row],[SKU]],'All Skus'!$A:$AC,2,FALSE))="JBL",(VLOOKUP(Table6[[#This Row],[SKU]],'All Skus'!$A:$AC,8,FALSE)),""))</f>
        <v>Accessory Kit for CBT1000 Spkr or System</v>
      </c>
      <c r="H267" s="8" t="str">
        <f>(IF((VLOOKUP(Table6[[#This Row],[SKU]],'All Skus'!$A:$AC,2,FALSE))="JBL",(VLOOKUP(Table6[[#This Row],[SKU]],'All Skus'!$A:$AC,9,FALSE)),""))</f>
        <v>Accessory Kit, Includes 2 sets MTC-CBT-FM3 Flush-Mount Wall Bracket and 1 pc MTC-CBT-OS3 Off-Set Bracket (for installing extender on the top).  (Priced as the kit.)</v>
      </c>
      <c r="I267" s="101">
        <f>(IF((VLOOKUP(Table6[[#This Row],[SKU]],'All Skus'!$A:$AC,2,FALSE))="JBL",(VLOOKUP(Table6[[#This Row],[SKU]],'All Skus'!$A:$AC,10,FALSE)),""))</f>
        <v>123.56</v>
      </c>
      <c r="J267" s="101">
        <f>(IF((VLOOKUP(Table6[[#This Row],[SKU]],'All Skus'!$A:$AC,2,FALSE))="JBL",(VLOOKUP(Table6[[#This Row],[SKU]],'All Skus'!$A:$AC,11,FALSE)),""))</f>
        <v>123.56</v>
      </c>
      <c r="K267" s="102">
        <f>(IF((VLOOKUP(Table6[[#This Row],[SKU]],'All Skus'!$A:$AC,2,FALSE))="JBL",(VLOOKUP(Table6[[#This Row],[SKU]],'All Skus'!$A:$AC,13,FALSE)),""))</f>
        <v>0</v>
      </c>
      <c r="L267" s="102">
        <f>(IF((VLOOKUP(Table6[[#This Row],[SKU]],'All Skus'!$A:$AC,2,FALSE))="JBL",(VLOOKUP(Table6[[#This Row],[SKU]],'All Skus'!$A:$AC,14,FALSE)),""))</f>
        <v>0</v>
      </c>
      <c r="M267" s="143">
        <f>(IF((VLOOKUP(Table6[[#This Row],[SKU]],'All Skus'!$A:$AC,2,FALSE))="JBL",(VLOOKUP(Table6[[#This Row],[SKU]],'All Skus'!$A:$AC,15,FALSE)),""))</f>
        <v>0</v>
      </c>
      <c r="N267" s="137">
        <f>(IF((VLOOKUP(Table6[[#This Row],[SKU]],'All Skus'!$A:$AC,2,FALSE))="JBL",(VLOOKUP(Table6[[#This Row],[SKU]],'All Skus'!$A:$AC,16,FALSE)),""))</f>
        <v>691991005978</v>
      </c>
      <c r="O267" s="61">
        <f>(IF((VLOOKUP(Table6[[#This Row],[SKU]],'All Skus'!$A:$AC,2,FALSE))="JBL",(VLOOKUP(Table6[[#This Row],[SKU]],'All Skus'!$A:$AC,17,FALSE)),""))</f>
        <v>0</v>
      </c>
      <c r="P267" s="136">
        <f>(IF((VLOOKUP(Table6[[#This Row],[SKU]],'All Skus'!$A:$AC,2,FALSE))="JBL",(VLOOKUP(Table6[[#This Row],[SKU]],'All Skus'!$A:$AC,18,FALSE)),""))</f>
        <v>13</v>
      </c>
      <c r="Q267" s="136">
        <f>(IF((VLOOKUP(Table6[[#This Row],[SKU]],'All Skus'!$A:$AC,2,FALSE))="JBL",(VLOOKUP(Table6[[#This Row],[SKU]],'All Skus'!$A:$AC,19,FALSE)),""))</f>
        <v>12</v>
      </c>
      <c r="R267" s="136">
        <f>(IF((VLOOKUP(Table6[[#This Row],[SKU]],'All Skus'!$A:$AC,2,FALSE))="JBL",(VLOOKUP(Table6[[#This Row],[SKU]],'All Skus'!$A:$AC,20,FALSE)),""))</f>
        <v>6</v>
      </c>
      <c r="S267" s="61">
        <f>(IF((VLOOKUP(Table6[[#This Row],[SKU]],'All Skus'!$A:$AC,2,FALSE))="JBL",(VLOOKUP(Table6[[#This Row],[SKU]],'All Skus'!$A:$AC,21,FALSE)),""))</f>
        <v>6</v>
      </c>
      <c r="T267" s="61" t="str">
        <f>(IF((VLOOKUP(Table6[[#This Row],[SKU]],'All Skus'!$A:$AC,2,FALSE))="JBL",(VLOOKUP(Table6[[#This Row],[SKU]],'All Skus'!$A:$AC,22,FALSE)),""))</f>
        <v>CN</v>
      </c>
      <c r="U267" t="str">
        <f>(IF((VLOOKUP(Table6[[#This Row],[SKU]],'All Skus'!$A:$AC,2,FALSE))="JBL",(VLOOKUP(Table6[[#This Row],[SKU]],'All Skus'!$A:$AC,23,FALSE)),""))</f>
        <v>Non Compliant</v>
      </c>
      <c r="V267" s="284" t="str">
        <f>HYPERLINK((IF((VLOOKUP(Table6[[#This Row],[SKU]],'All Skus'!$A:$AC,2,FALSE))="JBL",(VLOOKUP(Table6[[#This Row],[SKU]],'All Skus'!$A:$AC,24,FALSE)),"")))</f>
        <v/>
      </c>
      <c r="W267" s="151">
        <v>265</v>
      </c>
    </row>
    <row r="268" spans="1:23" ht="15" hidden="1" customHeight="1">
      <c r="A268" s="13" t="s">
        <v>1274</v>
      </c>
      <c r="B268" s="12" t="str">
        <f>(IF((VLOOKUP(Table6[[#This Row],[SKU]],'All Skus'!$A:$AC,2,FALSE))="JBL",(VLOOKUP(Table6[[#This Row],[SKU]],'All Skus'!$A:$AC,3,FALSE)),""))</f>
        <v>Column Speaker Accessory</v>
      </c>
      <c r="C268" s="12" t="str">
        <f>(IF((VLOOKUP(Table6[[#This Row],[SKU]],'All Skus'!$A:$AC,2,FALSE))="JBL",(VLOOKUP(Table6[[#This Row],[SKU]],'All Skus'!$A:$AC,4,FALSE)),""))</f>
        <v>CBT1K-ACC1-WH</v>
      </c>
      <c r="D268" s="61" t="str">
        <f>(IF((VLOOKUP(Table6[[#This Row],[SKU]],'All Skus'!$A:$AC,2,FALSE))="JBL",(VLOOKUP(Table6[[#This Row],[SKU]],'All Skus'!$A:$AC,5,FALSE)),""))</f>
        <v>JBL018</v>
      </c>
      <c r="E268" s="137">
        <f>(IF((VLOOKUP(Table6[[#This Row],[SKU]],'All Skus'!$A:$AC,2,FALSE))="JBL",(VLOOKUP(Table6[[#This Row],[SKU]],'All Skus'!$A:$AC,6,FALSE)),""))</f>
        <v>0</v>
      </c>
      <c r="F268" s="61">
        <f>(IF((VLOOKUP(Table6[[#This Row],[SKU]],'All Skus'!$A:$AC,2,FALSE))="JBL",(VLOOKUP(Table6[[#This Row],[SKU]],'All Skus'!$A:$AC,7,FALSE)),""))</f>
        <v>0</v>
      </c>
      <c r="G268" t="str">
        <f>(IF((VLOOKUP(Table6[[#This Row],[SKU]],'All Skus'!$A:$AC,2,FALSE))="JBL",(VLOOKUP(Table6[[#This Row],[SKU]],'All Skus'!$A:$AC,8,FALSE)),""))</f>
        <v>Accessory Kit for CBT1000 Spkr or System</v>
      </c>
      <c r="H268" s="8" t="str">
        <f>(IF((VLOOKUP(Table6[[#This Row],[SKU]],'All Skus'!$A:$AC,2,FALSE))="JBL",(VLOOKUP(Table6[[#This Row],[SKU]],'All Skus'!$A:$AC,9,FALSE)),""))</f>
        <v>CBT1K-ACC1 Accessory Kit in white. Priced as the Kit</v>
      </c>
      <c r="I268" s="101">
        <f>(IF((VLOOKUP(Table6[[#This Row],[SKU]],'All Skus'!$A:$AC,2,FALSE))="JBL",(VLOOKUP(Table6[[#This Row],[SKU]],'All Skus'!$A:$AC,10,FALSE)),""))</f>
        <v>133.85</v>
      </c>
      <c r="J268" s="101">
        <f>(IF((VLOOKUP(Table6[[#This Row],[SKU]],'All Skus'!$A:$AC,2,FALSE))="JBL",(VLOOKUP(Table6[[#This Row],[SKU]],'All Skus'!$A:$AC,11,FALSE)),""))</f>
        <v>133.85</v>
      </c>
      <c r="K268" s="102">
        <f>(IF((VLOOKUP(Table6[[#This Row],[SKU]],'All Skus'!$A:$AC,2,FALSE))="JBL",(VLOOKUP(Table6[[#This Row],[SKU]],'All Skus'!$A:$AC,13,FALSE)),""))</f>
        <v>0</v>
      </c>
      <c r="L268" s="102">
        <f>(IF((VLOOKUP(Table6[[#This Row],[SKU]],'All Skus'!$A:$AC,2,FALSE))="JBL",(VLOOKUP(Table6[[#This Row],[SKU]],'All Skus'!$A:$AC,14,FALSE)),""))</f>
        <v>0</v>
      </c>
      <c r="M268" s="143">
        <f>(IF((VLOOKUP(Table6[[#This Row],[SKU]],'All Skus'!$A:$AC,2,FALSE))="JBL",(VLOOKUP(Table6[[#This Row],[SKU]],'All Skus'!$A:$AC,15,FALSE)),""))</f>
        <v>0</v>
      </c>
      <c r="N268" s="137">
        <f>(IF((VLOOKUP(Table6[[#This Row],[SKU]],'All Skus'!$A:$AC,2,FALSE))="JBL",(VLOOKUP(Table6[[#This Row],[SKU]],'All Skus'!$A:$AC,16,FALSE)),""))</f>
        <v>691991005985</v>
      </c>
      <c r="O268" s="61">
        <f>(IF((VLOOKUP(Table6[[#This Row],[SKU]],'All Skus'!$A:$AC,2,FALSE))="JBL",(VLOOKUP(Table6[[#This Row],[SKU]],'All Skus'!$A:$AC,17,FALSE)),""))</f>
        <v>0</v>
      </c>
      <c r="P268" s="136">
        <f>(IF((VLOOKUP(Table6[[#This Row],[SKU]],'All Skus'!$A:$AC,2,FALSE))="JBL",(VLOOKUP(Table6[[#This Row],[SKU]],'All Skus'!$A:$AC,18,FALSE)),""))</f>
        <v>13</v>
      </c>
      <c r="Q268" s="136">
        <f>(IF((VLOOKUP(Table6[[#This Row],[SKU]],'All Skus'!$A:$AC,2,FALSE))="JBL",(VLOOKUP(Table6[[#This Row],[SKU]],'All Skus'!$A:$AC,19,FALSE)),""))</f>
        <v>12</v>
      </c>
      <c r="R268" s="136">
        <f>(IF((VLOOKUP(Table6[[#This Row],[SKU]],'All Skus'!$A:$AC,2,FALSE))="JBL",(VLOOKUP(Table6[[#This Row],[SKU]],'All Skus'!$A:$AC,20,FALSE)),""))</f>
        <v>6</v>
      </c>
      <c r="S268" s="61">
        <f>(IF((VLOOKUP(Table6[[#This Row],[SKU]],'All Skus'!$A:$AC,2,FALSE))="JBL",(VLOOKUP(Table6[[#This Row],[SKU]],'All Skus'!$A:$AC,21,FALSE)),""))</f>
        <v>6</v>
      </c>
      <c r="T268" s="61" t="str">
        <f>(IF((VLOOKUP(Table6[[#This Row],[SKU]],'All Skus'!$A:$AC,2,FALSE))="JBL",(VLOOKUP(Table6[[#This Row],[SKU]],'All Skus'!$A:$AC,22,FALSE)),""))</f>
        <v>CN</v>
      </c>
      <c r="U268" t="str">
        <f>(IF((VLOOKUP(Table6[[#This Row],[SKU]],'All Skus'!$A:$AC,2,FALSE))="JBL",(VLOOKUP(Table6[[#This Row],[SKU]],'All Skus'!$A:$AC,23,FALSE)),""))</f>
        <v>Non Compliant</v>
      </c>
      <c r="V268" s="284" t="str">
        <f>HYPERLINK((IF((VLOOKUP(Table6[[#This Row],[SKU]],'All Skus'!$A:$AC,2,FALSE))="JBL",(VLOOKUP(Table6[[#This Row],[SKU]],'All Skus'!$A:$AC,24,FALSE)),"")))</f>
        <v xml:space="preserve">http://www.jblpro.com/ProductAttachments/JBL_MTC-CBT-70T.v6.pdf </v>
      </c>
      <c r="W268" s="151">
        <v>266</v>
      </c>
    </row>
    <row r="269" spans="1:23" ht="15" hidden="1" customHeight="1">
      <c r="A269" s="13" t="s">
        <v>1275</v>
      </c>
      <c r="B269" s="12" t="str">
        <f>(IF((VLOOKUP(Table6[[#This Row],[SKU]],'All Skus'!$A:$AC,2,FALSE))="JBL",(VLOOKUP(Table6[[#This Row],[SKU]],'All Skus'!$A:$AC,3,FALSE)),""))</f>
        <v>Accessory</v>
      </c>
      <c r="C269" s="12" t="str">
        <f>(IF((VLOOKUP(Table6[[#This Row],[SKU]],'All Skus'!$A:$AC,2,FALSE))="JBL",(VLOOKUP(Table6[[#This Row],[SKU]],'All Skus'!$A:$AC,4,FALSE)),""))</f>
        <v>MTC-CBT-70T</v>
      </c>
      <c r="D269" s="61" t="str">
        <f>(IF((VLOOKUP(Table6[[#This Row],[SKU]],'All Skus'!$A:$AC,2,FALSE))="JBL",(VLOOKUP(Table6[[#This Row],[SKU]],'All Skus'!$A:$AC,5,FALSE)),""))</f>
        <v>JBL018</v>
      </c>
      <c r="E269" s="137">
        <f>(IF((VLOOKUP(Table6[[#This Row],[SKU]],'All Skus'!$A:$AC,2,FALSE))="JBL",(VLOOKUP(Table6[[#This Row],[SKU]],'All Skus'!$A:$AC,6,FALSE)),""))</f>
        <v>0</v>
      </c>
      <c r="F269" s="61">
        <f>(IF((VLOOKUP(Table6[[#This Row],[SKU]],'All Skus'!$A:$AC,2,FALSE))="JBL",(VLOOKUP(Table6[[#This Row],[SKU]],'All Skus'!$A:$AC,7,FALSE)),""))</f>
        <v>0</v>
      </c>
      <c r="G269" t="str">
        <f>(IF((VLOOKUP(Table6[[#This Row],[SKU]],'All Skus'!$A:$AC,2,FALSE))="JBL",(VLOOKUP(Table6[[#This Row],[SKU]],'All Skus'!$A:$AC,8,FALSE)),""))</f>
        <v>BOLT ON TRANSFORMER MODULE</v>
      </c>
      <c r="H269" s="8" t="str">
        <f>(IF((VLOOKUP(Table6[[#This Row],[SKU]],'All Skus'!$A:$AC,2,FALSE))="JBL",(VLOOKUP(Table6[[#This Row],[SKU]],'All Skus'!$A:$AC,9,FALSE)),""))</f>
        <v xml:space="preserve">Bolt on Transformer Module to allow CBT70J-1  or CBT70JE-1 Speaker to be used on 70V/100V Distributed Line Speaker.  120W Multi-Tap, Gland Nuts Provide Water Tight Cable Entrance and Exit.  Sold and priced as each. </v>
      </c>
      <c r="I269" s="101">
        <f>(IF((VLOOKUP(Table6[[#This Row],[SKU]],'All Skus'!$A:$AC,2,FALSE))="JBL",(VLOOKUP(Table6[[#This Row],[SKU]],'All Skus'!$A:$AC,10,FALSE)),""))</f>
        <v>162.22</v>
      </c>
      <c r="J269" s="101">
        <f>(IF((VLOOKUP(Table6[[#This Row],[SKU]],'All Skus'!$A:$AC,2,FALSE))="JBL",(VLOOKUP(Table6[[#This Row],[SKU]],'All Skus'!$A:$AC,11,FALSE)),""))</f>
        <v>162.22</v>
      </c>
      <c r="K269" s="102">
        <f>(IF((VLOOKUP(Table6[[#This Row],[SKU]],'All Skus'!$A:$AC,2,FALSE))="JBL",(VLOOKUP(Table6[[#This Row],[SKU]],'All Skus'!$A:$AC,13,FALSE)),""))</f>
        <v>0</v>
      </c>
      <c r="L269" s="102">
        <f>(IF((VLOOKUP(Table6[[#This Row],[SKU]],'All Skus'!$A:$AC,2,FALSE))="JBL",(VLOOKUP(Table6[[#This Row],[SKU]],'All Skus'!$A:$AC,14,FALSE)),""))</f>
        <v>0</v>
      </c>
      <c r="M269" s="143">
        <f>(IF((VLOOKUP(Table6[[#This Row],[SKU]],'All Skus'!$A:$AC,2,FALSE))="JBL",(VLOOKUP(Table6[[#This Row],[SKU]],'All Skus'!$A:$AC,15,FALSE)),""))</f>
        <v>0</v>
      </c>
      <c r="N269" s="137">
        <f>(IF((VLOOKUP(Table6[[#This Row],[SKU]],'All Skus'!$A:$AC,2,FALSE))="JBL",(VLOOKUP(Table6[[#This Row],[SKU]],'All Skus'!$A:$AC,16,FALSE)),""))</f>
        <v>691991300226</v>
      </c>
      <c r="O269" s="61">
        <f>(IF((VLOOKUP(Table6[[#This Row],[SKU]],'All Skus'!$A:$AC,2,FALSE))="JBL",(VLOOKUP(Table6[[#This Row],[SKU]],'All Skus'!$A:$AC,17,FALSE)),""))</f>
        <v>0</v>
      </c>
      <c r="P269" s="136">
        <f>(IF((VLOOKUP(Table6[[#This Row],[SKU]],'All Skus'!$A:$AC,2,FALSE))="JBL",(VLOOKUP(Table6[[#This Row],[SKU]],'All Skus'!$A:$AC,18,FALSE)),""))</f>
        <v>3.35</v>
      </c>
      <c r="Q269" s="136">
        <f>(IF((VLOOKUP(Table6[[#This Row],[SKU]],'All Skus'!$A:$AC,2,FALSE))="JBL",(VLOOKUP(Table6[[#This Row],[SKU]],'All Skus'!$A:$AC,19,FALSE)),""))</f>
        <v>5</v>
      </c>
      <c r="R269" s="136">
        <f>(IF((VLOOKUP(Table6[[#This Row],[SKU]],'All Skus'!$A:$AC,2,FALSE))="JBL",(VLOOKUP(Table6[[#This Row],[SKU]],'All Skus'!$A:$AC,20,FALSE)),""))</f>
        <v>7</v>
      </c>
      <c r="S269" s="61">
        <f>(IF((VLOOKUP(Table6[[#This Row],[SKU]],'All Skus'!$A:$AC,2,FALSE))="JBL",(VLOOKUP(Table6[[#This Row],[SKU]],'All Skus'!$A:$AC,21,FALSE)),""))</f>
        <v>4</v>
      </c>
      <c r="T269" s="61" t="str">
        <f>(IF((VLOOKUP(Table6[[#This Row],[SKU]],'All Skus'!$A:$AC,2,FALSE))="JBL",(VLOOKUP(Table6[[#This Row],[SKU]],'All Skus'!$A:$AC,22,FALSE)),""))</f>
        <v>CN</v>
      </c>
      <c r="U269" t="str">
        <f>(IF((VLOOKUP(Table6[[#This Row],[SKU]],'All Skus'!$A:$AC,2,FALSE))="JBL",(VLOOKUP(Table6[[#This Row],[SKU]],'All Skus'!$A:$AC,23,FALSE)),""))</f>
        <v>Non Compliant</v>
      </c>
      <c r="V269" s="284" t="str">
        <f>HYPERLINK((IF((VLOOKUP(Table6[[#This Row],[SKU]],'All Skus'!$A:$AC,2,FALSE))="JBL",(VLOOKUP(Table6[[#This Row],[SKU]],'All Skus'!$A:$AC,24,FALSE)),"")))</f>
        <v xml:space="preserve">http://www.jblpro.com/ProductAttachments/JBL_MTC-CBT-70T.v6.pdf </v>
      </c>
      <c r="W269" s="151">
        <v>267</v>
      </c>
    </row>
    <row r="270" spans="1:23" ht="15" hidden="1" customHeight="1">
      <c r="A270" s="13" t="s">
        <v>1276</v>
      </c>
      <c r="B270" s="12" t="str">
        <f>(IF((VLOOKUP(Table6[[#This Row],[SKU]],'All Skus'!$A:$AC,2,FALSE))="JBL",(VLOOKUP(Table6[[#This Row],[SKU]],'All Skus'!$A:$AC,3,FALSE)),""))</f>
        <v>Accessory</v>
      </c>
      <c r="C270" s="12" t="str">
        <f>(IF((VLOOKUP(Table6[[#This Row],[SKU]],'All Skus'!$A:$AC,2,FALSE))="JBL",(VLOOKUP(Table6[[#This Row],[SKU]],'All Skus'!$A:$AC,4,FALSE)),""))</f>
        <v>MTC-CBT-70T-WH</v>
      </c>
      <c r="D270" s="61" t="str">
        <f>(IF((VLOOKUP(Table6[[#This Row],[SKU]],'All Skus'!$A:$AC,2,FALSE))="JBL",(VLOOKUP(Table6[[#This Row],[SKU]],'All Skus'!$A:$AC,5,FALSE)),""))</f>
        <v>JBL018</v>
      </c>
      <c r="E270" s="137">
        <f>(IF((VLOOKUP(Table6[[#This Row],[SKU]],'All Skus'!$A:$AC,2,FALSE))="JBL",(VLOOKUP(Table6[[#This Row],[SKU]],'All Skus'!$A:$AC,6,FALSE)),""))</f>
        <v>0</v>
      </c>
      <c r="F270" s="61">
        <f>(IF((VLOOKUP(Table6[[#This Row],[SKU]],'All Skus'!$A:$AC,2,FALSE))="JBL",(VLOOKUP(Table6[[#This Row],[SKU]],'All Skus'!$A:$AC,7,FALSE)),""))</f>
        <v>0</v>
      </c>
      <c r="G270" t="str">
        <f>(IF((VLOOKUP(Table6[[#This Row],[SKU]],'All Skus'!$A:$AC,2,FALSE))="JBL",(VLOOKUP(Table6[[#This Row],[SKU]],'All Skus'!$A:$AC,8,FALSE)),""))</f>
        <v>BOLT ON TRANSFORMER MODULE - WHITE</v>
      </c>
      <c r="H270" s="8" t="str">
        <f>(IF((VLOOKUP(Table6[[#This Row],[SKU]],'All Skus'!$A:$AC,2,FALSE))="JBL",(VLOOKUP(Table6[[#This Row],[SKU]],'All Skus'!$A:$AC,9,FALSE)),""))</f>
        <v xml:space="preserve">Bolt on Transformer Module to allow CBT70J-1  or CBT70JE-1 Speaker to be used on 70V/100V Distributed Line Speaker.  120W Multi-Tap, Gland Nuts Provide Water Tight Cable Entrance and Exit.  White.  Sold and priced as each. </v>
      </c>
      <c r="I270" s="101">
        <f>(IF((VLOOKUP(Table6[[#This Row],[SKU]],'All Skus'!$A:$AC,2,FALSE))="JBL",(VLOOKUP(Table6[[#This Row],[SKU]],'All Skus'!$A:$AC,10,FALSE)),""))</f>
        <v>163.46</v>
      </c>
      <c r="J270" s="101">
        <f>(IF((VLOOKUP(Table6[[#This Row],[SKU]],'All Skus'!$A:$AC,2,FALSE))="JBL",(VLOOKUP(Table6[[#This Row],[SKU]],'All Skus'!$A:$AC,11,FALSE)),""))</f>
        <v>163.46</v>
      </c>
      <c r="K270" s="102">
        <f>(IF((VLOOKUP(Table6[[#This Row],[SKU]],'All Skus'!$A:$AC,2,FALSE))="JBL",(VLOOKUP(Table6[[#This Row],[SKU]],'All Skus'!$A:$AC,13,FALSE)),""))</f>
        <v>0</v>
      </c>
      <c r="L270" s="102">
        <f>(IF((VLOOKUP(Table6[[#This Row],[SKU]],'All Skus'!$A:$AC,2,FALSE))="JBL",(VLOOKUP(Table6[[#This Row],[SKU]],'All Skus'!$A:$AC,14,FALSE)),""))</f>
        <v>0</v>
      </c>
      <c r="M270" s="143">
        <f>(IF((VLOOKUP(Table6[[#This Row],[SKU]],'All Skus'!$A:$AC,2,FALSE))="JBL",(VLOOKUP(Table6[[#This Row],[SKU]],'All Skus'!$A:$AC,15,FALSE)),""))</f>
        <v>0</v>
      </c>
      <c r="N270" s="137">
        <f>(IF((VLOOKUP(Table6[[#This Row],[SKU]],'All Skus'!$A:$AC,2,FALSE))="JBL",(VLOOKUP(Table6[[#This Row],[SKU]],'All Skus'!$A:$AC,16,FALSE)),""))</f>
        <v>691991300790</v>
      </c>
      <c r="O270" s="61">
        <f>(IF((VLOOKUP(Table6[[#This Row],[SKU]],'All Skus'!$A:$AC,2,FALSE))="JBL",(VLOOKUP(Table6[[#This Row],[SKU]],'All Skus'!$A:$AC,17,FALSE)),""))</f>
        <v>0</v>
      </c>
      <c r="P270" s="136">
        <f>(IF((VLOOKUP(Table6[[#This Row],[SKU]],'All Skus'!$A:$AC,2,FALSE))="JBL",(VLOOKUP(Table6[[#This Row],[SKU]],'All Skus'!$A:$AC,18,FALSE)),""))</f>
        <v>21.5</v>
      </c>
      <c r="Q270" s="136">
        <f>(IF((VLOOKUP(Table6[[#This Row],[SKU]],'All Skus'!$A:$AC,2,FALSE))="JBL",(VLOOKUP(Table6[[#This Row],[SKU]],'All Skus'!$A:$AC,19,FALSE)),""))</f>
        <v>15</v>
      </c>
      <c r="R270" s="136">
        <f>(IF((VLOOKUP(Table6[[#This Row],[SKU]],'All Skus'!$A:$AC,2,FALSE))="JBL",(VLOOKUP(Table6[[#This Row],[SKU]],'All Skus'!$A:$AC,20,FALSE)),""))</f>
        <v>16</v>
      </c>
      <c r="S270" s="61">
        <f>(IF((VLOOKUP(Table6[[#This Row],[SKU]],'All Skus'!$A:$AC,2,FALSE))="JBL",(VLOOKUP(Table6[[#This Row],[SKU]],'All Skus'!$A:$AC,21,FALSE)),""))</f>
        <v>6</v>
      </c>
      <c r="T270" s="61" t="str">
        <f>(IF((VLOOKUP(Table6[[#This Row],[SKU]],'All Skus'!$A:$AC,2,FALSE))="JBL",(VLOOKUP(Table6[[#This Row],[SKU]],'All Skus'!$A:$AC,22,FALSE)),""))</f>
        <v>CN</v>
      </c>
      <c r="U270" t="str">
        <f>(IF((VLOOKUP(Table6[[#This Row],[SKU]],'All Skus'!$A:$AC,2,FALSE))="JBL",(VLOOKUP(Table6[[#This Row],[SKU]],'All Skus'!$A:$AC,23,FALSE)),""))</f>
        <v>Non Compliant</v>
      </c>
      <c r="V270" s="284" t="str">
        <f>HYPERLINK((IF((VLOOKUP(Table6[[#This Row],[SKU]],'All Skus'!$A:$AC,2,FALSE))="JBL",(VLOOKUP(Table6[[#This Row],[SKU]],'All Skus'!$A:$AC,24,FALSE)),"")))</f>
        <v xml:space="preserve">http://www.jblpro.com/ProductAttachments/MTC-CBT-FlushMount_bracket_guide.pdf </v>
      </c>
      <c r="W270" s="151">
        <v>268</v>
      </c>
    </row>
    <row r="271" spans="1:23" ht="15" hidden="1" customHeight="1">
      <c r="A271" s="13" t="s">
        <v>1277</v>
      </c>
      <c r="B271" s="12" t="str">
        <f>(IF((VLOOKUP(Table6[[#This Row],[SKU]],'All Skus'!$A:$AC,2,FALSE))="JBL",(VLOOKUP(Table6[[#This Row],[SKU]],'All Skus'!$A:$AC,3,FALSE)),""))</f>
        <v>Accessory</v>
      </c>
      <c r="C271" s="12" t="str">
        <f>(IF((VLOOKUP(Table6[[#This Row],[SKU]],'All Skus'!$A:$AC,2,FALSE))="JBL",(VLOOKUP(Table6[[#This Row],[SKU]],'All Skus'!$A:$AC,4,FALSE)),""))</f>
        <v>MTC-CBT-FM1</v>
      </c>
      <c r="D271" s="61" t="str">
        <f>(IF((VLOOKUP(Table6[[#This Row],[SKU]],'All Skus'!$A:$AC,2,FALSE))="JBL",(VLOOKUP(Table6[[#This Row],[SKU]],'All Skus'!$A:$AC,5,FALSE)),""))</f>
        <v>JBL018</v>
      </c>
      <c r="E271" s="137">
        <f>(IF((VLOOKUP(Table6[[#This Row],[SKU]],'All Skus'!$A:$AC,2,FALSE))="JBL",(VLOOKUP(Table6[[#This Row],[SKU]],'All Skus'!$A:$AC,6,FALSE)),""))</f>
        <v>0</v>
      </c>
      <c r="F271" s="61">
        <f>(IF((VLOOKUP(Table6[[#This Row],[SKU]],'All Skus'!$A:$AC,2,FALSE))="JBL",(VLOOKUP(Table6[[#This Row],[SKU]],'All Skus'!$A:$AC,7,FALSE)),""))</f>
        <v>0</v>
      </c>
      <c r="G271" t="str">
        <f>(IF((VLOOKUP(Table6[[#This Row],[SKU]],'All Skus'!$A:$AC,2,FALSE))="JBL",(VLOOKUP(Table6[[#This Row],[SKU]],'All Skus'!$A:$AC,8,FALSE)),""))</f>
        <v>CBT FLUSH-MOUNT WALL BRACKETS</v>
      </c>
      <c r="H271" s="8" t="str">
        <f>(IF((VLOOKUP(Table6[[#This Row],[SKU]],'All Skus'!$A:$AC,2,FALSE))="JBL",(VLOOKUP(Table6[[#This Row],[SKU]],'All Skus'!$A:$AC,9,FALSE)),""))</f>
        <v>"Flush-Mount" Wall Bracket for CBT50LA-1 and 100LA-1 Priced and sold as one complete bracket, including speaker side and wall side of bracket assembly)” Priced and sold as one complete bracket, including speaker side and wall side of bracket assembly)”</v>
      </c>
      <c r="I271" s="101">
        <f>(IF((VLOOKUP(Table6[[#This Row],[SKU]],'All Skus'!$A:$AC,2,FALSE))="JBL",(VLOOKUP(Table6[[#This Row],[SKU]],'All Skus'!$A:$AC,10,FALSE)),""))</f>
        <v>52.4</v>
      </c>
      <c r="J271" s="101">
        <f>(IF((VLOOKUP(Table6[[#This Row],[SKU]],'All Skus'!$A:$AC,2,FALSE))="JBL",(VLOOKUP(Table6[[#This Row],[SKU]],'All Skus'!$A:$AC,11,FALSE)),""))</f>
        <v>52.4</v>
      </c>
      <c r="K271" s="102">
        <f>(IF((VLOOKUP(Table6[[#This Row],[SKU]],'All Skus'!$A:$AC,2,FALSE))="JBL",(VLOOKUP(Table6[[#This Row],[SKU]],'All Skus'!$A:$AC,13,FALSE)),""))</f>
        <v>0</v>
      </c>
      <c r="L271" s="102">
        <f>(IF((VLOOKUP(Table6[[#This Row],[SKU]],'All Skus'!$A:$AC,2,FALSE))="JBL",(VLOOKUP(Table6[[#This Row],[SKU]],'All Skus'!$A:$AC,14,FALSE)),""))</f>
        <v>0</v>
      </c>
      <c r="M271" s="143">
        <f>(IF((VLOOKUP(Table6[[#This Row],[SKU]],'All Skus'!$A:$AC,2,FALSE))="JBL",(VLOOKUP(Table6[[#This Row],[SKU]],'All Skus'!$A:$AC,15,FALSE)),""))</f>
        <v>2</v>
      </c>
      <c r="N271" s="137">
        <f>(IF((VLOOKUP(Table6[[#This Row],[SKU]],'All Skus'!$A:$AC,2,FALSE))="JBL",(VLOOKUP(Table6[[#This Row],[SKU]],'All Skus'!$A:$AC,16,FALSE)),""))</f>
        <v>691991300189</v>
      </c>
      <c r="O271" s="61">
        <f>(IF((VLOOKUP(Table6[[#This Row],[SKU]],'All Skus'!$A:$AC,2,FALSE))="JBL",(VLOOKUP(Table6[[#This Row],[SKU]],'All Skus'!$A:$AC,17,FALSE)),""))</f>
        <v>0</v>
      </c>
      <c r="P271" s="136">
        <f>(IF((VLOOKUP(Table6[[#This Row],[SKU]],'All Skus'!$A:$AC,2,FALSE))="JBL",(VLOOKUP(Table6[[#This Row],[SKU]],'All Skus'!$A:$AC,18,FALSE)),""))</f>
        <v>0.8</v>
      </c>
      <c r="Q271" s="136">
        <f>(IF((VLOOKUP(Table6[[#This Row],[SKU]],'All Skus'!$A:$AC,2,FALSE))="JBL",(VLOOKUP(Table6[[#This Row],[SKU]],'All Skus'!$A:$AC,19,FALSE)),""))</f>
        <v>1</v>
      </c>
      <c r="R271" s="136">
        <f>(IF((VLOOKUP(Table6[[#This Row],[SKU]],'All Skus'!$A:$AC,2,FALSE))="JBL",(VLOOKUP(Table6[[#This Row],[SKU]],'All Skus'!$A:$AC,20,FALSE)),""))</f>
        <v>4</v>
      </c>
      <c r="S271" s="61">
        <f>(IF((VLOOKUP(Table6[[#This Row],[SKU]],'All Skus'!$A:$AC,2,FALSE))="JBL",(VLOOKUP(Table6[[#This Row],[SKU]],'All Skus'!$A:$AC,21,FALSE)),""))</f>
        <v>12</v>
      </c>
      <c r="T271" s="61" t="str">
        <f>(IF((VLOOKUP(Table6[[#This Row],[SKU]],'All Skus'!$A:$AC,2,FALSE))="JBL",(VLOOKUP(Table6[[#This Row],[SKU]],'All Skus'!$A:$AC,22,FALSE)),""))</f>
        <v>CN</v>
      </c>
      <c r="U271" t="str">
        <f>(IF((VLOOKUP(Table6[[#This Row],[SKU]],'All Skus'!$A:$AC,2,FALSE))="JBL",(VLOOKUP(Table6[[#This Row],[SKU]],'All Skus'!$A:$AC,23,FALSE)),""))</f>
        <v>Non Compliant</v>
      </c>
      <c r="V271" s="284" t="str">
        <f>HYPERLINK((IF((VLOOKUP(Table6[[#This Row],[SKU]],'All Skus'!$A:$AC,2,FALSE))="JBL",(VLOOKUP(Table6[[#This Row],[SKU]],'All Skus'!$A:$AC,24,FALSE)),"")))</f>
        <v xml:space="preserve">http://www.jblpro.com/ProductAttachments/MTC-CBT-FlushMount_bracket_guide.pdf </v>
      </c>
      <c r="W271" s="151">
        <v>269</v>
      </c>
    </row>
    <row r="272" spans="1:23" ht="15" hidden="1" customHeight="1">
      <c r="A272" s="13" t="s">
        <v>1278</v>
      </c>
      <c r="B272" s="12" t="str">
        <f>(IF((VLOOKUP(Table6[[#This Row],[SKU]],'All Skus'!$A:$AC,2,FALSE))="JBL",(VLOOKUP(Table6[[#This Row],[SKU]],'All Skus'!$A:$AC,3,FALSE)),""))</f>
        <v>Accessory</v>
      </c>
      <c r="C272" s="12" t="str">
        <f>(IF((VLOOKUP(Table6[[#This Row],[SKU]],'All Skus'!$A:$AC,2,FALSE))="JBL",(VLOOKUP(Table6[[#This Row],[SKU]],'All Skus'!$A:$AC,4,FALSE)),""))</f>
        <v>MTC-CBT-FM1-WH</v>
      </c>
      <c r="D272" s="61" t="str">
        <f>(IF((VLOOKUP(Table6[[#This Row],[SKU]],'All Skus'!$A:$AC,2,FALSE))="JBL",(VLOOKUP(Table6[[#This Row],[SKU]],'All Skus'!$A:$AC,5,FALSE)),""))</f>
        <v>JBL018</v>
      </c>
      <c r="E272" s="137">
        <f>(IF((VLOOKUP(Table6[[#This Row],[SKU]],'All Skus'!$A:$AC,2,FALSE))="JBL",(VLOOKUP(Table6[[#This Row],[SKU]],'All Skus'!$A:$AC,6,FALSE)),""))</f>
        <v>0</v>
      </c>
      <c r="F272" s="61">
        <f>(IF((VLOOKUP(Table6[[#This Row],[SKU]],'All Skus'!$A:$AC,2,FALSE))="JBL",(VLOOKUP(Table6[[#This Row],[SKU]],'All Skus'!$A:$AC,7,FALSE)),""))</f>
        <v>0</v>
      </c>
      <c r="G272" t="str">
        <f>(IF((VLOOKUP(Table6[[#This Row],[SKU]],'All Skus'!$A:$AC,2,FALSE))="JBL",(VLOOKUP(Table6[[#This Row],[SKU]],'All Skus'!$A:$AC,8,FALSE)),""))</f>
        <v>CBT FLUSH-MOUNT WALL BRACKETS</v>
      </c>
      <c r="H272" s="8" t="str">
        <f>(IF((VLOOKUP(Table6[[#This Row],[SKU]],'All Skus'!$A:$AC,2,FALSE))="JBL",(VLOOKUP(Table6[[#This Row],[SKU]],'All Skus'!$A:$AC,9,FALSE)),""))</f>
        <v>"Flush-Mount" Wall Bracket for CBT50LA-1 and 100LA-1, White. Priced and sold as one complete bracket, including speaker side and wall side of bracket assembly)”</v>
      </c>
      <c r="I272" s="101">
        <f>(IF((VLOOKUP(Table6[[#This Row],[SKU]],'All Skus'!$A:$AC,2,FALSE))="JBL",(VLOOKUP(Table6[[#This Row],[SKU]],'All Skus'!$A:$AC,10,FALSE)),""))</f>
        <v>52.4</v>
      </c>
      <c r="J272" s="101">
        <f>(IF((VLOOKUP(Table6[[#This Row],[SKU]],'All Skus'!$A:$AC,2,FALSE))="JBL",(VLOOKUP(Table6[[#This Row],[SKU]],'All Skus'!$A:$AC,11,FALSE)),""))</f>
        <v>52.4</v>
      </c>
      <c r="K272" s="102">
        <f>(IF((VLOOKUP(Table6[[#This Row],[SKU]],'All Skus'!$A:$AC,2,FALSE))="JBL",(VLOOKUP(Table6[[#This Row],[SKU]],'All Skus'!$A:$AC,13,FALSE)),""))</f>
        <v>0</v>
      </c>
      <c r="L272" s="102">
        <f>(IF((VLOOKUP(Table6[[#This Row],[SKU]],'All Skus'!$A:$AC,2,FALSE))="JBL",(VLOOKUP(Table6[[#This Row],[SKU]],'All Skus'!$A:$AC,14,FALSE)),""))</f>
        <v>0</v>
      </c>
      <c r="M272" s="143">
        <f>(IF((VLOOKUP(Table6[[#This Row],[SKU]],'All Skus'!$A:$AC,2,FALSE))="JBL",(VLOOKUP(Table6[[#This Row],[SKU]],'All Skus'!$A:$AC,15,FALSE)),""))</f>
        <v>2</v>
      </c>
      <c r="N272" s="137">
        <f>(IF((VLOOKUP(Table6[[#This Row],[SKU]],'All Skus'!$A:$AC,2,FALSE))="JBL",(VLOOKUP(Table6[[#This Row],[SKU]],'All Skus'!$A:$AC,16,FALSE)),""))</f>
        <v>691991300196</v>
      </c>
      <c r="O272" s="61">
        <f>(IF((VLOOKUP(Table6[[#This Row],[SKU]],'All Skus'!$A:$AC,2,FALSE))="JBL",(VLOOKUP(Table6[[#This Row],[SKU]],'All Skus'!$A:$AC,17,FALSE)),""))</f>
        <v>0</v>
      </c>
      <c r="P272" s="136">
        <f>(IF((VLOOKUP(Table6[[#This Row],[SKU]],'All Skus'!$A:$AC,2,FALSE))="JBL",(VLOOKUP(Table6[[#This Row],[SKU]],'All Skus'!$A:$AC,18,FALSE)),""))</f>
        <v>0.75</v>
      </c>
      <c r="Q272" s="136">
        <f>(IF((VLOOKUP(Table6[[#This Row],[SKU]],'All Skus'!$A:$AC,2,FALSE))="JBL",(VLOOKUP(Table6[[#This Row],[SKU]],'All Skus'!$A:$AC,19,FALSE)),""))</f>
        <v>0.5</v>
      </c>
      <c r="R272" s="136">
        <f>(IF((VLOOKUP(Table6[[#This Row],[SKU]],'All Skus'!$A:$AC,2,FALSE))="JBL",(VLOOKUP(Table6[[#This Row],[SKU]],'All Skus'!$A:$AC,20,FALSE)),""))</f>
        <v>6</v>
      </c>
      <c r="S272" s="61">
        <f>(IF((VLOOKUP(Table6[[#This Row],[SKU]],'All Skus'!$A:$AC,2,FALSE))="JBL",(VLOOKUP(Table6[[#This Row],[SKU]],'All Skus'!$A:$AC,21,FALSE)),""))</f>
        <v>2</v>
      </c>
      <c r="T272" s="61" t="str">
        <f>(IF((VLOOKUP(Table6[[#This Row],[SKU]],'All Skus'!$A:$AC,2,FALSE))="JBL",(VLOOKUP(Table6[[#This Row],[SKU]],'All Skus'!$A:$AC,22,FALSE)),""))</f>
        <v>CN</v>
      </c>
      <c r="U272" t="str">
        <f>(IF((VLOOKUP(Table6[[#This Row],[SKU]],'All Skus'!$A:$AC,2,FALSE))="JBL",(VLOOKUP(Table6[[#This Row],[SKU]],'All Skus'!$A:$AC,23,FALSE)),""))</f>
        <v>Non Compliant</v>
      </c>
      <c r="V272" s="284" t="str">
        <f>HYPERLINK((IF((VLOOKUP(Table6[[#This Row],[SKU]],'All Skus'!$A:$AC,2,FALSE))="JBL",(VLOOKUP(Table6[[#This Row],[SKU]],'All Skus'!$A:$AC,24,FALSE)),"")))</f>
        <v xml:space="preserve">http://www.jblpro.com/ProductAttachments/MTC-CBT-FlushMount_bracket_guide.pdf </v>
      </c>
      <c r="W272" s="151">
        <v>270</v>
      </c>
    </row>
    <row r="273" spans="1:23" ht="15" hidden="1" customHeight="1">
      <c r="A273" s="13" t="s">
        <v>1279</v>
      </c>
      <c r="B273" s="12" t="str">
        <f>(IF((VLOOKUP(Table6[[#This Row],[SKU]],'All Skus'!$A:$AC,2,FALSE))="JBL",(VLOOKUP(Table6[[#This Row],[SKU]],'All Skus'!$A:$AC,3,FALSE)),""))</f>
        <v>Accessory</v>
      </c>
      <c r="C273" s="12" t="str">
        <f>(IF((VLOOKUP(Table6[[#This Row],[SKU]],'All Skus'!$A:$AC,2,FALSE))="JBL",(VLOOKUP(Table6[[#This Row],[SKU]],'All Skus'!$A:$AC,4,FALSE)),""))</f>
        <v>MTC-CBT-FM2</v>
      </c>
      <c r="D273" s="61" t="str">
        <f>(IF((VLOOKUP(Table6[[#This Row],[SKU]],'All Skus'!$A:$AC,2,FALSE))="JBL",(VLOOKUP(Table6[[#This Row],[SKU]],'All Skus'!$A:$AC,5,FALSE)),""))</f>
        <v>JBL018</v>
      </c>
      <c r="E273" s="137">
        <f>(IF((VLOOKUP(Table6[[#This Row],[SKU]],'All Skus'!$A:$AC,2,FALSE))="JBL",(VLOOKUP(Table6[[#This Row],[SKU]],'All Skus'!$A:$AC,6,FALSE)),""))</f>
        <v>0</v>
      </c>
      <c r="F273" s="61">
        <f>(IF((VLOOKUP(Table6[[#This Row],[SKU]],'All Skus'!$A:$AC,2,FALSE))="JBL",(VLOOKUP(Table6[[#This Row],[SKU]],'All Skus'!$A:$AC,7,FALSE)),""))</f>
        <v>0</v>
      </c>
      <c r="G273" t="str">
        <f>(IF((VLOOKUP(Table6[[#This Row],[SKU]],'All Skus'!$A:$AC,2,FALSE))="JBL",(VLOOKUP(Table6[[#This Row],[SKU]],'All Skus'!$A:$AC,8,FALSE)),""))</f>
        <v>CBT FLUSH-MOUNT WALL BRACKETS</v>
      </c>
      <c r="H273" s="8" t="str">
        <f>(IF((VLOOKUP(Table6[[#This Row],[SKU]],'All Skus'!$A:$AC,2,FALSE))="JBL",(VLOOKUP(Table6[[#This Row],[SKU]],'All Skus'!$A:$AC,9,FALSE)),""))</f>
        <v>"Flush-Mount" Wall Bracket for CBT70J-1 and 70J-1/JE-1Priced and sold as one complete bracket, including speaker side and wall side of bracket assembly)”</v>
      </c>
      <c r="I273" s="101">
        <f>(IF((VLOOKUP(Table6[[#This Row],[SKU]],'All Skus'!$A:$AC,2,FALSE))="JBL",(VLOOKUP(Table6[[#This Row],[SKU]],'All Skus'!$A:$AC,10,FALSE)),""))</f>
        <v>73.62</v>
      </c>
      <c r="J273" s="101">
        <f>(IF((VLOOKUP(Table6[[#This Row],[SKU]],'All Skus'!$A:$AC,2,FALSE))="JBL",(VLOOKUP(Table6[[#This Row],[SKU]],'All Skus'!$A:$AC,11,FALSE)),""))</f>
        <v>73.62</v>
      </c>
      <c r="K273" s="102">
        <f>(IF((VLOOKUP(Table6[[#This Row],[SKU]],'All Skus'!$A:$AC,2,FALSE))="JBL",(VLOOKUP(Table6[[#This Row],[SKU]],'All Skus'!$A:$AC,13,FALSE)),""))</f>
        <v>0</v>
      </c>
      <c r="L273" s="102">
        <f>(IF((VLOOKUP(Table6[[#This Row],[SKU]],'All Skus'!$A:$AC,2,FALSE))="JBL",(VLOOKUP(Table6[[#This Row],[SKU]],'All Skus'!$A:$AC,14,FALSE)),""))</f>
        <v>0</v>
      </c>
      <c r="M273" s="143">
        <f>(IF((VLOOKUP(Table6[[#This Row],[SKU]],'All Skus'!$A:$AC,2,FALSE))="JBL",(VLOOKUP(Table6[[#This Row],[SKU]],'All Skus'!$A:$AC,15,FALSE)),""))</f>
        <v>2</v>
      </c>
      <c r="N273" s="137">
        <f>(IF((VLOOKUP(Table6[[#This Row],[SKU]],'All Skus'!$A:$AC,2,FALSE))="JBL",(VLOOKUP(Table6[[#This Row],[SKU]],'All Skus'!$A:$AC,16,FALSE)),""))</f>
        <v>691991300165</v>
      </c>
      <c r="O273" s="61">
        <f>(IF((VLOOKUP(Table6[[#This Row],[SKU]],'All Skus'!$A:$AC,2,FALSE))="JBL",(VLOOKUP(Table6[[#This Row],[SKU]],'All Skus'!$A:$AC,17,FALSE)),""))</f>
        <v>0</v>
      </c>
      <c r="P273" s="136">
        <f>(IF((VLOOKUP(Table6[[#This Row],[SKU]],'All Skus'!$A:$AC,2,FALSE))="JBL",(VLOOKUP(Table6[[#This Row],[SKU]],'All Skus'!$A:$AC,18,FALSE)),""))</f>
        <v>7.24</v>
      </c>
      <c r="Q273" s="136">
        <f>(IF((VLOOKUP(Table6[[#This Row],[SKU]],'All Skus'!$A:$AC,2,FALSE))="JBL",(VLOOKUP(Table6[[#This Row],[SKU]],'All Skus'!$A:$AC,19,FALSE)),""))</f>
        <v>12</v>
      </c>
      <c r="R273" s="136">
        <f>(IF((VLOOKUP(Table6[[#This Row],[SKU]],'All Skus'!$A:$AC,2,FALSE))="JBL",(VLOOKUP(Table6[[#This Row],[SKU]],'All Skus'!$A:$AC,20,FALSE)),""))</f>
        <v>6</v>
      </c>
      <c r="S273" s="61">
        <f>(IF((VLOOKUP(Table6[[#This Row],[SKU]],'All Skus'!$A:$AC,2,FALSE))="JBL",(VLOOKUP(Table6[[#This Row],[SKU]],'All Skus'!$A:$AC,21,FALSE)),""))</f>
        <v>2</v>
      </c>
      <c r="T273" s="61" t="str">
        <f>(IF((VLOOKUP(Table6[[#This Row],[SKU]],'All Skus'!$A:$AC,2,FALSE))="JBL",(VLOOKUP(Table6[[#This Row],[SKU]],'All Skus'!$A:$AC,22,FALSE)),""))</f>
        <v>CN</v>
      </c>
      <c r="U273" t="str">
        <f>(IF((VLOOKUP(Table6[[#This Row],[SKU]],'All Skus'!$A:$AC,2,FALSE))="JBL",(VLOOKUP(Table6[[#This Row],[SKU]],'All Skus'!$A:$AC,23,FALSE)),""))</f>
        <v>Non Compliant</v>
      </c>
      <c r="V273" s="284" t="str">
        <f>HYPERLINK((IF((VLOOKUP(Table6[[#This Row],[SKU]],'All Skus'!$A:$AC,2,FALSE))="JBL",(VLOOKUP(Table6[[#This Row],[SKU]],'All Skus'!$A:$AC,24,FALSE)),"")))</f>
        <v xml:space="preserve">http://www.jblpro.com/ProductAttachments/MTC-CBT-FlushMount_bracket_guide.pdf </v>
      </c>
      <c r="W273" s="151">
        <v>271</v>
      </c>
    </row>
    <row r="274" spans="1:23" ht="15" hidden="1" customHeight="1">
      <c r="A274" s="13" t="s">
        <v>1280</v>
      </c>
      <c r="B274" s="12" t="str">
        <f>(IF((VLOOKUP(Table6[[#This Row],[SKU]],'All Skus'!$A:$AC,2,FALSE))="JBL",(VLOOKUP(Table6[[#This Row],[SKU]],'All Skus'!$A:$AC,3,FALSE)),""))</f>
        <v>Accessory</v>
      </c>
      <c r="C274" s="12" t="str">
        <f>(IF((VLOOKUP(Table6[[#This Row],[SKU]],'All Skus'!$A:$AC,2,FALSE))="JBL",(VLOOKUP(Table6[[#This Row],[SKU]],'All Skus'!$A:$AC,4,FALSE)),""))</f>
        <v>MTC-CBT-FM2-WH</v>
      </c>
      <c r="D274" s="61" t="str">
        <f>(IF((VLOOKUP(Table6[[#This Row],[SKU]],'All Skus'!$A:$AC,2,FALSE))="JBL",(VLOOKUP(Table6[[#This Row],[SKU]],'All Skus'!$A:$AC,5,FALSE)),""))</f>
        <v>JBL018</v>
      </c>
      <c r="E274" s="137">
        <f>(IF((VLOOKUP(Table6[[#This Row],[SKU]],'All Skus'!$A:$AC,2,FALSE))="JBL",(VLOOKUP(Table6[[#This Row],[SKU]],'All Skus'!$A:$AC,6,FALSE)),""))</f>
        <v>0</v>
      </c>
      <c r="F274" s="61">
        <f>(IF((VLOOKUP(Table6[[#This Row],[SKU]],'All Skus'!$A:$AC,2,FALSE))="JBL",(VLOOKUP(Table6[[#This Row],[SKU]],'All Skus'!$A:$AC,7,FALSE)),""))</f>
        <v>0</v>
      </c>
      <c r="G274" t="str">
        <f>(IF((VLOOKUP(Table6[[#This Row],[SKU]],'All Skus'!$A:$AC,2,FALSE))="JBL",(VLOOKUP(Table6[[#This Row],[SKU]],'All Skus'!$A:$AC,8,FALSE)),""))</f>
        <v>CBT FLUSH-MOUNT WALL BRACKETS</v>
      </c>
      <c r="H274" s="8" t="str">
        <f>(IF((VLOOKUP(Table6[[#This Row],[SKU]],'All Skus'!$A:$AC,2,FALSE))="JBL",(VLOOKUP(Table6[[#This Row],[SKU]],'All Skus'!$A:$AC,9,FALSE)),""))</f>
        <v>"Flush-Mount" Wall Bracket for CBT70J-1 and 70J-1/JE-1, White. Priced and sold as one complete bracket, including speaker side and wall side of bracket assembly)”</v>
      </c>
      <c r="I274" s="101">
        <f>(IF((VLOOKUP(Table6[[#This Row],[SKU]],'All Skus'!$A:$AC,2,FALSE))="JBL",(VLOOKUP(Table6[[#This Row],[SKU]],'All Skus'!$A:$AC,10,FALSE)),""))</f>
        <v>73.62</v>
      </c>
      <c r="J274" s="101">
        <f>(IF((VLOOKUP(Table6[[#This Row],[SKU]],'All Skus'!$A:$AC,2,FALSE))="JBL",(VLOOKUP(Table6[[#This Row],[SKU]],'All Skus'!$A:$AC,11,FALSE)),""))</f>
        <v>73.62</v>
      </c>
      <c r="K274" s="102">
        <f>(IF((VLOOKUP(Table6[[#This Row],[SKU]],'All Skus'!$A:$AC,2,FALSE))="JBL",(VLOOKUP(Table6[[#This Row],[SKU]],'All Skus'!$A:$AC,13,FALSE)),""))</f>
        <v>0</v>
      </c>
      <c r="L274" s="102">
        <f>(IF((VLOOKUP(Table6[[#This Row],[SKU]],'All Skus'!$A:$AC,2,FALSE))="JBL",(VLOOKUP(Table6[[#This Row],[SKU]],'All Skus'!$A:$AC,14,FALSE)),""))</f>
        <v>0</v>
      </c>
      <c r="M274" s="143">
        <f>(IF((VLOOKUP(Table6[[#This Row],[SKU]],'All Skus'!$A:$AC,2,FALSE))="JBL",(VLOOKUP(Table6[[#This Row],[SKU]],'All Skus'!$A:$AC,15,FALSE)),""))</f>
        <v>2</v>
      </c>
      <c r="N274" s="137">
        <f>(IF((VLOOKUP(Table6[[#This Row],[SKU]],'All Skus'!$A:$AC,2,FALSE))="JBL",(VLOOKUP(Table6[[#This Row],[SKU]],'All Skus'!$A:$AC,16,FALSE)),""))</f>
        <v>691991300172</v>
      </c>
      <c r="O274" s="61">
        <f>(IF((VLOOKUP(Table6[[#This Row],[SKU]],'All Skus'!$A:$AC,2,FALSE))="JBL",(VLOOKUP(Table6[[#This Row],[SKU]],'All Skus'!$A:$AC,17,FALSE)),""))</f>
        <v>0</v>
      </c>
      <c r="P274" s="136">
        <f>(IF((VLOOKUP(Table6[[#This Row],[SKU]],'All Skus'!$A:$AC,2,FALSE))="JBL",(VLOOKUP(Table6[[#This Row],[SKU]],'All Skus'!$A:$AC,18,FALSE)),""))</f>
        <v>8</v>
      </c>
      <c r="Q274" s="136">
        <f>(IF((VLOOKUP(Table6[[#This Row],[SKU]],'All Skus'!$A:$AC,2,FALSE))="JBL",(VLOOKUP(Table6[[#This Row],[SKU]],'All Skus'!$A:$AC,19,FALSE)),""))</f>
        <v>6</v>
      </c>
      <c r="R274" s="136">
        <f>(IF((VLOOKUP(Table6[[#This Row],[SKU]],'All Skus'!$A:$AC,2,FALSE))="JBL",(VLOOKUP(Table6[[#This Row],[SKU]],'All Skus'!$A:$AC,20,FALSE)),""))</f>
        <v>12</v>
      </c>
      <c r="S274" s="61">
        <f>(IF((VLOOKUP(Table6[[#This Row],[SKU]],'All Skus'!$A:$AC,2,FALSE))="JBL",(VLOOKUP(Table6[[#This Row],[SKU]],'All Skus'!$A:$AC,21,FALSE)),""))</f>
        <v>2</v>
      </c>
      <c r="T274" s="61" t="str">
        <f>(IF((VLOOKUP(Table6[[#This Row],[SKU]],'All Skus'!$A:$AC,2,FALSE))="JBL",(VLOOKUP(Table6[[#This Row],[SKU]],'All Skus'!$A:$AC,22,FALSE)),""))</f>
        <v>CN</v>
      </c>
      <c r="U274" t="str">
        <f>(IF((VLOOKUP(Table6[[#This Row],[SKU]],'All Skus'!$A:$AC,2,FALSE))="JBL",(VLOOKUP(Table6[[#This Row],[SKU]],'All Skus'!$A:$AC,23,FALSE)),""))</f>
        <v>Non Compliant</v>
      </c>
      <c r="V274" s="284" t="str">
        <f>HYPERLINK((IF((VLOOKUP(Table6[[#This Row],[SKU]],'All Skus'!$A:$AC,2,FALSE))="JBL",(VLOOKUP(Table6[[#This Row],[SKU]],'All Skus'!$A:$AC,24,FALSE)),"")))</f>
        <v/>
      </c>
      <c r="W274" s="151">
        <v>272</v>
      </c>
    </row>
    <row r="275" spans="1:23" ht="15" hidden="1" customHeight="1">
      <c r="A275" s="13" t="s">
        <v>1281</v>
      </c>
      <c r="B275" s="12" t="str">
        <f>(IF((VLOOKUP(Table6[[#This Row],[SKU]],'All Skus'!$A:$AC,2,FALSE))="JBL",(VLOOKUP(Table6[[#This Row],[SKU]],'All Skus'!$A:$AC,3,FALSE)),""))</f>
        <v>Accessory</v>
      </c>
      <c r="C275" s="12" t="str">
        <f>(IF((VLOOKUP(Table6[[#This Row],[SKU]],'All Skus'!$A:$AC,2,FALSE))="JBL",(VLOOKUP(Table6[[#This Row],[SKU]],'All Skus'!$A:$AC,4,FALSE)),""))</f>
        <v>MTC-CBT-SMB1</v>
      </c>
      <c r="D275" s="61" t="str">
        <f>(IF((VLOOKUP(Table6[[#This Row],[SKU]],'All Skus'!$A:$AC,2,FALSE))="JBL",(VLOOKUP(Table6[[#This Row],[SKU]],'All Skus'!$A:$AC,5,FALSE)),""))</f>
        <v>JBL018</v>
      </c>
      <c r="E275" s="137">
        <f>(IF((VLOOKUP(Table6[[#This Row],[SKU]],'All Skus'!$A:$AC,2,FALSE))="JBL",(VLOOKUP(Table6[[#This Row],[SKU]],'All Skus'!$A:$AC,6,FALSE)),""))</f>
        <v>0</v>
      </c>
      <c r="F275" s="61">
        <f>(IF((VLOOKUP(Table6[[#This Row],[SKU]],'All Skus'!$A:$AC,2,FALSE))="JBL",(VLOOKUP(Table6[[#This Row],[SKU]],'All Skus'!$A:$AC,7,FALSE)),""))</f>
        <v>0</v>
      </c>
      <c r="G275" t="str">
        <f>(IF((VLOOKUP(Table6[[#This Row],[SKU]],'All Skus'!$A:$AC,2,FALSE))="JBL",(VLOOKUP(Table6[[#This Row],[SKU]],'All Skus'!$A:$AC,8,FALSE)),""))</f>
        <v>STAND MOUNT BRACKET FOR CBT</v>
      </c>
      <c r="H275" s="8" t="str">
        <f>(IF((VLOOKUP(Table6[[#This Row],[SKU]],'All Skus'!$A:$AC,2,FALSE))="JBL",(VLOOKUP(Table6[[#This Row],[SKU]],'All Skus'!$A:$AC,9,FALSE)),""))</f>
        <v>Suspension Bracket, fits all CBT Models</v>
      </c>
      <c r="I275" s="101">
        <f>(IF((VLOOKUP(Table6[[#This Row],[SKU]],'All Skus'!$A:$AC,2,FALSE))="JBL",(VLOOKUP(Table6[[#This Row],[SKU]],'All Skus'!$A:$AC,10,FALSE)),""))</f>
        <v>78.61</v>
      </c>
      <c r="J275" s="101">
        <f>(IF((VLOOKUP(Table6[[#This Row],[SKU]],'All Skus'!$A:$AC,2,FALSE))="JBL",(VLOOKUP(Table6[[#This Row],[SKU]],'All Skus'!$A:$AC,11,FALSE)),""))</f>
        <v>78.61</v>
      </c>
      <c r="K275" s="102">
        <f>(IF((VLOOKUP(Table6[[#This Row],[SKU]],'All Skus'!$A:$AC,2,FALSE))="JBL",(VLOOKUP(Table6[[#This Row],[SKU]],'All Skus'!$A:$AC,13,FALSE)),""))</f>
        <v>0</v>
      </c>
      <c r="L275" s="102">
        <f>(IF((VLOOKUP(Table6[[#This Row],[SKU]],'All Skus'!$A:$AC,2,FALSE))="JBL",(VLOOKUP(Table6[[#This Row],[SKU]],'All Skus'!$A:$AC,14,FALSE)),""))</f>
        <v>0</v>
      </c>
      <c r="M275" s="143">
        <f>(IF((VLOOKUP(Table6[[#This Row],[SKU]],'All Skus'!$A:$AC,2,FALSE))="JBL",(VLOOKUP(Table6[[#This Row],[SKU]],'All Skus'!$A:$AC,15,FALSE)),""))</f>
        <v>1</v>
      </c>
      <c r="N275" s="137">
        <f>(IF((VLOOKUP(Table6[[#This Row],[SKU]],'All Skus'!$A:$AC,2,FALSE))="JBL",(VLOOKUP(Table6[[#This Row],[SKU]],'All Skus'!$A:$AC,16,FALSE)),""))</f>
        <v>691991300158</v>
      </c>
      <c r="O275" s="61">
        <f>(IF((VLOOKUP(Table6[[#This Row],[SKU]],'All Skus'!$A:$AC,2,FALSE))="JBL",(VLOOKUP(Table6[[#This Row],[SKU]],'All Skus'!$A:$AC,17,FALSE)),""))</f>
        <v>0</v>
      </c>
      <c r="P275" s="136">
        <f>(IF((VLOOKUP(Table6[[#This Row],[SKU]],'All Skus'!$A:$AC,2,FALSE))="JBL",(VLOOKUP(Table6[[#This Row],[SKU]],'All Skus'!$A:$AC,18,FALSE)),""))</f>
        <v>1.85</v>
      </c>
      <c r="Q275" s="136">
        <f>(IF((VLOOKUP(Table6[[#This Row],[SKU]],'All Skus'!$A:$AC,2,FALSE))="JBL",(VLOOKUP(Table6[[#This Row],[SKU]],'All Skus'!$A:$AC,19,FALSE)),""))</f>
        <v>8</v>
      </c>
      <c r="R275" s="136">
        <f>(IF((VLOOKUP(Table6[[#This Row],[SKU]],'All Skus'!$A:$AC,2,FALSE))="JBL",(VLOOKUP(Table6[[#This Row],[SKU]],'All Skus'!$A:$AC,20,FALSE)),""))</f>
        <v>8</v>
      </c>
      <c r="S275" s="61">
        <f>(IF((VLOOKUP(Table6[[#This Row],[SKU]],'All Skus'!$A:$AC,2,FALSE))="JBL",(VLOOKUP(Table6[[#This Row],[SKU]],'All Skus'!$A:$AC,21,FALSE)),""))</f>
        <v>7</v>
      </c>
      <c r="T275" s="61" t="str">
        <f>(IF((VLOOKUP(Table6[[#This Row],[SKU]],'All Skus'!$A:$AC,2,FALSE))="JBL",(VLOOKUP(Table6[[#This Row],[SKU]],'All Skus'!$A:$AC,22,FALSE)),""))</f>
        <v>CN</v>
      </c>
      <c r="U275" t="str">
        <f>(IF((VLOOKUP(Table6[[#This Row],[SKU]],'All Skus'!$A:$AC,2,FALSE))="JBL",(VLOOKUP(Table6[[#This Row],[SKU]],'All Skus'!$A:$AC,23,FALSE)),""))</f>
        <v>Non Compliant</v>
      </c>
      <c r="V275" s="284" t="str">
        <f>HYPERLINK((IF((VLOOKUP(Table6[[#This Row],[SKU]],'All Skus'!$A:$AC,2,FALSE))="JBL",(VLOOKUP(Table6[[#This Row],[SKU]],'All Skus'!$A:$AC,24,FALSE)),"")))</f>
        <v/>
      </c>
      <c r="W275" s="151">
        <v>273</v>
      </c>
    </row>
    <row r="276" spans="1:23" ht="15" hidden="1" customHeight="1">
      <c r="A276" s="13" t="s">
        <v>1282</v>
      </c>
      <c r="B276" s="12" t="str">
        <f>(IF((VLOOKUP(Table6[[#This Row],[SKU]],'All Skus'!$A:$AC,2,FALSE))="JBL",(VLOOKUP(Table6[[#This Row],[SKU]],'All Skus'!$A:$AC,3,FALSE)),""))</f>
        <v>Column Speaker Accessory</v>
      </c>
      <c r="C276" s="12" t="str">
        <f>(IF((VLOOKUP(Table6[[#This Row],[SKU]],'All Skus'!$A:$AC,2,FALSE))="JBL",(VLOOKUP(Table6[[#This Row],[SKU]],'All Skus'!$A:$AC,4,FALSE)),""))</f>
        <v>MTC-CBT-SUS3</v>
      </c>
      <c r="D276" s="61" t="str">
        <f>(IF((VLOOKUP(Table6[[#This Row],[SKU]],'All Skus'!$A:$AC,2,FALSE))="JBL",(VLOOKUP(Table6[[#This Row],[SKU]],'All Skus'!$A:$AC,5,FALSE)),""))</f>
        <v>JBL018</v>
      </c>
      <c r="E276" s="137">
        <f>(IF((VLOOKUP(Table6[[#This Row],[SKU]],'All Skus'!$A:$AC,2,FALSE))="JBL",(VLOOKUP(Table6[[#This Row],[SKU]],'All Skus'!$A:$AC,6,FALSE)),""))</f>
        <v>0</v>
      </c>
      <c r="F276" s="61">
        <f>(IF((VLOOKUP(Table6[[#This Row],[SKU]],'All Skus'!$A:$AC,2,FALSE))="JBL",(VLOOKUP(Table6[[#This Row],[SKU]],'All Skus'!$A:$AC,7,FALSE)),""))</f>
        <v>0</v>
      </c>
      <c r="G276" t="str">
        <f>(IF((VLOOKUP(Table6[[#This Row],[SKU]],'All Skus'!$A:$AC,2,FALSE))="JBL",(VLOOKUP(Table6[[#This Row],[SKU]],'All Skus'!$A:$AC,8,FALSE)),""))</f>
        <v>Suspension Bracket for CBT Speakers</v>
      </c>
      <c r="H276" s="8" t="str">
        <f>(IF((VLOOKUP(Table6[[#This Row],[SKU]],'All Skus'!$A:$AC,2,FALSE))="JBL",(VLOOKUP(Table6[[#This Row],[SKU]],'All Skus'!$A:$AC,9,FALSE)),""))</f>
        <v>Suspension Adapter Plates for ALL CBT ModelsSuspension Bracket, fits all CBT Models.  Bent-metal adapter plates that provide convenient clip points for suspending CBT speakers via aircraft cable and other methods.  Includes 2 pcs, for top &amp; bottom mounting.  Provides 3 clip points each -- center and two sides.  Drilled with three speaker spacing/bolt patterns to fit:  CBT-50LA-1, 100LA-1, 200LA-1, 70J-1, 70J-1+70JE-1 array, 1000, 1000+1000E array.  (Priced as a carton containing 2 bent-metal adapter plates.)</v>
      </c>
      <c r="I276" s="101">
        <f>(IF((VLOOKUP(Table6[[#This Row],[SKU]],'All Skus'!$A:$AC,2,FALSE))="JBL",(VLOOKUP(Table6[[#This Row],[SKU]],'All Skus'!$A:$AC,10,FALSE)),""))</f>
        <v>42.42</v>
      </c>
      <c r="J276" s="101">
        <f>(IF((VLOOKUP(Table6[[#This Row],[SKU]],'All Skus'!$A:$AC,2,FALSE))="JBL",(VLOOKUP(Table6[[#This Row],[SKU]],'All Skus'!$A:$AC,11,FALSE)),""))</f>
        <v>42.42</v>
      </c>
      <c r="K276" s="102">
        <f>(IF((VLOOKUP(Table6[[#This Row],[SKU]],'All Skus'!$A:$AC,2,FALSE))="JBL",(VLOOKUP(Table6[[#This Row],[SKU]],'All Skus'!$A:$AC,13,FALSE)),""))</f>
        <v>0</v>
      </c>
      <c r="L276" s="102">
        <f>(IF((VLOOKUP(Table6[[#This Row],[SKU]],'All Skus'!$A:$AC,2,FALSE))="JBL",(VLOOKUP(Table6[[#This Row],[SKU]],'All Skus'!$A:$AC,14,FALSE)),""))</f>
        <v>0</v>
      </c>
      <c r="M276" s="143">
        <f>(IF((VLOOKUP(Table6[[#This Row],[SKU]],'All Skus'!$A:$AC,2,FALSE))="JBL",(VLOOKUP(Table6[[#This Row],[SKU]],'All Skus'!$A:$AC,15,FALSE)),""))</f>
        <v>0</v>
      </c>
      <c r="N276" s="137">
        <f>(IF((VLOOKUP(Table6[[#This Row],[SKU]],'All Skus'!$A:$AC,2,FALSE))="JBL",(VLOOKUP(Table6[[#This Row],[SKU]],'All Skus'!$A:$AC,16,FALSE)),""))</f>
        <v>691991005954</v>
      </c>
      <c r="O276" s="61">
        <f>(IF((VLOOKUP(Table6[[#This Row],[SKU]],'All Skus'!$A:$AC,2,FALSE))="JBL",(VLOOKUP(Table6[[#This Row],[SKU]],'All Skus'!$A:$AC,17,FALSE)),""))</f>
        <v>0</v>
      </c>
      <c r="P276" s="136">
        <f>(IF((VLOOKUP(Table6[[#This Row],[SKU]],'All Skus'!$A:$AC,2,FALSE))="JBL",(VLOOKUP(Table6[[#This Row],[SKU]],'All Skus'!$A:$AC,18,FALSE)),""))</f>
        <v>2.8</v>
      </c>
      <c r="Q276" s="136">
        <f>(IF((VLOOKUP(Table6[[#This Row],[SKU]],'All Skus'!$A:$AC,2,FALSE))="JBL",(VLOOKUP(Table6[[#This Row],[SKU]],'All Skus'!$A:$AC,19,FALSE)),""))</f>
        <v>12.25</v>
      </c>
      <c r="R276" s="136">
        <f>(IF((VLOOKUP(Table6[[#This Row],[SKU]],'All Skus'!$A:$AC,2,FALSE))="JBL",(VLOOKUP(Table6[[#This Row],[SKU]],'All Skus'!$A:$AC,20,FALSE)),""))</f>
        <v>5.5</v>
      </c>
      <c r="S276" s="61">
        <f>(IF((VLOOKUP(Table6[[#This Row],[SKU]],'All Skus'!$A:$AC,2,FALSE))="JBL",(VLOOKUP(Table6[[#This Row],[SKU]],'All Skus'!$A:$AC,21,FALSE)),""))</f>
        <v>2</v>
      </c>
      <c r="T276" s="61" t="str">
        <f>(IF((VLOOKUP(Table6[[#This Row],[SKU]],'All Skus'!$A:$AC,2,FALSE))="JBL",(VLOOKUP(Table6[[#This Row],[SKU]],'All Skus'!$A:$AC,22,FALSE)),""))</f>
        <v>CN</v>
      </c>
      <c r="U276" t="str">
        <f>(IF((VLOOKUP(Table6[[#This Row],[SKU]],'All Skus'!$A:$AC,2,FALSE))="JBL",(VLOOKUP(Table6[[#This Row],[SKU]],'All Skus'!$A:$AC,23,FALSE)),""))</f>
        <v>Non Compliant</v>
      </c>
      <c r="V276" s="284" t="str">
        <f>HYPERLINK((IF((VLOOKUP(Table6[[#This Row],[SKU]],'All Skus'!$A:$AC,2,FALSE))="JBL",(VLOOKUP(Table6[[#This Row],[SKU]],'All Skus'!$A:$AC,24,FALSE)),"")))</f>
        <v/>
      </c>
      <c r="W276" s="151">
        <v>274</v>
      </c>
    </row>
    <row r="277" spans="1:23" ht="15" hidden="1" customHeight="1">
      <c r="A277" s="13" t="s">
        <v>1283</v>
      </c>
      <c r="B277" s="12" t="str">
        <f>(IF((VLOOKUP(Table6[[#This Row],[SKU]],'All Skus'!$A:$AC,2,FALSE))="JBL",(VLOOKUP(Table6[[#This Row],[SKU]],'All Skus'!$A:$AC,3,FALSE)),""))</f>
        <v>Column Speaker Accessory</v>
      </c>
      <c r="C277" s="12" t="str">
        <f>(IF((VLOOKUP(Table6[[#This Row],[SKU]],'All Skus'!$A:$AC,2,FALSE))="JBL",(VLOOKUP(Table6[[#This Row],[SKU]],'All Skus'!$A:$AC,4,FALSE)),""))</f>
        <v>MTC-CBT-SUS3-WH</v>
      </c>
      <c r="D277" s="61" t="str">
        <f>(IF((VLOOKUP(Table6[[#This Row],[SKU]],'All Skus'!$A:$AC,2,FALSE))="JBL",(VLOOKUP(Table6[[#This Row],[SKU]],'All Skus'!$A:$AC,5,FALSE)),""))</f>
        <v>JBL018</v>
      </c>
      <c r="E277" s="137">
        <f>(IF((VLOOKUP(Table6[[#This Row],[SKU]],'All Skus'!$A:$AC,2,FALSE))="JBL",(VLOOKUP(Table6[[#This Row],[SKU]],'All Skus'!$A:$AC,6,FALSE)),""))</f>
        <v>0</v>
      </c>
      <c r="F277" s="61">
        <f>(IF((VLOOKUP(Table6[[#This Row],[SKU]],'All Skus'!$A:$AC,2,FALSE))="JBL",(VLOOKUP(Table6[[#This Row],[SKU]],'All Skus'!$A:$AC,7,FALSE)),""))</f>
        <v>0</v>
      </c>
      <c r="G277" t="str">
        <f>(IF((VLOOKUP(Table6[[#This Row],[SKU]],'All Skus'!$A:$AC,2,FALSE))="JBL",(VLOOKUP(Table6[[#This Row],[SKU]],'All Skus'!$A:$AC,8,FALSE)),""))</f>
        <v>Suspension Bracket for CBT Speakers</v>
      </c>
      <c r="H277" s="8" t="str">
        <f>(IF((VLOOKUP(Table6[[#This Row],[SKU]],'All Skus'!$A:$AC,2,FALSE))="JBL",(VLOOKUP(Table6[[#This Row],[SKU]],'All Skus'!$A:$AC,9,FALSE)),""))</f>
        <v>Suspension Adapter Plates.  MTC-CBT-SUS3 in white.  Priced as a carton containing 2 bent-metal adapter plates</v>
      </c>
      <c r="I277" s="101">
        <f>(IF((VLOOKUP(Table6[[#This Row],[SKU]],'All Skus'!$A:$AC,2,FALSE))="JBL",(VLOOKUP(Table6[[#This Row],[SKU]],'All Skus'!$A:$AC,10,FALSE)),""))</f>
        <v>42.42</v>
      </c>
      <c r="J277" s="101">
        <f>(IF((VLOOKUP(Table6[[#This Row],[SKU]],'All Skus'!$A:$AC,2,FALSE))="JBL",(VLOOKUP(Table6[[#This Row],[SKU]],'All Skus'!$A:$AC,11,FALSE)),""))</f>
        <v>42.42</v>
      </c>
      <c r="K277" s="102">
        <f>(IF((VLOOKUP(Table6[[#This Row],[SKU]],'All Skus'!$A:$AC,2,FALSE))="JBL",(VLOOKUP(Table6[[#This Row],[SKU]],'All Skus'!$A:$AC,13,FALSE)),""))</f>
        <v>0</v>
      </c>
      <c r="L277" s="102">
        <f>(IF((VLOOKUP(Table6[[#This Row],[SKU]],'All Skus'!$A:$AC,2,FALSE))="JBL",(VLOOKUP(Table6[[#This Row],[SKU]],'All Skus'!$A:$AC,14,FALSE)),""))</f>
        <v>0</v>
      </c>
      <c r="M277" s="143">
        <f>(IF((VLOOKUP(Table6[[#This Row],[SKU]],'All Skus'!$A:$AC,2,FALSE))="JBL",(VLOOKUP(Table6[[#This Row],[SKU]],'All Skus'!$A:$AC,15,FALSE)),""))</f>
        <v>0</v>
      </c>
      <c r="N277" s="137">
        <f>(IF((VLOOKUP(Table6[[#This Row],[SKU]],'All Skus'!$A:$AC,2,FALSE))="JBL",(VLOOKUP(Table6[[#This Row],[SKU]],'All Skus'!$A:$AC,16,FALSE)),""))</f>
        <v>691991005961</v>
      </c>
      <c r="O277" s="61">
        <f>(IF((VLOOKUP(Table6[[#This Row],[SKU]],'All Skus'!$A:$AC,2,FALSE))="JBL",(VLOOKUP(Table6[[#This Row],[SKU]],'All Skus'!$A:$AC,17,FALSE)),""))</f>
        <v>0</v>
      </c>
      <c r="P277" s="136">
        <f>(IF((VLOOKUP(Table6[[#This Row],[SKU]],'All Skus'!$A:$AC,2,FALSE))="JBL",(VLOOKUP(Table6[[#This Row],[SKU]],'All Skus'!$A:$AC,18,FALSE)),""))</f>
        <v>9</v>
      </c>
      <c r="Q277" s="136">
        <f>(IF((VLOOKUP(Table6[[#This Row],[SKU]],'All Skus'!$A:$AC,2,FALSE))="JBL",(VLOOKUP(Table6[[#This Row],[SKU]],'All Skus'!$A:$AC,19,FALSE)),""))</f>
        <v>6</v>
      </c>
      <c r="R277" s="136">
        <f>(IF((VLOOKUP(Table6[[#This Row],[SKU]],'All Skus'!$A:$AC,2,FALSE))="JBL",(VLOOKUP(Table6[[#This Row],[SKU]],'All Skus'!$A:$AC,20,FALSE)),""))</f>
        <v>12</v>
      </c>
      <c r="S277" s="61">
        <f>(IF((VLOOKUP(Table6[[#This Row],[SKU]],'All Skus'!$A:$AC,2,FALSE))="JBL",(VLOOKUP(Table6[[#This Row],[SKU]],'All Skus'!$A:$AC,21,FALSE)),""))</f>
        <v>3</v>
      </c>
      <c r="T277" s="61" t="str">
        <f>(IF((VLOOKUP(Table6[[#This Row],[SKU]],'All Skus'!$A:$AC,2,FALSE))="JBL",(VLOOKUP(Table6[[#This Row],[SKU]],'All Skus'!$A:$AC,22,FALSE)),""))</f>
        <v>CN</v>
      </c>
      <c r="U277" t="str">
        <f>(IF((VLOOKUP(Table6[[#This Row],[SKU]],'All Skus'!$A:$AC,2,FALSE))="JBL",(VLOOKUP(Table6[[#This Row],[SKU]],'All Skus'!$A:$AC,23,FALSE)),""))</f>
        <v>Non Compliant</v>
      </c>
      <c r="V277" s="284" t="str">
        <f>HYPERLINK((IF((VLOOKUP(Table6[[#This Row],[SKU]],'All Skus'!$A:$AC,2,FALSE))="JBL",(VLOOKUP(Table6[[#This Row],[SKU]],'All Skus'!$A:$AC,24,FALSE)),"")))</f>
        <v/>
      </c>
      <c r="W277" s="151">
        <v>275</v>
      </c>
    </row>
    <row r="278" spans="1:23" ht="15" hidden="1" customHeight="1">
      <c r="A278" s="104" t="s">
        <v>1284</v>
      </c>
      <c r="B278" s="12">
        <f>(IF((VLOOKUP(Table6[[#This Row],[SKU]],'All Skus'!$A:$AC,2,FALSE))="JBL",(VLOOKUP(Table6[[#This Row],[SKU]],'All Skus'!$A:$AC,3,FALSE)),""))</f>
        <v>0</v>
      </c>
      <c r="C278" s="12">
        <f>(IF((VLOOKUP(Table6[[#This Row],[SKU]],'All Skus'!$A:$AC,2,FALSE))="JBL",(VLOOKUP(Table6[[#This Row],[SKU]],'All Skus'!$A:$AC,4,FALSE)),""))</f>
        <v>0</v>
      </c>
      <c r="D278" s="61">
        <f>(IF((VLOOKUP(Table6[[#This Row],[SKU]],'All Skus'!$A:$AC,2,FALSE))="JBL",(VLOOKUP(Table6[[#This Row],[SKU]],'All Skus'!$A:$AC,5,FALSE)),""))</f>
        <v>0</v>
      </c>
      <c r="E278" s="137">
        <f>(IF((VLOOKUP(Table6[[#This Row],[SKU]],'All Skus'!$A:$AC,2,FALSE))="JBL",(VLOOKUP(Table6[[#This Row],[SKU]],'All Skus'!$A:$AC,6,FALSE)),""))</f>
        <v>0</v>
      </c>
      <c r="F278" s="61">
        <f>(IF((VLOOKUP(Table6[[#This Row],[SKU]],'All Skus'!$A:$AC,2,FALSE))="JBL",(VLOOKUP(Table6[[#This Row],[SKU]],'All Skus'!$A:$AC,7,FALSE)),""))</f>
        <v>0</v>
      </c>
      <c r="G278">
        <f>(IF((VLOOKUP(Table6[[#This Row],[SKU]],'All Skus'!$A:$AC,2,FALSE))="JBL",(VLOOKUP(Table6[[#This Row],[SKU]],'All Skus'!$A:$AC,8,FALSE)),""))</f>
        <v>0</v>
      </c>
      <c r="H278" s="8">
        <f>(IF((VLOOKUP(Table6[[#This Row],[SKU]],'All Skus'!$A:$AC,2,FALSE))="JBL",(VLOOKUP(Table6[[#This Row],[SKU]],'All Skus'!$A:$AC,9,FALSE)),""))</f>
        <v>0</v>
      </c>
      <c r="I278" s="101">
        <f>(IF((VLOOKUP(Table6[[#This Row],[SKU]],'All Skus'!$A:$AC,2,FALSE))="JBL",(VLOOKUP(Table6[[#This Row],[SKU]],'All Skus'!$A:$AC,10,FALSE)),""))</f>
        <v>0</v>
      </c>
      <c r="J278" s="101">
        <f>(IF((VLOOKUP(Table6[[#This Row],[SKU]],'All Skus'!$A:$AC,2,FALSE))="JBL",(VLOOKUP(Table6[[#This Row],[SKU]],'All Skus'!$A:$AC,11,FALSE)),""))</f>
        <v>0</v>
      </c>
      <c r="K278" s="102">
        <f>(IF((VLOOKUP(Table6[[#This Row],[SKU]],'All Skus'!$A:$AC,2,FALSE))="JBL",(VLOOKUP(Table6[[#This Row],[SKU]],'All Skus'!$A:$AC,13,FALSE)),""))</f>
        <v>0</v>
      </c>
      <c r="L278" s="102">
        <f>(IF((VLOOKUP(Table6[[#This Row],[SKU]],'All Skus'!$A:$AC,2,FALSE))="JBL",(VLOOKUP(Table6[[#This Row],[SKU]],'All Skus'!$A:$AC,14,FALSE)),""))</f>
        <v>0</v>
      </c>
      <c r="M278" s="143">
        <f>(IF((VLOOKUP(Table6[[#This Row],[SKU]],'All Skus'!$A:$AC,2,FALSE))="JBL",(VLOOKUP(Table6[[#This Row],[SKU]],'All Skus'!$A:$AC,15,FALSE)),""))</f>
        <v>0</v>
      </c>
      <c r="N278" s="137">
        <f>(IF((VLOOKUP(Table6[[#This Row],[SKU]],'All Skus'!$A:$AC,2,FALSE))="JBL",(VLOOKUP(Table6[[#This Row],[SKU]],'All Skus'!$A:$AC,16,FALSE)),""))</f>
        <v>0</v>
      </c>
      <c r="O278" s="61">
        <f>(IF((VLOOKUP(Table6[[#This Row],[SKU]],'All Skus'!$A:$AC,2,FALSE))="JBL",(VLOOKUP(Table6[[#This Row],[SKU]],'All Skus'!$A:$AC,17,FALSE)),""))</f>
        <v>0</v>
      </c>
      <c r="P278" s="136">
        <f>(IF((VLOOKUP(Table6[[#This Row],[SKU]],'All Skus'!$A:$AC,2,FALSE))="JBL",(VLOOKUP(Table6[[#This Row],[SKU]],'All Skus'!$A:$AC,18,FALSE)),""))</f>
        <v>0</v>
      </c>
      <c r="Q278" s="136">
        <f>(IF((VLOOKUP(Table6[[#This Row],[SKU]],'All Skus'!$A:$AC,2,FALSE))="JBL",(VLOOKUP(Table6[[#This Row],[SKU]],'All Skus'!$A:$AC,19,FALSE)),""))</f>
        <v>0</v>
      </c>
      <c r="R278" s="136">
        <f>(IF((VLOOKUP(Table6[[#This Row],[SKU]],'All Skus'!$A:$AC,2,FALSE))="JBL",(VLOOKUP(Table6[[#This Row],[SKU]],'All Skus'!$A:$AC,20,FALSE)),""))</f>
        <v>0</v>
      </c>
      <c r="S278" s="61">
        <f>(IF((VLOOKUP(Table6[[#This Row],[SKU]],'All Skus'!$A:$AC,2,FALSE))="JBL",(VLOOKUP(Table6[[#This Row],[SKU]],'All Skus'!$A:$AC,21,FALSE)),""))</f>
        <v>0</v>
      </c>
      <c r="T278" s="61">
        <f>(IF((VLOOKUP(Table6[[#This Row],[SKU]],'All Skus'!$A:$AC,2,FALSE))="JBL",(VLOOKUP(Table6[[#This Row],[SKU]],'All Skus'!$A:$AC,22,FALSE)),""))</f>
        <v>0</v>
      </c>
      <c r="U278">
        <f>(IF((VLOOKUP(Table6[[#This Row],[SKU]],'All Skus'!$A:$AC,2,FALSE))="JBL",(VLOOKUP(Table6[[#This Row],[SKU]],'All Skus'!$A:$AC,23,FALSE)),""))</f>
        <v>0</v>
      </c>
      <c r="V278" s="284" t="str">
        <f>HYPERLINK((IF((VLOOKUP(Table6[[#This Row],[SKU]],'All Skus'!$A:$AC,2,FALSE))="JBL",(VLOOKUP(Table6[[#This Row],[SKU]],'All Skus'!$A:$AC,24,FALSE)),"")))</f>
        <v/>
      </c>
      <c r="W278" s="151">
        <v>276</v>
      </c>
    </row>
    <row r="279" spans="1:23" ht="15" hidden="1" customHeight="1">
      <c r="A279" s="91" t="s">
        <v>1285</v>
      </c>
      <c r="B279" s="12">
        <f>(IF((VLOOKUP(Table6[[#This Row],[SKU]],'All Skus'!$A:$AC,2,FALSE))="JBL",(VLOOKUP(Table6[[#This Row],[SKU]],'All Skus'!$A:$AC,3,FALSE)),""))</f>
        <v>0</v>
      </c>
      <c r="C279" s="12">
        <f>(IF((VLOOKUP(Table6[[#This Row],[SKU]],'All Skus'!$A:$AC,2,FALSE))="JBL",(VLOOKUP(Table6[[#This Row],[SKU]],'All Skus'!$A:$AC,4,FALSE)),""))</f>
        <v>0</v>
      </c>
      <c r="D279" s="61">
        <f>(IF((VLOOKUP(Table6[[#This Row],[SKU]],'All Skus'!$A:$AC,2,FALSE))="JBL",(VLOOKUP(Table6[[#This Row],[SKU]],'All Skus'!$A:$AC,5,FALSE)),""))</f>
        <v>0</v>
      </c>
      <c r="E279" s="137">
        <f>(IF((VLOOKUP(Table6[[#This Row],[SKU]],'All Skus'!$A:$AC,2,FALSE))="JBL",(VLOOKUP(Table6[[#This Row],[SKU]],'All Skus'!$A:$AC,6,FALSE)),""))</f>
        <v>0</v>
      </c>
      <c r="F279" s="61">
        <f>(IF((VLOOKUP(Table6[[#This Row],[SKU]],'All Skus'!$A:$AC,2,FALSE))="JBL",(VLOOKUP(Table6[[#This Row],[SKU]],'All Skus'!$A:$AC,7,FALSE)),""))</f>
        <v>0</v>
      </c>
      <c r="G279">
        <f>(IF((VLOOKUP(Table6[[#This Row],[SKU]],'All Skus'!$A:$AC,2,FALSE))="JBL",(VLOOKUP(Table6[[#This Row],[SKU]],'All Skus'!$A:$AC,8,FALSE)),""))</f>
        <v>0</v>
      </c>
      <c r="H279" s="8">
        <f>(IF((VLOOKUP(Table6[[#This Row],[SKU]],'All Skus'!$A:$AC,2,FALSE))="JBL",(VLOOKUP(Table6[[#This Row],[SKU]],'All Skus'!$A:$AC,9,FALSE)),""))</f>
        <v>0</v>
      </c>
      <c r="I279" s="101">
        <f>(IF((VLOOKUP(Table6[[#This Row],[SKU]],'All Skus'!$A:$AC,2,FALSE))="JBL",(VLOOKUP(Table6[[#This Row],[SKU]],'All Skus'!$A:$AC,10,FALSE)),""))</f>
        <v>0</v>
      </c>
      <c r="J279" s="101">
        <f>(IF((VLOOKUP(Table6[[#This Row],[SKU]],'All Skus'!$A:$AC,2,FALSE))="JBL",(VLOOKUP(Table6[[#This Row],[SKU]],'All Skus'!$A:$AC,11,FALSE)),""))</f>
        <v>0</v>
      </c>
      <c r="K279" s="102">
        <f>(IF((VLOOKUP(Table6[[#This Row],[SKU]],'All Skus'!$A:$AC,2,FALSE))="JBL",(VLOOKUP(Table6[[#This Row],[SKU]],'All Skus'!$A:$AC,13,FALSE)),""))</f>
        <v>0</v>
      </c>
      <c r="L279" s="102">
        <f>(IF((VLOOKUP(Table6[[#This Row],[SKU]],'All Skus'!$A:$AC,2,FALSE))="JBL",(VLOOKUP(Table6[[#This Row],[SKU]],'All Skus'!$A:$AC,14,FALSE)),""))</f>
        <v>0</v>
      </c>
      <c r="M279" s="143">
        <f>(IF((VLOOKUP(Table6[[#This Row],[SKU]],'All Skus'!$A:$AC,2,FALSE))="JBL",(VLOOKUP(Table6[[#This Row],[SKU]],'All Skus'!$A:$AC,15,FALSE)),""))</f>
        <v>0</v>
      </c>
      <c r="N279" s="137">
        <f>(IF((VLOOKUP(Table6[[#This Row],[SKU]],'All Skus'!$A:$AC,2,FALSE))="JBL",(VLOOKUP(Table6[[#This Row],[SKU]],'All Skus'!$A:$AC,16,FALSE)),""))</f>
        <v>0</v>
      </c>
      <c r="O279" s="61">
        <f>(IF((VLOOKUP(Table6[[#This Row],[SKU]],'All Skus'!$A:$AC,2,FALSE))="JBL",(VLOOKUP(Table6[[#This Row],[SKU]],'All Skus'!$A:$AC,17,FALSE)),""))</f>
        <v>0</v>
      </c>
      <c r="P279" s="136">
        <f>(IF((VLOOKUP(Table6[[#This Row],[SKU]],'All Skus'!$A:$AC,2,FALSE))="JBL",(VLOOKUP(Table6[[#This Row],[SKU]],'All Skus'!$A:$AC,18,FALSE)),""))</f>
        <v>0</v>
      </c>
      <c r="Q279" s="136">
        <f>(IF((VLOOKUP(Table6[[#This Row],[SKU]],'All Skus'!$A:$AC,2,FALSE))="JBL",(VLOOKUP(Table6[[#This Row],[SKU]],'All Skus'!$A:$AC,19,FALSE)),""))</f>
        <v>0</v>
      </c>
      <c r="R279" s="136">
        <f>(IF((VLOOKUP(Table6[[#This Row],[SKU]],'All Skus'!$A:$AC,2,FALSE))="JBL",(VLOOKUP(Table6[[#This Row],[SKU]],'All Skus'!$A:$AC,20,FALSE)),""))</f>
        <v>0</v>
      </c>
      <c r="S279" s="61">
        <f>(IF((VLOOKUP(Table6[[#This Row],[SKU]],'All Skus'!$A:$AC,2,FALSE))="JBL",(VLOOKUP(Table6[[#This Row],[SKU]],'All Skus'!$A:$AC,21,FALSE)),""))</f>
        <v>0</v>
      </c>
      <c r="T279" s="61">
        <f>(IF((VLOOKUP(Table6[[#This Row],[SKU]],'All Skus'!$A:$AC,2,FALSE))="JBL",(VLOOKUP(Table6[[#This Row],[SKU]],'All Skus'!$A:$AC,22,FALSE)),""))</f>
        <v>0</v>
      </c>
      <c r="U279">
        <f>(IF((VLOOKUP(Table6[[#This Row],[SKU]],'All Skus'!$A:$AC,2,FALSE))="JBL",(VLOOKUP(Table6[[#This Row],[SKU]],'All Skus'!$A:$AC,23,FALSE)),""))</f>
        <v>0</v>
      </c>
      <c r="V279" s="284" t="str">
        <f>HYPERLINK((IF((VLOOKUP(Table6[[#This Row],[SKU]],'All Skus'!$A:$AC,2,FALSE))="JBL",(VLOOKUP(Table6[[#This Row],[SKU]],'All Skus'!$A:$AC,24,FALSE)),"")))</f>
        <v/>
      </c>
      <c r="W279" s="151">
        <v>277</v>
      </c>
    </row>
    <row r="280" spans="1:23" ht="15" hidden="1" customHeight="1">
      <c r="A280" s="13" t="s">
        <v>1286</v>
      </c>
      <c r="B280" s="12" t="str">
        <f>(IF((VLOOKUP(Table6[[#This Row],[SKU]],'All Skus'!$A:$AC,2,FALSE))="JBL",(VLOOKUP(Table6[[#This Row],[SKU]],'All Skus'!$A:$AC,3,FALSE)),""))</f>
        <v>Intellivox and IntelliDisc Accessories</v>
      </c>
      <c r="C280" s="12" t="str">
        <f>(IF((VLOOKUP(Table6[[#This Row],[SKU]],'All Skus'!$A:$AC,2,FALSE))="JBL",(VLOOKUP(Table6[[#This Row],[SKU]],'All Skus'!$A:$AC,4,FALSE)),""))</f>
        <v xml:space="preserve">IVX-17959145 </v>
      </c>
      <c r="D280" s="61" t="str">
        <f>(IF((VLOOKUP(Table6[[#This Row],[SKU]],'All Skus'!$A:$AC,2,FALSE))="JBL",(VLOOKUP(Table6[[#This Row],[SKU]],'All Skus'!$A:$AC,5,FALSE)),""))</f>
        <v>JBL083</v>
      </c>
      <c r="E280" s="137">
        <f>(IF((VLOOKUP(Table6[[#This Row],[SKU]],'All Skus'!$A:$AC,2,FALSE))="JBL",(VLOOKUP(Table6[[#This Row],[SKU]],'All Skus'!$A:$AC,6,FALSE)),""))</f>
        <v>0</v>
      </c>
      <c r="F280" s="61">
        <f>(IF((VLOOKUP(Table6[[#This Row],[SKU]],'All Skus'!$A:$AC,2,FALSE))="JBL",(VLOOKUP(Table6[[#This Row],[SKU]],'All Skus'!$A:$AC,7,FALSE)),""))</f>
        <v>0</v>
      </c>
      <c r="G280" t="str">
        <f>(IF((VLOOKUP(Table6[[#This Row],[SKU]],'All Skus'!$A:$AC,2,FALSE))="JBL",(VLOOKUP(Table6[[#This Row],[SKU]],'All Skus'!$A:$AC,8,FALSE)),""))</f>
        <v>WAGO 231 5pin female cable connector w/ strain-relief housing</v>
      </c>
      <c r="H280" s="8" t="str">
        <f>(IF((VLOOKUP(Table6[[#This Row],[SKU]],'All Skus'!$A:$AC,2,FALSE))="JBL",(VLOOKUP(Table6[[#This Row],[SKU]],'All Skus'!$A:$AC,9,FALSE)),""))</f>
        <v>WAGO 231 5pin female cable connector w/ strain-relief housing</v>
      </c>
      <c r="I280" s="101">
        <f>(IF((VLOOKUP(Table6[[#This Row],[SKU]],'All Skus'!$A:$AC,2,FALSE))="JBL",(VLOOKUP(Table6[[#This Row],[SKU]],'All Skus'!$A:$AC,10,FALSE)),""))</f>
        <v>40.82</v>
      </c>
      <c r="J280" s="101">
        <f>(IF((VLOOKUP(Table6[[#This Row],[SKU]],'All Skus'!$A:$AC,2,FALSE))="JBL",(VLOOKUP(Table6[[#This Row],[SKU]],'All Skus'!$A:$AC,11,FALSE)),""))</f>
        <v>40.82</v>
      </c>
      <c r="K280" s="102">
        <f>(IF((VLOOKUP(Table6[[#This Row],[SKU]],'All Skus'!$A:$AC,2,FALSE))="JBL",(VLOOKUP(Table6[[#This Row],[SKU]],'All Skus'!$A:$AC,13,FALSE)),""))</f>
        <v>0</v>
      </c>
      <c r="L280" s="102">
        <f>(IF((VLOOKUP(Table6[[#This Row],[SKU]],'All Skus'!$A:$AC,2,FALSE))="JBL",(VLOOKUP(Table6[[#This Row],[SKU]],'All Skus'!$A:$AC,14,FALSE)),""))</f>
        <v>0</v>
      </c>
      <c r="M280" s="143">
        <f>(IF((VLOOKUP(Table6[[#This Row],[SKU]],'All Skus'!$A:$AC,2,FALSE))="JBL",(VLOOKUP(Table6[[#This Row],[SKU]],'All Skus'!$A:$AC,15,FALSE)),""))</f>
        <v>0</v>
      </c>
      <c r="N280" s="137">
        <f>(IF((VLOOKUP(Table6[[#This Row],[SKU]],'All Skus'!$A:$AC,2,FALSE))="JBL",(VLOOKUP(Table6[[#This Row],[SKU]],'All Skus'!$A:$AC,16,FALSE)),""))</f>
        <v>691991011962</v>
      </c>
      <c r="O280" s="61">
        <f>(IF((VLOOKUP(Table6[[#This Row],[SKU]],'All Skus'!$A:$AC,2,FALSE))="JBL",(VLOOKUP(Table6[[#This Row],[SKU]],'All Skus'!$A:$AC,17,FALSE)),""))</f>
        <v>0</v>
      </c>
      <c r="P280" s="136">
        <f>(IF((VLOOKUP(Table6[[#This Row],[SKU]],'All Skus'!$A:$AC,2,FALSE))="JBL",(VLOOKUP(Table6[[#This Row],[SKU]],'All Skus'!$A:$AC,18,FALSE)),""))</f>
        <v>0</v>
      </c>
      <c r="Q280" s="136">
        <f>(IF((VLOOKUP(Table6[[#This Row],[SKU]],'All Skus'!$A:$AC,2,FALSE))="JBL",(VLOOKUP(Table6[[#This Row],[SKU]],'All Skus'!$A:$AC,19,FALSE)),""))</f>
        <v>0</v>
      </c>
      <c r="R280" s="136">
        <f>(IF((VLOOKUP(Table6[[#This Row],[SKU]],'All Skus'!$A:$AC,2,FALSE))="JBL",(VLOOKUP(Table6[[#This Row],[SKU]],'All Skus'!$A:$AC,20,FALSE)),""))</f>
        <v>0</v>
      </c>
      <c r="S280" s="61">
        <f>(IF((VLOOKUP(Table6[[#This Row],[SKU]],'All Skus'!$A:$AC,2,FALSE))="JBL",(VLOOKUP(Table6[[#This Row],[SKU]],'All Skus'!$A:$AC,21,FALSE)),""))</f>
        <v>0</v>
      </c>
      <c r="T280" s="61" t="str">
        <f>(IF((VLOOKUP(Table6[[#This Row],[SKU]],'All Skus'!$A:$AC,2,FALSE))="JBL",(VLOOKUP(Table6[[#This Row],[SKU]],'All Skus'!$A:$AC,22,FALSE)),""))</f>
        <v>HU</v>
      </c>
      <c r="U280">
        <f>(IF((VLOOKUP(Table6[[#This Row],[SKU]],'All Skus'!$A:$AC,2,FALSE))="JBL",(VLOOKUP(Table6[[#This Row],[SKU]],'All Skus'!$A:$AC,23,FALSE)),""))</f>
        <v>0</v>
      </c>
      <c r="V280" s="284" t="str">
        <f>HYPERLINK((IF((VLOOKUP(Table6[[#This Row],[SKU]],'All Skus'!$A:$AC,2,FALSE))="JBL",(VLOOKUP(Table6[[#This Row],[SKU]],'All Skus'!$A:$AC,24,FALSE)),"")))</f>
        <v/>
      </c>
      <c r="W280" s="151">
        <v>278</v>
      </c>
    </row>
    <row r="281" spans="1:23" ht="15" hidden="1" customHeight="1">
      <c r="A281" s="13" t="s">
        <v>1287</v>
      </c>
      <c r="B281" s="12" t="str">
        <f>(IF((VLOOKUP(Table6[[#This Row],[SKU]],'All Skus'!$A:$AC,2,FALSE))="JBL",(VLOOKUP(Table6[[#This Row],[SKU]],'All Skus'!$A:$AC,3,FALSE)),""))</f>
        <v>Intellivox 115 &amp; 180 Series</v>
      </c>
      <c r="C281" s="12" t="str">
        <f>(IF((VLOOKUP(Table6[[#This Row],[SKU]],'All Skus'!$A:$AC,2,FALSE))="JBL",(VLOOKUP(Table6[[#This Row],[SKU]],'All Skus'!$A:$AC,4,FALSE)),""))</f>
        <v>IVX-20010</v>
      </c>
      <c r="D281" s="61" t="str">
        <f>(IF((VLOOKUP(Table6[[#This Row],[SKU]],'All Skus'!$A:$AC,2,FALSE))="JBL",(VLOOKUP(Table6[[#This Row],[SKU]],'All Skus'!$A:$AC,5,FALSE)),""))</f>
        <v>JBL053</v>
      </c>
      <c r="E281" s="137" t="str">
        <f>(IF((VLOOKUP(Table6[[#This Row],[SKU]],'All Skus'!$A:$AC,2,FALSE))="JBL",(VLOOKUP(Table6[[#This Row],[SKU]],'All Skus'!$A:$AC,6,FALSE)),""))</f>
        <v>YES</v>
      </c>
      <c r="F281" s="61">
        <f>(IF((VLOOKUP(Table6[[#This Row],[SKU]],'All Skus'!$A:$AC,2,FALSE))="JBL",(VLOOKUP(Table6[[#This Row],[SKU]],'All Skus'!$A:$AC,7,FALSE)),""))</f>
        <v>0</v>
      </c>
      <c r="G281" t="str">
        <f>(IF((VLOOKUP(Table6[[#This Row],[SKU]],'All Skus'!$A:$AC,2,FALSE))="JBL",(VLOOKUP(Table6[[#This Row],[SKU]],'All Skus'!$A:$AC,8,FALSE)),""))</f>
        <v>Weather-proofing kit,  Intellivox 115/180 series. Only for amp at top units.</v>
      </c>
      <c r="H281" s="8" t="str">
        <f>(IF((VLOOKUP(Table6[[#This Row],[SKU]],'All Skus'!$A:$AC,2,FALSE))="JBL",(VLOOKUP(Table6[[#This Row],[SKU]],'All Skus'!$A:$AC,9,FALSE)),""))</f>
        <v>Weather-proofing kit,  Intellivox 115/180 series. Only for amp at top units..  Made to Order Call for availability</v>
      </c>
      <c r="I281" s="101">
        <f>(IF((VLOOKUP(Table6[[#This Row],[SKU]],'All Skus'!$A:$AC,2,FALSE))="JBL",(VLOOKUP(Table6[[#This Row],[SKU]],'All Skus'!$A:$AC,10,FALSE)),""))</f>
        <v>1037.8699999999999</v>
      </c>
      <c r="J281" s="101">
        <f>(IF((VLOOKUP(Table6[[#This Row],[SKU]],'All Skus'!$A:$AC,2,FALSE))="JBL",(VLOOKUP(Table6[[#This Row],[SKU]],'All Skus'!$A:$AC,11,FALSE)),""))</f>
        <v>1037.8699999999999</v>
      </c>
      <c r="K281" s="102">
        <f>(IF((VLOOKUP(Table6[[#This Row],[SKU]],'All Skus'!$A:$AC,2,FALSE))="JBL",(VLOOKUP(Table6[[#This Row],[SKU]],'All Skus'!$A:$AC,13,FALSE)),""))</f>
        <v>0</v>
      </c>
      <c r="L281" s="102">
        <f>(IF((VLOOKUP(Table6[[#This Row],[SKU]],'All Skus'!$A:$AC,2,FALSE))="JBL",(VLOOKUP(Table6[[#This Row],[SKU]],'All Skus'!$A:$AC,14,FALSE)),""))</f>
        <v>0</v>
      </c>
      <c r="M281" s="143">
        <f>(IF((VLOOKUP(Table6[[#This Row],[SKU]],'All Skus'!$A:$AC,2,FALSE))="JBL",(VLOOKUP(Table6[[#This Row],[SKU]],'All Skus'!$A:$AC,15,FALSE)),""))</f>
        <v>0</v>
      </c>
      <c r="N281" s="137">
        <f>(IF((VLOOKUP(Table6[[#This Row],[SKU]],'All Skus'!$A:$AC,2,FALSE))="JBL",(VLOOKUP(Table6[[#This Row],[SKU]],'All Skus'!$A:$AC,16,FALSE)),""))</f>
        <v>0</v>
      </c>
      <c r="O281" s="61">
        <f>(IF((VLOOKUP(Table6[[#This Row],[SKU]],'All Skus'!$A:$AC,2,FALSE))="JBL",(VLOOKUP(Table6[[#This Row],[SKU]],'All Skus'!$A:$AC,17,FALSE)),""))</f>
        <v>0</v>
      </c>
      <c r="P281" s="136">
        <f>(IF((VLOOKUP(Table6[[#This Row],[SKU]],'All Skus'!$A:$AC,2,FALSE))="JBL",(VLOOKUP(Table6[[#This Row],[SKU]],'All Skus'!$A:$AC,18,FALSE)),""))</f>
        <v>0</v>
      </c>
      <c r="Q281" s="136">
        <f>(IF((VLOOKUP(Table6[[#This Row],[SKU]],'All Skus'!$A:$AC,2,FALSE))="JBL",(VLOOKUP(Table6[[#This Row],[SKU]],'All Skus'!$A:$AC,19,FALSE)),""))</f>
        <v>0</v>
      </c>
      <c r="R281" s="136">
        <f>(IF((VLOOKUP(Table6[[#This Row],[SKU]],'All Skus'!$A:$AC,2,FALSE))="JBL",(VLOOKUP(Table6[[#This Row],[SKU]],'All Skus'!$A:$AC,20,FALSE)),""))</f>
        <v>0</v>
      </c>
      <c r="S281" s="61">
        <f>(IF((VLOOKUP(Table6[[#This Row],[SKU]],'All Skus'!$A:$AC,2,FALSE))="JBL",(VLOOKUP(Table6[[#This Row],[SKU]],'All Skus'!$A:$AC,21,FALSE)),""))</f>
        <v>0</v>
      </c>
      <c r="T281" s="61">
        <f>(IF((VLOOKUP(Table6[[#This Row],[SKU]],'All Skus'!$A:$AC,2,FALSE))="JBL",(VLOOKUP(Table6[[#This Row],[SKU]],'All Skus'!$A:$AC,22,FALSE)),""))</f>
        <v>0</v>
      </c>
      <c r="U281">
        <f>(IF((VLOOKUP(Table6[[#This Row],[SKU]],'All Skus'!$A:$AC,2,FALSE))="JBL",(VLOOKUP(Table6[[#This Row],[SKU]],'All Skus'!$A:$AC,23,FALSE)),""))</f>
        <v>0</v>
      </c>
      <c r="V281" s="284" t="str">
        <f>HYPERLINK((IF((VLOOKUP(Table6[[#This Row],[SKU]],'All Skus'!$A:$AC,2,FALSE))="JBL",(VLOOKUP(Table6[[#This Row],[SKU]],'All Skus'!$A:$AC,24,FALSE)),"")))</f>
        <v/>
      </c>
      <c r="W281" s="151">
        <v>279</v>
      </c>
    </row>
    <row r="282" spans="1:23" ht="15" hidden="1" customHeight="1">
      <c r="A282" s="13" t="s">
        <v>1288</v>
      </c>
      <c r="B282" s="12" t="str">
        <f>(IF((VLOOKUP(Table6[[#This Row],[SKU]],'All Skus'!$A:$AC,2,FALSE))="JBL",(VLOOKUP(Table6[[#This Row],[SKU]],'All Skus'!$A:$AC,3,FALSE)),""))</f>
        <v>Intellivox 280 &amp; 380 Series</v>
      </c>
      <c r="C282" s="12" t="str">
        <f>(IF((VLOOKUP(Table6[[#This Row],[SKU]],'All Skus'!$A:$AC,2,FALSE))="JBL",(VLOOKUP(Table6[[#This Row],[SKU]],'All Skus'!$A:$AC,4,FALSE)),""))</f>
        <v>IVX-20012</v>
      </c>
      <c r="D282" s="61" t="str">
        <f>(IF((VLOOKUP(Table6[[#This Row],[SKU]],'All Skus'!$A:$AC,2,FALSE))="JBL",(VLOOKUP(Table6[[#This Row],[SKU]],'All Skus'!$A:$AC,5,FALSE)),""))</f>
        <v>JBL053</v>
      </c>
      <c r="E282" s="137" t="str">
        <f>(IF((VLOOKUP(Table6[[#This Row],[SKU]],'All Skus'!$A:$AC,2,FALSE))="JBL",(VLOOKUP(Table6[[#This Row],[SKU]],'All Skus'!$A:$AC,6,FALSE)),""))</f>
        <v>YES</v>
      </c>
      <c r="F282" s="61">
        <f>(IF((VLOOKUP(Table6[[#This Row],[SKU]],'All Skus'!$A:$AC,2,FALSE))="JBL",(VLOOKUP(Table6[[#This Row],[SKU]],'All Skus'!$A:$AC,7,FALSE)),""))</f>
        <v>0</v>
      </c>
      <c r="G282" t="str">
        <f>(IF((VLOOKUP(Table6[[#This Row],[SKU]],'All Skus'!$A:$AC,2,FALSE))="JBL",(VLOOKUP(Table6[[#This Row],[SKU]],'All Skus'!$A:$AC,8,FALSE)),""))</f>
        <v>Weather-proofing kit,  Intellivox 280/380 series. Only for amp at top units.</v>
      </c>
      <c r="H282" s="8" t="str">
        <f>(IF((VLOOKUP(Table6[[#This Row],[SKU]],'All Skus'!$A:$AC,2,FALSE))="JBL",(VLOOKUP(Table6[[#This Row],[SKU]],'All Skus'!$A:$AC,9,FALSE)),""))</f>
        <v>Weather-proofing kit,  Intellivox 280/380 series. Only for amp at top units..  Made to Order Call for availability</v>
      </c>
      <c r="I282" s="101">
        <f>(IF((VLOOKUP(Table6[[#This Row],[SKU]],'All Skus'!$A:$AC,2,FALSE))="JBL",(VLOOKUP(Table6[[#This Row],[SKU]],'All Skus'!$A:$AC,10,FALSE)),""))</f>
        <v>1037.8699999999999</v>
      </c>
      <c r="J282" s="101">
        <f>(IF((VLOOKUP(Table6[[#This Row],[SKU]],'All Skus'!$A:$AC,2,FALSE))="JBL",(VLOOKUP(Table6[[#This Row],[SKU]],'All Skus'!$A:$AC,11,FALSE)),""))</f>
        <v>1037.8699999999999</v>
      </c>
      <c r="K282" s="102">
        <f>(IF((VLOOKUP(Table6[[#This Row],[SKU]],'All Skus'!$A:$AC,2,FALSE))="JBL",(VLOOKUP(Table6[[#This Row],[SKU]],'All Skus'!$A:$AC,13,FALSE)),""))</f>
        <v>0</v>
      </c>
      <c r="L282" s="102">
        <f>(IF((VLOOKUP(Table6[[#This Row],[SKU]],'All Skus'!$A:$AC,2,FALSE))="JBL",(VLOOKUP(Table6[[#This Row],[SKU]],'All Skus'!$A:$AC,14,FALSE)),""))</f>
        <v>0</v>
      </c>
      <c r="M282" s="143">
        <f>(IF((VLOOKUP(Table6[[#This Row],[SKU]],'All Skus'!$A:$AC,2,FALSE))="JBL",(VLOOKUP(Table6[[#This Row],[SKU]],'All Skus'!$A:$AC,15,FALSE)),""))</f>
        <v>0</v>
      </c>
      <c r="N282" s="137">
        <f>(IF((VLOOKUP(Table6[[#This Row],[SKU]],'All Skus'!$A:$AC,2,FALSE))="JBL",(VLOOKUP(Table6[[#This Row],[SKU]],'All Skus'!$A:$AC,16,FALSE)),""))</f>
        <v>0</v>
      </c>
      <c r="O282" s="61">
        <f>(IF((VLOOKUP(Table6[[#This Row],[SKU]],'All Skus'!$A:$AC,2,FALSE))="JBL",(VLOOKUP(Table6[[#This Row],[SKU]],'All Skus'!$A:$AC,17,FALSE)),""))</f>
        <v>0</v>
      </c>
      <c r="P282" s="136">
        <f>(IF((VLOOKUP(Table6[[#This Row],[SKU]],'All Skus'!$A:$AC,2,FALSE))="JBL",(VLOOKUP(Table6[[#This Row],[SKU]],'All Skus'!$A:$AC,18,FALSE)),""))</f>
        <v>0</v>
      </c>
      <c r="Q282" s="136">
        <f>(IF((VLOOKUP(Table6[[#This Row],[SKU]],'All Skus'!$A:$AC,2,FALSE))="JBL",(VLOOKUP(Table6[[#This Row],[SKU]],'All Skus'!$A:$AC,19,FALSE)),""))</f>
        <v>0</v>
      </c>
      <c r="R282" s="136">
        <f>(IF((VLOOKUP(Table6[[#This Row],[SKU]],'All Skus'!$A:$AC,2,FALSE))="JBL",(VLOOKUP(Table6[[#This Row],[SKU]],'All Skus'!$A:$AC,20,FALSE)),""))</f>
        <v>0</v>
      </c>
      <c r="S282" s="61">
        <f>(IF((VLOOKUP(Table6[[#This Row],[SKU]],'All Skus'!$A:$AC,2,FALSE))="JBL",(VLOOKUP(Table6[[#This Row],[SKU]],'All Skus'!$A:$AC,21,FALSE)),""))</f>
        <v>0</v>
      </c>
      <c r="T282" s="61">
        <f>(IF((VLOOKUP(Table6[[#This Row],[SKU]],'All Skus'!$A:$AC,2,FALSE))="JBL",(VLOOKUP(Table6[[#This Row],[SKU]],'All Skus'!$A:$AC,22,FALSE)),""))</f>
        <v>0</v>
      </c>
      <c r="U282">
        <f>(IF((VLOOKUP(Table6[[#This Row],[SKU]],'All Skus'!$A:$AC,2,FALSE))="JBL",(VLOOKUP(Table6[[#This Row],[SKU]],'All Skus'!$A:$AC,23,FALSE)),""))</f>
        <v>0</v>
      </c>
      <c r="V282" s="284" t="str">
        <f>HYPERLINK((IF((VLOOKUP(Table6[[#This Row],[SKU]],'All Skus'!$A:$AC,2,FALSE))="JBL",(VLOOKUP(Table6[[#This Row],[SKU]],'All Skus'!$A:$AC,24,FALSE)),"")))</f>
        <v/>
      </c>
      <c r="W282" s="151">
        <v>280</v>
      </c>
    </row>
    <row r="283" spans="1:23" ht="15" hidden="1" customHeight="1">
      <c r="A283" s="91" t="s">
        <v>1289</v>
      </c>
      <c r="B283" s="12">
        <f>(IF((VLOOKUP(Table6[[#This Row],[SKU]],'All Skus'!$A:$AC,2,FALSE))="JBL",(VLOOKUP(Table6[[#This Row],[SKU]],'All Skus'!$A:$AC,3,FALSE)),""))</f>
        <v>0</v>
      </c>
      <c r="C283" s="12">
        <f>(IF((VLOOKUP(Table6[[#This Row],[SKU]],'All Skus'!$A:$AC,2,FALSE))="JBL",(VLOOKUP(Table6[[#This Row],[SKU]],'All Skus'!$A:$AC,4,FALSE)),""))</f>
        <v>0</v>
      </c>
      <c r="D283" s="61">
        <f>(IF((VLOOKUP(Table6[[#This Row],[SKU]],'All Skus'!$A:$AC,2,FALSE))="JBL",(VLOOKUP(Table6[[#This Row],[SKU]],'All Skus'!$A:$AC,5,FALSE)),""))</f>
        <v>0</v>
      </c>
      <c r="E283" s="137">
        <f>(IF((VLOOKUP(Table6[[#This Row],[SKU]],'All Skus'!$A:$AC,2,FALSE))="JBL",(VLOOKUP(Table6[[#This Row],[SKU]],'All Skus'!$A:$AC,6,FALSE)),""))</f>
        <v>0</v>
      </c>
      <c r="F283" s="61">
        <f>(IF((VLOOKUP(Table6[[#This Row],[SKU]],'All Skus'!$A:$AC,2,FALSE))="JBL",(VLOOKUP(Table6[[#This Row],[SKU]],'All Skus'!$A:$AC,7,FALSE)),""))</f>
        <v>0</v>
      </c>
      <c r="G283">
        <f>(IF((VLOOKUP(Table6[[#This Row],[SKU]],'All Skus'!$A:$AC,2,FALSE))="JBL",(VLOOKUP(Table6[[#This Row],[SKU]],'All Skus'!$A:$AC,8,FALSE)),""))</f>
        <v>0</v>
      </c>
      <c r="H283" s="8" t="str">
        <f>(IF((VLOOKUP(Table6[[#This Row],[SKU]],'All Skus'!$A:$AC,2,FALSE))="JBL",(VLOOKUP(Table6[[#This Row],[SKU]],'All Skus'!$A:$AC,9,FALSE)),""))</f>
        <v>.  Made to Order Call for availability</v>
      </c>
      <c r="I283" s="101">
        <f>(IF((VLOOKUP(Table6[[#This Row],[SKU]],'All Skus'!$A:$AC,2,FALSE))="JBL",(VLOOKUP(Table6[[#This Row],[SKU]],'All Skus'!$A:$AC,10,FALSE)),""))</f>
        <v>0</v>
      </c>
      <c r="J283" s="101">
        <f>(IF((VLOOKUP(Table6[[#This Row],[SKU]],'All Skus'!$A:$AC,2,FALSE))="JBL",(VLOOKUP(Table6[[#This Row],[SKU]],'All Skus'!$A:$AC,11,FALSE)),""))</f>
        <v>0</v>
      </c>
      <c r="K283" s="102">
        <f>(IF((VLOOKUP(Table6[[#This Row],[SKU]],'All Skus'!$A:$AC,2,FALSE))="JBL",(VLOOKUP(Table6[[#This Row],[SKU]],'All Skus'!$A:$AC,13,FALSE)),""))</f>
        <v>0</v>
      </c>
      <c r="L283" s="102">
        <f>(IF((VLOOKUP(Table6[[#This Row],[SKU]],'All Skus'!$A:$AC,2,FALSE))="JBL",(VLOOKUP(Table6[[#This Row],[SKU]],'All Skus'!$A:$AC,14,FALSE)),""))</f>
        <v>0</v>
      </c>
      <c r="M283" s="143">
        <f>(IF((VLOOKUP(Table6[[#This Row],[SKU]],'All Skus'!$A:$AC,2,FALSE))="JBL",(VLOOKUP(Table6[[#This Row],[SKU]],'All Skus'!$A:$AC,15,FALSE)),""))</f>
        <v>0</v>
      </c>
      <c r="N283" s="137">
        <f>(IF((VLOOKUP(Table6[[#This Row],[SKU]],'All Skus'!$A:$AC,2,FALSE))="JBL",(VLOOKUP(Table6[[#This Row],[SKU]],'All Skus'!$A:$AC,16,FALSE)),""))</f>
        <v>0</v>
      </c>
      <c r="O283" s="61">
        <f>(IF((VLOOKUP(Table6[[#This Row],[SKU]],'All Skus'!$A:$AC,2,FALSE))="JBL",(VLOOKUP(Table6[[#This Row],[SKU]],'All Skus'!$A:$AC,17,FALSE)),""))</f>
        <v>0</v>
      </c>
      <c r="P283" s="136">
        <f>(IF((VLOOKUP(Table6[[#This Row],[SKU]],'All Skus'!$A:$AC,2,FALSE))="JBL",(VLOOKUP(Table6[[#This Row],[SKU]],'All Skus'!$A:$AC,18,FALSE)),""))</f>
        <v>0</v>
      </c>
      <c r="Q283" s="136">
        <f>(IF((VLOOKUP(Table6[[#This Row],[SKU]],'All Skus'!$A:$AC,2,FALSE))="JBL",(VLOOKUP(Table6[[#This Row],[SKU]],'All Skus'!$A:$AC,19,FALSE)),""))</f>
        <v>0</v>
      </c>
      <c r="R283" s="136">
        <f>(IF((VLOOKUP(Table6[[#This Row],[SKU]],'All Skus'!$A:$AC,2,FALSE))="JBL",(VLOOKUP(Table6[[#This Row],[SKU]],'All Skus'!$A:$AC,20,FALSE)),""))</f>
        <v>0</v>
      </c>
      <c r="S283" s="61">
        <f>(IF((VLOOKUP(Table6[[#This Row],[SKU]],'All Skus'!$A:$AC,2,FALSE))="JBL",(VLOOKUP(Table6[[#This Row],[SKU]],'All Skus'!$A:$AC,21,FALSE)),""))</f>
        <v>0</v>
      </c>
      <c r="T283" s="61">
        <f>(IF((VLOOKUP(Table6[[#This Row],[SKU]],'All Skus'!$A:$AC,2,FALSE))="JBL",(VLOOKUP(Table6[[#This Row],[SKU]],'All Skus'!$A:$AC,22,FALSE)),""))</f>
        <v>0</v>
      </c>
      <c r="U283">
        <f>(IF((VLOOKUP(Table6[[#This Row],[SKU]],'All Skus'!$A:$AC,2,FALSE))="JBL",(VLOOKUP(Table6[[#This Row],[SKU]],'All Skus'!$A:$AC,23,FALSE)),""))</f>
        <v>0</v>
      </c>
      <c r="V283" s="284" t="str">
        <f>HYPERLINK((IF((VLOOKUP(Table6[[#This Row],[SKU]],'All Skus'!$A:$AC,2,FALSE))="JBL",(VLOOKUP(Table6[[#This Row],[SKU]],'All Skus'!$A:$AC,24,FALSE)),"")))</f>
        <v/>
      </c>
      <c r="W283" s="151">
        <v>281</v>
      </c>
    </row>
    <row r="284" spans="1:23" ht="15" hidden="1" customHeight="1">
      <c r="A284" s="13" t="s">
        <v>1290</v>
      </c>
      <c r="B284" s="12" t="str">
        <f>(IF((VLOOKUP(Table6[[#This Row],[SKU]],'All Skus'!$A:$AC,2,FALSE))="JBL",(VLOOKUP(Table6[[#This Row],[SKU]],'All Skus'!$A:$AC,3,FALSE)),""))</f>
        <v>Intellivox 115 Series</v>
      </c>
      <c r="C284" s="12" t="str">
        <f>(IF((VLOOKUP(Table6[[#This Row],[SKU]],'All Skus'!$A:$AC,2,FALSE))="JBL",(VLOOKUP(Table6[[#This Row],[SKU]],'All Skus'!$A:$AC,4,FALSE)),""))</f>
        <v>IVX-20021</v>
      </c>
      <c r="D284" s="61" t="str">
        <f>(IF((VLOOKUP(Table6[[#This Row],[SKU]],'All Skus'!$A:$AC,2,FALSE))="JBL",(VLOOKUP(Table6[[#This Row],[SKU]],'All Skus'!$A:$AC,5,FALSE)),""))</f>
        <v>JBL053</v>
      </c>
      <c r="E284" s="137" t="str">
        <f>(IF((VLOOKUP(Table6[[#This Row],[SKU]],'All Skus'!$A:$AC,2,FALSE))="JBL",(VLOOKUP(Table6[[#This Row],[SKU]],'All Skus'!$A:$AC,6,FALSE)),""))</f>
        <v>YES</v>
      </c>
      <c r="F284" s="61">
        <f>(IF((VLOOKUP(Table6[[#This Row],[SKU]],'All Skus'!$A:$AC,2,FALSE))="JBL",(VLOOKUP(Table6[[#This Row],[SKU]],'All Skus'!$A:$AC,7,FALSE)),""))</f>
        <v>0</v>
      </c>
      <c r="G284" t="str">
        <f>(IF((VLOOKUP(Table6[[#This Row],[SKU]],'All Skus'!$A:$AC,2,FALSE))="JBL",(VLOOKUP(Table6[[#This Row],[SKU]],'All Skus'!$A:$AC,8,FALSE)),""))</f>
        <v xml:space="preserve">Intellivox 115 series Custom Color Surcharge </v>
      </c>
      <c r="H284" s="8" t="str">
        <f>(IF((VLOOKUP(Table6[[#This Row],[SKU]],'All Skus'!$A:$AC,2,FALSE))="JBL",(VLOOKUP(Table6[[#This Row],[SKU]],'All Skus'!$A:$AC,9,FALSE)),""))</f>
        <v>Intellivox 115 series Custom Color Surcharge .  Made to Order Call for availability</v>
      </c>
      <c r="I284" s="101">
        <f>(IF((VLOOKUP(Table6[[#This Row],[SKU]],'All Skus'!$A:$AC,2,FALSE))="JBL",(VLOOKUP(Table6[[#This Row],[SKU]],'All Skus'!$A:$AC,10,FALSE)),""))</f>
        <v>0</v>
      </c>
      <c r="J284" s="101">
        <f>(IF((VLOOKUP(Table6[[#This Row],[SKU]],'All Skus'!$A:$AC,2,FALSE))="JBL",(VLOOKUP(Table6[[#This Row],[SKU]],'All Skus'!$A:$AC,11,FALSE)),""))</f>
        <v>0</v>
      </c>
      <c r="K284" s="102">
        <f>(IF((VLOOKUP(Table6[[#This Row],[SKU]],'All Skus'!$A:$AC,2,FALSE))="JBL",(VLOOKUP(Table6[[#This Row],[SKU]],'All Skus'!$A:$AC,13,FALSE)),""))</f>
        <v>0</v>
      </c>
      <c r="L284" s="102">
        <f>(IF((VLOOKUP(Table6[[#This Row],[SKU]],'All Skus'!$A:$AC,2,FALSE))="JBL",(VLOOKUP(Table6[[#This Row],[SKU]],'All Skus'!$A:$AC,14,FALSE)),""))</f>
        <v>0</v>
      </c>
      <c r="M284" s="143">
        <f>(IF((VLOOKUP(Table6[[#This Row],[SKU]],'All Skus'!$A:$AC,2,FALSE))="JBL",(VLOOKUP(Table6[[#This Row],[SKU]],'All Skus'!$A:$AC,15,FALSE)),""))</f>
        <v>0</v>
      </c>
      <c r="N284" s="137">
        <f>(IF((VLOOKUP(Table6[[#This Row],[SKU]],'All Skus'!$A:$AC,2,FALSE))="JBL",(VLOOKUP(Table6[[#This Row],[SKU]],'All Skus'!$A:$AC,16,FALSE)),""))</f>
        <v>0</v>
      </c>
      <c r="O284" s="61">
        <f>(IF((VLOOKUP(Table6[[#This Row],[SKU]],'All Skus'!$A:$AC,2,FALSE))="JBL",(VLOOKUP(Table6[[#This Row],[SKU]],'All Skus'!$A:$AC,17,FALSE)),""))</f>
        <v>0</v>
      </c>
      <c r="P284" s="136">
        <f>(IF((VLOOKUP(Table6[[#This Row],[SKU]],'All Skus'!$A:$AC,2,FALSE))="JBL",(VLOOKUP(Table6[[#This Row],[SKU]],'All Skus'!$A:$AC,18,FALSE)),""))</f>
        <v>0</v>
      </c>
      <c r="Q284" s="136">
        <f>(IF((VLOOKUP(Table6[[#This Row],[SKU]],'All Skus'!$A:$AC,2,FALSE))="JBL",(VLOOKUP(Table6[[#This Row],[SKU]],'All Skus'!$A:$AC,19,FALSE)),""))</f>
        <v>0</v>
      </c>
      <c r="R284" s="136">
        <f>(IF((VLOOKUP(Table6[[#This Row],[SKU]],'All Skus'!$A:$AC,2,FALSE))="JBL",(VLOOKUP(Table6[[#This Row],[SKU]],'All Skus'!$A:$AC,20,FALSE)),""))</f>
        <v>0</v>
      </c>
      <c r="S284" s="61">
        <f>(IF((VLOOKUP(Table6[[#This Row],[SKU]],'All Skus'!$A:$AC,2,FALSE))="JBL",(VLOOKUP(Table6[[#This Row],[SKU]],'All Skus'!$A:$AC,21,FALSE)),""))</f>
        <v>0</v>
      </c>
      <c r="T284" s="61">
        <f>(IF((VLOOKUP(Table6[[#This Row],[SKU]],'All Skus'!$A:$AC,2,FALSE))="JBL",(VLOOKUP(Table6[[#This Row],[SKU]],'All Skus'!$A:$AC,22,FALSE)),""))</f>
        <v>0</v>
      </c>
      <c r="U284">
        <f>(IF((VLOOKUP(Table6[[#This Row],[SKU]],'All Skus'!$A:$AC,2,FALSE))="JBL",(VLOOKUP(Table6[[#This Row],[SKU]],'All Skus'!$A:$AC,23,FALSE)),""))</f>
        <v>0</v>
      </c>
      <c r="V284" s="284" t="str">
        <f>HYPERLINK((IF((VLOOKUP(Table6[[#This Row],[SKU]],'All Skus'!$A:$AC,2,FALSE))="JBL",(VLOOKUP(Table6[[#This Row],[SKU]],'All Skus'!$A:$AC,24,FALSE)),"")))</f>
        <v/>
      </c>
      <c r="W284" s="151">
        <v>282</v>
      </c>
    </row>
    <row r="285" spans="1:23" ht="15" hidden="1" customHeight="1">
      <c r="A285" s="13" t="s">
        <v>1291</v>
      </c>
      <c r="B285" s="12" t="str">
        <f>(IF((VLOOKUP(Table6[[#This Row],[SKU]],'All Skus'!$A:$AC,2,FALSE))="JBL",(VLOOKUP(Table6[[#This Row],[SKU]],'All Skus'!$A:$AC,3,FALSE)),""))</f>
        <v>Intellivox 180 Series</v>
      </c>
      <c r="C285" s="12" t="str">
        <f>(IF((VLOOKUP(Table6[[#This Row],[SKU]],'All Skus'!$A:$AC,2,FALSE))="JBL",(VLOOKUP(Table6[[#This Row],[SKU]],'All Skus'!$A:$AC,4,FALSE)),""))</f>
        <v>IVX-20022</v>
      </c>
      <c r="D285" s="61" t="str">
        <f>(IF((VLOOKUP(Table6[[#This Row],[SKU]],'All Skus'!$A:$AC,2,FALSE))="JBL",(VLOOKUP(Table6[[#This Row],[SKU]],'All Skus'!$A:$AC,5,FALSE)),""))</f>
        <v>JBL053</v>
      </c>
      <c r="E285" s="137" t="str">
        <f>(IF((VLOOKUP(Table6[[#This Row],[SKU]],'All Skus'!$A:$AC,2,FALSE))="JBL",(VLOOKUP(Table6[[#This Row],[SKU]],'All Skus'!$A:$AC,6,FALSE)),""))</f>
        <v>YES</v>
      </c>
      <c r="F285" s="61">
        <f>(IF((VLOOKUP(Table6[[#This Row],[SKU]],'All Skus'!$A:$AC,2,FALSE))="JBL",(VLOOKUP(Table6[[#This Row],[SKU]],'All Skus'!$A:$AC,7,FALSE)),""))</f>
        <v>0</v>
      </c>
      <c r="G285" t="str">
        <f>(IF((VLOOKUP(Table6[[#This Row],[SKU]],'All Skus'!$A:$AC,2,FALSE))="JBL",(VLOOKUP(Table6[[#This Row],[SKU]],'All Skus'!$A:$AC,8,FALSE)),""))</f>
        <v>Intellivox 180 series Custom Color</v>
      </c>
      <c r="H285" s="8" t="str">
        <f>(IF((VLOOKUP(Table6[[#This Row],[SKU]],'All Skus'!$A:$AC,2,FALSE))="JBL",(VLOOKUP(Table6[[#This Row],[SKU]],'All Skus'!$A:$AC,9,FALSE)),""))</f>
        <v>Intellivox 180 series Custom Color</v>
      </c>
      <c r="I285" s="101">
        <f>(IF((VLOOKUP(Table6[[#This Row],[SKU]],'All Skus'!$A:$AC,2,FALSE))="JBL",(VLOOKUP(Table6[[#This Row],[SKU]],'All Skus'!$A:$AC,10,FALSE)),""))</f>
        <v>0</v>
      </c>
      <c r="J285" s="101">
        <f>(IF((VLOOKUP(Table6[[#This Row],[SKU]],'All Skus'!$A:$AC,2,FALSE))="JBL",(VLOOKUP(Table6[[#This Row],[SKU]],'All Skus'!$A:$AC,11,FALSE)),""))</f>
        <v>0</v>
      </c>
      <c r="K285" s="102">
        <f>(IF((VLOOKUP(Table6[[#This Row],[SKU]],'All Skus'!$A:$AC,2,FALSE))="JBL",(VLOOKUP(Table6[[#This Row],[SKU]],'All Skus'!$A:$AC,13,FALSE)),""))</f>
        <v>0</v>
      </c>
      <c r="L285" s="102">
        <f>(IF((VLOOKUP(Table6[[#This Row],[SKU]],'All Skus'!$A:$AC,2,FALSE))="JBL",(VLOOKUP(Table6[[#This Row],[SKU]],'All Skus'!$A:$AC,14,FALSE)),""))</f>
        <v>0</v>
      </c>
      <c r="M285" s="143">
        <f>(IF((VLOOKUP(Table6[[#This Row],[SKU]],'All Skus'!$A:$AC,2,FALSE))="JBL",(VLOOKUP(Table6[[#This Row],[SKU]],'All Skus'!$A:$AC,15,FALSE)),""))</f>
        <v>0</v>
      </c>
      <c r="N285" s="137">
        <f>(IF((VLOOKUP(Table6[[#This Row],[SKU]],'All Skus'!$A:$AC,2,FALSE))="JBL",(VLOOKUP(Table6[[#This Row],[SKU]],'All Skus'!$A:$AC,16,FALSE)),""))</f>
        <v>0</v>
      </c>
      <c r="O285" s="61">
        <f>(IF((VLOOKUP(Table6[[#This Row],[SKU]],'All Skus'!$A:$AC,2,FALSE))="JBL",(VLOOKUP(Table6[[#This Row],[SKU]],'All Skus'!$A:$AC,17,FALSE)),""))</f>
        <v>0</v>
      </c>
      <c r="P285" s="136">
        <f>(IF((VLOOKUP(Table6[[#This Row],[SKU]],'All Skus'!$A:$AC,2,FALSE))="JBL",(VLOOKUP(Table6[[#This Row],[SKU]],'All Skus'!$A:$AC,18,FALSE)),""))</f>
        <v>0</v>
      </c>
      <c r="Q285" s="136">
        <f>(IF((VLOOKUP(Table6[[#This Row],[SKU]],'All Skus'!$A:$AC,2,FALSE))="JBL",(VLOOKUP(Table6[[#This Row],[SKU]],'All Skus'!$A:$AC,19,FALSE)),""))</f>
        <v>0</v>
      </c>
      <c r="R285" s="136">
        <f>(IF((VLOOKUP(Table6[[#This Row],[SKU]],'All Skus'!$A:$AC,2,FALSE))="JBL",(VLOOKUP(Table6[[#This Row],[SKU]],'All Skus'!$A:$AC,20,FALSE)),""))</f>
        <v>0</v>
      </c>
      <c r="S285" s="61">
        <f>(IF((VLOOKUP(Table6[[#This Row],[SKU]],'All Skus'!$A:$AC,2,FALSE))="JBL",(VLOOKUP(Table6[[#This Row],[SKU]],'All Skus'!$A:$AC,21,FALSE)),""))</f>
        <v>0</v>
      </c>
      <c r="T285" s="61" t="str">
        <f>(IF((VLOOKUP(Table6[[#This Row],[SKU]],'All Skus'!$A:$AC,2,FALSE))="JBL",(VLOOKUP(Table6[[#This Row],[SKU]],'All Skus'!$A:$AC,22,FALSE)),""))</f>
        <v>ZZ</v>
      </c>
      <c r="U285">
        <f>(IF((VLOOKUP(Table6[[#This Row],[SKU]],'All Skus'!$A:$AC,2,FALSE))="JBL",(VLOOKUP(Table6[[#This Row],[SKU]],'All Skus'!$A:$AC,23,FALSE)),""))</f>
        <v>0</v>
      </c>
      <c r="V285" s="284" t="str">
        <f>HYPERLINK((IF((VLOOKUP(Table6[[#This Row],[SKU]],'All Skus'!$A:$AC,2,FALSE))="JBL",(VLOOKUP(Table6[[#This Row],[SKU]],'All Skus'!$A:$AC,24,FALSE)),"")))</f>
        <v/>
      </c>
      <c r="W285" s="151">
        <v>283</v>
      </c>
    </row>
    <row r="286" spans="1:23" ht="15" hidden="1" customHeight="1">
      <c r="A286" s="13" t="s">
        <v>1292</v>
      </c>
      <c r="B286" s="12" t="str">
        <f>(IF((VLOOKUP(Table6[[#This Row],[SKU]],'All Skus'!$A:$AC,2,FALSE))="JBL",(VLOOKUP(Table6[[#This Row],[SKU]],'All Skus'!$A:$AC,3,FALSE)),""))</f>
        <v>Intellivox 280 &amp; 280H Series Accessories</v>
      </c>
      <c r="C286" s="12" t="str">
        <f>(IF((VLOOKUP(Table6[[#This Row],[SKU]],'All Skus'!$A:$AC,2,FALSE))="JBL",(VLOOKUP(Table6[[#This Row],[SKU]],'All Skus'!$A:$AC,4,FALSE)),""))</f>
        <v>IVX-20023</v>
      </c>
      <c r="D286" s="61" t="str">
        <f>(IF((VLOOKUP(Table6[[#This Row],[SKU]],'All Skus'!$A:$AC,2,FALSE))="JBL",(VLOOKUP(Table6[[#This Row],[SKU]],'All Skus'!$A:$AC,5,FALSE)),""))</f>
        <v>JBL053</v>
      </c>
      <c r="E286" s="137" t="str">
        <f>(IF((VLOOKUP(Table6[[#This Row],[SKU]],'All Skus'!$A:$AC,2,FALSE))="JBL",(VLOOKUP(Table6[[#This Row],[SKU]],'All Skus'!$A:$AC,6,FALSE)),""))</f>
        <v>YES</v>
      </c>
      <c r="F286" s="61">
        <f>(IF((VLOOKUP(Table6[[#This Row],[SKU]],'All Skus'!$A:$AC,2,FALSE))="JBL",(VLOOKUP(Table6[[#This Row],[SKU]],'All Skus'!$A:$AC,7,FALSE)),""))</f>
        <v>0</v>
      </c>
      <c r="G286" t="str">
        <f>(IF((VLOOKUP(Table6[[#This Row],[SKU]],'All Skus'!$A:$AC,2,FALSE))="JBL",(VLOOKUP(Table6[[#This Row],[SKU]],'All Skus'!$A:$AC,8,FALSE)),""))</f>
        <v xml:space="preserve">Intellivox 280 series Custom Color Surcharge </v>
      </c>
      <c r="H286" s="8" t="str">
        <f>(IF((VLOOKUP(Table6[[#This Row],[SKU]],'All Skus'!$A:$AC,2,FALSE))="JBL",(VLOOKUP(Table6[[#This Row],[SKU]],'All Skus'!$A:$AC,9,FALSE)),""))</f>
        <v>Intellivox 280 series Custom Color Surcharge .  Made to Order Call for availability</v>
      </c>
      <c r="I286" s="101">
        <f>(IF((VLOOKUP(Table6[[#This Row],[SKU]],'All Skus'!$A:$AC,2,FALSE))="JBL",(VLOOKUP(Table6[[#This Row],[SKU]],'All Skus'!$A:$AC,10,FALSE)),""))</f>
        <v>0</v>
      </c>
      <c r="J286" s="101">
        <f>(IF((VLOOKUP(Table6[[#This Row],[SKU]],'All Skus'!$A:$AC,2,FALSE))="JBL",(VLOOKUP(Table6[[#This Row],[SKU]],'All Skus'!$A:$AC,11,FALSE)),""))</f>
        <v>0</v>
      </c>
      <c r="K286" s="102">
        <f>(IF((VLOOKUP(Table6[[#This Row],[SKU]],'All Skus'!$A:$AC,2,FALSE))="JBL",(VLOOKUP(Table6[[#This Row],[SKU]],'All Skus'!$A:$AC,13,FALSE)),""))</f>
        <v>0</v>
      </c>
      <c r="L286" s="102">
        <f>(IF((VLOOKUP(Table6[[#This Row],[SKU]],'All Skus'!$A:$AC,2,FALSE))="JBL",(VLOOKUP(Table6[[#This Row],[SKU]],'All Skus'!$A:$AC,14,FALSE)),""))</f>
        <v>0</v>
      </c>
      <c r="M286" s="143">
        <f>(IF((VLOOKUP(Table6[[#This Row],[SKU]],'All Skus'!$A:$AC,2,FALSE))="JBL",(VLOOKUP(Table6[[#This Row],[SKU]],'All Skus'!$A:$AC,15,FALSE)),""))</f>
        <v>0</v>
      </c>
      <c r="N286" s="137">
        <f>(IF((VLOOKUP(Table6[[#This Row],[SKU]],'All Skus'!$A:$AC,2,FALSE))="JBL",(VLOOKUP(Table6[[#This Row],[SKU]],'All Skus'!$A:$AC,16,FALSE)),""))</f>
        <v>0</v>
      </c>
      <c r="O286" s="61">
        <f>(IF((VLOOKUP(Table6[[#This Row],[SKU]],'All Skus'!$A:$AC,2,FALSE))="JBL",(VLOOKUP(Table6[[#This Row],[SKU]],'All Skus'!$A:$AC,17,FALSE)),""))</f>
        <v>0</v>
      </c>
      <c r="P286" s="136">
        <f>(IF((VLOOKUP(Table6[[#This Row],[SKU]],'All Skus'!$A:$AC,2,FALSE))="JBL",(VLOOKUP(Table6[[#This Row],[SKU]],'All Skus'!$A:$AC,18,FALSE)),""))</f>
        <v>0</v>
      </c>
      <c r="Q286" s="136">
        <f>(IF((VLOOKUP(Table6[[#This Row],[SKU]],'All Skus'!$A:$AC,2,FALSE))="JBL",(VLOOKUP(Table6[[#This Row],[SKU]],'All Skus'!$A:$AC,19,FALSE)),""))</f>
        <v>0</v>
      </c>
      <c r="R286" s="136">
        <f>(IF((VLOOKUP(Table6[[#This Row],[SKU]],'All Skus'!$A:$AC,2,FALSE))="JBL",(VLOOKUP(Table6[[#This Row],[SKU]],'All Skus'!$A:$AC,20,FALSE)),""))</f>
        <v>0</v>
      </c>
      <c r="S286" s="61">
        <f>(IF((VLOOKUP(Table6[[#This Row],[SKU]],'All Skus'!$A:$AC,2,FALSE))="JBL",(VLOOKUP(Table6[[#This Row],[SKU]],'All Skus'!$A:$AC,21,FALSE)),""))</f>
        <v>0</v>
      </c>
      <c r="T286" s="61">
        <f>(IF((VLOOKUP(Table6[[#This Row],[SKU]],'All Skus'!$A:$AC,2,FALSE))="JBL",(VLOOKUP(Table6[[#This Row],[SKU]],'All Skus'!$A:$AC,22,FALSE)),""))</f>
        <v>0</v>
      </c>
      <c r="U286">
        <f>(IF((VLOOKUP(Table6[[#This Row],[SKU]],'All Skus'!$A:$AC,2,FALSE))="JBL",(VLOOKUP(Table6[[#This Row],[SKU]],'All Skus'!$A:$AC,23,FALSE)),""))</f>
        <v>0</v>
      </c>
      <c r="V286" s="284" t="str">
        <f>HYPERLINK((IF((VLOOKUP(Table6[[#This Row],[SKU]],'All Skus'!$A:$AC,2,FALSE))="JBL",(VLOOKUP(Table6[[#This Row],[SKU]],'All Skus'!$A:$AC,24,FALSE)),"")))</f>
        <v/>
      </c>
      <c r="W286" s="151">
        <v>284</v>
      </c>
    </row>
    <row r="287" spans="1:23" ht="15" hidden="1" customHeight="1">
      <c r="A287" s="13" t="s">
        <v>1293</v>
      </c>
      <c r="B287" s="12" t="str">
        <f>(IF((VLOOKUP(Table6[[#This Row],[SKU]],'All Skus'!$A:$AC,2,FALSE))="JBL",(VLOOKUP(Table6[[#This Row],[SKU]],'All Skus'!$A:$AC,3,FALSE)),""))</f>
        <v>Intellivox High Power</v>
      </c>
      <c r="C287" s="12" t="str">
        <f>(IF((VLOOKUP(Table6[[#This Row],[SKU]],'All Skus'!$A:$AC,2,FALSE))="JBL",(VLOOKUP(Table6[[#This Row],[SKU]],'All Skus'!$A:$AC,4,FALSE)),""))</f>
        <v>IVX-20030</v>
      </c>
      <c r="D287" s="61">
        <f>(IF((VLOOKUP(Table6[[#This Row],[SKU]],'All Skus'!$A:$AC,2,FALSE))="JBL",(VLOOKUP(Table6[[#This Row],[SKU]],'All Skus'!$A:$AC,5,FALSE)),""))</f>
        <v>0</v>
      </c>
      <c r="E287" s="137" t="str">
        <f>(IF((VLOOKUP(Table6[[#This Row],[SKU]],'All Skus'!$A:$AC,2,FALSE))="JBL",(VLOOKUP(Table6[[#This Row],[SKU]],'All Skus'!$A:$AC,6,FALSE)),""))</f>
        <v>YES</v>
      </c>
      <c r="F287" s="61">
        <f>(IF((VLOOKUP(Table6[[#This Row],[SKU]],'All Skus'!$A:$AC,2,FALSE))="JBL",(VLOOKUP(Table6[[#This Row],[SKU]],'All Skus'!$A:$AC,7,FALSE)),""))</f>
        <v>0</v>
      </c>
      <c r="G287" t="str">
        <f>(IF((VLOOKUP(Table6[[#This Row],[SKU]],'All Skus'!$A:$AC,2,FALSE))="JBL",(VLOOKUP(Table6[[#This Row],[SKU]],'All Skus'!$A:$AC,8,FALSE)),""))</f>
        <v>Intellivox-HP-DS170 Surcharge Custom Color</v>
      </c>
      <c r="H287" s="8" t="str">
        <f>(IF((VLOOKUP(Table6[[#This Row],[SKU]],'All Skus'!$A:$AC,2,FALSE))="JBL",(VLOOKUP(Table6[[#This Row],[SKU]],'All Skus'!$A:$AC,9,FALSE)),""))</f>
        <v>Intellivox-HP-DS170 Surcharge Custom Color.  Made to Order Call for availability</v>
      </c>
      <c r="I287" s="101">
        <f>(IF((VLOOKUP(Table6[[#This Row],[SKU]],'All Skus'!$A:$AC,2,FALSE))="JBL",(VLOOKUP(Table6[[#This Row],[SKU]],'All Skus'!$A:$AC,10,FALSE)),""))</f>
        <v>0</v>
      </c>
      <c r="J287" s="101">
        <f>(IF((VLOOKUP(Table6[[#This Row],[SKU]],'All Skus'!$A:$AC,2,FALSE))="JBL",(VLOOKUP(Table6[[#This Row],[SKU]],'All Skus'!$A:$AC,11,FALSE)),""))</f>
        <v>0</v>
      </c>
      <c r="K287" s="102">
        <f>(IF((VLOOKUP(Table6[[#This Row],[SKU]],'All Skus'!$A:$AC,2,FALSE))="JBL",(VLOOKUP(Table6[[#This Row],[SKU]],'All Skus'!$A:$AC,13,FALSE)),""))</f>
        <v>0</v>
      </c>
      <c r="L287" s="102">
        <f>(IF((VLOOKUP(Table6[[#This Row],[SKU]],'All Skus'!$A:$AC,2,FALSE))="JBL",(VLOOKUP(Table6[[#This Row],[SKU]],'All Skus'!$A:$AC,14,FALSE)),""))</f>
        <v>0</v>
      </c>
      <c r="M287" s="143">
        <f>(IF((VLOOKUP(Table6[[#This Row],[SKU]],'All Skus'!$A:$AC,2,FALSE))="JBL",(VLOOKUP(Table6[[#This Row],[SKU]],'All Skus'!$A:$AC,15,FALSE)),""))</f>
        <v>0</v>
      </c>
      <c r="N287" s="137">
        <f>(IF((VLOOKUP(Table6[[#This Row],[SKU]],'All Skus'!$A:$AC,2,FALSE))="JBL",(VLOOKUP(Table6[[#This Row],[SKU]],'All Skus'!$A:$AC,16,FALSE)),""))</f>
        <v>0</v>
      </c>
      <c r="O287" s="61">
        <f>(IF((VLOOKUP(Table6[[#This Row],[SKU]],'All Skus'!$A:$AC,2,FALSE))="JBL",(VLOOKUP(Table6[[#This Row],[SKU]],'All Skus'!$A:$AC,17,FALSE)),""))</f>
        <v>0</v>
      </c>
      <c r="P287" s="136">
        <f>(IF((VLOOKUP(Table6[[#This Row],[SKU]],'All Skus'!$A:$AC,2,FALSE))="JBL",(VLOOKUP(Table6[[#This Row],[SKU]],'All Skus'!$A:$AC,18,FALSE)),""))</f>
        <v>0</v>
      </c>
      <c r="Q287" s="136">
        <f>(IF((VLOOKUP(Table6[[#This Row],[SKU]],'All Skus'!$A:$AC,2,FALSE))="JBL",(VLOOKUP(Table6[[#This Row],[SKU]],'All Skus'!$A:$AC,19,FALSE)),""))</f>
        <v>0</v>
      </c>
      <c r="R287" s="136">
        <f>(IF((VLOOKUP(Table6[[#This Row],[SKU]],'All Skus'!$A:$AC,2,FALSE))="JBL",(VLOOKUP(Table6[[#This Row],[SKU]],'All Skus'!$A:$AC,20,FALSE)),""))</f>
        <v>0</v>
      </c>
      <c r="S287" s="61">
        <f>(IF((VLOOKUP(Table6[[#This Row],[SKU]],'All Skus'!$A:$AC,2,FALSE))="JBL",(VLOOKUP(Table6[[#This Row],[SKU]],'All Skus'!$A:$AC,21,FALSE)),""))</f>
        <v>0</v>
      </c>
      <c r="T287" s="61">
        <f>(IF((VLOOKUP(Table6[[#This Row],[SKU]],'All Skus'!$A:$AC,2,FALSE))="JBL",(VLOOKUP(Table6[[#This Row],[SKU]],'All Skus'!$A:$AC,22,FALSE)),""))</f>
        <v>0</v>
      </c>
      <c r="U287">
        <f>(IF((VLOOKUP(Table6[[#This Row],[SKU]],'All Skus'!$A:$AC,2,FALSE))="JBL",(VLOOKUP(Table6[[#This Row],[SKU]],'All Skus'!$A:$AC,23,FALSE)),""))</f>
        <v>0</v>
      </c>
      <c r="V287" s="284" t="str">
        <f>HYPERLINK((IF((VLOOKUP(Table6[[#This Row],[SKU]],'All Skus'!$A:$AC,2,FALSE))="JBL",(VLOOKUP(Table6[[#This Row],[SKU]],'All Skus'!$A:$AC,24,FALSE)),"")))</f>
        <v/>
      </c>
      <c r="W287" s="151">
        <v>285</v>
      </c>
    </row>
    <row r="288" spans="1:23" ht="15" hidden="1" customHeight="1">
      <c r="A288" s="13" t="s">
        <v>1294</v>
      </c>
      <c r="B288" s="12" t="str">
        <f>(IF((VLOOKUP(Table6[[#This Row],[SKU]],'All Skus'!$A:$AC,2,FALSE))="JBL",(VLOOKUP(Table6[[#This Row],[SKU]],'All Skus'!$A:$AC,3,FALSE)),""))</f>
        <v>Intellivox 430 Series</v>
      </c>
      <c r="C288" s="12" t="str">
        <f>(IF((VLOOKUP(Table6[[#This Row],[SKU]],'All Skus'!$A:$AC,2,FALSE))="JBL",(VLOOKUP(Table6[[#This Row],[SKU]],'All Skus'!$A:$AC,4,FALSE)),""))</f>
        <v>IVX-20043</v>
      </c>
      <c r="D288" s="61" t="str">
        <f>(IF((VLOOKUP(Table6[[#This Row],[SKU]],'All Skus'!$A:$AC,2,FALSE))="JBL",(VLOOKUP(Table6[[#This Row],[SKU]],'All Skus'!$A:$AC,5,FALSE)),""))</f>
        <v>JBL053</v>
      </c>
      <c r="E288" s="137" t="str">
        <f>(IF((VLOOKUP(Table6[[#This Row],[SKU]],'All Skus'!$A:$AC,2,FALSE))="JBL",(VLOOKUP(Table6[[#This Row],[SKU]],'All Skus'!$A:$AC,6,FALSE)),""))</f>
        <v>YES</v>
      </c>
      <c r="F288" s="61">
        <f>(IF((VLOOKUP(Table6[[#This Row],[SKU]],'All Skus'!$A:$AC,2,FALSE))="JBL",(VLOOKUP(Table6[[#This Row],[SKU]],'All Skus'!$A:$AC,7,FALSE)),""))</f>
        <v>0</v>
      </c>
      <c r="G288" t="str">
        <f>(IF((VLOOKUP(Table6[[#This Row],[SKU]],'All Skus'!$A:$AC,2,FALSE))="JBL",(VLOOKUP(Table6[[#This Row],[SKU]],'All Skus'!$A:$AC,8,FALSE)),""))</f>
        <v xml:space="preserve">Intellivox 430 series Custom Color Surcharge </v>
      </c>
      <c r="H288" s="8" t="str">
        <f>(IF((VLOOKUP(Table6[[#This Row],[SKU]],'All Skus'!$A:$AC,2,FALSE))="JBL",(VLOOKUP(Table6[[#This Row],[SKU]],'All Skus'!$A:$AC,9,FALSE)),""))</f>
        <v>Intellivox 430 series Custom Color Surcharge .  Made to Order Call for availability</v>
      </c>
      <c r="I288" s="101">
        <f>(IF((VLOOKUP(Table6[[#This Row],[SKU]],'All Skus'!$A:$AC,2,FALSE))="JBL",(VLOOKUP(Table6[[#This Row],[SKU]],'All Skus'!$A:$AC,10,FALSE)),""))</f>
        <v>0</v>
      </c>
      <c r="J288" s="101">
        <f>(IF((VLOOKUP(Table6[[#This Row],[SKU]],'All Skus'!$A:$AC,2,FALSE))="JBL",(VLOOKUP(Table6[[#This Row],[SKU]],'All Skus'!$A:$AC,11,FALSE)),""))</f>
        <v>0</v>
      </c>
      <c r="K288" s="102">
        <f>(IF((VLOOKUP(Table6[[#This Row],[SKU]],'All Skus'!$A:$AC,2,FALSE))="JBL",(VLOOKUP(Table6[[#This Row],[SKU]],'All Skus'!$A:$AC,13,FALSE)),""))</f>
        <v>0</v>
      </c>
      <c r="L288" s="102">
        <f>(IF((VLOOKUP(Table6[[#This Row],[SKU]],'All Skus'!$A:$AC,2,FALSE))="JBL",(VLOOKUP(Table6[[#This Row],[SKU]],'All Skus'!$A:$AC,14,FALSE)),""))</f>
        <v>0</v>
      </c>
      <c r="M288" s="143">
        <f>(IF((VLOOKUP(Table6[[#This Row],[SKU]],'All Skus'!$A:$AC,2,FALSE))="JBL",(VLOOKUP(Table6[[#This Row],[SKU]],'All Skus'!$A:$AC,15,FALSE)),""))</f>
        <v>0</v>
      </c>
      <c r="N288" s="137">
        <f>(IF((VLOOKUP(Table6[[#This Row],[SKU]],'All Skus'!$A:$AC,2,FALSE))="JBL",(VLOOKUP(Table6[[#This Row],[SKU]],'All Skus'!$A:$AC,16,FALSE)),""))</f>
        <v>0</v>
      </c>
      <c r="O288" s="61">
        <f>(IF((VLOOKUP(Table6[[#This Row],[SKU]],'All Skus'!$A:$AC,2,FALSE))="JBL",(VLOOKUP(Table6[[#This Row],[SKU]],'All Skus'!$A:$AC,17,FALSE)),""))</f>
        <v>0</v>
      </c>
      <c r="P288" s="136">
        <f>(IF((VLOOKUP(Table6[[#This Row],[SKU]],'All Skus'!$A:$AC,2,FALSE))="JBL",(VLOOKUP(Table6[[#This Row],[SKU]],'All Skus'!$A:$AC,18,FALSE)),""))</f>
        <v>0</v>
      </c>
      <c r="Q288" s="136">
        <f>(IF((VLOOKUP(Table6[[#This Row],[SKU]],'All Skus'!$A:$AC,2,FALSE))="JBL",(VLOOKUP(Table6[[#This Row],[SKU]],'All Skus'!$A:$AC,19,FALSE)),""))</f>
        <v>0</v>
      </c>
      <c r="R288" s="136">
        <f>(IF((VLOOKUP(Table6[[#This Row],[SKU]],'All Skus'!$A:$AC,2,FALSE))="JBL",(VLOOKUP(Table6[[#This Row],[SKU]],'All Skus'!$A:$AC,20,FALSE)),""))</f>
        <v>0</v>
      </c>
      <c r="S288" s="61">
        <f>(IF((VLOOKUP(Table6[[#This Row],[SKU]],'All Skus'!$A:$AC,2,FALSE))="JBL",(VLOOKUP(Table6[[#This Row],[SKU]],'All Skus'!$A:$AC,21,FALSE)),""))</f>
        <v>0</v>
      </c>
      <c r="T288" s="61">
        <f>(IF((VLOOKUP(Table6[[#This Row],[SKU]],'All Skus'!$A:$AC,2,FALSE))="JBL",(VLOOKUP(Table6[[#This Row],[SKU]],'All Skus'!$A:$AC,22,FALSE)),""))</f>
        <v>0</v>
      </c>
      <c r="U288">
        <f>(IF((VLOOKUP(Table6[[#This Row],[SKU]],'All Skus'!$A:$AC,2,FALSE))="JBL",(VLOOKUP(Table6[[#This Row],[SKU]],'All Skus'!$A:$AC,23,FALSE)),""))</f>
        <v>0</v>
      </c>
      <c r="V288" s="284" t="str">
        <f>HYPERLINK((IF((VLOOKUP(Table6[[#This Row],[SKU]],'All Skus'!$A:$AC,2,FALSE))="JBL",(VLOOKUP(Table6[[#This Row],[SKU]],'All Skus'!$A:$AC,24,FALSE)),"")))</f>
        <v/>
      </c>
      <c r="W288" s="151">
        <v>286</v>
      </c>
    </row>
    <row r="289" spans="1:23" ht="15" hidden="1" customHeight="1">
      <c r="A289" s="13" t="s">
        <v>1295</v>
      </c>
      <c r="B289" s="12" t="str">
        <f>(IF((VLOOKUP(Table6[[#This Row],[SKU]],'All Skus'!$A:$AC,2,FALSE))="JBL",(VLOOKUP(Table6[[#This Row],[SKU]],'All Skus'!$A:$AC,3,FALSE)),""))</f>
        <v>Intellivox 500 Series</v>
      </c>
      <c r="C289" s="12" t="str">
        <f>(IF((VLOOKUP(Table6[[#This Row],[SKU]],'All Skus'!$A:$AC,2,FALSE))="JBL",(VLOOKUP(Table6[[#This Row],[SKU]],'All Skus'!$A:$AC,4,FALSE)),""))</f>
        <v>IVX-20063</v>
      </c>
      <c r="D289" s="61" t="str">
        <f>(IF((VLOOKUP(Table6[[#This Row],[SKU]],'All Skus'!$A:$AC,2,FALSE))="JBL",(VLOOKUP(Table6[[#This Row],[SKU]],'All Skus'!$A:$AC,5,FALSE)),""))</f>
        <v>JBL053</v>
      </c>
      <c r="E289" s="137" t="str">
        <f>(IF((VLOOKUP(Table6[[#This Row],[SKU]],'All Skus'!$A:$AC,2,FALSE))="JBL",(VLOOKUP(Table6[[#This Row],[SKU]],'All Skus'!$A:$AC,6,FALSE)),""))</f>
        <v>YES</v>
      </c>
      <c r="F289" s="61">
        <f>(IF((VLOOKUP(Table6[[#This Row],[SKU]],'All Skus'!$A:$AC,2,FALSE))="JBL",(VLOOKUP(Table6[[#This Row],[SKU]],'All Skus'!$A:$AC,7,FALSE)),""))</f>
        <v>0</v>
      </c>
      <c r="G289" t="str">
        <f>(IF((VLOOKUP(Table6[[#This Row],[SKU]],'All Skus'!$A:$AC,2,FALSE))="JBL",(VLOOKUP(Table6[[#This Row],[SKU]],'All Skus'!$A:$AC,8,FALSE)),""))</f>
        <v xml:space="preserve">Intellivox 500 series Custom Color Surcharge </v>
      </c>
      <c r="H289" s="8" t="str">
        <f>(IF((VLOOKUP(Table6[[#This Row],[SKU]],'All Skus'!$A:$AC,2,FALSE))="JBL",(VLOOKUP(Table6[[#This Row],[SKU]],'All Skus'!$A:$AC,9,FALSE)),""))</f>
        <v>Intellivox 500 series Custom Color Surcharge .  Made to Order Call for availability</v>
      </c>
      <c r="I289" s="101">
        <f>(IF((VLOOKUP(Table6[[#This Row],[SKU]],'All Skus'!$A:$AC,2,FALSE))="JBL",(VLOOKUP(Table6[[#This Row],[SKU]],'All Skus'!$A:$AC,10,FALSE)),""))</f>
        <v>0</v>
      </c>
      <c r="J289" s="101">
        <f>(IF((VLOOKUP(Table6[[#This Row],[SKU]],'All Skus'!$A:$AC,2,FALSE))="JBL",(VLOOKUP(Table6[[#This Row],[SKU]],'All Skus'!$A:$AC,11,FALSE)),""))</f>
        <v>0</v>
      </c>
      <c r="K289" s="102">
        <f>(IF((VLOOKUP(Table6[[#This Row],[SKU]],'All Skus'!$A:$AC,2,FALSE))="JBL",(VLOOKUP(Table6[[#This Row],[SKU]],'All Skus'!$A:$AC,13,FALSE)),""))</f>
        <v>0</v>
      </c>
      <c r="L289" s="102">
        <f>(IF((VLOOKUP(Table6[[#This Row],[SKU]],'All Skus'!$A:$AC,2,FALSE))="JBL",(VLOOKUP(Table6[[#This Row],[SKU]],'All Skus'!$A:$AC,14,FALSE)),""))</f>
        <v>0</v>
      </c>
      <c r="M289" s="143">
        <f>(IF((VLOOKUP(Table6[[#This Row],[SKU]],'All Skus'!$A:$AC,2,FALSE))="JBL",(VLOOKUP(Table6[[#This Row],[SKU]],'All Skus'!$A:$AC,15,FALSE)),""))</f>
        <v>0</v>
      </c>
      <c r="N289" s="137">
        <f>(IF((VLOOKUP(Table6[[#This Row],[SKU]],'All Skus'!$A:$AC,2,FALSE))="JBL",(VLOOKUP(Table6[[#This Row],[SKU]],'All Skus'!$A:$AC,16,FALSE)),""))</f>
        <v>691991011986</v>
      </c>
      <c r="O289" s="61">
        <f>(IF((VLOOKUP(Table6[[#This Row],[SKU]],'All Skus'!$A:$AC,2,FALSE))="JBL",(VLOOKUP(Table6[[#This Row],[SKU]],'All Skus'!$A:$AC,17,FALSE)),""))</f>
        <v>0</v>
      </c>
      <c r="P289" s="136">
        <f>(IF((VLOOKUP(Table6[[#This Row],[SKU]],'All Skus'!$A:$AC,2,FALSE))="JBL",(VLOOKUP(Table6[[#This Row],[SKU]],'All Skus'!$A:$AC,18,FALSE)),""))</f>
        <v>0</v>
      </c>
      <c r="Q289" s="136">
        <f>(IF((VLOOKUP(Table6[[#This Row],[SKU]],'All Skus'!$A:$AC,2,FALSE))="JBL",(VLOOKUP(Table6[[#This Row],[SKU]],'All Skus'!$A:$AC,19,FALSE)),""))</f>
        <v>0</v>
      </c>
      <c r="R289" s="136">
        <f>(IF((VLOOKUP(Table6[[#This Row],[SKU]],'All Skus'!$A:$AC,2,FALSE))="JBL",(VLOOKUP(Table6[[#This Row],[SKU]],'All Skus'!$A:$AC,20,FALSE)),""))</f>
        <v>0</v>
      </c>
      <c r="S289" s="61">
        <f>(IF((VLOOKUP(Table6[[#This Row],[SKU]],'All Skus'!$A:$AC,2,FALSE))="JBL",(VLOOKUP(Table6[[#This Row],[SKU]],'All Skus'!$A:$AC,21,FALSE)),""))</f>
        <v>0</v>
      </c>
      <c r="T289" s="61">
        <f>(IF((VLOOKUP(Table6[[#This Row],[SKU]],'All Skus'!$A:$AC,2,FALSE))="JBL",(VLOOKUP(Table6[[#This Row],[SKU]],'All Skus'!$A:$AC,22,FALSE)),""))</f>
        <v>0</v>
      </c>
      <c r="U289">
        <f>(IF((VLOOKUP(Table6[[#This Row],[SKU]],'All Skus'!$A:$AC,2,FALSE))="JBL",(VLOOKUP(Table6[[#This Row],[SKU]],'All Skus'!$A:$AC,23,FALSE)),""))</f>
        <v>0</v>
      </c>
      <c r="V289" s="284" t="str">
        <f>HYPERLINK((IF((VLOOKUP(Table6[[#This Row],[SKU]],'All Skus'!$A:$AC,2,FALSE))="JBL",(VLOOKUP(Table6[[#This Row],[SKU]],'All Skus'!$A:$AC,24,FALSE)),"")))</f>
        <v/>
      </c>
      <c r="W289" s="151">
        <v>287</v>
      </c>
    </row>
    <row r="290" spans="1:23" ht="15" hidden="1" customHeight="1">
      <c r="A290" s="13" t="s">
        <v>1296</v>
      </c>
      <c r="B290" s="12" t="str">
        <f>(IF((VLOOKUP(Table6[[#This Row],[SKU]],'All Skus'!$A:$AC,2,FALSE))="JBL",(VLOOKUP(Table6[[#This Row],[SKU]],'All Skus'!$A:$AC,3,FALSE)),""))</f>
        <v>Intellivox ADC 70V/100V arrays</v>
      </c>
      <c r="C290" s="12" t="str">
        <f>(IF((VLOOKUP(Table6[[#This Row],[SKU]],'All Skus'!$A:$AC,2,FALSE))="JBL",(VLOOKUP(Table6[[#This Row],[SKU]],'All Skus'!$A:$AC,4,FALSE)),""))</f>
        <v>IVX-576126</v>
      </c>
      <c r="D290" s="61" t="str">
        <f>(IF((VLOOKUP(Table6[[#This Row],[SKU]],'All Skus'!$A:$AC,2,FALSE))="JBL",(VLOOKUP(Table6[[#This Row],[SKU]],'All Skus'!$A:$AC,5,FALSE)),""))</f>
        <v>JBL053</v>
      </c>
      <c r="E290" s="137" t="str">
        <f>(IF((VLOOKUP(Table6[[#This Row],[SKU]],'All Skus'!$A:$AC,2,FALSE))="JBL",(VLOOKUP(Table6[[#This Row],[SKU]],'All Skus'!$A:$AC,6,FALSE)),""))</f>
        <v>YES</v>
      </c>
      <c r="F290" s="61">
        <f>(IF((VLOOKUP(Table6[[#This Row],[SKU]],'All Skus'!$A:$AC,2,FALSE))="JBL",(VLOOKUP(Table6[[#This Row],[SKU]],'All Skus'!$A:$AC,7,FALSE)),""))</f>
        <v>0</v>
      </c>
      <c r="G290" t="str">
        <f>(IF((VLOOKUP(Table6[[#This Row],[SKU]],'All Skus'!$A:$AC,2,FALSE))="JBL",(VLOOKUP(Table6[[#This Row],[SKU]],'All Skus'!$A:$AC,8,FALSE)),""))</f>
        <v>Intellivox H-90 MKII Symmetric Dir Cntl, Ral 9007 - EN54:24</v>
      </c>
      <c r="H290" s="8" t="str">
        <f>(IF((VLOOKUP(Table6[[#This Row],[SKU]],'All Skus'!$A:$AC,2,FALSE))="JBL",(VLOOKUP(Table6[[#This Row],[SKU]],'All Skus'!$A:$AC,9,FALSE)),""))</f>
        <v>Intellivox H-90 MKII Symmetric Dir Cntl, Ral 9007 - EN54:24.  Made to Order Call for availability</v>
      </c>
      <c r="I290" s="101">
        <f>(IF((VLOOKUP(Table6[[#This Row],[SKU]],'All Skus'!$A:$AC,2,FALSE))="JBL",(VLOOKUP(Table6[[#This Row],[SKU]],'All Skus'!$A:$AC,10,FALSE)),""))</f>
        <v>2404.33</v>
      </c>
      <c r="J290" s="101">
        <f>(IF((VLOOKUP(Table6[[#This Row],[SKU]],'All Skus'!$A:$AC,2,FALSE))="JBL",(VLOOKUP(Table6[[#This Row],[SKU]],'All Skus'!$A:$AC,11,FALSE)),""))</f>
        <v>2404.33</v>
      </c>
      <c r="K290" s="102">
        <f>(IF((VLOOKUP(Table6[[#This Row],[SKU]],'All Skus'!$A:$AC,2,FALSE))="JBL",(VLOOKUP(Table6[[#This Row],[SKU]],'All Skus'!$A:$AC,13,FALSE)),""))</f>
        <v>0</v>
      </c>
      <c r="L290" s="102">
        <f>(IF((VLOOKUP(Table6[[#This Row],[SKU]],'All Skus'!$A:$AC,2,FALSE))="JBL",(VLOOKUP(Table6[[#This Row],[SKU]],'All Skus'!$A:$AC,14,FALSE)),""))</f>
        <v>0</v>
      </c>
      <c r="M290" s="143">
        <f>(IF((VLOOKUP(Table6[[#This Row],[SKU]],'All Skus'!$A:$AC,2,FALSE))="JBL",(VLOOKUP(Table6[[#This Row],[SKU]],'All Skus'!$A:$AC,15,FALSE)),""))</f>
        <v>0</v>
      </c>
      <c r="N290" s="137">
        <f>(IF((VLOOKUP(Table6[[#This Row],[SKU]],'All Skus'!$A:$AC,2,FALSE))="JBL",(VLOOKUP(Table6[[#This Row],[SKU]],'All Skus'!$A:$AC,16,FALSE)),""))</f>
        <v>0</v>
      </c>
      <c r="O290" s="61">
        <f>(IF((VLOOKUP(Table6[[#This Row],[SKU]],'All Skus'!$A:$AC,2,FALSE))="JBL",(VLOOKUP(Table6[[#This Row],[SKU]],'All Skus'!$A:$AC,17,FALSE)),""))</f>
        <v>0</v>
      </c>
      <c r="P290" s="136">
        <f>(IF((VLOOKUP(Table6[[#This Row],[SKU]],'All Skus'!$A:$AC,2,FALSE))="JBL",(VLOOKUP(Table6[[#This Row],[SKU]],'All Skus'!$A:$AC,18,FALSE)),""))</f>
        <v>0</v>
      </c>
      <c r="Q290" s="136">
        <f>(IF((VLOOKUP(Table6[[#This Row],[SKU]],'All Skus'!$A:$AC,2,FALSE))="JBL",(VLOOKUP(Table6[[#This Row],[SKU]],'All Skus'!$A:$AC,19,FALSE)),""))</f>
        <v>0</v>
      </c>
      <c r="R290" s="136">
        <f>(IF((VLOOKUP(Table6[[#This Row],[SKU]],'All Skus'!$A:$AC,2,FALSE))="JBL",(VLOOKUP(Table6[[#This Row],[SKU]],'All Skus'!$A:$AC,20,FALSE)),""))</f>
        <v>0</v>
      </c>
      <c r="S290" s="61">
        <f>(IF((VLOOKUP(Table6[[#This Row],[SKU]],'All Skus'!$A:$AC,2,FALSE))="JBL",(VLOOKUP(Table6[[#This Row],[SKU]],'All Skus'!$A:$AC,21,FALSE)),""))</f>
        <v>0</v>
      </c>
      <c r="T290" s="61">
        <f>(IF((VLOOKUP(Table6[[#This Row],[SKU]],'All Skus'!$A:$AC,2,FALSE))="JBL",(VLOOKUP(Table6[[#This Row],[SKU]],'All Skus'!$A:$AC,22,FALSE)),""))</f>
        <v>0</v>
      </c>
      <c r="U290">
        <f>(IF((VLOOKUP(Table6[[#This Row],[SKU]],'All Skus'!$A:$AC,2,FALSE))="JBL",(VLOOKUP(Table6[[#This Row],[SKU]],'All Skus'!$A:$AC,23,FALSE)),""))</f>
        <v>0</v>
      </c>
      <c r="V290" s="284" t="str">
        <f>HYPERLINK((IF((VLOOKUP(Table6[[#This Row],[SKU]],'All Skus'!$A:$AC,2,FALSE))="JBL",(VLOOKUP(Table6[[#This Row],[SKU]],'All Skus'!$A:$AC,24,FALSE)),"")))</f>
        <v/>
      </c>
      <c r="W290" s="151">
        <v>288</v>
      </c>
    </row>
    <row r="291" spans="1:23" ht="15" hidden="1" customHeight="1">
      <c r="A291" s="13" t="s">
        <v>1297</v>
      </c>
      <c r="B291" s="12" t="str">
        <f>(IF((VLOOKUP(Table6[[#This Row],[SKU]],'All Skus'!$A:$AC,2,FALSE))="JBL",(VLOOKUP(Table6[[#This Row],[SKU]],'All Skus'!$A:$AC,3,FALSE)),""))</f>
        <v>Intellivox ADC 70V/100V arrays</v>
      </c>
      <c r="C291" s="12" t="str">
        <f>(IF((VLOOKUP(Table6[[#This Row],[SKU]],'All Skus'!$A:$AC,2,FALSE))="JBL",(VLOOKUP(Table6[[#This Row],[SKU]],'All Skus'!$A:$AC,4,FALSE)),""))</f>
        <v>IVX-577125</v>
      </c>
      <c r="D291" s="61" t="str">
        <f>(IF((VLOOKUP(Table6[[#This Row],[SKU]],'All Skus'!$A:$AC,2,FALSE))="JBL",(VLOOKUP(Table6[[#This Row],[SKU]],'All Skus'!$A:$AC,5,FALSE)),""))</f>
        <v>JBL053</v>
      </c>
      <c r="E291" s="137" t="str">
        <f>(IF((VLOOKUP(Table6[[#This Row],[SKU]],'All Skus'!$A:$AC,2,FALSE))="JBL",(VLOOKUP(Table6[[#This Row],[SKU]],'All Skus'!$A:$AC,6,FALSE)),""))</f>
        <v>YES</v>
      </c>
      <c r="F291" s="61">
        <f>(IF((VLOOKUP(Table6[[#This Row],[SKU]],'All Skus'!$A:$AC,2,FALSE))="JBL",(VLOOKUP(Table6[[#This Row],[SKU]],'All Skus'!$A:$AC,7,FALSE)),""))</f>
        <v>0</v>
      </c>
      <c r="G291" t="str">
        <f>(IF((VLOOKUP(Table6[[#This Row],[SKU]],'All Skus'!$A:$AC,2,FALSE))="JBL",(VLOOKUP(Table6[[#This Row],[SKU]],'All Skus'!$A:$AC,8,FALSE)),""))</f>
        <v>Intellivox V-90 MKII, Ral 9010 - EN54:24</v>
      </c>
      <c r="H291" s="8" t="str">
        <f>(IF((VLOOKUP(Table6[[#This Row],[SKU]],'All Skus'!$A:$AC,2,FALSE))="JBL",(VLOOKUP(Table6[[#This Row],[SKU]],'All Skus'!$A:$AC,9,FALSE)),""))</f>
        <v>Intellivox V-90 MKII, Ral 9010 - EN54:24.  Made to Order Call for availability</v>
      </c>
      <c r="I291" s="101">
        <f>(IF((VLOOKUP(Table6[[#This Row],[SKU]],'All Skus'!$A:$AC,2,FALSE))="JBL",(VLOOKUP(Table6[[#This Row],[SKU]],'All Skus'!$A:$AC,10,FALSE)),""))</f>
        <v>2291.5700000000002</v>
      </c>
      <c r="J291" s="101">
        <f>(IF((VLOOKUP(Table6[[#This Row],[SKU]],'All Skus'!$A:$AC,2,FALSE))="JBL",(VLOOKUP(Table6[[#This Row],[SKU]],'All Skus'!$A:$AC,11,FALSE)),""))</f>
        <v>2291.5700000000002</v>
      </c>
      <c r="K291" s="102">
        <f>(IF((VLOOKUP(Table6[[#This Row],[SKU]],'All Skus'!$A:$AC,2,FALSE))="JBL",(VLOOKUP(Table6[[#This Row],[SKU]],'All Skus'!$A:$AC,13,FALSE)),""))</f>
        <v>0</v>
      </c>
      <c r="L291" s="102">
        <f>(IF((VLOOKUP(Table6[[#This Row],[SKU]],'All Skus'!$A:$AC,2,FALSE))="JBL",(VLOOKUP(Table6[[#This Row],[SKU]],'All Skus'!$A:$AC,14,FALSE)),""))</f>
        <v>0</v>
      </c>
      <c r="M291" s="143">
        <f>(IF((VLOOKUP(Table6[[#This Row],[SKU]],'All Skus'!$A:$AC,2,FALSE))="JBL",(VLOOKUP(Table6[[#This Row],[SKU]],'All Skus'!$A:$AC,15,FALSE)),""))</f>
        <v>0</v>
      </c>
      <c r="N291" s="137">
        <f>(IF((VLOOKUP(Table6[[#This Row],[SKU]],'All Skus'!$A:$AC,2,FALSE))="JBL",(VLOOKUP(Table6[[#This Row],[SKU]],'All Skus'!$A:$AC,16,FALSE)),""))</f>
        <v>691991012006</v>
      </c>
      <c r="O291" s="61">
        <f>(IF((VLOOKUP(Table6[[#This Row],[SKU]],'All Skus'!$A:$AC,2,FALSE))="JBL",(VLOOKUP(Table6[[#This Row],[SKU]],'All Skus'!$A:$AC,17,FALSE)),""))</f>
        <v>0</v>
      </c>
      <c r="P291" s="136">
        <f>(IF((VLOOKUP(Table6[[#This Row],[SKU]],'All Skus'!$A:$AC,2,FALSE))="JBL",(VLOOKUP(Table6[[#This Row],[SKU]],'All Skus'!$A:$AC,18,FALSE)),""))</f>
        <v>30</v>
      </c>
      <c r="Q291" s="136">
        <f>(IF((VLOOKUP(Table6[[#This Row],[SKU]],'All Skus'!$A:$AC,2,FALSE))="JBL",(VLOOKUP(Table6[[#This Row],[SKU]],'All Skus'!$A:$AC,19,FALSE)),""))</f>
        <v>8</v>
      </c>
      <c r="R291" s="136">
        <f>(IF((VLOOKUP(Table6[[#This Row],[SKU]],'All Skus'!$A:$AC,2,FALSE))="JBL",(VLOOKUP(Table6[[#This Row],[SKU]],'All Skus'!$A:$AC,20,FALSE)),""))</f>
        <v>9</v>
      </c>
      <c r="S291" s="61">
        <f>(IF((VLOOKUP(Table6[[#This Row],[SKU]],'All Skus'!$A:$AC,2,FALSE))="JBL",(VLOOKUP(Table6[[#This Row],[SKU]],'All Skus'!$A:$AC,21,FALSE)),""))</f>
        <v>37</v>
      </c>
      <c r="T291" s="61" t="str">
        <f>(IF((VLOOKUP(Table6[[#This Row],[SKU]],'All Skus'!$A:$AC,2,FALSE))="JBL",(VLOOKUP(Table6[[#This Row],[SKU]],'All Skus'!$A:$AC,22,FALSE)),""))</f>
        <v>HU</v>
      </c>
      <c r="U291">
        <f>(IF((VLOOKUP(Table6[[#This Row],[SKU]],'All Skus'!$A:$AC,2,FALSE))="JBL",(VLOOKUP(Table6[[#This Row],[SKU]],'All Skus'!$A:$AC,23,FALSE)),""))</f>
        <v>0</v>
      </c>
      <c r="V291" s="284" t="str">
        <f>HYPERLINK((IF((VLOOKUP(Table6[[#This Row],[SKU]],'All Skus'!$A:$AC,2,FALSE))="JBL",(VLOOKUP(Table6[[#This Row],[SKU]],'All Skus'!$A:$AC,24,FALSE)),"")))</f>
        <v/>
      </c>
      <c r="W291" s="151">
        <v>289</v>
      </c>
    </row>
    <row r="292" spans="1:23" ht="15" hidden="1" customHeight="1">
      <c r="A292" s="13" t="s">
        <v>1298</v>
      </c>
      <c r="B292" s="12" t="str">
        <f>(IF((VLOOKUP(Table6[[#This Row],[SKU]],'All Skus'!$A:$AC,2,FALSE))="JBL",(VLOOKUP(Table6[[#This Row],[SKU]],'All Skus'!$A:$AC,3,FALSE)),""))</f>
        <v>Intellivox ADC 70V/100V arrays</v>
      </c>
      <c r="C292" s="12" t="str">
        <f>(IF((VLOOKUP(Table6[[#This Row],[SKU]],'All Skus'!$A:$AC,2,FALSE))="JBL",(VLOOKUP(Table6[[#This Row],[SKU]],'All Skus'!$A:$AC,4,FALSE)),""))</f>
        <v>IVX-577126</v>
      </c>
      <c r="D292" s="61" t="str">
        <f>(IF((VLOOKUP(Table6[[#This Row],[SKU]],'All Skus'!$A:$AC,2,FALSE))="JBL",(VLOOKUP(Table6[[#This Row],[SKU]],'All Skus'!$A:$AC,5,FALSE)),""))</f>
        <v>JBL053</v>
      </c>
      <c r="E292" s="137" t="str">
        <f>(IF((VLOOKUP(Table6[[#This Row],[SKU]],'All Skus'!$A:$AC,2,FALSE))="JBL",(VLOOKUP(Table6[[#This Row],[SKU]],'All Skus'!$A:$AC,6,FALSE)),""))</f>
        <v>YES</v>
      </c>
      <c r="F292" s="61">
        <f>(IF((VLOOKUP(Table6[[#This Row],[SKU]],'All Skus'!$A:$AC,2,FALSE))="JBL",(VLOOKUP(Table6[[#This Row],[SKU]],'All Skus'!$A:$AC,7,FALSE)),""))</f>
        <v>0</v>
      </c>
      <c r="G292" t="str">
        <f>(IF((VLOOKUP(Table6[[#This Row],[SKU]],'All Skus'!$A:$AC,2,FALSE))="JBL",(VLOOKUP(Table6[[#This Row],[SKU]],'All Skus'!$A:$AC,8,FALSE)),""))</f>
        <v>Intellivox H-90 MKII Symmetric Directivity Control, Ral 9010 - EN54:24</v>
      </c>
      <c r="H292" s="8" t="str">
        <f>(IF((VLOOKUP(Table6[[#This Row],[SKU]],'All Skus'!$A:$AC,2,FALSE))="JBL",(VLOOKUP(Table6[[#This Row],[SKU]],'All Skus'!$A:$AC,9,FALSE)),""))</f>
        <v>Intellivox H-90 MKII Symmetric Directivity Control, Ral 9010 - EN54:24.  Made to Order Call for availability</v>
      </c>
      <c r="I292" s="101">
        <f>(IF((VLOOKUP(Table6[[#This Row],[SKU]],'All Skus'!$A:$AC,2,FALSE))="JBL",(VLOOKUP(Table6[[#This Row],[SKU]],'All Skus'!$A:$AC,10,FALSE)),""))</f>
        <v>2404.33</v>
      </c>
      <c r="J292" s="101">
        <f>(IF((VLOOKUP(Table6[[#This Row],[SKU]],'All Skus'!$A:$AC,2,FALSE))="JBL",(VLOOKUP(Table6[[#This Row],[SKU]],'All Skus'!$A:$AC,11,FALSE)),""))</f>
        <v>2404.33</v>
      </c>
      <c r="K292" s="102">
        <f>(IF((VLOOKUP(Table6[[#This Row],[SKU]],'All Skus'!$A:$AC,2,FALSE))="JBL",(VLOOKUP(Table6[[#This Row],[SKU]],'All Skus'!$A:$AC,13,FALSE)),""))</f>
        <v>0</v>
      </c>
      <c r="L292" s="102">
        <f>(IF((VLOOKUP(Table6[[#This Row],[SKU]],'All Skus'!$A:$AC,2,FALSE))="JBL",(VLOOKUP(Table6[[#This Row],[SKU]],'All Skus'!$A:$AC,14,FALSE)),""))</f>
        <v>0</v>
      </c>
      <c r="M292" s="143">
        <f>(IF((VLOOKUP(Table6[[#This Row],[SKU]],'All Skus'!$A:$AC,2,FALSE))="JBL",(VLOOKUP(Table6[[#This Row],[SKU]],'All Skus'!$A:$AC,15,FALSE)),""))</f>
        <v>0</v>
      </c>
      <c r="N292" s="137">
        <f>(IF((VLOOKUP(Table6[[#This Row],[SKU]],'All Skus'!$A:$AC,2,FALSE))="JBL",(VLOOKUP(Table6[[#This Row],[SKU]],'All Skus'!$A:$AC,16,FALSE)),""))</f>
        <v>691991012013</v>
      </c>
      <c r="O292" s="61">
        <f>(IF((VLOOKUP(Table6[[#This Row],[SKU]],'All Skus'!$A:$AC,2,FALSE))="JBL",(VLOOKUP(Table6[[#This Row],[SKU]],'All Skus'!$A:$AC,17,FALSE)),""))</f>
        <v>0</v>
      </c>
      <c r="P292" s="136">
        <f>(IF((VLOOKUP(Table6[[#This Row],[SKU]],'All Skus'!$A:$AC,2,FALSE))="JBL",(VLOOKUP(Table6[[#This Row],[SKU]],'All Skus'!$A:$AC,18,FALSE)),""))</f>
        <v>0</v>
      </c>
      <c r="Q292" s="136">
        <f>(IF((VLOOKUP(Table6[[#This Row],[SKU]],'All Skus'!$A:$AC,2,FALSE))="JBL",(VLOOKUP(Table6[[#This Row],[SKU]],'All Skus'!$A:$AC,19,FALSE)),""))</f>
        <v>0</v>
      </c>
      <c r="R292" s="136">
        <f>(IF((VLOOKUP(Table6[[#This Row],[SKU]],'All Skus'!$A:$AC,2,FALSE))="JBL",(VLOOKUP(Table6[[#This Row],[SKU]],'All Skus'!$A:$AC,20,FALSE)),""))</f>
        <v>0</v>
      </c>
      <c r="S292" s="61">
        <f>(IF((VLOOKUP(Table6[[#This Row],[SKU]],'All Skus'!$A:$AC,2,FALSE))="JBL",(VLOOKUP(Table6[[#This Row],[SKU]],'All Skus'!$A:$AC,21,FALSE)),""))</f>
        <v>0</v>
      </c>
      <c r="T292" s="61">
        <f>(IF((VLOOKUP(Table6[[#This Row],[SKU]],'All Skus'!$A:$AC,2,FALSE))="JBL",(VLOOKUP(Table6[[#This Row],[SKU]],'All Skus'!$A:$AC,22,FALSE)),""))</f>
        <v>0</v>
      </c>
      <c r="U292">
        <f>(IF((VLOOKUP(Table6[[#This Row],[SKU]],'All Skus'!$A:$AC,2,FALSE))="JBL",(VLOOKUP(Table6[[#This Row],[SKU]],'All Skus'!$A:$AC,23,FALSE)),""))</f>
        <v>0</v>
      </c>
      <c r="V292" s="284" t="str">
        <f>HYPERLINK((IF((VLOOKUP(Table6[[#This Row],[SKU]],'All Skus'!$A:$AC,2,FALSE))="JBL",(VLOOKUP(Table6[[#This Row],[SKU]],'All Skus'!$A:$AC,24,FALSE)),"")))</f>
        <v/>
      </c>
      <c r="W292" s="151">
        <v>290</v>
      </c>
    </row>
    <row r="293" spans="1:23" ht="15" hidden="1" customHeight="1">
      <c r="A293" s="13" t="s">
        <v>1299</v>
      </c>
      <c r="B293" s="12" t="str">
        <f>(IF((VLOOKUP(Table6[[#This Row],[SKU]],'All Skus'!$A:$AC,2,FALSE))="JBL",(VLOOKUP(Table6[[#This Row],[SKU]],'All Skus'!$A:$AC,3,FALSE)),""))</f>
        <v>Intellivox ADC 70V/100V arrays</v>
      </c>
      <c r="C293" s="12" t="str">
        <f>(IF((VLOOKUP(Table6[[#This Row],[SKU]],'All Skus'!$A:$AC,2,FALSE))="JBL",(VLOOKUP(Table6[[#This Row],[SKU]],'All Skus'!$A:$AC,4,FALSE)),""))</f>
        <v>IVX-577135</v>
      </c>
      <c r="D293" s="61" t="str">
        <f>(IF((VLOOKUP(Table6[[#This Row],[SKU]],'All Skus'!$A:$AC,2,FALSE))="JBL",(VLOOKUP(Table6[[#This Row],[SKU]],'All Skus'!$A:$AC,5,FALSE)),""))</f>
        <v>JBL053</v>
      </c>
      <c r="E293" s="137" t="str">
        <f>(IF((VLOOKUP(Table6[[#This Row],[SKU]],'All Skus'!$A:$AC,2,FALSE))="JBL",(VLOOKUP(Table6[[#This Row],[SKU]],'All Skus'!$A:$AC,6,FALSE)),""))</f>
        <v>YES</v>
      </c>
      <c r="F293" s="61">
        <f>(IF((VLOOKUP(Table6[[#This Row],[SKU]],'All Skus'!$A:$AC,2,FALSE))="JBL",(VLOOKUP(Table6[[#This Row],[SKU]],'All Skus'!$A:$AC,7,FALSE)),""))</f>
        <v>0</v>
      </c>
      <c r="G293" t="str">
        <f>(IF((VLOOKUP(Table6[[#This Row],[SKU]],'All Skus'!$A:$AC,2,FALSE))="JBL",(VLOOKUP(Table6[[#This Row],[SKU]],'All Skus'!$A:$AC,8,FALSE)),""))</f>
        <v>Intellivox V-90 MKII, Special Color] - EN54:24</v>
      </c>
      <c r="H293" s="8" t="str">
        <f>(IF((VLOOKUP(Table6[[#This Row],[SKU]],'All Skus'!$A:$AC,2,FALSE))="JBL",(VLOOKUP(Table6[[#This Row],[SKU]],'All Skus'!$A:$AC,9,FALSE)),""))</f>
        <v>Intellivox V-90 MKII, Special Color] - EN54:24.  Made to Order Call for availability</v>
      </c>
      <c r="I293" s="101">
        <f>(IF((VLOOKUP(Table6[[#This Row],[SKU]],'All Skus'!$A:$AC,2,FALSE))="JBL",(VLOOKUP(Table6[[#This Row],[SKU]],'All Skus'!$A:$AC,10,FALSE)),""))</f>
        <v>2787.47</v>
      </c>
      <c r="J293" s="101">
        <f>(IF((VLOOKUP(Table6[[#This Row],[SKU]],'All Skus'!$A:$AC,2,FALSE))="JBL",(VLOOKUP(Table6[[#This Row],[SKU]],'All Skus'!$A:$AC,11,FALSE)),""))</f>
        <v>2787.47</v>
      </c>
      <c r="K293" s="102">
        <f>(IF((VLOOKUP(Table6[[#This Row],[SKU]],'All Skus'!$A:$AC,2,FALSE))="JBL",(VLOOKUP(Table6[[#This Row],[SKU]],'All Skus'!$A:$AC,13,FALSE)),""))</f>
        <v>0</v>
      </c>
      <c r="L293" s="102">
        <f>(IF((VLOOKUP(Table6[[#This Row],[SKU]],'All Skus'!$A:$AC,2,FALSE))="JBL",(VLOOKUP(Table6[[#This Row],[SKU]],'All Skus'!$A:$AC,14,FALSE)),""))</f>
        <v>0</v>
      </c>
      <c r="M293" s="143">
        <f>(IF((VLOOKUP(Table6[[#This Row],[SKU]],'All Skus'!$A:$AC,2,FALSE))="JBL",(VLOOKUP(Table6[[#This Row],[SKU]],'All Skus'!$A:$AC,15,FALSE)),""))</f>
        <v>0</v>
      </c>
      <c r="N293" s="137">
        <f>(IF((VLOOKUP(Table6[[#This Row],[SKU]],'All Skus'!$A:$AC,2,FALSE))="JBL",(VLOOKUP(Table6[[#This Row],[SKU]],'All Skus'!$A:$AC,16,FALSE)),""))</f>
        <v>0</v>
      </c>
      <c r="O293" s="61">
        <f>(IF((VLOOKUP(Table6[[#This Row],[SKU]],'All Skus'!$A:$AC,2,FALSE))="JBL",(VLOOKUP(Table6[[#This Row],[SKU]],'All Skus'!$A:$AC,17,FALSE)),""))</f>
        <v>0</v>
      </c>
      <c r="P293" s="136">
        <f>(IF((VLOOKUP(Table6[[#This Row],[SKU]],'All Skus'!$A:$AC,2,FALSE))="JBL",(VLOOKUP(Table6[[#This Row],[SKU]],'All Skus'!$A:$AC,18,FALSE)),""))</f>
        <v>0</v>
      </c>
      <c r="Q293" s="136">
        <f>(IF((VLOOKUP(Table6[[#This Row],[SKU]],'All Skus'!$A:$AC,2,FALSE))="JBL",(VLOOKUP(Table6[[#This Row],[SKU]],'All Skus'!$A:$AC,19,FALSE)),""))</f>
        <v>0</v>
      </c>
      <c r="R293" s="136">
        <f>(IF((VLOOKUP(Table6[[#This Row],[SKU]],'All Skus'!$A:$AC,2,FALSE))="JBL",(VLOOKUP(Table6[[#This Row],[SKU]],'All Skus'!$A:$AC,20,FALSE)),""))</f>
        <v>0</v>
      </c>
      <c r="S293" s="61">
        <f>(IF((VLOOKUP(Table6[[#This Row],[SKU]],'All Skus'!$A:$AC,2,FALSE))="JBL",(VLOOKUP(Table6[[#This Row],[SKU]],'All Skus'!$A:$AC,21,FALSE)),""))</f>
        <v>0</v>
      </c>
      <c r="T293" s="61" t="str">
        <f>(IF((VLOOKUP(Table6[[#This Row],[SKU]],'All Skus'!$A:$AC,2,FALSE))="JBL",(VLOOKUP(Table6[[#This Row],[SKU]],'All Skus'!$A:$AC,22,FALSE)),""))</f>
        <v>ZZ</v>
      </c>
      <c r="U293">
        <f>(IF((VLOOKUP(Table6[[#This Row],[SKU]],'All Skus'!$A:$AC,2,FALSE))="JBL",(VLOOKUP(Table6[[#This Row],[SKU]],'All Skus'!$A:$AC,23,FALSE)),""))</f>
        <v>0</v>
      </c>
      <c r="V293" s="284" t="str">
        <f>HYPERLINK((IF((VLOOKUP(Table6[[#This Row],[SKU]],'All Skus'!$A:$AC,2,FALSE))="JBL",(VLOOKUP(Table6[[#This Row],[SKU]],'All Skus'!$A:$AC,24,FALSE)),"")))</f>
        <v/>
      </c>
      <c r="W293" s="151">
        <v>291</v>
      </c>
    </row>
    <row r="294" spans="1:23" ht="15" hidden="1" customHeight="1">
      <c r="A294" s="13" t="s">
        <v>1300</v>
      </c>
      <c r="B294" s="12" t="str">
        <f>(IF((VLOOKUP(Table6[[#This Row],[SKU]],'All Skus'!$A:$AC,2,FALSE))="JBL",(VLOOKUP(Table6[[#This Row],[SKU]],'All Skus'!$A:$AC,3,FALSE)),""))</f>
        <v>Intellivox ADC 70V/100V arrays</v>
      </c>
      <c r="C294" s="12" t="str">
        <f>(IF((VLOOKUP(Table6[[#This Row],[SKU]],'All Skus'!$A:$AC,2,FALSE))="JBL",(VLOOKUP(Table6[[#This Row],[SKU]],'All Skus'!$A:$AC,4,FALSE)),""))</f>
        <v>IVX-577136</v>
      </c>
      <c r="D294" s="61" t="str">
        <f>(IF((VLOOKUP(Table6[[#This Row],[SKU]],'All Skus'!$A:$AC,2,FALSE))="JBL",(VLOOKUP(Table6[[#This Row],[SKU]],'All Skus'!$A:$AC,5,FALSE)),""))</f>
        <v>JBL053</v>
      </c>
      <c r="E294" s="137" t="str">
        <f>(IF((VLOOKUP(Table6[[#This Row],[SKU]],'All Skus'!$A:$AC,2,FALSE))="JBL",(VLOOKUP(Table6[[#This Row],[SKU]],'All Skus'!$A:$AC,6,FALSE)),""))</f>
        <v>YES</v>
      </c>
      <c r="F294" s="61">
        <f>(IF((VLOOKUP(Table6[[#This Row],[SKU]],'All Skus'!$A:$AC,2,FALSE))="JBL",(VLOOKUP(Table6[[#This Row],[SKU]],'All Skus'!$A:$AC,7,FALSE)),""))</f>
        <v>0</v>
      </c>
      <c r="G294" t="str">
        <f>(IF((VLOOKUP(Table6[[#This Row],[SKU]],'All Skus'!$A:$AC,2,FALSE))="JBL",(VLOOKUP(Table6[[#This Row],[SKU]],'All Skus'!$A:$AC,8,FALSE)),""))</f>
        <v>Intellivox H-90 MKII, Special Color] - EN54:24</v>
      </c>
      <c r="H294" s="8" t="str">
        <f>(IF((VLOOKUP(Table6[[#This Row],[SKU]],'All Skus'!$A:$AC,2,FALSE))="JBL",(VLOOKUP(Table6[[#This Row],[SKU]],'All Skus'!$A:$AC,9,FALSE)),""))</f>
        <v>Intellivox H-90 MKII, Special Color] - EN54:24.  Made to Order Call for availability</v>
      </c>
      <c r="I294" s="101">
        <f>(IF((VLOOKUP(Table6[[#This Row],[SKU]],'All Skus'!$A:$AC,2,FALSE))="JBL",(VLOOKUP(Table6[[#This Row],[SKU]],'All Skus'!$A:$AC,10,FALSE)),""))</f>
        <v>2787.47</v>
      </c>
      <c r="J294" s="101">
        <f>(IF((VLOOKUP(Table6[[#This Row],[SKU]],'All Skus'!$A:$AC,2,FALSE))="JBL",(VLOOKUP(Table6[[#This Row],[SKU]],'All Skus'!$A:$AC,11,FALSE)),""))</f>
        <v>2787.47</v>
      </c>
      <c r="K294" s="102">
        <f>(IF((VLOOKUP(Table6[[#This Row],[SKU]],'All Skus'!$A:$AC,2,FALSE))="JBL",(VLOOKUP(Table6[[#This Row],[SKU]],'All Skus'!$A:$AC,13,FALSE)),""))</f>
        <v>0</v>
      </c>
      <c r="L294" s="102">
        <f>(IF((VLOOKUP(Table6[[#This Row],[SKU]],'All Skus'!$A:$AC,2,FALSE))="JBL",(VLOOKUP(Table6[[#This Row],[SKU]],'All Skus'!$A:$AC,14,FALSE)),""))</f>
        <v>0</v>
      </c>
      <c r="M294" s="143">
        <f>(IF((VLOOKUP(Table6[[#This Row],[SKU]],'All Skus'!$A:$AC,2,FALSE))="JBL",(VLOOKUP(Table6[[#This Row],[SKU]],'All Skus'!$A:$AC,15,FALSE)),""))</f>
        <v>0</v>
      </c>
      <c r="N294" s="137">
        <f>(IF((VLOOKUP(Table6[[#This Row],[SKU]],'All Skus'!$A:$AC,2,FALSE))="JBL",(VLOOKUP(Table6[[#This Row],[SKU]],'All Skus'!$A:$AC,16,FALSE)),""))</f>
        <v>0</v>
      </c>
      <c r="O294" s="61">
        <f>(IF((VLOOKUP(Table6[[#This Row],[SKU]],'All Skus'!$A:$AC,2,FALSE))="JBL",(VLOOKUP(Table6[[#This Row],[SKU]],'All Skus'!$A:$AC,17,FALSE)),""))</f>
        <v>0</v>
      </c>
      <c r="P294" s="136">
        <f>(IF((VLOOKUP(Table6[[#This Row],[SKU]],'All Skus'!$A:$AC,2,FALSE))="JBL",(VLOOKUP(Table6[[#This Row],[SKU]],'All Skus'!$A:$AC,18,FALSE)),""))</f>
        <v>0</v>
      </c>
      <c r="Q294" s="136">
        <f>(IF((VLOOKUP(Table6[[#This Row],[SKU]],'All Skus'!$A:$AC,2,FALSE))="JBL",(VLOOKUP(Table6[[#This Row],[SKU]],'All Skus'!$A:$AC,19,FALSE)),""))</f>
        <v>0</v>
      </c>
      <c r="R294" s="136">
        <f>(IF((VLOOKUP(Table6[[#This Row],[SKU]],'All Skus'!$A:$AC,2,FALSE))="JBL",(VLOOKUP(Table6[[#This Row],[SKU]],'All Skus'!$A:$AC,20,FALSE)),""))</f>
        <v>0</v>
      </c>
      <c r="S294" s="61">
        <f>(IF((VLOOKUP(Table6[[#This Row],[SKU]],'All Skus'!$A:$AC,2,FALSE))="JBL",(VLOOKUP(Table6[[#This Row],[SKU]],'All Skus'!$A:$AC,21,FALSE)),""))</f>
        <v>0</v>
      </c>
      <c r="T294" s="61">
        <f>(IF((VLOOKUP(Table6[[#This Row],[SKU]],'All Skus'!$A:$AC,2,FALSE))="JBL",(VLOOKUP(Table6[[#This Row],[SKU]],'All Skus'!$A:$AC,22,FALSE)),""))</f>
        <v>0</v>
      </c>
      <c r="U294">
        <f>(IF((VLOOKUP(Table6[[#This Row],[SKU]],'All Skus'!$A:$AC,2,FALSE))="JBL",(VLOOKUP(Table6[[#This Row],[SKU]],'All Skus'!$A:$AC,23,FALSE)),""))</f>
        <v>0</v>
      </c>
      <c r="V294" s="284" t="str">
        <f>HYPERLINK((IF((VLOOKUP(Table6[[#This Row],[SKU]],'All Skus'!$A:$AC,2,FALSE))="JBL",(VLOOKUP(Table6[[#This Row],[SKU]],'All Skus'!$A:$AC,24,FALSE)),"")))</f>
        <v/>
      </c>
      <c r="W294" s="151">
        <v>292</v>
      </c>
    </row>
    <row r="295" spans="1:23" ht="15" hidden="1" customHeight="1">
      <c r="A295" s="13" t="s">
        <v>1301</v>
      </c>
      <c r="B295" s="12" t="str">
        <f>(IF((VLOOKUP(Table6[[#This Row],[SKU]],'All Skus'!$A:$AC,2,FALSE))="JBL",(VLOOKUP(Table6[[#This Row],[SKU]],'All Skus'!$A:$AC,3,FALSE)),""))</f>
        <v>Intellivox 115 Series</v>
      </c>
      <c r="C295" s="12" t="str">
        <f>(IF((VLOOKUP(Table6[[#This Row],[SKU]],'All Skus'!$A:$AC,2,FALSE))="JBL",(VLOOKUP(Table6[[#This Row],[SKU]],'All Skus'!$A:$AC,4,FALSE)),""))</f>
        <v>IVX-587000</v>
      </c>
      <c r="D295" s="61" t="str">
        <f>(IF((VLOOKUP(Table6[[#This Row],[SKU]],'All Skus'!$A:$AC,2,FALSE))="JBL",(VLOOKUP(Table6[[#This Row],[SKU]],'All Skus'!$A:$AC,5,FALSE)),""))</f>
        <v>JBL053</v>
      </c>
      <c r="E295" s="137" t="str">
        <f>(IF((VLOOKUP(Table6[[#This Row],[SKU]],'All Skus'!$A:$AC,2,FALSE))="JBL",(VLOOKUP(Table6[[#This Row],[SKU]],'All Skus'!$A:$AC,6,FALSE)),""))</f>
        <v>YES</v>
      </c>
      <c r="F295" s="61">
        <f>(IF((VLOOKUP(Table6[[#This Row],[SKU]],'All Skus'!$A:$AC,2,FALSE))="JBL",(VLOOKUP(Table6[[#This Row],[SKU]],'All Skus'!$A:$AC,7,FALSE)),""))</f>
        <v>0</v>
      </c>
      <c r="G295" t="str">
        <f>(IF((VLOOKUP(Table6[[#This Row],[SKU]],'All Skus'!$A:$AC,2,FALSE))="JBL",(VLOOKUP(Table6[[#This Row],[SKU]],'All Skus'!$A:$AC,8,FALSE)),""))</f>
        <v>Intellivox-DS115, Amp@Bottom</v>
      </c>
      <c r="H295" s="8" t="str">
        <f>(IF((VLOOKUP(Table6[[#This Row],[SKU]],'All Skus'!$A:$AC,2,FALSE))="JBL",(VLOOKUP(Table6[[#This Row],[SKU]],'All Skus'!$A:$AC,9,FALSE)),""))</f>
        <v>Intellivox-DS115, Amp@Bottom.  Made to Order Call for availability</v>
      </c>
      <c r="I295" s="101">
        <f>(IF((VLOOKUP(Table6[[#This Row],[SKU]],'All Skus'!$A:$AC,2,FALSE))="JBL",(VLOOKUP(Table6[[#This Row],[SKU]],'All Skus'!$A:$AC,10,FALSE)),""))</f>
        <v>6455.19</v>
      </c>
      <c r="J295" s="101">
        <f>(IF((VLOOKUP(Table6[[#This Row],[SKU]],'All Skus'!$A:$AC,2,FALSE))="JBL",(VLOOKUP(Table6[[#This Row],[SKU]],'All Skus'!$A:$AC,11,FALSE)),""))</f>
        <v>6455</v>
      </c>
      <c r="K295" s="102">
        <f>(IF((VLOOKUP(Table6[[#This Row],[SKU]],'All Skus'!$A:$AC,2,FALSE))="JBL",(VLOOKUP(Table6[[#This Row],[SKU]],'All Skus'!$A:$AC,13,FALSE)),""))</f>
        <v>0</v>
      </c>
      <c r="L295" s="102">
        <f>(IF((VLOOKUP(Table6[[#This Row],[SKU]],'All Skus'!$A:$AC,2,FALSE))="JBL",(VLOOKUP(Table6[[#This Row],[SKU]],'All Skus'!$A:$AC,14,FALSE)),""))</f>
        <v>0</v>
      </c>
      <c r="M295" s="143">
        <f>(IF((VLOOKUP(Table6[[#This Row],[SKU]],'All Skus'!$A:$AC,2,FALSE))="JBL",(VLOOKUP(Table6[[#This Row],[SKU]],'All Skus'!$A:$AC,15,FALSE)),""))</f>
        <v>0</v>
      </c>
      <c r="N295" s="137">
        <f>(IF((VLOOKUP(Table6[[#This Row],[SKU]],'All Skus'!$A:$AC,2,FALSE))="JBL",(VLOOKUP(Table6[[#This Row],[SKU]],'All Skus'!$A:$AC,16,FALSE)),""))</f>
        <v>0</v>
      </c>
      <c r="O295" s="61">
        <f>(IF((VLOOKUP(Table6[[#This Row],[SKU]],'All Skus'!$A:$AC,2,FALSE))="JBL",(VLOOKUP(Table6[[#This Row],[SKU]],'All Skus'!$A:$AC,17,FALSE)),""))</f>
        <v>0</v>
      </c>
      <c r="P295" s="136">
        <f>(IF((VLOOKUP(Table6[[#This Row],[SKU]],'All Skus'!$A:$AC,2,FALSE))="JBL",(VLOOKUP(Table6[[#This Row],[SKU]],'All Skus'!$A:$AC,18,FALSE)),""))</f>
        <v>30</v>
      </c>
      <c r="Q295" s="136">
        <f>(IF((VLOOKUP(Table6[[#This Row],[SKU]],'All Skus'!$A:$AC,2,FALSE))="JBL",(VLOOKUP(Table6[[#This Row],[SKU]],'All Skus'!$A:$AC,19,FALSE)),""))</f>
        <v>9</v>
      </c>
      <c r="R295" s="136">
        <f>(IF((VLOOKUP(Table6[[#This Row],[SKU]],'All Skus'!$A:$AC,2,FALSE))="JBL",(VLOOKUP(Table6[[#This Row],[SKU]],'All Skus'!$A:$AC,20,FALSE)),""))</f>
        <v>8</v>
      </c>
      <c r="S295" s="61">
        <f>(IF((VLOOKUP(Table6[[#This Row],[SKU]],'All Skus'!$A:$AC,2,FALSE))="JBL",(VLOOKUP(Table6[[#This Row],[SKU]],'All Skus'!$A:$AC,21,FALSE)),""))</f>
        <v>48</v>
      </c>
      <c r="T295" s="61" t="str">
        <f>(IF((VLOOKUP(Table6[[#This Row],[SKU]],'All Skus'!$A:$AC,2,FALSE))="JBL",(VLOOKUP(Table6[[#This Row],[SKU]],'All Skus'!$A:$AC,22,FALSE)),""))</f>
        <v>HU</v>
      </c>
      <c r="U295">
        <f>(IF((VLOOKUP(Table6[[#This Row],[SKU]],'All Skus'!$A:$AC,2,FALSE))="JBL",(VLOOKUP(Table6[[#This Row],[SKU]],'All Skus'!$A:$AC,23,FALSE)),""))</f>
        <v>0</v>
      </c>
      <c r="V295" s="284" t="str">
        <f>HYPERLINK((IF((VLOOKUP(Table6[[#This Row],[SKU]],'All Skus'!$A:$AC,2,FALSE))="JBL",(VLOOKUP(Table6[[#This Row],[SKU]],'All Skus'!$A:$AC,24,FALSE)),"")))</f>
        <v/>
      </c>
      <c r="W295" s="151">
        <v>293</v>
      </c>
    </row>
    <row r="296" spans="1:23" ht="15" hidden="1" customHeight="1">
      <c r="A296" s="13" t="s">
        <v>1302</v>
      </c>
      <c r="B296" s="12" t="str">
        <f>(IF((VLOOKUP(Table6[[#This Row],[SKU]],'All Skus'!$A:$AC,2,FALSE))="JBL",(VLOOKUP(Table6[[#This Row],[SKU]],'All Skus'!$A:$AC,3,FALSE)),""))</f>
        <v>Intellivox 115 Series</v>
      </c>
      <c r="C296" s="12" t="str">
        <f>(IF((VLOOKUP(Table6[[#This Row],[SKU]],'All Skus'!$A:$AC,2,FALSE))="JBL",(VLOOKUP(Table6[[#This Row],[SKU]],'All Skus'!$A:$AC,4,FALSE)),""))</f>
        <v>IVX-587001</v>
      </c>
      <c r="D296" s="61" t="str">
        <f>(IF((VLOOKUP(Table6[[#This Row],[SKU]],'All Skus'!$A:$AC,2,FALSE))="JBL",(VLOOKUP(Table6[[#This Row],[SKU]],'All Skus'!$A:$AC,5,FALSE)),""))</f>
        <v>JBL053</v>
      </c>
      <c r="E296" s="137" t="str">
        <f>(IF((VLOOKUP(Table6[[#This Row],[SKU]],'All Skus'!$A:$AC,2,FALSE))="JBL",(VLOOKUP(Table6[[#This Row],[SKU]],'All Skus'!$A:$AC,6,FALSE)),""))</f>
        <v>YES</v>
      </c>
      <c r="F296" s="61">
        <f>(IF((VLOOKUP(Table6[[#This Row],[SKU]],'All Skus'!$A:$AC,2,FALSE))="JBL",(VLOOKUP(Table6[[#This Row],[SKU]],'All Skus'!$A:$AC,7,FALSE)),""))</f>
        <v>0</v>
      </c>
      <c r="G296" t="str">
        <f>(IF((VLOOKUP(Table6[[#This Row],[SKU]],'All Skus'!$A:$AC,2,FALSE))="JBL",(VLOOKUP(Table6[[#This Row],[SKU]],'All Skus'!$A:$AC,8,FALSE)),""))</f>
        <v>Intellivox-DS115, Amp@Top</v>
      </c>
      <c r="H296" s="8" t="str">
        <f>(IF((VLOOKUP(Table6[[#This Row],[SKU]],'All Skus'!$A:$AC,2,FALSE))="JBL",(VLOOKUP(Table6[[#This Row],[SKU]],'All Skus'!$A:$AC,9,FALSE)),""))</f>
        <v>Intellivox-DS115, Amp@Top.  Made to Order Call for availability</v>
      </c>
      <c r="I296" s="101">
        <f>(IF((VLOOKUP(Table6[[#This Row],[SKU]],'All Skus'!$A:$AC,2,FALSE))="JBL",(VLOOKUP(Table6[[#This Row],[SKU]],'All Skus'!$A:$AC,10,FALSE)),""))</f>
        <v>6455.19</v>
      </c>
      <c r="J296" s="101">
        <f>(IF((VLOOKUP(Table6[[#This Row],[SKU]],'All Skus'!$A:$AC,2,FALSE))="JBL",(VLOOKUP(Table6[[#This Row],[SKU]],'All Skus'!$A:$AC,11,FALSE)),""))</f>
        <v>6455</v>
      </c>
      <c r="K296" s="102">
        <f>(IF((VLOOKUP(Table6[[#This Row],[SKU]],'All Skus'!$A:$AC,2,FALSE))="JBL",(VLOOKUP(Table6[[#This Row],[SKU]],'All Skus'!$A:$AC,13,FALSE)),""))</f>
        <v>0</v>
      </c>
      <c r="L296" s="102">
        <f>(IF((VLOOKUP(Table6[[#This Row],[SKU]],'All Skus'!$A:$AC,2,FALSE))="JBL",(VLOOKUP(Table6[[#This Row],[SKU]],'All Skus'!$A:$AC,14,FALSE)),""))</f>
        <v>0</v>
      </c>
      <c r="M296" s="143">
        <f>(IF((VLOOKUP(Table6[[#This Row],[SKU]],'All Skus'!$A:$AC,2,FALSE))="JBL",(VLOOKUP(Table6[[#This Row],[SKU]],'All Skus'!$A:$AC,15,FALSE)),""))</f>
        <v>0</v>
      </c>
      <c r="N296" s="137">
        <f>(IF((VLOOKUP(Table6[[#This Row],[SKU]],'All Skus'!$A:$AC,2,FALSE))="JBL",(VLOOKUP(Table6[[#This Row],[SKU]],'All Skus'!$A:$AC,16,FALSE)),""))</f>
        <v>0</v>
      </c>
      <c r="O296" s="61">
        <f>(IF((VLOOKUP(Table6[[#This Row],[SKU]],'All Skus'!$A:$AC,2,FALSE))="JBL",(VLOOKUP(Table6[[#This Row],[SKU]],'All Skus'!$A:$AC,17,FALSE)),""))</f>
        <v>0</v>
      </c>
      <c r="P296" s="136">
        <f>(IF((VLOOKUP(Table6[[#This Row],[SKU]],'All Skus'!$A:$AC,2,FALSE))="JBL",(VLOOKUP(Table6[[#This Row],[SKU]],'All Skus'!$A:$AC,18,FALSE)),""))</f>
        <v>0</v>
      </c>
      <c r="Q296" s="136">
        <f>(IF((VLOOKUP(Table6[[#This Row],[SKU]],'All Skus'!$A:$AC,2,FALSE))="JBL",(VLOOKUP(Table6[[#This Row],[SKU]],'All Skus'!$A:$AC,19,FALSE)),""))</f>
        <v>0</v>
      </c>
      <c r="R296" s="136">
        <f>(IF((VLOOKUP(Table6[[#This Row],[SKU]],'All Skus'!$A:$AC,2,FALSE))="JBL",(VLOOKUP(Table6[[#This Row],[SKU]],'All Skus'!$A:$AC,20,FALSE)),""))</f>
        <v>0</v>
      </c>
      <c r="S296" s="61">
        <f>(IF((VLOOKUP(Table6[[#This Row],[SKU]],'All Skus'!$A:$AC,2,FALSE))="JBL",(VLOOKUP(Table6[[#This Row],[SKU]],'All Skus'!$A:$AC,21,FALSE)),""))</f>
        <v>0</v>
      </c>
      <c r="T296" s="61" t="str">
        <f>(IF((VLOOKUP(Table6[[#This Row],[SKU]],'All Skus'!$A:$AC,2,FALSE))="JBL",(VLOOKUP(Table6[[#This Row],[SKU]],'All Skus'!$A:$AC,22,FALSE)),""))</f>
        <v>ZZ</v>
      </c>
      <c r="U296">
        <f>(IF((VLOOKUP(Table6[[#This Row],[SKU]],'All Skus'!$A:$AC,2,FALSE))="JBL",(VLOOKUP(Table6[[#This Row],[SKU]],'All Skus'!$A:$AC,23,FALSE)),""))</f>
        <v>0</v>
      </c>
      <c r="V296" s="284" t="str">
        <f>HYPERLINK((IF((VLOOKUP(Table6[[#This Row],[SKU]],'All Skus'!$A:$AC,2,FALSE))="JBL",(VLOOKUP(Table6[[#This Row],[SKU]],'All Skus'!$A:$AC,24,FALSE)),"")))</f>
        <v/>
      </c>
      <c r="W296" s="151">
        <v>294</v>
      </c>
    </row>
    <row r="297" spans="1:23" ht="15" hidden="1" customHeight="1">
      <c r="A297" s="13" t="s">
        <v>1303</v>
      </c>
      <c r="B297" s="12" t="str">
        <f>(IF((VLOOKUP(Table6[[#This Row],[SKU]],'All Skus'!$A:$AC,2,FALSE))="JBL",(VLOOKUP(Table6[[#This Row],[SKU]],'All Skus'!$A:$AC,3,FALSE)),""))</f>
        <v>Intellivox 180 Series</v>
      </c>
      <c r="C297" s="12" t="str">
        <f>(IF((VLOOKUP(Table6[[#This Row],[SKU]],'All Skus'!$A:$AC,2,FALSE))="JBL",(VLOOKUP(Table6[[#This Row],[SKU]],'All Skus'!$A:$AC,4,FALSE)),""))</f>
        <v>IVX-587020</v>
      </c>
      <c r="D297" s="61" t="str">
        <f>(IF((VLOOKUP(Table6[[#This Row],[SKU]],'All Skus'!$A:$AC,2,FALSE))="JBL",(VLOOKUP(Table6[[#This Row],[SKU]],'All Skus'!$A:$AC,5,FALSE)),""))</f>
        <v>JBL053</v>
      </c>
      <c r="E297" s="137" t="str">
        <f>(IF((VLOOKUP(Table6[[#This Row],[SKU]],'All Skus'!$A:$AC,2,FALSE))="JBL",(VLOOKUP(Table6[[#This Row],[SKU]],'All Skus'!$A:$AC,6,FALSE)),""))</f>
        <v>YES</v>
      </c>
      <c r="F297" s="61">
        <f>(IF((VLOOKUP(Table6[[#This Row],[SKU]],'All Skus'!$A:$AC,2,FALSE))="JBL",(VLOOKUP(Table6[[#This Row],[SKU]],'All Skus'!$A:$AC,7,FALSE)),""))</f>
        <v>0</v>
      </c>
      <c r="G297" t="str">
        <f>(IF((VLOOKUP(Table6[[#This Row],[SKU]],'All Skus'!$A:$AC,2,FALSE))="JBL",(VLOOKUP(Table6[[#This Row],[SKU]],'All Skus'!$A:$AC,8,FALSE)),""))</f>
        <v>Intellivox-DS180, Amp@Bottom</v>
      </c>
      <c r="H297" s="8" t="str">
        <f>(IF((VLOOKUP(Table6[[#This Row],[SKU]],'All Skus'!$A:$AC,2,FALSE))="JBL",(VLOOKUP(Table6[[#This Row],[SKU]],'All Skus'!$A:$AC,9,FALSE)),""))</f>
        <v>Intellivox-DS180, Amp@Bottom.  Made to Order Call for availability</v>
      </c>
      <c r="I297" s="101">
        <f>(IF((VLOOKUP(Table6[[#This Row],[SKU]],'All Skus'!$A:$AC,2,FALSE))="JBL",(VLOOKUP(Table6[[#This Row],[SKU]],'All Skus'!$A:$AC,10,FALSE)),""))</f>
        <v>9463.33</v>
      </c>
      <c r="J297" s="101">
        <f>(IF((VLOOKUP(Table6[[#This Row],[SKU]],'All Skus'!$A:$AC,2,FALSE))="JBL",(VLOOKUP(Table6[[#This Row],[SKU]],'All Skus'!$A:$AC,11,FALSE)),""))</f>
        <v>9463</v>
      </c>
      <c r="K297" s="102">
        <f>(IF((VLOOKUP(Table6[[#This Row],[SKU]],'All Skus'!$A:$AC,2,FALSE))="JBL",(VLOOKUP(Table6[[#This Row],[SKU]],'All Skus'!$A:$AC,13,FALSE)),""))</f>
        <v>0</v>
      </c>
      <c r="L297" s="102">
        <f>(IF((VLOOKUP(Table6[[#This Row],[SKU]],'All Skus'!$A:$AC,2,FALSE))="JBL",(VLOOKUP(Table6[[#This Row],[SKU]],'All Skus'!$A:$AC,14,FALSE)),""))</f>
        <v>0</v>
      </c>
      <c r="M297" s="143">
        <f>(IF((VLOOKUP(Table6[[#This Row],[SKU]],'All Skus'!$A:$AC,2,FALSE))="JBL",(VLOOKUP(Table6[[#This Row],[SKU]],'All Skus'!$A:$AC,15,FALSE)),""))</f>
        <v>0</v>
      </c>
      <c r="N297" s="137">
        <f>(IF((VLOOKUP(Table6[[#This Row],[SKU]],'All Skus'!$A:$AC,2,FALSE))="JBL",(VLOOKUP(Table6[[#This Row],[SKU]],'All Skus'!$A:$AC,16,FALSE)),""))</f>
        <v>0</v>
      </c>
      <c r="O297" s="61">
        <f>(IF((VLOOKUP(Table6[[#This Row],[SKU]],'All Skus'!$A:$AC,2,FALSE))="JBL",(VLOOKUP(Table6[[#This Row],[SKU]],'All Skus'!$A:$AC,17,FALSE)),""))</f>
        <v>0</v>
      </c>
      <c r="P297" s="136">
        <f>(IF((VLOOKUP(Table6[[#This Row],[SKU]],'All Skus'!$A:$AC,2,FALSE))="JBL",(VLOOKUP(Table6[[#This Row],[SKU]],'All Skus'!$A:$AC,18,FALSE)),""))</f>
        <v>0</v>
      </c>
      <c r="Q297" s="136">
        <f>(IF((VLOOKUP(Table6[[#This Row],[SKU]],'All Skus'!$A:$AC,2,FALSE))="JBL",(VLOOKUP(Table6[[#This Row],[SKU]],'All Skus'!$A:$AC,19,FALSE)),""))</f>
        <v>0</v>
      </c>
      <c r="R297" s="136">
        <f>(IF((VLOOKUP(Table6[[#This Row],[SKU]],'All Skus'!$A:$AC,2,FALSE))="JBL",(VLOOKUP(Table6[[#This Row],[SKU]],'All Skus'!$A:$AC,20,FALSE)),""))</f>
        <v>0</v>
      </c>
      <c r="S297" s="61">
        <f>(IF((VLOOKUP(Table6[[#This Row],[SKU]],'All Skus'!$A:$AC,2,FALSE))="JBL",(VLOOKUP(Table6[[#This Row],[SKU]],'All Skus'!$A:$AC,21,FALSE)),""))</f>
        <v>0</v>
      </c>
      <c r="T297" s="61" t="str">
        <f>(IF((VLOOKUP(Table6[[#This Row],[SKU]],'All Skus'!$A:$AC,2,FALSE))="JBL",(VLOOKUP(Table6[[#This Row],[SKU]],'All Skus'!$A:$AC,22,FALSE)),""))</f>
        <v>ZZ</v>
      </c>
      <c r="U297">
        <f>(IF((VLOOKUP(Table6[[#This Row],[SKU]],'All Skus'!$A:$AC,2,FALSE))="JBL",(VLOOKUP(Table6[[#This Row],[SKU]],'All Skus'!$A:$AC,23,FALSE)),""))</f>
        <v>0</v>
      </c>
      <c r="V297" s="284" t="str">
        <f>HYPERLINK((IF((VLOOKUP(Table6[[#This Row],[SKU]],'All Skus'!$A:$AC,2,FALSE))="JBL",(VLOOKUP(Table6[[#This Row],[SKU]],'All Skus'!$A:$AC,24,FALSE)),"")))</f>
        <v/>
      </c>
      <c r="W297" s="151">
        <v>295</v>
      </c>
    </row>
    <row r="298" spans="1:23" ht="15" hidden="1" customHeight="1">
      <c r="A298" s="13" t="s">
        <v>1304</v>
      </c>
      <c r="B298" s="12" t="str">
        <f>(IF((VLOOKUP(Table6[[#This Row],[SKU]],'All Skus'!$A:$AC,2,FALSE))="JBL",(VLOOKUP(Table6[[#This Row],[SKU]],'All Skus'!$A:$AC,3,FALSE)),""))</f>
        <v>Intellivox 180 Series</v>
      </c>
      <c r="C298" s="12" t="str">
        <f>(IF((VLOOKUP(Table6[[#This Row],[SKU]],'All Skus'!$A:$AC,2,FALSE))="JBL",(VLOOKUP(Table6[[#This Row],[SKU]],'All Skus'!$A:$AC,4,FALSE)),""))</f>
        <v>IVX-587021</v>
      </c>
      <c r="D298" s="61" t="str">
        <f>(IF((VLOOKUP(Table6[[#This Row],[SKU]],'All Skus'!$A:$AC,2,FALSE))="JBL",(VLOOKUP(Table6[[#This Row],[SKU]],'All Skus'!$A:$AC,5,FALSE)),""))</f>
        <v>JBL053</v>
      </c>
      <c r="E298" s="137" t="str">
        <f>(IF((VLOOKUP(Table6[[#This Row],[SKU]],'All Skus'!$A:$AC,2,FALSE))="JBL",(VLOOKUP(Table6[[#This Row],[SKU]],'All Skus'!$A:$AC,6,FALSE)),""))</f>
        <v>YES</v>
      </c>
      <c r="F298" s="61">
        <f>(IF((VLOOKUP(Table6[[#This Row],[SKU]],'All Skus'!$A:$AC,2,FALSE))="JBL",(VLOOKUP(Table6[[#This Row],[SKU]],'All Skus'!$A:$AC,7,FALSE)),""))</f>
        <v>0</v>
      </c>
      <c r="G298" t="str">
        <f>(IF((VLOOKUP(Table6[[#This Row],[SKU]],'All Skus'!$A:$AC,2,FALSE))="JBL",(VLOOKUP(Table6[[#This Row],[SKU]],'All Skus'!$A:$AC,8,FALSE)),""))</f>
        <v>Intellivox-DS180, Amp@Top</v>
      </c>
      <c r="H298" s="8" t="str">
        <f>(IF((VLOOKUP(Table6[[#This Row],[SKU]],'All Skus'!$A:$AC,2,FALSE))="JBL",(VLOOKUP(Table6[[#This Row],[SKU]],'All Skus'!$A:$AC,9,FALSE)),""))</f>
        <v>Intellivox-DS180, Amp@Top.  Made to Order Call for availability</v>
      </c>
      <c r="I298" s="101">
        <f>(IF((VLOOKUP(Table6[[#This Row],[SKU]],'All Skus'!$A:$AC,2,FALSE))="JBL",(VLOOKUP(Table6[[#This Row],[SKU]],'All Skus'!$A:$AC,10,FALSE)),""))</f>
        <v>9463.33</v>
      </c>
      <c r="J298" s="101">
        <f>(IF((VLOOKUP(Table6[[#This Row],[SKU]],'All Skus'!$A:$AC,2,FALSE))="JBL",(VLOOKUP(Table6[[#This Row],[SKU]],'All Skus'!$A:$AC,11,FALSE)),""))</f>
        <v>9463</v>
      </c>
      <c r="K298" s="102">
        <f>(IF((VLOOKUP(Table6[[#This Row],[SKU]],'All Skus'!$A:$AC,2,FALSE))="JBL",(VLOOKUP(Table6[[#This Row],[SKU]],'All Skus'!$A:$AC,13,FALSE)),""))</f>
        <v>0</v>
      </c>
      <c r="L298" s="102">
        <f>(IF((VLOOKUP(Table6[[#This Row],[SKU]],'All Skus'!$A:$AC,2,FALSE))="JBL",(VLOOKUP(Table6[[#This Row],[SKU]],'All Skus'!$A:$AC,14,FALSE)),""))</f>
        <v>0</v>
      </c>
      <c r="M298" s="143">
        <f>(IF((VLOOKUP(Table6[[#This Row],[SKU]],'All Skus'!$A:$AC,2,FALSE))="JBL",(VLOOKUP(Table6[[#This Row],[SKU]],'All Skus'!$A:$AC,15,FALSE)),""))</f>
        <v>0</v>
      </c>
      <c r="N298" s="137">
        <f>(IF((VLOOKUP(Table6[[#This Row],[SKU]],'All Skus'!$A:$AC,2,FALSE))="JBL",(VLOOKUP(Table6[[#This Row],[SKU]],'All Skus'!$A:$AC,16,FALSE)),""))</f>
        <v>0</v>
      </c>
      <c r="O298" s="61">
        <f>(IF((VLOOKUP(Table6[[#This Row],[SKU]],'All Skus'!$A:$AC,2,FALSE))="JBL",(VLOOKUP(Table6[[#This Row],[SKU]],'All Skus'!$A:$AC,17,FALSE)),""))</f>
        <v>0</v>
      </c>
      <c r="P298" s="136">
        <f>(IF((VLOOKUP(Table6[[#This Row],[SKU]],'All Skus'!$A:$AC,2,FALSE))="JBL",(VLOOKUP(Table6[[#This Row],[SKU]],'All Skus'!$A:$AC,18,FALSE)),""))</f>
        <v>0</v>
      </c>
      <c r="Q298" s="136">
        <f>(IF((VLOOKUP(Table6[[#This Row],[SKU]],'All Skus'!$A:$AC,2,FALSE))="JBL",(VLOOKUP(Table6[[#This Row],[SKU]],'All Skus'!$A:$AC,19,FALSE)),""))</f>
        <v>0</v>
      </c>
      <c r="R298" s="136">
        <f>(IF((VLOOKUP(Table6[[#This Row],[SKU]],'All Skus'!$A:$AC,2,FALSE))="JBL",(VLOOKUP(Table6[[#This Row],[SKU]],'All Skus'!$A:$AC,20,FALSE)),""))</f>
        <v>0</v>
      </c>
      <c r="S298" s="61">
        <f>(IF((VLOOKUP(Table6[[#This Row],[SKU]],'All Skus'!$A:$AC,2,FALSE))="JBL",(VLOOKUP(Table6[[#This Row],[SKU]],'All Skus'!$A:$AC,21,FALSE)),""))</f>
        <v>0</v>
      </c>
      <c r="T298" s="61" t="str">
        <f>(IF((VLOOKUP(Table6[[#This Row],[SKU]],'All Skus'!$A:$AC,2,FALSE))="JBL",(VLOOKUP(Table6[[#This Row],[SKU]],'All Skus'!$A:$AC,22,FALSE)),""))</f>
        <v>ZZ</v>
      </c>
      <c r="U298">
        <f>(IF((VLOOKUP(Table6[[#This Row],[SKU]],'All Skus'!$A:$AC,2,FALSE))="JBL",(VLOOKUP(Table6[[#This Row],[SKU]],'All Skus'!$A:$AC,23,FALSE)),""))</f>
        <v>0</v>
      </c>
      <c r="V298" s="284" t="str">
        <f>HYPERLINK((IF((VLOOKUP(Table6[[#This Row],[SKU]],'All Skus'!$A:$AC,2,FALSE))="JBL",(VLOOKUP(Table6[[#This Row],[SKU]],'All Skus'!$A:$AC,24,FALSE)),"")))</f>
        <v/>
      </c>
      <c r="W298" s="151">
        <v>296</v>
      </c>
    </row>
    <row r="299" spans="1:23" ht="15" hidden="1" customHeight="1">
      <c r="A299" s="13" t="s">
        <v>1305</v>
      </c>
      <c r="B299" s="12" t="str">
        <f>(IF((VLOOKUP(Table6[[#This Row],[SKU]],'All Skus'!$A:$AC,2,FALSE))="JBL",(VLOOKUP(Table6[[#This Row],[SKU]],'All Skus'!$A:$AC,3,FALSE)),""))</f>
        <v>Intellivox 180 Series</v>
      </c>
      <c r="C299" s="12" t="str">
        <f>(IF((VLOOKUP(Table6[[#This Row],[SKU]],'All Skus'!$A:$AC,2,FALSE))="JBL",(VLOOKUP(Table6[[#This Row],[SKU]],'All Skus'!$A:$AC,4,FALSE)),""))</f>
        <v>IVX-587040</v>
      </c>
      <c r="D299" s="61" t="str">
        <f>(IF((VLOOKUP(Table6[[#This Row],[SKU]],'All Skus'!$A:$AC,2,FALSE))="JBL",(VLOOKUP(Table6[[#This Row],[SKU]],'All Skus'!$A:$AC,5,FALSE)),""))</f>
        <v>JBL053</v>
      </c>
      <c r="E299" s="137" t="str">
        <f>(IF((VLOOKUP(Table6[[#This Row],[SKU]],'All Skus'!$A:$AC,2,FALSE))="JBL",(VLOOKUP(Table6[[#This Row],[SKU]],'All Skus'!$A:$AC,6,FALSE)),""))</f>
        <v>YES</v>
      </c>
      <c r="F299" s="61">
        <f>(IF((VLOOKUP(Table6[[#This Row],[SKU]],'All Skus'!$A:$AC,2,FALSE))="JBL",(VLOOKUP(Table6[[#This Row],[SKU]],'All Skus'!$A:$AC,7,FALSE)),""))</f>
        <v>0</v>
      </c>
      <c r="G299" t="str">
        <f>(IF((VLOOKUP(Table6[[#This Row],[SKU]],'All Skus'!$A:$AC,2,FALSE))="JBL",(VLOOKUP(Table6[[#This Row],[SKU]],'All Skus'!$A:$AC,8,FALSE)),""))</f>
        <v>Intellivox-DSX180, Amp@Bottom</v>
      </c>
      <c r="H299" s="8" t="str">
        <f>(IF((VLOOKUP(Table6[[#This Row],[SKU]],'All Skus'!$A:$AC,2,FALSE))="JBL",(VLOOKUP(Table6[[#This Row],[SKU]],'All Skus'!$A:$AC,9,FALSE)),""))</f>
        <v>Intellivox-DSX180, Amp@Bottom.  Made to Order Call for availability</v>
      </c>
      <c r="I299" s="101">
        <f>(IF((VLOOKUP(Table6[[#This Row],[SKU]],'All Skus'!$A:$AC,2,FALSE))="JBL",(VLOOKUP(Table6[[#This Row],[SKU]],'All Skus'!$A:$AC,10,FALSE)),""))</f>
        <v>9463.33</v>
      </c>
      <c r="J299" s="101">
        <f>(IF((VLOOKUP(Table6[[#This Row],[SKU]],'All Skus'!$A:$AC,2,FALSE))="JBL",(VLOOKUP(Table6[[#This Row],[SKU]],'All Skus'!$A:$AC,11,FALSE)),""))</f>
        <v>9463</v>
      </c>
      <c r="K299" s="102">
        <f>(IF((VLOOKUP(Table6[[#This Row],[SKU]],'All Skus'!$A:$AC,2,FALSE))="JBL",(VLOOKUP(Table6[[#This Row],[SKU]],'All Skus'!$A:$AC,13,FALSE)),""))</f>
        <v>0</v>
      </c>
      <c r="L299" s="102">
        <f>(IF((VLOOKUP(Table6[[#This Row],[SKU]],'All Skus'!$A:$AC,2,FALSE))="JBL",(VLOOKUP(Table6[[#This Row],[SKU]],'All Skus'!$A:$AC,14,FALSE)),""))</f>
        <v>0</v>
      </c>
      <c r="M299" s="143">
        <f>(IF((VLOOKUP(Table6[[#This Row],[SKU]],'All Skus'!$A:$AC,2,FALSE))="JBL",(VLOOKUP(Table6[[#This Row],[SKU]],'All Skus'!$A:$AC,15,FALSE)),""))</f>
        <v>0</v>
      </c>
      <c r="N299" s="137">
        <f>(IF((VLOOKUP(Table6[[#This Row],[SKU]],'All Skus'!$A:$AC,2,FALSE))="JBL",(VLOOKUP(Table6[[#This Row],[SKU]],'All Skus'!$A:$AC,16,FALSE)),""))</f>
        <v>691991012020</v>
      </c>
      <c r="O299" s="61">
        <f>(IF((VLOOKUP(Table6[[#This Row],[SKU]],'All Skus'!$A:$AC,2,FALSE))="JBL",(VLOOKUP(Table6[[#This Row],[SKU]],'All Skus'!$A:$AC,17,FALSE)),""))</f>
        <v>0</v>
      </c>
      <c r="P299" s="136">
        <f>(IF((VLOOKUP(Table6[[#This Row],[SKU]],'All Skus'!$A:$AC,2,FALSE))="JBL",(VLOOKUP(Table6[[#This Row],[SKU]],'All Skus'!$A:$AC,18,FALSE)),""))</f>
        <v>0</v>
      </c>
      <c r="Q299" s="136">
        <f>(IF((VLOOKUP(Table6[[#This Row],[SKU]],'All Skus'!$A:$AC,2,FALSE))="JBL",(VLOOKUP(Table6[[#This Row],[SKU]],'All Skus'!$A:$AC,19,FALSE)),""))</f>
        <v>0</v>
      </c>
      <c r="R299" s="136">
        <f>(IF((VLOOKUP(Table6[[#This Row],[SKU]],'All Skus'!$A:$AC,2,FALSE))="JBL",(VLOOKUP(Table6[[#This Row],[SKU]],'All Skus'!$A:$AC,20,FALSE)),""))</f>
        <v>0</v>
      </c>
      <c r="S299" s="61">
        <f>(IF((VLOOKUP(Table6[[#This Row],[SKU]],'All Skus'!$A:$AC,2,FALSE))="JBL",(VLOOKUP(Table6[[#This Row],[SKU]],'All Skus'!$A:$AC,21,FALSE)),""))</f>
        <v>0</v>
      </c>
      <c r="T299" s="61" t="str">
        <f>(IF((VLOOKUP(Table6[[#This Row],[SKU]],'All Skus'!$A:$AC,2,FALSE))="JBL",(VLOOKUP(Table6[[#This Row],[SKU]],'All Skus'!$A:$AC,22,FALSE)),""))</f>
        <v>ZZ</v>
      </c>
      <c r="U299">
        <f>(IF((VLOOKUP(Table6[[#This Row],[SKU]],'All Skus'!$A:$AC,2,FALSE))="JBL",(VLOOKUP(Table6[[#This Row],[SKU]],'All Skus'!$A:$AC,23,FALSE)),""))</f>
        <v>0</v>
      </c>
      <c r="V299" s="284" t="str">
        <f>HYPERLINK((IF((VLOOKUP(Table6[[#This Row],[SKU]],'All Skus'!$A:$AC,2,FALSE))="JBL",(VLOOKUP(Table6[[#This Row],[SKU]],'All Skus'!$A:$AC,24,FALSE)),"")))</f>
        <v/>
      </c>
      <c r="W299" s="151">
        <v>297</v>
      </c>
    </row>
    <row r="300" spans="1:23" ht="15" hidden="1" customHeight="1">
      <c r="A300" s="13" t="s">
        <v>1306</v>
      </c>
      <c r="B300" s="12" t="str">
        <f>(IF((VLOOKUP(Table6[[#This Row],[SKU]],'All Skus'!$A:$AC,2,FALSE))="JBL",(VLOOKUP(Table6[[#This Row],[SKU]],'All Skus'!$A:$AC,3,FALSE)),""))</f>
        <v>Intellivox 280 Series Loudspeakers</v>
      </c>
      <c r="C300" s="12" t="str">
        <f>(IF((VLOOKUP(Table6[[#This Row],[SKU]],'All Skus'!$A:$AC,2,FALSE))="JBL",(VLOOKUP(Table6[[#This Row],[SKU]],'All Skus'!$A:$AC,4,FALSE)),""))</f>
        <v>IVX-587060</v>
      </c>
      <c r="D300" s="61" t="str">
        <f>(IF((VLOOKUP(Table6[[#This Row],[SKU]],'All Skus'!$A:$AC,2,FALSE))="JBL",(VLOOKUP(Table6[[#This Row],[SKU]],'All Skus'!$A:$AC,5,FALSE)),""))</f>
        <v>JBL053</v>
      </c>
      <c r="E300" s="137" t="str">
        <f>(IF((VLOOKUP(Table6[[#This Row],[SKU]],'All Skus'!$A:$AC,2,FALSE))="JBL",(VLOOKUP(Table6[[#This Row],[SKU]],'All Skus'!$A:$AC,6,FALSE)),""))</f>
        <v>YES</v>
      </c>
      <c r="F300" s="61">
        <f>(IF((VLOOKUP(Table6[[#This Row],[SKU]],'All Skus'!$A:$AC,2,FALSE))="JBL",(VLOOKUP(Table6[[#This Row],[SKU]],'All Skus'!$A:$AC,7,FALSE)),""))</f>
        <v>0</v>
      </c>
      <c r="G300" t="str">
        <f>(IF((VLOOKUP(Table6[[#This Row],[SKU]],'All Skus'!$A:$AC,2,FALSE))="JBL",(VLOOKUP(Table6[[#This Row],[SKU]],'All Skus'!$A:$AC,8,FALSE)),""))</f>
        <v>Intellivox-DS280, Amp@Bottom</v>
      </c>
      <c r="H300" s="8" t="str">
        <f>(IF((VLOOKUP(Table6[[#This Row],[SKU]],'All Skus'!$A:$AC,2,FALSE))="JBL",(VLOOKUP(Table6[[#This Row],[SKU]],'All Skus'!$A:$AC,9,FALSE)),""))</f>
        <v>Intellivox-DS280, Amp@Bottom.  Made to Order Call for availability</v>
      </c>
      <c r="I300" s="101">
        <f>(IF((VLOOKUP(Table6[[#This Row],[SKU]],'All Skus'!$A:$AC,2,FALSE))="JBL",(VLOOKUP(Table6[[#This Row],[SKU]],'All Skus'!$A:$AC,10,FALSE)),""))</f>
        <v>12830.57</v>
      </c>
      <c r="J300" s="101">
        <f>(IF((VLOOKUP(Table6[[#This Row],[SKU]],'All Skus'!$A:$AC,2,FALSE))="JBL",(VLOOKUP(Table6[[#This Row],[SKU]],'All Skus'!$A:$AC,11,FALSE)),""))</f>
        <v>12830</v>
      </c>
      <c r="K300" s="102">
        <f>(IF((VLOOKUP(Table6[[#This Row],[SKU]],'All Skus'!$A:$AC,2,FALSE))="JBL",(VLOOKUP(Table6[[#This Row],[SKU]],'All Skus'!$A:$AC,13,FALSE)),""))</f>
        <v>0</v>
      </c>
      <c r="L300" s="102">
        <f>(IF((VLOOKUP(Table6[[#This Row],[SKU]],'All Skus'!$A:$AC,2,FALSE))="JBL",(VLOOKUP(Table6[[#This Row],[SKU]],'All Skus'!$A:$AC,14,FALSE)),""))</f>
        <v>0</v>
      </c>
      <c r="M300" s="143">
        <f>(IF((VLOOKUP(Table6[[#This Row],[SKU]],'All Skus'!$A:$AC,2,FALSE))="JBL",(VLOOKUP(Table6[[#This Row],[SKU]],'All Skus'!$A:$AC,15,FALSE)),""))</f>
        <v>0</v>
      </c>
      <c r="N300" s="137">
        <f>(IF((VLOOKUP(Table6[[#This Row],[SKU]],'All Skus'!$A:$AC,2,FALSE))="JBL",(VLOOKUP(Table6[[#This Row],[SKU]],'All Skus'!$A:$AC,16,FALSE)),""))</f>
        <v>691991035944</v>
      </c>
      <c r="O300" s="61">
        <f>(IF((VLOOKUP(Table6[[#This Row],[SKU]],'All Skus'!$A:$AC,2,FALSE))="JBL",(VLOOKUP(Table6[[#This Row],[SKU]],'All Skus'!$A:$AC,17,FALSE)),""))</f>
        <v>0</v>
      </c>
      <c r="P300" s="136">
        <f>(IF((VLOOKUP(Table6[[#This Row],[SKU]],'All Skus'!$A:$AC,2,FALSE))="JBL",(VLOOKUP(Table6[[#This Row],[SKU]],'All Skus'!$A:$AC,18,FALSE)),""))</f>
        <v>0</v>
      </c>
      <c r="Q300" s="136">
        <f>(IF((VLOOKUP(Table6[[#This Row],[SKU]],'All Skus'!$A:$AC,2,FALSE))="JBL",(VLOOKUP(Table6[[#This Row],[SKU]],'All Skus'!$A:$AC,19,FALSE)),""))</f>
        <v>0</v>
      </c>
      <c r="R300" s="136">
        <f>(IF((VLOOKUP(Table6[[#This Row],[SKU]],'All Skus'!$A:$AC,2,FALSE))="JBL",(VLOOKUP(Table6[[#This Row],[SKU]],'All Skus'!$A:$AC,20,FALSE)),""))</f>
        <v>0</v>
      </c>
      <c r="S300" s="61">
        <f>(IF((VLOOKUP(Table6[[#This Row],[SKU]],'All Skus'!$A:$AC,2,FALSE))="JBL",(VLOOKUP(Table6[[#This Row],[SKU]],'All Skus'!$A:$AC,21,FALSE)),""))</f>
        <v>0</v>
      </c>
      <c r="T300" s="61" t="str">
        <f>(IF((VLOOKUP(Table6[[#This Row],[SKU]],'All Skus'!$A:$AC,2,FALSE))="JBL",(VLOOKUP(Table6[[#This Row],[SKU]],'All Skus'!$A:$AC,22,FALSE)),""))</f>
        <v>ZZ</v>
      </c>
      <c r="U300">
        <f>(IF((VLOOKUP(Table6[[#This Row],[SKU]],'All Skus'!$A:$AC,2,FALSE))="JBL",(VLOOKUP(Table6[[#This Row],[SKU]],'All Skus'!$A:$AC,23,FALSE)),""))</f>
        <v>0</v>
      </c>
      <c r="V300" s="284" t="str">
        <f>HYPERLINK((IF((VLOOKUP(Table6[[#This Row],[SKU]],'All Skus'!$A:$AC,2,FALSE))="JBL",(VLOOKUP(Table6[[#This Row],[SKU]],'All Skus'!$A:$AC,24,FALSE)),"")))</f>
        <v/>
      </c>
      <c r="W300" s="151">
        <v>298</v>
      </c>
    </row>
    <row r="301" spans="1:23" ht="15" hidden="1" customHeight="1">
      <c r="A301" s="13" t="s">
        <v>1307</v>
      </c>
      <c r="B301" s="12" t="str">
        <f>(IF((VLOOKUP(Table6[[#This Row],[SKU]],'All Skus'!$A:$AC,2,FALSE))="JBL",(VLOOKUP(Table6[[#This Row],[SKU]],'All Skus'!$A:$AC,3,FALSE)),""))</f>
        <v>Intellivox 280 Series Loudspeakers</v>
      </c>
      <c r="C301" s="12" t="str">
        <f>(IF((VLOOKUP(Table6[[#This Row],[SKU]],'All Skus'!$A:$AC,2,FALSE))="JBL",(VLOOKUP(Table6[[#This Row],[SKU]],'All Skus'!$A:$AC,4,FALSE)),""))</f>
        <v>IVX-587061</v>
      </c>
      <c r="D301" s="61">
        <f>(IF((VLOOKUP(Table6[[#This Row],[SKU]],'All Skus'!$A:$AC,2,FALSE))="JBL",(VLOOKUP(Table6[[#This Row],[SKU]],'All Skus'!$A:$AC,5,FALSE)),""))</f>
        <v>0</v>
      </c>
      <c r="E301" s="137" t="str">
        <f>(IF((VLOOKUP(Table6[[#This Row],[SKU]],'All Skus'!$A:$AC,2,FALSE))="JBL",(VLOOKUP(Table6[[#This Row],[SKU]],'All Skus'!$A:$AC,6,FALSE)),""))</f>
        <v>YES</v>
      </c>
      <c r="F301" s="61">
        <f>(IF((VLOOKUP(Table6[[#This Row],[SKU]],'All Skus'!$A:$AC,2,FALSE))="JBL",(VLOOKUP(Table6[[#This Row],[SKU]],'All Skus'!$A:$AC,7,FALSE)),""))</f>
        <v>0</v>
      </c>
      <c r="G301" t="str">
        <f>(IF((VLOOKUP(Table6[[#This Row],[SKU]],'All Skus'!$A:$AC,2,FALSE))="JBL",(VLOOKUP(Table6[[#This Row],[SKU]],'All Skus'!$A:$AC,8,FALSE)),""))</f>
        <v>Intellivox-DS280, Amp@Top</v>
      </c>
      <c r="H301" s="8" t="str">
        <f>(IF((VLOOKUP(Table6[[#This Row],[SKU]],'All Skus'!$A:$AC,2,FALSE))="JBL",(VLOOKUP(Table6[[#This Row],[SKU]],'All Skus'!$A:$AC,9,FALSE)),""))</f>
        <v>Intellivox-DS280, Amp@Top.  Made to Order Call for availability</v>
      </c>
      <c r="I301" s="101">
        <f>(IF((VLOOKUP(Table6[[#This Row],[SKU]],'All Skus'!$A:$AC,2,FALSE))="JBL",(VLOOKUP(Table6[[#This Row],[SKU]],'All Skus'!$A:$AC,10,FALSE)),""))</f>
        <v>12830.97</v>
      </c>
      <c r="J301" s="101">
        <f>(IF((VLOOKUP(Table6[[#This Row],[SKU]],'All Skus'!$A:$AC,2,FALSE))="JBL",(VLOOKUP(Table6[[#This Row],[SKU]],'All Skus'!$A:$AC,11,FALSE)),""))</f>
        <v>0</v>
      </c>
      <c r="K301" s="102">
        <f>(IF((VLOOKUP(Table6[[#This Row],[SKU]],'All Skus'!$A:$AC,2,FALSE))="JBL",(VLOOKUP(Table6[[#This Row],[SKU]],'All Skus'!$A:$AC,13,FALSE)),""))</f>
        <v>0</v>
      </c>
      <c r="L301" s="102">
        <f>(IF((VLOOKUP(Table6[[#This Row],[SKU]],'All Skus'!$A:$AC,2,FALSE))="JBL",(VLOOKUP(Table6[[#This Row],[SKU]],'All Skus'!$A:$AC,14,FALSE)),""))</f>
        <v>0</v>
      </c>
      <c r="M301" s="143">
        <f>(IF((VLOOKUP(Table6[[#This Row],[SKU]],'All Skus'!$A:$AC,2,FALSE))="JBL",(VLOOKUP(Table6[[#This Row],[SKU]],'All Skus'!$A:$AC,15,FALSE)),""))</f>
        <v>0</v>
      </c>
      <c r="N301" s="137">
        <f>(IF((VLOOKUP(Table6[[#This Row],[SKU]],'All Skus'!$A:$AC,2,FALSE))="JBL",(VLOOKUP(Table6[[#This Row],[SKU]],'All Skus'!$A:$AC,16,FALSE)),""))</f>
        <v>691991035968</v>
      </c>
      <c r="O301" s="61">
        <f>(IF((VLOOKUP(Table6[[#This Row],[SKU]],'All Skus'!$A:$AC,2,FALSE))="JBL",(VLOOKUP(Table6[[#This Row],[SKU]],'All Skus'!$A:$AC,17,FALSE)),""))</f>
        <v>0</v>
      </c>
      <c r="P301" s="136">
        <f>(IF((VLOOKUP(Table6[[#This Row],[SKU]],'All Skus'!$A:$AC,2,FALSE))="JBL",(VLOOKUP(Table6[[#This Row],[SKU]],'All Skus'!$A:$AC,18,FALSE)),""))</f>
        <v>0</v>
      </c>
      <c r="Q301" s="136">
        <f>(IF((VLOOKUP(Table6[[#This Row],[SKU]],'All Skus'!$A:$AC,2,FALSE))="JBL",(VLOOKUP(Table6[[#This Row],[SKU]],'All Skus'!$A:$AC,19,FALSE)),""))</f>
        <v>0</v>
      </c>
      <c r="R301" s="136">
        <f>(IF((VLOOKUP(Table6[[#This Row],[SKU]],'All Skus'!$A:$AC,2,FALSE))="JBL",(VLOOKUP(Table6[[#This Row],[SKU]],'All Skus'!$A:$AC,20,FALSE)),""))</f>
        <v>0</v>
      </c>
      <c r="S301" s="61">
        <f>(IF((VLOOKUP(Table6[[#This Row],[SKU]],'All Skus'!$A:$AC,2,FALSE))="JBL",(VLOOKUP(Table6[[#This Row],[SKU]],'All Skus'!$A:$AC,21,FALSE)),""))</f>
        <v>0</v>
      </c>
      <c r="T301" s="61" t="str">
        <f>(IF((VLOOKUP(Table6[[#This Row],[SKU]],'All Skus'!$A:$AC,2,FALSE))="JBL",(VLOOKUP(Table6[[#This Row],[SKU]],'All Skus'!$A:$AC,22,FALSE)),""))</f>
        <v>ZZ</v>
      </c>
      <c r="U301">
        <f>(IF((VLOOKUP(Table6[[#This Row],[SKU]],'All Skus'!$A:$AC,2,FALSE))="JBL",(VLOOKUP(Table6[[#This Row],[SKU]],'All Skus'!$A:$AC,23,FALSE)),""))</f>
        <v>0</v>
      </c>
      <c r="V301" s="284" t="str">
        <f>HYPERLINK((IF((VLOOKUP(Table6[[#This Row],[SKU]],'All Skus'!$A:$AC,2,FALSE))="JBL",(VLOOKUP(Table6[[#This Row],[SKU]],'All Skus'!$A:$AC,24,FALSE)),"")))</f>
        <v/>
      </c>
      <c r="W301" s="151">
        <v>299</v>
      </c>
    </row>
    <row r="302" spans="1:23" ht="15" hidden="1" customHeight="1">
      <c r="A302" s="13" t="s">
        <v>1308</v>
      </c>
      <c r="B302" s="12" t="str">
        <f>(IF((VLOOKUP(Table6[[#This Row],[SKU]],'All Skus'!$A:$AC,2,FALSE))="JBL",(VLOOKUP(Table6[[#This Row],[SKU]],'All Skus'!$A:$AC,3,FALSE)),""))</f>
        <v>Intellivox 180 Series</v>
      </c>
      <c r="C302" s="12" t="str">
        <f>(IF((VLOOKUP(Table6[[#This Row],[SKU]],'All Skus'!$A:$AC,2,FALSE))="JBL",(VLOOKUP(Table6[[#This Row],[SKU]],'All Skus'!$A:$AC,4,FALSE)),""))</f>
        <v>IVX-587041</v>
      </c>
      <c r="D302" s="61" t="str">
        <f>(IF((VLOOKUP(Table6[[#This Row],[SKU]],'All Skus'!$A:$AC,2,FALSE))="JBL",(VLOOKUP(Table6[[#This Row],[SKU]],'All Skus'!$A:$AC,5,FALSE)),""))</f>
        <v>JBL053</v>
      </c>
      <c r="E302" s="137" t="str">
        <f>(IF((VLOOKUP(Table6[[#This Row],[SKU]],'All Skus'!$A:$AC,2,FALSE))="JBL",(VLOOKUP(Table6[[#This Row],[SKU]],'All Skus'!$A:$AC,6,FALSE)),""))</f>
        <v>YES</v>
      </c>
      <c r="F302" s="61">
        <f>(IF((VLOOKUP(Table6[[#This Row],[SKU]],'All Skus'!$A:$AC,2,FALSE))="JBL",(VLOOKUP(Table6[[#This Row],[SKU]],'All Skus'!$A:$AC,7,FALSE)),""))</f>
        <v>0</v>
      </c>
      <c r="G302" t="str">
        <f>(IF((VLOOKUP(Table6[[#This Row],[SKU]],'All Skus'!$A:$AC,2,FALSE))="JBL",(VLOOKUP(Table6[[#This Row],[SKU]],'All Skus'!$A:$AC,8,FALSE)),""))</f>
        <v>Intellivox-DSX180, Amp@Top</v>
      </c>
      <c r="H302" s="8" t="str">
        <f>(IF((VLOOKUP(Table6[[#This Row],[SKU]],'All Skus'!$A:$AC,2,FALSE))="JBL",(VLOOKUP(Table6[[#This Row],[SKU]],'All Skus'!$A:$AC,9,FALSE)),""))</f>
        <v>Intellivox-DSX180, Amp@Top.  Made to Order Call for availability</v>
      </c>
      <c r="I302" s="101">
        <f>(IF((VLOOKUP(Table6[[#This Row],[SKU]],'All Skus'!$A:$AC,2,FALSE))="JBL",(VLOOKUP(Table6[[#This Row],[SKU]],'All Skus'!$A:$AC,10,FALSE)),""))</f>
        <v>9463.33</v>
      </c>
      <c r="J302" s="101">
        <f>(IF((VLOOKUP(Table6[[#This Row],[SKU]],'All Skus'!$A:$AC,2,FALSE))="JBL",(VLOOKUP(Table6[[#This Row],[SKU]],'All Skus'!$A:$AC,11,FALSE)),""))</f>
        <v>9463</v>
      </c>
      <c r="K302" s="102">
        <f>(IF((VLOOKUP(Table6[[#This Row],[SKU]],'All Skus'!$A:$AC,2,FALSE))="JBL",(VLOOKUP(Table6[[#This Row],[SKU]],'All Skus'!$A:$AC,13,FALSE)),""))</f>
        <v>0</v>
      </c>
      <c r="L302" s="102">
        <f>(IF((VLOOKUP(Table6[[#This Row],[SKU]],'All Skus'!$A:$AC,2,FALSE))="JBL",(VLOOKUP(Table6[[#This Row],[SKU]],'All Skus'!$A:$AC,14,FALSE)),""))</f>
        <v>0</v>
      </c>
      <c r="M302" s="143">
        <f>(IF((VLOOKUP(Table6[[#This Row],[SKU]],'All Skus'!$A:$AC,2,FALSE))="JBL",(VLOOKUP(Table6[[#This Row],[SKU]],'All Skus'!$A:$AC,15,FALSE)),""))</f>
        <v>0</v>
      </c>
      <c r="N302" s="137">
        <f>(IF((VLOOKUP(Table6[[#This Row],[SKU]],'All Skus'!$A:$AC,2,FALSE))="JBL",(VLOOKUP(Table6[[#This Row],[SKU]],'All Skus'!$A:$AC,16,FALSE)),""))</f>
        <v>691991012037</v>
      </c>
      <c r="O302" s="61">
        <f>(IF((VLOOKUP(Table6[[#This Row],[SKU]],'All Skus'!$A:$AC,2,FALSE))="JBL",(VLOOKUP(Table6[[#This Row],[SKU]],'All Skus'!$A:$AC,17,FALSE)),""))</f>
        <v>0</v>
      </c>
      <c r="P302" s="136">
        <f>(IF((VLOOKUP(Table6[[#This Row],[SKU]],'All Skus'!$A:$AC,2,FALSE))="JBL",(VLOOKUP(Table6[[#This Row],[SKU]],'All Skus'!$A:$AC,18,FALSE)),""))</f>
        <v>0</v>
      </c>
      <c r="Q302" s="136">
        <f>(IF((VLOOKUP(Table6[[#This Row],[SKU]],'All Skus'!$A:$AC,2,FALSE))="JBL",(VLOOKUP(Table6[[#This Row],[SKU]],'All Skus'!$A:$AC,19,FALSE)),""))</f>
        <v>0</v>
      </c>
      <c r="R302" s="136">
        <f>(IF((VLOOKUP(Table6[[#This Row],[SKU]],'All Skus'!$A:$AC,2,FALSE))="JBL",(VLOOKUP(Table6[[#This Row],[SKU]],'All Skus'!$A:$AC,20,FALSE)),""))</f>
        <v>0</v>
      </c>
      <c r="S302" s="61">
        <f>(IF((VLOOKUP(Table6[[#This Row],[SKU]],'All Skus'!$A:$AC,2,FALSE))="JBL",(VLOOKUP(Table6[[#This Row],[SKU]],'All Skus'!$A:$AC,21,FALSE)),""))</f>
        <v>0</v>
      </c>
      <c r="T302" s="61" t="str">
        <f>(IF((VLOOKUP(Table6[[#This Row],[SKU]],'All Skus'!$A:$AC,2,FALSE))="JBL",(VLOOKUP(Table6[[#This Row],[SKU]],'All Skus'!$A:$AC,22,FALSE)),""))</f>
        <v>ZZ</v>
      </c>
      <c r="U302">
        <f>(IF((VLOOKUP(Table6[[#This Row],[SKU]],'All Skus'!$A:$AC,2,FALSE))="JBL",(VLOOKUP(Table6[[#This Row],[SKU]],'All Skus'!$A:$AC,23,FALSE)),""))</f>
        <v>0</v>
      </c>
      <c r="V302" s="284" t="str">
        <f>HYPERLINK((IF((VLOOKUP(Table6[[#This Row],[SKU]],'All Skus'!$A:$AC,2,FALSE))="JBL",(VLOOKUP(Table6[[#This Row],[SKU]],'All Skus'!$A:$AC,24,FALSE)),"")))</f>
        <v/>
      </c>
      <c r="W302" s="151">
        <v>300</v>
      </c>
    </row>
    <row r="303" spans="1:23" ht="15" hidden="1" customHeight="1">
      <c r="A303" s="13" t="s">
        <v>1309</v>
      </c>
      <c r="B303" s="12" t="str">
        <f>(IF((VLOOKUP(Table6[[#This Row],[SKU]],'All Skus'!$A:$AC,2,FALSE))="JBL",(VLOOKUP(Table6[[#This Row],[SKU]],'All Skus'!$A:$AC,3,FALSE)),""))</f>
        <v>Intellivox 430 Series</v>
      </c>
      <c r="C303" s="12" t="str">
        <f>(IF((VLOOKUP(Table6[[#This Row],[SKU]],'All Skus'!$A:$AC,2,FALSE))="JBL",(VLOOKUP(Table6[[#This Row],[SKU]],'All Skus'!$A:$AC,4,FALSE)),""))</f>
        <v>IVX-587120</v>
      </c>
      <c r="D303" s="61" t="str">
        <f>(IF((VLOOKUP(Table6[[#This Row],[SKU]],'All Skus'!$A:$AC,2,FALSE))="JBL",(VLOOKUP(Table6[[#This Row],[SKU]],'All Skus'!$A:$AC,5,FALSE)),""))</f>
        <v>JBL053</v>
      </c>
      <c r="E303" s="137" t="str">
        <f>(IF((VLOOKUP(Table6[[#This Row],[SKU]],'All Skus'!$A:$AC,2,FALSE))="JBL",(VLOOKUP(Table6[[#This Row],[SKU]],'All Skus'!$A:$AC,6,FALSE)),""))</f>
        <v>YES</v>
      </c>
      <c r="F303" s="61">
        <f>(IF((VLOOKUP(Table6[[#This Row],[SKU]],'All Skus'!$A:$AC,2,FALSE))="JBL",(VLOOKUP(Table6[[#This Row],[SKU]],'All Skus'!$A:$AC,7,FALSE)),""))</f>
        <v>0</v>
      </c>
      <c r="G303" t="str">
        <f>(IF((VLOOKUP(Table6[[#This Row],[SKU]],'All Skus'!$A:$AC,2,FALSE))="JBL",(VLOOKUP(Table6[[#This Row],[SKU]],'All Skus'!$A:$AC,8,FALSE)),""))</f>
        <v>Intellivox-DS430, Amp@Bottom</v>
      </c>
      <c r="H303" s="8" t="str">
        <f>(IF((VLOOKUP(Table6[[#This Row],[SKU]],'All Skus'!$A:$AC,2,FALSE))="JBL",(VLOOKUP(Table6[[#This Row],[SKU]],'All Skus'!$A:$AC,9,FALSE)),""))</f>
        <v>Intellivox-DS430, Amp@Bottom.  Made to Order Call for availability</v>
      </c>
      <c r="I303" s="101">
        <f>(IF((VLOOKUP(Table6[[#This Row],[SKU]],'All Skus'!$A:$AC,2,FALSE))="JBL",(VLOOKUP(Table6[[#This Row],[SKU]],'All Skus'!$A:$AC,10,FALSE)),""))</f>
        <v>22434.32</v>
      </c>
      <c r="J303" s="101">
        <f>(IF((VLOOKUP(Table6[[#This Row],[SKU]],'All Skus'!$A:$AC,2,FALSE))="JBL",(VLOOKUP(Table6[[#This Row],[SKU]],'All Skus'!$A:$AC,11,FALSE)),""))</f>
        <v>22434</v>
      </c>
      <c r="K303" s="102">
        <f>(IF((VLOOKUP(Table6[[#This Row],[SKU]],'All Skus'!$A:$AC,2,FALSE))="JBL",(VLOOKUP(Table6[[#This Row],[SKU]],'All Skus'!$A:$AC,13,FALSE)),""))</f>
        <v>0</v>
      </c>
      <c r="L303" s="102">
        <f>(IF((VLOOKUP(Table6[[#This Row],[SKU]],'All Skus'!$A:$AC,2,FALSE))="JBL",(VLOOKUP(Table6[[#This Row],[SKU]],'All Skus'!$A:$AC,14,FALSE)),""))</f>
        <v>0</v>
      </c>
      <c r="M303" s="143">
        <f>(IF((VLOOKUP(Table6[[#This Row],[SKU]],'All Skus'!$A:$AC,2,FALSE))="JBL",(VLOOKUP(Table6[[#This Row],[SKU]],'All Skus'!$A:$AC,15,FALSE)),""))</f>
        <v>0</v>
      </c>
      <c r="N303" s="137">
        <f>(IF((VLOOKUP(Table6[[#This Row],[SKU]],'All Skus'!$A:$AC,2,FALSE))="JBL",(VLOOKUP(Table6[[#This Row],[SKU]],'All Skus'!$A:$AC,16,FALSE)),""))</f>
        <v>0</v>
      </c>
      <c r="O303" s="61">
        <f>(IF((VLOOKUP(Table6[[#This Row],[SKU]],'All Skus'!$A:$AC,2,FALSE))="JBL",(VLOOKUP(Table6[[#This Row],[SKU]],'All Skus'!$A:$AC,17,FALSE)),""))</f>
        <v>0</v>
      </c>
      <c r="P303" s="136">
        <f>(IF((VLOOKUP(Table6[[#This Row],[SKU]],'All Skus'!$A:$AC,2,FALSE))="JBL",(VLOOKUP(Table6[[#This Row],[SKU]],'All Skus'!$A:$AC,18,FALSE)),""))</f>
        <v>0</v>
      </c>
      <c r="Q303" s="136">
        <f>(IF((VLOOKUP(Table6[[#This Row],[SKU]],'All Skus'!$A:$AC,2,FALSE))="JBL",(VLOOKUP(Table6[[#This Row],[SKU]],'All Skus'!$A:$AC,19,FALSE)),""))</f>
        <v>0</v>
      </c>
      <c r="R303" s="136">
        <f>(IF((VLOOKUP(Table6[[#This Row],[SKU]],'All Skus'!$A:$AC,2,FALSE))="JBL",(VLOOKUP(Table6[[#This Row],[SKU]],'All Skus'!$A:$AC,20,FALSE)),""))</f>
        <v>0</v>
      </c>
      <c r="S303" s="61">
        <f>(IF((VLOOKUP(Table6[[#This Row],[SKU]],'All Skus'!$A:$AC,2,FALSE))="JBL",(VLOOKUP(Table6[[#This Row],[SKU]],'All Skus'!$A:$AC,21,FALSE)),""))</f>
        <v>0</v>
      </c>
      <c r="T303" s="61" t="str">
        <f>(IF((VLOOKUP(Table6[[#This Row],[SKU]],'All Skus'!$A:$AC,2,FALSE))="JBL",(VLOOKUP(Table6[[#This Row],[SKU]],'All Skus'!$A:$AC,22,FALSE)),""))</f>
        <v>ZZ</v>
      </c>
      <c r="U303">
        <f>(IF((VLOOKUP(Table6[[#This Row],[SKU]],'All Skus'!$A:$AC,2,FALSE))="JBL",(VLOOKUP(Table6[[#This Row],[SKU]],'All Skus'!$A:$AC,23,FALSE)),""))</f>
        <v>0</v>
      </c>
      <c r="V303" s="284" t="str">
        <f>HYPERLINK((IF((VLOOKUP(Table6[[#This Row],[SKU]],'All Skus'!$A:$AC,2,FALSE))="JBL",(VLOOKUP(Table6[[#This Row],[SKU]],'All Skus'!$A:$AC,24,FALSE)),"")))</f>
        <v/>
      </c>
      <c r="W303" s="151">
        <v>301</v>
      </c>
    </row>
    <row r="304" spans="1:23" ht="15" hidden="1" customHeight="1">
      <c r="A304" s="13" t="s">
        <v>1310</v>
      </c>
      <c r="B304" s="12" t="str">
        <f>(IF((VLOOKUP(Table6[[#This Row],[SKU]],'All Skus'!$A:$AC,2,FALSE))="JBL",(VLOOKUP(Table6[[#This Row],[SKU]],'All Skus'!$A:$AC,3,FALSE)),""))</f>
        <v>Intellivox 430 Series</v>
      </c>
      <c r="C304" s="12" t="str">
        <f>(IF((VLOOKUP(Table6[[#This Row],[SKU]],'All Skus'!$A:$AC,2,FALSE))="JBL",(VLOOKUP(Table6[[#This Row],[SKU]],'All Skus'!$A:$AC,4,FALSE)),""))</f>
        <v>IVX-587121</v>
      </c>
      <c r="D304" s="61">
        <f>(IF((VLOOKUP(Table6[[#This Row],[SKU]],'All Skus'!$A:$AC,2,FALSE))="JBL",(VLOOKUP(Table6[[#This Row],[SKU]],'All Skus'!$A:$AC,5,FALSE)),""))</f>
        <v>0</v>
      </c>
      <c r="E304" s="137" t="str">
        <f>(IF((VLOOKUP(Table6[[#This Row],[SKU]],'All Skus'!$A:$AC,2,FALSE))="JBL",(VLOOKUP(Table6[[#This Row],[SKU]],'All Skus'!$A:$AC,6,FALSE)),""))</f>
        <v>YES</v>
      </c>
      <c r="F304" s="61">
        <f>(IF((VLOOKUP(Table6[[#This Row],[SKU]],'All Skus'!$A:$AC,2,FALSE))="JBL",(VLOOKUP(Table6[[#This Row],[SKU]],'All Skus'!$A:$AC,7,FALSE)),""))</f>
        <v>0</v>
      </c>
      <c r="G304" t="str">
        <f>(IF((VLOOKUP(Table6[[#This Row],[SKU]],'All Skus'!$A:$AC,2,FALSE))="JBL",(VLOOKUP(Table6[[#This Row],[SKU]],'All Skus'!$A:$AC,8,FALSE)),""))</f>
        <v>Intellivox-DS430, Amp@Top</v>
      </c>
      <c r="H304" s="8" t="str">
        <f>(IF((VLOOKUP(Table6[[#This Row],[SKU]],'All Skus'!$A:$AC,2,FALSE))="JBL",(VLOOKUP(Table6[[#This Row],[SKU]],'All Skus'!$A:$AC,9,FALSE)),""))</f>
        <v>Intellivox-DS430, Amp@Top.  Made to Order Call for availability</v>
      </c>
      <c r="I304" s="101">
        <f>(IF((VLOOKUP(Table6[[#This Row],[SKU]],'All Skus'!$A:$AC,2,FALSE))="JBL",(VLOOKUP(Table6[[#This Row],[SKU]],'All Skus'!$A:$AC,10,FALSE)),""))</f>
        <v>22434.32</v>
      </c>
      <c r="J304" s="101">
        <f>(IF((VLOOKUP(Table6[[#This Row],[SKU]],'All Skus'!$A:$AC,2,FALSE))="JBL",(VLOOKUP(Table6[[#This Row],[SKU]],'All Skus'!$A:$AC,11,FALSE)),""))</f>
        <v>22434</v>
      </c>
      <c r="K304" s="102">
        <f>(IF((VLOOKUP(Table6[[#This Row],[SKU]],'All Skus'!$A:$AC,2,FALSE))="JBL",(VLOOKUP(Table6[[#This Row],[SKU]],'All Skus'!$A:$AC,13,FALSE)),""))</f>
        <v>0</v>
      </c>
      <c r="L304" s="102">
        <f>(IF((VLOOKUP(Table6[[#This Row],[SKU]],'All Skus'!$A:$AC,2,FALSE))="JBL",(VLOOKUP(Table6[[#This Row],[SKU]],'All Skus'!$A:$AC,14,FALSE)),""))</f>
        <v>0</v>
      </c>
      <c r="M304" s="143">
        <f>(IF((VLOOKUP(Table6[[#This Row],[SKU]],'All Skus'!$A:$AC,2,FALSE))="JBL",(VLOOKUP(Table6[[#This Row],[SKU]],'All Skus'!$A:$AC,15,FALSE)),""))</f>
        <v>0</v>
      </c>
      <c r="N304" s="137">
        <f>(IF((VLOOKUP(Table6[[#This Row],[SKU]],'All Skus'!$A:$AC,2,FALSE))="JBL",(VLOOKUP(Table6[[#This Row],[SKU]],'All Skus'!$A:$AC,16,FALSE)),""))</f>
        <v>0</v>
      </c>
      <c r="O304" s="61">
        <f>(IF((VLOOKUP(Table6[[#This Row],[SKU]],'All Skus'!$A:$AC,2,FALSE))="JBL",(VLOOKUP(Table6[[#This Row],[SKU]],'All Skus'!$A:$AC,17,FALSE)),""))</f>
        <v>0</v>
      </c>
      <c r="P304" s="136">
        <f>(IF((VLOOKUP(Table6[[#This Row],[SKU]],'All Skus'!$A:$AC,2,FALSE))="JBL",(VLOOKUP(Table6[[#This Row],[SKU]],'All Skus'!$A:$AC,18,FALSE)),""))</f>
        <v>0</v>
      </c>
      <c r="Q304" s="136">
        <f>(IF((VLOOKUP(Table6[[#This Row],[SKU]],'All Skus'!$A:$AC,2,FALSE))="JBL",(VLOOKUP(Table6[[#This Row],[SKU]],'All Skus'!$A:$AC,19,FALSE)),""))</f>
        <v>0</v>
      </c>
      <c r="R304" s="136">
        <f>(IF((VLOOKUP(Table6[[#This Row],[SKU]],'All Skus'!$A:$AC,2,FALSE))="JBL",(VLOOKUP(Table6[[#This Row],[SKU]],'All Skus'!$A:$AC,20,FALSE)),""))</f>
        <v>0</v>
      </c>
      <c r="S304" s="61">
        <f>(IF((VLOOKUP(Table6[[#This Row],[SKU]],'All Skus'!$A:$AC,2,FALSE))="JBL",(VLOOKUP(Table6[[#This Row],[SKU]],'All Skus'!$A:$AC,21,FALSE)),""))</f>
        <v>0</v>
      </c>
      <c r="T304" s="61" t="str">
        <f>(IF((VLOOKUP(Table6[[#This Row],[SKU]],'All Skus'!$A:$AC,2,FALSE))="JBL",(VLOOKUP(Table6[[#This Row],[SKU]],'All Skus'!$A:$AC,22,FALSE)),""))</f>
        <v>ZZ</v>
      </c>
      <c r="U304">
        <f>(IF((VLOOKUP(Table6[[#This Row],[SKU]],'All Skus'!$A:$AC,2,FALSE))="JBL",(VLOOKUP(Table6[[#This Row],[SKU]],'All Skus'!$A:$AC,23,FALSE)),""))</f>
        <v>0</v>
      </c>
      <c r="V304" s="284" t="str">
        <f>HYPERLINK((IF((VLOOKUP(Table6[[#This Row],[SKU]],'All Skus'!$A:$AC,2,FALSE))="JBL",(VLOOKUP(Table6[[#This Row],[SKU]],'All Skus'!$A:$AC,24,FALSE)),"")))</f>
        <v/>
      </c>
      <c r="W304" s="151">
        <v>302</v>
      </c>
    </row>
    <row r="305" spans="1:23" ht="15" hidden="1" customHeight="1">
      <c r="A305" s="13" t="s">
        <v>1311</v>
      </c>
      <c r="B305" s="12" t="str">
        <f>(IF((VLOOKUP(Table6[[#This Row],[SKU]],'All Skus'!$A:$AC,2,FALSE))="JBL",(VLOOKUP(Table6[[#This Row],[SKU]],'All Skus'!$A:$AC,3,FALSE)),""))</f>
        <v>Intellivox 430 Series</v>
      </c>
      <c r="C305" s="12" t="str">
        <f>(IF((VLOOKUP(Table6[[#This Row],[SKU]],'All Skus'!$A:$AC,2,FALSE))="JBL",(VLOOKUP(Table6[[#This Row],[SKU]],'All Skus'!$A:$AC,4,FALSE)),""))</f>
        <v>IVX-587140</v>
      </c>
      <c r="D305" s="61" t="str">
        <f>(IF((VLOOKUP(Table6[[#This Row],[SKU]],'All Skus'!$A:$AC,2,FALSE))="JBL",(VLOOKUP(Table6[[#This Row],[SKU]],'All Skus'!$A:$AC,5,FALSE)),""))</f>
        <v>JBL053</v>
      </c>
      <c r="E305" s="137" t="str">
        <f>(IF((VLOOKUP(Table6[[#This Row],[SKU]],'All Skus'!$A:$AC,2,FALSE))="JBL",(VLOOKUP(Table6[[#This Row],[SKU]],'All Skus'!$A:$AC,6,FALSE)),""))</f>
        <v>YES</v>
      </c>
      <c r="F305" s="61">
        <f>(IF((VLOOKUP(Table6[[#This Row],[SKU]],'All Skus'!$A:$AC,2,FALSE))="JBL",(VLOOKUP(Table6[[#This Row],[SKU]],'All Skus'!$A:$AC,7,FALSE)),""))</f>
        <v>0</v>
      </c>
      <c r="G305" t="str">
        <f>(IF((VLOOKUP(Table6[[#This Row],[SKU]],'All Skus'!$A:$AC,2,FALSE))="JBL",(VLOOKUP(Table6[[#This Row],[SKU]],'All Skus'!$A:$AC,8,FALSE)),""))</f>
        <v>Intellivox-DSX430, Amp@Bottom</v>
      </c>
      <c r="H305" s="8" t="str">
        <f>(IF((VLOOKUP(Table6[[#This Row],[SKU]],'All Skus'!$A:$AC,2,FALSE))="JBL",(VLOOKUP(Table6[[#This Row],[SKU]],'All Skus'!$A:$AC,9,FALSE)),""))</f>
        <v>Intellivox-DSX430, Amp@Bottom.  Made to Order Call for availability</v>
      </c>
      <c r="I305" s="101">
        <f>(IF((VLOOKUP(Table6[[#This Row],[SKU]],'All Skus'!$A:$AC,2,FALSE))="JBL",(VLOOKUP(Table6[[#This Row],[SKU]],'All Skus'!$A:$AC,10,FALSE)),""))</f>
        <v>22434.32</v>
      </c>
      <c r="J305" s="101">
        <f>(IF((VLOOKUP(Table6[[#This Row],[SKU]],'All Skus'!$A:$AC,2,FALSE))="JBL",(VLOOKUP(Table6[[#This Row],[SKU]],'All Skus'!$A:$AC,11,FALSE)),""))</f>
        <v>22434</v>
      </c>
      <c r="K305" s="102">
        <f>(IF((VLOOKUP(Table6[[#This Row],[SKU]],'All Skus'!$A:$AC,2,FALSE))="JBL",(VLOOKUP(Table6[[#This Row],[SKU]],'All Skus'!$A:$AC,13,FALSE)),""))</f>
        <v>0</v>
      </c>
      <c r="L305" s="102">
        <f>(IF((VLOOKUP(Table6[[#This Row],[SKU]],'All Skus'!$A:$AC,2,FALSE))="JBL",(VLOOKUP(Table6[[#This Row],[SKU]],'All Skus'!$A:$AC,14,FALSE)),""))</f>
        <v>0</v>
      </c>
      <c r="M305" s="143">
        <f>(IF((VLOOKUP(Table6[[#This Row],[SKU]],'All Skus'!$A:$AC,2,FALSE))="JBL",(VLOOKUP(Table6[[#This Row],[SKU]],'All Skus'!$A:$AC,15,FALSE)),""))</f>
        <v>0</v>
      </c>
      <c r="N305" s="137">
        <f>(IF((VLOOKUP(Table6[[#This Row],[SKU]],'All Skus'!$A:$AC,2,FALSE))="JBL",(VLOOKUP(Table6[[#This Row],[SKU]],'All Skus'!$A:$AC,16,FALSE)),""))</f>
        <v>0</v>
      </c>
      <c r="O305" s="61">
        <f>(IF((VLOOKUP(Table6[[#This Row],[SKU]],'All Skus'!$A:$AC,2,FALSE))="JBL",(VLOOKUP(Table6[[#This Row],[SKU]],'All Skus'!$A:$AC,17,FALSE)),""))</f>
        <v>0</v>
      </c>
      <c r="P305" s="136">
        <f>(IF((VLOOKUP(Table6[[#This Row],[SKU]],'All Skus'!$A:$AC,2,FALSE))="JBL",(VLOOKUP(Table6[[#This Row],[SKU]],'All Skus'!$A:$AC,18,FALSE)),""))</f>
        <v>0</v>
      </c>
      <c r="Q305" s="136">
        <f>(IF((VLOOKUP(Table6[[#This Row],[SKU]],'All Skus'!$A:$AC,2,FALSE))="JBL",(VLOOKUP(Table6[[#This Row],[SKU]],'All Skus'!$A:$AC,19,FALSE)),""))</f>
        <v>0</v>
      </c>
      <c r="R305" s="136">
        <f>(IF((VLOOKUP(Table6[[#This Row],[SKU]],'All Skus'!$A:$AC,2,FALSE))="JBL",(VLOOKUP(Table6[[#This Row],[SKU]],'All Skus'!$A:$AC,20,FALSE)),""))</f>
        <v>0</v>
      </c>
      <c r="S305" s="61">
        <f>(IF((VLOOKUP(Table6[[#This Row],[SKU]],'All Skus'!$A:$AC,2,FALSE))="JBL",(VLOOKUP(Table6[[#This Row],[SKU]],'All Skus'!$A:$AC,21,FALSE)),""))</f>
        <v>0</v>
      </c>
      <c r="T305" s="61" t="str">
        <f>(IF((VLOOKUP(Table6[[#This Row],[SKU]],'All Skus'!$A:$AC,2,FALSE))="JBL",(VLOOKUP(Table6[[#This Row],[SKU]],'All Skus'!$A:$AC,22,FALSE)),""))</f>
        <v>ZZ</v>
      </c>
      <c r="U305">
        <f>(IF((VLOOKUP(Table6[[#This Row],[SKU]],'All Skus'!$A:$AC,2,FALSE))="JBL",(VLOOKUP(Table6[[#This Row],[SKU]],'All Skus'!$A:$AC,23,FALSE)),""))</f>
        <v>0</v>
      </c>
      <c r="V305" s="284" t="str">
        <f>HYPERLINK((IF((VLOOKUP(Table6[[#This Row],[SKU]],'All Skus'!$A:$AC,2,FALSE))="JBL",(VLOOKUP(Table6[[#This Row],[SKU]],'All Skus'!$A:$AC,24,FALSE)),"")))</f>
        <v/>
      </c>
      <c r="W305" s="151">
        <v>303</v>
      </c>
    </row>
    <row r="306" spans="1:23" ht="15" hidden="1" customHeight="1">
      <c r="A306" s="13" t="s">
        <v>1312</v>
      </c>
      <c r="B306" s="12" t="str">
        <f>(IF((VLOOKUP(Table6[[#This Row],[SKU]],'All Skus'!$A:$AC,2,FALSE))="JBL",(VLOOKUP(Table6[[#This Row],[SKU]],'All Skus'!$A:$AC,3,FALSE)),""))</f>
        <v>Intellivox 430 Series</v>
      </c>
      <c r="C306" s="12" t="str">
        <f>(IF((VLOOKUP(Table6[[#This Row],[SKU]],'All Skus'!$A:$AC,2,FALSE))="JBL",(VLOOKUP(Table6[[#This Row],[SKU]],'All Skus'!$A:$AC,4,FALSE)),""))</f>
        <v>IVX-587141</v>
      </c>
      <c r="D306" s="61">
        <f>(IF((VLOOKUP(Table6[[#This Row],[SKU]],'All Skus'!$A:$AC,2,FALSE))="JBL",(VLOOKUP(Table6[[#This Row],[SKU]],'All Skus'!$A:$AC,5,FALSE)),""))</f>
        <v>0</v>
      </c>
      <c r="E306" s="137" t="str">
        <f>(IF((VLOOKUP(Table6[[#This Row],[SKU]],'All Skus'!$A:$AC,2,FALSE))="JBL",(VLOOKUP(Table6[[#This Row],[SKU]],'All Skus'!$A:$AC,6,FALSE)),""))</f>
        <v>YES</v>
      </c>
      <c r="F306" s="61">
        <f>(IF((VLOOKUP(Table6[[#This Row],[SKU]],'All Skus'!$A:$AC,2,FALSE))="JBL",(VLOOKUP(Table6[[#This Row],[SKU]],'All Skus'!$A:$AC,7,FALSE)),""))</f>
        <v>0</v>
      </c>
      <c r="G306" t="str">
        <f>(IF((VLOOKUP(Table6[[#This Row],[SKU]],'All Skus'!$A:$AC,2,FALSE))="JBL",(VLOOKUP(Table6[[#This Row],[SKU]],'All Skus'!$A:$AC,8,FALSE)),""))</f>
        <v>Intellivox-DSX430, Amp@Top</v>
      </c>
      <c r="H306" s="8" t="str">
        <f>(IF((VLOOKUP(Table6[[#This Row],[SKU]],'All Skus'!$A:$AC,2,FALSE))="JBL",(VLOOKUP(Table6[[#This Row],[SKU]],'All Skus'!$A:$AC,9,FALSE)),""))</f>
        <v>Intellivox-DSX430, Amp@Top.  Made to Order Call for availability</v>
      </c>
      <c r="I306" s="101">
        <f>(IF((VLOOKUP(Table6[[#This Row],[SKU]],'All Skus'!$A:$AC,2,FALSE))="JBL",(VLOOKUP(Table6[[#This Row],[SKU]],'All Skus'!$A:$AC,10,FALSE)),""))</f>
        <v>22434.32</v>
      </c>
      <c r="J306" s="101">
        <f>(IF((VLOOKUP(Table6[[#This Row],[SKU]],'All Skus'!$A:$AC,2,FALSE))="JBL",(VLOOKUP(Table6[[#This Row],[SKU]],'All Skus'!$A:$AC,11,FALSE)),""))</f>
        <v>22434</v>
      </c>
      <c r="K306" s="102">
        <f>(IF((VLOOKUP(Table6[[#This Row],[SKU]],'All Skus'!$A:$AC,2,FALSE))="JBL",(VLOOKUP(Table6[[#This Row],[SKU]],'All Skus'!$A:$AC,13,FALSE)),""))</f>
        <v>0</v>
      </c>
      <c r="L306" s="102">
        <f>(IF((VLOOKUP(Table6[[#This Row],[SKU]],'All Skus'!$A:$AC,2,FALSE))="JBL",(VLOOKUP(Table6[[#This Row],[SKU]],'All Skus'!$A:$AC,14,FALSE)),""))</f>
        <v>0</v>
      </c>
      <c r="M306" s="143">
        <f>(IF((VLOOKUP(Table6[[#This Row],[SKU]],'All Skus'!$A:$AC,2,FALSE))="JBL",(VLOOKUP(Table6[[#This Row],[SKU]],'All Skus'!$A:$AC,15,FALSE)),""))</f>
        <v>0</v>
      </c>
      <c r="N306" s="137">
        <f>(IF((VLOOKUP(Table6[[#This Row],[SKU]],'All Skus'!$A:$AC,2,FALSE))="JBL",(VLOOKUP(Table6[[#This Row],[SKU]],'All Skus'!$A:$AC,16,FALSE)),""))</f>
        <v>0</v>
      </c>
      <c r="O306" s="61">
        <f>(IF((VLOOKUP(Table6[[#This Row],[SKU]],'All Skus'!$A:$AC,2,FALSE))="JBL",(VLOOKUP(Table6[[#This Row],[SKU]],'All Skus'!$A:$AC,17,FALSE)),""))</f>
        <v>0</v>
      </c>
      <c r="P306" s="136">
        <f>(IF((VLOOKUP(Table6[[#This Row],[SKU]],'All Skus'!$A:$AC,2,FALSE))="JBL",(VLOOKUP(Table6[[#This Row],[SKU]],'All Skus'!$A:$AC,18,FALSE)),""))</f>
        <v>0</v>
      </c>
      <c r="Q306" s="136">
        <f>(IF((VLOOKUP(Table6[[#This Row],[SKU]],'All Skus'!$A:$AC,2,FALSE))="JBL",(VLOOKUP(Table6[[#This Row],[SKU]],'All Skus'!$A:$AC,19,FALSE)),""))</f>
        <v>0</v>
      </c>
      <c r="R306" s="136">
        <f>(IF((VLOOKUP(Table6[[#This Row],[SKU]],'All Skus'!$A:$AC,2,FALSE))="JBL",(VLOOKUP(Table6[[#This Row],[SKU]],'All Skus'!$A:$AC,20,FALSE)),""))</f>
        <v>0</v>
      </c>
      <c r="S306" s="61">
        <f>(IF((VLOOKUP(Table6[[#This Row],[SKU]],'All Skus'!$A:$AC,2,FALSE))="JBL",(VLOOKUP(Table6[[#This Row],[SKU]],'All Skus'!$A:$AC,21,FALSE)),""))</f>
        <v>0</v>
      </c>
      <c r="T306" s="61" t="str">
        <f>(IF((VLOOKUP(Table6[[#This Row],[SKU]],'All Skus'!$A:$AC,2,FALSE))="JBL",(VLOOKUP(Table6[[#This Row],[SKU]],'All Skus'!$A:$AC,22,FALSE)),""))</f>
        <v>ZZ</v>
      </c>
      <c r="U306">
        <f>(IF((VLOOKUP(Table6[[#This Row],[SKU]],'All Skus'!$A:$AC,2,FALSE))="JBL",(VLOOKUP(Table6[[#This Row],[SKU]],'All Skus'!$A:$AC,23,FALSE)),""))</f>
        <v>0</v>
      </c>
      <c r="V306" s="284" t="str">
        <f>HYPERLINK((IF((VLOOKUP(Table6[[#This Row],[SKU]],'All Skus'!$A:$AC,2,FALSE))="JBL",(VLOOKUP(Table6[[#This Row],[SKU]],'All Skus'!$A:$AC,24,FALSE)),"")))</f>
        <v/>
      </c>
      <c r="W306" s="151">
        <v>304</v>
      </c>
    </row>
    <row r="307" spans="1:23" ht="15" hidden="1" customHeight="1">
      <c r="A307" s="13" t="s">
        <v>1313</v>
      </c>
      <c r="B307" s="12" t="str">
        <f>(IF((VLOOKUP(Table6[[#This Row],[SKU]],'All Skus'!$A:$AC,2,FALSE))="JBL",(VLOOKUP(Table6[[#This Row],[SKU]],'All Skus'!$A:$AC,3,FALSE)),""))</f>
        <v>Intellivox 500 Series</v>
      </c>
      <c r="C307" s="12" t="str">
        <f>(IF((VLOOKUP(Table6[[#This Row],[SKU]],'All Skus'!$A:$AC,2,FALSE))="JBL",(VLOOKUP(Table6[[#This Row],[SKU]],'All Skus'!$A:$AC,4,FALSE)),""))</f>
        <v>IVX-587160</v>
      </c>
      <c r="D307" s="61" t="str">
        <f>(IF((VLOOKUP(Table6[[#This Row],[SKU]],'All Skus'!$A:$AC,2,FALSE))="JBL",(VLOOKUP(Table6[[#This Row],[SKU]],'All Skus'!$A:$AC,5,FALSE)),""))</f>
        <v>JBL053</v>
      </c>
      <c r="E307" s="137" t="str">
        <f>(IF((VLOOKUP(Table6[[#This Row],[SKU]],'All Skus'!$A:$AC,2,FALSE))="JBL",(VLOOKUP(Table6[[#This Row],[SKU]],'All Skus'!$A:$AC,6,FALSE)),""))</f>
        <v>YES</v>
      </c>
      <c r="F307" s="61">
        <f>(IF((VLOOKUP(Table6[[#This Row],[SKU]],'All Skus'!$A:$AC,2,FALSE))="JBL",(VLOOKUP(Table6[[#This Row],[SKU]],'All Skus'!$A:$AC,7,FALSE)),""))</f>
        <v>0</v>
      </c>
      <c r="G307" t="str">
        <f>(IF((VLOOKUP(Table6[[#This Row],[SKU]],'All Skus'!$A:$AC,2,FALSE))="JBL",(VLOOKUP(Table6[[#This Row],[SKU]],'All Skus'!$A:$AC,8,FALSE)),""))</f>
        <v>Intellivox-DS500, Amp@Bottom</v>
      </c>
      <c r="H307" s="8" t="str">
        <f>(IF((VLOOKUP(Table6[[#This Row],[SKU]],'All Skus'!$A:$AC,2,FALSE))="JBL",(VLOOKUP(Table6[[#This Row],[SKU]],'All Skus'!$A:$AC,9,FALSE)),""))</f>
        <v>Intellivox-DS500, Amp@Bottom.  Made to Order Call for availability</v>
      </c>
      <c r="I307" s="101">
        <f>(IF((VLOOKUP(Table6[[#This Row],[SKU]],'All Skus'!$A:$AC,2,FALSE))="JBL",(VLOOKUP(Table6[[#This Row],[SKU]],'All Skus'!$A:$AC,10,FALSE)),""))</f>
        <v>25551.58</v>
      </c>
      <c r="J307" s="101">
        <f>(IF((VLOOKUP(Table6[[#This Row],[SKU]],'All Skus'!$A:$AC,2,FALSE))="JBL",(VLOOKUP(Table6[[#This Row],[SKU]],'All Skus'!$A:$AC,11,FALSE)),""))</f>
        <v>25551</v>
      </c>
      <c r="K307" s="102">
        <f>(IF((VLOOKUP(Table6[[#This Row],[SKU]],'All Skus'!$A:$AC,2,FALSE))="JBL",(VLOOKUP(Table6[[#This Row],[SKU]],'All Skus'!$A:$AC,13,FALSE)),""))</f>
        <v>0</v>
      </c>
      <c r="L307" s="102">
        <f>(IF((VLOOKUP(Table6[[#This Row],[SKU]],'All Skus'!$A:$AC,2,FALSE))="JBL",(VLOOKUP(Table6[[#This Row],[SKU]],'All Skus'!$A:$AC,14,FALSE)),""))</f>
        <v>0</v>
      </c>
      <c r="M307" s="143">
        <f>(IF((VLOOKUP(Table6[[#This Row],[SKU]],'All Skus'!$A:$AC,2,FALSE))="JBL",(VLOOKUP(Table6[[#This Row],[SKU]],'All Skus'!$A:$AC,15,FALSE)),""))</f>
        <v>0</v>
      </c>
      <c r="N307" s="137">
        <f>(IF((VLOOKUP(Table6[[#This Row],[SKU]],'All Skus'!$A:$AC,2,FALSE))="JBL",(VLOOKUP(Table6[[#This Row],[SKU]],'All Skus'!$A:$AC,16,FALSE)),""))</f>
        <v>0</v>
      </c>
      <c r="O307" s="61">
        <f>(IF((VLOOKUP(Table6[[#This Row],[SKU]],'All Skus'!$A:$AC,2,FALSE))="JBL",(VLOOKUP(Table6[[#This Row],[SKU]],'All Skus'!$A:$AC,17,FALSE)),""))</f>
        <v>0</v>
      </c>
      <c r="P307" s="136">
        <f>(IF((VLOOKUP(Table6[[#This Row],[SKU]],'All Skus'!$A:$AC,2,FALSE))="JBL",(VLOOKUP(Table6[[#This Row],[SKU]],'All Skus'!$A:$AC,18,FALSE)),""))</f>
        <v>0</v>
      </c>
      <c r="Q307" s="136">
        <f>(IF((VLOOKUP(Table6[[#This Row],[SKU]],'All Skus'!$A:$AC,2,FALSE))="JBL",(VLOOKUP(Table6[[#This Row],[SKU]],'All Skus'!$A:$AC,19,FALSE)),""))</f>
        <v>0</v>
      </c>
      <c r="R307" s="136">
        <f>(IF((VLOOKUP(Table6[[#This Row],[SKU]],'All Skus'!$A:$AC,2,FALSE))="JBL",(VLOOKUP(Table6[[#This Row],[SKU]],'All Skus'!$A:$AC,20,FALSE)),""))</f>
        <v>0</v>
      </c>
      <c r="S307" s="61">
        <f>(IF((VLOOKUP(Table6[[#This Row],[SKU]],'All Skus'!$A:$AC,2,FALSE))="JBL",(VLOOKUP(Table6[[#This Row],[SKU]],'All Skus'!$A:$AC,21,FALSE)),""))</f>
        <v>0</v>
      </c>
      <c r="T307" s="61" t="str">
        <f>(IF((VLOOKUP(Table6[[#This Row],[SKU]],'All Skus'!$A:$AC,2,FALSE))="JBL",(VLOOKUP(Table6[[#This Row],[SKU]],'All Skus'!$A:$AC,22,FALSE)),""))</f>
        <v>ZZ</v>
      </c>
      <c r="U307">
        <f>(IF((VLOOKUP(Table6[[#This Row],[SKU]],'All Skus'!$A:$AC,2,FALSE))="JBL",(VLOOKUP(Table6[[#This Row],[SKU]],'All Skus'!$A:$AC,23,FALSE)),""))</f>
        <v>0</v>
      </c>
      <c r="V307" s="284" t="str">
        <f>HYPERLINK((IF((VLOOKUP(Table6[[#This Row],[SKU]],'All Skus'!$A:$AC,2,FALSE))="JBL",(VLOOKUP(Table6[[#This Row],[SKU]],'All Skus'!$A:$AC,24,FALSE)),"")))</f>
        <v/>
      </c>
      <c r="W307" s="151">
        <v>305</v>
      </c>
    </row>
    <row r="308" spans="1:23" ht="15" hidden="1" customHeight="1">
      <c r="A308" s="13" t="s">
        <v>1314</v>
      </c>
      <c r="B308" s="12" t="str">
        <f>(IF((VLOOKUP(Table6[[#This Row],[SKU]],'All Skus'!$A:$AC,2,FALSE))="JBL",(VLOOKUP(Table6[[#This Row],[SKU]],'All Skus'!$A:$AC,3,FALSE)),""))</f>
        <v>Intellivox 500 Series</v>
      </c>
      <c r="C308" s="12" t="str">
        <f>(IF((VLOOKUP(Table6[[#This Row],[SKU]],'All Skus'!$A:$AC,2,FALSE))="JBL",(VLOOKUP(Table6[[#This Row],[SKU]],'All Skus'!$A:$AC,4,FALSE)),""))</f>
        <v>IVX-587161</v>
      </c>
      <c r="D308" s="61">
        <f>(IF((VLOOKUP(Table6[[#This Row],[SKU]],'All Skus'!$A:$AC,2,FALSE))="JBL",(VLOOKUP(Table6[[#This Row],[SKU]],'All Skus'!$A:$AC,5,FALSE)),""))</f>
        <v>0</v>
      </c>
      <c r="E308" s="137" t="str">
        <f>(IF((VLOOKUP(Table6[[#This Row],[SKU]],'All Skus'!$A:$AC,2,FALSE))="JBL",(VLOOKUP(Table6[[#This Row],[SKU]],'All Skus'!$A:$AC,6,FALSE)),""))</f>
        <v>YES</v>
      </c>
      <c r="F308" s="61">
        <f>(IF((VLOOKUP(Table6[[#This Row],[SKU]],'All Skus'!$A:$AC,2,FALSE))="JBL",(VLOOKUP(Table6[[#This Row],[SKU]],'All Skus'!$A:$AC,7,FALSE)),""))</f>
        <v>0</v>
      </c>
      <c r="G308" t="str">
        <f>(IF((VLOOKUP(Table6[[#This Row],[SKU]],'All Skus'!$A:$AC,2,FALSE))="JBL",(VLOOKUP(Table6[[#This Row],[SKU]],'All Skus'!$A:$AC,8,FALSE)),""))</f>
        <v>Intellivox-DS500, Amp@Top</v>
      </c>
      <c r="H308" s="8" t="str">
        <f>(IF((VLOOKUP(Table6[[#This Row],[SKU]],'All Skus'!$A:$AC,2,FALSE))="JBL",(VLOOKUP(Table6[[#This Row],[SKU]],'All Skus'!$A:$AC,9,FALSE)),""))</f>
        <v>Intellivox-DS500, Amp@Top.  Made to Order Call for availability</v>
      </c>
      <c r="I308" s="101">
        <f>(IF((VLOOKUP(Table6[[#This Row],[SKU]],'All Skus'!$A:$AC,2,FALSE))="JBL",(VLOOKUP(Table6[[#This Row],[SKU]],'All Skus'!$A:$AC,10,FALSE)),""))</f>
        <v>25551.58</v>
      </c>
      <c r="J308" s="101">
        <f>(IF((VLOOKUP(Table6[[#This Row],[SKU]],'All Skus'!$A:$AC,2,FALSE))="JBL",(VLOOKUP(Table6[[#This Row],[SKU]],'All Skus'!$A:$AC,11,FALSE)),""))</f>
        <v>25551</v>
      </c>
      <c r="K308" s="102">
        <f>(IF((VLOOKUP(Table6[[#This Row],[SKU]],'All Skus'!$A:$AC,2,FALSE))="JBL",(VLOOKUP(Table6[[#This Row],[SKU]],'All Skus'!$A:$AC,13,FALSE)),""))</f>
        <v>0</v>
      </c>
      <c r="L308" s="102">
        <f>(IF((VLOOKUP(Table6[[#This Row],[SKU]],'All Skus'!$A:$AC,2,FALSE))="JBL",(VLOOKUP(Table6[[#This Row],[SKU]],'All Skus'!$A:$AC,14,FALSE)),""))</f>
        <v>0</v>
      </c>
      <c r="M308" s="143">
        <f>(IF((VLOOKUP(Table6[[#This Row],[SKU]],'All Skus'!$A:$AC,2,FALSE))="JBL",(VLOOKUP(Table6[[#This Row],[SKU]],'All Skus'!$A:$AC,15,FALSE)),""))</f>
        <v>0</v>
      </c>
      <c r="N308" s="137">
        <f>(IF((VLOOKUP(Table6[[#This Row],[SKU]],'All Skus'!$A:$AC,2,FALSE))="JBL",(VLOOKUP(Table6[[#This Row],[SKU]],'All Skus'!$A:$AC,16,FALSE)),""))</f>
        <v>0</v>
      </c>
      <c r="O308" s="61">
        <f>(IF((VLOOKUP(Table6[[#This Row],[SKU]],'All Skus'!$A:$AC,2,FALSE))="JBL",(VLOOKUP(Table6[[#This Row],[SKU]],'All Skus'!$A:$AC,17,FALSE)),""))</f>
        <v>0</v>
      </c>
      <c r="P308" s="136">
        <f>(IF((VLOOKUP(Table6[[#This Row],[SKU]],'All Skus'!$A:$AC,2,FALSE))="JBL",(VLOOKUP(Table6[[#This Row],[SKU]],'All Skus'!$A:$AC,18,FALSE)),""))</f>
        <v>0</v>
      </c>
      <c r="Q308" s="136">
        <f>(IF((VLOOKUP(Table6[[#This Row],[SKU]],'All Skus'!$A:$AC,2,FALSE))="JBL",(VLOOKUP(Table6[[#This Row],[SKU]],'All Skus'!$A:$AC,19,FALSE)),""))</f>
        <v>0</v>
      </c>
      <c r="R308" s="136">
        <f>(IF((VLOOKUP(Table6[[#This Row],[SKU]],'All Skus'!$A:$AC,2,FALSE))="JBL",(VLOOKUP(Table6[[#This Row],[SKU]],'All Skus'!$A:$AC,20,FALSE)),""))</f>
        <v>0</v>
      </c>
      <c r="S308" s="61">
        <f>(IF((VLOOKUP(Table6[[#This Row],[SKU]],'All Skus'!$A:$AC,2,FALSE))="JBL",(VLOOKUP(Table6[[#This Row],[SKU]],'All Skus'!$A:$AC,21,FALSE)),""))</f>
        <v>0</v>
      </c>
      <c r="T308" s="61" t="str">
        <f>(IF((VLOOKUP(Table6[[#This Row],[SKU]],'All Skus'!$A:$AC,2,FALSE))="JBL",(VLOOKUP(Table6[[#This Row],[SKU]],'All Skus'!$A:$AC,22,FALSE)),""))</f>
        <v>ZZ</v>
      </c>
      <c r="U308">
        <f>(IF((VLOOKUP(Table6[[#This Row],[SKU]],'All Skus'!$A:$AC,2,FALSE))="JBL",(VLOOKUP(Table6[[#This Row],[SKU]],'All Skus'!$A:$AC,23,FALSE)),""))</f>
        <v>0</v>
      </c>
      <c r="V308" s="284" t="str">
        <f>HYPERLINK((IF((VLOOKUP(Table6[[#This Row],[SKU]],'All Skus'!$A:$AC,2,FALSE))="JBL",(VLOOKUP(Table6[[#This Row],[SKU]],'All Skus'!$A:$AC,24,FALSE)),"")))</f>
        <v/>
      </c>
      <c r="W308" s="151">
        <v>306</v>
      </c>
    </row>
    <row r="309" spans="1:23" ht="15" hidden="1" customHeight="1">
      <c r="A309" s="13" t="s">
        <v>1315</v>
      </c>
      <c r="B309" s="12" t="str">
        <f>(IF((VLOOKUP(Table6[[#This Row],[SKU]],'All Skus'!$A:$AC,2,FALSE))="JBL",(VLOOKUP(Table6[[#This Row],[SKU]],'All Skus'!$A:$AC,3,FALSE)),""))</f>
        <v>Intellivox 500 Series</v>
      </c>
      <c r="C309" s="12" t="str">
        <f>(IF((VLOOKUP(Table6[[#This Row],[SKU]],'All Skus'!$A:$AC,2,FALSE))="JBL",(VLOOKUP(Table6[[#This Row],[SKU]],'All Skus'!$A:$AC,4,FALSE)),""))</f>
        <v>IVX-587180</v>
      </c>
      <c r="D309" s="61" t="str">
        <f>(IF((VLOOKUP(Table6[[#This Row],[SKU]],'All Skus'!$A:$AC,2,FALSE))="JBL",(VLOOKUP(Table6[[#This Row],[SKU]],'All Skus'!$A:$AC,5,FALSE)),""))</f>
        <v>JBL053</v>
      </c>
      <c r="E309" s="137" t="str">
        <f>(IF((VLOOKUP(Table6[[#This Row],[SKU]],'All Skus'!$A:$AC,2,FALSE))="JBL",(VLOOKUP(Table6[[#This Row],[SKU]],'All Skus'!$A:$AC,6,FALSE)),""))</f>
        <v>YES</v>
      </c>
      <c r="F309" s="61">
        <f>(IF((VLOOKUP(Table6[[#This Row],[SKU]],'All Skus'!$A:$AC,2,FALSE))="JBL",(VLOOKUP(Table6[[#This Row],[SKU]],'All Skus'!$A:$AC,7,FALSE)),""))</f>
        <v>0</v>
      </c>
      <c r="G309" t="str">
        <f>(IF((VLOOKUP(Table6[[#This Row],[SKU]],'All Skus'!$A:$AC,2,FALSE))="JBL",(VLOOKUP(Table6[[#This Row],[SKU]],'All Skus'!$A:$AC,8,FALSE)),""))</f>
        <v>Intellivox-DSX500, Amp@Bottom</v>
      </c>
      <c r="H309" s="8" t="str">
        <f>(IF((VLOOKUP(Table6[[#This Row],[SKU]],'All Skus'!$A:$AC,2,FALSE))="JBL",(VLOOKUP(Table6[[#This Row],[SKU]],'All Skus'!$A:$AC,9,FALSE)),""))</f>
        <v>Intellivox-DSX500, Amp@Bottom.  Made to Order Call for availability</v>
      </c>
      <c r="I309" s="101">
        <f>(IF((VLOOKUP(Table6[[#This Row],[SKU]],'All Skus'!$A:$AC,2,FALSE))="JBL",(VLOOKUP(Table6[[#This Row],[SKU]],'All Skus'!$A:$AC,10,FALSE)),""))</f>
        <v>25551.58</v>
      </c>
      <c r="J309" s="101">
        <f>(IF((VLOOKUP(Table6[[#This Row],[SKU]],'All Skus'!$A:$AC,2,FALSE))="JBL",(VLOOKUP(Table6[[#This Row],[SKU]],'All Skus'!$A:$AC,11,FALSE)),""))</f>
        <v>25551</v>
      </c>
      <c r="K309" s="102">
        <f>(IF((VLOOKUP(Table6[[#This Row],[SKU]],'All Skus'!$A:$AC,2,FALSE))="JBL",(VLOOKUP(Table6[[#This Row],[SKU]],'All Skus'!$A:$AC,13,FALSE)),""))</f>
        <v>0</v>
      </c>
      <c r="L309" s="102">
        <f>(IF((VLOOKUP(Table6[[#This Row],[SKU]],'All Skus'!$A:$AC,2,FALSE))="JBL",(VLOOKUP(Table6[[#This Row],[SKU]],'All Skus'!$A:$AC,14,FALSE)),""))</f>
        <v>0</v>
      </c>
      <c r="M309" s="143">
        <f>(IF((VLOOKUP(Table6[[#This Row],[SKU]],'All Skus'!$A:$AC,2,FALSE))="JBL",(VLOOKUP(Table6[[#This Row],[SKU]],'All Skus'!$A:$AC,15,FALSE)),""))</f>
        <v>0</v>
      </c>
      <c r="N309" s="137">
        <f>(IF((VLOOKUP(Table6[[#This Row],[SKU]],'All Skus'!$A:$AC,2,FALSE))="JBL",(VLOOKUP(Table6[[#This Row],[SKU]],'All Skus'!$A:$AC,16,FALSE)),""))</f>
        <v>0</v>
      </c>
      <c r="O309" s="61">
        <f>(IF((VLOOKUP(Table6[[#This Row],[SKU]],'All Skus'!$A:$AC,2,FALSE))="JBL",(VLOOKUP(Table6[[#This Row],[SKU]],'All Skus'!$A:$AC,17,FALSE)),""))</f>
        <v>0</v>
      </c>
      <c r="P309" s="136">
        <f>(IF((VLOOKUP(Table6[[#This Row],[SKU]],'All Skus'!$A:$AC,2,FALSE))="JBL",(VLOOKUP(Table6[[#This Row],[SKU]],'All Skus'!$A:$AC,18,FALSE)),""))</f>
        <v>0</v>
      </c>
      <c r="Q309" s="136">
        <f>(IF((VLOOKUP(Table6[[#This Row],[SKU]],'All Skus'!$A:$AC,2,FALSE))="JBL",(VLOOKUP(Table6[[#This Row],[SKU]],'All Skus'!$A:$AC,19,FALSE)),""))</f>
        <v>0</v>
      </c>
      <c r="R309" s="136">
        <f>(IF((VLOOKUP(Table6[[#This Row],[SKU]],'All Skus'!$A:$AC,2,FALSE))="JBL",(VLOOKUP(Table6[[#This Row],[SKU]],'All Skus'!$A:$AC,20,FALSE)),""))</f>
        <v>0</v>
      </c>
      <c r="S309" s="61">
        <f>(IF((VLOOKUP(Table6[[#This Row],[SKU]],'All Skus'!$A:$AC,2,FALSE))="JBL",(VLOOKUP(Table6[[#This Row],[SKU]],'All Skus'!$A:$AC,21,FALSE)),""))</f>
        <v>0</v>
      </c>
      <c r="T309" s="61" t="str">
        <f>(IF((VLOOKUP(Table6[[#This Row],[SKU]],'All Skus'!$A:$AC,2,FALSE))="JBL",(VLOOKUP(Table6[[#This Row],[SKU]],'All Skus'!$A:$AC,22,FALSE)),""))</f>
        <v>ZZ</v>
      </c>
      <c r="U309">
        <f>(IF((VLOOKUP(Table6[[#This Row],[SKU]],'All Skus'!$A:$AC,2,FALSE))="JBL",(VLOOKUP(Table6[[#This Row],[SKU]],'All Skus'!$A:$AC,23,FALSE)),""))</f>
        <v>0</v>
      </c>
      <c r="V309" s="284" t="str">
        <f>HYPERLINK((IF((VLOOKUP(Table6[[#This Row],[SKU]],'All Skus'!$A:$AC,2,FALSE))="JBL",(VLOOKUP(Table6[[#This Row],[SKU]],'All Skus'!$A:$AC,24,FALSE)),"")))</f>
        <v/>
      </c>
      <c r="W309" s="151">
        <v>307</v>
      </c>
    </row>
    <row r="310" spans="1:23" ht="15" hidden="1" customHeight="1">
      <c r="A310" s="13" t="s">
        <v>1316</v>
      </c>
      <c r="B310" s="12" t="str">
        <f>(IF((VLOOKUP(Table6[[#This Row],[SKU]],'All Skus'!$A:$AC,2,FALSE))="JBL",(VLOOKUP(Table6[[#This Row],[SKU]],'All Skus'!$A:$AC,3,FALSE)),""))</f>
        <v>Intellivox 500 Series</v>
      </c>
      <c r="C310" s="12" t="str">
        <f>(IF((VLOOKUP(Table6[[#This Row],[SKU]],'All Skus'!$A:$AC,2,FALSE))="JBL",(VLOOKUP(Table6[[#This Row],[SKU]],'All Skus'!$A:$AC,4,FALSE)),""))</f>
        <v>IVX-587181</v>
      </c>
      <c r="D310" s="61" t="str">
        <f>(IF((VLOOKUP(Table6[[#This Row],[SKU]],'All Skus'!$A:$AC,2,FALSE))="JBL",(VLOOKUP(Table6[[#This Row],[SKU]],'All Skus'!$A:$AC,5,FALSE)),""))</f>
        <v>JBL053</v>
      </c>
      <c r="E310" s="137" t="str">
        <f>(IF((VLOOKUP(Table6[[#This Row],[SKU]],'All Skus'!$A:$AC,2,FALSE))="JBL",(VLOOKUP(Table6[[#This Row],[SKU]],'All Skus'!$A:$AC,6,FALSE)),""))</f>
        <v>YES</v>
      </c>
      <c r="F310" s="61">
        <f>(IF((VLOOKUP(Table6[[#This Row],[SKU]],'All Skus'!$A:$AC,2,FALSE))="JBL",(VLOOKUP(Table6[[#This Row],[SKU]],'All Skus'!$A:$AC,7,FALSE)),""))</f>
        <v>0</v>
      </c>
      <c r="G310" t="str">
        <f>(IF((VLOOKUP(Table6[[#This Row],[SKU]],'All Skus'!$A:$AC,2,FALSE))="JBL",(VLOOKUP(Table6[[#This Row],[SKU]],'All Skus'!$A:$AC,8,FALSE)),""))</f>
        <v>Intellivox-DSX500, Amp@Top</v>
      </c>
      <c r="H310" s="8" t="str">
        <f>(IF((VLOOKUP(Table6[[#This Row],[SKU]],'All Skus'!$A:$AC,2,FALSE))="JBL",(VLOOKUP(Table6[[#This Row],[SKU]],'All Skus'!$A:$AC,9,FALSE)),""))</f>
        <v>Intellivox-DSX500, Amp@Top.  Made to Order Call for availability</v>
      </c>
      <c r="I310" s="101">
        <f>(IF((VLOOKUP(Table6[[#This Row],[SKU]],'All Skus'!$A:$AC,2,FALSE))="JBL",(VLOOKUP(Table6[[#This Row],[SKU]],'All Skus'!$A:$AC,10,FALSE)),""))</f>
        <v>25551.58</v>
      </c>
      <c r="J310" s="101">
        <f>(IF((VLOOKUP(Table6[[#This Row],[SKU]],'All Skus'!$A:$AC,2,FALSE))="JBL",(VLOOKUP(Table6[[#This Row],[SKU]],'All Skus'!$A:$AC,11,FALSE)),""))</f>
        <v>25551</v>
      </c>
      <c r="K310" s="102">
        <f>(IF((VLOOKUP(Table6[[#This Row],[SKU]],'All Skus'!$A:$AC,2,FALSE))="JBL",(VLOOKUP(Table6[[#This Row],[SKU]],'All Skus'!$A:$AC,13,FALSE)),""))</f>
        <v>0</v>
      </c>
      <c r="L310" s="102">
        <f>(IF((VLOOKUP(Table6[[#This Row],[SKU]],'All Skus'!$A:$AC,2,FALSE))="JBL",(VLOOKUP(Table6[[#This Row],[SKU]],'All Skus'!$A:$AC,14,FALSE)),""))</f>
        <v>0</v>
      </c>
      <c r="M310" s="143">
        <f>(IF((VLOOKUP(Table6[[#This Row],[SKU]],'All Skus'!$A:$AC,2,FALSE))="JBL",(VLOOKUP(Table6[[#This Row],[SKU]],'All Skus'!$A:$AC,15,FALSE)),""))</f>
        <v>0</v>
      </c>
      <c r="N310" s="137">
        <f>(IF((VLOOKUP(Table6[[#This Row],[SKU]],'All Skus'!$A:$AC,2,FALSE))="JBL",(VLOOKUP(Table6[[#This Row],[SKU]],'All Skus'!$A:$AC,16,FALSE)),""))</f>
        <v>0</v>
      </c>
      <c r="O310" s="61">
        <f>(IF((VLOOKUP(Table6[[#This Row],[SKU]],'All Skus'!$A:$AC,2,FALSE))="JBL",(VLOOKUP(Table6[[#This Row],[SKU]],'All Skus'!$A:$AC,17,FALSE)),""))</f>
        <v>0</v>
      </c>
      <c r="P310" s="136">
        <f>(IF((VLOOKUP(Table6[[#This Row],[SKU]],'All Skus'!$A:$AC,2,FALSE))="JBL",(VLOOKUP(Table6[[#This Row],[SKU]],'All Skus'!$A:$AC,18,FALSE)),""))</f>
        <v>0</v>
      </c>
      <c r="Q310" s="136">
        <f>(IF((VLOOKUP(Table6[[#This Row],[SKU]],'All Skus'!$A:$AC,2,FALSE))="JBL",(VLOOKUP(Table6[[#This Row],[SKU]],'All Skus'!$A:$AC,19,FALSE)),""))</f>
        <v>0</v>
      </c>
      <c r="R310" s="136">
        <f>(IF((VLOOKUP(Table6[[#This Row],[SKU]],'All Skus'!$A:$AC,2,FALSE))="JBL",(VLOOKUP(Table6[[#This Row],[SKU]],'All Skus'!$A:$AC,20,FALSE)),""))</f>
        <v>0</v>
      </c>
      <c r="S310" s="61">
        <f>(IF((VLOOKUP(Table6[[#This Row],[SKU]],'All Skus'!$A:$AC,2,FALSE))="JBL",(VLOOKUP(Table6[[#This Row],[SKU]],'All Skus'!$A:$AC,21,FALSE)),""))</f>
        <v>0</v>
      </c>
      <c r="T310" s="61" t="str">
        <f>(IF((VLOOKUP(Table6[[#This Row],[SKU]],'All Skus'!$A:$AC,2,FALSE))="JBL",(VLOOKUP(Table6[[#This Row],[SKU]],'All Skus'!$A:$AC,22,FALSE)),""))</f>
        <v>HU</v>
      </c>
      <c r="U310">
        <f>(IF((VLOOKUP(Table6[[#This Row],[SKU]],'All Skus'!$A:$AC,2,FALSE))="JBL",(VLOOKUP(Table6[[#This Row],[SKU]],'All Skus'!$A:$AC,23,FALSE)),""))</f>
        <v>0</v>
      </c>
      <c r="V310" s="284" t="str">
        <f>HYPERLINK((IF((VLOOKUP(Table6[[#This Row],[SKU]],'All Skus'!$A:$AC,2,FALSE))="JBL",(VLOOKUP(Table6[[#This Row],[SKU]],'All Skus'!$A:$AC,24,FALSE)),"")))</f>
        <v/>
      </c>
      <c r="W310" s="151">
        <v>308</v>
      </c>
    </row>
    <row r="311" spans="1:23" ht="15" hidden="1" customHeight="1">
      <c r="A311" s="13" t="s">
        <v>1317</v>
      </c>
      <c r="B311" s="12" t="str">
        <f>(IF((VLOOKUP(Table6[[#This Row],[SKU]],'All Skus'!$A:$AC,2,FALSE))="JBL",(VLOOKUP(Table6[[#This Row],[SKU]],'All Skus'!$A:$AC,3,FALSE)),""))</f>
        <v>Intellivox 380 Series</v>
      </c>
      <c r="C311" s="12" t="str">
        <f>(IF((VLOOKUP(Table6[[#This Row],[SKU]],'All Skus'!$A:$AC,2,FALSE))="JBL",(VLOOKUP(Table6[[#This Row],[SKU]],'All Skus'!$A:$AC,4,FALSE)),""))</f>
        <v>IVX-587300</v>
      </c>
      <c r="D311" s="61" t="str">
        <f>(IF((VLOOKUP(Table6[[#This Row],[SKU]],'All Skus'!$A:$AC,2,FALSE))="JBL",(VLOOKUP(Table6[[#This Row],[SKU]],'All Skus'!$A:$AC,5,FALSE)),""))</f>
        <v>JBL053</v>
      </c>
      <c r="E311" s="137" t="str">
        <f>(IF((VLOOKUP(Table6[[#This Row],[SKU]],'All Skus'!$A:$AC,2,FALSE))="JBL",(VLOOKUP(Table6[[#This Row],[SKU]],'All Skus'!$A:$AC,6,FALSE)),""))</f>
        <v>YES</v>
      </c>
      <c r="F311" s="61">
        <f>(IF((VLOOKUP(Table6[[#This Row],[SKU]],'All Skus'!$A:$AC,2,FALSE))="JBL",(VLOOKUP(Table6[[#This Row],[SKU]],'All Skus'!$A:$AC,7,FALSE)),""))</f>
        <v>0</v>
      </c>
      <c r="G311" t="str">
        <f>(IF((VLOOKUP(Table6[[#This Row],[SKU]],'All Skus'!$A:$AC,2,FALSE))="JBL",(VLOOKUP(Table6[[#This Row],[SKU]],'All Skus'!$A:$AC,8,FALSE)),""))</f>
        <v>Intellivox-DS380, Amp@Bottom</v>
      </c>
      <c r="H311" s="8" t="str">
        <f>(IF((VLOOKUP(Table6[[#This Row],[SKU]],'All Skus'!$A:$AC,2,FALSE))="JBL",(VLOOKUP(Table6[[#This Row],[SKU]],'All Skus'!$A:$AC,9,FALSE)),""))</f>
        <v>Intellivox-DS380, Amp@Bottom.  Made to Order Call for availability</v>
      </c>
      <c r="I311" s="101">
        <f>(IF((VLOOKUP(Table6[[#This Row],[SKU]],'All Skus'!$A:$AC,2,FALSE))="JBL",(VLOOKUP(Table6[[#This Row],[SKU]],'All Skus'!$A:$AC,10,FALSE)),""))</f>
        <v>18338.61</v>
      </c>
      <c r="J311" s="101">
        <f>(IF((VLOOKUP(Table6[[#This Row],[SKU]],'All Skus'!$A:$AC,2,FALSE))="JBL",(VLOOKUP(Table6[[#This Row],[SKU]],'All Skus'!$A:$AC,11,FALSE)),""))</f>
        <v>18338</v>
      </c>
      <c r="K311" s="102">
        <f>(IF((VLOOKUP(Table6[[#This Row],[SKU]],'All Skus'!$A:$AC,2,FALSE))="JBL",(VLOOKUP(Table6[[#This Row],[SKU]],'All Skus'!$A:$AC,13,FALSE)),""))</f>
        <v>0</v>
      </c>
      <c r="L311" s="102">
        <f>(IF((VLOOKUP(Table6[[#This Row],[SKU]],'All Skus'!$A:$AC,2,FALSE))="JBL",(VLOOKUP(Table6[[#This Row],[SKU]],'All Skus'!$A:$AC,14,FALSE)),""))</f>
        <v>0</v>
      </c>
      <c r="M311" s="143">
        <f>(IF((VLOOKUP(Table6[[#This Row],[SKU]],'All Skus'!$A:$AC,2,FALSE))="JBL",(VLOOKUP(Table6[[#This Row],[SKU]],'All Skus'!$A:$AC,15,FALSE)),""))</f>
        <v>0</v>
      </c>
      <c r="N311" s="137">
        <f>(IF((VLOOKUP(Table6[[#This Row],[SKU]],'All Skus'!$A:$AC,2,FALSE))="JBL",(VLOOKUP(Table6[[#This Row],[SKU]],'All Skus'!$A:$AC,16,FALSE)),""))</f>
        <v>0</v>
      </c>
      <c r="O311" s="61">
        <f>(IF((VLOOKUP(Table6[[#This Row],[SKU]],'All Skus'!$A:$AC,2,FALSE))="JBL",(VLOOKUP(Table6[[#This Row],[SKU]],'All Skus'!$A:$AC,17,FALSE)),""))</f>
        <v>0</v>
      </c>
      <c r="P311" s="136">
        <f>(IF((VLOOKUP(Table6[[#This Row],[SKU]],'All Skus'!$A:$AC,2,FALSE))="JBL",(VLOOKUP(Table6[[#This Row],[SKU]],'All Skus'!$A:$AC,18,FALSE)),""))</f>
        <v>0</v>
      </c>
      <c r="Q311" s="136">
        <f>(IF((VLOOKUP(Table6[[#This Row],[SKU]],'All Skus'!$A:$AC,2,FALSE))="JBL",(VLOOKUP(Table6[[#This Row],[SKU]],'All Skus'!$A:$AC,19,FALSE)),""))</f>
        <v>0</v>
      </c>
      <c r="R311" s="136">
        <f>(IF((VLOOKUP(Table6[[#This Row],[SKU]],'All Skus'!$A:$AC,2,FALSE))="JBL",(VLOOKUP(Table6[[#This Row],[SKU]],'All Skus'!$A:$AC,20,FALSE)),""))</f>
        <v>0</v>
      </c>
      <c r="S311" s="61">
        <f>(IF((VLOOKUP(Table6[[#This Row],[SKU]],'All Skus'!$A:$AC,2,FALSE))="JBL",(VLOOKUP(Table6[[#This Row],[SKU]],'All Skus'!$A:$AC,21,FALSE)),""))</f>
        <v>0</v>
      </c>
      <c r="T311" s="61" t="str">
        <f>(IF((VLOOKUP(Table6[[#This Row],[SKU]],'All Skus'!$A:$AC,2,FALSE))="JBL",(VLOOKUP(Table6[[#This Row],[SKU]],'All Skus'!$A:$AC,22,FALSE)),""))</f>
        <v>ZZ</v>
      </c>
      <c r="U311">
        <f>(IF((VLOOKUP(Table6[[#This Row],[SKU]],'All Skus'!$A:$AC,2,FALSE))="JBL",(VLOOKUP(Table6[[#This Row],[SKU]],'All Skus'!$A:$AC,23,FALSE)),""))</f>
        <v>0</v>
      </c>
      <c r="V311" s="284" t="str">
        <f>HYPERLINK((IF((VLOOKUP(Table6[[#This Row],[SKU]],'All Skus'!$A:$AC,2,FALSE))="JBL",(VLOOKUP(Table6[[#This Row],[SKU]],'All Skus'!$A:$AC,24,FALSE)),"")))</f>
        <v/>
      </c>
      <c r="W311" s="151">
        <v>309</v>
      </c>
    </row>
    <row r="312" spans="1:23" ht="15" hidden="1" customHeight="1">
      <c r="A312" s="13" t="s">
        <v>1318</v>
      </c>
      <c r="B312" s="12" t="str">
        <f>(IF((VLOOKUP(Table6[[#This Row],[SKU]],'All Skus'!$A:$AC,2,FALSE))="JBL",(VLOOKUP(Table6[[#This Row],[SKU]],'All Skus'!$A:$AC,3,FALSE)),""))</f>
        <v>Intellivox 380 Series</v>
      </c>
      <c r="C312" s="12" t="str">
        <f>(IF((VLOOKUP(Table6[[#This Row],[SKU]],'All Skus'!$A:$AC,2,FALSE))="JBL",(VLOOKUP(Table6[[#This Row],[SKU]],'All Skus'!$A:$AC,4,FALSE)),""))</f>
        <v>IVX-587301</v>
      </c>
      <c r="D312" s="61">
        <f>(IF((VLOOKUP(Table6[[#This Row],[SKU]],'All Skus'!$A:$AC,2,FALSE))="JBL",(VLOOKUP(Table6[[#This Row],[SKU]],'All Skus'!$A:$AC,5,FALSE)),""))</f>
        <v>0</v>
      </c>
      <c r="E312" s="137" t="str">
        <f>(IF((VLOOKUP(Table6[[#This Row],[SKU]],'All Skus'!$A:$AC,2,FALSE))="JBL",(VLOOKUP(Table6[[#This Row],[SKU]],'All Skus'!$A:$AC,6,FALSE)),""))</f>
        <v>YES</v>
      </c>
      <c r="F312" s="61">
        <f>(IF((VLOOKUP(Table6[[#This Row],[SKU]],'All Skus'!$A:$AC,2,FALSE))="JBL",(VLOOKUP(Table6[[#This Row],[SKU]],'All Skus'!$A:$AC,7,FALSE)),""))</f>
        <v>0</v>
      </c>
      <c r="G312" t="str">
        <f>(IF((VLOOKUP(Table6[[#This Row],[SKU]],'All Skus'!$A:$AC,2,FALSE))="JBL",(VLOOKUP(Table6[[#This Row],[SKU]],'All Skus'!$A:$AC,8,FALSE)),""))</f>
        <v>Intellivox-DS380, Amp@Top</v>
      </c>
      <c r="H312" s="8" t="str">
        <f>(IF((VLOOKUP(Table6[[#This Row],[SKU]],'All Skus'!$A:$AC,2,FALSE))="JBL",(VLOOKUP(Table6[[#This Row],[SKU]],'All Skus'!$A:$AC,9,FALSE)),""))</f>
        <v>Intellivox-DS380, Amp@Top.  Made to Order Call for availability</v>
      </c>
      <c r="I312" s="101">
        <f>(IF((VLOOKUP(Table6[[#This Row],[SKU]],'All Skus'!$A:$AC,2,FALSE))="JBL",(VLOOKUP(Table6[[#This Row],[SKU]],'All Skus'!$A:$AC,10,FALSE)),""))</f>
        <v>18338.61</v>
      </c>
      <c r="J312" s="101">
        <f>(IF((VLOOKUP(Table6[[#This Row],[SKU]],'All Skus'!$A:$AC,2,FALSE))="JBL",(VLOOKUP(Table6[[#This Row],[SKU]],'All Skus'!$A:$AC,11,FALSE)),""))</f>
        <v>18338</v>
      </c>
      <c r="K312" s="102">
        <f>(IF((VLOOKUP(Table6[[#This Row],[SKU]],'All Skus'!$A:$AC,2,FALSE))="JBL",(VLOOKUP(Table6[[#This Row],[SKU]],'All Skus'!$A:$AC,13,FALSE)),""))</f>
        <v>0</v>
      </c>
      <c r="L312" s="102">
        <f>(IF((VLOOKUP(Table6[[#This Row],[SKU]],'All Skus'!$A:$AC,2,FALSE))="JBL",(VLOOKUP(Table6[[#This Row],[SKU]],'All Skus'!$A:$AC,14,FALSE)),""))</f>
        <v>0</v>
      </c>
      <c r="M312" s="143">
        <f>(IF((VLOOKUP(Table6[[#This Row],[SKU]],'All Skus'!$A:$AC,2,FALSE))="JBL",(VLOOKUP(Table6[[#This Row],[SKU]],'All Skus'!$A:$AC,15,FALSE)),""))</f>
        <v>0</v>
      </c>
      <c r="N312" s="137">
        <f>(IF((VLOOKUP(Table6[[#This Row],[SKU]],'All Skus'!$A:$AC,2,FALSE))="JBL",(VLOOKUP(Table6[[#This Row],[SKU]],'All Skus'!$A:$AC,16,FALSE)),""))</f>
        <v>0</v>
      </c>
      <c r="O312" s="61">
        <f>(IF((VLOOKUP(Table6[[#This Row],[SKU]],'All Skus'!$A:$AC,2,FALSE))="JBL",(VLOOKUP(Table6[[#This Row],[SKU]],'All Skus'!$A:$AC,17,FALSE)),""))</f>
        <v>0</v>
      </c>
      <c r="P312" s="136">
        <f>(IF((VLOOKUP(Table6[[#This Row],[SKU]],'All Skus'!$A:$AC,2,FALSE))="JBL",(VLOOKUP(Table6[[#This Row],[SKU]],'All Skus'!$A:$AC,18,FALSE)),""))</f>
        <v>0</v>
      </c>
      <c r="Q312" s="136">
        <f>(IF((VLOOKUP(Table6[[#This Row],[SKU]],'All Skus'!$A:$AC,2,FALSE))="JBL",(VLOOKUP(Table6[[#This Row],[SKU]],'All Skus'!$A:$AC,19,FALSE)),""))</f>
        <v>0</v>
      </c>
      <c r="R312" s="136">
        <f>(IF((VLOOKUP(Table6[[#This Row],[SKU]],'All Skus'!$A:$AC,2,FALSE))="JBL",(VLOOKUP(Table6[[#This Row],[SKU]],'All Skus'!$A:$AC,20,FALSE)),""))</f>
        <v>0</v>
      </c>
      <c r="S312" s="61">
        <f>(IF((VLOOKUP(Table6[[#This Row],[SKU]],'All Skus'!$A:$AC,2,FALSE))="JBL",(VLOOKUP(Table6[[#This Row],[SKU]],'All Skus'!$A:$AC,21,FALSE)),""))</f>
        <v>0</v>
      </c>
      <c r="T312" s="61" t="str">
        <f>(IF((VLOOKUP(Table6[[#This Row],[SKU]],'All Skus'!$A:$AC,2,FALSE))="JBL",(VLOOKUP(Table6[[#This Row],[SKU]],'All Skus'!$A:$AC,22,FALSE)),""))</f>
        <v>ZZ</v>
      </c>
      <c r="U312">
        <f>(IF((VLOOKUP(Table6[[#This Row],[SKU]],'All Skus'!$A:$AC,2,FALSE))="JBL",(VLOOKUP(Table6[[#This Row],[SKU]],'All Skus'!$A:$AC,23,FALSE)),""))</f>
        <v>0</v>
      </c>
      <c r="V312" s="284" t="str">
        <f>HYPERLINK((IF((VLOOKUP(Table6[[#This Row],[SKU]],'All Skus'!$A:$AC,2,FALSE))="JBL",(VLOOKUP(Table6[[#This Row],[SKU]],'All Skus'!$A:$AC,24,FALSE)),"")))</f>
        <v/>
      </c>
      <c r="W312" s="151">
        <v>310</v>
      </c>
    </row>
    <row r="313" spans="1:23" ht="15" hidden="1" customHeight="1">
      <c r="A313" s="13" t="s">
        <v>1319</v>
      </c>
      <c r="B313" s="12" t="str">
        <f>(IF((VLOOKUP(Table6[[#This Row],[SKU]],'All Skus'!$A:$AC,2,FALSE))="JBL",(VLOOKUP(Table6[[#This Row],[SKU]],'All Skus'!$A:$AC,3,FALSE)),""))</f>
        <v>Intellivox 380 Series</v>
      </c>
      <c r="C313" s="12" t="str">
        <f>(IF((VLOOKUP(Table6[[#This Row],[SKU]],'All Skus'!$A:$AC,2,FALSE))="JBL",(VLOOKUP(Table6[[#This Row],[SKU]],'All Skus'!$A:$AC,4,FALSE)),""))</f>
        <v>IVX-587350</v>
      </c>
      <c r="D313" s="61" t="str">
        <f>(IF((VLOOKUP(Table6[[#This Row],[SKU]],'All Skus'!$A:$AC,2,FALSE))="JBL",(VLOOKUP(Table6[[#This Row],[SKU]],'All Skus'!$A:$AC,5,FALSE)),""))</f>
        <v>JBL053</v>
      </c>
      <c r="E313" s="137" t="str">
        <f>(IF((VLOOKUP(Table6[[#This Row],[SKU]],'All Skus'!$A:$AC,2,FALSE))="JBL",(VLOOKUP(Table6[[#This Row],[SKU]],'All Skus'!$A:$AC,6,FALSE)),""))</f>
        <v>YES</v>
      </c>
      <c r="F313" s="61">
        <f>(IF((VLOOKUP(Table6[[#This Row],[SKU]],'All Skus'!$A:$AC,2,FALSE))="JBL",(VLOOKUP(Table6[[#This Row],[SKU]],'All Skus'!$A:$AC,7,FALSE)),""))</f>
        <v>0</v>
      </c>
      <c r="G313" t="str">
        <f>(IF((VLOOKUP(Table6[[#This Row],[SKU]],'All Skus'!$A:$AC,2,FALSE))="JBL",(VLOOKUP(Table6[[#This Row],[SKU]],'All Skus'!$A:$AC,8,FALSE)),""))</f>
        <v>Intellivox-DSX380, Amp@Bottom</v>
      </c>
      <c r="H313" s="8" t="str">
        <f>(IF((VLOOKUP(Table6[[#This Row],[SKU]],'All Skus'!$A:$AC,2,FALSE))="JBL",(VLOOKUP(Table6[[#This Row],[SKU]],'All Skus'!$A:$AC,9,FALSE)),""))</f>
        <v>Intellivox-DSX380, Amp@Bottom.  Made to Order Call for availability</v>
      </c>
      <c r="I313" s="101">
        <f>(IF((VLOOKUP(Table6[[#This Row],[SKU]],'All Skus'!$A:$AC,2,FALSE))="JBL",(VLOOKUP(Table6[[#This Row],[SKU]],'All Skus'!$A:$AC,10,FALSE)),""))</f>
        <v>18338.61</v>
      </c>
      <c r="J313" s="101">
        <f>(IF((VLOOKUP(Table6[[#This Row],[SKU]],'All Skus'!$A:$AC,2,FALSE))="JBL",(VLOOKUP(Table6[[#This Row],[SKU]],'All Skus'!$A:$AC,11,FALSE)),""))</f>
        <v>18338</v>
      </c>
      <c r="K313" s="102">
        <f>(IF((VLOOKUP(Table6[[#This Row],[SKU]],'All Skus'!$A:$AC,2,FALSE))="JBL",(VLOOKUP(Table6[[#This Row],[SKU]],'All Skus'!$A:$AC,13,FALSE)),""))</f>
        <v>0</v>
      </c>
      <c r="L313" s="102">
        <f>(IF((VLOOKUP(Table6[[#This Row],[SKU]],'All Skus'!$A:$AC,2,FALSE))="JBL",(VLOOKUP(Table6[[#This Row],[SKU]],'All Skus'!$A:$AC,14,FALSE)),""))</f>
        <v>0</v>
      </c>
      <c r="M313" s="143">
        <f>(IF((VLOOKUP(Table6[[#This Row],[SKU]],'All Skus'!$A:$AC,2,FALSE))="JBL",(VLOOKUP(Table6[[#This Row],[SKU]],'All Skus'!$A:$AC,15,FALSE)),""))</f>
        <v>0</v>
      </c>
      <c r="N313" s="137">
        <f>(IF((VLOOKUP(Table6[[#This Row],[SKU]],'All Skus'!$A:$AC,2,FALSE))="JBL",(VLOOKUP(Table6[[#This Row],[SKU]],'All Skus'!$A:$AC,16,FALSE)),""))</f>
        <v>691991012068</v>
      </c>
      <c r="O313" s="61">
        <f>(IF((VLOOKUP(Table6[[#This Row],[SKU]],'All Skus'!$A:$AC,2,FALSE))="JBL",(VLOOKUP(Table6[[#This Row],[SKU]],'All Skus'!$A:$AC,17,FALSE)),""))</f>
        <v>0</v>
      </c>
      <c r="P313" s="136">
        <f>(IF((VLOOKUP(Table6[[#This Row],[SKU]],'All Skus'!$A:$AC,2,FALSE))="JBL",(VLOOKUP(Table6[[#This Row],[SKU]],'All Skus'!$A:$AC,18,FALSE)),""))</f>
        <v>425</v>
      </c>
      <c r="Q313" s="136">
        <f>(IF((VLOOKUP(Table6[[#This Row],[SKU]],'All Skus'!$A:$AC,2,FALSE))="JBL",(VLOOKUP(Table6[[#This Row],[SKU]],'All Skus'!$A:$AC,19,FALSE)),""))</f>
        <v>185</v>
      </c>
      <c r="R313" s="136">
        <f>(IF((VLOOKUP(Table6[[#This Row],[SKU]],'All Skus'!$A:$AC,2,FALSE))="JBL",(VLOOKUP(Table6[[#This Row],[SKU]],'All Skus'!$A:$AC,20,FALSE)),""))</f>
        <v>6.5</v>
      </c>
      <c r="S313" s="61">
        <f>(IF((VLOOKUP(Table6[[#This Row],[SKU]],'All Skus'!$A:$AC,2,FALSE))="JBL",(VLOOKUP(Table6[[#This Row],[SKU]],'All Skus'!$A:$AC,21,FALSE)),""))</f>
        <v>10</v>
      </c>
      <c r="T313" s="61" t="str">
        <f>(IF((VLOOKUP(Table6[[#This Row],[SKU]],'All Skus'!$A:$AC,2,FALSE))="JBL",(VLOOKUP(Table6[[#This Row],[SKU]],'All Skus'!$A:$AC,22,FALSE)),""))</f>
        <v>HU</v>
      </c>
      <c r="U313">
        <f>(IF((VLOOKUP(Table6[[#This Row],[SKU]],'All Skus'!$A:$AC,2,FALSE))="JBL",(VLOOKUP(Table6[[#This Row],[SKU]],'All Skus'!$A:$AC,23,FALSE)),""))</f>
        <v>0</v>
      </c>
      <c r="V313" s="284" t="str">
        <f>HYPERLINK((IF((VLOOKUP(Table6[[#This Row],[SKU]],'All Skus'!$A:$AC,2,FALSE))="JBL",(VLOOKUP(Table6[[#This Row],[SKU]],'All Skus'!$A:$AC,24,FALSE)),"")))</f>
        <v/>
      </c>
      <c r="W313" s="151">
        <v>311</v>
      </c>
    </row>
    <row r="314" spans="1:23" ht="15" hidden="1" customHeight="1">
      <c r="A314" s="13" t="s">
        <v>1320</v>
      </c>
      <c r="B314" s="12" t="str">
        <f>(IF((VLOOKUP(Table6[[#This Row],[SKU]],'All Skus'!$A:$AC,2,FALSE))="JBL",(VLOOKUP(Table6[[#This Row],[SKU]],'All Skus'!$A:$AC,3,FALSE)),""))</f>
        <v>Intellivox 380 Series</v>
      </c>
      <c r="C314" s="12" t="str">
        <f>(IF((VLOOKUP(Table6[[#This Row],[SKU]],'All Skus'!$A:$AC,2,FALSE))="JBL",(VLOOKUP(Table6[[#This Row],[SKU]],'All Skus'!$A:$AC,4,FALSE)),""))</f>
        <v>IVX-587351</v>
      </c>
      <c r="D314" s="61" t="str">
        <f>(IF((VLOOKUP(Table6[[#This Row],[SKU]],'All Skus'!$A:$AC,2,FALSE))="JBL",(VLOOKUP(Table6[[#This Row],[SKU]],'All Skus'!$A:$AC,5,FALSE)),""))</f>
        <v>JBL053</v>
      </c>
      <c r="E314" s="137" t="str">
        <f>(IF((VLOOKUP(Table6[[#This Row],[SKU]],'All Skus'!$A:$AC,2,FALSE))="JBL",(VLOOKUP(Table6[[#This Row],[SKU]],'All Skus'!$A:$AC,6,FALSE)),""))</f>
        <v>YES</v>
      </c>
      <c r="F314" s="61">
        <f>(IF((VLOOKUP(Table6[[#This Row],[SKU]],'All Skus'!$A:$AC,2,FALSE))="JBL",(VLOOKUP(Table6[[#This Row],[SKU]],'All Skus'!$A:$AC,7,FALSE)),""))</f>
        <v>0</v>
      </c>
      <c r="G314" t="str">
        <f>(IF((VLOOKUP(Table6[[#This Row],[SKU]],'All Skus'!$A:$AC,2,FALSE))="JBL",(VLOOKUP(Table6[[#This Row],[SKU]],'All Skus'!$A:$AC,8,FALSE)),""))</f>
        <v>Intellivox-DSX380, Amp@Top</v>
      </c>
      <c r="H314" s="8" t="str">
        <f>(IF((VLOOKUP(Table6[[#This Row],[SKU]],'All Skus'!$A:$AC,2,FALSE))="JBL",(VLOOKUP(Table6[[#This Row],[SKU]],'All Skus'!$A:$AC,9,FALSE)),""))</f>
        <v>Intellivox-DSX380, Amp@Top.  Made to Order Call for availability</v>
      </c>
      <c r="I314" s="101">
        <f>(IF((VLOOKUP(Table6[[#This Row],[SKU]],'All Skus'!$A:$AC,2,FALSE))="JBL",(VLOOKUP(Table6[[#This Row],[SKU]],'All Skus'!$A:$AC,10,FALSE)),""))</f>
        <v>18338.61</v>
      </c>
      <c r="J314" s="101">
        <f>(IF((VLOOKUP(Table6[[#This Row],[SKU]],'All Skus'!$A:$AC,2,FALSE))="JBL",(VLOOKUP(Table6[[#This Row],[SKU]],'All Skus'!$A:$AC,11,FALSE)),""))</f>
        <v>18338</v>
      </c>
      <c r="K314" s="102">
        <f>(IF((VLOOKUP(Table6[[#This Row],[SKU]],'All Skus'!$A:$AC,2,FALSE))="JBL",(VLOOKUP(Table6[[#This Row],[SKU]],'All Skus'!$A:$AC,13,FALSE)),""))</f>
        <v>0</v>
      </c>
      <c r="L314" s="102">
        <f>(IF((VLOOKUP(Table6[[#This Row],[SKU]],'All Skus'!$A:$AC,2,FALSE))="JBL",(VLOOKUP(Table6[[#This Row],[SKU]],'All Skus'!$A:$AC,14,FALSE)),""))</f>
        <v>0</v>
      </c>
      <c r="M314" s="143">
        <f>(IF((VLOOKUP(Table6[[#This Row],[SKU]],'All Skus'!$A:$AC,2,FALSE))="JBL",(VLOOKUP(Table6[[#This Row],[SKU]],'All Skus'!$A:$AC,15,FALSE)),""))</f>
        <v>0</v>
      </c>
      <c r="N314" s="137">
        <f>(IF((VLOOKUP(Table6[[#This Row],[SKU]],'All Skus'!$A:$AC,2,FALSE))="JBL",(VLOOKUP(Table6[[#This Row],[SKU]],'All Skus'!$A:$AC,16,FALSE)),""))</f>
        <v>691991012075</v>
      </c>
      <c r="O314" s="61">
        <f>(IF((VLOOKUP(Table6[[#This Row],[SKU]],'All Skus'!$A:$AC,2,FALSE))="JBL",(VLOOKUP(Table6[[#This Row],[SKU]],'All Skus'!$A:$AC,17,FALSE)),""))</f>
        <v>0</v>
      </c>
      <c r="P314" s="136">
        <f>(IF((VLOOKUP(Table6[[#This Row],[SKU]],'All Skus'!$A:$AC,2,FALSE))="JBL",(VLOOKUP(Table6[[#This Row],[SKU]],'All Skus'!$A:$AC,18,FALSE)),""))</f>
        <v>0</v>
      </c>
      <c r="Q314" s="136">
        <f>(IF((VLOOKUP(Table6[[#This Row],[SKU]],'All Skus'!$A:$AC,2,FALSE))="JBL",(VLOOKUP(Table6[[#This Row],[SKU]],'All Skus'!$A:$AC,19,FALSE)),""))</f>
        <v>0</v>
      </c>
      <c r="R314" s="136">
        <f>(IF((VLOOKUP(Table6[[#This Row],[SKU]],'All Skus'!$A:$AC,2,FALSE))="JBL",(VLOOKUP(Table6[[#This Row],[SKU]],'All Skus'!$A:$AC,20,FALSE)),""))</f>
        <v>0</v>
      </c>
      <c r="S314" s="61">
        <f>(IF((VLOOKUP(Table6[[#This Row],[SKU]],'All Skus'!$A:$AC,2,FALSE))="JBL",(VLOOKUP(Table6[[#This Row],[SKU]],'All Skus'!$A:$AC,21,FALSE)),""))</f>
        <v>0</v>
      </c>
      <c r="T314" s="61" t="str">
        <f>(IF((VLOOKUP(Table6[[#This Row],[SKU]],'All Skus'!$A:$AC,2,FALSE))="JBL",(VLOOKUP(Table6[[#This Row],[SKU]],'All Skus'!$A:$AC,22,FALSE)),""))</f>
        <v>ZZ</v>
      </c>
      <c r="U314">
        <f>(IF((VLOOKUP(Table6[[#This Row],[SKU]],'All Skus'!$A:$AC,2,FALSE))="JBL",(VLOOKUP(Table6[[#This Row],[SKU]],'All Skus'!$A:$AC,23,FALSE)),""))</f>
        <v>0</v>
      </c>
      <c r="V314" s="284" t="str">
        <f>HYPERLINK((IF((VLOOKUP(Table6[[#This Row],[SKU]],'All Skus'!$A:$AC,2,FALSE))="JBL",(VLOOKUP(Table6[[#This Row],[SKU]],'All Skus'!$A:$AC,24,FALSE)),"")))</f>
        <v/>
      </c>
      <c r="W314" s="151">
        <v>312</v>
      </c>
    </row>
    <row r="315" spans="1:23" ht="15" hidden="1" customHeight="1">
      <c r="A315" s="91" t="s">
        <v>1321</v>
      </c>
      <c r="B315" s="12">
        <f>(IF((VLOOKUP(Table6[[#This Row],[SKU]],'All Skus'!$A:$AC,2,FALSE))="JBL",(VLOOKUP(Table6[[#This Row],[SKU]],'All Skus'!$A:$AC,3,FALSE)),""))</f>
        <v>0</v>
      </c>
      <c r="C315" s="12">
        <f>(IF((VLOOKUP(Table6[[#This Row],[SKU]],'All Skus'!$A:$AC,2,FALSE))="JBL",(VLOOKUP(Table6[[#This Row],[SKU]],'All Skus'!$A:$AC,4,FALSE)),""))</f>
        <v>0</v>
      </c>
      <c r="D315" s="61">
        <f>(IF((VLOOKUP(Table6[[#This Row],[SKU]],'All Skus'!$A:$AC,2,FALSE))="JBL",(VLOOKUP(Table6[[#This Row],[SKU]],'All Skus'!$A:$AC,5,FALSE)),""))</f>
        <v>0</v>
      </c>
      <c r="E315" s="137">
        <f>(IF((VLOOKUP(Table6[[#This Row],[SKU]],'All Skus'!$A:$AC,2,FALSE))="JBL",(VLOOKUP(Table6[[#This Row],[SKU]],'All Skus'!$A:$AC,6,FALSE)),""))</f>
        <v>0</v>
      </c>
      <c r="F315" s="61">
        <f>(IF((VLOOKUP(Table6[[#This Row],[SKU]],'All Skus'!$A:$AC,2,FALSE))="JBL",(VLOOKUP(Table6[[#This Row],[SKU]],'All Skus'!$A:$AC,7,FALSE)),""))</f>
        <v>0</v>
      </c>
      <c r="G315">
        <f>(IF((VLOOKUP(Table6[[#This Row],[SKU]],'All Skus'!$A:$AC,2,FALSE))="JBL",(VLOOKUP(Table6[[#This Row],[SKU]],'All Skus'!$A:$AC,8,FALSE)),""))</f>
        <v>0</v>
      </c>
      <c r="H315" s="8" t="str">
        <f>(IF((VLOOKUP(Table6[[#This Row],[SKU]],'All Skus'!$A:$AC,2,FALSE))="JBL",(VLOOKUP(Table6[[#This Row],[SKU]],'All Skus'!$A:$AC,9,FALSE)),""))</f>
        <v>.  Made to Order Call for availability</v>
      </c>
      <c r="I315" s="101">
        <f>(IF((VLOOKUP(Table6[[#This Row],[SKU]],'All Skus'!$A:$AC,2,FALSE))="JBL",(VLOOKUP(Table6[[#This Row],[SKU]],'All Skus'!$A:$AC,10,FALSE)),""))</f>
        <v>0</v>
      </c>
      <c r="J315" s="101">
        <f>(IF((VLOOKUP(Table6[[#This Row],[SKU]],'All Skus'!$A:$AC,2,FALSE))="JBL",(VLOOKUP(Table6[[#This Row],[SKU]],'All Skus'!$A:$AC,11,FALSE)),""))</f>
        <v>0</v>
      </c>
      <c r="K315" s="102">
        <f>(IF((VLOOKUP(Table6[[#This Row],[SKU]],'All Skus'!$A:$AC,2,FALSE))="JBL",(VLOOKUP(Table6[[#This Row],[SKU]],'All Skus'!$A:$AC,13,FALSE)),""))</f>
        <v>0</v>
      </c>
      <c r="L315" s="102">
        <f>(IF((VLOOKUP(Table6[[#This Row],[SKU]],'All Skus'!$A:$AC,2,FALSE))="JBL",(VLOOKUP(Table6[[#This Row],[SKU]],'All Skus'!$A:$AC,14,FALSE)),""))</f>
        <v>0</v>
      </c>
      <c r="M315" s="143">
        <f>(IF((VLOOKUP(Table6[[#This Row],[SKU]],'All Skus'!$A:$AC,2,FALSE))="JBL",(VLOOKUP(Table6[[#This Row],[SKU]],'All Skus'!$A:$AC,15,FALSE)),""))</f>
        <v>0</v>
      </c>
      <c r="N315" s="137">
        <f>(IF((VLOOKUP(Table6[[#This Row],[SKU]],'All Skus'!$A:$AC,2,FALSE))="JBL",(VLOOKUP(Table6[[#This Row],[SKU]],'All Skus'!$A:$AC,16,FALSE)),""))</f>
        <v>0</v>
      </c>
      <c r="O315" s="61">
        <f>(IF((VLOOKUP(Table6[[#This Row],[SKU]],'All Skus'!$A:$AC,2,FALSE))="JBL",(VLOOKUP(Table6[[#This Row],[SKU]],'All Skus'!$A:$AC,17,FALSE)),""))</f>
        <v>0</v>
      </c>
      <c r="P315" s="136">
        <f>(IF((VLOOKUP(Table6[[#This Row],[SKU]],'All Skus'!$A:$AC,2,FALSE))="JBL",(VLOOKUP(Table6[[#This Row],[SKU]],'All Skus'!$A:$AC,18,FALSE)),""))</f>
        <v>0</v>
      </c>
      <c r="Q315" s="136">
        <f>(IF((VLOOKUP(Table6[[#This Row],[SKU]],'All Skus'!$A:$AC,2,FALSE))="JBL",(VLOOKUP(Table6[[#This Row],[SKU]],'All Skus'!$A:$AC,19,FALSE)),""))</f>
        <v>0</v>
      </c>
      <c r="R315" s="136">
        <f>(IF((VLOOKUP(Table6[[#This Row],[SKU]],'All Skus'!$A:$AC,2,FALSE))="JBL",(VLOOKUP(Table6[[#This Row],[SKU]],'All Skus'!$A:$AC,20,FALSE)),""))</f>
        <v>0</v>
      </c>
      <c r="S315" s="61">
        <f>(IF((VLOOKUP(Table6[[#This Row],[SKU]],'All Skus'!$A:$AC,2,FALSE))="JBL",(VLOOKUP(Table6[[#This Row],[SKU]],'All Skus'!$A:$AC,21,FALSE)),""))</f>
        <v>0</v>
      </c>
      <c r="T315" s="61">
        <f>(IF((VLOOKUP(Table6[[#This Row],[SKU]],'All Skus'!$A:$AC,2,FALSE))="JBL",(VLOOKUP(Table6[[#This Row],[SKU]],'All Skus'!$A:$AC,22,FALSE)),""))</f>
        <v>0</v>
      </c>
      <c r="U315">
        <f>(IF((VLOOKUP(Table6[[#This Row],[SKU]],'All Skus'!$A:$AC,2,FALSE))="JBL",(VLOOKUP(Table6[[#This Row],[SKU]],'All Skus'!$A:$AC,23,FALSE)),""))</f>
        <v>0</v>
      </c>
      <c r="V315" s="284" t="str">
        <f>HYPERLINK((IF((VLOOKUP(Table6[[#This Row],[SKU]],'All Skus'!$A:$AC,2,FALSE))="JBL",(VLOOKUP(Table6[[#This Row],[SKU]],'All Skus'!$A:$AC,24,FALSE)),"")))</f>
        <v/>
      </c>
      <c r="W315" s="151">
        <v>313</v>
      </c>
    </row>
    <row r="316" spans="1:23" ht="15" hidden="1" customHeight="1">
      <c r="A316" s="13" t="s">
        <v>1322</v>
      </c>
      <c r="B316" s="12" t="str">
        <f>(IF((VLOOKUP(Table6[[#This Row],[SKU]],'All Skus'!$A:$AC,2,FALSE))="JBL",(VLOOKUP(Table6[[#This Row],[SKU]],'All Skus'!$A:$AC,3,FALSE)),""))</f>
        <v>Intellivox 280HD Series Loudspeakers</v>
      </c>
      <c r="C316" s="12" t="str">
        <f>(IF((VLOOKUP(Table6[[#This Row],[SKU]],'All Skus'!$A:$AC,2,FALSE))="JBL",(VLOOKUP(Table6[[#This Row],[SKU]],'All Skus'!$A:$AC,4,FALSE)),""))</f>
        <v>IVX-587480</v>
      </c>
      <c r="D316" s="61" t="str">
        <f>(IF((VLOOKUP(Table6[[#This Row],[SKU]],'All Skus'!$A:$AC,2,FALSE))="JBL",(VLOOKUP(Table6[[#This Row],[SKU]],'All Skus'!$A:$AC,5,FALSE)),""))</f>
        <v>JBL053</v>
      </c>
      <c r="E316" s="137" t="str">
        <f>(IF((VLOOKUP(Table6[[#This Row],[SKU]],'All Skus'!$A:$AC,2,FALSE))="JBL",(VLOOKUP(Table6[[#This Row],[SKU]],'All Skus'!$A:$AC,6,FALSE)),""))</f>
        <v>YES</v>
      </c>
      <c r="F316" s="61">
        <f>(IF((VLOOKUP(Table6[[#This Row],[SKU]],'All Skus'!$A:$AC,2,FALSE))="JBL",(VLOOKUP(Table6[[#This Row],[SKU]],'All Skus'!$A:$AC,7,FALSE)),""))</f>
        <v>0</v>
      </c>
      <c r="G316" t="str">
        <f>(IF((VLOOKUP(Table6[[#This Row],[SKU]],'All Skus'!$A:$AC,2,FALSE))="JBL",(VLOOKUP(Table6[[#This Row],[SKU]],'All Skus'!$A:$AC,8,FALSE)),""))</f>
        <v>Intellivox-DSX280HD, Amp@Bottom</v>
      </c>
      <c r="H316" s="8" t="str">
        <f>(IF((VLOOKUP(Table6[[#This Row],[SKU]],'All Skus'!$A:$AC,2,FALSE))="JBL",(VLOOKUP(Table6[[#This Row],[SKU]],'All Skus'!$A:$AC,9,FALSE)),""))</f>
        <v>Intellivox-DSX280HD, Amp@Bottom.  Made to Order Call for availability</v>
      </c>
      <c r="I316" s="101">
        <f>(IF((VLOOKUP(Table6[[#This Row],[SKU]],'All Skus'!$A:$AC,2,FALSE))="JBL",(VLOOKUP(Table6[[#This Row],[SKU]],'All Skus'!$A:$AC,10,FALSE)),""))</f>
        <v>12958.88</v>
      </c>
      <c r="J316" s="101">
        <f>(IF((VLOOKUP(Table6[[#This Row],[SKU]],'All Skus'!$A:$AC,2,FALSE))="JBL",(VLOOKUP(Table6[[#This Row],[SKU]],'All Skus'!$A:$AC,11,FALSE)),""))</f>
        <v>12958</v>
      </c>
      <c r="K316" s="102">
        <f>(IF((VLOOKUP(Table6[[#This Row],[SKU]],'All Skus'!$A:$AC,2,FALSE))="JBL",(VLOOKUP(Table6[[#This Row],[SKU]],'All Skus'!$A:$AC,13,FALSE)),""))</f>
        <v>0</v>
      </c>
      <c r="L316" s="102">
        <f>(IF((VLOOKUP(Table6[[#This Row],[SKU]],'All Skus'!$A:$AC,2,FALSE))="JBL",(VLOOKUP(Table6[[#This Row],[SKU]],'All Skus'!$A:$AC,14,FALSE)),""))</f>
        <v>0</v>
      </c>
      <c r="M316" s="143">
        <f>(IF((VLOOKUP(Table6[[#This Row],[SKU]],'All Skus'!$A:$AC,2,FALSE))="JBL",(VLOOKUP(Table6[[#This Row],[SKU]],'All Skus'!$A:$AC,15,FALSE)),""))</f>
        <v>0</v>
      </c>
      <c r="N316" s="137">
        <f>(IF((VLOOKUP(Table6[[#This Row],[SKU]],'All Skus'!$A:$AC,2,FALSE))="JBL",(VLOOKUP(Table6[[#This Row],[SKU]],'All Skus'!$A:$AC,16,FALSE)),""))</f>
        <v>0</v>
      </c>
      <c r="O316" s="61">
        <f>(IF((VLOOKUP(Table6[[#This Row],[SKU]],'All Skus'!$A:$AC,2,FALSE))="JBL",(VLOOKUP(Table6[[#This Row],[SKU]],'All Skus'!$A:$AC,17,FALSE)),""))</f>
        <v>0</v>
      </c>
      <c r="P316" s="136">
        <f>(IF((VLOOKUP(Table6[[#This Row],[SKU]],'All Skus'!$A:$AC,2,FALSE))="JBL",(VLOOKUP(Table6[[#This Row],[SKU]],'All Skus'!$A:$AC,18,FALSE)),""))</f>
        <v>0</v>
      </c>
      <c r="Q316" s="136">
        <f>(IF((VLOOKUP(Table6[[#This Row],[SKU]],'All Skus'!$A:$AC,2,FALSE))="JBL",(VLOOKUP(Table6[[#This Row],[SKU]],'All Skus'!$A:$AC,19,FALSE)),""))</f>
        <v>0</v>
      </c>
      <c r="R316" s="136">
        <f>(IF((VLOOKUP(Table6[[#This Row],[SKU]],'All Skus'!$A:$AC,2,FALSE))="JBL",(VLOOKUP(Table6[[#This Row],[SKU]],'All Skus'!$A:$AC,20,FALSE)),""))</f>
        <v>0</v>
      </c>
      <c r="S316" s="61">
        <f>(IF((VLOOKUP(Table6[[#This Row],[SKU]],'All Skus'!$A:$AC,2,FALSE))="JBL",(VLOOKUP(Table6[[#This Row],[SKU]],'All Skus'!$A:$AC,21,FALSE)),""))</f>
        <v>0</v>
      </c>
      <c r="T316" s="61" t="str">
        <f>(IF((VLOOKUP(Table6[[#This Row],[SKU]],'All Skus'!$A:$AC,2,FALSE))="JBL",(VLOOKUP(Table6[[#This Row],[SKU]],'All Skus'!$A:$AC,22,FALSE)),""))</f>
        <v>HU</v>
      </c>
      <c r="U316">
        <f>(IF((VLOOKUP(Table6[[#This Row],[SKU]],'All Skus'!$A:$AC,2,FALSE))="JBL",(VLOOKUP(Table6[[#This Row],[SKU]],'All Skus'!$A:$AC,23,FALSE)),""))</f>
        <v>0</v>
      </c>
      <c r="V316" s="284" t="str">
        <f>HYPERLINK((IF((VLOOKUP(Table6[[#This Row],[SKU]],'All Skus'!$A:$AC,2,FALSE))="JBL",(VLOOKUP(Table6[[#This Row],[SKU]],'All Skus'!$A:$AC,24,FALSE)),"")))</f>
        <v/>
      </c>
      <c r="W316" s="151">
        <v>314</v>
      </c>
    </row>
    <row r="317" spans="1:23" ht="15" hidden="1" customHeight="1">
      <c r="A317" s="13" t="s">
        <v>1323</v>
      </c>
      <c r="B317" s="12" t="str">
        <f>(IF((VLOOKUP(Table6[[#This Row],[SKU]],'All Skus'!$A:$AC,2,FALSE))="JBL",(VLOOKUP(Table6[[#This Row],[SKU]],'All Skus'!$A:$AC,3,FALSE)),""))</f>
        <v>Intellivox 280HD Series Loudspeakers</v>
      </c>
      <c r="C317" s="12" t="str">
        <f>(IF((VLOOKUP(Table6[[#This Row],[SKU]],'All Skus'!$A:$AC,2,FALSE))="JBL",(VLOOKUP(Table6[[#This Row],[SKU]],'All Skus'!$A:$AC,4,FALSE)),""))</f>
        <v>IVX-587481</v>
      </c>
      <c r="D317" s="61" t="str">
        <f>(IF((VLOOKUP(Table6[[#This Row],[SKU]],'All Skus'!$A:$AC,2,FALSE))="JBL",(VLOOKUP(Table6[[#This Row],[SKU]],'All Skus'!$A:$AC,5,FALSE)),""))</f>
        <v>JBL053</v>
      </c>
      <c r="E317" s="137" t="str">
        <f>(IF((VLOOKUP(Table6[[#This Row],[SKU]],'All Skus'!$A:$AC,2,FALSE))="JBL",(VLOOKUP(Table6[[#This Row],[SKU]],'All Skus'!$A:$AC,6,FALSE)),""))</f>
        <v>YES</v>
      </c>
      <c r="F317" s="61">
        <f>(IF((VLOOKUP(Table6[[#This Row],[SKU]],'All Skus'!$A:$AC,2,FALSE))="JBL",(VLOOKUP(Table6[[#This Row],[SKU]],'All Skus'!$A:$AC,7,FALSE)),""))</f>
        <v>0</v>
      </c>
      <c r="G317" t="str">
        <f>(IF((VLOOKUP(Table6[[#This Row],[SKU]],'All Skus'!$A:$AC,2,FALSE))="JBL",(VLOOKUP(Table6[[#This Row],[SKU]],'All Skus'!$A:$AC,8,FALSE)),""))</f>
        <v>Intellivox-DSX280HD, Amp@Top</v>
      </c>
      <c r="H317" s="8" t="str">
        <f>(IF((VLOOKUP(Table6[[#This Row],[SKU]],'All Skus'!$A:$AC,2,FALSE))="JBL",(VLOOKUP(Table6[[#This Row],[SKU]],'All Skus'!$A:$AC,9,FALSE)),""))</f>
        <v>Intellivox-DSX280HD, Amp@Top.  Made to Order Call for availability</v>
      </c>
      <c r="I317" s="101">
        <f>(IF((VLOOKUP(Table6[[#This Row],[SKU]],'All Skus'!$A:$AC,2,FALSE))="JBL",(VLOOKUP(Table6[[#This Row],[SKU]],'All Skus'!$A:$AC,10,FALSE)),""))</f>
        <v>12958.88</v>
      </c>
      <c r="J317" s="101">
        <f>(IF((VLOOKUP(Table6[[#This Row],[SKU]],'All Skus'!$A:$AC,2,FALSE))="JBL",(VLOOKUP(Table6[[#This Row],[SKU]],'All Skus'!$A:$AC,11,FALSE)),""))</f>
        <v>12958</v>
      </c>
      <c r="K317" s="102">
        <f>(IF((VLOOKUP(Table6[[#This Row],[SKU]],'All Skus'!$A:$AC,2,FALSE))="JBL",(VLOOKUP(Table6[[#This Row],[SKU]],'All Skus'!$A:$AC,13,FALSE)),""))</f>
        <v>0</v>
      </c>
      <c r="L317" s="102">
        <f>(IF((VLOOKUP(Table6[[#This Row],[SKU]],'All Skus'!$A:$AC,2,FALSE))="JBL",(VLOOKUP(Table6[[#This Row],[SKU]],'All Skus'!$A:$AC,14,FALSE)),""))</f>
        <v>0</v>
      </c>
      <c r="M317" s="143">
        <f>(IF((VLOOKUP(Table6[[#This Row],[SKU]],'All Skus'!$A:$AC,2,FALSE))="JBL",(VLOOKUP(Table6[[#This Row],[SKU]],'All Skus'!$A:$AC,15,FALSE)),""))</f>
        <v>0</v>
      </c>
      <c r="N317" s="137">
        <f>(IF((VLOOKUP(Table6[[#This Row],[SKU]],'All Skus'!$A:$AC,2,FALSE))="JBL",(VLOOKUP(Table6[[#This Row],[SKU]],'All Skus'!$A:$AC,16,FALSE)),""))</f>
        <v>0</v>
      </c>
      <c r="O317" s="61">
        <f>(IF((VLOOKUP(Table6[[#This Row],[SKU]],'All Skus'!$A:$AC,2,FALSE))="JBL",(VLOOKUP(Table6[[#This Row],[SKU]],'All Skus'!$A:$AC,17,FALSE)),""))</f>
        <v>0</v>
      </c>
      <c r="P317" s="136">
        <f>(IF((VLOOKUP(Table6[[#This Row],[SKU]],'All Skus'!$A:$AC,2,FALSE))="JBL",(VLOOKUP(Table6[[#This Row],[SKU]],'All Skus'!$A:$AC,18,FALSE)),""))</f>
        <v>0</v>
      </c>
      <c r="Q317" s="136">
        <f>(IF((VLOOKUP(Table6[[#This Row],[SKU]],'All Skus'!$A:$AC,2,FALSE))="JBL",(VLOOKUP(Table6[[#This Row],[SKU]],'All Skus'!$A:$AC,19,FALSE)),""))</f>
        <v>0</v>
      </c>
      <c r="R317" s="136">
        <f>(IF((VLOOKUP(Table6[[#This Row],[SKU]],'All Skus'!$A:$AC,2,FALSE))="JBL",(VLOOKUP(Table6[[#This Row],[SKU]],'All Skus'!$A:$AC,20,FALSE)),""))</f>
        <v>0</v>
      </c>
      <c r="S317" s="61">
        <f>(IF((VLOOKUP(Table6[[#This Row],[SKU]],'All Skus'!$A:$AC,2,FALSE))="JBL",(VLOOKUP(Table6[[#This Row],[SKU]],'All Skus'!$A:$AC,21,FALSE)),""))</f>
        <v>0</v>
      </c>
      <c r="T317" s="61" t="str">
        <f>(IF((VLOOKUP(Table6[[#This Row],[SKU]],'All Skus'!$A:$AC,2,FALSE))="JBL",(VLOOKUP(Table6[[#This Row],[SKU]],'All Skus'!$A:$AC,22,FALSE)),""))</f>
        <v>ZZ</v>
      </c>
      <c r="U317">
        <f>(IF((VLOOKUP(Table6[[#This Row],[SKU]],'All Skus'!$A:$AC,2,FALSE))="JBL",(VLOOKUP(Table6[[#This Row],[SKU]],'All Skus'!$A:$AC,23,FALSE)),""))</f>
        <v>0</v>
      </c>
      <c r="V317" s="284" t="str">
        <f>HYPERLINK((IF((VLOOKUP(Table6[[#This Row],[SKU]],'All Skus'!$A:$AC,2,FALSE))="JBL",(VLOOKUP(Table6[[#This Row],[SKU]],'All Skus'!$A:$AC,24,FALSE)),"")))</f>
        <v/>
      </c>
      <c r="W317" s="151">
        <v>315</v>
      </c>
    </row>
    <row r="318" spans="1:23" ht="15" hidden="1" customHeight="1">
      <c r="A318" s="13" t="s">
        <v>1324</v>
      </c>
      <c r="B318" s="12" t="str">
        <f>(IF((VLOOKUP(Table6[[#This Row],[SKU]],'All Skus'!$A:$AC,2,FALSE))="JBL",(VLOOKUP(Table6[[#This Row],[SKU]],'All Skus'!$A:$AC,3,FALSE)),""))</f>
        <v>Intellivox High Power</v>
      </c>
      <c r="C318" s="12" t="str">
        <f>(IF((VLOOKUP(Table6[[#This Row],[SKU]],'All Skus'!$A:$AC,2,FALSE))="JBL",(VLOOKUP(Table6[[#This Row],[SKU]],'All Skus'!$A:$AC,4,FALSE)),""))</f>
        <v>IVX-587870</v>
      </c>
      <c r="D318" s="61" t="str">
        <f>(IF((VLOOKUP(Table6[[#This Row],[SKU]],'All Skus'!$A:$AC,2,FALSE))="JBL",(VLOOKUP(Table6[[#This Row],[SKU]],'All Skus'!$A:$AC,5,FALSE)),""))</f>
        <v>JBL053</v>
      </c>
      <c r="E318" s="137" t="str">
        <f>(IF((VLOOKUP(Table6[[#This Row],[SKU]],'All Skus'!$A:$AC,2,FALSE))="JBL",(VLOOKUP(Table6[[#This Row],[SKU]],'All Skus'!$A:$AC,6,FALSE)),""))</f>
        <v>YES</v>
      </c>
      <c r="F318" s="61">
        <f>(IF((VLOOKUP(Table6[[#This Row],[SKU]],'All Skus'!$A:$AC,2,FALSE))="JBL",(VLOOKUP(Table6[[#This Row],[SKU]],'All Skus'!$A:$AC,7,FALSE)),""))</f>
        <v>0</v>
      </c>
      <c r="G318" t="str">
        <f>(IF((VLOOKUP(Table6[[#This Row],[SKU]],'All Skus'!$A:$AC,2,FALSE))="JBL",(VLOOKUP(Table6[[#This Row],[SKU]],'All Skus'!$A:$AC,8,FALSE)),""))</f>
        <v>Intellivox-HP-DS170, High Power</v>
      </c>
      <c r="H318" s="8" t="str">
        <f>(IF((VLOOKUP(Table6[[#This Row],[SKU]],'All Skus'!$A:$AC,2,FALSE))="JBL",(VLOOKUP(Table6[[#This Row],[SKU]],'All Skus'!$A:$AC,9,FALSE)),""))</f>
        <v>Intellivox-HP-DS170, High Power.  Made to Order Call for availability</v>
      </c>
      <c r="I318" s="101">
        <f>(IF((VLOOKUP(Table6[[#This Row],[SKU]],'All Skus'!$A:$AC,2,FALSE))="JBL",(VLOOKUP(Table6[[#This Row],[SKU]],'All Skus'!$A:$AC,10,FALSE)),""))</f>
        <v>14297.44</v>
      </c>
      <c r="J318" s="101">
        <f>(IF((VLOOKUP(Table6[[#This Row],[SKU]],'All Skus'!$A:$AC,2,FALSE))="JBL",(VLOOKUP(Table6[[#This Row],[SKU]],'All Skus'!$A:$AC,11,FALSE)),""))</f>
        <v>14297</v>
      </c>
      <c r="K318" s="102">
        <f>(IF((VLOOKUP(Table6[[#This Row],[SKU]],'All Skus'!$A:$AC,2,FALSE))="JBL",(VLOOKUP(Table6[[#This Row],[SKU]],'All Skus'!$A:$AC,13,FALSE)),""))</f>
        <v>0</v>
      </c>
      <c r="L318" s="102">
        <f>(IF((VLOOKUP(Table6[[#This Row],[SKU]],'All Skus'!$A:$AC,2,FALSE))="JBL",(VLOOKUP(Table6[[#This Row],[SKU]],'All Skus'!$A:$AC,14,FALSE)),""))</f>
        <v>0</v>
      </c>
      <c r="M318" s="143">
        <f>(IF((VLOOKUP(Table6[[#This Row],[SKU]],'All Skus'!$A:$AC,2,FALSE))="JBL",(VLOOKUP(Table6[[#This Row],[SKU]],'All Skus'!$A:$AC,15,FALSE)),""))</f>
        <v>0</v>
      </c>
      <c r="N318" s="137">
        <f>(IF((VLOOKUP(Table6[[#This Row],[SKU]],'All Skus'!$A:$AC,2,FALSE))="JBL",(VLOOKUP(Table6[[#This Row],[SKU]],'All Skus'!$A:$AC,16,FALSE)),""))</f>
        <v>0</v>
      </c>
      <c r="O318" s="61">
        <f>(IF((VLOOKUP(Table6[[#This Row],[SKU]],'All Skus'!$A:$AC,2,FALSE))="JBL",(VLOOKUP(Table6[[#This Row],[SKU]],'All Skus'!$A:$AC,17,FALSE)),""))</f>
        <v>0</v>
      </c>
      <c r="P318" s="136">
        <f>(IF((VLOOKUP(Table6[[#This Row],[SKU]],'All Skus'!$A:$AC,2,FALSE))="JBL",(VLOOKUP(Table6[[#This Row],[SKU]],'All Skus'!$A:$AC,18,FALSE)),""))</f>
        <v>0</v>
      </c>
      <c r="Q318" s="136">
        <f>(IF((VLOOKUP(Table6[[#This Row],[SKU]],'All Skus'!$A:$AC,2,FALSE))="JBL",(VLOOKUP(Table6[[#This Row],[SKU]],'All Skus'!$A:$AC,19,FALSE)),""))</f>
        <v>0</v>
      </c>
      <c r="R318" s="136">
        <f>(IF((VLOOKUP(Table6[[#This Row],[SKU]],'All Skus'!$A:$AC,2,FALSE))="JBL",(VLOOKUP(Table6[[#This Row],[SKU]],'All Skus'!$A:$AC,20,FALSE)),""))</f>
        <v>0</v>
      </c>
      <c r="S318" s="61">
        <f>(IF((VLOOKUP(Table6[[#This Row],[SKU]],'All Skus'!$A:$AC,2,FALSE))="JBL",(VLOOKUP(Table6[[#This Row],[SKU]],'All Skus'!$A:$AC,21,FALSE)),""))</f>
        <v>0</v>
      </c>
      <c r="T318" s="61" t="str">
        <f>(IF((VLOOKUP(Table6[[#This Row],[SKU]],'All Skus'!$A:$AC,2,FALSE))="JBL",(VLOOKUP(Table6[[#This Row],[SKU]],'All Skus'!$A:$AC,22,FALSE)),""))</f>
        <v>HU</v>
      </c>
      <c r="U318">
        <f>(IF((VLOOKUP(Table6[[#This Row],[SKU]],'All Skus'!$A:$AC,2,FALSE))="JBL",(VLOOKUP(Table6[[#This Row],[SKU]],'All Skus'!$A:$AC,23,FALSE)),""))</f>
        <v>0</v>
      </c>
      <c r="V318" s="284" t="str">
        <f>HYPERLINK((IF((VLOOKUP(Table6[[#This Row],[SKU]],'All Skus'!$A:$AC,2,FALSE))="JBL",(VLOOKUP(Table6[[#This Row],[SKU]],'All Skus'!$A:$AC,24,FALSE)),"")))</f>
        <v/>
      </c>
      <c r="W318" s="151">
        <v>316</v>
      </c>
    </row>
    <row r="319" spans="1:23" ht="15" hidden="1" customHeight="1">
      <c r="A319" s="13" t="s">
        <v>1325</v>
      </c>
      <c r="B319" s="12" t="str">
        <f>(IF((VLOOKUP(Table6[[#This Row],[SKU]],'All Skus'!$A:$AC,2,FALSE))="JBL",(VLOOKUP(Table6[[#This Row],[SKU]],'All Skus'!$A:$AC,3,FALSE)),""))</f>
        <v>Intellivox High Power</v>
      </c>
      <c r="C319" s="12" t="str">
        <f>(IF((VLOOKUP(Table6[[#This Row],[SKU]],'All Skus'!$A:$AC,2,FALSE))="JBL",(VLOOKUP(Table6[[#This Row],[SKU]],'All Skus'!$A:$AC,4,FALSE)),""))</f>
        <v>IVX-587890</v>
      </c>
      <c r="D319" s="61" t="str">
        <f>(IF((VLOOKUP(Table6[[#This Row],[SKU]],'All Skus'!$A:$AC,2,FALSE))="JBL",(VLOOKUP(Table6[[#This Row],[SKU]],'All Skus'!$A:$AC,5,FALSE)),""))</f>
        <v>JBL053</v>
      </c>
      <c r="E319" s="137" t="str">
        <f>(IF((VLOOKUP(Table6[[#This Row],[SKU]],'All Skus'!$A:$AC,2,FALSE))="JBL",(VLOOKUP(Table6[[#This Row],[SKU]],'All Skus'!$A:$AC,6,FALSE)),""))</f>
        <v>YES</v>
      </c>
      <c r="F319" s="61">
        <f>(IF((VLOOKUP(Table6[[#This Row],[SKU]],'All Skus'!$A:$AC,2,FALSE))="JBL",(VLOOKUP(Table6[[#This Row],[SKU]],'All Skus'!$A:$AC,7,FALSE)),""))</f>
        <v>0</v>
      </c>
      <c r="G319" t="str">
        <f>(IF((VLOOKUP(Table6[[#This Row],[SKU]],'All Skus'!$A:$AC,2,FALSE))="JBL",(VLOOKUP(Table6[[#This Row],[SKU]],'All Skus'!$A:$AC,8,FALSE)),""))</f>
        <v>Intellivox-HP-DS370, High Power</v>
      </c>
      <c r="H319" s="8" t="str">
        <f>(IF((VLOOKUP(Table6[[#This Row],[SKU]],'All Skus'!$A:$AC,2,FALSE))="JBL",(VLOOKUP(Table6[[#This Row],[SKU]],'All Skus'!$A:$AC,9,FALSE)),""))</f>
        <v>Intellivox-HP-DS370, High Power.  Made to Order Call for availability</v>
      </c>
      <c r="I319" s="101">
        <f>(IF((VLOOKUP(Table6[[#This Row],[SKU]],'All Skus'!$A:$AC,2,FALSE))="JBL",(VLOOKUP(Table6[[#This Row],[SKU]],'All Skus'!$A:$AC,10,FALSE)),""))</f>
        <v>31119.24</v>
      </c>
      <c r="J319" s="101">
        <f>(IF((VLOOKUP(Table6[[#This Row],[SKU]],'All Skus'!$A:$AC,2,FALSE))="JBL",(VLOOKUP(Table6[[#This Row],[SKU]],'All Skus'!$A:$AC,11,FALSE)),""))</f>
        <v>31119</v>
      </c>
      <c r="K319" s="102">
        <f>(IF((VLOOKUP(Table6[[#This Row],[SKU]],'All Skus'!$A:$AC,2,FALSE))="JBL",(VLOOKUP(Table6[[#This Row],[SKU]],'All Skus'!$A:$AC,13,FALSE)),""))</f>
        <v>0</v>
      </c>
      <c r="L319" s="102">
        <f>(IF((VLOOKUP(Table6[[#This Row],[SKU]],'All Skus'!$A:$AC,2,FALSE))="JBL",(VLOOKUP(Table6[[#This Row],[SKU]],'All Skus'!$A:$AC,14,FALSE)),""))</f>
        <v>0</v>
      </c>
      <c r="M319" s="143">
        <f>(IF((VLOOKUP(Table6[[#This Row],[SKU]],'All Skus'!$A:$AC,2,FALSE))="JBL",(VLOOKUP(Table6[[#This Row],[SKU]],'All Skus'!$A:$AC,15,FALSE)),""))</f>
        <v>0</v>
      </c>
      <c r="N319" s="137">
        <f>(IF((VLOOKUP(Table6[[#This Row],[SKU]],'All Skus'!$A:$AC,2,FALSE))="JBL",(VLOOKUP(Table6[[#This Row],[SKU]],'All Skus'!$A:$AC,16,FALSE)),""))</f>
        <v>691991012099</v>
      </c>
      <c r="O319" s="61">
        <f>(IF((VLOOKUP(Table6[[#This Row],[SKU]],'All Skus'!$A:$AC,2,FALSE))="JBL",(VLOOKUP(Table6[[#This Row],[SKU]],'All Skus'!$A:$AC,17,FALSE)),""))</f>
        <v>0</v>
      </c>
      <c r="P319" s="136">
        <f>(IF((VLOOKUP(Table6[[#This Row],[SKU]],'All Skus'!$A:$AC,2,FALSE))="JBL",(VLOOKUP(Table6[[#This Row],[SKU]],'All Skus'!$A:$AC,18,FALSE)),""))</f>
        <v>0</v>
      </c>
      <c r="Q319" s="136">
        <f>(IF((VLOOKUP(Table6[[#This Row],[SKU]],'All Skus'!$A:$AC,2,FALSE))="JBL",(VLOOKUP(Table6[[#This Row],[SKU]],'All Skus'!$A:$AC,19,FALSE)),""))</f>
        <v>0</v>
      </c>
      <c r="R319" s="136">
        <f>(IF((VLOOKUP(Table6[[#This Row],[SKU]],'All Skus'!$A:$AC,2,FALSE))="JBL",(VLOOKUP(Table6[[#This Row],[SKU]],'All Skus'!$A:$AC,20,FALSE)),""))</f>
        <v>0</v>
      </c>
      <c r="S319" s="61">
        <f>(IF((VLOOKUP(Table6[[#This Row],[SKU]],'All Skus'!$A:$AC,2,FALSE))="JBL",(VLOOKUP(Table6[[#This Row],[SKU]],'All Skus'!$A:$AC,21,FALSE)),""))</f>
        <v>0</v>
      </c>
      <c r="T319" s="61" t="str">
        <f>(IF((VLOOKUP(Table6[[#This Row],[SKU]],'All Skus'!$A:$AC,2,FALSE))="JBL",(VLOOKUP(Table6[[#This Row],[SKU]],'All Skus'!$A:$AC,22,FALSE)),""))</f>
        <v>HU</v>
      </c>
      <c r="U319">
        <f>(IF((VLOOKUP(Table6[[#This Row],[SKU]],'All Skus'!$A:$AC,2,FALSE))="JBL",(VLOOKUP(Table6[[#This Row],[SKU]],'All Skus'!$A:$AC,23,FALSE)),""))</f>
        <v>0</v>
      </c>
      <c r="V319" s="284" t="str">
        <f>HYPERLINK((IF((VLOOKUP(Table6[[#This Row],[SKU]],'All Skus'!$A:$AC,2,FALSE))="JBL",(VLOOKUP(Table6[[#This Row],[SKU]],'All Skus'!$A:$AC,24,FALSE)),"")))</f>
        <v/>
      </c>
      <c r="W319" s="151">
        <v>317</v>
      </c>
    </row>
    <row r="320" spans="1:23" ht="15" hidden="1" customHeight="1">
      <c r="A320" s="13" t="s">
        <v>1326</v>
      </c>
      <c r="B320" s="12" t="str">
        <f>(IF((VLOOKUP(Table6[[#This Row],[SKU]],'All Skus'!$A:$AC,2,FALSE))="JBL",(VLOOKUP(Table6[[#This Row],[SKU]],'All Skus'!$A:$AC,3,FALSE)),""))</f>
        <v>Intellivox and IntelliDisc Accessories</v>
      </c>
      <c r="C320" s="12" t="str">
        <f>(IF((VLOOKUP(Table6[[#This Row],[SKU]],'All Skus'!$A:$AC,2,FALSE))="JBL",(VLOOKUP(Table6[[#This Row],[SKU]],'All Skus'!$A:$AC,4,FALSE)),""))</f>
        <v>IVX-802000</v>
      </c>
      <c r="D320" s="61" t="str">
        <f>(IF((VLOOKUP(Table6[[#This Row],[SKU]],'All Skus'!$A:$AC,2,FALSE))="JBL",(VLOOKUP(Table6[[#This Row],[SKU]],'All Skus'!$A:$AC,5,FALSE)),""))</f>
        <v>JBL053</v>
      </c>
      <c r="E320" s="137" t="str">
        <f>(IF((VLOOKUP(Table6[[#This Row],[SKU]],'All Skus'!$A:$AC,2,FALSE))="JBL",(VLOOKUP(Table6[[#This Row],[SKU]],'All Skus'!$A:$AC,6,FALSE)),""))</f>
        <v>YES</v>
      </c>
      <c r="F320" s="61">
        <f>(IF((VLOOKUP(Table6[[#This Row],[SKU]],'All Skus'!$A:$AC,2,FALSE))="JBL",(VLOOKUP(Table6[[#This Row],[SKU]],'All Skus'!$A:$AC,7,FALSE)),""))</f>
        <v>0</v>
      </c>
      <c r="G320" t="str">
        <f>(IF((VLOOKUP(Table6[[#This Row],[SKU]],'All Skus'!$A:$AC,2,FALSE))="JBL",(VLOOKUP(Table6[[#This Row],[SKU]],'All Skus'!$A:$AC,8,FALSE)),""))</f>
        <v>Intellivox Hinge Bracket 90°, RAL9010</v>
      </c>
      <c r="H320" s="8" t="str">
        <f>(IF((VLOOKUP(Table6[[#This Row],[SKU]],'All Skus'!$A:$AC,2,FALSE))="JBL",(VLOOKUP(Table6[[#This Row],[SKU]],'All Skus'!$A:$AC,9,FALSE)),""))</f>
        <v>Intellivox Hinge Bracket 90°, RAL9010.  Made to Order Call for availability</v>
      </c>
      <c r="I320" s="101">
        <f>(IF((VLOOKUP(Table6[[#This Row],[SKU]],'All Skus'!$A:$AC,2,FALSE))="JBL",(VLOOKUP(Table6[[#This Row],[SKU]],'All Skus'!$A:$AC,10,FALSE)),""))</f>
        <v>110.33</v>
      </c>
      <c r="J320" s="101">
        <f>(IF((VLOOKUP(Table6[[#This Row],[SKU]],'All Skus'!$A:$AC,2,FALSE))="JBL",(VLOOKUP(Table6[[#This Row],[SKU]],'All Skus'!$A:$AC,11,FALSE)),""))</f>
        <v>110.33</v>
      </c>
      <c r="K320" s="102">
        <f>(IF((VLOOKUP(Table6[[#This Row],[SKU]],'All Skus'!$A:$AC,2,FALSE))="JBL",(VLOOKUP(Table6[[#This Row],[SKU]],'All Skus'!$A:$AC,13,FALSE)),""))</f>
        <v>0</v>
      </c>
      <c r="L320" s="102">
        <f>(IF((VLOOKUP(Table6[[#This Row],[SKU]],'All Skus'!$A:$AC,2,FALSE))="JBL",(VLOOKUP(Table6[[#This Row],[SKU]],'All Skus'!$A:$AC,14,FALSE)),""))</f>
        <v>0</v>
      </c>
      <c r="M320" s="143">
        <f>(IF((VLOOKUP(Table6[[#This Row],[SKU]],'All Skus'!$A:$AC,2,FALSE))="JBL",(VLOOKUP(Table6[[#This Row],[SKU]],'All Skus'!$A:$AC,15,FALSE)),""))</f>
        <v>0</v>
      </c>
      <c r="N320" s="137">
        <f>(IF((VLOOKUP(Table6[[#This Row],[SKU]],'All Skus'!$A:$AC,2,FALSE))="JBL",(VLOOKUP(Table6[[#This Row],[SKU]],'All Skus'!$A:$AC,16,FALSE)),""))</f>
        <v>691991012105</v>
      </c>
      <c r="O320" s="61">
        <f>(IF((VLOOKUP(Table6[[#This Row],[SKU]],'All Skus'!$A:$AC,2,FALSE))="JBL",(VLOOKUP(Table6[[#This Row],[SKU]],'All Skus'!$A:$AC,17,FALSE)),""))</f>
        <v>0</v>
      </c>
      <c r="P320" s="136">
        <f>(IF((VLOOKUP(Table6[[#This Row],[SKU]],'All Skus'!$A:$AC,2,FALSE))="JBL",(VLOOKUP(Table6[[#This Row],[SKU]],'All Skus'!$A:$AC,18,FALSE)),""))</f>
        <v>2</v>
      </c>
      <c r="Q320" s="136">
        <f>(IF((VLOOKUP(Table6[[#This Row],[SKU]],'All Skus'!$A:$AC,2,FALSE))="JBL",(VLOOKUP(Table6[[#This Row],[SKU]],'All Skus'!$A:$AC,19,FALSE)),""))</f>
        <v>9</v>
      </c>
      <c r="R320" s="136">
        <f>(IF((VLOOKUP(Table6[[#This Row],[SKU]],'All Skus'!$A:$AC,2,FALSE))="JBL",(VLOOKUP(Table6[[#This Row],[SKU]],'All Skus'!$A:$AC,20,FALSE)),""))</f>
        <v>7</v>
      </c>
      <c r="S320" s="61">
        <f>(IF((VLOOKUP(Table6[[#This Row],[SKU]],'All Skus'!$A:$AC,2,FALSE))="JBL",(VLOOKUP(Table6[[#This Row],[SKU]],'All Skus'!$A:$AC,21,FALSE)),""))</f>
        <v>2</v>
      </c>
      <c r="T320" s="61" t="str">
        <f>(IF((VLOOKUP(Table6[[#This Row],[SKU]],'All Skus'!$A:$AC,2,FALSE))="JBL",(VLOOKUP(Table6[[#This Row],[SKU]],'All Skus'!$A:$AC,22,FALSE)),""))</f>
        <v>HU</v>
      </c>
      <c r="U320">
        <f>(IF((VLOOKUP(Table6[[#This Row],[SKU]],'All Skus'!$A:$AC,2,FALSE))="JBL",(VLOOKUP(Table6[[#This Row],[SKU]],'All Skus'!$A:$AC,23,FALSE)),""))</f>
        <v>0</v>
      </c>
      <c r="V320" s="284" t="str">
        <f>HYPERLINK((IF((VLOOKUP(Table6[[#This Row],[SKU]],'All Skus'!$A:$AC,2,FALSE))="JBL",(VLOOKUP(Table6[[#This Row],[SKU]],'All Skus'!$A:$AC,24,FALSE)),"")))</f>
        <v/>
      </c>
      <c r="W320" s="151">
        <v>318</v>
      </c>
    </row>
    <row r="321" spans="1:23" ht="15" hidden="1" customHeight="1">
      <c r="A321" s="13" t="s">
        <v>1327</v>
      </c>
      <c r="B321" s="12" t="str">
        <f>(IF((VLOOKUP(Table6[[#This Row],[SKU]],'All Skus'!$A:$AC,2,FALSE))="JBL",(VLOOKUP(Table6[[#This Row],[SKU]],'All Skus'!$A:$AC,3,FALSE)),""))</f>
        <v>Intellivox Accessories</v>
      </c>
      <c r="C321" s="12" t="str">
        <f>(IF((VLOOKUP(Table6[[#This Row],[SKU]],'All Skus'!$A:$AC,2,FALSE))="JBL",(VLOOKUP(Table6[[#This Row],[SKU]],'All Skus'!$A:$AC,4,FALSE)),""))</f>
        <v>IVX-802105</v>
      </c>
      <c r="D321" s="61" t="str">
        <f>(IF((VLOOKUP(Table6[[#This Row],[SKU]],'All Skus'!$A:$AC,2,FALSE))="JBL",(VLOOKUP(Table6[[#This Row],[SKU]],'All Skus'!$A:$AC,5,FALSE)),""))</f>
        <v>JBL053</v>
      </c>
      <c r="E321" s="137" t="str">
        <f>(IF((VLOOKUP(Table6[[#This Row],[SKU]],'All Skus'!$A:$AC,2,FALSE))="JBL",(VLOOKUP(Table6[[#This Row],[SKU]],'All Skus'!$A:$AC,6,FALSE)),""))</f>
        <v>YES</v>
      </c>
      <c r="F321" s="61">
        <f>(IF((VLOOKUP(Table6[[#This Row],[SKU]],'All Skus'!$A:$AC,2,FALSE))="JBL",(VLOOKUP(Table6[[#This Row],[SKU]],'All Skus'!$A:$AC,7,FALSE)),""))</f>
        <v>0</v>
      </c>
      <c r="G321" t="str">
        <f>(IF((VLOOKUP(Table6[[#This Row],[SKU]],'All Skus'!$A:$AC,2,FALSE))="JBL",(VLOOKUP(Table6[[#This Row],[SKU]],'All Skus'!$A:$AC,8,FALSE)),""))</f>
        <v>Intellivox Cable entry cover box 2x M16, Inc. fasteners, RAL9010</v>
      </c>
      <c r="H321" s="8" t="str">
        <f>(IF((VLOOKUP(Table6[[#This Row],[SKU]],'All Skus'!$A:$AC,2,FALSE))="JBL",(VLOOKUP(Table6[[#This Row],[SKU]],'All Skus'!$A:$AC,9,FALSE)),""))</f>
        <v>Intellivox Cable entry cover box 2x M16, Inc. fasteners, RAL9010.  Made to Order Call for availability</v>
      </c>
      <c r="I321" s="101">
        <f>(IF((VLOOKUP(Table6[[#This Row],[SKU]],'All Skus'!$A:$AC,2,FALSE))="JBL",(VLOOKUP(Table6[[#This Row],[SKU]],'All Skus'!$A:$AC,10,FALSE)),""))</f>
        <v>300.69</v>
      </c>
      <c r="J321" s="101">
        <f>(IF((VLOOKUP(Table6[[#This Row],[SKU]],'All Skus'!$A:$AC,2,FALSE))="JBL",(VLOOKUP(Table6[[#This Row],[SKU]],'All Skus'!$A:$AC,11,FALSE)),""))</f>
        <v>300.69</v>
      </c>
      <c r="K321" s="102">
        <f>(IF((VLOOKUP(Table6[[#This Row],[SKU]],'All Skus'!$A:$AC,2,FALSE))="JBL",(VLOOKUP(Table6[[#This Row],[SKU]],'All Skus'!$A:$AC,13,FALSE)),""))</f>
        <v>0</v>
      </c>
      <c r="L321" s="102">
        <f>(IF((VLOOKUP(Table6[[#This Row],[SKU]],'All Skus'!$A:$AC,2,FALSE))="JBL",(VLOOKUP(Table6[[#This Row],[SKU]],'All Skus'!$A:$AC,14,FALSE)),""))</f>
        <v>0</v>
      </c>
      <c r="M321" s="143">
        <f>(IF((VLOOKUP(Table6[[#This Row],[SKU]],'All Skus'!$A:$AC,2,FALSE))="JBL",(VLOOKUP(Table6[[#This Row],[SKU]],'All Skus'!$A:$AC,15,FALSE)),""))</f>
        <v>0</v>
      </c>
      <c r="N321" s="137">
        <f>(IF((VLOOKUP(Table6[[#This Row],[SKU]],'All Skus'!$A:$AC,2,FALSE))="JBL",(VLOOKUP(Table6[[#This Row],[SKU]],'All Skus'!$A:$AC,16,FALSE)),""))</f>
        <v>691991012136</v>
      </c>
      <c r="O321" s="61">
        <f>(IF((VLOOKUP(Table6[[#This Row],[SKU]],'All Skus'!$A:$AC,2,FALSE))="JBL",(VLOOKUP(Table6[[#This Row],[SKU]],'All Skus'!$A:$AC,17,FALSE)),""))</f>
        <v>0</v>
      </c>
      <c r="P321" s="136">
        <f>(IF((VLOOKUP(Table6[[#This Row],[SKU]],'All Skus'!$A:$AC,2,FALSE))="JBL",(VLOOKUP(Table6[[#This Row],[SKU]],'All Skus'!$A:$AC,18,FALSE)),""))</f>
        <v>2</v>
      </c>
      <c r="Q321" s="136">
        <f>(IF((VLOOKUP(Table6[[#This Row],[SKU]],'All Skus'!$A:$AC,2,FALSE))="JBL",(VLOOKUP(Table6[[#This Row],[SKU]],'All Skus'!$A:$AC,19,FALSE)),""))</f>
        <v>5</v>
      </c>
      <c r="R321" s="136">
        <f>(IF((VLOOKUP(Table6[[#This Row],[SKU]],'All Skus'!$A:$AC,2,FALSE))="JBL",(VLOOKUP(Table6[[#This Row],[SKU]],'All Skus'!$A:$AC,20,FALSE)),""))</f>
        <v>7</v>
      </c>
      <c r="S321" s="61">
        <f>(IF((VLOOKUP(Table6[[#This Row],[SKU]],'All Skus'!$A:$AC,2,FALSE))="JBL",(VLOOKUP(Table6[[#This Row],[SKU]],'All Skus'!$A:$AC,21,FALSE)),""))</f>
        <v>10</v>
      </c>
      <c r="T321" s="61">
        <f>(IF((VLOOKUP(Table6[[#This Row],[SKU]],'All Skus'!$A:$AC,2,FALSE))="JBL",(VLOOKUP(Table6[[#This Row],[SKU]],'All Skus'!$A:$AC,22,FALSE)),""))</f>
        <v>0</v>
      </c>
      <c r="U321">
        <f>(IF((VLOOKUP(Table6[[#This Row],[SKU]],'All Skus'!$A:$AC,2,FALSE))="JBL",(VLOOKUP(Table6[[#This Row],[SKU]],'All Skus'!$A:$AC,23,FALSE)),""))</f>
        <v>0</v>
      </c>
      <c r="V321" s="284" t="str">
        <f>HYPERLINK((IF((VLOOKUP(Table6[[#This Row],[SKU]],'All Skus'!$A:$AC,2,FALSE))="JBL",(VLOOKUP(Table6[[#This Row],[SKU]],'All Skus'!$A:$AC,24,FALSE)),"")))</f>
        <v/>
      </c>
      <c r="W321" s="151">
        <v>319</v>
      </c>
    </row>
    <row r="322" spans="1:23" ht="15" hidden="1" customHeight="1">
      <c r="A322" s="13" t="s">
        <v>1328</v>
      </c>
      <c r="B322" s="12" t="str">
        <f>(IF((VLOOKUP(Table6[[#This Row],[SKU]],'All Skus'!$A:$AC,2,FALSE))="JBL",(VLOOKUP(Table6[[#This Row],[SKU]],'All Skus'!$A:$AC,3,FALSE)),""))</f>
        <v>Intellivox Accessories</v>
      </c>
      <c r="C322" s="12" t="str">
        <f>(IF((VLOOKUP(Table6[[#This Row],[SKU]],'All Skus'!$A:$AC,2,FALSE))="JBL",(VLOOKUP(Table6[[#This Row],[SKU]],'All Skus'!$A:$AC,4,FALSE)),""))</f>
        <v>IVX-802110</v>
      </c>
      <c r="D322" s="61" t="str">
        <f>(IF((VLOOKUP(Table6[[#This Row],[SKU]],'All Skus'!$A:$AC,2,FALSE))="JBL",(VLOOKUP(Table6[[#This Row],[SKU]],'All Skus'!$A:$AC,5,FALSE)),""))</f>
        <v>JBL053</v>
      </c>
      <c r="E322" s="137" t="str">
        <f>(IF((VLOOKUP(Table6[[#This Row],[SKU]],'All Skus'!$A:$AC,2,FALSE))="JBL",(VLOOKUP(Table6[[#This Row],[SKU]],'All Skus'!$A:$AC,6,FALSE)),""))</f>
        <v>YES</v>
      </c>
      <c r="F322" s="61">
        <f>(IF((VLOOKUP(Table6[[#This Row],[SKU]],'All Skus'!$A:$AC,2,FALSE))="JBL",(VLOOKUP(Table6[[#This Row],[SKU]],'All Skus'!$A:$AC,7,FALSE)),""))</f>
        <v>0</v>
      </c>
      <c r="G322" t="str">
        <f>(IF((VLOOKUP(Table6[[#This Row],[SKU]],'All Skus'!$A:$AC,2,FALSE))="JBL",(VLOOKUP(Table6[[#This Row],[SKU]],'All Skus'!$A:$AC,8,FALSE)),""))</f>
        <v>Intellivox Cable entry cover plate 2x PG13.5, Inc. fasteners, RAL9010</v>
      </c>
      <c r="H322" s="8" t="str">
        <f>(IF((VLOOKUP(Table6[[#This Row],[SKU]],'All Skus'!$A:$AC,2,FALSE))="JBL",(VLOOKUP(Table6[[#This Row],[SKU]],'All Skus'!$A:$AC,9,FALSE)),""))</f>
        <v>Intellivox Cable entry cover plate 2x PG13.5, Inc. fasteners, RAL9010.  Made to Order Call for availability</v>
      </c>
      <c r="I322" s="101">
        <f>(IF((VLOOKUP(Table6[[#This Row],[SKU]],'All Skus'!$A:$AC,2,FALSE))="JBL",(VLOOKUP(Table6[[#This Row],[SKU]],'All Skus'!$A:$AC,10,FALSE)),""))</f>
        <v>61.84</v>
      </c>
      <c r="J322" s="101">
        <f>(IF((VLOOKUP(Table6[[#This Row],[SKU]],'All Skus'!$A:$AC,2,FALSE))="JBL",(VLOOKUP(Table6[[#This Row],[SKU]],'All Skus'!$A:$AC,11,FALSE)),""))</f>
        <v>61.84</v>
      </c>
      <c r="K322" s="102">
        <f>(IF((VLOOKUP(Table6[[#This Row],[SKU]],'All Skus'!$A:$AC,2,FALSE))="JBL",(VLOOKUP(Table6[[#This Row],[SKU]],'All Skus'!$A:$AC,13,FALSE)),""))</f>
        <v>0</v>
      </c>
      <c r="L322" s="102">
        <f>(IF((VLOOKUP(Table6[[#This Row],[SKU]],'All Skus'!$A:$AC,2,FALSE))="JBL",(VLOOKUP(Table6[[#This Row],[SKU]],'All Skus'!$A:$AC,14,FALSE)),""))</f>
        <v>0</v>
      </c>
      <c r="M322" s="143">
        <f>(IF((VLOOKUP(Table6[[#This Row],[SKU]],'All Skus'!$A:$AC,2,FALSE))="JBL",(VLOOKUP(Table6[[#This Row],[SKU]],'All Skus'!$A:$AC,15,FALSE)),""))</f>
        <v>0</v>
      </c>
      <c r="N322" s="137">
        <f>(IF((VLOOKUP(Table6[[#This Row],[SKU]],'All Skus'!$A:$AC,2,FALSE))="JBL",(VLOOKUP(Table6[[#This Row],[SKU]],'All Skus'!$A:$AC,16,FALSE)),""))</f>
        <v>691991012143</v>
      </c>
      <c r="O322" s="61">
        <f>(IF((VLOOKUP(Table6[[#This Row],[SKU]],'All Skus'!$A:$AC,2,FALSE))="JBL",(VLOOKUP(Table6[[#This Row],[SKU]],'All Skus'!$A:$AC,17,FALSE)),""))</f>
        <v>0</v>
      </c>
      <c r="P322" s="136">
        <f>(IF((VLOOKUP(Table6[[#This Row],[SKU]],'All Skus'!$A:$AC,2,FALSE))="JBL",(VLOOKUP(Table6[[#This Row],[SKU]],'All Skus'!$A:$AC,18,FALSE)),""))</f>
        <v>0</v>
      </c>
      <c r="Q322" s="136">
        <f>(IF((VLOOKUP(Table6[[#This Row],[SKU]],'All Skus'!$A:$AC,2,FALSE))="JBL",(VLOOKUP(Table6[[#This Row],[SKU]],'All Skus'!$A:$AC,19,FALSE)),""))</f>
        <v>0</v>
      </c>
      <c r="R322" s="136">
        <f>(IF((VLOOKUP(Table6[[#This Row],[SKU]],'All Skus'!$A:$AC,2,FALSE))="JBL",(VLOOKUP(Table6[[#This Row],[SKU]],'All Skus'!$A:$AC,20,FALSE)),""))</f>
        <v>0</v>
      </c>
      <c r="S322" s="61">
        <f>(IF((VLOOKUP(Table6[[#This Row],[SKU]],'All Skus'!$A:$AC,2,FALSE))="JBL",(VLOOKUP(Table6[[#This Row],[SKU]],'All Skus'!$A:$AC,21,FALSE)),""))</f>
        <v>0</v>
      </c>
      <c r="T322" s="61">
        <f>(IF((VLOOKUP(Table6[[#This Row],[SKU]],'All Skus'!$A:$AC,2,FALSE))="JBL",(VLOOKUP(Table6[[#This Row],[SKU]],'All Skus'!$A:$AC,22,FALSE)),""))</f>
        <v>0</v>
      </c>
      <c r="U322">
        <f>(IF((VLOOKUP(Table6[[#This Row],[SKU]],'All Skus'!$A:$AC,2,FALSE))="JBL",(VLOOKUP(Table6[[#This Row],[SKU]],'All Skus'!$A:$AC,23,FALSE)),""))</f>
        <v>0</v>
      </c>
      <c r="V322" s="284" t="str">
        <f>HYPERLINK((IF((VLOOKUP(Table6[[#This Row],[SKU]],'All Skus'!$A:$AC,2,FALSE))="JBL",(VLOOKUP(Table6[[#This Row],[SKU]],'All Skus'!$A:$AC,24,FALSE)),"")))</f>
        <v/>
      </c>
      <c r="W322" s="151">
        <v>320</v>
      </c>
    </row>
    <row r="323" spans="1:23" ht="15" hidden="1" customHeight="1">
      <c r="A323" s="13" t="s">
        <v>1329</v>
      </c>
      <c r="B323" s="12" t="str">
        <f>(IF((VLOOKUP(Table6[[#This Row],[SKU]],'All Skus'!$A:$AC,2,FALSE))="JBL",(VLOOKUP(Table6[[#This Row],[SKU]],'All Skus'!$A:$AC,3,FALSE)),""))</f>
        <v>Intellivox Accessories</v>
      </c>
      <c r="C323" s="12" t="str">
        <f>(IF((VLOOKUP(Table6[[#This Row],[SKU]],'All Skus'!$A:$AC,2,FALSE))="JBL",(VLOOKUP(Table6[[#This Row],[SKU]],'All Skus'!$A:$AC,4,FALSE)),""))</f>
        <v>IVX-802120</v>
      </c>
      <c r="D323" s="61" t="str">
        <f>(IF((VLOOKUP(Table6[[#This Row],[SKU]],'All Skus'!$A:$AC,2,FALSE))="JBL",(VLOOKUP(Table6[[#This Row],[SKU]],'All Skus'!$A:$AC,5,FALSE)),""))</f>
        <v>JBL053</v>
      </c>
      <c r="E323" s="137" t="str">
        <f>(IF((VLOOKUP(Table6[[#This Row],[SKU]],'All Skus'!$A:$AC,2,FALSE))="JBL",(VLOOKUP(Table6[[#This Row],[SKU]],'All Skus'!$A:$AC,6,FALSE)),""))</f>
        <v>YES</v>
      </c>
      <c r="F323" s="61">
        <f>(IF((VLOOKUP(Table6[[#This Row],[SKU]],'All Skus'!$A:$AC,2,FALSE))="JBL",(VLOOKUP(Table6[[#This Row],[SKU]],'All Skus'!$A:$AC,7,FALSE)),""))</f>
        <v>0</v>
      </c>
      <c r="G323" t="str">
        <f>(IF((VLOOKUP(Table6[[#This Row],[SKU]],'All Skus'!$A:$AC,2,FALSE))="JBL",(VLOOKUP(Table6[[#This Row],[SKU]],'All Skus'!$A:$AC,8,FALSE)),""))</f>
        <v>Intellivox Cable entry cover box 6x XLR, pre-assembled, RAL9010</v>
      </c>
      <c r="H323" s="8" t="str">
        <f>(IF((VLOOKUP(Table6[[#This Row],[SKU]],'All Skus'!$A:$AC,2,FALSE))="JBL",(VLOOKUP(Table6[[#This Row],[SKU]],'All Skus'!$A:$AC,9,FALSE)),""))</f>
        <v>Intellivox Cable entry cover box 6x XLR, pre-assembled, RAL9010.  Made to Order Call for availability</v>
      </c>
      <c r="I323" s="101">
        <f>(IF((VLOOKUP(Table6[[#This Row],[SKU]],'All Skus'!$A:$AC,2,FALSE))="JBL",(VLOOKUP(Table6[[#This Row],[SKU]],'All Skus'!$A:$AC,10,FALSE)),""))</f>
        <v>1171.24</v>
      </c>
      <c r="J323" s="101">
        <f>(IF((VLOOKUP(Table6[[#This Row],[SKU]],'All Skus'!$A:$AC,2,FALSE))="JBL",(VLOOKUP(Table6[[#This Row],[SKU]],'All Skus'!$A:$AC,11,FALSE)),""))</f>
        <v>1171.24</v>
      </c>
      <c r="K323" s="102">
        <f>(IF((VLOOKUP(Table6[[#This Row],[SKU]],'All Skus'!$A:$AC,2,FALSE))="JBL",(VLOOKUP(Table6[[#This Row],[SKU]],'All Skus'!$A:$AC,13,FALSE)),""))</f>
        <v>0</v>
      </c>
      <c r="L323" s="102">
        <f>(IF((VLOOKUP(Table6[[#This Row],[SKU]],'All Skus'!$A:$AC,2,FALSE))="JBL",(VLOOKUP(Table6[[#This Row],[SKU]],'All Skus'!$A:$AC,14,FALSE)),""))</f>
        <v>0</v>
      </c>
      <c r="M323" s="143">
        <f>(IF((VLOOKUP(Table6[[#This Row],[SKU]],'All Skus'!$A:$AC,2,FALSE))="JBL",(VLOOKUP(Table6[[#This Row],[SKU]],'All Skus'!$A:$AC,15,FALSE)),""))</f>
        <v>0</v>
      </c>
      <c r="N323" s="137">
        <f>(IF((VLOOKUP(Table6[[#This Row],[SKU]],'All Skus'!$A:$AC,2,FALSE))="JBL",(VLOOKUP(Table6[[#This Row],[SKU]],'All Skus'!$A:$AC,16,FALSE)),""))</f>
        <v>691991012150</v>
      </c>
      <c r="O323" s="61">
        <f>(IF((VLOOKUP(Table6[[#This Row],[SKU]],'All Skus'!$A:$AC,2,FALSE))="JBL",(VLOOKUP(Table6[[#This Row],[SKU]],'All Skus'!$A:$AC,17,FALSE)),""))</f>
        <v>0</v>
      </c>
      <c r="P323" s="136">
        <f>(IF((VLOOKUP(Table6[[#This Row],[SKU]],'All Skus'!$A:$AC,2,FALSE))="JBL",(VLOOKUP(Table6[[#This Row],[SKU]],'All Skus'!$A:$AC,18,FALSE)),""))</f>
        <v>15</v>
      </c>
      <c r="Q323" s="136">
        <f>(IF((VLOOKUP(Table6[[#This Row],[SKU]],'All Skus'!$A:$AC,2,FALSE))="JBL",(VLOOKUP(Table6[[#This Row],[SKU]],'All Skus'!$A:$AC,19,FALSE)),""))</f>
        <v>9.5</v>
      </c>
      <c r="R323" s="136">
        <f>(IF((VLOOKUP(Table6[[#This Row],[SKU]],'All Skus'!$A:$AC,2,FALSE))="JBL",(VLOOKUP(Table6[[#This Row],[SKU]],'All Skus'!$A:$AC,20,FALSE)),""))</f>
        <v>45.5</v>
      </c>
      <c r="S323" s="61">
        <f>(IF((VLOOKUP(Table6[[#This Row],[SKU]],'All Skus'!$A:$AC,2,FALSE))="JBL",(VLOOKUP(Table6[[#This Row],[SKU]],'All Skus'!$A:$AC,21,FALSE)),""))</f>
        <v>9.5</v>
      </c>
      <c r="T323" s="61">
        <f>(IF((VLOOKUP(Table6[[#This Row],[SKU]],'All Skus'!$A:$AC,2,FALSE))="JBL",(VLOOKUP(Table6[[#This Row],[SKU]],'All Skus'!$A:$AC,22,FALSE)),""))</f>
        <v>0</v>
      </c>
      <c r="U323">
        <f>(IF((VLOOKUP(Table6[[#This Row],[SKU]],'All Skus'!$A:$AC,2,FALSE))="JBL",(VLOOKUP(Table6[[#This Row],[SKU]],'All Skus'!$A:$AC,23,FALSE)),""))</f>
        <v>0</v>
      </c>
      <c r="V323" s="284" t="str">
        <f>HYPERLINK((IF((VLOOKUP(Table6[[#This Row],[SKU]],'All Skus'!$A:$AC,2,FALSE))="JBL",(VLOOKUP(Table6[[#This Row],[SKU]],'All Skus'!$A:$AC,24,FALSE)),"")))</f>
        <v/>
      </c>
      <c r="W323" s="151">
        <v>321</v>
      </c>
    </row>
    <row r="324" spans="1:23" ht="15" hidden="1" customHeight="1">
      <c r="A324" s="13" t="s">
        <v>1330</v>
      </c>
      <c r="B324" s="12" t="str">
        <f>(IF((VLOOKUP(Table6[[#This Row],[SKU]],'All Skus'!$A:$AC,2,FALSE))="JBL",(VLOOKUP(Table6[[#This Row],[SKU]],'All Skus'!$A:$AC,3,FALSE)),""))</f>
        <v>Intellivox and IntelliDisc Accessories</v>
      </c>
      <c r="C324" s="12" t="str">
        <f>(IF((VLOOKUP(Table6[[#This Row],[SKU]],'All Skus'!$A:$AC,2,FALSE))="JBL",(VLOOKUP(Table6[[#This Row],[SKU]],'All Skus'!$A:$AC,4,FALSE)),""))</f>
        <v>IVX-802225</v>
      </c>
      <c r="D324" s="61" t="str">
        <f>(IF((VLOOKUP(Table6[[#This Row],[SKU]],'All Skus'!$A:$AC,2,FALSE))="JBL",(VLOOKUP(Table6[[#This Row],[SKU]],'All Skus'!$A:$AC,5,FALSE)),""))</f>
        <v>JBL053</v>
      </c>
      <c r="E324" s="137" t="str">
        <f>(IF((VLOOKUP(Table6[[#This Row],[SKU]],'All Skus'!$A:$AC,2,FALSE))="JBL",(VLOOKUP(Table6[[#This Row],[SKU]],'All Skus'!$A:$AC,6,FALSE)),""))</f>
        <v>YES</v>
      </c>
      <c r="F324" s="61">
        <f>(IF((VLOOKUP(Table6[[#This Row],[SKU]],'All Skus'!$A:$AC,2,FALSE))="JBL",(VLOOKUP(Table6[[#This Row],[SKU]],'All Skus'!$A:$AC,7,FALSE)),""))</f>
        <v>0</v>
      </c>
      <c r="G324" t="str">
        <f>(IF((VLOOKUP(Table6[[#This Row],[SKU]],'All Skus'!$A:$AC,2,FALSE))="JBL",(VLOOKUP(Table6[[#This Row],[SKU]],'All Skus'!$A:$AC,8,FALSE)),""))</f>
        <v>Intellivox Wall Bracket 25mm, Set (2 pcs) Inc. fasteners, RAL9010</v>
      </c>
      <c r="H324" s="8" t="str">
        <f>(IF((VLOOKUP(Table6[[#This Row],[SKU]],'All Skus'!$A:$AC,2,FALSE))="JBL",(VLOOKUP(Table6[[#This Row],[SKU]],'All Skus'!$A:$AC,9,FALSE)),""))</f>
        <v>Intellivox Wall Bracket 25mm, Set (2 pcs) Inc. fasteners, RAL9010.  Made to Order Call for availability</v>
      </c>
      <c r="I324" s="101">
        <f>(IF((VLOOKUP(Table6[[#This Row],[SKU]],'All Skus'!$A:$AC,2,FALSE))="JBL",(VLOOKUP(Table6[[#This Row],[SKU]],'All Skus'!$A:$AC,10,FALSE)),""))</f>
        <v>105.49</v>
      </c>
      <c r="J324" s="101">
        <f>(IF((VLOOKUP(Table6[[#This Row],[SKU]],'All Skus'!$A:$AC,2,FALSE))="JBL",(VLOOKUP(Table6[[#This Row],[SKU]],'All Skus'!$A:$AC,11,FALSE)),""))</f>
        <v>105.49</v>
      </c>
      <c r="K324" s="102">
        <f>(IF((VLOOKUP(Table6[[#This Row],[SKU]],'All Skus'!$A:$AC,2,FALSE))="JBL",(VLOOKUP(Table6[[#This Row],[SKU]],'All Skus'!$A:$AC,13,FALSE)),""))</f>
        <v>0</v>
      </c>
      <c r="L324" s="102">
        <f>(IF((VLOOKUP(Table6[[#This Row],[SKU]],'All Skus'!$A:$AC,2,FALSE))="JBL",(VLOOKUP(Table6[[#This Row],[SKU]],'All Skus'!$A:$AC,14,FALSE)),""))</f>
        <v>0</v>
      </c>
      <c r="M324" s="143">
        <f>(IF((VLOOKUP(Table6[[#This Row],[SKU]],'All Skus'!$A:$AC,2,FALSE))="JBL",(VLOOKUP(Table6[[#This Row],[SKU]],'All Skus'!$A:$AC,15,FALSE)),""))</f>
        <v>0</v>
      </c>
      <c r="N324" s="137">
        <f>(IF((VLOOKUP(Table6[[#This Row],[SKU]],'All Skus'!$A:$AC,2,FALSE))="JBL",(VLOOKUP(Table6[[#This Row],[SKU]],'All Skus'!$A:$AC,16,FALSE)),""))</f>
        <v>691991012167</v>
      </c>
      <c r="O324" s="61">
        <f>(IF((VLOOKUP(Table6[[#This Row],[SKU]],'All Skus'!$A:$AC,2,FALSE))="JBL",(VLOOKUP(Table6[[#This Row],[SKU]],'All Skus'!$A:$AC,17,FALSE)),""))</f>
        <v>0</v>
      </c>
      <c r="P324" s="136">
        <f>(IF((VLOOKUP(Table6[[#This Row],[SKU]],'All Skus'!$A:$AC,2,FALSE))="JBL",(VLOOKUP(Table6[[#This Row],[SKU]],'All Skus'!$A:$AC,18,FALSE)),""))</f>
        <v>0</v>
      </c>
      <c r="Q324" s="136">
        <f>(IF((VLOOKUP(Table6[[#This Row],[SKU]],'All Skus'!$A:$AC,2,FALSE))="JBL",(VLOOKUP(Table6[[#This Row],[SKU]],'All Skus'!$A:$AC,19,FALSE)),""))</f>
        <v>0</v>
      </c>
      <c r="R324" s="136">
        <f>(IF((VLOOKUP(Table6[[#This Row],[SKU]],'All Skus'!$A:$AC,2,FALSE))="JBL",(VLOOKUP(Table6[[#This Row],[SKU]],'All Skus'!$A:$AC,20,FALSE)),""))</f>
        <v>0</v>
      </c>
      <c r="S324" s="61">
        <f>(IF((VLOOKUP(Table6[[#This Row],[SKU]],'All Skus'!$A:$AC,2,FALSE))="JBL",(VLOOKUP(Table6[[#This Row],[SKU]],'All Skus'!$A:$AC,21,FALSE)),""))</f>
        <v>0</v>
      </c>
      <c r="T324" s="61">
        <f>(IF((VLOOKUP(Table6[[#This Row],[SKU]],'All Skus'!$A:$AC,2,FALSE))="JBL",(VLOOKUP(Table6[[#This Row],[SKU]],'All Skus'!$A:$AC,22,FALSE)),""))</f>
        <v>0</v>
      </c>
      <c r="U324">
        <f>(IF((VLOOKUP(Table6[[#This Row],[SKU]],'All Skus'!$A:$AC,2,FALSE))="JBL",(VLOOKUP(Table6[[#This Row],[SKU]],'All Skus'!$A:$AC,23,FALSE)),""))</f>
        <v>0</v>
      </c>
      <c r="V324" s="284" t="str">
        <f>HYPERLINK((IF((VLOOKUP(Table6[[#This Row],[SKU]],'All Skus'!$A:$AC,2,FALSE))="JBL",(VLOOKUP(Table6[[#This Row],[SKU]],'All Skus'!$A:$AC,24,FALSE)),"")))</f>
        <v/>
      </c>
      <c r="W324" s="151">
        <v>322</v>
      </c>
    </row>
    <row r="325" spans="1:23" ht="15" hidden="1" customHeight="1">
      <c r="A325" s="13" t="s">
        <v>1331</v>
      </c>
      <c r="B325" s="12" t="str">
        <f>(IF((VLOOKUP(Table6[[#This Row],[SKU]],'All Skus'!$A:$AC,2,FALSE))="JBL",(VLOOKUP(Table6[[#This Row],[SKU]],'All Skus'!$A:$AC,3,FALSE)),""))</f>
        <v>Intellivox and IntelliDisc Accessories</v>
      </c>
      <c r="C325" s="12" t="str">
        <f>(IF((VLOOKUP(Table6[[#This Row],[SKU]],'All Skus'!$A:$AC,2,FALSE))="JBL",(VLOOKUP(Table6[[#This Row],[SKU]],'All Skus'!$A:$AC,4,FALSE)),""))</f>
        <v>IVX-802226</v>
      </c>
      <c r="D325" s="61">
        <f>(IF((VLOOKUP(Table6[[#This Row],[SKU]],'All Skus'!$A:$AC,2,FALSE))="JBL",(VLOOKUP(Table6[[#This Row],[SKU]],'All Skus'!$A:$AC,5,FALSE)),""))</f>
        <v>0</v>
      </c>
      <c r="E325" s="137" t="str">
        <f>(IF((VLOOKUP(Table6[[#This Row],[SKU]],'All Skus'!$A:$AC,2,FALSE))="JBL",(VLOOKUP(Table6[[#This Row],[SKU]],'All Skus'!$A:$AC,6,FALSE)),""))</f>
        <v>YES</v>
      </c>
      <c r="F325" s="61">
        <f>(IF((VLOOKUP(Table6[[#This Row],[SKU]],'All Skus'!$A:$AC,2,FALSE))="JBL",(VLOOKUP(Table6[[#This Row],[SKU]],'All Skus'!$A:$AC,7,FALSE)),""))</f>
        <v>0</v>
      </c>
      <c r="G325" t="str">
        <f>(IF((VLOOKUP(Table6[[#This Row],[SKU]],'All Skus'!$A:$AC,2,FALSE))="JBL",(VLOOKUP(Table6[[#This Row],[SKU]],'All Skus'!$A:$AC,8,FALSE)),""))</f>
        <v>Intellivox Wall Bracket 25mm, Set (3 pcs) Inc. fasteners, RAL9010</v>
      </c>
      <c r="H325" s="8" t="str">
        <f>(IF((VLOOKUP(Table6[[#This Row],[SKU]],'All Skus'!$A:$AC,2,FALSE))="JBL",(VLOOKUP(Table6[[#This Row],[SKU]],'All Skus'!$A:$AC,9,FALSE)),""))</f>
        <v>Intellivox Wall Bracket 25mm, Set (3 pcs) Inc. fasteners, RAL9010.  Made to Order Call for availability</v>
      </c>
      <c r="I325" s="101">
        <f>(IF((VLOOKUP(Table6[[#This Row],[SKU]],'All Skus'!$A:$AC,2,FALSE))="JBL",(VLOOKUP(Table6[[#This Row],[SKU]],'All Skus'!$A:$AC,10,FALSE)),""))</f>
        <v>149.13999999999999</v>
      </c>
      <c r="J325" s="101">
        <f>(IF((VLOOKUP(Table6[[#This Row],[SKU]],'All Skus'!$A:$AC,2,FALSE))="JBL",(VLOOKUP(Table6[[#This Row],[SKU]],'All Skus'!$A:$AC,11,FALSE)),""))</f>
        <v>149.13999999999999</v>
      </c>
      <c r="K325" s="102">
        <f>(IF((VLOOKUP(Table6[[#This Row],[SKU]],'All Skus'!$A:$AC,2,FALSE))="JBL",(VLOOKUP(Table6[[#This Row],[SKU]],'All Skus'!$A:$AC,13,FALSE)),""))</f>
        <v>0</v>
      </c>
      <c r="L325" s="102">
        <f>(IF((VLOOKUP(Table6[[#This Row],[SKU]],'All Skus'!$A:$AC,2,FALSE))="JBL",(VLOOKUP(Table6[[#This Row],[SKU]],'All Skus'!$A:$AC,14,FALSE)),""))</f>
        <v>0</v>
      </c>
      <c r="M325" s="143">
        <f>(IF((VLOOKUP(Table6[[#This Row],[SKU]],'All Skus'!$A:$AC,2,FALSE))="JBL",(VLOOKUP(Table6[[#This Row],[SKU]],'All Skus'!$A:$AC,15,FALSE)),""))</f>
        <v>0</v>
      </c>
      <c r="N325" s="137">
        <f>(IF((VLOOKUP(Table6[[#This Row],[SKU]],'All Skus'!$A:$AC,2,FALSE))="JBL",(VLOOKUP(Table6[[#This Row],[SKU]],'All Skus'!$A:$AC,16,FALSE)),""))</f>
        <v>691991012174</v>
      </c>
      <c r="O325" s="61">
        <f>(IF((VLOOKUP(Table6[[#This Row],[SKU]],'All Skus'!$A:$AC,2,FALSE))="JBL",(VLOOKUP(Table6[[#This Row],[SKU]],'All Skus'!$A:$AC,17,FALSE)),""))</f>
        <v>0</v>
      </c>
      <c r="P325" s="136">
        <f>(IF((VLOOKUP(Table6[[#This Row],[SKU]],'All Skus'!$A:$AC,2,FALSE))="JBL",(VLOOKUP(Table6[[#This Row],[SKU]],'All Skus'!$A:$AC,18,FALSE)),""))</f>
        <v>2</v>
      </c>
      <c r="Q325" s="136">
        <f>(IF((VLOOKUP(Table6[[#This Row],[SKU]],'All Skus'!$A:$AC,2,FALSE))="JBL",(VLOOKUP(Table6[[#This Row],[SKU]],'All Skus'!$A:$AC,19,FALSE)),""))</f>
        <v>5</v>
      </c>
      <c r="R325" s="136">
        <f>(IF((VLOOKUP(Table6[[#This Row],[SKU]],'All Skus'!$A:$AC,2,FALSE))="JBL",(VLOOKUP(Table6[[#This Row],[SKU]],'All Skus'!$A:$AC,20,FALSE)),""))</f>
        <v>7</v>
      </c>
      <c r="S325" s="61">
        <f>(IF((VLOOKUP(Table6[[#This Row],[SKU]],'All Skus'!$A:$AC,2,FALSE))="JBL",(VLOOKUP(Table6[[#This Row],[SKU]],'All Skus'!$A:$AC,21,FALSE)),""))</f>
        <v>10</v>
      </c>
      <c r="T325" s="61">
        <f>(IF((VLOOKUP(Table6[[#This Row],[SKU]],'All Skus'!$A:$AC,2,FALSE))="JBL",(VLOOKUP(Table6[[#This Row],[SKU]],'All Skus'!$A:$AC,22,FALSE)),""))</f>
        <v>0</v>
      </c>
      <c r="U325">
        <f>(IF((VLOOKUP(Table6[[#This Row],[SKU]],'All Skus'!$A:$AC,2,FALSE))="JBL",(VLOOKUP(Table6[[#This Row],[SKU]],'All Skus'!$A:$AC,23,FALSE)),""))</f>
        <v>0</v>
      </c>
      <c r="V325" s="284" t="str">
        <f>HYPERLINK((IF((VLOOKUP(Table6[[#This Row],[SKU]],'All Skus'!$A:$AC,2,FALSE))="JBL",(VLOOKUP(Table6[[#This Row],[SKU]],'All Skus'!$A:$AC,24,FALSE)),"")))</f>
        <v/>
      </c>
      <c r="W325" s="151">
        <v>323</v>
      </c>
    </row>
    <row r="326" spans="1:23" ht="15" hidden="1" customHeight="1">
      <c r="A326" s="13" t="s">
        <v>1332</v>
      </c>
      <c r="B326" s="12" t="str">
        <f>(IF((VLOOKUP(Table6[[#This Row],[SKU]],'All Skus'!$A:$AC,2,FALSE))="JBL",(VLOOKUP(Table6[[#This Row],[SKU]],'All Skus'!$A:$AC,3,FALSE)),""))</f>
        <v>Intellivox and IntelliDisc Accessories</v>
      </c>
      <c r="C326" s="12" t="str">
        <f>(IF((VLOOKUP(Table6[[#This Row],[SKU]],'All Skus'!$A:$AC,2,FALSE))="JBL",(VLOOKUP(Table6[[#This Row],[SKU]],'All Skus'!$A:$AC,4,FALSE)),""))</f>
        <v>IVX-802227</v>
      </c>
      <c r="D326" s="61">
        <f>(IF((VLOOKUP(Table6[[#This Row],[SKU]],'All Skus'!$A:$AC,2,FALSE))="JBL",(VLOOKUP(Table6[[#This Row],[SKU]],'All Skus'!$A:$AC,5,FALSE)),""))</f>
        <v>0</v>
      </c>
      <c r="E326" s="137" t="str">
        <f>(IF((VLOOKUP(Table6[[#This Row],[SKU]],'All Skus'!$A:$AC,2,FALSE))="JBL",(VLOOKUP(Table6[[#This Row],[SKU]],'All Skus'!$A:$AC,6,FALSE)),""))</f>
        <v>YES</v>
      </c>
      <c r="F326" s="61">
        <f>(IF((VLOOKUP(Table6[[#This Row],[SKU]],'All Skus'!$A:$AC,2,FALSE))="JBL",(VLOOKUP(Table6[[#This Row],[SKU]],'All Skus'!$A:$AC,7,FALSE)),""))</f>
        <v>0</v>
      </c>
      <c r="G326" t="str">
        <f>(IF((VLOOKUP(Table6[[#This Row],[SKU]],'All Skus'!$A:$AC,2,FALSE))="JBL",(VLOOKUP(Table6[[#This Row],[SKU]],'All Skus'!$A:$AC,8,FALSE)),""))</f>
        <v>Intellivox Wall Bracket 25mm, Set (2 pcs) Inc. fasteners, RAL9007</v>
      </c>
      <c r="H326" s="8" t="str">
        <f>(IF((VLOOKUP(Table6[[#This Row],[SKU]],'All Skus'!$A:$AC,2,FALSE))="JBL",(VLOOKUP(Table6[[#This Row],[SKU]],'All Skus'!$A:$AC,9,FALSE)),""))</f>
        <v>Intellivox Wall Bracket 25mm, Set (2 pcs) Inc. fasteners, RAL9007.  Made to Order Call for availability</v>
      </c>
      <c r="I326" s="101">
        <f>(IF((VLOOKUP(Table6[[#This Row],[SKU]],'All Skus'!$A:$AC,2,FALSE))="JBL",(VLOOKUP(Table6[[#This Row],[SKU]],'All Skus'!$A:$AC,10,FALSE)),""))</f>
        <v>110.44</v>
      </c>
      <c r="J326" s="101">
        <f>(IF((VLOOKUP(Table6[[#This Row],[SKU]],'All Skus'!$A:$AC,2,FALSE))="JBL",(VLOOKUP(Table6[[#This Row],[SKU]],'All Skus'!$A:$AC,11,FALSE)),""))</f>
        <v>110.44</v>
      </c>
      <c r="K326" s="102">
        <f>(IF((VLOOKUP(Table6[[#This Row],[SKU]],'All Skus'!$A:$AC,2,FALSE))="JBL",(VLOOKUP(Table6[[#This Row],[SKU]],'All Skus'!$A:$AC,13,FALSE)),""))</f>
        <v>0</v>
      </c>
      <c r="L326" s="102">
        <f>(IF((VLOOKUP(Table6[[#This Row],[SKU]],'All Skus'!$A:$AC,2,FALSE))="JBL",(VLOOKUP(Table6[[#This Row],[SKU]],'All Skus'!$A:$AC,14,FALSE)),""))</f>
        <v>0</v>
      </c>
      <c r="M326" s="143">
        <f>(IF((VLOOKUP(Table6[[#This Row],[SKU]],'All Skus'!$A:$AC,2,FALSE))="JBL",(VLOOKUP(Table6[[#This Row],[SKU]],'All Skus'!$A:$AC,15,FALSE)),""))</f>
        <v>0</v>
      </c>
      <c r="N326" s="137">
        <f>(IF((VLOOKUP(Table6[[#This Row],[SKU]],'All Skus'!$A:$AC,2,FALSE))="JBL",(VLOOKUP(Table6[[#This Row],[SKU]],'All Skus'!$A:$AC,16,FALSE)),""))</f>
        <v>0</v>
      </c>
      <c r="O326" s="61">
        <f>(IF((VLOOKUP(Table6[[#This Row],[SKU]],'All Skus'!$A:$AC,2,FALSE))="JBL",(VLOOKUP(Table6[[#This Row],[SKU]],'All Skus'!$A:$AC,17,FALSE)),""))</f>
        <v>0</v>
      </c>
      <c r="P326" s="136">
        <f>(IF((VLOOKUP(Table6[[#This Row],[SKU]],'All Skus'!$A:$AC,2,FALSE))="JBL",(VLOOKUP(Table6[[#This Row],[SKU]],'All Skus'!$A:$AC,18,FALSE)),""))</f>
        <v>0</v>
      </c>
      <c r="Q326" s="136">
        <f>(IF((VLOOKUP(Table6[[#This Row],[SKU]],'All Skus'!$A:$AC,2,FALSE))="JBL",(VLOOKUP(Table6[[#This Row],[SKU]],'All Skus'!$A:$AC,19,FALSE)),""))</f>
        <v>0</v>
      </c>
      <c r="R326" s="136">
        <f>(IF((VLOOKUP(Table6[[#This Row],[SKU]],'All Skus'!$A:$AC,2,FALSE))="JBL",(VLOOKUP(Table6[[#This Row],[SKU]],'All Skus'!$A:$AC,20,FALSE)),""))</f>
        <v>0</v>
      </c>
      <c r="S326" s="61">
        <f>(IF((VLOOKUP(Table6[[#This Row],[SKU]],'All Skus'!$A:$AC,2,FALSE))="JBL",(VLOOKUP(Table6[[#This Row],[SKU]],'All Skus'!$A:$AC,21,FALSE)),""))</f>
        <v>0</v>
      </c>
      <c r="T326" s="61">
        <f>(IF((VLOOKUP(Table6[[#This Row],[SKU]],'All Skus'!$A:$AC,2,FALSE))="JBL",(VLOOKUP(Table6[[#This Row],[SKU]],'All Skus'!$A:$AC,22,FALSE)),""))</f>
        <v>0</v>
      </c>
      <c r="U326">
        <f>(IF((VLOOKUP(Table6[[#This Row],[SKU]],'All Skus'!$A:$AC,2,FALSE))="JBL",(VLOOKUP(Table6[[#This Row],[SKU]],'All Skus'!$A:$AC,23,FALSE)),""))</f>
        <v>0</v>
      </c>
      <c r="V326" s="284" t="str">
        <f>HYPERLINK((IF((VLOOKUP(Table6[[#This Row],[SKU]],'All Skus'!$A:$AC,2,FALSE))="JBL",(VLOOKUP(Table6[[#This Row],[SKU]],'All Skus'!$A:$AC,24,FALSE)),"")))</f>
        <v/>
      </c>
      <c r="W326" s="151">
        <v>324</v>
      </c>
    </row>
    <row r="327" spans="1:23" ht="15" hidden="1" customHeight="1">
      <c r="A327" s="13" t="s">
        <v>1333</v>
      </c>
      <c r="B327" s="12" t="str">
        <f>(IF((VLOOKUP(Table6[[#This Row],[SKU]],'All Skus'!$A:$AC,2,FALSE))="JBL",(VLOOKUP(Table6[[#This Row],[SKU]],'All Skus'!$A:$AC,3,FALSE)),""))</f>
        <v>Intellivox and IntelliDisc Accessories</v>
      </c>
      <c r="C327" s="12" t="str">
        <f>(IF((VLOOKUP(Table6[[#This Row],[SKU]],'All Skus'!$A:$AC,2,FALSE))="JBL",(VLOOKUP(Table6[[#This Row],[SKU]],'All Skus'!$A:$AC,4,FALSE)),""))</f>
        <v>IVX-802235</v>
      </c>
      <c r="D327" s="61" t="str">
        <f>(IF((VLOOKUP(Table6[[#This Row],[SKU]],'All Skus'!$A:$AC,2,FALSE))="JBL",(VLOOKUP(Table6[[#This Row],[SKU]],'All Skus'!$A:$AC,5,FALSE)),""))</f>
        <v>JBL053</v>
      </c>
      <c r="E327" s="137" t="str">
        <f>(IF((VLOOKUP(Table6[[#This Row],[SKU]],'All Skus'!$A:$AC,2,FALSE))="JBL",(VLOOKUP(Table6[[#This Row],[SKU]],'All Skus'!$A:$AC,6,FALSE)),""))</f>
        <v>YES</v>
      </c>
      <c r="F327" s="61">
        <f>(IF((VLOOKUP(Table6[[#This Row],[SKU]],'All Skus'!$A:$AC,2,FALSE))="JBL",(VLOOKUP(Table6[[#This Row],[SKU]],'All Skus'!$A:$AC,7,FALSE)),""))</f>
        <v>0</v>
      </c>
      <c r="G327" t="str">
        <f>(IF((VLOOKUP(Table6[[#This Row],[SKU]],'All Skus'!$A:$AC,2,FALSE))="JBL",(VLOOKUP(Table6[[#This Row],[SKU]],'All Skus'!$A:$AC,8,FALSE)),""))</f>
        <v>Intellivox Wall Bracket 35mm, Set (2 pcs) Inc. fasteners, RAL9010</v>
      </c>
      <c r="H327" s="8" t="str">
        <f>(IF((VLOOKUP(Table6[[#This Row],[SKU]],'All Skus'!$A:$AC,2,FALSE))="JBL",(VLOOKUP(Table6[[#This Row],[SKU]],'All Skus'!$A:$AC,9,FALSE)),""))</f>
        <v>Intellivox Wall Bracket 35mm, Set (2 pcs) Inc. fasteners, RAL9010.  Made to Order Call for availability</v>
      </c>
      <c r="I327" s="101">
        <f>(IF((VLOOKUP(Table6[[#This Row],[SKU]],'All Skus'!$A:$AC,2,FALSE))="JBL",(VLOOKUP(Table6[[#This Row],[SKU]],'All Skus'!$A:$AC,10,FALSE)),""))</f>
        <v>105.49</v>
      </c>
      <c r="J327" s="101">
        <f>(IF((VLOOKUP(Table6[[#This Row],[SKU]],'All Skus'!$A:$AC,2,FALSE))="JBL",(VLOOKUP(Table6[[#This Row],[SKU]],'All Skus'!$A:$AC,11,FALSE)),""))</f>
        <v>105.49</v>
      </c>
      <c r="K327" s="102">
        <f>(IF((VLOOKUP(Table6[[#This Row],[SKU]],'All Skus'!$A:$AC,2,FALSE))="JBL",(VLOOKUP(Table6[[#This Row],[SKU]],'All Skus'!$A:$AC,13,FALSE)),""))</f>
        <v>0</v>
      </c>
      <c r="L327" s="102">
        <f>(IF((VLOOKUP(Table6[[#This Row],[SKU]],'All Skus'!$A:$AC,2,FALSE))="JBL",(VLOOKUP(Table6[[#This Row],[SKU]],'All Skus'!$A:$AC,14,FALSE)),""))</f>
        <v>0</v>
      </c>
      <c r="M327" s="143">
        <f>(IF((VLOOKUP(Table6[[#This Row],[SKU]],'All Skus'!$A:$AC,2,FALSE))="JBL",(VLOOKUP(Table6[[#This Row],[SKU]],'All Skus'!$A:$AC,15,FALSE)),""))</f>
        <v>0</v>
      </c>
      <c r="N327" s="137">
        <f>(IF((VLOOKUP(Table6[[#This Row],[SKU]],'All Skus'!$A:$AC,2,FALSE))="JBL",(VLOOKUP(Table6[[#This Row],[SKU]],'All Skus'!$A:$AC,16,FALSE)),""))</f>
        <v>0</v>
      </c>
      <c r="O327" s="61">
        <f>(IF((VLOOKUP(Table6[[#This Row],[SKU]],'All Skus'!$A:$AC,2,FALSE))="JBL",(VLOOKUP(Table6[[#This Row],[SKU]],'All Skus'!$A:$AC,17,FALSE)),""))</f>
        <v>0</v>
      </c>
      <c r="P327" s="136">
        <f>(IF((VLOOKUP(Table6[[#This Row],[SKU]],'All Skus'!$A:$AC,2,FALSE))="JBL",(VLOOKUP(Table6[[#This Row],[SKU]],'All Skus'!$A:$AC,18,FALSE)),""))</f>
        <v>2</v>
      </c>
      <c r="Q327" s="136">
        <f>(IF((VLOOKUP(Table6[[#This Row],[SKU]],'All Skus'!$A:$AC,2,FALSE))="JBL",(VLOOKUP(Table6[[#This Row],[SKU]],'All Skus'!$A:$AC,19,FALSE)),""))</f>
        <v>2</v>
      </c>
      <c r="R327" s="136">
        <f>(IF((VLOOKUP(Table6[[#This Row],[SKU]],'All Skus'!$A:$AC,2,FALSE))="JBL",(VLOOKUP(Table6[[#This Row],[SKU]],'All Skus'!$A:$AC,20,FALSE)),""))</f>
        <v>7</v>
      </c>
      <c r="S327" s="61">
        <f>(IF((VLOOKUP(Table6[[#This Row],[SKU]],'All Skus'!$A:$AC,2,FALSE))="JBL",(VLOOKUP(Table6[[#This Row],[SKU]],'All Skus'!$A:$AC,21,FALSE)),""))</f>
        <v>9</v>
      </c>
      <c r="T327" s="61" t="str">
        <f>(IF((VLOOKUP(Table6[[#This Row],[SKU]],'All Skus'!$A:$AC,2,FALSE))="JBL",(VLOOKUP(Table6[[#This Row],[SKU]],'All Skus'!$A:$AC,22,FALSE)),""))</f>
        <v>HU</v>
      </c>
      <c r="U327">
        <f>(IF((VLOOKUP(Table6[[#This Row],[SKU]],'All Skus'!$A:$AC,2,FALSE))="JBL",(VLOOKUP(Table6[[#This Row],[SKU]],'All Skus'!$A:$AC,23,FALSE)),""))</f>
        <v>0</v>
      </c>
      <c r="V327" s="284" t="str">
        <f>HYPERLINK((IF((VLOOKUP(Table6[[#This Row],[SKU]],'All Skus'!$A:$AC,2,FALSE))="JBL",(VLOOKUP(Table6[[#This Row],[SKU]],'All Skus'!$A:$AC,24,FALSE)),"")))</f>
        <v/>
      </c>
      <c r="W327" s="151">
        <v>325</v>
      </c>
    </row>
    <row r="328" spans="1:23" ht="15" hidden="1" customHeight="1">
      <c r="A328" s="13" t="s">
        <v>1334</v>
      </c>
      <c r="B328" s="12" t="str">
        <f>(IF((VLOOKUP(Table6[[#This Row],[SKU]],'All Skus'!$A:$AC,2,FALSE))="JBL",(VLOOKUP(Table6[[#This Row],[SKU]],'All Skus'!$A:$AC,3,FALSE)),""))</f>
        <v>Intellivox and IntelliDisc Accessories</v>
      </c>
      <c r="C328" s="12" t="str">
        <f>(IF((VLOOKUP(Table6[[#This Row],[SKU]],'All Skus'!$A:$AC,2,FALSE))="JBL",(VLOOKUP(Table6[[#This Row],[SKU]],'All Skus'!$A:$AC,4,FALSE)),""))</f>
        <v>IVX-802261</v>
      </c>
      <c r="D328" s="61" t="str">
        <f>(IF((VLOOKUP(Table6[[#This Row],[SKU]],'All Skus'!$A:$AC,2,FALSE))="JBL",(VLOOKUP(Table6[[#This Row],[SKU]],'All Skus'!$A:$AC,5,FALSE)),""))</f>
        <v>JBL053</v>
      </c>
      <c r="E328" s="137" t="str">
        <f>(IF((VLOOKUP(Table6[[#This Row],[SKU]],'All Skus'!$A:$AC,2,FALSE))="JBL",(VLOOKUP(Table6[[#This Row],[SKU]],'All Skus'!$A:$AC,6,FALSE)),""))</f>
        <v>YES</v>
      </c>
      <c r="F328" s="61">
        <f>(IF((VLOOKUP(Table6[[#This Row],[SKU]],'All Skus'!$A:$AC,2,FALSE))="JBL",(VLOOKUP(Table6[[#This Row],[SKU]],'All Skus'!$A:$AC,7,FALSE)),""))</f>
        <v>0</v>
      </c>
      <c r="G328" t="str">
        <f>(IF((VLOOKUP(Table6[[#This Row],[SKU]],'All Skus'!$A:$AC,2,FALSE))="JBL",(VLOOKUP(Table6[[#This Row],[SKU]],'All Skus'!$A:$AC,8,FALSE)),""))</f>
        <v>Intellivox Wall Bracket 60mm, Set (3 pcs) Inc. fasteners, RAL9010</v>
      </c>
      <c r="H328" s="8" t="str">
        <f>(IF((VLOOKUP(Table6[[#This Row],[SKU]],'All Skus'!$A:$AC,2,FALSE))="JBL",(VLOOKUP(Table6[[#This Row],[SKU]],'All Skus'!$A:$AC,9,FALSE)),""))</f>
        <v>Intellivox Wall Bracket 60mm, Set (3 pcs) Inc. fasteners, RAL9010.  Made to Order Call for availability</v>
      </c>
      <c r="I328" s="101">
        <f>(IF((VLOOKUP(Table6[[#This Row],[SKU]],'All Skus'!$A:$AC,2,FALSE))="JBL",(VLOOKUP(Table6[[#This Row],[SKU]],'All Skus'!$A:$AC,10,FALSE)),""))</f>
        <v>169.74</v>
      </c>
      <c r="J328" s="101">
        <f>(IF((VLOOKUP(Table6[[#This Row],[SKU]],'All Skus'!$A:$AC,2,FALSE))="JBL",(VLOOKUP(Table6[[#This Row],[SKU]],'All Skus'!$A:$AC,11,FALSE)),""))</f>
        <v>169.74</v>
      </c>
      <c r="K328" s="102">
        <f>(IF((VLOOKUP(Table6[[#This Row],[SKU]],'All Skus'!$A:$AC,2,FALSE))="JBL",(VLOOKUP(Table6[[#This Row],[SKU]],'All Skus'!$A:$AC,13,FALSE)),""))</f>
        <v>0</v>
      </c>
      <c r="L328" s="102">
        <f>(IF((VLOOKUP(Table6[[#This Row],[SKU]],'All Skus'!$A:$AC,2,FALSE))="JBL",(VLOOKUP(Table6[[#This Row],[SKU]],'All Skus'!$A:$AC,14,FALSE)),""))</f>
        <v>0</v>
      </c>
      <c r="M328" s="143">
        <f>(IF((VLOOKUP(Table6[[#This Row],[SKU]],'All Skus'!$A:$AC,2,FALSE))="JBL",(VLOOKUP(Table6[[#This Row],[SKU]],'All Skus'!$A:$AC,15,FALSE)),""))</f>
        <v>0</v>
      </c>
      <c r="N328" s="137">
        <f>(IF((VLOOKUP(Table6[[#This Row],[SKU]],'All Skus'!$A:$AC,2,FALSE))="JBL",(VLOOKUP(Table6[[#This Row],[SKU]],'All Skus'!$A:$AC,16,FALSE)),""))</f>
        <v>691991012181</v>
      </c>
      <c r="O328" s="61">
        <f>(IF((VLOOKUP(Table6[[#This Row],[SKU]],'All Skus'!$A:$AC,2,FALSE))="JBL",(VLOOKUP(Table6[[#This Row],[SKU]],'All Skus'!$A:$AC,17,FALSE)),""))</f>
        <v>0</v>
      </c>
      <c r="P328" s="136">
        <f>(IF((VLOOKUP(Table6[[#This Row],[SKU]],'All Skus'!$A:$AC,2,FALSE))="JBL",(VLOOKUP(Table6[[#This Row],[SKU]],'All Skus'!$A:$AC,18,FALSE)),""))</f>
        <v>3</v>
      </c>
      <c r="Q328" s="136">
        <f>(IF((VLOOKUP(Table6[[#This Row],[SKU]],'All Skus'!$A:$AC,2,FALSE))="JBL",(VLOOKUP(Table6[[#This Row],[SKU]],'All Skus'!$A:$AC,19,FALSE)),""))</f>
        <v>5</v>
      </c>
      <c r="R328" s="136">
        <f>(IF((VLOOKUP(Table6[[#This Row],[SKU]],'All Skus'!$A:$AC,2,FALSE))="JBL",(VLOOKUP(Table6[[#This Row],[SKU]],'All Skus'!$A:$AC,20,FALSE)),""))</f>
        <v>7</v>
      </c>
      <c r="S328" s="61">
        <f>(IF((VLOOKUP(Table6[[#This Row],[SKU]],'All Skus'!$A:$AC,2,FALSE))="JBL",(VLOOKUP(Table6[[#This Row],[SKU]],'All Skus'!$A:$AC,21,FALSE)),""))</f>
        <v>10</v>
      </c>
      <c r="T328" s="61">
        <f>(IF((VLOOKUP(Table6[[#This Row],[SKU]],'All Skus'!$A:$AC,2,FALSE))="JBL",(VLOOKUP(Table6[[#This Row],[SKU]],'All Skus'!$A:$AC,22,FALSE)),""))</f>
        <v>0</v>
      </c>
      <c r="U328">
        <f>(IF((VLOOKUP(Table6[[#This Row],[SKU]],'All Skus'!$A:$AC,2,FALSE))="JBL",(VLOOKUP(Table6[[#This Row],[SKU]],'All Skus'!$A:$AC,23,FALSE)),""))</f>
        <v>0</v>
      </c>
      <c r="V328" s="284" t="str">
        <f>HYPERLINK((IF((VLOOKUP(Table6[[#This Row],[SKU]],'All Skus'!$A:$AC,2,FALSE))="JBL",(VLOOKUP(Table6[[#This Row],[SKU]],'All Skus'!$A:$AC,24,FALSE)),"")))</f>
        <v/>
      </c>
      <c r="W328" s="151">
        <v>326</v>
      </c>
    </row>
    <row r="329" spans="1:23" ht="15" hidden="1" customHeight="1">
      <c r="A329" s="13" t="s">
        <v>1335</v>
      </c>
      <c r="B329" s="12" t="str">
        <f>(IF((VLOOKUP(Table6[[#This Row],[SKU]],'All Skus'!$A:$AC,2,FALSE))="JBL",(VLOOKUP(Table6[[#This Row],[SKU]],'All Skus'!$A:$AC,3,FALSE)),""))</f>
        <v>Intellivox and IntelliDisc Accessories</v>
      </c>
      <c r="C329" s="12" t="str">
        <f>(IF((VLOOKUP(Table6[[#This Row],[SKU]],'All Skus'!$A:$AC,2,FALSE))="JBL",(VLOOKUP(Table6[[#This Row],[SKU]],'All Skus'!$A:$AC,4,FALSE)),""))</f>
        <v>IVX-806602</v>
      </c>
      <c r="D329" s="61" t="str">
        <f>(IF((VLOOKUP(Table6[[#This Row],[SKU]],'All Skus'!$A:$AC,2,FALSE))="JBL",(VLOOKUP(Table6[[#This Row],[SKU]],'All Skus'!$A:$AC,5,FALSE)),""))</f>
        <v>JBL053</v>
      </c>
      <c r="E329" s="137" t="str">
        <f>(IF((VLOOKUP(Table6[[#This Row],[SKU]],'All Skus'!$A:$AC,2,FALSE))="JBL",(VLOOKUP(Table6[[#This Row],[SKU]],'All Skus'!$A:$AC,6,FALSE)),""))</f>
        <v>YES</v>
      </c>
      <c r="F329" s="61">
        <f>(IF((VLOOKUP(Table6[[#This Row],[SKU]],'All Skus'!$A:$AC,2,FALSE))="JBL",(VLOOKUP(Table6[[#This Row],[SKU]],'All Skus'!$A:$AC,7,FALSE)),""))</f>
        <v>0</v>
      </c>
      <c r="G329" t="str">
        <f>(IF((VLOOKUP(Table6[[#This Row],[SKU]],'All Skus'!$A:$AC,2,FALSE))="JBL",(VLOOKUP(Table6[[#This Row],[SKU]],'All Skus'!$A:$AC,8,FALSE)),""))</f>
        <v>Set of Hinges (yellow passivated) for Ivx DC/DS115/180/280</v>
      </c>
      <c r="H329" s="8" t="str">
        <f>(IF((VLOOKUP(Table6[[#This Row],[SKU]],'All Skus'!$A:$AC,2,FALSE))="JBL",(VLOOKUP(Table6[[#This Row],[SKU]],'All Skus'!$A:$AC,9,FALSE)),""))</f>
        <v>Set of Hinges (yellow passivated) for Ivx DC/DS115/180/280.  Made to Order Call for availability</v>
      </c>
      <c r="I329" s="101">
        <f>(IF((VLOOKUP(Table6[[#This Row],[SKU]],'All Skus'!$A:$AC,2,FALSE))="JBL",(VLOOKUP(Table6[[#This Row],[SKU]],'All Skus'!$A:$AC,10,FALSE)),""))</f>
        <v>138.22999999999999</v>
      </c>
      <c r="J329" s="101">
        <f>(IF((VLOOKUP(Table6[[#This Row],[SKU]],'All Skus'!$A:$AC,2,FALSE))="JBL",(VLOOKUP(Table6[[#This Row],[SKU]],'All Skus'!$A:$AC,11,FALSE)),""))</f>
        <v>138.22999999999999</v>
      </c>
      <c r="K329" s="102">
        <f>(IF((VLOOKUP(Table6[[#This Row],[SKU]],'All Skus'!$A:$AC,2,FALSE))="JBL",(VLOOKUP(Table6[[#This Row],[SKU]],'All Skus'!$A:$AC,13,FALSE)),""))</f>
        <v>0</v>
      </c>
      <c r="L329" s="102">
        <f>(IF((VLOOKUP(Table6[[#This Row],[SKU]],'All Skus'!$A:$AC,2,FALSE))="JBL",(VLOOKUP(Table6[[#This Row],[SKU]],'All Skus'!$A:$AC,14,FALSE)),""))</f>
        <v>0</v>
      </c>
      <c r="M329" s="143">
        <f>(IF((VLOOKUP(Table6[[#This Row],[SKU]],'All Skus'!$A:$AC,2,FALSE))="JBL",(VLOOKUP(Table6[[#This Row],[SKU]],'All Skus'!$A:$AC,15,FALSE)),""))</f>
        <v>0</v>
      </c>
      <c r="N329" s="137">
        <f>(IF((VLOOKUP(Table6[[#This Row],[SKU]],'All Skus'!$A:$AC,2,FALSE))="JBL",(VLOOKUP(Table6[[#This Row],[SKU]],'All Skus'!$A:$AC,16,FALSE)),""))</f>
        <v>691991012198</v>
      </c>
      <c r="O329" s="61">
        <f>(IF((VLOOKUP(Table6[[#This Row],[SKU]],'All Skus'!$A:$AC,2,FALSE))="JBL",(VLOOKUP(Table6[[#This Row],[SKU]],'All Skus'!$A:$AC,17,FALSE)),""))</f>
        <v>0</v>
      </c>
      <c r="P329" s="136">
        <f>(IF((VLOOKUP(Table6[[#This Row],[SKU]],'All Skus'!$A:$AC,2,FALSE))="JBL",(VLOOKUP(Table6[[#This Row],[SKU]],'All Skus'!$A:$AC,18,FALSE)),""))</f>
        <v>0</v>
      </c>
      <c r="Q329" s="136">
        <f>(IF((VLOOKUP(Table6[[#This Row],[SKU]],'All Skus'!$A:$AC,2,FALSE))="JBL",(VLOOKUP(Table6[[#This Row],[SKU]],'All Skus'!$A:$AC,19,FALSE)),""))</f>
        <v>0</v>
      </c>
      <c r="R329" s="136">
        <f>(IF((VLOOKUP(Table6[[#This Row],[SKU]],'All Skus'!$A:$AC,2,FALSE))="JBL",(VLOOKUP(Table6[[#This Row],[SKU]],'All Skus'!$A:$AC,20,FALSE)),""))</f>
        <v>0</v>
      </c>
      <c r="S329" s="61">
        <f>(IF((VLOOKUP(Table6[[#This Row],[SKU]],'All Skus'!$A:$AC,2,FALSE))="JBL",(VLOOKUP(Table6[[#This Row],[SKU]],'All Skus'!$A:$AC,21,FALSE)),""))</f>
        <v>0</v>
      </c>
      <c r="T329" s="61">
        <f>(IF((VLOOKUP(Table6[[#This Row],[SKU]],'All Skus'!$A:$AC,2,FALSE))="JBL",(VLOOKUP(Table6[[#This Row],[SKU]],'All Skus'!$A:$AC,22,FALSE)),""))</f>
        <v>0</v>
      </c>
      <c r="U329">
        <f>(IF((VLOOKUP(Table6[[#This Row],[SKU]],'All Skus'!$A:$AC,2,FALSE))="JBL",(VLOOKUP(Table6[[#This Row],[SKU]],'All Skus'!$A:$AC,23,FALSE)),""))</f>
        <v>0</v>
      </c>
      <c r="V329" s="284" t="str">
        <f>HYPERLINK((IF((VLOOKUP(Table6[[#This Row],[SKU]],'All Skus'!$A:$AC,2,FALSE))="JBL",(VLOOKUP(Table6[[#This Row],[SKU]],'All Skus'!$A:$AC,24,FALSE)),"")))</f>
        <v/>
      </c>
      <c r="W329" s="151">
        <v>327</v>
      </c>
    </row>
    <row r="330" spans="1:23" ht="15" hidden="1" customHeight="1">
      <c r="A330" s="13" t="s">
        <v>1336</v>
      </c>
      <c r="B330" s="12" t="str">
        <f>(IF((VLOOKUP(Table6[[#This Row],[SKU]],'All Skus'!$A:$AC,2,FALSE))="JBL",(VLOOKUP(Table6[[#This Row],[SKU]],'All Skus'!$A:$AC,3,FALSE)),""))</f>
        <v>Intellivox and IntelliDisc Accessories</v>
      </c>
      <c r="C330" s="12" t="str">
        <f>(IF((VLOOKUP(Table6[[#This Row],[SKU]],'All Skus'!$A:$AC,2,FALSE))="JBL",(VLOOKUP(Table6[[#This Row],[SKU]],'All Skus'!$A:$AC,4,FALSE)),""))</f>
        <v>IVX-806608</v>
      </c>
      <c r="D330" s="61" t="str">
        <f>(IF((VLOOKUP(Table6[[#This Row],[SKU]],'All Skus'!$A:$AC,2,FALSE))="JBL",(VLOOKUP(Table6[[#This Row],[SKU]],'All Skus'!$A:$AC,5,FALSE)),""))</f>
        <v>JBL053</v>
      </c>
      <c r="E330" s="137" t="str">
        <f>(IF((VLOOKUP(Table6[[#This Row],[SKU]],'All Skus'!$A:$AC,2,FALSE))="JBL",(VLOOKUP(Table6[[#This Row],[SKU]],'All Skus'!$A:$AC,6,FALSE)),""))</f>
        <v>YES</v>
      </c>
      <c r="F330" s="61">
        <f>(IF((VLOOKUP(Table6[[#This Row],[SKU]],'All Skus'!$A:$AC,2,FALSE))="JBL",(VLOOKUP(Table6[[#This Row],[SKU]],'All Skus'!$A:$AC,7,FALSE)),""))</f>
        <v>0</v>
      </c>
      <c r="G330" t="str">
        <f>(IF((VLOOKUP(Table6[[#This Row],[SKU]],'All Skus'!$A:$AC,2,FALSE))="JBL",(VLOOKUP(Table6[[#This Row],[SKU]],'All Skus'!$A:$AC,8,FALSE)),""))</f>
        <v>Intellivox Swivel Wall Bracket 90°, RAL9010</v>
      </c>
      <c r="H330" s="8" t="str">
        <f>(IF((VLOOKUP(Table6[[#This Row],[SKU]],'All Skus'!$A:$AC,2,FALSE))="JBL",(VLOOKUP(Table6[[#This Row],[SKU]],'All Skus'!$A:$AC,9,FALSE)),""))</f>
        <v>Intellivox Swivel Wall Bracket 90°, RAL9010.  Made to Order Call for availability</v>
      </c>
      <c r="I330" s="101">
        <f>(IF((VLOOKUP(Table6[[#This Row],[SKU]],'All Skus'!$A:$AC,2,FALSE))="JBL",(VLOOKUP(Table6[[#This Row],[SKU]],'All Skus'!$A:$AC,10,FALSE)),""))</f>
        <v>164.9</v>
      </c>
      <c r="J330" s="101">
        <f>(IF((VLOOKUP(Table6[[#This Row],[SKU]],'All Skus'!$A:$AC,2,FALSE))="JBL",(VLOOKUP(Table6[[#This Row],[SKU]],'All Skus'!$A:$AC,11,FALSE)),""))</f>
        <v>164.9</v>
      </c>
      <c r="K330" s="102">
        <f>(IF((VLOOKUP(Table6[[#This Row],[SKU]],'All Skus'!$A:$AC,2,FALSE))="JBL",(VLOOKUP(Table6[[#This Row],[SKU]],'All Skus'!$A:$AC,13,FALSE)),""))</f>
        <v>0</v>
      </c>
      <c r="L330" s="102">
        <f>(IF((VLOOKUP(Table6[[#This Row],[SKU]],'All Skus'!$A:$AC,2,FALSE))="JBL",(VLOOKUP(Table6[[#This Row],[SKU]],'All Skus'!$A:$AC,14,FALSE)),""))</f>
        <v>0</v>
      </c>
      <c r="M330" s="143">
        <f>(IF((VLOOKUP(Table6[[#This Row],[SKU]],'All Skus'!$A:$AC,2,FALSE))="JBL",(VLOOKUP(Table6[[#This Row],[SKU]],'All Skus'!$A:$AC,15,FALSE)),""))</f>
        <v>0</v>
      </c>
      <c r="N330" s="137">
        <f>(IF((VLOOKUP(Table6[[#This Row],[SKU]],'All Skus'!$A:$AC,2,FALSE))="JBL",(VLOOKUP(Table6[[#This Row],[SKU]],'All Skus'!$A:$AC,16,FALSE)),""))</f>
        <v>691991012204</v>
      </c>
      <c r="O330" s="61">
        <f>(IF((VLOOKUP(Table6[[#This Row],[SKU]],'All Skus'!$A:$AC,2,FALSE))="JBL",(VLOOKUP(Table6[[#This Row],[SKU]],'All Skus'!$A:$AC,17,FALSE)),""))</f>
        <v>0</v>
      </c>
      <c r="P330" s="136">
        <f>(IF((VLOOKUP(Table6[[#This Row],[SKU]],'All Skus'!$A:$AC,2,FALSE))="JBL",(VLOOKUP(Table6[[#This Row],[SKU]],'All Skus'!$A:$AC,18,FALSE)),""))</f>
        <v>3</v>
      </c>
      <c r="Q330" s="136">
        <f>(IF((VLOOKUP(Table6[[#This Row],[SKU]],'All Skus'!$A:$AC,2,FALSE))="JBL",(VLOOKUP(Table6[[#This Row],[SKU]],'All Skus'!$A:$AC,19,FALSE)),""))</f>
        <v>10</v>
      </c>
      <c r="R330" s="136">
        <f>(IF((VLOOKUP(Table6[[#This Row],[SKU]],'All Skus'!$A:$AC,2,FALSE))="JBL",(VLOOKUP(Table6[[#This Row],[SKU]],'All Skus'!$A:$AC,20,FALSE)),""))</f>
        <v>7</v>
      </c>
      <c r="S330" s="61">
        <f>(IF((VLOOKUP(Table6[[#This Row],[SKU]],'All Skus'!$A:$AC,2,FALSE))="JBL",(VLOOKUP(Table6[[#This Row],[SKU]],'All Skus'!$A:$AC,21,FALSE)),""))</f>
        <v>5</v>
      </c>
      <c r="T330" s="61" t="str">
        <f>(IF((VLOOKUP(Table6[[#This Row],[SKU]],'All Skus'!$A:$AC,2,FALSE))="JBL",(VLOOKUP(Table6[[#This Row],[SKU]],'All Skus'!$A:$AC,22,FALSE)),""))</f>
        <v>HU</v>
      </c>
      <c r="U330">
        <f>(IF((VLOOKUP(Table6[[#This Row],[SKU]],'All Skus'!$A:$AC,2,FALSE))="JBL",(VLOOKUP(Table6[[#This Row],[SKU]],'All Skus'!$A:$AC,23,FALSE)),""))</f>
        <v>0</v>
      </c>
      <c r="V330" s="284" t="str">
        <f>HYPERLINK((IF((VLOOKUP(Table6[[#This Row],[SKU]],'All Skus'!$A:$AC,2,FALSE))="JBL",(VLOOKUP(Table6[[#This Row],[SKU]],'All Skus'!$A:$AC,24,FALSE)),"")))</f>
        <v/>
      </c>
      <c r="W330" s="151">
        <v>328</v>
      </c>
    </row>
    <row r="331" spans="1:23" ht="15" hidden="1" customHeight="1">
      <c r="A331" s="13" t="s">
        <v>1337</v>
      </c>
      <c r="B331" s="12" t="str">
        <f>(IF((VLOOKUP(Table6[[#This Row],[SKU]],'All Skus'!$A:$AC,2,FALSE))="JBL",(VLOOKUP(Table6[[#This Row],[SKU]],'All Skus'!$A:$AC,3,FALSE)),""))</f>
        <v>Intellivox and IntelliDisc Accessories</v>
      </c>
      <c r="C331" s="12" t="str">
        <f>(IF((VLOOKUP(Table6[[#This Row],[SKU]],'All Skus'!$A:$AC,2,FALSE))="JBL",(VLOOKUP(Table6[[#This Row],[SKU]],'All Skus'!$A:$AC,4,FALSE)),""))</f>
        <v>IVX-806618</v>
      </c>
      <c r="D331" s="61" t="str">
        <f>(IF((VLOOKUP(Table6[[#This Row],[SKU]],'All Skus'!$A:$AC,2,FALSE))="JBL",(VLOOKUP(Table6[[#This Row],[SKU]],'All Skus'!$A:$AC,5,FALSE)),""))</f>
        <v>JBL053</v>
      </c>
      <c r="E331" s="137" t="str">
        <f>(IF((VLOOKUP(Table6[[#This Row],[SKU]],'All Skus'!$A:$AC,2,FALSE))="JBL",(VLOOKUP(Table6[[#This Row],[SKU]],'All Skus'!$A:$AC,6,FALSE)),""))</f>
        <v>YES</v>
      </c>
      <c r="F331" s="61">
        <f>(IF((VLOOKUP(Table6[[#This Row],[SKU]],'All Skus'!$A:$AC,2,FALSE))="JBL",(VLOOKUP(Table6[[#This Row],[SKU]],'All Skus'!$A:$AC,7,FALSE)),""))</f>
        <v>0</v>
      </c>
      <c r="G331" t="str">
        <f>(IF((VLOOKUP(Table6[[#This Row],[SKU]],'All Skus'!$A:$AC,2,FALSE))="JBL",(VLOOKUP(Table6[[#This Row],[SKU]],'All Skus'!$A:$AC,8,FALSE)),""))</f>
        <v>Intellivox Swivel Wall Bracket  45°, RAL9010</v>
      </c>
      <c r="H331" s="8" t="str">
        <f>(IF((VLOOKUP(Table6[[#This Row],[SKU]],'All Skus'!$A:$AC,2,FALSE))="JBL",(VLOOKUP(Table6[[#This Row],[SKU]],'All Skus'!$A:$AC,9,FALSE)),""))</f>
        <v>Intellivox Swivel Wall Bracket  45°, RAL9010.  Made to Order Call for availability</v>
      </c>
      <c r="I331" s="101">
        <f>(IF((VLOOKUP(Table6[[#This Row],[SKU]],'All Skus'!$A:$AC,2,FALSE))="JBL",(VLOOKUP(Table6[[#This Row],[SKU]],'All Skus'!$A:$AC,10,FALSE)),""))</f>
        <v>161.26</v>
      </c>
      <c r="J331" s="101">
        <f>(IF((VLOOKUP(Table6[[#This Row],[SKU]],'All Skus'!$A:$AC,2,FALSE))="JBL",(VLOOKUP(Table6[[#This Row],[SKU]],'All Skus'!$A:$AC,11,FALSE)),""))</f>
        <v>161.26</v>
      </c>
      <c r="K331" s="102">
        <f>(IF((VLOOKUP(Table6[[#This Row],[SKU]],'All Skus'!$A:$AC,2,FALSE))="JBL",(VLOOKUP(Table6[[#This Row],[SKU]],'All Skus'!$A:$AC,13,FALSE)),""))</f>
        <v>0</v>
      </c>
      <c r="L331" s="102">
        <f>(IF((VLOOKUP(Table6[[#This Row],[SKU]],'All Skus'!$A:$AC,2,FALSE))="JBL",(VLOOKUP(Table6[[#This Row],[SKU]],'All Skus'!$A:$AC,14,FALSE)),""))</f>
        <v>0</v>
      </c>
      <c r="M331" s="143">
        <f>(IF((VLOOKUP(Table6[[#This Row],[SKU]],'All Skus'!$A:$AC,2,FALSE))="JBL",(VLOOKUP(Table6[[#This Row],[SKU]],'All Skus'!$A:$AC,15,FALSE)),""))</f>
        <v>0</v>
      </c>
      <c r="N331" s="137">
        <f>(IF((VLOOKUP(Table6[[#This Row],[SKU]],'All Skus'!$A:$AC,2,FALSE))="JBL",(VLOOKUP(Table6[[#This Row],[SKU]],'All Skus'!$A:$AC,16,FALSE)),""))</f>
        <v>691991012211</v>
      </c>
      <c r="O331" s="61">
        <f>(IF((VLOOKUP(Table6[[#This Row],[SKU]],'All Skus'!$A:$AC,2,FALSE))="JBL",(VLOOKUP(Table6[[#This Row],[SKU]],'All Skus'!$A:$AC,17,FALSE)),""))</f>
        <v>0</v>
      </c>
      <c r="P331" s="136">
        <f>(IF((VLOOKUP(Table6[[#This Row],[SKU]],'All Skus'!$A:$AC,2,FALSE))="JBL",(VLOOKUP(Table6[[#This Row],[SKU]],'All Skus'!$A:$AC,18,FALSE)),""))</f>
        <v>3</v>
      </c>
      <c r="Q331" s="136">
        <f>(IF((VLOOKUP(Table6[[#This Row],[SKU]],'All Skus'!$A:$AC,2,FALSE))="JBL",(VLOOKUP(Table6[[#This Row],[SKU]],'All Skus'!$A:$AC,19,FALSE)),""))</f>
        <v>10</v>
      </c>
      <c r="R331" s="136">
        <f>(IF((VLOOKUP(Table6[[#This Row],[SKU]],'All Skus'!$A:$AC,2,FALSE))="JBL",(VLOOKUP(Table6[[#This Row],[SKU]],'All Skus'!$A:$AC,20,FALSE)),""))</f>
        <v>7</v>
      </c>
      <c r="S331" s="61">
        <f>(IF((VLOOKUP(Table6[[#This Row],[SKU]],'All Skus'!$A:$AC,2,FALSE))="JBL",(VLOOKUP(Table6[[#This Row],[SKU]],'All Skus'!$A:$AC,21,FALSE)),""))</f>
        <v>5</v>
      </c>
      <c r="T331" s="61" t="str">
        <f>(IF((VLOOKUP(Table6[[#This Row],[SKU]],'All Skus'!$A:$AC,2,FALSE))="JBL",(VLOOKUP(Table6[[#This Row],[SKU]],'All Skus'!$A:$AC,22,FALSE)),""))</f>
        <v>HU</v>
      </c>
      <c r="U331">
        <f>(IF((VLOOKUP(Table6[[#This Row],[SKU]],'All Skus'!$A:$AC,2,FALSE))="JBL",(VLOOKUP(Table6[[#This Row],[SKU]],'All Skus'!$A:$AC,23,FALSE)),""))</f>
        <v>0</v>
      </c>
      <c r="V331" s="284" t="str">
        <f>HYPERLINK((IF((VLOOKUP(Table6[[#This Row],[SKU]],'All Skus'!$A:$AC,2,FALSE))="JBL",(VLOOKUP(Table6[[#This Row],[SKU]],'All Skus'!$A:$AC,24,FALSE)),"")))</f>
        <v/>
      </c>
      <c r="W331" s="151">
        <v>329</v>
      </c>
    </row>
    <row r="332" spans="1:23" ht="15" hidden="1" customHeight="1">
      <c r="A332" s="13" t="s">
        <v>1338</v>
      </c>
      <c r="B332" s="12" t="str">
        <f>(IF((VLOOKUP(Table6[[#This Row],[SKU]],'All Skus'!$A:$AC,2,FALSE))="JBL",(VLOOKUP(Table6[[#This Row],[SKU]],'All Skus'!$A:$AC,3,FALSE)),""))</f>
        <v>Intellivox and IntelliDisc Accessories</v>
      </c>
      <c r="C332" s="12" t="str">
        <f>(IF((VLOOKUP(Table6[[#This Row],[SKU]],'All Skus'!$A:$AC,2,FALSE))="JBL",(VLOOKUP(Table6[[#This Row],[SKU]],'All Skus'!$A:$AC,4,FALSE)),""))</f>
        <v>IVX-806668</v>
      </c>
      <c r="D332" s="61" t="str">
        <f>(IF((VLOOKUP(Table6[[#This Row],[SKU]],'All Skus'!$A:$AC,2,FALSE))="JBL",(VLOOKUP(Table6[[#This Row],[SKU]],'All Skus'!$A:$AC,5,FALSE)),""))</f>
        <v>JBL053</v>
      </c>
      <c r="E332" s="137" t="str">
        <f>(IF((VLOOKUP(Table6[[#This Row],[SKU]],'All Skus'!$A:$AC,2,FALSE))="JBL",(VLOOKUP(Table6[[#This Row],[SKU]],'All Skus'!$A:$AC,6,FALSE)),""))</f>
        <v>YES</v>
      </c>
      <c r="F332" s="61">
        <f>(IF((VLOOKUP(Table6[[#This Row],[SKU]],'All Skus'!$A:$AC,2,FALSE))="JBL",(VLOOKUP(Table6[[#This Row],[SKU]],'All Skus'!$A:$AC,7,FALSE)),""))</f>
        <v>0</v>
      </c>
      <c r="G332" t="str">
        <f>(IF((VLOOKUP(Table6[[#This Row],[SKU]],'All Skus'!$A:$AC,2,FALSE))="JBL",(VLOOKUP(Table6[[#This Row],[SKU]],'All Skus'!$A:$AC,8,FALSE)),""))</f>
        <v>Intellivox Swivel Wall Bracket 90°, RAL9007</v>
      </c>
      <c r="H332" s="8" t="str">
        <f>(IF((VLOOKUP(Table6[[#This Row],[SKU]],'All Skus'!$A:$AC,2,FALSE))="JBL",(VLOOKUP(Table6[[#This Row],[SKU]],'All Skus'!$A:$AC,9,FALSE)),""))</f>
        <v>Intellivox Swivel Wall Bracket 90°, RAL9007.  Made to Order Call for availability</v>
      </c>
      <c r="I332" s="101">
        <f>(IF((VLOOKUP(Table6[[#This Row],[SKU]],'All Skus'!$A:$AC,2,FALSE))="JBL",(VLOOKUP(Table6[[#This Row],[SKU]],'All Skus'!$A:$AC,10,FALSE)),""))</f>
        <v>164.9</v>
      </c>
      <c r="J332" s="101">
        <f>(IF((VLOOKUP(Table6[[#This Row],[SKU]],'All Skus'!$A:$AC,2,FALSE))="JBL",(VLOOKUP(Table6[[#This Row],[SKU]],'All Skus'!$A:$AC,11,FALSE)),""))</f>
        <v>164.9</v>
      </c>
      <c r="K332" s="102">
        <f>(IF((VLOOKUP(Table6[[#This Row],[SKU]],'All Skus'!$A:$AC,2,FALSE))="JBL",(VLOOKUP(Table6[[#This Row],[SKU]],'All Skus'!$A:$AC,13,FALSE)),""))</f>
        <v>0</v>
      </c>
      <c r="L332" s="102">
        <f>(IF((VLOOKUP(Table6[[#This Row],[SKU]],'All Skus'!$A:$AC,2,FALSE))="JBL",(VLOOKUP(Table6[[#This Row],[SKU]],'All Skus'!$A:$AC,14,FALSE)),""))</f>
        <v>0</v>
      </c>
      <c r="M332" s="143">
        <f>(IF((VLOOKUP(Table6[[#This Row],[SKU]],'All Skus'!$A:$AC,2,FALSE))="JBL",(VLOOKUP(Table6[[#This Row],[SKU]],'All Skus'!$A:$AC,15,FALSE)),""))</f>
        <v>0</v>
      </c>
      <c r="N332" s="137">
        <f>(IF((VLOOKUP(Table6[[#This Row],[SKU]],'All Skus'!$A:$AC,2,FALSE))="JBL",(VLOOKUP(Table6[[#This Row],[SKU]],'All Skus'!$A:$AC,16,FALSE)),""))</f>
        <v>0</v>
      </c>
      <c r="O332" s="61">
        <f>(IF((VLOOKUP(Table6[[#This Row],[SKU]],'All Skus'!$A:$AC,2,FALSE))="JBL",(VLOOKUP(Table6[[#This Row],[SKU]],'All Skus'!$A:$AC,17,FALSE)),""))</f>
        <v>0</v>
      </c>
      <c r="P332" s="136">
        <f>(IF((VLOOKUP(Table6[[#This Row],[SKU]],'All Skus'!$A:$AC,2,FALSE))="JBL",(VLOOKUP(Table6[[#This Row],[SKU]],'All Skus'!$A:$AC,18,FALSE)),""))</f>
        <v>0</v>
      </c>
      <c r="Q332" s="136">
        <f>(IF((VLOOKUP(Table6[[#This Row],[SKU]],'All Skus'!$A:$AC,2,FALSE))="JBL",(VLOOKUP(Table6[[#This Row],[SKU]],'All Skus'!$A:$AC,19,FALSE)),""))</f>
        <v>0</v>
      </c>
      <c r="R332" s="136">
        <f>(IF((VLOOKUP(Table6[[#This Row],[SKU]],'All Skus'!$A:$AC,2,FALSE))="JBL",(VLOOKUP(Table6[[#This Row],[SKU]],'All Skus'!$A:$AC,20,FALSE)),""))</f>
        <v>0</v>
      </c>
      <c r="S332" s="61">
        <f>(IF((VLOOKUP(Table6[[#This Row],[SKU]],'All Skus'!$A:$AC,2,FALSE))="JBL",(VLOOKUP(Table6[[#This Row],[SKU]],'All Skus'!$A:$AC,21,FALSE)),""))</f>
        <v>0</v>
      </c>
      <c r="T332" s="61">
        <f>(IF((VLOOKUP(Table6[[#This Row],[SKU]],'All Skus'!$A:$AC,2,FALSE))="JBL",(VLOOKUP(Table6[[#This Row],[SKU]],'All Skus'!$A:$AC,22,FALSE)),""))</f>
        <v>0</v>
      </c>
      <c r="U332">
        <f>(IF((VLOOKUP(Table6[[#This Row],[SKU]],'All Skus'!$A:$AC,2,FALSE))="JBL",(VLOOKUP(Table6[[#This Row],[SKU]],'All Skus'!$A:$AC,23,FALSE)),""))</f>
        <v>0</v>
      </c>
      <c r="V332" s="284" t="str">
        <f>HYPERLINK((IF((VLOOKUP(Table6[[#This Row],[SKU]],'All Skus'!$A:$AC,2,FALSE))="JBL",(VLOOKUP(Table6[[#This Row],[SKU]],'All Skus'!$A:$AC,24,FALSE)),"")))</f>
        <v/>
      </c>
      <c r="W332" s="151">
        <v>330</v>
      </c>
    </row>
    <row r="333" spans="1:23" ht="15" hidden="1" customHeight="1">
      <c r="A333" s="13" t="s">
        <v>1339</v>
      </c>
      <c r="B333" s="12" t="str">
        <f>(IF((VLOOKUP(Table6[[#This Row],[SKU]],'All Skus'!$A:$AC,2,FALSE))="JBL",(VLOOKUP(Table6[[#This Row],[SKU]],'All Skus'!$A:$AC,3,FALSE)),""))</f>
        <v>Intellivox and IntelliDisc Accessories</v>
      </c>
      <c r="C333" s="12" t="str">
        <f>(IF((VLOOKUP(Table6[[#This Row],[SKU]],'All Skus'!$A:$AC,2,FALSE))="JBL",(VLOOKUP(Table6[[#This Row],[SKU]],'All Skus'!$A:$AC,4,FALSE)),""))</f>
        <v>DUR386612</v>
      </c>
      <c r="D333" s="61" t="str">
        <f>(IF((VLOOKUP(Table6[[#This Row],[SKU]],'All Skus'!$A:$AC,2,FALSE))="JBL",(VLOOKUP(Table6[[#This Row],[SKU]],'All Skus'!$A:$AC,5,FALSE)),""))</f>
        <v>JBL018</v>
      </c>
      <c r="E333" s="137">
        <f>(IF((VLOOKUP(Table6[[#This Row],[SKU]],'All Skus'!$A:$AC,2,FALSE))="JBL",(VLOOKUP(Table6[[#This Row],[SKU]],'All Skus'!$A:$AC,6,FALSE)),""))</f>
        <v>0</v>
      </c>
      <c r="F333" s="61">
        <f>(IF((VLOOKUP(Table6[[#This Row],[SKU]],'All Skus'!$A:$AC,2,FALSE))="JBL",(VLOOKUP(Table6[[#This Row],[SKU]],'All Skus'!$A:$AC,7,FALSE)),""))</f>
        <v>0</v>
      </c>
      <c r="G333" t="str">
        <f>(IF((VLOOKUP(Table6[[#This Row],[SKU]],'All Skus'!$A:$AC,2,FALSE))="JBL",(VLOOKUP(Table6[[#This Row],[SKU]],'All Skus'!$A:$AC,8,FALSE)),""))</f>
        <v>Universal Programming Set for AXYS and Intellivox</v>
      </c>
      <c r="H333" s="8" t="str">
        <f>(IF((VLOOKUP(Table6[[#This Row],[SKU]],'All Skus'!$A:$AC,2,FALSE))="JBL",(VLOOKUP(Table6[[#This Row],[SKU]],'All Skus'!$A:$AC,9,FALSE)),""))</f>
        <v>PROGRAM SET UNIVERSAL USB.</v>
      </c>
      <c r="I333" s="101">
        <f>(IF((VLOOKUP(Table6[[#This Row],[SKU]],'All Skus'!$A:$AC,2,FALSE))="JBL",(VLOOKUP(Table6[[#This Row],[SKU]],'All Skus'!$A:$AC,10,FALSE)),""))</f>
        <v>761.43</v>
      </c>
      <c r="J333" s="101">
        <f>(IF((VLOOKUP(Table6[[#This Row],[SKU]],'All Skus'!$A:$AC,2,FALSE))="JBL",(VLOOKUP(Table6[[#This Row],[SKU]],'All Skus'!$A:$AC,11,FALSE)),""))</f>
        <v>761.43</v>
      </c>
      <c r="K333" s="102">
        <f>(IF((VLOOKUP(Table6[[#This Row],[SKU]],'All Skus'!$A:$AC,2,FALSE))="JBL",(VLOOKUP(Table6[[#This Row],[SKU]],'All Skus'!$A:$AC,13,FALSE)),""))</f>
        <v>0</v>
      </c>
      <c r="L333" s="102">
        <f>(IF((VLOOKUP(Table6[[#This Row],[SKU]],'All Skus'!$A:$AC,2,FALSE))="JBL",(VLOOKUP(Table6[[#This Row],[SKU]],'All Skus'!$A:$AC,14,FALSE)),""))</f>
        <v>0</v>
      </c>
      <c r="M333" s="143">
        <f>(IF((VLOOKUP(Table6[[#This Row],[SKU]],'All Skus'!$A:$AC,2,FALSE))="JBL",(VLOOKUP(Table6[[#This Row],[SKU]],'All Skus'!$A:$AC,15,FALSE)),""))</f>
        <v>0</v>
      </c>
      <c r="N333" s="137">
        <f>(IF((VLOOKUP(Table6[[#This Row],[SKU]],'All Skus'!$A:$AC,2,FALSE))="JBL",(VLOOKUP(Table6[[#This Row],[SKU]],'All Skus'!$A:$AC,16,FALSE)),""))</f>
        <v>0</v>
      </c>
      <c r="O333" s="61">
        <f>(IF((VLOOKUP(Table6[[#This Row],[SKU]],'All Skus'!$A:$AC,2,FALSE))="JBL",(VLOOKUP(Table6[[#This Row],[SKU]],'All Skus'!$A:$AC,17,FALSE)),""))</f>
        <v>0</v>
      </c>
      <c r="P333" s="136">
        <f>(IF((VLOOKUP(Table6[[#This Row],[SKU]],'All Skus'!$A:$AC,2,FALSE))="JBL",(VLOOKUP(Table6[[#This Row],[SKU]],'All Skus'!$A:$AC,18,FALSE)),""))</f>
        <v>0</v>
      </c>
      <c r="Q333" s="136">
        <f>(IF((VLOOKUP(Table6[[#This Row],[SKU]],'All Skus'!$A:$AC,2,FALSE))="JBL",(VLOOKUP(Table6[[#This Row],[SKU]],'All Skus'!$A:$AC,19,FALSE)),""))</f>
        <v>0</v>
      </c>
      <c r="R333" s="136">
        <f>(IF((VLOOKUP(Table6[[#This Row],[SKU]],'All Skus'!$A:$AC,2,FALSE))="JBL",(VLOOKUP(Table6[[#This Row],[SKU]],'All Skus'!$A:$AC,20,FALSE)),""))</f>
        <v>0</v>
      </c>
      <c r="S333" s="61">
        <f>(IF((VLOOKUP(Table6[[#This Row],[SKU]],'All Skus'!$A:$AC,2,FALSE))="JBL",(VLOOKUP(Table6[[#This Row],[SKU]],'All Skus'!$A:$AC,21,FALSE)),""))</f>
        <v>0</v>
      </c>
      <c r="T333" s="61" t="str">
        <f>(IF((VLOOKUP(Table6[[#This Row],[SKU]],'All Skus'!$A:$AC,2,FALSE))="JBL",(VLOOKUP(Table6[[#This Row],[SKU]],'All Skus'!$A:$AC,22,FALSE)),""))</f>
        <v>HU</v>
      </c>
      <c r="U333">
        <f>(IF((VLOOKUP(Table6[[#This Row],[SKU]],'All Skus'!$A:$AC,2,FALSE))="JBL",(VLOOKUP(Table6[[#This Row],[SKU]],'All Skus'!$A:$AC,23,FALSE)),""))</f>
        <v>0</v>
      </c>
      <c r="V333" s="284" t="str">
        <f>HYPERLINK((IF((VLOOKUP(Table6[[#This Row],[SKU]],'All Skus'!$A:$AC,2,FALSE))="JBL",(VLOOKUP(Table6[[#This Row],[SKU]],'All Skus'!$A:$AC,24,FALSE)),"")))</f>
        <v/>
      </c>
      <c r="W333" s="151">
        <v>331</v>
      </c>
    </row>
    <row r="334" spans="1:23" ht="15" hidden="1" customHeight="1">
      <c r="A334" s="104" t="s">
        <v>1340</v>
      </c>
      <c r="B334" s="12">
        <f>(IF((VLOOKUP(Table6[[#This Row],[SKU]],'All Skus'!$A:$AC,2,FALSE))="JBL",(VLOOKUP(Table6[[#This Row],[SKU]],'All Skus'!$A:$AC,3,FALSE)),""))</f>
        <v>0</v>
      </c>
      <c r="C334" s="12">
        <f>(IF((VLOOKUP(Table6[[#This Row],[SKU]],'All Skus'!$A:$AC,2,FALSE))="JBL",(VLOOKUP(Table6[[#This Row],[SKU]],'All Skus'!$A:$AC,4,FALSE)),""))</f>
        <v>0</v>
      </c>
      <c r="D334" s="61">
        <f>(IF((VLOOKUP(Table6[[#This Row],[SKU]],'All Skus'!$A:$AC,2,FALSE))="JBL",(VLOOKUP(Table6[[#This Row],[SKU]],'All Skus'!$A:$AC,5,FALSE)),""))</f>
        <v>0</v>
      </c>
      <c r="E334" s="137">
        <f>(IF((VLOOKUP(Table6[[#This Row],[SKU]],'All Skus'!$A:$AC,2,FALSE))="JBL",(VLOOKUP(Table6[[#This Row],[SKU]],'All Skus'!$A:$AC,6,FALSE)),""))</f>
        <v>0</v>
      </c>
      <c r="F334" s="61">
        <f>(IF((VLOOKUP(Table6[[#This Row],[SKU]],'All Skus'!$A:$AC,2,FALSE))="JBL",(VLOOKUP(Table6[[#This Row],[SKU]],'All Skus'!$A:$AC,7,FALSE)),""))</f>
        <v>0</v>
      </c>
      <c r="G334">
        <f>(IF((VLOOKUP(Table6[[#This Row],[SKU]],'All Skus'!$A:$AC,2,FALSE))="JBL",(VLOOKUP(Table6[[#This Row],[SKU]],'All Skus'!$A:$AC,8,FALSE)),""))</f>
        <v>0</v>
      </c>
      <c r="H334" s="8">
        <f>(IF((VLOOKUP(Table6[[#This Row],[SKU]],'All Skus'!$A:$AC,2,FALSE))="JBL",(VLOOKUP(Table6[[#This Row],[SKU]],'All Skus'!$A:$AC,9,FALSE)),""))</f>
        <v>0</v>
      </c>
      <c r="I334" s="101">
        <f>(IF((VLOOKUP(Table6[[#This Row],[SKU]],'All Skus'!$A:$AC,2,FALSE))="JBL",(VLOOKUP(Table6[[#This Row],[SKU]],'All Skus'!$A:$AC,10,FALSE)),""))</f>
        <v>0</v>
      </c>
      <c r="J334" s="101">
        <f>(IF((VLOOKUP(Table6[[#This Row],[SKU]],'All Skus'!$A:$AC,2,FALSE))="JBL",(VLOOKUP(Table6[[#This Row],[SKU]],'All Skus'!$A:$AC,11,FALSE)),""))</f>
        <v>0</v>
      </c>
      <c r="K334" s="102">
        <f>(IF((VLOOKUP(Table6[[#This Row],[SKU]],'All Skus'!$A:$AC,2,FALSE))="JBL",(VLOOKUP(Table6[[#This Row],[SKU]],'All Skus'!$A:$AC,13,FALSE)),""))</f>
        <v>0</v>
      </c>
      <c r="L334" s="102">
        <f>(IF((VLOOKUP(Table6[[#This Row],[SKU]],'All Skus'!$A:$AC,2,FALSE))="JBL",(VLOOKUP(Table6[[#This Row],[SKU]],'All Skus'!$A:$AC,14,FALSE)),""))</f>
        <v>0</v>
      </c>
      <c r="M334" s="143">
        <f>(IF((VLOOKUP(Table6[[#This Row],[SKU]],'All Skus'!$A:$AC,2,FALSE))="JBL",(VLOOKUP(Table6[[#This Row],[SKU]],'All Skus'!$A:$AC,15,FALSE)),""))</f>
        <v>0</v>
      </c>
      <c r="N334" s="137">
        <f>(IF((VLOOKUP(Table6[[#This Row],[SKU]],'All Skus'!$A:$AC,2,FALSE))="JBL",(VLOOKUP(Table6[[#This Row],[SKU]],'All Skus'!$A:$AC,16,FALSE)),""))</f>
        <v>0</v>
      </c>
      <c r="O334" s="61">
        <f>(IF((VLOOKUP(Table6[[#This Row],[SKU]],'All Skus'!$A:$AC,2,FALSE))="JBL",(VLOOKUP(Table6[[#This Row],[SKU]],'All Skus'!$A:$AC,17,FALSE)),""))</f>
        <v>0</v>
      </c>
      <c r="P334" s="136">
        <f>(IF((VLOOKUP(Table6[[#This Row],[SKU]],'All Skus'!$A:$AC,2,FALSE))="JBL",(VLOOKUP(Table6[[#This Row],[SKU]],'All Skus'!$A:$AC,18,FALSE)),""))</f>
        <v>0</v>
      </c>
      <c r="Q334" s="136">
        <f>(IF((VLOOKUP(Table6[[#This Row],[SKU]],'All Skus'!$A:$AC,2,FALSE))="JBL",(VLOOKUP(Table6[[#This Row],[SKU]],'All Skus'!$A:$AC,19,FALSE)),""))</f>
        <v>0</v>
      </c>
      <c r="R334" s="136">
        <f>(IF((VLOOKUP(Table6[[#This Row],[SKU]],'All Skus'!$A:$AC,2,FALSE))="JBL",(VLOOKUP(Table6[[#This Row],[SKU]],'All Skus'!$A:$AC,20,FALSE)),""))</f>
        <v>0</v>
      </c>
      <c r="S334" s="61">
        <f>(IF((VLOOKUP(Table6[[#This Row],[SKU]],'All Skus'!$A:$AC,2,FALSE))="JBL",(VLOOKUP(Table6[[#This Row],[SKU]],'All Skus'!$A:$AC,21,FALSE)),""))</f>
        <v>0</v>
      </c>
      <c r="T334" s="61" t="str">
        <f>(IF((VLOOKUP(Table6[[#This Row],[SKU]],'All Skus'!$A:$AC,2,FALSE))="JBL",(VLOOKUP(Table6[[#This Row],[SKU]],'All Skus'!$A:$AC,22,FALSE)),""))</f>
        <v>CN</v>
      </c>
      <c r="U334" t="str">
        <f>(IF((VLOOKUP(Table6[[#This Row],[SKU]],'All Skus'!$A:$AC,2,FALSE))="JBL",(VLOOKUP(Table6[[#This Row],[SKU]],'All Skus'!$A:$AC,23,FALSE)),""))</f>
        <v>Non Compliant</v>
      </c>
      <c r="V334" s="284" t="str">
        <f>HYPERLINK((IF((VLOOKUP(Table6[[#This Row],[SKU]],'All Skus'!$A:$AC,2,FALSE))="JBL",(VLOOKUP(Table6[[#This Row],[SKU]],'All Skus'!$A:$AC,24,FALSE)),"")))</f>
        <v/>
      </c>
      <c r="W334" s="151">
        <v>332</v>
      </c>
    </row>
    <row r="335" spans="1:23" ht="15" hidden="1" customHeight="1">
      <c r="A335" s="13" t="s">
        <v>1341</v>
      </c>
      <c r="B335" s="12" t="str">
        <f>(IF((VLOOKUP(Table6[[#This Row],[SKU]],'All Skus'!$A:$AC,2,FALSE))="JBL",(VLOOKUP(Table6[[#This Row],[SKU]],'All Skus'!$A:$AC,3,FALSE)),""))</f>
        <v>Surface-Mount Speaker</v>
      </c>
      <c r="C335" s="12" t="str">
        <f>(IF((VLOOKUP(Table6[[#This Row],[SKU]],'All Skus'!$A:$AC,2,FALSE))="JBL",(VLOOKUP(Table6[[#This Row],[SKU]],'All Skus'!$A:$AC,4,FALSE)),""))</f>
        <v>AWC62</v>
      </c>
      <c r="D335" s="61" t="str">
        <f>(IF((VLOOKUP(Table6[[#This Row],[SKU]],'All Skus'!$A:$AC,2,FALSE))="JBL",(VLOOKUP(Table6[[#This Row],[SKU]],'All Skus'!$A:$AC,5,FALSE)),""))</f>
        <v>JBL018</v>
      </c>
      <c r="E335" s="137">
        <f>(IF((VLOOKUP(Table6[[#This Row],[SKU]],'All Skus'!$A:$AC,2,FALSE))="JBL",(VLOOKUP(Table6[[#This Row],[SKU]],'All Skus'!$A:$AC,6,FALSE)),""))</f>
        <v>0</v>
      </c>
      <c r="F335" s="61">
        <f>(IF((VLOOKUP(Table6[[#This Row],[SKU]],'All Skus'!$A:$AC,2,FALSE))="JBL",(VLOOKUP(Table6[[#This Row],[SKU]],'All Skus'!$A:$AC,7,FALSE)),""))</f>
        <v>0</v>
      </c>
      <c r="G335" t="str">
        <f>(IF((VLOOKUP(Table6[[#This Row],[SKU]],'All Skus'!$A:$AC,2,FALSE))="JBL",(VLOOKUP(Table6[[#This Row],[SKU]],'All Skus'!$A:$AC,8,FALSE)),""))</f>
        <v>Compact All-Weather 2-Way Co-axial Loudspeaker with 6.5" LF, light gray</v>
      </c>
      <c r="H335" s="8" t="str">
        <f>(IF((VLOOKUP(Table6[[#This Row],[SKU]],'All Skus'!$A:$AC,2,FALSE))="JBL",(VLOOKUP(Table6[[#This Row],[SKU]],'All Skus'!$A:$AC,9,FALSE)),""))</f>
        <v>6.5" 2-Way All-Weather Compact Co-axial Loudspeaker. 110° x 110° broadband control, co-ax driver with 165 mm (6.5 in) Kevlar-reinforced woofer with 38 mm 1.5 in) voice coil and 25 mm (1 in) compression driver.  Excellent clarity extended frequency response.  175 Watt power handling (700 W peaks), 70 Hz - 18 kHz frequency range, overload HF protection, 120 Watt 70V/100V multi-tap or direct 8 ohm low-impedance. U-Bracket included. Light Gray, paintable. Sold and packed as each.</v>
      </c>
      <c r="I335" s="101">
        <f>(IF((VLOOKUP(Table6[[#This Row],[SKU]],'All Skus'!$A:$AC,2,FALSE))="JBL",(VLOOKUP(Table6[[#This Row],[SKU]],'All Skus'!$A:$AC,10,FALSE)),""))</f>
        <v>469.52</v>
      </c>
      <c r="J335" s="101">
        <f>(IF((VLOOKUP(Table6[[#This Row],[SKU]],'All Skus'!$A:$AC,2,FALSE))="JBL",(VLOOKUP(Table6[[#This Row],[SKU]],'All Skus'!$A:$AC,11,FALSE)),""))</f>
        <v>376</v>
      </c>
      <c r="K335" s="102">
        <f>(IF((VLOOKUP(Table6[[#This Row],[SKU]],'All Skus'!$A:$AC,2,FALSE))="JBL",(VLOOKUP(Table6[[#This Row],[SKU]],'All Skus'!$A:$AC,13,FALSE)),""))</f>
        <v>0</v>
      </c>
      <c r="L335" s="102">
        <f>(IF((VLOOKUP(Table6[[#This Row],[SKU]],'All Skus'!$A:$AC,2,FALSE))="JBL",(VLOOKUP(Table6[[#This Row],[SKU]],'All Skus'!$A:$AC,14,FALSE)),""))</f>
        <v>0</v>
      </c>
      <c r="M335" s="143">
        <f>(IF((VLOOKUP(Table6[[#This Row],[SKU]],'All Skus'!$A:$AC,2,FALSE))="JBL",(VLOOKUP(Table6[[#This Row],[SKU]],'All Skus'!$A:$AC,15,FALSE)),""))</f>
        <v>0</v>
      </c>
      <c r="N335" s="137" t="str">
        <f>(IF((VLOOKUP(Table6[[#This Row],[SKU]],'All Skus'!$A:$AC,2,FALSE))="JBL",(VLOOKUP(Table6[[#This Row],[SKU]],'All Skus'!$A:$AC,16,FALSE)),""))</f>
        <v>6 9199100602 9</v>
      </c>
      <c r="O335" s="61">
        <f>(IF((VLOOKUP(Table6[[#This Row],[SKU]],'All Skus'!$A:$AC,2,FALSE))="JBL",(VLOOKUP(Table6[[#This Row],[SKU]],'All Skus'!$A:$AC,17,FALSE)),""))</f>
        <v>0</v>
      </c>
      <c r="P335" s="136">
        <f>(IF((VLOOKUP(Table6[[#This Row],[SKU]],'All Skus'!$A:$AC,2,FALSE))="JBL",(VLOOKUP(Table6[[#This Row],[SKU]],'All Skus'!$A:$AC,18,FALSE)),""))</f>
        <v>20</v>
      </c>
      <c r="Q335" s="136">
        <f>(IF((VLOOKUP(Table6[[#This Row],[SKU]],'All Skus'!$A:$AC,2,FALSE))="JBL",(VLOOKUP(Table6[[#This Row],[SKU]],'All Skus'!$A:$AC,19,FALSE)),""))</f>
        <v>14</v>
      </c>
      <c r="R335" s="136">
        <f>(IF((VLOOKUP(Table6[[#This Row],[SKU]],'All Skus'!$A:$AC,2,FALSE))="JBL",(VLOOKUP(Table6[[#This Row],[SKU]],'All Skus'!$A:$AC,20,FALSE)),""))</f>
        <v>14.5</v>
      </c>
      <c r="S335" s="61">
        <f>(IF((VLOOKUP(Table6[[#This Row],[SKU]],'All Skus'!$A:$AC,2,FALSE))="JBL",(VLOOKUP(Table6[[#This Row],[SKU]],'All Skus'!$A:$AC,21,FALSE)),""))</f>
        <v>14.5</v>
      </c>
      <c r="T335" s="61" t="str">
        <f>(IF((VLOOKUP(Table6[[#This Row],[SKU]],'All Skus'!$A:$AC,2,FALSE))="JBL",(VLOOKUP(Table6[[#This Row],[SKU]],'All Skus'!$A:$AC,22,FALSE)),""))</f>
        <v>CN</v>
      </c>
      <c r="U335" t="str">
        <f>(IF((VLOOKUP(Table6[[#This Row],[SKU]],'All Skus'!$A:$AC,2,FALSE))="JBL",(VLOOKUP(Table6[[#This Row],[SKU]],'All Skus'!$A:$AC,23,FALSE)),""))</f>
        <v>Non Compliant</v>
      </c>
      <c r="V335" s="284" t="str">
        <f>HYPERLINK((IF((VLOOKUP(Table6[[#This Row],[SKU]],'All Skus'!$A:$AC,2,FALSE))="JBL",(VLOOKUP(Table6[[#This Row],[SKU]],'All Skus'!$A:$AC,24,FALSE)),"")))</f>
        <v>http://www.jblpro.com/www/products/installed-sound/aw-awc-all-weather/awc62</v>
      </c>
      <c r="W335" s="151">
        <v>333</v>
      </c>
    </row>
    <row r="336" spans="1:23" ht="15" hidden="1" customHeight="1">
      <c r="A336" s="13" t="s">
        <v>1342</v>
      </c>
      <c r="B336" s="12" t="str">
        <f>(IF((VLOOKUP(Table6[[#This Row],[SKU]],'All Skus'!$A:$AC,2,FALSE))="JBL",(VLOOKUP(Table6[[#This Row],[SKU]],'All Skus'!$A:$AC,3,FALSE)),""))</f>
        <v>Surface-Mount Speaker</v>
      </c>
      <c r="C336" s="12" t="str">
        <f>(IF((VLOOKUP(Table6[[#This Row],[SKU]],'All Skus'!$A:$AC,2,FALSE))="JBL",(VLOOKUP(Table6[[#This Row],[SKU]],'All Skus'!$A:$AC,4,FALSE)),""))</f>
        <v>AWC62-BK</v>
      </c>
      <c r="D336" s="61" t="str">
        <f>(IF((VLOOKUP(Table6[[#This Row],[SKU]],'All Skus'!$A:$AC,2,FALSE))="JBL",(VLOOKUP(Table6[[#This Row],[SKU]],'All Skus'!$A:$AC,5,FALSE)),""))</f>
        <v>JBL018</v>
      </c>
      <c r="E336" s="137">
        <f>(IF((VLOOKUP(Table6[[#This Row],[SKU]],'All Skus'!$A:$AC,2,FALSE))="JBL",(VLOOKUP(Table6[[#This Row],[SKU]],'All Skus'!$A:$AC,6,FALSE)),""))</f>
        <v>0</v>
      </c>
      <c r="F336" s="61">
        <f>(IF((VLOOKUP(Table6[[#This Row],[SKU]],'All Skus'!$A:$AC,2,FALSE))="JBL",(VLOOKUP(Table6[[#This Row],[SKU]],'All Skus'!$A:$AC,7,FALSE)),""))</f>
        <v>0</v>
      </c>
      <c r="G336" t="str">
        <f>(IF((VLOOKUP(Table6[[#This Row],[SKU]],'All Skus'!$A:$AC,2,FALSE))="JBL",(VLOOKUP(Table6[[#This Row],[SKU]],'All Skus'!$A:$AC,8,FALSE)),""))</f>
        <v>Compact All-Weather 2-Way Co-axial Loudspeaker with 6.5" LF, black</v>
      </c>
      <c r="H336" s="8" t="str">
        <f>(IF((VLOOKUP(Table6[[#This Row],[SKU]],'All Skus'!$A:$AC,2,FALSE))="JBL",(VLOOKUP(Table6[[#This Row],[SKU]],'All Skus'!$A:$AC,9,FALSE)),""))</f>
        <v>Same as AWC62, in black.   Sold and packed as each.</v>
      </c>
      <c r="I336" s="101">
        <f>(IF((VLOOKUP(Table6[[#This Row],[SKU]],'All Skus'!$A:$AC,2,FALSE))="JBL",(VLOOKUP(Table6[[#This Row],[SKU]],'All Skus'!$A:$AC,10,FALSE)),""))</f>
        <v>469.52</v>
      </c>
      <c r="J336" s="101">
        <f>(IF((VLOOKUP(Table6[[#This Row],[SKU]],'All Skus'!$A:$AC,2,FALSE))="JBL",(VLOOKUP(Table6[[#This Row],[SKU]],'All Skus'!$A:$AC,11,FALSE)),""))</f>
        <v>376</v>
      </c>
      <c r="K336" s="102">
        <f>(IF((VLOOKUP(Table6[[#This Row],[SKU]],'All Skus'!$A:$AC,2,FALSE))="JBL",(VLOOKUP(Table6[[#This Row],[SKU]],'All Skus'!$A:$AC,13,FALSE)),""))</f>
        <v>0</v>
      </c>
      <c r="L336" s="102">
        <f>(IF((VLOOKUP(Table6[[#This Row],[SKU]],'All Skus'!$A:$AC,2,FALSE))="JBL",(VLOOKUP(Table6[[#This Row],[SKU]],'All Skus'!$A:$AC,14,FALSE)),""))</f>
        <v>0</v>
      </c>
      <c r="M336" s="143">
        <f>(IF((VLOOKUP(Table6[[#This Row],[SKU]],'All Skus'!$A:$AC,2,FALSE))="JBL",(VLOOKUP(Table6[[#This Row],[SKU]],'All Skus'!$A:$AC,15,FALSE)),""))</f>
        <v>0</v>
      </c>
      <c r="N336" s="137" t="str">
        <f>(IF((VLOOKUP(Table6[[#This Row],[SKU]],'All Skus'!$A:$AC,2,FALSE))="JBL",(VLOOKUP(Table6[[#This Row],[SKU]],'All Skus'!$A:$AC,16,FALSE)),""))</f>
        <v>6 9199100601 2</v>
      </c>
      <c r="O336" s="61">
        <f>(IF((VLOOKUP(Table6[[#This Row],[SKU]],'All Skus'!$A:$AC,2,FALSE))="JBL",(VLOOKUP(Table6[[#This Row],[SKU]],'All Skus'!$A:$AC,17,FALSE)),""))</f>
        <v>0</v>
      </c>
      <c r="P336" s="136">
        <f>(IF((VLOOKUP(Table6[[#This Row],[SKU]],'All Skus'!$A:$AC,2,FALSE))="JBL",(VLOOKUP(Table6[[#This Row],[SKU]],'All Skus'!$A:$AC,18,FALSE)),""))</f>
        <v>5</v>
      </c>
      <c r="Q336" s="136">
        <f>(IF((VLOOKUP(Table6[[#This Row],[SKU]],'All Skus'!$A:$AC,2,FALSE))="JBL",(VLOOKUP(Table6[[#This Row],[SKU]],'All Skus'!$A:$AC,19,FALSE)),""))</f>
        <v>12</v>
      </c>
      <c r="R336" s="136">
        <f>(IF((VLOOKUP(Table6[[#This Row],[SKU]],'All Skus'!$A:$AC,2,FALSE))="JBL",(VLOOKUP(Table6[[#This Row],[SKU]],'All Skus'!$A:$AC,20,FALSE)),""))</f>
        <v>12</v>
      </c>
      <c r="S336" s="61">
        <f>(IF((VLOOKUP(Table6[[#This Row],[SKU]],'All Skus'!$A:$AC,2,FALSE))="JBL",(VLOOKUP(Table6[[#This Row],[SKU]],'All Skus'!$A:$AC,21,FALSE)),""))</f>
        <v>14</v>
      </c>
      <c r="T336" s="61" t="str">
        <f>(IF((VLOOKUP(Table6[[#This Row],[SKU]],'All Skus'!$A:$AC,2,FALSE))="JBL",(VLOOKUP(Table6[[#This Row],[SKU]],'All Skus'!$A:$AC,22,FALSE)),""))</f>
        <v>CN</v>
      </c>
      <c r="U336" t="str">
        <f>(IF((VLOOKUP(Table6[[#This Row],[SKU]],'All Skus'!$A:$AC,2,FALSE))="JBL",(VLOOKUP(Table6[[#This Row],[SKU]],'All Skus'!$A:$AC,23,FALSE)),""))</f>
        <v>Non Compliant</v>
      </c>
      <c r="V336" s="284" t="str">
        <f>HYPERLINK((IF((VLOOKUP(Table6[[#This Row],[SKU]],'All Skus'!$A:$AC,2,FALSE))="JBL",(VLOOKUP(Table6[[#This Row],[SKU]],'All Skus'!$A:$AC,24,FALSE)),"")))</f>
        <v>http://www.jblpro.com/www/products/installed-sound/aw-awc-all-weather/awc62</v>
      </c>
      <c r="W336" s="151">
        <v>334</v>
      </c>
    </row>
    <row r="337" spans="1:23" ht="15" hidden="1" customHeight="1">
      <c r="A337" s="13" t="s">
        <v>1343</v>
      </c>
      <c r="B337" s="12" t="str">
        <f>(IF((VLOOKUP(Table6[[#This Row],[SKU]],'All Skus'!$A:$AC,2,FALSE))="JBL",(VLOOKUP(Table6[[#This Row],[SKU]],'All Skus'!$A:$AC,3,FALSE)),""))</f>
        <v>Surface-Mount Speaker</v>
      </c>
      <c r="C337" s="12" t="str">
        <f>(IF((VLOOKUP(Table6[[#This Row],[SKU]],'All Skus'!$A:$AC,2,FALSE))="JBL",(VLOOKUP(Table6[[#This Row],[SKU]],'All Skus'!$A:$AC,4,FALSE)),""))</f>
        <v>AWC82</v>
      </c>
      <c r="D337" s="61" t="str">
        <f>(IF((VLOOKUP(Table6[[#This Row],[SKU]],'All Skus'!$A:$AC,2,FALSE))="JBL",(VLOOKUP(Table6[[#This Row],[SKU]],'All Skus'!$A:$AC,5,FALSE)),""))</f>
        <v>JBL018</v>
      </c>
      <c r="E337" s="137">
        <f>(IF((VLOOKUP(Table6[[#This Row],[SKU]],'All Skus'!$A:$AC,2,FALSE))="JBL",(VLOOKUP(Table6[[#This Row],[SKU]],'All Skus'!$A:$AC,6,FALSE)),""))</f>
        <v>0</v>
      </c>
      <c r="F337" s="61">
        <f>(IF((VLOOKUP(Table6[[#This Row],[SKU]],'All Skus'!$A:$AC,2,FALSE))="JBL",(VLOOKUP(Table6[[#This Row],[SKU]],'All Skus'!$A:$AC,7,FALSE)),""))</f>
        <v>0</v>
      </c>
      <c r="G337" t="str">
        <f>(IF((VLOOKUP(Table6[[#This Row],[SKU]],'All Skus'!$A:$AC,2,FALSE))="JBL",(VLOOKUP(Table6[[#This Row],[SKU]],'All Skus'!$A:$AC,8,FALSE)),""))</f>
        <v>All-Weather Co-ax, 8” 2-way, Light Gray</v>
      </c>
      <c r="H337" s="8" t="str">
        <f>(IF((VLOOKUP(Table6[[#This Row],[SKU]],'All Skus'!$A:$AC,2,FALSE))="JBL",(VLOOKUP(Table6[[#This Row],[SKU]],'All Skus'!$A:$AC,9,FALSE)),""))</f>
        <v>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v>
      </c>
      <c r="I337" s="101">
        <f>(IF((VLOOKUP(Table6[[#This Row],[SKU]],'All Skus'!$A:$AC,2,FALSE))="JBL",(VLOOKUP(Table6[[#This Row],[SKU]],'All Skus'!$A:$AC,10,FALSE)),""))</f>
        <v>623.96</v>
      </c>
      <c r="J337" s="101">
        <f>(IF((VLOOKUP(Table6[[#This Row],[SKU]],'All Skus'!$A:$AC,2,FALSE))="JBL",(VLOOKUP(Table6[[#This Row],[SKU]],'All Skus'!$A:$AC,11,FALSE)),""))</f>
        <v>500</v>
      </c>
      <c r="K337" s="102">
        <f>(IF((VLOOKUP(Table6[[#This Row],[SKU]],'All Skus'!$A:$AC,2,FALSE))="JBL",(VLOOKUP(Table6[[#This Row],[SKU]],'All Skus'!$A:$AC,13,FALSE)),""))</f>
        <v>0</v>
      </c>
      <c r="L337" s="102">
        <f>(IF((VLOOKUP(Table6[[#This Row],[SKU]],'All Skus'!$A:$AC,2,FALSE))="JBL",(VLOOKUP(Table6[[#This Row],[SKU]],'All Skus'!$A:$AC,14,FALSE)),""))</f>
        <v>0</v>
      </c>
      <c r="M337" s="143">
        <f>(IF((VLOOKUP(Table6[[#This Row],[SKU]],'All Skus'!$A:$AC,2,FALSE))="JBL",(VLOOKUP(Table6[[#This Row],[SKU]],'All Skus'!$A:$AC,15,FALSE)),""))</f>
        <v>0</v>
      </c>
      <c r="N337" s="137">
        <f>(IF((VLOOKUP(Table6[[#This Row],[SKU]],'All Skus'!$A:$AC,2,FALSE))="JBL",(VLOOKUP(Table6[[#This Row],[SKU]],'All Skus'!$A:$AC,16,FALSE)),""))</f>
        <v>50036904179</v>
      </c>
      <c r="O337" s="61">
        <f>(IF((VLOOKUP(Table6[[#This Row],[SKU]],'All Skus'!$A:$AC,2,FALSE))="JBL",(VLOOKUP(Table6[[#This Row],[SKU]],'All Skus'!$A:$AC,17,FALSE)),""))</f>
        <v>0</v>
      </c>
      <c r="P337" s="136">
        <f>(IF((VLOOKUP(Table6[[#This Row],[SKU]],'All Skus'!$A:$AC,2,FALSE))="JBL",(VLOOKUP(Table6[[#This Row],[SKU]],'All Skus'!$A:$AC,18,FALSE)),""))</f>
        <v>29.9</v>
      </c>
      <c r="Q337" s="136">
        <f>(IF((VLOOKUP(Table6[[#This Row],[SKU]],'All Skus'!$A:$AC,2,FALSE))="JBL",(VLOOKUP(Table6[[#This Row],[SKU]],'All Skus'!$A:$AC,19,FALSE)),""))</f>
        <v>16.5</v>
      </c>
      <c r="R337" s="136">
        <f>(IF((VLOOKUP(Table6[[#This Row],[SKU]],'All Skus'!$A:$AC,2,FALSE))="JBL",(VLOOKUP(Table6[[#This Row],[SKU]],'All Skus'!$A:$AC,20,FALSE)),""))</f>
        <v>15.5</v>
      </c>
      <c r="S337" s="61">
        <f>(IF((VLOOKUP(Table6[[#This Row],[SKU]],'All Skus'!$A:$AC,2,FALSE))="JBL",(VLOOKUP(Table6[[#This Row],[SKU]],'All Skus'!$A:$AC,21,FALSE)),""))</f>
        <v>16</v>
      </c>
      <c r="T337" s="61" t="str">
        <f>(IF((VLOOKUP(Table6[[#This Row],[SKU]],'All Skus'!$A:$AC,2,FALSE))="JBL",(VLOOKUP(Table6[[#This Row],[SKU]],'All Skus'!$A:$AC,22,FALSE)),""))</f>
        <v>CN</v>
      </c>
      <c r="U337" t="str">
        <f>(IF((VLOOKUP(Table6[[#This Row],[SKU]],'All Skus'!$A:$AC,2,FALSE))="JBL",(VLOOKUP(Table6[[#This Row],[SKU]],'All Skus'!$A:$AC,23,FALSE)),""))</f>
        <v>Non Compliant</v>
      </c>
      <c r="V337" s="284" t="str">
        <f>HYPERLINK((IF((VLOOKUP(Table6[[#This Row],[SKU]],'All Skus'!$A:$AC,2,FALSE))="JBL",(VLOOKUP(Table6[[#This Row],[SKU]],'All Skus'!$A:$AC,24,FALSE)),"")))</f>
        <v xml:space="preserve">http://www.jblpro.com/www/products/installed-sound/aw-awc-all-weather/awc82 </v>
      </c>
      <c r="W337" s="151">
        <v>335</v>
      </c>
    </row>
    <row r="338" spans="1:23" ht="15" hidden="1" customHeight="1">
      <c r="A338" s="13" t="s">
        <v>1344</v>
      </c>
      <c r="B338" s="12" t="str">
        <f>(IF((VLOOKUP(Table6[[#This Row],[SKU]],'All Skus'!$A:$AC,2,FALSE))="JBL",(VLOOKUP(Table6[[#This Row],[SKU]],'All Skus'!$A:$AC,3,FALSE)),""))</f>
        <v>Surface-Mount Speaker</v>
      </c>
      <c r="C338" s="12" t="str">
        <f>(IF((VLOOKUP(Table6[[#This Row],[SKU]],'All Skus'!$A:$AC,2,FALSE))="JBL",(VLOOKUP(Table6[[#This Row],[SKU]],'All Skus'!$A:$AC,4,FALSE)),""))</f>
        <v>AWC82-BK</v>
      </c>
      <c r="D338" s="61" t="str">
        <f>(IF((VLOOKUP(Table6[[#This Row],[SKU]],'All Skus'!$A:$AC,2,FALSE))="JBL",(VLOOKUP(Table6[[#This Row],[SKU]],'All Skus'!$A:$AC,5,FALSE)),""))</f>
        <v>JBL018</v>
      </c>
      <c r="E338" s="137">
        <f>(IF((VLOOKUP(Table6[[#This Row],[SKU]],'All Skus'!$A:$AC,2,FALSE))="JBL",(VLOOKUP(Table6[[#This Row],[SKU]],'All Skus'!$A:$AC,6,FALSE)),""))</f>
        <v>0</v>
      </c>
      <c r="F338" s="61">
        <f>(IF((VLOOKUP(Table6[[#This Row],[SKU]],'All Skus'!$A:$AC,2,FALSE))="JBL",(VLOOKUP(Table6[[#This Row],[SKU]],'All Skus'!$A:$AC,7,FALSE)),""))</f>
        <v>0</v>
      </c>
      <c r="G338" t="str">
        <f>(IF((VLOOKUP(Table6[[#This Row],[SKU]],'All Skus'!$A:$AC,2,FALSE))="JBL",(VLOOKUP(Table6[[#This Row],[SKU]],'All Skus'!$A:$AC,8,FALSE)),""))</f>
        <v>All-Weather Co-ax, 8” 2-way, Black</v>
      </c>
      <c r="H338" s="8" t="str">
        <f>(IF((VLOOKUP(Table6[[#This Row],[SKU]],'All Skus'!$A:$AC,2,FALSE))="JBL",(VLOOKUP(Table6[[#This Row],[SKU]],'All Skus'!$A:$AC,9,FALSE)),""))</f>
        <v>8" 2-Way All-Weather Compact Co-axial Loudspeaker. 120° x 120° broadband control, co-ax driver with 200 mm (8 in) Kevlar-reinforced woofer and 25 mm (1 in) compression driver with high-temp polymer diaphragm.  Excellent clarity with extended frequency response.  250 Watt power handling (1000 Watt peaks), 80 Hz - 20 kHz frequency range, overload HF protection, 200 Watt 70V/100V multi-tap or direct 8? low-impedance.   U-Bracket included. Gray or black (-BK), paintable. Sold and packed as each.</v>
      </c>
      <c r="I338" s="101">
        <f>(IF((VLOOKUP(Table6[[#This Row],[SKU]],'All Skus'!$A:$AC,2,FALSE))="JBL",(VLOOKUP(Table6[[#This Row],[SKU]],'All Skus'!$A:$AC,10,FALSE)),""))</f>
        <v>623.96</v>
      </c>
      <c r="J338" s="101">
        <f>(IF((VLOOKUP(Table6[[#This Row],[SKU]],'All Skus'!$A:$AC,2,FALSE))="JBL",(VLOOKUP(Table6[[#This Row],[SKU]],'All Skus'!$A:$AC,11,FALSE)),""))</f>
        <v>500</v>
      </c>
      <c r="K338" s="102">
        <f>(IF((VLOOKUP(Table6[[#This Row],[SKU]],'All Skus'!$A:$AC,2,FALSE))="JBL",(VLOOKUP(Table6[[#This Row],[SKU]],'All Skus'!$A:$AC,13,FALSE)),""))</f>
        <v>0</v>
      </c>
      <c r="L338" s="102">
        <f>(IF((VLOOKUP(Table6[[#This Row],[SKU]],'All Skus'!$A:$AC,2,FALSE))="JBL",(VLOOKUP(Table6[[#This Row],[SKU]],'All Skus'!$A:$AC,14,FALSE)),""))</f>
        <v>0</v>
      </c>
      <c r="M338" s="143">
        <f>(IF((VLOOKUP(Table6[[#This Row],[SKU]],'All Skus'!$A:$AC,2,FALSE))="JBL",(VLOOKUP(Table6[[#This Row],[SKU]],'All Skus'!$A:$AC,15,FALSE)),""))</f>
        <v>0</v>
      </c>
      <c r="N338" s="137">
        <f>(IF((VLOOKUP(Table6[[#This Row],[SKU]],'All Skus'!$A:$AC,2,FALSE))="JBL",(VLOOKUP(Table6[[#This Row],[SKU]],'All Skus'!$A:$AC,16,FALSE)),""))</f>
        <v>50036904186</v>
      </c>
      <c r="O338" s="61">
        <f>(IF((VLOOKUP(Table6[[#This Row],[SKU]],'All Skus'!$A:$AC,2,FALSE))="JBL",(VLOOKUP(Table6[[#This Row],[SKU]],'All Skus'!$A:$AC,17,FALSE)),""))</f>
        <v>0</v>
      </c>
      <c r="P338" s="136">
        <f>(IF((VLOOKUP(Table6[[#This Row],[SKU]],'All Skus'!$A:$AC,2,FALSE))="JBL",(VLOOKUP(Table6[[#This Row],[SKU]],'All Skus'!$A:$AC,18,FALSE)),""))</f>
        <v>29.85</v>
      </c>
      <c r="Q338" s="136">
        <f>(IF((VLOOKUP(Table6[[#This Row],[SKU]],'All Skus'!$A:$AC,2,FALSE))="JBL",(VLOOKUP(Table6[[#This Row],[SKU]],'All Skus'!$A:$AC,19,FALSE)),""))</f>
        <v>15.5</v>
      </c>
      <c r="R338" s="136">
        <f>(IF((VLOOKUP(Table6[[#This Row],[SKU]],'All Skus'!$A:$AC,2,FALSE))="JBL",(VLOOKUP(Table6[[#This Row],[SKU]],'All Skus'!$A:$AC,20,FALSE)),""))</f>
        <v>16.5</v>
      </c>
      <c r="S338" s="61">
        <f>(IF((VLOOKUP(Table6[[#This Row],[SKU]],'All Skus'!$A:$AC,2,FALSE))="JBL",(VLOOKUP(Table6[[#This Row],[SKU]],'All Skus'!$A:$AC,21,FALSE)),""))</f>
        <v>16</v>
      </c>
      <c r="T338" s="61" t="str">
        <f>(IF((VLOOKUP(Table6[[#This Row],[SKU]],'All Skus'!$A:$AC,2,FALSE))="JBL",(VLOOKUP(Table6[[#This Row],[SKU]],'All Skus'!$A:$AC,22,FALSE)),""))</f>
        <v>CN</v>
      </c>
      <c r="U338" t="str">
        <f>(IF((VLOOKUP(Table6[[#This Row],[SKU]],'All Skus'!$A:$AC,2,FALSE))="JBL",(VLOOKUP(Table6[[#This Row],[SKU]],'All Skus'!$A:$AC,23,FALSE)),""))</f>
        <v>Non Compliant</v>
      </c>
      <c r="V338" s="284" t="str">
        <f>HYPERLINK((IF((VLOOKUP(Table6[[#This Row],[SKU]],'All Skus'!$A:$AC,2,FALSE))="JBL",(VLOOKUP(Table6[[#This Row],[SKU]],'All Skus'!$A:$AC,24,FALSE)),"")))</f>
        <v xml:space="preserve">http://www.jblpro.com/www/products/installed-sound/aw-awc-all-weather/awc82 </v>
      </c>
      <c r="W338" s="151">
        <v>336</v>
      </c>
    </row>
    <row r="339" spans="1:23" ht="15" hidden="1" customHeight="1">
      <c r="A339" s="13" t="s">
        <v>1345</v>
      </c>
      <c r="B339" s="12" t="str">
        <f>(IF((VLOOKUP(Table6[[#This Row],[SKU]],'All Skus'!$A:$AC,2,FALSE))="JBL",(VLOOKUP(Table6[[#This Row],[SKU]],'All Skus'!$A:$AC,3,FALSE)),""))</f>
        <v>Surface-Mount Speaker</v>
      </c>
      <c r="C339" s="12" t="str">
        <f>(IF((VLOOKUP(Table6[[#This Row],[SKU]],'All Skus'!$A:$AC,2,FALSE))="JBL",(VLOOKUP(Table6[[#This Row],[SKU]],'All Skus'!$A:$AC,4,FALSE)),""))</f>
        <v>AWC129</v>
      </c>
      <c r="D339" s="61" t="str">
        <f>(IF((VLOOKUP(Table6[[#This Row],[SKU]],'All Skus'!$A:$AC,2,FALSE))="JBL",(VLOOKUP(Table6[[#This Row],[SKU]],'All Skus'!$A:$AC,5,FALSE)),""))</f>
        <v>JBL018</v>
      </c>
      <c r="E339" s="137">
        <f>(IF((VLOOKUP(Table6[[#This Row],[SKU]],'All Skus'!$A:$AC,2,FALSE))="JBL",(VLOOKUP(Table6[[#This Row],[SKU]],'All Skus'!$A:$AC,6,FALSE)),""))</f>
        <v>0</v>
      </c>
      <c r="F339" s="61">
        <f>(IF((VLOOKUP(Table6[[#This Row],[SKU]],'All Skus'!$A:$AC,2,FALSE))="JBL",(VLOOKUP(Table6[[#This Row],[SKU]],'All Skus'!$A:$AC,7,FALSE)),""))</f>
        <v>0</v>
      </c>
      <c r="G339" t="str">
        <f>(IF((VLOOKUP(Table6[[#This Row],[SKU]],'All Skus'!$A:$AC,2,FALSE))="JBL",(VLOOKUP(Table6[[#This Row],[SKU]],'All Skus'!$A:$AC,8,FALSE)),""))</f>
        <v>All-Weather Co-ax, 12” 2-way, Light Gray</v>
      </c>
      <c r="H339" s="8" t="str">
        <f>(IF((VLOOKUP(Table6[[#This Row],[SKU]],'All Skus'!$A:$AC,2,FALSE))="JBL",(VLOOKUP(Table6[[#This Row],[SKU]],'All Skus'!$A:$AC,9,FALSE)),""))</f>
        <v>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v>
      </c>
      <c r="I339" s="101">
        <f>(IF((VLOOKUP(Table6[[#This Row],[SKU]],'All Skus'!$A:$AC,2,FALSE))="JBL",(VLOOKUP(Table6[[#This Row],[SKU]],'All Skus'!$A:$AC,10,FALSE)),""))</f>
        <v>1167.6099999999999</v>
      </c>
      <c r="J339" s="101">
        <f>(IF((VLOOKUP(Table6[[#This Row],[SKU]],'All Skus'!$A:$AC,2,FALSE))="JBL",(VLOOKUP(Table6[[#This Row],[SKU]],'All Skus'!$A:$AC,11,FALSE)),""))</f>
        <v>937</v>
      </c>
      <c r="K339" s="102">
        <f>(IF((VLOOKUP(Table6[[#This Row],[SKU]],'All Skus'!$A:$AC,2,FALSE))="JBL",(VLOOKUP(Table6[[#This Row],[SKU]],'All Skus'!$A:$AC,13,FALSE)),""))</f>
        <v>0</v>
      </c>
      <c r="L339" s="102">
        <f>(IF((VLOOKUP(Table6[[#This Row],[SKU]],'All Skus'!$A:$AC,2,FALSE))="JBL",(VLOOKUP(Table6[[#This Row],[SKU]],'All Skus'!$A:$AC,14,FALSE)),""))</f>
        <v>0</v>
      </c>
      <c r="M339" s="143">
        <f>(IF((VLOOKUP(Table6[[#This Row],[SKU]],'All Skus'!$A:$AC,2,FALSE))="JBL",(VLOOKUP(Table6[[#This Row],[SKU]],'All Skus'!$A:$AC,15,FALSE)),""))</f>
        <v>0</v>
      </c>
      <c r="N339" s="137">
        <f>(IF((VLOOKUP(Table6[[#This Row],[SKU]],'All Skus'!$A:$AC,2,FALSE))="JBL",(VLOOKUP(Table6[[#This Row],[SKU]],'All Skus'!$A:$AC,16,FALSE)),""))</f>
        <v>50036904193</v>
      </c>
      <c r="O339" s="61">
        <f>(IF((VLOOKUP(Table6[[#This Row],[SKU]],'All Skus'!$A:$AC,2,FALSE))="JBL",(VLOOKUP(Table6[[#This Row],[SKU]],'All Skus'!$A:$AC,17,FALSE)),""))</f>
        <v>0</v>
      </c>
      <c r="P339" s="136">
        <f>(IF((VLOOKUP(Table6[[#This Row],[SKU]],'All Skus'!$A:$AC,2,FALSE))="JBL",(VLOOKUP(Table6[[#This Row],[SKU]],'All Skus'!$A:$AC,18,FALSE)),""))</f>
        <v>41</v>
      </c>
      <c r="Q339" s="136">
        <f>(IF((VLOOKUP(Table6[[#This Row],[SKU]],'All Skus'!$A:$AC,2,FALSE))="JBL",(VLOOKUP(Table6[[#This Row],[SKU]],'All Skus'!$A:$AC,19,FALSE)),""))</f>
        <v>21</v>
      </c>
      <c r="R339" s="136">
        <f>(IF((VLOOKUP(Table6[[#This Row],[SKU]],'All Skus'!$A:$AC,2,FALSE))="JBL",(VLOOKUP(Table6[[#This Row],[SKU]],'All Skus'!$A:$AC,20,FALSE)),""))</f>
        <v>22</v>
      </c>
      <c r="S339" s="61">
        <f>(IF((VLOOKUP(Table6[[#This Row],[SKU]],'All Skus'!$A:$AC,2,FALSE))="JBL",(VLOOKUP(Table6[[#This Row],[SKU]],'All Skus'!$A:$AC,21,FALSE)),""))</f>
        <v>21</v>
      </c>
      <c r="T339" s="61" t="str">
        <f>(IF((VLOOKUP(Table6[[#This Row],[SKU]],'All Skus'!$A:$AC,2,FALSE))="JBL",(VLOOKUP(Table6[[#This Row],[SKU]],'All Skus'!$A:$AC,22,FALSE)),""))</f>
        <v>CN</v>
      </c>
      <c r="U339" t="str">
        <f>(IF((VLOOKUP(Table6[[#This Row],[SKU]],'All Skus'!$A:$AC,2,FALSE))="JBL",(VLOOKUP(Table6[[#This Row],[SKU]],'All Skus'!$A:$AC,23,FALSE)),""))</f>
        <v>Non Compliant</v>
      </c>
      <c r="V339" s="284" t="str">
        <f>HYPERLINK((IF((VLOOKUP(Table6[[#This Row],[SKU]],'All Skus'!$A:$AC,2,FALSE))="JBL",(VLOOKUP(Table6[[#This Row],[SKU]],'All Skus'!$A:$AC,24,FALSE)),"")))</f>
        <v>http://www.jblpro.com/www/products/installed-sound/aw-awc-all-weather/awc129</v>
      </c>
      <c r="W339" s="151">
        <v>337</v>
      </c>
    </row>
    <row r="340" spans="1:23" ht="15" hidden="1" customHeight="1">
      <c r="A340" s="13" t="s">
        <v>1346</v>
      </c>
      <c r="B340" s="12" t="str">
        <f>(IF((VLOOKUP(Table6[[#This Row],[SKU]],'All Skus'!$A:$AC,2,FALSE))="JBL",(VLOOKUP(Table6[[#This Row],[SKU]],'All Skus'!$A:$AC,3,FALSE)),""))</f>
        <v>Surface-Mount Speaker</v>
      </c>
      <c r="C340" s="12" t="str">
        <f>(IF((VLOOKUP(Table6[[#This Row],[SKU]],'All Skus'!$A:$AC,2,FALSE))="JBL",(VLOOKUP(Table6[[#This Row],[SKU]],'All Skus'!$A:$AC,4,FALSE)),""))</f>
        <v>AWC129-BK</v>
      </c>
      <c r="D340" s="61" t="str">
        <f>(IF((VLOOKUP(Table6[[#This Row],[SKU]],'All Skus'!$A:$AC,2,FALSE))="JBL",(VLOOKUP(Table6[[#This Row],[SKU]],'All Skus'!$A:$AC,5,FALSE)),""))</f>
        <v>JBL018</v>
      </c>
      <c r="E340" s="137">
        <f>(IF((VLOOKUP(Table6[[#This Row],[SKU]],'All Skus'!$A:$AC,2,FALSE))="JBL",(VLOOKUP(Table6[[#This Row],[SKU]],'All Skus'!$A:$AC,6,FALSE)),""))</f>
        <v>0</v>
      </c>
      <c r="F340" s="61">
        <f>(IF((VLOOKUP(Table6[[#This Row],[SKU]],'All Skus'!$A:$AC,2,FALSE))="JBL",(VLOOKUP(Table6[[#This Row],[SKU]],'All Skus'!$A:$AC,7,FALSE)),""))</f>
        <v>0</v>
      </c>
      <c r="G340" t="str">
        <f>(IF((VLOOKUP(Table6[[#This Row],[SKU]],'All Skus'!$A:$AC,2,FALSE))="JBL",(VLOOKUP(Table6[[#This Row],[SKU]],'All Skus'!$A:$AC,8,FALSE)),""))</f>
        <v>All-Weather Co-ax, 12” 2-way, Black</v>
      </c>
      <c r="H340" s="8" t="str">
        <f>(IF((VLOOKUP(Table6[[#This Row],[SKU]],'All Skus'!$A:$AC,2,FALSE))="JBL",(VLOOKUP(Table6[[#This Row],[SKU]],'All Skus'!$A:$AC,9,FALSE)),""))</f>
        <v>12" 2-Way All-Weather Compact Co-axial Loudspeaker. 90° x 90° broadband control, co-ax driver with 300 mm (12 in) Kevlar-reinforced woofer with 75 mm (3 in) voice coil and 25 mm (1 in) compression driver, high-temp polymer diaphragm.  Excellent clarity extended frequency response.  400 Watt power handling (1600 W peaks), 55 Hz - 20 kHz frequency range, overload HF protection, 200 Watt 70V/100V multi-tap or direct 8? low-impedance. U-Bracket included. Gray or black (-BK), paintable. Sold and packed as each.</v>
      </c>
      <c r="I340" s="101">
        <f>(IF((VLOOKUP(Table6[[#This Row],[SKU]],'All Skus'!$A:$AC,2,FALSE))="JBL",(VLOOKUP(Table6[[#This Row],[SKU]],'All Skus'!$A:$AC,10,FALSE)),""))</f>
        <v>1167.6099999999999</v>
      </c>
      <c r="J340" s="101">
        <f>(IF((VLOOKUP(Table6[[#This Row],[SKU]],'All Skus'!$A:$AC,2,FALSE))="JBL",(VLOOKUP(Table6[[#This Row],[SKU]],'All Skus'!$A:$AC,11,FALSE)),""))</f>
        <v>937</v>
      </c>
      <c r="K340" s="102">
        <f>(IF((VLOOKUP(Table6[[#This Row],[SKU]],'All Skus'!$A:$AC,2,FALSE))="JBL",(VLOOKUP(Table6[[#This Row],[SKU]],'All Skus'!$A:$AC,13,FALSE)),""))</f>
        <v>0</v>
      </c>
      <c r="L340" s="102">
        <f>(IF((VLOOKUP(Table6[[#This Row],[SKU]],'All Skus'!$A:$AC,2,FALSE))="JBL",(VLOOKUP(Table6[[#This Row],[SKU]],'All Skus'!$A:$AC,14,FALSE)),""))</f>
        <v>0</v>
      </c>
      <c r="M340" s="143">
        <f>(IF((VLOOKUP(Table6[[#This Row],[SKU]],'All Skus'!$A:$AC,2,FALSE))="JBL",(VLOOKUP(Table6[[#This Row],[SKU]],'All Skus'!$A:$AC,15,FALSE)),""))</f>
        <v>0</v>
      </c>
      <c r="N340" s="137">
        <f>(IF((VLOOKUP(Table6[[#This Row],[SKU]],'All Skus'!$A:$AC,2,FALSE))="JBL",(VLOOKUP(Table6[[#This Row],[SKU]],'All Skus'!$A:$AC,16,FALSE)),""))</f>
        <v>50036904209</v>
      </c>
      <c r="O340" s="61">
        <f>(IF((VLOOKUP(Table6[[#This Row],[SKU]],'All Skus'!$A:$AC,2,FALSE))="JBL",(VLOOKUP(Table6[[#This Row],[SKU]],'All Skus'!$A:$AC,17,FALSE)),""))</f>
        <v>0</v>
      </c>
      <c r="P340" s="136">
        <f>(IF((VLOOKUP(Table6[[#This Row],[SKU]],'All Skus'!$A:$AC,2,FALSE))="JBL",(VLOOKUP(Table6[[#This Row],[SKU]],'All Skus'!$A:$AC,18,FALSE)),""))</f>
        <v>46.75</v>
      </c>
      <c r="Q340" s="136">
        <f>(IF((VLOOKUP(Table6[[#This Row],[SKU]],'All Skus'!$A:$AC,2,FALSE))="JBL",(VLOOKUP(Table6[[#This Row],[SKU]],'All Skus'!$A:$AC,19,FALSE)),""))</f>
        <v>23</v>
      </c>
      <c r="R340" s="136">
        <f>(IF((VLOOKUP(Table6[[#This Row],[SKU]],'All Skus'!$A:$AC,2,FALSE))="JBL",(VLOOKUP(Table6[[#This Row],[SKU]],'All Skus'!$A:$AC,20,FALSE)),""))</f>
        <v>21</v>
      </c>
      <c r="S340" s="61">
        <f>(IF((VLOOKUP(Table6[[#This Row],[SKU]],'All Skus'!$A:$AC,2,FALSE))="JBL",(VLOOKUP(Table6[[#This Row],[SKU]],'All Skus'!$A:$AC,21,FALSE)),""))</f>
        <v>21</v>
      </c>
      <c r="T340" s="61" t="str">
        <f>(IF((VLOOKUP(Table6[[#This Row],[SKU]],'All Skus'!$A:$AC,2,FALSE))="JBL",(VLOOKUP(Table6[[#This Row],[SKU]],'All Skus'!$A:$AC,22,FALSE)),""))</f>
        <v>CN</v>
      </c>
      <c r="U340" t="str">
        <f>(IF((VLOOKUP(Table6[[#This Row],[SKU]],'All Skus'!$A:$AC,2,FALSE))="JBL",(VLOOKUP(Table6[[#This Row],[SKU]],'All Skus'!$A:$AC,23,FALSE)),""))</f>
        <v>Non Compliant</v>
      </c>
      <c r="V340" s="284" t="str">
        <f>HYPERLINK((IF((VLOOKUP(Table6[[#This Row],[SKU]],'All Skus'!$A:$AC,2,FALSE))="JBL",(VLOOKUP(Table6[[#This Row],[SKU]],'All Skus'!$A:$AC,24,FALSE)),"")))</f>
        <v>http://www.jblpro.com/www/products/installed-sound/aw-awc-all-weather/awc129</v>
      </c>
      <c r="W340" s="151">
        <v>338</v>
      </c>
    </row>
    <row r="341" spans="1:23" ht="15" hidden="1" customHeight="1">
      <c r="A341" s="13" t="s">
        <v>1347</v>
      </c>
      <c r="B341" s="12" t="str">
        <f>(IF((VLOOKUP(Table6[[#This Row],[SKU]],'All Skus'!$A:$AC,2,FALSE))="JBL",(VLOOKUP(Table6[[#This Row],[SKU]],'All Skus'!$A:$AC,3,FALSE)),""))</f>
        <v>Surface-Mount Speaker</v>
      </c>
      <c r="C341" s="12" t="str">
        <f>(IF((VLOOKUP(Table6[[#This Row],[SKU]],'All Skus'!$A:$AC,2,FALSE))="JBL",(VLOOKUP(Table6[[#This Row],[SKU]],'All Skus'!$A:$AC,4,FALSE)),""))</f>
        <v>AWC159</v>
      </c>
      <c r="D341" s="61" t="str">
        <f>(IF((VLOOKUP(Table6[[#This Row],[SKU]],'All Skus'!$A:$AC,2,FALSE))="JBL",(VLOOKUP(Table6[[#This Row],[SKU]],'All Skus'!$A:$AC,5,FALSE)),""))</f>
        <v>JBL018</v>
      </c>
      <c r="E341" s="137">
        <f>(IF((VLOOKUP(Table6[[#This Row],[SKU]],'All Skus'!$A:$AC,2,FALSE))="JBL",(VLOOKUP(Table6[[#This Row],[SKU]],'All Skus'!$A:$AC,6,FALSE)),""))</f>
        <v>0</v>
      </c>
      <c r="F341" s="61">
        <f>(IF((VLOOKUP(Table6[[#This Row],[SKU]],'All Skus'!$A:$AC,2,FALSE))="JBL",(VLOOKUP(Table6[[#This Row],[SKU]],'All Skus'!$A:$AC,7,FALSE)),""))</f>
        <v>0</v>
      </c>
      <c r="G341" t="str">
        <f>(IF((VLOOKUP(Table6[[#This Row],[SKU]],'All Skus'!$A:$AC,2,FALSE))="JBL",(VLOOKUP(Table6[[#This Row],[SKU]],'All Skus'!$A:$AC,8,FALSE)),""))</f>
        <v>15" All Weather Compact Coax (Light Gray)</v>
      </c>
      <c r="H341" s="8" t="str">
        <f>(IF((VLOOKUP(Table6[[#This Row],[SKU]],'All Skus'!$A:$AC,2,FALSE))="JBL",(VLOOKUP(Table6[[#This Row],[SKU]],'All Skus'!$A:$AC,9,FALSE)),""))</f>
        <v>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v>
      </c>
      <c r="I341" s="101">
        <f>(IF((VLOOKUP(Table6[[#This Row],[SKU]],'All Skus'!$A:$AC,2,FALSE))="JBL",(VLOOKUP(Table6[[#This Row],[SKU]],'All Skus'!$A:$AC,10,FALSE)),""))</f>
        <v>1791.57</v>
      </c>
      <c r="J341" s="101">
        <f>(IF((VLOOKUP(Table6[[#This Row],[SKU]],'All Skus'!$A:$AC,2,FALSE))="JBL",(VLOOKUP(Table6[[#This Row],[SKU]],'All Skus'!$A:$AC,11,FALSE)),""))</f>
        <v>1431</v>
      </c>
      <c r="K341" s="102">
        <f>(IF((VLOOKUP(Table6[[#This Row],[SKU]],'All Skus'!$A:$AC,2,FALSE))="JBL",(VLOOKUP(Table6[[#This Row],[SKU]],'All Skus'!$A:$AC,13,FALSE)),""))</f>
        <v>0</v>
      </c>
      <c r="L341" s="102">
        <f>(IF((VLOOKUP(Table6[[#This Row],[SKU]],'All Skus'!$A:$AC,2,FALSE))="JBL",(VLOOKUP(Table6[[#This Row],[SKU]],'All Skus'!$A:$AC,14,FALSE)),""))</f>
        <v>0</v>
      </c>
      <c r="M341" s="143">
        <f>(IF((VLOOKUP(Table6[[#This Row],[SKU]],'All Skus'!$A:$AC,2,FALSE))="JBL",(VLOOKUP(Table6[[#This Row],[SKU]],'All Skus'!$A:$AC,15,FALSE)),""))</f>
        <v>0</v>
      </c>
      <c r="N341" s="137">
        <f>(IF((VLOOKUP(Table6[[#This Row],[SKU]],'All Skus'!$A:$AC,2,FALSE))="JBL",(VLOOKUP(Table6[[#This Row],[SKU]],'All Skus'!$A:$AC,16,FALSE)),""))</f>
        <v>50036905299</v>
      </c>
      <c r="O341" s="61">
        <f>(IF((VLOOKUP(Table6[[#This Row],[SKU]],'All Skus'!$A:$AC,2,FALSE))="JBL",(VLOOKUP(Table6[[#This Row],[SKU]],'All Skus'!$A:$AC,17,FALSE)),""))</f>
        <v>0</v>
      </c>
      <c r="P341" s="136">
        <f>(IF((VLOOKUP(Table6[[#This Row],[SKU]],'All Skus'!$A:$AC,2,FALSE))="JBL",(VLOOKUP(Table6[[#This Row],[SKU]],'All Skus'!$A:$AC,18,FALSE)),""))</f>
        <v>58.2</v>
      </c>
      <c r="Q341" s="136">
        <f>(IF((VLOOKUP(Table6[[#This Row],[SKU]],'All Skus'!$A:$AC,2,FALSE))="JBL",(VLOOKUP(Table6[[#This Row],[SKU]],'All Skus'!$A:$AC,19,FALSE)),""))</f>
        <v>16</v>
      </c>
      <c r="R341" s="136">
        <f>(IF((VLOOKUP(Table6[[#This Row],[SKU]],'All Skus'!$A:$AC,2,FALSE))="JBL",(VLOOKUP(Table6[[#This Row],[SKU]],'All Skus'!$A:$AC,20,FALSE)),""))</f>
        <v>15</v>
      </c>
      <c r="S341" s="61">
        <f>(IF((VLOOKUP(Table6[[#This Row],[SKU]],'All Skus'!$A:$AC,2,FALSE))="JBL",(VLOOKUP(Table6[[#This Row],[SKU]],'All Skus'!$A:$AC,21,FALSE)),""))</f>
        <v>15</v>
      </c>
      <c r="T341" s="61" t="str">
        <f>(IF((VLOOKUP(Table6[[#This Row],[SKU]],'All Skus'!$A:$AC,2,FALSE))="JBL",(VLOOKUP(Table6[[#This Row],[SKU]],'All Skus'!$A:$AC,22,FALSE)),""))</f>
        <v>CN</v>
      </c>
      <c r="U341" t="str">
        <f>(IF((VLOOKUP(Table6[[#This Row],[SKU]],'All Skus'!$A:$AC,2,FALSE))="JBL",(VLOOKUP(Table6[[#This Row],[SKU]],'All Skus'!$A:$AC,23,FALSE)),""))</f>
        <v>Non Compliant</v>
      </c>
      <c r="V341" s="284" t="str">
        <f>HYPERLINK((IF((VLOOKUP(Table6[[#This Row],[SKU]],'All Skus'!$A:$AC,2,FALSE))="JBL",(VLOOKUP(Table6[[#This Row],[SKU]],'All Skus'!$A:$AC,24,FALSE)),"")))</f>
        <v xml:space="preserve">http://www.jblpro.com/www/products/installed-sound/aw-awc-all-weather/awc159 </v>
      </c>
      <c r="W341" s="151">
        <v>339</v>
      </c>
    </row>
    <row r="342" spans="1:23" ht="15" hidden="1" customHeight="1">
      <c r="A342" s="13" t="s">
        <v>1348</v>
      </c>
      <c r="B342" s="12" t="str">
        <f>(IF((VLOOKUP(Table6[[#This Row],[SKU]],'All Skus'!$A:$AC,2,FALSE))="JBL",(VLOOKUP(Table6[[#This Row],[SKU]],'All Skus'!$A:$AC,3,FALSE)),""))</f>
        <v>Surface-Mount Speaker</v>
      </c>
      <c r="C342" s="12" t="str">
        <f>(IF((VLOOKUP(Table6[[#This Row],[SKU]],'All Skus'!$A:$AC,2,FALSE))="JBL",(VLOOKUP(Table6[[#This Row],[SKU]],'All Skus'!$A:$AC,4,FALSE)),""))</f>
        <v>AWC159-BK</v>
      </c>
      <c r="D342" s="61" t="str">
        <f>(IF((VLOOKUP(Table6[[#This Row],[SKU]],'All Skus'!$A:$AC,2,FALSE))="JBL",(VLOOKUP(Table6[[#This Row],[SKU]],'All Skus'!$A:$AC,5,FALSE)),""))</f>
        <v>JBL018</v>
      </c>
      <c r="E342" s="137">
        <f>(IF((VLOOKUP(Table6[[#This Row],[SKU]],'All Skus'!$A:$AC,2,FALSE))="JBL",(VLOOKUP(Table6[[#This Row],[SKU]],'All Skus'!$A:$AC,6,FALSE)),""))</f>
        <v>0</v>
      </c>
      <c r="F342" s="61">
        <f>(IF((VLOOKUP(Table6[[#This Row],[SKU]],'All Skus'!$A:$AC,2,FALSE))="JBL",(VLOOKUP(Table6[[#This Row],[SKU]],'All Skus'!$A:$AC,7,FALSE)),""))</f>
        <v>0</v>
      </c>
      <c r="G342" t="str">
        <f>(IF((VLOOKUP(Table6[[#This Row],[SKU]],'All Skus'!$A:$AC,2,FALSE))="JBL",(VLOOKUP(Table6[[#This Row],[SKU]],'All Skus'!$A:$AC,8,FALSE)),""))</f>
        <v>15" All Weather Compact Coax (Black)</v>
      </c>
      <c r="H342" s="8" t="str">
        <f>(IF((VLOOKUP(Table6[[#This Row],[SKU]],'All Skus'!$A:$AC,2,FALSE))="JBL",(VLOOKUP(Table6[[#This Row],[SKU]],'All Skus'!$A:$AC,9,FALSE)),""))</f>
        <v xml:space="preserve">15" 2-Way All-Weather Compact Co-axial Loudspeaker. 90° x 90° broadband control, co-ax driver with 380 mm (15 in) Kevlar-reinforced woofer with 75 mm (3 in) voice coil and 38 mm (1.5 in) compression driver, high-temp polymer diaphragm.  Excellent clarity extended frequency response.  500 Watt power handling (2000 W peaks), 52 Hz - 20 kHz frequency range, 300 Watt 70V/100V multi-tap or direct 8 ohm low-impedance. U-Bracket included. Gray or black (-BK), paintable. Sold and packed as each. </v>
      </c>
      <c r="I342" s="101">
        <f>(IF((VLOOKUP(Table6[[#This Row],[SKU]],'All Skus'!$A:$AC,2,FALSE))="JBL",(VLOOKUP(Table6[[#This Row],[SKU]],'All Skus'!$A:$AC,10,FALSE)),""))</f>
        <v>1791.57</v>
      </c>
      <c r="J342" s="101">
        <f>(IF((VLOOKUP(Table6[[#This Row],[SKU]],'All Skus'!$A:$AC,2,FALSE))="JBL",(VLOOKUP(Table6[[#This Row],[SKU]],'All Skus'!$A:$AC,11,FALSE)),""))</f>
        <v>1431</v>
      </c>
      <c r="K342" s="102">
        <f>(IF((VLOOKUP(Table6[[#This Row],[SKU]],'All Skus'!$A:$AC,2,FALSE))="JBL",(VLOOKUP(Table6[[#This Row],[SKU]],'All Skus'!$A:$AC,13,FALSE)),""))</f>
        <v>0</v>
      </c>
      <c r="L342" s="102">
        <f>(IF((VLOOKUP(Table6[[#This Row],[SKU]],'All Skus'!$A:$AC,2,FALSE))="JBL",(VLOOKUP(Table6[[#This Row],[SKU]],'All Skus'!$A:$AC,14,FALSE)),""))</f>
        <v>0</v>
      </c>
      <c r="M342" s="143">
        <f>(IF((VLOOKUP(Table6[[#This Row],[SKU]],'All Skus'!$A:$AC,2,FALSE))="JBL",(VLOOKUP(Table6[[#This Row],[SKU]],'All Skus'!$A:$AC,15,FALSE)),""))</f>
        <v>0</v>
      </c>
      <c r="N342" s="137">
        <f>(IF((VLOOKUP(Table6[[#This Row],[SKU]],'All Skus'!$A:$AC,2,FALSE))="JBL",(VLOOKUP(Table6[[#This Row],[SKU]],'All Skus'!$A:$AC,16,FALSE)),""))</f>
        <v>50036905312</v>
      </c>
      <c r="O342" s="61">
        <f>(IF((VLOOKUP(Table6[[#This Row],[SKU]],'All Skus'!$A:$AC,2,FALSE))="JBL",(VLOOKUP(Table6[[#This Row],[SKU]],'All Skus'!$A:$AC,17,FALSE)),""))</f>
        <v>0</v>
      </c>
      <c r="P342" s="136">
        <f>(IF((VLOOKUP(Table6[[#This Row],[SKU]],'All Skus'!$A:$AC,2,FALSE))="JBL",(VLOOKUP(Table6[[#This Row],[SKU]],'All Skus'!$A:$AC,18,FALSE)),""))</f>
        <v>58.2</v>
      </c>
      <c r="Q342" s="136">
        <f>(IF((VLOOKUP(Table6[[#This Row],[SKU]],'All Skus'!$A:$AC,2,FALSE))="JBL",(VLOOKUP(Table6[[#This Row],[SKU]],'All Skus'!$A:$AC,19,FALSE)),""))</f>
        <v>16</v>
      </c>
      <c r="R342" s="136">
        <f>(IF((VLOOKUP(Table6[[#This Row],[SKU]],'All Skus'!$A:$AC,2,FALSE))="JBL",(VLOOKUP(Table6[[#This Row],[SKU]],'All Skus'!$A:$AC,20,FALSE)),""))</f>
        <v>15</v>
      </c>
      <c r="S342" s="61">
        <f>(IF((VLOOKUP(Table6[[#This Row],[SKU]],'All Skus'!$A:$AC,2,FALSE))="JBL",(VLOOKUP(Table6[[#This Row],[SKU]],'All Skus'!$A:$AC,21,FALSE)),""))</f>
        <v>15</v>
      </c>
      <c r="T342" s="61" t="str">
        <f>(IF((VLOOKUP(Table6[[#This Row],[SKU]],'All Skus'!$A:$AC,2,FALSE))="JBL",(VLOOKUP(Table6[[#This Row],[SKU]],'All Skus'!$A:$AC,22,FALSE)),""))</f>
        <v>CN</v>
      </c>
      <c r="U342" t="str">
        <f>(IF((VLOOKUP(Table6[[#This Row],[SKU]],'All Skus'!$A:$AC,2,FALSE))="JBL",(VLOOKUP(Table6[[#This Row],[SKU]],'All Skus'!$A:$AC,23,FALSE)),""))</f>
        <v>Non Compliant</v>
      </c>
      <c r="V342" s="284" t="str">
        <f>HYPERLINK((IF((VLOOKUP(Table6[[#This Row],[SKU]],'All Skus'!$A:$AC,2,FALSE))="JBL",(VLOOKUP(Table6[[#This Row],[SKU]],'All Skus'!$A:$AC,24,FALSE)),"")))</f>
        <v xml:space="preserve">http://www.jblpro.com/www/products/installed-sound/aw-awc-all-weather/awc159 </v>
      </c>
      <c r="W342" s="151">
        <v>340</v>
      </c>
    </row>
    <row r="343" spans="1:23" ht="15" hidden="1" customHeight="1">
      <c r="A343" s="13" t="s">
        <v>1349</v>
      </c>
      <c r="B343" s="12" t="str">
        <f>(IF((VLOOKUP(Table6[[#This Row],[SKU]],'All Skus'!$A:$AC,2,FALSE))="JBL",(VLOOKUP(Table6[[#This Row],[SKU]],'All Skus'!$A:$AC,3,FALSE)),""))</f>
        <v>Surface-Mount Speaker</v>
      </c>
      <c r="C343" s="12" t="str">
        <f>(IF((VLOOKUP(Table6[[#This Row],[SKU]],'All Skus'!$A:$AC,2,FALSE))="JBL",(VLOOKUP(Table6[[#This Row],[SKU]],'All Skus'!$A:$AC,4,FALSE)),""))</f>
        <v>AWC15LF</v>
      </c>
      <c r="D343" s="61" t="str">
        <f>(IF((VLOOKUP(Table6[[#This Row],[SKU]],'All Skus'!$A:$AC,2,FALSE))="JBL",(VLOOKUP(Table6[[#This Row],[SKU]],'All Skus'!$A:$AC,5,FALSE)),""))</f>
        <v>JBL018</v>
      </c>
      <c r="E343" s="137">
        <f>(IF((VLOOKUP(Table6[[#This Row],[SKU]],'All Skus'!$A:$AC,2,FALSE))="JBL",(VLOOKUP(Table6[[#This Row],[SKU]],'All Skus'!$A:$AC,6,FALSE)),""))</f>
        <v>0</v>
      </c>
      <c r="F343" s="61">
        <f>(IF((VLOOKUP(Table6[[#This Row],[SKU]],'All Skus'!$A:$AC,2,FALSE))="JBL",(VLOOKUP(Table6[[#This Row],[SKU]],'All Skus'!$A:$AC,7,FALSE)),""))</f>
        <v>0</v>
      </c>
      <c r="G343" t="str">
        <f>(IF((VLOOKUP(Table6[[#This Row],[SKU]],'All Skus'!$A:$AC,2,FALSE))="JBL",(VLOOKUP(Table6[[#This Row],[SKU]],'All Skus'!$A:$AC,8,FALSE)),""))</f>
        <v>All Weather Compact Subwoofer (Black)</v>
      </c>
      <c r="H343" s="8" t="str">
        <f>(IF((VLOOKUP(Table6[[#This Row],[SKU]],'All Skus'!$A:$AC,2,FALSE))="JBL",(VLOOKUP(Table6[[#This Row],[SKU]],'All Skus'!$A:$AC,9,FALSE)),""))</f>
        <v>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v>
      </c>
      <c r="I343" s="101">
        <f>(IF((VLOOKUP(Table6[[#This Row],[SKU]],'All Skus'!$A:$AC,2,FALSE))="JBL",(VLOOKUP(Table6[[#This Row],[SKU]],'All Skus'!$A:$AC,10,FALSE)),""))</f>
        <v>1345.66</v>
      </c>
      <c r="J343" s="101">
        <f>(IF((VLOOKUP(Table6[[#This Row],[SKU]],'All Skus'!$A:$AC,2,FALSE))="JBL",(VLOOKUP(Table6[[#This Row],[SKU]],'All Skus'!$A:$AC,11,FALSE)),""))</f>
        <v>1091</v>
      </c>
      <c r="K343" s="102">
        <f>(IF((VLOOKUP(Table6[[#This Row],[SKU]],'All Skus'!$A:$AC,2,FALSE))="JBL",(VLOOKUP(Table6[[#This Row],[SKU]],'All Skus'!$A:$AC,13,FALSE)),""))</f>
        <v>0</v>
      </c>
      <c r="L343" s="102">
        <f>(IF((VLOOKUP(Table6[[#This Row],[SKU]],'All Skus'!$A:$AC,2,FALSE))="JBL",(VLOOKUP(Table6[[#This Row],[SKU]],'All Skus'!$A:$AC,14,FALSE)),""))</f>
        <v>0</v>
      </c>
      <c r="M343" s="143">
        <f>(IF((VLOOKUP(Table6[[#This Row],[SKU]],'All Skus'!$A:$AC,2,FALSE))="JBL",(VLOOKUP(Table6[[#This Row],[SKU]],'All Skus'!$A:$AC,15,FALSE)),""))</f>
        <v>0</v>
      </c>
      <c r="N343" s="137">
        <f>(IF((VLOOKUP(Table6[[#This Row],[SKU]],'All Skus'!$A:$AC,2,FALSE))="JBL",(VLOOKUP(Table6[[#This Row],[SKU]],'All Skus'!$A:$AC,16,FALSE)),""))</f>
        <v>50036905329</v>
      </c>
      <c r="O343" s="61">
        <f>(IF((VLOOKUP(Table6[[#This Row],[SKU]],'All Skus'!$A:$AC,2,FALSE))="JBL",(VLOOKUP(Table6[[#This Row],[SKU]],'All Skus'!$A:$AC,17,FALSE)),""))</f>
        <v>0</v>
      </c>
      <c r="P343" s="136">
        <f>(IF((VLOOKUP(Table6[[#This Row],[SKU]],'All Skus'!$A:$AC,2,FALSE))="JBL",(VLOOKUP(Table6[[#This Row],[SKU]],'All Skus'!$A:$AC,18,FALSE)),""))</f>
        <v>50</v>
      </c>
      <c r="Q343" s="136">
        <f>(IF((VLOOKUP(Table6[[#This Row],[SKU]],'All Skus'!$A:$AC,2,FALSE))="JBL",(VLOOKUP(Table6[[#This Row],[SKU]],'All Skus'!$A:$AC,19,FALSE)),""))</f>
        <v>24</v>
      </c>
      <c r="R343" s="136">
        <f>(IF((VLOOKUP(Table6[[#This Row],[SKU]],'All Skus'!$A:$AC,2,FALSE))="JBL",(VLOOKUP(Table6[[#This Row],[SKU]],'All Skus'!$A:$AC,20,FALSE)),""))</f>
        <v>24</v>
      </c>
      <c r="S343" s="61">
        <f>(IF((VLOOKUP(Table6[[#This Row],[SKU]],'All Skus'!$A:$AC,2,FALSE))="JBL",(VLOOKUP(Table6[[#This Row],[SKU]],'All Skus'!$A:$AC,21,FALSE)),""))</f>
        <v>24</v>
      </c>
      <c r="T343" s="61" t="str">
        <f>(IF((VLOOKUP(Table6[[#This Row],[SKU]],'All Skus'!$A:$AC,2,FALSE))="JBL",(VLOOKUP(Table6[[#This Row],[SKU]],'All Skus'!$A:$AC,22,FALSE)),""))</f>
        <v>CN</v>
      </c>
      <c r="U343">
        <f>(IF((VLOOKUP(Table6[[#This Row],[SKU]],'All Skus'!$A:$AC,2,FALSE))="JBL",(VLOOKUP(Table6[[#This Row],[SKU]],'All Skus'!$A:$AC,23,FALSE)),""))</f>
        <v>0</v>
      </c>
      <c r="V343" s="284" t="str">
        <f>HYPERLINK((IF((VLOOKUP(Table6[[#This Row],[SKU]],'All Skus'!$A:$AC,2,FALSE))="JBL",(VLOOKUP(Table6[[#This Row],[SKU]],'All Skus'!$A:$AC,24,FALSE)),"")))</f>
        <v xml:space="preserve">http://www.jblpro.com/www/products/installed-sound/aw-awc-all-weather/awc15lf </v>
      </c>
      <c r="W343" s="151">
        <v>341</v>
      </c>
    </row>
    <row r="344" spans="1:23" ht="15" hidden="1" customHeight="1">
      <c r="A344" s="13" t="s">
        <v>1350</v>
      </c>
      <c r="B344" s="12" t="str">
        <f>(IF((VLOOKUP(Table6[[#This Row],[SKU]],'All Skus'!$A:$AC,2,FALSE))="JBL",(VLOOKUP(Table6[[#This Row],[SKU]],'All Skus'!$A:$AC,3,FALSE)),""))</f>
        <v>Surface-Mount Speaker</v>
      </c>
      <c r="C344" s="12" t="str">
        <f>(IF((VLOOKUP(Table6[[#This Row],[SKU]],'All Skus'!$A:$AC,2,FALSE))="JBL",(VLOOKUP(Table6[[#This Row],[SKU]],'All Skus'!$A:$AC,4,FALSE)),""))</f>
        <v>AWC15LF-BK</v>
      </c>
      <c r="D344" s="61" t="str">
        <f>(IF((VLOOKUP(Table6[[#This Row],[SKU]],'All Skus'!$A:$AC,2,FALSE))="JBL",(VLOOKUP(Table6[[#This Row],[SKU]],'All Skus'!$A:$AC,5,FALSE)),""))</f>
        <v>JBL018</v>
      </c>
      <c r="E344" s="137">
        <f>(IF((VLOOKUP(Table6[[#This Row],[SKU]],'All Skus'!$A:$AC,2,FALSE))="JBL",(VLOOKUP(Table6[[#This Row],[SKU]],'All Skus'!$A:$AC,6,FALSE)),""))</f>
        <v>0</v>
      </c>
      <c r="F344" s="61">
        <f>(IF((VLOOKUP(Table6[[#This Row],[SKU]],'All Skus'!$A:$AC,2,FALSE))="JBL",(VLOOKUP(Table6[[#This Row],[SKU]],'All Skus'!$A:$AC,7,FALSE)),""))</f>
        <v>0</v>
      </c>
      <c r="G344" t="str">
        <f>(IF((VLOOKUP(Table6[[#This Row],[SKU]],'All Skus'!$A:$AC,2,FALSE))="JBL",(VLOOKUP(Table6[[#This Row],[SKU]],'All Skus'!$A:$AC,8,FALSE)),""))</f>
        <v>All Weather Compact Subwoofer (Black)</v>
      </c>
      <c r="H344" s="8" t="str">
        <f>(IF((VLOOKUP(Table6[[#This Row],[SKU]],'All Skus'!$A:$AC,2,FALSE))="JBL",(VLOOKUP(Table6[[#This Row],[SKU]],'All Skus'!$A:$AC,9,FALSE)),""))</f>
        <v>15" All-Weather Compact Low Frequency Loudspeaker. 380 mm (15 in) Kevlar-reinforced cone with 75 mm (3 in) voice coil.  Designed to extend low frequency response of a sound system.  500 Watt power handling (2000 W peaks), 45 Hz - 2.2 kHz frequency range, 300 Watt 70V/100V multi-tap or direct 8 ohm low-impedance. U-Bracket included. Gray or black (-BK), paintable. Sold and packed as each.</v>
      </c>
      <c r="I344" s="101">
        <f>(IF((VLOOKUP(Table6[[#This Row],[SKU]],'All Skus'!$A:$AC,2,FALSE))="JBL",(VLOOKUP(Table6[[#This Row],[SKU]],'All Skus'!$A:$AC,10,FALSE)),""))</f>
        <v>1359.12</v>
      </c>
      <c r="J344" s="101">
        <f>(IF((VLOOKUP(Table6[[#This Row],[SKU]],'All Skus'!$A:$AC,2,FALSE))="JBL",(VLOOKUP(Table6[[#This Row],[SKU]],'All Skus'!$A:$AC,11,FALSE)),""))</f>
        <v>1091</v>
      </c>
      <c r="K344" s="102">
        <f>(IF((VLOOKUP(Table6[[#This Row],[SKU]],'All Skus'!$A:$AC,2,FALSE))="JBL",(VLOOKUP(Table6[[#This Row],[SKU]],'All Skus'!$A:$AC,13,FALSE)),""))</f>
        <v>0</v>
      </c>
      <c r="L344" s="102">
        <f>(IF((VLOOKUP(Table6[[#This Row],[SKU]],'All Skus'!$A:$AC,2,FALSE))="JBL",(VLOOKUP(Table6[[#This Row],[SKU]],'All Skus'!$A:$AC,14,FALSE)),""))</f>
        <v>0</v>
      </c>
      <c r="M344" s="143">
        <f>(IF((VLOOKUP(Table6[[#This Row],[SKU]],'All Skus'!$A:$AC,2,FALSE))="JBL",(VLOOKUP(Table6[[#This Row],[SKU]],'All Skus'!$A:$AC,15,FALSE)),""))</f>
        <v>0</v>
      </c>
      <c r="N344" s="137">
        <f>(IF((VLOOKUP(Table6[[#This Row],[SKU]],'All Skus'!$A:$AC,2,FALSE))="JBL",(VLOOKUP(Table6[[#This Row],[SKU]],'All Skus'!$A:$AC,16,FALSE)),""))</f>
        <v>50036905343</v>
      </c>
      <c r="O344" s="61">
        <f>(IF((VLOOKUP(Table6[[#This Row],[SKU]],'All Skus'!$A:$AC,2,FALSE))="JBL",(VLOOKUP(Table6[[#This Row],[SKU]],'All Skus'!$A:$AC,17,FALSE)),""))</f>
        <v>0</v>
      </c>
      <c r="P344" s="136">
        <f>(IF((VLOOKUP(Table6[[#This Row],[SKU]],'All Skus'!$A:$AC,2,FALSE))="JBL",(VLOOKUP(Table6[[#This Row],[SKU]],'All Skus'!$A:$AC,18,FALSE)),""))</f>
        <v>50</v>
      </c>
      <c r="Q344" s="136">
        <f>(IF((VLOOKUP(Table6[[#This Row],[SKU]],'All Skus'!$A:$AC,2,FALSE))="JBL",(VLOOKUP(Table6[[#This Row],[SKU]],'All Skus'!$A:$AC,19,FALSE)),""))</f>
        <v>24</v>
      </c>
      <c r="R344" s="136">
        <f>(IF((VLOOKUP(Table6[[#This Row],[SKU]],'All Skus'!$A:$AC,2,FALSE))="JBL",(VLOOKUP(Table6[[#This Row],[SKU]],'All Skus'!$A:$AC,20,FALSE)),""))</f>
        <v>24</v>
      </c>
      <c r="S344" s="61">
        <f>(IF((VLOOKUP(Table6[[#This Row],[SKU]],'All Skus'!$A:$AC,2,FALSE))="JBL",(VLOOKUP(Table6[[#This Row],[SKU]],'All Skus'!$A:$AC,21,FALSE)),""))</f>
        <v>24</v>
      </c>
      <c r="T344" s="61" t="str">
        <f>(IF((VLOOKUP(Table6[[#This Row],[SKU]],'All Skus'!$A:$AC,2,FALSE))="JBL",(VLOOKUP(Table6[[#This Row],[SKU]],'All Skus'!$A:$AC,22,FALSE)),""))</f>
        <v>CN</v>
      </c>
      <c r="U344">
        <f>(IF((VLOOKUP(Table6[[#This Row],[SKU]],'All Skus'!$A:$AC,2,FALSE))="JBL",(VLOOKUP(Table6[[#This Row],[SKU]],'All Skus'!$A:$AC,23,FALSE)),""))</f>
        <v>0</v>
      </c>
      <c r="V344" s="284" t="str">
        <f>HYPERLINK((IF((VLOOKUP(Table6[[#This Row],[SKU]],'All Skus'!$A:$AC,2,FALSE))="JBL",(VLOOKUP(Table6[[#This Row],[SKU]],'All Skus'!$A:$AC,24,FALSE)),"")))</f>
        <v xml:space="preserve">http://www.jblpro.com/www/products/installed-sound/aw-awc-all-weather/awc15lf </v>
      </c>
      <c r="W344" s="151">
        <v>342</v>
      </c>
    </row>
    <row r="345" spans="1:23" ht="15" hidden="1" customHeight="1">
      <c r="A345" s="104" t="s">
        <v>1351</v>
      </c>
      <c r="B345" s="12">
        <f>(IF((VLOOKUP(Table6[[#This Row],[SKU]],'All Skus'!$A:$AC,2,FALSE))="JBL",(VLOOKUP(Table6[[#This Row],[SKU]],'All Skus'!$A:$AC,3,FALSE)),""))</f>
        <v>0</v>
      </c>
      <c r="C345" s="12">
        <f>(IF((VLOOKUP(Table6[[#This Row],[SKU]],'All Skus'!$A:$AC,2,FALSE))="JBL",(VLOOKUP(Table6[[#This Row],[SKU]],'All Skus'!$A:$AC,4,FALSE)),""))</f>
        <v>0</v>
      </c>
      <c r="D345" s="61">
        <f>(IF((VLOOKUP(Table6[[#This Row],[SKU]],'All Skus'!$A:$AC,2,FALSE))="JBL",(VLOOKUP(Table6[[#This Row],[SKU]],'All Skus'!$A:$AC,5,FALSE)),""))</f>
        <v>0</v>
      </c>
      <c r="E345" s="137">
        <f>(IF((VLOOKUP(Table6[[#This Row],[SKU]],'All Skus'!$A:$AC,2,FALSE))="JBL",(VLOOKUP(Table6[[#This Row],[SKU]],'All Skus'!$A:$AC,6,FALSE)),""))</f>
        <v>0</v>
      </c>
      <c r="F345" s="61">
        <f>(IF((VLOOKUP(Table6[[#This Row],[SKU]],'All Skus'!$A:$AC,2,FALSE))="JBL",(VLOOKUP(Table6[[#This Row],[SKU]],'All Skus'!$A:$AC,7,FALSE)),""))</f>
        <v>0</v>
      </c>
      <c r="G345">
        <f>(IF((VLOOKUP(Table6[[#This Row],[SKU]],'All Skus'!$A:$AC,2,FALSE))="JBL",(VLOOKUP(Table6[[#This Row],[SKU]],'All Skus'!$A:$AC,8,FALSE)),""))</f>
        <v>0</v>
      </c>
      <c r="H345" s="8">
        <f>(IF((VLOOKUP(Table6[[#This Row],[SKU]],'All Skus'!$A:$AC,2,FALSE))="JBL",(VLOOKUP(Table6[[#This Row],[SKU]],'All Skus'!$A:$AC,9,FALSE)),""))</f>
        <v>0</v>
      </c>
      <c r="I345" s="101">
        <f>(IF((VLOOKUP(Table6[[#This Row],[SKU]],'All Skus'!$A:$AC,2,FALSE))="JBL",(VLOOKUP(Table6[[#This Row],[SKU]],'All Skus'!$A:$AC,10,FALSE)),""))</f>
        <v>0</v>
      </c>
      <c r="J345" s="101">
        <f>(IF((VLOOKUP(Table6[[#This Row],[SKU]],'All Skus'!$A:$AC,2,FALSE))="JBL",(VLOOKUP(Table6[[#This Row],[SKU]],'All Skus'!$A:$AC,11,FALSE)),""))</f>
        <v>0</v>
      </c>
      <c r="K345" s="102">
        <f>(IF((VLOOKUP(Table6[[#This Row],[SKU]],'All Skus'!$A:$AC,2,FALSE))="JBL",(VLOOKUP(Table6[[#This Row],[SKU]],'All Skus'!$A:$AC,13,FALSE)),""))</f>
        <v>0</v>
      </c>
      <c r="L345" s="102">
        <f>(IF((VLOOKUP(Table6[[#This Row],[SKU]],'All Skus'!$A:$AC,2,FALSE))="JBL",(VLOOKUP(Table6[[#This Row],[SKU]],'All Skus'!$A:$AC,14,FALSE)),""))</f>
        <v>0</v>
      </c>
      <c r="M345" s="143">
        <f>(IF((VLOOKUP(Table6[[#This Row],[SKU]],'All Skus'!$A:$AC,2,FALSE))="JBL",(VLOOKUP(Table6[[#This Row],[SKU]],'All Skus'!$A:$AC,15,FALSE)),""))</f>
        <v>0</v>
      </c>
      <c r="N345" s="137">
        <f>(IF((VLOOKUP(Table6[[#This Row],[SKU]],'All Skus'!$A:$AC,2,FALSE))="JBL",(VLOOKUP(Table6[[#This Row],[SKU]],'All Skus'!$A:$AC,16,FALSE)),""))</f>
        <v>0</v>
      </c>
      <c r="O345" s="61">
        <f>(IF((VLOOKUP(Table6[[#This Row],[SKU]],'All Skus'!$A:$AC,2,FALSE))="JBL",(VLOOKUP(Table6[[#This Row],[SKU]],'All Skus'!$A:$AC,17,FALSE)),""))</f>
        <v>0</v>
      </c>
      <c r="P345" s="136">
        <f>(IF((VLOOKUP(Table6[[#This Row],[SKU]],'All Skus'!$A:$AC,2,FALSE))="JBL",(VLOOKUP(Table6[[#This Row],[SKU]],'All Skus'!$A:$AC,18,FALSE)),""))</f>
        <v>0</v>
      </c>
      <c r="Q345" s="136">
        <f>(IF((VLOOKUP(Table6[[#This Row],[SKU]],'All Skus'!$A:$AC,2,FALSE))="JBL",(VLOOKUP(Table6[[#This Row],[SKU]],'All Skus'!$A:$AC,19,FALSE)),""))</f>
        <v>0</v>
      </c>
      <c r="R345" s="136">
        <f>(IF((VLOOKUP(Table6[[#This Row],[SKU]],'All Skus'!$A:$AC,2,FALSE))="JBL",(VLOOKUP(Table6[[#This Row],[SKU]],'All Skus'!$A:$AC,20,FALSE)),""))</f>
        <v>0</v>
      </c>
      <c r="S345" s="61">
        <f>(IF((VLOOKUP(Table6[[#This Row],[SKU]],'All Skus'!$A:$AC,2,FALSE))="JBL",(VLOOKUP(Table6[[#This Row],[SKU]],'All Skus'!$A:$AC,21,FALSE)),""))</f>
        <v>0</v>
      </c>
      <c r="T345" s="61" t="str">
        <f>(IF((VLOOKUP(Table6[[#This Row],[SKU]],'All Skus'!$A:$AC,2,FALSE))="JBL",(VLOOKUP(Table6[[#This Row],[SKU]],'All Skus'!$A:$AC,22,FALSE)),""))</f>
        <v>MX</v>
      </c>
      <c r="U345" t="str">
        <f>(IF((VLOOKUP(Table6[[#This Row],[SKU]],'All Skus'!$A:$AC,2,FALSE))="JBL",(VLOOKUP(Table6[[#This Row],[SKU]],'All Skus'!$A:$AC,23,FALSE)),""))</f>
        <v>Compliant</v>
      </c>
      <c r="V345" s="284" t="str">
        <f>HYPERLINK((IF((VLOOKUP(Table6[[#This Row],[SKU]],'All Skus'!$A:$AC,2,FALSE))="JBL",(VLOOKUP(Table6[[#This Row],[SKU]],'All Skus'!$A:$AC,24,FALSE)),"")))</f>
        <v/>
      </c>
      <c r="W345" s="151">
        <v>343</v>
      </c>
    </row>
    <row r="346" spans="1:23" ht="15" hidden="1" customHeight="1">
      <c r="A346" s="13" t="s">
        <v>1352</v>
      </c>
      <c r="B346" s="12" t="str">
        <f>(IF((VLOOKUP(Table6[[#This Row],[SKU]],'All Skus'!$A:$AC,2,FALSE))="JBL",(VLOOKUP(Table6[[#This Row],[SKU]],'All Skus'!$A:$AC,3,FALSE)),""))</f>
        <v>AE Series</v>
      </c>
      <c r="C346" s="12" t="str">
        <f>(IF((VLOOKUP(Table6[[#This Row],[SKU]],'All Skus'!$A:$AC,2,FALSE))="JBL",(VLOOKUP(Table6[[#This Row],[SKU]],'All Skus'!$A:$AC,4,FALSE)),""))</f>
        <v>AW266</v>
      </c>
      <c r="D346" s="61" t="str">
        <f>(IF((VLOOKUP(Table6[[#This Row],[SKU]],'All Skus'!$A:$AC,2,FALSE))="JBL",(VLOOKUP(Table6[[#This Row],[SKU]],'All Skus'!$A:$AC,5,FALSE)),""))</f>
        <v>JBL052</v>
      </c>
      <c r="E346" s="137">
        <f>(IF((VLOOKUP(Table6[[#This Row],[SKU]],'All Skus'!$A:$AC,2,FALSE))="JBL",(VLOOKUP(Table6[[#This Row],[SKU]],'All Skus'!$A:$AC,6,FALSE)),""))</f>
        <v>0</v>
      </c>
      <c r="F346" s="61">
        <f>(IF((VLOOKUP(Table6[[#This Row],[SKU]],'All Skus'!$A:$AC,2,FALSE))="JBL",(VLOOKUP(Table6[[#This Row],[SKU]],'All Skus'!$A:$AC,7,FALSE)),""))</f>
        <v>0</v>
      </c>
      <c r="G346" t="str">
        <f>(IF((VLOOKUP(Table6[[#This Row],[SKU]],'All Skus'!$A:$AC,2,FALSE))="JBL",(VLOOKUP(Table6[[#This Row],[SKU]],'All Skus'!$A:$AC,8,FALSE)),""))</f>
        <v>High Output 12" 2-way Full-Range Loudspeaker-GRAY</v>
      </c>
      <c r="H346" s="8" t="str">
        <f>(IF((VLOOKUP(Table6[[#This Row],[SKU]],'All Skus'!$A:$AC,2,FALSE))="JBL",(VLOOKUP(Table6[[#This Row],[SKU]],'All Skus'!$A:$AC,9,FALSE)),""))</f>
        <v xml:space="preserve">High Output 12" 2-way Full-Range 60 x 60 Loudspeaker-GRAY.  Priced as each. </v>
      </c>
      <c r="I346" s="101">
        <f>(IF((VLOOKUP(Table6[[#This Row],[SKU]],'All Skus'!$A:$AC,2,FALSE))="JBL",(VLOOKUP(Table6[[#This Row],[SKU]],'All Skus'!$A:$AC,10,FALSE)),""))</f>
        <v>4828.05</v>
      </c>
      <c r="J346" s="101">
        <f>(IF((VLOOKUP(Table6[[#This Row],[SKU]],'All Skus'!$A:$AC,2,FALSE))="JBL",(VLOOKUP(Table6[[#This Row],[SKU]],'All Skus'!$A:$AC,11,FALSE)),""))</f>
        <v>4828</v>
      </c>
      <c r="K346" s="102">
        <f>(IF((VLOOKUP(Table6[[#This Row],[SKU]],'All Skus'!$A:$AC,2,FALSE))="JBL",(VLOOKUP(Table6[[#This Row],[SKU]],'All Skus'!$A:$AC,13,FALSE)),""))</f>
        <v>0</v>
      </c>
      <c r="L346" s="102">
        <f>(IF((VLOOKUP(Table6[[#This Row],[SKU]],'All Skus'!$A:$AC,2,FALSE))="JBL",(VLOOKUP(Table6[[#This Row],[SKU]],'All Skus'!$A:$AC,14,FALSE)),""))</f>
        <v>0</v>
      </c>
      <c r="M346" s="143">
        <f>(IF((VLOOKUP(Table6[[#This Row],[SKU]],'All Skus'!$A:$AC,2,FALSE))="JBL",(VLOOKUP(Table6[[#This Row],[SKU]],'All Skus'!$A:$AC,15,FALSE)),""))</f>
        <v>0</v>
      </c>
      <c r="N346" s="137">
        <f>(IF((VLOOKUP(Table6[[#This Row],[SKU]],'All Skus'!$A:$AC,2,FALSE))="JBL",(VLOOKUP(Table6[[#This Row],[SKU]],'All Skus'!$A:$AC,16,FALSE)),""))</f>
        <v>691991014185</v>
      </c>
      <c r="O346" s="61">
        <f>(IF((VLOOKUP(Table6[[#This Row],[SKU]],'All Skus'!$A:$AC,2,FALSE))="JBL",(VLOOKUP(Table6[[#This Row],[SKU]],'All Skus'!$A:$AC,17,FALSE)),""))</f>
        <v>0</v>
      </c>
      <c r="P346" s="136">
        <f>(IF((VLOOKUP(Table6[[#This Row],[SKU]],'All Skus'!$A:$AC,2,FALSE))="JBL",(VLOOKUP(Table6[[#This Row],[SKU]],'All Skus'!$A:$AC,18,FALSE)),""))</f>
        <v>72</v>
      </c>
      <c r="Q346" s="136">
        <f>(IF((VLOOKUP(Table6[[#This Row],[SKU]],'All Skus'!$A:$AC,2,FALSE))="JBL",(VLOOKUP(Table6[[#This Row],[SKU]],'All Skus'!$A:$AC,19,FALSE)),""))</f>
        <v>20</v>
      </c>
      <c r="R346" s="136">
        <f>(IF((VLOOKUP(Table6[[#This Row],[SKU]],'All Skus'!$A:$AC,2,FALSE))="JBL",(VLOOKUP(Table6[[#This Row],[SKU]],'All Skus'!$A:$AC,20,FALSE)),""))</f>
        <v>32</v>
      </c>
      <c r="S346" s="61">
        <f>(IF((VLOOKUP(Table6[[#This Row],[SKU]],'All Skus'!$A:$AC,2,FALSE))="JBL",(VLOOKUP(Table6[[#This Row],[SKU]],'All Skus'!$A:$AC,21,FALSE)),""))</f>
        <v>20</v>
      </c>
      <c r="T346" s="61" t="str">
        <f>(IF((VLOOKUP(Table6[[#This Row],[SKU]],'All Skus'!$A:$AC,2,FALSE))="JBL",(VLOOKUP(Table6[[#This Row],[SKU]],'All Skus'!$A:$AC,22,FALSE)),""))</f>
        <v>MX</v>
      </c>
      <c r="U346" t="str">
        <f>(IF((VLOOKUP(Table6[[#This Row],[SKU]],'All Skus'!$A:$AC,2,FALSE))="JBL",(VLOOKUP(Table6[[#This Row],[SKU]],'All Skus'!$A:$AC,23,FALSE)),""))</f>
        <v>Compliant</v>
      </c>
      <c r="V346" s="284" t="str">
        <f>HYPERLINK((IF((VLOOKUP(Table6[[#This Row],[SKU]],'All Skus'!$A:$AC,2,FALSE))="JBL",(VLOOKUP(Table6[[#This Row],[SKU]],'All Skus'!$A:$AC,24,FALSE)),"")))</f>
        <v/>
      </c>
      <c r="W346" s="151">
        <v>344</v>
      </c>
    </row>
    <row r="347" spans="1:23" ht="15" hidden="1" customHeight="1">
      <c r="A347" s="13" t="s">
        <v>1353</v>
      </c>
      <c r="B347" s="12" t="str">
        <f>(IF((VLOOKUP(Table6[[#This Row],[SKU]],'All Skus'!$A:$AC,2,FALSE))="JBL",(VLOOKUP(Table6[[#This Row],[SKU]],'All Skus'!$A:$AC,3,FALSE)),""))</f>
        <v>AE Series</v>
      </c>
      <c r="C347" s="12" t="str">
        <f>(IF((VLOOKUP(Table6[[#This Row],[SKU]],'All Skus'!$A:$AC,2,FALSE))="JBL",(VLOOKUP(Table6[[#This Row],[SKU]],'All Skus'!$A:$AC,4,FALSE)),""))</f>
        <v>AW266-BK</v>
      </c>
      <c r="D347" s="61" t="str">
        <f>(IF((VLOOKUP(Table6[[#This Row],[SKU]],'All Skus'!$A:$AC,2,FALSE))="JBL",(VLOOKUP(Table6[[#This Row],[SKU]],'All Skus'!$A:$AC,5,FALSE)),""))</f>
        <v>JBL052</v>
      </c>
      <c r="E347" s="137">
        <f>(IF((VLOOKUP(Table6[[#This Row],[SKU]],'All Skus'!$A:$AC,2,FALSE))="JBL",(VLOOKUP(Table6[[#This Row],[SKU]],'All Skus'!$A:$AC,6,FALSE)),""))</f>
        <v>0</v>
      </c>
      <c r="F347" s="61">
        <f>(IF((VLOOKUP(Table6[[#This Row],[SKU]],'All Skus'!$A:$AC,2,FALSE))="JBL",(VLOOKUP(Table6[[#This Row],[SKU]],'All Skus'!$A:$AC,7,FALSE)),""))</f>
        <v>0</v>
      </c>
      <c r="G347" t="str">
        <f>(IF((VLOOKUP(Table6[[#This Row],[SKU]],'All Skus'!$A:$AC,2,FALSE))="JBL",(VLOOKUP(Table6[[#This Row],[SKU]],'All Skus'!$A:$AC,8,FALSE)),""))</f>
        <v>High Output 12" 2-way Full-Range Loudspeaker-BLACK</v>
      </c>
      <c r="H347" s="8" t="str">
        <f>(IF((VLOOKUP(Table6[[#This Row],[SKU]],'All Skus'!$A:$AC,2,FALSE))="JBL",(VLOOKUP(Table6[[#This Row],[SKU]],'All Skus'!$A:$AC,9,FALSE)),""))</f>
        <v xml:space="preserve">High Output 12" 2-way Full-Range 60 x 60 Loudspeaker-BLACK.  Priced as each. </v>
      </c>
      <c r="I347" s="101">
        <f>(IF((VLOOKUP(Table6[[#This Row],[SKU]],'All Skus'!$A:$AC,2,FALSE))="JBL",(VLOOKUP(Table6[[#This Row],[SKU]],'All Skus'!$A:$AC,10,FALSE)),""))</f>
        <v>4828.05</v>
      </c>
      <c r="J347" s="101">
        <f>(IF((VLOOKUP(Table6[[#This Row],[SKU]],'All Skus'!$A:$AC,2,FALSE))="JBL",(VLOOKUP(Table6[[#This Row],[SKU]],'All Skus'!$A:$AC,11,FALSE)),""))</f>
        <v>4828</v>
      </c>
      <c r="K347" s="102">
        <f>(IF((VLOOKUP(Table6[[#This Row],[SKU]],'All Skus'!$A:$AC,2,FALSE))="JBL",(VLOOKUP(Table6[[#This Row],[SKU]],'All Skus'!$A:$AC,13,FALSE)),""))</f>
        <v>0</v>
      </c>
      <c r="L347" s="102">
        <f>(IF((VLOOKUP(Table6[[#This Row],[SKU]],'All Skus'!$A:$AC,2,FALSE))="JBL",(VLOOKUP(Table6[[#This Row],[SKU]],'All Skus'!$A:$AC,14,FALSE)),""))</f>
        <v>0</v>
      </c>
      <c r="M347" s="143">
        <f>(IF((VLOOKUP(Table6[[#This Row],[SKU]],'All Skus'!$A:$AC,2,FALSE))="JBL",(VLOOKUP(Table6[[#This Row],[SKU]],'All Skus'!$A:$AC,15,FALSE)),""))</f>
        <v>0</v>
      </c>
      <c r="N347" s="137">
        <f>(IF((VLOOKUP(Table6[[#This Row],[SKU]],'All Skus'!$A:$AC,2,FALSE))="JBL",(VLOOKUP(Table6[[#This Row],[SKU]],'All Skus'!$A:$AC,16,FALSE)),""))</f>
        <v>691991014192</v>
      </c>
      <c r="O347" s="61">
        <f>(IF((VLOOKUP(Table6[[#This Row],[SKU]],'All Skus'!$A:$AC,2,FALSE))="JBL",(VLOOKUP(Table6[[#This Row],[SKU]],'All Skus'!$A:$AC,17,FALSE)),""))</f>
        <v>0</v>
      </c>
      <c r="P347" s="136">
        <f>(IF((VLOOKUP(Table6[[#This Row],[SKU]],'All Skus'!$A:$AC,2,FALSE))="JBL",(VLOOKUP(Table6[[#This Row],[SKU]],'All Skus'!$A:$AC,18,FALSE)),""))</f>
        <v>79.7</v>
      </c>
      <c r="Q347" s="136">
        <f>(IF((VLOOKUP(Table6[[#This Row],[SKU]],'All Skus'!$A:$AC,2,FALSE))="JBL",(VLOOKUP(Table6[[#This Row],[SKU]],'All Skus'!$A:$AC,19,FALSE)),""))</f>
        <v>35</v>
      </c>
      <c r="R347" s="136">
        <f>(IF((VLOOKUP(Table6[[#This Row],[SKU]],'All Skus'!$A:$AC,2,FALSE))="JBL",(VLOOKUP(Table6[[#This Row],[SKU]],'All Skus'!$A:$AC,20,FALSE)),""))</f>
        <v>23</v>
      </c>
      <c r="S347" s="61">
        <f>(IF((VLOOKUP(Table6[[#This Row],[SKU]],'All Skus'!$A:$AC,2,FALSE))="JBL",(VLOOKUP(Table6[[#This Row],[SKU]],'All Skus'!$A:$AC,21,FALSE)),""))</f>
        <v>20.5</v>
      </c>
      <c r="T347" s="61" t="str">
        <f>(IF((VLOOKUP(Table6[[#This Row],[SKU]],'All Skus'!$A:$AC,2,FALSE))="JBL",(VLOOKUP(Table6[[#This Row],[SKU]],'All Skus'!$A:$AC,22,FALSE)),""))</f>
        <v>MX</v>
      </c>
      <c r="U347" t="str">
        <f>(IF((VLOOKUP(Table6[[#This Row],[SKU]],'All Skus'!$A:$AC,2,FALSE))="JBL",(VLOOKUP(Table6[[#This Row],[SKU]],'All Skus'!$A:$AC,23,FALSE)),""))</f>
        <v>Compliant</v>
      </c>
      <c r="V347" s="284" t="str">
        <f>HYPERLINK((IF((VLOOKUP(Table6[[#This Row],[SKU]],'All Skus'!$A:$AC,2,FALSE))="JBL",(VLOOKUP(Table6[[#This Row],[SKU]],'All Skus'!$A:$AC,24,FALSE)),"")))</f>
        <v/>
      </c>
      <c r="W347" s="151">
        <v>345</v>
      </c>
    </row>
    <row r="348" spans="1:23" ht="15" hidden="1" customHeight="1">
      <c r="A348" s="13" t="s">
        <v>1354</v>
      </c>
      <c r="B348" s="12" t="str">
        <f>(IF((VLOOKUP(Table6[[#This Row],[SKU]],'All Skus'!$A:$AC,2,FALSE))="JBL",(VLOOKUP(Table6[[#This Row],[SKU]],'All Skus'!$A:$AC,3,FALSE)),""))</f>
        <v>AE Series</v>
      </c>
      <c r="C348" s="12" t="str">
        <f>(IF((VLOOKUP(Table6[[#This Row],[SKU]],'All Skus'!$A:$AC,2,FALSE))="JBL",(VLOOKUP(Table6[[#This Row],[SKU]],'All Skus'!$A:$AC,4,FALSE)),""))</f>
        <v>AW266-LS</v>
      </c>
      <c r="D348" s="61" t="str">
        <f>(IF((VLOOKUP(Table6[[#This Row],[SKU]],'All Skus'!$A:$AC,2,FALSE))="JBL",(VLOOKUP(Table6[[#This Row],[SKU]],'All Skus'!$A:$AC,5,FALSE)),""))</f>
        <v>JBL052</v>
      </c>
      <c r="E348" s="137">
        <f>(IF((VLOOKUP(Table6[[#This Row],[SKU]],'All Skus'!$A:$AC,2,FALSE))="JBL",(VLOOKUP(Table6[[#This Row],[SKU]],'All Skus'!$A:$AC,6,FALSE)),""))</f>
        <v>0</v>
      </c>
      <c r="F348" s="61">
        <f>(IF((VLOOKUP(Table6[[#This Row],[SKU]],'All Skus'!$A:$AC,2,FALSE))="JBL",(VLOOKUP(Table6[[#This Row],[SKU]],'All Skus'!$A:$AC,7,FALSE)),""))</f>
        <v>0</v>
      </c>
      <c r="G348" t="str">
        <f>(IF((VLOOKUP(Table6[[#This Row],[SKU]],'All Skus'!$A:$AC,2,FALSE))="JBL",(VLOOKUP(Table6[[#This Row],[SKU]],'All Skus'!$A:$AC,8,FALSE)),""))</f>
        <v>12" 2-Way All Weather Loudspeaker with EN54-24 Certification.</v>
      </c>
      <c r="H348" s="8" t="str">
        <f>(IF((VLOOKUP(Table6[[#This Row],[SKU]],'All Skus'!$A:$AC,2,FALSE))="JBL",(VLOOKUP(Table6[[#This Row],[SKU]],'All Skus'!$A:$AC,9,FALSE)),""))</f>
        <v xml:space="preserve">12" 2-Way All Weather Loudspeaker with EN54-24 Certification. Priced as each. </v>
      </c>
      <c r="I348" s="101">
        <f>(IF((VLOOKUP(Table6[[#This Row],[SKU]],'All Skus'!$A:$AC,2,FALSE))="JBL",(VLOOKUP(Table6[[#This Row],[SKU]],'All Skus'!$A:$AC,10,FALSE)),""))</f>
        <v>4828.05</v>
      </c>
      <c r="J348" s="101">
        <f>(IF((VLOOKUP(Table6[[#This Row],[SKU]],'All Skus'!$A:$AC,2,FALSE))="JBL",(VLOOKUP(Table6[[#This Row],[SKU]],'All Skus'!$A:$AC,11,FALSE)),""))</f>
        <v>4828</v>
      </c>
      <c r="K348" s="102">
        <f>(IF((VLOOKUP(Table6[[#This Row],[SKU]],'All Skus'!$A:$AC,2,FALSE))="JBL",(VLOOKUP(Table6[[#This Row],[SKU]],'All Skus'!$A:$AC,13,FALSE)),""))</f>
        <v>0</v>
      </c>
      <c r="L348" s="102">
        <f>(IF((VLOOKUP(Table6[[#This Row],[SKU]],'All Skus'!$A:$AC,2,FALSE))="JBL",(VLOOKUP(Table6[[#This Row],[SKU]],'All Skus'!$A:$AC,14,FALSE)),""))</f>
        <v>0</v>
      </c>
      <c r="M348" s="143">
        <f>(IF((VLOOKUP(Table6[[#This Row],[SKU]],'All Skus'!$A:$AC,2,FALSE))="JBL",(VLOOKUP(Table6[[#This Row],[SKU]],'All Skus'!$A:$AC,15,FALSE)),""))</f>
        <v>0</v>
      </c>
      <c r="N348" s="137">
        <f>(IF((VLOOKUP(Table6[[#This Row],[SKU]],'All Skus'!$A:$AC,2,FALSE))="JBL",(VLOOKUP(Table6[[#This Row],[SKU]],'All Skus'!$A:$AC,16,FALSE)),""))</f>
        <v>691991014208</v>
      </c>
      <c r="O348" s="61">
        <f>(IF((VLOOKUP(Table6[[#This Row],[SKU]],'All Skus'!$A:$AC,2,FALSE))="JBL",(VLOOKUP(Table6[[#This Row],[SKU]],'All Skus'!$A:$AC,17,FALSE)),""))</f>
        <v>0</v>
      </c>
      <c r="P348" s="136">
        <f>(IF((VLOOKUP(Table6[[#This Row],[SKU]],'All Skus'!$A:$AC,2,FALSE))="JBL",(VLOOKUP(Table6[[#This Row],[SKU]],'All Skus'!$A:$AC,18,FALSE)),""))</f>
        <v>72</v>
      </c>
      <c r="Q348" s="136">
        <f>(IF((VLOOKUP(Table6[[#This Row],[SKU]],'All Skus'!$A:$AC,2,FALSE))="JBL",(VLOOKUP(Table6[[#This Row],[SKU]],'All Skus'!$A:$AC,19,FALSE)),""))</f>
        <v>32</v>
      </c>
      <c r="R348" s="136">
        <f>(IF((VLOOKUP(Table6[[#This Row],[SKU]],'All Skus'!$A:$AC,2,FALSE))="JBL",(VLOOKUP(Table6[[#This Row],[SKU]],'All Skus'!$A:$AC,20,FALSE)),""))</f>
        <v>20</v>
      </c>
      <c r="S348" s="61">
        <f>(IF((VLOOKUP(Table6[[#This Row],[SKU]],'All Skus'!$A:$AC,2,FALSE))="JBL",(VLOOKUP(Table6[[#This Row],[SKU]],'All Skus'!$A:$AC,21,FALSE)),""))</f>
        <v>19.5</v>
      </c>
      <c r="T348" s="61" t="str">
        <f>(IF((VLOOKUP(Table6[[#This Row],[SKU]],'All Skus'!$A:$AC,2,FALSE))="JBL",(VLOOKUP(Table6[[#This Row],[SKU]],'All Skus'!$A:$AC,22,FALSE)),""))</f>
        <v>MX</v>
      </c>
      <c r="U348" t="str">
        <f>(IF((VLOOKUP(Table6[[#This Row],[SKU]],'All Skus'!$A:$AC,2,FALSE))="JBL",(VLOOKUP(Table6[[#This Row],[SKU]],'All Skus'!$A:$AC,23,FALSE)),""))</f>
        <v>Compliant</v>
      </c>
      <c r="V348" s="284" t="str">
        <f>HYPERLINK((IF((VLOOKUP(Table6[[#This Row],[SKU]],'All Skus'!$A:$AC,2,FALSE))="JBL",(VLOOKUP(Table6[[#This Row],[SKU]],'All Skus'!$A:$AC,24,FALSE)),"")))</f>
        <v/>
      </c>
      <c r="W348" s="151">
        <v>346</v>
      </c>
    </row>
    <row r="349" spans="1:23" ht="15" hidden="1" customHeight="1">
      <c r="A349" s="13" t="s">
        <v>1355</v>
      </c>
      <c r="B349" s="12" t="str">
        <f>(IF((VLOOKUP(Table6[[#This Row],[SKU]],'All Skus'!$A:$AC,2,FALSE))="JBL",(VLOOKUP(Table6[[#This Row],[SKU]],'All Skus'!$A:$AC,3,FALSE)),""))</f>
        <v>AE Series</v>
      </c>
      <c r="C349" s="12" t="str">
        <f>(IF((VLOOKUP(Table6[[#This Row],[SKU]],'All Skus'!$A:$AC,2,FALSE))="JBL",(VLOOKUP(Table6[[#This Row],[SKU]],'All Skus'!$A:$AC,4,FALSE)),""))</f>
        <v>AW266-LS-BK</v>
      </c>
      <c r="D349" s="61">
        <f>(IF((VLOOKUP(Table6[[#This Row],[SKU]],'All Skus'!$A:$AC,2,FALSE))="JBL",(VLOOKUP(Table6[[#This Row],[SKU]],'All Skus'!$A:$AC,5,FALSE)),""))</f>
        <v>0</v>
      </c>
      <c r="E349" s="137">
        <f>(IF((VLOOKUP(Table6[[#This Row],[SKU]],'All Skus'!$A:$AC,2,FALSE))="JBL",(VLOOKUP(Table6[[#This Row],[SKU]],'All Skus'!$A:$AC,6,FALSE)),""))</f>
        <v>0</v>
      </c>
      <c r="F349" s="61">
        <f>(IF((VLOOKUP(Table6[[#This Row],[SKU]],'All Skus'!$A:$AC,2,FALSE))="JBL",(VLOOKUP(Table6[[#This Row],[SKU]],'All Skus'!$A:$AC,7,FALSE)),""))</f>
        <v>0</v>
      </c>
      <c r="G349" t="str">
        <f>(IF((VLOOKUP(Table6[[#This Row],[SKU]],'All Skus'!$A:$AC,2,FALSE))="JBL",(VLOOKUP(Table6[[#This Row],[SKU]],'All Skus'!$A:$AC,8,FALSE)),""))</f>
        <v>12" 2-Way All Weather Loudspeaker with EN54-24 Certification, black.</v>
      </c>
      <c r="H349" s="8" t="str">
        <f>(IF((VLOOKUP(Table6[[#This Row],[SKU]],'All Skus'!$A:$AC,2,FALSE))="JBL",(VLOOKUP(Table6[[#This Row],[SKU]],'All Skus'!$A:$AC,9,FALSE)),""))</f>
        <v xml:space="preserve">12" 2-Way All Weather Loudspeaker with EN54-24 Certification, black. Priced as each. </v>
      </c>
      <c r="I349" s="101">
        <f>(IF((VLOOKUP(Table6[[#This Row],[SKU]],'All Skus'!$A:$AC,2,FALSE))="JBL",(VLOOKUP(Table6[[#This Row],[SKU]],'All Skus'!$A:$AC,10,FALSE)),""))</f>
        <v>4828.05</v>
      </c>
      <c r="J349" s="101">
        <f>(IF((VLOOKUP(Table6[[#This Row],[SKU]],'All Skus'!$A:$AC,2,FALSE))="JBL",(VLOOKUP(Table6[[#This Row],[SKU]],'All Skus'!$A:$AC,11,FALSE)),""))</f>
        <v>4828</v>
      </c>
      <c r="K349" s="102">
        <f>(IF((VLOOKUP(Table6[[#This Row],[SKU]],'All Skus'!$A:$AC,2,FALSE))="JBL",(VLOOKUP(Table6[[#This Row],[SKU]],'All Skus'!$A:$AC,13,FALSE)),""))</f>
        <v>0</v>
      </c>
      <c r="L349" s="102">
        <f>(IF((VLOOKUP(Table6[[#This Row],[SKU]],'All Skus'!$A:$AC,2,FALSE))="JBL",(VLOOKUP(Table6[[#This Row],[SKU]],'All Skus'!$A:$AC,14,FALSE)),""))</f>
        <v>0</v>
      </c>
      <c r="M349" s="143">
        <f>(IF((VLOOKUP(Table6[[#This Row],[SKU]],'All Skus'!$A:$AC,2,FALSE))="JBL",(VLOOKUP(Table6[[#This Row],[SKU]],'All Skus'!$A:$AC,15,FALSE)),""))</f>
        <v>0</v>
      </c>
      <c r="N349" s="137">
        <f>(IF((VLOOKUP(Table6[[#This Row],[SKU]],'All Skus'!$A:$AC,2,FALSE))="JBL",(VLOOKUP(Table6[[#This Row],[SKU]],'All Skus'!$A:$AC,16,FALSE)),""))</f>
        <v>691991014215</v>
      </c>
      <c r="O349" s="61">
        <f>(IF((VLOOKUP(Table6[[#This Row],[SKU]],'All Skus'!$A:$AC,2,FALSE))="JBL",(VLOOKUP(Table6[[#This Row],[SKU]],'All Skus'!$A:$AC,17,FALSE)),""))</f>
        <v>0</v>
      </c>
      <c r="P349" s="136">
        <f>(IF((VLOOKUP(Table6[[#This Row],[SKU]],'All Skus'!$A:$AC,2,FALSE))="JBL",(VLOOKUP(Table6[[#This Row],[SKU]],'All Skus'!$A:$AC,18,FALSE)),""))</f>
        <v>0</v>
      </c>
      <c r="Q349" s="136">
        <f>(IF((VLOOKUP(Table6[[#This Row],[SKU]],'All Skus'!$A:$AC,2,FALSE))="JBL",(VLOOKUP(Table6[[#This Row],[SKU]],'All Skus'!$A:$AC,19,FALSE)),""))</f>
        <v>0</v>
      </c>
      <c r="R349" s="136">
        <f>(IF((VLOOKUP(Table6[[#This Row],[SKU]],'All Skus'!$A:$AC,2,FALSE))="JBL",(VLOOKUP(Table6[[#This Row],[SKU]],'All Skus'!$A:$AC,20,FALSE)),""))</f>
        <v>0</v>
      </c>
      <c r="S349" s="61">
        <f>(IF((VLOOKUP(Table6[[#This Row],[SKU]],'All Skus'!$A:$AC,2,FALSE))="JBL",(VLOOKUP(Table6[[#This Row],[SKU]],'All Skus'!$A:$AC,21,FALSE)),""))</f>
        <v>0</v>
      </c>
      <c r="T349" s="61" t="str">
        <f>(IF((VLOOKUP(Table6[[#This Row],[SKU]],'All Skus'!$A:$AC,2,FALSE))="JBL",(VLOOKUP(Table6[[#This Row],[SKU]],'All Skus'!$A:$AC,22,FALSE)),""))</f>
        <v>MX</v>
      </c>
      <c r="U349" t="str">
        <f>(IF((VLOOKUP(Table6[[#This Row],[SKU]],'All Skus'!$A:$AC,2,FALSE))="JBL",(VLOOKUP(Table6[[#This Row],[SKU]],'All Skus'!$A:$AC,23,FALSE)),""))</f>
        <v>Compliant</v>
      </c>
      <c r="V349" s="284" t="str">
        <f>HYPERLINK((IF((VLOOKUP(Table6[[#This Row],[SKU]],'All Skus'!$A:$AC,2,FALSE))="JBL",(VLOOKUP(Table6[[#This Row],[SKU]],'All Skus'!$A:$AC,24,FALSE)),"")))</f>
        <v/>
      </c>
      <c r="W349" s="151">
        <v>347</v>
      </c>
    </row>
    <row r="350" spans="1:23" ht="15" hidden="1" customHeight="1">
      <c r="A350" s="13" t="s">
        <v>1356</v>
      </c>
      <c r="B350" s="12" t="str">
        <f>(IF((VLOOKUP(Table6[[#This Row],[SKU]],'All Skus'!$A:$AC,2,FALSE))="JBL",(VLOOKUP(Table6[[#This Row],[SKU]],'All Skus'!$A:$AC,3,FALSE)),""))</f>
        <v>AE Series</v>
      </c>
      <c r="C350" s="12" t="str">
        <f>(IF((VLOOKUP(Table6[[#This Row],[SKU]],'All Skus'!$A:$AC,2,FALSE))="JBL",(VLOOKUP(Table6[[#This Row],[SKU]],'All Skus'!$A:$AC,4,FALSE)),""))</f>
        <v>AW295</v>
      </c>
      <c r="D350" s="61" t="str">
        <f>(IF((VLOOKUP(Table6[[#This Row],[SKU]],'All Skus'!$A:$AC,2,FALSE))="JBL",(VLOOKUP(Table6[[#This Row],[SKU]],'All Skus'!$A:$AC,5,FALSE)),""))</f>
        <v>JBL052</v>
      </c>
      <c r="E350" s="137">
        <f>(IF((VLOOKUP(Table6[[#This Row],[SKU]],'All Skus'!$A:$AC,2,FALSE))="JBL",(VLOOKUP(Table6[[#This Row],[SKU]],'All Skus'!$A:$AC,6,FALSE)),""))</f>
        <v>0</v>
      </c>
      <c r="F350" s="61">
        <f>(IF((VLOOKUP(Table6[[#This Row],[SKU]],'All Skus'!$A:$AC,2,FALSE))="JBL",(VLOOKUP(Table6[[#This Row],[SKU]],'All Skus'!$A:$AC,7,FALSE)),""))</f>
        <v>0</v>
      </c>
      <c r="G350" t="str">
        <f>(IF((VLOOKUP(Table6[[#This Row],[SKU]],'All Skus'!$A:$AC,2,FALSE))="JBL",(VLOOKUP(Table6[[#This Row],[SKU]],'All Skus'!$A:$AC,8,FALSE)),""))</f>
        <v>High Output 12" 2-way Full-Range Loudspeaker-GRAY All Weather</v>
      </c>
      <c r="H350" s="8" t="str">
        <f>(IF((VLOOKUP(Table6[[#This Row],[SKU]],'All Skus'!$A:$AC,2,FALSE))="JBL",(VLOOKUP(Table6[[#This Row],[SKU]],'All Skus'!$A:$AC,9,FALSE)),""))</f>
        <v xml:space="preserve">High Output 12" 2-way Full-Range 90 x 50 Loudspeaker-GRAY.  Priced as each. </v>
      </c>
      <c r="I350" s="101">
        <f>(IF((VLOOKUP(Table6[[#This Row],[SKU]],'All Skus'!$A:$AC,2,FALSE))="JBL",(VLOOKUP(Table6[[#This Row],[SKU]],'All Skus'!$A:$AC,10,FALSE)),""))</f>
        <v>4828.05</v>
      </c>
      <c r="J350" s="101">
        <f>(IF((VLOOKUP(Table6[[#This Row],[SKU]],'All Skus'!$A:$AC,2,FALSE))="JBL",(VLOOKUP(Table6[[#This Row],[SKU]],'All Skus'!$A:$AC,11,FALSE)),""))</f>
        <v>4828</v>
      </c>
      <c r="K350" s="102">
        <f>(IF((VLOOKUP(Table6[[#This Row],[SKU]],'All Skus'!$A:$AC,2,FALSE))="JBL",(VLOOKUP(Table6[[#This Row],[SKU]],'All Skus'!$A:$AC,13,FALSE)),""))</f>
        <v>0</v>
      </c>
      <c r="L350" s="102">
        <f>(IF((VLOOKUP(Table6[[#This Row],[SKU]],'All Skus'!$A:$AC,2,FALSE))="JBL",(VLOOKUP(Table6[[#This Row],[SKU]],'All Skus'!$A:$AC,14,FALSE)),""))</f>
        <v>0</v>
      </c>
      <c r="M350" s="143">
        <f>(IF((VLOOKUP(Table6[[#This Row],[SKU]],'All Skus'!$A:$AC,2,FALSE))="JBL",(VLOOKUP(Table6[[#This Row],[SKU]],'All Skus'!$A:$AC,15,FALSE)),""))</f>
        <v>0</v>
      </c>
      <c r="N350" s="137">
        <f>(IF((VLOOKUP(Table6[[#This Row],[SKU]],'All Skus'!$A:$AC,2,FALSE))="JBL",(VLOOKUP(Table6[[#This Row],[SKU]],'All Skus'!$A:$AC,16,FALSE)),""))</f>
        <v>691991014222</v>
      </c>
      <c r="O350" s="61">
        <f>(IF((VLOOKUP(Table6[[#This Row],[SKU]],'All Skus'!$A:$AC,2,FALSE))="JBL",(VLOOKUP(Table6[[#This Row],[SKU]],'All Skus'!$A:$AC,17,FALSE)),""))</f>
        <v>0</v>
      </c>
      <c r="P350" s="136">
        <f>(IF((VLOOKUP(Table6[[#This Row],[SKU]],'All Skus'!$A:$AC,2,FALSE))="JBL",(VLOOKUP(Table6[[#This Row],[SKU]],'All Skus'!$A:$AC,18,FALSE)),""))</f>
        <v>72</v>
      </c>
      <c r="Q350" s="136">
        <f>(IF((VLOOKUP(Table6[[#This Row],[SKU]],'All Skus'!$A:$AC,2,FALSE))="JBL",(VLOOKUP(Table6[[#This Row],[SKU]],'All Skus'!$A:$AC,19,FALSE)),""))</f>
        <v>32</v>
      </c>
      <c r="R350" s="136">
        <f>(IF((VLOOKUP(Table6[[#This Row],[SKU]],'All Skus'!$A:$AC,2,FALSE))="JBL",(VLOOKUP(Table6[[#This Row],[SKU]],'All Skus'!$A:$AC,20,FALSE)),""))</f>
        <v>20</v>
      </c>
      <c r="S350" s="61">
        <f>(IF((VLOOKUP(Table6[[#This Row],[SKU]],'All Skus'!$A:$AC,2,FALSE))="JBL",(VLOOKUP(Table6[[#This Row],[SKU]],'All Skus'!$A:$AC,21,FALSE)),""))</f>
        <v>20</v>
      </c>
      <c r="T350" s="61" t="str">
        <f>(IF((VLOOKUP(Table6[[#This Row],[SKU]],'All Skus'!$A:$AC,2,FALSE))="JBL",(VLOOKUP(Table6[[#This Row],[SKU]],'All Skus'!$A:$AC,22,FALSE)),""))</f>
        <v>MX</v>
      </c>
      <c r="U350" t="str">
        <f>(IF((VLOOKUP(Table6[[#This Row],[SKU]],'All Skus'!$A:$AC,2,FALSE))="JBL",(VLOOKUP(Table6[[#This Row],[SKU]],'All Skus'!$A:$AC,23,FALSE)),""))</f>
        <v>Compliant</v>
      </c>
      <c r="V350" s="284" t="str">
        <f>HYPERLINK((IF((VLOOKUP(Table6[[#This Row],[SKU]],'All Skus'!$A:$AC,2,FALSE))="JBL",(VLOOKUP(Table6[[#This Row],[SKU]],'All Skus'!$A:$AC,24,FALSE)),"")))</f>
        <v/>
      </c>
      <c r="W350" s="151">
        <v>348</v>
      </c>
    </row>
    <row r="351" spans="1:23" ht="15" hidden="1" customHeight="1">
      <c r="A351" s="13" t="s">
        <v>1357</v>
      </c>
      <c r="B351" s="12" t="str">
        <f>(IF((VLOOKUP(Table6[[#This Row],[SKU]],'All Skus'!$A:$AC,2,FALSE))="JBL",(VLOOKUP(Table6[[#This Row],[SKU]],'All Skus'!$A:$AC,3,FALSE)),""))</f>
        <v>AE Series</v>
      </c>
      <c r="C351" s="12" t="str">
        <f>(IF((VLOOKUP(Table6[[#This Row],[SKU]],'All Skus'!$A:$AC,2,FALSE))="JBL",(VLOOKUP(Table6[[#This Row],[SKU]],'All Skus'!$A:$AC,4,FALSE)),""))</f>
        <v>AW295-BK</v>
      </c>
      <c r="D351" s="61" t="str">
        <f>(IF((VLOOKUP(Table6[[#This Row],[SKU]],'All Skus'!$A:$AC,2,FALSE))="JBL",(VLOOKUP(Table6[[#This Row],[SKU]],'All Skus'!$A:$AC,5,FALSE)),""))</f>
        <v>JBL052</v>
      </c>
      <c r="E351" s="137">
        <f>(IF((VLOOKUP(Table6[[#This Row],[SKU]],'All Skus'!$A:$AC,2,FALSE))="JBL",(VLOOKUP(Table6[[#This Row],[SKU]],'All Skus'!$A:$AC,6,FALSE)),""))</f>
        <v>0</v>
      </c>
      <c r="F351" s="61">
        <f>(IF((VLOOKUP(Table6[[#This Row],[SKU]],'All Skus'!$A:$AC,2,FALSE))="JBL",(VLOOKUP(Table6[[#This Row],[SKU]],'All Skus'!$A:$AC,7,FALSE)),""))</f>
        <v>0</v>
      </c>
      <c r="G351" t="str">
        <f>(IF((VLOOKUP(Table6[[#This Row],[SKU]],'All Skus'!$A:$AC,2,FALSE))="JBL",(VLOOKUP(Table6[[#This Row],[SKU]],'All Skus'!$A:$AC,8,FALSE)),""))</f>
        <v>High Output 12" 2-way Full-Range Loudspeaker-BLACK All Weather</v>
      </c>
      <c r="H351" s="8" t="str">
        <f>(IF((VLOOKUP(Table6[[#This Row],[SKU]],'All Skus'!$A:$AC,2,FALSE))="JBL",(VLOOKUP(Table6[[#This Row],[SKU]],'All Skus'!$A:$AC,9,FALSE)),""))</f>
        <v xml:space="preserve">High Output 12" 2-way Full-Range 90 x 50 Loudspeaker-BLACK.  Priced as each. </v>
      </c>
      <c r="I351" s="101">
        <f>(IF((VLOOKUP(Table6[[#This Row],[SKU]],'All Skus'!$A:$AC,2,FALSE))="JBL",(VLOOKUP(Table6[[#This Row],[SKU]],'All Skus'!$A:$AC,10,FALSE)),""))</f>
        <v>4828.05</v>
      </c>
      <c r="J351" s="101">
        <f>(IF((VLOOKUP(Table6[[#This Row],[SKU]],'All Skus'!$A:$AC,2,FALSE))="JBL",(VLOOKUP(Table6[[#This Row],[SKU]],'All Skus'!$A:$AC,11,FALSE)),""))</f>
        <v>4828</v>
      </c>
      <c r="K351" s="102">
        <f>(IF((VLOOKUP(Table6[[#This Row],[SKU]],'All Skus'!$A:$AC,2,FALSE))="JBL",(VLOOKUP(Table6[[#This Row],[SKU]],'All Skus'!$A:$AC,13,FALSE)),""))</f>
        <v>0</v>
      </c>
      <c r="L351" s="102">
        <f>(IF((VLOOKUP(Table6[[#This Row],[SKU]],'All Skus'!$A:$AC,2,FALSE))="JBL",(VLOOKUP(Table6[[#This Row],[SKU]],'All Skus'!$A:$AC,14,FALSE)),""))</f>
        <v>0</v>
      </c>
      <c r="M351" s="143">
        <f>(IF((VLOOKUP(Table6[[#This Row],[SKU]],'All Skus'!$A:$AC,2,FALSE))="JBL",(VLOOKUP(Table6[[#This Row],[SKU]],'All Skus'!$A:$AC,15,FALSE)),""))</f>
        <v>0</v>
      </c>
      <c r="N351" s="137">
        <f>(IF((VLOOKUP(Table6[[#This Row],[SKU]],'All Skus'!$A:$AC,2,FALSE))="JBL",(VLOOKUP(Table6[[#This Row],[SKU]],'All Skus'!$A:$AC,16,FALSE)),""))</f>
        <v>691991014239</v>
      </c>
      <c r="O351" s="61">
        <f>(IF((VLOOKUP(Table6[[#This Row],[SKU]],'All Skus'!$A:$AC,2,FALSE))="JBL",(VLOOKUP(Table6[[#This Row],[SKU]],'All Skus'!$A:$AC,17,FALSE)),""))</f>
        <v>0</v>
      </c>
      <c r="P351" s="136">
        <f>(IF((VLOOKUP(Table6[[#This Row],[SKU]],'All Skus'!$A:$AC,2,FALSE))="JBL",(VLOOKUP(Table6[[#This Row],[SKU]],'All Skus'!$A:$AC,18,FALSE)),""))</f>
        <v>71</v>
      </c>
      <c r="Q351" s="136">
        <f>(IF((VLOOKUP(Table6[[#This Row],[SKU]],'All Skus'!$A:$AC,2,FALSE))="JBL",(VLOOKUP(Table6[[#This Row],[SKU]],'All Skus'!$A:$AC,19,FALSE)),""))</f>
        <v>33</v>
      </c>
      <c r="R351" s="136">
        <f>(IF((VLOOKUP(Table6[[#This Row],[SKU]],'All Skus'!$A:$AC,2,FALSE))="JBL",(VLOOKUP(Table6[[#This Row],[SKU]],'All Skus'!$A:$AC,20,FALSE)),""))</f>
        <v>20</v>
      </c>
      <c r="S351" s="61">
        <f>(IF((VLOOKUP(Table6[[#This Row],[SKU]],'All Skus'!$A:$AC,2,FALSE))="JBL",(VLOOKUP(Table6[[#This Row],[SKU]],'All Skus'!$A:$AC,21,FALSE)),""))</f>
        <v>20</v>
      </c>
      <c r="T351" s="61" t="str">
        <f>(IF((VLOOKUP(Table6[[#This Row],[SKU]],'All Skus'!$A:$AC,2,FALSE))="JBL",(VLOOKUP(Table6[[#This Row],[SKU]],'All Skus'!$A:$AC,22,FALSE)),""))</f>
        <v>MX</v>
      </c>
      <c r="U351" t="str">
        <f>(IF((VLOOKUP(Table6[[#This Row],[SKU]],'All Skus'!$A:$AC,2,FALSE))="JBL",(VLOOKUP(Table6[[#This Row],[SKU]],'All Skus'!$A:$AC,23,FALSE)),""))</f>
        <v>Compliant</v>
      </c>
      <c r="V351" s="284" t="str">
        <f>HYPERLINK((IF((VLOOKUP(Table6[[#This Row],[SKU]],'All Skus'!$A:$AC,2,FALSE))="JBL",(VLOOKUP(Table6[[#This Row],[SKU]],'All Skus'!$A:$AC,24,FALSE)),"")))</f>
        <v/>
      </c>
      <c r="W351" s="151">
        <v>349</v>
      </c>
    </row>
    <row r="352" spans="1:23" ht="15" hidden="1" customHeight="1">
      <c r="A352" s="13" t="s">
        <v>1358</v>
      </c>
      <c r="B352" s="12" t="str">
        <f>(IF((VLOOKUP(Table6[[#This Row],[SKU]],'All Skus'!$A:$AC,2,FALSE))="JBL",(VLOOKUP(Table6[[#This Row],[SKU]],'All Skus'!$A:$AC,3,FALSE)),""))</f>
        <v>AE Series</v>
      </c>
      <c r="C352" s="12" t="str">
        <f>(IF((VLOOKUP(Table6[[#This Row],[SKU]],'All Skus'!$A:$AC,2,FALSE))="JBL",(VLOOKUP(Table6[[#This Row],[SKU]],'All Skus'!$A:$AC,4,FALSE)),""))</f>
        <v>AW295-LS</v>
      </c>
      <c r="D352" s="61" t="str">
        <f>(IF((VLOOKUP(Table6[[#This Row],[SKU]],'All Skus'!$A:$AC,2,FALSE))="JBL",(VLOOKUP(Table6[[#This Row],[SKU]],'All Skus'!$A:$AC,5,FALSE)),""))</f>
        <v>JBL052</v>
      </c>
      <c r="E352" s="137">
        <f>(IF((VLOOKUP(Table6[[#This Row],[SKU]],'All Skus'!$A:$AC,2,FALSE))="JBL",(VLOOKUP(Table6[[#This Row],[SKU]],'All Skus'!$A:$AC,6,FALSE)),""))</f>
        <v>0</v>
      </c>
      <c r="F352" s="61">
        <f>(IF((VLOOKUP(Table6[[#This Row],[SKU]],'All Skus'!$A:$AC,2,FALSE))="JBL",(VLOOKUP(Table6[[#This Row],[SKU]],'All Skus'!$A:$AC,7,FALSE)),""))</f>
        <v>0</v>
      </c>
      <c r="G352" t="str">
        <f>(IF((VLOOKUP(Table6[[#This Row],[SKU]],'All Skus'!$A:$AC,2,FALSE))="JBL",(VLOOKUP(Table6[[#This Row],[SKU]],'All Skus'!$A:$AC,8,FALSE)),""))</f>
        <v>12" 2-Way All Weather Loudspeaker with EN54-24 Certification.</v>
      </c>
      <c r="H352" s="8" t="str">
        <f>(IF((VLOOKUP(Table6[[#This Row],[SKU]],'All Skus'!$A:$AC,2,FALSE))="JBL",(VLOOKUP(Table6[[#This Row],[SKU]],'All Skus'!$A:$AC,9,FALSE)),""))</f>
        <v xml:space="preserve">12" 2-Way All Weather Loudspeaker with EN54-24 Certification.  Priced as each. </v>
      </c>
      <c r="I352" s="101">
        <f>(IF((VLOOKUP(Table6[[#This Row],[SKU]],'All Skus'!$A:$AC,2,FALSE))="JBL",(VLOOKUP(Table6[[#This Row],[SKU]],'All Skus'!$A:$AC,10,FALSE)),""))</f>
        <v>4828.05</v>
      </c>
      <c r="J352" s="101">
        <f>(IF((VLOOKUP(Table6[[#This Row],[SKU]],'All Skus'!$A:$AC,2,FALSE))="JBL",(VLOOKUP(Table6[[#This Row],[SKU]],'All Skus'!$A:$AC,11,FALSE)),""))</f>
        <v>4828</v>
      </c>
      <c r="K352" s="102">
        <f>(IF((VLOOKUP(Table6[[#This Row],[SKU]],'All Skus'!$A:$AC,2,FALSE))="JBL",(VLOOKUP(Table6[[#This Row],[SKU]],'All Skus'!$A:$AC,13,FALSE)),""))</f>
        <v>0</v>
      </c>
      <c r="L352" s="102">
        <f>(IF((VLOOKUP(Table6[[#This Row],[SKU]],'All Skus'!$A:$AC,2,FALSE))="JBL",(VLOOKUP(Table6[[#This Row],[SKU]],'All Skus'!$A:$AC,14,FALSE)),""))</f>
        <v>0</v>
      </c>
      <c r="M352" s="143">
        <f>(IF((VLOOKUP(Table6[[#This Row],[SKU]],'All Skus'!$A:$AC,2,FALSE))="JBL",(VLOOKUP(Table6[[#This Row],[SKU]],'All Skus'!$A:$AC,15,FALSE)),""))</f>
        <v>0</v>
      </c>
      <c r="N352" s="137">
        <f>(IF((VLOOKUP(Table6[[#This Row],[SKU]],'All Skus'!$A:$AC,2,FALSE))="JBL",(VLOOKUP(Table6[[#This Row],[SKU]],'All Skus'!$A:$AC,16,FALSE)),""))</f>
        <v>691991014246</v>
      </c>
      <c r="O352" s="61">
        <f>(IF((VLOOKUP(Table6[[#This Row],[SKU]],'All Skus'!$A:$AC,2,FALSE))="JBL",(VLOOKUP(Table6[[#This Row],[SKU]],'All Skus'!$A:$AC,17,FALSE)),""))</f>
        <v>0</v>
      </c>
      <c r="P352" s="136">
        <f>(IF((VLOOKUP(Table6[[#This Row],[SKU]],'All Skus'!$A:$AC,2,FALSE))="JBL",(VLOOKUP(Table6[[#This Row],[SKU]],'All Skus'!$A:$AC,18,FALSE)),""))</f>
        <v>55</v>
      </c>
      <c r="Q352" s="136">
        <f>(IF((VLOOKUP(Table6[[#This Row],[SKU]],'All Skus'!$A:$AC,2,FALSE))="JBL",(VLOOKUP(Table6[[#This Row],[SKU]],'All Skus'!$A:$AC,19,FALSE)),""))</f>
        <v>20</v>
      </c>
      <c r="R352" s="136">
        <f>(IF((VLOOKUP(Table6[[#This Row],[SKU]],'All Skus'!$A:$AC,2,FALSE))="JBL",(VLOOKUP(Table6[[#This Row],[SKU]],'All Skus'!$A:$AC,20,FALSE)),""))</f>
        <v>32</v>
      </c>
      <c r="S352" s="61">
        <f>(IF((VLOOKUP(Table6[[#This Row],[SKU]],'All Skus'!$A:$AC,2,FALSE))="JBL",(VLOOKUP(Table6[[#This Row],[SKU]],'All Skus'!$A:$AC,21,FALSE)),""))</f>
        <v>19</v>
      </c>
      <c r="T352" s="61" t="str">
        <f>(IF((VLOOKUP(Table6[[#This Row],[SKU]],'All Skus'!$A:$AC,2,FALSE))="JBL",(VLOOKUP(Table6[[#This Row],[SKU]],'All Skus'!$A:$AC,22,FALSE)),""))</f>
        <v>MX</v>
      </c>
      <c r="U352" t="str">
        <f>(IF((VLOOKUP(Table6[[#This Row],[SKU]],'All Skus'!$A:$AC,2,FALSE))="JBL",(VLOOKUP(Table6[[#This Row],[SKU]],'All Skus'!$A:$AC,23,FALSE)),""))</f>
        <v>Compliant</v>
      </c>
      <c r="V352" s="284" t="str">
        <f>HYPERLINK((IF((VLOOKUP(Table6[[#This Row],[SKU]],'All Skus'!$A:$AC,2,FALSE))="JBL",(VLOOKUP(Table6[[#This Row],[SKU]],'All Skus'!$A:$AC,24,FALSE)),"")))</f>
        <v/>
      </c>
      <c r="W352" s="151">
        <v>350</v>
      </c>
    </row>
    <row r="353" spans="1:23" ht="15" hidden="1" customHeight="1">
      <c r="A353" s="13" t="s">
        <v>1359</v>
      </c>
      <c r="B353" s="12" t="str">
        <f>(IF((VLOOKUP(Table6[[#This Row],[SKU]],'All Skus'!$A:$AC,2,FALSE))="JBL",(VLOOKUP(Table6[[#This Row],[SKU]],'All Skus'!$A:$AC,3,FALSE)),""))</f>
        <v>AE Series</v>
      </c>
      <c r="C353" s="12" t="str">
        <f>(IF((VLOOKUP(Table6[[#This Row],[SKU]],'All Skus'!$A:$AC,2,FALSE))="JBL",(VLOOKUP(Table6[[#This Row],[SKU]],'All Skus'!$A:$AC,4,FALSE)),""))</f>
        <v>AW526</v>
      </c>
      <c r="D353" s="61" t="str">
        <f>(IF((VLOOKUP(Table6[[#This Row],[SKU]],'All Skus'!$A:$AC,2,FALSE))="JBL",(VLOOKUP(Table6[[#This Row],[SKU]],'All Skus'!$A:$AC,5,FALSE)),""))</f>
        <v>JBL052</v>
      </c>
      <c r="E353" s="137">
        <f>(IF((VLOOKUP(Table6[[#This Row],[SKU]],'All Skus'!$A:$AC,2,FALSE))="JBL",(VLOOKUP(Table6[[#This Row],[SKU]],'All Skus'!$A:$AC,6,FALSE)),""))</f>
        <v>0</v>
      </c>
      <c r="F353" s="61">
        <f>(IF((VLOOKUP(Table6[[#This Row],[SKU]],'All Skus'!$A:$AC,2,FALSE))="JBL",(VLOOKUP(Table6[[#This Row],[SKU]],'All Skus'!$A:$AC,7,FALSE)),""))</f>
        <v>0</v>
      </c>
      <c r="G353" t="str">
        <f>(IF((VLOOKUP(Table6[[#This Row],[SKU]],'All Skus'!$A:$AC,2,FALSE))="JBL",(VLOOKUP(Table6[[#This Row],[SKU]],'All Skus'!$A:$AC,8,FALSE)),""))</f>
        <v>High Output 15" 2-way Full-Range Loudspeaker-GRAY</v>
      </c>
      <c r="H353" s="8" t="str">
        <f>(IF((VLOOKUP(Table6[[#This Row],[SKU]],'All Skus'!$A:$AC,2,FALSE))="JBL",(VLOOKUP(Table6[[#This Row],[SKU]],'All Skus'!$A:$AC,9,FALSE)),""))</f>
        <v xml:space="preserve">High Output 15" 2-way Full-Range 120 x 60 Loudspeaker-GRAY.  Priced as each. </v>
      </c>
      <c r="I353" s="101">
        <f>(IF((VLOOKUP(Table6[[#This Row],[SKU]],'All Skus'!$A:$AC,2,FALSE))="JBL",(VLOOKUP(Table6[[#This Row],[SKU]],'All Skus'!$A:$AC,10,FALSE)),""))</f>
        <v>5225.74</v>
      </c>
      <c r="J353" s="101">
        <f>(IF((VLOOKUP(Table6[[#This Row],[SKU]],'All Skus'!$A:$AC,2,FALSE))="JBL",(VLOOKUP(Table6[[#This Row],[SKU]],'All Skus'!$A:$AC,11,FALSE)),""))</f>
        <v>5225.74</v>
      </c>
      <c r="K353" s="102">
        <f>(IF((VLOOKUP(Table6[[#This Row],[SKU]],'All Skus'!$A:$AC,2,FALSE))="JBL",(VLOOKUP(Table6[[#This Row],[SKU]],'All Skus'!$A:$AC,13,FALSE)),""))</f>
        <v>0</v>
      </c>
      <c r="L353" s="102">
        <f>(IF((VLOOKUP(Table6[[#This Row],[SKU]],'All Skus'!$A:$AC,2,FALSE))="JBL",(VLOOKUP(Table6[[#This Row],[SKU]],'All Skus'!$A:$AC,14,FALSE)),""))</f>
        <v>0</v>
      </c>
      <c r="M353" s="143">
        <f>(IF((VLOOKUP(Table6[[#This Row],[SKU]],'All Skus'!$A:$AC,2,FALSE))="JBL",(VLOOKUP(Table6[[#This Row],[SKU]],'All Skus'!$A:$AC,15,FALSE)),""))</f>
        <v>0</v>
      </c>
      <c r="N353" s="137">
        <f>(IF((VLOOKUP(Table6[[#This Row],[SKU]],'All Skus'!$A:$AC,2,FALSE))="JBL",(VLOOKUP(Table6[[#This Row],[SKU]],'All Skus'!$A:$AC,16,FALSE)),""))</f>
        <v>691991014260</v>
      </c>
      <c r="O353" s="61">
        <f>(IF((VLOOKUP(Table6[[#This Row],[SKU]],'All Skus'!$A:$AC,2,FALSE))="JBL",(VLOOKUP(Table6[[#This Row],[SKU]],'All Skus'!$A:$AC,17,FALSE)),""))</f>
        <v>0</v>
      </c>
      <c r="P353" s="136">
        <f>(IF((VLOOKUP(Table6[[#This Row],[SKU]],'All Skus'!$A:$AC,2,FALSE))="JBL",(VLOOKUP(Table6[[#This Row],[SKU]],'All Skus'!$A:$AC,18,FALSE)),""))</f>
        <v>84</v>
      </c>
      <c r="Q353" s="136">
        <f>(IF((VLOOKUP(Table6[[#This Row],[SKU]],'All Skus'!$A:$AC,2,FALSE))="JBL",(VLOOKUP(Table6[[#This Row],[SKU]],'All Skus'!$A:$AC,19,FALSE)),""))</f>
        <v>25</v>
      </c>
      <c r="R353" s="136">
        <f>(IF((VLOOKUP(Table6[[#This Row],[SKU]],'All Skus'!$A:$AC,2,FALSE))="JBL",(VLOOKUP(Table6[[#This Row],[SKU]],'All Skus'!$A:$AC,20,FALSE)),""))</f>
        <v>23</v>
      </c>
      <c r="S353" s="61">
        <f>(IF((VLOOKUP(Table6[[#This Row],[SKU]],'All Skus'!$A:$AC,2,FALSE))="JBL",(VLOOKUP(Table6[[#This Row],[SKU]],'All Skus'!$A:$AC,21,FALSE)),""))</f>
        <v>20</v>
      </c>
      <c r="T353" s="61" t="str">
        <f>(IF((VLOOKUP(Table6[[#This Row],[SKU]],'All Skus'!$A:$AC,2,FALSE))="JBL",(VLOOKUP(Table6[[#This Row],[SKU]],'All Skus'!$A:$AC,22,FALSE)),""))</f>
        <v>MX</v>
      </c>
      <c r="U353" t="str">
        <f>(IF((VLOOKUP(Table6[[#This Row],[SKU]],'All Skus'!$A:$AC,2,FALSE))="JBL",(VLOOKUP(Table6[[#This Row],[SKU]],'All Skus'!$A:$AC,23,FALSE)),""))</f>
        <v>Compliant</v>
      </c>
      <c r="V353" s="284" t="str">
        <f>HYPERLINK((IF((VLOOKUP(Table6[[#This Row],[SKU]],'All Skus'!$A:$AC,2,FALSE))="JBL",(VLOOKUP(Table6[[#This Row],[SKU]],'All Skus'!$A:$AC,24,FALSE)),"")))</f>
        <v/>
      </c>
      <c r="W353" s="151">
        <v>351</v>
      </c>
    </row>
    <row r="354" spans="1:23" ht="15" hidden="1" customHeight="1">
      <c r="A354" s="13" t="s">
        <v>1360</v>
      </c>
      <c r="B354" s="12" t="str">
        <f>(IF((VLOOKUP(Table6[[#This Row],[SKU]],'All Skus'!$A:$AC,2,FALSE))="JBL",(VLOOKUP(Table6[[#This Row],[SKU]],'All Skus'!$A:$AC,3,FALSE)),""))</f>
        <v>AE Series</v>
      </c>
      <c r="C354" s="12" t="str">
        <f>(IF((VLOOKUP(Table6[[#This Row],[SKU]],'All Skus'!$A:$AC,2,FALSE))="JBL",(VLOOKUP(Table6[[#This Row],[SKU]],'All Skus'!$A:$AC,4,FALSE)),""))</f>
        <v>AW526-BK</v>
      </c>
      <c r="D354" s="61" t="str">
        <f>(IF((VLOOKUP(Table6[[#This Row],[SKU]],'All Skus'!$A:$AC,2,FALSE))="JBL",(VLOOKUP(Table6[[#This Row],[SKU]],'All Skus'!$A:$AC,5,FALSE)),""))</f>
        <v>JBL052</v>
      </c>
      <c r="E354" s="137">
        <f>(IF((VLOOKUP(Table6[[#This Row],[SKU]],'All Skus'!$A:$AC,2,FALSE))="JBL",(VLOOKUP(Table6[[#This Row],[SKU]],'All Skus'!$A:$AC,6,FALSE)),""))</f>
        <v>0</v>
      </c>
      <c r="F354" s="61">
        <f>(IF((VLOOKUP(Table6[[#This Row],[SKU]],'All Skus'!$A:$AC,2,FALSE))="JBL",(VLOOKUP(Table6[[#This Row],[SKU]],'All Skus'!$A:$AC,7,FALSE)),""))</f>
        <v>0</v>
      </c>
      <c r="G354" t="str">
        <f>(IF((VLOOKUP(Table6[[#This Row],[SKU]],'All Skus'!$A:$AC,2,FALSE))="JBL",(VLOOKUP(Table6[[#This Row],[SKU]],'All Skus'!$A:$AC,8,FALSE)),""))</f>
        <v>High Output 15" 2-way Full-Range Loudspeaker-BLACK</v>
      </c>
      <c r="H354" s="8" t="str">
        <f>(IF((VLOOKUP(Table6[[#This Row],[SKU]],'All Skus'!$A:$AC,2,FALSE))="JBL",(VLOOKUP(Table6[[#This Row],[SKU]],'All Skus'!$A:$AC,9,FALSE)),""))</f>
        <v xml:space="preserve">High Output 15" 2-way Full-Range 120 x 60 Loudspeaker-BLACK.  Priced as each. </v>
      </c>
      <c r="I354" s="101">
        <f>(IF((VLOOKUP(Table6[[#This Row],[SKU]],'All Skus'!$A:$AC,2,FALSE))="JBL",(VLOOKUP(Table6[[#This Row],[SKU]],'All Skus'!$A:$AC,10,FALSE)),""))</f>
        <v>5225.74</v>
      </c>
      <c r="J354" s="101">
        <f>(IF((VLOOKUP(Table6[[#This Row],[SKU]],'All Skus'!$A:$AC,2,FALSE))="JBL",(VLOOKUP(Table6[[#This Row],[SKU]],'All Skus'!$A:$AC,11,FALSE)),""))</f>
        <v>5225.74</v>
      </c>
      <c r="K354" s="102">
        <f>(IF((VLOOKUP(Table6[[#This Row],[SKU]],'All Skus'!$A:$AC,2,FALSE))="JBL",(VLOOKUP(Table6[[#This Row],[SKU]],'All Skus'!$A:$AC,13,FALSE)),""))</f>
        <v>0</v>
      </c>
      <c r="L354" s="102">
        <f>(IF((VLOOKUP(Table6[[#This Row],[SKU]],'All Skus'!$A:$AC,2,FALSE))="JBL",(VLOOKUP(Table6[[#This Row],[SKU]],'All Skus'!$A:$AC,14,FALSE)),""))</f>
        <v>0</v>
      </c>
      <c r="M354" s="143">
        <f>(IF((VLOOKUP(Table6[[#This Row],[SKU]],'All Skus'!$A:$AC,2,FALSE))="JBL",(VLOOKUP(Table6[[#This Row],[SKU]],'All Skus'!$A:$AC,15,FALSE)),""))</f>
        <v>0</v>
      </c>
      <c r="N354" s="137">
        <f>(IF((VLOOKUP(Table6[[#This Row],[SKU]],'All Skus'!$A:$AC,2,FALSE))="JBL",(VLOOKUP(Table6[[#This Row],[SKU]],'All Skus'!$A:$AC,16,FALSE)),""))</f>
        <v>691991014277</v>
      </c>
      <c r="O354" s="61">
        <f>(IF((VLOOKUP(Table6[[#This Row],[SKU]],'All Skus'!$A:$AC,2,FALSE))="JBL",(VLOOKUP(Table6[[#This Row],[SKU]],'All Skus'!$A:$AC,17,FALSE)),""))</f>
        <v>0</v>
      </c>
      <c r="P354" s="136">
        <f>(IF((VLOOKUP(Table6[[#This Row],[SKU]],'All Skus'!$A:$AC,2,FALSE))="JBL",(VLOOKUP(Table6[[#This Row],[SKU]],'All Skus'!$A:$AC,18,FALSE)),""))</f>
        <v>64</v>
      </c>
      <c r="Q354" s="136">
        <f>(IF((VLOOKUP(Table6[[#This Row],[SKU]],'All Skus'!$A:$AC,2,FALSE))="JBL",(VLOOKUP(Table6[[#This Row],[SKU]],'All Skus'!$A:$AC,19,FALSE)),""))</f>
        <v>23</v>
      </c>
      <c r="R354" s="136">
        <f>(IF((VLOOKUP(Table6[[#This Row],[SKU]],'All Skus'!$A:$AC,2,FALSE))="JBL",(VLOOKUP(Table6[[#This Row],[SKU]],'All Skus'!$A:$AC,20,FALSE)),""))</f>
        <v>35</v>
      </c>
      <c r="S354" s="61">
        <f>(IF((VLOOKUP(Table6[[#This Row],[SKU]],'All Skus'!$A:$AC,2,FALSE))="JBL",(VLOOKUP(Table6[[#This Row],[SKU]],'All Skus'!$A:$AC,21,FALSE)),""))</f>
        <v>21</v>
      </c>
      <c r="T354" s="61" t="str">
        <f>(IF((VLOOKUP(Table6[[#This Row],[SKU]],'All Skus'!$A:$AC,2,FALSE))="JBL",(VLOOKUP(Table6[[#This Row],[SKU]],'All Skus'!$A:$AC,22,FALSE)),""))</f>
        <v>MX</v>
      </c>
      <c r="U354" t="str">
        <f>(IF((VLOOKUP(Table6[[#This Row],[SKU]],'All Skus'!$A:$AC,2,FALSE))="JBL",(VLOOKUP(Table6[[#This Row],[SKU]],'All Skus'!$A:$AC,23,FALSE)),""))</f>
        <v>Compliant</v>
      </c>
      <c r="V354" s="284" t="str">
        <f>HYPERLINK((IF((VLOOKUP(Table6[[#This Row],[SKU]],'All Skus'!$A:$AC,2,FALSE))="JBL",(VLOOKUP(Table6[[#This Row],[SKU]],'All Skus'!$A:$AC,24,FALSE)),"")))</f>
        <v/>
      </c>
      <c r="W354" s="151">
        <v>352</v>
      </c>
    </row>
    <row r="355" spans="1:23" ht="15" hidden="1" customHeight="1">
      <c r="A355" s="13" t="s">
        <v>1361</v>
      </c>
      <c r="B355" s="12" t="str">
        <f>(IF((VLOOKUP(Table6[[#This Row],[SKU]],'All Skus'!$A:$AC,2,FALSE))="JBL",(VLOOKUP(Table6[[#This Row],[SKU]],'All Skus'!$A:$AC,3,FALSE)),""))</f>
        <v>AE Series</v>
      </c>
      <c r="C355" s="12" t="str">
        <f>(IF((VLOOKUP(Table6[[#This Row],[SKU]],'All Skus'!$A:$AC,2,FALSE))="JBL",(VLOOKUP(Table6[[#This Row],[SKU]],'All Skus'!$A:$AC,4,FALSE)),""))</f>
        <v>AW526-LS</v>
      </c>
      <c r="D355" s="61" t="str">
        <f>(IF((VLOOKUP(Table6[[#This Row],[SKU]],'All Skus'!$A:$AC,2,FALSE))="JBL",(VLOOKUP(Table6[[#This Row],[SKU]],'All Skus'!$A:$AC,5,FALSE)),""))</f>
        <v>JBL052</v>
      </c>
      <c r="E355" s="137">
        <f>(IF((VLOOKUP(Table6[[#This Row],[SKU]],'All Skus'!$A:$AC,2,FALSE))="JBL",(VLOOKUP(Table6[[#This Row],[SKU]],'All Skus'!$A:$AC,6,FALSE)),""))</f>
        <v>0</v>
      </c>
      <c r="F355" s="61">
        <f>(IF((VLOOKUP(Table6[[#This Row],[SKU]],'All Skus'!$A:$AC,2,FALSE))="JBL",(VLOOKUP(Table6[[#This Row],[SKU]],'All Skus'!$A:$AC,7,FALSE)),""))</f>
        <v>0</v>
      </c>
      <c r="G355" t="str">
        <f>(IF((VLOOKUP(Table6[[#This Row],[SKU]],'All Skus'!$A:$AC,2,FALSE))="JBL",(VLOOKUP(Table6[[#This Row],[SKU]],'All Skus'!$A:$AC,8,FALSE)),""))</f>
        <v>15" 2-Way All Weather Loudspeaker with EN54-24 Certification.</v>
      </c>
      <c r="H355" s="8" t="str">
        <f>(IF((VLOOKUP(Table6[[#This Row],[SKU]],'All Skus'!$A:$AC,2,FALSE))="JBL",(VLOOKUP(Table6[[#This Row],[SKU]],'All Skus'!$A:$AC,9,FALSE)),""))</f>
        <v xml:space="preserve">15" 2-Way All Weather Loudspeaker with EN54-24 Certification. Priced as each. </v>
      </c>
      <c r="I355" s="101">
        <f>(IF((VLOOKUP(Table6[[#This Row],[SKU]],'All Skus'!$A:$AC,2,FALSE))="JBL",(VLOOKUP(Table6[[#This Row],[SKU]],'All Skus'!$A:$AC,10,FALSE)),""))</f>
        <v>5225.74</v>
      </c>
      <c r="J355" s="101">
        <f>(IF((VLOOKUP(Table6[[#This Row],[SKU]],'All Skus'!$A:$AC,2,FALSE))="JBL",(VLOOKUP(Table6[[#This Row],[SKU]],'All Skus'!$A:$AC,11,FALSE)),""))</f>
        <v>5225.74</v>
      </c>
      <c r="K355" s="102">
        <f>(IF((VLOOKUP(Table6[[#This Row],[SKU]],'All Skus'!$A:$AC,2,FALSE))="JBL",(VLOOKUP(Table6[[#This Row],[SKU]],'All Skus'!$A:$AC,13,FALSE)),""))</f>
        <v>0</v>
      </c>
      <c r="L355" s="102">
        <f>(IF((VLOOKUP(Table6[[#This Row],[SKU]],'All Skus'!$A:$AC,2,FALSE))="JBL",(VLOOKUP(Table6[[#This Row],[SKU]],'All Skus'!$A:$AC,14,FALSE)),""))</f>
        <v>0</v>
      </c>
      <c r="M355" s="143">
        <f>(IF((VLOOKUP(Table6[[#This Row],[SKU]],'All Skus'!$A:$AC,2,FALSE))="JBL",(VLOOKUP(Table6[[#This Row],[SKU]],'All Skus'!$A:$AC,15,FALSE)),""))</f>
        <v>0</v>
      </c>
      <c r="N355" s="137">
        <f>(IF((VLOOKUP(Table6[[#This Row],[SKU]],'All Skus'!$A:$AC,2,FALSE))="JBL",(VLOOKUP(Table6[[#This Row],[SKU]],'All Skus'!$A:$AC,16,FALSE)),""))</f>
        <v>691991014284</v>
      </c>
      <c r="O355" s="61">
        <f>(IF((VLOOKUP(Table6[[#This Row],[SKU]],'All Skus'!$A:$AC,2,FALSE))="JBL",(VLOOKUP(Table6[[#This Row],[SKU]],'All Skus'!$A:$AC,17,FALSE)),""))</f>
        <v>0</v>
      </c>
      <c r="P355" s="136">
        <f>(IF((VLOOKUP(Table6[[#This Row],[SKU]],'All Skus'!$A:$AC,2,FALSE))="JBL",(VLOOKUP(Table6[[#This Row],[SKU]],'All Skus'!$A:$AC,18,FALSE)),""))</f>
        <v>0</v>
      </c>
      <c r="Q355" s="136">
        <f>(IF((VLOOKUP(Table6[[#This Row],[SKU]],'All Skus'!$A:$AC,2,FALSE))="JBL",(VLOOKUP(Table6[[#This Row],[SKU]],'All Skus'!$A:$AC,19,FALSE)),""))</f>
        <v>0</v>
      </c>
      <c r="R355" s="136">
        <f>(IF((VLOOKUP(Table6[[#This Row],[SKU]],'All Skus'!$A:$AC,2,FALSE))="JBL",(VLOOKUP(Table6[[#This Row],[SKU]],'All Skus'!$A:$AC,20,FALSE)),""))</f>
        <v>0</v>
      </c>
      <c r="S355" s="61">
        <f>(IF((VLOOKUP(Table6[[#This Row],[SKU]],'All Skus'!$A:$AC,2,FALSE))="JBL",(VLOOKUP(Table6[[#This Row],[SKU]],'All Skus'!$A:$AC,21,FALSE)),""))</f>
        <v>0</v>
      </c>
      <c r="T355" s="61" t="str">
        <f>(IF((VLOOKUP(Table6[[#This Row],[SKU]],'All Skus'!$A:$AC,2,FALSE))="JBL",(VLOOKUP(Table6[[#This Row],[SKU]],'All Skus'!$A:$AC,22,FALSE)),""))</f>
        <v>MX</v>
      </c>
      <c r="U355" t="str">
        <f>(IF((VLOOKUP(Table6[[#This Row],[SKU]],'All Skus'!$A:$AC,2,FALSE))="JBL",(VLOOKUP(Table6[[#This Row],[SKU]],'All Skus'!$A:$AC,23,FALSE)),""))</f>
        <v>Compliant</v>
      </c>
      <c r="V355" s="284" t="str">
        <f>HYPERLINK((IF((VLOOKUP(Table6[[#This Row],[SKU]],'All Skus'!$A:$AC,2,FALSE))="JBL",(VLOOKUP(Table6[[#This Row],[SKU]],'All Skus'!$A:$AC,24,FALSE)),"")))</f>
        <v/>
      </c>
      <c r="W355" s="151">
        <v>353</v>
      </c>
    </row>
    <row r="356" spans="1:23" ht="15" hidden="1" customHeight="1">
      <c r="A356" s="13" t="s">
        <v>1362</v>
      </c>
      <c r="B356" s="12" t="str">
        <f>(IF((VLOOKUP(Table6[[#This Row],[SKU]],'All Skus'!$A:$AC,2,FALSE))="JBL",(VLOOKUP(Table6[[#This Row],[SKU]],'All Skus'!$A:$AC,3,FALSE)),""))</f>
        <v>AE Series</v>
      </c>
      <c r="C356" s="12" t="str">
        <f>(IF((VLOOKUP(Table6[[#This Row],[SKU]],'All Skus'!$A:$AC,2,FALSE))="JBL",(VLOOKUP(Table6[[#This Row],[SKU]],'All Skus'!$A:$AC,4,FALSE)),""))</f>
        <v>AW526-LS-BK</v>
      </c>
      <c r="D356" s="61" t="str">
        <f>(IF((VLOOKUP(Table6[[#This Row],[SKU]],'All Skus'!$A:$AC,2,FALSE))="JBL",(VLOOKUP(Table6[[#This Row],[SKU]],'All Skus'!$A:$AC,5,FALSE)),""))</f>
        <v>JBL052</v>
      </c>
      <c r="E356" s="137">
        <f>(IF((VLOOKUP(Table6[[#This Row],[SKU]],'All Skus'!$A:$AC,2,FALSE))="JBL",(VLOOKUP(Table6[[#This Row],[SKU]],'All Skus'!$A:$AC,6,FALSE)),""))</f>
        <v>0</v>
      </c>
      <c r="F356" s="61">
        <f>(IF((VLOOKUP(Table6[[#This Row],[SKU]],'All Skus'!$A:$AC,2,FALSE))="JBL",(VLOOKUP(Table6[[#This Row],[SKU]],'All Skus'!$A:$AC,7,FALSE)),""))</f>
        <v>0</v>
      </c>
      <c r="G356" t="str">
        <f>(IF((VLOOKUP(Table6[[#This Row],[SKU]],'All Skus'!$A:$AC,2,FALSE))="JBL",(VLOOKUP(Table6[[#This Row],[SKU]],'All Skus'!$A:$AC,8,FALSE)),""))</f>
        <v>15" 2-Way All Weather Loudspeaker with EN54-24 Certification, black.</v>
      </c>
      <c r="H356" s="8" t="str">
        <f>(IF((VLOOKUP(Table6[[#This Row],[SKU]],'All Skus'!$A:$AC,2,FALSE))="JBL",(VLOOKUP(Table6[[#This Row],[SKU]],'All Skus'!$A:$AC,9,FALSE)),""))</f>
        <v xml:space="preserve">15" 2-Way All Weather Loudspeaker with EN54-24 Certification, black. Priced as each. </v>
      </c>
      <c r="I356" s="101">
        <f>(IF((VLOOKUP(Table6[[#This Row],[SKU]],'All Skus'!$A:$AC,2,FALSE))="JBL",(VLOOKUP(Table6[[#This Row],[SKU]],'All Skus'!$A:$AC,10,FALSE)),""))</f>
        <v>5225.74</v>
      </c>
      <c r="J356" s="101">
        <f>(IF((VLOOKUP(Table6[[#This Row],[SKU]],'All Skus'!$A:$AC,2,FALSE))="JBL",(VLOOKUP(Table6[[#This Row],[SKU]],'All Skus'!$A:$AC,11,FALSE)),""))</f>
        <v>5225.74</v>
      </c>
      <c r="K356" s="102">
        <f>(IF((VLOOKUP(Table6[[#This Row],[SKU]],'All Skus'!$A:$AC,2,FALSE))="JBL",(VLOOKUP(Table6[[#This Row],[SKU]],'All Skus'!$A:$AC,13,FALSE)),""))</f>
        <v>0</v>
      </c>
      <c r="L356" s="102">
        <f>(IF((VLOOKUP(Table6[[#This Row],[SKU]],'All Skus'!$A:$AC,2,FALSE))="JBL",(VLOOKUP(Table6[[#This Row],[SKU]],'All Skus'!$A:$AC,14,FALSE)),""))</f>
        <v>0</v>
      </c>
      <c r="M356" s="143">
        <f>(IF((VLOOKUP(Table6[[#This Row],[SKU]],'All Skus'!$A:$AC,2,FALSE))="JBL",(VLOOKUP(Table6[[#This Row],[SKU]],'All Skus'!$A:$AC,15,FALSE)),""))</f>
        <v>0</v>
      </c>
      <c r="N356" s="137">
        <f>(IF((VLOOKUP(Table6[[#This Row],[SKU]],'All Skus'!$A:$AC,2,FALSE))="JBL",(VLOOKUP(Table6[[#This Row],[SKU]],'All Skus'!$A:$AC,16,FALSE)),""))</f>
        <v>691991014291</v>
      </c>
      <c r="O356" s="61">
        <f>(IF((VLOOKUP(Table6[[#This Row],[SKU]],'All Skus'!$A:$AC,2,FALSE))="JBL",(VLOOKUP(Table6[[#This Row],[SKU]],'All Skus'!$A:$AC,17,FALSE)),""))</f>
        <v>0</v>
      </c>
      <c r="P356" s="136">
        <f>(IF((VLOOKUP(Table6[[#This Row],[SKU]],'All Skus'!$A:$AC,2,FALSE))="JBL",(VLOOKUP(Table6[[#This Row],[SKU]],'All Skus'!$A:$AC,18,FALSE)),""))</f>
        <v>0</v>
      </c>
      <c r="Q356" s="136">
        <f>(IF((VLOOKUP(Table6[[#This Row],[SKU]],'All Skus'!$A:$AC,2,FALSE))="JBL",(VLOOKUP(Table6[[#This Row],[SKU]],'All Skus'!$A:$AC,19,FALSE)),""))</f>
        <v>0</v>
      </c>
      <c r="R356" s="136">
        <f>(IF((VLOOKUP(Table6[[#This Row],[SKU]],'All Skus'!$A:$AC,2,FALSE))="JBL",(VLOOKUP(Table6[[#This Row],[SKU]],'All Skus'!$A:$AC,20,FALSE)),""))</f>
        <v>0</v>
      </c>
      <c r="S356" s="61">
        <f>(IF((VLOOKUP(Table6[[#This Row],[SKU]],'All Skus'!$A:$AC,2,FALSE))="JBL",(VLOOKUP(Table6[[#This Row],[SKU]],'All Skus'!$A:$AC,21,FALSE)),""))</f>
        <v>0</v>
      </c>
      <c r="T356" s="61" t="str">
        <f>(IF((VLOOKUP(Table6[[#This Row],[SKU]],'All Skus'!$A:$AC,2,FALSE))="JBL",(VLOOKUP(Table6[[#This Row],[SKU]],'All Skus'!$A:$AC,22,FALSE)),""))</f>
        <v>MX</v>
      </c>
      <c r="U356" t="str">
        <f>(IF((VLOOKUP(Table6[[#This Row],[SKU]],'All Skus'!$A:$AC,2,FALSE))="JBL",(VLOOKUP(Table6[[#This Row],[SKU]],'All Skus'!$A:$AC,23,FALSE)),""))</f>
        <v>Compliant</v>
      </c>
      <c r="V356" s="284" t="str">
        <f>HYPERLINK((IF((VLOOKUP(Table6[[#This Row],[SKU]],'All Skus'!$A:$AC,2,FALSE))="JBL",(VLOOKUP(Table6[[#This Row],[SKU]],'All Skus'!$A:$AC,24,FALSE)),"")))</f>
        <v/>
      </c>
      <c r="W356" s="151">
        <v>354</v>
      </c>
    </row>
    <row r="357" spans="1:23" ht="15" hidden="1" customHeight="1">
      <c r="A357" s="13" t="s">
        <v>1363</v>
      </c>
      <c r="B357" s="12" t="str">
        <f>(IF((VLOOKUP(Table6[[#This Row],[SKU]],'All Skus'!$A:$AC,2,FALSE))="JBL",(VLOOKUP(Table6[[#This Row],[SKU]],'All Skus'!$A:$AC,3,FALSE)),""))</f>
        <v>AE Series</v>
      </c>
      <c r="C357" s="12" t="str">
        <f>(IF((VLOOKUP(Table6[[#This Row],[SKU]],'All Skus'!$A:$AC,2,FALSE))="JBL",(VLOOKUP(Table6[[#This Row],[SKU]],'All Skus'!$A:$AC,4,FALSE)),""))</f>
        <v>AW566</v>
      </c>
      <c r="D357" s="61" t="str">
        <f>(IF((VLOOKUP(Table6[[#This Row],[SKU]],'All Skus'!$A:$AC,2,FALSE))="JBL",(VLOOKUP(Table6[[#This Row],[SKU]],'All Skus'!$A:$AC,5,FALSE)),""))</f>
        <v>JBL052</v>
      </c>
      <c r="E357" s="137">
        <f>(IF((VLOOKUP(Table6[[#This Row],[SKU]],'All Skus'!$A:$AC,2,FALSE))="JBL",(VLOOKUP(Table6[[#This Row],[SKU]],'All Skus'!$A:$AC,6,FALSE)),""))</f>
        <v>0</v>
      </c>
      <c r="F357" s="61">
        <f>(IF((VLOOKUP(Table6[[#This Row],[SKU]],'All Skus'!$A:$AC,2,FALSE))="JBL",(VLOOKUP(Table6[[#This Row],[SKU]],'All Skus'!$A:$AC,7,FALSE)),""))</f>
        <v>0</v>
      </c>
      <c r="G357" t="str">
        <f>(IF((VLOOKUP(Table6[[#This Row],[SKU]],'All Skus'!$A:$AC,2,FALSE))="JBL",(VLOOKUP(Table6[[#This Row],[SKU]],'All Skus'!$A:$AC,8,FALSE)),""))</f>
        <v>High Output 15" 2-way Full-Range Loudspeaker-GRAY</v>
      </c>
      <c r="H357" s="8" t="str">
        <f>(IF((VLOOKUP(Table6[[#This Row],[SKU]],'All Skus'!$A:$AC,2,FALSE))="JBL",(VLOOKUP(Table6[[#This Row],[SKU]],'All Skus'!$A:$AC,9,FALSE)),""))</f>
        <v xml:space="preserve">High Output 15" 2-way Full-Range 60 x 60 Loudspeaker-GRAY.  Priced as each. </v>
      </c>
      <c r="I357" s="101">
        <f>(IF((VLOOKUP(Table6[[#This Row],[SKU]],'All Skus'!$A:$AC,2,FALSE))="JBL",(VLOOKUP(Table6[[#This Row],[SKU]],'All Skus'!$A:$AC,10,FALSE)),""))</f>
        <v>5225.74</v>
      </c>
      <c r="J357" s="101">
        <f>(IF((VLOOKUP(Table6[[#This Row],[SKU]],'All Skus'!$A:$AC,2,FALSE))="JBL",(VLOOKUP(Table6[[#This Row],[SKU]],'All Skus'!$A:$AC,11,FALSE)),""))</f>
        <v>5225.74</v>
      </c>
      <c r="K357" s="102">
        <f>(IF((VLOOKUP(Table6[[#This Row],[SKU]],'All Skus'!$A:$AC,2,FALSE))="JBL",(VLOOKUP(Table6[[#This Row],[SKU]],'All Skus'!$A:$AC,13,FALSE)),""))</f>
        <v>0</v>
      </c>
      <c r="L357" s="102">
        <f>(IF((VLOOKUP(Table6[[#This Row],[SKU]],'All Skus'!$A:$AC,2,FALSE))="JBL",(VLOOKUP(Table6[[#This Row],[SKU]],'All Skus'!$A:$AC,14,FALSE)),""))</f>
        <v>0</v>
      </c>
      <c r="M357" s="143">
        <f>(IF((VLOOKUP(Table6[[#This Row],[SKU]],'All Skus'!$A:$AC,2,FALSE))="JBL",(VLOOKUP(Table6[[#This Row],[SKU]],'All Skus'!$A:$AC,15,FALSE)),""))</f>
        <v>0</v>
      </c>
      <c r="N357" s="137">
        <f>(IF((VLOOKUP(Table6[[#This Row],[SKU]],'All Skus'!$A:$AC,2,FALSE))="JBL",(VLOOKUP(Table6[[#This Row],[SKU]],'All Skus'!$A:$AC,16,FALSE)),""))</f>
        <v>691991014307</v>
      </c>
      <c r="O357" s="61">
        <f>(IF((VLOOKUP(Table6[[#This Row],[SKU]],'All Skus'!$A:$AC,2,FALSE))="JBL",(VLOOKUP(Table6[[#This Row],[SKU]],'All Skus'!$A:$AC,17,FALSE)),""))</f>
        <v>0</v>
      </c>
      <c r="P357" s="136">
        <f>(IF((VLOOKUP(Table6[[#This Row],[SKU]],'All Skus'!$A:$AC,2,FALSE))="JBL",(VLOOKUP(Table6[[#This Row],[SKU]],'All Skus'!$A:$AC,18,FALSE)),""))</f>
        <v>80</v>
      </c>
      <c r="Q357" s="136">
        <f>(IF((VLOOKUP(Table6[[#This Row],[SKU]],'All Skus'!$A:$AC,2,FALSE))="JBL",(VLOOKUP(Table6[[#This Row],[SKU]],'All Skus'!$A:$AC,19,FALSE)),""))</f>
        <v>35</v>
      </c>
      <c r="R357" s="136">
        <f>(IF((VLOOKUP(Table6[[#This Row],[SKU]],'All Skus'!$A:$AC,2,FALSE))="JBL",(VLOOKUP(Table6[[#This Row],[SKU]],'All Skus'!$A:$AC,20,FALSE)),""))</f>
        <v>22</v>
      </c>
      <c r="S357" s="61">
        <f>(IF((VLOOKUP(Table6[[#This Row],[SKU]],'All Skus'!$A:$AC,2,FALSE))="JBL",(VLOOKUP(Table6[[#This Row],[SKU]],'All Skus'!$A:$AC,21,FALSE)),""))</f>
        <v>21</v>
      </c>
      <c r="T357" s="61" t="str">
        <f>(IF((VLOOKUP(Table6[[#This Row],[SKU]],'All Skus'!$A:$AC,2,FALSE))="JBL",(VLOOKUP(Table6[[#This Row],[SKU]],'All Skus'!$A:$AC,22,FALSE)),""))</f>
        <v>MX</v>
      </c>
      <c r="U357" t="str">
        <f>(IF((VLOOKUP(Table6[[#This Row],[SKU]],'All Skus'!$A:$AC,2,FALSE))="JBL",(VLOOKUP(Table6[[#This Row],[SKU]],'All Skus'!$A:$AC,23,FALSE)),""))</f>
        <v>Compliant</v>
      </c>
      <c r="V357" s="284" t="str">
        <f>HYPERLINK((IF((VLOOKUP(Table6[[#This Row],[SKU]],'All Skus'!$A:$AC,2,FALSE))="JBL",(VLOOKUP(Table6[[#This Row],[SKU]],'All Skus'!$A:$AC,24,FALSE)),"")))</f>
        <v/>
      </c>
      <c r="W357" s="151">
        <v>355</v>
      </c>
    </row>
    <row r="358" spans="1:23" ht="15" hidden="1" customHeight="1">
      <c r="A358" s="13" t="s">
        <v>1364</v>
      </c>
      <c r="B358" s="12" t="str">
        <f>(IF((VLOOKUP(Table6[[#This Row],[SKU]],'All Skus'!$A:$AC,2,FALSE))="JBL",(VLOOKUP(Table6[[#This Row],[SKU]],'All Skus'!$A:$AC,3,FALSE)),""))</f>
        <v>AE Series</v>
      </c>
      <c r="C358" s="12" t="str">
        <f>(IF((VLOOKUP(Table6[[#This Row],[SKU]],'All Skus'!$A:$AC,2,FALSE))="JBL",(VLOOKUP(Table6[[#This Row],[SKU]],'All Skus'!$A:$AC,4,FALSE)),""))</f>
        <v>AW566-BK</v>
      </c>
      <c r="D358" s="61" t="str">
        <f>(IF((VLOOKUP(Table6[[#This Row],[SKU]],'All Skus'!$A:$AC,2,FALSE))="JBL",(VLOOKUP(Table6[[#This Row],[SKU]],'All Skus'!$A:$AC,5,FALSE)),""))</f>
        <v>JBL052</v>
      </c>
      <c r="E358" s="137">
        <f>(IF((VLOOKUP(Table6[[#This Row],[SKU]],'All Skus'!$A:$AC,2,FALSE))="JBL",(VLOOKUP(Table6[[#This Row],[SKU]],'All Skus'!$A:$AC,6,FALSE)),""))</f>
        <v>0</v>
      </c>
      <c r="F358" s="61">
        <f>(IF((VLOOKUP(Table6[[#This Row],[SKU]],'All Skus'!$A:$AC,2,FALSE))="JBL",(VLOOKUP(Table6[[#This Row],[SKU]],'All Skus'!$A:$AC,7,FALSE)),""))</f>
        <v>0</v>
      </c>
      <c r="G358" t="str">
        <f>(IF((VLOOKUP(Table6[[#This Row],[SKU]],'All Skus'!$A:$AC,2,FALSE))="JBL",(VLOOKUP(Table6[[#This Row],[SKU]],'All Skus'!$A:$AC,8,FALSE)),""))</f>
        <v>High Output 15" 2-way Full-Range Loudspeaker-BLACK</v>
      </c>
      <c r="H358" s="8" t="str">
        <f>(IF((VLOOKUP(Table6[[#This Row],[SKU]],'All Skus'!$A:$AC,2,FALSE))="JBL",(VLOOKUP(Table6[[#This Row],[SKU]],'All Skus'!$A:$AC,9,FALSE)),""))</f>
        <v xml:space="preserve">High Output 15" 2-way Full-Range 60 x 60 Loudspeaker-BLACK.  Priced as each. </v>
      </c>
      <c r="I358" s="101">
        <f>(IF((VLOOKUP(Table6[[#This Row],[SKU]],'All Skus'!$A:$AC,2,FALSE))="JBL",(VLOOKUP(Table6[[#This Row],[SKU]],'All Skus'!$A:$AC,10,FALSE)),""))</f>
        <v>5225.74</v>
      </c>
      <c r="J358" s="101">
        <f>(IF((VLOOKUP(Table6[[#This Row],[SKU]],'All Skus'!$A:$AC,2,FALSE))="JBL",(VLOOKUP(Table6[[#This Row],[SKU]],'All Skus'!$A:$AC,11,FALSE)),""))</f>
        <v>5225.74</v>
      </c>
      <c r="K358" s="102">
        <f>(IF((VLOOKUP(Table6[[#This Row],[SKU]],'All Skus'!$A:$AC,2,FALSE))="JBL",(VLOOKUP(Table6[[#This Row],[SKU]],'All Skus'!$A:$AC,13,FALSE)),""))</f>
        <v>0</v>
      </c>
      <c r="L358" s="102">
        <f>(IF((VLOOKUP(Table6[[#This Row],[SKU]],'All Skus'!$A:$AC,2,FALSE))="JBL",(VLOOKUP(Table6[[#This Row],[SKU]],'All Skus'!$A:$AC,14,FALSE)),""))</f>
        <v>0</v>
      </c>
      <c r="M358" s="143">
        <f>(IF((VLOOKUP(Table6[[#This Row],[SKU]],'All Skus'!$A:$AC,2,FALSE))="JBL",(VLOOKUP(Table6[[#This Row],[SKU]],'All Skus'!$A:$AC,15,FALSE)),""))</f>
        <v>0</v>
      </c>
      <c r="N358" s="137">
        <f>(IF((VLOOKUP(Table6[[#This Row],[SKU]],'All Skus'!$A:$AC,2,FALSE))="JBL",(VLOOKUP(Table6[[#This Row],[SKU]],'All Skus'!$A:$AC,16,FALSE)),""))</f>
        <v>691991014314</v>
      </c>
      <c r="O358" s="61">
        <f>(IF((VLOOKUP(Table6[[#This Row],[SKU]],'All Skus'!$A:$AC,2,FALSE))="JBL",(VLOOKUP(Table6[[#This Row],[SKU]],'All Skus'!$A:$AC,17,FALSE)),""))</f>
        <v>0</v>
      </c>
      <c r="P358" s="136">
        <f>(IF((VLOOKUP(Table6[[#This Row],[SKU]],'All Skus'!$A:$AC,2,FALSE))="JBL",(VLOOKUP(Table6[[#This Row],[SKU]],'All Skus'!$A:$AC,18,FALSE)),""))</f>
        <v>81.45</v>
      </c>
      <c r="Q358" s="136">
        <f>(IF((VLOOKUP(Table6[[#This Row],[SKU]],'All Skus'!$A:$AC,2,FALSE))="JBL",(VLOOKUP(Table6[[#This Row],[SKU]],'All Skus'!$A:$AC,19,FALSE)),""))</f>
        <v>33</v>
      </c>
      <c r="R358" s="136">
        <f>(IF((VLOOKUP(Table6[[#This Row],[SKU]],'All Skus'!$A:$AC,2,FALSE))="JBL",(VLOOKUP(Table6[[#This Row],[SKU]],'All Skus'!$A:$AC,20,FALSE)),""))</f>
        <v>25</v>
      </c>
      <c r="S358" s="61">
        <f>(IF((VLOOKUP(Table6[[#This Row],[SKU]],'All Skus'!$A:$AC,2,FALSE))="JBL",(VLOOKUP(Table6[[#This Row],[SKU]],'All Skus'!$A:$AC,21,FALSE)),""))</f>
        <v>20</v>
      </c>
      <c r="T358" s="61" t="str">
        <f>(IF((VLOOKUP(Table6[[#This Row],[SKU]],'All Skus'!$A:$AC,2,FALSE))="JBL",(VLOOKUP(Table6[[#This Row],[SKU]],'All Skus'!$A:$AC,22,FALSE)),""))</f>
        <v>MX</v>
      </c>
      <c r="U358" t="str">
        <f>(IF((VLOOKUP(Table6[[#This Row],[SKU]],'All Skus'!$A:$AC,2,FALSE))="JBL",(VLOOKUP(Table6[[#This Row],[SKU]],'All Skus'!$A:$AC,23,FALSE)),""))</f>
        <v>Compliant</v>
      </c>
      <c r="V358" s="284" t="str">
        <f>HYPERLINK((IF((VLOOKUP(Table6[[#This Row],[SKU]],'All Skus'!$A:$AC,2,FALSE))="JBL",(VLOOKUP(Table6[[#This Row],[SKU]],'All Skus'!$A:$AC,24,FALSE)),"")))</f>
        <v/>
      </c>
      <c r="W358" s="151">
        <v>356</v>
      </c>
    </row>
    <row r="359" spans="1:23" ht="15" hidden="1" customHeight="1">
      <c r="A359" s="13" t="s">
        <v>1365</v>
      </c>
      <c r="B359" s="12" t="str">
        <f>(IF((VLOOKUP(Table6[[#This Row],[SKU]],'All Skus'!$A:$AC,2,FALSE))="JBL",(VLOOKUP(Table6[[#This Row],[SKU]],'All Skus'!$A:$AC,3,FALSE)),""))</f>
        <v>AE Series</v>
      </c>
      <c r="C359" s="12" t="str">
        <f>(IF((VLOOKUP(Table6[[#This Row],[SKU]],'All Skus'!$A:$AC,2,FALSE))="JBL",(VLOOKUP(Table6[[#This Row],[SKU]],'All Skus'!$A:$AC,4,FALSE)),""))</f>
        <v>AW566-LS</v>
      </c>
      <c r="D359" s="61" t="str">
        <f>(IF((VLOOKUP(Table6[[#This Row],[SKU]],'All Skus'!$A:$AC,2,FALSE))="JBL",(VLOOKUP(Table6[[#This Row],[SKU]],'All Skus'!$A:$AC,5,FALSE)),""))</f>
        <v>JBL052</v>
      </c>
      <c r="E359" s="137">
        <f>(IF((VLOOKUP(Table6[[#This Row],[SKU]],'All Skus'!$A:$AC,2,FALSE))="JBL",(VLOOKUP(Table6[[#This Row],[SKU]],'All Skus'!$A:$AC,6,FALSE)),""))</f>
        <v>0</v>
      </c>
      <c r="F359" s="61">
        <f>(IF((VLOOKUP(Table6[[#This Row],[SKU]],'All Skus'!$A:$AC,2,FALSE))="JBL",(VLOOKUP(Table6[[#This Row],[SKU]],'All Skus'!$A:$AC,7,FALSE)),""))</f>
        <v>0</v>
      </c>
      <c r="G359" t="str">
        <f>(IF((VLOOKUP(Table6[[#This Row],[SKU]],'All Skus'!$A:$AC,2,FALSE))="JBL",(VLOOKUP(Table6[[#This Row],[SKU]],'All Skus'!$A:$AC,8,FALSE)),""))</f>
        <v>15" 2-Way All Weather Loudspeaker with EN54-24 Certification.</v>
      </c>
      <c r="H359" s="8" t="str">
        <f>(IF((VLOOKUP(Table6[[#This Row],[SKU]],'All Skus'!$A:$AC,2,FALSE))="JBL",(VLOOKUP(Table6[[#This Row],[SKU]],'All Skus'!$A:$AC,9,FALSE)),""))</f>
        <v xml:space="preserve">15" 2-Way All Weather Loudspeaker with EN54-24 Certification. Priced as each. </v>
      </c>
      <c r="I359" s="101">
        <f>(IF((VLOOKUP(Table6[[#This Row],[SKU]],'All Skus'!$A:$AC,2,FALSE))="JBL",(VLOOKUP(Table6[[#This Row],[SKU]],'All Skus'!$A:$AC,10,FALSE)),""))</f>
        <v>5225.74</v>
      </c>
      <c r="J359" s="101">
        <f>(IF((VLOOKUP(Table6[[#This Row],[SKU]],'All Skus'!$A:$AC,2,FALSE))="JBL",(VLOOKUP(Table6[[#This Row],[SKU]],'All Skus'!$A:$AC,11,FALSE)),""))</f>
        <v>5225.74</v>
      </c>
      <c r="K359" s="102">
        <f>(IF((VLOOKUP(Table6[[#This Row],[SKU]],'All Skus'!$A:$AC,2,FALSE))="JBL",(VLOOKUP(Table6[[#This Row],[SKU]],'All Skus'!$A:$AC,13,FALSE)),""))</f>
        <v>0</v>
      </c>
      <c r="L359" s="102">
        <f>(IF((VLOOKUP(Table6[[#This Row],[SKU]],'All Skus'!$A:$AC,2,FALSE))="JBL",(VLOOKUP(Table6[[#This Row],[SKU]],'All Skus'!$A:$AC,14,FALSE)),""))</f>
        <v>0</v>
      </c>
      <c r="M359" s="143">
        <f>(IF((VLOOKUP(Table6[[#This Row],[SKU]],'All Skus'!$A:$AC,2,FALSE))="JBL",(VLOOKUP(Table6[[#This Row],[SKU]],'All Skus'!$A:$AC,15,FALSE)),""))</f>
        <v>0</v>
      </c>
      <c r="N359" s="137">
        <f>(IF((VLOOKUP(Table6[[#This Row],[SKU]],'All Skus'!$A:$AC,2,FALSE))="JBL",(VLOOKUP(Table6[[#This Row],[SKU]],'All Skus'!$A:$AC,16,FALSE)),""))</f>
        <v>691991014321</v>
      </c>
      <c r="O359" s="61">
        <f>(IF((VLOOKUP(Table6[[#This Row],[SKU]],'All Skus'!$A:$AC,2,FALSE))="JBL",(VLOOKUP(Table6[[#This Row],[SKU]],'All Skus'!$A:$AC,17,FALSE)),""))</f>
        <v>0</v>
      </c>
      <c r="P359" s="136">
        <f>(IF((VLOOKUP(Table6[[#This Row],[SKU]],'All Skus'!$A:$AC,2,FALSE))="JBL",(VLOOKUP(Table6[[#This Row],[SKU]],'All Skus'!$A:$AC,18,FALSE)),""))</f>
        <v>75</v>
      </c>
      <c r="Q359" s="136">
        <f>(IF((VLOOKUP(Table6[[#This Row],[SKU]],'All Skus'!$A:$AC,2,FALSE))="JBL",(VLOOKUP(Table6[[#This Row],[SKU]],'All Skus'!$A:$AC,19,FALSE)),""))</f>
        <v>36</v>
      </c>
      <c r="R359" s="136">
        <f>(IF((VLOOKUP(Table6[[#This Row],[SKU]],'All Skus'!$A:$AC,2,FALSE))="JBL",(VLOOKUP(Table6[[#This Row],[SKU]],'All Skus'!$A:$AC,20,FALSE)),""))</f>
        <v>23</v>
      </c>
      <c r="S359" s="61">
        <f>(IF((VLOOKUP(Table6[[#This Row],[SKU]],'All Skus'!$A:$AC,2,FALSE))="JBL",(VLOOKUP(Table6[[#This Row],[SKU]],'All Skus'!$A:$AC,21,FALSE)),""))</f>
        <v>21</v>
      </c>
      <c r="T359" s="61" t="str">
        <f>(IF((VLOOKUP(Table6[[#This Row],[SKU]],'All Skus'!$A:$AC,2,FALSE))="JBL",(VLOOKUP(Table6[[#This Row],[SKU]],'All Skus'!$A:$AC,22,FALSE)),""))</f>
        <v>MX</v>
      </c>
      <c r="U359" t="str">
        <f>(IF((VLOOKUP(Table6[[#This Row],[SKU]],'All Skus'!$A:$AC,2,FALSE))="JBL",(VLOOKUP(Table6[[#This Row],[SKU]],'All Skus'!$A:$AC,23,FALSE)),""))</f>
        <v>Compliant</v>
      </c>
      <c r="V359" s="284" t="str">
        <f>HYPERLINK((IF((VLOOKUP(Table6[[#This Row],[SKU]],'All Skus'!$A:$AC,2,FALSE))="JBL",(VLOOKUP(Table6[[#This Row],[SKU]],'All Skus'!$A:$AC,24,FALSE)),"")))</f>
        <v/>
      </c>
      <c r="W359" s="151">
        <v>357</v>
      </c>
    </row>
    <row r="360" spans="1:23" ht="15" hidden="1" customHeight="1">
      <c r="A360" s="13" t="s">
        <v>1366</v>
      </c>
      <c r="B360" s="12" t="str">
        <f>(IF((VLOOKUP(Table6[[#This Row],[SKU]],'All Skus'!$A:$AC,2,FALSE))="JBL",(VLOOKUP(Table6[[#This Row],[SKU]],'All Skus'!$A:$AC,3,FALSE)),""))</f>
        <v>AE Series</v>
      </c>
      <c r="C360" s="12" t="str">
        <f>(IF((VLOOKUP(Table6[[#This Row],[SKU]],'All Skus'!$A:$AC,2,FALSE))="JBL",(VLOOKUP(Table6[[#This Row],[SKU]],'All Skus'!$A:$AC,4,FALSE)),""))</f>
        <v>AW566-LS-BK</v>
      </c>
      <c r="D360" s="61">
        <f>(IF((VLOOKUP(Table6[[#This Row],[SKU]],'All Skus'!$A:$AC,2,FALSE))="JBL",(VLOOKUP(Table6[[#This Row],[SKU]],'All Skus'!$A:$AC,5,FALSE)),""))</f>
        <v>0</v>
      </c>
      <c r="E360" s="137">
        <f>(IF((VLOOKUP(Table6[[#This Row],[SKU]],'All Skus'!$A:$AC,2,FALSE))="JBL",(VLOOKUP(Table6[[#This Row],[SKU]],'All Skus'!$A:$AC,6,FALSE)),""))</f>
        <v>0</v>
      </c>
      <c r="F360" s="61">
        <f>(IF((VLOOKUP(Table6[[#This Row],[SKU]],'All Skus'!$A:$AC,2,FALSE))="JBL",(VLOOKUP(Table6[[#This Row],[SKU]],'All Skus'!$A:$AC,7,FALSE)),""))</f>
        <v>0</v>
      </c>
      <c r="G360" t="str">
        <f>(IF((VLOOKUP(Table6[[#This Row],[SKU]],'All Skus'!$A:$AC,2,FALSE))="JBL",(VLOOKUP(Table6[[#This Row],[SKU]],'All Skus'!$A:$AC,8,FALSE)),""))</f>
        <v>15" 2-Way All Weather Loudspeaker with EN54-24 Certification, black.</v>
      </c>
      <c r="H360" s="8" t="str">
        <f>(IF((VLOOKUP(Table6[[#This Row],[SKU]],'All Skus'!$A:$AC,2,FALSE))="JBL",(VLOOKUP(Table6[[#This Row],[SKU]],'All Skus'!$A:$AC,9,FALSE)),""))</f>
        <v xml:space="preserve">15" 2-Way All Weather Loudspeaker with EN54-24 Certification, black. Priced as each. </v>
      </c>
      <c r="I360" s="101">
        <f>(IF((VLOOKUP(Table6[[#This Row],[SKU]],'All Skus'!$A:$AC,2,FALSE))="JBL",(VLOOKUP(Table6[[#This Row],[SKU]],'All Skus'!$A:$AC,10,FALSE)),""))</f>
        <v>5225.74</v>
      </c>
      <c r="J360" s="101">
        <f>(IF((VLOOKUP(Table6[[#This Row],[SKU]],'All Skus'!$A:$AC,2,FALSE))="JBL",(VLOOKUP(Table6[[#This Row],[SKU]],'All Skus'!$A:$AC,11,FALSE)),""))</f>
        <v>5225.74</v>
      </c>
      <c r="K360" s="102">
        <f>(IF((VLOOKUP(Table6[[#This Row],[SKU]],'All Skus'!$A:$AC,2,FALSE))="JBL",(VLOOKUP(Table6[[#This Row],[SKU]],'All Skus'!$A:$AC,13,FALSE)),""))</f>
        <v>0</v>
      </c>
      <c r="L360" s="102">
        <f>(IF((VLOOKUP(Table6[[#This Row],[SKU]],'All Skus'!$A:$AC,2,FALSE))="JBL",(VLOOKUP(Table6[[#This Row],[SKU]],'All Skus'!$A:$AC,14,FALSE)),""))</f>
        <v>0</v>
      </c>
      <c r="M360" s="143">
        <f>(IF((VLOOKUP(Table6[[#This Row],[SKU]],'All Skus'!$A:$AC,2,FALSE))="JBL",(VLOOKUP(Table6[[#This Row],[SKU]],'All Skus'!$A:$AC,15,FALSE)),""))</f>
        <v>0</v>
      </c>
      <c r="N360" s="137">
        <f>(IF((VLOOKUP(Table6[[#This Row],[SKU]],'All Skus'!$A:$AC,2,FALSE))="JBL",(VLOOKUP(Table6[[#This Row],[SKU]],'All Skus'!$A:$AC,16,FALSE)),""))</f>
        <v>691991014338</v>
      </c>
      <c r="O360" s="61">
        <f>(IF((VLOOKUP(Table6[[#This Row],[SKU]],'All Skus'!$A:$AC,2,FALSE))="JBL",(VLOOKUP(Table6[[#This Row],[SKU]],'All Skus'!$A:$AC,17,FALSE)),""))</f>
        <v>0</v>
      </c>
      <c r="P360" s="136">
        <f>(IF((VLOOKUP(Table6[[#This Row],[SKU]],'All Skus'!$A:$AC,2,FALSE))="JBL",(VLOOKUP(Table6[[#This Row],[SKU]],'All Skus'!$A:$AC,18,FALSE)),""))</f>
        <v>0</v>
      </c>
      <c r="Q360" s="136">
        <f>(IF((VLOOKUP(Table6[[#This Row],[SKU]],'All Skus'!$A:$AC,2,FALSE))="JBL",(VLOOKUP(Table6[[#This Row],[SKU]],'All Skus'!$A:$AC,19,FALSE)),""))</f>
        <v>0</v>
      </c>
      <c r="R360" s="136">
        <f>(IF((VLOOKUP(Table6[[#This Row],[SKU]],'All Skus'!$A:$AC,2,FALSE))="JBL",(VLOOKUP(Table6[[#This Row],[SKU]],'All Skus'!$A:$AC,20,FALSE)),""))</f>
        <v>0</v>
      </c>
      <c r="S360" s="61">
        <f>(IF((VLOOKUP(Table6[[#This Row],[SKU]],'All Skus'!$A:$AC,2,FALSE))="JBL",(VLOOKUP(Table6[[#This Row],[SKU]],'All Skus'!$A:$AC,21,FALSE)),""))</f>
        <v>0</v>
      </c>
      <c r="T360" s="61" t="str">
        <f>(IF((VLOOKUP(Table6[[#This Row],[SKU]],'All Skus'!$A:$AC,2,FALSE))="JBL",(VLOOKUP(Table6[[#This Row],[SKU]],'All Skus'!$A:$AC,22,FALSE)),""))</f>
        <v>MX</v>
      </c>
      <c r="U360" t="str">
        <f>(IF((VLOOKUP(Table6[[#This Row],[SKU]],'All Skus'!$A:$AC,2,FALSE))="JBL",(VLOOKUP(Table6[[#This Row],[SKU]],'All Skus'!$A:$AC,23,FALSE)),""))</f>
        <v>Compliant</v>
      </c>
      <c r="V360" s="284" t="str">
        <f>HYPERLINK((IF((VLOOKUP(Table6[[#This Row],[SKU]],'All Skus'!$A:$AC,2,FALSE))="JBL",(VLOOKUP(Table6[[#This Row],[SKU]],'All Skus'!$A:$AC,24,FALSE)),"")))</f>
        <v/>
      </c>
      <c r="W360" s="151">
        <v>358</v>
      </c>
    </row>
    <row r="361" spans="1:23" ht="15" hidden="1" customHeight="1">
      <c r="A361" s="13" t="s">
        <v>1367</v>
      </c>
      <c r="B361" s="12" t="str">
        <f>(IF((VLOOKUP(Table6[[#This Row],[SKU]],'All Skus'!$A:$AC,2,FALSE))="JBL",(VLOOKUP(Table6[[#This Row],[SKU]],'All Skus'!$A:$AC,3,FALSE)),""))</f>
        <v>AE Series</v>
      </c>
      <c r="C361" s="12" t="str">
        <f>(IF((VLOOKUP(Table6[[#This Row],[SKU]],'All Skus'!$A:$AC,2,FALSE))="JBL",(VLOOKUP(Table6[[#This Row],[SKU]],'All Skus'!$A:$AC,4,FALSE)),""))</f>
        <v>AW595</v>
      </c>
      <c r="D361" s="61" t="str">
        <f>(IF((VLOOKUP(Table6[[#This Row],[SKU]],'All Skus'!$A:$AC,2,FALSE))="JBL",(VLOOKUP(Table6[[#This Row],[SKU]],'All Skus'!$A:$AC,5,FALSE)),""))</f>
        <v>JBL052</v>
      </c>
      <c r="E361" s="137">
        <f>(IF((VLOOKUP(Table6[[#This Row],[SKU]],'All Skus'!$A:$AC,2,FALSE))="JBL",(VLOOKUP(Table6[[#This Row],[SKU]],'All Skus'!$A:$AC,6,FALSE)),""))</f>
        <v>0</v>
      </c>
      <c r="F361" s="61">
        <f>(IF((VLOOKUP(Table6[[#This Row],[SKU]],'All Skus'!$A:$AC,2,FALSE))="JBL",(VLOOKUP(Table6[[#This Row],[SKU]],'All Skus'!$A:$AC,7,FALSE)),""))</f>
        <v>0</v>
      </c>
      <c r="G361" t="str">
        <f>(IF((VLOOKUP(Table6[[#This Row],[SKU]],'All Skus'!$A:$AC,2,FALSE))="JBL",(VLOOKUP(Table6[[#This Row],[SKU]],'All Skus'!$A:$AC,8,FALSE)),""))</f>
        <v>High Output 15" 2-way Full-Range Loudspeaker-GRAY</v>
      </c>
      <c r="H361" s="8" t="str">
        <f>(IF((VLOOKUP(Table6[[#This Row],[SKU]],'All Skus'!$A:$AC,2,FALSE))="JBL",(VLOOKUP(Table6[[#This Row],[SKU]],'All Skus'!$A:$AC,9,FALSE)),""))</f>
        <v xml:space="preserve">High Output 15" 2-way Full-Range 90 x 50 Loudspeaker-GRAY.  Priced as each. </v>
      </c>
      <c r="I361" s="101">
        <f>(IF((VLOOKUP(Table6[[#This Row],[SKU]],'All Skus'!$A:$AC,2,FALSE))="JBL",(VLOOKUP(Table6[[#This Row],[SKU]],'All Skus'!$A:$AC,10,FALSE)),""))</f>
        <v>5225.74</v>
      </c>
      <c r="J361" s="101">
        <f>(IF((VLOOKUP(Table6[[#This Row],[SKU]],'All Skus'!$A:$AC,2,FALSE))="JBL",(VLOOKUP(Table6[[#This Row],[SKU]],'All Skus'!$A:$AC,11,FALSE)),""))</f>
        <v>5225.74</v>
      </c>
      <c r="K361" s="102">
        <f>(IF((VLOOKUP(Table6[[#This Row],[SKU]],'All Skus'!$A:$AC,2,FALSE))="JBL",(VLOOKUP(Table6[[#This Row],[SKU]],'All Skus'!$A:$AC,13,FALSE)),""))</f>
        <v>0</v>
      </c>
      <c r="L361" s="102">
        <f>(IF((VLOOKUP(Table6[[#This Row],[SKU]],'All Skus'!$A:$AC,2,FALSE))="JBL",(VLOOKUP(Table6[[#This Row],[SKU]],'All Skus'!$A:$AC,14,FALSE)),""))</f>
        <v>0</v>
      </c>
      <c r="M361" s="143">
        <f>(IF((VLOOKUP(Table6[[#This Row],[SKU]],'All Skus'!$A:$AC,2,FALSE))="JBL",(VLOOKUP(Table6[[#This Row],[SKU]],'All Skus'!$A:$AC,15,FALSE)),""))</f>
        <v>0</v>
      </c>
      <c r="N361" s="137">
        <f>(IF((VLOOKUP(Table6[[#This Row],[SKU]],'All Skus'!$A:$AC,2,FALSE))="JBL",(VLOOKUP(Table6[[#This Row],[SKU]],'All Skus'!$A:$AC,16,FALSE)),""))</f>
        <v>691991014345</v>
      </c>
      <c r="O361" s="61">
        <f>(IF((VLOOKUP(Table6[[#This Row],[SKU]],'All Skus'!$A:$AC,2,FALSE))="JBL",(VLOOKUP(Table6[[#This Row],[SKU]],'All Skus'!$A:$AC,17,FALSE)),""))</f>
        <v>0</v>
      </c>
      <c r="P361" s="136">
        <f>(IF((VLOOKUP(Table6[[#This Row],[SKU]],'All Skus'!$A:$AC,2,FALSE))="JBL",(VLOOKUP(Table6[[#This Row],[SKU]],'All Skus'!$A:$AC,18,FALSE)),""))</f>
        <v>82</v>
      </c>
      <c r="Q361" s="136">
        <f>(IF((VLOOKUP(Table6[[#This Row],[SKU]],'All Skus'!$A:$AC,2,FALSE))="JBL",(VLOOKUP(Table6[[#This Row],[SKU]],'All Skus'!$A:$AC,19,FALSE)),""))</f>
        <v>23</v>
      </c>
      <c r="R361" s="136">
        <f>(IF((VLOOKUP(Table6[[#This Row],[SKU]],'All Skus'!$A:$AC,2,FALSE))="JBL",(VLOOKUP(Table6[[#This Row],[SKU]],'All Skus'!$A:$AC,20,FALSE)),""))</f>
        <v>26</v>
      </c>
      <c r="S361" s="61">
        <f>(IF((VLOOKUP(Table6[[#This Row],[SKU]],'All Skus'!$A:$AC,2,FALSE))="JBL",(VLOOKUP(Table6[[#This Row],[SKU]],'All Skus'!$A:$AC,21,FALSE)),""))</f>
        <v>21</v>
      </c>
      <c r="T361" s="61" t="str">
        <f>(IF((VLOOKUP(Table6[[#This Row],[SKU]],'All Skus'!$A:$AC,2,FALSE))="JBL",(VLOOKUP(Table6[[#This Row],[SKU]],'All Skus'!$A:$AC,22,FALSE)),""))</f>
        <v>MX</v>
      </c>
      <c r="U361" t="str">
        <f>(IF((VLOOKUP(Table6[[#This Row],[SKU]],'All Skus'!$A:$AC,2,FALSE))="JBL",(VLOOKUP(Table6[[#This Row],[SKU]],'All Skus'!$A:$AC,23,FALSE)),""))</f>
        <v>Compliant</v>
      </c>
      <c r="V361" s="284" t="str">
        <f>HYPERLINK((IF((VLOOKUP(Table6[[#This Row],[SKU]],'All Skus'!$A:$AC,2,FALSE))="JBL",(VLOOKUP(Table6[[#This Row],[SKU]],'All Skus'!$A:$AC,24,FALSE)),"")))</f>
        <v/>
      </c>
      <c r="W361" s="151">
        <v>359</v>
      </c>
    </row>
    <row r="362" spans="1:23" ht="15" hidden="1" customHeight="1">
      <c r="A362" s="13" t="s">
        <v>1368</v>
      </c>
      <c r="B362" s="12" t="str">
        <f>(IF((VLOOKUP(Table6[[#This Row],[SKU]],'All Skus'!$A:$AC,2,FALSE))="JBL",(VLOOKUP(Table6[[#This Row],[SKU]],'All Skus'!$A:$AC,3,FALSE)),""))</f>
        <v>AE Series</v>
      </c>
      <c r="C362" s="12" t="str">
        <f>(IF((VLOOKUP(Table6[[#This Row],[SKU]],'All Skus'!$A:$AC,2,FALSE))="JBL",(VLOOKUP(Table6[[#This Row],[SKU]],'All Skus'!$A:$AC,4,FALSE)),""))</f>
        <v>AW595-BK</v>
      </c>
      <c r="D362" s="61" t="str">
        <f>(IF((VLOOKUP(Table6[[#This Row],[SKU]],'All Skus'!$A:$AC,2,FALSE))="JBL",(VLOOKUP(Table6[[#This Row],[SKU]],'All Skus'!$A:$AC,5,FALSE)),""))</f>
        <v>JBL052</v>
      </c>
      <c r="E362" s="137">
        <f>(IF((VLOOKUP(Table6[[#This Row],[SKU]],'All Skus'!$A:$AC,2,FALSE))="JBL",(VLOOKUP(Table6[[#This Row],[SKU]],'All Skus'!$A:$AC,6,FALSE)),""))</f>
        <v>0</v>
      </c>
      <c r="F362" s="61">
        <f>(IF((VLOOKUP(Table6[[#This Row],[SKU]],'All Skus'!$A:$AC,2,FALSE))="JBL",(VLOOKUP(Table6[[#This Row],[SKU]],'All Skus'!$A:$AC,7,FALSE)),""))</f>
        <v>0</v>
      </c>
      <c r="G362" t="str">
        <f>(IF((VLOOKUP(Table6[[#This Row],[SKU]],'All Skus'!$A:$AC,2,FALSE))="JBL",(VLOOKUP(Table6[[#This Row],[SKU]],'All Skus'!$A:$AC,8,FALSE)),""))</f>
        <v>High Output 15" 2-way Full-Range Loudspeaker-BLACK</v>
      </c>
      <c r="H362" s="8" t="str">
        <f>(IF((VLOOKUP(Table6[[#This Row],[SKU]],'All Skus'!$A:$AC,2,FALSE))="JBL",(VLOOKUP(Table6[[#This Row],[SKU]],'All Skus'!$A:$AC,9,FALSE)),""))</f>
        <v xml:space="preserve">High Output 15" 2-way Full-Range 90 x 50 Loudspeaker-BLACK.  Priced as each. </v>
      </c>
      <c r="I362" s="101">
        <f>(IF((VLOOKUP(Table6[[#This Row],[SKU]],'All Skus'!$A:$AC,2,FALSE))="JBL",(VLOOKUP(Table6[[#This Row],[SKU]],'All Skus'!$A:$AC,10,FALSE)),""))</f>
        <v>5225.74</v>
      </c>
      <c r="J362" s="101">
        <f>(IF((VLOOKUP(Table6[[#This Row],[SKU]],'All Skus'!$A:$AC,2,FALSE))="JBL",(VLOOKUP(Table6[[#This Row],[SKU]],'All Skus'!$A:$AC,11,FALSE)),""))</f>
        <v>5225.74</v>
      </c>
      <c r="K362" s="102">
        <f>(IF((VLOOKUP(Table6[[#This Row],[SKU]],'All Skus'!$A:$AC,2,FALSE))="JBL",(VLOOKUP(Table6[[#This Row],[SKU]],'All Skus'!$A:$AC,13,FALSE)),""))</f>
        <v>0</v>
      </c>
      <c r="L362" s="102">
        <f>(IF((VLOOKUP(Table6[[#This Row],[SKU]],'All Skus'!$A:$AC,2,FALSE))="JBL",(VLOOKUP(Table6[[#This Row],[SKU]],'All Skus'!$A:$AC,14,FALSE)),""))</f>
        <v>0</v>
      </c>
      <c r="M362" s="143">
        <f>(IF((VLOOKUP(Table6[[#This Row],[SKU]],'All Skus'!$A:$AC,2,FALSE))="JBL",(VLOOKUP(Table6[[#This Row],[SKU]],'All Skus'!$A:$AC,15,FALSE)),""))</f>
        <v>0</v>
      </c>
      <c r="N362" s="137">
        <f>(IF((VLOOKUP(Table6[[#This Row],[SKU]],'All Skus'!$A:$AC,2,FALSE))="JBL",(VLOOKUP(Table6[[#This Row],[SKU]],'All Skus'!$A:$AC,16,FALSE)),""))</f>
        <v>691991014352</v>
      </c>
      <c r="O362" s="61">
        <f>(IF((VLOOKUP(Table6[[#This Row],[SKU]],'All Skus'!$A:$AC,2,FALSE))="JBL",(VLOOKUP(Table6[[#This Row],[SKU]],'All Skus'!$A:$AC,17,FALSE)),""))</f>
        <v>0</v>
      </c>
      <c r="P362" s="136">
        <f>(IF((VLOOKUP(Table6[[#This Row],[SKU]],'All Skus'!$A:$AC,2,FALSE))="JBL",(VLOOKUP(Table6[[#This Row],[SKU]],'All Skus'!$A:$AC,18,FALSE)),""))</f>
        <v>71.2</v>
      </c>
      <c r="Q362" s="136">
        <f>(IF((VLOOKUP(Table6[[#This Row],[SKU]],'All Skus'!$A:$AC,2,FALSE))="JBL",(VLOOKUP(Table6[[#This Row],[SKU]],'All Skus'!$A:$AC,19,FALSE)),""))</f>
        <v>32</v>
      </c>
      <c r="R362" s="136">
        <f>(IF((VLOOKUP(Table6[[#This Row],[SKU]],'All Skus'!$A:$AC,2,FALSE))="JBL",(VLOOKUP(Table6[[#This Row],[SKU]],'All Skus'!$A:$AC,20,FALSE)),""))</f>
        <v>20</v>
      </c>
      <c r="S362" s="61">
        <f>(IF((VLOOKUP(Table6[[#This Row],[SKU]],'All Skus'!$A:$AC,2,FALSE))="JBL",(VLOOKUP(Table6[[#This Row],[SKU]],'All Skus'!$A:$AC,21,FALSE)),""))</f>
        <v>19</v>
      </c>
      <c r="T362" s="61" t="str">
        <f>(IF((VLOOKUP(Table6[[#This Row],[SKU]],'All Skus'!$A:$AC,2,FALSE))="JBL",(VLOOKUP(Table6[[#This Row],[SKU]],'All Skus'!$A:$AC,22,FALSE)),""))</f>
        <v>MX</v>
      </c>
      <c r="U362" t="str">
        <f>(IF((VLOOKUP(Table6[[#This Row],[SKU]],'All Skus'!$A:$AC,2,FALSE))="JBL",(VLOOKUP(Table6[[#This Row],[SKU]],'All Skus'!$A:$AC,23,FALSE)),""))</f>
        <v>Compliant</v>
      </c>
      <c r="V362" s="284" t="str">
        <f>HYPERLINK((IF((VLOOKUP(Table6[[#This Row],[SKU]],'All Skus'!$A:$AC,2,FALSE))="JBL",(VLOOKUP(Table6[[#This Row],[SKU]],'All Skus'!$A:$AC,24,FALSE)),"")))</f>
        <v/>
      </c>
      <c r="W362" s="151">
        <v>360</v>
      </c>
    </row>
    <row r="363" spans="1:23" ht="15" hidden="1" customHeight="1">
      <c r="A363" s="13" t="s">
        <v>1369</v>
      </c>
      <c r="B363" s="12" t="str">
        <f>(IF((VLOOKUP(Table6[[#This Row],[SKU]],'All Skus'!$A:$AC,2,FALSE))="JBL",(VLOOKUP(Table6[[#This Row],[SKU]],'All Skus'!$A:$AC,3,FALSE)),""))</f>
        <v>AE Series</v>
      </c>
      <c r="C363" s="12" t="str">
        <f>(IF((VLOOKUP(Table6[[#This Row],[SKU]],'All Skus'!$A:$AC,2,FALSE))="JBL",(VLOOKUP(Table6[[#This Row],[SKU]],'All Skus'!$A:$AC,4,FALSE)),""))</f>
        <v>AW595-LS</v>
      </c>
      <c r="D363" s="61" t="str">
        <f>(IF((VLOOKUP(Table6[[#This Row],[SKU]],'All Skus'!$A:$AC,2,FALSE))="JBL",(VLOOKUP(Table6[[#This Row],[SKU]],'All Skus'!$A:$AC,5,FALSE)),""))</f>
        <v>JBL052</v>
      </c>
      <c r="E363" s="137">
        <f>(IF((VLOOKUP(Table6[[#This Row],[SKU]],'All Skus'!$A:$AC,2,FALSE))="JBL",(VLOOKUP(Table6[[#This Row],[SKU]],'All Skus'!$A:$AC,6,FALSE)),""))</f>
        <v>0</v>
      </c>
      <c r="F363" s="61">
        <f>(IF((VLOOKUP(Table6[[#This Row],[SKU]],'All Skus'!$A:$AC,2,FALSE))="JBL",(VLOOKUP(Table6[[#This Row],[SKU]],'All Skus'!$A:$AC,7,FALSE)),""))</f>
        <v>0</v>
      </c>
      <c r="G363" t="str">
        <f>(IF((VLOOKUP(Table6[[#This Row],[SKU]],'All Skus'!$A:$AC,2,FALSE))="JBL",(VLOOKUP(Table6[[#This Row],[SKU]],'All Skus'!$A:$AC,8,FALSE)),""))</f>
        <v>15" 2-Way All Weather Loudspeaker with EN54-24 Certification.</v>
      </c>
      <c r="H363" s="8" t="str">
        <f>(IF((VLOOKUP(Table6[[#This Row],[SKU]],'All Skus'!$A:$AC,2,FALSE))="JBL",(VLOOKUP(Table6[[#This Row],[SKU]],'All Skus'!$A:$AC,9,FALSE)),""))</f>
        <v xml:space="preserve">15" 2-Way All Weather Loudspeaker with EN54-24 Certification. Priced as each. </v>
      </c>
      <c r="I363" s="101">
        <f>(IF((VLOOKUP(Table6[[#This Row],[SKU]],'All Skus'!$A:$AC,2,FALSE))="JBL",(VLOOKUP(Table6[[#This Row],[SKU]],'All Skus'!$A:$AC,10,FALSE)),""))</f>
        <v>5225.74</v>
      </c>
      <c r="J363" s="101">
        <f>(IF((VLOOKUP(Table6[[#This Row],[SKU]],'All Skus'!$A:$AC,2,FALSE))="JBL",(VLOOKUP(Table6[[#This Row],[SKU]],'All Skus'!$A:$AC,11,FALSE)),""))</f>
        <v>5225.74</v>
      </c>
      <c r="K363" s="102">
        <f>(IF((VLOOKUP(Table6[[#This Row],[SKU]],'All Skus'!$A:$AC,2,FALSE))="JBL",(VLOOKUP(Table6[[#This Row],[SKU]],'All Skus'!$A:$AC,13,FALSE)),""))</f>
        <v>0</v>
      </c>
      <c r="L363" s="102">
        <f>(IF((VLOOKUP(Table6[[#This Row],[SKU]],'All Skus'!$A:$AC,2,FALSE))="JBL",(VLOOKUP(Table6[[#This Row],[SKU]],'All Skus'!$A:$AC,14,FALSE)),""))</f>
        <v>0</v>
      </c>
      <c r="M363" s="143">
        <f>(IF((VLOOKUP(Table6[[#This Row],[SKU]],'All Skus'!$A:$AC,2,FALSE))="JBL",(VLOOKUP(Table6[[#This Row],[SKU]],'All Skus'!$A:$AC,15,FALSE)),""))</f>
        <v>0</v>
      </c>
      <c r="N363" s="137">
        <f>(IF((VLOOKUP(Table6[[#This Row],[SKU]],'All Skus'!$A:$AC,2,FALSE))="JBL",(VLOOKUP(Table6[[#This Row],[SKU]],'All Skus'!$A:$AC,16,FALSE)),""))</f>
        <v>691991014369</v>
      </c>
      <c r="O363" s="61">
        <f>(IF((VLOOKUP(Table6[[#This Row],[SKU]],'All Skus'!$A:$AC,2,FALSE))="JBL",(VLOOKUP(Table6[[#This Row],[SKU]],'All Skus'!$A:$AC,17,FALSE)),""))</f>
        <v>0</v>
      </c>
      <c r="P363" s="136">
        <f>(IF((VLOOKUP(Table6[[#This Row],[SKU]],'All Skus'!$A:$AC,2,FALSE))="JBL",(VLOOKUP(Table6[[#This Row],[SKU]],'All Skus'!$A:$AC,18,FALSE)),""))</f>
        <v>81.25</v>
      </c>
      <c r="Q363" s="136">
        <f>(IF((VLOOKUP(Table6[[#This Row],[SKU]],'All Skus'!$A:$AC,2,FALSE))="JBL",(VLOOKUP(Table6[[#This Row],[SKU]],'All Skus'!$A:$AC,19,FALSE)),""))</f>
        <v>35</v>
      </c>
      <c r="R363" s="136">
        <f>(IF((VLOOKUP(Table6[[#This Row],[SKU]],'All Skus'!$A:$AC,2,FALSE))="JBL",(VLOOKUP(Table6[[#This Row],[SKU]],'All Skus'!$A:$AC,20,FALSE)),""))</f>
        <v>23</v>
      </c>
      <c r="S363" s="61">
        <f>(IF((VLOOKUP(Table6[[#This Row],[SKU]],'All Skus'!$A:$AC,2,FALSE))="JBL",(VLOOKUP(Table6[[#This Row],[SKU]],'All Skus'!$A:$AC,21,FALSE)),""))</f>
        <v>20</v>
      </c>
      <c r="T363" s="61" t="str">
        <f>(IF((VLOOKUP(Table6[[#This Row],[SKU]],'All Skus'!$A:$AC,2,FALSE))="JBL",(VLOOKUP(Table6[[#This Row],[SKU]],'All Skus'!$A:$AC,22,FALSE)),""))</f>
        <v>MX</v>
      </c>
      <c r="U363" t="str">
        <f>(IF((VLOOKUP(Table6[[#This Row],[SKU]],'All Skus'!$A:$AC,2,FALSE))="JBL",(VLOOKUP(Table6[[#This Row],[SKU]],'All Skus'!$A:$AC,23,FALSE)),""))</f>
        <v>Compliant</v>
      </c>
      <c r="V363" s="284" t="str">
        <f>HYPERLINK((IF((VLOOKUP(Table6[[#This Row],[SKU]],'All Skus'!$A:$AC,2,FALSE))="JBL",(VLOOKUP(Table6[[#This Row],[SKU]],'All Skus'!$A:$AC,24,FALSE)),"")))</f>
        <v/>
      </c>
      <c r="W363" s="151">
        <v>361</v>
      </c>
    </row>
    <row r="364" spans="1:23" ht="15" hidden="1" customHeight="1">
      <c r="A364" s="13" t="s">
        <v>1370</v>
      </c>
      <c r="B364" s="12" t="str">
        <f>(IF((VLOOKUP(Table6[[#This Row],[SKU]],'All Skus'!$A:$AC,2,FALSE))="JBL",(VLOOKUP(Table6[[#This Row],[SKU]],'All Skus'!$A:$AC,3,FALSE)),""))</f>
        <v>AE Series</v>
      </c>
      <c r="C364" s="12" t="str">
        <f>(IF((VLOOKUP(Table6[[#This Row],[SKU]],'All Skus'!$A:$AC,2,FALSE))="JBL",(VLOOKUP(Table6[[#This Row],[SKU]],'All Skus'!$A:$AC,4,FALSE)),""))</f>
        <v>AW595-LS-BK</v>
      </c>
      <c r="D364" s="61" t="str">
        <f>(IF((VLOOKUP(Table6[[#This Row],[SKU]],'All Skus'!$A:$AC,2,FALSE))="JBL",(VLOOKUP(Table6[[#This Row],[SKU]],'All Skus'!$A:$AC,5,FALSE)),""))</f>
        <v>JBL052</v>
      </c>
      <c r="E364" s="137">
        <f>(IF((VLOOKUP(Table6[[#This Row],[SKU]],'All Skus'!$A:$AC,2,FALSE))="JBL",(VLOOKUP(Table6[[#This Row],[SKU]],'All Skus'!$A:$AC,6,FALSE)),""))</f>
        <v>0</v>
      </c>
      <c r="F364" s="61">
        <f>(IF((VLOOKUP(Table6[[#This Row],[SKU]],'All Skus'!$A:$AC,2,FALSE))="JBL",(VLOOKUP(Table6[[#This Row],[SKU]],'All Skus'!$A:$AC,7,FALSE)),""))</f>
        <v>0</v>
      </c>
      <c r="G364" t="str">
        <f>(IF((VLOOKUP(Table6[[#This Row],[SKU]],'All Skus'!$A:$AC,2,FALSE))="JBL",(VLOOKUP(Table6[[#This Row],[SKU]],'All Skus'!$A:$AC,8,FALSE)),""))</f>
        <v>15" 2-Way All Weather Loudspeaker with EN54-24 Certification, black.</v>
      </c>
      <c r="H364" s="8" t="str">
        <f>(IF((VLOOKUP(Table6[[#This Row],[SKU]],'All Skus'!$A:$AC,2,FALSE))="JBL",(VLOOKUP(Table6[[#This Row],[SKU]],'All Skus'!$A:$AC,9,FALSE)),""))</f>
        <v xml:space="preserve">15" 2-Way All Weather Loudspeaker with EN54-24 Certification, black. Priced as each. </v>
      </c>
      <c r="I364" s="101">
        <f>(IF((VLOOKUP(Table6[[#This Row],[SKU]],'All Skus'!$A:$AC,2,FALSE))="JBL",(VLOOKUP(Table6[[#This Row],[SKU]],'All Skus'!$A:$AC,10,FALSE)),""))</f>
        <v>5225.74</v>
      </c>
      <c r="J364" s="101">
        <f>(IF((VLOOKUP(Table6[[#This Row],[SKU]],'All Skus'!$A:$AC,2,FALSE))="JBL",(VLOOKUP(Table6[[#This Row],[SKU]],'All Skus'!$A:$AC,11,FALSE)),""))</f>
        <v>5225.74</v>
      </c>
      <c r="K364" s="102">
        <f>(IF((VLOOKUP(Table6[[#This Row],[SKU]],'All Skus'!$A:$AC,2,FALSE))="JBL",(VLOOKUP(Table6[[#This Row],[SKU]],'All Skus'!$A:$AC,13,FALSE)),""))</f>
        <v>0</v>
      </c>
      <c r="L364" s="102">
        <f>(IF((VLOOKUP(Table6[[#This Row],[SKU]],'All Skus'!$A:$AC,2,FALSE))="JBL",(VLOOKUP(Table6[[#This Row],[SKU]],'All Skus'!$A:$AC,14,FALSE)),""))</f>
        <v>0</v>
      </c>
      <c r="M364" s="143">
        <f>(IF((VLOOKUP(Table6[[#This Row],[SKU]],'All Skus'!$A:$AC,2,FALSE))="JBL",(VLOOKUP(Table6[[#This Row],[SKU]],'All Skus'!$A:$AC,15,FALSE)),""))</f>
        <v>0</v>
      </c>
      <c r="N364" s="137">
        <f>(IF((VLOOKUP(Table6[[#This Row],[SKU]],'All Skus'!$A:$AC,2,FALSE))="JBL",(VLOOKUP(Table6[[#This Row],[SKU]],'All Skus'!$A:$AC,16,FALSE)),""))</f>
        <v>691991014376</v>
      </c>
      <c r="O364" s="61">
        <f>(IF((VLOOKUP(Table6[[#This Row],[SKU]],'All Skus'!$A:$AC,2,FALSE))="JBL",(VLOOKUP(Table6[[#This Row],[SKU]],'All Skus'!$A:$AC,17,FALSE)),""))</f>
        <v>0</v>
      </c>
      <c r="P364" s="136">
        <f>(IF((VLOOKUP(Table6[[#This Row],[SKU]],'All Skus'!$A:$AC,2,FALSE))="JBL",(VLOOKUP(Table6[[#This Row],[SKU]],'All Skus'!$A:$AC,18,FALSE)),""))</f>
        <v>55</v>
      </c>
      <c r="Q364" s="136">
        <f>(IF((VLOOKUP(Table6[[#This Row],[SKU]],'All Skus'!$A:$AC,2,FALSE))="JBL",(VLOOKUP(Table6[[#This Row],[SKU]],'All Skus'!$A:$AC,19,FALSE)),""))</f>
        <v>23</v>
      </c>
      <c r="R364" s="136">
        <f>(IF((VLOOKUP(Table6[[#This Row],[SKU]],'All Skus'!$A:$AC,2,FALSE))="JBL",(VLOOKUP(Table6[[#This Row],[SKU]],'All Skus'!$A:$AC,20,FALSE)),""))</f>
        <v>35</v>
      </c>
      <c r="S364" s="61">
        <f>(IF((VLOOKUP(Table6[[#This Row],[SKU]],'All Skus'!$A:$AC,2,FALSE))="JBL",(VLOOKUP(Table6[[#This Row],[SKU]],'All Skus'!$A:$AC,21,FALSE)),""))</f>
        <v>20</v>
      </c>
      <c r="T364" s="61" t="str">
        <f>(IF((VLOOKUP(Table6[[#This Row],[SKU]],'All Skus'!$A:$AC,2,FALSE))="JBL",(VLOOKUP(Table6[[#This Row],[SKU]],'All Skus'!$A:$AC,22,FALSE)),""))</f>
        <v>MX</v>
      </c>
      <c r="U364">
        <f>(IF((VLOOKUP(Table6[[#This Row],[SKU]],'All Skus'!$A:$AC,2,FALSE))="JBL",(VLOOKUP(Table6[[#This Row],[SKU]],'All Skus'!$A:$AC,23,FALSE)),""))</f>
        <v>0</v>
      </c>
      <c r="V364" s="284" t="str">
        <f>HYPERLINK((IF((VLOOKUP(Table6[[#This Row],[SKU]],'All Skus'!$A:$AC,2,FALSE))="JBL",(VLOOKUP(Table6[[#This Row],[SKU]],'All Skus'!$A:$AC,24,FALSE)),"")))</f>
        <v/>
      </c>
      <c r="W364" s="151">
        <v>362</v>
      </c>
    </row>
    <row r="365" spans="1:23" ht="15" hidden="1" customHeight="1">
      <c r="A365" s="104" t="s">
        <v>1371</v>
      </c>
      <c r="B365" s="12">
        <f>(IF((VLOOKUP(Table6[[#This Row],[SKU]],'All Skus'!$A:$AC,2,FALSE))="JBL",(VLOOKUP(Table6[[#This Row],[SKU]],'All Skus'!$A:$AC,3,FALSE)),""))</f>
        <v>0</v>
      </c>
      <c r="C365" s="12">
        <f>(IF((VLOOKUP(Table6[[#This Row],[SKU]],'All Skus'!$A:$AC,2,FALSE))="JBL",(VLOOKUP(Table6[[#This Row],[SKU]],'All Skus'!$A:$AC,4,FALSE)),""))</f>
        <v>0</v>
      </c>
      <c r="D365" s="61">
        <f>(IF((VLOOKUP(Table6[[#This Row],[SKU]],'All Skus'!$A:$AC,2,FALSE))="JBL",(VLOOKUP(Table6[[#This Row],[SKU]],'All Skus'!$A:$AC,5,FALSE)),""))</f>
        <v>0</v>
      </c>
      <c r="E365" s="137">
        <f>(IF((VLOOKUP(Table6[[#This Row],[SKU]],'All Skus'!$A:$AC,2,FALSE))="JBL",(VLOOKUP(Table6[[#This Row],[SKU]],'All Skus'!$A:$AC,6,FALSE)),""))</f>
        <v>0</v>
      </c>
      <c r="F365" s="61">
        <f>(IF((VLOOKUP(Table6[[#This Row],[SKU]],'All Skus'!$A:$AC,2,FALSE))="JBL",(VLOOKUP(Table6[[#This Row],[SKU]],'All Skus'!$A:$AC,7,FALSE)),""))</f>
        <v>0</v>
      </c>
      <c r="G365">
        <f>(IF((VLOOKUP(Table6[[#This Row],[SKU]],'All Skus'!$A:$AC,2,FALSE))="JBL",(VLOOKUP(Table6[[#This Row],[SKU]],'All Skus'!$A:$AC,8,FALSE)),""))</f>
        <v>0</v>
      </c>
      <c r="H365" s="8">
        <f>(IF((VLOOKUP(Table6[[#This Row],[SKU]],'All Skus'!$A:$AC,2,FALSE))="JBL",(VLOOKUP(Table6[[#This Row],[SKU]],'All Skus'!$A:$AC,9,FALSE)),""))</f>
        <v>0</v>
      </c>
      <c r="I365" s="101">
        <f>(IF((VLOOKUP(Table6[[#This Row],[SKU]],'All Skus'!$A:$AC,2,FALSE))="JBL",(VLOOKUP(Table6[[#This Row],[SKU]],'All Skus'!$A:$AC,10,FALSE)),""))</f>
        <v>0</v>
      </c>
      <c r="J365" s="101">
        <f>(IF((VLOOKUP(Table6[[#This Row],[SKU]],'All Skus'!$A:$AC,2,FALSE))="JBL",(VLOOKUP(Table6[[#This Row],[SKU]],'All Skus'!$A:$AC,11,FALSE)),""))</f>
        <v>0</v>
      </c>
      <c r="K365" s="102">
        <f>(IF((VLOOKUP(Table6[[#This Row],[SKU]],'All Skus'!$A:$AC,2,FALSE))="JBL",(VLOOKUP(Table6[[#This Row],[SKU]],'All Skus'!$A:$AC,13,FALSE)),""))</f>
        <v>0</v>
      </c>
      <c r="L365" s="102">
        <f>(IF((VLOOKUP(Table6[[#This Row],[SKU]],'All Skus'!$A:$AC,2,FALSE))="JBL",(VLOOKUP(Table6[[#This Row],[SKU]],'All Skus'!$A:$AC,14,FALSE)),""))</f>
        <v>0</v>
      </c>
      <c r="M365" s="143">
        <f>(IF((VLOOKUP(Table6[[#This Row],[SKU]],'All Skus'!$A:$AC,2,FALSE))="JBL",(VLOOKUP(Table6[[#This Row],[SKU]],'All Skus'!$A:$AC,15,FALSE)),""))</f>
        <v>0</v>
      </c>
      <c r="N365" s="137">
        <f>(IF((VLOOKUP(Table6[[#This Row],[SKU]],'All Skus'!$A:$AC,2,FALSE))="JBL",(VLOOKUP(Table6[[#This Row],[SKU]],'All Skus'!$A:$AC,16,FALSE)),""))</f>
        <v>0</v>
      </c>
      <c r="O365" s="61">
        <f>(IF((VLOOKUP(Table6[[#This Row],[SKU]],'All Skus'!$A:$AC,2,FALSE))="JBL",(VLOOKUP(Table6[[#This Row],[SKU]],'All Skus'!$A:$AC,17,FALSE)),""))</f>
        <v>0</v>
      </c>
      <c r="P365" s="136">
        <f>(IF((VLOOKUP(Table6[[#This Row],[SKU]],'All Skus'!$A:$AC,2,FALSE))="JBL",(VLOOKUP(Table6[[#This Row],[SKU]],'All Skus'!$A:$AC,18,FALSE)),""))</f>
        <v>0</v>
      </c>
      <c r="Q365" s="136">
        <f>(IF((VLOOKUP(Table6[[#This Row],[SKU]],'All Skus'!$A:$AC,2,FALSE))="JBL",(VLOOKUP(Table6[[#This Row],[SKU]],'All Skus'!$A:$AC,19,FALSE)),""))</f>
        <v>0</v>
      </c>
      <c r="R365" s="136">
        <f>(IF((VLOOKUP(Table6[[#This Row],[SKU]],'All Skus'!$A:$AC,2,FALSE))="JBL",(VLOOKUP(Table6[[#This Row],[SKU]],'All Skus'!$A:$AC,20,FALSE)),""))</f>
        <v>0</v>
      </c>
      <c r="S365" s="61">
        <f>(IF((VLOOKUP(Table6[[#This Row],[SKU]],'All Skus'!$A:$AC,2,FALSE))="JBL",(VLOOKUP(Table6[[#This Row],[SKU]],'All Skus'!$A:$AC,21,FALSE)),""))</f>
        <v>0</v>
      </c>
      <c r="T365" s="61" t="str">
        <f>(IF((VLOOKUP(Table6[[#This Row],[SKU]],'All Skus'!$A:$AC,2,FALSE))="JBL",(VLOOKUP(Table6[[#This Row],[SKU]],'All Skus'!$A:$AC,22,FALSE)),""))</f>
        <v>MX</v>
      </c>
      <c r="U365" t="str">
        <f>(IF((VLOOKUP(Table6[[#This Row],[SKU]],'All Skus'!$A:$AC,2,FALSE))="JBL",(VLOOKUP(Table6[[#This Row],[SKU]],'All Skus'!$A:$AC,23,FALSE)),""))</f>
        <v>Compliant</v>
      </c>
      <c r="V365" s="284" t="str">
        <f>HYPERLINK((IF((VLOOKUP(Table6[[#This Row],[SKU]],'All Skus'!$A:$AC,2,FALSE))="JBL",(VLOOKUP(Table6[[#This Row],[SKU]],'All Skus'!$A:$AC,24,FALSE)),"")))</f>
        <v/>
      </c>
      <c r="W365" s="151">
        <v>363</v>
      </c>
    </row>
    <row r="366" spans="1:23" ht="15" hidden="1" customHeight="1">
      <c r="A366" s="13" t="s">
        <v>1372</v>
      </c>
      <c r="B366" s="12" t="str">
        <f>(IF((VLOOKUP(Table6[[#This Row],[SKU]],'All Skus'!$A:$AC,2,FALSE))="JBL",(VLOOKUP(Table6[[#This Row],[SKU]],'All Skus'!$A:$AC,3,FALSE)),""))</f>
        <v>AE Series</v>
      </c>
      <c r="C366" s="12" t="str">
        <f>(IF((VLOOKUP(Table6[[#This Row],[SKU]],'All Skus'!$A:$AC,2,FALSE))="JBL",(VLOOKUP(Table6[[#This Row],[SKU]],'All Skus'!$A:$AC,4,FALSE)),""))</f>
        <v>AC15</v>
      </c>
      <c r="D366" s="61" t="str">
        <f>(IF((VLOOKUP(Table6[[#This Row],[SKU]],'All Skus'!$A:$AC,2,FALSE))="JBL",(VLOOKUP(Table6[[#This Row],[SKU]],'All Skus'!$A:$AC,5,FALSE)),""))</f>
        <v>JBL052</v>
      </c>
      <c r="E366" s="137">
        <f>(IF((VLOOKUP(Table6[[#This Row],[SKU]],'All Skus'!$A:$AC,2,FALSE))="JBL",(VLOOKUP(Table6[[#This Row],[SKU]],'All Skus'!$A:$AC,6,FALSE)),""))</f>
        <v>0</v>
      </c>
      <c r="F366" s="61">
        <f>(IF((VLOOKUP(Table6[[#This Row],[SKU]],'All Skus'!$A:$AC,2,FALSE))="JBL",(VLOOKUP(Table6[[#This Row],[SKU]],'All Skus'!$A:$AC,7,FALSE)),""))</f>
        <v>0</v>
      </c>
      <c r="G366" t="str">
        <f>(IF((VLOOKUP(Table6[[#This Row],[SKU]],'All Skus'!$A:$AC,2,FALSE))="JBL",(VLOOKUP(Table6[[#This Row],[SKU]],'All Skus'!$A:$AC,8,FALSE)),""))</f>
        <v>SM, AC15    5.25" 2way</v>
      </c>
      <c r="H366" s="8" t="str">
        <f>(IF((VLOOKUP(Table6[[#This Row],[SKU]],'All Skus'!$A:$AC,2,FALSE))="JBL",(VLOOKUP(Table6[[#This Row],[SKU]],'All Skus'!$A:$AC,9,FALSE)),""))</f>
        <v>Ultra-Compact 2-Way Loudspeaker with 1 x 5.25" LF.  90° x 90° Coverage, Passive.  Suspension Eyebolts Not Included.  Optional U-Bracket Model MTU-15.  Sold as 2 per carton.</v>
      </c>
      <c r="I366" s="101">
        <f>(IF((VLOOKUP(Table6[[#This Row],[SKU]],'All Skus'!$A:$AC,2,FALSE))="JBL",(VLOOKUP(Table6[[#This Row],[SKU]],'All Skus'!$A:$AC,10,FALSE)),""))</f>
        <v>560</v>
      </c>
      <c r="J366" s="101">
        <f>(IF((VLOOKUP(Table6[[#This Row],[SKU]],'All Skus'!$A:$AC,2,FALSE))="JBL",(VLOOKUP(Table6[[#This Row],[SKU]],'All Skus'!$A:$AC,11,FALSE)),""))</f>
        <v>560</v>
      </c>
      <c r="K366" s="102">
        <f>(IF((VLOOKUP(Table6[[#This Row],[SKU]],'All Skus'!$A:$AC,2,FALSE))="JBL",(VLOOKUP(Table6[[#This Row],[SKU]],'All Skus'!$A:$AC,13,FALSE)),""))</f>
        <v>0</v>
      </c>
      <c r="L366" s="102">
        <f>(IF((VLOOKUP(Table6[[#This Row],[SKU]],'All Skus'!$A:$AC,2,FALSE))="JBL",(VLOOKUP(Table6[[#This Row],[SKU]],'All Skus'!$A:$AC,14,FALSE)),""))</f>
        <v>0</v>
      </c>
      <c r="M366" s="143">
        <f>(IF((VLOOKUP(Table6[[#This Row],[SKU]],'All Skus'!$A:$AC,2,FALSE))="JBL",(VLOOKUP(Table6[[#This Row],[SKU]],'All Skus'!$A:$AC,15,FALSE)),""))</f>
        <v>2</v>
      </c>
      <c r="N366" s="137">
        <f>(IF((VLOOKUP(Table6[[#This Row],[SKU]],'All Skus'!$A:$AC,2,FALSE))="JBL",(VLOOKUP(Table6[[#This Row],[SKU]],'All Skus'!$A:$AC,16,FALSE)),""))</f>
        <v>691991010569</v>
      </c>
      <c r="O366" s="61">
        <f>(IF((VLOOKUP(Table6[[#This Row],[SKU]],'All Skus'!$A:$AC,2,FALSE))="JBL",(VLOOKUP(Table6[[#This Row],[SKU]],'All Skus'!$A:$AC,17,FALSE)),""))</f>
        <v>0</v>
      </c>
      <c r="P366" s="136">
        <f>(IF((VLOOKUP(Table6[[#This Row],[SKU]],'All Skus'!$A:$AC,2,FALSE))="JBL",(VLOOKUP(Table6[[#This Row],[SKU]],'All Skus'!$A:$AC,18,FALSE)),""))</f>
        <v>11.2</v>
      </c>
      <c r="Q366" s="136">
        <f>(IF((VLOOKUP(Table6[[#This Row],[SKU]],'All Skus'!$A:$AC,2,FALSE))="JBL",(VLOOKUP(Table6[[#This Row],[SKU]],'All Skus'!$A:$AC,19,FALSE)),""))</f>
        <v>19</v>
      </c>
      <c r="R366" s="136">
        <f>(IF((VLOOKUP(Table6[[#This Row],[SKU]],'All Skus'!$A:$AC,2,FALSE))="JBL",(VLOOKUP(Table6[[#This Row],[SKU]],'All Skus'!$A:$AC,20,FALSE)),""))</f>
        <v>9</v>
      </c>
      <c r="S366" s="61">
        <f>(IF((VLOOKUP(Table6[[#This Row],[SKU]],'All Skus'!$A:$AC,2,FALSE))="JBL",(VLOOKUP(Table6[[#This Row],[SKU]],'All Skus'!$A:$AC,21,FALSE)),""))</f>
        <v>11</v>
      </c>
      <c r="T366" s="61" t="str">
        <f>(IF((VLOOKUP(Table6[[#This Row],[SKU]],'All Skus'!$A:$AC,2,FALSE))="JBL",(VLOOKUP(Table6[[#This Row],[SKU]],'All Skus'!$A:$AC,22,FALSE)),""))</f>
        <v>MX</v>
      </c>
      <c r="U366" t="str">
        <f>(IF((VLOOKUP(Table6[[#This Row],[SKU]],'All Skus'!$A:$AC,2,FALSE))="JBL",(VLOOKUP(Table6[[#This Row],[SKU]],'All Skus'!$A:$AC,23,FALSE)),""))</f>
        <v>Compliant</v>
      </c>
      <c r="V366" s="284" t="str">
        <f>HYPERLINK((IF((VLOOKUP(Table6[[#This Row],[SKU]],'All Skus'!$A:$AC,2,FALSE))="JBL",(VLOOKUP(Table6[[#This Row],[SKU]],'All Skus'!$A:$AC,24,FALSE)),"")))</f>
        <v/>
      </c>
      <c r="W366" s="151">
        <v>364</v>
      </c>
    </row>
    <row r="367" spans="1:23" ht="15" hidden="1" customHeight="1">
      <c r="A367" s="13" t="s">
        <v>1373</v>
      </c>
      <c r="B367" s="12" t="str">
        <f>(IF((VLOOKUP(Table6[[#This Row],[SKU]],'All Skus'!$A:$AC,2,FALSE))="JBL",(VLOOKUP(Table6[[#This Row],[SKU]],'All Skus'!$A:$AC,3,FALSE)),""))</f>
        <v>AE Series</v>
      </c>
      <c r="C367" s="12" t="str">
        <f>(IF((VLOOKUP(Table6[[#This Row],[SKU]],'All Skus'!$A:$AC,2,FALSE))="JBL",(VLOOKUP(Table6[[#This Row],[SKU]],'All Skus'!$A:$AC,4,FALSE)),""))</f>
        <v>AC15-WH</v>
      </c>
      <c r="D367" s="61" t="str">
        <f>(IF((VLOOKUP(Table6[[#This Row],[SKU]],'All Skus'!$A:$AC,2,FALSE))="JBL",(VLOOKUP(Table6[[#This Row],[SKU]],'All Skus'!$A:$AC,5,FALSE)),""))</f>
        <v>JBL052</v>
      </c>
      <c r="E367" s="137">
        <f>(IF((VLOOKUP(Table6[[#This Row],[SKU]],'All Skus'!$A:$AC,2,FALSE))="JBL",(VLOOKUP(Table6[[#This Row],[SKU]],'All Skus'!$A:$AC,6,FALSE)),""))</f>
        <v>0</v>
      </c>
      <c r="F367" s="61">
        <f>(IF((VLOOKUP(Table6[[#This Row],[SKU]],'All Skus'!$A:$AC,2,FALSE))="JBL",(VLOOKUP(Table6[[#This Row],[SKU]],'All Skus'!$A:$AC,7,FALSE)),""))</f>
        <v>0</v>
      </c>
      <c r="G367" t="str">
        <f>(IF((VLOOKUP(Table6[[#This Row],[SKU]],'All Skus'!$A:$AC,2,FALSE))="JBL",(VLOOKUP(Table6[[#This Row],[SKU]],'All Skus'!$A:$AC,8,FALSE)),""))</f>
        <v>AC15-WH (white)</v>
      </c>
      <c r="H367" s="8" t="str">
        <f>(IF((VLOOKUP(Table6[[#This Row],[SKU]],'All Skus'!$A:$AC,2,FALSE))="JBL",(VLOOKUP(Table6[[#This Row],[SKU]],'All Skus'!$A:$AC,9,FALSE)),""))</f>
        <v>AC15 in white.</v>
      </c>
      <c r="I367" s="101">
        <f>(IF((VLOOKUP(Table6[[#This Row],[SKU]],'All Skus'!$A:$AC,2,FALSE))="JBL",(VLOOKUP(Table6[[#This Row],[SKU]],'All Skus'!$A:$AC,10,FALSE)),""))</f>
        <v>560</v>
      </c>
      <c r="J367" s="101">
        <f>(IF((VLOOKUP(Table6[[#This Row],[SKU]],'All Skus'!$A:$AC,2,FALSE))="JBL",(VLOOKUP(Table6[[#This Row],[SKU]],'All Skus'!$A:$AC,11,FALSE)),""))</f>
        <v>560</v>
      </c>
      <c r="K367" s="102">
        <f>(IF((VLOOKUP(Table6[[#This Row],[SKU]],'All Skus'!$A:$AC,2,FALSE))="JBL",(VLOOKUP(Table6[[#This Row],[SKU]],'All Skus'!$A:$AC,13,FALSE)),""))</f>
        <v>0</v>
      </c>
      <c r="L367" s="102">
        <f>(IF((VLOOKUP(Table6[[#This Row],[SKU]],'All Skus'!$A:$AC,2,FALSE))="JBL",(VLOOKUP(Table6[[#This Row],[SKU]],'All Skus'!$A:$AC,14,FALSE)),""))</f>
        <v>0</v>
      </c>
      <c r="M367" s="143">
        <f>(IF((VLOOKUP(Table6[[#This Row],[SKU]],'All Skus'!$A:$AC,2,FALSE))="JBL",(VLOOKUP(Table6[[#This Row],[SKU]],'All Skus'!$A:$AC,15,FALSE)),""))</f>
        <v>2</v>
      </c>
      <c r="N367" s="137">
        <f>(IF((VLOOKUP(Table6[[#This Row],[SKU]],'All Skus'!$A:$AC,2,FALSE))="JBL",(VLOOKUP(Table6[[#This Row],[SKU]],'All Skus'!$A:$AC,16,FALSE)),""))</f>
        <v>691991010576</v>
      </c>
      <c r="O367" s="61">
        <f>(IF((VLOOKUP(Table6[[#This Row],[SKU]],'All Skus'!$A:$AC,2,FALSE))="JBL",(VLOOKUP(Table6[[#This Row],[SKU]],'All Skus'!$A:$AC,17,FALSE)),""))</f>
        <v>0</v>
      </c>
      <c r="P367" s="136">
        <f>(IF((VLOOKUP(Table6[[#This Row],[SKU]],'All Skus'!$A:$AC,2,FALSE))="JBL",(VLOOKUP(Table6[[#This Row],[SKU]],'All Skus'!$A:$AC,18,FALSE)),""))</f>
        <v>11.15</v>
      </c>
      <c r="Q367" s="136">
        <f>(IF((VLOOKUP(Table6[[#This Row],[SKU]],'All Skus'!$A:$AC,2,FALSE))="JBL",(VLOOKUP(Table6[[#This Row],[SKU]],'All Skus'!$A:$AC,19,FALSE)),""))</f>
        <v>19</v>
      </c>
      <c r="R367" s="136">
        <f>(IF((VLOOKUP(Table6[[#This Row],[SKU]],'All Skus'!$A:$AC,2,FALSE))="JBL",(VLOOKUP(Table6[[#This Row],[SKU]],'All Skus'!$A:$AC,20,FALSE)),""))</f>
        <v>9.5</v>
      </c>
      <c r="S367" s="61">
        <f>(IF((VLOOKUP(Table6[[#This Row],[SKU]],'All Skus'!$A:$AC,2,FALSE))="JBL",(VLOOKUP(Table6[[#This Row],[SKU]],'All Skus'!$A:$AC,21,FALSE)),""))</f>
        <v>11</v>
      </c>
      <c r="T367" s="61" t="str">
        <f>(IF((VLOOKUP(Table6[[#This Row],[SKU]],'All Skus'!$A:$AC,2,FALSE))="JBL",(VLOOKUP(Table6[[#This Row],[SKU]],'All Skus'!$A:$AC,22,FALSE)),""))</f>
        <v>MX</v>
      </c>
      <c r="U367" t="str">
        <f>(IF((VLOOKUP(Table6[[#This Row],[SKU]],'All Skus'!$A:$AC,2,FALSE))="JBL",(VLOOKUP(Table6[[#This Row],[SKU]],'All Skus'!$A:$AC,23,FALSE)),""))</f>
        <v>Compliant</v>
      </c>
      <c r="V367" s="284" t="str">
        <f>HYPERLINK((IF((VLOOKUP(Table6[[#This Row],[SKU]],'All Skus'!$A:$AC,2,FALSE))="JBL",(VLOOKUP(Table6[[#This Row],[SKU]],'All Skus'!$A:$AC,24,FALSE)),"")))</f>
        <v/>
      </c>
      <c r="W367" s="151">
        <v>365</v>
      </c>
    </row>
    <row r="368" spans="1:23" ht="15" hidden="1" customHeight="1">
      <c r="A368" s="13" t="s">
        <v>1374</v>
      </c>
      <c r="B368" s="12" t="str">
        <f>(IF((VLOOKUP(Table6[[#This Row],[SKU]],'All Skus'!$A:$AC,2,FALSE))="JBL",(VLOOKUP(Table6[[#This Row],[SKU]],'All Skus'!$A:$AC,3,FALSE)),""))</f>
        <v>AE Series</v>
      </c>
      <c r="C368" s="12" t="str">
        <f>(IF((VLOOKUP(Table6[[#This Row],[SKU]],'All Skus'!$A:$AC,2,FALSE))="JBL",(VLOOKUP(Table6[[#This Row],[SKU]],'All Skus'!$A:$AC,4,FALSE)),""))</f>
        <v>AC16</v>
      </c>
      <c r="D368" s="61" t="str">
        <f>(IF((VLOOKUP(Table6[[#This Row],[SKU]],'All Skus'!$A:$AC,2,FALSE))="JBL",(VLOOKUP(Table6[[#This Row],[SKU]],'All Skus'!$A:$AC,5,FALSE)),""))</f>
        <v>JBL052</v>
      </c>
      <c r="E368" s="137">
        <f>(IF((VLOOKUP(Table6[[#This Row],[SKU]],'All Skus'!$A:$AC,2,FALSE))="JBL",(VLOOKUP(Table6[[#This Row],[SKU]],'All Skus'!$A:$AC,6,FALSE)),""))</f>
        <v>0</v>
      </c>
      <c r="F368" s="61">
        <f>(IF((VLOOKUP(Table6[[#This Row],[SKU]],'All Skus'!$A:$AC,2,FALSE))="JBL",(VLOOKUP(Table6[[#This Row],[SKU]],'All Skus'!$A:$AC,7,FALSE)),""))</f>
        <v>0</v>
      </c>
      <c r="G368" t="str">
        <f>(IF((VLOOKUP(Table6[[#This Row],[SKU]],'All Skus'!$A:$AC,2,FALSE))="JBL",(VLOOKUP(Table6[[#This Row],[SKU]],'All Skus'!$A:$AC,8,FALSE)),""))</f>
        <v>AC16 - Single 6.5" 2-way</v>
      </c>
      <c r="H368" s="8" t="str">
        <f>(IF((VLOOKUP(Table6[[#This Row],[SKU]],'All Skus'!$A:$AC,2,FALSE))="JBL",(VLOOKUP(Table6[[#This Row],[SKU]],'All Skus'!$A:$AC,9,FALSE)),""))</f>
        <v>Ultra-Compact 2-Way Loudspeaker with 1 x 6.5" LF.  90° x 90° Coverage, Passive.  Compact  PT™ Progressive Transition™ Waveguide.  Suspension Eyebolts Not Included.  Optional U-Bracket Model MTU-16.</v>
      </c>
      <c r="I368" s="101">
        <f>(IF((VLOOKUP(Table6[[#This Row],[SKU]],'All Skus'!$A:$AC,2,FALSE))="JBL",(VLOOKUP(Table6[[#This Row],[SKU]],'All Skus'!$A:$AC,10,FALSE)),""))</f>
        <v>1125</v>
      </c>
      <c r="J368" s="101">
        <f>(IF((VLOOKUP(Table6[[#This Row],[SKU]],'All Skus'!$A:$AC,2,FALSE))="JBL",(VLOOKUP(Table6[[#This Row],[SKU]],'All Skus'!$A:$AC,11,FALSE)),""))</f>
        <v>1125</v>
      </c>
      <c r="K368" s="102">
        <f>(IF((VLOOKUP(Table6[[#This Row],[SKU]],'All Skus'!$A:$AC,2,FALSE))="JBL",(VLOOKUP(Table6[[#This Row],[SKU]],'All Skus'!$A:$AC,13,FALSE)),""))</f>
        <v>0</v>
      </c>
      <c r="L368" s="102">
        <f>(IF((VLOOKUP(Table6[[#This Row],[SKU]],'All Skus'!$A:$AC,2,FALSE))="JBL",(VLOOKUP(Table6[[#This Row],[SKU]],'All Skus'!$A:$AC,14,FALSE)),""))</f>
        <v>0</v>
      </c>
      <c r="M368" s="143">
        <f>(IF((VLOOKUP(Table6[[#This Row],[SKU]],'All Skus'!$A:$AC,2,FALSE))="JBL",(VLOOKUP(Table6[[#This Row],[SKU]],'All Skus'!$A:$AC,15,FALSE)),""))</f>
        <v>0</v>
      </c>
      <c r="N368" s="137">
        <f>(IF((VLOOKUP(Table6[[#This Row],[SKU]],'All Skus'!$A:$AC,2,FALSE))="JBL",(VLOOKUP(Table6[[#This Row],[SKU]],'All Skus'!$A:$AC,16,FALSE)),""))</f>
        <v>691991010583</v>
      </c>
      <c r="O368" s="61">
        <f>(IF((VLOOKUP(Table6[[#This Row],[SKU]],'All Skus'!$A:$AC,2,FALSE))="JBL",(VLOOKUP(Table6[[#This Row],[SKU]],'All Skus'!$A:$AC,17,FALSE)),""))</f>
        <v>0</v>
      </c>
      <c r="P368" s="136">
        <f>(IF((VLOOKUP(Table6[[#This Row],[SKU]],'All Skus'!$A:$AC,2,FALSE))="JBL",(VLOOKUP(Table6[[#This Row],[SKU]],'All Skus'!$A:$AC,18,FALSE)),""))</f>
        <v>19.45</v>
      </c>
      <c r="Q368" s="136">
        <f>(IF((VLOOKUP(Table6[[#This Row],[SKU]],'All Skus'!$A:$AC,2,FALSE))="JBL",(VLOOKUP(Table6[[#This Row],[SKU]],'All Skus'!$A:$AC,19,FALSE)),""))</f>
        <v>13</v>
      </c>
      <c r="R368" s="136">
        <f>(IF((VLOOKUP(Table6[[#This Row],[SKU]],'All Skus'!$A:$AC,2,FALSE))="JBL",(VLOOKUP(Table6[[#This Row],[SKU]],'All Skus'!$A:$AC,20,FALSE)),""))</f>
        <v>12</v>
      </c>
      <c r="S368" s="61">
        <f>(IF((VLOOKUP(Table6[[#This Row],[SKU]],'All Skus'!$A:$AC,2,FALSE))="JBL",(VLOOKUP(Table6[[#This Row],[SKU]],'All Skus'!$A:$AC,21,FALSE)),""))</f>
        <v>17</v>
      </c>
      <c r="T368" s="61" t="str">
        <f>(IF((VLOOKUP(Table6[[#This Row],[SKU]],'All Skus'!$A:$AC,2,FALSE))="JBL",(VLOOKUP(Table6[[#This Row],[SKU]],'All Skus'!$A:$AC,22,FALSE)),""))</f>
        <v>MX</v>
      </c>
      <c r="U368" t="str">
        <f>(IF((VLOOKUP(Table6[[#This Row],[SKU]],'All Skus'!$A:$AC,2,FALSE))="JBL",(VLOOKUP(Table6[[#This Row],[SKU]],'All Skus'!$A:$AC,23,FALSE)),""))</f>
        <v>Compliant</v>
      </c>
      <c r="V368" s="284" t="str">
        <f>HYPERLINK((IF((VLOOKUP(Table6[[#This Row],[SKU]],'All Skus'!$A:$AC,2,FALSE))="JBL",(VLOOKUP(Table6[[#This Row],[SKU]],'All Skus'!$A:$AC,24,FALSE)),"")))</f>
        <v/>
      </c>
      <c r="W368" s="151">
        <v>366</v>
      </c>
    </row>
    <row r="369" spans="1:23" ht="15" hidden="1" customHeight="1">
      <c r="A369" s="13" t="s">
        <v>1375</v>
      </c>
      <c r="B369" s="12" t="str">
        <f>(IF((VLOOKUP(Table6[[#This Row],[SKU]],'All Skus'!$A:$AC,2,FALSE))="JBL",(VLOOKUP(Table6[[#This Row],[SKU]],'All Skus'!$A:$AC,3,FALSE)),""))</f>
        <v>AE Series</v>
      </c>
      <c r="C369" s="12" t="str">
        <f>(IF((VLOOKUP(Table6[[#This Row],[SKU]],'All Skus'!$A:$AC,2,FALSE))="JBL",(VLOOKUP(Table6[[#This Row],[SKU]],'All Skus'!$A:$AC,4,FALSE)),""))</f>
        <v>AC16-WH</v>
      </c>
      <c r="D369" s="61" t="str">
        <f>(IF((VLOOKUP(Table6[[#This Row],[SKU]],'All Skus'!$A:$AC,2,FALSE))="JBL",(VLOOKUP(Table6[[#This Row],[SKU]],'All Skus'!$A:$AC,5,FALSE)),""))</f>
        <v>JBL052</v>
      </c>
      <c r="E369" s="137">
        <f>(IF((VLOOKUP(Table6[[#This Row],[SKU]],'All Skus'!$A:$AC,2,FALSE))="JBL",(VLOOKUP(Table6[[#This Row],[SKU]],'All Skus'!$A:$AC,6,FALSE)),""))</f>
        <v>0</v>
      </c>
      <c r="F369" s="61">
        <f>(IF((VLOOKUP(Table6[[#This Row],[SKU]],'All Skus'!$A:$AC,2,FALSE))="JBL",(VLOOKUP(Table6[[#This Row],[SKU]],'All Skus'!$A:$AC,7,FALSE)),""))</f>
        <v>0</v>
      </c>
      <c r="G369" t="str">
        <f>(IF((VLOOKUP(Table6[[#This Row],[SKU]],'All Skus'!$A:$AC,2,FALSE))="JBL",(VLOOKUP(Table6[[#This Row],[SKU]],'All Skus'!$A:$AC,8,FALSE)),""))</f>
        <v>AC16 - Single 6.5" 2-way (white)</v>
      </c>
      <c r="H369" s="8" t="str">
        <f>(IF((VLOOKUP(Table6[[#This Row],[SKU]],'All Skus'!$A:$AC,2,FALSE))="JBL",(VLOOKUP(Table6[[#This Row],[SKU]],'All Skus'!$A:$AC,9,FALSE)),""))</f>
        <v>AC16 in white.</v>
      </c>
      <c r="I369" s="101">
        <f>(IF((VLOOKUP(Table6[[#This Row],[SKU]],'All Skus'!$A:$AC,2,FALSE))="JBL",(VLOOKUP(Table6[[#This Row],[SKU]],'All Skus'!$A:$AC,10,FALSE)),""))</f>
        <v>1125</v>
      </c>
      <c r="J369" s="101">
        <f>(IF((VLOOKUP(Table6[[#This Row],[SKU]],'All Skus'!$A:$AC,2,FALSE))="JBL",(VLOOKUP(Table6[[#This Row],[SKU]],'All Skus'!$A:$AC,11,FALSE)),""))</f>
        <v>1125</v>
      </c>
      <c r="K369" s="102">
        <f>(IF((VLOOKUP(Table6[[#This Row],[SKU]],'All Skus'!$A:$AC,2,FALSE))="JBL",(VLOOKUP(Table6[[#This Row],[SKU]],'All Skus'!$A:$AC,13,FALSE)),""))</f>
        <v>0</v>
      </c>
      <c r="L369" s="102">
        <f>(IF((VLOOKUP(Table6[[#This Row],[SKU]],'All Skus'!$A:$AC,2,FALSE))="JBL",(VLOOKUP(Table6[[#This Row],[SKU]],'All Skus'!$A:$AC,14,FALSE)),""))</f>
        <v>0</v>
      </c>
      <c r="M369" s="143">
        <f>(IF((VLOOKUP(Table6[[#This Row],[SKU]],'All Skus'!$A:$AC,2,FALSE))="JBL",(VLOOKUP(Table6[[#This Row],[SKU]],'All Skus'!$A:$AC,15,FALSE)),""))</f>
        <v>0</v>
      </c>
      <c r="N369" s="137">
        <f>(IF((VLOOKUP(Table6[[#This Row],[SKU]],'All Skus'!$A:$AC,2,FALSE))="JBL",(VLOOKUP(Table6[[#This Row],[SKU]],'All Skus'!$A:$AC,16,FALSE)),""))</f>
        <v>691991010590</v>
      </c>
      <c r="O369" s="61">
        <f>(IF((VLOOKUP(Table6[[#This Row],[SKU]],'All Skus'!$A:$AC,2,FALSE))="JBL",(VLOOKUP(Table6[[#This Row],[SKU]],'All Skus'!$A:$AC,17,FALSE)),""))</f>
        <v>0</v>
      </c>
      <c r="P369" s="136">
        <f>(IF((VLOOKUP(Table6[[#This Row],[SKU]],'All Skus'!$A:$AC,2,FALSE))="JBL",(VLOOKUP(Table6[[#This Row],[SKU]],'All Skus'!$A:$AC,18,FALSE)),""))</f>
        <v>20</v>
      </c>
      <c r="Q369" s="136">
        <f>(IF((VLOOKUP(Table6[[#This Row],[SKU]],'All Skus'!$A:$AC,2,FALSE))="JBL",(VLOOKUP(Table6[[#This Row],[SKU]],'All Skus'!$A:$AC,19,FALSE)),""))</f>
        <v>13</v>
      </c>
      <c r="R369" s="136">
        <f>(IF((VLOOKUP(Table6[[#This Row],[SKU]],'All Skus'!$A:$AC,2,FALSE))="JBL",(VLOOKUP(Table6[[#This Row],[SKU]],'All Skus'!$A:$AC,20,FALSE)),""))</f>
        <v>11</v>
      </c>
      <c r="S369" s="61">
        <f>(IF((VLOOKUP(Table6[[#This Row],[SKU]],'All Skus'!$A:$AC,2,FALSE))="JBL",(VLOOKUP(Table6[[#This Row],[SKU]],'All Skus'!$A:$AC,21,FALSE)),""))</f>
        <v>17</v>
      </c>
      <c r="T369" s="61" t="str">
        <f>(IF((VLOOKUP(Table6[[#This Row],[SKU]],'All Skus'!$A:$AC,2,FALSE))="JBL",(VLOOKUP(Table6[[#This Row],[SKU]],'All Skus'!$A:$AC,22,FALSE)),""))</f>
        <v>MX</v>
      </c>
      <c r="U369" t="str">
        <f>(IF((VLOOKUP(Table6[[#This Row],[SKU]],'All Skus'!$A:$AC,2,FALSE))="JBL",(VLOOKUP(Table6[[#This Row],[SKU]],'All Skus'!$A:$AC,23,FALSE)),""))</f>
        <v>Compliant</v>
      </c>
      <c r="V369" s="284" t="str">
        <f>HYPERLINK((IF((VLOOKUP(Table6[[#This Row],[SKU]],'All Skus'!$A:$AC,2,FALSE))="JBL",(VLOOKUP(Table6[[#This Row],[SKU]],'All Skus'!$A:$AC,24,FALSE)),"")))</f>
        <v/>
      </c>
      <c r="W369" s="151">
        <v>367</v>
      </c>
    </row>
    <row r="370" spans="1:23" ht="15" hidden="1" customHeight="1">
      <c r="A370" s="13" t="s">
        <v>1376</v>
      </c>
      <c r="B370" s="12" t="str">
        <f>(IF((VLOOKUP(Table6[[#This Row],[SKU]],'All Skus'!$A:$AC,2,FALSE))="JBL",(VLOOKUP(Table6[[#This Row],[SKU]],'All Skus'!$A:$AC,3,FALSE)),""))</f>
        <v>Custom Shop</v>
      </c>
      <c r="C370" s="12" t="str">
        <f>(IF((VLOOKUP(Table6[[#This Row],[SKU]],'All Skus'!$A:$AC,2,FALSE))="JBL",(VLOOKUP(Table6[[#This Row],[SKU]],'All Skus'!$A:$AC,4,FALSE)),""))</f>
        <v>AC16-WRC</v>
      </c>
      <c r="D370" s="61">
        <f>(IF((VLOOKUP(Table6[[#This Row],[SKU]],'All Skus'!$A:$AC,2,FALSE))="JBL",(VLOOKUP(Table6[[#This Row],[SKU]],'All Skus'!$A:$AC,5,FALSE)),""))</f>
        <v>0</v>
      </c>
      <c r="E370" s="137" t="str">
        <f>(IF((VLOOKUP(Table6[[#This Row],[SKU]],'All Skus'!$A:$AC,2,FALSE))="JBL",(VLOOKUP(Table6[[#This Row],[SKU]],'All Skus'!$A:$AC,6,FALSE)),""))</f>
        <v>YES</v>
      </c>
      <c r="F370" s="61">
        <f>(IF((VLOOKUP(Table6[[#This Row],[SKU]],'All Skus'!$A:$AC,2,FALSE))="JBL",(VLOOKUP(Table6[[#This Row],[SKU]],'All Skus'!$A:$AC,7,FALSE)),""))</f>
        <v>0</v>
      </c>
      <c r="G370" t="str">
        <f>(IF((VLOOKUP(Table6[[#This Row],[SKU]],'All Skus'!$A:$AC,2,FALSE))="JBL",(VLOOKUP(Table6[[#This Row],[SKU]],'All Skus'!$A:$AC,8,FALSE)),""))</f>
        <v>AC16 - Single 6.5" 2-way (white)</v>
      </c>
      <c r="H370" s="8" t="str">
        <f>(IF((VLOOKUP(Table6[[#This Row],[SKU]],'All Skus'!$A:$AC,2,FALSE))="JBL",(VLOOKUP(Table6[[#This Row],[SKU]],'All Skus'!$A:$AC,9,FALSE)),""))</f>
        <v>Ultra-Compact 2-Way Loudspeaker with 1 x 5.25" LF.  90° x 90° Coverage, Passive.  Suspension Eyebolts Not Included.  Optional U-Bracket Model MTU-15.  Sold as 2 per carton.</v>
      </c>
      <c r="I370" s="101" t="str">
        <f>(IF((VLOOKUP(Table6[[#This Row],[SKU]],'All Skus'!$A:$AC,2,FALSE))="JBL",(VLOOKUP(Table6[[#This Row],[SKU]],'All Skus'!$A:$AC,10,FALSE)),""))</f>
        <v>Please email CustomAudio@harman.com for quote</v>
      </c>
      <c r="J370" s="101">
        <f>(IF((VLOOKUP(Table6[[#This Row],[SKU]],'All Skus'!$A:$AC,2,FALSE))="JBL",(VLOOKUP(Table6[[#This Row],[SKU]],'All Skus'!$A:$AC,11,FALSE)),""))</f>
        <v>0</v>
      </c>
      <c r="K370" s="102">
        <f>(IF((VLOOKUP(Table6[[#This Row],[SKU]],'All Skus'!$A:$AC,2,FALSE))="JBL",(VLOOKUP(Table6[[#This Row],[SKU]],'All Skus'!$A:$AC,13,FALSE)),""))</f>
        <v>0</v>
      </c>
      <c r="L370" s="102">
        <f>(IF((VLOOKUP(Table6[[#This Row],[SKU]],'All Skus'!$A:$AC,2,FALSE))="JBL",(VLOOKUP(Table6[[#This Row],[SKU]],'All Skus'!$A:$AC,14,FALSE)),""))</f>
        <v>0</v>
      </c>
      <c r="M370" s="143">
        <f>(IF((VLOOKUP(Table6[[#This Row],[SKU]],'All Skus'!$A:$AC,2,FALSE))="JBL",(VLOOKUP(Table6[[#This Row],[SKU]],'All Skus'!$A:$AC,15,FALSE)),""))</f>
        <v>0</v>
      </c>
      <c r="N370" s="137">
        <f>(IF((VLOOKUP(Table6[[#This Row],[SKU]],'All Skus'!$A:$AC,2,FALSE))="JBL",(VLOOKUP(Table6[[#This Row],[SKU]],'All Skus'!$A:$AC,16,FALSE)),""))</f>
        <v>691991028915</v>
      </c>
      <c r="O370" s="61">
        <f>(IF((VLOOKUP(Table6[[#This Row],[SKU]],'All Skus'!$A:$AC,2,FALSE))="JBL",(VLOOKUP(Table6[[#This Row],[SKU]],'All Skus'!$A:$AC,17,FALSE)),""))</f>
        <v>0</v>
      </c>
      <c r="P370" s="136">
        <f>(IF((VLOOKUP(Table6[[#This Row],[SKU]],'All Skus'!$A:$AC,2,FALSE))="JBL",(VLOOKUP(Table6[[#This Row],[SKU]],'All Skus'!$A:$AC,18,FALSE)),""))</f>
        <v>0</v>
      </c>
      <c r="Q370" s="136">
        <f>(IF((VLOOKUP(Table6[[#This Row],[SKU]],'All Skus'!$A:$AC,2,FALSE))="JBL",(VLOOKUP(Table6[[#This Row],[SKU]],'All Skus'!$A:$AC,19,FALSE)),""))</f>
        <v>0</v>
      </c>
      <c r="R370" s="136">
        <f>(IF((VLOOKUP(Table6[[#This Row],[SKU]],'All Skus'!$A:$AC,2,FALSE))="JBL",(VLOOKUP(Table6[[#This Row],[SKU]],'All Skus'!$A:$AC,20,FALSE)),""))</f>
        <v>0</v>
      </c>
      <c r="S370" s="61">
        <f>(IF((VLOOKUP(Table6[[#This Row],[SKU]],'All Skus'!$A:$AC,2,FALSE))="JBL",(VLOOKUP(Table6[[#This Row],[SKU]],'All Skus'!$A:$AC,21,FALSE)),""))</f>
        <v>0</v>
      </c>
      <c r="T370" s="61">
        <f>(IF((VLOOKUP(Table6[[#This Row],[SKU]],'All Skus'!$A:$AC,2,FALSE))="JBL",(VLOOKUP(Table6[[#This Row],[SKU]],'All Skus'!$A:$AC,22,FALSE)),""))</f>
        <v>0</v>
      </c>
      <c r="U370">
        <f>(IF((VLOOKUP(Table6[[#This Row],[SKU]],'All Skus'!$A:$AC,2,FALSE))="JBL",(VLOOKUP(Table6[[#This Row],[SKU]],'All Skus'!$A:$AC,23,FALSE)),""))</f>
        <v>0</v>
      </c>
      <c r="V370" s="284" t="str">
        <f>HYPERLINK((IF((VLOOKUP(Table6[[#This Row],[SKU]],'All Skus'!$A:$AC,2,FALSE))="JBL",(VLOOKUP(Table6[[#This Row],[SKU]],'All Skus'!$A:$AC,24,FALSE)),"")))</f>
        <v/>
      </c>
      <c r="W370" s="151">
        <v>368</v>
      </c>
    </row>
    <row r="371" spans="1:23" ht="15" hidden="1" customHeight="1">
      <c r="A371" s="13" t="s">
        <v>1377</v>
      </c>
      <c r="B371" s="12" t="str">
        <f>(IF((VLOOKUP(Table6[[#This Row],[SKU]],'All Skus'!$A:$AC,2,FALSE))="JBL",(VLOOKUP(Table6[[#This Row],[SKU]],'All Skus'!$A:$AC,3,FALSE)),""))</f>
        <v>Custom Shop</v>
      </c>
      <c r="C371" s="12">
        <f>(IF((VLOOKUP(Table6[[#This Row],[SKU]],'All Skus'!$A:$AC,2,FALSE))="JBL",(VLOOKUP(Table6[[#This Row],[SKU]],'All Skus'!$A:$AC,4,FALSE)),""))</f>
        <v>0</v>
      </c>
      <c r="D371" s="61" t="str">
        <f>(IF((VLOOKUP(Table6[[#This Row],[SKU]],'All Skus'!$A:$AC,2,FALSE))="JBL",(VLOOKUP(Table6[[#This Row],[SKU]],'All Skus'!$A:$AC,5,FALSE)),""))</f>
        <v>JBL050</v>
      </c>
      <c r="E371" s="137" t="str">
        <f>(IF((VLOOKUP(Table6[[#This Row],[SKU]],'All Skus'!$A:$AC,2,FALSE))="JBL",(VLOOKUP(Table6[[#This Row],[SKU]],'All Skus'!$A:$AC,6,FALSE)),""))</f>
        <v>YES</v>
      </c>
      <c r="F371" s="61">
        <f>(IF((VLOOKUP(Table6[[#This Row],[SKU]],'All Skus'!$A:$AC,2,FALSE))="JBL",(VLOOKUP(Table6[[#This Row],[SKU]],'All Skus'!$A:$AC,7,FALSE)),""))</f>
        <v>0</v>
      </c>
      <c r="G371" t="str">
        <f>(IF((VLOOKUP(Table6[[#This Row],[SKU]],'All Skus'!$A:$AC,2,FALSE))="JBL",(VLOOKUP(Table6[[#This Row],[SKU]],'All Skus'!$A:$AC,8,FALSE)),""))</f>
        <v>AC16 - Single 6.5" 2-way (white)</v>
      </c>
      <c r="H371" s="8" t="str">
        <f>(IF((VLOOKUP(Table6[[#This Row],[SKU]],'All Skus'!$A:$AC,2,FALSE))="JBL",(VLOOKUP(Table6[[#This Row],[SKU]],'All Skus'!$A:$AC,9,FALSE)),""))</f>
        <v>Ultra-Compact 2-Way Loudspeaker with 1 x 5.25" LF.  90° x 90° Coverage, Passive.  Suspension Eyebolts Not Included.  Optional U-Bracket Model MTU-15.  Sold as 2 per carton.</v>
      </c>
      <c r="I371" s="101" t="str">
        <f>(IF((VLOOKUP(Table6[[#This Row],[SKU]],'All Skus'!$A:$AC,2,FALSE))="JBL",(VLOOKUP(Table6[[#This Row],[SKU]],'All Skus'!$A:$AC,10,FALSE)),""))</f>
        <v>Please email CustomAudio@harman.com for quote</v>
      </c>
      <c r="J371" s="101">
        <f>(IF((VLOOKUP(Table6[[#This Row],[SKU]],'All Skus'!$A:$AC,2,FALSE))="JBL",(VLOOKUP(Table6[[#This Row],[SKU]],'All Skus'!$A:$AC,11,FALSE)),""))</f>
        <v>0</v>
      </c>
      <c r="K371" s="102">
        <f>(IF((VLOOKUP(Table6[[#This Row],[SKU]],'All Skus'!$A:$AC,2,FALSE))="JBL",(VLOOKUP(Table6[[#This Row],[SKU]],'All Skus'!$A:$AC,13,FALSE)),""))</f>
        <v>0</v>
      </c>
      <c r="L371" s="102">
        <f>(IF((VLOOKUP(Table6[[#This Row],[SKU]],'All Skus'!$A:$AC,2,FALSE))="JBL",(VLOOKUP(Table6[[#This Row],[SKU]],'All Skus'!$A:$AC,14,FALSE)),""))</f>
        <v>0</v>
      </c>
      <c r="M371" s="143">
        <f>(IF((VLOOKUP(Table6[[#This Row],[SKU]],'All Skus'!$A:$AC,2,FALSE))="JBL",(VLOOKUP(Table6[[#This Row],[SKU]],'All Skus'!$A:$AC,15,FALSE)),""))</f>
        <v>0</v>
      </c>
      <c r="N371" s="137">
        <f>(IF((VLOOKUP(Table6[[#This Row],[SKU]],'All Skus'!$A:$AC,2,FALSE))="JBL",(VLOOKUP(Table6[[#This Row],[SKU]],'All Skus'!$A:$AC,16,FALSE)),""))</f>
        <v>691991010606</v>
      </c>
      <c r="O371" s="61">
        <f>(IF((VLOOKUP(Table6[[#This Row],[SKU]],'All Skus'!$A:$AC,2,FALSE))="JBL",(VLOOKUP(Table6[[#This Row],[SKU]],'All Skus'!$A:$AC,17,FALSE)),""))</f>
        <v>0</v>
      </c>
      <c r="P371" s="136">
        <f>(IF((VLOOKUP(Table6[[#This Row],[SKU]],'All Skus'!$A:$AC,2,FALSE))="JBL",(VLOOKUP(Table6[[#This Row],[SKU]],'All Skus'!$A:$AC,18,FALSE)),""))</f>
        <v>23</v>
      </c>
      <c r="Q371" s="136">
        <f>(IF((VLOOKUP(Table6[[#This Row],[SKU]],'All Skus'!$A:$AC,2,FALSE))="JBL",(VLOOKUP(Table6[[#This Row],[SKU]],'All Skus'!$A:$AC,19,FALSE)),""))</f>
        <v>17</v>
      </c>
      <c r="R371" s="136">
        <f>(IF((VLOOKUP(Table6[[#This Row],[SKU]],'All Skus'!$A:$AC,2,FALSE))="JBL",(VLOOKUP(Table6[[#This Row],[SKU]],'All Skus'!$A:$AC,20,FALSE)),""))</f>
        <v>13</v>
      </c>
      <c r="S371" s="61">
        <f>(IF((VLOOKUP(Table6[[#This Row],[SKU]],'All Skus'!$A:$AC,2,FALSE))="JBL",(VLOOKUP(Table6[[#This Row],[SKU]],'All Skus'!$A:$AC,21,FALSE)),""))</f>
        <v>12</v>
      </c>
      <c r="T371" s="61" t="str">
        <f>(IF((VLOOKUP(Table6[[#This Row],[SKU]],'All Skus'!$A:$AC,2,FALSE))="JBL",(VLOOKUP(Table6[[#This Row],[SKU]],'All Skus'!$A:$AC,22,FALSE)),""))</f>
        <v>ZZ</v>
      </c>
      <c r="U371">
        <f>(IF((VLOOKUP(Table6[[#This Row],[SKU]],'All Skus'!$A:$AC,2,FALSE))="JBL",(VLOOKUP(Table6[[#This Row],[SKU]],'All Skus'!$A:$AC,23,FALSE)),""))</f>
        <v>0</v>
      </c>
      <c r="V371" s="284" t="str">
        <f>HYPERLINK((IF((VLOOKUP(Table6[[#This Row],[SKU]],'All Skus'!$A:$AC,2,FALSE))="JBL",(VLOOKUP(Table6[[#This Row],[SKU]],'All Skus'!$A:$AC,24,FALSE)),"")))</f>
        <v/>
      </c>
      <c r="W371" s="151">
        <v>369</v>
      </c>
    </row>
    <row r="372" spans="1:23" ht="15" hidden="1" customHeight="1">
      <c r="A372" s="13" t="s">
        <v>1378</v>
      </c>
      <c r="B372" s="12" t="str">
        <f>(IF((VLOOKUP(Table6[[#This Row],[SKU]],'All Skus'!$A:$AC,2,FALSE))="JBL",(VLOOKUP(Table6[[#This Row],[SKU]],'All Skus'!$A:$AC,3,FALSE)),""))</f>
        <v>AE Series</v>
      </c>
      <c r="C372" s="12" t="str">
        <f>(IF((VLOOKUP(Table6[[#This Row],[SKU]],'All Skus'!$A:$AC,2,FALSE))="JBL",(VLOOKUP(Table6[[#This Row],[SKU]],'All Skus'!$A:$AC,4,FALSE)),""))</f>
        <v>AC18/26</v>
      </c>
      <c r="D372" s="61" t="str">
        <f>(IF((VLOOKUP(Table6[[#This Row],[SKU]],'All Skus'!$A:$AC,2,FALSE))="JBL",(VLOOKUP(Table6[[#This Row],[SKU]],'All Skus'!$A:$AC,5,FALSE)),""))</f>
        <v>JBL052</v>
      </c>
      <c r="E372" s="137">
        <f>(IF((VLOOKUP(Table6[[#This Row],[SKU]],'All Skus'!$A:$AC,2,FALSE))="JBL",(VLOOKUP(Table6[[#This Row],[SKU]],'All Skus'!$A:$AC,6,FALSE)),""))</f>
        <v>0</v>
      </c>
      <c r="F372" s="61">
        <f>(IF((VLOOKUP(Table6[[#This Row],[SKU]],'All Skus'!$A:$AC,2,FALSE))="JBL",(VLOOKUP(Table6[[#This Row],[SKU]],'All Skus'!$A:$AC,7,FALSE)),""))</f>
        <v>0</v>
      </c>
      <c r="G372" t="str">
        <f>(IF((VLOOKUP(Table6[[#This Row],[SKU]],'All Skus'!$A:$AC,2,FALSE))="JBL",(VLOOKUP(Table6[[#This Row],[SKU]],'All Skus'!$A:$AC,8,FALSE)),""))</f>
        <v>AC18/26 - SINGLE 8"2-WAY</v>
      </c>
      <c r="H372" s="8" t="str">
        <f>(IF((VLOOKUP(Table6[[#This Row],[SKU]],'All Skus'!$A:$AC,2,FALSE))="JBL",(VLOOKUP(Table6[[#This Row],[SKU]],'All Skus'!$A:$AC,9,FALSE)),""))</f>
        <v>Compact 2-Way Loudspeaker with 1 x 8" LF.  120° x 60° Coverage, Passive.  Compact  PT™ Progressive Transition™ Waveguide, Rotatable.  Suspension Eyebolts Not Included.  Optional U-Bracket Model MTU-18.</v>
      </c>
      <c r="I372" s="101">
        <f>(IF((VLOOKUP(Table6[[#This Row],[SKU]],'All Skus'!$A:$AC,2,FALSE))="JBL",(VLOOKUP(Table6[[#This Row],[SKU]],'All Skus'!$A:$AC,10,FALSE)),""))</f>
        <v>1375</v>
      </c>
      <c r="J372" s="101">
        <f>(IF((VLOOKUP(Table6[[#This Row],[SKU]],'All Skus'!$A:$AC,2,FALSE))="JBL",(VLOOKUP(Table6[[#This Row],[SKU]],'All Skus'!$A:$AC,11,FALSE)),""))</f>
        <v>1375</v>
      </c>
      <c r="K372" s="102">
        <f>(IF((VLOOKUP(Table6[[#This Row],[SKU]],'All Skus'!$A:$AC,2,FALSE))="JBL",(VLOOKUP(Table6[[#This Row],[SKU]],'All Skus'!$A:$AC,13,FALSE)),""))</f>
        <v>0</v>
      </c>
      <c r="L372" s="102">
        <f>(IF((VLOOKUP(Table6[[#This Row],[SKU]],'All Skus'!$A:$AC,2,FALSE))="JBL",(VLOOKUP(Table6[[#This Row],[SKU]],'All Skus'!$A:$AC,14,FALSE)),""))</f>
        <v>0</v>
      </c>
      <c r="M372" s="143">
        <f>(IF((VLOOKUP(Table6[[#This Row],[SKU]],'All Skus'!$A:$AC,2,FALSE))="JBL",(VLOOKUP(Table6[[#This Row],[SKU]],'All Skus'!$A:$AC,15,FALSE)),""))</f>
        <v>0</v>
      </c>
      <c r="N372" s="137">
        <f>(IF((VLOOKUP(Table6[[#This Row],[SKU]],'All Skus'!$A:$AC,2,FALSE))="JBL",(VLOOKUP(Table6[[#This Row],[SKU]],'All Skus'!$A:$AC,16,FALSE)),""))</f>
        <v>691991010613</v>
      </c>
      <c r="O372" s="61">
        <f>(IF((VLOOKUP(Table6[[#This Row],[SKU]],'All Skus'!$A:$AC,2,FALSE))="JBL",(VLOOKUP(Table6[[#This Row],[SKU]],'All Skus'!$A:$AC,17,FALSE)),""))</f>
        <v>0</v>
      </c>
      <c r="P372" s="136">
        <f>(IF((VLOOKUP(Table6[[#This Row],[SKU]],'All Skus'!$A:$AC,2,FALSE))="JBL",(VLOOKUP(Table6[[#This Row],[SKU]],'All Skus'!$A:$AC,18,FALSE)),""))</f>
        <v>19.600000000000001</v>
      </c>
      <c r="Q372" s="136">
        <f>(IF((VLOOKUP(Table6[[#This Row],[SKU]],'All Skus'!$A:$AC,2,FALSE))="JBL",(VLOOKUP(Table6[[#This Row],[SKU]],'All Skus'!$A:$AC,19,FALSE)),""))</f>
        <v>13</v>
      </c>
      <c r="R372" s="136">
        <f>(IF((VLOOKUP(Table6[[#This Row],[SKU]],'All Skus'!$A:$AC,2,FALSE))="JBL",(VLOOKUP(Table6[[#This Row],[SKU]],'All Skus'!$A:$AC,20,FALSE)),""))</f>
        <v>11.5</v>
      </c>
      <c r="S372" s="61">
        <f>(IF((VLOOKUP(Table6[[#This Row],[SKU]],'All Skus'!$A:$AC,2,FALSE))="JBL",(VLOOKUP(Table6[[#This Row],[SKU]],'All Skus'!$A:$AC,21,FALSE)),""))</f>
        <v>16.5</v>
      </c>
      <c r="T372" s="61" t="str">
        <f>(IF((VLOOKUP(Table6[[#This Row],[SKU]],'All Skus'!$A:$AC,2,FALSE))="JBL",(VLOOKUP(Table6[[#This Row],[SKU]],'All Skus'!$A:$AC,22,FALSE)),""))</f>
        <v>MX</v>
      </c>
      <c r="U372" t="str">
        <f>(IF((VLOOKUP(Table6[[#This Row],[SKU]],'All Skus'!$A:$AC,2,FALSE))="JBL",(VLOOKUP(Table6[[#This Row],[SKU]],'All Skus'!$A:$AC,23,FALSE)),""))</f>
        <v>Compliant</v>
      </c>
      <c r="V372" s="284" t="str">
        <f>HYPERLINK((IF((VLOOKUP(Table6[[#This Row],[SKU]],'All Skus'!$A:$AC,2,FALSE))="JBL",(VLOOKUP(Table6[[#This Row],[SKU]],'All Skus'!$A:$AC,24,FALSE)),"")))</f>
        <v/>
      </c>
      <c r="W372" s="151">
        <v>370</v>
      </c>
    </row>
    <row r="373" spans="1:23" ht="15" hidden="1" customHeight="1">
      <c r="A373" s="13" t="s">
        <v>1379</v>
      </c>
      <c r="B373" s="12" t="str">
        <f>(IF((VLOOKUP(Table6[[#This Row],[SKU]],'All Skus'!$A:$AC,2,FALSE))="JBL",(VLOOKUP(Table6[[#This Row],[SKU]],'All Skus'!$A:$AC,3,FALSE)),""))</f>
        <v>AE Series</v>
      </c>
      <c r="C373" s="12" t="str">
        <f>(IF((VLOOKUP(Table6[[#This Row],[SKU]],'All Skus'!$A:$AC,2,FALSE))="JBL",(VLOOKUP(Table6[[#This Row],[SKU]],'All Skus'!$A:$AC,4,FALSE)),""))</f>
        <v>AC18/26-WH</v>
      </c>
      <c r="D373" s="61" t="str">
        <f>(IF((VLOOKUP(Table6[[#This Row],[SKU]],'All Skus'!$A:$AC,2,FALSE))="JBL",(VLOOKUP(Table6[[#This Row],[SKU]],'All Skus'!$A:$AC,5,FALSE)),""))</f>
        <v>JBL052</v>
      </c>
      <c r="E373" s="137">
        <f>(IF((VLOOKUP(Table6[[#This Row],[SKU]],'All Skus'!$A:$AC,2,FALSE))="JBL",(VLOOKUP(Table6[[#This Row],[SKU]],'All Skus'!$A:$AC,6,FALSE)),""))</f>
        <v>0</v>
      </c>
      <c r="F373" s="61">
        <f>(IF((VLOOKUP(Table6[[#This Row],[SKU]],'All Skus'!$A:$AC,2,FALSE))="JBL",(VLOOKUP(Table6[[#This Row],[SKU]],'All Skus'!$A:$AC,7,FALSE)),""))</f>
        <v>0</v>
      </c>
      <c r="G373" t="str">
        <f>(IF((VLOOKUP(Table6[[#This Row],[SKU]],'All Skus'!$A:$AC,2,FALSE))="JBL",(VLOOKUP(Table6[[#This Row],[SKU]],'All Skus'!$A:$AC,8,FALSE)),""))</f>
        <v>AC18/26 - SINGLE 8"2-WAY (white)</v>
      </c>
      <c r="H373" s="8" t="str">
        <f>(IF((VLOOKUP(Table6[[#This Row],[SKU]],'All Skus'!$A:$AC,2,FALSE))="JBL",(VLOOKUP(Table6[[#This Row],[SKU]],'All Skus'!$A:$AC,9,FALSE)),""))</f>
        <v>AC18/26 in white.</v>
      </c>
      <c r="I373" s="101">
        <f>(IF((VLOOKUP(Table6[[#This Row],[SKU]],'All Skus'!$A:$AC,2,FALSE))="JBL",(VLOOKUP(Table6[[#This Row],[SKU]],'All Skus'!$A:$AC,10,FALSE)),""))</f>
        <v>1375</v>
      </c>
      <c r="J373" s="101">
        <f>(IF((VLOOKUP(Table6[[#This Row],[SKU]],'All Skus'!$A:$AC,2,FALSE))="JBL",(VLOOKUP(Table6[[#This Row],[SKU]],'All Skus'!$A:$AC,11,FALSE)),""))</f>
        <v>1375</v>
      </c>
      <c r="K373" s="102">
        <f>(IF((VLOOKUP(Table6[[#This Row],[SKU]],'All Skus'!$A:$AC,2,FALSE))="JBL",(VLOOKUP(Table6[[#This Row],[SKU]],'All Skus'!$A:$AC,13,FALSE)),""))</f>
        <v>0</v>
      </c>
      <c r="L373" s="102">
        <f>(IF((VLOOKUP(Table6[[#This Row],[SKU]],'All Skus'!$A:$AC,2,FALSE))="JBL",(VLOOKUP(Table6[[#This Row],[SKU]],'All Skus'!$A:$AC,14,FALSE)),""))</f>
        <v>0</v>
      </c>
      <c r="M373" s="143">
        <f>(IF((VLOOKUP(Table6[[#This Row],[SKU]],'All Skus'!$A:$AC,2,FALSE))="JBL",(VLOOKUP(Table6[[#This Row],[SKU]],'All Skus'!$A:$AC,15,FALSE)),""))</f>
        <v>0</v>
      </c>
      <c r="N373" s="137">
        <f>(IF((VLOOKUP(Table6[[#This Row],[SKU]],'All Skus'!$A:$AC,2,FALSE))="JBL",(VLOOKUP(Table6[[#This Row],[SKU]],'All Skus'!$A:$AC,16,FALSE)),""))</f>
        <v>691991010620</v>
      </c>
      <c r="O373" s="61">
        <f>(IF((VLOOKUP(Table6[[#This Row],[SKU]],'All Skus'!$A:$AC,2,FALSE))="JBL",(VLOOKUP(Table6[[#This Row],[SKU]],'All Skus'!$A:$AC,17,FALSE)),""))</f>
        <v>0</v>
      </c>
      <c r="P373" s="136">
        <f>(IF((VLOOKUP(Table6[[#This Row],[SKU]],'All Skus'!$A:$AC,2,FALSE))="JBL",(VLOOKUP(Table6[[#This Row],[SKU]],'All Skus'!$A:$AC,18,FALSE)),""))</f>
        <v>29</v>
      </c>
      <c r="Q373" s="136">
        <f>(IF((VLOOKUP(Table6[[#This Row],[SKU]],'All Skus'!$A:$AC,2,FALSE))="JBL",(VLOOKUP(Table6[[#This Row],[SKU]],'All Skus'!$A:$AC,19,FALSE)),""))</f>
        <v>13</v>
      </c>
      <c r="R373" s="136">
        <f>(IF((VLOOKUP(Table6[[#This Row],[SKU]],'All Skus'!$A:$AC,2,FALSE))="JBL",(VLOOKUP(Table6[[#This Row],[SKU]],'All Skus'!$A:$AC,20,FALSE)),""))</f>
        <v>14</v>
      </c>
      <c r="S373" s="61">
        <f>(IF((VLOOKUP(Table6[[#This Row],[SKU]],'All Skus'!$A:$AC,2,FALSE))="JBL",(VLOOKUP(Table6[[#This Row],[SKU]],'All Skus'!$A:$AC,21,FALSE)),""))</f>
        <v>20</v>
      </c>
      <c r="T373" s="61" t="str">
        <f>(IF((VLOOKUP(Table6[[#This Row],[SKU]],'All Skus'!$A:$AC,2,FALSE))="JBL",(VLOOKUP(Table6[[#This Row],[SKU]],'All Skus'!$A:$AC,22,FALSE)),""))</f>
        <v>MX</v>
      </c>
      <c r="U373" t="str">
        <f>(IF((VLOOKUP(Table6[[#This Row],[SKU]],'All Skus'!$A:$AC,2,FALSE))="JBL",(VLOOKUP(Table6[[#This Row],[SKU]],'All Skus'!$A:$AC,23,FALSE)),""))</f>
        <v>Compliant</v>
      </c>
      <c r="V373" s="284" t="str">
        <f>HYPERLINK((IF((VLOOKUP(Table6[[#This Row],[SKU]],'All Skus'!$A:$AC,2,FALSE))="JBL",(VLOOKUP(Table6[[#This Row],[SKU]],'All Skus'!$A:$AC,24,FALSE)),"")))</f>
        <v/>
      </c>
      <c r="W373" s="151">
        <v>371</v>
      </c>
    </row>
    <row r="374" spans="1:23" ht="15" hidden="1" customHeight="1">
      <c r="A374" s="13" t="s">
        <v>1380</v>
      </c>
      <c r="B374" s="12" t="str">
        <f>(IF((VLOOKUP(Table6[[#This Row],[SKU]],'All Skus'!$A:$AC,2,FALSE))="JBL",(VLOOKUP(Table6[[#This Row],[SKU]],'All Skus'!$A:$AC,3,FALSE)),""))</f>
        <v>Custom Shop</v>
      </c>
      <c r="C374" s="12" t="str">
        <f>(IF((VLOOKUP(Table6[[#This Row],[SKU]],'All Skus'!$A:$AC,2,FALSE))="JBL",(VLOOKUP(Table6[[#This Row],[SKU]],'All Skus'!$A:$AC,4,FALSE)),""))</f>
        <v>AC18/26-WRC</v>
      </c>
      <c r="D374" s="61" t="str">
        <f>(IF((VLOOKUP(Table6[[#This Row],[SKU]],'All Skus'!$A:$AC,2,FALSE))="JBL",(VLOOKUP(Table6[[#This Row],[SKU]],'All Skus'!$A:$AC,5,FALSE)),""))</f>
        <v>JBL050</v>
      </c>
      <c r="E374" s="137" t="str">
        <f>(IF((VLOOKUP(Table6[[#This Row],[SKU]],'All Skus'!$A:$AC,2,FALSE))="JBL",(VLOOKUP(Table6[[#This Row],[SKU]],'All Skus'!$A:$AC,6,FALSE)),""))</f>
        <v>YES</v>
      </c>
      <c r="F374" s="61">
        <f>(IF((VLOOKUP(Table6[[#This Row],[SKU]],'All Skus'!$A:$AC,2,FALSE))="JBL",(VLOOKUP(Table6[[#This Row],[SKU]],'All Skus'!$A:$AC,7,FALSE)),""))</f>
        <v>0</v>
      </c>
      <c r="G374" t="str">
        <f>(IF((VLOOKUP(Table6[[#This Row],[SKU]],'All Skus'!$A:$AC,2,FALSE))="JBL",(VLOOKUP(Table6[[#This Row],[SKU]],'All Skus'!$A:$AC,8,FALSE)),""))</f>
        <v>AC18/26 - SINGLE 8"2-WAY (white)</v>
      </c>
      <c r="H374" s="8" t="str">
        <f>(IF((VLOOKUP(Table6[[#This Row],[SKU]],'All Skus'!$A:$AC,2,FALSE))="JBL",(VLOOKUP(Table6[[#This Row],[SKU]],'All Skus'!$A:$AC,9,FALSE)),""))</f>
        <v>Ultra-Compact 2-Way Loudspeaker with 1 x 5.25" LF.  90° x 90° Coverage, Passive.  Suspension Eyebolts Not Included.  Optional U-Bracket Model MTU-15.  Sold as 2 per carton.</v>
      </c>
      <c r="I374" s="101" t="str">
        <f>(IF((VLOOKUP(Table6[[#This Row],[SKU]],'All Skus'!$A:$AC,2,FALSE))="JBL",(VLOOKUP(Table6[[#This Row],[SKU]],'All Skus'!$A:$AC,10,FALSE)),""))</f>
        <v>Please email CustomAudio@harman.com for quote</v>
      </c>
      <c r="J374" s="101">
        <f>(IF((VLOOKUP(Table6[[#This Row],[SKU]],'All Skus'!$A:$AC,2,FALSE))="JBL",(VLOOKUP(Table6[[#This Row],[SKU]],'All Skus'!$A:$AC,11,FALSE)),""))</f>
        <v>0</v>
      </c>
      <c r="K374" s="102">
        <f>(IF((VLOOKUP(Table6[[#This Row],[SKU]],'All Skus'!$A:$AC,2,FALSE))="JBL",(VLOOKUP(Table6[[#This Row],[SKU]],'All Skus'!$A:$AC,13,FALSE)),""))</f>
        <v>0</v>
      </c>
      <c r="L374" s="102">
        <f>(IF((VLOOKUP(Table6[[#This Row],[SKU]],'All Skus'!$A:$AC,2,FALSE))="JBL",(VLOOKUP(Table6[[#This Row],[SKU]],'All Skus'!$A:$AC,14,FALSE)),""))</f>
        <v>0</v>
      </c>
      <c r="M374" s="143">
        <f>(IF((VLOOKUP(Table6[[#This Row],[SKU]],'All Skus'!$A:$AC,2,FALSE))="JBL",(VLOOKUP(Table6[[#This Row],[SKU]],'All Skus'!$A:$AC,15,FALSE)),""))</f>
        <v>0</v>
      </c>
      <c r="N374" s="137">
        <f>(IF((VLOOKUP(Table6[[#This Row],[SKU]],'All Skus'!$A:$AC,2,FALSE))="JBL",(VLOOKUP(Table6[[#This Row],[SKU]],'All Skus'!$A:$AC,16,FALSE)),""))</f>
        <v>691991010637</v>
      </c>
      <c r="O374" s="61">
        <f>(IF((VLOOKUP(Table6[[#This Row],[SKU]],'All Skus'!$A:$AC,2,FALSE))="JBL",(VLOOKUP(Table6[[#This Row],[SKU]],'All Skus'!$A:$AC,17,FALSE)),""))</f>
        <v>0</v>
      </c>
      <c r="P374" s="136">
        <f>(IF((VLOOKUP(Table6[[#This Row],[SKU]],'All Skus'!$A:$AC,2,FALSE))="JBL",(VLOOKUP(Table6[[#This Row],[SKU]],'All Skus'!$A:$AC,18,FALSE)),""))</f>
        <v>15</v>
      </c>
      <c r="Q374" s="136">
        <f>(IF((VLOOKUP(Table6[[#This Row],[SKU]],'All Skus'!$A:$AC,2,FALSE))="JBL",(VLOOKUP(Table6[[#This Row],[SKU]],'All Skus'!$A:$AC,19,FALSE)),""))</f>
        <v>12</v>
      </c>
      <c r="R374" s="136">
        <f>(IF((VLOOKUP(Table6[[#This Row],[SKU]],'All Skus'!$A:$AC,2,FALSE))="JBL",(VLOOKUP(Table6[[#This Row],[SKU]],'All Skus'!$A:$AC,20,FALSE)),""))</f>
        <v>14</v>
      </c>
      <c r="S374" s="61">
        <f>(IF((VLOOKUP(Table6[[#This Row],[SKU]],'All Skus'!$A:$AC,2,FALSE))="JBL",(VLOOKUP(Table6[[#This Row],[SKU]],'All Skus'!$A:$AC,21,FALSE)),""))</f>
        <v>22</v>
      </c>
      <c r="T374" s="61" t="str">
        <f>(IF((VLOOKUP(Table6[[#This Row],[SKU]],'All Skus'!$A:$AC,2,FALSE))="JBL",(VLOOKUP(Table6[[#This Row],[SKU]],'All Skus'!$A:$AC,22,FALSE)),""))</f>
        <v>ZZ</v>
      </c>
      <c r="U374">
        <f>(IF((VLOOKUP(Table6[[#This Row],[SKU]],'All Skus'!$A:$AC,2,FALSE))="JBL",(VLOOKUP(Table6[[#This Row],[SKU]],'All Skus'!$A:$AC,23,FALSE)),""))</f>
        <v>0</v>
      </c>
      <c r="V374" s="284" t="str">
        <f>HYPERLINK((IF((VLOOKUP(Table6[[#This Row],[SKU]],'All Skus'!$A:$AC,2,FALSE))="JBL",(VLOOKUP(Table6[[#This Row],[SKU]],'All Skus'!$A:$AC,24,FALSE)),"")))</f>
        <v/>
      </c>
      <c r="W374" s="151">
        <v>372</v>
      </c>
    </row>
    <row r="375" spans="1:23" ht="15" hidden="1" customHeight="1">
      <c r="A375" s="13" t="s">
        <v>1381</v>
      </c>
      <c r="B375" s="12" t="str">
        <f>(IF((VLOOKUP(Table6[[#This Row],[SKU]],'All Skus'!$A:$AC,2,FALSE))="JBL",(VLOOKUP(Table6[[#This Row],[SKU]],'All Skus'!$A:$AC,3,FALSE)),""))</f>
        <v>AE Series</v>
      </c>
      <c r="C375" s="12" t="str">
        <f>(IF((VLOOKUP(Table6[[#This Row],[SKU]],'All Skus'!$A:$AC,2,FALSE))="JBL",(VLOOKUP(Table6[[#This Row],[SKU]],'All Skus'!$A:$AC,4,FALSE)),""))</f>
        <v>AC18/95</v>
      </c>
      <c r="D375" s="61" t="str">
        <f>(IF((VLOOKUP(Table6[[#This Row],[SKU]],'All Skus'!$A:$AC,2,FALSE))="JBL",(VLOOKUP(Table6[[#This Row],[SKU]],'All Skus'!$A:$AC,5,FALSE)),""))</f>
        <v>JBL052</v>
      </c>
      <c r="E375" s="137">
        <f>(IF((VLOOKUP(Table6[[#This Row],[SKU]],'All Skus'!$A:$AC,2,FALSE))="JBL",(VLOOKUP(Table6[[#This Row],[SKU]],'All Skus'!$A:$AC,6,FALSE)),""))</f>
        <v>0</v>
      </c>
      <c r="F375" s="61">
        <f>(IF((VLOOKUP(Table6[[#This Row],[SKU]],'All Skus'!$A:$AC,2,FALSE))="JBL",(VLOOKUP(Table6[[#This Row],[SKU]],'All Skus'!$A:$AC,7,FALSE)),""))</f>
        <v>0</v>
      </c>
      <c r="G375" t="str">
        <f>(IF((VLOOKUP(Table6[[#This Row],[SKU]],'All Skus'!$A:$AC,2,FALSE))="JBL",(VLOOKUP(Table6[[#This Row],[SKU]],'All Skus'!$A:$AC,8,FALSE)),""))</f>
        <v>AC18/95 - SINGLE 8"2-WAY</v>
      </c>
      <c r="H375" s="8" t="str">
        <f>(IF((VLOOKUP(Table6[[#This Row],[SKU]],'All Skus'!$A:$AC,2,FALSE))="JBL",(VLOOKUP(Table6[[#This Row],[SKU]],'All Skus'!$A:$AC,9,FALSE)),""))</f>
        <v>Compact 2-Way Loudspeaker with 1 x 8" LF.  90° x 50° Coverage, Passive.  Compact  PT™ Progressive Transition™ Waveguide, Rotatable.  Suspension Eyebolts Not Included.  Optional U-Bracket Model MTU-18.</v>
      </c>
      <c r="I375" s="101">
        <f>(IF((VLOOKUP(Table6[[#This Row],[SKU]],'All Skus'!$A:$AC,2,FALSE))="JBL",(VLOOKUP(Table6[[#This Row],[SKU]],'All Skus'!$A:$AC,10,FALSE)),""))</f>
        <v>1375</v>
      </c>
      <c r="J375" s="101">
        <f>(IF((VLOOKUP(Table6[[#This Row],[SKU]],'All Skus'!$A:$AC,2,FALSE))="JBL",(VLOOKUP(Table6[[#This Row],[SKU]],'All Skus'!$A:$AC,11,FALSE)),""))</f>
        <v>1375</v>
      </c>
      <c r="K375" s="102">
        <f>(IF((VLOOKUP(Table6[[#This Row],[SKU]],'All Skus'!$A:$AC,2,FALSE))="JBL",(VLOOKUP(Table6[[#This Row],[SKU]],'All Skus'!$A:$AC,13,FALSE)),""))</f>
        <v>0</v>
      </c>
      <c r="L375" s="102">
        <f>(IF((VLOOKUP(Table6[[#This Row],[SKU]],'All Skus'!$A:$AC,2,FALSE))="JBL",(VLOOKUP(Table6[[#This Row],[SKU]],'All Skus'!$A:$AC,14,FALSE)),""))</f>
        <v>0</v>
      </c>
      <c r="M375" s="143">
        <f>(IF((VLOOKUP(Table6[[#This Row],[SKU]],'All Skus'!$A:$AC,2,FALSE))="JBL",(VLOOKUP(Table6[[#This Row],[SKU]],'All Skus'!$A:$AC,15,FALSE)),""))</f>
        <v>0</v>
      </c>
      <c r="N375" s="137">
        <f>(IF((VLOOKUP(Table6[[#This Row],[SKU]],'All Skus'!$A:$AC,2,FALSE))="JBL",(VLOOKUP(Table6[[#This Row],[SKU]],'All Skus'!$A:$AC,16,FALSE)),""))</f>
        <v>691991002113</v>
      </c>
      <c r="O375" s="61">
        <f>(IF((VLOOKUP(Table6[[#This Row],[SKU]],'All Skus'!$A:$AC,2,FALSE))="JBL",(VLOOKUP(Table6[[#This Row],[SKU]],'All Skus'!$A:$AC,17,FALSE)),""))</f>
        <v>0</v>
      </c>
      <c r="P375" s="136">
        <f>(IF((VLOOKUP(Table6[[#This Row],[SKU]],'All Skus'!$A:$AC,2,FALSE))="JBL",(VLOOKUP(Table6[[#This Row],[SKU]],'All Skus'!$A:$AC,18,FALSE)),""))</f>
        <v>28.35</v>
      </c>
      <c r="Q375" s="136">
        <f>(IF((VLOOKUP(Table6[[#This Row],[SKU]],'All Skus'!$A:$AC,2,FALSE))="JBL",(VLOOKUP(Table6[[#This Row],[SKU]],'All Skus'!$A:$AC,19,FALSE)),""))</f>
        <v>13.5</v>
      </c>
      <c r="R375" s="136">
        <f>(IF((VLOOKUP(Table6[[#This Row],[SKU]],'All Skus'!$A:$AC,2,FALSE))="JBL",(VLOOKUP(Table6[[#This Row],[SKU]],'All Skus'!$A:$AC,20,FALSE)),""))</f>
        <v>14</v>
      </c>
      <c r="S375" s="61">
        <f>(IF((VLOOKUP(Table6[[#This Row],[SKU]],'All Skus'!$A:$AC,2,FALSE))="JBL",(VLOOKUP(Table6[[#This Row],[SKU]],'All Skus'!$A:$AC,21,FALSE)),""))</f>
        <v>20.5</v>
      </c>
      <c r="T375" s="61" t="str">
        <f>(IF((VLOOKUP(Table6[[#This Row],[SKU]],'All Skus'!$A:$AC,2,FALSE))="JBL",(VLOOKUP(Table6[[#This Row],[SKU]],'All Skus'!$A:$AC,22,FALSE)),""))</f>
        <v>MX</v>
      </c>
      <c r="U375" t="str">
        <f>(IF((VLOOKUP(Table6[[#This Row],[SKU]],'All Skus'!$A:$AC,2,FALSE))="JBL",(VLOOKUP(Table6[[#This Row],[SKU]],'All Skus'!$A:$AC,23,FALSE)),""))</f>
        <v>Compliant</v>
      </c>
      <c r="V375" s="284" t="str">
        <f>HYPERLINK((IF((VLOOKUP(Table6[[#This Row],[SKU]],'All Skus'!$A:$AC,2,FALSE))="JBL",(VLOOKUP(Table6[[#This Row],[SKU]],'All Skus'!$A:$AC,24,FALSE)),"")))</f>
        <v/>
      </c>
      <c r="W375" s="151">
        <v>373</v>
      </c>
    </row>
    <row r="376" spans="1:23" ht="15" hidden="1" customHeight="1">
      <c r="A376" s="13" t="s">
        <v>1382</v>
      </c>
      <c r="B376" s="12" t="str">
        <f>(IF((VLOOKUP(Table6[[#This Row],[SKU]],'All Skus'!$A:$AC,2,FALSE))="JBL",(VLOOKUP(Table6[[#This Row],[SKU]],'All Skus'!$A:$AC,3,FALSE)),""))</f>
        <v>AE Series</v>
      </c>
      <c r="C376" s="12" t="str">
        <f>(IF((VLOOKUP(Table6[[#This Row],[SKU]],'All Skus'!$A:$AC,2,FALSE))="JBL",(VLOOKUP(Table6[[#This Row],[SKU]],'All Skus'!$A:$AC,4,FALSE)),""))</f>
        <v>AC18/95-WH</v>
      </c>
      <c r="D376" s="61" t="str">
        <f>(IF((VLOOKUP(Table6[[#This Row],[SKU]],'All Skus'!$A:$AC,2,FALSE))="JBL",(VLOOKUP(Table6[[#This Row],[SKU]],'All Skus'!$A:$AC,5,FALSE)),""))</f>
        <v>JBL052</v>
      </c>
      <c r="E376" s="137">
        <f>(IF((VLOOKUP(Table6[[#This Row],[SKU]],'All Skus'!$A:$AC,2,FALSE))="JBL",(VLOOKUP(Table6[[#This Row],[SKU]],'All Skus'!$A:$AC,6,FALSE)),""))</f>
        <v>0</v>
      </c>
      <c r="F376" s="61">
        <f>(IF((VLOOKUP(Table6[[#This Row],[SKU]],'All Skus'!$A:$AC,2,FALSE))="JBL",(VLOOKUP(Table6[[#This Row],[SKU]],'All Skus'!$A:$AC,7,FALSE)),""))</f>
        <v>0</v>
      </c>
      <c r="G376" t="str">
        <f>(IF((VLOOKUP(Table6[[#This Row],[SKU]],'All Skus'!$A:$AC,2,FALSE))="JBL",(VLOOKUP(Table6[[#This Row],[SKU]],'All Skus'!$A:$AC,8,FALSE)),""))</f>
        <v>AC18/95 - SINGLE 8"2-WAY (white)</v>
      </c>
      <c r="H376" s="8" t="str">
        <f>(IF((VLOOKUP(Table6[[#This Row],[SKU]],'All Skus'!$A:$AC,2,FALSE))="JBL",(VLOOKUP(Table6[[#This Row],[SKU]],'All Skus'!$A:$AC,9,FALSE)),""))</f>
        <v>AC18/95 in white.</v>
      </c>
      <c r="I376" s="101">
        <f>(IF((VLOOKUP(Table6[[#This Row],[SKU]],'All Skus'!$A:$AC,2,FALSE))="JBL",(VLOOKUP(Table6[[#This Row],[SKU]],'All Skus'!$A:$AC,10,FALSE)),""))</f>
        <v>1375</v>
      </c>
      <c r="J376" s="101">
        <f>(IF((VLOOKUP(Table6[[#This Row],[SKU]],'All Skus'!$A:$AC,2,FALSE))="JBL",(VLOOKUP(Table6[[#This Row],[SKU]],'All Skus'!$A:$AC,11,FALSE)),""))</f>
        <v>1375</v>
      </c>
      <c r="K376" s="102">
        <f>(IF((VLOOKUP(Table6[[#This Row],[SKU]],'All Skus'!$A:$AC,2,FALSE))="JBL",(VLOOKUP(Table6[[#This Row],[SKU]],'All Skus'!$A:$AC,13,FALSE)),""))</f>
        <v>0</v>
      </c>
      <c r="L376" s="102">
        <f>(IF((VLOOKUP(Table6[[#This Row],[SKU]],'All Skus'!$A:$AC,2,FALSE))="JBL",(VLOOKUP(Table6[[#This Row],[SKU]],'All Skus'!$A:$AC,14,FALSE)),""))</f>
        <v>0</v>
      </c>
      <c r="M376" s="143">
        <f>(IF((VLOOKUP(Table6[[#This Row],[SKU]],'All Skus'!$A:$AC,2,FALSE))="JBL",(VLOOKUP(Table6[[#This Row],[SKU]],'All Skus'!$A:$AC,15,FALSE)),""))</f>
        <v>0</v>
      </c>
      <c r="N376" s="137">
        <f>(IF((VLOOKUP(Table6[[#This Row],[SKU]],'All Skus'!$A:$AC,2,FALSE))="JBL",(VLOOKUP(Table6[[#This Row],[SKU]],'All Skus'!$A:$AC,16,FALSE)),""))</f>
        <v>691991002106</v>
      </c>
      <c r="O376" s="61">
        <f>(IF((VLOOKUP(Table6[[#This Row],[SKU]],'All Skus'!$A:$AC,2,FALSE))="JBL",(VLOOKUP(Table6[[#This Row],[SKU]],'All Skus'!$A:$AC,17,FALSE)),""))</f>
        <v>0</v>
      </c>
      <c r="P376" s="136">
        <f>(IF((VLOOKUP(Table6[[#This Row],[SKU]],'All Skus'!$A:$AC,2,FALSE))="JBL",(VLOOKUP(Table6[[#This Row],[SKU]],'All Skus'!$A:$AC,18,FALSE)),""))</f>
        <v>29</v>
      </c>
      <c r="Q376" s="136">
        <f>(IF((VLOOKUP(Table6[[#This Row],[SKU]],'All Skus'!$A:$AC,2,FALSE))="JBL",(VLOOKUP(Table6[[#This Row],[SKU]],'All Skus'!$A:$AC,19,FALSE)),""))</f>
        <v>14</v>
      </c>
      <c r="R376" s="136">
        <f>(IF((VLOOKUP(Table6[[#This Row],[SKU]],'All Skus'!$A:$AC,2,FALSE))="JBL",(VLOOKUP(Table6[[#This Row],[SKU]],'All Skus'!$A:$AC,20,FALSE)),""))</f>
        <v>13</v>
      </c>
      <c r="S376" s="61">
        <f>(IF((VLOOKUP(Table6[[#This Row],[SKU]],'All Skus'!$A:$AC,2,FALSE))="JBL",(VLOOKUP(Table6[[#This Row],[SKU]],'All Skus'!$A:$AC,21,FALSE)),""))</f>
        <v>20</v>
      </c>
      <c r="T376" s="61" t="str">
        <f>(IF((VLOOKUP(Table6[[#This Row],[SKU]],'All Skus'!$A:$AC,2,FALSE))="JBL",(VLOOKUP(Table6[[#This Row],[SKU]],'All Skus'!$A:$AC,22,FALSE)),""))</f>
        <v>MX</v>
      </c>
      <c r="U376" t="str">
        <f>(IF((VLOOKUP(Table6[[#This Row],[SKU]],'All Skus'!$A:$AC,2,FALSE))="JBL",(VLOOKUP(Table6[[#This Row],[SKU]],'All Skus'!$A:$AC,23,FALSE)),""))</f>
        <v>Compliant</v>
      </c>
      <c r="V376" s="284" t="str">
        <f>HYPERLINK((IF((VLOOKUP(Table6[[#This Row],[SKU]],'All Skus'!$A:$AC,2,FALSE))="JBL",(VLOOKUP(Table6[[#This Row],[SKU]],'All Skus'!$A:$AC,24,FALSE)),"")))</f>
        <v/>
      </c>
      <c r="W376" s="151">
        <v>374</v>
      </c>
    </row>
    <row r="377" spans="1:23" ht="15" hidden="1" customHeight="1">
      <c r="A377" s="13" t="s">
        <v>1383</v>
      </c>
      <c r="B377" s="12" t="str">
        <f>(IF((VLOOKUP(Table6[[#This Row],[SKU]],'All Skus'!$A:$AC,2,FALSE))="JBL",(VLOOKUP(Table6[[#This Row],[SKU]],'All Skus'!$A:$AC,3,FALSE)),""))</f>
        <v>Custom Shop Item</v>
      </c>
      <c r="C377" s="12" t="str">
        <f>(IF((VLOOKUP(Table6[[#This Row],[SKU]],'All Skus'!$A:$AC,2,FALSE))="JBL",(VLOOKUP(Table6[[#This Row],[SKU]],'All Skus'!$A:$AC,4,FALSE)),""))</f>
        <v>AC18/95-WRX</v>
      </c>
      <c r="D377" s="61" t="str">
        <f>(IF((VLOOKUP(Table6[[#This Row],[SKU]],'All Skus'!$A:$AC,2,FALSE))="JBL",(VLOOKUP(Table6[[#This Row],[SKU]],'All Skus'!$A:$AC,5,FALSE)),""))</f>
        <v>JBL050</v>
      </c>
      <c r="E377" s="137" t="str">
        <f>(IF((VLOOKUP(Table6[[#This Row],[SKU]],'All Skus'!$A:$AC,2,FALSE))="JBL",(VLOOKUP(Table6[[#This Row],[SKU]],'All Skus'!$A:$AC,6,FALSE)),""))</f>
        <v>YES</v>
      </c>
      <c r="F377" s="61">
        <f>(IF((VLOOKUP(Table6[[#This Row],[SKU]],'All Skus'!$A:$AC,2,FALSE))="JBL",(VLOOKUP(Table6[[#This Row],[SKU]],'All Skus'!$A:$AC,7,FALSE)),""))</f>
        <v>0</v>
      </c>
      <c r="G377" t="str">
        <f>(IF((VLOOKUP(Table6[[#This Row],[SKU]],'All Skus'!$A:$AC,2,FALSE))="JBL",(VLOOKUP(Table6[[#This Row],[SKU]],'All Skus'!$A:$AC,8,FALSE)),""))</f>
        <v>AC18/95 - SINGLE 8"2-WAY (Extreme Weather Protection Treatment)</v>
      </c>
      <c r="H377" s="8" t="str">
        <f>(IF((VLOOKUP(Table6[[#This Row],[SKU]],'All Skus'!$A:$AC,2,FALSE))="JBL",(VLOOKUP(Table6[[#This Row],[SKU]],'All Skus'!$A:$AC,9,FALSE)),""))</f>
        <v xml:space="preserve">Compact 2-Way Loudspeaker with 1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v>
      </c>
      <c r="I377" s="101" t="str">
        <f>(IF((VLOOKUP(Table6[[#This Row],[SKU]],'All Skus'!$A:$AC,2,FALSE))="JBL",(VLOOKUP(Table6[[#This Row],[SKU]],'All Skus'!$A:$AC,10,FALSE)),""))</f>
        <v>Please email CustomAudio@harman.com for quote</v>
      </c>
      <c r="J377" s="101">
        <f>(IF((VLOOKUP(Table6[[#This Row],[SKU]],'All Skus'!$A:$AC,2,FALSE))="JBL",(VLOOKUP(Table6[[#This Row],[SKU]],'All Skus'!$A:$AC,11,FALSE)),""))</f>
        <v>0</v>
      </c>
      <c r="K377" s="102">
        <f>(IF((VLOOKUP(Table6[[#This Row],[SKU]],'All Skus'!$A:$AC,2,FALSE))="JBL",(VLOOKUP(Table6[[#This Row],[SKU]],'All Skus'!$A:$AC,13,FALSE)),""))</f>
        <v>0</v>
      </c>
      <c r="L377" s="102">
        <f>(IF((VLOOKUP(Table6[[#This Row],[SKU]],'All Skus'!$A:$AC,2,FALSE))="JBL",(VLOOKUP(Table6[[#This Row],[SKU]],'All Skus'!$A:$AC,14,FALSE)),""))</f>
        <v>0</v>
      </c>
      <c r="M377" s="143">
        <f>(IF((VLOOKUP(Table6[[#This Row],[SKU]],'All Skus'!$A:$AC,2,FALSE))="JBL",(VLOOKUP(Table6[[#This Row],[SKU]],'All Skus'!$A:$AC,15,FALSE)),""))</f>
        <v>0</v>
      </c>
      <c r="N377" s="137">
        <f>(IF((VLOOKUP(Table6[[#This Row],[SKU]],'All Skus'!$A:$AC,2,FALSE))="JBL",(VLOOKUP(Table6[[#This Row],[SKU]],'All Skus'!$A:$AC,16,FALSE)),""))</f>
        <v>0</v>
      </c>
      <c r="O377" s="61">
        <f>(IF((VLOOKUP(Table6[[#This Row],[SKU]],'All Skus'!$A:$AC,2,FALSE))="JBL",(VLOOKUP(Table6[[#This Row],[SKU]],'All Skus'!$A:$AC,17,FALSE)),""))</f>
        <v>0</v>
      </c>
      <c r="P377" s="136">
        <f>(IF((VLOOKUP(Table6[[#This Row],[SKU]],'All Skus'!$A:$AC,2,FALSE))="JBL",(VLOOKUP(Table6[[#This Row],[SKU]],'All Skus'!$A:$AC,18,FALSE)),""))</f>
        <v>35</v>
      </c>
      <c r="Q377" s="136">
        <f>(IF((VLOOKUP(Table6[[#This Row],[SKU]],'All Skus'!$A:$AC,2,FALSE))="JBL",(VLOOKUP(Table6[[#This Row],[SKU]],'All Skus'!$A:$AC,19,FALSE)),""))</f>
        <v>16</v>
      </c>
      <c r="R377" s="136">
        <f>(IF((VLOOKUP(Table6[[#This Row],[SKU]],'All Skus'!$A:$AC,2,FALSE))="JBL",(VLOOKUP(Table6[[#This Row],[SKU]],'All Skus'!$A:$AC,20,FALSE)),""))</f>
        <v>15</v>
      </c>
      <c r="S377" s="61">
        <f>(IF((VLOOKUP(Table6[[#This Row],[SKU]],'All Skus'!$A:$AC,2,FALSE))="JBL",(VLOOKUP(Table6[[#This Row],[SKU]],'All Skus'!$A:$AC,21,FALSE)),""))</f>
        <v>21</v>
      </c>
      <c r="T377" s="61" t="str">
        <f>(IF((VLOOKUP(Table6[[#This Row],[SKU]],'All Skus'!$A:$AC,2,FALSE))="JBL",(VLOOKUP(Table6[[#This Row],[SKU]],'All Skus'!$A:$AC,22,FALSE)),""))</f>
        <v>MX</v>
      </c>
      <c r="U377" t="str">
        <f>(IF((VLOOKUP(Table6[[#This Row],[SKU]],'All Skus'!$A:$AC,2,FALSE))="JBL",(VLOOKUP(Table6[[#This Row],[SKU]],'All Skus'!$A:$AC,23,FALSE)),""))</f>
        <v>Compliant</v>
      </c>
      <c r="V377" s="284" t="str">
        <f>HYPERLINK((IF((VLOOKUP(Table6[[#This Row],[SKU]],'All Skus'!$A:$AC,2,FALSE))="JBL",(VLOOKUP(Table6[[#This Row],[SKU]],'All Skus'!$A:$AC,24,FALSE)),"")))</f>
        <v/>
      </c>
      <c r="W377" s="151">
        <v>375</v>
      </c>
    </row>
    <row r="378" spans="1:23" ht="15" hidden="1" customHeight="1">
      <c r="A378" s="13" t="s">
        <v>1384</v>
      </c>
      <c r="B378" s="12" t="str">
        <f>(IF((VLOOKUP(Table6[[#This Row],[SKU]],'All Skus'!$A:$AC,2,FALSE))="JBL",(VLOOKUP(Table6[[#This Row],[SKU]],'All Skus'!$A:$AC,3,FALSE)),""))</f>
        <v>Custom Shop Item</v>
      </c>
      <c r="C378" s="12" t="str">
        <f>(IF((VLOOKUP(Table6[[#This Row],[SKU]],'All Skus'!$A:$AC,2,FALSE))="JBL",(VLOOKUP(Table6[[#This Row],[SKU]],'All Skus'!$A:$AC,4,FALSE)),""))</f>
        <v>AC18/95-WRC</v>
      </c>
      <c r="D378" s="61">
        <f>(IF((VLOOKUP(Table6[[#This Row],[SKU]],'All Skus'!$A:$AC,2,FALSE))="JBL",(VLOOKUP(Table6[[#This Row],[SKU]],'All Skus'!$A:$AC,5,FALSE)),""))</f>
        <v>0</v>
      </c>
      <c r="E378" s="137" t="str">
        <f>(IF((VLOOKUP(Table6[[#This Row],[SKU]],'All Skus'!$A:$AC,2,FALSE))="JBL",(VLOOKUP(Table6[[#This Row],[SKU]],'All Skus'!$A:$AC,6,FALSE)),""))</f>
        <v>YES</v>
      </c>
      <c r="F378" s="61">
        <f>(IF((VLOOKUP(Table6[[#This Row],[SKU]],'All Skus'!$A:$AC,2,FALSE))="JBL",(VLOOKUP(Table6[[#This Row],[SKU]],'All Skus'!$A:$AC,7,FALSE)),""))</f>
        <v>0</v>
      </c>
      <c r="G378" t="str">
        <f>(IF((VLOOKUP(Table6[[#This Row],[SKU]],'All Skus'!$A:$AC,2,FALSE))="JBL",(VLOOKUP(Table6[[#This Row],[SKU]],'All Skus'!$A:$AC,8,FALSE)),""))</f>
        <v>AC18/95 - SINGLE 8"2-WAY (Extreme Weather Protection Treatment)</v>
      </c>
      <c r="H378" s="8" t="str">
        <f>(IF((VLOOKUP(Table6[[#This Row],[SKU]],'All Skus'!$A:$AC,2,FALSE))="JBL",(VLOOKUP(Table6[[#This Row],[SKU]],'All Skus'!$A:$AC,9,FALSE)),""))</f>
        <v>Ultra-Compact 2-Way Loudspeaker with 1 x 5.25" LF.  90° x 90° Coverage, Passive.  Suspension Eyebolts Not Included.  Optional U-Bracket Model MTU-15.  Sold as 2 per carton.</v>
      </c>
      <c r="I378" s="101" t="str">
        <f>(IF((VLOOKUP(Table6[[#This Row],[SKU]],'All Skus'!$A:$AC,2,FALSE))="JBL",(VLOOKUP(Table6[[#This Row],[SKU]],'All Skus'!$A:$AC,10,FALSE)),""))</f>
        <v>Please email CustomAudio@harman.com for quote</v>
      </c>
      <c r="J378" s="101">
        <f>(IF((VLOOKUP(Table6[[#This Row],[SKU]],'All Skus'!$A:$AC,2,FALSE))="JBL",(VLOOKUP(Table6[[#This Row],[SKU]],'All Skus'!$A:$AC,11,FALSE)),""))</f>
        <v>0</v>
      </c>
      <c r="K378" s="102">
        <f>(IF((VLOOKUP(Table6[[#This Row],[SKU]],'All Skus'!$A:$AC,2,FALSE))="JBL",(VLOOKUP(Table6[[#This Row],[SKU]],'All Skus'!$A:$AC,13,FALSE)),""))</f>
        <v>0</v>
      </c>
      <c r="L378" s="102">
        <f>(IF((VLOOKUP(Table6[[#This Row],[SKU]],'All Skus'!$A:$AC,2,FALSE))="JBL",(VLOOKUP(Table6[[#This Row],[SKU]],'All Skus'!$A:$AC,14,FALSE)),""))</f>
        <v>0</v>
      </c>
      <c r="M378" s="143">
        <f>(IF((VLOOKUP(Table6[[#This Row],[SKU]],'All Skus'!$A:$AC,2,FALSE))="JBL",(VLOOKUP(Table6[[#This Row],[SKU]],'All Skus'!$A:$AC,15,FALSE)),""))</f>
        <v>0</v>
      </c>
      <c r="N378" s="137">
        <f>(IF((VLOOKUP(Table6[[#This Row],[SKU]],'All Skus'!$A:$AC,2,FALSE))="JBL",(VLOOKUP(Table6[[#This Row],[SKU]],'All Skus'!$A:$AC,16,FALSE)),""))</f>
        <v>691991028984</v>
      </c>
      <c r="O378" s="61">
        <f>(IF((VLOOKUP(Table6[[#This Row],[SKU]],'All Skus'!$A:$AC,2,FALSE))="JBL",(VLOOKUP(Table6[[#This Row],[SKU]],'All Skus'!$A:$AC,17,FALSE)),""))</f>
        <v>0</v>
      </c>
      <c r="P378" s="136">
        <f>(IF((VLOOKUP(Table6[[#This Row],[SKU]],'All Skus'!$A:$AC,2,FALSE))="JBL",(VLOOKUP(Table6[[#This Row],[SKU]],'All Skus'!$A:$AC,18,FALSE)),""))</f>
        <v>0</v>
      </c>
      <c r="Q378" s="136">
        <f>(IF((VLOOKUP(Table6[[#This Row],[SKU]],'All Skus'!$A:$AC,2,FALSE))="JBL",(VLOOKUP(Table6[[#This Row],[SKU]],'All Skus'!$A:$AC,19,FALSE)),""))</f>
        <v>0</v>
      </c>
      <c r="R378" s="136">
        <f>(IF((VLOOKUP(Table6[[#This Row],[SKU]],'All Skus'!$A:$AC,2,FALSE))="JBL",(VLOOKUP(Table6[[#This Row],[SKU]],'All Skus'!$A:$AC,20,FALSE)),""))</f>
        <v>0</v>
      </c>
      <c r="S378" s="61">
        <f>(IF((VLOOKUP(Table6[[#This Row],[SKU]],'All Skus'!$A:$AC,2,FALSE))="JBL",(VLOOKUP(Table6[[#This Row],[SKU]],'All Skus'!$A:$AC,21,FALSE)),""))</f>
        <v>0</v>
      </c>
      <c r="T378" s="61" t="str">
        <f>(IF((VLOOKUP(Table6[[#This Row],[SKU]],'All Skus'!$A:$AC,2,FALSE))="JBL",(VLOOKUP(Table6[[#This Row],[SKU]],'All Skus'!$A:$AC,22,FALSE)),""))</f>
        <v>MX</v>
      </c>
      <c r="U378" t="str">
        <f>(IF((VLOOKUP(Table6[[#This Row],[SKU]],'All Skus'!$A:$AC,2,FALSE))="JBL",(VLOOKUP(Table6[[#This Row],[SKU]],'All Skus'!$A:$AC,23,FALSE)),""))</f>
        <v>Compliant</v>
      </c>
      <c r="V378" s="284" t="str">
        <f>HYPERLINK((IF((VLOOKUP(Table6[[#This Row],[SKU]],'All Skus'!$A:$AC,2,FALSE))="JBL",(VLOOKUP(Table6[[#This Row],[SKU]],'All Skus'!$A:$AC,24,FALSE)),"")))</f>
        <v/>
      </c>
      <c r="W378" s="151">
        <v>376</v>
      </c>
    </row>
    <row r="379" spans="1:23" ht="15" hidden="1" customHeight="1">
      <c r="A379" s="13" t="s">
        <v>1385</v>
      </c>
      <c r="B379" s="12" t="str">
        <f>(IF((VLOOKUP(Table6[[#This Row],[SKU]],'All Skus'!$A:$AC,2,FALSE))="JBL",(VLOOKUP(Table6[[#This Row],[SKU]],'All Skus'!$A:$AC,3,FALSE)),""))</f>
        <v>AE Series</v>
      </c>
      <c r="C379" s="12" t="str">
        <f>(IF((VLOOKUP(Table6[[#This Row],[SKU]],'All Skus'!$A:$AC,2,FALSE))="JBL",(VLOOKUP(Table6[[#This Row],[SKU]],'All Skus'!$A:$AC,4,FALSE)),""))</f>
        <v>AC25</v>
      </c>
      <c r="D379" s="61" t="str">
        <f>(IF((VLOOKUP(Table6[[#This Row],[SKU]],'All Skus'!$A:$AC,2,FALSE))="JBL",(VLOOKUP(Table6[[#This Row],[SKU]],'All Skus'!$A:$AC,5,FALSE)),""))</f>
        <v>JBL052</v>
      </c>
      <c r="E379" s="137">
        <f>(IF((VLOOKUP(Table6[[#This Row],[SKU]],'All Skus'!$A:$AC,2,FALSE))="JBL",(VLOOKUP(Table6[[#This Row],[SKU]],'All Skus'!$A:$AC,6,FALSE)),""))</f>
        <v>0</v>
      </c>
      <c r="F379" s="61">
        <f>(IF((VLOOKUP(Table6[[#This Row],[SKU]],'All Skus'!$A:$AC,2,FALSE))="JBL",(VLOOKUP(Table6[[#This Row],[SKU]],'All Skus'!$A:$AC,7,FALSE)),""))</f>
        <v>0</v>
      </c>
      <c r="G379" t="str">
        <f>(IF((VLOOKUP(Table6[[#This Row],[SKU]],'All Skus'!$A:$AC,2,FALSE))="JBL",(VLOOKUP(Table6[[#This Row],[SKU]],'All Skus'!$A:$AC,8,FALSE)),""))</f>
        <v>AC25 - Dual   5.25" 2way</v>
      </c>
      <c r="H379" s="8" t="str">
        <f>(IF((VLOOKUP(Table6[[#This Row],[SKU]],'All Skus'!$A:$AC,2,FALSE))="JBL",(VLOOKUP(Table6[[#This Row],[SKU]],'All Skus'!$A:$AC,9,FALSE)),""))</f>
        <v>Ultra-Compact 2-Way Loudspeaker with 2 x 5.25" LF.  90° x 90° Coverage, Passive.  Suspension Eyebolts Not Included.  Optional U-Bracket Model MTU-25.</v>
      </c>
      <c r="I379" s="101">
        <f>(IF((VLOOKUP(Table6[[#This Row],[SKU]],'All Skus'!$A:$AC,2,FALSE))="JBL",(VLOOKUP(Table6[[#This Row],[SKU]],'All Skus'!$A:$AC,10,FALSE)),""))</f>
        <v>1040</v>
      </c>
      <c r="J379" s="101">
        <f>(IF((VLOOKUP(Table6[[#This Row],[SKU]],'All Skus'!$A:$AC,2,FALSE))="JBL",(VLOOKUP(Table6[[#This Row],[SKU]],'All Skus'!$A:$AC,11,FALSE)),""))</f>
        <v>1040</v>
      </c>
      <c r="K379" s="102">
        <f>(IF((VLOOKUP(Table6[[#This Row],[SKU]],'All Skus'!$A:$AC,2,FALSE))="JBL",(VLOOKUP(Table6[[#This Row],[SKU]],'All Skus'!$A:$AC,13,FALSE)),""))</f>
        <v>0</v>
      </c>
      <c r="L379" s="102">
        <f>(IF((VLOOKUP(Table6[[#This Row],[SKU]],'All Skus'!$A:$AC,2,FALSE))="JBL",(VLOOKUP(Table6[[#This Row],[SKU]],'All Skus'!$A:$AC,14,FALSE)),""))</f>
        <v>0</v>
      </c>
      <c r="M379" s="143">
        <f>(IF((VLOOKUP(Table6[[#This Row],[SKU]],'All Skus'!$A:$AC,2,FALSE))="JBL",(VLOOKUP(Table6[[#This Row],[SKU]],'All Skus'!$A:$AC,15,FALSE)),""))</f>
        <v>0</v>
      </c>
      <c r="N379" s="137">
        <f>(IF((VLOOKUP(Table6[[#This Row],[SKU]],'All Skus'!$A:$AC,2,FALSE))="JBL",(VLOOKUP(Table6[[#This Row],[SKU]],'All Skus'!$A:$AC,16,FALSE)),""))</f>
        <v>691991010842</v>
      </c>
      <c r="O379" s="61">
        <f>(IF((VLOOKUP(Table6[[#This Row],[SKU]],'All Skus'!$A:$AC,2,FALSE))="JBL",(VLOOKUP(Table6[[#This Row],[SKU]],'All Skus'!$A:$AC,17,FALSE)),""))</f>
        <v>0</v>
      </c>
      <c r="P379" s="136">
        <f>(IF((VLOOKUP(Table6[[#This Row],[SKU]],'All Skus'!$A:$AC,2,FALSE))="JBL",(VLOOKUP(Table6[[#This Row],[SKU]],'All Skus'!$A:$AC,18,FALSE)),""))</f>
        <v>18</v>
      </c>
      <c r="Q379" s="136">
        <f>(IF((VLOOKUP(Table6[[#This Row],[SKU]],'All Skus'!$A:$AC,2,FALSE))="JBL",(VLOOKUP(Table6[[#This Row],[SKU]],'All Skus'!$A:$AC,19,FALSE)),""))</f>
        <v>10</v>
      </c>
      <c r="R379" s="136">
        <f>(IF((VLOOKUP(Table6[[#This Row],[SKU]],'All Skus'!$A:$AC,2,FALSE))="JBL",(VLOOKUP(Table6[[#This Row],[SKU]],'All Skus'!$A:$AC,20,FALSE)),""))</f>
        <v>10</v>
      </c>
      <c r="S379" s="61">
        <f>(IF((VLOOKUP(Table6[[#This Row],[SKU]],'All Skus'!$A:$AC,2,FALSE))="JBL",(VLOOKUP(Table6[[#This Row],[SKU]],'All Skus'!$A:$AC,21,FALSE)),""))</f>
        <v>16</v>
      </c>
      <c r="T379" s="61" t="str">
        <f>(IF((VLOOKUP(Table6[[#This Row],[SKU]],'All Skus'!$A:$AC,2,FALSE))="JBL",(VLOOKUP(Table6[[#This Row],[SKU]],'All Skus'!$A:$AC,22,FALSE)),""))</f>
        <v>MX</v>
      </c>
      <c r="U379" t="str">
        <f>(IF((VLOOKUP(Table6[[#This Row],[SKU]],'All Skus'!$A:$AC,2,FALSE))="JBL",(VLOOKUP(Table6[[#This Row],[SKU]],'All Skus'!$A:$AC,23,FALSE)),""))</f>
        <v>Compliant</v>
      </c>
      <c r="V379" s="284" t="str">
        <f>HYPERLINK((IF((VLOOKUP(Table6[[#This Row],[SKU]],'All Skus'!$A:$AC,2,FALSE))="JBL",(VLOOKUP(Table6[[#This Row],[SKU]],'All Skus'!$A:$AC,24,FALSE)),"")))</f>
        <v/>
      </c>
      <c r="W379" s="151">
        <v>377</v>
      </c>
    </row>
    <row r="380" spans="1:23" ht="15" hidden="1" customHeight="1">
      <c r="A380" s="13" t="s">
        <v>1386</v>
      </c>
      <c r="B380" s="12" t="str">
        <f>(IF((VLOOKUP(Table6[[#This Row],[SKU]],'All Skus'!$A:$AC,2,FALSE))="JBL",(VLOOKUP(Table6[[#This Row],[SKU]],'All Skus'!$A:$AC,3,FALSE)),""))</f>
        <v>AE Series</v>
      </c>
      <c r="C380" s="12" t="str">
        <f>(IF((VLOOKUP(Table6[[#This Row],[SKU]],'All Skus'!$A:$AC,2,FALSE))="JBL",(VLOOKUP(Table6[[#This Row],[SKU]],'All Skus'!$A:$AC,4,FALSE)),""))</f>
        <v>AC25-WH</v>
      </c>
      <c r="D380" s="61" t="str">
        <f>(IF((VLOOKUP(Table6[[#This Row],[SKU]],'All Skus'!$A:$AC,2,FALSE))="JBL",(VLOOKUP(Table6[[#This Row],[SKU]],'All Skus'!$A:$AC,5,FALSE)),""))</f>
        <v>JBL052</v>
      </c>
      <c r="E380" s="137">
        <f>(IF((VLOOKUP(Table6[[#This Row],[SKU]],'All Skus'!$A:$AC,2,FALSE))="JBL",(VLOOKUP(Table6[[#This Row],[SKU]],'All Skus'!$A:$AC,6,FALSE)),""))</f>
        <v>0</v>
      </c>
      <c r="F380" s="61">
        <f>(IF((VLOOKUP(Table6[[#This Row],[SKU]],'All Skus'!$A:$AC,2,FALSE))="JBL",(VLOOKUP(Table6[[#This Row],[SKU]],'All Skus'!$A:$AC,7,FALSE)),""))</f>
        <v>0</v>
      </c>
      <c r="G380" t="str">
        <f>(IF((VLOOKUP(Table6[[#This Row],[SKU]],'All Skus'!$A:$AC,2,FALSE))="JBL",(VLOOKUP(Table6[[#This Row],[SKU]],'All Skus'!$A:$AC,8,FALSE)),""))</f>
        <v>AC25 - Dual   5.25" 2way (white)</v>
      </c>
      <c r="H380" s="8" t="str">
        <f>(IF((VLOOKUP(Table6[[#This Row],[SKU]],'All Skus'!$A:$AC,2,FALSE))="JBL",(VLOOKUP(Table6[[#This Row],[SKU]],'All Skus'!$A:$AC,9,FALSE)),""))</f>
        <v>AC25 in white.</v>
      </c>
      <c r="I380" s="101">
        <f>(IF((VLOOKUP(Table6[[#This Row],[SKU]],'All Skus'!$A:$AC,2,FALSE))="JBL",(VLOOKUP(Table6[[#This Row],[SKU]],'All Skus'!$A:$AC,10,FALSE)),""))</f>
        <v>1040</v>
      </c>
      <c r="J380" s="101">
        <f>(IF((VLOOKUP(Table6[[#This Row],[SKU]],'All Skus'!$A:$AC,2,FALSE))="JBL",(VLOOKUP(Table6[[#This Row],[SKU]],'All Skus'!$A:$AC,11,FALSE)),""))</f>
        <v>1040</v>
      </c>
      <c r="K380" s="102">
        <f>(IF((VLOOKUP(Table6[[#This Row],[SKU]],'All Skus'!$A:$AC,2,FALSE))="JBL",(VLOOKUP(Table6[[#This Row],[SKU]],'All Skus'!$A:$AC,13,FALSE)),""))</f>
        <v>0</v>
      </c>
      <c r="L380" s="102">
        <f>(IF((VLOOKUP(Table6[[#This Row],[SKU]],'All Skus'!$A:$AC,2,FALSE))="JBL",(VLOOKUP(Table6[[#This Row],[SKU]],'All Skus'!$A:$AC,14,FALSE)),""))</f>
        <v>0</v>
      </c>
      <c r="M380" s="143">
        <f>(IF((VLOOKUP(Table6[[#This Row],[SKU]],'All Skus'!$A:$AC,2,FALSE))="JBL",(VLOOKUP(Table6[[#This Row],[SKU]],'All Skus'!$A:$AC,15,FALSE)),""))</f>
        <v>0</v>
      </c>
      <c r="N380" s="137">
        <f>(IF((VLOOKUP(Table6[[#This Row],[SKU]],'All Skus'!$A:$AC,2,FALSE))="JBL",(VLOOKUP(Table6[[#This Row],[SKU]],'All Skus'!$A:$AC,16,FALSE)),""))</f>
        <v>691991010859</v>
      </c>
      <c r="O380" s="61">
        <f>(IF((VLOOKUP(Table6[[#This Row],[SKU]],'All Skus'!$A:$AC,2,FALSE))="JBL",(VLOOKUP(Table6[[#This Row],[SKU]],'All Skus'!$A:$AC,17,FALSE)),""))</f>
        <v>0</v>
      </c>
      <c r="P380" s="136">
        <f>(IF((VLOOKUP(Table6[[#This Row],[SKU]],'All Skus'!$A:$AC,2,FALSE))="JBL",(VLOOKUP(Table6[[#This Row],[SKU]],'All Skus'!$A:$AC,18,FALSE)),""))</f>
        <v>17.55</v>
      </c>
      <c r="Q380" s="136">
        <f>(IF((VLOOKUP(Table6[[#This Row],[SKU]],'All Skus'!$A:$AC,2,FALSE))="JBL",(VLOOKUP(Table6[[#This Row],[SKU]],'All Skus'!$A:$AC,19,FALSE)),""))</f>
        <v>11</v>
      </c>
      <c r="R380" s="136">
        <f>(IF((VLOOKUP(Table6[[#This Row],[SKU]],'All Skus'!$A:$AC,2,FALSE))="JBL",(VLOOKUP(Table6[[#This Row],[SKU]],'All Skus'!$A:$AC,20,FALSE)),""))</f>
        <v>10</v>
      </c>
      <c r="S380" s="61">
        <f>(IF((VLOOKUP(Table6[[#This Row],[SKU]],'All Skus'!$A:$AC,2,FALSE))="JBL",(VLOOKUP(Table6[[#This Row],[SKU]],'All Skus'!$A:$AC,21,FALSE)),""))</f>
        <v>17</v>
      </c>
      <c r="T380" s="61" t="str">
        <f>(IF((VLOOKUP(Table6[[#This Row],[SKU]],'All Skus'!$A:$AC,2,FALSE))="JBL",(VLOOKUP(Table6[[#This Row],[SKU]],'All Skus'!$A:$AC,22,FALSE)),""))</f>
        <v>MX</v>
      </c>
      <c r="U380" t="str">
        <f>(IF((VLOOKUP(Table6[[#This Row],[SKU]],'All Skus'!$A:$AC,2,FALSE))="JBL",(VLOOKUP(Table6[[#This Row],[SKU]],'All Skus'!$A:$AC,23,FALSE)),""))</f>
        <v>Compliant</v>
      </c>
      <c r="V380" s="284" t="str">
        <f>HYPERLINK((IF((VLOOKUP(Table6[[#This Row],[SKU]],'All Skus'!$A:$AC,2,FALSE))="JBL",(VLOOKUP(Table6[[#This Row],[SKU]],'All Skus'!$A:$AC,24,FALSE)),"")))</f>
        <v/>
      </c>
      <c r="W380" s="151">
        <v>378</v>
      </c>
    </row>
    <row r="381" spans="1:23" ht="15" hidden="1" customHeight="1">
      <c r="A381" s="13" t="s">
        <v>1387</v>
      </c>
      <c r="B381" s="12" t="str">
        <f>(IF((VLOOKUP(Table6[[#This Row],[SKU]],'All Skus'!$A:$AC,2,FALSE))="JBL",(VLOOKUP(Table6[[#This Row],[SKU]],'All Skus'!$A:$AC,3,FALSE)),""))</f>
        <v>AE Series</v>
      </c>
      <c r="C381" s="12" t="str">
        <f>(IF((VLOOKUP(Table6[[#This Row],[SKU]],'All Skus'!$A:$AC,2,FALSE))="JBL",(VLOOKUP(Table6[[#This Row],[SKU]],'All Skus'!$A:$AC,4,FALSE)),""))</f>
        <v>AC25-WRX</v>
      </c>
      <c r="D381" s="61">
        <f>(IF((VLOOKUP(Table6[[#This Row],[SKU]],'All Skus'!$A:$AC,2,FALSE))="JBL",(VLOOKUP(Table6[[#This Row],[SKU]],'All Skus'!$A:$AC,5,FALSE)),""))</f>
        <v>0</v>
      </c>
      <c r="E381" s="137" t="str">
        <f>(IF((VLOOKUP(Table6[[#This Row],[SKU]],'All Skus'!$A:$AC,2,FALSE))="JBL",(VLOOKUP(Table6[[#This Row],[SKU]],'All Skus'!$A:$AC,6,FALSE)),""))</f>
        <v>YES</v>
      </c>
      <c r="F381" s="61">
        <f>(IF((VLOOKUP(Table6[[#This Row],[SKU]],'All Skus'!$A:$AC,2,FALSE))="JBL",(VLOOKUP(Table6[[#This Row],[SKU]],'All Skus'!$A:$AC,7,FALSE)),""))</f>
        <v>0</v>
      </c>
      <c r="G381" t="str">
        <f>(IF((VLOOKUP(Table6[[#This Row],[SKU]],'All Skus'!$A:$AC,2,FALSE))="JBL",(VLOOKUP(Table6[[#This Row],[SKU]],'All Skus'!$A:$AC,8,FALSE)),""))</f>
        <v>AC25 - Dual   5.25" 2way (white)</v>
      </c>
      <c r="H381" s="8" t="str">
        <f>(IF((VLOOKUP(Table6[[#This Row],[SKU]],'All Skus'!$A:$AC,2,FALSE))="JBL",(VLOOKUP(Table6[[#This Row],[SKU]],'All Skus'!$A:$AC,9,FALSE)),""))</f>
        <v>Ultra-Compact 2-Way Loudspeaker with 1 x 5.25" LF.  90° x 90° Coverage, Passive.  Suspension Eyebolts Not Included.  Optional U-Bracket Model MTU-15.  Sold as 2 per carton.</v>
      </c>
      <c r="I381" s="101">
        <f>(IF((VLOOKUP(Table6[[#This Row],[SKU]],'All Skus'!$A:$AC,2,FALSE))="JBL",(VLOOKUP(Table6[[#This Row],[SKU]],'All Skus'!$A:$AC,10,FALSE)),""))</f>
        <v>1240</v>
      </c>
      <c r="J381" s="101">
        <f>(IF((VLOOKUP(Table6[[#This Row],[SKU]],'All Skus'!$A:$AC,2,FALSE))="JBL",(VLOOKUP(Table6[[#This Row],[SKU]],'All Skus'!$A:$AC,11,FALSE)),""))</f>
        <v>1240</v>
      </c>
      <c r="K381" s="102">
        <f>(IF((VLOOKUP(Table6[[#This Row],[SKU]],'All Skus'!$A:$AC,2,FALSE))="JBL",(VLOOKUP(Table6[[#This Row],[SKU]],'All Skus'!$A:$AC,13,FALSE)),""))</f>
        <v>0</v>
      </c>
      <c r="L381" s="102">
        <f>(IF((VLOOKUP(Table6[[#This Row],[SKU]],'All Skus'!$A:$AC,2,FALSE))="JBL",(VLOOKUP(Table6[[#This Row],[SKU]],'All Skus'!$A:$AC,14,FALSE)),""))</f>
        <v>0</v>
      </c>
      <c r="M381" s="143">
        <f>(IF((VLOOKUP(Table6[[#This Row],[SKU]],'All Skus'!$A:$AC,2,FALSE))="JBL",(VLOOKUP(Table6[[#This Row],[SKU]],'All Skus'!$A:$AC,15,FALSE)),""))</f>
        <v>0</v>
      </c>
      <c r="N381" s="137">
        <f>(IF((VLOOKUP(Table6[[#This Row],[SKU]],'All Skus'!$A:$AC,2,FALSE))="JBL",(VLOOKUP(Table6[[#This Row],[SKU]],'All Skus'!$A:$AC,16,FALSE)),""))</f>
        <v>0</v>
      </c>
      <c r="O381" s="61">
        <f>(IF((VLOOKUP(Table6[[#This Row],[SKU]],'All Skus'!$A:$AC,2,FALSE))="JBL",(VLOOKUP(Table6[[#This Row],[SKU]],'All Skus'!$A:$AC,17,FALSE)),""))</f>
        <v>0</v>
      </c>
      <c r="P381" s="136">
        <f>(IF((VLOOKUP(Table6[[#This Row],[SKU]],'All Skus'!$A:$AC,2,FALSE))="JBL",(VLOOKUP(Table6[[#This Row],[SKU]],'All Skus'!$A:$AC,18,FALSE)),""))</f>
        <v>0</v>
      </c>
      <c r="Q381" s="136">
        <f>(IF((VLOOKUP(Table6[[#This Row],[SKU]],'All Skus'!$A:$AC,2,FALSE))="JBL",(VLOOKUP(Table6[[#This Row],[SKU]],'All Skus'!$A:$AC,19,FALSE)),""))</f>
        <v>0</v>
      </c>
      <c r="R381" s="136">
        <f>(IF((VLOOKUP(Table6[[#This Row],[SKU]],'All Skus'!$A:$AC,2,FALSE))="JBL",(VLOOKUP(Table6[[#This Row],[SKU]],'All Skus'!$A:$AC,20,FALSE)),""))</f>
        <v>0</v>
      </c>
      <c r="S381" s="61">
        <f>(IF((VLOOKUP(Table6[[#This Row],[SKU]],'All Skus'!$A:$AC,2,FALSE))="JBL",(VLOOKUP(Table6[[#This Row],[SKU]],'All Skus'!$A:$AC,21,FALSE)),""))</f>
        <v>0</v>
      </c>
      <c r="T381" s="61" t="str">
        <f>(IF((VLOOKUP(Table6[[#This Row],[SKU]],'All Skus'!$A:$AC,2,FALSE))="JBL",(VLOOKUP(Table6[[#This Row],[SKU]],'All Skus'!$A:$AC,22,FALSE)),""))</f>
        <v>MX</v>
      </c>
      <c r="U381" t="str">
        <f>(IF((VLOOKUP(Table6[[#This Row],[SKU]],'All Skus'!$A:$AC,2,FALSE))="JBL",(VLOOKUP(Table6[[#This Row],[SKU]],'All Skus'!$A:$AC,23,FALSE)),""))</f>
        <v>Compliant</v>
      </c>
      <c r="V381" s="284" t="str">
        <f>HYPERLINK((IF((VLOOKUP(Table6[[#This Row],[SKU]],'All Skus'!$A:$AC,2,FALSE))="JBL",(VLOOKUP(Table6[[#This Row],[SKU]],'All Skus'!$A:$AC,24,FALSE)),"")))</f>
        <v/>
      </c>
      <c r="W381" s="151">
        <v>379</v>
      </c>
    </row>
    <row r="382" spans="1:23" ht="15" hidden="1" customHeight="1">
      <c r="A382" s="13" t="s">
        <v>1388</v>
      </c>
      <c r="B382" s="12" t="str">
        <f>(IF((VLOOKUP(Table6[[#This Row],[SKU]],'All Skus'!$A:$AC,2,FALSE))="JBL",(VLOOKUP(Table6[[#This Row],[SKU]],'All Skus'!$A:$AC,3,FALSE)),""))</f>
        <v>AE Series</v>
      </c>
      <c r="C382" s="12" t="str">
        <f>(IF((VLOOKUP(Table6[[#This Row],[SKU]],'All Skus'!$A:$AC,2,FALSE))="JBL",(VLOOKUP(Table6[[#This Row],[SKU]],'All Skus'!$A:$AC,4,FALSE)),""))</f>
        <v>AC26</v>
      </c>
      <c r="D382" s="61" t="str">
        <f>(IF((VLOOKUP(Table6[[#This Row],[SKU]],'All Skus'!$A:$AC,2,FALSE))="JBL",(VLOOKUP(Table6[[#This Row],[SKU]],'All Skus'!$A:$AC,5,FALSE)),""))</f>
        <v>JBL052</v>
      </c>
      <c r="E382" s="137">
        <f>(IF((VLOOKUP(Table6[[#This Row],[SKU]],'All Skus'!$A:$AC,2,FALSE))="JBL",(VLOOKUP(Table6[[#This Row],[SKU]],'All Skus'!$A:$AC,6,FALSE)),""))</f>
        <v>0</v>
      </c>
      <c r="F382" s="61">
        <f>(IF((VLOOKUP(Table6[[#This Row],[SKU]],'All Skus'!$A:$AC,2,FALSE))="JBL",(VLOOKUP(Table6[[#This Row],[SKU]],'All Skus'!$A:$AC,7,FALSE)),""))</f>
        <v>0</v>
      </c>
      <c r="G382" t="str">
        <f>(IF((VLOOKUP(Table6[[#This Row],[SKU]],'All Skus'!$A:$AC,2,FALSE))="JBL",(VLOOKUP(Table6[[#This Row],[SKU]],'All Skus'!$A:$AC,8,FALSE)),""))</f>
        <v>AC26 - Dual   6.5" 2way</v>
      </c>
      <c r="H382" s="8" t="str">
        <f>(IF((VLOOKUP(Table6[[#This Row],[SKU]],'All Skus'!$A:$AC,2,FALSE))="JBL",(VLOOKUP(Table6[[#This Row],[SKU]],'All Skus'!$A:$AC,9,FALSE)),""))</f>
        <v>Compact 2-Way Loudspeaker with 2 x 6.5" LF.  90° x 90° Coverage, Passive.  Compact  PT™ Progressive Transition™ Waveguide.  Suspension Eyebolts Not Included.  Optional U-Bracket Model MTU-26.</v>
      </c>
      <c r="I382" s="101">
        <f>(IF((VLOOKUP(Table6[[#This Row],[SKU]],'All Skus'!$A:$AC,2,FALSE))="JBL",(VLOOKUP(Table6[[#This Row],[SKU]],'All Skus'!$A:$AC,10,FALSE)),""))</f>
        <v>1600</v>
      </c>
      <c r="J382" s="101">
        <f>(IF((VLOOKUP(Table6[[#This Row],[SKU]],'All Skus'!$A:$AC,2,FALSE))="JBL",(VLOOKUP(Table6[[#This Row],[SKU]],'All Skus'!$A:$AC,11,FALSE)),""))</f>
        <v>1600</v>
      </c>
      <c r="K382" s="102">
        <f>(IF((VLOOKUP(Table6[[#This Row],[SKU]],'All Skus'!$A:$AC,2,FALSE))="JBL",(VLOOKUP(Table6[[#This Row],[SKU]],'All Skus'!$A:$AC,13,FALSE)),""))</f>
        <v>0</v>
      </c>
      <c r="L382" s="102">
        <f>(IF((VLOOKUP(Table6[[#This Row],[SKU]],'All Skus'!$A:$AC,2,FALSE))="JBL",(VLOOKUP(Table6[[#This Row],[SKU]],'All Skus'!$A:$AC,14,FALSE)),""))</f>
        <v>0</v>
      </c>
      <c r="M382" s="143">
        <f>(IF((VLOOKUP(Table6[[#This Row],[SKU]],'All Skus'!$A:$AC,2,FALSE))="JBL",(VLOOKUP(Table6[[#This Row],[SKU]],'All Skus'!$A:$AC,15,FALSE)),""))</f>
        <v>0</v>
      </c>
      <c r="N382" s="137">
        <f>(IF((VLOOKUP(Table6[[#This Row],[SKU]],'All Skus'!$A:$AC,2,FALSE))="JBL",(VLOOKUP(Table6[[#This Row],[SKU]],'All Skus'!$A:$AC,16,FALSE)),""))</f>
        <v>50036904094</v>
      </c>
      <c r="O382" s="61">
        <f>(IF((VLOOKUP(Table6[[#This Row],[SKU]],'All Skus'!$A:$AC,2,FALSE))="JBL",(VLOOKUP(Table6[[#This Row],[SKU]],'All Skus'!$A:$AC,17,FALSE)),""))</f>
        <v>0</v>
      </c>
      <c r="P382" s="136">
        <f>(IF((VLOOKUP(Table6[[#This Row],[SKU]],'All Skus'!$A:$AC,2,FALSE))="JBL",(VLOOKUP(Table6[[#This Row],[SKU]],'All Skus'!$A:$AC,18,FALSE)),""))</f>
        <v>24</v>
      </c>
      <c r="Q382" s="136">
        <f>(IF((VLOOKUP(Table6[[#This Row],[SKU]],'All Skus'!$A:$AC,2,FALSE))="JBL",(VLOOKUP(Table6[[#This Row],[SKU]],'All Skus'!$A:$AC,19,FALSE)),""))</f>
        <v>8</v>
      </c>
      <c r="R382" s="136">
        <f>(IF((VLOOKUP(Table6[[#This Row],[SKU]],'All Skus'!$A:$AC,2,FALSE))="JBL",(VLOOKUP(Table6[[#This Row],[SKU]],'All Skus'!$A:$AC,20,FALSE)),""))</f>
        <v>9</v>
      </c>
      <c r="S382" s="61">
        <f>(IF((VLOOKUP(Table6[[#This Row],[SKU]],'All Skus'!$A:$AC,2,FALSE))="JBL",(VLOOKUP(Table6[[#This Row],[SKU]],'All Skus'!$A:$AC,21,FALSE)),""))</f>
        <v>22</v>
      </c>
      <c r="T382" s="61" t="str">
        <f>(IF((VLOOKUP(Table6[[#This Row],[SKU]],'All Skus'!$A:$AC,2,FALSE))="JBL",(VLOOKUP(Table6[[#This Row],[SKU]],'All Skus'!$A:$AC,22,FALSE)),""))</f>
        <v>MX</v>
      </c>
      <c r="U382" t="str">
        <f>(IF((VLOOKUP(Table6[[#This Row],[SKU]],'All Skus'!$A:$AC,2,FALSE))="JBL",(VLOOKUP(Table6[[#This Row],[SKU]],'All Skus'!$A:$AC,23,FALSE)),""))</f>
        <v>Compliant</v>
      </c>
      <c r="V382" s="284" t="str">
        <f>HYPERLINK((IF((VLOOKUP(Table6[[#This Row],[SKU]],'All Skus'!$A:$AC,2,FALSE))="JBL",(VLOOKUP(Table6[[#This Row],[SKU]],'All Skus'!$A:$AC,24,FALSE)),"")))</f>
        <v/>
      </c>
      <c r="W382" s="151">
        <v>380</v>
      </c>
    </row>
    <row r="383" spans="1:23" ht="15" hidden="1" customHeight="1">
      <c r="A383" s="13" t="s">
        <v>1389</v>
      </c>
      <c r="B383" s="12" t="str">
        <f>(IF((VLOOKUP(Table6[[#This Row],[SKU]],'All Skus'!$A:$AC,2,FALSE))="JBL",(VLOOKUP(Table6[[#This Row],[SKU]],'All Skus'!$A:$AC,3,FALSE)),""))</f>
        <v>AE Series</v>
      </c>
      <c r="C383" s="12" t="str">
        <f>(IF((VLOOKUP(Table6[[#This Row],[SKU]],'All Skus'!$A:$AC,2,FALSE))="JBL",(VLOOKUP(Table6[[#This Row],[SKU]],'All Skus'!$A:$AC,4,FALSE)),""))</f>
        <v>AC26-WH</v>
      </c>
      <c r="D383" s="61" t="str">
        <f>(IF((VLOOKUP(Table6[[#This Row],[SKU]],'All Skus'!$A:$AC,2,FALSE))="JBL",(VLOOKUP(Table6[[#This Row],[SKU]],'All Skus'!$A:$AC,5,FALSE)),""))</f>
        <v>JBL052</v>
      </c>
      <c r="E383" s="137">
        <f>(IF((VLOOKUP(Table6[[#This Row],[SKU]],'All Skus'!$A:$AC,2,FALSE))="JBL",(VLOOKUP(Table6[[#This Row],[SKU]],'All Skus'!$A:$AC,6,FALSE)),""))</f>
        <v>0</v>
      </c>
      <c r="F383" s="61">
        <f>(IF((VLOOKUP(Table6[[#This Row],[SKU]],'All Skus'!$A:$AC,2,FALSE))="JBL",(VLOOKUP(Table6[[#This Row],[SKU]],'All Skus'!$A:$AC,7,FALSE)),""))</f>
        <v>0</v>
      </c>
      <c r="G383" t="str">
        <f>(IF((VLOOKUP(Table6[[#This Row],[SKU]],'All Skus'!$A:$AC,2,FALSE))="JBL",(VLOOKUP(Table6[[#This Row],[SKU]],'All Skus'!$A:$AC,8,FALSE)),""))</f>
        <v>AC26 - Dual   6.5" 2way (white)</v>
      </c>
      <c r="H383" s="8" t="str">
        <f>(IF((VLOOKUP(Table6[[#This Row],[SKU]],'All Skus'!$A:$AC,2,FALSE))="JBL",(VLOOKUP(Table6[[#This Row],[SKU]],'All Skus'!$A:$AC,9,FALSE)),""))</f>
        <v>AC26 in white.</v>
      </c>
      <c r="I383" s="101">
        <f>(IF((VLOOKUP(Table6[[#This Row],[SKU]],'All Skus'!$A:$AC,2,FALSE))="JBL",(VLOOKUP(Table6[[#This Row],[SKU]],'All Skus'!$A:$AC,10,FALSE)),""))</f>
        <v>1600</v>
      </c>
      <c r="J383" s="101">
        <f>(IF((VLOOKUP(Table6[[#This Row],[SKU]],'All Skus'!$A:$AC,2,FALSE))="JBL",(VLOOKUP(Table6[[#This Row],[SKU]],'All Skus'!$A:$AC,11,FALSE)),""))</f>
        <v>1600</v>
      </c>
      <c r="K383" s="102">
        <f>(IF((VLOOKUP(Table6[[#This Row],[SKU]],'All Skus'!$A:$AC,2,FALSE))="JBL",(VLOOKUP(Table6[[#This Row],[SKU]],'All Skus'!$A:$AC,13,FALSE)),""))</f>
        <v>0</v>
      </c>
      <c r="L383" s="102">
        <f>(IF((VLOOKUP(Table6[[#This Row],[SKU]],'All Skus'!$A:$AC,2,FALSE))="JBL",(VLOOKUP(Table6[[#This Row],[SKU]],'All Skus'!$A:$AC,14,FALSE)),""))</f>
        <v>0</v>
      </c>
      <c r="M383" s="143">
        <f>(IF((VLOOKUP(Table6[[#This Row],[SKU]],'All Skus'!$A:$AC,2,FALSE))="JBL",(VLOOKUP(Table6[[#This Row],[SKU]],'All Skus'!$A:$AC,15,FALSE)),""))</f>
        <v>0</v>
      </c>
      <c r="N383" s="137">
        <f>(IF((VLOOKUP(Table6[[#This Row],[SKU]],'All Skus'!$A:$AC,2,FALSE))="JBL",(VLOOKUP(Table6[[#This Row],[SKU]],'All Skus'!$A:$AC,16,FALSE)),""))</f>
        <v>691991000171</v>
      </c>
      <c r="O383" s="61">
        <f>(IF((VLOOKUP(Table6[[#This Row],[SKU]],'All Skus'!$A:$AC,2,FALSE))="JBL",(VLOOKUP(Table6[[#This Row],[SKU]],'All Skus'!$A:$AC,17,FALSE)),""))</f>
        <v>0</v>
      </c>
      <c r="P383" s="136">
        <f>(IF((VLOOKUP(Table6[[#This Row],[SKU]],'All Skus'!$A:$AC,2,FALSE))="JBL",(VLOOKUP(Table6[[#This Row],[SKU]],'All Skus'!$A:$AC,18,FALSE)),""))</f>
        <v>29</v>
      </c>
      <c r="Q383" s="136">
        <f>(IF((VLOOKUP(Table6[[#This Row],[SKU]],'All Skus'!$A:$AC,2,FALSE))="JBL",(VLOOKUP(Table6[[#This Row],[SKU]],'All Skus'!$A:$AC,19,FALSE)),""))</f>
        <v>13</v>
      </c>
      <c r="R383" s="136">
        <f>(IF((VLOOKUP(Table6[[#This Row],[SKU]],'All Skus'!$A:$AC,2,FALSE))="JBL",(VLOOKUP(Table6[[#This Row],[SKU]],'All Skus'!$A:$AC,20,FALSE)),""))</f>
        <v>12</v>
      </c>
      <c r="S383" s="61">
        <f>(IF((VLOOKUP(Table6[[#This Row],[SKU]],'All Skus'!$A:$AC,2,FALSE))="JBL",(VLOOKUP(Table6[[#This Row],[SKU]],'All Skus'!$A:$AC,21,FALSE)),""))</f>
        <v>23</v>
      </c>
      <c r="T383" s="61" t="str">
        <f>(IF((VLOOKUP(Table6[[#This Row],[SKU]],'All Skus'!$A:$AC,2,FALSE))="JBL",(VLOOKUP(Table6[[#This Row],[SKU]],'All Skus'!$A:$AC,22,FALSE)),""))</f>
        <v>MX</v>
      </c>
      <c r="U383" t="str">
        <f>(IF((VLOOKUP(Table6[[#This Row],[SKU]],'All Skus'!$A:$AC,2,FALSE))="JBL",(VLOOKUP(Table6[[#This Row],[SKU]],'All Skus'!$A:$AC,23,FALSE)),""))</f>
        <v>Compliant</v>
      </c>
      <c r="V383" s="284" t="str">
        <f>HYPERLINK((IF((VLOOKUP(Table6[[#This Row],[SKU]],'All Skus'!$A:$AC,2,FALSE))="JBL",(VLOOKUP(Table6[[#This Row],[SKU]],'All Skus'!$A:$AC,24,FALSE)),"")))</f>
        <v/>
      </c>
      <c r="W383" s="151">
        <v>381</v>
      </c>
    </row>
    <row r="384" spans="1:23" ht="15" hidden="1" customHeight="1">
      <c r="A384" s="13" t="s">
        <v>1390</v>
      </c>
      <c r="B384" s="12" t="str">
        <f>(IF((VLOOKUP(Table6[[#This Row],[SKU]],'All Skus'!$A:$AC,2,FALSE))="JBL",(VLOOKUP(Table6[[#This Row],[SKU]],'All Skus'!$A:$AC,3,FALSE)),""))</f>
        <v>Custom Shop</v>
      </c>
      <c r="C384" s="12" t="str">
        <f>(IF((VLOOKUP(Table6[[#This Row],[SKU]],'All Skus'!$A:$AC,2,FALSE))="JBL",(VLOOKUP(Table6[[#This Row],[SKU]],'All Skus'!$A:$AC,4,FALSE)),""))</f>
        <v>AC26-WRC</v>
      </c>
      <c r="D384" s="61" t="str">
        <f>(IF((VLOOKUP(Table6[[#This Row],[SKU]],'All Skus'!$A:$AC,2,FALSE))="JBL",(VLOOKUP(Table6[[#This Row],[SKU]],'All Skus'!$A:$AC,5,FALSE)),""))</f>
        <v>JBL050</v>
      </c>
      <c r="E384" s="137" t="str">
        <f>(IF((VLOOKUP(Table6[[#This Row],[SKU]],'All Skus'!$A:$AC,2,FALSE))="JBL",(VLOOKUP(Table6[[#This Row],[SKU]],'All Skus'!$A:$AC,6,FALSE)),""))</f>
        <v>YES</v>
      </c>
      <c r="F384" s="61">
        <f>(IF((VLOOKUP(Table6[[#This Row],[SKU]],'All Skus'!$A:$AC,2,FALSE))="JBL",(VLOOKUP(Table6[[#This Row],[SKU]],'All Skus'!$A:$AC,7,FALSE)),""))</f>
        <v>0</v>
      </c>
      <c r="G384" t="str">
        <f>(IF((VLOOKUP(Table6[[#This Row],[SKU]],'All Skus'!$A:$AC,2,FALSE))="JBL",(VLOOKUP(Table6[[#This Row],[SKU]],'All Skus'!$A:$AC,8,FALSE)),""))</f>
        <v>AC26 - Dual   6.5" 2way (white)</v>
      </c>
      <c r="H384" s="8" t="str">
        <f>(IF((VLOOKUP(Table6[[#This Row],[SKU]],'All Skus'!$A:$AC,2,FALSE))="JBL",(VLOOKUP(Table6[[#This Row],[SKU]],'All Skus'!$A:$AC,9,FALSE)),""))</f>
        <v>Ultra-Compact 2-Way Loudspeaker with 1 x 5.25" LF.  90° x 90° Coverage, Passive.  Suspension Eyebolts Not Included.  Optional U-Bracket Model MTU-15.  Sold as 2 per carton.</v>
      </c>
      <c r="I384" s="101" t="str">
        <f>(IF((VLOOKUP(Table6[[#This Row],[SKU]],'All Skus'!$A:$AC,2,FALSE))="JBL",(VLOOKUP(Table6[[#This Row],[SKU]],'All Skus'!$A:$AC,10,FALSE)),""))</f>
        <v>Please email CustomAudio@harman.com for quote</v>
      </c>
      <c r="J384" s="101">
        <f>(IF((VLOOKUP(Table6[[#This Row],[SKU]],'All Skus'!$A:$AC,2,FALSE))="JBL",(VLOOKUP(Table6[[#This Row],[SKU]],'All Skus'!$A:$AC,11,FALSE)),""))</f>
        <v>0</v>
      </c>
      <c r="K384" s="102">
        <f>(IF((VLOOKUP(Table6[[#This Row],[SKU]],'All Skus'!$A:$AC,2,FALSE))="JBL",(VLOOKUP(Table6[[#This Row],[SKU]],'All Skus'!$A:$AC,13,FALSE)),""))</f>
        <v>0</v>
      </c>
      <c r="L384" s="102">
        <f>(IF((VLOOKUP(Table6[[#This Row],[SKU]],'All Skus'!$A:$AC,2,FALSE))="JBL",(VLOOKUP(Table6[[#This Row],[SKU]],'All Skus'!$A:$AC,14,FALSE)),""))</f>
        <v>0</v>
      </c>
      <c r="M384" s="143">
        <f>(IF((VLOOKUP(Table6[[#This Row],[SKU]],'All Skus'!$A:$AC,2,FALSE))="JBL",(VLOOKUP(Table6[[#This Row],[SKU]],'All Skus'!$A:$AC,15,FALSE)),""))</f>
        <v>0</v>
      </c>
      <c r="N384" s="137">
        <f>(IF((VLOOKUP(Table6[[#This Row],[SKU]],'All Skus'!$A:$AC,2,FALSE))="JBL",(VLOOKUP(Table6[[#This Row],[SKU]],'All Skus'!$A:$AC,16,FALSE)),""))</f>
        <v>691991010866</v>
      </c>
      <c r="O384" s="61">
        <f>(IF((VLOOKUP(Table6[[#This Row],[SKU]],'All Skus'!$A:$AC,2,FALSE))="JBL",(VLOOKUP(Table6[[#This Row],[SKU]],'All Skus'!$A:$AC,17,FALSE)),""))</f>
        <v>0</v>
      </c>
      <c r="P384" s="136">
        <f>(IF((VLOOKUP(Table6[[#This Row],[SKU]],'All Skus'!$A:$AC,2,FALSE))="JBL",(VLOOKUP(Table6[[#This Row],[SKU]],'All Skus'!$A:$AC,18,FALSE)),""))</f>
        <v>32</v>
      </c>
      <c r="Q384" s="136">
        <f>(IF((VLOOKUP(Table6[[#This Row],[SKU]],'All Skus'!$A:$AC,2,FALSE))="JBL",(VLOOKUP(Table6[[#This Row],[SKU]],'All Skus'!$A:$AC,19,FALSE)),""))</f>
        <v>14</v>
      </c>
      <c r="R384" s="136">
        <f>(IF((VLOOKUP(Table6[[#This Row],[SKU]],'All Skus'!$A:$AC,2,FALSE))="JBL",(VLOOKUP(Table6[[#This Row],[SKU]],'All Skus'!$A:$AC,20,FALSE)),""))</f>
        <v>12</v>
      </c>
      <c r="S384" s="61">
        <f>(IF((VLOOKUP(Table6[[#This Row],[SKU]],'All Skus'!$A:$AC,2,FALSE))="JBL",(VLOOKUP(Table6[[#This Row],[SKU]],'All Skus'!$A:$AC,21,FALSE)),""))</f>
        <v>24</v>
      </c>
      <c r="T384" s="61">
        <f>(IF((VLOOKUP(Table6[[#This Row],[SKU]],'All Skus'!$A:$AC,2,FALSE))="JBL",(VLOOKUP(Table6[[#This Row],[SKU]],'All Skus'!$A:$AC,22,FALSE)),""))</f>
        <v>0</v>
      </c>
      <c r="U384">
        <f>(IF((VLOOKUP(Table6[[#This Row],[SKU]],'All Skus'!$A:$AC,2,FALSE))="JBL",(VLOOKUP(Table6[[#This Row],[SKU]],'All Skus'!$A:$AC,23,FALSE)),""))</f>
        <v>0</v>
      </c>
      <c r="V384" s="284" t="str">
        <f>HYPERLINK((IF((VLOOKUP(Table6[[#This Row],[SKU]],'All Skus'!$A:$AC,2,FALSE))="JBL",(VLOOKUP(Table6[[#This Row],[SKU]],'All Skus'!$A:$AC,24,FALSE)),"")))</f>
        <v/>
      </c>
      <c r="W384" s="151">
        <v>382</v>
      </c>
    </row>
    <row r="385" spans="1:23" ht="15" hidden="1" customHeight="1">
      <c r="A385" s="13" t="s">
        <v>1391</v>
      </c>
      <c r="B385" s="12" t="str">
        <f>(IF((VLOOKUP(Table6[[#This Row],[SKU]],'All Skus'!$A:$AC,2,FALSE))="JBL",(VLOOKUP(Table6[[#This Row],[SKU]],'All Skus'!$A:$AC,3,FALSE)),""))</f>
        <v>AE Series</v>
      </c>
      <c r="C385" s="12" t="str">
        <f>(IF((VLOOKUP(Table6[[#This Row],[SKU]],'All Skus'!$A:$AC,2,FALSE))="JBL",(VLOOKUP(Table6[[#This Row],[SKU]],'All Skus'!$A:$AC,4,FALSE)),""))</f>
        <v>AC28/26</v>
      </c>
      <c r="D385" s="61" t="str">
        <f>(IF((VLOOKUP(Table6[[#This Row],[SKU]],'All Skus'!$A:$AC,2,FALSE))="JBL",(VLOOKUP(Table6[[#This Row],[SKU]],'All Skus'!$A:$AC,5,FALSE)),""))</f>
        <v>JBL052</v>
      </c>
      <c r="E385" s="137">
        <f>(IF((VLOOKUP(Table6[[#This Row],[SKU]],'All Skus'!$A:$AC,2,FALSE))="JBL",(VLOOKUP(Table6[[#This Row],[SKU]],'All Skus'!$A:$AC,6,FALSE)),""))</f>
        <v>0</v>
      </c>
      <c r="F385" s="61">
        <f>(IF((VLOOKUP(Table6[[#This Row],[SKU]],'All Skus'!$A:$AC,2,FALSE))="JBL",(VLOOKUP(Table6[[#This Row],[SKU]],'All Skus'!$A:$AC,7,FALSE)),""))</f>
        <v>0</v>
      </c>
      <c r="G385" t="str">
        <f>(IF((VLOOKUP(Table6[[#This Row],[SKU]],'All Skus'!$A:$AC,2,FALSE))="JBL",(VLOOKUP(Table6[[#This Row],[SKU]],'All Skus'!$A:$AC,8,FALSE)),""))</f>
        <v>AC28/26 - Dual   8" 2way</v>
      </c>
      <c r="H385" s="8" t="str">
        <f>(IF((VLOOKUP(Table6[[#This Row],[SKU]],'All Skus'!$A:$AC,2,FALSE))="JBL",(VLOOKUP(Table6[[#This Row],[SKU]],'All Skus'!$A:$AC,9,FALSE)),""))</f>
        <v>Compact 2-Way Loudspeaker with 2 x 8" LF.  120° x 60° Coverage, Passive.  Compact  PT™ Progressive Transition™ Waveguide, Rotatable.  Suspension Eyebolts Not Included.  Optional U-Bracket Model MTU-28.</v>
      </c>
      <c r="I385" s="101">
        <f>(IF((VLOOKUP(Table6[[#This Row],[SKU]],'All Skus'!$A:$AC,2,FALSE))="JBL",(VLOOKUP(Table6[[#This Row],[SKU]],'All Skus'!$A:$AC,10,FALSE)),""))</f>
        <v>1855</v>
      </c>
      <c r="J385" s="101">
        <f>(IF((VLOOKUP(Table6[[#This Row],[SKU]],'All Skus'!$A:$AC,2,FALSE))="JBL",(VLOOKUP(Table6[[#This Row],[SKU]],'All Skus'!$A:$AC,11,FALSE)),""))</f>
        <v>1855</v>
      </c>
      <c r="K385" s="102">
        <f>(IF((VLOOKUP(Table6[[#This Row],[SKU]],'All Skus'!$A:$AC,2,FALSE))="JBL",(VLOOKUP(Table6[[#This Row],[SKU]],'All Skus'!$A:$AC,13,FALSE)),""))</f>
        <v>0</v>
      </c>
      <c r="L385" s="102">
        <f>(IF((VLOOKUP(Table6[[#This Row],[SKU]],'All Skus'!$A:$AC,2,FALSE))="JBL",(VLOOKUP(Table6[[#This Row],[SKU]],'All Skus'!$A:$AC,14,FALSE)),""))</f>
        <v>0</v>
      </c>
      <c r="M385" s="143">
        <f>(IF((VLOOKUP(Table6[[#This Row],[SKU]],'All Skus'!$A:$AC,2,FALSE))="JBL",(VLOOKUP(Table6[[#This Row],[SKU]],'All Skus'!$A:$AC,15,FALSE)),""))</f>
        <v>0</v>
      </c>
      <c r="N385" s="137">
        <f>(IF((VLOOKUP(Table6[[#This Row],[SKU]],'All Skus'!$A:$AC,2,FALSE))="JBL",(VLOOKUP(Table6[[#This Row],[SKU]],'All Skus'!$A:$AC,16,FALSE)),""))</f>
        <v>691991010873</v>
      </c>
      <c r="O385" s="61">
        <f>(IF((VLOOKUP(Table6[[#This Row],[SKU]],'All Skus'!$A:$AC,2,FALSE))="JBL",(VLOOKUP(Table6[[#This Row],[SKU]],'All Skus'!$A:$AC,17,FALSE)),""))</f>
        <v>0</v>
      </c>
      <c r="P385" s="136">
        <f>(IF((VLOOKUP(Table6[[#This Row],[SKU]],'All Skus'!$A:$AC,2,FALSE))="JBL",(VLOOKUP(Table6[[#This Row],[SKU]],'All Skus'!$A:$AC,18,FALSE)),""))</f>
        <v>46.35</v>
      </c>
      <c r="Q385" s="136">
        <f>(IF((VLOOKUP(Table6[[#This Row],[SKU]],'All Skus'!$A:$AC,2,FALSE))="JBL",(VLOOKUP(Table6[[#This Row],[SKU]],'All Skus'!$A:$AC,19,FALSE)),""))</f>
        <v>13</v>
      </c>
      <c r="R385" s="136">
        <f>(IF((VLOOKUP(Table6[[#This Row],[SKU]],'All Skus'!$A:$AC,2,FALSE))="JBL",(VLOOKUP(Table6[[#This Row],[SKU]],'All Skus'!$A:$AC,20,FALSE)),""))</f>
        <v>14</v>
      </c>
      <c r="S385" s="61">
        <f>(IF((VLOOKUP(Table6[[#This Row],[SKU]],'All Skus'!$A:$AC,2,FALSE))="JBL",(VLOOKUP(Table6[[#This Row],[SKU]],'All Skus'!$A:$AC,21,FALSE)),""))</f>
        <v>29</v>
      </c>
      <c r="T385" s="61" t="str">
        <f>(IF((VLOOKUP(Table6[[#This Row],[SKU]],'All Skus'!$A:$AC,2,FALSE))="JBL",(VLOOKUP(Table6[[#This Row],[SKU]],'All Skus'!$A:$AC,22,FALSE)),""))</f>
        <v>MX</v>
      </c>
      <c r="U385" t="str">
        <f>(IF((VLOOKUP(Table6[[#This Row],[SKU]],'All Skus'!$A:$AC,2,FALSE))="JBL",(VLOOKUP(Table6[[#This Row],[SKU]],'All Skus'!$A:$AC,23,FALSE)),""))</f>
        <v>Compliant</v>
      </c>
      <c r="V385" s="284" t="str">
        <f>HYPERLINK((IF((VLOOKUP(Table6[[#This Row],[SKU]],'All Skus'!$A:$AC,2,FALSE))="JBL",(VLOOKUP(Table6[[#This Row],[SKU]],'All Skus'!$A:$AC,24,FALSE)),"")))</f>
        <v/>
      </c>
      <c r="W385" s="151">
        <v>383</v>
      </c>
    </row>
    <row r="386" spans="1:23" ht="15" hidden="1" customHeight="1">
      <c r="A386" s="13" t="s">
        <v>1392</v>
      </c>
      <c r="B386" s="12" t="str">
        <f>(IF((VLOOKUP(Table6[[#This Row],[SKU]],'All Skus'!$A:$AC,2,FALSE))="JBL",(VLOOKUP(Table6[[#This Row],[SKU]],'All Skus'!$A:$AC,3,FALSE)),""))</f>
        <v>AE Series</v>
      </c>
      <c r="C386" s="12" t="str">
        <f>(IF((VLOOKUP(Table6[[#This Row],[SKU]],'All Skus'!$A:$AC,2,FALSE))="JBL",(VLOOKUP(Table6[[#This Row],[SKU]],'All Skus'!$A:$AC,4,FALSE)),""))</f>
        <v>AC28/26-WH</v>
      </c>
      <c r="D386" s="61" t="str">
        <f>(IF((VLOOKUP(Table6[[#This Row],[SKU]],'All Skus'!$A:$AC,2,FALSE))="JBL",(VLOOKUP(Table6[[#This Row],[SKU]],'All Skus'!$A:$AC,5,FALSE)),""))</f>
        <v>JBL052</v>
      </c>
      <c r="E386" s="137">
        <f>(IF((VLOOKUP(Table6[[#This Row],[SKU]],'All Skus'!$A:$AC,2,FALSE))="JBL",(VLOOKUP(Table6[[#This Row],[SKU]],'All Skus'!$A:$AC,6,FALSE)),""))</f>
        <v>0</v>
      </c>
      <c r="F386" s="61">
        <f>(IF((VLOOKUP(Table6[[#This Row],[SKU]],'All Skus'!$A:$AC,2,FALSE))="JBL",(VLOOKUP(Table6[[#This Row],[SKU]],'All Skus'!$A:$AC,7,FALSE)),""))</f>
        <v>0</v>
      </c>
      <c r="G386" t="str">
        <f>(IF((VLOOKUP(Table6[[#This Row],[SKU]],'All Skus'!$A:$AC,2,FALSE))="JBL",(VLOOKUP(Table6[[#This Row],[SKU]],'All Skus'!$A:$AC,8,FALSE)),""))</f>
        <v>AC28/26 - Dual   8" 2way (white)</v>
      </c>
      <c r="H386" s="8" t="str">
        <f>(IF((VLOOKUP(Table6[[#This Row],[SKU]],'All Skus'!$A:$AC,2,FALSE))="JBL",(VLOOKUP(Table6[[#This Row],[SKU]],'All Skus'!$A:$AC,9,FALSE)),""))</f>
        <v>AC28/26 in white.</v>
      </c>
      <c r="I386" s="101">
        <f>(IF((VLOOKUP(Table6[[#This Row],[SKU]],'All Skus'!$A:$AC,2,FALSE))="JBL",(VLOOKUP(Table6[[#This Row],[SKU]],'All Skus'!$A:$AC,10,FALSE)),""))</f>
        <v>1855</v>
      </c>
      <c r="J386" s="101">
        <f>(IF((VLOOKUP(Table6[[#This Row],[SKU]],'All Skus'!$A:$AC,2,FALSE))="JBL",(VLOOKUP(Table6[[#This Row],[SKU]],'All Skus'!$A:$AC,11,FALSE)),""))</f>
        <v>1855</v>
      </c>
      <c r="K386" s="102">
        <f>(IF((VLOOKUP(Table6[[#This Row],[SKU]],'All Skus'!$A:$AC,2,FALSE))="JBL",(VLOOKUP(Table6[[#This Row],[SKU]],'All Skus'!$A:$AC,13,FALSE)),""))</f>
        <v>0</v>
      </c>
      <c r="L386" s="102">
        <f>(IF((VLOOKUP(Table6[[#This Row],[SKU]],'All Skus'!$A:$AC,2,FALSE))="JBL",(VLOOKUP(Table6[[#This Row],[SKU]],'All Skus'!$A:$AC,14,FALSE)),""))</f>
        <v>0</v>
      </c>
      <c r="M386" s="143">
        <f>(IF((VLOOKUP(Table6[[#This Row],[SKU]],'All Skus'!$A:$AC,2,FALSE))="JBL",(VLOOKUP(Table6[[#This Row],[SKU]],'All Skus'!$A:$AC,15,FALSE)),""))</f>
        <v>0</v>
      </c>
      <c r="N386" s="137">
        <f>(IF((VLOOKUP(Table6[[#This Row],[SKU]],'All Skus'!$A:$AC,2,FALSE))="JBL",(VLOOKUP(Table6[[#This Row],[SKU]],'All Skus'!$A:$AC,16,FALSE)),""))</f>
        <v>691991010880</v>
      </c>
      <c r="O386" s="61">
        <f>(IF((VLOOKUP(Table6[[#This Row],[SKU]],'All Skus'!$A:$AC,2,FALSE))="JBL",(VLOOKUP(Table6[[#This Row],[SKU]],'All Skus'!$A:$AC,17,FALSE)),""))</f>
        <v>0</v>
      </c>
      <c r="P386" s="136">
        <f>(IF((VLOOKUP(Table6[[#This Row],[SKU]],'All Skus'!$A:$AC,2,FALSE))="JBL",(VLOOKUP(Table6[[#This Row],[SKU]],'All Skus'!$A:$AC,18,FALSE)),""))</f>
        <v>46</v>
      </c>
      <c r="Q386" s="136">
        <f>(IF((VLOOKUP(Table6[[#This Row],[SKU]],'All Skus'!$A:$AC,2,FALSE))="JBL",(VLOOKUP(Table6[[#This Row],[SKU]],'All Skus'!$A:$AC,19,FALSE)),""))</f>
        <v>14</v>
      </c>
      <c r="R386" s="136">
        <f>(IF((VLOOKUP(Table6[[#This Row],[SKU]],'All Skus'!$A:$AC,2,FALSE))="JBL",(VLOOKUP(Table6[[#This Row],[SKU]],'All Skus'!$A:$AC,20,FALSE)),""))</f>
        <v>13</v>
      </c>
      <c r="S386" s="61">
        <f>(IF((VLOOKUP(Table6[[#This Row],[SKU]],'All Skus'!$A:$AC,2,FALSE))="JBL",(VLOOKUP(Table6[[#This Row],[SKU]],'All Skus'!$A:$AC,21,FALSE)),""))</f>
        <v>29</v>
      </c>
      <c r="T386" s="61" t="str">
        <f>(IF((VLOOKUP(Table6[[#This Row],[SKU]],'All Skus'!$A:$AC,2,FALSE))="JBL",(VLOOKUP(Table6[[#This Row],[SKU]],'All Skus'!$A:$AC,22,FALSE)),""))</f>
        <v>MX</v>
      </c>
      <c r="U386" t="str">
        <f>(IF((VLOOKUP(Table6[[#This Row],[SKU]],'All Skus'!$A:$AC,2,FALSE))="JBL",(VLOOKUP(Table6[[#This Row],[SKU]],'All Skus'!$A:$AC,23,FALSE)),""))</f>
        <v>Compliant</v>
      </c>
      <c r="V386" s="284" t="str">
        <f>HYPERLINK((IF((VLOOKUP(Table6[[#This Row],[SKU]],'All Skus'!$A:$AC,2,FALSE))="JBL",(VLOOKUP(Table6[[#This Row],[SKU]],'All Skus'!$A:$AC,24,FALSE)),"")))</f>
        <v/>
      </c>
      <c r="W386" s="151">
        <v>384</v>
      </c>
    </row>
    <row r="387" spans="1:23" ht="15" hidden="1" customHeight="1">
      <c r="A387" s="13" t="s">
        <v>1393</v>
      </c>
      <c r="B387" s="12" t="str">
        <f>(IF((VLOOKUP(Table6[[#This Row],[SKU]],'All Skus'!$A:$AC,2,FALSE))="JBL",(VLOOKUP(Table6[[#This Row],[SKU]],'All Skus'!$A:$AC,3,FALSE)),""))</f>
        <v>Custom Shop</v>
      </c>
      <c r="C387" s="12" t="str">
        <f>(IF((VLOOKUP(Table6[[#This Row],[SKU]],'All Skus'!$A:$AC,2,FALSE))="JBL",(VLOOKUP(Table6[[#This Row],[SKU]],'All Skus'!$A:$AC,4,FALSE)),""))</f>
        <v>AC28/26-WRC</v>
      </c>
      <c r="D387" s="61">
        <f>(IF((VLOOKUP(Table6[[#This Row],[SKU]],'All Skus'!$A:$AC,2,FALSE))="JBL",(VLOOKUP(Table6[[#This Row],[SKU]],'All Skus'!$A:$AC,5,FALSE)),""))</f>
        <v>0</v>
      </c>
      <c r="E387" s="137" t="str">
        <f>(IF((VLOOKUP(Table6[[#This Row],[SKU]],'All Skus'!$A:$AC,2,FALSE))="JBL",(VLOOKUP(Table6[[#This Row],[SKU]],'All Skus'!$A:$AC,6,FALSE)),""))</f>
        <v>YES</v>
      </c>
      <c r="F387" s="61">
        <f>(IF((VLOOKUP(Table6[[#This Row],[SKU]],'All Skus'!$A:$AC,2,FALSE))="JBL",(VLOOKUP(Table6[[#This Row],[SKU]],'All Skus'!$A:$AC,7,FALSE)),""))</f>
        <v>0</v>
      </c>
      <c r="G387" t="str">
        <f>(IF((VLOOKUP(Table6[[#This Row],[SKU]],'All Skus'!$A:$AC,2,FALSE))="JBL",(VLOOKUP(Table6[[#This Row],[SKU]],'All Skus'!$A:$AC,8,FALSE)),""))</f>
        <v>AC28/26 - Dual   8" 2way (white)</v>
      </c>
      <c r="H387" s="8" t="str">
        <f>(IF((VLOOKUP(Table6[[#This Row],[SKU]],'All Skus'!$A:$AC,2,FALSE))="JBL",(VLOOKUP(Table6[[#This Row],[SKU]],'All Skus'!$A:$AC,9,FALSE)),""))</f>
        <v>Ultra-Compact 2-Way Loudspeaker with 1 x 5.25" LF.  90° x 90° Coverage, Passive.  Suspension Eyebolts Not Included.  Optional U-Bracket Model MTU-15.  Sold as 2 per carton.</v>
      </c>
      <c r="I387" s="101" t="str">
        <f>(IF((VLOOKUP(Table6[[#This Row],[SKU]],'All Skus'!$A:$AC,2,FALSE))="JBL",(VLOOKUP(Table6[[#This Row],[SKU]],'All Skus'!$A:$AC,10,FALSE)),""))</f>
        <v>Please email CustomAudio@harman.com for quote</v>
      </c>
      <c r="J387" s="101">
        <f>(IF((VLOOKUP(Table6[[#This Row],[SKU]],'All Skus'!$A:$AC,2,FALSE))="JBL",(VLOOKUP(Table6[[#This Row],[SKU]],'All Skus'!$A:$AC,11,FALSE)),""))</f>
        <v>0</v>
      </c>
      <c r="K387" s="102">
        <f>(IF((VLOOKUP(Table6[[#This Row],[SKU]],'All Skus'!$A:$AC,2,FALSE))="JBL",(VLOOKUP(Table6[[#This Row],[SKU]],'All Skus'!$A:$AC,13,FALSE)),""))</f>
        <v>0</v>
      </c>
      <c r="L387" s="102">
        <f>(IF((VLOOKUP(Table6[[#This Row],[SKU]],'All Skus'!$A:$AC,2,FALSE))="JBL",(VLOOKUP(Table6[[#This Row],[SKU]],'All Skus'!$A:$AC,14,FALSE)),""))</f>
        <v>0</v>
      </c>
      <c r="M387" s="143">
        <f>(IF((VLOOKUP(Table6[[#This Row],[SKU]],'All Skus'!$A:$AC,2,FALSE))="JBL",(VLOOKUP(Table6[[#This Row],[SKU]],'All Skus'!$A:$AC,15,FALSE)),""))</f>
        <v>0</v>
      </c>
      <c r="N387" s="137">
        <f>(IF((VLOOKUP(Table6[[#This Row],[SKU]],'All Skus'!$A:$AC,2,FALSE))="JBL",(VLOOKUP(Table6[[#This Row],[SKU]],'All Skus'!$A:$AC,16,FALSE)),""))</f>
        <v>0</v>
      </c>
      <c r="O387" s="61">
        <f>(IF((VLOOKUP(Table6[[#This Row],[SKU]],'All Skus'!$A:$AC,2,FALSE))="JBL",(VLOOKUP(Table6[[#This Row],[SKU]],'All Skus'!$A:$AC,17,FALSE)),""))</f>
        <v>0</v>
      </c>
      <c r="P387" s="136">
        <f>(IF((VLOOKUP(Table6[[#This Row],[SKU]],'All Skus'!$A:$AC,2,FALSE))="JBL",(VLOOKUP(Table6[[#This Row],[SKU]],'All Skus'!$A:$AC,18,FALSE)),""))</f>
        <v>56</v>
      </c>
      <c r="Q387" s="136">
        <f>(IF((VLOOKUP(Table6[[#This Row],[SKU]],'All Skus'!$A:$AC,2,FALSE))="JBL",(VLOOKUP(Table6[[#This Row],[SKU]],'All Skus'!$A:$AC,19,FALSE)),""))</f>
        <v>14</v>
      </c>
      <c r="R387" s="136">
        <f>(IF((VLOOKUP(Table6[[#This Row],[SKU]],'All Skus'!$A:$AC,2,FALSE))="JBL",(VLOOKUP(Table6[[#This Row],[SKU]],'All Skus'!$A:$AC,20,FALSE)),""))</f>
        <v>14</v>
      </c>
      <c r="S387" s="61">
        <f>(IF((VLOOKUP(Table6[[#This Row],[SKU]],'All Skus'!$A:$AC,2,FALSE))="JBL",(VLOOKUP(Table6[[#This Row],[SKU]],'All Skus'!$A:$AC,21,FALSE)),""))</f>
        <v>30</v>
      </c>
      <c r="T387" s="61" t="str">
        <f>(IF((VLOOKUP(Table6[[#This Row],[SKU]],'All Skus'!$A:$AC,2,FALSE))="JBL",(VLOOKUP(Table6[[#This Row],[SKU]],'All Skus'!$A:$AC,22,FALSE)),""))</f>
        <v>MX</v>
      </c>
      <c r="U387" t="str">
        <f>(IF((VLOOKUP(Table6[[#This Row],[SKU]],'All Skus'!$A:$AC,2,FALSE))="JBL",(VLOOKUP(Table6[[#This Row],[SKU]],'All Skus'!$A:$AC,23,FALSE)),""))</f>
        <v>Compliant</v>
      </c>
      <c r="V387" s="284" t="str">
        <f>HYPERLINK((IF((VLOOKUP(Table6[[#This Row],[SKU]],'All Skus'!$A:$AC,2,FALSE))="JBL",(VLOOKUP(Table6[[#This Row],[SKU]],'All Skus'!$A:$AC,24,FALSE)),"")))</f>
        <v/>
      </c>
      <c r="W387" s="151">
        <v>385</v>
      </c>
    </row>
    <row r="388" spans="1:23" ht="15" hidden="1" customHeight="1">
      <c r="A388" s="13" t="s">
        <v>1394</v>
      </c>
      <c r="B388" s="12" t="str">
        <f>(IF((VLOOKUP(Table6[[#This Row],[SKU]],'All Skus'!$A:$AC,2,FALSE))="JBL",(VLOOKUP(Table6[[#This Row],[SKU]],'All Skus'!$A:$AC,3,FALSE)),""))</f>
        <v>Custom Shop</v>
      </c>
      <c r="C388" s="12" t="str">
        <f>(IF((VLOOKUP(Table6[[#This Row],[SKU]],'All Skus'!$A:$AC,2,FALSE))="JBL",(VLOOKUP(Table6[[#This Row],[SKU]],'All Skus'!$A:$AC,4,FALSE)),""))</f>
        <v>AC28/26-WRX</v>
      </c>
      <c r="D388" s="61" t="str">
        <f>(IF((VLOOKUP(Table6[[#This Row],[SKU]],'All Skus'!$A:$AC,2,FALSE))="JBL",(VLOOKUP(Table6[[#This Row],[SKU]],'All Skus'!$A:$AC,5,FALSE)),""))</f>
        <v>JBL050</v>
      </c>
      <c r="E388" s="137" t="str">
        <f>(IF((VLOOKUP(Table6[[#This Row],[SKU]],'All Skus'!$A:$AC,2,FALSE))="JBL",(VLOOKUP(Table6[[#This Row],[SKU]],'All Skus'!$A:$AC,6,FALSE)),""))</f>
        <v>YES</v>
      </c>
      <c r="F388" s="61">
        <f>(IF((VLOOKUP(Table6[[#This Row],[SKU]],'All Skus'!$A:$AC,2,FALSE))="JBL",(VLOOKUP(Table6[[#This Row],[SKU]],'All Skus'!$A:$AC,7,FALSE)),""))</f>
        <v>0</v>
      </c>
      <c r="G388" t="str">
        <f>(IF((VLOOKUP(Table6[[#This Row],[SKU]],'All Skus'!$A:$AC,2,FALSE))="JBL",(VLOOKUP(Table6[[#This Row],[SKU]],'All Skus'!$A:$AC,8,FALSE)),""))</f>
        <v>AC28/26 - Dual   8" 2way (white)</v>
      </c>
      <c r="H388" s="8" t="str">
        <f>(IF((VLOOKUP(Table6[[#This Row],[SKU]],'All Skus'!$A:$AC,2,FALSE))="JBL",(VLOOKUP(Table6[[#This Row],[SKU]],'All Skus'!$A:$AC,9,FALSE)),""))</f>
        <v>Ultra-Compact 2-Way Loudspeaker with 1 x 5.25" LF.  90° x 90° Coverage, Passive.  Suspension Eyebolts Not Included.  Optional U-Bracket Model MTU-15.  Sold as 2 per carton.</v>
      </c>
      <c r="I388" s="101" t="str">
        <f>(IF((VLOOKUP(Table6[[#This Row],[SKU]],'All Skus'!$A:$AC,2,FALSE))="JBL",(VLOOKUP(Table6[[#This Row],[SKU]],'All Skus'!$A:$AC,10,FALSE)),""))</f>
        <v>Please email CustomAudio@harman.com for quote</v>
      </c>
      <c r="J388" s="101">
        <f>(IF((VLOOKUP(Table6[[#This Row],[SKU]],'All Skus'!$A:$AC,2,FALSE))="JBL",(VLOOKUP(Table6[[#This Row],[SKU]],'All Skus'!$A:$AC,11,FALSE)),""))</f>
        <v>0</v>
      </c>
      <c r="K388" s="102">
        <f>(IF((VLOOKUP(Table6[[#This Row],[SKU]],'All Skus'!$A:$AC,2,FALSE))="JBL",(VLOOKUP(Table6[[#This Row],[SKU]],'All Skus'!$A:$AC,13,FALSE)),""))</f>
        <v>0</v>
      </c>
      <c r="L388" s="102">
        <f>(IF((VLOOKUP(Table6[[#This Row],[SKU]],'All Skus'!$A:$AC,2,FALSE))="JBL",(VLOOKUP(Table6[[#This Row],[SKU]],'All Skus'!$A:$AC,14,FALSE)),""))</f>
        <v>0</v>
      </c>
      <c r="M388" s="143">
        <f>(IF((VLOOKUP(Table6[[#This Row],[SKU]],'All Skus'!$A:$AC,2,FALSE))="JBL",(VLOOKUP(Table6[[#This Row],[SKU]],'All Skus'!$A:$AC,15,FALSE)),""))</f>
        <v>0</v>
      </c>
      <c r="N388" s="137">
        <f>(IF((VLOOKUP(Table6[[#This Row],[SKU]],'All Skus'!$A:$AC,2,FALSE))="JBL",(VLOOKUP(Table6[[#This Row],[SKU]],'All Skus'!$A:$AC,16,FALSE)),""))</f>
        <v>0</v>
      </c>
      <c r="O388" s="61">
        <f>(IF((VLOOKUP(Table6[[#This Row],[SKU]],'All Skus'!$A:$AC,2,FALSE))="JBL",(VLOOKUP(Table6[[#This Row],[SKU]],'All Skus'!$A:$AC,17,FALSE)),""))</f>
        <v>0</v>
      </c>
      <c r="P388" s="136">
        <f>(IF((VLOOKUP(Table6[[#This Row],[SKU]],'All Skus'!$A:$AC,2,FALSE))="JBL",(VLOOKUP(Table6[[#This Row],[SKU]],'All Skus'!$A:$AC,18,FALSE)),""))</f>
        <v>0</v>
      </c>
      <c r="Q388" s="136">
        <f>(IF((VLOOKUP(Table6[[#This Row],[SKU]],'All Skus'!$A:$AC,2,FALSE))="JBL",(VLOOKUP(Table6[[#This Row],[SKU]],'All Skus'!$A:$AC,19,FALSE)),""))</f>
        <v>0</v>
      </c>
      <c r="R388" s="136">
        <f>(IF((VLOOKUP(Table6[[#This Row],[SKU]],'All Skus'!$A:$AC,2,FALSE))="JBL",(VLOOKUP(Table6[[#This Row],[SKU]],'All Skus'!$A:$AC,20,FALSE)),""))</f>
        <v>0</v>
      </c>
      <c r="S388" s="61">
        <f>(IF((VLOOKUP(Table6[[#This Row],[SKU]],'All Skus'!$A:$AC,2,FALSE))="JBL",(VLOOKUP(Table6[[#This Row],[SKU]],'All Skus'!$A:$AC,21,FALSE)),""))</f>
        <v>0</v>
      </c>
      <c r="T388" s="61" t="str">
        <f>(IF((VLOOKUP(Table6[[#This Row],[SKU]],'All Skus'!$A:$AC,2,FALSE))="JBL",(VLOOKUP(Table6[[#This Row],[SKU]],'All Skus'!$A:$AC,22,FALSE)),""))</f>
        <v>MX</v>
      </c>
      <c r="U388" t="str">
        <f>(IF((VLOOKUP(Table6[[#This Row],[SKU]],'All Skus'!$A:$AC,2,FALSE))="JBL",(VLOOKUP(Table6[[#This Row],[SKU]],'All Skus'!$A:$AC,23,FALSE)),""))</f>
        <v>Compliant</v>
      </c>
      <c r="V388" s="284" t="str">
        <f>HYPERLINK((IF((VLOOKUP(Table6[[#This Row],[SKU]],'All Skus'!$A:$AC,2,FALSE))="JBL",(VLOOKUP(Table6[[#This Row],[SKU]],'All Skus'!$A:$AC,24,FALSE)),"")))</f>
        <v/>
      </c>
      <c r="W388" s="151">
        <v>386</v>
      </c>
    </row>
    <row r="389" spans="1:23" ht="15" hidden="1" customHeight="1">
      <c r="A389" s="13" t="s">
        <v>1395</v>
      </c>
      <c r="B389" s="12" t="str">
        <f>(IF((VLOOKUP(Table6[[#This Row],[SKU]],'All Skus'!$A:$AC,2,FALSE))="JBL",(VLOOKUP(Table6[[#This Row],[SKU]],'All Skus'!$A:$AC,3,FALSE)),""))</f>
        <v>AE Series</v>
      </c>
      <c r="C389" s="12" t="str">
        <f>(IF((VLOOKUP(Table6[[#This Row],[SKU]],'All Skus'!$A:$AC,2,FALSE))="JBL",(VLOOKUP(Table6[[#This Row],[SKU]],'All Skus'!$A:$AC,4,FALSE)),""))</f>
        <v>AC28/95</v>
      </c>
      <c r="D389" s="61" t="str">
        <f>(IF((VLOOKUP(Table6[[#This Row],[SKU]],'All Skus'!$A:$AC,2,FALSE))="JBL",(VLOOKUP(Table6[[#This Row],[SKU]],'All Skus'!$A:$AC,5,FALSE)),""))</f>
        <v>JBL052</v>
      </c>
      <c r="E389" s="137">
        <f>(IF((VLOOKUP(Table6[[#This Row],[SKU]],'All Skus'!$A:$AC,2,FALSE))="JBL",(VLOOKUP(Table6[[#This Row],[SKU]],'All Skus'!$A:$AC,6,FALSE)),""))</f>
        <v>0</v>
      </c>
      <c r="F389" s="61">
        <f>(IF((VLOOKUP(Table6[[#This Row],[SKU]],'All Skus'!$A:$AC,2,FALSE))="JBL",(VLOOKUP(Table6[[#This Row],[SKU]],'All Skus'!$A:$AC,7,FALSE)),""))</f>
        <v>0</v>
      </c>
      <c r="G389" t="str">
        <f>(IF((VLOOKUP(Table6[[#This Row],[SKU]],'All Skus'!$A:$AC,2,FALSE))="JBL",(VLOOKUP(Table6[[#This Row],[SKU]],'All Skus'!$A:$AC,8,FALSE)),""))</f>
        <v>AC28/95 - Dual   8" 2way</v>
      </c>
      <c r="H389" s="8" t="str">
        <f>(IF((VLOOKUP(Table6[[#This Row],[SKU]],'All Skus'!$A:$AC,2,FALSE))="JBL",(VLOOKUP(Table6[[#This Row],[SKU]],'All Skus'!$A:$AC,9,FALSE)),""))</f>
        <v>Compact 2-Way Loudspeaker with 2 x 8" LF.  90° x 50° Coverage, Passive.  Compact  PT™ Progressive Transition™ Waveguide, Rotatable.  Suspension Eyebolts Not Included.  Optional U-Bracket Model MTU-28.</v>
      </c>
      <c r="I389" s="101">
        <f>(IF((VLOOKUP(Table6[[#This Row],[SKU]],'All Skus'!$A:$AC,2,FALSE))="JBL",(VLOOKUP(Table6[[#This Row],[SKU]],'All Skus'!$A:$AC,10,FALSE)),""))</f>
        <v>1855</v>
      </c>
      <c r="J389" s="101">
        <f>(IF((VLOOKUP(Table6[[#This Row],[SKU]],'All Skus'!$A:$AC,2,FALSE))="JBL",(VLOOKUP(Table6[[#This Row],[SKU]],'All Skus'!$A:$AC,11,FALSE)),""))</f>
        <v>1855</v>
      </c>
      <c r="K389" s="102">
        <f>(IF((VLOOKUP(Table6[[#This Row],[SKU]],'All Skus'!$A:$AC,2,FALSE))="JBL",(VLOOKUP(Table6[[#This Row],[SKU]],'All Skus'!$A:$AC,13,FALSE)),""))</f>
        <v>0</v>
      </c>
      <c r="L389" s="102">
        <f>(IF((VLOOKUP(Table6[[#This Row],[SKU]],'All Skus'!$A:$AC,2,FALSE))="JBL",(VLOOKUP(Table6[[#This Row],[SKU]],'All Skus'!$A:$AC,14,FALSE)),""))</f>
        <v>0</v>
      </c>
      <c r="M389" s="143">
        <f>(IF((VLOOKUP(Table6[[#This Row],[SKU]],'All Skus'!$A:$AC,2,FALSE))="JBL",(VLOOKUP(Table6[[#This Row],[SKU]],'All Skus'!$A:$AC,15,FALSE)),""))</f>
        <v>0</v>
      </c>
      <c r="N389" s="137">
        <f>(IF((VLOOKUP(Table6[[#This Row],[SKU]],'All Skus'!$A:$AC,2,FALSE))="JBL",(VLOOKUP(Table6[[#This Row],[SKU]],'All Skus'!$A:$AC,16,FALSE)),""))</f>
        <v>691991010897</v>
      </c>
      <c r="O389" s="61">
        <f>(IF((VLOOKUP(Table6[[#This Row],[SKU]],'All Skus'!$A:$AC,2,FALSE))="JBL",(VLOOKUP(Table6[[#This Row],[SKU]],'All Skus'!$A:$AC,17,FALSE)),""))</f>
        <v>0</v>
      </c>
      <c r="P389" s="136">
        <f>(IF((VLOOKUP(Table6[[#This Row],[SKU]],'All Skus'!$A:$AC,2,FALSE))="JBL",(VLOOKUP(Table6[[#This Row],[SKU]],'All Skus'!$A:$AC,18,FALSE)),""))</f>
        <v>47</v>
      </c>
      <c r="Q389" s="136">
        <f>(IF((VLOOKUP(Table6[[#This Row],[SKU]],'All Skus'!$A:$AC,2,FALSE))="JBL",(VLOOKUP(Table6[[#This Row],[SKU]],'All Skus'!$A:$AC,19,FALSE)),""))</f>
        <v>13</v>
      </c>
      <c r="R389" s="136">
        <f>(IF((VLOOKUP(Table6[[#This Row],[SKU]],'All Skus'!$A:$AC,2,FALSE))="JBL",(VLOOKUP(Table6[[#This Row],[SKU]],'All Skus'!$A:$AC,20,FALSE)),""))</f>
        <v>14</v>
      </c>
      <c r="S389" s="61">
        <f>(IF((VLOOKUP(Table6[[#This Row],[SKU]],'All Skus'!$A:$AC,2,FALSE))="JBL",(VLOOKUP(Table6[[#This Row],[SKU]],'All Skus'!$A:$AC,21,FALSE)),""))</f>
        <v>28</v>
      </c>
      <c r="T389" s="61" t="str">
        <f>(IF((VLOOKUP(Table6[[#This Row],[SKU]],'All Skus'!$A:$AC,2,FALSE))="JBL",(VLOOKUP(Table6[[#This Row],[SKU]],'All Skus'!$A:$AC,22,FALSE)),""))</f>
        <v>MX</v>
      </c>
      <c r="U389" t="str">
        <f>(IF((VLOOKUP(Table6[[#This Row],[SKU]],'All Skus'!$A:$AC,2,FALSE))="JBL",(VLOOKUP(Table6[[#This Row],[SKU]],'All Skus'!$A:$AC,23,FALSE)),""))</f>
        <v>Compliant</v>
      </c>
      <c r="V389" s="284" t="str">
        <f>HYPERLINK((IF((VLOOKUP(Table6[[#This Row],[SKU]],'All Skus'!$A:$AC,2,FALSE))="JBL",(VLOOKUP(Table6[[#This Row],[SKU]],'All Skus'!$A:$AC,24,FALSE)),"")))</f>
        <v/>
      </c>
      <c r="W389" s="151">
        <v>387</v>
      </c>
    </row>
    <row r="390" spans="1:23" ht="15" hidden="1" customHeight="1">
      <c r="A390" s="13" t="s">
        <v>1396</v>
      </c>
      <c r="B390" s="12" t="str">
        <f>(IF((VLOOKUP(Table6[[#This Row],[SKU]],'All Skus'!$A:$AC,2,FALSE))="JBL",(VLOOKUP(Table6[[#This Row],[SKU]],'All Skus'!$A:$AC,3,FALSE)),""))</f>
        <v>AE Series</v>
      </c>
      <c r="C390" s="12" t="str">
        <f>(IF((VLOOKUP(Table6[[#This Row],[SKU]],'All Skus'!$A:$AC,2,FALSE))="JBL",(VLOOKUP(Table6[[#This Row],[SKU]],'All Skus'!$A:$AC,4,FALSE)),""))</f>
        <v>AC28/95-WH</v>
      </c>
      <c r="D390" s="61" t="str">
        <f>(IF((VLOOKUP(Table6[[#This Row],[SKU]],'All Skus'!$A:$AC,2,FALSE))="JBL",(VLOOKUP(Table6[[#This Row],[SKU]],'All Skus'!$A:$AC,5,FALSE)),""))</f>
        <v>JBL052</v>
      </c>
      <c r="E390" s="137">
        <f>(IF((VLOOKUP(Table6[[#This Row],[SKU]],'All Skus'!$A:$AC,2,FALSE))="JBL",(VLOOKUP(Table6[[#This Row],[SKU]],'All Skus'!$A:$AC,6,FALSE)),""))</f>
        <v>0</v>
      </c>
      <c r="F390" s="61">
        <f>(IF((VLOOKUP(Table6[[#This Row],[SKU]],'All Skus'!$A:$AC,2,FALSE))="JBL",(VLOOKUP(Table6[[#This Row],[SKU]],'All Skus'!$A:$AC,7,FALSE)),""))</f>
        <v>0</v>
      </c>
      <c r="G390" t="str">
        <f>(IF((VLOOKUP(Table6[[#This Row],[SKU]],'All Skus'!$A:$AC,2,FALSE))="JBL",(VLOOKUP(Table6[[#This Row],[SKU]],'All Skus'!$A:$AC,8,FALSE)),""))</f>
        <v>AC28/95 - Dual   8" 2way (white)</v>
      </c>
      <c r="H390" s="8" t="str">
        <f>(IF((VLOOKUP(Table6[[#This Row],[SKU]],'All Skus'!$A:$AC,2,FALSE))="JBL",(VLOOKUP(Table6[[#This Row],[SKU]],'All Skus'!$A:$AC,9,FALSE)),""))</f>
        <v>AC28/95 in white.</v>
      </c>
      <c r="I390" s="101">
        <f>(IF((VLOOKUP(Table6[[#This Row],[SKU]],'All Skus'!$A:$AC,2,FALSE))="JBL",(VLOOKUP(Table6[[#This Row],[SKU]],'All Skus'!$A:$AC,10,FALSE)),""))</f>
        <v>1855</v>
      </c>
      <c r="J390" s="101">
        <f>(IF((VLOOKUP(Table6[[#This Row],[SKU]],'All Skus'!$A:$AC,2,FALSE))="JBL",(VLOOKUP(Table6[[#This Row],[SKU]],'All Skus'!$A:$AC,11,FALSE)),""))</f>
        <v>1855</v>
      </c>
      <c r="K390" s="102">
        <f>(IF((VLOOKUP(Table6[[#This Row],[SKU]],'All Skus'!$A:$AC,2,FALSE))="JBL",(VLOOKUP(Table6[[#This Row],[SKU]],'All Skus'!$A:$AC,13,FALSE)),""))</f>
        <v>0</v>
      </c>
      <c r="L390" s="102">
        <f>(IF((VLOOKUP(Table6[[#This Row],[SKU]],'All Skus'!$A:$AC,2,FALSE))="JBL",(VLOOKUP(Table6[[#This Row],[SKU]],'All Skus'!$A:$AC,14,FALSE)),""))</f>
        <v>0</v>
      </c>
      <c r="M390" s="143">
        <f>(IF((VLOOKUP(Table6[[#This Row],[SKU]],'All Skus'!$A:$AC,2,FALSE))="JBL",(VLOOKUP(Table6[[#This Row],[SKU]],'All Skus'!$A:$AC,15,FALSE)),""))</f>
        <v>0</v>
      </c>
      <c r="N390" s="137">
        <f>(IF((VLOOKUP(Table6[[#This Row],[SKU]],'All Skus'!$A:$AC,2,FALSE))="JBL",(VLOOKUP(Table6[[#This Row],[SKU]],'All Skus'!$A:$AC,16,FALSE)),""))</f>
        <v>691991010903</v>
      </c>
      <c r="O390" s="61">
        <f>(IF((VLOOKUP(Table6[[#This Row],[SKU]],'All Skus'!$A:$AC,2,FALSE))="JBL",(VLOOKUP(Table6[[#This Row],[SKU]],'All Skus'!$A:$AC,17,FALSE)),""))</f>
        <v>0</v>
      </c>
      <c r="P390" s="136">
        <f>(IF((VLOOKUP(Table6[[#This Row],[SKU]],'All Skus'!$A:$AC,2,FALSE))="JBL",(VLOOKUP(Table6[[#This Row],[SKU]],'All Skus'!$A:$AC,18,FALSE)),""))</f>
        <v>47</v>
      </c>
      <c r="Q390" s="136">
        <f>(IF((VLOOKUP(Table6[[#This Row],[SKU]],'All Skus'!$A:$AC,2,FALSE))="JBL",(VLOOKUP(Table6[[#This Row],[SKU]],'All Skus'!$A:$AC,19,FALSE)),""))</f>
        <v>13</v>
      </c>
      <c r="R390" s="136">
        <f>(IF((VLOOKUP(Table6[[#This Row],[SKU]],'All Skus'!$A:$AC,2,FALSE))="JBL",(VLOOKUP(Table6[[#This Row],[SKU]],'All Skus'!$A:$AC,20,FALSE)),""))</f>
        <v>13.5</v>
      </c>
      <c r="S390" s="61">
        <f>(IF((VLOOKUP(Table6[[#This Row],[SKU]],'All Skus'!$A:$AC,2,FALSE))="JBL",(VLOOKUP(Table6[[#This Row],[SKU]],'All Skus'!$A:$AC,21,FALSE)),""))</f>
        <v>28.5</v>
      </c>
      <c r="T390" s="61" t="str">
        <f>(IF((VLOOKUP(Table6[[#This Row],[SKU]],'All Skus'!$A:$AC,2,FALSE))="JBL",(VLOOKUP(Table6[[#This Row],[SKU]],'All Skus'!$A:$AC,22,FALSE)),""))</f>
        <v>MX</v>
      </c>
      <c r="U390" t="str">
        <f>(IF((VLOOKUP(Table6[[#This Row],[SKU]],'All Skus'!$A:$AC,2,FALSE))="JBL",(VLOOKUP(Table6[[#This Row],[SKU]],'All Skus'!$A:$AC,23,FALSE)),""))</f>
        <v>Compliant</v>
      </c>
      <c r="V390" s="284" t="str">
        <f>HYPERLINK((IF((VLOOKUP(Table6[[#This Row],[SKU]],'All Skus'!$A:$AC,2,FALSE))="JBL",(VLOOKUP(Table6[[#This Row],[SKU]],'All Skus'!$A:$AC,24,FALSE)),"")))</f>
        <v/>
      </c>
      <c r="W390" s="151">
        <v>388</v>
      </c>
    </row>
    <row r="391" spans="1:23" ht="15" hidden="1" customHeight="1">
      <c r="A391" s="13" t="s">
        <v>1397</v>
      </c>
      <c r="B391" s="12" t="str">
        <f>(IF((VLOOKUP(Table6[[#This Row],[SKU]],'All Skus'!$A:$AC,2,FALSE))="JBL",(VLOOKUP(Table6[[#This Row],[SKU]],'All Skus'!$A:$AC,3,FALSE)),""))</f>
        <v>Custom Shop Item</v>
      </c>
      <c r="C391" s="12" t="str">
        <f>(IF((VLOOKUP(Table6[[#This Row],[SKU]],'All Skus'!$A:$AC,2,FALSE))="JBL",(VLOOKUP(Table6[[#This Row],[SKU]],'All Skus'!$A:$AC,4,FALSE)),""))</f>
        <v>AC28/95-WRC</v>
      </c>
      <c r="D391" s="61" t="str">
        <f>(IF((VLOOKUP(Table6[[#This Row],[SKU]],'All Skus'!$A:$AC,2,FALSE))="JBL",(VLOOKUP(Table6[[#This Row],[SKU]],'All Skus'!$A:$AC,5,FALSE)),""))</f>
        <v>JBL050</v>
      </c>
      <c r="E391" s="137" t="str">
        <f>(IF((VLOOKUP(Table6[[#This Row],[SKU]],'All Skus'!$A:$AC,2,FALSE))="JBL",(VLOOKUP(Table6[[#This Row],[SKU]],'All Skus'!$A:$AC,6,FALSE)),""))</f>
        <v>YES</v>
      </c>
      <c r="F391" s="61">
        <f>(IF((VLOOKUP(Table6[[#This Row],[SKU]],'All Skus'!$A:$AC,2,FALSE))="JBL",(VLOOKUP(Table6[[#This Row],[SKU]],'All Skus'!$A:$AC,7,FALSE)),""))</f>
        <v>0</v>
      </c>
      <c r="G391" t="str">
        <f>(IF((VLOOKUP(Table6[[#This Row],[SKU]],'All Skus'!$A:$AC,2,FALSE))="JBL",(VLOOKUP(Table6[[#This Row],[SKU]],'All Skus'!$A:$AC,8,FALSE)),""))</f>
        <v>AC28/95 - Dual   8" 2way (Extreme Weather Protection Treatment)</v>
      </c>
      <c r="H391" s="8" t="str">
        <f>(IF((VLOOKUP(Table6[[#This Row],[SKU]],'All Skus'!$A:$AC,2,FALSE))="JBL",(VLOOKUP(Table6[[#This Row],[SKU]],'All Skus'!$A:$AC,9,FALSE)),""))</f>
        <v>Ultra-Compact 2-Way Loudspeaker with 1 x 5.25" LF.  90° x 90° Coverage, Passive.  Suspension Eyebolts Not Included.  Optional U-Bracket Model MTU-15.  Sold as 2 per carton.</v>
      </c>
      <c r="I391" s="101" t="str">
        <f>(IF((VLOOKUP(Table6[[#This Row],[SKU]],'All Skus'!$A:$AC,2,FALSE))="JBL",(VLOOKUP(Table6[[#This Row],[SKU]],'All Skus'!$A:$AC,10,FALSE)),""))</f>
        <v>Please email CustomAudio@harman.com for quote</v>
      </c>
      <c r="J391" s="101">
        <f>(IF((VLOOKUP(Table6[[#This Row],[SKU]],'All Skus'!$A:$AC,2,FALSE))="JBL",(VLOOKUP(Table6[[#This Row],[SKU]],'All Skus'!$A:$AC,11,FALSE)),""))</f>
        <v>0</v>
      </c>
      <c r="K391" s="102">
        <f>(IF((VLOOKUP(Table6[[#This Row],[SKU]],'All Skus'!$A:$AC,2,FALSE))="JBL",(VLOOKUP(Table6[[#This Row],[SKU]],'All Skus'!$A:$AC,13,FALSE)),""))</f>
        <v>0</v>
      </c>
      <c r="L391" s="102">
        <f>(IF((VLOOKUP(Table6[[#This Row],[SKU]],'All Skus'!$A:$AC,2,FALSE))="JBL",(VLOOKUP(Table6[[#This Row],[SKU]],'All Skus'!$A:$AC,14,FALSE)),""))</f>
        <v>0</v>
      </c>
      <c r="M391" s="143">
        <f>(IF((VLOOKUP(Table6[[#This Row],[SKU]],'All Skus'!$A:$AC,2,FALSE))="JBL",(VLOOKUP(Table6[[#This Row],[SKU]],'All Skus'!$A:$AC,15,FALSE)),""))</f>
        <v>0</v>
      </c>
      <c r="N391" s="137">
        <f>(IF((VLOOKUP(Table6[[#This Row],[SKU]],'All Skus'!$A:$AC,2,FALSE))="JBL",(VLOOKUP(Table6[[#This Row],[SKU]],'All Skus'!$A:$AC,16,FALSE)),""))</f>
        <v>691991029035</v>
      </c>
      <c r="O391" s="61">
        <f>(IF((VLOOKUP(Table6[[#This Row],[SKU]],'All Skus'!$A:$AC,2,FALSE))="JBL",(VLOOKUP(Table6[[#This Row],[SKU]],'All Skus'!$A:$AC,17,FALSE)),""))</f>
        <v>0</v>
      </c>
      <c r="P391" s="136">
        <f>(IF((VLOOKUP(Table6[[#This Row],[SKU]],'All Skus'!$A:$AC,2,FALSE))="JBL",(VLOOKUP(Table6[[#This Row],[SKU]],'All Skus'!$A:$AC,18,FALSE)),""))</f>
        <v>51</v>
      </c>
      <c r="Q391" s="136">
        <f>(IF((VLOOKUP(Table6[[#This Row],[SKU]],'All Skus'!$A:$AC,2,FALSE))="JBL",(VLOOKUP(Table6[[#This Row],[SKU]],'All Skus'!$A:$AC,19,FALSE)),""))</f>
        <v>15</v>
      </c>
      <c r="R391" s="136">
        <f>(IF((VLOOKUP(Table6[[#This Row],[SKU]],'All Skus'!$A:$AC,2,FALSE))="JBL",(VLOOKUP(Table6[[#This Row],[SKU]],'All Skus'!$A:$AC,20,FALSE)),""))</f>
        <v>15.5</v>
      </c>
      <c r="S391" s="61">
        <f>(IF((VLOOKUP(Table6[[#This Row],[SKU]],'All Skus'!$A:$AC,2,FALSE))="JBL",(VLOOKUP(Table6[[#This Row],[SKU]],'All Skus'!$A:$AC,21,FALSE)),""))</f>
        <v>28.5</v>
      </c>
      <c r="T391" s="61" t="str">
        <f>(IF((VLOOKUP(Table6[[#This Row],[SKU]],'All Skus'!$A:$AC,2,FALSE))="JBL",(VLOOKUP(Table6[[#This Row],[SKU]],'All Skus'!$A:$AC,22,FALSE)),""))</f>
        <v>CN</v>
      </c>
      <c r="U391" t="str">
        <f>(IF((VLOOKUP(Table6[[#This Row],[SKU]],'All Skus'!$A:$AC,2,FALSE))="JBL",(VLOOKUP(Table6[[#This Row],[SKU]],'All Skus'!$A:$AC,23,FALSE)),""))</f>
        <v>Non Compliant</v>
      </c>
      <c r="V391" s="284" t="str">
        <f>HYPERLINK((IF((VLOOKUP(Table6[[#This Row],[SKU]],'All Skus'!$A:$AC,2,FALSE))="JBL",(VLOOKUP(Table6[[#This Row],[SKU]],'All Skus'!$A:$AC,24,FALSE)),"")))</f>
        <v/>
      </c>
      <c r="W391" s="151">
        <v>389</v>
      </c>
    </row>
    <row r="392" spans="1:23" ht="15" hidden="1" customHeight="1">
      <c r="A392" s="13" t="s">
        <v>1398</v>
      </c>
      <c r="B392" s="12" t="str">
        <f>(IF((VLOOKUP(Table6[[#This Row],[SKU]],'All Skus'!$A:$AC,2,FALSE))="JBL",(VLOOKUP(Table6[[#This Row],[SKU]],'All Skus'!$A:$AC,3,FALSE)),""))</f>
        <v>Custom Shop Item</v>
      </c>
      <c r="C392" s="12" t="str">
        <f>(IF((VLOOKUP(Table6[[#This Row],[SKU]],'All Skus'!$A:$AC,2,FALSE))="JBL",(VLOOKUP(Table6[[#This Row],[SKU]],'All Skus'!$A:$AC,4,FALSE)),""))</f>
        <v>AC28/95-WRX</v>
      </c>
      <c r="D392" s="61" t="str">
        <f>(IF((VLOOKUP(Table6[[#This Row],[SKU]],'All Skus'!$A:$AC,2,FALSE))="JBL",(VLOOKUP(Table6[[#This Row],[SKU]],'All Skus'!$A:$AC,5,FALSE)),""))</f>
        <v>JBL050</v>
      </c>
      <c r="E392" s="137" t="str">
        <f>(IF((VLOOKUP(Table6[[#This Row],[SKU]],'All Skus'!$A:$AC,2,FALSE))="JBL",(VLOOKUP(Table6[[#This Row],[SKU]],'All Skus'!$A:$AC,6,FALSE)),""))</f>
        <v>YES</v>
      </c>
      <c r="F392" s="61">
        <f>(IF((VLOOKUP(Table6[[#This Row],[SKU]],'All Skus'!$A:$AC,2,FALSE))="JBL",(VLOOKUP(Table6[[#This Row],[SKU]],'All Skus'!$A:$AC,7,FALSE)),""))</f>
        <v>0</v>
      </c>
      <c r="G392" t="str">
        <f>(IF((VLOOKUP(Table6[[#This Row],[SKU]],'All Skus'!$A:$AC,2,FALSE))="JBL",(VLOOKUP(Table6[[#This Row],[SKU]],'All Skus'!$A:$AC,8,FALSE)),""))</f>
        <v>AC28/95 - Dual   8" 2way (Extreme Weather Protection Treatment)</v>
      </c>
      <c r="H392" s="8" t="str">
        <f>(IF((VLOOKUP(Table6[[#This Row],[SKU]],'All Skus'!$A:$AC,2,FALSE))="JBL",(VLOOKUP(Table6[[#This Row],[SKU]],'All Skus'!$A:$AC,9,FALSE)),""))</f>
        <v xml:space="preserve">Compact 2-Way Loudspeaker with 2 x 8" LF.  90° x 50° Coverage, Passive.  Compact  PT™ Progressive Transition™ Waveguide, Rotatable. With Extreme Weather Protection Treatment. WRC &amp; WRX enclosures are larger than the standard enclosure.  Visit www.jblpro.com to download AE Series 2D WRC &amp; WRX drawings.  MTU brackets do not fit WRC &amp; WRX enclosures.  GRAY. </v>
      </c>
      <c r="I392" s="101" t="str">
        <f>(IF((VLOOKUP(Table6[[#This Row],[SKU]],'All Skus'!$A:$AC,2,FALSE))="JBL",(VLOOKUP(Table6[[#This Row],[SKU]],'All Skus'!$A:$AC,10,FALSE)),""))</f>
        <v>Please email CustomAudio@harman.com for quote</v>
      </c>
      <c r="J392" s="101">
        <f>(IF((VLOOKUP(Table6[[#This Row],[SKU]],'All Skus'!$A:$AC,2,FALSE))="JBL",(VLOOKUP(Table6[[#This Row],[SKU]],'All Skus'!$A:$AC,11,FALSE)),""))</f>
        <v>0</v>
      </c>
      <c r="K392" s="102">
        <f>(IF((VLOOKUP(Table6[[#This Row],[SKU]],'All Skus'!$A:$AC,2,FALSE))="JBL",(VLOOKUP(Table6[[#This Row],[SKU]],'All Skus'!$A:$AC,13,FALSE)),""))</f>
        <v>0</v>
      </c>
      <c r="L392" s="102">
        <f>(IF((VLOOKUP(Table6[[#This Row],[SKU]],'All Skus'!$A:$AC,2,FALSE))="JBL",(VLOOKUP(Table6[[#This Row],[SKU]],'All Skus'!$A:$AC,14,FALSE)),""))</f>
        <v>0</v>
      </c>
      <c r="M392" s="143">
        <f>(IF((VLOOKUP(Table6[[#This Row],[SKU]],'All Skus'!$A:$AC,2,FALSE))="JBL",(VLOOKUP(Table6[[#This Row],[SKU]],'All Skus'!$A:$AC,15,FALSE)),""))</f>
        <v>0</v>
      </c>
      <c r="N392" s="137">
        <f>(IF((VLOOKUP(Table6[[#This Row],[SKU]],'All Skus'!$A:$AC,2,FALSE))="JBL",(VLOOKUP(Table6[[#This Row],[SKU]],'All Skus'!$A:$AC,16,FALSE)),""))</f>
        <v>691991010910</v>
      </c>
      <c r="O392" s="61">
        <f>(IF((VLOOKUP(Table6[[#This Row],[SKU]],'All Skus'!$A:$AC,2,FALSE))="JBL",(VLOOKUP(Table6[[#This Row],[SKU]],'All Skus'!$A:$AC,17,FALSE)),""))</f>
        <v>0</v>
      </c>
      <c r="P392" s="136">
        <f>(IF((VLOOKUP(Table6[[#This Row],[SKU]],'All Skus'!$A:$AC,2,FALSE))="JBL",(VLOOKUP(Table6[[#This Row],[SKU]],'All Skus'!$A:$AC,18,FALSE)),""))</f>
        <v>75</v>
      </c>
      <c r="Q392" s="136">
        <f>(IF((VLOOKUP(Table6[[#This Row],[SKU]],'All Skus'!$A:$AC,2,FALSE))="JBL",(VLOOKUP(Table6[[#This Row],[SKU]],'All Skus'!$A:$AC,19,FALSE)),""))</f>
        <v>17</v>
      </c>
      <c r="R392" s="136">
        <f>(IF((VLOOKUP(Table6[[#This Row],[SKU]],'All Skus'!$A:$AC,2,FALSE))="JBL",(VLOOKUP(Table6[[#This Row],[SKU]],'All Skus'!$A:$AC,20,FALSE)),""))</f>
        <v>15</v>
      </c>
      <c r="S392" s="61">
        <f>(IF((VLOOKUP(Table6[[#This Row],[SKU]],'All Skus'!$A:$AC,2,FALSE))="JBL",(VLOOKUP(Table6[[#This Row],[SKU]],'All Skus'!$A:$AC,21,FALSE)),""))</f>
        <v>30</v>
      </c>
      <c r="T392" s="61" t="str">
        <f>(IF((VLOOKUP(Table6[[#This Row],[SKU]],'All Skus'!$A:$AC,2,FALSE))="JBL",(VLOOKUP(Table6[[#This Row],[SKU]],'All Skus'!$A:$AC,22,FALSE)),""))</f>
        <v>CN</v>
      </c>
      <c r="U392" t="str">
        <f>(IF((VLOOKUP(Table6[[#This Row],[SKU]],'All Skus'!$A:$AC,2,FALSE))="JBL",(VLOOKUP(Table6[[#This Row],[SKU]],'All Skus'!$A:$AC,23,FALSE)),""))</f>
        <v>Non Compliant</v>
      </c>
      <c r="V392" s="284" t="str">
        <f>HYPERLINK((IF((VLOOKUP(Table6[[#This Row],[SKU]],'All Skus'!$A:$AC,2,FALSE))="JBL",(VLOOKUP(Table6[[#This Row],[SKU]],'All Skus'!$A:$AC,24,FALSE)),"")))</f>
        <v/>
      </c>
      <c r="W392" s="151">
        <v>390</v>
      </c>
    </row>
    <row r="393" spans="1:23" ht="15" hidden="1" customHeight="1">
      <c r="A393" s="13" t="s">
        <v>1399</v>
      </c>
      <c r="B393" s="12" t="str">
        <f>(IF((VLOOKUP(Table6[[#This Row],[SKU]],'All Skus'!$A:$AC,2,FALSE))="JBL",(VLOOKUP(Table6[[#This Row],[SKU]],'All Skus'!$A:$AC,3,FALSE)),""))</f>
        <v>AE Series</v>
      </c>
      <c r="C393" s="12" t="str">
        <f>(IF((VLOOKUP(Table6[[#This Row],[SKU]],'All Skus'!$A:$AC,2,FALSE))="JBL",(VLOOKUP(Table6[[#This Row],[SKU]],'All Skus'!$A:$AC,4,FALSE)),""))</f>
        <v>AC115S</v>
      </c>
      <c r="D393" s="61" t="str">
        <f>(IF((VLOOKUP(Table6[[#This Row],[SKU]],'All Skus'!$A:$AC,2,FALSE))="JBL",(VLOOKUP(Table6[[#This Row],[SKU]],'All Skus'!$A:$AC,5,FALSE)),""))</f>
        <v>JBL052</v>
      </c>
      <c r="E393" s="137">
        <f>(IF((VLOOKUP(Table6[[#This Row],[SKU]],'All Skus'!$A:$AC,2,FALSE))="JBL",(VLOOKUP(Table6[[#This Row],[SKU]],'All Skus'!$A:$AC,6,FALSE)),""))</f>
        <v>0</v>
      </c>
      <c r="F393" s="61">
        <f>(IF((VLOOKUP(Table6[[#This Row],[SKU]],'All Skus'!$A:$AC,2,FALSE))="JBL",(VLOOKUP(Table6[[#This Row],[SKU]],'All Skus'!$A:$AC,7,FALSE)),""))</f>
        <v>0</v>
      </c>
      <c r="G393" t="str">
        <f>(IF((VLOOKUP(Table6[[#This Row],[SKU]],'All Skus'!$A:$AC,2,FALSE))="JBL",(VLOOKUP(Table6[[#This Row],[SKU]],'All Skus'!$A:$AC,8,FALSE)),""))</f>
        <v xml:space="preserve">15" Subwoofer </v>
      </c>
      <c r="H393" s="8" t="str">
        <f>(IF((VLOOKUP(Table6[[#This Row],[SKU]],'All Skus'!$A:$AC,2,FALSE))="JBL",(VLOOKUP(Table6[[#This Row],[SKU]],'All Skus'!$A:$AC,9,FALSE)),""))</f>
        <v>15" Subwoofer with 75mm (3 in) voice coil.</v>
      </c>
      <c r="I393" s="101">
        <f>(IF((VLOOKUP(Table6[[#This Row],[SKU]],'All Skus'!$A:$AC,2,FALSE))="JBL",(VLOOKUP(Table6[[#This Row],[SKU]],'All Skus'!$A:$AC,10,FALSE)),""))</f>
        <v>1240</v>
      </c>
      <c r="J393" s="101">
        <f>(IF((VLOOKUP(Table6[[#This Row],[SKU]],'All Skus'!$A:$AC,2,FALSE))="JBL",(VLOOKUP(Table6[[#This Row],[SKU]],'All Skus'!$A:$AC,11,FALSE)),""))</f>
        <v>830</v>
      </c>
      <c r="K393" s="102">
        <f>(IF((VLOOKUP(Table6[[#This Row],[SKU]],'All Skus'!$A:$AC,2,FALSE))="JBL",(VLOOKUP(Table6[[#This Row],[SKU]],'All Skus'!$A:$AC,13,FALSE)),""))</f>
        <v>0</v>
      </c>
      <c r="L393" s="102">
        <f>(IF((VLOOKUP(Table6[[#This Row],[SKU]],'All Skus'!$A:$AC,2,FALSE))="JBL",(VLOOKUP(Table6[[#This Row],[SKU]],'All Skus'!$A:$AC,14,FALSE)),""))</f>
        <v>0</v>
      </c>
      <c r="M393" s="143">
        <f>(IF((VLOOKUP(Table6[[#This Row],[SKU]],'All Skus'!$A:$AC,2,FALSE))="JBL",(VLOOKUP(Table6[[#This Row],[SKU]],'All Skus'!$A:$AC,15,FALSE)),""))</f>
        <v>0</v>
      </c>
      <c r="N393" s="137">
        <f>(IF((VLOOKUP(Table6[[#This Row],[SKU]],'All Skus'!$A:$AC,2,FALSE))="JBL",(VLOOKUP(Table6[[#This Row],[SKU]],'All Skus'!$A:$AC,16,FALSE)),""))</f>
        <v>691991001314</v>
      </c>
      <c r="O393" s="61">
        <f>(IF((VLOOKUP(Table6[[#This Row],[SKU]],'All Skus'!$A:$AC,2,FALSE))="JBL",(VLOOKUP(Table6[[#This Row],[SKU]],'All Skus'!$A:$AC,17,FALSE)),""))</f>
        <v>0</v>
      </c>
      <c r="P393" s="136">
        <f>(IF((VLOOKUP(Table6[[#This Row],[SKU]],'All Skus'!$A:$AC,2,FALSE))="JBL",(VLOOKUP(Table6[[#This Row],[SKU]],'All Skus'!$A:$AC,18,FALSE)),""))</f>
        <v>61.1</v>
      </c>
      <c r="Q393" s="136">
        <f>(IF((VLOOKUP(Table6[[#This Row],[SKU]],'All Skus'!$A:$AC,2,FALSE))="JBL",(VLOOKUP(Table6[[#This Row],[SKU]],'All Skus'!$A:$AC,19,FALSE)),""))</f>
        <v>25</v>
      </c>
      <c r="R393" s="136">
        <f>(IF((VLOOKUP(Table6[[#This Row],[SKU]],'All Skus'!$A:$AC,2,FALSE))="JBL",(VLOOKUP(Table6[[#This Row],[SKU]],'All Skus'!$A:$AC,20,FALSE)),""))</f>
        <v>18</v>
      </c>
      <c r="S393" s="61">
        <f>(IF((VLOOKUP(Table6[[#This Row],[SKU]],'All Skus'!$A:$AC,2,FALSE))="JBL",(VLOOKUP(Table6[[#This Row],[SKU]],'All Skus'!$A:$AC,21,FALSE)),""))</f>
        <v>21</v>
      </c>
      <c r="T393" s="61" t="str">
        <f>(IF((VLOOKUP(Table6[[#This Row],[SKU]],'All Skus'!$A:$AC,2,FALSE))="JBL",(VLOOKUP(Table6[[#This Row],[SKU]],'All Skus'!$A:$AC,22,FALSE)),""))</f>
        <v>CN</v>
      </c>
      <c r="U393" t="str">
        <f>(IF((VLOOKUP(Table6[[#This Row],[SKU]],'All Skus'!$A:$AC,2,FALSE))="JBL",(VLOOKUP(Table6[[#This Row],[SKU]],'All Skus'!$A:$AC,23,FALSE)),""))</f>
        <v>Non Compliant</v>
      </c>
      <c r="V393" s="284" t="str">
        <f>HYPERLINK((IF((VLOOKUP(Table6[[#This Row],[SKU]],'All Skus'!$A:$AC,2,FALSE))="JBL",(VLOOKUP(Table6[[#This Row],[SKU]],'All Skus'!$A:$AC,24,FALSE)),"")))</f>
        <v/>
      </c>
      <c r="W393" s="151">
        <v>391</v>
      </c>
    </row>
    <row r="394" spans="1:23" ht="15" hidden="1" customHeight="1">
      <c r="A394" s="13" t="s">
        <v>1400</v>
      </c>
      <c r="B394" s="12" t="str">
        <f>(IF((VLOOKUP(Table6[[#This Row],[SKU]],'All Skus'!$A:$AC,2,FALSE))="JBL",(VLOOKUP(Table6[[#This Row],[SKU]],'All Skus'!$A:$AC,3,FALSE)),""))</f>
        <v>AE Series</v>
      </c>
      <c r="C394" s="12" t="str">
        <f>(IF((VLOOKUP(Table6[[#This Row],[SKU]],'All Skus'!$A:$AC,2,FALSE))="JBL",(VLOOKUP(Table6[[#This Row],[SKU]],'All Skus'!$A:$AC,4,FALSE)),""))</f>
        <v>AC115S-WH</v>
      </c>
      <c r="D394" s="61" t="str">
        <f>(IF((VLOOKUP(Table6[[#This Row],[SKU]],'All Skus'!$A:$AC,2,FALSE))="JBL",(VLOOKUP(Table6[[#This Row],[SKU]],'All Skus'!$A:$AC,5,FALSE)),""))</f>
        <v>JBL052</v>
      </c>
      <c r="E394" s="137">
        <f>(IF((VLOOKUP(Table6[[#This Row],[SKU]],'All Skus'!$A:$AC,2,FALSE))="JBL",(VLOOKUP(Table6[[#This Row],[SKU]],'All Skus'!$A:$AC,6,FALSE)),""))</f>
        <v>0</v>
      </c>
      <c r="F394" s="61">
        <f>(IF((VLOOKUP(Table6[[#This Row],[SKU]],'All Skus'!$A:$AC,2,FALSE))="JBL",(VLOOKUP(Table6[[#This Row],[SKU]],'All Skus'!$A:$AC,7,FALSE)),""))</f>
        <v>0</v>
      </c>
      <c r="G394" t="str">
        <f>(IF((VLOOKUP(Table6[[#This Row],[SKU]],'All Skus'!$A:$AC,2,FALSE))="JBL",(VLOOKUP(Table6[[#This Row],[SKU]],'All Skus'!$A:$AC,8,FALSE)),""))</f>
        <v>15" Subwoofer, white</v>
      </c>
      <c r="H394" s="8" t="str">
        <f>(IF((VLOOKUP(Table6[[#This Row],[SKU]],'All Skus'!$A:$AC,2,FALSE))="JBL",(VLOOKUP(Table6[[#This Row],[SKU]],'All Skus'!$A:$AC,9,FALSE)),""))</f>
        <v>AC115S in White</v>
      </c>
      <c r="I394" s="101">
        <f>(IF((VLOOKUP(Table6[[#This Row],[SKU]],'All Skus'!$A:$AC,2,FALSE))="JBL",(VLOOKUP(Table6[[#This Row],[SKU]],'All Skus'!$A:$AC,10,FALSE)),""))</f>
        <v>1240</v>
      </c>
      <c r="J394" s="101">
        <f>(IF((VLOOKUP(Table6[[#This Row],[SKU]],'All Skus'!$A:$AC,2,FALSE))="JBL",(VLOOKUP(Table6[[#This Row],[SKU]],'All Skus'!$A:$AC,11,FALSE)),""))</f>
        <v>830</v>
      </c>
      <c r="K394" s="102">
        <f>(IF((VLOOKUP(Table6[[#This Row],[SKU]],'All Skus'!$A:$AC,2,FALSE))="JBL",(VLOOKUP(Table6[[#This Row],[SKU]],'All Skus'!$A:$AC,13,FALSE)),""))</f>
        <v>0</v>
      </c>
      <c r="L394" s="102">
        <f>(IF((VLOOKUP(Table6[[#This Row],[SKU]],'All Skus'!$A:$AC,2,FALSE))="JBL",(VLOOKUP(Table6[[#This Row],[SKU]],'All Skus'!$A:$AC,14,FALSE)),""))</f>
        <v>0</v>
      </c>
      <c r="M394" s="143">
        <f>(IF((VLOOKUP(Table6[[#This Row],[SKU]],'All Skus'!$A:$AC,2,FALSE))="JBL",(VLOOKUP(Table6[[#This Row],[SKU]],'All Skus'!$A:$AC,15,FALSE)),""))</f>
        <v>0</v>
      </c>
      <c r="N394" s="137">
        <f>(IF((VLOOKUP(Table6[[#This Row],[SKU]],'All Skus'!$A:$AC,2,FALSE))="JBL",(VLOOKUP(Table6[[#This Row],[SKU]],'All Skus'!$A:$AC,16,FALSE)),""))</f>
        <v>691991005022</v>
      </c>
      <c r="O394" s="61">
        <f>(IF((VLOOKUP(Table6[[#This Row],[SKU]],'All Skus'!$A:$AC,2,FALSE))="JBL",(VLOOKUP(Table6[[#This Row],[SKU]],'All Skus'!$A:$AC,17,FALSE)),""))</f>
        <v>0</v>
      </c>
      <c r="P394" s="136">
        <f>(IF((VLOOKUP(Table6[[#This Row],[SKU]],'All Skus'!$A:$AC,2,FALSE))="JBL",(VLOOKUP(Table6[[#This Row],[SKU]],'All Skus'!$A:$AC,18,FALSE)),""))</f>
        <v>62</v>
      </c>
      <c r="Q394" s="136">
        <f>(IF((VLOOKUP(Table6[[#This Row],[SKU]],'All Skus'!$A:$AC,2,FALSE))="JBL",(VLOOKUP(Table6[[#This Row],[SKU]],'All Skus'!$A:$AC,19,FALSE)),""))</f>
        <v>19</v>
      </c>
      <c r="R394" s="136">
        <f>(IF((VLOOKUP(Table6[[#This Row],[SKU]],'All Skus'!$A:$AC,2,FALSE))="JBL",(VLOOKUP(Table6[[#This Row],[SKU]],'All Skus'!$A:$AC,20,FALSE)),""))</f>
        <v>26</v>
      </c>
      <c r="S394" s="61">
        <f>(IF((VLOOKUP(Table6[[#This Row],[SKU]],'All Skus'!$A:$AC,2,FALSE))="JBL",(VLOOKUP(Table6[[#This Row],[SKU]],'All Skus'!$A:$AC,21,FALSE)),""))</f>
        <v>22</v>
      </c>
      <c r="T394" s="61" t="str">
        <f>(IF((VLOOKUP(Table6[[#This Row],[SKU]],'All Skus'!$A:$AC,2,FALSE))="JBL",(VLOOKUP(Table6[[#This Row],[SKU]],'All Skus'!$A:$AC,22,FALSE)),""))</f>
        <v>CN</v>
      </c>
      <c r="U394" t="str">
        <f>(IF((VLOOKUP(Table6[[#This Row],[SKU]],'All Skus'!$A:$AC,2,FALSE))="JBL",(VLOOKUP(Table6[[#This Row],[SKU]],'All Skus'!$A:$AC,23,FALSE)),""))</f>
        <v>Non Compliant</v>
      </c>
      <c r="V394" s="284" t="str">
        <f>HYPERLINK((IF((VLOOKUP(Table6[[#This Row],[SKU]],'All Skus'!$A:$AC,2,FALSE))="JBL",(VLOOKUP(Table6[[#This Row],[SKU]],'All Skus'!$A:$AC,24,FALSE)),"")))</f>
        <v/>
      </c>
      <c r="W394" s="151">
        <v>392</v>
      </c>
    </row>
    <row r="395" spans="1:23" ht="15" hidden="1" customHeight="1">
      <c r="A395" s="13" t="s">
        <v>1401</v>
      </c>
      <c r="B395" s="12" t="str">
        <f>(IF((VLOOKUP(Table6[[#This Row],[SKU]],'All Skus'!$A:$AC,2,FALSE))="JBL",(VLOOKUP(Table6[[#This Row],[SKU]],'All Skus'!$A:$AC,3,FALSE)),""))</f>
        <v>AE Series</v>
      </c>
      <c r="C395" s="12" t="str">
        <f>(IF((VLOOKUP(Table6[[#This Row],[SKU]],'All Skus'!$A:$AC,2,FALSE))="JBL",(VLOOKUP(Table6[[#This Row],[SKU]],'All Skus'!$A:$AC,4,FALSE)),""))</f>
        <v>AC118S</v>
      </c>
      <c r="D395" s="61" t="str">
        <f>(IF((VLOOKUP(Table6[[#This Row],[SKU]],'All Skus'!$A:$AC,2,FALSE))="JBL",(VLOOKUP(Table6[[#This Row],[SKU]],'All Skus'!$A:$AC,5,FALSE)),""))</f>
        <v>JBL052</v>
      </c>
      <c r="E395" s="137">
        <f>(IF((VLOOKUP(Table6[[#This Row],[SKU]],'All Skus'!$A:$AC,2,FALSE))="JBL",(VLOOKUP(Table6[[#This Row],[SKU]],'All Skus'!$A:$AC,6,FALSE)),""))</f>
        <v>0</v>
      </c>
      <c r="F395" s="61">
        <f>(IF((VLOOKUP(Table6[[#This Row],[SKU]],'All Skus'!$A:$AC,2,FALSE))="JBL",(VLOOKUP(Table6[[#This Row],[SKU]],'All Skus'!$A:$AC,7,FALSE)),""))</f>
        <v>0</v>
      </c>
      <c r="G395" t="str">
        <f>(IF((VLOOKUP(Table6[[#This Row],[SKU]],'All Skus'!$A:$AC,2,FALSE))="JBL",(VLOOKUP(Table6[[#This Row],[SKU]],'All Skus'!$A:$AC,8,FALSE)),""))</f>
        <v xml:space="preserve">18" Subwoofer </v>
      </c>
      <c r="H395" s="8" t="str">
        <f>(IF((VLOOKUP(Table6[[#This Row],[SKU]],'All Skus'!$A:$AC,2,FALSE))="JBL",(VLOOKUP(Table6[[#This Row],[SKU]],'All Skus'!$A:$AC,9,FALSE)),""))</f>
        <v>18" Subwoofer with 75mm (3 in) voice coil.</v>
      </c>
      <c r="I395" s="101">
        <f>(IF((VLOOKUP(Table6[[#This Row],[SKU]],'All Skus'!$A:$AC,2,FALSE))="JBL",(VLOOKUP(Table6[[#This Row],[SKU]],'All Skus'!$A:$AC,10,FALSE)),""))</f>
        <v>1380</v>
      </c>
      <c r="J395" s="101">
        <f>(IF((VLOOKUP(Table6[[#This Row],[SKU]],'All Skus'!$A:$AC,2,FALSE))="JBL",(VLOOKUP(Table6[[#This Row],[SKU]],'All Skus'!$A:$AC,11,FALSE)),""))</f>
        <v>916</v>
      </c>
      <c r="K395" s="102">
        <f>(IF((VLOOKUP(Table6[[#This Row],[SKU]],'All Skus'!$A:$AC,2,FALSE))="JBL",(VLOOKUP(Table6[[#This Row],[SKU]],'All Skus'!$A:$AC,13,FALSE)),""))</f>
        <v>0</v>
      </c>
      <c r="L395" s="102">
        <f>(IF((VLOOKUP(Table6[[#This Row],[SKU]],'All Skus'!$A:$AC,2,FALSE))="JBL",(VLOOKUP(Table6[[#This Row],[SKU]],'All Skus'!$A:$AC,14,FALSE)),""))</f>
        <v>0</v>
      </c>
      <c r="M395" s="143">
        <f>(IF((VLOOKUP(Table6[[#This Row],[SKU]],'All Skus'!$A:$AC,2,FALSE))="JBL",(VLOOKUP(Table6[[#This Row],[SKU]],'All Skus'!$A:$AC,15,FALSE)),""))</f>
        <v>0</v>
      </c>
      <c r="N395" s="137">
        <f>(IF((VLOOKUP(Table6[[#This Row],[SKU]],'All Skus'!$A:$AC,2,FALSE))="JBL",(VLOOKUP(Table6[[#This Row],[SKU]],'All Skus'!$A:$AC,16,FALSE)),""))</f>
        <v>691991001321</v>
      </c>
      <c r="O395" s="61">
        <f>(IF((VLOOKUP(Table6[[#This Row],[SKU]],'All Skus'!$A:$AC,2,FALSE))="JBL",(VLOOKUP(Table6[[#This Row],[SKU]],'All Skus'!$A:$AC,17,FALSE)),""))</f>
        <v>0</v>
      </c>
      <c r="P395" s="136">
        <f>(IF((VLOOKUP(Table6[[#This Row],[SKU]],'All Skus'!$A:$AC,2,FALSE))="JBL",(VLOOKUP(Table6[[#This Row],[SKU]],'All Skus'!$A:$AC,18,FALSE)),""))</f>
        <v>80</v>
      </c>
      <c r="Q395" s="136">
        <f>(IF((VLOOKUP(Table6[[#This Row],[SKU]],'All Skus'!$A:$AC,2,FALSE))="JBL",(VLOOKUP(Table6[[#This Row],[SKU]],'All Skus'!$A:$AC,19,FALSE)),""))</f>
        <v>30</v>
      </c>
      <c r="R395" s="136">
        <f>(IF((VLOOKUP(Table6[[#This Row],[SKU]],'All Skus'!$A:$AC,2,FALSE))="JBL",(VLOOKUP(Table6[[#This Row],[SKU]],'All Skus'!$A:$AC,20,FALSE)),""))</f>
        <v>30</v>
      </c>
      <c r="S395" s="61">
        <f>(IF((VLOOKUP(Table6[[#This Row],[SKU]],'All Skus'!$A:$AC,2,FALSE))="JBL",(VLOOKUP(Table6[[#This Row],[SKU]],'All Skus'!$A:$AC,21,FALSE)),""))</f>
        <v>24</v>
      </c>
      <c r="T395" s="61" t="str">
        <f>(IF((VLOOKUP(Table6[[#This Row],[SKU]],'All Skus'!$A:$AC,2,FALSE))="JBL",(VLOOKUP(Table6[[#This Row],[SKU]],'All Skus'!$A:$AC,22,FALSE)),""))</f>
        <v>CN</v>
      </c>
      <c r="U395" t="str">
        <f>(IF((VLOOKUP(Table6[[#This Row],[SKU]],'All Skus'!$A:$AC,2,FALSE))="JBL",(VLOOKUP(Table6[[#This Row],[SKU]],'All Skus'!$A:$AC,23,FALSE)),""))</f>
        <v>Non Compliant</v>
      </c>
      <c r="V395" s="284" t="str">
        <f>HYPERLINK((IF((VLOOKUP(Table6[[#This Row],[SKU]],'All Skus'!$A:$AC,2,FALSE))="JBL",(VLOOKUP(Table6[[#This Row],[SKU]],'All Skus'!$A:$AC,24,FALSE)),"")))</f>
        <v/>
      </c>
      <c r="W395" s="151">
        <v>393</v>
      </c>
    </row>
    <row r="396" spans="1:23" ht="15" hidden="1" customHeight="1">
      <c r="A396" s="13" t="s">
        <v>1402</v>
      </c>
      <c r="B396" s="12" t="str">
        <f>(IF((VLOOKUP(Table6[[#This Row],[SKU]],'All Skus'!$A:$AC,2,FALSE))="JBL",(VLOOKUP(Table6[[#This Row],[SKU]],'All Skus'!$A:$AC,3,FALSE)),""))</f>
        <v>AE Series</v>
      </c>
      <c r="C396" s="12" t="str">
        <f>(IF((VLOOKUP(Table6[[#This Row],[SKU]],'All Skus'!$A:$AC,2,FALSE))="JBL",(VLOOKUP(Table6[[#This Row],[SKU]],'All Skus'!$A:$AC,4,FALSE)),""))</f>
        <v>AC118S-WH</v>
      </c>
      <c r="D396" s="61" t="str">
        <f>(IF((VLOOKUP(Table6[[#This Row],[SKU]],'All Skus'!$A:$AC,2,FALSE))="JBL",(VLOOKUP(Table6[[#This Row],[SKU]],'All Skus'!$A:$AC,5,FALSE)),""))</f>
        <v>JBL052</v>
      </c>
      <c r="E396" s="137">
        <f>(IF((VLOOKUP(Table6[[#This Row],[SKU]],'All Skus'!$A:$AC,2,FALSE))="JBL",(VLOOKUP(Table6[[#This Row],[SKU]],'All Skus'!$A:$AC,6,FALSE)),""))</f>
        <v>0</v>
      </c>
      <c r="F396" s="61">
        <f>(IF((VLOOKUP(Table6[[#This Row],[SKU]],'All Skus'!$A:$AC,2,FALSE))="JBL",(VLOOKUP(Table6[[#This Row],[SKU]],'All Skus'!$A:$AC,7,FALSE)),""))</f>
        <v>0</v>
      </c>
      <c r="G396" t="str">
        <f>(IF((VLOOKUP(Table6[[#This Row],[SKU]],'All Skus'!$A:$AC,2,FALSE))="JBL",(VLOOKUP(Table6[[#This Row],[SKU]],'All Skus'!$A:$AC,8,FALSE)),""))</f>
        <v>18" Subwoofer, white</v>
      </c>
      <c r="H396" s="8" t="str">
        <f>(IF((VLOOKUP(Table6[[#This Row],[SKU]],'All Skus'!$A:$AC,2,FALSE))="JBL",(VLOOKUP(Table6[[#This Row],[SKU]],'All Skus'!$A:$AC,9,FALSE)),""))</f>
        <v>AC118S in White</v>
      </c>
      <c r="I396" s="101">
        <f>(IF((VLOOKUP(Table6[[#This Row],[SKU]],'All Skus'!$A:$AC,2,FALSE))="JBL",(VLOOKUP(Table6[[#This Row],[SKU]],'All Skus'!$A:$AC,10,FALSE)),""))</f>
        <v>1380</v>
      </c>
      <c r="J396" s="101">
        <f>(IF((VLOOKUP(Table6[[#This Row],[SKU]],'All Skus'!$A:$AC,2,FALSE))="JBL",(VLOOKUP(Table6[[#This Row],[SKU]],'All Skus'!$A:$AC,11,FALSE)),""))</f>
        <v>916</v>
      </c>
      <c r="K396" s="102">
        <f>(IF((VLOOKUP(Table6[[#This Row],[SKU]],'All Skus'!$A:$AC,2,FALSE))="JBL",(VLOOKUP(Table6[[#This Row],[SKU]],'All Skus'!$A:$AC,13,FALSE)),""))</f>
        <v>0</v>
      </c>
      <c r="L396" s="102">
        <f>(IF((VLOOKUP(Table6[[#This Row],[SKU]],'All Skus'!$A:$AC,2,FALSE))="JBL",(VLOOKUP(Table6[[#This Row],[SKU]],'All Skus'!$A:$AC,14,FALSE)),""))</f>
        <v>0</v>
      </c>
      <c r="M396" s="143">
        <f>(IF((VLOOKUP(Table6[[#This Row],[SKU]],'All Skus'!$A:$AC,2,FALSE))="JBL",(VLOOKUP(Table6[[#This Row],[SKU]],'All Skus'!$A:$AC,15,FALSE)),""))</f>
        <v>0</v>
      </c>
      <c r="N396" s="137">
        <f>(IF((VLOOKUP(Table6[[#This Row],[SKU]],'All Skus'!$A:$AC,2,FALSE))="JBL",(VLOOKUP(Table6[[#This Row],[SKU]],'All Skus'!$A:$AC,16,FALSE)),""))</f>
        <v>691991005015</v>
      </c>
      <c r="O396" s="61">
        <f>(IF((VLOOKUP(Table6[[#This Row],[SKU]],'All Skus'!$A:$AC,2,FALSE))="JBL",(VLOOKUP(Table6[[#This Row],[SKU]],'All Skus'!$A:$AC,17,FALSE)),""))</f>
        <v>0</v>
      </c>
      <c r="P396" s="136">
        <f>(IF((VLOOKUP(Table6[[#This Row],[SKU]],'All Skus'!$A:$AC,2,FALSE))="JBL",(VLOOKUP(Table6[[#This Row],[SKU]],'All Skus'!$A:$AC,18,FALSE)),""))</f>
        <v>80</v>
      </c>
      <c r="Q396" s="136">
        <f>(IF((VLOOKUP(Table6[[#This Row],[SKU]],'All Skus'!$A:$AC,2,FALSE))="JBL",(VLOOKUP(Table6[[#This Row],[SKU]],'All Skus'!$A:$AC,19,FALSE)),""))</f>
        <v>30</v>
      </c>
      <c r="R396" s="136">
        <f>(IF((VLOOKUP(Table6[[#This Row],[SKU]],'All Skus'!$A:$AC,2,FALSE))="JBL",(VLOOKUP(Table6[[#This Row],[SKU]],'All Skus'!$A:$AC,20,FALSE)),""))</f>
        <v>30</v>
      </c>
      <c r="S396" s="61">
        <f>(IF((VLOOKUP(Table6[[#This Row],[SKU]],'All Skus'!$A:$AC,2,FALSE))="JBL",(VLOOKUP(Table6[[#This Row],[SKU]],'All Skus'!$A:$AC,21,FALSE)),""))</f>
        <v>24</v>
      </c>
      <c r="T396" s="61" t="str">
        <f>(IF((VLOOKUP(Table6[[#This Row],[SKU]],'All Skus'!$A:$AC,2,FALSE))="JBL",(VLOOKUP(Table6[[#This Row],[SKU]],'All Skus'!$A:$AC,22,FALSE)),""))</f>
        <v>CN</v>
      </c>
      <c r="U396" t="str">
        <f>(IF((VLOOKUP(Table6[[#This Row],[SKU]],'All Skus'!$A:$AC,2,FALSE))="JBL",(VLOOKUP(Table6[[#This Row],[SKU]],'All Skus'!$A:$AC,23,FALSE)),""))</f>
        <v>Non Compliant</v>
      </c>
      <c r="V396" s="284" t="str">
        <f>HYPERLINK((IF((VLOOKUP(Table6[[#This Row],[SKU]],'All Skus'!$A:$AC,2,FALSE))="JBL",(VLOOKUP(Table6[[#This Row],[SKU]],'All Skus'!$A:$AC,24,FALSE)),"")))</f>
        <v/>
      </c>
      <c r="W396" s="151">
        <v>394</v>
      </c>
    </row>
    <row r="397" spans="1:23" ht="15" hidden="1" customHeight="1">
      <c r="A397" s="13" t="s">
        <v>1403</v>
      </c>
      <c r="B397" s="12" t="str">
        <f>(IF((VLOOKUP(Table6[[#This Row],[SKU]],'All Skus'!$A:$AC,2,FALSE))="JBL",(VLOOKUP(Table6[[#This Row],[SKU]],'All Skus'!$A:$AC,3,FALSE)),""))</f>
        <v>AE Series</v>
      </c>
      <c r="C397" s="12" t="str">
        <f>(IF((VLOOKUP(Table6[[#This Row],[SKU]],'All Skus'!$A:$AC,2,FALSE))="JBL",(VLOOKUP(Table6[[#This Row],[SKU]],'All Skus'!$A:$AC,4,FALSE)),""))</f>
        <v>AC195</v>
      </c>
      <c r="D397" s="61" t="str">
        <f>(IF((VLOOKUP(Table6[[#This Row],[SKU]],'All Skus'!$A:$AC,2,FALSE))="JBL",(VLOOKUP(Table6[[#This Row],[SKU]],'All Skus'!$A:$AC,5,FALSE)),""))</f>
        <v>JBL052</v>
      </c>
      <c r="E397" s="137">
        <f>(IF((VLOOKUP(Table6[[#This Row],[SKU]],'All Skus'!$A:$AC,2,FALSE))="JBL",(VLOOKUP(Table6[[#This Row],[SKU]],'All Skus'!$A:$AC,6,FALSE)),""))</f>
        <v>0</v>
      </c>
      <c r="F397" s="61">
        <f>(IF((VLOOKUP(Table6[[#This Row],[SKU]],'All Skus'!$A:$AC,2,FALSE))="JBL",(VLOOKUP(Table6[[#This Row],[SKU]],'All Skus'!$A:$AC,7,FALSE)),""))</f>
        <v>0</v>
      </c>
      <c r="G397" t="str">
        <f>(IF((VLOOKUP(Table6[[#This Row],[SKU]],'All Skus'!$A:$AC,2,FALSE))="JBL",(VLOOKUP(Table6[[#This Row],[SKU]],'All Skus'!$A:$AC,8,FALSE)),""))</f>
        <v>10" 2-way full-range system</v>
      </c>
      <c r="H397" s="8" t="str">
        <f>(IF((VLOOKUP(Table6[[#This Row],[SKU]],'All Skus'!$A:$AC,2,FALSE))="JBL",(VLOOKUP(Table6[[#This Row],[SKU]],'All Skus'!$A:$AC,9,FALSE)),""))</f>
        <v>10" 2-way full-range system, rotatable 90⁰ x 50⁰ waveguide coverage pattern with 2408H-2 25mm (1 in) exit, 38mm (1.5 in) voice coil.</v>
      </c>
      <c r="I397" s="101">
        <f>(IF((VLOOKUP(Table6[[#This Row],[SKU]],'All Skus'!$A:$AC,2,FALSE))="JBL",(VLOOKUP(Table6[[#This Row],[SKU]],'All Skus'!$A:$AC,10,FALSE)),""))</f>
        <v>1090</v>
      </c>
      <c r="J397" s="101">
        <f>(IF((VLOOKUP(Table6[[#This Row],[SKU]],'All Skus'!$A:$AC,2,FALSE))="JBL",(VLOOKUP(Table6[[#This Row],[SKU]],'All Skus'!$A:$AC,11,FALSE)),""))</f>
        <v>731</v>
      </c>
      <c r="K397" s="102">
        <f>(IF((VLOOKUP(Table6[[#This Row],[SKU]],'All Skus'!$A:$AC,2,FALSE))="JBL",(VLOOKUP(Table6[[#This Row],[SKU]],'All Skus'!$A:$AC,13,FALSE)),""))</f>
        <v>0</v>
      </c>
      <c r="L397" s="102">
        <f>(IF((VLOOKUP(Table6[[#This Row],[SKU]],'All Skus'!$A:$AC,2,FALSE))="JBL",(VLOOKUP(Table6[[#This Row],[SKU]],'All Skus'!$A:$AC,14,FALSE)),""))</f>
        <v>0</v>
      </c>
      <c r="M397" s="143">
        <f>(IF((VLOOKUP(Table6[[#This Row],[SKU]],'All Skus'!$A:$AC,2,FALSE))="JBL",(VLOOKUP(Table6[[#This Row],[SKU]],'All Skus'!$A:$AC,15,FALSE)),""))</f>
        <v>0</v>
      </c>
      <c r="N397" s="137">
        <f>(IF((VLOOKUP(Table6[[#This Row],[SKU]],'All Skus'!$A:$AC,2,FALSE))="JBL",(VLOOKUP(Table6[[#This Row],[SKU]],'All Skus'!$A:$AC,16,FALSE)),""))</f>
        <v>691991001260</v>
      </c>
      <c r="O397" s="61">
        <f>(IF((VLOOKUP(Table6[[#This Row],[SKU]],'All Skus'!$A:$AC,2,FALSE))="JBL",(VLOOKUP(Table6[[#This Row],[SKU]],'All Skus'!$A:$AC,17,FALSE)),""))</f>
        <v>0</v>
      </c>
      <c r="P397" s="136">
        <f>(IF((VLOOKUP(Table6[[#This Row],[SKU]],'All Skus'!$A:$AC,2,FALSE))="JBL",(VLOOKUP(Table6[[#This Row],[SKU]],'All Skus'!$A:$AC,18,FALSE)),""))</f>
        <v>33.5</v>
      </c>
      <c r="Q397" s="136">
        <f>(IF((VLOOKUP(Table6[[#This Row],[SKU]],'All Skus'!$A:$AC,2,FALSE))="JBL",(VLOOKUP(Table6[[#This Row],[SKU]],'All Skus'!$A:$AC,19,FALSE)),""))</f>
        <v>15</v>
      </c>
      <c r="R397" s="136">
        <f>(IF((VLOOKUP(Table6[[#This Row],[SKU]],'All Skus'!$A:$AC,2,FALSE))="JBL",(VLOOKUP(Table6[[#This Row],[SKU]],'All Skus'!$A:$AC,20,FALSE)),""))</f>
        <v>14</v>
      </c>
      <c r="S397" s="61">
        <f>(IF((VLOOKUP(Table6[[#This Row],[SKU]],'All Skus'!$A:$AC,2,FALSE))="JBL",(VLOOKUP(Table6[[#This Row],[SKU]],'All Skus'!$A:$AC,21,FALSE)),""))</f>
        <v>23</v>
      </c>
      <c r="T397" s="61" t="str">
        <f>(IF((VLOOKUP(Table6[[#This Row],[SKU]],'All Skus'!$A:$AC,2,FALSE))="JBL",(VLOOKUP(Table6[[#This Row],[SKU]],'All Skus'!$A:$AC,22,FALSE)),""))</f>
        <v>CN</v>
      </c>
      <c r="U397" t="str">
        <f>(IF((VLOOKUP(Table6[[#This Row],[SKU]],'All Skus'!$A:$AC,2,FALSE))="JBL",(VLOOKUP(Table6[[#This Row],[SKU]],'All Skus'!$A:$AC,23,FALSE)),""))</f>
        <v>Non Compliant</v>
      </c>
      <c r="V397" s="284" t="str">
        <f>HYPERLINK((IF((VLOOKUP(Table6[[#This Row],[SKU]],'All Skus'!$A:$AC,2,FALSE))="JBL",(VLOOKUP(Table6[[#This Row],[SKU]],'All Skus'!$A:$AC,24,FALSE)),"")))</f>
        <v/>
      </c>
      <c r="W397" s="151">
        <v>395</v>
      </c>
    </row>
    <row r="398" spans="1:23" ht="15" hidden="1" customHeight="1">
      <c r="A398" s="13" t="s">
        <v>1404</v>
      </c>
      <c r="B398" s="12" t="str">
        <f>(IF((VLOOKUP(Table6[[#This Row],[SKU]],'All Skus'!$A:$AC,2,FALSE))="JBL",(VLOOKUP(Table6[[#This Row],[SKU]],'All Skus'!$A:$AC,3,FALSE)),""))</f>
        <v>AE Series</v>
      </c>
      <c r="C398" s="12" t="str">
        <f>(IF((VLOOKUP(Table6[[#This Row],[SKU]],'All Skus'!$A:$AC,2,FALSE))="JBL",(VLOOKUP(Table6[[#This Row],[SKU]],'All Skus'!$A:$AC,4,FALSE)),""))</f>
        <v>AC195-WH</v>
      </c>
      <c r="D398" s="61" t="str">
        <f>(IF((VLOOKUP(Table6[[#This Row],[SKU]],'All Skus'!$A:$AC,2,FALSE))="JBL",(VLOOKUP(Table6[[#This Row],[SKU]],'All Skus'!$A:$AC,5,FALSE)),""))</f>
        <v>JBL052</v>
      </c>
      <c r="E398" s="137">
        <f>(IF((VLOOKUP(Table6[[#This Row],[SKU]],'All Skus'!$A:$AC,2,FALSE))="JBL",(VLOOKUP(Table6[[#This Row],[SKU]],'All Skus'!$A:$AC,6,FALSE)),""))</f>
        <v>0</v>
      </c>
      <c r="F398" s="61">
        <f>(IF((VLOOKUP(Table6[[#This Row],[SKU]],'All Skus'!$A:$AC,2,FALSE))="JBL",(VLOOKUP(Table6[[#This Row],[SKU]],'All Skus'!$A:$AC,7,FALSE)),""))</f>
        <v>0</v>
      </c>
      <c r="G398" t="str">
        <f>(IF((VLOOKUP(Table6[[#This Row],[SKU]],'All Skus'!$A:$AC,2,FALSE))="JBL",(VLOOKUP(Table6[[#This Row],[SKU]],'All Skus'!$A:$AC,8,FALSE)),""))</f>
        <v>10" 2-way full-range system, white</v>
      </c>
      <c r="H398" s="8" t="str">
        <f>(IF((VLOOKUP(Table6[[#This Row],[SKU]],'All Skus'!$A:$AC,2,FALSE))="JBL",(VLOOKUP(Table6[[#This Row],[SKU]],'All Skus'!$A:$AC,9,FALSE)),""))</f>
        <v>AC195 in White</v>
      </c>
      <c r="I398" s="101">
        <f>(IF((VLOOKUP(Table6[[#This Row],[SKU]],'All Skus'!$A:$AC,2,FALSE))="JBL",(VLOOKUP(Table6[[#This Row],[SKU]],'All Skus'!$A:$AC,10,FALSE)),""))</f>
        <v>1090</v>
      </c>
      <c r="J398" s="101">
        <f>(IF((VLOOKUP(Table6[[#This Row],[SKU]],'All Skus'!$A:$AC,2,FALSE))="JBL",(VLOOKUP(Table6[[#This Row],[SKU]],'All Skus'!$A:$AC,11,FALSE)),""))</f>
        <v>731</v>
      </c>
      <c r="K398" s="102">
        <f>(IF((VLOOKUP(Table6[[#This Row],[SKU]],'All Skus'!$A:$AC,2,FALSE))="JBL",(VLOOKUP(Table6[[#This Row],[SKU]],'All Skus'!$A:$AC,13,FALSE)),""))</f>
        <v>0</v>
      </c>
      <c r="L398" s="102">
        <f>(IF((VLOOKUP(Table6[[#This Row],[SKU]],'All Skus'!$A:$AC,2,FALSE))="JBL",(VLOOKUP(Table6[[#This Row],[SKU]],'All Skus'!$A:$AC,14,FALSE)),""))</f>
        <v>0</v>
      </c>
      <c r="M398" s="143">
        <f>(IF((VLOOKUP(Table6[[#This Row],[SKU]],'All Skus'!$A:$AC,2,FALSE))="JBL",(VLOOKUP(Table6[[#This Row],[SKU]],'All Skus'!$A:$AC,15,FALSE)),""))</f>
        <v>0</v>
      </c>
      <c r="N398" s="137">
        <f>(IF((VLOOKUP(Table6[[#This Row],[SKU]],'All Skus'!$A:$AC,2,FALSE))="JBL",(VLOOKUP(Table6[[#This Row],[SKU]],'All Skus'!$A:$AC,16,FALSE)),""))</f>
        <v>691991029004</v>
      </c>
      <c r="O398" s="61">
        <f>(IF((VLOOKUP(Table6[[#This Row],[SKU]],'All Skus'!$A:$AC,2,FALSE))="JBL",(VLOOKUP(Table6[[#This Row],[SKU]],'All Skus'!$A:$AC,17,FALSE)),""))</f>
        <v>0</v>
      </c>
      <c r="P398" s="136">
        <f>(IF((VLOOKUP(Table6[[#This Row],[SKU]],'All Skus'!$A:$AC,2,FALSE))="JBL",(VLOOKUP(Table6[[#This Row],[SKU]],'All Skus'!$A:$AC,18,FALSE)),""))</f>
        <v>39</v>
      </c>
      <c r="Q398" s="136">
        <f>(IF((VLOOKUP(Table6[[#This Row],[SKU]],'All Skus'!$A:$AC,2,FALSE))="JBL",(VLOOKUP(Table6[[#This Row],[SKU]],'All Skus'!$A:$AC,19,FALSE)),""))</f>
        <v>15</v>
      </c>
      <c r="R398" s="136">
        <f>(IF((VLOOKUP(Table6[[#This Row],[SKU]],'All Skus'!$A:$AC,2,FALSE))="JBL",(VLOOKUP(Table6[[#This Row],[SKU]],'All Skus'!$A:$AC,20,FALSE)),""))</f>
        <v>15</v>
      </c>
      <c r="S398" s="61">
        <f>(IF((VLOOKUP(Table6[[#This Row],[SKU]],'All Skus'!$A:$AC,2,FALSE))="JBL",(VLOOKUP(Table6[[#This Row],[SKU]],'All Skus'!$A:$AC,21,FALSE)),""))</f>
        <v>24</v>
      </c>
      <c r="T398" s="61" t="str">
        <f>(IF((VLOOKUP(Table6[[#This Row],[SKU]],'All Skus'!$A:$AC,2,FALSE))="JBL",(VLOOKUP(Table6[[#This Row],[SKU]],'All Skus'!$A:$AC,22,FALSE)),""))</f>
        <v>CN</v>
      </c>
      <c r="U398" t="str">
        <f>(IF((VLOOKUP(Table6[[#This Row],[SKU]],'All Skus'!$A:$AC,2,FALSE))="JBL",(VLOOKUP(Table6[[#This Row],[SKU]],'All Skus'!$A:$AC,23,FALSE)),""))</f>
        <v>Non Compliant</v>
      </c>
      <c r="V398" s="284" t="str">
        <f>HYPERLINK((IF((VLOOKUP(Table6[[#This Row],[SKU]],'All Skus'!$A:$AC,2,FALSE))="JBL",(VLOOKUP(Table6[[#This Row],[SKU]],'All Skus'!$A:$AC,24,FALSE)),"")))</f>
        <v/>
      </c>
      <c r="W398" s="151">
        <v>396</v>
      </c>
    </row>
    <row r="399" spans="1:23" ht="15" hidden="1" customHeight="1">
      <c r="A399" s="13" t="s">
        <v>1405</v>
      </c>
      <c r="B399" s="12" t="str">
        <f>(IF((VLOOKUP(Table6[[#This Row],[SKU]],'All Skus'!$A:$AC,2,FALSE))="JBL",(VLOOKUP(Table6[[#This Row],[SKU]],'All Skus'!$A:$AC,3,FALSE)),""))</f>
        <v>AE Series</v>
      </c>
      <c r="C399" s="12" t="str">
        <f>(IF((VLOOKUP(Table6[[#This Row],[SKU]],'All Skus'!$A:$AC,2,FALSE))="JBL",(VLOOKUP(Table6[[#This Row],[SKU]],'All Skus'!$A:$AC,4,FALSE)),""))</f>
        <v>AC266         </v>
      </c>
      <c r="D399" s="61" t="str">
        <f>(IF((VLOOKUP(Table6[[#This Row],[SKU]],'All Skus'!$A:$AC,2,FALSE))="JBL",(VLOOKUP(Table6[[#This Row],[SKU]],'All Skus'!$A:$AC,5,FALSE)),""))</f>
        <v>JBL052</v>
      </c>
      <c r="E399" s="137">
        <f>(IF((VLOOKUP(Table6[[#This Row],[SKU]],'All Skus'!$A:$AC,2,FALSE))="JBL",(VLOOKUP(Table6[[#This Row],[SKU]],'All Skus'!$A:$AC,6,FALSE)),""))</f>
        <v>0</v>
      </c>
      <c r="F399" s="61">
        <f>(IF((VLOOKUP(Table6[[#This Row],[SKU]],'All Skus'!$A:$AC,2,FALSE))="JBL",(VLOOKUP(Table6[[#This Row],[SKU]],'All Skus'!$A:$AC,7,FALSE)),""))</f>
        <v>0</v>
      </c>
      <c r="G399" t="str">
        <f>(IF((VLOOKUP(Table6[[#This Row],[SKU]],'All Skus'!$A:$AC,2,FALSE))="JBL",(VLOOKUP(Table6[[#This Row],[SKU]],'All Skus'!$A:$AC,8,FALSE)),""))</f>
        <v>12" 2-way full-range system</v>
      </c>
      <c r="H399" s="8" t="str">
        <f>(IF((VLOOKUP(Table6[[#This Row],[SKU]],'All Skus'!$A:$AC,2,FALSE))="JBL",(VLOOKUP(Table6[[#This Row],[SKU]],'All Skus'!$A:$AC,9,FALSE)),""))</f>
        <v>12" 2-way system, 60⁰ x 60⁰ waveguide coverage pattern with 2408H-2 25mm (1 in) exit, 38mm (1.5 in) voice coil.</v>
      </c>
      <c r="I399" s="101">
        <f>(IF((VLOOKUP(Table6[[#This Row],[SKU]],'All Skus'!$A:$AC,2,FALSE))="JBL",(VLOOKUP(Table6[[#This Row],[SKU]],'All Skus'!$A:$AC,10,FALSE)),""))</f>
        <v>1240</v>
      </c>
      <c r="J399" s="101">
        <f>(IF((VLOOKUP(Table6[[#This Row],[SKU]],'All Skus'!$A:$AC,2,FALSE))="JBL",(VLOOKUP(Table6[[#This Row],[SKU]],'All Skus'!$A:$AC,11,FALSE)),""))</f>
        <v>1019</v>
      </c>
      <c r="K399" s="102">
        <f>(IF((VLOOKUP(Table6[[#This Row],[SKU]],'All Skus'!$A:$AC,2,FALSE))="JBL",(VLOOKUP(Table6[[#This Row],[SKU]],'All Skus'!$A:$AC,13,FALSE)),""))</f>
        <v>0</v>
      </c>
      <c r="L399" s="102">
        <f>(IF((VLOOKUP(Table6[[#This Row],[SKU]],'All Skus'!$A:$AC,2,FALSE))="JBL",(VLOOKUP(Table6[[#This Row],[SKU]],'All Skus'!$A:$AC,14,FALSE)),""))</f>
        <v>0</v>
      </c>
      <c r="M399" s="143">
        <f>(IF((VLOOKUP(Table6[[#This Row],[SKU]],'All Skus'!$A:$AC,2,FALSE))="JBL",(VLOOKUP(Table6[[#This Row],[SKU]],'All Skus'!$A:$AC,15,FALSE)),""))</f>
        <v>0</v>
      </c>
      <c r="N399" s="137">
        <f>(IF((VLOOKUP(Table6[[#This Row],[SKU]],'All Skus'!$A:$AC,2,FALSE))="JBL",(VLOOKUP(Table6[[#This Row],[SKU]],'All Skus'!$A:$AC,16,FALSE)),""))</f>
        <v>691991001277</v>
      </c>
      <c r="O399" s="61">
        <f>(IF((VLOOKUP(Table6[[#This Row],[SKU]],'All Skus'!$A:$AC,2,FALSE))="JBL",(VLOOKUP(Table6[[#This Row],[SKU]],'All Skus'!$A:$AC,17,FALSE)),""))</f>
        <v>0</v>
      </c>
      <c r="P399" s="136">
        <f>(IF((VLOOKUP(Table6[[#This Row],[SKU]],'All Skus'!$A:$AC,2,FALSE))="JBL",(VLOOKUP(Table6[[#This Row],[SKU]],'All Skus'!$A:$AC,18,FALSE)),""))</f>
        <v>0</v>
      </c>
      <c r="Q399" s="136">
        <f>(IF((VLOOKUP(Table6[[#This Row],[SKU]],'All Skus'!$A:$AC,2,FALSE))="JBL",(VLOOKUP(Table6[[#This Row],[SKU]],'All Skus'!$A:$AC,19,FALSE)),""))</f>
        <v>0</v>
      </c>
      <c r="R399" s="136">
        <f>(IF((VLOOKUP(Table6[[#This Row],[SKU]],'All Skus'!$A:$AC,2,FALSE))="JBL",(VLOOKUP(Table6[[#This Row],[SKU]],'All Skus'!$A:$AC,20,FALSE)),""))</f>
        <v>0</v>
      </c>
      <c r="S399" s="61">
        <f>(IF((VLOOKUP(Table6[[#This Row],[SKU]],'All Skus'!$A:$AC,2,FALSE))="JBL",(VLOOKUP(Table6[[#This Row],[SKU]],'All Skus'!$A:$AC,21,FALSE)),""))</f>
        <v>0</v>
      </c>
      <c r="T399" s="61" t="str">
        <f>(IF((VLOOKUP(Table6[[#This Row],[SKU]],'All Skus'!$A:$AC,2,FALSE))="JBL",(VLOOKUP(Table6[[#This Row],[SKU]],'All Skus'!$A:$AC,22,FALSE)),""))</f>
        <v>CN</v>
      </c>
      <c r="U399" t="str">
        <f>(IF((VLOOKUP(Table6[[#This Row],[SKU]],'All Skus'!$A:$AC,2,FALSE))="JBL",(VLOOKUP(Table6[[#This Row],[SKU]],'All Skus'!$A:$AC,23,FALSE)),""))</f>
        <v>Non Compliant</v>
      </c>
      <c r="V399" s="284" t="str">
        <f>HYPERLINK((IF((VLOOKUP(Table6[[#This Row],[SKU]],'All Skus'!$A:$AC,2,FALSE))="JBL",(VLOOKUP(Table6[[#This Row],[SKU]],'All Skus'!$A:$AC,24,FALSE)),"")))</f>
        <v/>
      </c>
      <c r="W399" s="151">
        <v>397</v>
      </c>
    </row>
    <row r="400" spans="1:23" ht="15" hidden="1" customHeight="1">
      <c r="A400" s="13" t="s">
        <v>1406</v>
      </c>
      <c r="B400" s="12" t="str">
        <f>(IF((VLOOKUP(Table6[[#This Row],[SKU]],'All Skus'!$A:$AC,2,FALSE))="JBL",(VLOOKUP(Table6[[#This Row],[SKU]],'All Skus'!$A:$AC,3,FALSE)),""))</f>
        <v>AE Series</v>
      </c>
      <c r="C400" s="12" t="str">
        <f>(IF((VLOOKUP(Table6[[#This Row],[SKU]],'All Skus'!$A:$AC,2,FALSE))="JBL",(VLOOKUP(Table6[[#This Row],[SKU]],'All Skus'!$A:$AC,4,FALSE)),""))</f>
        <v>AC266-WH       </v>
      </c>
      <c r="D400" s="61" t="str">
        <f>(IF((VLOOKUP(Table6[[#This Row],[SKU]],'All Skus'!$A:$AC,2,FALSE))="JBL",(VLOOKUP(Table6[[#This Row],[SKU]],'All Skus'!$A:$AC,5,FALSE)),""))</f>
        <v>JBL052</v>
      </c>
      <c r="E400" s="137">
        <f>(IF((VLOOKUP(Table6[[#This Row],[SKU]],'All Skus'!$A:$AC,2,FALSE))="JBL",(VLOOKUP(Table6[[#This Row],[SKU]],'All Skus'!$A:$AC,6,FALSE)),""))</f>
        <v>0</v>
      </c>
      <c r="F400" s="61">
        <f>(IF((VLOOKUP(Table6[[#This Row],[SKU]],'All Skus'!$A:$AC,2,FALSE))="JBL",(VLOOKUP(Table6[[#This Row],[SKU]],'All Skus'!$A:$AC,7,FALSE)),""))</f>
        <v>0</v>
      </c>
      <c r="G400" t="str">
        <f>(IF((VLOOKUP(Table6[[#This Row],[SKU]],'All Skus'!$A:$AC,2,FALSE))="JBL",(VLOOKUP(Table6[[#This Row],[SKU]],'All Skus'!$A:$AC,8,FALSE)),""))</f>
        <v>12" 2-way full-range system, white</v>
      </c>
      <c r="H400" s="8" t="str">
        <f>(IF((VLOOKUP(Table6[[#This Row],[SKU]],'All Skus'!$A:$AC,2,FALSE))="JBL",(VLOOKUP(Table6[[#This Row],[SKU]],'All Skus'!$A:$AC,9,FALSE)),""))</f>
        <v>AC266 in White</v>
      </c>
      <c r="I400" s="101">
        <f>(IF((VLOOKUP(Table6[[#This Row],[SKU]],'All Skus'!$A:$AC,2,FALSE))="JBL",(VLOOKUP(Table6[[#This Row],[SKU]],'All Skus'!$A:$AC,10,FALSE)),""))</f>
        <v>1240</v>
      </c>
      <c r="J400" s="101">
        <f>(IF((VLOOKUP(Table6[[#This Row],[SKU]],'All Skus'!$A:$AC,2,FALSE))="JBL",(VLOOKUP(Table6[[#This Row],[SKU]],'All Skus'!$A:$AC,11,FALSE)),""))</f>
        <v>1019</v>
      </c>
      <c r="K400" s="102">
        <f>(IF((VLOOKUP(Table6[[#This Row],[SKU]],'All Skus'!$A:$AC,2,FALSE))="JBL",(VLOOKUP(Table6[[#This Row],[SKU]],'All Skus'!$A:$AC,13,FALSE)),""))</f>
        <v>0</v>
      </c>
      <c r="L400" s="102">
        <f>(IF((VLOOKUP(Table6[[#This Row],[SKU]],'All Skus'!$A:$AC,2,FALSE))="JBL",(VLOOKUP(Table6[[#This Row],[SKU]],'All Skus'!$A:$AC,14,FALSE)),""))</f>
        <v>0</v>
      </c>
      <c r="M400" s="143">
        <f>(IF((VLOOKUP(Table6[[#This Row],[SKU]],'All Skus'!$A:$AC,2,FALSE))="JBL",(VLOOKUP(Table6[[#This Row],[SKU]],'All Skus'!$A:$AC,15,FALSE)),""))</f>
        <v>0</v>
      </c>
      <c r="N400" s="137">
        <f>(IF((VLOOKUP(Table6[[#This Row],[SKU]],'All Skus'!$A:$AC,2,FALSE))="JBL",(VLOOKUP(Table6[[#This Row],[SKU]],'All Skus'!$A:$AC,16,FALSE)),""))</f>
        <v>691991004261</v>
      </c>
      <c r="O400" s="61">
        <f>(IF((VLOOKUP(Table6[[#This Row],[SKU]],'All Skus'!$A:$AC,2,FALSE))="JBL",(VLOOKUP(Table6[[#This Row],[SKU]],'All Skus'!$A:$AC,17,FALSE)),""))</f>
        <v>0</v>
      </c>
      <c r="P400" s="136">
        <f>(IF((VLOOKUP(Table6[[#This Row],[SKU]],'All Skus'!$A:$AC,2,FALSE))="JBL",(VLOOKUP(Table6[[#This Row],[SKU]],'All Skus'!$A:$AC,18,FALSE)),""))</f>
        <v>0</v>
      </c>
      <c r="Q400" s="136">
        <f>(IF((VLOOKUP(Table6[[#This Row],[SKU]],'All Skus'!$A:$AC,2,FALSE))="JBL",(VLOOKUP(Table6[[#This Row],[SKU]],'All Skus'!$A:$AC,19,FALSE)),""))</f>
        <v>0</v>
      </c>
      <c r="R400" s="136">
        <f>(IF((VLOOKUP(Table6[[#This Row],[SKU]],'All Skus'!$A:$AC,2,FALSE))="JBL",(VLOOKUP(Table6[[#This Row],[SKU]],'All Skus'!$A:$AC,20,FALSE)),""))</f>
        <v>0</v>
      </c>
      <c r="S400" s="61">
        <f>(IF((VLOOKUP(Table6[[#This Row],[SKU]],'All Skus'!$A:$AC,2,FALSE))="JBL",(VLOOKUP(Table6[[#This Row],[SKU]],'All Skus'!$A:$AC,21,FALSE)),""))</f>
        <v>0</v>
      </c>
      <c r="T400" s="61" t="str">
        <f>(IF((VLOOKUP(Table6[[#This Row],[SKU]],'All Skus'!$A:$AC,2,FALSE))="JBL",(VLOOKUP(Table6[[#This Row],[SKU]],'All Skus'!$A:$AC,22,FALSE)),""))</f>
        <v>CN</v>
      </c>
      <c r="U400" t="str">
        <f>(IF((VLOOKUP(Table6[[#This Row],[SKU]],'All Skus'!$A:$AC,2,FALSE))="JBL",(VLOOKUP(Table6[[#This Row],[SKU]],'All Skus'!$A:$AC,23,FALSE)),""))</f>
        <v>Non Compliant</v>
      </c>
      <c r="V400" s="284" t="str">
        <f>HYPERLINK((IF((VLOOKUP(Table6[[#This Row],[SKU]],'All Skus'!$A:$AC,2,FALSE))="JBL",(VLOOKUP(Table6[[#This Row],[SKU]],'All Skus'!$A:$AC,24,FALSE)),"")))</f>
        <v/>
      </c>
      <c r="W400" s="151">
        <v>398</v>
      </c>
    </row>
    <row r="401" spans="1:23" ht="15" hidden="1" customHeight="1">
      <c r="A401" s="13" t="s">
        <v>1407</v>
      </c>
      <c r="B401" s="12" t="str">
        <f>(IF((VLOOKUP(Table6[[#This Row],[SKU]],'All Skus'!$A:$AC,2,FALSE))="JBL",(VLOOKUP(Table6[[#This Row],[SKU]],'All Skus'!$A:$AC,3,FALSE)),""))</f>
        <v>AE Series</v>
      </c>
      <c r="C401" s="12" t="str">
        <f>(IF((VLOOKUP(Table6[[#This Row],[SKU]],'All Skus'!$A:$AC,2,FALSE))="JBL",(VLOOKUP(Table6[[#This Row],[SKU]],'All Skus'!$A:$AC,4,FALSE)),""))</f>
        <v>AC299</v>
      </c>
      <c r="D401" s="61" t="str">
        <f>(IF((VLOOKUP(Table6[[#This Row],[SKU]],'All Skus'!$A:$AC,2,FALSE))="JBL",(VLOOKUP(Table6[[#This Row],[SKU]],'All Skus'!$A:$AC,5,FALSE)),""))</f>
        <v>JBL052</v>
      </c>
      <c r="E401" s="137">
        <f>(IF((VLOOKUP(Table6[[#This Row],[SKU]],'All Skus'!$A:$AC,2,FALSE))="JBL",(VLOOKUP(Table6[[#This Row],[SKU]],'All Skus'!$A:$AC,6,FALSE)),""))</f>
        <v>0</v>
      </c>
      <c r="F401" s="61">
        <f>(IF((VLOOKUP(Table6[[#This Row],[SKU]],'All Skus'!$A:$AC,2,FALSE))="JBL",(VLOOKUP(Table6[[#This Row],[SKU]],'All Skus'!$A:$AC,7,FALSE)),""))</f>
        <v>0</v>
      </c>
      <c r="G401" t="str">
        <f>(IF((VLOOKUP(Table6[[#This Row],[SKU]],'All Skus'!$A:$AC,2,FALSE))="JBL",(VLOOKUP(Table6[[#This Row],[SKU]],'All Skus'!$A:$AC,8,FALSE)),""))</f>
        <v>12" 2-way full-range system</v>
      </c>
      <c r="H401" s="8" t="str">
        <f>(IF((VLOOKUP(Table6[[#This Row],[SKU]],'All Skus'!$A:$AC,2,FALSE))="JBL",(VLOOKUP(Table6[[#This Row],[SKU]],'All Skus'!$A:$AC,9,FALSE)),""))</f>
        <v>12" 2-way system, 90⁰ x 90⁰ waveguide coverage pattern with 2408H-2 25mm (1 in) exit, 38mm (1.5 in) voice coil.</v>
      </c>
      <c r="I401" s="101">
        <f>(IF((VLOOKUP(Table6[[#This Row],[SKU]],'All Skus'!$A:$AC,2,FALSE))="JBL",(VLOOKUP(Table6[[#This Row],[SKU]],'All Skus'!$A:$AC,10,FALSE)),""))</f>
        <v>1240</v>
      </c>
      <c r="J401" s="101">
        <f>(IF((VLOOKUP(Table6[[#This Row],[SKU]],'All Skus'!$A:$AC,2,FALSE))="JBL",(VLOOKUP(Table6[[#This Row],[SKU]],'All Skus'!$A:$AC,11,FALSE)),""))</f>
        <v>1240</v>
      </c>
      <c r="K401" s="102">
        <f>(IF((VLOOKUP(Table6[[#This Row],[SKU]],'All Skus'!$A:$AC,2,FALSE))="JBL",(VLOOKUP(Table6[[#This Row],[SKU]],'All Skus'!$A:$AC,13,FALSE)),""))</f>
        <v>0</v>
      </c>
      <c r="L401" s="102">
        <f>(IF((VLOOKUP(Table6[[#This Row],[SKU]],'All Skus'!$A:$AC,2,FALSE))="JBL",(VLOOKUP(Table6[[#This Row],[SKU]],'All Skus'!$A:$AC,14,FALSE)),""))</f>
        <v>0</v>
      </c>
      <c r="M401" s="143">
        <f>(IF((VLOOKUP(Table6[[#This Row],[SKU]],'All Skus'!$A:$AC,2,FALSE))="JBL",(VLOOKUP(Table6[[#This Row],[SKU]],'All Skus'!$A:$AC,15,FALSE)),""))</f>
        <v>0</v>
      </c>
      <c r="N401" s="137">
        <f>(IF((VLOOKUP(Table6[[#This Row],[SKU]],'All Skus'!$A:$AC,2,FALSE))="JBL",(VLOOKUP(Table6[[#This Row],[SKU]],'All Skus'!$A:$AC,16,FALSE)),""))</f>
        <v>691991001284</v>
      </c>
      <c r="O401" s="61">
        <f>(IF((VLOOKUP(Table6[[#This Row],[SKU]],'All Skus'!$A:$AC,2,FALSE))="JBL",(VLOOKUP(Table6[[#This Row],[SKU]],'All Skus'!$A:$AC,17,FALSE)),""))</f>
        <v>0</v>
      </c>
      <c r="P401" s="136">
        <f>(IF((VLOOKUP(Table6[[#This Row],[SKU]],'All Skus'!$A:$AC,2,FALSE))="JBL",(VLOOKUP(Table6[[#This Row],[SKU]],'All Skus'!$A:$AC,18,FALSE)),""))</f>
        <v>44.2</v>
      </c>
      <c r="Q401" s="136">
        <f>(IF((VLOOKUP(Table6[[#This Row],[SKU]],'All Skus'!$A:$AC,2,FALSE))="JBL",(VLOOKUP(Table6[[#This Row],[SKU]],'All Skus'!$A:$AC,19,FALSE)),""))</f>
        <v>17</v>
      </c>
      <c r="R401" s="136">
        <f>(IF((VLOOKUP(Table6[[#This Row],[SKU]],'All Skus'!$A:$AC,2,FALSE))="JBL",(VLOOKUP(Table6[[#This Row],[SKU]],'All Skus'!$A:$AC,20,FALSE)),""))</f>
        <v>17</v>
      </c>
      <c r="S401" s="61">
        <f>(IF((VLOOKUP(Table6[[#This Row],[SKU]],'All Skus'!$A:$AC,2,FALSE))="JBL",(VLOOKUP(Table6[[#This Row],[SKU]],'All Skus'!$A:$AC,21,FALSE)),""))</f>
        <v>25</v>
      </c>
      <c r="T401" s="61" t="str">
        <f>(IF((VLOOKUP(Table6[[#This Row],[SKU]],'All Skus'!$A:$AC,2,FALSE))="JBL",(VLOOKUP(Table6[[#This Row],[SKU]],'All Skus'!$A:$AC,22,FALSE)),""))</f>
        <v>CN</v>
      </c>
      <c r="U401" t="str">
        <f>(IF((VLOOKUP(Table6[[#This Row],[SKU]],'All Skus'!$A:$AC,2,FALSE))="JBL",(VLOOKUP(Table6[[#This Row],[SKU]],'All Skus'!$A:$AC,23,FALSE)),""))</f>
        <v>Non Compliant</v>
      </c>
      <c r="V401" s="284" t="str">
        <f>HYPERLINK((IF((VLOOKUP(Table6[[#This Row],[SKU]],'All Skus'!$A:$AC,2,FALSE))="JBL",(VLOOKUP(Table6[[#This Row],[SKU]],'All Skus'!$A:$AC,24,FALSE)),"")))</f>
        <v/>
      </c>
      <c r="W401" s="151">
        <v>399</v>
      </c>
    </row>
    <row r="402" spans="1:23" ht="15" hidden="1" customHeight="1">
      <c r="A402" s="13" t="s">
        <v>1408</v>
      </c>
      <c r="B402" s="12" t="str">
        <f>(IF((VLOOKUP(Table6[[#This Row],[SKU]],'All Skus'!$A:$AC,2,FALSE))="JBL",(VLOOKUP(Table6[[#This Row],[SKU]],'All Skus'!$A:$AC,3,FALSE)),""))</f>
        <v>AE Series</v>
      </c>
      <c r="C402" s="12" t="str">
        <f>(IF((VLOOKUP(Table6[[#This Row],[SKU]],'All Skus'!$A:$AC,2,FALSE))="JBL",(VLOOKUP(Table6[[#This Row],[SKU]],'All Skus'!$A:$AC,4,FALSE)),""))</f>
        <v>AC299-WH</v>
      </c>
      <c r="D402" s="61" t="str">
        <f>(IF((VLOOKUP(Table6[[#This Row],[SKU]],'All Skus'!$A:$AC,2,FALSE))="JBL",(VLOOKUP(Table6[[#This Row],[SKU]],'All Skus'!$A:$AC,5,FALSE)),""))</f>
        <v>JBL052</v>
      </c>
      <c r="E402" s="137">
        <f>(IF((VLOOKUP(Table6[[#This Row],[SKU]],'All Skus'!$A:$AC,2,FALSE))="JBL",(VLOOKUP(Table6[[#This Row],[SKU]],'All Skus'!$A:$AC,6,FALSE)),""))</f>
        <v>0</v>
      </c>
      <c r="F402" s="61">
        <f>(IF((VLOOKUP(Table6[[#This Row],[SKU]],'All Skus'!$A:$AC,2,FALSE))="JBL",(VLOOKUP(Table6[[#This Row],[SKU]],'All Skus'!$A:$AC,7,FALSE)),""))</f>
        <v>0</v>
      </c>
      <c r="G402" t="str">
        <f>(IF((VLOOKUP(Table6[[#This Row],[SKU]],'All Skus'!$A:$AC,2,FALSE))="JBL",(VLOOKUP(Table6[[#This Row],[SKU]],'All Skus'!$A:$AC,8,FALSE)),""))</f>
        <v>12" 2-way full-range system, white</v>
      </c>
      <c r="H402" s="8" t="str">
        <f>(IF((VLOOKUP(Table6[[#This Row],[SKU]],'All Skus'!$A:$AC,2,FALSE))="JBL",(VLOOKUP(Table6[[#This Row],[SKU]],'All Skus'!$A:$AC,9,FALSE)),""))</f>
        <v>AC299 in White</v>
      </c>
      <c r="I402" s="101">
        <f>(IF((VLOOKUP(Table6[[#This Row],[SKU]],'All Skus'!$A:$AC,2,FALSE))="JBL",(VLOOKUP(Table6[[#This Row],[SKU]],'All Skus'!$A:$AC,10,FALSE)),""))</f>
        <v>1240</v>
      </c>
      <c r="J402" s="101">
        <f>(IF((VLOOKUP(Table6[[#This Row],[SKU]],'All Skus'!$A:$AC,2,FALSE))="JBL",(VLOOKUP(Table6[[#This Row],[SKU]],'All Skus'!$A:$AC,11,FALSE)),""))</f>
        <v>1240</v>
      </c>
      <c r="K402" s="102">
        <f>(IF((VLOOKUP(Table6[[#This Row],[SKU]],'All Skus'!$A:$AC,2,FALSE))="JBL",(VLOOKUP(Table6[[#This Row],[SKU]],'All Skus'!$A:$AC,13,FALSE)),""))</f>
        <v>0</v>
      </c>
      <c r="L402" s="102">
        <f>(IF((VLOOKUP(Table6[[#This Row],[SKU]],'All Skus'!$A:$AC,2,FALSE))="JBL",(VLOOKUP(Table6[[#This Row],[SKU]],'All Skus'!$A:$AC,14,FALSE)),""))</f>
        <v>0</v>
      </c>
      <c r="M402" s="143">
        <f>(IF((VLOOKUP(Table6[[#This Row],[SKU]],'All Skus'!$A:$AC,2,FALSE))="JBL",(VLOOKUP(Table6[[#This Row],[SKU]],'All Skus'!$A:$AC,15,FALSE)),""))</f>
        <v>0</v>
      </c>
      <c r="N402" s="137">
        <f>(IF((VLOOKUP(Table6[[#This Row],[SKU]],'All Skus'!$A:$AC,2,FALSE))="JBL",(VLOOKUP(Table6[[#This Row],[SKU]],'All Skus'!$A:$AC,16,FALSE)),""))</f>
        <v>691991004278</v>
      </c>
      <c r="O402" s="61">
        <f>(IF((VLOOKUP(Table6[[#This Row],[SKU]],'All Skus'!$A:$AC,2,FALSE))="JBL",(VLOOKUP(Table6[[#This Row],[SKU]],'All Skus'!$A:$AC,17,FALSE)),""))</f>
        <v>0</v>
      </c>
      <c r="P402" s="136">
        <f>(IF((VLOOKUP(Table6[[#This Row],[SKU]],'All Skus'!$A:$AC,2,FALSE))="JBL",(VLOOKUP(Table6[[#This Row],[SKU]],'All Skus'!$A:$AC,18,FALSE)),""))</f>
        <v>49</v>
      </c>
      <c r="Q402" s="136">
        <f>(IF((VLOOKUP(Table6[[#This Row],[SKU]],'All Skus'!$A:$AC,2,FALSE))="JBL",(VLOOKUP(Table6[[#This Row],[SKU]],'All Skus'!$A:$AC,19,FALSE)),""))</f>
        <v>18</v>
      </c>
      <c r="R402" s="136">
        <f>(IF((VLOOKUP(Table6[[#This Row],[SKU]],'All Skus'!$A:$AC,2,FALSE))="JBL",(VLOOKUP(Table6[[#This Row],[SKU]],'All Skus'!$A:$AC,20,FALSE)),""))</f>
        <v>17</v>
      </c>
      <c r="S402" s="61">
        <f>(IF((VLOOKUP(Table6[[#This Row],[SKU]],'All Skus'!$A:$AC,2,FALSE))="JBL",(VLOOKUP(Table6[[#This Row],[SKU]],'All Skus'!$A:$AC,21,FALSE)),""))</f>
        <v>27</v>
      </c>
      <c r="T402" s="61" t="str">
        <f>(IF((VLOOKUP(Table6[[#This Row],[SKU]],'All Skus'!$A:$AC,2,FALSE))="JBL",(VLOOKUP(Table6[[#This Row],[SKU]],'All Skus'!$A:$AC,22,FALSE)),""))</f>
        <v>CN</v>
      </c>
      <c r="U402" t="str">
        <f>(IF((VLOOKUP(Table6[[#This Row],[SKU]],'All Skus'!$A:$AC,2,FALSE))="JBL",(VLOOKUP(Table6[[#This Row],[SKU]],'All Skus'!$A:$AC,23,FALSE)),""))</f>
        <v>Non Compliant</v>
      </c>
      <c r="V402" s="284" t="str">
        <f>HYPERLINK((IF((VLOOKUP(Table6[[#This Row],[SKU]],'All Skus'!$A:$AC,2,FALSE))="JBL",(VLOOKUP(Table6[[#This Row],[SKU]],'All Skus'!$A:$AC,24,FALSE)),"")))</f>
        <v/>
      </c>
      <c r="W402" s="151">
        <v>400</v>
      </c>
    </row>
    <row r="403" spans="1:23" ht="15" hidden="1" customHeight="1">
      <c r="A403" s="13" t="s">
        <v>1409</v>
      </c>
      <c r="B403" s="12" t="str">
        <f>(IF((VLOOKUP(Table6[[#This Row],[SKU]],'All Skus'!$A:$AC,2,FALSE))="JBL",(VLOOKUP(Table6[[#This Row],[SKU]],'All Skus'!$A:$AC,3,FALSE)),""))</f>
        <v>AE Series</v>
      </c>
      <c r="C403" s="12" t="str">
        <f>(IF((VLOOKUP(Table6[[#This Row],[SKU]],'All Skus'!$A:$AC,2,FALSE))="JBL",(VLOOKUP(Table6[[#This Row],[SKU]],'All Skus'!$A:$AC,4,FALSE)),""))</f>
        <v>AC566</v>
      </c>
      <c r="D403" s="61" t="str">
        <f>(IF((VLOOKUP(Table6[[#This Row],[SKU]],'All Skus'!$A:$AC,2,FALSE))="JBL",(VLOOKUP(Table6[[#This Row],[SKU]],'All Skus'!$A:$AC,5,FALSE)),""))</f>
        <v>JBL052</v>
      </c>
      <c r="E403" s="137">
        <f>(IF((VLOOKUP(Table6[[#This Row],[SKU]],'All Skus'!$A:$AC,2,FALSE))="JBL",(VLOOKUP(Table6[[#This Row],[SKU]],'All Skus'!$A:$AC,6,FALSE)),""))</f>
        <v>0</v>
      </c>
      <c r="F403" s="61">
        <f>(IF((VLOOKUP(Table6[[#This Row],[SKU]],'All Skus'!$A:$AC,2,FALSE))="JBL",(VLOOKUP(Table6[[#This Row],[SKU]],'All Skus'!$A:$AC,7,FALSE)),""))</f>
        <v>0</v>
      </c>
      <c r="G403" t="str">
        <f>(IF((VLOOKUP(Table6[[#This Row],[SKU]],'All Skus'!$A:$AC,2,FALSE))="JBL",(VLOOKUP(Table6[[#This Row],[SKU]],'All Skus'!$A:$AC,8,FALSE)),""))</f>
        <v>15" 2-way full-range system</v>
      </c>
      <c r="H403" s="8" t="str">
        <f>(IF((VLOOKUP(Table6[[#This Row],[SKU]],'All Skus'!$A:$AC,2,FALSE))="JBL",(VLOOKUP(Table6[[#This Row],[SKU]],'All Skus'!$A:$AC,9,FALSE)),""))</f>
        <v>15" 2-way system, 60⁰ x 60⁰ waveguide coverage pattern with 2408H-2 25mm (1 in) exit, 38mm (1.5 in) voice coil.</v>
      </c>
      <c r="I403" s="101">
        <f>(IF((VLOOKUP(Table6[[#This Row],[SKU]],'All Skus'!$A:$AC,2,FALSE))="JBL",(VLOOKUP(Table6[[#This Row],[SKU]],'All Skus'!$A:$AC,10,FALSE)),""))</f>
        <v>1380</v>
      </c>
      <c r="J403" s="101">
        <f>(IF((VLOOKUP(Table6[[#This Row],[SKU]],'All Skus'!$A:$AC,2,FALSE))="JBL",(VLOOKUP(Table6[[#This Row],[SKU]],'All Skus'!$A:$AC,11,FALSE)),""))</f>
        <v>1380</v>
      </c>
      <c r="K403" s="102">
        <f>(IF((VLOOKUP(Table6[[#This Row],[SKU]],'All Skus'!$A:$AC,2,FALSE))="JBL",(VLOOKUP(Table6[[#This Row],[SKU]],'All Skus'!$A:$AC,13,FALSE)),""))</f>
        <v>0</v>
      </c>
      <c r="L403" s="102">
        <f>(IF((VLOOKUP(Table6[[#This Row],[SKU]],'All Skus'!$A:$AC,2,FALSE))="JBL",(VLOOKUP(Table6[[#This Row],[SKU]],'All Skus'!$A:$AC,14,FALSE)),""))</f>
        <v>0</v>
      </c>
      <c r="M403" s="143">
        <f>(IF((VLOOKUP(Table6[[#This Row],[SKU]],'All Skus'!$A:$AC,2,FALSE))="JBL",(VLOOKUP(Table6[[#This Row],[SKU]],'All Skus'!$A:$AC,15,FALSE)),""))</f>
        <v>0</v>
      </c>
      <c r="N403" s="137">
        <f>(IF((VLOOKUP(Table6[[#This Row],[SKU]],'All Skus'!$A:$AC,2,FALSE))="JBL",(VLOOKUP(Table6[[#This Row],[SKU]],'All Skus'!$A:$AC,16,FALSE)),""))</f>
        <v>691991001291</v>
      </c>
      <c r="O403" s="61">
        <f>(IF((VLOOKUP(Table6[[#This Row],[SKU]],'All Skus'!$A:$AC,2,FALSE))="JBL",(VLOOKUP(Table6[[#This Row],[SKU]],'All Skus'!$A:$AC,17,FALSE)),""))</f>
        <v>0</v>
      </c>
      <c r="P403" s="136">
        <f>(IF((VLOOKUP(Table6[[#This Row],[SKU]],'All Skus'!$A:$AC,2,FALSE))="JBL",(VLOOKUP(Table6[[#This Row],[SKU]],'All Skus'!$A:$AC,18,FALSE)),""))</f>
        <v>51</v>
      </c>
      <c r="Q403" s="136">
        <f>(IF((VLOOKUP(Table6[[#This Row],[SKU]],'All Skus'!$A:$AC,2,FALSE))="JBL",(VLOOKUP(Table6[[#This Row],[SKU]],'All Skus'!$A:$AC,19,FALSE)),""))</f>
        <v>20</v>
      </c>
      <c r="R403" s="136">
        <f>(IF((VLOOKUP(Table6[[#This Row],[SKU]],'All Skus'!$A:$AC,2,FALSE))="JBL",(VLOOKUP(Table6[[#This Row],[SKU]],'All Skus'!$A:$AC,20,FALSE)),""))</f>
        <v>18</v>
      </c>
      <c r="S403" s="61">
        <f>(IF((VLOOKUP(Table6[[#This Row],[SKU]],'All Skus'!$A:$AC,2,FALSE))="JBL",(VLOOKUP(Table6[[#This Row],[SKU]],'All Skus'!$A:$AC,21,FALSE)),""))</f>
        <v>29</v>
      </c>
      <c r="T403" s="61" t="str">
        <f>(IF((VLOOKUP(Table6[[#This Row],[SKU]],'All Skus'!$A:$AC,2,FALSE))="JBL",(VLOOKUP(Table6[[#This Row],[SKU]],'All Skus'!$A:$AC,22,FALSE)),""))</f>
        <v>CN</v>
      </c>
      <c r="U403" t="str">
        <f>(IF((VLOOKUP(Table6[[#This Row],[SKU]],'All Skus'!$A:$AC,2,FALSE))="JBL",(VLOOKUP(Table6[[#This Row],[SKU]],'All Skus'!$A:$AC,23,FALSE)),""))</f>
        <v>Non Compliant</v>
      </c>
      <c r="V403" s="284" t="str">
        <f>HYPERLINK((IF((VLOOKUP(Table6[[#This Row],[SKU]],'All Skus'!$A:$AC,2,FALSE))="JBL",(VLOOKUP(Table6[[#This Row],[SKU]],'All Skus'!$A:$AC,24,FALSE)),"")))</f>
        <v/>
      </c>
      <c r="W403" s="151">
        <v>401</v>
      </c>
    </row>
    <row r="404" spans="1:23" ht="15" hidden="1" customHeight="1">
      <c r="A404" s="13" t="s">
        <v>1410</v>
      </c>
      <c r="B404" s="12" t="str">
        <f>(IF((VLOOKUP(Table6[[#This Row],[SKU]],'All Skus'!$A:$AC,2,FALSE))="JBL",(VLOOKUP(Table6[[#This Row],[SKU]],'All Skus'!$A:$AC,3,FALSE)),""))</f>
        <v>AE Series</v>
      </c>
      <c r="C404" s="12" t="str">
        <f>(IF((VLOOKUP(Table6[[#This Row],[SKU]],'All Skus'!$A:$AC,2,FALSE))="JBL",(VLOOKUP(Table6[[#This Row],[SKU]],'All Skus'!$A:$AC,4,FALSE)),""))</f>
        <v>AC566-WH</v>
      </c>
      <c r="D404" s="61" t="str">
        <f>(IF((VLOOKUP(Table6[[#This Row],[SKU]],'All Skus'!$A:$AC,2,FALSE))="JBL",(VLOOKUP(Table6[[#This Row],[SKU]],'All Skus'!$A:$AC,5,FALSE)),""))</f>
        <v>JBL052</v>
      </c>
      <c r="E404" s="137">
        <f>(IF((VLOOKUP(Table6[[#This Row],[SKU]],'All Skus'!$A:$AC,2,FALSE))="JBL",(VLOOKUP(Table6[[#This Row],[SKU]],'All Skus'!$A:$AC,6,FALSE)),""))</f>
        <v>0</v>
      </c>
      <c r="F404" s="61">
        <f>(IF((VLOOKUP(Table6[[#This Row],[SKU]],'All Skus'!$A:$AC,2,FALSE))="JBL",(VLOOKUP(Table6[[#This Row],[SKU]],'All Skus'!$A:$AC,7,FALSE)),""))</f>
        <v>0</v>
      </c>
      <c r="G404" t="str">
        <f>(IF((VLOOKUP(Table6[[#This Row],[SKU]],'All Skus'!$A:$AC,2,FALSE))="JBL",(VLOOKUP(Table6[[#This Row],[SKU]],'All Skus'!$A:$AC,8,FALSE)),""))</f>
        <v>15" 2-way full-range system, white</v>
      </c>
      <c r="H404" s="8" t="str">
        <f>(IF((VLOOKUP(Table6[[#This Row],[SKU]],'All Skus'!$A:$AC,2,FALSE))="JBL",(VLOOKUP(Table6[[#This Row],[SKU]],'All Skus'!$A:$AC,9,FALSE)),""))</f>
        <v>AC566 in White</v>
      </c>
      <c r="I404" s="101">
        <f>(IF((VLOOKUP(Table6[[#This Row],[SKU]],'All Skus'!$A:$AC,2,FALSE))="JBL",(VLOOKUP(Table6[[#This Row],[SKU]],'All Skus'!$A:$AC,10,FALSE)),""))</f>
        <v>1380</v>
      </c>
      <c r="J404" s="101">
        <f>(IF((VLOOKUP(Table6[[#This Row],[SKU]],'All Skus'!$A:$AC,2,FALSE))="JBL",(VLOOKUP(Table6[[#This Row],[SKU]],'All Skus'!$A:$AC,11,FALSE)),""))</f>
        <v>1380</v>
      </c>
      <c r="K404" s="102">
        <f>(IF((VLOOKUP(Table6[[#This Row],[SKU]],'All Skus'!$A:$AC,2,FALSE))="JBL",(VLOOKUP(Table6[[#This Row],[SKU]],'All Skus'!$A:$AC,13,FALSE)),""))</f>
        <v>0</v>
      </c>
      <c r="L404" s="102">
        <f>(IF((VLOOKUP(Table6[[#This Row],[SKU]],'All Skus'!$A:$AC,2,FALSE))="JBL",(VLOOKUP(Table6[[#This Row],[SKU]],'All Skus'!$A:$AC,14,FALSE)),""))</f>
        <v>0</v>
      </c>
      <c r="M404" s="143">
        <f>(IF((VLOOKUP(Table6[[#This Row],[SKU]],'All Skus'!$A:$AC,2,FALSE))="JBL",(VLOOKUP(Table6[[#This Row],[SKU]],'All Skus'!$A:$AC,15,FALSE)),""))</f>
        <v>0</v>
      </c>
      <c r="N404" s="137">
        <f>(IF((VLOOKUP(Table6[[#This Row],[SKU]],'All Skus'!$A:$AC,2,FALSE))="JBL",(VLOOKUP(Table6[[#This Row],[SKU]],'All Skus'!$A:$AC,16,FALSE)),""))</f>
        <v>691991004285</v>
      </c>
      <c r="O404" s="61">
        <f>(IF((VLOOKUP(Table6[[#This Row],[SKU]],'All Skus'!$A:$AC,2,FALSE))="JBL",(VLOOKUP(Table6[[#This Row],[SKU]],'All Skus'!$A:$AC,17,FALSE)),""))</f>
        <v>0</v>
      </c>
      <c r="P404" s="136">
        <f>(IF((VLOOKUP(Table6[[#This Row],[SKU]],'All Skus'!$A:$AC,2,FALSE))="JBL",(VLOOKUP(Table6[[#This Row],[SKU]],'All Skus'!$A:$AC,18,FALSE)),""))</f>
        <v>54</v>
      </c>
      <c r="Q404" s="136">
        <f>(IF((VLOOKUP(Table6[[#This Row],[SKU]],'All Skus'!$A:$AC,2,FALSE))="JBL",(VLOOKUP(Table6[[#This Row],[SKU]],'All Skus'!$A:$AC,19,FALSE)),""))</f>
        <v>19</v>
      </c>
      <c r="R404" s="136">
        <f>(IF((VLOOKUP(Table6[[#This Row],[SKU]],'All Skus'!$A:$AC,2,FALSE))="JBL",(VLOOKUP(Table6[[#This Row],[SKU]],'All Skus'!$A:$AC,20,FALSE)),""))</f>
        <v>20</v>
      </c>
      <c r="S404" s="61">
        <f>(IF((VLOOKUP(Table6[[#This Row],[SKU]],'All Skus'!$A:$AC,2,FALSE))="JBL",(VLOOKUP(Table6[[#This Row],[SKU]],'All Skus'!$A:$AC,21,FALSE)),""))</f>
        <v>30</v>
      </c>
      <c r="T404" s="61" t="str">
        <f>(IF((VLOOKUP(Table6[[#This Row],[SKU]],'All Skus'!$A:$AC,2,FALSE))="JBL",(VLOOKUP(Table6[[#This Row],[SKU]],'All Skus'!$A:$AC,22,FALSE)),""))</f>
        <v>CN</v>
      </c>
      <c r="U404" t="str">
        <f>(IF((VLOOKUP(Table6[[#This Row],[SKU]],'All Skus'!$A:$AC,2,FALSE))="JBL",(VLOOKUP(Table6[[#This Row],[SKU]],'All Skus'!$A:$AC,23,FALSE)),""))</f>
        <v>Non Compliant</v>
      </c>
      <c r="V404" s="284" t="str">
        <f>HYPERLINK((IF((VLOOKUP(Table6[[#This Row],[SKU]],'All Skus'!$A:$AC,2,FALSE))="JBL",(VLOOKUP(Table6[[#This Row],[SKU]],'All Skus'!$A:$AC,24,FALSE)),"")))</f>
        <v/>
      </c>
      <c r="W404" s="151">
        <v>402</v>
      </c>
    </row>
    <row r="405" spans="1:23" ht="15" hidden="1" customHeight="1">
      <c r="A405" s="13" t="s">
        <v>1411</v>
      </c>
      <c r="B405" s="12" t="str">
        <f>(IF((VLOOKUP(Table6[[#This Row],[SKU]],'All Skus'!$A:$AC,2,FALSE))="JBL",(VLOOKUP(Table6[[#This Row],[SKU]],'All Skus'!$A:$AC,3,FALSE)),""))</f>
        <v>AE Series</v>
      </c>
      <c r="C405" s="12" t="str">
        <f>(IF((VLOOKUP(Table6[[#This Row],[SKU]],'All Skus'!$A:$AC,2,FALSE))="JBL",(VLOOKUP(Table6[[#This Row],[SKU]],'All Skus'!$A:$AC,4,FALSE)),""))</f>
        <v xml:space="preserve">AC599        </v>
      </c>
      <c r="D405" s="61" t="str">
        <f>(IF((VLOOKUP(Table6[[#This Row],[SKU]],'All Skus'!$A:$AC,2,FALSE))="JBL",(VLOOKUP(Table6[[#This Row],[SKU]],'All Skus'!$A:$AC,5,FALSE)),""))</f>
        <v>JBL052</v>
      </c>
      <c r="E405" s="137">
        <f>(IF((VLOOKUP(Table6[[#This Row],[SKU]],'All Skus'!$A:$AC,2,FALSE))="JBL",(VLOOKUP(Table6[[#This Row],[SKU]],'All Skus'!$A:$AC,6,FALSE)),""))</f>
        <v>0</v>
      </c>
      <c r="F405" s="61">
        <f>(IF((VLOOKUP(Table6[[#This Row],[SKU]],'All Skus'!$A:$AC,2,FALSE))="JBL",(VLOOKUP(Table6[[#This Row],[SKU]],'All Skus'!$A:$AC,7,FALSE)),""))</f>
        <v>0</v>
      </c>
      <c r="G405" t="str">
        <f>(IF((VLOOKUP(Table6[[#This Row],[SKU]],'All Skus'!$A:$AC,2,FALSE))="JBL",(VLOOKUP(Table6[[#This Row],[SKU]],'All Skus'!$A:$AC,8,FALSE)),""))</f>
        <v>15" 2-way full-range system</v>
      </c>
      <c r="H405" s="8" t="str">
        <f>(IF((VLOOKUP(Table6[[#This Row],[SKU]],'All Skus'!$A:$AC,2,FALSE))="JBL",(VLOOKUP(Table6[[#This Row],[SKU]],'All Skus'!$A:$AC,9,FALSE)),""))</f>
        <v>15" 2-way system, 90⁰ x 90⁰ waveguide coverage pattern with 2408H-2 25mm (1 in) exit, 38mm (1.5 in) voice coil.</v>
      </c>
      <c r="I405" s="101">
        <f>(IF((VLOOKUP(Table6[[#This Row],[SKU]],'All Skus'!$A:$AC,2,FALSE))="JBL",(VLOOKUP(Table6[[#This Row],[SKU]],'All Skus'!$A:$AC,10,FALSE)),""))</f>
        <v>1370</v>
      </c>
      <c r="J405" s="101">
        <f>(IF((VLOOKUP(Table6[[#This Row],[SKU]],'All Skus'!$A:$AC,2,FALSE))="JBL",(VLOOKUP(Table6[[#This Row],[SKU]],'All Skus'!$A:$AC,11,FALSE)),""))</f>
        <v>1139</v>
      </c>
      <c r="K405" s="102">
        <f>(IF((VLOOKUP(Table6[[#This Row],[SKU]],'All Skus'!$A:$AC,2,FALSE))="JBL",(VLOOKUP(Table6[[#This Row],[SKU]],'All Skus'!$A:$AC,13,FALSE)),""))</f>
        <v>0</v>
      </c>
      <c r="L405" s="102">
        <f>(IF((VLOOKUP(Table6[[#This Row],[SKU]],'All Skus'!$A:$AC,2,FALSE))="JBL",(VLOOKUP(Table6[[#This Row],[SKU]],'All Skus'!$A:$AC,14,FALSE)),""))</f>
        <v>0</v>
      </c>
      <c r="M405" s="143">
        <f>(IF((VLOOKUP(Table6[[#This Row],[SKU]],'All Skus'!$A:$AC,2,FALSE))="JBL",(VLOOKUP(Table6[[#This Row],[SKU]],'All Skus'!$A:$AC,15,FALSE)),""))</f>
        <v>0</v>
      </c>
      <c r="N405" s="137">
        <f>(IF((VLOOKUP(Table6[[#This Row],[SKU]],'All Skus'!$A:$AC,2,FALSE))="JBL",(VLOOKUP(Table6[[#This Row],[SKU]],'All Skus'!$A:$AC,16,FALSE)),""))</f>
        <v>691991001307</v>
      </c>
      <c r="O405" s="61">
        <f>(IF((VLOOKUP(Table6[[#This Row],[SKU]],'All Skus'!$A:$AC,2,FALSE))="JBL",(VLOOKUP(Table6[[#This Row],[SKU]],'All Skus'!$A:$AC,17,FALSE)),""))</f>
        <v>0</v>
      </c>
      <c r="P405" s="136">
        <f>(IF((VLOOKUP(Table6[[#This Row],[SKU]],'All Skus'!$A:$AC,2,FALSE))="JBL",(VLOOKUP(Table6[[#This Row],[SKU]],'All Skus'!$A:$AC,18,FALSE)),""))</f>
        <v>0</v>
      </c>
      <c r="Q405" s="136">
        <f>(IF((VLOOKUP(Table6[[#This Row],[SKU]],'All Skus'!$A:$AC,2,FALSE))="JBL",(VLOOKUP(Table6[[#This Row],[SKU]],'All Skus'!$A:$AC,19,FALSE)),""))</f>
        <v>0</v>
      </c>
      <c r="R405" s="136">
        <f>(IF((VLOOKUP(Table6[[#This Row],[SKU]],'All Skus'!$A:$AC,2,FALSE))="JBL",(VLOOKUP(Table6[[#This Row],[SKU]],'All Skus'!$A:$AC,20,FALSE)),""))</f>
        <v>0</v>
      </c>
      <c r="S405" s="61">
        <f>(IF((VLOOKUP(Table6[[#This Row],[SKU]],'All Skus'!$A:$AC,2,FALSE))="JBL",(VLOOKUP(Table6[[#This Row],[SKU]],'All Skus'!$A:$AC,21,FALSE)),""))</f>
        <v>0</v>
      </c>
      <c r="T405" s="61" t="str">
        <f>(IF((VLOOKUP(Table6[[#This Row],[SKU]],'All Skus'!$A:$AC,2,FALSE))="JBL",(VLOOKUP(Table6[[#This Row],[SKU]],'All Skus'!$A:$AC,22,FALSE)),""))</f>
        <v>CN</v>
      </c>
      <c r="U405" t="str">
        <f>(IF((VLOOKUP(Table6[[#This Row],[SKU]],'All Skus'!$A:$AC,2,FALSE))="JBL",(VLOOKUP(Table6[[#This Row],[SKU]],'All Skus'!$A:$AC,23,FALSE)),""))</f>
        <v>Non Compliant</v>
      </c>
      <c r="V405" s="284" t="str">
        <f>HYPERLINK((IF((VLOOKUP(Table6[[#This Row],[SKU]],'All Skus'!$A:$AC,2,FALSE))="JBL",(VLOOKUP(Table6[[#This Row],[SKU]],'All Skus'!$A:$AC,24,FALSE)),"")))</f>
        <v/>
      </c>
      <c r="W405" s="151">
        <v>403</v>
      </c>
    </row>
    <row r="406" spans="1:23" ht="15" hidden="1" customHeight="1">
      <c r="A406" s="13" t="s">
        <v>1412</v>
      </c>
      <c r="B406" s="12" t="str">
        <f>(IF((VLOOKUP(Table6[[#This Row],[SKU]],'All Skus'!$A:$AC,2,FALSE))="JBL",(VLOOKUP(Table6[[#This Row],[SKU]],'All Skus'!$A:$AC,3,FALSE)),""))</f>
        <v>AE Series</v>
      </c>
      <c r="C406" s="12" t="str">
        <f>(IF((VLOOKUP(Table6[[#This Row],[SKU]],'All Skus'!$A:$AC,2,FALSE))="JBL",(VLOOKUP(Table6[[#This Row],[SKU]],'All Skus'!$A:$AC,4,FALSE)),""))</f>
        <v xml:space="preserve">AC599-WH   </v>
      </c>
      <c r="D406" s="61" t="str">
        <f>(IF((VLOOKUP(Table6[[#This Row],[SKU]],'All Skus'!$A:$AC,2,FALSE))="JBL",(VLOOKUP(Table6[[#This Row],[SKU]],'All Skus'!$A:$AC,5,FALSE)),""))</f>
        <v>JBL052</v>
      </c>
      <c r="E406" s="137">
        <f>(IF((VLOOKUP(Table6[[#This Row],[SKU]],'All Skus'!$A:$AC,2,FALSE))="JBL",(VLOOKUP(Table6[[#This Row],[SKU]],'All Skus'!$A:$AC,6,FALSE)),""))</f>
        <v>0</v>
      </c>
      <c r="F406" s="61">
        <f>(IF((VLOOKUP(Table6[[#This Row],[SKU]],'All Skus'!$A:$AC,2,FALSE))="JBL",(VLOOKUP(Table6[[#This Row],[SKU]],'All Skus'!$A:$AC,7,FALSE)),""))</f>
        <v>0</v>
      </c>
      <c r="G406" t="str">
        <f>(IF((VLOOKUP(Table6[[#This Row],[SKU]],'All Skus'!$A:$AC,2,FALSE))="JBL",(VLOOKUP(Table6[[#This Row],[SKU]],'All Skus'!$A:$AC,8,FALSE)),""))</f>
        <v>15" 2-way full-range system, white</v>
      </c>
      <c r="H406" s="8" t="str">
        <f>(IF((VLOOKUP(Table6[[#This Row],[SKU]],'All Skus'!$A:$AC,2,FALSE))="JBL",(VLOOKUP(Table6[[#This Row],[SKU]],'All Skus'!$A:$AC,9,FALSE)),""))</f>
        <v>AC299 in White</v>
      </c>
      <c r="I406" s="101">
        <f>(IF((VLOOKUP(Table6[[#This Row],[SKU]],'All Skus'!$A:$AC,2,FALSE))="JBL",(VLOOKUP(Table6[[#This Row],[SKU]],'All Skus'!$A:$AC,10,FALSE)),""))</f>
        <v>1370</v>
      </c>
      <c r="J406" s="101">
        <f>(IF((VLOOKUP(Table6[[#This Row],[SKU]],'All Skus'!$A:$AC,2,FALSE))="JBL",(VLOOKUP(Table6[[#This Row],[SKU]],'All Skus'!$A:$AC,11,FALSE)),""))</f>
        <v>1139</v>
      </c>
      <c r="K406" s="102">
        <f>(IF((VLOOKUP(Table6[[#This Row],[SKU]],'All Skus'!$A:$AC,2,FALSE))="JBL",(VLOOKUP(Table6[[#This Row],[SKU]],'All Skus'!$A:$AC,13,FALSE)),""))</f>
        <v>0</v>
      </c>
      <c r="L406" s="102">
        <f>(IF((VLOOKUP(Table6[[#This Row],[SKU]],'All Skus'!$A:$AC,2,FALSE))="JBL",(VLOOKUP(Table6[[#This Row],[SKU]],'All Skus'!$A:$AC,14,FALSE)),""))</f>
        <v>0</v>
      </c>
      <c r="M406" s="143">
        <f>(IF((VLOOKUP(Table6[[#This Row],[SKU]],'All Skus'!$A:$AC,2,FALSE))="JBL",(VLOOKUP(Table6[[#This Row],[SKU]],'All Skus'!$A:$AC,15,FALSE)),""))</f>
        <v>0</v>
      </c>
      <c r="N406" s="137">
        <f>(IF((VLOOKUP(Table6[[#This Row],[SKU]],'All Skus'!$A:$AC,2,FALSE))="JBL",(VLOOKUP(Table6[[#This Row],[SKU]],'All Skus'!$A:$AC,16,FALSE)),""))</f>
        <v>691991004292</v>
      </c>
      <c r="O406" s="61">
        <f>(IF((VLOOKUP(Table6[[#This Row],[SKU]],'All Skus'!$A:$AC,2,FALSE))="JBL",(VLOOKUP(Table6[[#This Row],[SKU]],'All Skus'!$A:$AC,17,FALSE)),""))</f>
        <v>0</v>
      </c>
      <c r="P406" s="136">
        <f>(IF((VLOOKUP(Table6[[#This Row],[SKU]],'All Skus'!$A:$AC,2,FALSE))="JBL",(VLOOKUP(Table6[[#This Row],[SKU]],'All Skus'!$A:$AC,18,FALSE)),""))</f>
        <v>0</v>
      </c>
      <c r="Q406" s="136">
        <f>(IF((VLOOKUP(Table6[[#This Row],[SKU]],'All Skus'!$A:$AC,2,FALSE))="JBL",(VLOOKUP(Table6[[#This Row],[SKU]],'All Skus'!$A:$AC,19,FALSE)),""))</f>
        <v>0</v>
      </c>
      <c r="R406" s="136">
        <f>(IF((VLOOKUP(Table6[[#This Row],[SKU]],'All Skus'!$A:$AC,2,FALSE))="JBL",(VLOOKUP(Table6[[#This Row],[SKU]],'All Skus'!$A:$AC,20,FALSE)),""))</f>
        <v>0</v>
      </c>
      <c r="S406" s="61">
        <f>(IF((VLOOKUP(Table6[[#This Row],[SKU]],'All Skus'!$A:$AC,2,FALSE))="JBL",(VLOOKUP(Table6[[#This Row],[SKU]],'All Skus'!$A:$AC,21,FALSE)),""))</f>
        <v>0</v>
      </c>
      <c r="T406" s="61" t="str">
        <f>(IF((VLOOKUP(Table6[[#This Row],[SKU]],'All Skus'!$A:$AC,2,FALSE))="JBL",(VLOOKUP(Table6[[#This Row],[SKU]],'All Skus'!$A:$AC,22,FALSE)),""))</f>
        <v>CN</v>
      </c>
      <c r="U406" t="str">
        <f>(IF((VLOOKUP(Table6[[#This Row],[SKU]],'All Skus'!$A:$AC,2,FALSE))="JBL",(VLOOKUP(Table6[[#This Row],[SKU]],'All Skus'!$A:$AC,23,FALSE)),""))</f>
        <v>Non Compliant</v>
      </c>
      <c r="V406" s="284" t="str">
        <f>HYPERLINK((IF((VLOOKUP(Table6[[#This Row],[SKU]],'All Skus'!$A:$AC,2,FALSE))="JBL",(VLOOKUP(Table6[[#This Row],[SKU]],'All Skus'!$A:$AC,24,FALSE)),"")))</f>
        <v/>
      </c>
      <c r="W406" s="151">
        <v>404</v>
      </c>
    </row>
    <row r="407" spans="1:23" ht="15" hidden="1" customHeight="1">
      <c r="A407" s="13" t="s">
        <v>1413</v>
      </c>
      <c r="B407" s="12" t="str">
        <f>(IF((VLOOKUP(Table6[[#This Row],[SKU]],'All Skus'!$A:$AC,2,FALSE))="JBL",(VLOOKUP(Table6[[#This Row],[SKU]],'All Skus'!$A:$AC,3,FALSE)),""))</f>
        <v>AE Series</v>
      </c>
      <c r="C407" s="12" t="str">
        <f>(IF((VLOOKUP(Table6[[#This Row],[SKU]],'All Skus'!$A:$AC,2,FALSE))="JBL",(VLOOKUP(Table6[[#This Row],[SKU]],'All Skus'!$A:$AC,4,FALSE)),""))</f>
        <v>AC895</v>
      </c>
      <c r="D407" s="61" t="str">
        <f>(IF((VLOOKUP(Table6[[#This Row],[SKU]],'All Skus'!$A:$AC,2,FALSE))="JBL",(VLOOKUP(Table6[[#This Row],[SKU]],'All Skus'!$A:$AC,5,FALSE)),""))</f>
        <v>JBL052</v>
      </c>
      <c r="E407" s="137">
        <f>(IF((VLOOKUP(Table6[[#This Row],[SKU]],'All Skus'!$A:$AC,2,FALSE))="JBL",(VLOOKUP(Table6[[#This Row],[SKU]],'All Skus'!$A:$AC,6,FALSE)),""))</f>
        <v>0</v>
      </c>
      <c r="F407" s="61">
        <f>(IF((VLOOKUP(Table6[[#This Row],[SKU]],'All Skus'!$A:$AC,2,FALSE))="JBL",(VLOOKUP(Table6[[#This Row],[SKU]],'All Skus'!$A:$AC,7,FALSE)),""))</f>
        <v>0</v>
      </c>
      <c r="G407" t="str">
        <f>(IF((VLOOKUP(Table6[[#This Row],[SKU]],'All Skus'!$A:$AC,2,FALSE))="JBL",(VLOOKUP(Table6[[#This Row],[SKU]],'All Skus'!$A:$AC,8,FALSE)),""))</f>
        <v>8" 2-way full-range system</v>
      </c>
      <c r="H407" s="8" t="str">
        <f>(IF((VLOOKUP(Table6[[#This Row],[SKU]],'All Skus'!$A:$AC,2,FALSE))="JBL",(VLOOKUP(Table6[[#This Row],[SKU]],'All Skus'!$A:$AC,9,FALSE)),""))</f>
        <v>8" 2-way full-range system, rotatable 90⁰ x 50⁰ waveguide coverage pattern with 2414H-C 25mm (1 in) exit, 25mm (1 in) voice coil.</v>
      </c>
      <c r="I407" s="101">
        <f>(IF((VLOOKUP(Table6[[#This Row],[SKU]],'All Skus'!$A:$AC,2,FALSE))="JBL",(VLOOKUP(Table6[[#This Row],[SKU]],'All Skus'!$A:$AC,10,FALSE)),""))</f>
        <v>880</v>
      </c>
      <c r="J407" s="101">
        <f>(IF((VLOOKUP(Table6[[#This Row],[SKU]],'All Skus'!$A:$AC,2,FALSE))="JBL",(VLOOKUP(Table6[[#This Row],[SKU]],'All Skus'!$A:$AC,11,FALSE)),""))</f>
        <v>880</v>
      </c>
      <c r="K407" s="102">
        <f>(IF((VLOOKUP(Table6[[#This Row],[SKU]],'All Skus'!$A:$AC,2,FALSE))="JBL",(VLOOKUP(Table6[[#This Row],[SKU]],'All Skus'!$A:$AC,13,FALSE)),""))</f>
        <v>0</v>
      </c>
      <c r="L407" s="102">
        <f>(IF((VLOOKUP(Table6[[#This Row],[SKU]],'All Skus'!$A:$AC,2,FALSE))="JBL",(VLOOKUP(Table6[[#This Row],[SKU]],'All Skus'!$A:$AC,14,FALSE)),""))</f>
        <v>0</v>
      </c>
      <c r="M407" s="143">
        <f>(IF((VLOOKUP(Table6[[#This Row],[SKU]],'All Skus'!$A:$AC,2,FALSE))="JBL",(VLOOKUP(Table6[[#This Row],[SKU]],'All Skus'!$A:$AC,15,FALSE)),""))</f>
        <v>0</v>
      </c>
      <c r="N407" s="137">
        <f>(IF((VLOOKUP(Table6[[#This Row],[SKU]],'All Skus'!$A:$AC,2,FALSE))="JBL",(VLOOKUP(Table6[[#This Row],[SKU]],'All Skus'!$A:$AC,16,FALSE)),""))</f>
        <v>691991001253</v>
      </c>
      <c r="O407" s="61">
        <f>(IF((VLOOKUP(Table6[[#This Row],[SKU]],'All Skus'!$A:$AC,2,FALSE))="JBL",(VLOOKUP(Table6[[#This Row],[SKU]],'All Skus'!$A:$AC,17,FALSE)),""))</f>
        <v>0</v>
      </c>
      <c r="P407" s="136">
        <f>(IF((VLOOKUP(Table6[[#This Row],[SKU]],'All Skus'!$A:$AC,2,FALSE))="JBL",(VLOOKUP(Table6[[#This Row],[SKU]],'All Skus'!$A:$AC,18,FALSE)),""))</f>
        <v>25.8</v>
      </c>
      <c r="Q407" s="136">
        <f>(IF((VLOOKUP(Table6[[#This Row],[SKU]],'All Skus'!$A:$AC,2,FALSE))="JBL",(VLOOKUP(Table6[[#This Row],[SKU]],'All Skus'!$A:$AC,19,FALSE)),""))</f>
        <v>12</v>
      </c>
      <c r="R407" s="136">
        <f>(IF((VLOOKUP(Table6[[#This Row],[SKU]],'All Skus'!$A:$AC,2,FALSE))="JBL",(VLOOKUP(Table6[[#This Row],[SKU]],'All Skus'!$A:$AC,20,FALSE)),""))</f>
        <v>12</v>
      </c>
      <c r="S407" s="61">
        <f>(IF((VLOOKUP(Table6[[#This Row],[SKU]],'All Skus'!$A:$AC,2,FALSE))="JBL",(VLOOKUP(Table6[[#This Row],[SKU]],'All Skus'!$A:$AC,21,FALSE)),""))</f>
        <v>20</v>
      </c>
      <c r="T407" s="61" t="str">
        <f>(IF((VLOOKUP(Table6[[#This Row],[SKU]],'All Skus'!$A:$AC,2,FALSE))="JBL",(VLOOKUP(Table6[[#This Row],[SKU]],'All Skus'!$A:$AC,22,FALSE)),""))</f>
        <v>CN</v>
      </c>
      <c r="U407" t="str">
        <f>(IF((VLOOKUP(Table6[[#This Row],[SKU]],'All Skus'!$A:$AC,2,FALSE))="JBL",(VLOOKUP(Table6[[#This Row],[SKU]],'All Skus'!$A:$AC,23,FALSE)),""))</f>
        <v>Non Compliant</v>
      </c>
      <c r="V407" s="284" t="str">
        <f>HYPERLINK((IF((VLOOKUP(Table6[[#This Row],[SKU]],'All Skus'!$A:$AC,2,FALSE))="JBL",(VLOOKUP(Table6[[#This Row],[SKU]],'All Skus'!$A:$AC,24,FALSE)),"")))</f>
        <v/>
      </c>
      <c r="W407" s="151">
        <v>405</v>
      </c>
    </row>
    <row r="408" spans="1:23" ht="15" hidden="1" customHeight="1">
      <c r="A408" s="13" t="s">
        <v>1414</v>
      </c>
      <c r="B408" s="12" t="str">
        <f>(IF((VLOOKUP(Table6[[#This Row],[SKU]],'All Skus'!$A:$AC,2,FALSE))="JBL",(VLOOKUP(Table6[[#This Row],[SKU]],'All Skus'!$A:$AC,3,FALSE)),""))</f>
        <v>AE Series</v>
      </c>
      <c r="C408" s="12" t="str">
        <f>(IF((VLOOKUP(Table6[[#This Row],[SKU]],'All Skus'!$A:$AC,2,FALSE))="JBL",(VLOOKUP(Table6[[#This Row],[SKU]],'All Skus'!$A:$AC,4,FALSE)),""))</f>
        <v>AC895-WH</v>
      </c>
      <c r="D408" s="61" t="str">
        <f>(IF((VLOOKUP(Table6[[#This Row],[SKU]],'All Skus'!$A:$AC,2,FALSE))="JBL",(VLOOKUP(Table6[[#This Row],[SKU]],'All Skus'!$A:$AC,5,FALSE)),""))</f>
        <v>JBL052</v>
      </c>
      <c r="E408" s="137">
        <f>(IF((VLOOKUP(Table6[[#This Row],[SKU]],'All Skus'!$A:$AC,2,FALSE))="JBL",(VLOOKUP(Table6[[#This Row],[SKU]],'All Skus'!$A:$AC,6,FALSE)),""))</f>
        <v>0</v>
      </c>
      <c r="F408" s="61">
        <f>(IF((VLOOKUP(Table6[[#This Row],[SKU]],'All Skus'!$A:$AC,2,FALSE))="JBL",(VLOOKUP(Table6[[#This Row],[SKU]],'All Skus'!$A:$AC,7,FALSE)),""))</f>
        <v>0</v>
      </c>
      <c r="G408" t="str">
        <f>(IF((VLOOKUP(Table6[[#This Row],[SKU]],'All Skus'!$A:$AC,2,FALSE))="JBL",(VLOOKUP(Table6[[#This Row],[SKU]],'All Skus'!$A:$AC,8,FALSE)),""))</f>
        <v>8" 2-way full-range system, white</v>
      </c>
      <c r="H408" s="8" t="str">
        <f>(IF((VLOOKUP(Table6[[#This Row],[SKU]],'All Skus'!$A:$AC,2,FALSE))="JBL",(VLOOKUP(Table6[[#This Row],[SKU]],'All Skus'!$A:$AC,9,FALSE)),""))</f>
        <v>AC895 in White</v>
      </c>
      <c r="I408" s="101">
        <f>(IF((VLOOKUP(Table6[[#This Row],[SKU]],'All Skus'!$A:$AC,2,FALSE))="JBL",(VLOOKUP(Table6[[#This Row],[SKU]],'All Skus'!$A:$AC,10,FALSE)),""))</f>
        <v>880</v>
      </c>
      <c r="J408" s="101">
        <f>(IF((VLOOKUP(Table6[[#This Row],[SKU]],'All Skus'!$A:$AC,2,FALSE))="JBL",(VLOOKUP(Table6[[#This Row],[SKU]],'All Skus'!$A:$AC,11,FALSE)),""))</f>
        <v>880</v>
      </c>
      <c r="K408" s="102">
        <f>(IF((VLOOKUP(Table6[[#This Row],[SKU]],'All Skus'!$A:$AC,2,FALSE))="JBL",(VLOOKUP(Table6[[#This Row],[SKU]],'All Skus'!$A:$AC,13,FALSE)),""))</f>
        <v>0</v>
      </c>
      <c r="L408" s="102">
        <f>(IF((VLOOKUP(Table6[[#This Row],[SKU]],'All Skus'!$A:$AC,2,FALSE))="JBL",(VLOOKUP(Table6[[#This Row],[SKU]],'All Skus'!$A:$AC,14,FALSE)),""))</f>
        <v>0</v>
      </c>
      <c r="M408" s="143">
        <f>(IF((VLOOKUP(Table6[[#This Row],[SKU]],'All Skus'!$A:$AC,2,FALSE))="JBL",(VLOOKUP(Table6[[#This Row],[SKU]],'All Skus'!$A:$AC,15,FALSE)),""))</f>
        <v>0</v>
      </c>
      <c r="N408" s="137">
        <f>(IF((VLOOKUP(Table6[[#This Row],[SKU]],'All Skus'!$A:$AC,2,FALSE))="JBL",(VLOOKUP(Table6[[#This Row],[SKU]],'All Skus'!$A:$AC,16,FALSE)),""))</f>
        <v>691991004308</v>
      </c>
      <c r="O408" s="61">
        <f>(IF((VLOOKUP(Table6[[#This Row],[SKU]],'All Skus'!$A:$AC,2,FALSE))="JBL",(VLOOKUP(Table6[[#This Row],[SKU]],'All Skus'!$A:$AC,17,FALSE)),""))</f>
        <v>0</v>
      </c>
      <c r="P408" s="136">
        <f>(IF((VLOOKUP(Table6[[#This Row],[SKU]],'All Skus'!$A:$AC,2,FALSE))="JBL",(VLOOKUP(Table6[[#This Row],[SKU]],'All Skus'!$A:$AC,18,FALSE)),""))</f>
        <v>31</v>
      </c>
      <c r="Q408" s="136">
        <f>(IF((VLOOKUP(Table6[[#This Row],[SKU]],'All Skus'!$A:$AC,2,FALSE))="JBL",(VLOOKUP(Table6[[#This Row],[SKU]],'All Skus'!$A:$AC,19,FALSE)),""))</f>
        <v>12</v>
      </c>
      <c r="R408" s="136">
        <f>(IF((VLOOKUP(Table6[[#This Row],[SKU]],'All Skus'!$A:$AC,2,FALSE))="JBL",(VLOOKUP(Table6[[#This Row],[SKU]],'All Skus'!$A:$AC,20,FALSE)),""))</f>
        <v>13</v>
      </c>
      <c r="S408" s="61">
        <f>(IF((VLOOKUP(Table6[[#This Row],[SKU]],'All Skus'!$A:$AC,2,FALSE))="JBL",(VLOOKUP(Table6[[#This Row],[SKU]],'All Skus'!$A:$AC,21,FALSE)),""))</f>
        <v>22</v>
      </c>
      <c r="T408" s="61" t="str">
        <f>(IF((VLOOKUP(Table6[[#This Row],[SKU]],'All Skus'!$A:$AC,2,FALSE))="JBL",(VLOOKUP(Table6[[#This Row],[SKU]],'All Skus'!$A:$AC,22,FALSE)),""))</f>
        <v>CN</v>
      </c>
      <c r="U408">
        <f>(IF((VLOOKUP(Table6[[#This Row],[SKU]],'All Skus'!$A:$AC,2,FALSE))="JBL",(VLOOKUP(Table6[[#This Row],[SKU]],'All Skus'!$A:$AC,23,FALSE)),""))</f>
        <v>0</v>
      </c>
      <c r="V408" s="284" t="str">
        <f>HYPERLINK((IF((VLOOKUP(Table6[[#This Row],[SKU]],'All Skus'!$A:$AC,2,FALSE))="JBL",(VLOOKUP(Table6[[#This Row],[SKU]],'All Skus'!$A:$AC,24,FALSE)),"")))</f>
        <v/>
      </c>
      <c r="W408" s="151">
        <v>406</v>
      </c>
    </row>
    <row r="409" spans="1:23" ht="15" hidden="1" customHeight="1">
      <c r="A409" s="13" t="s">
        <v>1415</v>
      </c>
      <c r="B409" s="12" t="str">
        <f>(IF((VLOOKUP(Table6[[#This Row],[SKU]],'All Skus'!$A:$AC,2,FALSE))="JBL",(VLOOKUP(Table6[[#This Row],[SKU]],'All Skus'!$A:$AC,3,FALSE)),""))</f>
        <v>AE Series</v>
      </c>
      <c r="C409" s="12" t="str">
        <f>(IF((VLOOKUP(Table6[[#This Row],[SKU]],'All Skus'!$A:$AC,2,FALSE))="JBL",(VLOOKUP(Table6[[#This Row],[SKU]],'All Skus'!$A:$AC,4,FALSE)),""))</f>
        <v>MTU-15</v>
      </c>
      <c r="D409" s="61" t="str">
        <f>(IF((VLOOKUP(Table6[[#This Row],[SKU]],'All Skus'!$A:$AC,2,FALSE))="JBL",(VLOOKUP(Table6[[#This Row],[SKU]],'All Skus'!$A:$AC,5,FALSE)),""))</f>
        <v>JBL052</v>
      </c>
      <c r="E409" s="137">
        <f>(IF((VLOOKUP(Table6[[#This Row],[SKU]],'All Skus'!$A:$AC,2,FALSE))="JBL",(VLOOKUP(Table6[[#This Row],[SKU]],'All Skus'!$A:$AC,6,FALSE)),""))</f>
        <v>0</v>
      </c>
      <c r="F409" s="61">
        <f>(IF((VLOOKUP(Table6[[#This Row],[SKU]],'All Skus'!$A:$AC,2,FALSE))="JBL",(VLOOKUP(Table6[[#This Row],[SKU]],'All Skus'!$A:$AC,7,FALSE)),""))</f>
        <v>0</v>
      </c>
      <c r="G409" t="str">
        <f>(IF((VLOOKUP(Table6[[#This Row],[SKU]],'All Skus'!$A:$AC,2,FALSE))="JBL",(VLOOKUP(Table6[[#This Row],[SKU]],'All Skus'!$A:$AC,8,FALSE)),""))</f>
        <v>U BRACKET FOR AC15</v>
      </c>
      <c r="H409" s="8" t="str">
        <f>(IF((VLOOKUP(Table6[[#This Row],[SKU]],'All Skus'!$A:$AC,2,FALSE))="JBL",(VLOOKUP(Table6[[#This Row],[SKU]],'All Skus'!$A:$AC,9,FALSE)),""))</f>
        <v>U‐Bracket For Model AC15, Blk</v>
      </c>
      <c r="I409" s="101">
        <f>(IF((VLOOKUP(Table6[[#This Row],[SKU]],'All Skus'!$A:$AC,2,FALSE))="JBL",(VLOOKUP(Table6[[#This Row],[SKU]],'All Skus'!$A:$AC,10,FALSE)),""))</f>
        <v>110</v>
      </c>
      <c r="J409" s="101">
        <f>(IF((VLOOKUP(Table6[[#This Row],[SKU]],'All Skus'!$A:$AC,2,FALSE))="JBL",(VLOOKUP(Table6[[#This Row],[SKU]],'All Skus'!$A:$AC,11,FALSE)),""))</f>
        <v>110</v>
      </c>
      <c r="K409" s="102">
        <f>(IF((VLOOKUP(Table6[[#This Row],[SKU]],'All Skus'!$A:$AC,2,FALSE))="JBL",(VLOOKUP(Table6[[#This Row],[SKU]],'All Skus'!$A:$AC,13,FALSE)),""))</f>
        <v>0</v>
      </c>
      <c r="L409" s="102">
        <f>(IF((VLOOKUP(Table6[[#This Row],[SKU]],'All Skus'!$A:$AC,2,FALSE))="JBL",(VLOOKUP(Table6[[#This Row],[SKU]],'All Skus'!$A:$AC,14,FALSE)),""))</f>
        <v>0</v>
      </c>
      <c r="M409" s="143">
        <f>(IF((VLOOKUP(Table6[[#This Row],[SKU]],'All Skus'!$A:$AC,2,FALSE))="JBL",(VLOOKUP(Table6[[#This Row],[SKU]],'All Skus'!$A:$AC,15,FALSE)),""))</f>
        <v>0</v>
      </c>
      <c r="N409" s="137">
        <f>(IF((VLOOKUP(Table6[[#This Row],[SKU]],'All Skus'!$A:$AC,2,FALSE))="JBL",(VLOOKUP(Table6[[#This Row],[SKU]],'All Skus'!$A:$AC,16,FALSE)),""))</f>
        <v>691991012235</v>
      </c>
      <c r="O409" s="61">
        <f>(IF((VLOOKUP(Table6[[#This Row],[SKU]],'All Skus'!$A:$AC,2,FALSE))="JBL",(VLOOKUP(Table6[[#This Row],[SKU]],'All Skus'!$A:$AC,17,FALSE)),""))</f>
        <v>0</v>
      </c>
      <c r="P409" s="136">
        <f>(IF((VLOOKUP(Table6[[#This Row],[SKU]],'All Skus'!$A:$AC,2,FALSE))="JBL",(VLOOKUP(Table6[[#This Row],[SKU]],'All Skus'!$A:$AC,18,FALSE)),""))</f>
        <v>3</v>
      </c>
      <c r="Q409" s="136">
        <f>(IF((VLOOKUP(Table6[[#This Row],[SKU]],'All Skus'!$A:$AC,2,FALSE))="JBL",(VLOOKUP(Table6[[#This Row],[SKU]],'All Skus'!$A:$AC,19,FALSE)),""))</f>
        <v>12</v>
      </c>
      <c r="R409" s="136">
        <f>(IF((VLOOKUP(Table6[[#This Row],[SKU]],'All Skus'!$A:$AC,2,FALSE))="JBL",(VLOOKUP(Table6[[#This Row],[SKU]],'All Skus'!$A:$AC,20,FALSE)),""))</f>
        <v>11</v>
      </c>
      <c r="S409" s="61">
        <f>(IF((VLOOKUP(Table6[[#This Row],[SKU]],'All Skus'!$A:$AC,2,FALSE))="JBL",(VLOOKUP(Table6[[#This Row],[SKU]],'All Skus'!$A:$AC,21,FALSE)),""))</f>
        <v>4</v>
      </c>
      <c r="T409" s="61" t="str">
        <f>(IF((VLOOKUP(Table6[[#This Row],[SKU]],'All Skus'!$A:$AC,2,FALSE))="JBL",(VLOOKUP(Table6[[#This Row],[SKU]],'All Skus'!$A:$AC,22,FALSE)),""))</f>
        <v>CN</v>
      </c>
      <c r="U409" t="str">
        <f>(IF((VLOOKUP(Table6[[#This Row],[SKU]],'All Skus'!$A:$AC,2,FALSE))="JBL",(VLOOKUP(Table6[[#This Row],[SKU]],'All Skus'!$A:$AC,23,FALSE)),""))</f>
        <v>Non Compliant</v>
      </c>
      <c r="V409" s="284" t="str">
        <f>HYPERLINK((IF((VLOOKUP(Table6[[#This Row],[SKU]],'All Skus'!$A:$AC,2,FALSE))="JBL",(VLOOKUP(Table6[[#This Row],[SKU]],'All Skus'!$A:$AC,24,FALSE)),"")))</f>
        <v/>
      </c>
      <c r="W409" s="151">
        <v>407</v>
      </c>
    </row>
    <row r="410" spans="1:23" ht="15" hidden="1" customHeight="1">
      <c r="A410" s="13" t="s">
        <v>1416</v>
      </c>
      <c r="B410" s="12" t="str">
        <f>(IF((VLOOKUP(Table6[[#This Row],[SKU]],'All Skus'!$A:$AC,2,FALSE))="JBL",(VLOOKUP(Table6[[#This Row],[SKU]],'All Skus'!$A:$AC,3,FALSE)),""))</f>
        <v>AE Series</v>
      </c>
      <c r="C410" s="12" t="str">
        <f>(IF((VLOOKUP(Table6[[#This Row],[SKU]],'All Skus'!$A:$AC,2,FALSE))="JBL",(VLOOKUP(Table6[[#This Row],[SKU]],'All Skus'!$A:$AC,4,FALSE)),""))</f>
        <v>MTU-15-WH</v>
      </c>
      <c r="D410" s="61" t="str">
        <f>(IF((VLOOKUP(Table6[[#This Row],[SKU]],'All Skus'!$A:$AC,2,FALSE))="JBL",(VLOOKUP(Table6[[#This Row],[SKU]],'All Skus'!$A:$AC,5,FALSE)),""))</f>
        <v>JBL052</v>
      </c>
      <c r="E410" s="137">
        <f>(IF((VLOOKUP(Table6[[#This Row],[SKU]],'All Skus'!$A:$AC,2,FALSE))="JBL",(VLOOKUP(Table6[[#This Row],[SKU]],'All Skus'!$A:$AC,6,FALSE)),""))</f>
        <v>0</v>
      </c>
      <c r="F410" s="61">
        <f>(IF((VLOOKUP(Table6[[#This Row],[SKU]],'All Skus'!$A:$AC,2,FALSE))="JBL",(VLOOKUP(Table6[[#This Row],[SKU]],'All Skus'!$A:$AC,7,FALSE)),""))</f>
        <v>0</v>
      </c>
      <c r="G410" t="str">
        <f>(IF((VLOOKUP(Table6[[#This Row],[SKU]],'All Skus'!$A:$AC,2,FALSE))="JBL",(VLOOKUP(Table6[[#This Row],[SKU]],'All Skus'!$A:$AC,8,FALSE)),""))</f>
        <v>U BRACKET FOR AC15</v>
      </c>
      <c r="H410" s="8" t="str">
        <f>(IF((VLOOKUP(Table6[[#This Row],[SKU]],'All Skus'!$A:$AC,2,FALSE))="JBL",(VLOOKUP(Table6[[#This Row],[SKU]],'All Skus'!$A:$AC,9,FALSE)),""))</f>
        <v>U‐Bracket For Model AC15, White</v>
      </c>
      <c r="I410" s="101">
        <f>(IF((VLOOKUP(Table6[[#This Row],[SKU]],'All Skus'!$A:$AC,2,FALSE))="JBL",(VLOOKUP(Table6[[#This Row],[SKU]],'All Skus'!$A:$AC,10,FALSE)),""))</f>
        <v>110</v>
      </c>
      <c r="J410" s="101">
        <f>(IF((VLOOKUP(Table6[[#This Row],[SKU]],'All Skus'!$A:$AC,2,FALSE))="JBL",(VLOOKUP(Table6[[#This Row],[SKU]],'All Skus'!$A:$AC,11,FALSE)),""))</f>
        <v>110</v>
      </c>
      <c r="K410" s="102">
        <f>(IF((VLOOKUP(Table6[[#This Row],[SKU]],'All Skus'!$A:$AC,2,FALSE))="JBL",(VLOOKUP(Table6[[#This Row],[SKU]],'All Skus'!$A:$AC,13,FALSE)),""))</f>
        <v>0</v>
      </c>
      <c r="L410" s="102">
        <f>(IF((VLOOKUP(Table6[[#This Row],[SKU]],'All Skus'!$A:$AC,2,FALSE))="JBL",(VLOOKUP(Table6[[#This Row],[SKU]],'All Skus'!$A:$AC,14,FALSE)),""))</f>
        <v>0</v>
      </c>
      <c r="M410" s="143">
        <f>(IF((VLOOKUP(Table6[[#This Row],[SKU]],'All Skus'!$A:$AC,2,FALSE))="JBL",(VLOOKUP(Table6[[#This Row],[SKU]],'All Skus'!$A:$AC,15,FALSE)),""))</f>
        <v>0</v>
      </c>
      <c r="N410" s="137">
        <f>(IF((VLOOKUP(Table6[[#This Row],[SKU]],'All Skus'!$A:$AC,2,FALSE))="JBL",(VLOOKUP(Table6[[#This Row],[SKU]],'All Skus'!$A:$AC,16,FALSE)),""))</f>
        <v>691991012242</v>
      </c>
      <c r="O410" s="61">
        <f>(IF((VLOOKUP(Table6[[#This Row],[SKU]],'All Skus'!$A:$AC,2,FALSE))="JBL",(VLOOKUP(Table6[[#This Row],[SKU]],'All Skus'!$A:$AC,17,FALSE)),""))</f>
        <v>0</v>
      </c>
      <c r="P410" s="136">
        <f>(IF((VLOOKUP(Table6[[#This Row],[SKU]],'All Skus'!$A:$AC,2,FALSE))="JBL",(VLOOKUP(Table6[[#This Row],[SKU]],'All Skus'!$A:$AC,18,FALSE)),""))</f>
        <v>3</v>
      </c>
      <c r="Q410" s="136">
        <f>(IF((VLOOKUP(Table6[[#This Row],[SKU]],'All Skus'!$A:$AC,2,FALSE))="JBL",(VLOOKUP(Table6[[#This Row],[SKU]],'All Skus'!$A:$AC,19,FALSE)),""))</f>
        <v>12</v>
      </c>
      <c r="R410" s="136">
        <f>(IF((VLOOKUP(Table6[[#This Row],[SKU]],'All Skus'!$A:$AC,2,FALSE))="JBL",(VLOOKUP(Table6[[#This Row],[SKU]],'All Skus'!$A:$AC,20,FALSE)),""))</f>
        <v>11</v>
      </c>
      <c r="S410" s="61">
        <f>(IF((VLOOKUP(Table6[[#This Row],[SKU]],'All Skus'!$A:$AC,2,FALSE))="JBL",(VLOOKUP(Table6[[#This Row],[SKU]],'All Skus'!$A:$AC,21,FALSE)),""))</f>
        <v>4</v>
      </c>
      <c r="T410" s="61" t="str">
        <f>(IF((VLOOKUP(Table6[[#This Row],[SKU]],'All Skus'!$A:$AC,2,FALSE))="JBL",(VLOOKUP(Table6[[#This Row],[SKU]],'All Skus'!$A:$AC,22,FALSE)),""))</f>
        <v>CN</v>
      </c>
      <c r="U410" t="str">
        <f>(IF((VLOOKUP(Table6[[#This Row],[SKU]],'All Skus'!$A:$AC,2,FALSE))="JBL",(VLOOKUP(Table6[[#This Row],[SKU]],'All Skus'!$A:$AC,23,FALSE)),""))</f>
        <v>Non Compliant</v>
      </c>
      <c r="V410" s="284" t="str">
        <f>HYPERLINK((IF((VLOOKUP(Table6[[#This Row],[SKU]],'All Skus'!$A:$AC,2,FALSE))="JBL",(VLOOKUP(Table6[[#This Row],[SKU]],'All Skus'!$A:$AC,24,FALSE)),"")))</f>
        <v/>
      </c>
      <c r="W410" s="151">
        <v>408</v>
      </c>
    </row>
    <row r="411" spans="1:23" ht="15" hidden="1" customHeight="1">
      <c r="A411" s="13" t="s">
        <v>1417</v>
      </c>
      <c r="B411" s="12" t="str">
        <f>(IF((VLOOKUP(Table6[[#This Row],[SKU]],'All Skus'!$A:$AC,2,FALSE))="JBL",(VLOOKUP(Table6[[#This Row],[SKU]],'All Skus'!$A:$AC,3,FALSE)),""))</f>
        <v>AE Series</v>
      </c>
      <c r="C411" s="12" t="str">
        <f>(IF((VLOOKUP(Table6[[#This Row],[SKU]],'All Skus'!$A:$AC,2,FALSE))="JBL",(VLOOKUP(Table6[[#This Row],[SKU]],'All Skus'!$A:$AC,4,FALSE)),""))</f>
        <v>MTU-16</v>
      </c>
      <c r="D411" s="61" t="str">
        <f>(IF((VLOOKUP(Table6[[#This Row],[SKU]],'All Skus'!$A:$AC,2,FALSE))="JBL",(VLOOKUP(Table6[[#This Row],[SKU]],'All Skus'!$A:$AC,5,FALSE)),""))</f>
        <v>JBL052</v>
      </c>
      <c r="E411" s="137">
        <f>(IF((VLOOKUP(Table6[[#This Row],[SKU]],'All Skus'!$A:$AC,2,FALSE))="JBL",(VLOOKUP(Table6[[#This Row],[SKU]],'All Skus'!$A:$AC,6,FALSE)),""))</f>
        <v>0</v>
      </c>
      <c r="F411" s="61">
        <f>(IF((VLOOKUP(Table6[[#This Row],[SKU]],'All Skus'!$A:$AC,2,FALSE))="JBL",(VLOOKUP(Table6[[#This Row],[SKU]],'All Skus'!$A:$AC,7,FALSE)),""))</f>
        <v>0</v>
      </c>
      <c r="G411" t="str">
        <f>(IF((VLOOKUP(Table6[[#This Row],[SKU]],'All Skus'!$A:$AC,2,FALSE))="JBL",(VLOOKUP(Table6[[#This Row],[SKU]],'All Skus'!$A:$AC,8,FALSE)),""))</f>
        <v>U BRACKET FOR AC16</v>
      </c>
      <c r="H411" s="8" t="str">
        <f>(IF((VLOOKUP(Table6[[#This Row],[SKU]],'All Skus'!$A:$AC,2,FALSE))="JBL",(VLOOKUP(Table6[[#This Row],[SKU]],'All Skus'!$A:$AC,9,FALSE)),""))</f>
        <v>U‐Bracket For Model AC16, Blk</v>
      </c>
      <c r="I411" s="101">
        <f>(IF((VLOOKUP(Table6[[#This Row],[SKU]],'All Skus'!$A:$AC,2,FALSE))="JBL",(VLOOKUP(Table6[[#This Row],[SKU]],'All Skus'!$A:$AC,10,FALSE)),""))</f>
        <v>140</v>
      </c>
      <c r="J411" s="101">
        <f>(IF((VLOOKUP(Table6[[#This Row],[SKU]],'All Skus'!$A:$AC,2,FALSE))="JBL",(VLOOKUP(Table6[[#This Row],[SKU]],'All Skus'!$A:$AC,11,FALSE)),""))</f>
        <v>140</v>
      </c>
      <c r="K411" s="102">
        <f>(IF((VLOOKUP(Table6[[#This Row],[SKU]],'All Skus'!$A:$AC,2,FALSE))="JBL",(VLOOKUP(Table6[[#This Row],[SKU]],'All Skus'!$A:$AC,13,FALSE)),""))</f>
        <v>0</v>
      </c>
      <c r="L411" s="102">
        <f>(IF((VLOOKUP(Table6[[#This Row],[SKU]],'All Skus'!$A:$AC,2,FALSE))="JBL",(VLOOKUP(Table6[[#This Row],[SKU]],'All Skus'!$A:$AC,14,FALSE)),""))</f>
        <v>0</v>
      </c>
      <c r="M411" s="143">
        <f>(IF((VLOOKUP(Table6[[#This Row],[SKU]],'All Skus'!$A:$AC,2,FALSE))="JBL",(VLOOKUP(Table6[[#This Row],[SKU]],'All Skus'!$A:$AC,15,FALSE)),""))</f>
        <v>0</v>
      </c>
      <c r="N411" s="137">
        <f>(IF((VLOOKUP(Table6[[#This Row],[SKU]],'All Skus'!$A:$AC,2,FALSE))="JBL",(VLOOKUP(Table6[[#This Row],[SKU]],'All Skus'!$A:$AC,16,FALSE)),""))</f>
        <v>691991012259</v>
      </c>
      <c r="O411" s="61">
        <f>(IF((VLOOKUP(Table6[[#This Row],[SKU]],'All Skus'!$A:$AC,2,FALSE))="JBL",(VLOOKUP(Table6[[#This Row],[SKU]],'All Skus'!$A:$AC,17,FALSE)),""))</f>
        <v>0</v>
      </c>
      <c r="P411" s="136">
        <f>(IF((VLOOKUP(Table6[[#This Row],[SKU]],'All Skus'!$A:$AC,2,FALSE))="JBL",(VLOOKUP(Table6[[#This Row],[SKU]],'All Skus'!$A:$AC,18,FALSE)),""))</f>
        <v>3.55</v>
      </c>
      <c r="Q411" s="136">
        <f>(IF((VLOOKUP(Table6[[#This Row],[SKU]],'All Skus'!$A:$AC,2,FALSE))="JBL",(VLOOKUP(Table6[[#This Row],[SKU]],'All Skus'!$A:$AC,19,FALSE)),""))</f>
        <v>11</v>
      </c>
      <c r="R411" s="136">
        <f>(IF((VLOOKUP(Table6[[#This Row],[SKU]],'All Skus'!$A:$AC,2,FALSE))="JBL",(VLOOKUP(Table6[[#This Row],[SKU]],'All Skus'!$A:$AC,20,FALSE)),""))</f>
        <v>16</v>
      </c>
      <c r="S411" s="61">
        <f>(IF((VLOOKUP(Table6[[#This Row],[SKU]],'All Skus'!$A:$AC,2,FALSE))="JBL",(VLOOKUP(Table6[[#This Row],[SKU]],'All Skus'!$A:$AC,21,FALSE)),""))</f>
        <v>4</v>
      </c>
      <c r="T411" s="61" t="str">
        <f>(IF((VLOOKUP(Table6[[#This Row],[SKU]],'All Skus'!$A:$AC,2,FALSE))="JBL",(VLOOKUP(Table6[[#This Row],[SKU]],'All Skus'!$A:$AC,22,FALSE)),""))</f>
        <v>CN</v>
      </c>
      <c r="U411" t="str">
        <f>(IF((VLOOKUP(Table6[[#This Row],[SKU]],'All Skus'!$A:$AC,2,FALSE))="JBL",(VLOOKUP(Table6[[#This Row],[SKU]],'All Skus'!$A:$AC,23,FALSE)),""))</f>
        <v>Non Compliant</v>
      </c>
      <c r="V411" s="284" t="str">
        <f>HYPERLINK((IF((VLOOKUP(Table6[[#This Row],[SKU]],'All Skus'!$A:$AC,2,FALSE))="JBL",(VLOOKUP(Table6[[#This Row],[SKU]],'All Skus'!$A:$AC,24,FALSE)),"")))</f>
        <v/>
      </c>
      <c r="W411" s="151">
        <v>409</v>
      </c>
    </row>
    <row r="412" spans="1:23" ht="15" hidden="1" customHeight="1">
      <c r="A412" s="13" t="s">
        <v>1418</v>
      </c>
      <c r="B412" s="12" t="str">
        <f>(IF((VLOOKUP(Table6[[#This Row],[SKU]],'All Skus'!$A:$AC,2,FALSE))="JBL",(VLOOKUP(Table6[[#This Row],[SKU]],'All Skus'!$A:$AC,3,FALSE)),""))</f>
        <v>AE Series</v>
      </c>
      <c r="C412" s="12" t="str">
        <f>(IF((VLOOKUP(Table6[[#This Row],[SKU]],'All Skus'!$A:$AC,2,FALSE))="JBL",(VLOOKUP(Table6[[#This Row],[SKU]],'All Skus'!$A:$AC,4,FALSE)),""))</f>
        <v>MTU-16-WH</v>
      </c>
      <c r="D412" s="61" t="str">
        <f>(IF((VLOOKUP(Table6[[#This Row],[SKU]],'All Skus'!$A:$AC,2,FALSE))="JBL",(VLOOKUP(Table6[[#This Row],[SKU]],'All Skus'!$A:$AC,5,FALSE)),""))</f>
        <v>JBL052</v>
      </c>
      <c r="E412" s="137">
        <f>(IF((VLOOKUP(Table6[[#This Row],[SKU]],'All Skus'!$A:$AC,2,FALSE))="JBL",(VLOOKUP(Table6[[#This Row],[SKU]],'All Skus'!$A:$AC,6,FALSE)),""))</f>
        <v>0</v>
      </c>
      <c r="F412" s="61">
        <f>(IF((VLOOKUP(Table6[[#This Row],[SKU]],'All Skus'!$A:$AC,2,FALSE))="JBL",(VLOOKUP(Table6[[#This Row],[SKU]],'All Skus'!$A:$AC,7,FALSE)),""))</f>
        <v>0</v>
      </c>
      <c r="G412" t="str">
        <f>(IF((VLOOKUP(Table6[[#This Row],[SKU]],'All Skus'!$A:$AC,2,FALSE))="JBL",(VLOOKUP(Table6[[#This Row],[SKU]],'All Skus'!$A:$AC,8,FALSE)),""))</f>
        <v>U BRACKET FOR AC16</v>
      </c>
      <c r="H412" s="8" t="str">
        <f>(IF((VLOOKUP(Table6[[#This Row],[SKU]],'All Skus'!$A:$AC,2,FALSE))="JBL",(VLOOKUP(Table6[[#This Row],[SKU]],'All Skus'!$A:$AC,9,FALSE)),""))</f>
        <v>U‐Bracket For Model AC16, White</v>
      </c>
      <c r="I412" s="101">
        <f>(IF((VLOOKUP(Table6[[#This Row],[SKU]],'All Skus'!$A:$AC,2,FALSE))="JBL",(VLOOKUP(Table6[[#This Row],[SKU]],'All Skus'!$A:$AC,10,FALSE)),""))</f>
        <v>140</v>
      </c>
      <c r="J412" s="101">
        <f>(IF((VLOOKUP(Table6[[#This Row],[SKU]],'All Skus'!$A:$AC,2,FALSE))="JBL",(VLOOKUP(Table6[[#This Row],[SKU]],'All Skus'!$A:$AC,11,FALSE)),""))</f>
        <v>140</v>
      </c>
      <c r="K412" s="102">
        <f>(IF((VLOOKUP(Table6[[#This Row],[SKU]],'All Skus'!$A:$AC,2,FALSE))="JBL",(VLOOKUP(Table6[[#This Row],[SKU]],'All Skus'!$A:$AC,13,FALSE)),""))</f>
        <v>0</v>
      </c>
      <c r="L412" s="102">
        <f>(IF((VLOOKUP(Table6[[#This Row],[SKU]],'All Skus'!$A:$AC,2,FALSE))="JBL",(VLOOKUP(Table6[[#This Row],[SKU]],'All Skus'!$A:$AC,14,FALSE)),""))</f>
        <v>0</v>
      </c>
      <c r="M412" s="143">
        <f>(IF((VLOOKUP(Table6[[#This Row],[SKU]],'All Skus'!$A:$AC,2,FALSE))="JBL",(VLOOKUP(Table6[[#This Row],[SKU]],'All Skus'!$A:$AC,15,FALSE)),""))</f>
        <v>0</v>
      </c>
      <c r="N412" s="137">
        <f>(IF((VLOOKUP(Table6[[#This Row],[SKU]],'All Skus'!$A:$AC,2,FALSE))="JBL",(VLOOKUP(Table6[[#This Row],[SKU]],'All Skus'!$A:$AC,16,FALSE)),""))</f>
        <v>691991012266</v>
      </c>
      <c r="O412" s="61">
        <f>(IF((VLOOKUP(Table6[[#This Row],[SKU]],'All Skus'!$A:$AC,2,FALSE))="JBL",(VLOOKUP(Table6[[#This Row],[SKU]],'All Skus'!$A:$AC,17,FALSE)),""))</f>
        <v>0</v>
      </c>
      <c r="P412" s="136">
        <f>(IF((VLOOKUP(Table6[[#This Row],[SKU]],'All Skus'!$A:$AC,2,FALSE))="JBL",(VLOOKUP(Table6[[#This Row],[SKU]],'All Skus'!$A:$AC,18,FALSE)),""))</f>
        <v>5</v>
      </c>
      <c r="Q412" s="136">
        <f>(IF((VLOOKUP(Table6[[#This Row],[SKU]],'All Skus'!$A:$AC,2,FALSE))="JBL",(VLOOKUP(Table6[[#This Row],[SKU]],'All Skus'!$A:$AC,19,FALSE)),""))</f>
        <v>16</v>
      </c>
      <c r="R412" s="136">
        <f>(IF((VLOOKUP(Table6[[#This Row],[SKU]],'All Skus'!$A:$AC,2,FALSE))="JBL",(VLOOKUP(Table6[[#This Row],[SKU]],'All Skus'!$A:$AC,20,FALSE)),""))</f>
        <v>10</v>
      </c>
      <c r="S412" s="61">
        <f>(IF((VLOOKUP(Table6[[#This Row],[SKU]],'All Skus'!$A:$AC,2,FALSE))="JBL",(VLOOKUP(Table6[[#This Row],[SKU]],'All Skus'!$A:$AC,21,FALSE)),""))</f>
        <v>4</v>
      </c>
      <c r="T412" s="61" t="str">
        <f>(IF((VLOOKUP(Table6[[#This Row],[SKU]],'All Skus'!$A:$AC,2,FALSE))="JBL",(VLOOKUP(Table6[[#This Row],[SKU]],'All Skus'!$A:$AC,22,FALSE)),""))</f>
        <v>CN</v>
      </c>
      <c r="U412" t="str">
        <f>(IF((VLOOKUP(Table6[[#This Row],[SKU]],'All Skus'!$A:$AC,2,FALSE))="JBL",(VLOOKUP(Table6[[#This Row],[SKU]],'All Skus'!$A:$AC,23,FALSE)),""))</f>
        <v>Non Compliant</v>
      </c>
      <c r="V412" s="284" t="str">
        <f>HYPERLINK((IF((VLOOKUP(Table6[[#This Row],[SKU]],'All Skus'!$A:$AC,2,FALSE))="JBL",(VLOOKUP(Table6[[#This Row],[SKU]],'All Skus'!$A:$AC,24,FALSE)),"")))</f>
        <v/>
      </c>
      <c r="W412" s="151">
        <v>410</v>
      </c>
    </row>
    <row r="413" spans="1:23" ht="15" hidden="1" customHeight="1">
      <c r="A413" s="13" t="s">
        <v>1419</v>
      </c>
      <c r="B413" s="12" t="str">
        <f>(IF((VLOOKUP(Table6[[#This Row],[SKU]],'All Skus'!$A:$AC,2,FALSE))="JBL",(VLOOKUP(Table6[[#This Row],[SKU]],'All Skus'!$A:$AC,3,FALSE)),""))</f>
        <v>AE Series</v>
      </c>
      <c r="C413" s="12" t="str">
        <f>(IF((VLOOKUP(Table6[[#This Row],[SKU]],'All Skus'!$A:$AC,2,FALSE))="JBL",(VLOOKUP(Table6[[#This Row],[SKU]],'All Skus'!$A:$AC,4,FALSE)),""))</f>
        <v>MTU-18</v>
      </c>
      <c r="D413" s="61" t="str">
        <f>(IF((VLOOKUP(Table6[[#This Row],[SKU]],'All Skus'!$A:$AC,2,FALSE))="JBL",(VLOOKUP(Table6[[#This Row],[SKU]],'All Skus'!$A:$AC,5,FALSE)),""))</f>
        <v>JBL052</v>
      </c>
      <c r="E413" s="137">
        <f>(IF((VLOOKUP(Table6[[#This Row],[SKU]],'All Skus'!$A:$AC,2,FALSE))="JBL",(VLOOKUP(Table6[[#This Row],[SKU]],'All Skus'!$A:$AC,6,FALSE)),""))</f>
        <v>0</v>
      </c>
      <c r="F413" s="61">
        <f>(IF((VLOOKUP(Table6[[#This Row],[SKU]],'All Skus'!$A:$AC,2,FALSE))="JBL",(VLOOKUP(Table6[[#This Row],[SKU]],'All Skus'!$A:$AC,7,FALSE)),""))</f>
        <v>0</v>
      </c>
      <c r="G413" t="str">
        <f>(IF((VLOOKUP(Table6[[#This Row],[SKU]],'All Skus'!$A:$AC,2,FALSE))="JBL",(VLOOKUP(Table6[[#This Row],[SKU]],'All Skus'!$A:$AC,8,FALSE)),""))</f>
        <v>U BRACKET FOR AC18</v>
      </c>
      <c r="H413" s="8" t="str">
        <f>(IF((VLOOKUP(Table6[[#This Row],[SKU]],'All Skus'!$A:$AC,2,FALSE))="JBL",(VLOOKUP(Table6[[#This Row],[SKU]],'All Skus'!$A:$AC,9,FALSE)),""))</f>
        <v>U‐Bracket For Models AC18/xx, Blk</v>
      </c>
      <c r="I413" s="101">
        <f>(IF((VLOOKUP(Table6[[#This Row],[SKU]],'All Skus'!$A:$AC,2,FALSE))="JBL",(VLOOKUP(Table6[[#This Row],[SKU]],'All Skus'!$A:$AC,10,FALSE)),""))</f>
        <v>160</v>
      </c>
      <c r="J413" s="101">
        <f>(IF((VLOOKUP(Table6[[#This Row],[SKU]],'All Skus'!$A:$AC,2,FALSE))="JBL",(VLOOKUP(Table6[[#This Row],[SKU]],'All Skus'!$A:$AC,11,FALSE)),""))</f>
        <v>160</v>
      </c>
      <c r="K413" s="102">
        <f>(IF((VLOOKUP(Table6[[#This Row],[SKU]],'All Skus'!$A:$AC,2,FALSE))="JBL",(VLOOKUP(Table6[[#This Row],[SKU]],'All Skus'!$A:$AC,13,FALSE)),""))</f>
        <v>0</v>
      </c>
      <c r="L413" s="102">
        <f>(IF((VLOOKUP(Table6[[#This Row],[SKU]],'All Skus'!$A:$AC,2,FALSE))="JBL",(VLOOKUP(Table6[[#This Row],[SKU]],'All Skus'!$A:$AC,14,FALSE)),""))</f>
        <v>0</v>
      </c>
      <c r="M413" s="143">
        <f>(IF((VLOOKUP(Table6[[#This Row],[SKU]],'All Skus'!$A:$AC,2,FALSE))="JBL",(VLOOKUP(Table6[[#This Row],[SKU]],'All Skus'!$A:$AC,15,FALSE)),""))</f>
        <v>0</v>
      </c>
      <c r="N413" s="137">
        <f>(IF((VLOOKUP(Table6[[#This Row],[SKU]],'All Skus'!$A:$AC,2,FALSE))="JBL",(VLOOKUP(Table6[[#This Row],[SKU]],'All Skus'!$A:$AC,16,FALSE)),""))</f>
        <v>691991012273</v>
      </c>
      <c r="O413" s="61">
        <f>(IF((VLOOKUP(Table6[[#This Row],[SKU]],'All Skus'!$A:$AC,2,FALSE))="JBL",(VLOOKUP(Table6[[#This Row],[SKU]],'All Skus'!$A:$AC,17,FALSE)),""))</f>
        <v>0</v>
      </c>
      <c r="P413" s="136">
        <f>(IF((VLOOKUP(Table6[[#This Row],[SKU]],'All Skus'!$A:$AC,2,FALSE))="JBL",(VLOOKUP(Table6[[#This Row],[SKU]],'All Skus'!$A:$AC,18,FALSE)),""))</f>
        <v>4.0999999999999996</v>
      </c>
      <c r="Q413" s="136">
        <f>(IF((VLOOKUP(Table6[[#This Row],[SKU]],'All Skus'!$A:$AC,2,FALSE))="JBL",(VLOOKUP(Table6[[#This Row],[SKU]],'All Skus'!$A:$AC,19,FALSE)),""))</f>
        <v>10</v>
      </c>
      <c r="R413" s="136">
        <f>(IF((VLOOKUP(Table6[[#This Row],[SKU]],'All Skus'!$A:$AC,2,FALSE))="JBL",(VLOOKUP(Table6[[#This Row],[SKU]],'All Skus'!$A:$AC,20,FALSE)),""))</f>
        <v>20</v>
      </c>
      <c r="S413" s="61">
        <f>(IF((VLOOKUP(Table6[[#This Row],[SKU]],'All Skus'!$A:$AC,2,FALSE))="JBL",(VLOOKUP(Table6[[#This Row],[SKU]],'All Skus'!$A:$AC,21,FALSE)),""))</f>
        <v>4</v>
      </c>
      <c r="T413" s="61" t="str">
        <f>(IF((VLOOKUP(Table6[[#This Row],[SKU]],'All Skus'!$A:$AC,2,FALSE))="JBL",(VLOOKUP(Table6[[#This Row],[SKU]],'All Skus'!$A:$AC,22,FALSE)),""))</f>
        <v>CN</v>
      </c>
      <c r="U413" t="str">
        <f>(IF((VLOOKUP(Table6[[#This Row],[SKU]],'All Skus'!$A:$AC,2,FALSE))="JBL",(VLOOKUP(Table6[[#This Row],[SKU]],'All Skus'!$A:$AC,23,FALSE)),""))</f>
        <v>Non Compliant</v>
      </c>
      <c r="V413" s="284" t="str">
        <f>HYPERLINK((IF((VLOOKUP(Table6[[#This Row],[SKU]],'All Skus'!$A:$AC,2,FALSE))="JBL",(VLOOKUP(Table6[[#This Row],[SKU]],'All Skus'!$A:$AC,24,FALSE)),"")))</f>
        <v/>
      </c>
      <c r="W413" s="151">
        <v>411</v>
      </c>
    </row>
    <row r="414" spans="1:23" ht="15" hidden="1" customHeight="1">
      <c r="A414" s="13" t="s">
        <v>1420</v>
      </c>
      <c r="B414" s="12" t="str">
        <f>(IF((VLOOKUP(Table6[[#This Row],[SKU]],'All Skus'!$A:$AC,2,FALSE))="JBL",(VLOOKUP(Table6[[#This Row],[SKU]],'All Skus'!$A:$AC,3,FALSE)),""))</f>
        <v>AE Series</v>
      </c>
      <c r="C414" s="12" t="str">
        <f>(IF((VLOOKUP(Table6[[#This Row],[SKU]],'All Skus'!$A:$AC,2,FALSE))="JBL",(VLOOKUP(Table6[[#This Row],[SKU]],'All Skus'!$A:$AC,4,FALSE)),""))</f>
        <v>MTU-18-WH</v>
      </c>
      <c r="D414" s="61" t="str">
        <f>(IF((VLOOKUP(Table6[[#This Row],[SKU]],'All Skus'!$A:$AC,2,FALSE))="JBL",(VLOOKUP(Table6[[#This Row],[SKU]],'All Skus'!$A:$AC,5,FALSE)),""))</f>
        <v>JBL018</v>
      </c>
      <c r="E414" s="137">
        <f>(IF((VLOOKUP(Table6[[#This Row],[SKU]],'All Skus'!$A:$AC,2,FALSE))="JBL",(VLOOKUP(Table6[[#This Row],[SKU]],'All Skus'!$A:$AC,6,FALSE)),""))</f>
        <v>0</v>
      </c>
      <c r="F414" s="61">
        <f>(IF((VLOOKUP(Table6[[#This Row],[SKU]],'All Skus'!$A:$AC,2,FALSE))="JBL",(VLOOKUP(Table6[[#This Row],[SKU]],'All Skus'!$A:$AC,7,FALSE)),""))</f>
        <v>0</v>
      </c>
      <c r="G414" t="str">
        <f>(IF((VLOOKUP(Table6[[#This Row],[SKU]],'All Skus'!$A:$AC,2,FALSE))="JBL",(VLOOKUP(Table6[[#This Row],[SKU]],'All Skus'!$A:$AC,8,FALSE)),""))</f>
        <v>U BRACKET FOR AC18</v>
      </c>
      <c r="H414" s="8" t="str">
        <f>(IF((VLOOKUP(Table6[[#This Row],[SKU]],'All Skus'!$A:$AC,2,FALSE))="JBL",(VLOOKUP(Table6[[#This Row],[SKU]],'All Skus'!$A:$AC,9,FALSE)),""))</f>
        <v>U‐Bracket For Models AC18/xx, White</v>
      </c>
      <c r="I414" s="101">
        <f>(IF((VLOOKUP(Table6[[#This Row],[SKU]],'All Skus'!$A:$AC,2,FALSE))="JBL",(VLOOKUP(Table6[[#This Row],[SKU]],'All Skus'!$A:$AC,10,FALSE)),""))</f>
        <v>160</v>
      </c>
      <c r="J414" s="101">
        <f>(IF((VLOOKUP(Table6[[#This Row],[SKU]],'All Skus'!$A:$AC,2,FALSE))="JBL",(VLOOKUP(Table6[[#This Row],[SKU]],'All Skus'!$A:$AC,11,FALSE)),""))</f>
        <v>160</v>
      </c>
      <c r="K414" s="102">
        <f>(IF((VLOOKUP(Table6[[#This Row],[SKU]],'All Skus'!$A:$AC,2,FALSE))="JBL",(VLOOKUP(Table6[[#This Row],[SKU]],'All Skus'!$A:$AC,13,FALSE)),""))</f>
        <v>0</v>
      </c>
      <c r="L414" s="102">
        <f>(IF((VLOOKUP(Table6[[#This Row],[SKU]],'All Skus'!$A:$AC,2,FALSE))="JBL",(VLOOKUP(Table6[[#This Row],[SKU]],'All Skus'!$A:$AC,14,FALSE)),""))</f>
        <v>0</v>
      </c>
      <c r="M414" s="143">
        <f>(IF((VLOOKUP(Table6[[#This Row],[SKU]],'All Skus'!$A:$AC,2,FALSE))="JBL",(VLOOKUP(Table6[[#This Row],[SKU]],'All Skus'!$A:$AC,15,FALSE)),""))</f>
        <v>0</v>
      </c>
      <c r="N414" s="137">
        <f>(IF((VLOOKUP(Table6[[#This Row],[SKU]],'All Skus'!$A:$AC,2,FALSE))="JBL",(VLOOKUP(Table6[[#This Row],[SKU]],'All Skus'!$A:$AC,16,FALSE)),""))</f>
        <v>691991012280</v>
      </c>
      <c r="O414" s="61">
        <f>(IF((VLOOKUP(Table6[[#This Row],[SKU]],'All Skus'!$A:$AC,2,FALSE))="JBL",(VLOOKUP(Table6[[#This Row],[SKU]],'All Skus'!$A:$AC,17,FALSE)),""))</f>
        <v>0</v>
      </c>
      <c r="P414" s="136">
        <f>(IF((VLOOKUP(Table6[[#This Row],[SKU]],'All Skus'!$A:$AC,2,FALSE))="JBL",(VLOOKUP(Table6[[#This Row],[SKU]],'All Skus'!$A:$AC,18,FALSE)),""))</f>
        <v>4.0999999999999996</v>
      </c>
      <c r="Q414" s="136">
        <f>(IF((VLOOKUP(Table6[[#This Row],[SKU]],'All Skus'!$A:$AC,2,FALSE))="JBL",(VLOOKUP(Table6[[#This Row],[SKU]],'All Skus'!$A:$AC,19,FALSE)),""))</f>
        <v>10</v>
      </c>
      <c r="R414" s="136">
        <f>(IF((VLOOKUP(Table6[[#This Row],[SKU]],'All Skus'!$A:$AC,2,FALSE))="JBL",(VLOOKUP(Table6[[#This Row],[SKU]],'All Skus'!$A:$AC,20,FALSE)),""))</f>
        <v>20</v>
      </c>
      <c r="S414" s="61">
        <f>(IF((VLOOKUP(Table6[[#This Row],[SKU]],'All Skus'!$A:$AC,2,FALSE))="JBL",(VLOOKUP(Table6[[#This Row],[SKU]],'All Skus'!$A:$AC,21,FALSE)),""))</f>
        <v>4</v>
      </c>
      <c r="T414" s="61" t="str">
        <f>(IF((VLOOKUP(Table6[[#This Row],[SKU]],'All Skus'!$A:$AC,2,FALSE))="JBL",(VLOOKUP(Table6[[#This Row],[SKU]],'All Skus'!$A:$AC,22,FALSE)),""))</f>
        <v>CN</v>
      </c>
      <c r="U414" t="str">
        <f>(IF((VLOOKUP(Table6[[#This Row],[SKU]],'All Skus'!$A:$AC,2,FALSE))="JBL",(VLOOKUP(Table6[[#This Row],[SKU]],'All Skus'!$A:$AC,23,FALSE)),""))</f>
        <v>Non Compliant</v>
      </c>
      <c r="V414" s="284" t="str">
        <f>HYPERLINK((IF((VLOOKUP(Table6[[#This Row],[SKU]],'All Skus'!$A:$AC,2,FALSE))="JBL",(VLOOKUP(Table6[[#This Row],[SKU]],'All Skus'!$A:$AC,24,FALSE)),"")))</f>
        <v/>
      </c>
      <c r="W414" s="151">
        <v>412</v>
      </c>
    </row>
    <row r="415" spans="1:23" ht="15" hidden="1" customHeight="1">
      <c r="A415" s="13" t="s">
        <v>1421</v>
      </c>
      <c r="B415" s="12" t="str">
        <f>(IF((VLOOKUP(Table6[[#This Row],[SKU]],'All Skus'!$A:$AC,2,FALSE))="JBL",(VLOOKUP(Table6[[#This Row],[SKU]],'All Skus'!$A:$AC,3,FALSE)),""))</f>
        <v>AE Series</v>
      </c>
      <c r="C415" s="12" t="str">
        <f>(IF((VLOOKUP(Table6[[#This Row],[SKU]],'All Skus'!$A:$AC,2,FALSE))="JBL",(VLOOKUP(Table6[[#This Row],[SKU]],'All Skus'!$A:$AC,4,FALSE)),""))</f>
        <v>MTU-25</v>
      </c>
      <c r="D415" s="61" t="str">
        <f>(IF((VLOOKUP(Table6[[#This Row],[SKU]],'All Skus'!$A:$AC,2,FALSE))="JBL",(VLOOKUP(Table6[[#This Row],[SKU]],'All Skus'!$A:$AC,5,FALSE)),""))</f>
        <v>JBL052</v>
      </c>
      <c r="E415" s="137">
        <f>(IF((VLOOKUP(Table6[[#This Row],[SKU]],'All Skus'!$A:$AC,2,FALSE))="JBL",(VLOOKUP(Table6[[#This Row],[SKU]],'All Skus'!$A:$AC,6,FALSE)),""))</f>
        <v>0</v>
      </c>
      <c r="F415" s="61">
        <f>(IF((VLOOKUP(Table6[[#This Row],[SKU]],'All Skus'!$A:$AC,2,FALSE))="JBL",(VLOOKUP(Table6[[#This Row],[SKU]],'All Skus'!$A:$AC,7,FALSE)),""))</f>
        <v>0</v>
      </c>
      <c r="G415" t="str">
        <f>(IF((VLOOKUP(Table6[[#This Row],[SKU]],'All Skus'!$A:$AC,2,FALSE))="JBL",(VLOOKUP(Table6[[#This Row],[SKU]],'All Skus'!$A:$AC,8,FALSE)),""))</f>
        <v>U BRACKET FOR AC25</v>
      </c>
      <c r="H415" s="8" t="str">
        <f>(IF((VLOOKUP(Table6[[#This Row],[SKU]],'All Skus'!$A:$AC,2,FALSE))="JBL",(VLOOKUP(Table6[[#This Row],[SKU]],'All Skus'!$A:$AC,9,FALSE)),""))</f>
        <v>U‐Bracket For Model AC25, Blk</v>
      </c>
      <c r="I415" s="101">
        <f>(IF((VLOOKUP(Table6[[#This Row],[SKU]],'All Skus'!$A:$AC,2,FALSE))="JBL",(VLOOKUP(Table6[[#This Row],[SKU]],'All Skus'!$A:$AC,10,FALSE)),""))</f>
        <v>130</v>
      </c>
      <c r="J415" s="101">
        <f>(IF((VLOOKUP(Table6[[#This Row],[SKU]],'All Skus'!$A:$AC,2,FALSE))="JBL",(VLOOKUP(Table6[[#This Row],[SKU]],'All Skus'!$A:$AC,11,FALSE)),""))</f>
        <v>130</v>
      </c>
      <c r="K415" s="102">
        <f>(IF((VLOOKUP(Table6[[#This Row],[SKU]],'All Skus'!$A:$AC,2,FALSE))="JBL",(VLOOKUP(Table6[[#This Row],[SKU]],'All Skus'!$A:$AC,13,FALSE)),""))</f>
        <v>0</v>
      </c>
      <c r="L415" s="102">
        <f>(IF((VLOOKUP(Table6[[#This Row],[SKU]],'All Skus'!$A:$AC,2,FALSE))="JBL",(VLOOKUP(Table6[[#This Row],[SKU]],'All Skus'!$A:$AC,14,FALSE)),""))</f>
        <v>0</v>
      </c>
      <c r="M415" s="143">
        <f>(IF((VLOOKUP(Table6[[#This Row],[SKU]],'All Skus'!$A:$AC,2,FALSE))="JBL",(VLOOKUP(Table6[[#This Row],[SKU]],'All Skus'!$A:$AC,15,FALSE)),""))</f>
        <v>0</v>
      </c>
      <c r="N415" s="137">
        <f>(IF((VLOOKUP(Table6[[#This Row],[SKU]],'All Skus'!$A:$AC,2,FALSE))="JBL",(VLOOKUP(Table6[[#This Row],[SKU]],'All Skus'!$A:$AC,16,FALSE)),""))</f>
        <v>691991012310</v>
      </c>
      <c r="O415" s="61">
        <f>(IF((VLOOKUP(Table6[[#This Row],[SKU]],'All Skus'!$A:$AC,2,FALSE))="JBL",(VLOOKUP(Table6[[#This Row],[SKU]],'All Skus'!$A:$AC,17,FALSE)),""))</f>
        <v>0</v>
      </c>
      <c r="P415" s="136">
        <f>(IF((VLOOKUP(Table6[[#This Row],[SKU]],'All Skus'!$A:$AC,2,FALSE))="JBL",(VLOOKUP(Table6[[#This Row],[SKU]],'All Skus'!$A:$AC,18,FALSE)),""))</f>
        <v>5</v>
      </c>
      <c r="Q415" s="136">
        <f>(IF((VLOOKUP(Table6[[#This Row],[SKU]],'All Skus'!$A:$AC,2,FALSE))="JBL",(VLOOKUP(Table6[[#This Row],[SKU]],'All Skus'!$A:$AC,19,FALSE)),""))</f>
        <v>16</v>
      </c>
      <c r="R415" s="136">
        <f>(IF((VLOOKUP(Table6[[#This Row],[SKU]],'All Skus'!$A:$AC,2,FALSE))="JBL",(VLOOKUP(Table6[[#This Row],[SKU]],'All Skus'!$A:$AC,20,FALSE)),""))</f>
        <v>10</v>
      </c>
      <c r="S415" s="61">
        <f>(IF((VLOOKUP(Table6[[#This Row],[SKU]],'All Skus'!$A:$AC,2,FALSE))="JBL",(VLOOKUP(Table6[[#This Row],[SKU]],'All Skus'!$A:$AC,21,FALSE)),""))</f>
        <v>4</v>
      </c>
      <c r="T415" s="61" t="str">
        <f>(IF((VLOOKUP(Table6[[#This Row],[SKU]],'All Skus'!$A:$AC,2,FALSE))="JBL",(VLOOKUP(Table6[[#This Row],[SKU]],'All Skus'!$A:$AC,22,FALSE)),""))</f>
        <v>CN</v>
      </c>
      <c r="U415" t="str">
        <f>(IF((VLOOKUP(Table6[[#This Row],[SKU]],'All Skus'!$A:$AC,2,FALSE))="JBL",(VLOOKUP(Table6[[#This Row],[SKU]],'All Skus'!$A:$AC,23,FALSE)),""))</f>
        <v>Non Compliant</v>
      </c>
      <c r="V415" s="284" t="str">
        <f>HYPERLINK((IF((VLOOKUP(Table6[[#This Row],[SKU]],'All Skus'!$A:$AC,2,FALSE))="JBL",(VLOOKUP(Table6[[#This Row],[SKU]],'All Skus'!$A:$AC,24,FALSE)),"")))</f>
        <v/>
      </c>
      <c r="W415" s="151">
        <v>413</v>
      </c>
    </row>
    <row r="416" spans="1:23" ht="15" hidden="1" customHeight="1">
      <c r="A416" s="13" t="s">
        <v>1422</v>
      </c>
      <c r="B416" s="12" t="str">
        <f>(IF((VLOOKUP(Table6[[#This Row],[SKU]],'All Skus'!$A:$AC,2,FALSE))="JBL",(VLOOKUP(Table6[[#This Row],[SKU]],'All Skus'!$A:$AC,3,FALSE)),""))</f>
        <v>AE Series</v>
      </c>
      <c r="C416" s="12" t="str">
        <f>(IF((VLOOKUP(Table6[[#This Row],[SKU]],'All Skus'!$A:$AC,2,FALSE))="JBL",(VLOOKUP(Table6[[#This Row],[SKU]],'All Skus'!$A:$AC,4,FALSE)),""))</f>
        <v>MTU-25-WH</v>
      </c>
      <c r="D416" s="61" t="str">
        <f>(IF((VLOOKUP(Table6[[#This Row],[SKU]],'All Skus'!$A:$AC,2,FALSE))="JBL",(VLOOKUP(Table6[[#This Row],[SKU]],'All Skus'!$A:$AC,5,FALSE)),""))</f>
        <v>JBL052</v>
      </c>
      <c r="E416" s="137">
        <f>(IF((VLOOKUP(Table6[[#This Row],[SKU]],'All Skus'!$A:$AC,2,FALSE))="JBL",(VLOOKUP(Table6[[#This Row],[SKU]],'All Skus'!$A:$AC,6,FALSE)),""))</f>
        <v>0</v>
      </c>
      <c r="F416" s="61">
        <f>(IF((VLOOKUP(Table6[[#This Row],[SKU]],'All Skus'!$A:$AC,2,FALSE))="JBL",(VLOOKUP(Table6[[#This Row],[SKU]],'All Skus'!$A:$AC,7,FALSE)),""))</f>
        <v>0</v>
      </c>
      <c r="G416" t="str">
        <f>(IF((VLOOKUP(Table6[[#This Row],[SKU]],'All Skus'!$A:$AC,2,FALSE))="JBL",(VLOOKUP(Table6[[#This Row],[SKU]],'All Skus'!$A:$AC,8,FALSE)),""))</f>
        <v>U BRACKET FOR AC25</v>
      </c>
      <c r="H416" s="8" t="str">
        <f>(IF((VLOOKUP(Table6[[#This Row],[SKU]],'All Skus'!$A:$AC,2,FALSE))="JBL",(VLOOKUP(Table6[[#This Row],[SKU]],'All Skus'!$A:$AC,9,FALSE)),""))</f>
        <v>U‐Bracket For Model AC25, White</v>
      </c>
      <c r="I416" s="101">
        <f>(IF((VLOOKUP(Table6[[#This Row],[SKU]],'All Skus'!$A:$AC,2,FALSE))="JBL",(VLOOKUP(Table6[[#This Row],[SKU]],'All Skus'!$A:$AC,10,FALSE)),""))</f>
        <v>130</v>
      </c>
      <c r="J416" s="101">
        <f>(IF((VLOOKUP(Table6[[#This Row],[SKU]],'All Skus'!$A:$AC,2,FALSE))="JBL",(VLOOKUP(Table6[[#This Row],[SKU]],'All Skus'!$A:$AC,11,FALSE)),""))</f>
        <v>130</v>
      </c>
      <c r="K416" s="102">
        <f>(IF((VLOOKUP(Table6[[#This Row],[SKU]],'All Skus'!$A:$AC,2,FALSE))="JBL",(VLOOKUP(Table6[[#This Row],[SKU]],'All Skus'!$A:$AC,13,FALSE)),""))</f>
        <v>0</v>
      </c>
      <c r="L416" s="102">
        <f>(IF((VLOOKUP(Table6[[#This Row],[SKU]],'All Skus'!$A:$AC,2,FALSE))="JBL",(VLOOKUP(Table6[[#This Row],[SKU]],'All Skus'!$A:$AC,14,FALSE)),""))</f>
        <v>0</v>
      </c>
      <c r="M416" s="143">
        <f>(IF((VLOOKUP(Table6[[#This Row],[SKU]],'All Skus'!$A:$AC,2,FALSE))="JBL",(VLOOKUP(Table6[[#This Row],[SKU]],'All Skus'!$A:$AC,15,FALSE)),""))</f>
        <v>0</v>
      </c>
      <c r="N416" s="137">
        <f>(IF((VLOOKUP(Table6[[#This Row],[SKU]],'All Skus'!$A:$AC,2,FALSE))="JBL",(VLOOKUP(Table6[[#This Row],[SKU]],'All Skus'!$A:$AC,16,FALSE)),""))</f>
        <v>691991012327</v>
      </c>
      <c r="O416" s="61">
        <f>(IF((VLOOKUP(Table6[[#This Row],[SKU]],'All Skus'!$A:$AC,2,FALSE))="JBL",(VLOOKUP(Table6[[#This Row],[SKU]],'All Skus'!$A:$AC,17,FALSE)),""))</f>
        <v>0</v>
      </c>
      <c r="P416" s="136">
        <f>(IF((VLOOKUP(Table6[[#This Row],[SKU]],'All Skus'!$A:$AC,2,FALSE))="JBL",(VLOOKUP(Table6[[#This Row],[SKU]],'All Skus'!$A:$AC,18,FALSE)),""))</f>
        <v>3</v>
      </c>
      <c r="Q416" s="136">
        <f>(IF((VLOOKUP(Table6[[#This Row],[SKU]],'All Skus'!$A:$AC,2,FALSE))="JBL",(VLOOKUP(Table6[[#This Row],[SKU]],'All Skus'!$A:$AC,19,FALSE)),""))</f>
        <v>10</v>
      </c>
      <c r="R416" s="136">
        <f>(IF((VLOOKUP(Table6[[#This Row],[SKU]],'All Skus'!$A:$AC,2,FALSE))="JBL",(VLOOKUP(Table6[[#This Row],[SKU]],'All Skus'!$A:$AC,20,FALSE)),""))</f>
        <v>16</v>
      </c>
      <c r="S416" s="61">
        <f>(IF((VLOOKUP(Table6[[#This Row],[SKU]],'All Skus'!$A:$AC,2,FALSE))="JBL",(VLOOKUP(Table6[[#This Row],[SKU]],'All Skus'!$A:$AC,21,FALSE)),""))</f>
        <v>4</v>
      </c>
      <c r="T416" s="61" t="str">
        <f>(IF((VLOOKUP(Table6[[#This Row],[SKU]],'All Skus'!$A:$AC,2,FALSE))="JBL",(VLOOKUP(Table6[[#This Row],[SKU]],'All Skus'!$A:$AC,22,FALSE)),""))</f>
        <v>CN</v>
      </c>
      <c r="U416" t="str">
        <f>(IF((VLOOKUP(Table6[[#This Row],[SKU]],'All Skus'!$A:$AC,2,FALSE))="JBL",(VLOOKUP(Table6[[#This Row],[SKU]],'All Skus'!$A:$AC,23,FALSE)),""))</f>
        <v>Non Compliant</v>
      </c>
      <c r="V416" s="284" t="str">
        <f>HYPERLINK((IF((VLOOKUP(Table6[[#This Row],[SKU]],'All Skus'!$A:$AC,2,FALSE))="JBL",(VLOOKUP(Table6[[#This Row],[SKU]],'All Skus'!$A:$AC,24,FALSE)),"")))</f>
        <v/>
      </c>
      <c r="W416" s="151">
        <v>414</v>
      </c>
    </row>
    <row r="417" spans="1:23" ht="15" hidden="1" customHeight="1">
      <c r="A417" s="13" t="s">
        <v>1423</v>
      </c>
      <c r="B417" s="12" t="str">
        <f>(IF((VLOOKUP(Table6[[#This Row],[SKU]],'All Skus'!$A:$AC,2,FALSE))="JBL",(VLOOKUP(Table6[[#This Row],[SKU]],'All Skus'!$A:$AC,3,FALSE)),""))</f>
        <v>AE Series</v>
      </c>
      <c r="C417" s="12" t="str">
        <f>(IF((VLOOKUP(Table6[[#This Row],[SKU]],'All Skus'!$A:$AC,2,FALSE))="JBL",(VLOOKUP(Table6[[#This Row],[SKU]],'All Skus'!$A:$AC,4,FALSE)),""))</f>
        <v>MTU-26</v>
      </c>
      <c r="D417" s="61" t="str">
        <f>(IF((VLOOKUP(Table6[[#This Row],[SKU]],'All Skus'!$A:$AC,2,FALSE))="JBL",(VLOOKUP(Table6[[#This Row],[SKU]],'All Skus'!$A:$AC,5,FALSE)),""))</f>
        <v>JBL052</v>
      </c>
      <c r="E417" s="137">
        <f>(IF((VLOOKUP(Table6[[#This Row],[SKU]],'All Skus'!$A:$AC,2,FALSE))="JBL",(VLOOKUP(Table6[[#This Row],[SKU]],'All Skus'!$A:$AC,6,FALSE)),""))</f>
        <v>0</v>
      </c>
      <c r="F417" s="61">
        <f>(IF((VLOOKUP(Table6[[#This Row],[SKU]],'All Skus'!$A:$AC,2,FALSE))="JBL",(VLOOKUP(Table6[[#This Row],[SKU]],'All Skus'!$A:$AC,7,FALSE)),""))</f>
        <v>0</v>
      </c>
      <c r="G417" t="str">
        <f>(IF((VLOOKUP(Table6[[#This Row],[SKU]],'All Skus'!$A:$AC,2,FALSE))="JBL",(VLOOKUP(Table6[[#This Row],[SKU]],'All Skus'!$A:$AC,8,FALSE)),""))</f>
        <v>U BRACKET FOR AC26</v>
      </c>
      <c r="H417" s="8" t="str">
        <f>(IF((VLOOKUP(Table6[[#This Row],[SKU]],'All Skus'!$A:$AC,2,FALSE))="JBL",(VLOOKUP(Table6[[#This Row],[SKU]],'All Skus'!$A:$AC,9,FALSE)),""))</f>
        <v>U‐Bracket For Model AC26, Blk</v>
      </c>
      <c r="I417" s="101">
        <f>(IF((VLOOKUP(Table6[[#This Row],[SKU]],'All Skus'!$A:$AC,2,FALSE))="JBL",(VLOOKUP(Table6[[#This Row],[SKU]],'All Skus'!$A:$AC,10,FALSE)),""))</f>
        <v>154</v>
      </c>
      <c r="J417" s="101">
        <f>(IF((VLOOKUP(Table6[[#This Row],[SKU]],'All Skus'!$A:$AC,2,FALSE))="JBL",(VLOOKUP(Table6[[#This Row],[SKU]],'All Skus'!$A:$AC,11,FALSE)),""))</f>
        <v>154</v>
      </c>
      <c r="K417" s="102">
        <f>(IF((VLOOKUP(Table6[[#This Row],[SKU]],'All Skus'!$A:$AC,2,FALSE))="JBL",(VLOOKUP(Table6[[#This Row],[SKU]],'All Skus'!$A:$AC,13,FALSE)),""))</f>
        <v>0</v>
      </c>
      <c r="L417" s="102">
        <f>(IF((VLOOKUP(Table6[[#This Row],[SKU]],'All Skus'!$A:$AC,2,FALSE))="JBL",(VLOOKUP(Table6[[#This Row],[SKU]],'All Skus'!$A:$AC,14,FALSE)),""))</f>
        <v>0</v>
      </c>
      <c r="M417" s="143">
        <f>(IF((VLOOKUP(Table6[[#This Row],[SKU]],'All Skus'!$A:$AC,2,FALSE))="JBL",(VLOOKUP(Table6[[#This Row],[SKU]],'All Skus'!$A:$AC,15,FALSE)),""))</f>
        <v>0</v>
      </c>
      <c r="N417" s="137">
        <f>(IF((VLOOKUP(Table6[[#This Row],[SKU]],'All Skus'!$A:$AC,2,FALSE))="JBL",(VLOOKUP(Table6[[#This Row],[SKU]],'All Skus'!$A:$AC,16,FALSE)),""))</f>
        <v>691991012334</v>
      </c>
      <c r="O417" s="61">
        <f>(IF((VLOOKUP(Table6[[#This Row],[SKU]],'All Skus'!$A:$AC,2,FALSE))="JBL",(VLOOKUP(Table6[[#This Row],[SKU]],'All Skus'!$A:$AC,17,FALSE)),""))</f>
        <v>0</v>
      </c>
      <c r="P417" s="136">
        <f>(IF((VLOOKUP(Table6[[#This Row],[SKU]],'All Skus'!$A:$AC,2,FALSE))="JBL",(VLOOKUP(Table6[[#This Row],[SKU]],'All Skus'!$A:$AC,18,FALSE)),""))</f>
        <v>4.5</v>
      </c>
      <c r="Q417" s="136">
        <f>(IF((VLOOKUP(Table6[[#This Row],[SKU]],'All Skus'!$A:$AC,2,FALSE))="JBL",(VLOOKUP(Table6[[#This Row],[SKU]],'All Skus'!$A:$AC,19,FALSE)),""))</f>
        <v>10</v>
      </c>
      <c r="R417" s="136">
        <f>(IF((VLOOKUP(Table6[[#This Row],[SKU]],'All Skus'!$A:$AC,2,FALSE))="JBL",(VLOOKUP(Table6[[#This Row],[SKU]],'All Skus'!$A:$AC,20,FALSE)),""))</f>
        <v>24</v>
      </c>
      <c r="S417" s="61">
        <f>(IF((VLOOKUP(Table6[[#This Row],[SKU]],'All Skus'!$A:$AC,2,FALSE))="JBL",(VLOOKUP(Table6[[#This Row],[SKU]],'All Skus'!$A:$AC,21,FALSE)),""))</f>
        <v>24</v>
      </c>
      <c r="T417" s="61" t="str">
        <f>(IF((VLOOKUP(Table6[[#This Row],[SKU]],'All Skus'!$A:$AC,2,FALSE))="JBL",(VLOOKUP(Table6[[#This Row],[SKU]],'All Skus'!$A:$AC,22,FALSE)),""))</f>
        <v>CN</v>
      </c>
      <c r="U417" t="str">
        <f>(IF((VLOOKUP(Table6[[#This Row],[SKU]],'All Skus'!$A:$AC,2,FALSE))="JBL",(VLOOKUP(Table6[[#This Row],[SKU]],'All Skus'!$A:$AC,23,FALSE)),""))</f>
        <v>Non Compliant</v>
      </c>
      <c r="V417" s="284" t="str">
        <f>HYPERLINK((IF((VLOOKUP(Table6[[#This Row],[SKU]],'All Skus'!$A:$AC,2,FALSE))="JBL",(VLOOKUP(Table6[[#This Row],[SKU]],'All Skus'!$A:$AC,24,FALSE)),"")))</f>
        <v/>
      </c>
      <c r="W417" s="151">
        <v>415</v>
      </c>
    </row>
    <row r="418" spans="1:23" ht="15" hidden="1" customHeight="1">
      <c r="A418" s="13" t="s">
        <v>1424</v>
      </c>
      <c r="B418" s="12" t="str">
        <f>(IF((VLOOKUP(Table6[[#This Row],[SKU]],'All Skus'!$A:$AC,2,FALSE))="JBL",(VLOOKUP(Table6[[#This Row],[SKU]],'All Skus'!$A:$AC,3,FALSE)),""))</f>
        <v>AE Series</v>
      </c>
      <c r="C418" s="12" t="str">
        <f>(IF((VLOOKUP(Table6[[#This Row],[SKU]],'All Skus'!$A:$AC,2,FALSE))="JBL",(VLOOKUP(Table6[[#This Row],[SKU]],'All Skus'!$A:$AC,4,FALSE)),""))</f>
        <v>MTU-26-WH</v>
      </c>
      <c r="D418" s="61" t="str">
        <f>(IF((VLOOKUP(Table6[[#This Row],[SKU]],'All Skus'!$A:$AC,2,FALSE))="JBL",(VLOOKUP(Table6[[#This Row],[SKU]],'All Skus'!$A:$AC,5,FALSE)),""))</f>
        <v>JBL052</v>
      </c>
      <c r="E418" s="137">
        <f>(IF((VLOOKUP(Table6[[#This Row],[SKU]],'All Skus'!$A:$AC,2,FALSE))="JBL",(VLOOKUP(Table6[[#This Row],[SKU]],'All Skus'!$A:$AC,6,FALSE)),""))</f>
        <v>0</v>
      </c>
      <c r="F418" s="61">
        <f>(IF((VLOOKUP(Table6[[#This Row],[SKU]],'All Skus'!$A:$AC,2,FALSE))="JBL",(VLOOKUP(Table6[[#This Row],[SKU]],'All Skus'!$A:$AC,7,FALSE)),""))</f>
        <v>0</v>
      </c>
      <c r="G418" t="str">
        <f>(IF((VLOOKUP(Table6[[#This Row],[SKU]],'All Skus'!$A:$AC,2,FALSE))="JBL",(VLOOKUP(Table6[[#This Row],[SKU]],'All Skus'!$A:$AC,8,FALSE)),""))</f>
        <v>U BRACKET FOR AC26</v>
      </c>
      <c r="H418" s="8" t="str">
        <f>(IF((VLOOKUP(Table6[[#This Row],[SKU]],'All Skus'!$A:$AC,2,FALSE))="JBL",(VLOOKUP(Table6[[#This Row],[SKU]],'All Skus'!$A:$AC,9,FALSE)),""))</f>
        <v>U‐Bracket For Model AC26, White</v>
      </c>
      <c r="I418" s="101">
        <f>(IF((VLOOKUP(Table6[[#This Row],[SKU]],'All Skus'!$A:$AC,2,FALSE))="JBL",(VLOOKUP(Table6[[#This Row],[SKU]],'All Skus'!$A:$AC,10,FALSE)),""))</f>
        <v>154</v>
      </c>
      <c r="J418" s="101">
        <f>(IF((VLOOKUP(Table6[[#This Row],[SKU]],'All Skus'!$A:$AC,2,FALSE))="JBL",(VLOOKUP(Table6[[#This Row],[SKU]],'All Skus'!$A:$AC,11,FALSE)),""))</f>
        <v>154</v>
      </c>
      <c r="K418" s="102">
        <f>(IF((VLOOKUP(Table6[[#This Row],[SKU]],'All Skus'!$A:$AC,2,FALSE))="JBL",(VLOOKUP(Table6[[#This Row],[SKU]],'All Skus'!$A:$AC,13,FALSE)),""))</f>
        <v>0</v>
      </c>
      <c r="L418" s="102">
        <f>(IF((VLOOKUP(Table6[[#This Row],[SKU]],'All Skus'!$A:$AC,2,FALSE))="JBL",(VLOOKUP(Table6[[#This Row],[SKU]],'All Skus'!$A:$AC,14,FALSE)),""))</f>
        <v>0</v>
      </c>
      <c r="M418" s="143">
        <f>(IF((VLOOKUP(Table6[[#This Row],[SKU]],'All Skus'!$A:$AC,2,FALSE))="JBL",(VLOOKUP(Table6[[#This Row],[SKU]],'All Skus'!$A:$AC,15,FALSE)),""))</f>
        <v>0</v>
      </c>
      <c r="N418" s="137">
        <f>(IF((VLOOKUP(Table6[[#This Row],[SKU]],'All Skus'!$A:$AC,2,FALSE))="JBL",(VLOOKUP(Table6[[#This Row],[SKU]],'All Skus'!$A:$AC,16,FALSE)),""))</f>
        <v>691991012341</v>
      </c>
      <c r="O418" s="61">
        <f>(IF((VLOOKUP(Table6[[#This Row],[SKU]],'All Skus'!$A:$AC,2,FALSE))="JBL",(VLOOKUP(Table6[[#This Row],[SKU]],'All Skus'!$A:$AC,17,FALSE)),""))</f>
        <v>0</v>
      </c>
      <c r="P418" s="136">
        <f>(IF((VLOOKUP(Table6[[#This Row],[SKU]],'All Skus'!$A:$AC,2,FALSE))="JBL",(VLOOKUP(Table6[[#This Row],[SKU]],'All Skus'!$A:$AC,18,FALSE)),""))</f>
        <v>4.55</v>
      </c>
      <c r="Q418" s="136">
        <f>(IF((VLOOKUP(Table6[[#This Row],[SKU]],'All Skus'!$A:$AC,2,FALSE))="JBL",(VLOOKUP(Table6[[#This Row],[SKU]],'All Skus'!$A:$AC,19,FALSE)),""))</f>
        <v>24</v>
      </c>
      <c r="R418" s="136">
        <f>(IF((VLOOKUP(Table6[[#This Row],[SKU]],'All Skus'!$A:$AC,2,FALSE))="JBL",(VLOOKUP(Table6[[#This Row],[SKU]],'All Skus'!$A:$AC,20,FALSE)),""))</f>
        <v>11</v>
      </c>
      <c r="S418" s="61">
        <f>(IF((VLOOKUP(Table6[[#This Row],[SKU]],'All Skus'!$A:$AC,2,FALSE))="JBL",(VLOOKUP(Table6[[#This Row],[SKU]],'All Skus'!$A:$AC,21,FALSE)),""))</f>
        <v>5</v>
      </c>
      <c r="T418" s="61" t="str">
        <f>(IF((VLOOKUP(Table6[[#This Row],[SKU]],'All Skus'!$A:$AC,2,FALSE))="JBL",(VLOOKUP(Table6[[#This Row],[SKU]],'All Skus'!$A:$AC,22,FALSE)),""))</f>
        <v>CN</v>
      </c>
      <c r="U418" t="str">
        <f>(IF((VLOOKUP(Table6[[#This Row],[SKU]],'All Skus'!$A:$AC,2,FALSE))="JBL",(VLOOKUP(Table6[[#This Row],[SKU]],'All Skus'!$A:$AC,23,FALSE)),""))</f>
        <v>Non Compliant</v>
      </c>
      <c r="V418" s="284" t="str">
        <f>HYPERLINK((IF((VLOOKUP(Table6[[#This Row],[SKU]],'All Skus'!$A:$AC,2,FALSE))="JBL",(VLOOKUP(Table6[[#This Row],[SKU]],'All Skus'!$A:$AC,24,FALSE)),"")))</f>
        <v/>
      </c>
      <c r="W418" s="151">
        <v>416</v>
      </c>
    </row>
    <row r="419" spans="1:23" ht="15" hidden="1" customHeight="1">
      <c r="A419" s="13" t="s">
        <v>1425</v>
      </c>
      <c r="B419" s="12" t="str">
        <f>(IF((VLOOKUP(Table6[[#This Row],[SKU]],'All Skus'!$A:$AC,2,FALSE))="JBL",(VLOOKUP(Table6[[#This Row],[SKU]],'All Skus'!$A:$AC,3,FALSE)),""))</f>
        <v>AE Series</v>
      </c>
      <c r="C419" s="12" t="str">
        <f>(IF((VLOOKUP(Table6[[#This Row],[SKU]],'All Skus'!$A:$AC,2,FALSE))="JBL",(VLOOKUP(Table6[[#This Row],[SKU]],'All Skus'!$A:$AC,4,FALSE)),""))</f>
        <v>MTU-28</v>
      </c>
      <c r="D419" s="61" t="str">
        <f>(IF((VLOOKUP(Table6[[#This Row],[SKU]],'All Skus'!$A:$AC,2,FALSE))="JBL",(VLOOKUP(Table6[[#This Row],[SKU]],'All Skus'!$A:$AC,5,FALSE)),""))</f>
        <v>JBL052</v>
      </c>
      <c r="E419" s="137">
        <f>(IF((VLOOKUP(Table6[[#This Row],[SKU]],'All Skus'!$A:$AC,2,FALSE))="JBL",(VLOOKUP(Table6[[#This Row],[SKU]],'All Skus'!$A:$AC,6,FALSE)),""))</f>
        <v>0</v>
      </c>
      <c r="F419" s="61">
        <f>(IF((VLOOKUP(Table6[[#This Row],[SKU]],'All Skus'!$A:$AC,2,FALSE))="JBL",(VLOOKUP(Table6[[#This Row],[SKU]],'All Skus'!$A:$AC,7,FALSE)),""))</f>
        <v>0</v>
      </c>
      <c r="G419" t="str">
        <f>(IF((VLOOKUP(Table6[[#This Row],[SKU]],'All Skus'!$A:$AC,2,FALSE))="JBL",(VLOOKUP(Table6[[#This Row],[SKU]],'All Skus'!$A:$AC,8,FALSE)),""))</f>
        <v>U BRACKET FOR AC28</v>
      </c>
      <c r="H419" s="8" t="str">
        <f>(IF((VLOOKUP(Table6[[#This Row],[SKU]],'All Skus'!$A:$AC,2,FALSE))="JBL",(VLOOKUP(Table6[[#This Row],[SKU]],'All Skus'!$A:$AC,9,FALSE)),""))</f>
        <v>U‐Bracket For Models AC28/xx, Blk</v>
      </c>
      <c r="I419" s="101">
        <f>(IF((VLOOKUP(Table6[[#This Row],[SKU]],'All Skus'!$A:$AC,2,FALSE))="JBL",(VLOOKUP(Table6[[#This Row],[SKU]],'All Skus'!$A:$AC,10,FALSE)),""))</f>
        <v>200</v>
      </c>
      <c r="J419" s="101">
        <f>(IF((VLOOKUP(Table6[[#This Row],[SKU]],'All Skus'!$A:$AC,2,FALSE))="JBL",(VLOOKUP(Table6[[#This Row],[SKU]],'All Skus'!$A:$AC,11,FALSE)),""))</f>
        <v>200</v>
      </c>
      <c r="K419" s="102">
        <f>(IF((VLOOKUP(Table6[[#This Row],[SKU]],'All Skus'!$A:$AC,2,FALSE))="JBL",(VLOOKUP(Table6[[#This Row],[SKU]],'All Skus'!$A:$AC,13,FALSE)),""))</f>
        <v>0</v>
      </c>
      <c r="L419" s="102">
        <f>(IF((VLOOKUP(Table6[[#This Row],[SKU]],'All Skus'!$A:$AC,2,FALSE))="JBL",(VLOOKUP(Table6[[#This Row],[SKU]],'All Skus'!$A:$AC,14,FALSE)),""))</f>
        <v>0</v>
      </c>
      <c r="M419" s="143">
        <f>(IF((VLOOKUP(Table6[[#This Row],[SKU]],'All Skus'!$A:$AC,2,FALSE))="JBL",(VLOOKUP(Table6[[#This Row],[SKU]],'All Skus'!$A:$AC,15,FALSE)),""))</f>
        <v>0</v>
      </c>
      <c r="N419" s="137">
        <f>(IF((VLOOKUP(Table6[[#This Row],[SKU]],'All Skus'!$A:$AC,2,FALSE))="JBL",(VLOOKUP(Table6[[#This Row],[SKU]],'All Skus'!$A:$AC,16,FALSE)),""))</f>
        <v>691991012358</v>
      </c>
      <c r="O419" s="61">
        <f>(IF((VLOOKUP(Table6[[#This Row],[SKU]],'All Skus'!$A:$AC,2,FALSE))="JBL",(VLOOKUP(Table6[[#This Row],[SKU]],'All Skus'!$A:$AC,17,FALSE)),""))</f>
        <v>0</v>
      </c>
      <c r="P419" s="136">
        <f>(IF((VLOOKUP(Table6[[#This Row],[SKU]],'All Skus'!$A:$AC,2,FALSE))="JBL",(VLOOKUP(Table6[[#This Row],[SKU]],'All Skus'!$A:$AC,18,FALSE)),""))</f>
        <v>5.35</v>
      </c>
      <c r="Q419" s="136">
        <f>(IF((VLOOKUP(Table6[[#This Row],[SKU]],'All Skus'!$A:$AC,2,FALSE))="JBL",(VLOOKUP(Table6[[#This Row],[SKU]],'All Skus'!$A:$AC,19,FALSE)),""))</f>
        <v>10</v>
      </c>
      <c r="R419" s="136">
        <f>(IF((VLOOKUP(Table6[[#This Row],[SKU]],'All Skus'!$A:$AC,2,FALSE))="JBL",(VLOOKUP(Table6[[#This Row],[SKU]],'All Skus'!$A:$AC,20,FALSE)),""))</f>
        <v>30</v>
      </c>
      <c r="S419" s="61">
        <f>(IF((VLOOKUP(Table6[[#This Row],[SKU]],'All Skus'!$A:$AC,2,FALSE))="JBL",(VLOOKUP(Table6[[#This Row],[SKU]],'All Skus'!$A:$AC,21,FALSE)),""))</f>
        <v>4</v>
      </c>
      <c r="T419" s="61" t="str">
        <f>(IF((VLOOKUP(Table6[[#This Row],[SKU]],'All Skus'!$A:$AC,2,FALSE))="JBL",(VLOOKUP(Table6[[#This Row],[SKU]],'All Skus'!$A:$AC,22,FALSE)),""))</f>
        <v>CN</v>
      </c>
      <c r="U419" t="str">
        <f>(IF((VLOOKUP(Table6[[#This Row],[SKU]],'All Skus'!$A:$AC,2,FALSE))="JBL",(VLOOKUP(Table6[[#This Row],[SKU]],'All Skus'!$A:$AC,23,FALSE)),""))</f>
        <v>Non Compliant</v>
      </c>
      <c r="V419" s="284" t="str">
        <f>HYPERLINK((IF((VLOOKUP(Table6[[#This Row],[SKU]],'All Skus'!$A:$AC,2,FALSE))="JBL",(VLOOKUP(Table6[[#This Row],[SKU]],'All Skus'!$A:$AC,24,FALSE)),"")))</f>
        <v/>
      </c>
      <c r="W419" s="151">
        <v>417</v>
      </c>
    </row>
    <row r="420" spans="1:23" ht="15" hidden="1" customHeight="1">
      <c r="A420" s="13" t="s">
        <v>1426</v>
      </c>
      <c r="B420" s="12" t="str">
        <f>(IF((VLOOKUP(Table6[[#This Row],[SKU]],'All Skus'!$A:$AC,2,FALSE))="JBL",(VLOOKUP(Table6[[#This Row],[SKU]],'All Skus'!$A:$AC,3,FALSE)),""))</f>
        <v>AE Series</v>
      </c>
      <c r="C420" s="12" t="str">
        <f>(IF((VLOOKUP(Table6[[#This Row],[SKU]],'All Skus'!$A:$AC,2,FALSE))="JBL",(VLOOKUP(Table6[[#This Row],[SKU]],'All Skus'!$A:$AC,4,FALSE)),""))</f>
        <v>MTU-28-WH</v>
      </c>
      <c r="D420" s="61" t="str">
        <f>(IF((VLOOKUP(Table6[[#This Row],[SKU]],'All Skus'!$A:$AC,2,FALSE))="JBL",(VLOOKUP(Table6[[#This Row],[SKU]],'All Skus'!$A:$AC,5,FALSE)),""))</f>
        <v>JBL052</v>
      </c>
      <c r="E420" s="137">
        <f>(IF((VLOOKUP(Table6[[#This Row],[SKU]],'All Skus'!$A:$AC,2,FALSE))="JBL",(VLOOKUP(Table6[[#This Row],[SKU]],'All Skus'!$A:$AC,6,FALSE)),""))</f>
        <v>0</v>
      </c>
      <c r="F420" s="61">
        <f>(IF((VLOOKUP(Table6[[#This Row],[SKU]],'All Skus'!$A:$AC,2,FALSE))="JBL",(VLOOKUP(Table6[[#This Row],[SKU]],'All Skus'!$A:$AC,7,FALSE)),""))</f>
        <v>0</v>
      </c>
      <c r="G420" t="str">
        <f>(IF((VLOOKUP(Table6[[#This Row],[SKU]],'All Skus'!$A:$AC,2,FALSE))="JBL",(VLOOKUP(Table6[[#This Row],[SKU]],'All Skus'!$A:$AC,8,FALSE)),""))</f>
        <v>U BRACKET FOR AC28</v>
      </c>
      <c r="H420" s="8" t="str">
        <f>(IF((VLOOKUP(Table6[[#This Row],[SKU]],'All Skus'!$A:$AC,2,FALSE))="JBL",(VLOOKUP(Table6[[#This Row],[SKU]],'All Skus'!$A:$AC,9,FALSE)),""))</f>
        <v>U‐Bracket For Models AC28/xx, White</v>
      </c>
      <c r="I420" s="101">
        <f>(IF((VLOOKUP(Table6[[#This Row],[SKU]],'All Skus'!$A:$AC,2,FALSE))="JBL",(VLOOKUP(Table6[[#This Row],[SKU]],'All Skus'!$A:$AC,10,FALSE)),""))</f>
        <v>200</v>
      </c>
      <c r="J420" s="101">
        <f>(IF((VLOOKUP(Table6[[#This Row],[SKU]],'All Skus'!$A:$AC,2,FALSE))="JBL",(VLOOKUP(Table6[[#This Row],[SKU]],'All Skus'!$A:$AC,11,FALSE)),""))</f>
        <v>200</v>
      </c>
      <c r="K420" s="102">
        <f>(IF((VLOOKUP(Table6[[#This Row],[SKU]],'All Skus'!$A:$AC,2,FALSE))="JBL",(VLOOKUP(Table6[[#This Row],[SKU]],'All Skus'!$A:$AC,13,FALSE)),""))</f>
        <v>0</v>
      </c>
      <c r="L420" s="102">
        <f>(IF((VLOOKUP(Table6[[#This Row],[SKU]],'All Skus'!$A:$AC,2,FALSE))="JBL",(VLOOKUP(Table6[[#This Row],[SKU]],'All Skus'!$A:$AC,14,FALSE)),""))</f>
        <v>0</v>
      </c>
      <c r="M420" s="143">
        <f>(IF((VLOOKUP(Table6[[#This Row],[SKU]],'All Skus'!$A:$AC,2,FALSE))="JBL",(VLOOKUP(Table6[[#This Row],[SKU]],'All Skus'!$A:$AC,15,FALSE)),""))</f>
        <v>0</v>
      </c>
      <c r="N420" s="137">
        <f>(IF((VLOOKUP(Table6[[#This Row],[SKU]],'All Skus'!$A:$AC,2,FALSE))="JBL",(VLOOKUP(Table6[[#This Row],[SKU]],'All Skus'!$A:$AC,16,FALSE)),""))</f>
        <v>691991012365</v>
      </c>
      <c r="O420" s="61">
        <f>(IF((VLOOKUP(Table6[[#This Row],[SKU]],'All Skus'!$A:$AC,2,FALSE))="JBL",(VLOOKUP(Table6[[#This Row],[SKU]],'All Skus'!$A:$AC,17,FALSE)),""))</f>
        <v>0</v>
      </c>
      <c r="P420" s="136">
        <f>(IF((VLOOKUP(Table6[[#This Row],[SKU]],'All Skus'!$A:$AC,2,FALSE))="JBL",(VLOOKUP(Table6[[#This Row],[SKU]],'All Skus'!$A:$AC,18,FALSE)),""))</f>
        <v>7</v>
      </c>
      <c r="Q420" s="136">
        <f>(IF((VLOOKUP(Table6[[#This Row],[SKU]],'All Skus'!$A:$AC,2,FALSE))="JBL",(VLOOKUP(Table6[[#This Row],[SKU]],'All Skus'!$A:$AC,19,FALSE)),""))</f>
        <v>10</v>
      </c>
      <c r="R420" s="136">
        <f>(IF((VLOOKUP(Table6[[#This Row],[SKU]],'All Skus'!$A:$AC,2,FALSE))="JBL",(VLOOKUP(Table6[[#This Row],[SKU]],'All Skus'!$A:$AC,20,FALSE)),""))</f>
        <v>30</v>
      </c>
      <c r="S420" s="61">
        <f>(IF((VLOOKUP(Table6[[#This Row],[SKU]],'All Skus'!$A:$AC,2,FALSE))="JBL",(VLOOKUP(Table6[[#This Row],[SKU]],'All Skus'!$A:$AC,21,FALSE)),""))</f>
        <v>4</v>
      </c>
      <c r="T420" s="61" t="str">
        <f>(IF((VLOOKUP(Table6[[#This Row],[SKU]],'All Skus'!$A:$AC,2,FALSE))="JBL",(VLOOKUP(Table6[[#This Row],[SKU]],'All Skus'!$A:$AC,22,FALSE)),""))</f>
        <v>CN</v>
      </c>
      <c r="U420" t="str">
        <f>(IF((VLOOKUP(Table6[[#This Row],[SKU]],'All Skus'!$A:$AC,2,FALSE))="JBL",(VLOOKUP(Table6[[#This Row],[SKU]],'All Skus'!$A:$AC,23,FALSE)),""))</f>
        <v>Non Compliant</v>
      </c>
      <c r="V420" s="284" t="str">
        <f>HYPERLINK((IF((VLOOKUP(Table6[[#This Row],[SKU]],'All Skus'!$A:$AC,2,FALSE))="JBL",(VLOOKUP(Table6[[#This Row],[SKU]],'All Skus'!$A:$AC,24,FALSE)),"")))</f>
        <v/>
      </c>
      <c r="W420" s="151">
        <v>418</v>
      </c>
    </row>
    <row r="421" spans="1:23" ht="15" hidden="1" customHeight="1">
      <c r="A421" s="13" t="s">
        <v>1427</v>
      </c>
      <c r="B421" s="12" t="str">
        <f>(IF((VLOOKUP(Table6[[#This Row],[SKU]],'All Skus'!$A:$AC,2,FALSE))="JBL",(VLOOKUP(Table6[[#This Row],[SKU]],'All Skus'!$A:$AC,3,FALSE)),""))</f>
        <v>AE Series</v>
      </c>
      <c r="C421" s="12" t="str">
        <f>(IF((VLOOKUP(Table6[[#This Row],[SKU]],'All Skus'!$A:$AC,2,FALSE))="JBL",(VLOOKUP(Table6[[#This Row],[SKU]],'All Skus'!$A:$AC,4,FALSE)),""))</f>
        <v>MTU-195</v>
      </c>
      <c r="D421" s="61" t="str">
        <f>(IF((VLOOKUP(Table6[[#This Row],[SKU]],'All Skus'!$A:$AC,2,FALSE))="JBL",(VLOOKUP(Table6[[#This Row],[SKU]],'All Skus'!$A:$AC,5,FALSE)),""))</f>
        <v>JBL052</v>
      </c>
      <c r="E421" s="137">
        <f>(IF((VLOOKUP(Table6[[#This Row],[SKU]],'All Skus'!$A:$AC,2,FALSE))="JBL",(VLOOKUP(Table6[[#This Row],[SKU]],'All Skus'!$A:$AC,6,FALSE)),""))</f>
        <v>0</v>
      </c>
      <c r="F421" s="61">
        <f>(IF((VLOOKUP(Table6[[#This Row],[SKU]],'All Skus'!$A:$AC,2,FALSE))="JBL",(VLOOKUP(Table6[[#This Row],[SKU]],'All Skus'!$A:$AC,7,FALSE)),""))</f>
        <v>0</v>
      </c>
      <c r="G421" t="str">
        <f>(IF((VLOOKUP(Table6[[#This Row],[SKU]],'All Skus'!$A:$AC,2,FALSE))="JBL",(VLOOKUP(Table6[[#This Row],[SKU]],'All Skus'!$A:$AC,8,FALSE)),""))</f>
        <v>U BRACKET FOR AC195</v>
      </c>
      <c r="H421" s="8" t="str">
        <f>(IF((VLOOKUP(Table6[[#This Row],[SKU]],'All Skus'!$A:$AC,2,FALSE))="JBL",(VLOOKUP(Table6[[#This Row],[SKU]],'All Skus'!$A:$AC,9,FALSE)),""))</f>
        <v>U Bracket for AC195, Blk</v>
      </c>
      <c r="I421" s="101">
        <f>(IF((VLOOKUP(Table6[[#This Row],[SKU]],'All Skus'!$A:$AC,2,FALSE))="JBL",(VLOOKUP(Table6[[#This Row],[SKU]],'All Skus'!$A:$AC,10,FALSE)),""))</f>
        <v>150</v>
      </c>
      <c r="J421" s="101">
        <f>(IF((VLOOKUP(Table6[[#This Row],[SKU]],'All Skus'!$A:$AC,2,FALSE))="JBL",(VLOOKUP(Table6[[#This Row],[SKU]],'All Skus'!$A:$AC,11,FALSE)),""))</f>
        <v>150</v>
      </c>
      <c r="K421" s="102">
        <f>(IF((VLOOKUP(Table6[[#This Row],[SKU]],'All Skus'!$A:$AC,2,FALSE))="JBL",(VLOOKUP(Table6[[#This Row],[SKU]],'All Skus'!$A:$AC,13,FALSE)),""))</f>
        <v>0</v>
      </c>
      <c r="L421" s="102">
        <f>(IF((VLOOKUP(Table6[[#This Row],[SKU]],'All Skus'!$A:$AC,2,FALSE))="JBL",(VLOOKUP(Table6[[#This Row],[SKU]],'All Skus'!$A:$AC,14,FALSE)),""))</f>
        <v>0</v>
      </c>
      <c r="M421" s="143">
        <f>(IF((VLOOKUP(Table6[[#This Row],[SKU]],'All Skus'!$A:$AC,2,FALSE))="JBL",(VLOOKUP(Table6[[#This Row],[SKU]],'All Skus'!$A:$AC,15,FALSE)),""))</f>
        <v>0</v>
      </c>
      <c r="N421" s="137">
        <f>(IF((VLOOKUP(Table6[[#This Row],[SKU]],'All Skus'!$A:$AC,2,FALSE))="JBL",(VLOOKUP(Table6[[#This Row],[SKU]],'All Skus'!$A:$AC,16,FALSE)),""))</f>
        <v>691991002274</v>
      </c>
      <c r="O421" s="61">
        <f>(IF((VLOOKUP(Table6[[#This Row],[SKU]],'All Skus'!$A:$AC,2,FALSE))="JBL",(VLOOKUP(Table6[[#This Row],[SKU]],'All Skus'!$A:$AC,17,FALSE)),""))</f>
        <v>0</v>
      </c>
      <c r="P421" s="136">
        <f>(IF((VLOOKUP(Table6[[#This Row],[SKU]],'All Skus'!$A:$AC,2,FALSE))="JBL",(VLOOKUP(Table6[[#This Row],[SKU]],'All Skus'!$A:$AC,18,FALSE)),""))</f>
        <v>15</v>
      </c>
      <c r="Q421" s="136">
        <f>(IF((VLOOKUP(Table6[[#This Row],[SKU]],'All Skus'!$A:$AC,2,FALSE))="JBL",(VLOOKUP(Table6[[#This Row],[SKU]],'All Skus'!$A:$AC,19,FALSE)),""))</f>
        <v>23</v>
      </c>
      <c r="R421" s="136">
        <f>(IF((VLOOKUP(Table6[[#This Row],[SKU]],'All Skus'!$A:$AC,2,FALSE))="JBL",(VLOOKUP(Table6[[#This Row],[SKU]],'All Skus'!$A:$AC,20,FALSE)),""))</f>
        <v>13</v>
      </c>
      <c r="S421" s="61">
        <f>(IF((VLOOKUP(Table6[[#This Row],[SKU]],'All Skus'!$A:$AC,2,FALSE))="JBL",(VLOOKUP(Table6[[#This Row],[SKU]],'All Skus'!$A:$AC,21,FALSE)),""))</f>
        <v>4</v>
      </c>
      <c r="T421" s="61" t="str">
        <f>(IF((VLOOKUP(Table6[[#This Row],[SKU]],'All Skus'!$A:$AC,2,FALSE))="JBL",(VLOOKUP(Table6[[#This Row],[SKU]],'All Skus'!$A:$AC,22,FALSE)),""))</f>
        <v>CN</v>
      </c>
      <c r="U421" t="str">
        <f>(IF((VLOOKUP(Table6[[#This Row],[SKU]],'All Skus'!$A:$AC,2,FALSE))="JBL",(VLOOKUP(Table6[[#This Row],[SKU]],'All Skus'!$A:$AC,23,FALSE)),""))</f>
        <v>Non Compliant</v>
      </c>
      <c r="V421" s="284" t="str">
        <f>HYPERLINK((IF((VLOOKUP(Table6[[#This Row],[SKU]],'All Skus'!$A:$AC,2,FALSE))="JBL",(VLOOKUP(Table6[[#This Row],[SKU]],'All Skus'!$A:$AC,24,FALSE)),"")))</f>
        <v/>
      </c>
      <c r="W421" s="151">
        <v>419</v>
      </c>
    </row>
    <row r="422" spans="1:23" ht="15" hidden="1" customHeight="1">
      <c r="A422" s="13" t="s">
        <v>1428</v>
      </c>
      <c r="B422" s="12" t="str">
        <f>(IF((VLOOKUP(Table6[[#This Row],[SKU]],'All Skus'!$A:$AC,2,FALSE))="JBL",(VLOOKUP(Table6[[#This Row],[SKU]],'All Skus'!$A:$AC,3,FALSE)),""))</f>
        <v>AE Series</v>
      </c>
      <c r="C422" s="12" t="str">
        <f>(IF((VLOOKUP(Table6[[#This Row],[SKU]],'All Skus'!$A:$AC,2,FALSE))="JBL",(VLOOKUP(Table6[[#This Row],[SKU]],'All Skus'!$A:$AC,4,FALSE)),""))</f>
        <v>MTU-195-WH</v>
      </c>
      <c r="D422" s="61" t="str">
        <f>(IF((VLOOKUP(Table6[[#This Row],[SKU]],'All Skus'!$A:$AC,2,FALSE))="JBL",(VLOOKUP(Table6[[#This Row],[SKU]],'All Skus'!$A:$AC,5,FALSE)),""))</f>
        <v>JBL052</v>
      </c>
      <c r="E422" s="137">
        <f>(IF((VLOOKUP(Table6[[#This Row],[SKU]],'All Skus'!$A:$AC,2,FALSE))="JBL",(VLOOKUP(Table6[[#This Row],[SKU]],'All Skus'!$A:$AC,6,FALSE)),""))</f>
        <v>0</v>
      </c>
      <c r="F422" s="61">
        <f>(IF((VLOOKUP(Table6[[#This Row],[SKU]],'All Skus'!$A:$AC,2,FALSE))="JBL",(VLOOKUP(Table6[[#This Row],[SKU]],'All Skus'!$A:$AC,7,FALSE)),""))</f>
        <v>0</v>
      </c>
      <c r="G422" t="str">
        <f>(IF((VLOOKUP(Table6[[#This Row],[SKU]],'All Skus'!$A:$AC,2,FALSE))="JBL",(VLOOKUP(Table6[[#This Row],[SKU]],'All Skus'!$A:$AC,8,FALSE)),""))</f>
        <v>U BRACKET FOR AC195</v>
      </c>
      <c r="H422" s="8" t="str">
        <f>(IF((VLOOKUP(Table6[[#This Row],[SKU]],'All Skus'!$A:$AC,2,FALSE))="JBL",(VLOOKUP(Table6[[#This Row],[SKU]],'All Skus'!$A:$AC,9,FALSE)),""))</f>
        <v>U Bracket for AC195, White</v>
      </c>
      <c r="I422" s="101">
        <f>(IF((VLOOKUP(Table6[[#This Row],[SKU]],'All Skus'!$A:$AC,2,FALSE))="JBL",(VLOOKUP(Table6[[#This Row],[SKU]],'All Skus'!$A:$AC,10,FALSE)),""))</f>
        <v>150</v>
      </c>
      <c r="J422" s="101">
        <f>(IF((VLOOKUP(Table6[[#This Row],[SKU]],'All Skus'!$A:$AC,2,FALSE))="JBL",(VLOOKUP(Table6[[#This Row],[SKU]],'All Skus'!$A:$AC,11,FALSE)),""))</f>
        <v>150</v>
      </c>
      <c r="K422" s="102">
        <f>(IF((VLOOKUP(Table6[[#This Row],[SKU]],'All Skus'!$A:$AC,2,FALSE))="JBL",(VLOOKUP(Table6[[#This Row],[SKU]],'All Skus'!$A:$AC,13,FALSE)),""))</f>
        <v>0</v>
      </c>
      <c r="L422" s="102">
        <f>(IF((VLOOKUP(Table6[[#This Row],[SKU]],'All Skus'!$A:$AC,2,FALSE))="JBL",(VLOOKUP(Table6[[#This Row],[SKU]],'All Skus'!$A:$AC,14,FALSE)),""))</f>
        <v>0</v>
      </c>
      <c r="M422" s="143">
        <f>(IF((VLOOKUP(Table6[[#This Row],[SKU]],'All Skus'!$A:$AC,2,FALSE))="JBL",(VLOOKUP(Table6[[#This Row],[SKU]],'All Skus'!$A:$AC,15,FALSE)),""))</f>
        <v>0</v>
      </c>
      <c r="N422" s="137">
        <f>(IF((VLOOKUP(Table6[[#This Row],[SKU]],'All Skus'!$A:$AC,2,FALSE))="JBL",(VLOOKUP(Table6[[#This Row],[SKU]],'All Skus'!$A:$AC,16,FALSE)),""))</f>
        <v>691991002311</v>
      </c>
      <c r="O422" s="61">
        <f>(IF((VLOOKUP(Table6[[#This Row],[SKU]],'All Skus'!$A:$AC,2,FALSE))="JBL",(VLOOKUP(Table6[[#This Row],[SKU]],'All Skus'!$A:$AC,17,FALSE)),""))</f>
        <v>0</v>
      </c>
      <c r="P422" s="136">
        <f>(IF((VLOOKUP(Table6[[#This Row],[SKU]],'All Skus'!$A:$AC,2,FALSE))="JBL",(VLOOKUP(Table6[[#This Row],[SKU]],'All Skus'!$A:$AC,18,FALSE)),""))</f>
        <v>15</v>
      </c>
      <c r="Q422" s="136">
        <f>(IF((VLOOKUP(Table6[[#This Row],[SKU]],'All Skus'!$A:$AC,2,FALSE))="JBL",(VLOOKUP(Table6[[#This Row],[SKU]],'All Skus'!$A:$AC,19,FALSE)),""))</f>
        <v>23</v>
      </c>
      <c r="R422" s="136">
        <f>(IF((VLOOKUP(Table6[[#This Row],[SKU]],'All Skus'!$A:$AC,2,FALSE))="JBL",(VLOOKUP(Table6[[#This Row],[SKU]],'All Skus'!$A:$AC,20,FALSE)),""))</f>
        <v>13</v>
      </c>
      <c r="S422" s="61">
        <f>(IF((VLOOKUP(Table6[[#This Row],[SKU]],'All Skus'!$A:$AC,2,FALSE))="JBL",(VLOOKUP(Table6[[#This Row],[SKU]],'All Skus'!$A:$AC,21,FALSE)),""))</f>
        <v>4</v>
      </c>
      <c r="T422" s="61" t="str">
        <f>(IF((VLOOKUP(Table6[[#This Row],[SKU]],'All Skus'!$A:$AC,2,FALSE))="JBL",(VLOOKUP(Table6[[#This Row],[SKU]],'All Skus'!$A:$AC,22,FALSE)),""))</f>
        <v>CN</v>
      </c>
      <c r="U422" t="str">
        <f>(IF((VLOOKUP(Table6[[#This Row],[SKU]],'All Skus'!$A:$AC,2,FALSE))="JBL",(VLOOKUP(Table6[[#This Row],[SKU]],'All Skus'!$A:$AC,23,FALSE)),""))</f>
        <v>Non Compliant</v>
      </c>
      <c r="V422" s="284" t="str">
        <f>HYPERLINK((IF((VLOOKUP(Table6[[#This Row],[SKU]],'All Skus'!$A:$AC,2,FALSE))="JBL",(VLOOKUP(Table6[[#This Row],[SKU]],'All Skus'!$A:$AC,24,FALSE)),"")))</f>
        <v/>
      </c>
      <c r="W422" s="151">
        <v>420</v>
      </c>
    </row>
    <row r="423" spans="1:23" ht="15" hidden="1" customHeight="1">
      <c r="A423" s="13" t="s">
        <v>1429</v>
      </c>
      <c r="B423" s="12" t="str">
        <f>(IF((VLOOKUP(Table6[[#This Row],[SKU]],'All Skus'!$A:$AC,2,FALSE))="JBL",(VLOOKUP(Table6[[#This Row],[SKU]],'All Skus'!$A:$AC,3,FALSE)),""))</f>
        <v>AE Series</v>
      </c>
      <c r="C423" s="12" t="str">
        <f>(IF((VLOOKUP(Table6[[#This Row],[SKU]],'All Skus'!$A:$AC,2,FALSE))="JBL",(VLOOKUP(Table6[[#This Row],[SKU]],'All Skus'!$A:$AC,4,FALSE)),""))</f>
        <v>MTU-266-99</v>
      </c>
      <c r="D423" s="61" t="str">
        <f>(IF((VLOOKUP(Table6[[#This Row],[SKU]],'All Skus'!$A:$AC,2,FALSE))="JBL",(VLOOKUP(Table6[[#This Row],[SKU]],'All Skus'!$A:$AC,5,FALSE)),""))</f>
        <v>JBL052</v>
      </c>
      <c r="E423" s="137">
        <f>(IF((VLOOKUP(Table6[[#This Row],[SKU]],'All Skus'!$A:$AC,2,FALSE))="JBL",(VLOOKUP(Table6[[#This Row],[SKU]],'All Skus'!$A:$AC,6,FALSE)),""))</f>
        <v>0</v>
      </c>
      <c r="F423" s="61">
        <f>(IF((VLOOKUP(Table6[[#This Row],[SKU]],'All Skus'!$A:$AC,2,FALSE))="JBL",(VLOOKUP(Table6[[#This Row],[SKU]],'All Skus'!$A:$AC,7,FALSE)),""))</f>
        <v>0</v>
      </c>
      <c r="G423" t="str">
        <f>(IF((VLOOKUP(Table6[[#This Row],[SKU]],'All Skus'!$A:$AC,2,FALSE))="JBL",(VLOOKUP(Table6[[#This Row],[SKU]],'All Skus'!$A:$AC,8,FALSE)),""))</f>
        <v>U BRACKET FOR AC266 and AC299</v>
      </c>
      <c r="H423" s="8" t="str">
        <f>(IF((VLOOKUP(Table6[[#This Row],[SKU]],'All Skus'!$A:$AC,2,FALSE))="JBL",(VLOOKUP(Table6[[#This Row],[SKU]],'All Skus'!$A:$AC,9,FALSE)),""))</f>
        <v>U bracket for AC266 and AC299, Blk</v>
      </c>
      <c r="I423" s="101">
        <f>(IF((VLOOKUP(Table6[[#This Row],[SKU]],'All Skus'!$A:$AC,2,FALSE))="JBL",(VLOOKUP(Table6[[#This Row],[SKU]],'All Skus'!$A:$AC,10,FALSE)),""))</f>
        <v>170</v>
      </c>
      <c r="J423" s="101">
        <f>(IF((VLOOKUP(Table6[[#This Row],[SKU]],'All Skus'!$A:$AC,2,FALSE))="JBL",(VLOOKUP(Table6[[#This Row],[SKU]],'All Skus'!$A:$AC,11,FALSE)),""))</f>
        <v>170</v>
      </c>
      <c r="K423" s="102">
        <f>(IF((VLOOKUP(Table6[[#This Row],[SKU]],'All Skus'!$A:$AC,2,FALSE))="JBL",(VLOOKUP(Table6[[#This Row],[SKU]],'All Skus'!$A:$AC,13,FALSE)),""))</f>
        <v>0</v>
      </c>
      <c r="L423" s="102">
        <f>(IF((VLOOKUP(Table6[[#This Row],[SKU]],'All Skus'!$A:$AC,2,FALSE))="JBL",(VLOOKUP(Table6[[#This Row],[SKU]],'All Skus'!$A:$AC,14,FALSE)),""))</f>
        <v>0</v>
      </c>
      <c r="M423" s="143">
        <f>(IF((VLOOKUP(Table6[[#This Row],[SKU]],'All Skus'!$A:$AC,2,FALSE))="JBL",(VLOOKUP(Table6[[#This Row],[SKU]],'All Skus'!$A:$AC,15,FALSE)),""))</f>
        <v>0</v>
      </c>
      <c r="N423" s="137">
        <f>(IF((VLOOKUP(Table6[[#This Row],[SKU]],'All Skus'!$A:$AC,2,FALSE))="JBL",(VLOOKUP(Table6[[#This Row],[SKU]],'All Skus'!$A:$AC,16,FALSE)),""))</f>
        <v>691991031755</v>
      </c>
      <c r="O423" s="61">
        <f>(IF((VLOOKUP(Table6[[#This Row],[SKU]],'All Skus'!$A:$AC,2,FALSE))="JBL",(VLOOKUP(Table6[[#This Row],[SKU]],'All Skus'!$A:$AC,17,FALSE)),""))</f>
        <v>0</v>
      </c>
      <c r="P423" s="136">
        <f>(IF((VLOOKUP(Table6[[#This Row],[SKU]],'All Skus'!$A:$AC,2,FALSE))="JBL",(VLOOKUP(Table6[[#This Row],[SKU]],'All Skus'!$A:$AC,18,FALSE)),""))</f>
        <v>9</v>
      </c>
      <c r="Q423" s="136">
        <f>(IF((VLOOKUP(Table6[[#This Row],[SKU]],'All Skus'!$A:$AC,2,FALSE))="JBL",(VLOOKUP(Table6[[#This Row],[SKU]],'All Skus'!$A:$AC,19,FALSE)),""))</f>
        <v>25.25</v>
      </c>
      <c r="R423" s="136">
        <f>(IF((VLOOKUP(Table6[[#This Row],[SKU]],'All Skus'!$A:$AC,2,FALSE))="JBL",(VLOOKUP(Table6[[#This Row],[SKU]],'All Skus'!$A:$AC,20,FALSE)),""))</f>
        <v>15.5</v>
      </c>
      <c r="S423" s="61">
        <f>(IF((VLOOKUP(Table6[[#This Row],[SKU]],'All Skus'!$A:$AC,2,FALSE))="JBL",(VLOOKUP(Table6[[#This Row],[SKU]],'All Skus'!$A:$AC,21,FALSE)),""))</f>
        <v>4.5</v>
      </c>
      <c r="T423" s="61" t="str">
        <f>(IF((VLOOKUP(Table6[[#This Row],[SKU]],'All Skus'!$A:$AC,2,FALSE))="JBL",(VLOOKUP(Table6[[#This Row],[SKU]],'All Skus'!$A:$AC,22,FALSE)),""))</f>
        <v>CN</v>
      </c>
      <c r="U423" t="str">
        <f>(IF((VLOOKUP(Table6[[#This Row],[SKU]],'All Skus'!$A:$AC,2,FALSE))="JBL",(VLOOKUP(Table6[[#This Row],[SKU]],'All Skus'!$A:$AC,23,FALSE)),""))</f>
        <v>Non Compliant</v>
      </c>
      <c r="V423" s="284" t="str">
        <f>HYPERLINK((IF((VLOOKUP(Table6[[#This Row],[SKU]],'All Skus'!$A:$AC,2,FALSE))="JBL",(VLOOKUP(Table6[[#This Row],[SKU]],'All Skus'!$A:$AC,24,FALSE)),"")))</f>
        <v/>
      </c>
      <c r="W423" s="151">
        <v>421</v>
      </c>
    </row>
    <row r="424" spans="1:23" ht="15" hidden="1" customHeight="1">
      <c r="A424" s="13" t="s">
        <v>1430</v>
      </c>
      <c r="B424" s="12" t="str">
        <f>(IF((VLOOKUP(Table6[[#This Row],[SKU]],'All Skus'!$A:$AC,2,FALSE))="JBL",(VLOOKUP(Table6[[#This Row],[SKU]],'All Skus'!$A:$AC,3,FALSE)),""))</f>
        <v>AE Series</v>
      </c>
      <c r="C424" s="12" t="str">
        <f>(IF((VLOOKUP(Table6[[#This Row],[SKU]],'All Skus'!$A:$AC,2,FALSE))="JBL",(VLOOKUP(Table6[[#This Row],[SKU]],'All Skus'!$A:$AC,4,FALSE)),""))</f>
        <v>MTU-266-99-WH</v>
      </c>
      <c r="D424" s="61" t="str">
        <f>(IF((VLOOKUP(Table6[[#This Row],[SKU]],'All Skus'!$A:$AC,2,FALSE))="JBL",(VLOOKUP(Table6[[#This Row],[SKU]],'All Skus'!$A:$AC,5,FALSE)),""))</f>
        <v>JBL052</v>
      </c>
      <c r="E424" s="137">
        <f>(IF((VLOOKUP(Table6[[#This Row],[SKU]],'All Skus'!$A:$AC,2,FALSE))="JBL",(VLOOKUP(Table6[[#This Row],[SKU]],'All Skus'!$A:$AC,6,FALSE)),""))</f>
        <v>0</v>
      </c>
      <c r="F424" s="61">
        <f>(IF((VLOOKUP(Table6[[#This Row],[SKU]],'All Skus'!$A:$AC,2,FALSE))="JBL",(VLOOKUP(Table6[[#This Row],[SKU]],'All Skus'!$A:$AC,7,FALSE)),""))</f>
        <v>0</v>
      </c>
      <c r="G424" t="str">
        <f>(IF((VLOOKUP(Table6[[#This Row],[SKU]],'All Skus'!$A:$AC,2,FALSE))="JBL",(VLOOKUP(Table6[[#This Row],[SKU]],'All Skus'!$A:$AC,8,FALSE)),""))</f>
        <v>U BRACKET FOR AC266 and AC299</v>
      </c>
      <c r="H424" s="8" t="str">
        <f>(IF((VLOOKUP(Table6[[#This Row],[SKU]],'All Skus'!$A:$AC,2,FALSE))="JBL",(VLOOKUP(Table6[[#This Row],[SKU]],'All Skus'!$A:$AC,9,FALSE)),""))</f>
        <v>U bracket for AC266 and AC299, White</v>
      </c>
      <c r="I424" s="101">
        <f>(IF((VLOOKUP(Table6[[#This Row],[SKU]],'All Skus'!$A:$AC,2,FALSE))="JBL",(VLOOKUP(Table6[[#This Row],[SKU]],'All Skus'!$A:$AC,10,FALSE)),""))</f>
        <v>170</v>
      </c>
      <c r="J424" s="101">
        <f>(IF((VLOOKUP(Table6[[#This Row],[SKU]],'All Skus'!$A:$AC,2,FALSE))="JBL",(VLOOKUP(Table6[[#This Row],[SKU]],'All Skus'!$A:$AC,11,FALSE)),""))</f>
        <v>170</v>
      </c>
      <c r="K424" s="102">
        <f>(IF((VLOOKUP(Table6[[#This Row],[SKU]],'All Skus'!$A:$AC,2,FALSE))="JBL",(VLOOKUP(Table6[[#This Row],[SKU]],'All Skus'!$A:$AC,13,FALSE)),""))</f>
        <v>0</v>
      </c>
      <c r="L424" s="102">
        <f>(IF((VLOOKUP(Table6[[#This Row],[SKU]],'All Skus'!$A:$AC,2,FALSE))="JBL",(VLOOKUP(Table6[[#This Row],[SKU]],'All Skus'!$A:$AC,14,FALSE)),""))</f>
        <v>0</v>
      </c>
      <c r="M424" s="143">
        <f>(IF((VLOOKUP(Table6[[#This Row],[SKU]],'All Skus'!$A:$AC,2,FALSE))="JBL",(VLOOKUP(Table6[[#This Row],[SKU]],'All Skus'!$A:$AC,15,FALSE)),""))</f>
        <v>0</v>
      </c>
      <c r="N424" s="137">
        <f>(IF((VLOOKUP(Table6[[#This Row],[SKU]],'All Skus'!$A:$AC,2,FALSE))="JBL",(VLOOKUP(Table6[[#This Row],[SKU]],'All Skus'!$A:$AC,16,FALSE)),""))</f>
        <v>691991031762</v>
      </c>
      <c r="O424" s="61">
        <f>(IF((VLOOKUP(Table6[[#This Row],[SKU]],'All Skus'!$A:$AC,2,FALSE))="JBL",(VLOOKUP(Table6[[#This Row],[SKU]],'All Skus'!$A:$AC,17,FALSE)),""))</f>
        <v>0</v>
      </c>
      <c r="P424" s="136">
        <f>(IF((VLOOKUP(Table6[[#This Row],[SKU]],'All Skus'!$A:$AC,2,FALSE))="JBL",(VLOOKUP(Table6[[#This Row],[SKU]],'All Skus'!$A:$AC,18,FALSE)),""))</f>
        <v>10</v>
      </c>
      <c r="Q424" s="136">
        <f>(IF((VLOOKUP(Table6[[#This Row],[SKU]],'All Skus'!$A:$AC,2,FALSE))="JBL",(VLOOKUP(Table6[[#This Row],[SKU]],'All Skus'!$A:$AC,19,FALSE)),""))</f>
        <v>25</v>
      </c>
      <c r="R424" s="136">
        <f>(IF((VLOOKUP(Table6[[#This Row],[SKU]],'All Skus'!$A:$AC,2,FALSE))="JBL",(VLOOKUP(Table6[[#This Row],[SKU]],'All Skus'!$A:$AC,20,FALSE)),""))</f>
        <v>15</v>
      </c>
      <c r="S424" s="61">
        <f>(IF((VLOOKUP(Table6[[#This Row],[SKU]],'All Skus'!$A:$AC,2,FALSE))="JBL",(VLOOKUP(Table6[[#This Row],[SKU]],'All Skus'!$A:$AC,21,FALSE)),""))</f>
        <v>4</v>
      </c>
      <c r="T424" s="61" t="str">
        <f>(IF((VLOOKUP(Table6[[#This Row],[SKU]],'All Skus'!$A:$AC,2,FALSE))="JBL",(VLOOKUP(Table6[[#This Row],[SKU]],'All Skus'!$A:$AC,22,FALSE)),""))</f>
        <v>CN</v>
      </c>
      <c r="U424" t="str">
        <f>(IF((VLOOKUP(Table6[[#This Row],[SKU]],'All Skus'!$A:$AC,2,FALSE))="JBL",(VLOOKUP(Table6[[#This Row],[SKU]],'All Skus'!$A:$AC,23,FALSE)),""))</f>
        <v>Non Compliant</v>
      </c>
      <c r="V424" s="284" t="str">
        <f>HYPERLINK((IF((VLOOKUP(Table6[[#This Row],[SKU]],'All Skus'!$A:$AC,2,FALSE))="JBL",(VLOOKUP(Table6[[#This Row],[SKU]],'All Skus'!$A:$AC,24,FALSE)),"")))</f>
        <v/>
      </c>
      <c r="W424" s="151">
        <v>422</v>
      </c>
    </row>
    <row r="425" spans="1:23" ht="15" hidden="1" customHeight="1">
      <c r="A425" s="13" t="s">
        <v>1431</v>
      </c>
      <c r="B425" s="12" t="str">
        <f>(IF((VLOOKUP(Table6[[#This Row],[SKU]],'All Skus'!$A:$AC,2,FALSE))="JBL",(VLOOKUP(Table6[[#This Row],[SKU]],'All Skus'!$A:$AC,3,FALSE)),""))</f>
        <v>AE Series</v>
      </c>
      <c r="C425" s="12" t="str">
        <f>(IF((VLOOKUP(Table6[[#This Row],[SKU]],'All Skus'!$A:$AC,2,FALSE))="JBL",(VLOOKUP(Table6[[#This Row],[SKU]],'All Skus'!$A:$AC,4,FALSE)),""))</f>
        <v>MTU-566-99</v>
      </c>
      <c r="D425" s="61" t="str">
        <f>(IF((VLOOKUP(Table6[[#This Row],[SKU]],'All Skus'!$A:$AC,2,FALSE))="JBL",(VLOOKUP(Table6[[#This Row],[SKU]],'All Skus'!$A:$AC,5,FALSE)),""))</f>
        <v>JBL052</v>
      </c>
      <c r="E425" s="137">
        <f>(IF((VLOOKUP(Table6[[#This Row],[SKU]],'All Skus'!$A:$AC,2,FALSE))="JBL",(VLOOKUP(Table6[[#This Row],[SKU]],'All Skus'!$A:$AC,6,FALSE)),""))</f>
        <v>0</v>
      </c>
      <c r="F425" s="61">
        <f>(IF((VLOOKUP(Table6[[#This Row],[SKU]],'All Skus'!$A:$AC,2,FALSE))="JBL",(VLOOKUP(Table6[[#This Row],[SKU]],'All Skus'!$A:$AC,7,FALSE)),""))</f>
        <v>0</v>
      </c>
      <c r="G425" t="str">
        <f>(IF((VLOOKUP(Table6[[#This Row],[SKU]],'All Skus'!$A:$AC,2,FALSE))="JBL",(VLOOKUP(Table6[[#This Row],[SKU]],'All Skus'!$A:$AC,8,FALSE)),""))</f>
        <v>U BRACKET FOR AC566 and AC599</v>
      </c>
      <c r="H425" s="8" t="str">
        <f>(IF((VLOOKUP(Table6[[#This Row],[SKU]],'All Skus'!$A:$AC,2,FALSE))="JBL",(VLOOKUP(Table6[[#This Row],[SKU]],'All Skus'!$A:$AC,9,FALSE)),""))</f>
        <v>U Bracket for AC566 and AC599, Blk</v>
      </c>
      <c r="I425" s="101">
        <f>(IF((VLOOKUP(Table6[[#This Row],[SKU]],'All Skus'!$A:$AC,2,FALSE))="JBL",(VLOOKUP(Table6[[#This Row],[SKU]],'All Skus'!$A:$AC,10,FALSE)),""))</f>
        <v>190</v>
      </c>
      <c r="J425" s="101">
        <f>(IF((VLOOKUP(Table6[[#This Row],[SKU]],'All Skus'!$A:$AC,2,FALSE))="JBL",(VLOOKUP(Table6[[#This Row],[SKU]],'All Skus'!$A:$AC,11,FALSE)),""))</f>
        <v>190</v>
      </c>
      <c r="K425" s="102">
        <f>(IF((VLOOKUP(Table6[[#This Row],[SKU]],'All Skus'!$A:$AC,2,FALSE))="JBL",(VLOOKUP(Table6[[#This Row],[SKU]],'All Skus'!$A:$AC,13,FALSE)),""))</f>
        <v>0</v>
      </c>
      <c r="L425" s="102">
        <f>(IF((VLOOKUP(Table6[[#This Row],[SKU]],'All Skus'!$A:$AC,2,FALSE))="JBL",(VLOOKUP(Table6[[#This Row],[SKU]],'All Skus'!$A:$AC,14,FALSE)),""))</f>
        <v>0</v>
      </c>
      <c r="M425" s="143">
        <f>(IF((VLOOKUP(Table6[[#This Row],[SKU]],'All Skus'!$A:$AC,2,FALSE))="JBL",(VLOOKUP(Table6[[#This Row],[SKU]],'All Skus'!$A:$AC,15,FALSE)),""))</f>
        <v>0</v>
      </c>
      <c r="N425" s="137">
        <f>(IF((VLOOKUP(Table6[[#This Row],[SKU]],'All Skus'!$A:$AC,2,FALSE))="JBL",(VLOOKUP(Table6[[#This Row],[SKU]],'All Skus'!$A:$AC,16,FALSE)),""))</f>
        <v>691991031779</v>
      </c>
      <c r="O425" s="61">
        <f>(IF((VLOOKUP(Table6[[#This Row],[SKU]],'All Skus'!$A:$AC,2,FALSE))="JBL",(VLOOKUP(Table6[[#This Row],[SKU]],'All Skus'!$A:$AC,17,FALSE)),""))</f>
        <v>0</v>
      </c>
      <c r="P425" s="136">
        <f>(IF((VLOOKUP(Table6[[#This Row],[SKU]],'All Skus'!$A:$AC,2,FALSE))="JBL",(VLOOKUP(Table6[[#This Row],[SKU]],'All Skus'!$A:$AC,18,FALSE)),""))</f>
        <v>15</v>
      </c>
      <c r="Q425" s="136">
        <f>(IF((VLOOKUP(Table6[[#This Row],[SKU]],'All Skus'!$A:$AC,2,FALSE))="JBL",(VLOOKUP(Table6[[#This Row],[SKU]],'All Skus'!$A:$AC,19,FALSE)),""))</f>
        <v>28</v>
      </c>
      <c r="R425" s="136">
        <f>(IF((VLOOKUP(Table6[[#This Row],[SKU]],'All Skus'!$A:$AC,2,FALSE))="JBL",(VLOOKUP(Table6[[#This Row],[SKU]],'All Skus'!$A:$AC,20,FALSE)),""))</f>
        <v>15</v>
      </c>
      <c r="S425" s="61">
        <f>(IF((VLOOKUP(Table6[[#This Row],[SKU]],'All Skus'!$A:$AC,2,FALSE))="JBL",(VLOOKUP(Table6[[#This Row],[SKU]],'All Skus'!$A:$AC,21,FALSE)),""))</f>
        <v>5</v>
      </c>
      <c r="T425" s="61" t="str">
        <f>(IF((VLOOKUP(Table6[[#This Row],[SKU]],'All Skus'!$A:$AC,2,FALSE))="JBL",(VLOOKUP(Table6[[#This Row],[SKU]],'All Skus'!$A:$AC,22,FALSE)),""))</f>
        <v>CN</v>
      </c>
      <c r="U425" t="str">
        <f>(IF((VLOOKUP(Table6[[#This Row],[SKU]],'All Skus'!$A:$AC,2,FALSE))="JBL",(VLOOKUP(Table6[[#This Row],[SKU]],'All Skus'!$A:$AC,23,FALSE)),""))</f>
        <v>Non Compliant</v>
      </c>
      <c r="V425" s="284" t="str">
        <f>HYPERLINK((IF((VLOOKUP(Table6[[#This Row],[SKU]],'All Skus'!$A:$AC,2,FALSE))="JBL",(VLOOKUP(Table6[[#This Row],[SKU]],'All Skus'!$A:$AC,24,FALSE)),"")))</f>
        <v/>
      </c>
      <c r="W425" s="151">
        <v>423</v>
      </c>
    </row>
    <row r="426" spans="1:23" ht="15" hidden="1" customHeight="1">
      <c r="A426" s="13" t="s">
        <v>1432</v>
      </c>
      <c r="B426" s="12" t="str">
        <f>(IF((VLOOKUP(Table6[[#This Row],[SKU]],'All Skus'!$A:$AC,2,FALSE))="JBL",(VLOOKUP(Table6[[#This Row],[SKU]],'All Skus'!$A:$AC,3,FALSE)),""))</f>
        <v>AE Series</v>
      </c>
      <c r="C426" s="12" t="str">
        <f>(IF((VLOOKUP(Table6[[#This Row],[SKU]],'All Skus'!$A:$AC,2,FALSE))="JBL",(VLOOKUP(Table6[[#This Row],[SKU]],'All Skus'!$A:$AC,4,FALSE)),""))</f>
        <v>MTU-566-99-WH</v>
      </c>
      <c r="D426" s="61" t="str">
        <f>(IF((VLOOKUP(Table6[[#This Row],[SKU]],'All Skus'!$A:$AC,2,FALSE))="JBL",(VLOOKUP(Table6[[#This Row],[SKU]],'All Skus'!$A:$AC,5,FALSE)),""))</f>
        <v>JBL052</v>
      </c>
      <c r="E426" s="137">
        <f>(IF((VLOOKUP(Table6[[#This Row],[SKU]],'All Skus'!$A:$AC,2,FALSE))="JBL",(VLOOKUP(Table6[[#This Row],[SKU]],'All Skus'!$A:$AC,6,FALSE)),""))</f>
        <v>0</v>
      </c>
      <c r="F426" s="61">
        <f>(IF((VLOOKUP(Table6[[#This Row],[SKU]],'All Skus'!$A:$AC,2,FALSE))="JBL",(VLOOKUP(Table6[[#This Row],[SKU]],'All Skus'!$A:$AC,7,FALSE)),""))</f>
        <v>0</v>
      </c>
      <c r="G426" t="str">
        <f>(IF((VLOOKUP(Table6[[#This Row],[SKU]],'All Skus'!$A:$AC,2,FALSE))="JBL",(VLOOKUP(Table6[[#This Row],[SKU]],'All Skus'!$A:$AC,8,FALSE)),""))</f>
        <v>U BRACKET FOR AC566 and AC599</v>
      </c>
      <c r="H426" s="8" t="str">
        <f>(IF((VLOOKUP(Table6[[#This Row],[SKU]],'All Skus'!$A:$AC,2,FALSE))="JBL",(VLOOKUP(Table6[[#This Row],[SKU]],'All Skus'!$A:$AC,9,FALSE)),""))</f>
        <v>U Bracket for AC566 and AC599, White</v>
      </c>
      <c r="I426" s="101">
        <f>(IF((VLOOKUP(Table6[[#This Row],[SKU]],'All Skus'!$A:$AC,2,FALSE))="JBL",(VLOOKUP(Table6[[#This Row],[SKU]],'All Skus'!$A:$AC,10,FALSE)),""))</f>
        <v>190</v>
      </c>
      <c r="J426" s="101">
        <f>(IF((VLOOKUP(Table6[[#This Row],[SKU]],'All Skus'!$A:$AC,2,FALSE))="JBL",(VLOOKUP(Table6[[#This Row],[SKU]],'All Skus'!$A:$AC,11,FALSE)),""))</f>
        <v>190</v>
      </c>
      <c r="K426" s="102">
        <f>(IF((VLOOKUP(Table6[[#This Row],[SKU]],'All Skus'!$A:$AC,2,FALSE))="JBL",(VLOOKUP(Table6[[#This Row],[SKU]],'All Skus'!$A:$AC,13,FALSE)),""))</f>
        <v>0</v>
      </c>
      <c r="L426" s="102">
        <f>(IF((VLOOKUP(Table6[[#This Row],[SKU]],'All Skus'!$A:$AC,2,FALSE))="JBL",(VLOOKUP(Table6[[#This Row],[SKU]],'All Skus'!$A:$AC,14,FALSE)),""))</f>
        <v>0</v>
      </c>
      <c r="M426" s="143">
        <f>(IF((VLOOKUP(Table6[[#This Row],[SKU]],'All Skus'!$A:$AC,2,FALSE))="JBL",(VLOOKUP(Table6[[#This Row],[SKU]],'All Skus'!$A:$AC,15,FALSE)),""))</f>
        <v>0</v>
      </c>
      <c r="N426" s="137">
        <f>(IF((VLOOKUP(Table6[[#This Row],[SKU]],'All Skus'!$A:$AC,2,FALSE))="JBL",(VLOOKUP(Table6[[#This Row],[SKU]],'All Skus'!$A:$AC,16,FALSE)),""))</f>
        <v>691991031786</v>
      </c>
      <c r="O426" s="61">
        <f>(IF((VLOOKUP(Table6[[#This Row],[SKU]],'All Skus'!$A:$AC,2,FALSE))="JBL",(VLOOKUP(Table6[[#This Row],[SKU]],'All Skus'!$A:$AC,17,FALSE)),""))</f>
        <v>0</v>
      </c>
      <c r="P426" s="136">
        <f>(IF((VLOOKUP(Table6[[#This Row],[SKU]],'All Skus'!$A:$AC,2,FALSE))="JBL",(VLOOKUP(Table6[[#This Row],[SKU]],'All Skus'!$A:$AC,18,FALSE)),""))</f>
        <v>15</v>
      </c>
      <c r="Q426" s="136">
        <f>(IF((VLOOKUP(Table6[[#This Row],[SKU]],'All Skus'!$A:$AC,2,FALSE))="JBL",(VLOOKUP(Table6[[#This Row],[SKU]],'All Skus'!$A:$AC,19,FALSE)),""))</f>
        <v>28</v>
      </c>
      <c r="R426" s="136">
        <f>(IF((VLOOKUP(Table6[[#This Row],[SKU]],'All Skus'!$A:$AC,2,FALSE))="JBL",(VLOOKUP(Table6[[#This Row],[SKU]],'All Skus'!$A:$AC,20,FALSE)),""))</f>
        <v>15</v>
      </c>
      <c r="S426" s="61">
        <f>(IF((VLOOKUP(Table6[[#This Row],[SKU]],'All Skus'!$A:$AC,2,FALSE))="JBL",(VLOOKUP(Table6[[#This Row],[SKU]],'All Skus'!$A:$AC,21,FALSE)),""))</f>
        <v>5</v>
      </c>
      <c r="T426" s="61" t="str">
        <f>(IF((VLOOKUP(Table6[[#This Row],[SKU]],'All Skus'!$A:$AC,2,FALSE))="JBL",(VLOOKUP(Table6[[#This Row],[SKU]],'All Skus'!$A:$AC,22,FALSE)),""))</f>
        <v>CN</v>
      </c>
      <c r="U426" t="str">
        <f>(IF((VLOOKUP(Table6[[#This Row],[SKU]],'All Skus'!$A:$AC,2,FALSE))="JBL",(VLOOKUP(Table6[[#This Row],[SKU]],'All Skus'!$A:$AC,23,FALSE)),""))</f>
        <v>Non Compliant</v>
      </c>
      <c r="V426" s="284" t="str">
        <f>HYPERLINK((IF((VLOOKUP(Table6[[#This Row],[SKU]],'All Skus'!$A:$AC,2,FALSE))="JBL",(VLOOKUP(Table6[[#This Row],[SKU]],'All Skus'!$A:$AC,24,FALSE)),"")))</f>
        <v/>
      </c>
      <c r="W426" s="151">
        <v>424</v>
      </c>
    </row>
    <row r="427" spans="1:23" ht="15" hidden="1" customHeight="1">
      <c r="A427" s="13" t="s">
        <v>1433</v>
      </c>
      <c r="B427" s="12" t="str">
        <f>(IF((VLOOKUP(Table6[[#This Row],[SKU]],'All Skus'!$A:$AC,2,FALSE))="JBL",(VLOOKUP(Table6[[#This Row],[SKU]],'All Skus'!$A:$AC,3,FALSE)),""))</f>
        <v>AE Series</v>
      </c>
      <c r="C427" s="12" t="str">
        <f>(IF((VLOOKUP(Table6[[#This Row],[SKU]],'All Skus'!$A:$AC,2,FALSE))="JBL",(VLOOKUP(Table6[[#This Row],[SKU]],'All Skus'!$A:$AC,4,FALSE)),""))</f>
        <v>MTU-895</v>
      </c>
      <c r="D427" s="61" t="str">
        <f>(IF((VLOOKUP(Table6[[#This Row],[SKU]],'All Skus'!$A:$AC,2,FALSE))="JBL",(VLOOKUP(Table6[[#This Row],[SKU]],'All Skus'!$A:$AC,5,FALSE)),""))</f>
        <v>JBL052</v>
      </c>
      <c r="E427" s="137">
        <f>(IF((VLOOKUP(Table6[[#This Row],[SKU]],'All Skus'!$A:$AC,2,FALSE))="JBL",(VLOOKUP(Table6[[#This Row],[SKU]],'All Skus'!$A:$AC,6,FALSE)),""))</f>
        <v>0</v>
      </c>
      <c r="F427" s="61">
        <f>(IF((VLOOKUP(Table6[[#This Row],[SKU]],'All Skus'!$A:$AC,2,FALSE))="JBL",(VLOOKUP(Table6[[#This Row],[SKU]],'All Skus'!$A:$AC,7,FALSE)),""))</f>
        <v>0</v>
      </c>
      <c r="G427" t="str">
        <f>(IF((VLOOKUP(Table6[[#This Row],[SKU]],'All Skus'!$A:$AC,2,FALSE))="JBL",(VLOOKUP(Table6[[#This Row],[SKU]],'All Skus'!$A:$AC,8,FALSE)),""))</f>
        <v>U BRACKET FOR AC895</v>
      </c>
      <c r="H427" s="8" t="str">
        <f>(IF((VLOOKUP(Table6[[#This Row],[SKU]],'All Skus'!$A:$AC,2,FALSE))="JBL",(VLOOKUP(Table6[[#This Row],[SKU]],'All Skus'!$A:$AC,9,FALSE)),""))</f>
        <v>U Bracket for AC895, Blk</v>
      </c>
      <c r="I427" s="101">
        <f>(IF((VLOOKUP(Table6[[#This Row],[SKU]],'All Skus'!$A:$AC,2,FALSE))="JBL",(VLOOKUP(Table6[[#This Row],[SKU]],'All Skus'!$A:$AC,10,FALSE)),""))</f>
        <v>130</v>
      </c>
      <c r="J427" s="101">
        <f>(IF((VLOOKUP(Table6[[#This Row],[SKU]],'All Skus'!$A:$AC,2,FALSE))="JBL",(VLOOKUP(Table6[[#This Row],[SKU]],'All Skus'!$A:$AC,11,FALSE)),""))</f>
        <v>130</v>
      </c>
      <c r="K427" s="102">
        <f>(IF((VLOOKUP(Table6[[#This Row],[SKU]],'All Skus'!$A:$AC,2,FALSE))="JBL",(VLOOKUP(Table6[[#This Row],[SKU]],'All Skus'!$A:$AC,13,FALSE)),""))</f>
        <v>0</v>
      </c>
      <c r="L427" s="102">
        <f>(IF((VLOOKUP(Table6[[#This Row],[SKU]],'All Skus'!$A:$AC,2,FALSE))="JBL",(VLOOKUP(Table6[[#This Row],[SKU]],'All Skus'!$A:$AC,14,FALSE)),""))</f>
        <v>0</v>
      </c>
      <c r="M427" s="143">
        <f>(IF((VLOOKUP(Table6[[#This Row],[SKU]],'All Skus'!$A:$AC,2,FALSE))="JBL",(VLOOKUP(Table6[[#This Row],[SKU]],'All Skus'!$A:$AC,15,FALSE)),""))</f>
        <v>0</v>
      </c>
      <c r="N427" s="137">
        <f>(IF((VLOOKUP(Table6[[#This Row],[SKU]],'All Skus'!$A:$AC,2,FALSE))="JBL",(VLOOKUP(Table6[[#This Row],[SKU]],'All Skus'!$A:$AC,16,FALSE)),""))</f>
        <v>691991002267</v>
      </c>
      <c r="O427" s="61">
        <f>(IF((VLOOKUP(Table6[[#This Row],[SKU]],'All Skus'!$A:$AC,2,FALSE))="JBL",(VLOOKUP(Table6[[#This Row],[SKU]],'All Skus'!$A:$AC,17,FALSE)),""))</f>
        <v>0</v>
      </c>
      <c r="P427" s="136">
        <f>(IF((VLOOKUP(Table6[[#This Row],[SKU]],'All Skus'!$A:$AC,2,FALSE))="JBL",(VLOOKUP(Table6[[#This Row],[SKU]],'All Skus'!$A:$AC,18,FALSE)),""))</f>
        <v>15</v>
      </c>
      <c r="Q427" s="136">
        <f>(IF((VLOOKUP(Table6[[#This Row],[SKU]],'All Skus'!$A:$AC,2,FALSE))="JBL",(VLOOKUP(Table6[[#This Row],[SKU]],'All Skus'!$A:$AC,19,FALSE)),""))</f>
        <v>20</v>
      </c>
      <c r="R427" s="136">
        <f>(IF((VLOOKUP(Table6[[#This Row],[SKU]],'All Skus'!$A:$AC,2,FALSE))="JBL",(VLOOKUP(Table6[[#This Row],[SKU]],'All Skus'!$A:$AC,20,FALSE)),""))</f>
        <v>11</v>
      </c>
      <c r="S427" s="61">
        <f>(IF((VLOOKUP(Table6[[#This Row],[SKU]],'All Skus'!$A:$AC,2,FALSE))="JBL",(VLOOKUP(Table6[[#This Row],[SKU]],'All Skus'!$A:$AC,21,FALSE)),""))</f>
        <v>4</v>
      </c>
      <c r="T427" s="61" t="str">
        <f>(IF((VLOOKUP(Table6[[#This Row],[SKU]],'All Skus'!$A:$AC,2,FALSE))="JBL",(VLOOKUP(Table6[[#This Row],[SKU]],'All Skus'!$A:$AC,22,FALSE)),""))</f>
        <v>CN</v>
      </c>
      <c r="U427" t="str">
        <f>(IF((VLOOKUP(Table6[[#This Row],[SKU]],'All Skus'!$A:$AC,2,FALSE))="JBL",(VLOOKUP(Table6[[#This Row],[SKU]],'All Skus'!$A:$AC,23,FALSE)),""))</f>
        <v>Non Compliant</v>
      </c>
      <c r="V427" s="284" t="str">
        <f>HYPERLINK((IF((VLOOKUP(Table6[[#This Row],[SKU]],'All Skus'!$A:$AC,2,FALSE))="JBL",(VLOOKUP(Table6[[#This Row],[SKU]],'All Skus'!$A:$AC,24,FALSE)),"")))</f>
        <v/>
      </c>
      <c r="W427" s="151">
        <v>425</v>
      </c>
    </row>
    <row r="428" spans="1:23" ht="15" hidden="1" customHeight="1">
      <c r="A428" s="13" t="s">
        <v>1434</v>
      </c>
      <c r="B428" s="12" t="str">
        <f>(IF((VLOOKUP(Table6[[#This Row],[SKU]],'All Skus'!$A:$AC,2,FALSE))="JBL",(VLOOKUP(Table6[[#This Row],[SKU]],'All Skus'!$A:$AC,3,FALSE)),""))</f>
        <v>AE Series</v>
      </c>
      <c r="C428" s="12" t="str">
        <f>(IF((VLOOKUP(Table6[[#This Row],[SKU]],'All Skus'!$A:$AC,2,FALSE))="JBL",(VLOOKUP(Table6[[#This Row],[SKU]],'All Skus'!$A:$AC,4,FALSE)),""))</f>
        <v>MTU-895-WH</v>
      </c>
      <c r="D428" s="61" t="str">
        <f>(IF((VLOOKUP(Table6[[#This Row],[SKU]],'All Skus'!$A:$AC,2,FALSE))="JBL",(VLOOKUP(Table6[[#This Row],[SKU]],'All Skus'!$A:$AC,5,FALSE)),""))</f>
        <v>JBL052</v>
      </c>
      <c r="E428" s="137">
        <f>(IF((VLOOKUP(Table6[[#This Row],[SKU]],'All Skus'!$A:$AC,2,FALSE))="JBL",(VLOOKUP(Table6[[#This Row],[SKU]],'All Skus'!$A:$AC,6,FALSE)),""))</f>
        <v>0</v>
      </c>
      <c r="F428" s="61">
        <f>(IF((VLOOKUP(Table6[[#This Row],[SKU]],'All Skus'!$A:$AC,2,FALSE))="JBL",(VLOOKUP(Table6[[#This Row],[SKU]],'All Skus'!$A:$AC,7,FALSE)),""))</f>
        <v>0</v>
      </c>
      <c r="G428" t="str">
        <f>(IF((VLOOKUP(Table6[[#This Row],[SKU]],'All Skus'!$A:$AC,2,FALSE))="JBL",(VLOOKUP(Table6[[#This Row],[SKU]],'All Skus'!$A:$AC,8,FALSE)),""))</f>
        <v>U BRACKET FOR AC895</v>
      </c>
      <c r="H428" s="8" t="str">
        <f>(IF((VLOOKUP(Table6[[#This Row],[SKU]],'All Skus'!$A:$AC,2,FALSE))="JBL",(VLOOKUP(Table6[[#This Row],[SKU]],'All Skus'!$A:$AC,9,FALSE)),""))</f>
        <v>U Bracket for AC895, White</v>
      </c>
      <c r="I428" s="101">
        <f>(IF((VLOOKUP(Table6[[#This Row],[SKU]],'All Skus'!$A:$AC,2,FALSE))="JBL",(VLOOKUP(Table6[[#This Row],[SKU]],'All Skus'!$A:$AC,10,FALSE)),""))</f>
        <v>130</v>
      </c>
      <c r="J428" s="101">
        <f>(IF((VLOOKUP(Table6[[#This Row],[SKU]],'All Skus'!$A:$AC,2,FALSE))="JBL",(VLOOKUP(Table6[[#This Row],[SKU]],'All Skus'!$A:$AC,11,FALSE)),""))</f>
        <v>130</v>
      </c>
      <c r="K428" s="102">
        <f>(IF((VLOOKUP(Table6[[#This Row],[SKU]],'All Skus'!$A:$AC,2,FALSE))="JBL",(VLOOKUP(Table6[[#This Row],[SKU]],'All Skus'!$A:$AC,13,FALSE)),""))</f>
        <v>0</v>
      </c>
      <c r="L428" s="102">
        <f>(IF((VLOOKUP(Table6[[#This Row],[SKU]],'All Skus'!$A:$AC,2,FALSE))="JBL",(VLOOKUP(Table6[[#This Row],[SKU]],'All Skus'!$A:$AC,14,FALSE)),""))</f>
        <v>0</v>
      </c>
      <c r="M428" s="143">
        <f>(IF((VLOOKUP(Table6[[#This Row],[SKU]],'All Skus'!$A:$AC,2,FALSE))="JBL",(VLOOKUP(Table6[[#This Row],[SKU]],'All Skus'!$A:$AC,15,FALSE)),""))</f>
        <v>0</v>
      </c>
      <c r="N428" s="137">
        <f>(IF((VLOOKUP(Table6[[#This Row],[SKU]],'All Skus'!$A:$AC,2,FALSE))="JBL",(VLOOKUP(Table6[[#This Row],[SKU]],'All Skus'!$A:$AC,16,FALSE)),""))</f>
        <v>691991002304</v>
      </c>
      <c r="O428" s="61">
        <f>(IF((VLOOKUP(Table6[[#This Row],[SKU]],'All Skus'!$A:$AC,2,FALSE))="JBL",(VLOOKUP(Table6[[#This Row],[SKU]],'All Skus'!$A:$AC,17,FALSE)),""))</f>
        <v>0</v>
      </c>
      <c r="P428" s="136">
        <f>(IF((VLOOKUP(Table6[[#This Row],[SKU]],'All Skus'!$A:$AC,2,FALSE))="JBL",(VLOOKUP(Table6[[#This Row],[SKU]],'All Skus'!$A:$AC,18,FALSE)),""))</f>
        <v>15</v>
      </c>
      <c r="Q428" s="136">
        <f>(IF((VLOOKUP(Table6[[#This Row],[SKU]],'All Skus'!$A:$AC,2,FALSE))="JBL",(VLOOKUP(Table6[[#This Row],[SKU]],'All Skus'!$A:$AC,19,FALSE)),""))</f>
        <v>20</v>
      </c>
      <c r="R428" s="136">
        <f>(IF((VLOOKUP(Table6[[#This Row],[SKU]],'All Skus'!$A:$AC,2,FALSE))="JBL",(VLOOKUP(Table6[[#This Row],[SKU]],'All Skus'!$A:$AC,20,FALSE)),""))</f>
        <v>11</v>
      </c>
      <c r="S428" s="61">
        <f>(IF((VLOOKUP(Table6[[#This Row],[SKU]],'All Skus'!$A:$AC,2,FALSE))="JBL",(VLOOKUP(Table6[[#This Row],[SKU]],'All Skus'!$A:$AC,21,FALSE)),""))</f>
        <v>4</v>
      </c>
      <c r="T428" s="61" t="str">
        <f>(IF((VLOOKUP(Table6[[#This Row],[SKU]],'All Skus'!$A:$AC,2,FALSE))="JBL",(VLOOKUP(Table6[[#This Row],[SKU]],'All Skus'!$A:$AC,22,FALSE)),""))</f>
        <v>CN</v>
      </c>
      <c r="U428" t="str">
        <f>(IF((VLOOKUP(Table6[[#This Row],[SKU]],'All Skus'!$A:$AC,2,FALSE))="JBL",(VLOOKUP(Table6[[#This Row],[SKU]],'All Skus'!$A:$AC,23,FALSE)),""))</f>
        <v>Non Compliant</v>
      </c>
      <c r="V428" s="284" t="str">
        <f>HYPERLINK((IF((VLOOKUP(Table6[[#This Row],[SKU]],'All Skus'!$A:$AC,2,FALSE))="JBL",(VLOOKUP(Table6[[#This Row],[SKU]],'All Skus'!$A:$AC,24,FALSE)),"")))</f>
        <v/>
      </c>
      <c r="W428" s="151">
        <v>426</v>
      </c>
    </row>
    <row r="429" spans="1:23" ht="15" hidden="1" customHeight="1">
      <c r="A429" s="13" t="s">
        <v>1435</v>
      </c>
      <c r="B429" s="12" t="str">
        <f>(IF((VLOOKUP(Table6[[#This Row],[SKU]],'All Skus'!$A:$AC,2,FALSE))="JBL",(VLOOKUP(Table6[[#This Row],[SKU]],'All Skus'!$A:$AC,3,FALSE)),""))</f>
        <v>AE Series</v>
      </c>
      <c r="C429" s="12" t="str">
        <f>(IF((VLOOKUP(Table6[[#This Row],[SKU]],'All Skus'!$A:$AC,2,FALSE))="JBL",(VLOOKUP(Table6[[#This Row],[SKU]],'All Skus'!$A:$AC,4,FALSE)),""))</f>
        <v>OSB-1</v>
      </c>
      <c r="D429" s="61" t="str">
        <f>(IF((VLOOKUP(Table6[[#This Row],[SKU]],'All Skus'!$A:$AC,2,FALSE))="JBL",(VLOOKUP(Table6[[#This Row],[SKU]],'All Skus'!$A:$AC,5,FALSE)),""))</f>
        <v>JBL052</v>
      </c>
      <c r="E429" s="137">
        <f>(IF((VLOOKUP(Table6[[#This Row],[SKU]],'All Skus'!$A:$AC,2,FALSE))="JBL",(VLOOKUP(Table6[[#This Row],[SKU]],'All Skus'!$A:$AC,6,FALSE)),""))</f>
        <v>0</v>
      </c>
      <c r="F429" s="61">
        <f>(IF((VLOOKUP(Table6[[#This Row],[SKU]],'All Skus'!$A:$AC,2,FALSE))="JBL",(VLOOKUP(Table6[[#This Row],[SKU]],'All Skus'!$A:$AC,7,FALSE)),""))</f>
        <v>0</v>
      </c>
      <c r="G429" t="str">
        <f>(IF((VLOOKUP(Table6[[#This Row],[SKU]],'All Skus'!$A:$AC,2,FALSE))="JBL",(VLOOKUP(Table6[[#This Row],[SKU]],'All Skus'!$A:$AC,8,FALSE)),""))</f>
        <v>OVERHEAD SUSPENSION BRACKET</v>
      </c>
      <c r="H429" s="8" t="str">
        <f>(IF((VLOOKUP(Table6[[#This Row],[SKU]],'All Skus'!$A:$AC,2,FALSE))="JBL",(VLOOKUP(Table6[[#This Row],[SKU]],'All Skus'!$A:$AC,9,FALSE)),""))</f>
        <v>Overhead suspension bracket for AC895, AC195,AC266,AC299,AC566, and AC599, Blk</v>
      </c>
      <c r="I429" s="101">
        <f>(IF((VLOOKUP(Table6[[#This Row],[SKU]],'All Skus'!$A:$AC,2,FALSE))="JBL",(VLOOKUP(Table6[[#This Row],[SKU]],'All Skus'!$A:$AC,10,FALSE)),""))</f>
        <v>50.93</v>
      </c>
      <c r="J429" s="101">
        <f>(IF((VLOOKUP(Table6[[#This Row],[SKU]],'All Skus'!$A:$AC,2,FALSE))="JBL",(VLOOKUP(Table6[[#This Row],[SKU]],'All Skus'!$A:$AC,11,FALSE)),""))</f>
        <v>37</v>
      </c>
      <c r="K429" s="102">
        <f>(IF((VLOOKUP(Table6[[#This Row],[SKU]],'All Skus'!$A:$AC,2,FALSE))="JBL",(VLOOKUP(Table6[[#This Row],[SKU]],'All Skus'!$A:$AC,13,FALSE)),""))</f>
        <v>0</v>
      </c>
      <c r="L429" s="102">
        <f>(IF((VLOOKUP(Table6[[#This Row],[SKU]],'All Skus'!$A:$AC,2,FALSE))="JBL",(VLOOKUP(Table6[[#This Row],[SKU]],'All Skus'!$A:$AC,14,FALSE)),""))</f>
        <v>0</v>
      </c>
      <c r="M429" s="143">
        <f>(IF((VLOOKUP(Table6[[#This Row],[SKU]],'All Skus'!$A:$AC,2,FALSE))="JBL",(VLOOKUP(Table6[[#This Row],[SKU]],'All Skus'!$A:$AC,15,FALSE)),""))</f>
        <v>0</v>
      </c>
      <c r="N429" s="137">
        <f>(IF((VLOOKUP(Table6[[#This Row],[SKU]],'All Skus'!$A:$AC,2,FALSE))="JBL",(VLOOKUP(Table6[[#This Row],[SKU]],'All Skus'!$A:$AC,16,FALSE)),""))</f>
        <v>691991002342</v>
      </c>
      <c r="O429" s="61">
        <f>(IF((VLOOKUP(Table6[[#This Row],[SKU]],'All Skus'!$A:$AC,2,FALSE))="JBL",(VLOOKUP(Table6[[#This Row],[SKU]],'All Skus'!$A:$AC,17,FALSE)),""))</f>
        <v>0</v>
      </c>
      <c r="P429" s="136">
        <f>(IF((VLOOKUP(Table6[[#This Row],[SKU]],'All Skus'!$A:$AC,2,FALSE))="JBL",(VLOOKUP(Table6[[#This Row],[SKU]],'All Skus'!$A:$AC,18,FALSE)),""))</f>
        <v>12</v>
      </c>
      <c r="Q429" s="136">
        <f>(IF((VLOOKUP(Table6[[#This Row],[SKU]],'All Skus'!$A:$AC,2,FALSE))="JBL",(VLOOKUP(Table6[[#This Row],[SKU]],'All Skus'!$A:$AC,19,FALSE)),""))</f>
        <v>25</v>
      </c>
      <c r="R429" s="136">
        <f>(IF((VLOOKUP(Table6[[#This Row],[SKU]],'All Skus'!$A:$AC,2,FALSE))="JBL",(VLOOKUP(Table6[[#This Row],[SKU]],'All Skus'!$A:$AC,20,FALSE)),""))</f>
        <v>13</v>
      </c>
      <c r="S429" s="61">
        <f>(IF((VLOOKUP(Table6[[#This Row],[SKU]],'All Skus'!$A:$AC,2,FALSE))="JBL",(VLOOKUP(Table6[[#This Row],[SKU]],'All Skus'!$A:$AC,21,FALSE)),""))</f>
        <v>4</v>
      </c>
      <c r="T429" s="61" t="str">
        <f>(IF((VLOOKUP(Table6[[#This Row],[SKU]],'All Skus'!$A:$AC,2,FALSE))="JBL",(VLOOKUP(Table6[[#This Row],[SKU]],'All Skus'!$A:$AC,22,FALSE)),""))</f>
        <v>CN</v>
      </c>
      <c r="U429" t="str">
        <f>(IF((VLOOKUP(Table6[[#This Row],[SKU]],'All Skus'!$A:$AC,2,FALSE))="JBL",(VLOOKUP(Table6[[#This Row],[SKU]],'All Skus'!$A:$AC,23,FALSE)),""))</f>
        <v>Non Compliant</v>
      </c>
      <c r="V429" s="284" t="str">
        <f>HYPERLINK((IF((VLOOKUP(Table6[[#This Row],[SKU]],'All Skus'!$A:$AC,2,FALSE))="JBL",(VLOOKUP(Table6[[#This Row],[SKU]],'All Skus'!$A:$AC,24,FALSE)),"")))</f>
        <v/>
      </c>
      <c r="W429" s="151">
        <v>427</v>
      </c>
    </row>
    <row r="430" spans="1:23" ht="15" hidden="1" customHeight="1">
      <c r="A430" s="13" t="s">
        <v>1436</v>
      </c>
      <c r="B430" s="12" t="str">
        <f>(IF((VLOOKUP(Table6[[#This Row],[SKU]],'All Skus'!$A:$AC,2,FALSE))="JBL",(VLOOKUP(Table6[[#This Row],[SKU]],'All Skus'!$A:$AC,3,FALSE)),""))</f>
        <v>AE Series</v>
      </c>
      <c r="C430" s="12" t="str">
        <f>(IF((VLOOKUP(Table6[[#This Row],[SKU]],'All Skus'!$A:$AC,2,FALSE))="JBL",(VLOOKUP(Table6[[#This Row],[SKU]],'All Skus'!$A:$AC,4,FALSE)),""))</f>
        <v>OSB-1-WH</v>
      </c>
      <c r="D430" s="61" t="str">
        <f>(IF((VLOOKUP(Table6[[#This Row],[SKU]],'All Skus'!$A:$AC,2,FALSE))="JBL",(VLOOKUP(Table6[[#This Row],[SKU]],'All Skus'!$A:$AC,5,FALSE)),""))</f>
        <v>JBL052</v>
      </c>
      <c r="E430" s="137">
        <f>(IF((VLOOKUP(Table6[[#This Row],[SKU]],'All Skus'!$A:$AC,2,FALSE))="JBL",(VLOOKUP(Table6[[#This Row],[SKU]],'All Skus'!$A:$AC,6,FALSE)),""))</f>
        <v>0</v>
      </c>
      <c r="F430" s="61">
        <f>(IF((VLOOKUP(Table6[[#This Row],[SKU]],'All Skus'!$A:$AC,2,FALSE))="JBL",(VLOOKUP(Table6[[#This Row],[SKU]],'All Skus'!$A:$AC,7,FALSE)),""))</f>
        <v>0</v>
      </c>
      <c r="G430" t="str">
        <f>(IF((VLOOKUP(Table6[[#This Row],[SKU]],'All Skus'!$A:$AC,2,FALSE))="JBL",(VLOOKUP(Table6[[#This Row],[SKU]],'All Skus'!$A:$AC,8,FALSE)),""))</f>
        <v>OVERHEAD SUSPENSION BRACKET</v>
      </c>
      <c r="H430" s="8" t="str">
        <f>(IF((VLOOKUP(Table6[[#This Row],[SKU]],'All Skus'!$A:$AC,2,FALSE))="JBL",(VLOOKUP(Table6[[#This Row],[SKU]],'All Skus'!$A:$AC,9,FALSE)),""))</f>
        <v>Overhead suspension bracket for AC895, AC195,AC266,AC299,AC566, and AC599, White</v>
      </c>
      <c r="I430" s="101">
        <f>(IF((VLOOKUP(Table6[[#This Row],[SKU]],'All Skus'!$A:$AC,2,FALSE))="JBL",(VLOOKUP(Table6[[#This Row],[SKU]],'All Skus'!$A:$AC,10,FALSE)),""))</f>
        <v>50.93</v>
      </c>
      <c r="J430" s="101">
        <f>(IF((VLOOKUP(Table6[[#This Row],[SKU]],'All Skus'!$A:$AC,2,FALSE))="JBL",(VLOOKUP(Table6[[#This Row],[SKU]],'All Skus'!$A:$AC,11,FALSE)),""))</f>
        <v>37</v>
      </c>
      <c r="K430" s="102">
        <f>(IF((VLOOKUP(Table6[[#This Row],[SKU]],'All Skus'!$A:$AC,2,FALSE))="JBL",(VLOOKUP(Table6[[#This Row],[SKU]],'All Skus'!$A:$AC,13,FALSE)),""))</f>
        <v>0</v>
      </c>
      <c r="L430" s="102">
        <f>(IF((VLOOKUP(Table6[[#This Row],[SKU]],'All Skus'!$A:$AC,2,FALSE))="JBL",(VLOOKUP(Table6[[#This Row],[SKU]],'All Skus'!$A:$AC,14,FALSE)),""))</f>
        <v>0</v>
      </c>
      <c r="M430" s="143">
        <f>(IF((VLOOKUP(Table6[[#This Row],[SKU]],'All Skus'!$A:$AC,2,FALSE))="JBL",(VLOOKUP(Table6[[#This Row],[SKU]],'All Skus'!$A:$AC,15,FALSE)),""))</f>
        <v>0</v>
      </c>
      <c r="N430" s="137">
        <f>(IF((VLOOKUP(Table6[[#This Row],[SKU]],'All Skus'!$A:$AC,2,FALSE))="JBL",(VLOOKUP(Table6[[#This Row],[SKU]],'All Skus'!$A:$AC,16,FALSE)),""))</f>
        <v>691991002359</v>
      </c>
      <c r="O430" s="61">
        <f>(IF((VLOOKUP(Table6[[#This Row],[SKU]],'All Skus'!$A:$AC,2,FALSE))="JBL",(VLOOKUP(Table6[[#This Row],[SKU]],'All Skus'!$A:$AC,17,FALSE)),""))</f>
        <v>0</v>
      </c>
      <c r="P430" s="136">
        <f>(IF((VLOOKUP(Table6[[#This Row],[SKU]],'All Skus'!$A:$AC,2,FALSE))="JBL",(VLOOKUP(Table6[[#This Row],[SKU]],'All Skus'!$A:$AC,18,FALSE)),""))</f>
        <v>2.2999999999999998</v>
      </c>
      <c r="Q430" s="136">
        <f>(IF((VLOOKUP(Table6[[#This Row],[SKU]],'All Skus'!$A:$AC,2,FALSE))="JBL",(VLOOKUP(Table6[[#This Row],[SKU]],'All Skus'!$A:$AC,19,FALSE)),""))</f>
        <v>12</v>
      </c>
      <c r="R430" s="136">
        <f>(IF((VLOOKUP(Table6[[#This Row],[SKU]],'All Skus'!$A:$AC,2,FALSE))="JBL",(VLOOKUP(Table6[[#This Row],[SKU]],'All Skus'!$A:$AC,20,FALSE)),""))</f>
        <v>5.25</v>
      </c>
      <c r="S430" s="61">
        <f>(IF((VLOOKUP(Table6[[#This Row],[SKU]],'All Skus'!$A:$AC,2,FALSE))="JBL",(VLOOKUP(Table6[[#This Row],[SKU]],'All Skus'!$A:$AC,21,FALSE)),""))</f>
        <v>3.25</v>
      </c>
      <c r="T430" s="61" t="str">
        <f>(IF((VLOOKUP(Table6[[#This Row],[SKU]],'All Skus'!$A:$AC,2,FALSE))="JBL",(VLOOKUP(Table6[[#This Row],[SKU]],'All Skus'!$A:$AC,22,FALSE)),""))</f>
        <v>CN</v>
      </c>
      <c r="U430" t="str">
        <f>(IF((VLOOKUP(Table6[[#This Row],[SKU]],'All Skus'!$A:$AC,2,FALSE))="JBL",(VLOOKUP(Table6[[#This Row],[SKU]],'All Skus'!$A:$AC,23,FALSE)),""))</f>
        <v>Non Compliant</v>
      </c>
      <c r="V430" s="284" t="str">
        <f>HYPERLINK((IF((VLOOKUP(Table6[[#This Row],[SKU]],'All Skus'!$A:$AC,2,FALSE))="JBL",(VLOOKUP(Table6[[#This Row],[SKU]],'All Skus'!$A:$AC,24,FALSE)),"")))</f>
        <v/>
      </c>
      <c r="W430" s="151">
        <v>428</v>
      </c>
    </row>
    <row r="431" spans="1:23" ht="15" hidden="1" customHeight="1">
      <c r="A431" s="13" t="s">
        <v>1437</v>
      </c>
      <c r="B431" s="12" t="str">
        <f>(IF((VLOOKUP(Table6[[#This Row],[SKU]],'All Skus'!$A:$AC,2,FALSE))="JBL",(VLOOKUP(Table6[[#This Row],[SKU]],'All Skus'!$A:$AC,3,FALSE)),""))</f>
        <v>AE Series</v>
      </c>
      <c r="C431" s="12" t="str">
        <f>(IF((VLOOKUP(Table6[[#This Row],[SKU]],'All Skus'!$A:$AC,2,FALSE))="JBL",(VLOOKUP(Table6[[#This Row],[SKU]],'All Skus'!$A:$AC,4,FALSE)),""))</f>
        <v>WMB-100</v>
      </c>
      <c r="D431" s="61" t="str">
        <f>(IF((VLOOKUP(Table6[[#This Row],[SKU]],'All Skus'!$A:$AC,2,FALSE))="JBL",(VLOOKUP(Table6[[#This Row],[SKU]],'All Skus'!$A:$AC,5,FALSE)),""))</f>
        <v>JBL052</v>
      </c>
      <c r="E431" s="137">
        <f>(IF((VLOOKUP(Table6[[#This Row],[SKU]],'All Skus'!$A:$AC,2,FALSE))="JBL",(VLOOKUP(Table6[[#This Row],[SKU]],'All Skus'!$A:$AC,6,FALSE)),""))</f>
        <v>0</v>
      </c>
      <c r="F431" s="61">
        <f>(IF((VLOOKUP(Table6[[#This Row],[SKU]],'All Skus'!$A:$AC,2,FALSE))="JBL",(VLOOKUP(Table6[[#This Row],[SKU]],'All Skus'!$A:$AC,7,FALSE)),""))</f>
        <v>0</v>
      </c>
      <c r="G431" t="str">
        <f>(IF((VLOOKUP(Table6[[#This Row],[SKU]],'All Skus'!$A:$AC,2,FALSE))="JBL",(VLOOKUP(Table6[[#This Row],[SKU]],'All Skus'!$A:$AC,8,FALSE)),""))</f>
        <v>WALL MOUNT BRACKET FOR AC895, AC195, AC266, AC299, AC566, AC599</v>
      </c>
      <c r="H431" s="8" t="str">
        <f>(IF((VLOOKUP(Table6[[#This Row],[SKU]],'All Skus'!$A:$AC,2,FALSE))="JBL",(VLOOKUP(Table6[[#This Row],[SKU]],'All Skus'!$A:$AC,9,FALSE)),""))</f>
        <v>Wall mount bracket for AC895, AC195, AC266, AC299, AC566, and AC599, Blk</v>
      </c>
      <c r="I431" s="101">
        <f>(IF((VLOOKUP(Table6[[#This Row],[SKU]],'All Skus'!$A:$AC,2,FALSE))="JBL",(VLOOKUP(Table6[[#This Row],[SKU]],'All Skus'!$A:$AC,10,FALSE)),""))</f>
        <v>189.14</v>
      </c>
      <c r="J431" s="101">
        <f>(IF((VLOOKUP(Table6[[#This Row],[SKU]],'All Skus'!$A:$AC,2,FALSE))="JBL",(VLOOKUP(Table6[[#This Row],[SKU]],'All Skus'!$A:$AC,11,FALSE)),""))</f>
        <v>133</v>
      </c>
      <c r="K431" s="102">
        <f>(IF((VLOOKUP(Table6[[#This Row],[SKU]],'All Skus'!$A:$AC,2,FALSE))="JBL",(VLOOKUP(Table6[[#This Row],[SKU]],'All Skus'!$A:$AC,13,FALSE)),""))</f>
        <v>0</v>
      </c>
      <c r="L431" s="102">
        <f>(IF((VLOOKUP(Table6[[#This Row],[SKU]],'All Skus'!$A:$AC,2,FALSE))="JBL",(VLOOKUP(Table6[[#This Row],[SKU]],'All Skus'!$A:$AC,14,FALSE)),""))</f>
        <v>0</v>
      </c>
      <c r="M431" s="143">
        <f>(IF((VLOOKUP(Table6[[#This Row],[SKU]],'All Skus'!$A:$AC,2,FALSE))="JBL",(VLOOKUP(Table6[[#This Row],[SKU]],'All Skus'!$A:$AC,15,FALSE)),""))</f>
        <v>0</v>
      </c>
      <c r="N431" s="137">
        <f>(IF((VLOOKUP(Table6[[#This Row],[SKU]],'All Skus'!$A:$AC,2,FALSE))="JBL",(VLOOKUP(Table6[[#This Row],[SKU]],'All Skus'!$A:$AC,16,FALSE)),""))</f>
        <v>691991002243</v>
      </c>
      <c r="O431" s="61">
        <f>(IF((VLOOKUP(Table6[[#This Row],[SKU]],'All Skus'!$A:$AC,2,FALSE))="JBL",(VLOOKUP(Table6[[#This Row],[SKU]],'All Skus'!$A:$AC,17,FALSE)),""))</f>
        <v>0</v>
      </c>
      <c r="P431" s="136">
        <f>(IF((VLOOKUP(Table6[[#This Row],[SKU]],'All Skus'!$A:$AC,2,FALSE))="JBL",(VLOOKUP(Table6[[#This Row],[SKU]],'All Skus'!$A:$AC,18,FALSE)),""))</f>
        <v>8.5</v>
      </c>
      <c r="Q431" s="136">
        <f>(IF((VLOOKUP(Table6[[#This Row],[SKU]],'All Skus'!$A:$AC,2,FALSE))="JBL",(VLOOKUP(Table6[[#This Row],[SKU]],'All Skus'!$A:$AC,19,FALSE)),""))</f>
        <v>10</v>
      </c>
      <c r="R431" s="136">
        <f>(IF((VLOOKUP(Table6[[#This Row],[SKU]],'All Skus'!$A:$AC,2,FALSE))="JBL",(VLOOKUP(Table6[[#This Row],[SKU]],'All Skus'!$A:$AC,20,FALSE)),""))</f>
        <v>8.5</v>
      </c>
      <c r="S431" s="61">
        <f>(IF((VLOOKUP(Table6[[#This Row],[SKU]],'All Skus'!$A:$AC,2,FALSE))="JBL",(VLOOKUP(Table6[[#This Row],[SKU]],'All Skus'!$A:$AC,21,FALSE)),""))</f>
        <v>7.75</v>
      </c>
      <c r="T431" s="61" t="str">
        <f>(IF((VLOOKUP(Table6[[#This Row],[SKU]],'All Skus'!$A:$AC,2,FALSE))="JBL",(VLOOKUP(Table6[[#This Row],[SKU]],'All Skus'!$A:$AC,22,FALSE)),""))</f>
        <v>CN</v>
      </c>
      <c r="U431">
        <f>(IF((VLOOKUP(Table6[[#This Row],[SKU]],'All Skus'!$A:$AC,2,FALSE))="JBL",(VLOOKUP(Table6[[#This Row],[SKU]],'All Skus'!$A:$AC,23,FALSE)),""))</f>
        <v>0</v>
      </c>
      <c r="V431" s="284" t="str">
        <f>HYPERLINK((IF((VLOOKUP(Table6[[#This Row],[SKU]],'All Skus'!$A:$AC,2,FALSE))="JBL",(VLOOKUP(Table6[[#This Row],[SKU]],'All Skus'!$A:$AC,24,FALSE)),"")))</f>
        <v/>
      </c>
      <c r="W431" s="151">
        <v>429</v>
      </c>
    </row>
    <row r="432" spans="1:23" ht="15" hidden="1" customHeight="1">
      <c r="A432" s="13" t="s">
        <v>1438</v>
      </c>
      <c r="B432" s="12" t="str">
        <f>(IF((VLOOKUP(Table6[[#This Row],[SKU]],'All Skus'!$A:$AC,2,FALSE))="JBL",(VLOOKUP(Table6[[#This Row],[SKU]],'All Skus'!$A:$AC,3,FALSE)),""))</f>
        <v>AE Series</v>
      </c>
      <c r="C432" s="12" t="str">
        <f>(IF((VLOOKUP(Table6[[#This Row],[SKU]],'All Skus'!$A:$AC,2,FALSE))="JBL",(VLOOKUP(Table6[[#This Row],[SKU]],'All Skus'!$A:$AC,4,FALSE)),""))</f>
        <v>WMB-100-WH</v>
      </c>
      <c r="D432" s="61" t="str">
        <f>(IF((VLOOKUP(Table6[[#This Row],[SKU]],'All Skus'!$A:$AC,2,FALSE))="JBL",(VLOOKUP(Table6[[#This Row],[SKU]],'All Skus'!$A:$AC,5,FALSE)),""))</f>
        <v>JBL052</v>
      </c>
      <c r="E432" s="137">
        <f>(IF((VLOOKUP(Table6[[#This Row],[SKU]],'All Skus'!$A:$AC,2,FALSE))="JBL",(VLOOKUP(Table6[[#This Row],[SKU]],'All Skus'!$A:$AC,6,FALSE)),""))</f>
        <v>0</v>
      </c>
      <c r="F432" s="61">
        <f>(IF((VLOOKUP(Table6[[#This Row],[SKU]],'All Skus'!$A:$AC,2,FALSE))="JBL",(VLOOKUP(Table6[[#This Row],[SKU]],'All Skus'!$A:$AC,7,FALSE)),""))</f>
        <v>0</v>
      </c>
      <c r="G432" t="str">
        <f>(IF((VLOOKUP(Table6[[#This Row],[SKU]],'All Skus'!$A:$AC,2,FALSE))="JBL",(VLOOKUP(Table6[[#This Row],[SKU]],'All Skus'!$A:$AC,8,FALSE)),""))</f>
        <v>WALL MOUNT BRACKET FOR AC895, AC195, AC266, AC299, AC566, AC599</v>
      </c>
      <c r="H432" s="8" t="str">
        <f>(IF((VLOOKUP(Table6[[#This Row],[SKU]],'All Skus'!$A:$AC,2,FALSE))="JBL",(VLOOKUP(Table6[[#This Row],[SKU]],'All Skus'!$A:$AC,9,FALSE)),""))</f>
        <v>Wall mount bracket for AC895, AC195, AC266, AC299, AC566, and AC599, White</v>
      </c>
      <c r="I432" s="101">
        <f>(IF((VLOOKUP(Table6[[#This Row],[SKU]],'All Skus'!$A:$AC,2,FALSE))="JBL",(VLOOKUP(Table6[[#This Row],[SKU]],'All Skus'!$A:$AC,10,FALSE)),""))</f>
        <v>189.14</v>
      </c>
      <c r="J432" s="101">
        <f>(IF((VLOOKUP(Table6[[#This Row],[SKU]],'All Skus'!$A:$AC,2,FALSE))="JBL",(VLOOKUP(Table6[[#This Row],[SKU]],'All Skus'!$A:$AC,11,FALSE)),""))</f>
        <v>133</v>
      </c>
      <c r="K432" s="102">
        <f>(IF((VLOOKUP(Table6[[#This Row],[SKU]],'All Skus'!$A:$AC,2,FALSE))="JBL",(VLOOKUP(Table6[[#This Row],[SKU]],'All Skus'!$A:$AC,13,FALSE)),""))</f>
        <v>0</v>
      </c>
      <c r="L432" s="102">
        <f>(IF((VLOOKUP(Table6[[#This Row],[SKU]],'All Skus'!$A:$AC,2,FALSE))="JBL",(VLOOKUP(Table6[[#This Row],[SKU]],'All Skus'!$A:$AC,14,FALSE)),""))</f>
        <v>0</v>
      </c>
      <c r="M432" s="143">
        <f>(IF((VLOOKUP(Table6[[#This Row],[SKU]],'All Skus'!$A:$AC,2,FALSE))="JBL",(VLOOKUP(Table6[[#This Row],[SKU]],'All Skus'!$A:$AC,15,FALSE)),""))</f>
        <v>0</v>
      </c>
      <c r="N432" s="137">
        <f>(IF((VLOOKUP(Table6[[#This Row],[SKU]],'All Skus'!$A:$AC,2,FALSE))="JBL",(VLOOKUP(Table6[[#This Row],[SKU]],'All Skus'!$A:$AC,16,FALSE)),""))</f>
        <v>691991002250</v>
      </c>
      <c r="O432" s="61">
        <f>(IF((VLOOKUP(Table6[[#This Row],[SKU]],'All Skus'!$A:$AC,2,FALSE))="JBL",(VLOOKUP(Table6[[#This Row],[SKU]],'All Skus'!$A:$AC,17,FALSE)),""))</f>
        <v>0</v>
      </c>
      <c r="P432" s="136">
        <f>(IF((VLOOKUP(Table6[[#This Row],[SKU]],'All Skus'!$A:$AC,2,FALSE))="JBL",(VLOOKUP(Table6[[#This Row],[SKU]],'All Skus'!$A:$AC,18,FALSE)),""))</f>
        <v>8.5</v>
      </c>
      <c r="Q432" s="136">
        <f>(IF((VLOOKUP(Table6[[#This Row],[SKU]],'All Skus'!$A:$AC,2,FALSE))="JBL",(VLOOKUP(Table6[[#This Row],[SKU]],'All Skus'!$A:$AC,19,FALSE)),""))</f>
        <v>8.5</v>
      </c>
      <c r="R432" s="136">
        <f>(IF((VLOOKUP(Table6[[#This Row],[SKU]],'All Skus'!$A:$AC,2,FALSE))="JBL",(VLOOKUP(Table6[[#This Row],[SKU]],'All Skus'!$A:$AC,20,FALSE)),""))</f>
        <v>10</v>
      </c>
      <c r="S432" s="61">
        <f>(IF((VLOOKUP(Table6[[#This Row],[SKU]],'All Skus'!$A:$AC,2,FALSE))="JBL",(VLOOKUP(Table6[[#This Row],[SKU]],'All Skus'!$A:$AC,21,FALSE)),""))</f>
        <v>7.75</v>
      </c>
      <c r="T432" s="61" t="str">
        <f>(IF((VLOOKUP(Table6[[#This Row],[SKU]],'All Skus'!$A:$AC,2,FALSE))="JBL",(VLOOKUP(Table6[[#This Row],[SKU]],'All Skus'!$A:$AC,22,FALSE)),""))</f>
        <v>CN</v>
      </c>
      <c r="U432">
        <f>(IF((VLOOKUP(Table6[[#This Row],[SKU]],'All Skus'!$A:$AC,2,FALSE))="JBL",(VLOOKUP(Table6[[#This Row],[SKU]],'All Skus'!$A:$AC,23,FALSE)),""))</f>
        <v>0</v>
      </c>
      <c r="V432" s="284" t="str">
        <f>HYPERLINK((IF((VLOOKUP(Table6[[#This Row],[SKU]],'All Skus'!$A:$AC,2,FALSE))="JBL",(VLOOKUP(Table6[[#This Row],[SKU]],'All Skus'!$A:$AC,24,FALSE)),"")))</f>
        <v/>
      </c>
      <c r="W432" s="151">
        <v>430</v>
      </c>
    </row>
    <row r="433" spans="1:23" ht="15" hidden="1" customHeight="1">
      <c r="A433" s="104" t="s">
        <v>1439</v>
      </c>
      <c r="B433" s="12">
        <f>(IF((VLOOKUP(Table6[[#This Row],[SKU]],'All Skus'!$A:$AC,2,FALSE))="JBL",(VLOOKUP(Table6[[#This Row],[SKU]],'All Skus'!$A:$AC,3,FALSE)),""))</f>
        <v>0</v>
      </c>
      <c r="C433" s="12">
        <f>(IF((VLOOKUP(Table6[[#This Row],[SKU]],'All Skus'!$A:$AC,2,FALSE))="JBL",(VLOOKUP(Table6[[#This Row],[SKU]],'All Skus'!$A:$AC,4,FALSE)),""))</f>
        <v>0</v>
      </c>
      <c r="D433" s="61">
        <f>(IF((VLOOKUP(Table6[[#This Row],[SKU]],'All Skus'!$A:$AC,2,FALSE))="JBL",(VLOOKUP(Table6[[#This Row],[SKU]],'All Skus'!$A:$AC,5,FALSE)),""))</f>
        <v>0</v>
      </c>
      <c r="E433" s="137">
        <f>(IF((VLOOKUP(Table6[[#This Row],[SKU]],'All Skus'!$A:$AC,2,FALSE))="JBL",(VLOOKUP(Table6[[#This Row],[SKU]],'All Skus'!$A:$AC,6,FALSE)),""))</f>
        <v>0</v>
      </c>
      <c r="F433" s="61">
        <f>(IF((VLOOKUP(Table6[[#This Row],[SKU]],'All Skus'!$A:$AC,2,FALSE))="JBL",(VLOOKUP(Table6[[#This Row],[SKU]],'All Skus'!$A:$AC,7,FALSE)),""))</f>
        <v>0</v>
      </c>
      <c r="G433">
        <f>(IF((VLOOKUP(Table6[[#This Row],[SKU]],'All Skus'!$A:$AC,2,FALSE))="JBL",(VLOOKUP(Table6[[#This Row],[SKU]],'All Skus'!$A:$AC,8,FALSE)),""))</f>
        <v>0</v>
      </c>
      <c r="H433" s="8">
        <f>(IF((VLOOKUP(Table6[[#This Row],[SKU]],'All Skus'!$A:$AC,2,FALSE))="JBL",(VLOOKUP(Table6[[#This Row],[SKU]],'All Skus'!$A:$AC,9,FALSE)),""))</f>
        <v>0</v>
      </c>
      <c r="I433" s="101">
        <f>(IF((VLOOKUP(Table6[[#This Row],[SKU]],'All Skus'!$A:$AC,2,FALSE))="JBL",(VLOOKUP(Table6[[#This Row],[SKU]],'All Skus'!$A:$AC,10,FALSE)),""))</f>
        <v>0</v>
      </c>
      <c r="J433" s="101">
        <f>(IF((VLOOKUP(Table6[[#This Row],[SKU]],'All Skus'!$A:$AC,2,FALSE))="JBL",(VLOOKUP(Table6[[#This Row],[SKU]],'All Skus'!$A:$AC,11,FALSE)),""))</f>
        <v>0</v>
      </c>
      <c r="K433" s="102">
        <f>(IF((VLOOKUP(Table6[[#This Row],[SKU]],'All Skus'!$A:$AC,2,FALSE))="JBL",(VLOOKUP(Table6[[#This Row],[SKU]],'All Skus'!$A:$AC,13,FALSE)),""))</f>
        <v>0</v>
      </c>
      <c r="L433" s="102">
        <f>(IF((VLOOKUP(Table6[[#This Row],[SKU]],'All Skus'!$A:$AC,2,FALSE))="JBL",(VLOOKUP(Table6[[#This Row],[SKU]],'All Skus'!$A:$AC,14,FALSE)),""))</f>
        <v>0</v>
      </c>
      <c r="M433" s="143">
        <f>(IF((VLOOKUP(Table6[[#This Row],[SKU]],'All Skus'!$A:$AC,2,FALSE))="JBL",(VLOOKUP(Table6[[#This Row],[SKU]],'All Skus'!$A:$AC,15,FALSE)),""))</f>
        <v>0</v>
      </c>
      <c r="N433" s="137">
        <f>(IF((VLOOKUP(Table6[[#This Row],[SKU]],'All Skus'!$A:$AC,2,FALSE))="JBL",(VLOOKUP(Table6[[#This Row],[SKU]],'All Skus'!$A:$AC,16,FALSE)),""))</f>
        <v>0</v>
      </c>
      <c r="O433" s="61">
        <f>(IF((VLOOKUP(Table6[[#This Row],[SKU]],'All Skus'!$A:$AC,2,FALSE))="JBL",(VLOOKUP(Table6[[#This Row],[SKU]],'All Skus'!$A:$AC,17,FALSE)),""))</f>
        <v>0</v>
      </c>
      <c r="P433" s="136">
        <f>(IF((VLOOKUP(Table6[[#This Row],[SKU]],'All Skus'!$A:$AC,2,FALSE))="JBL",(VLOOKUP(Table6[[#This Row],[SKU]],'All Skus'!$A:$AC,18,FALSE)),""))</f>
        <v>0</v>
      </c>
      <c r="Q433" s="136">
        <f>(IF((VLOOKUP(Table6[[#This Row],[SKU]],'All Skus'!$A:$AC,2,FALSE))="JBL",(VLOOKUP(Table6[[#This Row],[SKU]],'All Skus'!$A:$AC,19,FALSE)),""))</f>
        <v>0</v>
      </c>
      <c r="R433" s="136">
        <f>(IF((VLOOKUP(Table6[[#This Row],[SKU]],'All Skus'!$A:$AC,2,FALSE))="JBL",(VLOOKUP(Table6[[#This Row],[SKU]],'All Skus'!$A:$AC,20,FALSE)),""))</f>
        <v>0</v>
      </c>
      <c r="S433" s="61">
        <f>(IF((VLOOKUP(Table6[[#This Row],[SKU]],'All Skus'!$A:$AC,2,FALSE))="JBL",(VLOOKUP(Table6[[#This Row],[SKU]],'All Skus'!$A:$AC,21,FALSE)),""))</f>
        <v>0</v>
      </c>
      <c r="T433" s="61" t="str">
        <f>(IF((VLOOKUP(Table6[[#This Row],[SKU]],'All Skus'!$A:$AC,2,FALSE))="JBL",(VLOOKUP(Table6[[#This Row],[SKU]],'All Skus'!$A:$AC,22,FALSE)),""))</f>
        <v>MX</v>
      </c>
      <c r="U433" t="str">
        <f>(IF((VLOOKUP(Table6[[#This Row],[SKU]],'All Skus'!$A:$AC,2,FALSE))="JBL",(VLOOKUP(Table6[[#This Row],[SKU]],'All Skus'!$A:$AC,23,FALSE)),""))</f>
        <v>Compliant</v>
      </c>
      <c r="V433" s="284" t="str">
        <f>HYPERLINK((IF((VLOOKUP(Table6[[#This Row],[SKU]],'All Skus'!$A:$AC,2,FALSE))="JBL",(VLOOKUP(Table6[[#This Row],[SKU]],'All Skus'!$A:$AC,24,FALSE)),"")))</f>
        <v/>
      </c>
      <c r="W433" s="151">
        <v>431</v>
      </c>
    </row>
    <row r="434" spans="1:23" ht="15" hidden="1" customHeight="1">
      <c r="A434" s="13" t="s">
        <v>1440</v>
      </c>
      <c r="B434" s="12" t="str">
        <f>(IF((VLOOKUP(Table6[[#This Row],[SKU]],'All Skus'!$A:$AC,2,FALSE))="JBL",(VLOOKUP(Table6[[#This Row],[SKU]],'All Skus'!$A:$AC,3,FALSE)),""))</f>
        <v>AE Series</v>
      </c>
      <c r="C434" s="12" t="str">
        <f>(IF((VLOOKUP(Table6[[#This Row],[SKU]],'All Skus'!$A:$AC,2,FALSE))="JBL",(VLOOKUP(Table6[[#This Row],[SKU]],'All Skus'!$A:$AC,4,FALSE)),""))</f>
        <v>AC2212/00</v>
      </c>
      <c r="D434" s="61" t="str">
        <f>(IF((VLOOKUP(Table6[[#This Row],[SKU]],'All Skus'!$A:$AC,2,FALSE))="JBL",(VLOOKUP(Table6[[#This Row],[SKU]],'All Skus'!$A:$AC,5,FALSE)),""))</f>
        <v>JBL052</v>
      </c>
      <c r="E434" s="137">
        <f>(IF((VLOOKUP(Table6[[#This Row],[SKU]],'All Skus'!$A:$AC,2,FALSE))="JBL",(VLOOKUP(Table6[[#This Row],[SKU]],'All Skus'!$A:$AC,6,FALSE)),""))</f>
        <v>0</v>
      </c>
      <c r="F434" s="61" t="str">
        <f>(IF((VLOOKUP(Table6[[#This Row],[SKU]],'All Skus'!$A:$AC,2,FALSE))="JBL",(VLOOKUP(Table6[[#This Row],[SKU]],'All Skus'!$A:$AC,7,FALSE)),""))</f>
        <v>Limited Quantity</v>
      </c>
      <c r="G434" t="str">
        <f>(IF((VLOOKUP(Table6[[#This Row],[SKU]],'All Skus'!$A:$AC,2,FALSE))="JBL",(VLOOKUP(Table6[[#This Row],[SKU]],'All Skus'!$A:$AC,8,FALSE)),""))</f>
        <v>12" 2-WAY 100X100 DEG SPEAKER</v>
      </c>
      <c r="H434" s="8" t="str">
        <f>(IF((VLOOKUP(Table6[[#This Row],[SKU]],'All Skus'!$A:$AC,2,FALSE))="JBL",(VLOOKUP(Table6[[#This Row],[SKU]],'All Skus'!$A:$AC,9,FALSE)),""))</f>
        <v>Compact 2-Way Loudspeaker with 1 x 12" LF. 100° x  100° Coverage, Bi-Amp/Passive Switchable.  Compact  PT™ Progressive Transition™ Waveguide.  Suspension Eyebolts Not Included.  Optional U-Bracket Model MTU-4.  Optional Planar Array Frame Kit PAF-2K 3 Wide Array With ASB6118 Subwoofer Center.</v>
      </c>
      <c r="I434" s="101">
        <f>(IF((VLOOKUP(Table6[[#This Row],[SKU]],'All Skus'!$A:$AC,2,FALSE))="JBL",(VLOOKUP(Table6[[#This Row],[SKU]],'All Skus'!$A:$AC,10,FALSE)),""))</f>
        <v>1490</v>
      </c>
      <c r="J434" s="101">
        <f>(IF((VLOOKUP(Table6[[#This Row],[SKU]],'All Skus'!$A:$AC,2,FALSE))="JBL",(VLOOKUP(Table6[[#This Row],[SKU]],'All Skus'!$A:$AC,11,FALSE)),""))</f>
        <v>1490</v>
      </c>
      <c r="K434" s="102">
        <f>(IF((VLOOKUP(Table6[[#This Row],[SKU]],'All Skus'!$A:$AC,2,FALSE))="JBL",(VLOOKUP(Table6[[#This Row],[SKU]],'All Skus'!$A:$AC,13,FALSE)),""))</f>
        <v>0</v>
      </c>
      <c r="L434" s="102">
        <f>(IF((VLOOKUP(Table6[[#This Row],[SKU]],'All Skus'!$A:$AC,2,FALSE))="JBL",(VLOOKUP(Table6[[#This Row],[SKU]],'All Skus'!$A:$AC,14,FALSE)),""))</f>
        <v>0</v>
      </c>
      <c r="M434" s="143">
        <f>(IF((VLOOKUP(Table6[[#This Row],[SKU]],'All Skus'!$A:$AC,2,FALSE))="JBL",(VLOOKUP(Table6[[#This Row],[SKU]],'All Skus'!$A:$AC,15,FALSE)),""))</f>
        <v>0</v>
      </c>
      <c r="N434" s="137">
        <f>(IF((VLOOKUP(Table6[[#This Row],[SKU]],'All Skus'!$A:$AC,2,FALSE))="JBL",(VLOOKUP(Table6[[#This Row],[SKU]],'All Skus'!$A:$AC,16,FALSE)),""))</f>
        <v>691991010644</v>
      </c>
      <c r="O434" s="61">
        <f>(IF((VLOOKUP(Table6[[#This Row],[SKU]],'All Skus'!$A:$AC,2,FALSE))="JBL",(VLOOKUP(Table6[[#This Row],[SKU]],'All Skus'!$A:$AC,17,FALSE)),""))</f>
        <v>0</v>
      </c>
      <c r="P434" s="136">
        <f>(IF((VLOOKUP(Table6[[#This Row],[SKU]],'All Skus'!$A:$AC,2,FALSE))="JBL",(VLOOKUP(Table6[[#This Row],[SKU]],'All Skus'!$A:$AC,18,FALSE)),""))</f>
        <v>49.35</v>
      </c>
      <c r="Q434" s="136">
        <f>(IF((VLOOKUP(Table6[[#This Row],[SKU]],'All Skus'!$A:$AC,2,FALSE))="JBL",(VLOOKUP(Table6[[#This Row],[SKU]],'All Skus'!$A:$AC,19,FALSE)),""))</f>
        <v>15</v>
      </c>
      <c r="R434" s="136">
        <f>(IF((VLOOKUP(Table6[[#This Row],[SKU]],'All Skus'!$A:$AC,2,FALSE))="JBL",(VLOOKUP(Table6[[#This Row],[SKU]],'All Skus'!$A:$AC,20,FALSE)),""))</f>
        <v>15</v>
      </c>
      <c r="S434" s="61">
        <f>(IF((VLOOKUP(Table6[[#This Row],[SKU]],'All Skus'!$A:$AC,2,FALSE))="JBL",(VLOOKUP(Table6[[#This Row],[SKU]],'All Skus'!$A:$AC,21,FALSE)),""))</f>
        <v>23</v>
      </c>
      <c r="T434" s="61" t="str">
        <f>(IF((VLOOKUP(Table6[[#This Row],[SKU]],'All Skus'!$A:$AC,2,FALSE))="JBL",(VLOOKUP(Table6[[#This Row],[SKU]],'All Skus'!$A:$AC,22,FALSE)),""))</f>
        <v>MX</v>
      </c>
      <c r="U434" t="str">
        <f>(IF((VLOOKUP(Table6[[#This Row],[SKU]],'All Skus'!$A:$AC,2,FALSE))="JBL",(VLOOKUP(Table6[[#This Row],[SKU]],'All Skus'!$A:$AC,23,FALSE)),""))</f>
        <v>Compliant</v>
      </c>
      <c r="V434" s="284" t="str">
        <f>HYPERLINK((IF((VLOOKUP(Table6[[#This Row],[SKU]],'All Skus'!$A:$AC,2,FALSE))="JBL",(VLOOKUP(Table6[[#This Row],[SKU]],'All Skus'!$A:$AC,24,FALSE)),"")))</f>
        <v/>
      </c>
      <c r="W434" s="151">
        <v>432</v>
      </c>
    </row>
    <row r="435" spans="1:23" ht="15" hidden="1" customHeight="1">
      <c r="A435" s="13" t="s">
        <v>1441</v>
      </c>
      <c r="B435" s="12" t="str">
        <f>(IF((VLOOKUP(Table6[[#This Row],[SKU]],'All Skus'!$A:$AC,2,FALSE))="JBL",(VLOOKUP(Table6[[#This Row],[SKU]],'All Skus'!$A:$AC,3,FALSE)),""))</f>
        <v>AE Series</v>
      </c>
      <c r="C435" s="12" t="str">
        <f>(IF((VLOOKUP(Table6[[#This Row],[SKU]],'All Skus'!$A:$AC,2,FALSE))="JBL",(VLOOKUP(Table6[[#This Row],[SKU]],'All Skus'!$A:$AC,4,FALSE)),""))</f>
        <v>AC2212/00-WH</v>
      </c>
      <c r="D435" s="61" t="str">
        <f>(IF((VLOOKUP(Table6[[#This Row],[SKU]],'All Skus'!$A:$AC,2,FALSE))="JBL",(VLOOKUP(Table6[[#This Row],[SKU]],'All Skus'!$A:$AC,5,FALSE)),""))</f>
        <v>JBL052</v>
      </c>
      <c r="E435" s="137">
        <f>(IF((VLOOKUP(Table6[[#This Row],[SKU]],'All Skus'!$A:$AC,2,FALSE))="JBL",(VLOOKUP(Table6[[#This Row],[SKU]],'All Skus'!$A:$AC,6,FALSE)),""))</f>
        <v>0</v>
      </c>
      <c r="F435" s="61" t="str">
        <f>(IF((VLOOKUP(Table6[[#This Row],[SKU]],'All Skus'!$A:$AC,2,FALSE))="JBL",(VLOOKUP(Table6[[#This Row],[SKU]],'All Skus'!$A:$AC,7,FALSE)),""))</f>
        <v>Limited Quantity</v>
      </c>
      <c r="G435" t="str">
        <f>(IF((VLOOKUP(Table6[[#This Row],[SKU]],'All Skus'!$A:$AC,2,FALSE))="JBL",(VLOOKUP(Table6[[#This Row],[SKU]],'All Skus'!$A:$AC,8,FALSE)),""))</f>
        <v>12" 2-WAY 100X100 DEG SPEAKER (white)</v>
      </c>
      <c r="H435" s="8" t="str">
        <f>(IF((VLOOKUP(Table6[[#This Row],[SKU]],'All Skus'!$A:$AC,2,FALSE))="JBL",(VLOOKUP(Table6[[#This Row],[SKU]],'All Skus'!$A:$AC,9,FALSE)),""))</f>
        <v xml:space="preserve">Compact 2-Way Loudspeaker with 1 x 12" LF. 100° x  100° Coverage, Bi-Amp/Passive Switchable.  Compact  PT™ Progressive Transition™ Waveguide.  Suspension Eyebolts Not Included.  Optional U-Bracket Model MTU-4.  </v>
      </c>
      <c r="I435" s="101">
        <f>(IF((VLOOKUP(Table6[[#This Row],[SKU]],'All Skus'!$A:$AC,2,FALSE))="JBL",(VLOOKUP(Table6[[#This Row],[SKU]],'All Skus'!$A:$AC,10,FALSE)),""))</f>
        <v>1630</v>
      </c>
      <c r="J435" s="101">
        <f>(IF((VLOOKUP(Table6[[#This Row],[SKU]],'All Skus'!$A:$AC,2,FALSE))="JBL",(VLOOKUP(Table6[[#This Row],[SKU]],'All Skus'!$A:$AC,11,FALSE)),""))</f>
        <v>1630</v>
      </c>
      <c r="K435" s="102">
        <f>(IF((VLOOKUP(Table6[[#This Row],[SKU]],'All Skus'!$A:$AC,2,FALSE))="JBL",(VLOOKUP(Table6[[#This Row],[SKU]],'All Skus'!$A:$AC,13,FALSE)),""))</f>
        <v>0</v>
      </c>
      <c r="L435" s="102">
        <f>(IF((VLOOKUP(Table6[[#This Row],[SKU]],'All Skus'!$A:$AC,2,FALSE))="JBL",(VLOOKUP(Table6[[#This Row],[SKU]],'All Skus'!$A:$AC,14,FALSE)),""))</f>
        <v>0</v>
      </c>
      <c r="M435" s="143">
        <f>(IF((VLOOKUP(Table6[[#This Row],[SKU]],'All Skus'!$A:$AC,2,FALSE))="JBL",(VLOOKUP(Table6[[#This Row],[SKU]],'All Skus'!$A:$AC,15,FALSE)),""))</f>
        <v>0</v>
      </c>
      <c r="N435" s="137">
        <f>(IF((VLOOKUP(Table6[[#This Row],[SKU]],'All Skus'!$A:$AC,2,FALSE))="JBL",(VLOOKUP(Table6[[#This Row],[SKU]],'All Skus'!$A:$AC,16,FALSE)),""))</f>
        <v>691991010651</v>
      </c>
      <c r="O435" s="61">
        <f>(IF((VLOOKUP(Table6[[#This Row],[SKU]],'All Skus'!$A:$AC,2,FALSE))="JBL",(VLOOKUP(Table6[[#This Row],[SKU]],'All Skus'!$A:$AC,17,FALSE)),""))</f>
        <v>0</v>
      </c>
      <c r="P435" s="136">
        <f>(IF((VLOOKUP(Table6[[#This Row],[SKU]],'All Skus'!$A:$AC,2,FALSE))="JBL",(VLOOKUP(Table6[[#This Row],[SKU]],'All Skus'!$A:$AC,18,FALSE)),""))</f>
        <v>50</v>
      </c>
      <c r="Q435" s="136">
        <f>(IF((VLOOKUP(Table6[[#This Row],[SKU]],'All Skus'!$A:$AC,2,FALSE))="JBL",(VLOOKUP(Table6[[#This Row],[SKU]],'All Skus'!$A:$AC,19,FALSE)),""))</f>
        <v>15</v>
      </c>
      <c r="R435" s="136">
        <f>(IF((VLOOKUP(Table6[[#This Row],[SKU]],'All Skus'!$A:$AC,2,FALSE))="JBL",(VLOOKUP(Table6[[#This Row],[SKU]],'All Skus'!$A:$AC,20,FALSE)),""))</f>
        <v>15</v>
      </c>
      <c r="S435" s="61">
        <f>(IF((VLOOKUP(Table6[[#This Row],[SKU]],'All Skus'!$A:$AC,2,FALSE))="JBL",(VLOOKUP(Table6[[#This Row],[SKU]],'All Skus'!$A:$AC,21,FALSE)),""))</f>
        <v>23</v>
      </c>
      <c r="T435" s="61" t="str">
        <f>(IF((VLOOKUP(Table6[[#This Row],[SKU]],'All Skus'!$A:$AC,2,FALSE))="JBL",(VLOOKUP(Table6[[#This Row],[SKU]],'All Skus'!$A:$AC,22,FALSE)),""))</f>
        <v>MX</v>
      </c>
      <c r="U435" t="str">
        <f>(IF((VLOOKUP(Table6[[#This Row],[SKU]],'All Skus'!$A:$AC,2,FALSE))="JBL",(VLOOKUP(Table6[[#This Row],[SKU]],'All Skus'!$A:$AC,23,FALSE)),""))</f>
        <v>Compliant</v>
      </c>
      <c r="V435" s="284" t="str">
        <f>HYPERLINK((IF((VLOOKUP(Table6[[#This Row],[SKU]],'All Skus'!$A:$AC,2,FALSE))="JBL",(VLOOKUP(Table6[[#This Row],[SKU]],'All Skus'!$A:$AC,24,FALSE)),"")))</f>
        <v/>
      </c>
      <c r="W435" s="151">
        <v>433</v>
      </c>
    </row>
    <row r="436" spans="1:23" ht="15" hidden="1" customHeight="1">
      <c r="A436" s="13" t="s">
        <v>1442</v>
      </c>
      <c r="B436" s="12" t="str">
        <f>(IF((VLOOKUP(Table6[[#This Row],[SKU]],'All Skus'!$A:$AC,2,FALSE))="JBL",(VLOOKUP(Table6[[#This Row],[SKU]],'All Skus'!$A:$AC,3,FALSE)),""))</f>
        <v>AE Series</v>
      </c>
      <c r="C436" s="12" t="str">
        <f>(IF((VLOOKUP(Table6[[#This Row],[SKU]],'All Skus'!$A:$AC,2,FALSE))="JBL",(VLOOKUP(Table6[[#This Row],[SKU]],'All Skus'!$A:$AC,4,FALSE)),""))</f>
        <v>AC2212/95</v>
      </c>
      <c r="D436" s="61" t="str">
        <f>(IF((VLOOKUP(Table6[[#This Row],[SKU]],'All Skus'!$A:$AC,2,FALSE))="JBL",(VLOOKUP(Table6[[#This Row],[SKU]],'All Skus'!$A:$AC,5,FALSE)),""))</f>
        <v>JBL052</v>
      </c>
      <c r="E436" s="137">
        <f>(IF((VLOOKUP(Table6[[#This Row],[SKU]],'All Skus'!$A:$AC,2,FALSE))="JBL",(VLOOKUP(Table6[[#This Row],[SKU]],'All Skus'!$A:$AC,6,FALSE)),""))</f>
        <v>0</v>
      </c>
      <c r="F436" s="61" t="str">
        <f>(IF((VLOOKUP(Table6[[#This Row],[SKU]],'All Skus'!$A:$AC,2,FALSE))="JBL",(VLOOKUP(Table6[[#This Row],[SKU]],'All Skus'!$A:$AC,7,FALSE)),""))</f>
        <v>Limited Quantity</v>
      </c>
      <c r="G436" t="str">
        <f>(IF((VLOOKUP(Table6[[#This Row],[SKU]],'All Skus'!$A:$AC,2,FALSE))="JBL",(VLOOKUP(Table6[[#This Row],[SKU]],'All Skus'!$A:$AC,8,FALSE)),""))</f>
        <v>12" 2-WAY 90X50 DEG SPEAKER</v>
      </c>
      <c r="H436" s="8" t="str">
        <f>(IF((VLOOKUP(Table6[[#This Row],[SKU]],'All Skus'!$A:$AC,2,FALSE))="JBL",(VLOOKUP(Table6[[#This Row],[SKU]],'All Skus'!$A:$AC,9,FALSE)),""))</f>
        <v xml:space="preserve">Compact 2-Way Loudspeaker with 1 x 12" LF.  90° x 50° Coverage, Bi-Amp/Passive Switchable.  Compact  PT™ Progressive Transition™ Waveguide.  Suspension Eyebolts Not Included.  Optional U-Bracket Model MTU-4.  </v>
      </c>
      <c r="I436" s="101">
        <f>(IF((VLOOKUP(Table6[[#This Row],[SKU]],'All Skus'!$A:$AC,2,FALSE))="JBL",(VLOOKUP(Table6[[#This Row],[SKU]],'All Skus'!$A:$AC,10,FALSE)),""))</f>
        <v>1420</v>
      </c>
      <c r="J436" s="101">
        <f>(IF((VLOOKUP(Table6[[#This Row],[SKU]],'All Skus'!$A:$AC,2,FALSE))="JBL",(VLOOKUP(Table6[[#This Row],[SKU]],'All Skus'!$A:$AC,11,FALSE)),""))</f>
        <v>1420</v>
      </c>
      <c r="K436" s="102">
        <f>(IF((VLOOKUP(Table6[[#This Row],[SKU]],'All Skus'!$A:$AC,2,FALSE))="JBL",(VLOOKUP(Table6[[#This Row],[SKU]],'All Skus'!$A:$AC,13,FALSE)),""))</f>
        <v>0</v>
      </c>
      <c r="L436" s="102">
        <f>(IF((VLOOKUP(Table6[[#This Row],[SKU]],'All Skus'!$A:$AC,2,FALSE))="JBL",(VLOOKUP(Table6[[#This Row],[SKU]],'All Skus'!$A:$AC,14,FALSE)),""))</f>
        <v>0</v>
      </c>
      <c r="M436" s="143">
        <f>(IF((VLOOKUP(Table6[[#This Row],[SKU]],'All Skus'!$A:$AC,2,FALSE))="JBL",(VLOOKUP(Table6[[#This Row],[SKU]],'All Skus'!$A:$AC,15,FALSE)),""))</f>
        <v>0</v>
      </c>
      <c r="N436" s="137">
        <f>(IF((VLOOKUP(Table6[[#This Row],[SKU]],'All Skus'!$A:$AC,2,FALSE))="JBL",(VLOOKUP(Table6[[#This Row],[SKU]],'All Skus'!$A:$AC,16,FALSE)),""))</f>
        <v>691991010729</v>
      </c>
      <c r="O436" s="61">
        <f>(IF((VLOOKUP(Table6[[#This Row],[SKU]],'All Skus'!$A:$AC,2,FALSE))="JBL",(VLOOKUP(Table6[[#This Row],[SKU]],'All Skus'!$A:$AC,17,FALSE)),""))</f>
        <v>0</v>
      </c>
      <c r="P436" s="136">
        <f>(IF((VLOOKUP(Table6[[#This Row],[SKU]],'All Skus'!$A:$AC,2,FALSE))="JBL",(VLOOKUP(Table6[[#This Row],[SKU]],'All Skus'!$A:$AC,18,FALSE)),""))</f>
        <v>44</v>
      </c>
      <c r="Q436" s="136">
        <f>(IF((VLOOKUP(Table6[[#This Row],[SKU]],'All Skus'!$A:$AC,2,FALSE))="JBL",(VLOOKUP(Table6[[#This Row],[SKU]],'All Skus'!$A:$AC,19,FALSE)),""))</f>
        <v>16</v>
      </c>
      <c r="R436" s="136">
        <f>(IF((VLOOKUP(Table6[[#This Row],[SKU]],'All Skus'!$A:$AC,2,FALSE))="JBL",(VLOOKUP(Table6[[#This Row],[SKU]],'All Skus'!$A:$AC,20,FALSE)),""))</f>
        <v>16</v>
      </c>
      <c r="S436" s="61">
        <f>(IF((VLOOKUP(Table6[[#This Row],[SKU]],'All Skus'!$A:$AC,2,FALSE))="JBL",(VLOOKUP(Table6[[#This Row],[SKU]],'All Skus'!$A:$AC,21,FALSE)),""))</f>
        <v>24</v>
      </c>
      <c r="T436" s="61" t="str">
        <f>(IF((VLOOKUP(Table6[[#This Row],[SKU]],'All Skus'!$A:$AC,2,FALSE))="JBL",(VLOOKUP(Table6[[#This Row],[SKU]],'All Skus'!$A:$AC,22,FALSE)),""))</f>
        <v>MX</v>
      </c>
      <c r="U436" t="str">
        <f>(IF((VLOOKUP(Table6[[#This Row],[SKU]],'All Skus'!$A:$AC,2,FALSE))="JBL",(VLOOKUP(Table6[[#This Row],[SKU]],'All Skus'!$A:$AC,23,FALSE)),""))</f>
        <v>Compliant</v>
      </c>
      <c r="V436" s="284" t="str">
        <f>HYPERLINK((IF((VLOOKUP(Table6[[#This Row],[SKU]],'All Skus'!$A:$AC,2,FALSE))="JBL",(VLOOKUP(Table6[[#This Row],[SKU]],'All Skus'!$A:$AC,24,FALSE)),"")))</f>
        <v/>
      </c>
      <c r="W436" s="151">
        <v>434</v>
      </c>
    </row>
    <row r="437" spans="1:23" ht="15" hidden="1" customHeight="1">
      <c r="A437" s="13" t="s">
        <v>1443</v>
      </c>
      <c r="B437" s="12" t="str">
        <f>(IF((VLOOKUP(Table6[[#This Row],[SKU]],'All Skus'!$A:$AC,2,FALSE))="JBL",(VLOOKUP(Table6[[#This Row],[SKU]],'All Skus'!$A:$AC,3,FALSE)),""))</f>
        <v>AE Series</v>
      </c>
      <c r="C437" s="12" t="str">
        <f>(IF((VLOOKUP(Table6[[#This Row],[SKU]],'All Skus'!$A:$AC,2,FALSE))="JBL",(VLOOKUP(Table6[[#This Row],[SKU]],'All Skus'!$A:$AC,4,FALSE)),""))</f>
        <v>AC2212/95-WH</v>
      </c>
      <c r="D437" s="61" t="str">
        <f>(IF((VLOOKUP(Table6[[#This Row],[SKU]],'All Skus'!$A:$AC,2,FALSE))="JBL",(VLOOKUP(Table6[[#This Row],[SKU]],'All Skus'!$A:$AC,5,FALSE)),""))</f>
        <v>JBL052</v>
      </c>
      <c r="E437" s="137">
        <f>(IF((VLOOKUP(Table6[[#This Row],[SKU]],'All Skus'!$A:$AC,2,FALSE))="JBL",(VLOOKUP(Table6[[#This Row],[SKU]],'All Skus'!$A:$AC,6,FALSE)),""))</f>
        <v>0</v>
      </c>
      <c r="F437" s="61" t="str">
        <f>(IF((VLOOKUP(Table6[[#This Row],[SKU]],'All Skus'!$A:$AC,2,FALSE))="JBL",(VLOOKUP(Table6[[#This Row],[SKU]],'All Skus'!$A:$AC,7,FALSE)),""))</f>
        <v>Limited Quantity</v>
      </c>
      <c r="G437" t="str">
        <f>(IF((VLOOKUP(Table6[[#This Row],[SKU]],'All Skus'!$A:$AC,2,FALSE))="JBL",(VLOOKUP(Table6[[#This Row],[SKU]],'All Skus'!$A:$AC,8,FALSE)),""))</f>
        <v>12" 2-WAY 90X50 DEG SPEAKER (white)</v>
      </c>
      <c r="H437" s="8" t="str">
        <f>(IF((VLOOKUP(Table6[[#This Row],[SKU]],'All Skus'!$A:$AC,2,FALSE))="JBL",(VLOOKUP(Table6[[#This Row],[SKU]],'All Skus'!$A:$AC,9,FALSE)),""))</f>
        <v xml:space="preserve">Compact 2-Way Loudspeaker with 1 x 12" LF.  90° x 50° Coverage, Bi-Amp/Passive Switchable.  Compact  PT™ Progressive Transition™ Waveguide.  Suspension Eyebolts Not Included.  Optional U-Bracket Model MTU-4. </v>
      </c>
      <c r="I437" s="101">
        <f>(IF((VLOOKUP(Table6[[#This Row],[SKU]],'All Skus'!$A:$AC,2,FALSE))="JBL",(VLOOKUP(Table6[[#This Row],[SKU]],'All Skus'!$A:$AC,10,FALSE)),""))</f>
        <v>1420</v>
      </c>
      <c r="J437" s="101">
        <f>(IF((VLOOKUP(Table6[[#This Row],[SKU]],'All Skus'!$A:$AC,2,FALSE))="JBL",(VLOOKUP(Table6[[#This Row],[SKU]],'All Skus'!$A:$AC,11,FALSE)),""))</f>
        <v>1420</v>
      </c>
      <c r="K437" s="102">
        <f>(IF((VLOOKUP(Table6[[#This Row],[SKU]],'All Skus'!$A:$AC,2,FALSE))="JBL",(VLOOKUP(Table6[[#This Row],[SKU]],'All Skus'!$A:$AC,13,FALSE)),""))</f>
        <v>0</v>
      </c>
      <c r="L437" s="102">
        <f>(IF((VLOOKUP(Table6[[#This Row],[SKU]],'All Skus'!$A:$AC,2,FALSE))="JBL",(VLOOKUP(Table6[[#This Row],[SKU]],'All Skus'!$A:$AC,14,FALSE)),""))</f>
        <v>0</v>
      </c>
      <c r="M437" s="143">
        <f>(IF((VLOOKUP(Table6[[#This Row],[SKU]],'All Skus'!$A:$AC,2,FALSE))="JBL",(VLOOKUP(Table6[[#This Row],[SKU]],'All Skus'!$A:$AC,15,FALSE)),""))</f>
        <v>0</v>
      </c>
      <c r="N437" s="137">
        <f>(IF((VLOOKUP(Table6[[#This Row],[SKU]],'All Skus'!$A:$AC,2,FALSE))="JBL",(VLOOKUP(Table6[[#This Row],[SKU]],'All Skus'!$A:$AC,16,FALSE)),""))</f>
        <v>691991010736</v>
      </c>
      <c r="O437" s="61">
        <f>(IF((VLOOKUP(Table6[[#This Row],[SKU]],'All Skus'!$A:$AC,2,FALSE))="JBL",(VLOOKUP(Table6[[#This Row],[SKU]],'All Skus'!$A:$AC,17,FALSE)),""))</f>
        <v>0</v>
      </c>
      <c r="P437" s="136">
        <f>(IF((VLOOKUP(Table6[[#This Row],[SKU]],'All Skus'!$A:$AC,2,FALSE))="JBL",(VLOOKUP(Table6[[#This Row],[SKU]],'All Skus'!$A:$AC,18,FALSE)),""))</f>
        <v>44.5</v>
      </c>
      <c r="Q437" s="136">
        <f>(IF((VLOOKUP(Table6[[#This Row],[SKU]],'All Skus'!$A:$AC,2,FALSE))="JBL",(VLOOKUP(Table6[[#This Row],[SKU]],'All Skus'!$A:$AC,19,FALSE)),""))</f>
        <v>16</v>
      </c>
      <c r="R437" s="136">
        <f>(IF((VLOOKUP(Table6[[#This Row],[SKU]],'All Skus'!$A:$AC,2,FALSE))="JBL",(VLOOKUP(Table6[[#This Row],[SKU]],'All Skus'!$A:$AC,20,FALSE)),""))</f>
        <v>15</v>
      </c>
      <c r="S437" s="61">
        <f>(IF((VLOOKUP(Table6[[#This Row],[SKU]],'All Skus'!$A:$AC,2,FALSE))="JBL",(VLOOKUP(Table6[[#This Row],[SKU]],'All Skus'!$A:$AC,21,FALSE)),""))</f>
        <v>23</v>
      </c>
      <c r="T437" s="61" t="str">
        <f>(IF((VLOOKUP(Table6[[#This Row],[SKU]],'All Skus'!$A:$AC,2,FALSE))="JBL",(VLOOKUP(Table6[[#This Row],[SKU]],'All Skus'!$A:$AC,22,FALSE)),""))</f>
        <v>MX</v>
      </c>
      <c r="U437" t="str">
        <f>(IF((VLOOKUP(Table6[[#This Row],[SKU]],'All Skus'!$A:$AC,2,FALSE))="JBL",(VLOOKUP(Table6[[#This Row],[SKU]],'All Skus'!$A:$AC,23,FALSE)),""))</f>
        <v>Compliant</v>
      </c>
      <c r="V437" s="284" t="str">
        <f>HYPERLINK((IF((VLOOKUP(Table6[[#This Row],[SKU]],'All Skus'!$A:$AC,2,FALSE))="JBL",(VLOOKUP(Table6[[#This Row],[SKU]],'All Skus'!$A:$AC,24,FALSE)),"")))</f>
        <v/>
      </c>
      <c r="W437" s="151">
        <v>435</v>
      </c>
    </row>
    <row r="438" spans="1:23" ht="15" hidden="1" customHeight="1">
      <c r="A438" s="13" t="s">
        <v>1444</v>
      </c>
      <c r="B438" s="12" t="str">
        <f>(IF((VLOOKUP(Table6[[#This Row],[SKU]],'All Skus'!$A:$AC,2,FALSE))="JBL",(VLOOKUP(Table6[[#This Row],[SKU]],'All Skus'!$A:$AC,3,FALSE)),""))</f>
        <v>AE Series</v>
      </c>
      <c r="C438" s="12" t="str">
        <f>(IF((VLOOKUP(Table6[[#This Row],[SKU]],'All Skus'!$A:$AC,2,FALSE))="JBL",(VLOOKUP(Table6[[#This Row],[SKU]],'All Skus'!$A:$AC,4,FALSE)),""))</f>
        <v>AC2215/00-WH</v>
      </c>
      <c r="D438" s="61" t="str">
        <f>(IF((VLOOKUP(Table6[[#This Row],[SKU]],'All Skus'!$A:$AC,2,FALSE))="JBL",(VLOOKUP(Table6[[#This Row],[SKU]],'All Skus'!$A:$AC,5,FALSE)),""))</f>
        <v>JBL052</v>
      </c>
      <c r="E438" s="137">
        <f>(IF((VLOOKUP(Table6[[#This Row],[SKU]],'All Skus'!$A:$AC,2,FALSE))="JBL",(VLOOKUP(Table6[[#This Row],[SKU]],'All Skus'!$A:$AC,6,FALSE)),""))</f>
        <v>0</v>
      </c>
      <c r="F438" s="61" t="str">
        <f>(IF((VLOOKUP(Table6[[#This Row],[SKU]],'All Skus'!$A:$AC,2,FALSE))="JBL",(VLOOKUP(Table6[[#This Row],[SKU]],'All Skus'!$A:$AC,7,FALSE)),""))</f>
        <v>Limited Quantity</v>
      </c>
      <c r="G438" t="str">
        <f>(IF((VLOOKUP(Table6[[#This Row],[SKU]],'All Skus'!$A:$AC,2,FALSE))="JBL",(VLOOKUP(Table6[[#This Row],[SKU]],'All Skus'!$A:$AC,8,FALSE)),""))</f>
        <v>15" 2-WAY 100X100 DEG SPEAKER (white)</v>
      </c>
      <c r="H438" s="8" t="str">
        <f>(IF((VLOOKUP(Table6[[#This Row],[SKU]],'All Skus'!$A:$AC,2,FALSE))="JBL",(VLOOKUP(Table6[[#This Row],[SKU]],'All Skus'!$A:$AC,9,FALSE)),""))</f>
        <v>Compact 2-Way Loudspeaker with 1 x 15" LF.  100° x 100° Coverage, Bi-Amp/Passive Switchable.  Compact  PT™ Progressive Transition™ Waveguide.  Suspension Eyebolts Not Included.  Optional U-Bracket Model MTU-2.  White finish.</v>
      </c>
      <c r="I438" s="101">
        <f>(IF((VLOOKUP(Table6[[#This Row],[SKU]],'All Skus'!$A:$AC,2,FALSE))="JBL",(VLOOKUP(Table6[[#This Row],[SKU]],'All Skus'!$A:$AC,10,FALSE)),""))</f>
        <v>1830</v>
      </c>
      <c r="J438" s="101">
        <f>(IF((VLOOKUP(Table6[[#This Row],[SKU]],'All Skus'!$A:$AC,2,FALSE))="JBL",(VLOOKUP(Table6[[#This Row],[SKU]],'All Skus'!$A:$AC,11,FALSE)),""))</f>
        <v>1830</v>
      </c>
      <c r="K438" s="102">
        <f>(IF((VLOOKUP(Table6[[#This Row],[SKU]],'All Skus'!$A:$AC,2,FALSE))="JBL",(VLOOKUP(Table6[[#This Row],[SKU]],'All Skus'!$A:$AC,13,FALSE)),""))</f>
        <v>0</v>
      </c>
      <c r="L438" s="102">
        <f>(IF((VLOOKUP(Table6[[#This Row],[SKU]],'All Skus'!$A:$AC,2,FALSE))="JBL",(VLOOKUP(Table6[[#This Row],[SKU]],'All Skus'!$A:$AC,14,FALSE)),""))</f>
        <v>0</v>
      </c>
      <c r="M438" s="143">
        <f>(IF((VLOOKUP(Table6[[#This Row],[SKU]],'All Skus'!$A:$AC,2,FALSE))="JBL",(VLOOKUP(Table6[[#This Row],[SKU]],'All Skus'!$A:$AC,15,FALSE)),""))</f>
        <v>0</v>
      </c>
      <c r="N438" s="137">
        <f>(IF((VLOOKUP(Table6[[#This Row],[SKU]],'All Skus'!$A:$AC,2,FALSE))="JBL",(VLOOKUP(Table6[[#This Row],[SKU]],'All Skus'!$A:$AC,16,FALSE)),""))</f>
        <v>691991004025</v>
      </c>
      <c r="O438" s="61">
        <f>(IF((VLOOKUP(Table6[[#This Row],[SKU]],'All Skus'!$A:$AC,2,FALSE))="JBL",(VLOOKUP(Table6[[#This Row],[SKU]],'All Skus'!$A:$AC,17,FALSE)),""))</f>
        <v>0</v>
      </c>
      <c r="P438" s="136">
        <f>(IF((VLOOKUP(Table6[[#This Row],[SKU]],'All Skus'!$A:$AC,2,FALSE))="JBL",(VLOOKUP(Table6[[#This Row],[SKU]],'All Skus'!$A:$AC,18,FALSE)),""))</f>
        <v>64</v>
      </c>
      <c r="Q438" s="136">
        <f>(IF((VLOOKUP(Table6[[#This Row],[SKU]],'All Skus'!$A:$AC,2,FALSE))="JBL",(VLOOKUP(Table6[[#This Row],[SKU]],'All Skus'!$A:$AC,19,FALSE)),""))</f>
        <v>22</v>
      </c>
      <c r="R438" s="136">
        <f>(IF((VLOOKUP(Table6[[#This Row],[SKU]],'All Skus'!$A:$AC,2,FALSE))="JBL",(VLOOKUP(Table6[[#This Row],[SKU]],'All Skus'!$A:$AC,20,FALSE)),""))</f>
        <v>18</v>
      </c>
      <c r="S438" s="61">
        <f>(IF((VLOOKUP(Table6[[#This Row],[SKU]],'All Skus'!$A:$AC,2,FALSE))="JBL",(VLOOKUP(Table6[[#This Row],[SKU]],'All Skus'!$A:$AC,21,FALSE)),""))</f>
        <v>27</v>
      </c>
      <c r="T438" s="61" t="str">
        <f>(IF((VLOOKUP(Table6[[#This Row],[SKU]],'All Skus'!$A:$AC,2,FALSE))="JBL",(VLOOKUP(Table6[[#This Row],[SKU]],'All Skus'!$A:$AC,22,FALSE)),""))</f>
        <v>MX</v>
      </c>
      <c r="U438" t="str">
        <f>(IF((VLOOKUP(Table6[[#This Row],[SKU]],'All Skus'!$A:$AC,2,FALSE))="JBL",(VLOOKUP(Table6[[#This Row],[SKU]],'All Skus'!$A:$AC,23,FALSE)),""))</f>
        <v>Compliant</v>
      </c>
      <c r="V438" s="284" t="str">
        <f>HYPERLINK((IF((VLOOKUP(Table6[[#This Row],[SKU]],'All Skus'!$A:$AC,2,FALSE))="JBL",(VLOOKUP(Table6[[#This Row],[SKU]],'All Skus'!$A:$AC,24,FALSE)),"")))</f>
        <v/>
      </c>
      <c r="W438" s="151">
        <v>436</v>
      </c>
    </row>
    <row r="439" spans="1:23" ht="15" hidden="1" customHeight="1">
      <c r="A439" s="13" t="s">
        <v>1445</v>
      </c>
      <c r="B439" s="12" t="str">
        <f>(IF((VLOOKUP(Table6[[#This Row],[SKU]],'All Skus'!$A:$AC,2,FALSE))="JBL",(VLOOKUP(Table6[[#This Row],[SKU]],'All Skus'!$A:$AC,3,FALSE)),""))</f>
        <v>AE Series</v>
      </c>
      <c r="C439" s="12" t="str">
        <f>(IF((VLOOKUP(Table6[[#This Row],[SKU]],'All Skus'!$A:$AC,2,FALSE))="JBL",(VLOOKUP(Table6[[#This Row],[SKU]],'All Skus'!$A:$AC,4,FALSE)),""))</f>
        <v>AC2215/64</v>
      </c>
      <c r="D439" s="61" t="str">
        <f>(IF((VLOOKUP(Table6[[#This Row],[SKU]],'All Skus'!$A:$AC,2,FALSE))="JBL",(VLOOKUP(Table6[[#This Row],[SKU]],'All Skus'!$A:$AC,5,FALSE)),""))</f>
        <v>JBL052</v>
      </c>
      <c r="E439" s="137">
        <f>(IF((VLOOKUP(Table6[[#This Row],[SKU]],'All Skus'!$A:$AC,2,FALSE))="JBL",(VLOOKUP(Table6[[#This Row],[SKU]],'All Skus'!$A:$AC,6,FALSE)),""))</f>
        <v>0</v>
      </c>
      <c r="F439" s="61" t="str">
        <f>(IF((VLOOKUP(Table6[[#This Row],[SKU]],'All Skus'!$A:$AC,2,FALSE))="JBL",(VLOOKUP(Table6[[#This Row],[SKU]],'All Skus'!$A:$AC,7,FALSE)),""))</f>
        <v>Limited Quantity</v>
      </c>
      <c r="G439" t="str">
        <f>(IF((VLOOKUP(Table6[[#This Row],[SKU]],'All Skus'!$A:$AC,2,FALSE))="JBL",(VLOOKUP(Table6[[#This Row],[SKU]],'All Skus'!$A:$AC,8,FALSE)),""))</f>
        <v>5" 2-WAY 60X40 DEG SPEAKER</v>
      </c>
      <c r="H439" s="8" t="str">
        <f>(IF((VLOOKUP(Table6[[#This Row],[SKU]],'All Skus'!$A:$AC,2,FALSE))="JBL",(VLOOKUP(Table6[[#This Row],[SKU]],'All Skus'!$A:$AC,9,FALSE)),""))</f>
        <v>Compact 2-Way Loudspeaker with 1 x 15" LF.  60° x 40° Coverage, Bi-Amp/Passive Switchable.  Compact  PT™ Progressive Transition™ Waveguide.  Suspension Eyebolts Not Included.  Optional U-Bracket Model MTU-2.</v>
      </c>
      <c r="I439" s="101">
        <f>(IF((VLOOKUP(Table6[[#This Row],[SKU]],'All Skus'!$A:$AC,2,FALSE))="JBL",(VLOOKUP(Table6[[#This Row],[SKU]],'All Skus'!$A:$AC,10,FALSE)),""))</f>
        <v>1550</v>
      </c>
      <c r="J439" s="101">
        <f>(IF((VLOOKUP(Table6[[#This Row],[SKU]],'All Skus'!$A:$AC,2,FALSE))="JBL",(VLOOKUP(Table6[[#This Row],[SKU]],'All Skus'!$A:$AC,11,FALSE)),""))</f>
        <v>1550</v>
      </c>
      <c r="K439" s="102">
        <f>(IF((VLOOKUP(Table6[[#This Row],[SKU]],'All Skus'!$A:$AC,2,FALSE))="JBL",(VLOOKUP(Table6[[#This Row],[SKU]],'All Skus'!$A:$AC,13,FALSE)),""))</f>
        <v>0</v>
      </c>
      <c r="L439" s="102">
        <f>(IF((VLOOKUP(Table6[[#This Row],[SKU]],'All Skus'!$A:$AC,2,FALSE))="JBL",(VLOOKUP(Table6[[#This Row],[SKU]],'All Skus'!$A:$AC,14,FALSE)),""))</f>
        <v>0</v>
      </c>
      <c r="M439" s="143">
        <f>(IF((VLOOKUP(Table6[[#This Row],[SKU]],'All Skus'!$A:$AC,2,FALSE))="JBL",(VLOOKUP(Table6[[#This Row],[SKU]],'All Skus'!$A:$AC,15,FALSE)),""))</f>
        <v>0</v>
      </c>
      <c r="N439" s="137">
        <f>(IF((VLOOKUP(Table6[[#This Row],[SKU]],'All Skus'!$A:$AC,2,FALSE))="JBL",(VLOOKUP(Table6[[#This Row],[SKU]],'All Skus'!$A:$AC,16,FALSE)),""))</f>
        <v>691991010798</v>
      </c>
      <c r="O439" s="61">
        <f>(IF((VLOOKUP(Table6[[#This Row],[SKU]],'All Skus'!$A:$AC,2,FALSE))="JBL",(VLOOKUP(Table6[[#This Row],[SKU]],'All Skus'!$A:$AC,17,FALSE)),""))</f>
        <v>0</v>
      </c>
      <c r="P439" s="136">
        <f>(IF((VLOOKUP(Table6[[#This Row],[SKU]],'All Skus'!$A:$AC,2,FALSE))="JBL",(VLOOKUP(Table6[[#This Row],[SKU]],'All Skus'!$A:$AC,18,FALSE)),""))</f>
        <v>57.4</v>
      </c>
      <c r="Q439" s="136">
        <f>(IF((VLOOKUP(Table6[[#This Row],[SKU]],'All Skus'!$A:$AC,2,FALSE))="JBL",(VLOOKUP(Table6[[#This Row],[SKU]],'All Skus'!$A:$AC,19,FALSE)),""))</f>
        <v>21</v>
      </c>
      <c r="R439" s="136">
        <f>(IF((VLOOKUP(Table6[[#This Row],[SKU]],'All Skus'!$A:$AC,2,FALSE))="JBL",(VLOOKUP(Table6[[#This Row],[SKU]],'All Skus'!$A:$AC,20,FALSE)),""))</f>
        <v>18</v>
      </c>
      <c r="S439" s="61">
        <f>(IF((VLOOKUP(Table6[[#This Row],[SKU]],'All Skus'!$A:$AC,2,FALSE))="JBL",(VLOOKUP(Table6[[#This Row],[SKU]],'All Skus'!$A:$AC,21,FALSE)),""))</f>
        <v>27</v>
      </c>
      <c r="T439" s="61" t="str">
        <f>(IF((VLOOKUP(Table6[[#This Row],[SKU]],'All Skus'!$A:$AC,2,FALSE))="JBL",(VLOOKUP(Table6[[#This Row],[SKU]],'All Skus'!$A:$AC,22,FALSE)),""))</f>
        <v>MX</v>
      </c>
      <c r="U439" t="str">
        <f>(IF((VLOOKUP(Table6[[#This Row],[SKU]],'All Skus'!$A:$AC,2,FALSE))="JBL",(VLOOKUP(Table6[[#This Row],[SKU]],'All Skus'!$A:$AC,23,FALSE)),""))</f>
        <v>Compliant</v>
      </c>
      <c r="V439" s="284" t="str">
        <f>HYPERLINK((IF((VLOOKUP(Table6[[#This Row],[SKU]],'All Skus'!$A:$AC,2,FALSE))="JBL",(VLOOKUP(Table6[[#This Row],[SKU]],'All Skus'!$A:$AC,24,FALSE)),"")))</f>
        <v/>
      </c>
      <c r="W439" s="151">
        <v>437</v>
      </c>
    </row>
    <row r="440" spans="1:23" ht="15" hidden="1" customHeight="1">
      <c r="A440" s="13" t="s">
        <v>1446</v>
      </c>
      <c r="B440" s="12" t="str">
        <f>(IF((VLOOKUP(Table6[[#This Row],[SKU]],'All Skus'!$A:$AC,2,FALSE))="JBL",(VLOOKUP(Table6[[#This Row],[SKU]],'All Skus'!$A:$AC,3,FALSE)),""))</f>
        <v>AE Series</v>
      </c>
      <c r="C440" s="12" t="str">
        <f>(IF((VLOOKUP(Table6[[#This Row],[SKU]],'All Skus'!$A:$AC,2,FALSE))="JBL",(VLOOKUP(Table6[[#This Row],[SKU]],'All Skus'!$A:$AC,4,FALSE)),""))</f>
        <v>AC2215/64-WH</v>
      </c>
      <c r="D440" s="61" t="str">
        <f>(IF((VLOOKUP(Table6[[#This Row],[SKU]],'All Skus'!$A:$AC,2,FALSE))="JBL",(VLOOKUP(Table6[[#This Row],[SKU]],'All Skus'!$A:$AC,5,FALSE)),""))</f>
        <v>JBL052</v>
      </c>
      <c r="E440" s="137">
        <f>(IF((VLOOKUP(Table6[[#This Row],[SKU]],'All Skus'!$A:$AC,2,FALSE))="JBL",(VLOOKUP(Table6[[#This Row],[SKU]],'All Skus'!$A:$AC,6,FALSE)),""))</f>
        <v>0</v>
      </c>
      <c r="F440" s="61" t="str">
        <f>(IF((VLOOKUP(Table6[[#This Row],[SKU]],'All Skus'!$A:$AC,2,FALSE))="JBL",(VLOOKUP(Table6[[#This Row],[SKU]],'All Skus'!$A:$AC,7,FALSE)),""))</f>
        <v>Limited Quantity</v>
      </c>
      <c r="G440" t="str">
        <f>(IF((VLOOKUP(Table6[[#This Row],[SKU]],'All Skus'!$A:$AC,2,FALSE))="JBL",(VLOOKUP(Table6[[#This Row],[SKU]],'All Skus'!$A:$AC,8,FALSE)),""))</f>
        <v>5" 2-WAY 60X40 DEG SPEAKER (white)</v>
      </c>
      <c r="H440" s="8" t="str">
        <f>(IF((VLOOKUP(Table6[[#This Row],[SKU]],'All Skus'!$A:$AC,2,FALSE))="JBL",(VLOOKUP(Table6[[#This Row],[SKU]],'All Skus'!$A:$AC,9,FALSE)),""))</f>
        <v>Compact 2-Way Loudspeaker with 1 x 15" LF.  60° x 40° Coverage, Bi-Amp/Passive Switchable.  Compact  PT™ Progressive Transition™ Waveguide.  Suspension Eyebolts Not Included.  Optional U-Bracket Model MTU-2.  White finish.</v>
      </c>
      <c r="I440" s="101">
        <f>(IF((VLOOKUP(Table6[[#This Row],[SKU]],'All Skus'!$A:$AC,2,FALSE))="JBL",(VLOOKUP(Table6[[#This Row],[SKU]],'All Skus'!$A:$AC,10,FALSE)),""))</f>
        <v>1550</v>
      </c>
      <c r="J440" s="101">
        <f>(IF((VLOOKUP(Table6[[#This Row],[SKU]],'All Skus'!$A:$AC,2,FALSE))="JBL",(VLOOKUP(Table6[[#This Row],[SKU]],'All Skus'!$A:$AC,11,FALSE)),""))</f>
        <v>1550</v>
      </c>
      <c r="K440" s="102">
        <f>(IF((VLOOKUP(Table6[[#This Row],[SKU]],'All Skus'!$A:$AC,2,FALSE))="JBL",(VLOOKUP(Table6[[#This Row],[SKU]],'All Skus'!$A:$AC,13,FALSE)),""))</f>
        <v>0</v>
      </c>
      <c r="L440" s="102">
        <f>(IF((VLOOKUP(Table6[[#This Row],[SKU]],'All Skus'!$A:$AC,2,FALSE))="JBL",(VLOOKUP(Table6[[#This Row],[SKU]],'All Skus'!$A:$AC,14,FALSE)),""))</f>
        <v>0</v>
      </c>
      <c r="M440" s="143">
        <f>(IF((VLOOKUP(Table6[[#This Row],[SKU]],'All Skus'!$A:$AC,2,FALSE))="JBL",(VLOOKUP(Table6[[#This Row],[SKU]],'All Skus'!$A:$AC,15,FALSE)),""))</f>
        <v>0</v>
      </c>
      <c r="N440" s="137">
        <f>(IF((VLOOKUP(Table6[[#This Row],[SKU]],'All Skus'!$A:$AC,2,FALSE))="JBL",(VLOOKUP(Table6[[#This Row],[SKU]],'All Skus'!$A:$AC,16,FALSE)),""))</f>
        <v>691991010804</v>
      </c>
      <c r="O440" s="61">
        <f>(IF((VLOOKUP(Table6[[#This Row],[SKU]],'All Skus'!$A:$AC,2,FALSE))="JBL",(VLOOKUP(Table6[[#This Row],[SKU]],'All Skus'!$A:$AC,17,FALSE)),""))</f>
        <v>0</v>
      </c>
      <c r="P440" s="136">
        <f>(IF((VLOOKUP(Table6[[#This Row],[SKU]],'All Skus'!$A:$AC,2,FALSE))="JBL",(VLOOKUP(Table6[[#This Row],[SKU]],'All Skus'!$A:$AC,18,FALSE)),""))</f>
        <v>61.45</v>
      </c>
      <c r="Q440" s="136">
        <f>(IF((VLOOKUP(Table6[[#This Row],[SKU]],'All Skus'!$A:$AC,2,FALSE))="JBL",(VLOOKUP(Table6[[#This Row],[SKU]],'All Skus'!$A:$AC,19,FALSE)),""))</f>
        <v>20</v>
      </c>
      <c r="R440" s="136">
        <f>(IF((VLOOKUP(Table6[[#This Row],[SKU]],'All Skus'!$A:$AC,2,FALSE))="JBL",(VLOOKUP(Table6[[#This Row],[SKU]],'All Skus'!$A:$AC,20,FALSE)),""))</f>
        <v>18</v>
      </c>
      <c r="S440" s="61">
        <f>(IF((VLOOKUP(Table6[[#This Row],[SKU]],'All Skus'!$A:$AC,2,FALSE))="JBL",(VLOOKUP(Table6[[#This Row],[SKU]],'All Skus'!$A:$AC,21,FALSE)),""))</f>
        <v>27</v>
      </c>
      <c r="T440" s="61" t="str">
        <f>(IF((VLOOKUP(Table6[[#This Row],[SKU]],'All Skus'!$A:$AC,2,FALSE))="JBL",(VLOOKUP(Table6[[#This Row],[SKU]],'All Skus'!$A:$AC,22,FALSE)),""))</f>
        <v>MX</v>
      </c>
      <c r="U440" t="str">
        <f>(IF((VLOOKUP(Table6[[#This Row],[SKU]],'All Skus'!$A:$AC,2,FALSE))="JBL",(VLOOKUP(Table6[[#This Row],[SKU]],'All Skus'!$A:$AC,23,FALSE)),""))</f>
        <v>Compliant</v>
      </c>
      <c r="V440" s="284" t="str">
        <f>HYPERLINK((IF((VLOOKUP(Table6[[#This Row],[SKU]],'All Skus'!$A:$AC,2,FALSE))="JBL",(VLOOKUP(Table6[[#This Row],[SKU]],'All Skus'!$A:$AC,24,FALSE)),"")))</f>
        <v/>
      </c>
      <c r="W440" s="151">
        <v>438</v>
      </c>
    </row>
    <row r="441" spans="1:23" ht="15" hidden="1" customHeight="1">
      <c r="A441" s="13" t="s">
        <v>1447</v>
      </c>
      <c r="B441" s="12" t="str">
        <f>(IF((VLOOKUP(Table6[[#This Row],[SKU]],'All Skus'!$A:$AC,2,FALSE))="JBL",(VLOOKUP(Table6[[#This Row],[SKU]],'All Skus'!$A:$AC,3,FALSE)),""))</f>
        <v>AE Series</v>
      </c>
      <c r="C441" s="12" t="str">
        <f>(IF((VLOOKUP(Table6[[#This Row],[SKU]],'All Skus'!$A:$AC,2,FALSE))="JBL",(VLOOKUP(Table6[[#This Row],[SKU]],'All Skus'!$A:$AC,4,FALSE)),""))</f>
        <v>AC2215/95-WH</v>
      </c>
      <c r="D441" s="61" t="str">
        <f>(IF((VLOOKUP(Table6[[#This Row],[SKU]],'All Skus'!$A:$AC,2,FALSE))="JBL",(VLOOKUP(Table6[[#This Row],[SKU]],'All Skus'!$A:$AC,5,FALSE)),""))</f>
        <v>JBL052</v>
      </c>
      <c r="E441" s="137">
        <f>(IF((VLOOKUP(Table6[[#This Row],[SKU]],'All Skus'!$A:$AC,2,FALSE))="JBL",(VLOOKUP(Table6[[#This Row],[SKU]],'All Skus'!$A:$AC,6,FALSE)),""))</f>
        <v>0</v>
      </c>
      <c r="F441" s="61" t="str">
        <f>(IF((VLOOKUP(Table6[[#This Row],[SKU]],'All Skus'!$A:$AC,2,FALSE))="JBL",(VLOOKUP(Table6[[#This Row],[SKU]],'All Skus'!$A:$AC,7,FALSE)),""))</f>
        <v>Limited Quantity</v>
      </c>
      <c r="G441" t="str">
        <f>(IF((VLOOKUP(Table6[[#This Row],[SKU]],'All Skus'!$A:$AC,2,FALSE))="JBL",(VLOOKUP(Table6[[#This Row],[SKU]],'All Skus'!$A:$AC,8,FALSE)),""))</f>
        <v>15" 2-WAY 90X50 DEG SPEAKER (white)</v>
      </c>
      <c r="H441" s="8" t="str">
        <f>(IF((VLOOKUP(Table6[[#This Row],[SKU]],'All Skus'!$A:$AC,2,FALSE))="JBL",(VLOOKUP(Table6[[#This Row],[SKU]],'All Skus'!$A:$AC,9,FALSE)),""))</f>
        <v>Compact 2-Way Loudspeaker with 1 x 15" LF.  90° x 50° Coverage, Bi-Amp/Passive Switchable.  Compact  PT™ Progressive Transition™ Waveguide.  Suspension Eyebolts Not Included.  Optional U-Bracket Model MTU-2.  White finish.</v>
      </c>
      <c r="I441" s="101">
        <f>(IF((VLOOKUP(Table6[[#This Row],[SKU]],'All Skus'!$A:$AC,2,FALSE))="JBL",(VLOOKUP(Table6[[#This Row],[SKU]],'All Skus'!$A:$AC,10,FALSE)),""))</f>
        <v>1550</v>
      </c>
      <c r="J441" s="101">
        <f>(IF((VLOOKUP(Table6[[#This Row],[SKU]],'All Skus'!$A:$AC,2,FALSE))="JBL",(VLOOKUP(Table6[[#This Row],[SKU]],'All Skus'!$A:$AC,11,FALSE)),""))</f>
        <v>1550</v>
      </c>
      <c r="K441" s="102">
        <f>(IF((VLOOKUP(Table6[[#This Row],[SKU]],'All Skus'!$A:$AC,2,FALSE))="JBL",(VLOOKUP(Table6[[#This Row],[SKU]],'All Skus'!$A:$AC,13,FALSE)),""))</f>
        <v>0</v>
      </c>
      <c r="L441" s="102">
        <f>(IF((VLOOKUP(Table6[[#This Row],[SKU]],'All Skus'!$A:$AC,2,FALSE))="JBL",(VLOOKUP(Table6[[#This Row],[SKU]],'All Skus'!$A:$AC,14,FALSE)),""))</f>
        <v>0</v>
      </c>
      <c r="M441" s="143">
        <f>(IF((VLOOKUP(Table6[[#This Row],[SKU]],'All Skus'!$A:$AC,2,FALSE))="JBL",(VLOOKUP(Table6[[#This Row],[SKU]],'All Skus'!$A:$AC,15,FALSE)),""))</f>
        <v>0</v>
      </c>
      <c r="N441" s="137">
        <f>(IF((VLOOKUP(Table6[[#This Row],[SKU]],'All Skus'!$A:$AC,2,FALSE))="JBL",(VLOOKUP(Table6[[#This Row],[SKU]],'All Skus'!$A:$AC,16,FALSE)),""))</f>
        <v>691991010835</v>
      </c>
      <c r="O441" s="61">
        <f>(IF((VLOOKUP(Table6[[#This Row],[SKU]],'All Skus'!$A:$AC,2,FALSE))="JBL",(VLOOKUP(Table6[[#This Row],[SKU]],'All Skus'!$A:$AC,17,FALSE)),""))</f>
        <v>0</v>
      </c>
      <c r="P441" s="136">
        <f>(IF((VLOOKUP(Table6[[#This Row],[SKU]],'All Skus'!$A:$AC,2,FALSE))="JBL",(VLOOKUP(Table6[[#This Row],[SKU]],'All Skus'!$A:$AC,18,FALSE)),""))</f>
        <v>57.4</v>
      </c>
      <c r="Q441" s="136">
        <f>(IF((VLOOKUP(Table6[[#This Row],[SKU]],'All Skus'!$A:$AC,2,FALSE))="JBL",(VLOOKUP(Table6[[#This Row],[SKU]],'All Skus'!$A:$AC,19,FALSE)),""))</f>
        <v>21</v>
      </c>
      <c r="R441" s="136">
        <f>(IF((VLOOKUP(Table6[[#This Row],[SKU]],'All Skus'!$A:$AC,2,FALSE))="JBL",(VLOOKUP(Table6[[#This Row],[SKU]],'All Skus'!$A:$AC,20,FALSE)),""))</f>
        <v>18</v>
      </c>
      <c r="S441" s="61">
        <f>(IF((VLOOKUP(Table6[[#This Row],[SKU]],'All Skus'!$A:$AC,2,FALSE))="JBL",(VLOOKUP(Table6[[#This Row],[SKU]],'All Skus'!$A:$AC,21,FALSE)),""))</f>
        <v>27</v>
      </c>
      <c r="T441" s="61" t="str">
        <f>(IF((VLOOKUP(Table6[[#This Row],[SKU]],'All Skus'!$A:$AC,2,FALSE))="JBL",(VLOOKUP(Table6[[#This Row],[SKU]],'All Skus'!$A:$AC,22,FALSE)),""))</f>
        <v>MX</v>
      </c>
      <c r="U441" t="str">
        <f>(IF((VLOOKUP(Table6[[#This Row],[SKU]],'All Skus'!$A:$AC,2,FALSE))="JBL",(VLOOKUP(Table6[[#This Row],[SKU]],'All Skus'!$A:$AC,23,FALSE)),""))</f>
        <v>Compliant</v>
      </c>
      <c r="V441" s="284" t="str">
        <f>HYPERLINK((IF((VLOOKUP(Table6[[#This Row],[SKU]],'All Skus'!$A:$AC,2,FALSE))="JBL",(VLOOKUP(Table6[[#This Row],[SKU]],'All Skus'!$A:$AC,24,FALSE)),"")))</f>
        <v/>
      </c>
      <c r="W441" s="151">
        <v>439</v>
      </c>
    </row>
    <row r="442" spans="1:23" ht="15" hidden="1" customHeight="1">
      <c r="A442" s="13" t="s">
        <v>1448</v>
      </c>
      <c r="B442" s="12" t="str">
        <f>(IF((VLOOKUP(Table6[[#This Row],[SKU]],'All Skus'!$A:$AC,2,FALSE))="JBL",(VLOOKUP(Table6[[#This Row],[SKU]],'All Skus'!$A:$AC,3,FALSE)),""))</f>
        <v>Custom Shop</v>
      </c>
      <c r="C442" s="12" t="str">
        <f>(IF((VLOOKUP(Table6[[#This Row],[SKU]],'All Skus'!$A:$AC,2,FALSE))="JBL",(VLOOKUP(Table6[[#This Row],[SKU]],'All Skus'!$A:$AC,4,FALSE)),""))</f>
        <v>AC2215/95-WRC</v>
      </c>
      <c r="D442" s="61" t="str">
        <f>(IF((VLOOKUP(Table6[[#This Row],[SKU]],'All Skus'!$A:$AC,2,FALSE))="JBL",(VLOOKUP(Table6[[#This Row],[SKU]],'All Skus'!$A:$AC,5,FALSE)),""))</f>
        <v>JBL050</v>
      </c>
      <c r="E442" s="137" t="str">
        <f>(IF((VLOOKUP(Table6[[#This Row],[SKU]],'All Skus'!$A:$AC,2,FALSE))="JBL",(VLOOKUP(Table6[[#This Row],[SKU]],'All Skus'!$A:$AC,6,FALSE)),""))</f>
        <v>YES</v>
      </c>
      <c r="F442" s="61">
        <f>(IF((VLOOKUP(Table6[[#This Row],[SKU]],'All Skus'!$A:$AC,2,FALSE))="JBL",(VLOOKUP(Table6[[#This Row],[SKU]],'All Skus'!$A:$AC,7,FALSE)),""))</f>
        <v>0</v>
      </c>
      <c r="G442" t="str">
        <f>(IF((VLOOKUP(Table6[[#This Row],[SKU]],'All Skus'!$A:$AC,2,FALSE))="JBL",(VLOOKUP(Table6[[#This Row],[SKU]],'All Skus'!$A:$AC,8,FALSE)),""))</f>
        <v>15" 2-WAY 90X50 DEG SPEAKER (white)</v>
      </c>
      <c r="H442" s="8" t="str">
        <f>(IF((VLOOKUP(Table6[[#This Row],[SKU]],'All Skus'!$A:$AC,2,FALSE))="JBL",(VLOOKUP(Table6[[#This Row],[SKU]],'All Skus'!$A:$AC,9,FALSE)),""))</f>
        <v>Compact 2-Way Loudspeaker with 1 x 15" LF.  90° x 50° Coverage, Bi-Amp/Passive Switchable.  Compact  PT™ Progressive Transition™ Waveguide.  Suspension Eyebolts Not Included.  Optional U-Bracket Model MTU-2.  White finish.</v>
      </c>
      <c r="I442" s="101" t="str">
        <f>(IF((VLOOKUP(Table6[[#This Row],[SKU]],'All Skus'!$A:$AC,2,FALSE))="JBL",(VLOOKUP(Table6[[#This Row],[SKU]],'All Skus'!$A:$AC,10,FALSE)),""))</f>
        <v>Please email CustomAudio@harman.com for quote</v>
      </c>
      <c r="J442" s="101">
        <f>(IF((VLOOKUP(Table6[[#This Row],[SKU]],'All Skus'!$A:$AC,2,FALSE))="JBL",(VLOOKUP(Table6[[#This Row],[SKU]],'All Skus'!$A:$AC,11,FALSE)),""))</f>
        <v>0</v>
      </c>
      <c r="K442" s="102">
        <f>(IF((VLOOKUP(Table6[[#This Row],[SKU]],'All Skus'!$A:$AC,2,FALSE))="JBL",(VLOOKUP(Table6[[#This Row],[SKU]],'All Skus'!$A:$AC,13,FALSE)),""))</f>
        <v>0</v>
      </c>
      <c r="L442" s="102">
        <f>(IF((VLOOKUP(Table6[[#This Row],[SKU]],'All Skus'!$A:$AC,2,FALSE))="JBL",(VLOOKUP(Table6[[#This Row],[SKU]],'All Skus'!$A:$AC,14,FALSE)),""))</f>
        <v>0</v>
      </c>
      <c r="M442" s="143">
        <f>(IF((VLOOKUP(Table6[[#This Row],[SKU]],'All Skus'!$A:$AC,2,FALSE))="JBL",(VLOOKUP(Table6[[#This Row],[SKU]],'All Skus'!$A:$AC,15,FALSE)),""))</f>
        <v>0</v>
      </c>
      <c r="N442" s="137">
        <f>(IF((VLOOKUP(Table6[[#This Row],[SKU]],'All Skus'!$A:$AC,2,FALSE))="JBL",(VLOOKUP(Table6[[#This Row],[SKU]],'All Skus'!$A:$AC,16,FALSE)),""))</f>
        <v>691991029011</v>
      </c>
      <c r="O442" s="61">
        <f>(IF((VLOOKUP(Table6[[#This Row],[SKU]],'All Skus'!$A:$AC,2,FALSE))="JBL",(VLOOKUP(Table6[[#This Row],[SKU]],'All Skus'!$A:$AC,17,FALSE)),""))</f>
        <v>0</v>
      </c>
      <c r="P442" s="136">
        <f>(IF((VLOOKUP(Table6[[#This Row],[SKU]],'All Skus'!$A:$AC,2,FALSE))="JBL",(VLOOKUP(Table6[[#This Row],[SKU]],'All Skus'!$A:$AC,18,FALSE)),""))</f>
        <v>15</v>
      </c>
      <c r="Q442" s="136">
        <f>(IF((VLOOKUP(Table6[[#This Row],[SKU]],'All Skus'!$A:$AC,2,FALSE))="JBL",(VLOOKUP(Table6[[#This Row],[SKU]],'All Skus'!$A:$AC,19,FALSE)),""))</f>
        <v>15</v>
      </c>
      <c r="R442" s="136">
        <f>(IF((VLOOKUP(Table6[[#This Row],[SKU]],'All Skus'!$A:$AC,2,FALSE))="JBL",(VLOOKUP(Table6[[#This Row],[SKU]],'All Skus'!$A:$AC,20,FALSE)),""))</f>
        <v>15</v>
      </c>
      <c r="S442" s="61">
        <f>(IF((VLOOKUP(Table6[[#This Row],[SKU]],'All Skus'!$A:$AC,2,FALSE))="JBL",(VLOOKUP(Table6[[#This Row],[SKU]],'All Skus'!$A:$AC,21,FALSE)),""))</f>
        <v>23</v>
      </c>
      <c r="T442" s="61" t="str">
        <f>(IF((VLOOKUP(Table6[[#This Row],[SKU]],'All Skus'!$A:$AC,2,FALSE))="JBL",(VLOOKUP(Table6[[#This Row],[SKU]],'All Skus'!$A:$AC,22,FALSE)),""))</f>
        <v>MX</v>
      </c>
      <c r="U442" t="str">
        <f>(IF((VLOOKUP(Table6[[#This Row],[SKU]],'All Skus'!$A:$AC,2,FALSE))="JBL",(VLOOKUP(Table6[[#This Row],[SKU]],'All Skus'!$A:$AC,23,FALSE)),""))</f>
        <v>Compliant</v>
      </c>
      <c r="V442" s="284" t="str">
        <f>HYPERLINK((IF((VLOOKUP(Table6[[#This Row],[SKU]],'All Skus'!$A:$AC,2,FALSE))="JBL",(VLOOKUP(Table6[[#This Row],[SKU]],'All Skus'!$A:$AC,24,FALSE)),"")))</f>
        <v/>
      </c>
      <c r="W442" s="151">
        <v>440</v>
      </c>
    </row>
    <row r="443" spans="1:23" ht="15" hidden="1" customHeight="1">
      <c r="A443" s="13" t="s">
        <v>1449</v>
      </c>
      <c r="B443" s="12" t="str">
        <f>(IF((VLOOKUP(Table6[[#This Row],[SKU]],'All Skus'!$A:$AC,2,FALSE))="JBL",(VLOOKUP(Table6[[#This Row],[SKU]],'All Skus'!$A:$AC,3,FALSE)),""))</f>
        <v>AE Series</v>
      </c>
      <c r="C443" s="12" t="str">
        <f>(IF((VLOOKUP(Table6[[#This Row],[SKU]],'All Skus'!$A:$AC,2,FALSE))="JBL",(VLOOKUP(Table6[[#This Row],[SKU]],'All Skus'!$A:$AC,4,FALSE)),""))</f>
        <v>ASB4128</v>
      </c>
      <c r="D443" s="61" t="str">
        <f>(IF((VLOOKUP(Table6[[#This Row],[SKU]],'All Skus'!$A:$AC,2,FALSE))="JBL",(VLOOKUP(Table6[[#This Row],[SKU]],'All Skus'!$A:$AC,5,FALSE)),""))</f>
        <v>JBL052</v>
      </c>
      <c r="E443" s="137">
        <f>(IF((VLOOKUP(Table6[[#This Row],[SKU]],'All Skus'!$A:$AC,2,FALSE))="JBL",(VLOOKUP(Table6[[#This Row],[SKU]],'All Skus'!$A:$AC,6,FALSE)),""))</f>
        <v>0</v>
      </c>
      <c r="F443" s="61">
        <f>(IF((VLOOKUP(Table6[[#This Row],[SKU]],'All Skus'!$A:$AC,2,FALSE))="JBL",(VLOOKUP(Table6[[#This Row],[SKU]],'All Skus'!$A:$AC,7,FALSE)),""))</f>
        <v>0</v>
      </c>
      <c r="G443" t="str">
        <f>(IF((VLOOKUP(Table6[[#This Row],[SKU]],'All Skus'!$A:$AC,2,FALSE))="JBL",(VLOOKUP(Table6[[#This Row],[SKU]],'All Skus'!$A:$AC,8,FALSE)),""))</f>
        <v>DUAL 18" SUBWOOFER</v>
      </c>
      <c r="H443" s="8" t="str">
        <f>(IF((VLOOKUP(Table6[[#This Row],[SKU]],'All Skus'!$A:$AC,2,FALSE))="JBL",(VLOOKUP(Table6[[#This Row],[SKU]],'All Skus'!$A:$AC,9,FALSE)),""))</f>
        <v>Medium Power Dual 18" Subwoofer, 2 x 18" 2042H Drivers, Parallel/Discrete Switchable.  Priced as each. Suspension Eyebolts Not Included.</v>
      </c>
      <c r="I443" s="101">
        <f>(IF((VLOOKUP(Table6[[#This Row],[SKU]],'All Skus'!$A:$AC,2,FALSE))="JBL",(VLOOKUP(Table6[[#This Row],[SKU]],'All Skus'!$A:$AC,10,FALSE)),""))</f>
        <v>3480</v>
      </c>
      <c r="J443" s="101">
        <f>(IF((VLOOKUP(Table6[[#This Row],[SKU]],'All Skus'!$A:$AC,2,FALSE))="JBL",(VLOOKUP(Table6[[#This Row],[SKU]],'All Skus'!$A:$AC,11,FALSE)),""))</f>
        <v>3480</v>
      </c>
      <c r="K443" s="102">
        <f>(IF((VLOOKUP(Table6[[#This Row],[SKU]],'All Skus'!$A:$AC,2,FALSE))="JBL",(VLOOKUP(Table6[[#This Row],[SKU]],'All Skus'!$A:$AC,13,FALSE)),""))</f>
        <v>0</v>
      </c>
      <c r="L443" s="102">
        <f>(IF((VLOOKUP(Table6[[#This Row],[SKU]],'All Skus'!$A:$AC,2,FALSE))="JBL",(VLOOKUP(Table6[[#This Row],[SKU]],'All Skus'!$A:$AC,14,FALSE)),""))</f>
        <v>0</v>
      </c>
      <c r="M443" s="143">
        <f>(IF((VLOOKUP(Table6[[#This Row],[SKU]],'All Skus'!$A:$AC,2,FALSE))="JBL",(VLOOKUP(Table6[[#This Row],[SKU]],'All Skus'!$A:$AC,15,FALSE)),""))</f>
        <v>0</v>
      </c>
      <c r="N443" s="137">
        <f>(IF((VLOOKUP(Table6[[#This Row],[SKU]],'All Skus'!$A:$AC,2,FALSE))="JBL",(VLOOKUP(Table6[[#This Row],[SKU]],'All Skus'!$A:$AC,16,FALSE)),""))</f>
        <v>691991011627</v>
      </c>
      <c r="O443" s="61">
        <f>(IF((VLOOKUP(Table6[[#This Row],[SKU]],'All Skus'!$A:$AC,2,FALSE))="JBL",(VLOOKUP(Table6[[#This Row],[SKU]],'All Skus'!$A:$AC,17,FALSE)),""))</f>
        <v>0</v>
      </c>
      <c r="P443" s="136">
        <f>(IF((VLOOKUP(Table6[[#This Row],[SKU]],'All Skus'!$A:$AC,2,FALSE))="JBL",(VLOOKUP(Table6[[#This Row],[SKU]],'All Skus'!$A:$AC,18,FALSE)),""))</f>
        <v>170</v>
      </c>
      <c r="Q443" s="136">
        <f>(IF((VLOOKUP(Table6[[#This Row],[SKU]],'All Skus'!$A:$AC,2,FALSE))="JBL",(VLOOKUP(Table6[[#This Row],[SKU]],'All Skus'!$A:$AC,19,FALSE)),""))</f>
        <v>36</v>
      </c>
      <c r="R443" s="136">
        <f>(IF((VLOOKUP(Table6[[#This Row],[SKU]],'All Skus'!$A:$AC,2,FALSE))="JBL",(VLOOKUP(Table6[[#This Row],[SKU]],'All Skus'!$A:$AC,20,FALSE)),""))</f>
        <v>26</v>
      </c>
      <c r="S443" s="61">
        <f>(IF((VLOOKUP(Table6[[#This Row],[SKU]],'All Skus'!$A:$AC,2,FALSE))="JBL",(VLOOKUP(Table6[[#This Row],[SKU]],'All Skus'!$A:$AC,21,FALSE)),""))</f>
        <v>45</v>
      </c>
      <c r="T443" s="61" t="str">
        <f>(IF((VLOOKUP(Table6[[#This Row],[SKU]],'All Skus'!$A:$AC,2,FALSE))="JBL",(VLOOKUP(Table6[[#This Row],[SKU]],'All Skus'!$A:$AC,22,FALSE)),""))</f>
        <v>MX</v>
      </c>
      <c r="U443" t="str">
        <f>(IF((VLOOKUP(Table6[[#This Row],[SKU]],'All Skus'!$A:$AC,2,FALSE))="JBL",(VLOOKUP(Table6[[#This Row],[SKU]],'All Skus'!$A:$AC,23,FALSE)),""))</f>
        <v>Compliant</v>
      </c>
      <c r="V443" s="284" t="str">
        <f>HYPERLINK((IF((VLOOKUP(Table6[[#This Row],[SKU]],'All Skus'!$A:$AC,2,FALSE))="JBL",(VLOOKUP(Table6[[#This Row],[SKU]],'All Skus'!$A:$AC,24,FALSE)),"")))</f>
        <v/>
      </c>
      <c r="W443" s="151">
        <v>441</v>
      </c>
    </row>
    <row r="444" spans="1:23" ht="15" hidden="1" customHeight="1">
      <c r="A444" s="13" t="s">
        <v>1450</v>
      </c>
      <c r="B444" s="12" t="str">
        <f>(IF((VLOOKUP(Table6[[#This Row],[SKU]],'All Skus'!$A:$AC,2,FALSE))="JBL",(VLOOKUP(Table6[[#This Row],[SKU]],'All Skus'!$A:$AC,3,FALSE)),""))</f>
        <v>AE Series</v>
      </c>
      <c r="C444" s="12" t="str">
        <f>(IF((VLOOKUP(Table6[[#This Row],[SKU]],'All Skus'!$A:$AC,2,FALSE))="JBL",(VLOOKUP(Table6[[#This Row],[SKU]],'All Skus'!$A:$AC,4,FALSE)),""))</f>
        <v>ASB4128-WH</v>
      </c>
      <c r="D444" s="61" t="str">
        <f>(IF((VLOOKUP(Table6[[#This Row],[SKU]],'All Skus'!$A:$AC,2,FALSE))="JBL",(VLOOKUP(Table6[[#This Row],[SKU]],'All Skus'!$A:$AC,5,FALSE)),""))</f>
        <v>JBL052</v>
      </c>
      <c r="E444" s="137">
        <f>(IF((VLOOKUP(Table6[[#This Row],[SKU]],'All Skus'!$A:$AC,2,FALSE))="JBL",(VLOOKUP(Table6[[#This Row],[SKU]],'All Skus'!$A:$AC,6,FALSE)),""))</f>
        <v>0</v>
      </c>
      <c r="F444" s="61">
        <f>(IF((VLOOKUP(Table6[[#This Row],[SKU]],'All Skus'!$A:$AC,2,FALSE))="JBL",(VLOOKUP(Table6[[#This Row],[SKU]],'All Skus'!$A:$AC,7,FALSE)),""))</f>
        <v>0</v>
      </c>
      <c r="G444" t="str">
        <f>(IF((VLOOKUP(Table6[[#This Row],[SKU]],'All Skus'!$A:$AC,2,FALSE))="JBL",(VLOOKUP(Table6[[#This Row],[SKU]],'All Skus'!$A:$AC,8,FALSE)),""))</f>
        <v>DUAL 18" SUBWOOFER (white)</v>
      </c>
      <c r="H444" s="8" t="str">
        <f>(IF((VLOOKUP(Table6[[#This Row],[SKU]],'All Skus'!$A:$AC,2,FALSE))="JBL",(VLOOKUP(Table6[[#This Row],[SKU]],'All Skus'!$A:$AC,9,FALSE)),""))</f>
        <v>Medium Power Dual 18" Subwoofer, 2 x 18" 2042H Drivers, Parallel/Discrete Switchable.  Priced as each. Suspension Eyebolts Not Included.  White finish.</v>
      </c>
      <c r="I444" s="101">
        <f>(IF((VLOOKUP(Table6[[#This Row],[SKU]],'All Skus'!$A:$AC,2,FALSE))="JBL",(VLOOKUP(Table6[[#This Row],[SKU]],'All Skus'!$A:$AC,10,FALSE)),""))</f>
        <v>3480</v>
      </c>
      <c r="J444" s="101">
        <f>(IF((VLOOKUP(Table6[[#This Row],[SKU]],'All Skus'!$A:$AC,2,FALSE))="JBL",(VLOOKUP(Table6[[#This Row],[SKU]],'All Skus'!$A:$AC,11,FALSE)),""))</f>
        <v>3480</v>
      </c>
      <c r="K444" s="102">
        <f>(IF((VLOOKUP(Table6[[#This Row],[SKU]],'All Skus'!$A:$AC,2,FALSE))="JBL",(VLOOKUP(Table6[[#This Row],[SKU]],'All Skus'!$A:$AC,13,FALSE)),""))</f>
        <v>0</v>
      </c>
      <c r="L444" s="102">
        <f>(IF((VLOOKUP(Table6[[#This Row],[SKU]],'All Skus'!$A:$AC,2,FALSE))="JBL",(VLOOKUP(Table6[[#This Row],[SKU]],'All Skus'!$A:$AC,14,FALSE)),""))</f>
        <v>0</v>
      </c>
      <c r="M444" s="143">
        <f>(IF((VLOOKUP(Table6[[#This Row],[SKU]],'All Skus'!$A:$AC,2,FALSE))="JBL",(VLOOKUP(Table6[[#This Row],[SKU]],'All Skus'!$A:$AC,15,FALSE)),""))</f>
        <v>0</v>
      </c>
      <c r="N444" s="137">
        <f>(IF((VLOOKUP(Table6[[#This Row],[SKU]],'All Skus'!$A:$AC,2,FALSE))="JBL",(VLOOKUP(Table6[[#This Row],[SKU]],'All Skus'!$A:$AC,16,FALSE)),""))</f>
        <v>691991011634</v>
      </c>
      <c r="O444" s="61">
        <f>(IF((VLOOKUP(Table6[[#This Row],[SKU]],'All Skus'!$A:$AC,2,FALSE))="JBL",(VLOOKUP(Table6[[#This Row],[SKU]],'All Skus'!$A:$AC,17,FALSE)),""))</f>
        <v>0</v>
      </c>
      <c r="P444" s="136">
        <f>(IF((VLOOKUP(Table6[[#This Row],[SKU]],'All Skus'!$A:$AC,2,FALSE))="JBL",(VLOOKUP(Table6[[#This Row],[SKU]],'All Skus'!$A:$AC,18,FALSE)),""))</f>
        <v>120</v>
      </c>
      <c r="Q444" s="136">
        <f>(IF((VLOOKUP(Table6[[#This Row],[SKU]],'All Skus'!$A:$AC,2,FALSE))="JBL",(VLOOKUP(Table6[[#This Row],[SKU]],'All Skus'!$A:$AC,19,FALSE)),""))</f>
        <v>35</v>
      </c>
      <c r="R444" s="136">
        <f>(IF((VLOOKUP(Table6[[#This Row],[SKU]],'All Skus'!$A:$AC,2,FALSE))="JBL",(VLOOKUP(Table6[[#This Row],[SKU]],'All Skus'!$A:$AC,20,FALSE)),""))</f>
        <v>45</v>
      </c>
      <c r="S444" s="61">
        <f>(IF((VLOOKUP(Table6[[#This Row],[SKU]],'All Skus'!$A:$AC,2,FALSE))="JBL",(VLOOKUP(Table6[[#This Row],[SKU]],'All Skus'!$A:$AC,21,FALSE)),""))</f>
        <v>25</v>
      </c>
      <c r="T444" s="61" t="str">
        <f>(IF((VLOOKUP(Table6[[#This Row],[SKU]],'All Skus'!$A:$AC,2,FALSE))="JBL",(VLOOKUP(Table6[[#This Row],[SKU]],'All Skus'!$A:$AC,22,FALSE)),""))</f>
        <v>MX</v>
      </c>
      <c r="U444" t="str">
        <f>(IF((VLOOKUP(Table6[[#This Row],[SKU]],'All Skus'!$A:$AC,2,FALSE))="JBL",(VLOOKUP(Table6[[#This Row],[SKU]],'All Skus'!$A:$AC,23,FALSE)),""))</f>
        <v>Compliant</v>
      </c>
      <c r="V444" s="284" t="str">
        <f>HYPERLINK((IF((VLOOKUP(Table6[[#This Row],[SKU]],'All Skus'!$A:$AC,2,FALSE))="JBL",(VLOOKUP(Table6[[#This Row],[SKU]],'All Skus'!$A:$AC,24,FALSE)),"")))</f>
        <v/>
      </c>
      <c r="W444" s="151">
        <v>442</v>
      </c>
    </row>
    <row r="445" spans="1:23" ht="15" hidden="1" customHeight="1">
      <c r="A445" s="13" t="s">
        <v>1451</v>
      </c>
      <c r="B445" s="12" t="str">
        <f>(IF((VLOOKUP(Table6[[#This Row],[SKU]],'All Skus'!$A:$AC,2,FALSE))="JBL",(VLOOKUP(Table6[[#This Row],[SKU]],'All Skus'!$A:$AC,3,FALSE)),""))</f>
        <v>Custom Shop Item</v>
      </c>
      <c r="C445" s="12" t="str">
        <f>(IF((VLOOKUP(Table6[[#This Row],[SKU]],'All Skus'!$A:$AC,2,FALSE))="JBL",(VLOOKUP(Table6[[#This Row],[SKU]],'All Skus'!$A:$AC,4,FALSE)),""))</f>
        <v>ASB4128-WRX</v>
      </c>
      <c r="D445" s="61">
        <f>(IF((VLOOKUP(Table6[[#This Row],[SKU]],'All Skus'!$A:$AC,2,FALSE))="JBL",(VLOOKUP(Table6[[#This Row],[SKU]],'All Skus'!$A:$AC,5,FALSE)),""))</f>
        <v>0</v>
      </c>
      <c r="E445" s="137" t="str">
        <f>(IF((VLOOKUP(Table6[[#This Row],[SKU]],'All Skus'!$A:$AC,2,FALSE))="JBL",(VLOOKUP(Table6[[#This Row],[SKU]],'All Skus'!$A:$AC,6,FALSE)),""))</f>
        <v>YES</v>
      </c>
      <c r="F445" s="61">
        <f>(IF((VLOOKUP(Table6[[#This Row],[SKU]],'All Skus'!$A:$AC,2,FALSE))="JBL",(VLOOKUP(Table6[[#This Row],[SKU]],'All Skus'!$A:$AC,7,FALSE)),""))</f>
        <v>0</v>
      </c>
      <c r="G445" t="str">
        <f>(IF((VLOOKUP(Table6[[#This Row],[SKU]],'All Skus'!$A:$AC,2,FALSE))="JBL",(VLOOKUP(Table6[[#This Row],[SKU]],'All Skus'!$A:$AC,8,FALSE)),""))</f>
        <v>DUAL 18" SUBWOOFER (Weather Protection Treatment)</v>
      </c>
      <c r="H445" s="8" t="str">
        <f>(IF((VLOOKUP(Table6[[#This Row],[SKU]],'All Skus'!$A:$AC,2,FALSE))="JBL",(VLOOKUP(Table6[[#This Row],[SKU]],'All Skus'!$A:$AC,9,FALSE)),""))</f>
        <v>Medium Power Dual 18" Subwoofer, 2 x 18" 2042H Drivers, Parallel/Discrete Switchable.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v>
      </c>
      <c r="I445" s="101" t="str">
        <f>(IF((VLOOKUP(Table6[[#This Row],[SKU]],'All Skus'!$A:$AC,2,FALSE))="JBL",(VLOOKUP(Table6[[#This Row],[SKU]],'All Skus'!$A:$AC,10,FALSE)),""))</f>
        <v>Please email CustomAudio@harman.com for quote</v>
      </c>
      <c r="J445" s="101">
        <f>(IF((VLOOKUP(Table6[[#This Row],[SKU]],'All Skus'!$A:$AC,2,FALSE))="JBL",(VLOOKUP(Table6[[#This Row],[SKU]],'All Skus'!$A:$AC,11,FALSE)),""))</f>
        <v>0</v>
      </c>
      <c r="K445" s="102">
        <f>(IF((VLOOKUP(Table6[[#This Row],[SKU]],'All Skus'!$A:$AC,2,FALSE))="JBL",(VLOOKUP(Table6[[#This Row],[SKU]],'All Skus'!$A:$AC,13,FALSE)),""))</f>
        <v>0</v>
      </c>
      <c r="L445" s="102">
        <f>(IF((VLOOKUP(Table6[[#This Row],[SKU]],'All Skus'!$A:$AC,2,FALSE))="JBL",(VLOOKUP(Table6[[#This Row],[SKU]],'All Skus'!$A:$AC,14,FALSE)),""))</f>
        <v>0</v>
      </c>
      <c r="M445" s="143">
        <f>(IF((VLOOKUP(Table6[[#This Row],[SKU]],'All Skus'!$A:$AC,2,FALSE))="JBL",(VLOOKUP(Table6[[#This Row],[SKU]],'All Skus'!$A:$AC,15,FALSE)),""))</f>
        <v>0</v>
      </c>
      <c r="N445" s="137">
        <f>(IF((VLOOKUP(Table6[[#This Row],[SKU]],'All Skus'!$A:$AC,2,FALSE))="JBL",(VLOOKUP(Table6[[#This Row],[SKU]],'All Skus'!$A:$AC,16,FALSE)),""))</f>
        <v>691991011658</v>
      </c>
      <c r="O445" s="61">
        <f>(IF((VLOOKUP(Table6[[#This Row],[SKU]],'All Skus'!$A:$AC,2,FALSE))="JBL",(VLOOKUP(Table6[[#This Row],[SKU]],'All Skus'!$A:$AC,17,FALSE)),""))</f>
        <v>0</v>
      </c>
      <c r="P445" s="136">
        <f>(IF((VLOOKUP(Table6[[#This Row],[SKU]],'All Skus'!$A:$AC,2,FALSE))="JBL",(VLOOKUP(Table6[[#This Row],[SKU]],'All Skus'!$A:$AC,18,FALSE)),""))</f>
        <v>0</v>
      </c>
      <c r="Q445" s="136">
        <f>(IF((VLOOKUP(Table6[[#This Row],[SKU]],'All Skus'!$A:$AC,2,FALSE))="JBL",(VLOOKUP(Table6[[#This Row],[SKU]],'All Skus'!$A:$AC,19,FALSE)),""))</f>
        <v>0</v>
      </c>
      <c r="R445" s="136">
        <f>(IF((VLOOKUP(Table6[[#This Row],[SKU]],'All Skus'!$A:$AC,2,FALSE))="JBL",(VLOOKUP(Table6[[#This Row],[SKU]],'All Skus'!$A:$AC,20,FALSE)),""))</f>
        <v>0</v>
      </c>
      <c r="S445" s="61">
        <f>(IF((VLOOKUP(Table6[[#This Row],[SKU]],'All Skus'!$A:$AC,2,FALSE))="JBL",(VLOOKUP(Table6[[#This Row],[SKU]],'All Skus'!$A:$AC,21,FALSE)),""))</f>
        <v>0</v>
      </c>
      <c r="T445" s="61" t="str">
        <f>(IF((VLOOKUP(Table6[[#This Row],[SKU]],'All Skus'!$A:$AC,2,FALSE))="JBL",(VLOOKUP(Table6[[#This Row],[SKU]],'All Skus'!$A:$AC,22,FALSE)),""))</f>
        <v>MX</v>
      </c>
      <c r="U445" t="str">
        <f>(IF((VLOOKUP(Table6[[#This Row],[SKU]],'All Skus'!$A:$AC,2,FALSE))="JBL",(VLOOKUP(Table6[[#This Row],[SKU]],'All Skus'!$A:$AC,23,FALSE)),""))</f>
        <v>Compliant</v>
      </c>
      <c r="V445" s="284" t="str">
        <f>HYPERLINK((IF((VLOOKUP(Table6[[#This Row],[SKU]],'All Skus'!$A:$AC,2,FALSE))="JBL",(VLOOKUP(Table6[[#This Row],[SKU]],'All Skus'!$A:$AC,24,FALSE)),"")))</f>
        <v/>
      </c>
      <c r="W445" s="151">
        <v>443</v>
      </c>
    </row>
    <row r="446" spans="1:23" ht="15" hidden="1" customHeight="1">
      <c r="A446" s="13" t="s">
        <v>1452</v>
      </c>
      <c r="B446" s="12" t="str">
        <f>(IF((VLOOKUP(Table6[[#This Row],[SKU]],'All Skus'!$A:$AC,2,FALSE))="JBL",(VLOOKUP(Table6[[#This Row],[SKU]],'All Skus'!$A:$AC,3,FALSE)),""))</f>
        <v>AE Series</v>
      </c>
      <c r="C446" s="12" t="str">
        <f>(IF((VLOOKUP(Table6[[#This Row],[SKU]],'All Skus'!$A:$AC,2,FALSE))="JBL",(VLOOKUP(Table6[[#This Row],[SKU]],'All Skus'!$A:$AC,4,FALSE)),""))</f>
        <v>AM5212/00</v>
      </c>
      <c r="D446" s="61" t="str">
        <f>(IF((VLOOKUP(Table6[[#This Row],[SKU]],'All Skus'!$A:$AC,2,FALSE))="JBL",(VLOOKUP(Table6[[#This Row],[SKU]],'All Skus'!$A:$AC,5,FALSE)),""))</f>
        <v>JBL052</v>
      </c>
      <c r="E446" s="137">
        <f>(IF((VLOOKUP(Table6[[#This Row],[SKU]],'All Skus'!$A:$AC,2,FALSE))="JBL",(VLOOKUP(Table6[[#This Row],[SKU]],'All Skus'!$A:$AC,6,FALSE)),""))</f>
        <v>0</v>
      </c>
      <c r="F446" s="61">
        <f>(IF((VLOOKUP(Table6[[#This Row],[SKU]],'All Skus'!$A:$AC,2,FALSE))="JBL",(VLOOKUP(Table6[[#This Row],[SKU]],'All Skus'!$A:$AC,7,FALSE)),""))</f>
        <v>0</v>
      </c>
      <c r="G446" t="str">
        <f>(IF((VLOOKUP(Table6[[#This Row],[SKU]],'All Skus'!$A:$AC,2,FALSE))="JBL",(VLOOKUP(Table6[[#This Row],[SKU]],'All Skus'!$A:$AC,8,FALSE)),""))</f>
        <v>Two-way full range loudspeaker</v>
      </c>
      <c r="H446"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v>
      </c>
      <c r="I446" s="101">
        <f>(IF((VLOOKUP(Table6[[#This Row],[SKU]],'All Skus'!$A:$AC,2,FALSE))="JBL",(VLOOKUP(Table6[[#This Row],[SKU]],'All Skus'!$A:$AC,10,FALSE)),""))</f>
        <v>2330</v>
      </c>
      <c r="J446" s="101">
        <f>(IF((VLOOKUP(Table6[[#This Row],[SKU]],'All Skus'!$A:$AC,2,FALSE))="JBL",(VLOOKUP(Table6[[#This Row],[SKU]],'All Skus'!$A:$AC,11,FALSE)),""))</f>
        <v>2330</v>
      </c>
      <c r="K446" s="102">
        <f>(IF((VLOOKUP(Table6[[#This Row],[SKU]],'All Skus'!$A:$AC,2,FALSE))="JBL",(VLOOKUP(Table6[[#This Row],[SKU]],'All Skus'!$A:$AC,13,FALSE)),""))</f>
        <v>0</v>
      </c>
      <c r="L446" s="102">
        <f>(IF((VLOOKUP(Table6[[#This Row],[SKU]],'All Skus'!$A:$AC,2,FALSE))="JBL",(VLOOKUP(Table6[[#This Row],[SKU]],'All Skus'!$A:$AC,14,FALSE)),""))</f>
        <v>0</v>
      </c>
      <c r="M446" s="143">
        <f>(IF((VLOOKUP(Table6[[#This Row],[SKU]],'All Skus'!$A:$AC,2,FALSE))="JBL",(VLOOKUP(Table6[[#This Row],[SKU]],'All Skus'!$A:$AC,15,FALSE)),""))</f>
        <v>0</v>
      </c>
      <c r="N446" s="137">
        <f>(IF((VLOOKUP(Table6[[#This Row],[SKU]],'All Skus'!$A:$AC,2,FALSE))="JBL",(VLOOKUP(Table6[[#This Row],[SKU]],'All Skus'!$A:$AC,16,FALSE)),""))</f>
        <v>691991010958</v>
      </c>
      <c r="O446" s="61">
        <f>(IF((VLOOKUP(Table6[[#This Row],[SKU]],'All Skus'!$A:$AC,2,FALSE))="JBL",(VLOOKUP(Table6[[#This Row],[SKU]],'All Skus'!$A:$AC,17,FALSE)),""))</f>
        <v>0</v>
      </c>
      <c r="P446" s="136">
        <f>(IF((VLOOKUP(Table6[[#This Row],[SKU]],'All Skus'!$A:$AC,2,FALSE))="JBL",(VLOOKUP(Table6[[#This Row],[SKU]],'All Skus'!$A:$AC,18,FALSE)),""))</f>
        <v>63</v>
      </c>
      <c r="Q446" s="136">
        <f>(IF((VLOOKUP(Table6[[#This Row],[SKU]],'All Skus'!$A:$AC,2,FALSE))="JBL",(VLOOKUP(Table6[[#This Row],[SKU]],'All Skus'!$A:$AC,19,FALSE)),""))</f>
        <v>19</v>
      </c>
      <c r="R446" s="136">
        <f>(IF((VLOOKUP(Table6[[#This Row],[SKU]],'All Skus'!$A:$AC,2,FALSE))="JBL",(VLOOKUP(Table6[[#This Row],[SKU]],'All Skus'!$A:$AC,20,FALSE)),""))</f>
        <v>21</v>
      </c>
      <c r="S446" s="61">
        <f>(IF((VLOOKUP(Table6[[#This Row],[SKU]],'All Skus'!$A:$AC,2,FALSE))="JBL",(VLOOKUP(Table6[[#This Row],[SKU]],'All Skus'!$A:$AC,21,FALSE)),""))</f>
        <v>34</v>
      </c>
      <c r="T446" s="61" t="str">
        <f>(IF((VLOOKUP(Table6[[#This Row],[SKU]],'All Skus'!$A:$AC,2,FALSE))="JBL",(VLOOKUP(Table6[[#This Row],[SKU]],'All Skus'!$A:$AC,22,FALSE)),""))</f>
        <v>MX</v>
      </c>
      <c r="U446" t="str">
        <f>(IF((VLOOKUP(Table6[[#This Row],[SKU]],'All Skus'!$A:$AC,2,FALSE))="JBL",(VLOOKUP(Table6[[#This Row],[SKU]],'All Skus'!$A:$AC,23,FALSE)),""))</f>
        <v>Compliant</v>
      </c>
      <c r="V446" s="284" t="str">
        <f>HYPERLINK((IF((VLOOKUP(Table6[[#This Row],[SKU]],'All Skus'!$A:$AC,2,FALSE))="JBL",(VLOOKUP(Table6[[#This Row],[SKU]],'All Skus'!$A:$AC,24,FALSE)),"")))</f>
        <v/>
      </c>
      <c r="W446" s="151">
        <v>444</v>
      </c>
    </row>
    <row r="447" spans="1:23" ht="15" hidden="1" customHeight="1">
      <c r="A447" s="13" t="s">
        <v>1453</v>
      </c>
      <c r="B447" s="12" t="str">
        <f>(IF((VLOOKUP(Table6[[#This Row],[SKU]],'All Skus'!$A:$AC,2,FALSE))="JBL",(VLOOKUP(Table6[[#This Row],[SKU]],'All Skus'!$A:$AC,3,FALSE)),""))</f>
        <v>AE Series</v>
      </c>
      <c r="C447" s="12" t="str">
        <f>(IF((VLOOKUP(Table6[[#This Row],[SKU]],'All Skus'!$A:$AC,2,FALSE))="JBL",(VLOOKUP(Table6[[#This Row],[SKU]],'All Skus'!$A:$AC,4,FALSE)),""))</f>
        <v>AM5212/00-WH</v>
      </c>
      <c r="D447" s="61" t="str">
        <f>(IF((VLOOKUP(Table6[[#This Row],[SKU]],'All Skus'!$A:$AC,2,FALSE))="JBL",(VLOOKUP(Table6[[#This Row],[SKU]],'All Skus'!$A:$AC,5,FALSE)),""))</f>
        <v>JBL052</v>
      </c>
      <c r="E447" s="137">
        <f>(IF((VLOOKUP(Table6[[#This Row],[SKU]],'All Skus'!$A:$AC,2,FALSE))="JBL",(VLOOKUP(Table6[[#This Row],[SKU]],'All Skus'!$A:$AC,6,FALSE)),""))</f>
        <v>0</v>
      </c>
      <c r="F447" s="61">
        <f>(IF((VLOOKUP(Table6[[#This Row],[SKU]],'All Skus'!$A:$AC,2,FALSE))="JBL",(VLOOKUP(Table6[[#This Row],[SKU]],'All Skus'!$A:$AC,7,FALSE)),""))</f>
        <v>0</v>
      </c>
      <c r="G447" t="str">
        <f>(IF((VLOOKUP(Table6[[#This Row],[SKU]],'All Skus'!$A:$AC,2,FALSE))="JBL",(VLOOKUP(Table6[[#This Row],[SKU]],'All Skus'!$A:$AC,8,FALSE)),""))</f>
        <v>Two-way full range loudspeaker (white)</v>
      </c>
      <c r="H447"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Available in Black or White (-WH). Priced as each. Suspension eyebolts not included. Optional U-bracket model MTU-3.  White finish.</v>
      </c>
      <c r="I447" s="101">
        <f>(IF((VLOOKUP(Table6[[#This Row],[SKU]],'All Skus'!$A:$AC,2,FALSE))="JBL",(VLOOKUP(Table6[[#This Row],[SKU]],'All Skus'!$A:$AC,10,FALSE)),""))</f>
        <v>2330</v>
      </c>
      <c r="J447" s="101">
        <f>(IF((VLOOKUP(Table6[[#This Row],[SKU]],'All Skus'!$A:$AC,2,FALSE))="JBL",(VLOOKUP(Table6[[#This Row],[SKU]],'All Skus'!$A:$AC,11,FALSE)),""))</f>
        <v>2330</v>
      </c>
      <c r="K447" s="102">
        <f>(IF((VLOOKUP(Table6[[#This Row],[SKU]],'All Skus'!$A:$AC,2,FALSE))="JBL",(VLOOKUP(Table6[[#This Row],[SKU]],'All Skus'!$A:$AC,13,FALSE)),""))</f>
        <v>0</v>
      </c>
      <c r="L447" s="102">
        <f>(IF((VLOOKUP(Table6[[#This Row],[SKU]],'All Skus'!$A:$AC,2,FALSE))="JBL",(VLOOKUP(Table6[[#This Row],[SKU]],'All Skus'!$A:$AC,14,FALSE)),""))</f>
        <v>0</v>
      </c>
      <c r="M447" s="143">
        <f>(IF((VLOOKUP(Table6[[#This Row],[SKU]],'All Skus'!$A:$AC,2,FALSE))="JBL",(VLOOKUP(Table6[[#This Row],[SKU]],'All Skus'!$A:$AC,15,FALSE)),""))</f>
        <v>0</v>
      </c>
      <c r="N447" s="137">
        <f>(IF((VLOOKUP(Table6[[#This Row],[SKU]],'All Skus'!$A:$AC,2,FALSE))="JBL",(VLOOKUP(Table6[[#This Row],[SKU]],'All Skus'!$A:$AC,16,FALSE)),""))</f>
        <v>691991005046</v>
      </c>
      <c r="O447" s="61">
        <f>(IF((VLOOKUP(Table6[[#This Row],[SKU]],'All Skus'!$A:$AC,2,FALSE))="JBL",(VLOOKUP(Table6[[#This Row],[SKU]],'All Skus'!$A:$AC,17,FALSE)),""))</f>
        <v>0</v>
      </c>
      <c r="P447" s="136">
        <f>(IF((VLOOKUP(Table6[[#This Row],[SKU]],'All Skus'!$A:$AC,2,FALSE))="JBL",(VLOOKUP(Table6[[#This Row],[SKU]],'All Skus'!$A:$AC,18,FALSE)),""))</f>
        <v>50</v>
      </c>
      <c r="Q447" s="136">
        <f>(IF((VLOOKUP(Table6[[#This Row],[SKU]],'All Skus'!$A:$AC,2,FALSE))="JBL",(VLOOKUP(Table6[[#This Row],[SKU]],'All Skus'!$A:$AC,19,FALSE)),""))</f>
        <v>19</v>
      </c>
      <c r="R447" s="136">
        <f>(IF((VLOOKUP(Table6[[#This Row],[SKU]],'All Skus'!$A:$AC,2,FALSE))="JBL",(VLOOKUP(Table6[[#This Row],[SKU]],'All Skus'!$A:$AC,20,FALSE)),""))</f>
        <v>15.75</v>
      </c>
      <c r="S447" s="61">
        <f>(IF((VLOOKUP(Table6[[#This Row],[SKU]],'All Skus'!$A:$AC,2,FALSE))="JBL",(VLOOKUP(Table6[[#This Row],[SKU]],'All Skus'!$A:$AC,21,FALSE)),""))</f>
        <v>30</v>
      </c>
      <c r="T447" s="61" t="str">
        <f>(IF((VLOOKUP(Table6[[#This Row],[SKU]],'All Skus'!$A:$AC,2,FALSE))="JBL",(VLOOKUP(Table6[[#This Row],[SKU]],'All Skus'!$A:$AC,22,FALSE)),""))</f>
        <v>MX</v>
      </c>
      <c r="U447" t="str">
        <f>(IF((VLOOKUP(Table6[[#This Row],[SKU]],'All Skus'!$A:$AC,2,FALSE))="JBL",(VLOOKUP(Table6[[#This Row],[SKU]],'All Skus'!$A:$AC,23,FALSE)),""))</f>
        <v>Compliant</v>
      </c>
      <c r="V447" s="284" t="str">
        <f>HYPERLINK((IF((VLOOKUP(Table6[[#This Row],[SKU]],'All Skus'!$A:$AC,2,FALSE))="JBL",(VLOOKUP(Table6[[#This Row],[SKU]],'All Skus'!$A:$AC,24,FALSE)),"")))</f>
        <v/>
      </c>
      <c r="W447" s="151">
        <v>445</v>
      </c>
    </row>
    <row r="448" spans="1:23" ht="15" hidden="1" customHeight="1">
      <c r="A448" s="13" t="s">
        <v>1454</v>
      </c>
      <c r="B448" s="12" t="str">
        <f>(IF((VLOOKUP(Table6[[#This Row],[SKU]],'All Skus'!$A:$AC,2,FALSE))="JBL",(VLOOKUP(Table6[[#This Row],[SKU]],'All Skus'!$A:$AC,3,FALSE)),""))</f>
        <v>Custom Shop Item</v>
      </c>
      <c r="C448" s="12" t="str">
        <f>(IF((VLOOKUP(Table6[[#This Row],[SKU]],'All Skus'!$A:$AC,2,FALSE))="JBL",(VLOOKUP(Table6[[#This Row],[SKU]],'All Skus'!$A:$AC,4,FALSE)),""))</f>
        <v>AM5212/00-WRC</v>
      </c>
      <c r="D448" s="61" t="str">
        <f>(IF((VLOOKUP(Table6[[#This Row],[SKU]],'All Skus'!$A:$AC,2,FALSE))="JBL",(VLOOKUP(Table6[[#This Row],[SKU]],'All Skus'!$A:$AC,5,FALSE)),""))</f>
        <v>JBL050</v>
      </c>
      <c r="E448" s="137" t="str">
        <f>(IF((VLOOKUP(Table6[[#This Row],[SKU]],'All Skus'!$A:$AC,2,FALSE))="JBL",(VLOOKUP(Table6[[#This Row],[SKU]],'All Skus'!$A:$AC,6,FALSE)),""))</f>
        <v>YES</v>
      </c>
      <c r="F448" s="61">
        <f>(IF((VLOOKUP(Table6[[#This Row],[SKU]],'All Skus'!$A:$AC,2,FALSE))="JBL",(VLOOKUP(Table6[[#This Row],[SKU]],'All Skus'!$A:$AC,7,FALSE)),""))</f>
        <v>0</v>
      </c>
      <c r="G448" t="str">
        <f>(IF((VLOOKUP(Table6[[#This Row],[SKU]],'All Skus'!$A:$AC,2,FALSE))="JBL",(VLOOKUP(Table6[[#This Row],[SKU]],'All Skus'!$A:$AC,8,FALSE)),""))</f>
        <v>Two-way full range loudspeaker (Weather Protection Treatment)</v>
      </c>
      <c r="H448" s="8" t="str">
        <f>(IF((VLOOKUP(Table6[[#This Row],[SKU]],'All Skus'!$A:$AC,2,FALSE))="JBL",(VLOOKUP(Table6[[#This Row],[SKU]],'All Skus'!$A:$AC,9,FALSE)),""))</f>
        <v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448" s="101" t="str">
        <f>(IF((VLOOKUP(Table6[[#This Row],[SKU]],'All Skus'!$A:$AC,2,FALSE))="JBL",(VLOOKUP(Table6[[#This Row],[SKU]],'All Skus'!$A:$AC,10,FALSE)),""))</f>
        <v>Please email CustomAudio@harman.com for quote</v>
      </c>
      <c r="J448" s="101">
        <f>(IF((VLOOKUP(Table6[[#This Row],[SKU]],'All Skus'!$A:$AC,2,FALSE))="JBL",(VLOOKUP(Table6[[#This Row],[SKU]],'All Skus'!$A:$AC,11,FALSE)),""))</f>
        <v>0</v>
      </c>
      <c r="K448" s="102">
        <f>(IF((VLOOKUP(Table6[[#This Row],[SKU]],'All Skus'!$A:$AC,2,FALSE))="JBL",(VLOOKUP(Table6[[#This Row],[SKU]],'All Skus'!$A:$AC,13,FALSE)),""))</f>
        <v>0</v>
      </c>
      <c r="L448" s="102">
        <f>(IF((VLOOKUP(Table6[[#This Row],[SKU]],'All Skus'!$A:$AC,2,FALSE))="JBL",(VLOOKUP(Table6[[#This Row],[SKU]],'All Skus'!$A:$AC,14,FALSE)),""))</f>
        <v>0</v>
      </c>
      <c r="M448" s="143">
        <f>(IF((VLOOKUP(Table6[[#This Row],[SKU]],'All Skus'!$A:$AC,2,FALSE))="JBL",(VLOOKUP(Table6[[#This Row],[SKU]],'All Skus'!$A:$AC,15,FALSE)),""))</f>
        <v>0</v>
      </c>
      <c r="N448" s="137">
        <f>(IF((VLOOKUP(Table6[[#This Row],[SKU]],'All Skus'!$A:$AC,2,FALSE))="JBL",(VLOOKUP(Table6[[#This Row],[SKU]],'All Skus'!$A:$AC,16,FALSE)),""))</f>
        <v>691991029264</v>
      </c>
      <c r="O448" s="61">
        <f>(IF((VLOOKUP(Table6[[#This Row],[SKU]],'All Skus'!$A:$AC,2,FALSE))="JBL",(VLOOKUP(Table6[[#This Row],[SKU]],'All Skus'!$A:$AC,17,FALSE)),""))</f>
        <v>0</v>
      </c>
      <c r="P448" s="136">
        <f>(IF((VLOOKUP(Table6[[#This Row],[SKU]],'All Skus'!$A:$AC,2,FALSE))="JBL",(VLOOKUP(Table6[[#This Row],[SKU]],'All Skus'!$A:$AC,18,FALSE)),""))</f>
        <v>0</v>
      </c>
      <c r="Q448" s="136">
        <f>(IF((VLOOKUP(Table6[[#This Row],[SKU]],'All Skus'!$A:$AC,2,FALSE))="JBL",(VLOOKUP(Table6[[#This Row],[SKU]],'All Skus'!$A:$AC,19,FALSE)),""))</f>
        <v>0</v>
      </c>
      <c r="R448" s="136">
        <f>(IF((VLOOKUP(Table6[[#This Row],[SKU]],'All Skus'!$A:$AC,2,FALSE))="JBL",(VLOOKUP(Table6[[#This Row],[SKU]],'All Skus'!$A:$AC,20,FALSE)),""))</f>
        <v>0</v>
      </c>
      <c r="S448" s="61">
        <f>(IF((VLOOKUP(Table6[[#This Row],[SKU]],'All Skus'!$A:$AC,2,FALSE))="JBL",(VLOOKUP(Table6[[#This Row],[SKU]],'All Skus'!$A:$AC,21,FALSE)),""))</f>
        <v>0</v>
      </c>
      <c r="T448" s="61" t="str">
        <f>(IF((VLOOKUP(Table6[[#This Row],[SKU]],'All Skus'!$A:$AC,2,FALSE))="JBL",(VLOOKUP(Table6[[#This Row],[SKU]],'All Skus'!$A:$AC,22,FALSE)),""))</f>
        <v>ZZ</v>
      </c>
      <c r="U448">
        <f>(IF((VLOOKUP(Table6[[#This Row],[SKU]],'All Skus'!$A:$AC,2,FALSE))="JBL",(VLOOKUP(Table6[[#This Row],[SKU]],'All Skus'!$A:$AC,23,FALSE)),""))</f>
        <v>0</v>
      </c>
      <c r="V448" s="284" t="str">
        <f>HYPERLINK((IF((VLOOKUP(Table6[[#This Row],[SKU]],'All Skus'!$A:$AC,2,FALSE))="JBL",(VLOOKUP(Table6[[#This Row],[SKU]],'All Skus'!$A:$AC,24,FALSE)),"")))</f>
        <v/>
      </c>
      <c r="W448" s="151">
        <v>446</v>
      </c>
    </row>
    <row r="449" spans="1:23" ht="15" hidden="1" customHeight="1">
      <c r="A449" s="13" t="s">
        <v>1455</v>
      </c>
      <c r="B449" s="12" t="str">
        <f>(IF((VLOOKUP(Table6[[#This Row],[SKU]],'All Skus'!$A:$AC,2,FALSE))="JBL",(VLOOKUP(Table6[[#This Row],[SKU]],'All Skus'!$A:$AC,3,FALSE)),""))</f>
        <v>Custom Shop Item</v>
      </c>
      <c r="C449" s="12" t="str">
        <f>(IF((VLOOKUP(Table6[[#This Row],[SKU]],'All Skus'!$A:$AC,2,FALSE))="JBL",(VLOOKUP(Table6[[#This Row],[SKU]],'All Skus'!$A:$AC,4,FALSE)),""))</f>
        <v>AM5212/00-WRX</v>
      </c>
      <c r="D449" s="61" t="str">
        <f>(IF((VLOOKUP(Table6[[#This Row],[SKU]],'All Skus'!$A:$AC,2,FALSE))="JBL",(VLOOKUP(Table6[[#This Row],[SKU]],'All Skus'!$A:$AC,5,FALSE)),""))</f>
        <v>JBL050</v>
      </c>
      <c r="E449" s="137" t="str">
        <f>(IF((VLOOKUP(Table6[[#This Row],[SKU]],'All Skus'!$A:$AC,2,FALSE))="JBL",(VLOOKUP(Table6[[#This Row],[SKU]],'All Skus'!$A:$AC,6,FALSE)),""))</f>
        <v>YES</v>
      </c>
      <c r="F449" s="61">
        <f>(IF((VLOOKUP(Table6[[#This Row],[SKU]],'All Skus'!$A:$AC,2,FALSE))="JBL",(VLOOKUP(Table6[[#This Row],[SKU]],'All Skus'!$A:$AC,7,FALSE)),""))</f>
        <v>0</v>
      </c>
      <c r="G449" t="str">
        <f>(IF((VLOOKUP(Table6[[#This Row],[SKU]],'All Skus'!$A:$AC,2,FALSE))="JBL",(VLOOKUP(Table6[[#This Row],[SKU]],'All Skus'!$A:$AC,8,FALSE)),""))</f>
        <v>Two-way full range loudspeaker (Weather Protection Treatment)</v>
      </c>
      <c r="H449" s="8" t="str">
        <f>(IF((VLOOKUP(Table6[[#This Row],[SKU]],'All Skus'!$A:$AC,2,FALSE))="JBL",(VLOOKUP(Table6[[#This Row],[SKU]],'All Skus'!$A:$AC,9,FALSE)),""))</f>
        <v xml:space="preserve">Medium Power 12” 2-Way Full-Range Loudspeaker System with JBL Differential Drive® 50.8 mm (2-in) dual voice coil and dual magnetic gap 262H low frequency driver and 2408H-1 high-frequency 38mm (1.5 in) exit, 38mm (1.5 in) voice-coil compression driver.  100° x 100°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449" s="101" t="str">
        <f>(IF((VLOOKUP(Table6[[#This Row],[SKU]],'All Skus'!$A:$AC,2,FALSE))="JBL",(VLOOKUP(Table6[[#This Row],[SKU]],'All Skus'!$A:$AC,10,FALSE)),""))</f>
        <v>Please email CustomAudio@harman.com for quote</v>
      </c>
      <c r="J449" s="101">
        <f>(IF((VLOOKUP(Table6[[#This Row],[SKU]],'All Skus'!$A:$AC,2,FALSE))="JBL",(VLOOKUP(Table6[[#This Row],[SKU]],'All Skus'!$A:$AC,11,FALSE)),""))</f>
        <v>0</v>
      </c>
      <c r="K449" s="102">
        <f>(IF((VLOOKUP(Table6[[#This Row],[SKU]],'All Skus'!$A:$AC,2,FALSE))="JBL",(VLOOKUP(Table6[[#This Row],[SKU]],'All Skus'!$A:$AC,13,FALSE)),""))</f>
        <v>0</v>
      </c>
      <c r="L449" s="102">
        <f>(IF((VLOOKUP(Table6[[#This Row],[SKU]],'All Skus'!$A:$AC,2,FALSE))="JBL",(VLOOKUP(Table6[[#This Row],[SKU]],'All Skus'!$A:$AC,14,FALSE)),""))</f>
        <v>0</v>
      </c>
      <c r="M449" s="143">
        <f>(IF((VLOOKUP(Table6[[#This Row],[SKU]],'All Skus'!$A:$AC,2,FALSE))="JBL",(VLOOKUP(Table6[[#This Row],[SKU]],'All Skus'!$A:$AC,15,FALSE)),""))</f>
        <v>0</v>
      </c>
      <c r="N449" s="137">
        <f>(IF((VLOOKUP(Table6[[#This Row],[SKU]],'All Skus'!$A:$AC,2,FALSE))="JBL",(VLOOKUP(Table6[[#This Row],[SKU]],'All Skus'!$A:$AC,16,FALSE)),""))</f>
        <v>691991010965</v>
      </c>
      <c r="O449" s="61">
        <f>(IF((VLOOKUP(Table6[[#This Row],[SKU]],'All Skus'!$A:$AC,2,FALSE))="JBL",(VLOOKUP(Table6[[#This Row],[SKU]],'All Skus'!$A:$AC,17,FALSE)),""))</f>
        <v>0</v>
      </c>
      <c r="P449" s="136">
        <f>(IF((VLOOKUP(Table6[[#This Row],[SKU]],'All Skus'!$A:$AC,2,FALSE))="JBL",(VLOOKUP(Table6[[#This Row],[SKU]],'All Skus'!$A:$AC,18,FALSE)),""))</f>
        <v>60</v>
      </c>
      <c r="Q449" s="136">
        <f>(IF((VLOOKUP(Table6[[#This Row],[SKU]],'All Skus'!$A:$AC,2,FALSE))="JBL",(VLOOKUP(Table6[[#This Row],[SKU]],'All Skus'!$A:$AC,19,FALSE)),""))</f>
        <v>21.5</v>
      </c>
      <c r="R449" s="136">
        <f>(IF((VLOOKUP(Table6[[#This Row],[SKU]],'All Skus'!$A:$AC,2,FALSE))="JBL",(VLOOKUP(Table6[[#This Row],[SKU]],'All Skus'!$A:$AC,20,FALSE)),""))</f>
        <v>19.5</v>
      </c>
      <c r="S449" s="61">
        <f>(IF((VLOOKUP(Table6[[#This Row],[SKU]],'All Skus'!$A:$AC,2,FALSE))="JBL",(VLOOKUP(Table6[[#This Row],[SKU]],'All Skus'!$A:$AC,21,FALSE)),""))</f>
        <v>34.5</v>
      </c>
      <c r="T449" s="61" t="str">
        <f>(IF((VLOOKUP(Table6[[#This Row],[SKU]],'All Skus'!$A:$AC,2,FALSE))="JBL",(VLOOKUP(Table6[[#This Row],[SKU]],'All Skus'!$A:$AC,22,FALSE)),""))</f>
        <v>MX</v>
      </c>
      <c r="U449" t="str">
        <f>(IF((VLOOKUP(Table6[[#This Row],[SKU]],'All Skus'!$A:$AC,2,FALSE))="JBL",(VLOOKUP(Table6[[#This Row],[SKU]],'All Skus'!$A:$AC,23,FALSE)),""))</f>
        <v>Compliant</v>
      </c>
      <c r="V449" s="284" t="str">
        <f>HYPERLINK((IF((VLOOKUP(Table6[[#This Row],[SKU]],'All Skus'!$A:$AC,2,FALSE))="JBL",(VLOOKUP(Table6[[#This Row],[SKU]],'All Skus'!$A:$AC,24,FALSE)),"")))</f>
        <v/>
      </c>
      <c r="W449" s="151">
        <v>447</v>
      </c>
    </row>
    <row r="450" spans="1:23" ht="15" hidden="1" customHeight="1">
      <c r="A450" s="13" t="s">
        <v>1456</v>
      </c>
      <c r="B450" s="12" t="str">
        <f>(IF((VLOOKUP(Table6[[#This Row],[SKU]],'All Skus'!$A:$AC,2,FALSE))="JBL",(VLOOKUP(Table6[[#This Row],[SKU]],'All Skus'!$A:$AC,3,FALSE)),""))</f>
        <v>AE Series</v>
      </c>
      <c r="C450" s="12" t="str">
        <f>(IF((VLOOKUP(Table6[[#This Row],[SKU]],'All Skus'!$A:$AC,2,FALSE))="JBL",(VLOOKUP(Table6[[#This Row],[SKU]],'All Skus'!$A:$AC,4,FALSE)),""))</f>
        <v>AM5212/26</v>
      </c>
      <c r="D450" s="61" t="str">
        <f>(IF((VLOOKUP(Table6[[#This Row],[SKU]],'All Skus'!$A:$AC,2,FALSE))="JBL",(VLOOKUP(Table6[[#This Row],[SKU]],'All Skus'!$A:$AC,5,FALSE)),""))</f>
        <v>JBL052</v>
      </c>
      <c r="E450" s="137">
        <f>(IF((VLOOKUP(Table6[[#This Row],[SKU]],'All Skus'!$A:$AC,2,FALSE))="JBL",(VLOOKUP(Table6[[#This Row],[SKU]],'All Skus'!$A:$AC,6,FALSE)),""))</f>
        <v>0</v>
      </c>
      <c r="F450" s="61">
        <f>(IF((VLOOKUP(Table6[[#This Row],[SKU]],'All Skus'!$A:$AC,2,FALSE))="JBL",(VLOOKUP(Table6[[#This Row],[SKU]],'All Skus'!$A:$AC,7,FALSE)),""))</f>
        <v>0</v>
      </c>
      <c r="G450" t="str">
        <f>(IF((VLOOKUP(Table6[[#This Row],[SKU]],'All Skus'!$A:$AC,2,FALSE))="JBL",(VLOOKUP(Table6[[#This Row],[SKU]],'All Skus'!$A:$AC,8,FALSE)),""))</f>
        <v>Two-way full range loudspeaker</v>
      </c>
      <c r="H450"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v>
      </c>
      <c r="I450" s="101">
        <f>(IF((VLOOKUP(Table6[[#This Row],[SKU]],'All Skus'!$A:$AC,2,FALSE))="JBL",(VLOOKUP(Table6[[#This Row],[SKU]],'All Skus'!$A:$AC,10,FALSE)),""))</f>
        <v>2330</v>
      </c>
      <c r="J450" s="101">
        <f>(IF((VLOOKUP(Table6[[#This Row],[SKU]],'All Skus'!$A:$AC,2,FALSE))="JBL",(VLOOKUP(Table6[[#This Row],[SKU]],'All Skus'!$A:$AC,11,FALSE)),""))</f>
        <v>2330</v>
      </c>
      <c r="K450" s="102">
        <f>(IF((VLOOKUP(Table6[[#This Row],[SKU]],'All Skus'!$A:$AC,2,FALSE))="JBL",(VLOOKUP(Table6[[#This Row],[SKU]],'All Skus'!$A:$AC,13,FALSE)),""))</f>
        <v>0</v>
      </c>
      <c r="L450" s="102">
        <f>(IF((VLOOKUP(Table6[[#This Row],[SKU]],'All Skus'!$A:$AC,2,FALSE))="JBL",(VLOOKUP(Table6[[#This Row],[SKU]],'All Skus'!$A:$AC,14,FALSE)),""))</f>
        <v>0</v>
      </c>
      <c r="M450" s="143">
        <f>(IF((VLOOKUP(Table6[[#This Row],[SKU]],'All Skus'!$A:$AC,2,FALSE))="JBL",(VLOOKUP(Table6[[#This Row],[SKU]],'All Skus'!$A:$AC,15,FALSE)),""))</f>
        <v>0</v>
      </c>
      <c r="N450" s="137">
        <f>(IF((VLOOKUP(Table6[[#This Row],[SKU]],'All Skus'!$A:$AC,2,FALSE))="JBL",(VLOOKUP(Table6[[#This Row],[SKU]],'All Skus'!$A:$AC,16,FALSE)),""))</f>
        <v>691991010972</v>
      </c>
      <c r="O450" s="61">
        <f>(IF((VLOOKUP(Table6[[#This Row],[SKU]],'All Skus'!$A:$AC,2,FALSE))="JBL",(VLOOKUP(Table6[[#This Row],[SKU]],'All Skus'!$A:$AC,17,FALSE)),""))</f>
        <v>0</v>
      </c>
      <c r="P450" s="136">
        <f>(IF((VLOOKUP(Table6[[#This Row],[SKU]],'All Skus'!$A:$AC,2,FALSE))="JBL",(VLOOKUP(Table6[[#This Row],[SKU]],'All Skus'!$A:$AC,18,FALSE)),""))</f>
        <v>52.75</v>
      </c>
      <c r="Q450" s="136">
        <f>(IF((VLOOKUP(Table6[[#This Row],[SKU]],'All Skus'!$A:$AC,2,FALSE))="JBL",(VLOOKUP(Table6[[#This Row],[SKU]],'All Skus'!$A:$AC,19,FALSE)),""))</f>
        <v>19</v>
      </c>
      <c r="R450" s="136">
        <f>(IF((VLOOKUP(Table6[[#This Row],[SKU]],'All Skus'!$A:$AC,2,FALSE))="JBL",(VLOOKUP(Table6[[#This Row],[SKU]],'All Skus'!$A:$AC,20,FALSE)),""))</f>
        <v>16</v>
      </c>
      <c r="S450" s="61">
        <f>(IF((VLOOKUP(Table6[[#This Row],[SKU]],'All Skus'!$A:$AC,2,FALSE))="JBL",(VLOOKUP(Table6[[#This Row],[SKU]],'All Skus'!$A:$AC,21,FALSE)),""))</f>
        <v>30</v>
      </c>
      <c r="T450" s="61" t="str">
        <f>(IF((VLOOKUP(Table6[[#This Row],[SKU]],'All Skus'!$A:$AC,2,FALSE))="JBL",(VLOOKUP(Table6[[#This Row],[SKU]],'All Skus'!$A:$AC,22,FALSE)),""))</f>
        <v>MX</v>
      </c>
      <c r="U450" t="str">
        <f>(IF((VLOOKUP(Table6[[#This Row],[SKU]],'All Skus'!$A:$AC,2,FALSE))="JBL",(VLOOKUP(Table6[[#This Row],[SKU]],'All Skus'!$A:$AC,23,FALSE)),""))</f>
        <v>Compliant</v>
      </c>
      <c r="V450" s="284" t="str">
        <f>HYPERLINK((IF((VLOOKUP(Table6[[#This Row],[SKU]],'All Skus'!$A:$AC,2,FALSE))="JBL",(VLOOKUP(Table6[[#This Row],[SKU]],'All Skus'!$A:$AC,24,FALSE)),"")))</f>
        <v/>
      </c>
      <c r="W450" s="151">
        <v>448</v>
      </c>
    </row>
    <row r="451" spans="1:23" ht="15" hidden="1" customHeight="1">
      <c r="A451" s="13" t="s">
        <v>1457</v>
      </c>
      <c r="B451" s="12" t="str">
        <f>(IF((VLOOKUP(Table6[[#This Row],[SKU]],'All Skus'!$A:$AC,2,FALSE))="JBL",(VLOOKUP(Table6[[#This Row],[SKU]],'All Skus'!$A:$AC,3,FALSE)),""))</f>
        <v>AE Series</v>
      </c>
      <c r="C451" s="12" t="str">
        <f>(IF((VLOOKUP(Table6[[#This Row],[SKU]],'All Skus'!$A:$AC,2,FALSE))="JBL",(VLOOKUP(Table6[[#This Row],[SKU]],'All Skus'!$A:$AC,4,FALSE)),""))</f>
        <v>AM5212/26-WH</v>
      </c>
      <c r="D451" s="61" t="str">
        <f>(IF((VLOOKUP(Table6[[#This Row],[SKU]],'All Skus'!$A:$AC,2,FALSE))="JBL",(VLOOKUP(Table6[[#This Row],[SKU]],'All Skus'!$A:$AC,5,FALSE)),""))</f>
        <v>JBL052</v>
      </c>
      <c r="E451" s="137">
        <f>(IF((VLOOKUP(Table6[[#This Row],[SKU]],'All Skus'!$A:$AC,2,FALSE))="JBL",(VLOOKUP(Table6[[#This Row],[SKU]],'All Skus'!$A:$AC,6,FALSE)),""))</f>
        <v>0</v>
      </c>
      <c r="F451" s="61">
        <f>(IF((VLOOKUP(Table6[[#This Row],[SKU]],'All Skus'!$A:$AC,2,FALSE))="JBL",(VLOOKUP(Table6[[#This Row],[SKU]],'All Skus'!$A:$AC,7,FALSE)),""))</f>
        <v>0</v>
      </c>
      <c r="G451" t="str">
        <f>(IF((VLOOKUP(Table6[[#This Row],[SKU]],'All Skus'!$A:$AC,2,FALSE))="JBL",(VLOOKUP(Table6[[#This Row],[SKU]],'All Skus'!$A:$AC,8,FALSE)),""))</f>
        <v>Two-way full range loudspeaker (white)</v>
      </c>
      <c r="H451"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MTU-3. White finish.</v>
      </c>
      <c r="I451" s="101">
        <f>(IF((VLOOKUP(Table6[[#This Row],[SKU]],'All Skus'!$A:$AC,2,FALSE))="JBL",(VLOOKUP(Table6[[#This Row],[SKU]],'All Skus'!$A:$AC,10,FALSE)),""))</f>
        <v>2330</v>
      </c>
      <c r="J451" s="101">
        <f>(IF((VLOOKUP(Table6[[#This Row],[SKU]],'All Skus'!$A:$AC,2,FALSE))="JBL",(VLOOKUP(Table6[[#This Row],[SKU]],'All Skus'!$A:$AC,11,FALSE)),""))</f>
        <v>2330</v>
      </c>
      <c r="K451" s="102">
        <f>(IF((VLOOKUP(Table6[[#This Row],[SKU]],'All Skus'!$A:$AC,2,FALSE))="JBL",(VLOOKUP(Table6[[#This Row],[SKU]],'All Skus'!$A:$AC,13,FALSE)),""))</f>
        <v>0</v>
      </c>
      <c r="L451" s="102">
        <f>(IF((VLOOKUP(Table6[[#This Row],[SKU]],'All Skus'!$A:$AC,2,FALSE))="JBL",(VLOOKUP(Table6[[#This Row],[SKU]],'All Skus'!$A:$AC,14,FALSE)),""))</f>
        <v>0</v>
      </c>
      <c r="M451" s="143">
        <f>(IF((VLOOKUP(Table6[[#This Row],[SKU]],'All Skus'!$A:$AC,2,FALSE))="JBL",(VLOOKUP(Table6[[#This Row],[SKU]],'All Skus'!$A:$AC,15,FALSE)),""))</f>
        <v>0</v>
      </c>
      <c r="N451" s="137">
        <f>(IF((VLOOKUP(Table6[[#This Row],[SKU]],'All Skus'!$A:$AC,2,FALSE))="JBL",(VLOOKUP(Table6[[#This Row],[SKU]],'All Skus'!$A:$AC,16,FALSE)),""))</f>
        <v>691991010989</v>
      </c>
      <c r="O451" s="61">
        <f>(IF((VLOOKUP(Table6[[#This Row],[SKU]],'All Skus'!$A:$AC,2,FALSE))="JBL",(VLOOKUP(Table6[[#This Row],[SKU]],'All Skus'!$A:$AC,17,FALSE)),""))</f>
        <v>0</v>
      </c>
      <c r="P451" s="136">
        <f>(IF((VLOOKUP(Table6[[#This Row],[SKU]],'All Skus'!$A:$AC,2,FALSE))="JBL",(VLOOKUP(Table6[[#This Row],[SKU]],'All Skus'!$A:$AC,18,FALSE)),""))</f>
        <v>55</v>
      </c>
      <c r="Q451" s="136">
        <f>(IF((VLOOKUP(Table6[[#This Row],[SKU]],'All Skus'!$A:$AC,2,FALSE))="JBL",(VLOOKUP(Table6[[#This Row],[SKU]],'All Skus'!$A:$AC,19,FALSE)),""))</f>
        <v>16</v>
      </c>
      <c r="R451" s="136">
        <f>(IF((VLOOKUP(Table6[[#This Row],[SKU]],'All Skus'!$A:$AC,2,FALSE))="JBL",(VLOOKUP(Table6[[#This Row],[SKU]],'All Skus'!$A:$AC,20,FALSE)),""))</f>
        <v>19</v>
      </c>
      <c r="S451" s="61">
        <f>(IF((VLOOKUP(Table6[[#This Row],[SKU]],'All Skus'!$A:$AC,2,FALSE))="JBL",(VLOOKUP(Table6[[#This Row],[SKU]],'All Skus'!$A:$AC,21,FALSE)),""))</f>
        <v>30</v>
      </c>
      <c r="T451" s="61" t="str">
        <f>(IF((VLOOKUP(Table6[[#This Row],[SKU]],'All Skus'!$A:$AC,2,FALSE))="JBL",(VLOOKUP(Table6[[#This Row],[SKU]],'All Skus'!$A:$AC,22,FALSE)),""))</f>
        <v>MX</v>
      </c>
      <c r="U451" t="str">
        <f>(IF((VLOOKUP(Table6[[#This Row],[SKU]],'All Skus'!$A:$AC,2,FALSE))="JBL",(VLOOKUP(Table6[[#This Row],[SKU]],'All Skus'!$A:$AC,23,FALSE)),""))</f>
        <v>Compliant</v>
      </c>
      <c r="V451" s="284" t="str">
        <f>HYPERLINK((IF((VLOOKUP(Table6[[#This Row],[SKU]],'All Skus'!$A:$AC,2,FALSE))="JBL",(VLOOKUP(Table6[[#This Row],[SKU]],'All Skus'!$A:$AC,24,FALSE)),"")))</f>
        <v/>
      </c>
      <c r="W451" s="151">
        <v>449</v>
      </c>
    </row>
    <row r="452" spans="1:23" ht="15" hidden="1" customHeight="1">
      <c r="A452" s="13" t="s">
        <v>1458</v>
      </c>
      <c r="B452" s="12" t="str">
        <f>(IF((VLOOKUP(Table6[[#This Row],[SKU]],'All Skus'!$A:$AC,2,FALSE))="JBL",(VLOOKUP(Table6[[#This Row],[SKU]],'All Skus'!$A:$AC,3,FALSE)),""))</f>
        <v>Custom Shop Item</v>
      </c>
      <c r="C452" s="12" t="str">
        <f>(IF((VLOOKUP(Table6[[#This Row],[SKU]],'All Skus'!$A:$AC,2,FALSE))="JBL",(VLOOKUP(Table6[[#This Row],[SKU]],'All Skus'!$A:$AC,4,FALSE)),""))</f>
        <v>AM5212/26-WRC</v>
      </c>
      <c r="D452" s="61" t="str">
        <f>(IF((VLOOKUP(Table6[[#This Row],[SKU]],'All Skus'!$A:$AC,2,FALSE))="JBL",(VLOOKUP(Table6[[#This Row],[SKU]],'All Skus'!$A:$AC,5,FALSE)),""))</f>
        <v>JBL050</v>
      </c>
      <c r="E452" s="137" t="str">
        <f>(IF((VLOOKUP(Table6[[#This Row],[SKU]],'All Skus'!$A:$AC,2,FALSE))="JBL",(VLOOKUP(Table6[[#This Row],[SKU]],'All Skus'!$A:$AC,6,FALSE)),""))</f>
        <v>YES</v>
      </c>
      <c r="F452" s="61">
        <f>(IF((VLOOKUP(Table6[[#This Row],[SKU]],'All Skus'!$A:$AC,2,FALSE))="JBL",(VLOOKUP(Table6[[#This Row],[SKU]],'All Skus'!$A:$AC,7,FALSE)),""))</f>
        <v>0</v>
      </c>
      <c r="G452" t="str">
        <f>(IF((VLOOKUP(Table6[[#This Row],[SKU]],'All Skus'!$A:$AC,2,FALSE))="JBL",(VLOOKUP(Table6[[#This Row],[SKU]],'All Skus'!$A:$AC,8,FALSE)),""))</f>
        <v>Two-way full range loudspeaker (Weather Protection Treatment)</v>
      </c>
      <c r="H452"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Weather Protection Treatment.8-10 weeks ship time for orders of 1-10, larger needs to be reviewed</v>
      </c>
      <c r="I452" s="101" t="str">
        <f>(IF((VLOOKUP(Table6[[#This Row],[SKU]],'All Skus'!$A:$AC,2,FALSE))="JBL",(VLOOKUP(Table6[[#This Row],[SKU]],'All Skus'!$A:$AC,10,FALSE)),""))</f>
        <v>Please email CustomAudio@harman.com for quote</v>
      </c>
      <c r="J452" s="101">
        <f>(IF((VLOOKUP(Table6[[#This Row],[SKU]],'All Skus'!$A:$AC,2,FALSE))="JBL",(VLOOKUP(Table6[[#This Row],[SKU]],'All Skus'!$A:$AC,11,FALSE)),""))</f>
        <v>0</v>
      </c>
      <c r="K452" s="102">
        <f>(IF((VLOOKUP(Table6[[#This Row],[SKU]],'All Skus'!$A:$AC,2,FALSE))="JBL",(VLOOKUP(Table6[[#This Row],[SKU]],'All Skus'!$A:$AC,13,FALSE)),""))</f>
        <v>0</v>
      </c>
      <c r="L452" s="102">
        <f>(IF((VLOOKUP(Table6[[#This Row],[SKU]],'All Skus'!$A:$AC,2,FALSE))="JBL",(VLOOKUP(Table6[[#This Row],[SKU]],'All Skus'!$A:$AC,14,FALSE)),""))</f>
        <v>0</v>
      </c>
      <c r="M452" s="143">
        <f>(IF((VLOOKUP(Table6[[#This Row],[SKU]],'All Skus'!$A:$AC,2,FALSE))="JBL",(VLOOKUP(Table6[[#This Row],[SKU]],'All Skus'!$A:$AC,15,FALSE)),""))</f>
        <v>0</v>
      </c>
      <c r="N452" s="137">
        <f>(IF((VLOOKUP(Table6[[#This Row],[SKU]],'All Skus'!$A:$AC,2,FALSE))="JBL",(VLOOKUP(Table6[[#This Row],[SKU]],'All Skus'!$A:$AC,16,FALSE)),""))</f>
        <v>691991010996</v>
      </c>
      <c r="O452" s="61">
        <f>(IF((VLOOKUP(Table6[[#This Row],[SKU]],'All Skus'!$A:$AC,2,FALSE))="JBL",(VLOOKUP(Table6[[#This Row],[SKU]],'All Skus'!$A:$AC,17,FALSE)),""))</f>
        <v>0</v>
      </c>
      <c r="P452" s="136">
        <f>(IF((VLOOKUP(Table6[[#This Row],[SKU]],'All Skus'!$A:$AC,2,FALSE))="JBL",(VLOOKUP(Table6[[#This Row],[SKU]],'All Skus'!$A:$AC,18,FALSE)),""))</f>
        <v>40</v>
      </c>
      <c r="Q452" s="136">
        <f>(IF((VLOOKUP(Table6[[#This Row],[SKU]],'All Skus'!$A:$AC,2,FALSE))="JBL",(VLOOKUP(Table6[[#This Row],[SKU]],'All Skus'!$A:$AC,19,FALSE)),""))</f>
        <v>28</v>
      </c>
      <c r="R452" s="136">
        <f>(IF((VLOOKUP(Table6[[#This Row],[SKU]],'All Skus'!$A:$AC,2,FALSE))="JBL",(VLOOKUP(Table6[[#This Row],[SKU]],'All Skus'!$A:$AC,20,FALSE)),""))</f>
        <v>24</v>
      </c>
      <c r="S452" s="61">
        <f>(IF((VLOOKUP(Table6[[#This Row],[SKU]],'All Skus'!$A:$AC,2,FALSE))="JBL",(VLOOKUP(Table6[[#This Row],[SKU]],'All Skus'!$A:$AC,21,FALSE)),""))</f>
        <v>36</v>
      </c>
      <c r="T452" s="61" t="str">
        <f>(IF((VLOOKUP(Table6[[#This Row],[SKU]],'All Skus'!$A:$AC,2,FALSE))="JBL",(VLOOKUP(Table6[[#This Row],[SKU]],'All Skus'!$A:$AC,22,FALSE)),""))</f>
        <v>MX</v>
      </c>
      <c r="U452" t="str">
        <f>(IF((VLOOKUP(Table6[[#This Row],[SKU]],'All Skus'!$A:$AC,2,FALSE))="JBL",(VLOOKUP(Table6[[#This Row],[SKU]],'All Skus'!$A:$AC,23,FALSE)),""))</f>
        <v>Compliant</v>
      </c>
      <c r="V452" s="284" t="str">
        <f>HYPERLINK((IF((VLOOKUP(Table6[[#This Row],[SKU]],'All Skus'!$A:$AC,2,FALSE))="JBL",(VLOOKUP(Table6[[#This Row],[SKU]],'All Skus'!$A:$AC,24,FALSE)),"")))</f>
        <v/>
      </c>
      <c r="W452" s="151">
        <v>450</v>
      </c>
    </row>
    <row r="453" spans="1:23" ht="15" hidden="1" customHeight="1">
      <c r="A453" s="13" t="s">
        <v>1459</v>
      </c>
      <c r="B453" s="12" t="str">
        <f>(IF((VLOOKUP(Table6[[#This Row],[SKU]],'All Skus'!$A:$AC,2,FALSE))="JBL",(VLOOKUP(Table6[[#This Row],[SKU]],'All Skus'!$A:$AC,3,FALSE)),""))</f>
        <v>Custom Shop Item</v>
      </c>
      <c r="C453" s="12" t="str">
        <f>(IF((VLOOKUP(Table6[[#This Row],[SKU]],'All Skus'!$A:$AC,2,FALSE))="JBL",(VLOOKUP(Table6[[#This Row],[SKU]],'All Skus'!$A:$AC,4,FALSE)),""))</f>
        <v>AM5212/26-WRX</v>
      </c>
      <c r="D453" s="61" t="str">
        <f>(IF((VLOOKUP(Table6[[#This Row],[SKU]],'All Skus'!$A:$AC,2,FALSE))="JBL",(VLOOKUP(Table6[[#This Row],[SKU]],'All Skus'!$A:$AC,5,FALSE)),""))</f>
        <v>JBL050</v>
      </c>
      <c r="E453" s="137" t="str">
        <f>(IF((VLOOKUP(Table6[[#This Row],[SKU]],'All Skus'!$A:$AC,2,FALSE))="JBL",(VLOOKUP(Table6[[#This Row],[SKU]],'All Skus'!$A:$AC,6,FALSE)),""))</f>
        <v>YES</v>
      </c>
      <c r="F453" s="61">
        <f>(IF((VLOOKUP(Table6[[#This Row],[SKU]],'All Skus'!$A:$AC,2,FALSE))="JBL",(VLOOKUP(Table6[[#This Row],[SKU]],'All Skus'!$A:$AC,7,FALSE)),""))</f>
        <v>0</v>
      </c>
      <c r="G453" t="str">
        <f>(IF((VLOOKUP(Table6[[#This Row],[SKU]],'All Skus'!$A:$AC,2,FALSE))="JBL",(VLOOKUP(Table6[[#This Row],[SKU]],'All Skus'!$A:$AC,8,FALSE)),""))</f>
        <v>Two-way full range loudspeaker (Extreme Weather Protection Treatment)</v>
      </c>
      <c r="H453"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120° x 60° rotatable Progressive Transition™ waveguide, Bi-Amp/Passive Switchable. Available in Black or White (-WH). Suspension eyebolts not included. Extreme Weather Protection Treatment.</v>
      </c>
      <c r="I453" s="101" t="str">
        <f>(IF((VLOOKUP(Table6[[#This Row],[SKU]],'All Skus'!$A:$AC,2,FALSE))="JBL",(VLOOKUP(Table6[[#This Row],[SKU]],'All Skus'!$A:$AC,10,FALSE)),""))</f>
        <v>Please email CustomAudio@harman.com for quote</v>
      </c>
      <c r="J453" s="101">
        <f>(IF((VLOOKUP(Table6[[#This Row],[SKU]],'All Skus'!$A:$AC,2,FALSE))="JBL",(VLOOKUP(Table6[[#This Row],[SKU]],'All Skus'!$A:$AC,11,FALSE)),""))</f>
        <v>0</v>
      </c>
      <c r="K453" s="102">
        <f>(IF((VLOOKUP(Table6[[#This Row],[SKU]],'All Skus'!$A:$AC,2,FALSE))="JBL",(VLOOKUP(Table6[[#This Row],[SKU]],'All Skus'!$A:$AC,13,FALSE)),""))</f>
        <v>0</v>
      </c>
      <c r="L453" s="102">
        <f>(IF((VLOOKUP(Table6[[#This Row],[SKU]],'All Skus'!$A:$AC,2,FALSE))="JBL",(VLOOKUP(Table6[[#This Row],[SKU]],'All Skus'!$A:$AC,14,FALSE)),""))</f>
        <v>0</v>
      </c>
      <c r="M453" s="143">
        <f>(IF((VLOOKUP(Table6[[#This Row],[SKU]],'All Skus'!$A:$AC,2,FALSE))="JBL",(VLOOKUP(Table6[[#This Row],[SKU]],'All Skus'!$A:$AC,15,FALSE)),""))</f>
        <v>0</v>
      </c>
      <c r="N453" s="137">
        <f>(IF((VLOOKUP(Table6[[#This Row],[SKU]],'All Skus'!$A:$AC,2,FALSE))="JBL",(VLOOKUP(Table6[[#This Row],[SKU]],'All Skus'!$A:$AC,16,FALSE)),""))</f>
        <v>691991011009</v>
      </c>
      <c r="O453" s="61">
        <f>(IF((VLOOKUP(Table6[[#This Row],[SKU]],'All Skus'!$A:$AC,2,FALSE))="JBL",(VLOOKUP(Table6[[#This Row],[SKU]],'All Skus'!$A:$AC,17,FALSE)),""))</f>
        <v>0</v>
      </c>
      <c r="P453" s="136">
        <f>(IF((VLOOKUP(Table6[[#This Row],[SKU]],'All Skus'!$A:$AC,2,FALSE))="JBL",(VLOOKUP(Table6[[#This Row],[SKU]],'All Skus'!$A:$AC,18,FALSE)),""))</f>
        <v>0</v>
      </c>
      <c r="Q453" s="136">
        <f>(IF((VLOOKUP(Table6[[#This Row],[SKU]],'All Skus'!$A:$AC,2,FALSE))="JBL",(VLOOKUP(Table6[[#This Row],[SKU]],'All Skus'!$A:$AC,19,FALSE)),""))</f>
        <v>0</v>
      </c>
      <c r="R453" s="136">
        <f>(IF((VLOOKUP(Table6[[#This Row],[SKU]],'All Skus'!$A:$AC,2,FALSE))="JBL",(VLOOKUP(Table6[[#This Row],[SKU]],'All Skus'!$A:$AC,20,FALSE)),""))</f>
        <v>0</v>
      </c>
      <c r="S453" s="61">
        <f>(IF((VLOOKUP(Table6[[#This Row],[SKU]],'All Skus'!$A:$AC,2,FALSE))="JBL",(VLOOKUP(Table6[[#This Row],[SKU]],'All Skus'!$A:$AC,21,FALSE)),""))</f>
        <v>0</v>
      </c>
      <c r="T453" s="61" t="str">
        <f>(IF((VLOOKUP(Table6[[#This Row],[SKU]],'All Skus'!$A:$AC,2,FALSE))="JBL",(VLOOKUP(Table6[[#This Row],[SKU]],'All Skus'!$A:$AC,22,FALSE)),""))</f>
        <v>MX</v>
      </c>
      <c r="U453" t="str">
        <f>(IF((VLOOKUP(Table6[[#This Row],[SKU]],'All Skus'!$A:$AC,2,FALSE))="JBL",(VLOOKUP(Table6[[#This Row],[SKU]],'All Skus'!$A:$AC,23,FALSE)),""))</f>
        <v>Compliant</v>
      </c>
      <c r="V453" s="284" t="str">
        <f>HYPERLINK((IF((VLOOKUP(Table6[[#This Row],[SKU]],'All Skus'!$A:$AC,2,FALSE))="JBL",(VLOOKUP(Table6[[#This Row],[SKU]],'All Skus'!$A:$AC,24,FALSE)),"")))</f>
        <v/>
      </c>
      <c r="W453" s="151">
        <v>451</v>
      </c>
    </row>
    <row r="454" spans="1:23" ht="15" hidden="1" customHeight="1">
      <c r="A454" s="13" t="s">
        <v>1460</v>
      </c>
      <c r="B454" s="12" t="str">
        <f>(IF((VLOOKUP(Table6[[#This Row],[SKU]],'All Skus'!$A:$AC,2,FALSE))="JBL",(VLOOKUP(Table6[[#This Row],[SKU]],'All Skus'!$A:$AC,3,FALSE)),""))</f>
        <v>AE Series</v>
      </c>
      <c r="C454" s="12" t="str">
        <f>(IF((VLOOKUP(Table6[[#This Row],[SKU]],'All Skus'!$A:$AC,2,FALSE))="JBL",(VLOOKUP(Table6[[#This Row],[SKU]],'All Skus'!$A:$AC,4,FALSE)),""))</f>
        <v>AM5212/64</v>
      </c>
      <c r="D454" s="61" t="str">
        <f>(IF((VLOOKUP(Table6[[#This Row],[SKU]],'All Skus'!$A:$AC,2,FALSE))="JBL",(VLOOKUP(Table6[[#This Row],[SKU]],'All Skus'!$A:$AC,5,FALSE)),""))</f>
        <v>JBL052</v>
      </c>
      <c r="E454" s="137">
        <f>(IF((VLOOKUP(Table6[[#This Row],[SKU]],'All Skus'!$A:$AC,2,FALSE))="JBL",(VLOOKUP(Table6[[#This Row],[SKU]],'All Skus'!$A:$AC,6,FALSE)),""))</f>
        <v>0</v>
      </c>
      <c r="F454" s="61">
        <f>(IF((VLOOKUP(Table6[[#This Row],[SKU]],'All Skus'!$A:$AC,2,FALSE))="JBL",(VLOOKUP(Table6[[#This Row],[SKU]],'All Skus'!$A:$AC,7,FALSE)),""))</f>
        <v>0</v>
      </c>
      <c r="G454" t="str">
        <f>(IF((VLOOKUP(Table6[[#This Row],[SKU]],'All Skus'!$A:$AC,2,FALSE))="JBL",(VLOOKUP(Table6[[#This Row],[SKU]],'All Skus'!$A:$AC,8,FALSE)),""))</f>
        <v>Two-way full range loudspeaker</v>
      </c>
      <c r="H454"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v>
      </c>
      <c r="I454" s="101">
        <f>(IF((VLOOKUP(Table6[[#This Row],[SKU]],'All Skus'!$A:$AC,2,FALSE))="JBL",(VLOOKUP(Table6[[#This Row],[SKU]],'All Skus'!$A:$AC,10,FALSE)),""))</f>
        <v>2330</v>
      </c>
      <c r="J454" s="101">
        <f>(IF((VLOOKUP(Table6[[#This Row],[SKU]],'All Skus'!$A:$AC,2,FALSE))="JBL",(VLOOKUP(Table6[[#This Row],[SKU]],'All Skus'!$A:$AC,11,FALSE)),""))</f>
        <v>2330</v>
      </c>
      <c r="K454" s="102">
        <f>(IF((VLOOKUP(Table6[[#This Row],[SKU]],'All Skus'!$A:$AC,2,FALSE))="JBL",(VLOOKUP(Table6[[#This Row],[SKU]],'All Skus'!$A:$AC,13,FALSE)),""))</f>
        <v>0</v>
      </c>
      <c r="L454" s="102">
        <f>(IF((VLOOKUP(Table6[[#This Row],[SKU]],'All Skus'!$A:$AC,2,FALSE))="JBL",(VLOOKUP(Table6[[#This Row],[SKU]],'All Skus'!$A:$AC,14,FALSE)),""))</f>
        <v>0</v>
      </c>
      <c r="M454" s="143">
        <f>(IF((VLOOKUP(Table6[[#This Row],[SKU]],'All Skus'!$A:$AC,2,FALSE))="JBL",(VLOOKUP(Table6[[#This Row],[SKU]],'All Skus'!$A:$AC,15,FALSE)),""))</f>
        <v>0</v>
      </c>
      <c r="N454" s="137">
        <f>(IF((VLOOKUP(Table6[[#This Row],[SKU]],'All Skus'!$A:$AC,2,FALSE))="JBL",(VLOOKUP(Table6[[#This Row],[SKU]],'All Skus'!$A:$AC,16,FALSE)),""))</f>
        <v>691991011016</v>
      </c>
      <c r="O454" s="61">
        <f>(IF((VLOOKUP(Table6[[#This Row],[SKU]],'All Skus'!$A:$AC,2,FALSE))="JBL",(VLOOKUP(Table6[[#This Row],[SKU]],'All Skus'!$A:$AC,17,FALSE)),""))</f>
        <v>0</v>
      </c>
      <c r="P454" s="136">
        <f>(IF((VLOOKUP(Table6[[#This Row],[SKU]],'All Skus'!$A:$AC,2,FALSE))="JBL",(VLOOKUP(Table6[[#This Row],[SKU]],'All Skus'!$A:$AC,18,FALSE)),""))</f>
        <v>45</v>
      </c>
      <c r="Q454" s="136">
        <f>(IF((VLOOKUP(Table6[[#This Row],[SKU]],'All Skus'!$A:$AC,2,FALSE))="JBL",(VLOOKUP(Table6[[#This Row],[SKU]],'All Skus'!$A:$AC,19,FALSE)),""))</f>
        <v>29</v>
      </c>
      <c r="R454" s="136">
        <f>(IF((VLOOKUP(Table6[[#This Row],[SKU]],'All Skus'!$A:$AC,2,FALSE))="JBL",(VLOOKUP(Table6[[#This Row],[SKU]],'All Skus'!$A:$AC,20,FALSE)),""))</f>
        <v>15</v>
      </c>
      <c r="S454" s="61">
        <f>(IF((VLOOKUP(Table6[[#This Row],[SKU]],'All Skus'!$A:$AC,2,FALSE))="JBL",(VLOOKUP(Table6[[#This Row],[SKU]],'All Skus'!$A:$AC,21,FALSE)),""))</f>
        <v>19</v>
      </c>
      <c r="T454" s="61" t="str">
        <f>(IF((VLOOKUP(Table6[[#This Row],[SKU]],'All Skus'!$A:$AC,2,FALSE))="JBL",(VLOOKUP(Table6[[#This Row],[SKU]],'All Skus'!$A:$AC,22,FALSE)),""))</f>
        <v>MX</v>
      </c>
      <c r="U454" t="str">
        <f>(IF((VLOOKUP(Table6[[#This Row],[SKU]],'All Skus'!$A:$AC,2,FALSE))="JBL",(VLOOKUP(Table6[[#This Row],[SKU]],'All Skus'!$A:$AC,23,FALSE)),""))</f>
        <v>Compliant</v>
      </c>
      <c r="V454" s="284" t="str">
        <f>HYPERLINK((IF((VLOOKUP(Table6[[#This Row],[SKU]],'All Skus'!$A:$AC,2,FALSE))="JBL",(VLOOKUP(Table6[[#This Row],[SKU]],'All Skus'!$A:$AC,24,FALSE)),"")))</f>
        <v/>
      </c>
      <c r="W454" s="151">
        <v>452</v>
      </c>
    </row>
    <row r="455" spans="1:23" ht="15" hidden="1" customHeight="1">
      <c r="A455" s="13" t="s">
        <v>1461</v>
      </c>
      <c r="B455" s="12" t="str">
        <f>(IF((VLOOKUP(Table6[[#This Row],[SKU]],'All Skus'!$A:$AC,2,FALSE))="JBL",(VLOOKUP(Table6[[#This Row],[SKU]],'All Skus'!$A:$AC,3,FALSE)),""))</f>
        <v>AE Series</v>
      </c>
      <c r="C455" s="12" t="str">
        <f>(IF((VLOOKUP(Table6[[#This Row],[SKU]],'All Skus'!$A:$AC,2,FALSE))="JBL",(VLOOKUP(Table6[[#This Row],[SKU]],'All Skus'!$A:$AC,4,FALSE)),""))</f>
        <v>AM5212/64-WH</v>
      </c>
      <c r="D455" s="61" t="str">
        <f>(IF((VLOOKUP(Table6[[#This Row],[SKU]],'All Skus'!$A:$AC,2,FALSE))="JBL",(VLOOKUP(Table6[[#This Row],[SKU]],'All Skus'!$A:$AC,5,FALSE)),""))</f>
        <v>JBL052</v>
      </c>
      <c r="E455" s="137">
        <f>(IF((VLOOKUP(Table6[[#This Row],[SKU]],'All Skus'!$A:$AC,2,FALSE))="JBL",(VLOOKUP(Table6[[#This Row],[SKU]],'All Skus'!$A:$AC,6,FALSE)),""))</f>
        <v>0</v>
      </c>
      <c r="F455" s="61">
        <f>(IF((VLOOKUP(Table6[[#This Row],[SKU]],'All Skus'!$A:$AC,2,FALSE))="JBL",(VLOOKUP(Table6[[#This Row],[SKU]],'All Skus'!$A:$AC,7,FALSE)),""))</f>
        <v>0</v>
      </c>
      <c r="G455" t="str">
        <f>(IF((VLOOKUP(Table6[[#This Row],[SKU]],'All Skus'!$A:$AC,2,FALSE))="JBL",(VLOOKUP(Table6[[#This Row],[SKU]],'All Skus'!$A:$AC,8,FALSE)),""))</f>
        <v>Two-way full range loudspeaker (white)</v>
      </c>
      <c r="H455"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MTU-3.  White finish.</v>
      </c>
      <c r="I455" s="101">
        <f>(IF((VLOOKUP(Table6[[#This Row],[SKU]],'All Skus'!$A:$AC,2,FALSE))="JBL",(VLOOKUP(Table6[[#This Row],[SKU]],'All Skus'!$A:$AC,10,FALSE)),""))</f>
        <v>2330</v>
      </c>
      <c r="J455" s="101">
        <f>(IF((VLOOKUP(Table6[[#This Row],[SKU]],'All Skus'!$A:$AC,2,FALSE))="JBL",(VLOOKUP(Table6[[#This Row],[SKU]],'All Skus'!$A:$AC,11,FALSE)),""))</f>
        <v>2330</v>
      </c>
      <c r="K455" s="102">
        <f>(IF((VLOOKUP(Table6[[#This Row],[SKU]],'All Skus'!$A:$AC,2,FALSE))="JBL",(VLOOKUP(Table6[[#This Row],[SKU]],'All Skus'!$A:$AC,13,FALSE)),""))</f>
        <v>0</v>
      </c>
      <c r="L455" s="102">
        <f>(IF((VLOOKUP(Table6[[#This Row],[SKU]],'All Skus'!$A:$AC,2,FALSE))="JBL",(VLOOKUP(Table6[[#This Row],[SKU]],'All Skus'!$A:$AC,14,FALSE)),""))</f>
        <v>0</v>
      </c>
      <c r="M455" s="143">
        <f>(IF((VLOOKUP(Table6[[#This Row],[SKU]],'All Skus'!$A:$AC,2,FALSE))="JBL",(VLOOKUP(Table6[[#This Row],[SKU]],'All Skus'!$A:$AC,15,FALSE)),""))</f>
        <v>0</v>
      </c>
      <c r="N455" s="137">
        <f>(IF((VLOOKUP(Table6[[#This Row],[SKU]],'All Skus'!$A:$AC,2,FALSE))="JBL",(VLOOKUP(Table6[[#This Row],[SKU]],'All Skus'!$A:$AC,16,FALSE)),""))</f>
        <v>691991011023</v>
      </c>
      <c r="O455" s="61">
        <f>(IF((VLOOKUP(Table6[[#This Row],[SKU]],'All Skus'!$A:$AC,2,FALSE))="JBL",(VLOOKUP(Table6[[#This Row],[SKU]],'All Skus'!$A:$AC,17,FALSE)),""))</f>
        <v>0</v>
      </c>
      <c r="P455" s="136">
        <f>(IF((VLOOKUP(Table6[[#This Row],[SKU]],'All Skus'!$A:$AC,2,FALSE))="JBL",(VLOOKUP(Table6[[#This Row],[SKU]],'All Skus'!$A:$AC,18,FALSE)),""))</f>
        <v>54</v>
      </c>
      <c r="Q455" s="136">
        <f>(IF((VLOOKUP(Table6[[#This Row],[SKU]],'All Skus'!$A:$AC,2,FALSE))="JBL",(VLOOKUP(Table6[[#This Row],[SKU]],'All Skus'!$A:$AC,19,FALSE)),""))</f>
        <v>19</v>
      </c>
      <c r="R455" s="136">
        <f>(IF((VLOOKUP(Table6[[#This Row],[SKU]],'All Skus'!$A:$AC,2,FALSE))="JBL",(VLOOKUP(Table6[[#This Row],[SKU]],'All Skus'!$A:$AC,20,FALSE)),""))</f>
        <v>16</v>
      </c>
      <c r="S455" s="61">
        <f>(IF((VLOOKUP(Table6[[#This Row],[SKU]],'All Skus'!$A:$AC,2,FALSE))="JBL",(VLOOKUP(Table6[[#This Row],[SKU]],'All Skus'!$A:$AC,21,FALSE)),""))</f>
        <v>30</v>
      </c>
      <c r="T455" s="61" t="str">
        <f>(IF((VLOOKUP(Table6[[#This Row],[SKU]],'All Skus'!$A:$AC,2,FALSE))="JBL",(VLOOKUP(Table6[[#This Row],[SKU]],'All Skus'!$A:$AC,22,FALSE)),""))</f>
        <v>MX</v>
      </c>
      <c r="U455" t="str">
        <f>(IF((VLOOKUP(Table6[[#This Row],[SKU]],'All Skus'!$A:$AC,2,FALSE))="JBL",(VLOOKUP(Table6[[#This Row],[SKU]],'All Skus'!$A:$AC,23,FALSE)),""))</f>
        <v>Compliant</v>
      </c>
      <c r="V455" s="284" t="str">
        <f>HYPERLINK((IF((VLOOKUP(Table6[[#This Row],[SKU]],'All Skus'!$A:$AC,2,FALSE))="JBL",(VLOOKUP(Table6[[#This Row],[SKU]],'All Skus'!$A:$AC,24,FALSE)),"")))</f>
        <v/>
      </c>
      <c r="W455" s="151">
        <v>453</v>
      </c>
    </row>
    <row r="456" spans="1:23" ht="15" hidden="1" customHeight="1">
      <c r="A456" s="13" t="s">
        <v>1462</v>
      </c>
      <c r="B456" s="12" t="str">
        <f>(IF((VLOOKUP(Table6[[#This Row],[SKU]],'All Skus'!$A:$AC,2,FALSE))="JBL",(VLOOKUP(Table6[[#This Row],[SKU]],'All Skus'!$A:$AC,3,FALSE)),""))</f>
        <v>Custom Shop Item</v>
      </c>
      <c r="C456" s="12" t="str">
        <f>(IF((VLOOKUP(Table6[[#This Row],[SKU]],'All Skus'!$A:$AC,2,FALSE))="JBL",(VLOOKUP(Table6[[#This Row],[SKU]],'All Skus'!$A:$AC,4,FALSE)),""))</f>
        <v>AM5212/64-WRX</v>
      </c>
      <c r="D456" s="61" t="str">
        <f>(IF((VLOOKUP(Table6[[#This Row],[SKU]],'All Skus'!$A:$AC,2,FALSE))="JBL",(VLOOKUP(Table6[[#This Row],[SKU]],'All Skus'!$A:$AC,5,FALSE)),""))</f>
        <v>JBL050</v>
      </c>
      <c r="E456" s="137" t="str">
        <f>(IF((VLOOKUP(Table6[[#This Row],[SKU]],'All Skus'!$A:$AC,2,FALSE))="JBL",(VLOOKUP(Table6[[#This Row],[SKU]],'All Skus'!$A:$AC,6,FALSE)),""))</f>
        <v>YES</v>
      </c>
      <c r="F456" s="61">
        <f>(IF((VLOOKUP(Table6[[#This Row],[SKU]],'All Skus'!$A:$AC,2,FALSE))="JBL",(VLOOKUP(Table6[[#This Row],[SKU]],'All Skus'!$A:$AC,7,FALSE)),""))</f>
        <v>0</v>
      </c>
      <c r="G456" t="str">
        <f>(IF((VLOOKUP(Table6[[#This Row],[SKU]],'All Skus'!$A:$AC,2,FALSE))="JBL",(VLOOKUP(Table6[[#This Row],[SKU]],'All Skus'!$A:$AC,8,FALSE)),""))</f>
        <v>Two-way full range loudspeaker (Weather Protection Treatment)</v>
      </c>
      <c r="H456"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456" s="101" t="str">
        <f>(IF((VLOOKUP(Table6[[#This Row],[SKU]],'All Skus'!$A:$AC,2,FALSE))="JBL",(VLOOKUP(Table6[[#This Row],[SKU]],'All Skus'!$A:$AC,10,FALSE)),""))</f>
        <v>Please email CustomAudio@harman.com for quote</v>
      </c>
      <c r="J456" s="101">
        <f>(IF((VLOOKUP(Table6[[#This Row],[SKU]],'All Skus'!$A:$AC,2,FALSE))="JBL",(VLOOKUP(Table6[[#This Row],[SKU]],'All Skus'!$A:$AC,11,FALSE)),""))</f>
        <v>0</v>
      </c>
      <c r="K456" s="102">
        <f>(IF((VLOOKUP(Table6[[#This Row],[SKU]],'All Skus'!$A:$AC,2,FALSE))="JBL",(VLOOKUP(Table6[[#This Row],[SKU]],'All Skus'!$A:$AC,13,FALSE)),""))</f>
        <v>0</v>
      </c>
      <c r="L456" s="102">
        <f>(IF((VLOOKUP(Table6[[#This Row],[SKU]],'All Skus'!$A:$AC,2,FALSE))="JBL",(VLOOKUP(Table6[[#This Row],[SKU]],'All Skus'!$A:$AC,14,FALSE)),""))</f>
        <v>0</v>
      </c>
      <c r="M456" s="143">
        <f>(IF((VLOOKUP(Table6[[#This Row],[SKU]],'All Skus'!$A:$AC,2,FALSE))="JBL",(VLOOKUP(Table6[[#This Row],[SKU]],'All Skus'!$A:$AC,15,FALSE)),""))</f>
        <v>0</v>
      </c>
      <c r="N456" s="137">
        <f>(IF((VLOOKUP(Table6[[#This Row],[SKU]],'All Skus'!$A:$AC,2,FALSE))="JBL",(VLOOKUP(Table6[[#This Row],[SKU]],'All Skus'!$A:$AC,16,FALSE)),""))</f>
        <v>691991029295</v>
      </c>
      <c r="O456" s="61">
        <f>(IF((VLOOKUP(Table6[[#This Row],[SKU]],'All Skus'!$A:$AC,2,FALSE))="JBL",(VLOOKUP(Table6[[#This Row],[SKU]],'All Skus'!$A:$AC,17,FALSE)),""))</f>
        <v>0</v>
      </c>
      <c r="P456" s="136">
        <f>(IF((VLOOKUP(Table6[[#This Row],[SKU]],'All Skus'!$A:$AC,2,FALSE))="JBL",(VLOOKUP(Table6[[#This Row],[SKU]],'All Skus'!$A:$AC,18,FALSE)),""))</f>
        <v>60</v>
      </c>
      <c r="Q456" s="136">
        <f>(IF((VLOOKUP(Table6[[#This Row],[SKU]],'All Skus'!$A:$AC,2,FALSE))="JBL",(VLOOKUP(Table6[[#This Row],[SKU]],'All Skus'!$A:$AC,19,FALSE)),""))</f>
        <v>21</v>
      </c>
      <c r="R456" s="136">
        <f>(IF((VLOOKUP(Table6[[#This Row],[SKU]],'All Skus'!$A:$AC,2,FALSE))="JBL",(VLOOKUP(Table6[[#This Row],[SKU]],'All Skus'!$A:$AC,20,FALSE)),""))</f>
        <v>19</v>
      </c>
      <c r="S456" s="61">
        <f>(IF((VLOOKUP(Table6[[#This Row],[SKU]],'All Skus'!$A:$AC,2,FALSE))="JBL",(VLOOKUP(Table6[[#This Row],[SKU]],'All Skus'!$A:$AC,21,FALSE)),""))</f>
        <v>36</v>
      </c>
      <c r="T456" s="61" t="str">
        <f>(IF((VLOOKUP(Table6[[#This Row],[SKU]],'All Skus'!$A:$AC,2,FALSE))="JBL",(VLOOKUP(Table6[[#This Row],[SKU]],'All Skus'!$A:$AC,22,FALSE)),""))</f>
        <v>MX</v>
      </c>
      <c r="U456" t="str">
        <f>(IF((VLOOKUP(Table6[[#This Row],[SKU]],'All Skus'!$A:$AC,2,FALSE))="JBL",(VLOOKUP(Table6[[#This Row],[SKU]],'All Skus'!$A:$AC,23,FALSE)),""))</f>
        <v>Compliant</v>
      </c>
      <c r="V456" s="284" t="str">
        <f>HYPERLINK((IF((VLOOKUP(Table6[[#This Row],[SKU]],'All Skus'!$A:$AC,2,FALSE))="JBL",(VLOOKUP(Table6[[#This Row],[SKU]],'All Skus'!$A:$AC,24,FALSE)),"")))</f>
        <v/>
      </c>
      <c r="W456" s="151">
        <v>454</v>
      </c>
    </row>
    <row r="457" spans="1:23" ht="15" hidden="1" customHeight="1">
      <c r="A457" s="13" t="s">
        <v>1463</v>
      </c>
      <c r="B457" s="12" t="str">
        <f>(IF((VLOOKUP(Table6[[#This Row],[SKU]],'All Skus'!$A:$AC,2,FALSE))="JBL",(VLOOKUP(Table6[[#This Row],[SKU]],'All Skus'!$A:$AC,3,FALSE)),""))</f>
        <v>Custom Shop Item</v>
      </c>
      <c r="C457" s="12" t="str">
        <f>(IF((VLOOKUP(Table6[[#This Row],[SKU]],'All Skus'!$A:$AC,2,FALSE))="JBL",(VLOOKUP(Table6[[#This Row],[SKU]],'All Skus'!$A:$AC,4,FALSE)),""))</f>
        <v>AM5212/64-WRC</v>
      </c>
      <c r="D457" s="61">
        <f>(IF((VLOOKUP(Table6[[#This Row],[SKU]],'All Skus'!$A:$AC,2,FALSE))="JBL",(VLOOKUP(Table6[[#This Row],[SKU]],'All Skus'!$A:$AC,5,FALSE)),""))</f>
        <v>0</v>
      </c>
      <c r="E457" s="137" t="str">
        <f>(IF((VLOOKUP(Table6[[#This Row],[SKU]],'All Skus'!$A:$AC,2,FALSE))="JBL",(VLOOKUP(Table6[[#This Row],[SKU]],'All Skus'!$A:$AC,6,FALSE)),""))</f>
        <v>YES</v>
      </c>
      <c r="F457" s="61">
        <f>(IF((VLOOKUP(Table6[[#This Row],[SKU]],'All Skus'!$A:$AC,2,FALSE))="JBL",(VLOOKUP(Table6[[#This Row],[SKU]],'All Skus'!$A:$AC,7,FALSE)),""))</f>
        <v>0</v>
      </c>
      <c r="G457" t="str">
        <f>(IF((VLOOKUP(Table6[[#This Row],[SKU]],'All Skus'!$A:$AC,2,FALSE))="JBL",(VLOOKUP(Table6[[#This Row],[SKU]],'All Skus'!$A:$AC,8,FALSE)),""))</f>
        <v>Two-way full range loudspeaker (Weather Protection Treatment)</v>
      </c>
      <c r="H457"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40° rotatable Progressive Transition™ waveguide, Bi-Amp/Passive Switchable.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457" s="101" t="str">
        <f>(IF((VLOOKUP(Table6[[#This Row],[SKU]],'All Skus'!$A:$AC,2,FALSE))="JBL",(VLOOKUP(Table6[[#This Row],[SKU]],'All Skus'!$A:$AC,10,FALSE)),""))</f>
        <v>Please email CustomAudio@harman.com for quote</v>
      </c>
      <c r="J457" s="101">
        <f>(IF((VLOOKUP(Table6[[#This Row],[SKU]],'All Skus'!$A:$AC,2,FALSE))="JBL",(VLOOKUP(Table6[[#This Row],[SKU]],'All Skus'!$A:$AC,11,FALSE)),""))</f>
        <v>0</v>
      </c>
      <c r="K457" s="102">
        <f>(IF((VLOOKUP(Table6[[#This Row],[SKU]],'All Skus'!$A:$AC,2,FALSE))="JBL",(VLOOKUP(Table6[[#This Row],[SKU]],'All Skus'!$A:$AC,13,FALSE)),""))</f>
        <v>0</v>
      </c>
      <c r="L457" s="102">
        <f>(IF((VLOOKUP(Table6[[#This Row],[SKU]],'All Skus'!$A:$AC,2,FALSE))="JBL",(VLOOKUP(Table6[[#This Row],[SKU]],'All Skus'!$A:$AC,14,FALSE)),""))</f>
        <v>0</v>
      </c>
      <c r="M457" s="143">
        <f>(IF((VLOOKUP(Table6[[#This Row],[SKU]],'All Skus'!$A:$AC,2,FALSE))="JBL",(VLOOKUP(Table6[[#This Row],[SKU]],'All Skus'!$A:$AC,15,FALSE)),""))</f>
        <v>0</v>
      </c>
      <c r="N457" s="137">
        <f>(IF((VLOOKUP(Table6[[#This Row],[SKU]],'All Skus'!$A:$AC,2,FALSE))="JBL",(VLOOKUP(Table6[[#This Row],[SKU]],'All Skus'!$A:$AC,16,FALSE)),""))</f>
        <v>691991011030</v>
      </c>
      <c r="O457" s="61">
        <f>(IF((VLOOKUP(Table6[[#This Row],[SKU]],'All Skus'!$A:$AC,2,FALSE))="JBL",(VLOOKUP(Table6[[#This Row],[SKU]],'All Skus'!$A:$AC,17,FALSE)),""))</f>
        <v>0</v>
      </c>
      <c r="P457" s="136">
        <f>(IF((VLOOKUP(Table6[[#This Row],[SKU]],'All Skus'!$A:$AC,2,FALSE))="JBL",(VLOOKUP(Table6[[#This Row],[SKU]],'All Skus'!$A:$AC,18,FALSE)),""))</f>
        <v>0</v>
      </c>
      <c r="Q457" s="136">
        <f>(IF((VLOOKUP(Table6[[#This Row],[SKU]],'All Skus'!$A:$AC,2,FALSE))="JBL",(VLOOKUP(Table6[[#This Row],[SKU]],'All Skus'!$A:$AC,19,FALSE)),""))</f>
        <v>0</v>
      </c>
      <c r="R457" s="136">
        <f>(IF((VLOOKUP(Table6[[#This Row],[SKU]],'All Skus'!$A:$AC,2,FALSE))="JBL",(VLOOKUP(Table6[[#This Row],[SKU]],'All Skus'!$A:$AC,20,FALSE)),""))</f>
        <v>0</v>
      </c>
      <c r="S457" s="61">
        <f>(IF((VLOOKUP(Table6[[#This Row],[SKU]],'All Skus'!$A:$AC,2,FALSE))="JBL",(VLOOKUP(Table6[[#This Row],[SKU]],'All Skus'!$A:$AC,21,FALSE)),""))</f>
        <v>0</v>
      </c>
      <c r="T457" s="61" t="str">
        <f>(IF((VLOOKUP(Table6[[#This Row],[SKU]],'All Skus'!$A:$AC,2,FALSE))="JBL",(VLOOKUP(Table6[[#This Row],[SKU]],'All Skus'!$A:$AC,22,FALSE)),""))</f>
        <v>MX</v>
      </c>
      <c r="U457" t="str">
        <f>(IF((VLOOKUP(Table6[[#This Row],[SKU]],'All Skus'!$A:$AC,2,FALSE))="JBL",(VLOOKUP(Table6[[#This Row],[SKU]],'All Skus'!$A:$AC,23,FALSE)),""))</f>
        <v>Compliant</v>
      </c>
      <c r="V457" s="284" t="str">
        <f>HYPERLINK((IF((VLOOKUP(Table6[[#This Row],[SKU]],'All Skus'!$A:$AC,2,FALSE))="JBL",(VLOOKUP(Table6[[#This Row],[SKU]],'All Skus'!$A:$AC,24,FALSE)),"")))</f>
        <v/>
      </c>
      <c r="W457" s="151">
        <v>455</v>
      </c>
    </row>
    <row r="458" spans="1:23" ht="15" hidden="1" customHeight="1">
      <c r="A458" s="13" t="s">
        <v>1464</v>
      </c>
      <c r="B458" s="12" t="str">
        <f>(IF((VLOOKUP(Table6[[#This Row],[SKU]],'All Skus'!$A:$AC,2,FALSE))="JBL",(VLOOKUP(Table6[[#This Row],[SKU]],'All Skus'!$A:$AC,3,FALSE)),""))</f>
        <v>AE Series</v>
      </c>
      <c r="C458" s="12" t="str">
        <f>(IF((VLOOKUP(Table6[[#This Row],[SKU]],'All Skus'!$A:$AC,2,FALSE))="JBL",(VLOOKUP(Table6[[#This Row],[SKU]],'All Skus'!$A:$AC,4,FALSE)),""))</f>
        <v>AM5212/66</v>
      </c>
      <c r="D458" s="61" t="str">
        <f>(IF((VLOOKUP(Table6[[#This Row],[SKU]],'All Skus'!$A:$AC,2,FALSE))="JBL",(VLOOKUP(Table6[[#This Row],[SKU]],'All Skus'!$A:$AC,5,FALSE)),""))</f>
        <v>JBL052</v>
      </c>
      <c r="E458" s="137">
        <f>(IF((VLOOKUP(Table6[[#This Row],[SKU]],'All Skus'!$A:$AC,2,FALSE))="JBL",(VLOOKUP(Table6[[#This Row],[SKU]],'All Skus'!$A:$AC,6,FALSE)),""))</f>
        <v>0</v>
      </c>
      <c r="F458" s="61">
        <f>(IF((VLOOKUP(Table6[[#This Row],[SKU]],'All Skus'!$A:$AC,2,FALSE))="JBL",(VLOOKUP(Table6[[#This Row],[SKU]],'All Skus'!$A:$AC,7,FALSE)),""))</f>
        <v>0</v>
      </c>
      <c r="G458" t="str">
        <f>(IF((VLOOKUP(Table6[[#This Row],[SKU]],'All Skus'!$A:$AC,2,FALSE))="JBL",(VLOOKUP(Table6[[#This Row],[SKU]],'All Skus'!$A:$AC,8,FALSE)),""))</f>
        <v>Two-way full range loudspeaker</v>
      </c>
      <c r="H458"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v>
      </c>
      <c r="I458" s="101">
        <f>(IF((VLOOKUP(Table6[[#This Row],[SKU]],'All Skus'!$A:$AC,2,FALSE))="JBL",(VLOOKUP(Table6[[#This Row],[SKU]],'All Skus'!$A:$AC,10,FALSE)),""))</f>
        <v>2330</v>
      </c>
      <c r="J458" s="101">
        <f>(IF((VLOOKUP(Table6[[#This Row],[SKU]],'All Skus'!$A:$AC,2,FALSE))="JBL",(VLOOKUP(Table6[[#This Row],[SKU]],'All Skus'!$A:$AC,11,FALSE)),""))</f>
        <v>2330</v>
      </c>
      <c r="K458" s="102">
        <f>(IF((VLOOKUP(Table6[[#This Row],[SKU]],'All Skus'!$A:$AC,2,FALSE))="JBL",(VLOOKUP(Table6[[#This Row],[SKU]],'All Skus'!$A:$AC,13,FALSE)),""))</f>
        <v>0</v>
      </c>
      <c r="L458" s="102">
        <f>(IF((VLOOKUP(Table6[[#This Row],[SKU]],'All Skus'!$A:$AC,2,FALSE))="JBL",(VLOOKUP(Table6[[#This Row],[SKU]],'All Skus'!$A:$AC,14,FALSE)),""))</f>
        <v>0</v>
      </c>
      <c r="M458" s="143">
        <f>(IF((VLOOKUP(Table6[[#This Row],[SKU]],'All Skus'!$A:$AC,2,FALSE))="JBL",(VLOOKUP(Table6[[#This Row],[SKU]],'All Skus'!$A:$AC,15,FALSE)),""))</f>
        <v>0</v>
      </c>
      <c r="N458" s="137">
        <f>(IF((VLOOKUP(Table6[[#This Row],[SKU]],'All Skus'!$A:$AC,2,FALSE))="JBL",(VLOOKUP(Table6[[#This Row],[SKU]],'All Skus'!$A:$AC,16,FALSE)),""))</f>
        <v>691991005329</v>
      </c>
      <c r="O458" s="61">
        <f>(IF((VLOOKUP(Table6[[#This Row],[SKU]],'All Skus'!$A:$AC,2,FALSE))="JBL",(VLOOKUP(Table6[[#This Row],[SKU]],'All Skus'!$A:$AC,17,FALSE)),""))</f>
        <v>0</v>
      </c>
      <c r="P458" s="136">
        <f>(IF((VLOOKUP(Table6[[#This Row],[SKU]],'All Skus'!$A:$AC,2,FALSE))="JBL",(VLOOKUP(Table6[[#This Row],[SKU]],'All Skus'!$A:$AC,18,FALSE)),""))</f>
        <v>50</v>
      </c>
      <c r="Q458" s="136">
        <f>(IF((VLOOKUP(Table6[[#This Row],[SKU]],'All Skus'!$A:$AC,2,FALSE))="JBL",(VLOOKUP(Table6[[#This Row],[SKU]],'All Skus'!$A:$AC,19,FALSE)),""))</f>
        <v>19</v>
      </c>
      <c r="R458" s="136">
        <f>(IF((VLOOKUP(Table6[[#This Row],[SKU]],'All Skus'!$A:$AC,2,FALSE))="JBL",(VLOOKUP(Table6[[#This Row],[SKU]],'All Skus'!$A:$AC,20,FALSE)),""))</f>
        <v>16</v>
      </c>
      <c r="S458" s="61">
        <f>(IF((VLOOKUP(Table6[[#This Row],[SKU]],'All Skus'!$A:$AC,2,FALSE))="JBL",(VLOOKUP(Table6[[#This Row],[SKU]],'All Skus'!$A:$AC,21,FALSE)),""))</f>
        <v>30</v>
      </c>
      <c r="T458" s="61" t="str">
        <f>(IF((VLOOKUP(Table6[[#This Row],[SKU]],'All Skus'!$A:$AC,2,FALSE))="JBL",(VLOOKUP(Table6[[#This Row],[SKU]],'All Skus'!$A:$AC,22,FALSE)),""))</f>
        <v>MX</v>
      </c>
      <c r="U458" t="str">
        <f>(IF((VLOOKUP(Table6[[#This Row],[SKU]],'All Skus'!$A:$AC,2,FALSE))="JBL",(VLOOKUP(Table6[[#This Row],[SKU]],'All Skus'!$A:$AC,23,FALSE)),""))</f>
        <v>Compliant</v>
      </c>
      <c r="V458" s="284" t="str">
        <f>HYPERLINK((IF((VLOOKUP(Table6[[#This Row],[SKU]],'All Skus'!$A:$AC,2,FALSE))="JBL",(VLOOKUP(Table6[[#This Row],[SKU]],'All Skus'!$A:$AC,24,FALSE)),"")))</f>
        <v/>
      </c>
      <c r="W458" s="151">
        <v>456</v>
      </c>
    </row>
    <row r="459" spans="1:23" ht="15" hidden="1" customHeight="1">
      <c r="A459" s="13" t="s">
        <v>1465</v>
      </c>
      <c r="B459" s="12" t="str">
        <f>(IF((VLOOKUP(Table6[[#This Row],[SKU]],'All Skus'!$A:$AC,2,FALSE))="JBL",(VLOOKUP(Table6[[#This Row],[SKU]],'All Skus'!$A:$AC,3,FALSE)),""))</f>
        <v>AE Series</v>
      </c>
      <c r="C459" s="12" t="str">
        <f>(IF((VLOOKUP(Table6[[#This Row],[SKU]],'All Skus'!$A:$AC,2,FALSE))="JBL",(VLOOKUP(Table6[[#This Row],[SKU]],'All Skus'!$A:$AC,4,FALSE)),""))</f>
        <v>AM5212/66-WH</v>
      </c>
      <c r="D459" s="61" t="str">
        <f>(IF((VLOOKUP(Table6[[#This Row],[SKU]],'All Skus'!$A:$AC,2,FALSE))="JBL",(VLOOKUP(Table6[[#This Row],[SKU]],'All Skus'!$A:$AC,5,FALSE)),""))</f>
        <v>JBL052</v>
      </c>
      <c r="E459" s="137">
        <f>(IF((VLOOKUP(Table6[[#This Row],[SKU]],'All Skus'!$A:$AC,2,FALSE))="JBL",(VLOOKUP(Table6[[#This Row],[SKU]],'All Skus'!$A:$AC,6,FALSE)),""))</f>
        <v>0</v>
      </c>
      <c r="F459" s="61">
        <f>(IF((VLOOKUP(Table6[[#This Row],[SKU]],'All Skus'!$A:$AC,2,FALSE))="JBL",(VLOOKUP(Table6[[#This Row],[SKU]],'All Skus'!$A:$AC,7,FALSE)),""))</f>
        <v>0</v>
      </c>
      <c r="G459" t="str">
        <f>(IF((VLOOKUP(Table6[[#This Row],[SKU]],'All Skus'!$A:$AC,2,FALSE))="JBL",(VLOOKUP(Table6[[#This Row],[SKU]],'All Skus'!$A:$AC,8,FALSE)),""))</f>
        <v>Two-way full range loudspeaker (white)</v>
      </c>
      <c r="H459"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Available in Black or White (-WH). Priced as each. Suspension eyebolts not included. Optional U-bracket model MTU-3.  White finish.</v>
      </c>
      <c r="I459" s="101">
        <f>(IF((VLOOKUP(Table6[[#This Row],[SKU]],'All Skus'!$A:$AC,2,FALSE))="JBL",(VLOOKUP(Table6[[#This Row],[SKU]],'All Skus'!$A:$AC,10,FALSE)),""))</f>
        <v>2330</v>
      </c>
      <c r="J459" s="101">
        <f>(IF((VLOOKUP(Table6[[#This Row],[SKU]],'All Skus'!$A:$AC,2,FALSE))="JBL",(VLOOKUP(Table6[[#This Row],[SKU]],'All Skus'!$A:$AC,11,FALSE)),""))</f>
        <v>2330</v>
      </c>
      <c r="K459" s="102">
        <f>(IF((VLOOKUP(Table6[[#This Row],[SKU]],'All Skus'!$A:$AC,2,FALSE))="JBL",(VLOOKUP(Table6[[#This Row],[SKU]],'All Skus'!$A:$AC,13,FALSE)),""))</f>
        <v>0</v>
      </c>
      <c r="L459" s="102">
        <f>(IF((VLOOKUP(Table6[[#This Row],[SKU]],'All Skus'!$A:$AC,2,FALSE))="JBL",(VLOOKUP(Table6[[#This Row],[SKU]],'All Skus'!$A:$AC,14,FALSE)),""))</f>
        <v>0</v>
      </c>
      <c r="M459" s="143">
        <f>(IF((VLOOKUP(Table6[[#This Row],[SKU]],'All Skus'!$A:$AC,2,FALSE))="JBL",(VLOOKUP(Table6[[#This Row],[SKU]],'All Skus'!$A:$AC,15,FALSE)),""))</f>
        <v>0</v>
      </c>
      <c r="N459" s="137">
        <f>(IF((VLOOKUP(Table6[[#This Row],[SKU]],'All Skus'!$A:$AC,2,FALSE))="JBL",(VLOOKUP(Table6[[#This Row],[SKU]],'All Skus'!$A:$AC,16,FALSE)),""))</f>
        <v>691991005312</v>
      </c>
      <c r="O459" s="61">
        <f>(IF((VLOOKUP(Table6[[#This Row],[SKU]],'All Skus'!$A:$AC,2,FALSE))="JBL",(VLOOKUP(Table6[[#This Row],[SKU]],'All Skus'!$A:$AC,17,FALSE)),""))</f>
        <v>0</v>
      </c>
      <c r="P459" s="136">
        <f>(IF((VLOOKUP(Table6[[#This Row],[SKU]],'All Skus'!$A:$AC,2,FALSE))="JBL",(VLOOKUP(Table6[[#This Row],[SKU]],'All Skus'!$A:$AC,18,FALSE)),""))</f>
        <v>52</v>
      </c>
      <c r="Q459" s="136">
        <f>(IF((VLOOKUP(Table6[[#This Row],[SKU]],'All Skus'!$A:$AC,2,FALSE))="JBL",(VLOOKUP(Table6[[#This Row],[SKU]],'All Skus'!$A:$AC,19,FALSE)),""))</f>
        <v>16</v>
      </c>
      <c r="R459" s="136">
        <f>(IF((VLOOKUP(Table6[[#This Row],[SKU]],'All Skus'!$A:$AC,2,FALSE))="JBL",(VLOOKUP(Table6[[#This Row],[SKU]],'All Skus'!$A:$AC,20,FALSE)),""))</f>
        <v>19</v>
      </c>
      <c r="S459" s="61">
        <f>(IF((VLOOKUP(Table6[[#This Row],[SKU]],'All Skus'!$A:$AC,2,FALSE))="JBL",(VLOOKUP(Table6[[#This Row],[SKU]],'All Skus'!$A:$AC,21,FALSE)),""))</f>
        <v>29.5</v>
      </c>
      <c r="T459" s="61" t="str">
        <f>(IF((VLOOKUP(Table6[[#This Row],[SKU]],'All Skus'!$A:$AC,2,FALSE))="JBL",(VLOOKUP(Table6[[#This Row],[SKU]],'All Skus'!$A:$AC,22,FALSE)),""))</f>
        <v>MX</v>
      </c>
      <c r="U459" t="str">
        <f>(IF((VLOOKUP(Table6[[#This Row],[SKU]],'All Skus'!$A:$AC,2,FALSE))="JBL",(VLOOKUP(Table6[[#This Row],[SKU]],'All Skus'!$A:$AC,23,FALSE)),""))</f>
        <v>Compliant</v>
      </c>
      <c r="V459" s="284" t="str">
        <f>HYPERLINK((IF((VLOOKUP(Table6[[#This Row],[SKU]],'All Skus'!$A:$AC,2,FALSE))="JBL",(VLOOKUP(Table6[[#This Row],[SKU]],'All Skus'!$A:$AC,24,FALSE)),"")))</f>
        <v/>
      </c>
      <c r="W459" s="151">
        <v>457</v>
      </c>
    </row>
    <row r="460" spans="1:23" ht="15" hidden="1" customHeight="1">
      <c r="A460" s="13" t="s">
        <v>1466</v>
      </c>
      <c r="B460" s="12" t="str">
        <f>(IF((VLOOKUP(Table6[[#This Row],[SKU]],'All Skus'!$A:$AC,2,FALSE))="JBL",(VLOOKUP(Table6[[#This Row],[SKU]],'All Skus'!$A:$AC,3,FALSE)),""))</f>
        <v>Custom Shop Item</v>
      </c>
      <c r="C460" s="12" t="str">
        <f>(IF((VLOOKUP(Table6[[#This Row],[SKU]],'All Skus'!$A:$AC,2,FALSE))="JBL",(VLOOKUP(Table6[[#This Row],[SKU]],'All Skus'!$A:$AC,4,FALSE)),""))</f>
        <v>AM5212/66-WRC</v>
      </c>
      <c r="D460" s="61">
        <f>(IF((VLOOKUP(Table6[[#This Row],[SKU]],'All Skus'!$A:$AC,2,FALSE))="JBL",(VLOOKUP(Table6[[#This Row],[SKU]],'All Skus'!$A:$AC,5,FALSE)),""))</f>
        <v>0</v>
      </c>
      <c r="E460" s="137" t="str">
        <f>(IF((VLOOKUP(Table6[[#This Row],[SKU]],'All Skus'!$A:$AC,2,FALSE))="JBL",(VLOOKUP(Table6[[#This Row],[SKU]],'All Skus'!$A:$AC,6,FALSE)),""))</f>
        <v>YES</v>
      </c>
      <c r="F460" s="61">
        <f>(IF((VLOOKUP(Table6[[#This Row],[SKU]],'All Skus'!$A:$AC,2,FALSE))="JBL",(VLOOKUP(Table6[[#This Row],[SKU]],'All Skus'!$A:$AC,7,FALSE)),""))</f>
        <v>0</v>
      </c>
      <c r="G460" t="str">
        <f>(IF((VLOOKUP(Table6[[#This Row],[SKU]],'All Skus'!$A:$AC,2,FALSE))="JBL",(VLOOKUP(Table6[[#This Row],[SKU]],'All Skus'!$A:$AC,8,FALSE)),""))</f>
        <v>Two-way full range loudspeaker (Weather Protection Treatment)</v>
      </c>
      <c r="H460"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460" s="101" t="str">
        <f>(IF((VLOOKUP(Table6[[#This Row],[SKU]],'All Skus'!$A:$AC,2,FALSE))="JBL",(VLOOKUP(Table6[[#This Row],[SKU]],'All Skus'!$A:$AC,10,FALSE)),""))</f>
        <v>Please email CustomAudio@harman.com for quote</v>
      </c>
      <c r="J460" s="101">
        <f>(IF((VLOOKUP(Table6[[#This Row],[SKU]],'All Skus'!$A:$AC,2,FALSE))="JBL",(VLOOKUP(Table6[[#This Row],[SKU]],'All Skus'!$A:$AC,11,FALSE)),""))</f>
        <v>0</v>
      </c>
      <c r="K460" s="102">
        <f>(IF((VLOOKUP(Table6[[#This Row],[SKU]],'All Skus'!$A:$AC,2,FALSE))="JBL",(VLOOKUP(Table6[[#This Row],[SKU]],'All Skus'!$A:$AC,13,FALSE)),""))</f>
        <v>0</v>
      </c>
      <c r="L460" s="102">
        <f>(IF((VLOOKUP(Table6[[#This Row],[SKU]],'All Skus'!$A:$AC,2,FALSE))="JBL",(VLOOKUP(Table6[[#This Row],[SKU]],'All Skus'!$A:$AC,14,FALSE)),""))</f>
        <v>0</v>
      </c>
      <c r="M460" s="143">
        <f>(IF((VLOOKUP(Table6[[#This Row],[SKU]],'All Skus'!$A:$AC,2,FALSE))="JBL",(VLOOKUP(Table6[[#This Row],[SKU]],'All Skus'!$A:$AC,15,FALSE)),""))</f>
        <v>0</v>
      </c>
      <c r="N460" s="137">
        <f>(IF((VLOOKUP(Table6[[#This Row],[SKU]],'All Skus'!$A:$AC,2,FALSE))="JBL",(VLOOKUP(Table6[[#This Row],[SKU]],'All Skus'!$A:$AC,16,FALSE)),""))</f>
        <v>691991011047</v>
      </c>
      <c r="O460" s="61">
        <f>(IF((VLOOKUP(Table6[[#This Row],[SKU]],'All Skus'!$A:$AC,2,FALSE))="JBL",(VLOOKUP(Table6[[#This Row],[SKU]],'All Skus'!$A:$AC,17,FALSE)),""))</f>
        <v>0</v>
      </c>
      <c r="P460" s="136">
        <f>(IF((VLOOKUP(Table6[[#This Row],[SKU]],'All Skus'!$A:$AC,2,FALSE))="JBL",(VLOOKUP(Table6[[#This Row],[SKU]],'All Skus'!$A:$AC,18,FALSE)),""))</f>
        <v>0</v>
      </c>
      <c r="Q460" s="136">
        <f>(IF((VLOOKUP(Table6[[#This Row],[SKU]],'All Skus'!$A:$AC,2,FALSE))="JBL",(VLOOKUP(Table6[[#This Row],[SKU]],'All Skus'!$A:$AC,19,FALSE)),""))</f>
        <v>0</v>
      </c>
      <c r="R460" s="136">
        <f>(IF((VLOOKUP(Table6[[#This Row],[SKU]],'All Skus'!$A:$AC,2,FALSE))="JBL",(VLOOKUP(Table6[[#This Row],[SKU]],'All Skus'!$A:$AC,20,FALSE)),""))</f>
        <v>0</v>
      </c>
      <c r="S460" s="61">
        <f>(IF((VLOOKUP(Table6[[#This Row],[SKU]],'All Skus'!$A:$AC,2,FALSE))="JBL",(VLOOKUP(Table6[[#This Row],[SKU]],'All Skus'!$A:$AC,21,FALSE)),""))</f>
        <v>0</v>
      </c>
      <c r="T460" s="61" t="str">
        <f>(IF((VLOOKUP(Table6[[#This Row],[SKU]],'All Skus'!$A:$AC,2,FALSE))="JBL",(VLOOKUP(Table6[[#This Row],[SKU]],'All Skus'!$A:$AC,22,FALSE)),""))</f>
        <v>MX</v>
      </c>
      <c r="U460" t="str">
        <f>(IF((VLOOKUP(Table6[[#This Row],[SKU]],'All Skus'!$A:$AC,2,FALSE))="JBL",(VLOOKUP(Table6[[#This Row],[SKU]],'All Skus'!$A:$AC,23,FALSE)),""))</f>
        <v>Compliant</v>
      </c>
      <c r="V460" s="284" t="str">
        <f>HYPERLINK((IF((VLOOKUP(Table6[[#This Row],[SKU]],'All Skus'!$A:$AC,2,FALSE))="JBL",(VLOOKUP(Table6[[#This Row],[SKU]],'All Skus'!$A:$AC,24,FALSE)),"")))</f>
        <v/>
      </c>
      <c r="W460" s="151">
        <v>458</v>
      </c>
    </row>
    <row r="461" spans="1:23" ht="15" hidden="1" customHeight="1">
      <c r="A461" s="13" t="s">
        <v>1467</v>
      </c>
      <c r="B461" s="12" t="str">
        <f>(IF((VLOOKUP(Table6[[#This Row],[SKU]],'All Skus'!$A:$AC,2,FALSE))="JBL",(VLOOKUP(Table6[[#This Row],[SKU]],'All Skus'!$A:$AC,3,FALSE)),""))</f>
        <v>Custom Shop Item</v>
      </c>
      <c r="C461" s="12" t="str">
        <f>(IF((VLOOKUP(Table6[[#This Row],[SKU]],'All Skus'!$A:$AC,2,FALSE))="JBL",(VLOOKUP(Table6[[#This Row],[SKU]],'All Skus'!$A:$AC,4,FALSE)),""))</f>
        <v>AM5212/66-WRX</v>
      </c>
      <c r="D461" s="61" t="str">
        <f>(IF((VLOOKUP(Table6[[#This Row],[SKU]],'All Skus'!$A:$AC,2,FALSE))="JBL",(VLOOKUP(Table6[[#This Row],[SKU]],'All Skus'!$A:$AC,5,FALSE)),""))</f>
        <v>JBL050</v>
      </c>
      <c r="E461" s="137" t="str">
        <f>(IF((VLOOKUP(Table6[[#This Row],[SKU]],'All Skus'!$A:$AC,2,FALSE))="JBL",(VLOOKUP(Table6[[#This Row],[SKU]],'All Skus'!$A:$AC,6,FALSE)),""))</f>
        <v>YES</v>
      </c>
      <c r="F461" s="61">
        <f>(IF((VLOOKUP(Table6[[#This Row],[SKU]],'All Skus'!$A:$AC,2,FALSE))="JBL",(VLOOKUP(Table6[[#This Row],[SKU]],'All Skus'!$A:$AC,7,FALSE)),""))</f>
        <v>0</v>
      </c>
      <c r="G461" t="str">
        <f>(IF((VLOOKUP(Table6[[#This Row],[SKU]],'All Skus'!$A:$AC,2,FALSE))="JBL",(VLOOKUP(Table6[[#This Row],[SKU]],'All Skus'!$A:$AC,8,FALSE)),""))</f>
        <v>Two-way full range loudspeaker (Extreme Weather Protection Treatment)</v>
      </c>
      <c r="H461" s="8" t="str">
        <f>(IF((VLOOKUP(Table6[[#This Row],[SKU]],'All Skus'!$A:$AC,2,FALSE))="JBL",(VLOOKUP(Table6[[#This Row],[SKU]],'All Skus'!$A:$AC,9,FALSE)),""))</f>
        <v xml:space="preserve">Medium Power 12” 2-Way Full-Range Loudspeaker System with JBL Differential Drive® 50.8 mm (2-in) dual voice coil and dual magnetic gap 262H low frequency driver and 2408H-1 high-frequency 38mm (1.5 in) exit, 38mm (1.5 in) voice-coil compression driver.  60°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461" s="101" t="str">
        <f>(IF((VLOOKUP(Table6[[#This Row],[SKU]],'All Skus'!$A:$AC,2,FALSE))="JBL",(VLOOKUP(Table6[[#This Row],[SKU]],'All Skus'!$A:$AC,10,FALSE)),""))</f>
        <v>Please email CustomAudio@harman.com for quote</v>
      </c>
      <c r="J461" s="101">
        <f>(IF((VLOOKUP(Table6[[#This Row],[SKU]],'All Skus'!$A:$AC,2,FALSE))="JBL",(VLOOKUP(Table6[[#This Row],[SKU]],'All Skus'!$A:$AC,11,FALSE)),""))</f>
        <v>0</v>
      </c>
      <c r="K461" s="102">
        <f>(IF((VLOOKUP(Table6[[#This Row],[SKU]],'All Skus'!$A:$AC,2,FALSE))="JBL",(VLOOKUP(Table6[[#This Row],[SKU]],'All Skus'!$A:$AC,13,FALSE)),""))</f>
        <v>0</v>
      </c>
      <c r="L461" s="102">
        <f>(IF((VLOOKUP(Table6[[#This Row],[SKU]],'All Skus'!$A:$AC,2,FALSE))="JBL",(VLOOKUP(Table6[[#This Row],[SKU]],'All Skus'!$A:$AC,14,FALSE)),""))</f>
        <v>0</v>
      </c>
      <c r="M461" s="143">
        <f>(IF((VLOOKUP(Table6[[#This Row],[SKU]],'All Skus'!$A:$AC,2,FALSE))="JBL",(VLOOKUP(Table6[[#This Row],[SKU]],'All Skus'!$A:$AC,15,FALSE)),""))</f>
        <v>0</v>
      </c>
      <c r="N461" s="137">
        <f>(IF((VLOOKUP(Table6[[#This Row],[SKU]],'All Skus'!$A:$AC,2,FALSE))="JBL",(VLOOKUP(Table6[[#This Row],[SKU]],'All Skus'!$A:$AC,16,FALSE)),""))</f>
        <v>691991011054</v>
      </c>
      <c r="O461" s="61">
        <f>(IF((VLOOKUP(Table6[[#This Row],[SKU]],'All Skus'!$A:$AC,2,FALSE))="JBL",(VLOOKUP(Table6[[#This Row],[SKU]],'All Skus'!$A:$AC,17,FALSE)),""))</f>
        <v>0</v>
      </c>
      <c r="P461" s="136">
        <f>(IF((VLOOKUP(Table6[[#This Row],[SKU]],'All Skus'!$A:$AC,2,FALSE))="JBL",(VLOOKUP(Table6[[#This Row],[SKU]],'All Skus'!$A:$AC,18,FALSE)),""))</f>
        <v>0</v>
      </c>
      <c r="Q461" s="136">
        <f>(IF((VLOOKUP(Table6[[#This Row],[SKU]],'All Skus'!$A:$AC,2,FALSE))="JBL",(VLOOKUP(Table6[[#This Row],[SKU]],'All Skus'!$A:$AC,19,FALSE)),""))</f>
        <v>0</v>
      </c>
      <c r="R461" s="136">
        <f>(IF((VLOOKUP(Table6[[#This Row],[SKU]],'All Skus'!$A:$AC,2,FALSE))="JBL",(VLOOKUP(Table6[[#This Row],[SKU]],'All Skus'!$A:$AC,20,FALSE)),""))</f>
        <v>0</v>
      </c>
      <c r="S461" s="61">
        <f>(IF((VLOOKUP(Table6[[#This Row],[SKU]],'All Skus'!$A:$AC,2,FALSE))="JBL",(VLOOKUP(Table6[[#This Row],[SKU]],'All Skus'!$A:$AC,21,FALSE)),""))</f>
        <v>0</v>
      </c>
      <c r="T461" s="61" t="str">
        <f>(IF((VLOOKUP(Table6[[#This Row],[SKU]],'All Skus'!$A:$AC,2,FALSE))="JBL",(VLOOKUP(Table6[[#This Row],[SKU]],'All Skus'!$A:$AC,22,FALSE)),""))</f>
        <v>MX</v>
      </c>
      <c r="U461" t="str">
        <f>(IF((VLOOKUP(Table6[[#This Row],[SKU]],'All Skus'!$A:$AC,2,FALSE))="JBL",(VLOOKUP(Table6[[#This Row],[SKU]],'All Skus'!$A:$AC,23,FALSE)),""))</f>
        <v>Compliant</v>
      </c>
      <c r="V461" s="284" t="str">
        <f>HYPERLINK((IF((VLOOKUP(Table6[[#This Row],[SKU]],'All Skus'!$A:$AC,2,FALSE))="JBL",(VLOOKUP(Table6[[#This Row],[SKU]],'All Skus'!$A:$AC,24,FALSE)),"")))</f>
        <v/>
      </c>
      <c r="W461" s="151">
        <v>459</v>
      </c>
    </row>
    <row r="462" spans="1:23" ht="15" hidden="1" customHeight="1">
      <c r="A462" s="13" t="s">
        <v>1468</v>
      </c>
      <c r="B462" s="12" t="str">
        <f>(IF((VLOOKUP(Table6[[#This Row],[SKU]],'All Skus'!$A:$AC,2,FALSE))="JBL",(VLOOKUP(Table6[[#This Row],[SKU]],'All Skus'!$A:$AC,3,FALSE)),""))</f>
        <v>AE Series</v>
      </c>
      <c r="C462" s="12" t="str">
        <f>(IF((VLOOKUP(Table6[[#This Row],[SKU]],'All Skus'!$A:$AC,2,FALSE))="JBL",(VLOOKUP(Table6[[#This Row],[SKU]],'All Skus'!$A:$AC,4,FALSE)),""))</f>
        <v>AM5212/95</v>
      </c>
      <c r="D462" s="61" t="str">
        <f>(IF((VLOOKUP(Table6[[#This Row],[SKU]],'All Skus'!$A:$AC,2,FALSE))="JBL",(VLOOKUP(Table6[[#This Row],[SKU]],'All Skus'!$A:$AC,5,FALSE)),""))</f>
        <v>JBL052</v>
      </c>
      <c r="E462" s="137">
        <f>(IF((VLOOKUP(Table6[[#This Row],[SKU]],'All Skus'!$A:$AC,2,FALSE))="JBL",(VLOOKUP(Table6[[#This Row],[SKU]],'All Skus'!$A:$AC,6,FALSE)),""))</f>
        <v>0</v>
      </c>
      <c r="F462" s="61">
        <f>(IF((VLOOKUP(Table6[[#This Row],[SKU]],'All Skus'!$A:$AC,2,FALSE))="JBL",(VLOOKUP(Table6[[#This Row],[SKU]],'All Skus'!$A:$AC,7,FALSE)),""))</f>
        <v>0</v>
      </c>
      <c r="G462" t="str">
        <f>(IF((VLOOKUP(Table6[[#This Row],[SKU]],'All Skus'!$A:$AC,2,FALSE))="JBL",(VLOOKUP(Table6[[#This Row],[SKU]],'All Skus'!$A:$AC,8,FALSE)),""))</f>
        <v>Two-way full range loudspeaker</v>
      </c>
      <c r="H462"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v>
      </c>
      <c r="I462" s="101">
        <f>(IF((VLOOKUP(Table6[[#This Row],[SKU]],'All Skus'!$A:$AC,2,FALSE))="JBL",(VLOOKUP(Table6[[#This Row],[SKU]],'All Skus'!$A:$AC,10,FALSE)),""))</f>
        <v>2330</v>
      </c>
      <c r="J462" s="101">
        <f>(IF((VLOOKUP(Table6[[#This Row],[SKU]],'All Skus'!$A:$AC,2,FALSE))="JBL",(VLOOKUP(Table6[[#This Row],[SKU]],'All Skus'!$A:$AC,11,FALSE)),""))</f>
        <v>2330</v>
      </c>
      <c r="K462" s="102">
        <f>(IF((VLOOKUP(Table6[[#This Row],[SKU]],'All Skus'!$A:$AC,2,FALSE))="JBL",(VLOOKUP(Table6[[#This Row],[SKU]],'All Skus'!$A:$AC,13,FALSE)),""))</f>
        <v>0</v>
      </c>
      <c r="L462" s="102">
        <f>(IF((VLOOKUP(Table6[[#This Row],[SKU]],'All Skus'!$A:$AC,2,FALSE))="JBL",(VLOOKUP(Table6[[#This Row],[SKU]],'All Skus'!$A:$AC,14,FALSE)),""))</f>
        <v>0</v>
      </c>
      <c r="M462" s="143">
        <f>(IF((VLOOKUP(Table6[[#This Row],[SKU]],'All Skus'!$A:$AC,2,FALSE))="JBL",(VLOOKUP(Table6[[#This Row],[SKU]],'All Skus'!$A:$AC,15,FALSE)),""))</f>
        <v>0</v>
      </c>
      <c r="N462" s="137">
        <f>(IF((VLOOKUP(Table6[[#This Row],[SKU]],'All Skus'!$A:$AC,2,FALSE))="JBL",(VLOOKUP(Table6[[#This Row],[SKU]],'All Skus'!$A:$AC,16,FALSE)),""))</f>
        <v>691991011061</v>
      </c>
      <c r="O462" s="61">
        <f>(IF((VLOOKUP(Table6[[#This Row],[SKU]],'All Skus'!$A:$AC,2,FALSE))="JBL",(VLOOKUP(Table6[[#This Row],[SKU]],'All Skus'!$A:$AC,17,FALSE)),""))</f>
        <v>0</v>
      </c>
      <c r="P462" s="136">
        <f>(IF((VLOOKUP(Table6[[#This Row],[SKU]],'All Skus'!$A:$AC,2,FALSE))="JBL",(VLOOKUP(Table6[[#This Row],[SKU]],'All Skus'!$A:$AC,18,FALSE)),""))</f>
        <v>55</v>
      </c>
      <c r="Q462" s="136">
        <f>(IF((VLOOKUP(Table6[[#This Row],[SKU]],'All Skus'!$A:$AC,2,FALSE))="JBL",(VLOOKUP(Table6[[#This Row],[SKU]],'All Skus'!$A:$AC,19,FALSE)),""))</f>
        <v>19</v>
      </c>
      <c r="R462" s="136">
        <f>(IF((VLOOKUP(Table6[[#This Row],[SKU]],'All Skus'!$A:$AC,2,FALSE))="JBL",(VLOOKUP(Table6[[#This Row],[SKU]],'All Skus'!$A:$AC,20,FALSE)),""))</f>
        <v>13</v>
      </c>
      <c r="S462" s="61">
        <f>(IF((VLOOKUP(Table6[[#This Row],[SKU]],'All Skus'!$A:$AC,2,FALSE))="JBL",(VLOOKUP(Table6[[#This Row],[SKU]],'All Skus'!$A:$AC,21,FALSE)),""))</f>
        <v>30</v>
      </c>
      <c r="T462" s="61" t="str">
        <f>(IF((VLOOKUP(Table6[[#This Row],[SKU]],'All Skus'!$A:$AC,2,FALSE))="JBL",(VLOOKUP(Table6[[#This Row],[SKU]],'All Skus'!$A:$AC,22,FALSE)),""))</f>
        <v>MX</v>
      </c>
      <c r="U462" t="str">
        <f>(IF((VLOOKUP(Table6[[#This Row],[SKU]],'All Skus'!$A:$AC,2,FALSE))="JBL",(VLOOKUP(Table6[[#This Row],[SKU]],'All Skus'!$A:$AC,23,FALSE)),""))</f>
        <v>Compliant</v>
      </c>
      <c r="V462" s="284" t="str">
        <f>HYPERLINK((IF((VLOOKUP(Table6[[#This Row],[SKU]],'All Skus'!$A:$AC,2,FALSE))="JBL",(VLOOKUP(Table6[[#This Row],[SKU]],'All Skus'!$A:$AC,24,FALSE)),"")))</f>
        <v/>
      </c>
      <c r="W462" s="151">
        <v>460</v>
      </c>
    </row>
    <row r="463" spans="1:23" ht="15" hidden="1" customHeight="1">
      <c r="A463" s="13" t="s">
        <v>1469</v>
      </c>
      <c r="B463" s="12" t="str">
        <f>(IF((VLOOKUP(Table6[[#This Row],[SKU]],'All Skus'!$A:$AC,2,FALSE))="JBL",(VLOOKUP(Table6[[#This Row],[SKU]],'All Skus'!$A:$AC,3,FALSE)),""))</f>
        <v>AE Series</v>
      </c>
      <c r="C463" s="12" t="str">
        <f>(IF((VLOOKUP(Table6[[#This Row],[SKU]],'All Skus'!$A:$AC,2,FALSE))="JBL",(VLOOKUP(Table6[[#This Row],[SKU]],'All Skus'!$A:$AC,4,FALSE)),""))</f>
        <v>AM5212/95-WH</v>
      </c>
      <c r="D463" s="61" t="str">
        <f>(IF((VLOOKUP(Table6[[#This Row],[SKU]],'All Skus'!$A:$AC,2,FALSE))="JBL",(VLOOKUP(Table6[[#This Row],[SKU]],'All Skus'!$A:$AC,5,FALSE)),""))</f>
        <v>JBL052</v>
      </c>
      <c r="E463" s="137">
        <f>(IF((VLOOKUP(Table6[[#This Row],[SKU]],'All Skus'!$A:$AC,2,FALSE))="JBL",(VLOOKUP(Table6[[#This Row],[SKU]],'All Skus'!$A:$AC,6,FALSE)),""))</f>
        <v>0</v>
      </c>
      <c r="F463" s="61">
        <f>(IF((VLOOKUP(Table6[[#This Row],[SKU]],'All Skus'!$A:$AC,2,FALSE))="JBL",(VLOOKUP(Table6[[#This Row],[SKU]],'All Skus'!$A:$AC,7,FALSE)),""))</f>
        <v>0</v>
      </c>
      <c r="G463" t="str">
        <f>(IF((VLOOKUP(Table6[[#This Row],[SKU]],'All Skus'!$A:$AC,2,FALSE))="JBL",(VLOOKUP(Table6[[#This Row],[SKU]],'All Skus'!$A:$AC,8,FALSE)),""))</f>
        <v>Two-way full range loudspeaker (white)</v>
      </c>
      <c r="H463"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v>
      </c>
      <c r="I463" s="101">
        <f>(IF((VLOOKUP(Table6[[#This Row],[SKU]],'All Skus'!$A:$AC,2,FALSE))="JBL",(VLOOKUP(Table6[[#This Row],[SKU]],'All Skus'!$A:$AC,10,FALSE)),""))</f>
        <v>2330</v>
      </c>
      <c r="J463" s="101">
        <f>(IF((VLOOKUP(Table6[[#This Row],[SKU]],'All Skus'!$A:$AC,2,FALSE))="JBL",(VLOOKUP(Table6[[#This Row],[SKU]],'All Skus'!$A:$AC,11,FALSE)),""))</f>
        <v>2330</v>
      </c>
      <c r="K463" s="102">
        <f>(IF((VLOOKUP(Table6[[#This Row],[SKU]],'All Skus'!$A:$AC,2,FALSE))="JBL",(VLOOKUP(Table6[[#This Row],[SKU]],'All Skus'!$A:$AC,13,FALSE)),""))</f>
        <v>0</v>
      </c>
      <c r="L463" s="102">
        <f>(IF((VLOOKUP(Table6[[#This Row],[SKU]],'All Skus'!$A:$AC,2,FALSE))="JBL",(VLOOKUP(Table6[[#This Row],[SKU]],'All Skus'!$A:$AC,14,FALSE)),""))</f>
        <v>0</v>
      </c>
      <c r="M463" s="143">
        <f>(IF((VLOOKUP(Table6[[#This Row],[SKU]],'All Skus'!$A:$AC,2,FALSE))="JBL",(VLOOKUP(Table6[[#This Row],[SKU]],'All Skus'!$A:$AC,15,FALSE)),""))</f>
        <v>0</v>
      </c>
      <c r="N463" s="137">
        <f>(IF((VLOOKUP(Table6[[#This Row],[SKU]],'All Skus'!$A:$AC,2,FALSE))="JBL",(VLOOKUP(Table6[[#This Row],[SKU]],'All Skus'!$A:$AC,16,FALSE)),""))</f>
        <v>691991011078</v>
      </c>
      <c r="O463" s="61">
        <f>(IF((VLOOKUP(Table6[[#This Row],[SKU]],'All Skus'!$A:$AC,2,FALSE))="JBL",(VLOOKUP(Table6[[#This Row],[SKU]],'All Skus'!$A:$AC,17,FALSE)),""))</f>
        <v>0</v>
      </c>
      <c r="P463" s="136">
        <f>(IF((VLOOKUP(Table6[[#This Row],[SKU]],'All Skus'!$A:$AC,2,FALSE))="JBL",(VLOOKUP(Table6[[#This Row],[SKU]],'All Skus'!$A:$AC,18,FALSE)),""))</f>
        <v>55</v>
      </c>
      <c r="Q463" s="136">
        <f>(IF((VLOOKUP(Table6[[#This Row],[SKU]],'All Skus'!$A:$AC,2,FALSE))="JBL",(VLOOKUP(Table6[[#This Row],[SKU]],'All Skus'!$A:$AC,19,FALSE)),""))</f>
        <v>19</v>
      </c>
      <c r="R463" s="136">
        <f>(IF((VLOOKUP(Table6[[#This Row],[SKU]],'All Skus'!$A:$AC,2,FALSE))="JBL",(VLOOKUP(Table6[[#This Row],[SKU]],'All Skus'!$A:$AC,20,FALSE)),""))</f>
        <v>15</v>
      </c>
      <c r="S463" s="61">
        <f>(IF((VLOOKUP(Table6[[#This Row],[SKU]],'All Skus'!$A:$AC,2,FALSE))="JBL",(VLOOKUP(Table6[[#This Row],[SKU]],'All Skus'!$A:$AC,21,FALSE)),""))</f>
        <v>30</v>
      </c>
      <c r="T463" s="61" t="str">
        <f>(IF((VLOOKUP(Table6[[#This Row],[SKU]],'All Skus'!$A:$AC,2,FALSE))="JBL",(VLOOKUP(Table6[[#This Row],[SKU]],'All Skus'!$A:$AC,22,FALSE)),""))</f>
        <v>MX</v>
      </c>
      <c r="U463" t="str">
        <f>(IF((VLOOKUP(Table6[[#This Row],[SKU]],'All Skus'!$A:$AC,2,FALSE))="JBL",(VLOOKUP(Table6[[#This Row],[SKU]],'All Skus'!$A:$AC,23,FALSE)),""))</f>
        <v>Compliant</v>
      </c>
      <c r="V463" s="284" t="str">
        <f>HYPERLINK((IF((VLOOKUP(Table6[[#This Row],[SKU]],'All Skus'!$A:$AC,2,FALSE))="JBL",(VLOOKUP(Table6[[#This Row],[SKU]],'All Skus'!$A:$AC,24,FALSE)),"")))</f>
        <v/>
      </c>
      <c r="W463" s="151">
        <v>461</v>
      </c>
    </row>
    <row r="464" spans="1:23" ht="15" hidden="1" customHeight="1">
      <c r="A464" s="13" t="s">
        <v>1470</v>
      </c>
      <c r="B464" s="12" t="str">
        <f>(IF((VLOOKUP(Table6[[#This Row],[SKU]],'All Skus'!$A:$AC,2,FALSE))="JBL",(VLOOKUP(Table6[[#This Row],[SKU]],'All Skus'!$A:$AC,3,FALSE)),""))</f>
        <v>Custom Shop</v>
      </c>
      <c r="C464" s="12" t="str">
        <f>(IF((VLOOKUP(Table6[[#This Row],[SKU]],'All Skus'!$A:$AC,2,FALSE))="JBL",(VLOOKUP(Table6[[#This Row],[SKU]],'All Skus'!$A:$AC,4,FALSE)),""))</f>
        <v>AM5212/95-WRC</v>
      </c>
      <c r="D464" s="61" t="str">
        <f>(IF((VLOOKUP(Table6[[#This Row],[SKU]],'All Skus'!$A:$AC,2,FALSE))="JBL",(VLOOKUP(Table6[[#This Row],[SKU]],'All Skus'!$A:$AC,5,FALSE)),""))</f>
        <v>JBL050</v>
      </c>
      <c r="E464" s="137" t="str">
        <f>(IF((VLOOKUP(Table6[[#This Row],[SKU]],'All Skus'!$A:$AC,2,FALSE))="JBL",(VLOOKUP(Table6[[#This Row],[SKU]],'All Skus'!$A:$AC,6,FALSE)),""))</f>
        <v>YES</v>
      </c>
      <c r="F464" s="61">
        <f>(IF((VLOOKUP(Table6[[#This Row],[SKU]],'All Skus'!$A:$AC,2,FALSE))="JBL",(VLOOKUP(Table6[[#This Row],[SKU]],'All Skus'!$A:$AC,7,FALSE)),""))</f>
        <v>0</v>
      </c>
      <c r="G464" t="str">
        <f>(IF((VLOOKUP(Table6[[#This Row],[SKU]],'All Skus'!$A:$AC,2,FALSE))="JBL",(VLOOKUP(Table6[[#This Row],[SKU]],'All Skus'!$A:$AC,8,FALSE)),""))</f>
        <v>Two-way full range loudspeaker (white)</v>
      </c>
      <c r="H464" s="8" t="str">
        <f>(IF((VLOOKUP(Table6[[#This Row],[SKU]],'All Skus'!$A:$AC,2,FALSE))="JBL",(VLOOKUP(Table6[[#This Row],[SKU]],'All Skus'!$A:$AC,9,FALSE)),""))</f>
        <v>Medium Power 12” 2-Way Full-Range Loudspeaker System with JBL Differential Drive® 50.8 mm (2-in) dual voice coil and dual magnetic gap 262H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MTU-3.  White finish.</v>
      </c>
      <c r="I464" s="101" t="str">
        <f>(IF((VLOOKUP(Table6[[#This Row],[SKU]],'All Skus'!$A:$AC,2,FALSE))="JBL",(VLOOKUP(Table6[[#This Row],[SKU]],'All Skus'!$A:$AC,10,FALSE)),""))</f>
        <v>Please email CustomAudio@harman.com for quote</v>
      </c>
      <c r="J464" s="101">
        <f>(IF((VLOOKUP(Table6[[#This Row],[SKU]],'All Skus'!$A:$AC,2,FALSE))="JBL",(VLOOKUP(Table6[[#This Row],[SKU]],'All Skus'!$A:$AC,11,FALSE)),""))</f>
        <v>0</v>
      </c>
      <c r="K464" s="102">
        <f>(IF((VLOOKUP(Table6[[#This Row],[SKU]],'All Skus'!$A:$AC,2,FALSE))="JBL",(VLOOKUP(Table6[[#This Row],[SKU]],'All Skus'!$A:$AC,13,FALSE)),""))</f>
        <v>0</v>
      </c>
      <c r="L464" s="102">
        <f>(IF((VLOOKUP(Table6[[#This Row],[SKU]],'All Skus'!$A:$AC,2,FALSE))="JBL",(VLOOKUP(Table6[[#This Row],[SKU]],'All Skus'!$A:$AC,14,FALSE)),""))</f>
        <v>0</v>
      </c>
      <c r="M464" s="143">
        <f>(IF((VLOOKUP(Table6[[#This Row],[SKU]],'All Skus'!$A:$AC,2,FALSE))="JBL",(VLOOKUP(Table6[[#This Row],[SKU]],'All Skus'!$A:$AC,15,FALSE)),""))</f>
        <v>0</v>
      </c>
      <c r="N464" s="137">
        <f>(IF((VLOOKUP(Table6[[#This Row],[SKU]],'All Skus'!$A:$AC,2,FALSE))="JBL",(VLOOKUP(Table6[[#This Row],[SKU]],'All Skus'!$A:$AC,16,FALSE)),""))</f>
        <v>691991029349</v>
      </c>
      <c r="O464" s="61">
        <f>(IF((VLOOKUP(Table6[[#This Row],[SKU]],'All Skus'!$A:$AC,2,FALSE))="JBL",(VLOOKUP(Table6[[#This Row],[SKU]],'All Skus'!$A:$AC,17,FALSE)),""))</f>
        <v>0</v>
      </c>
      <c r="P464" s="136">
        <f>(IF((VLOOKUP(Table6[[#This Row],[SKU]],'All Skus'!$A:$AC,2,FALSE))="JBL",(VLOOKUP(Table6[[#This Row],[SKU]],'All Skus'!$A:$AC,18,FALSE)),""))</f>
        <v>35</v>
      </c>
      <c r="Q464" s="136">
        <f>(IF((VLOOKUP(Table6[[#This Row],[SKU]],'All Skus'!$A:$AC,2,FALSE))="JBL",(VLOOKUP(Table6[[#This Row],[SKU]],'All Skus'!$A:$AC,19,FALSE)),""))</f>
        <v>16</v>
      </c>
      <c r="R464" s="136">
        <f>(IF((VLOOKUP(Table6[[#This Row],[SKU]],'All Skus'!$A:$AC,2,FALSE))="JBL",(VLOOKUP(Table6[[#This Row],[SKU]],'All Skus'!$A:$AC,20,FALSE)),""))</f>
        <v>19</v>
      </c>
      <c r="S464" s="61">
        <f>(IF((VLOOKUP(Table6[[#This Row],[SKU]],'All Skus'!$A:$AC,2,FALSE))="JBL",(VLOOKUP(Table6[[#This Row],[SKU]],'All Skus'!$A:$AC,21,FALSE)),""))</f>
        <v>30</v>
      </c>
      <c r="T464" s="61" t="str">
        <f>(IF((VLOOKUP(Table6[[#This Row],[SKU]],'All Skus'!$A:$AC,2,FALSE))="JBL",(VLOOKUP(Table6[[#This Row],[SKU]],'All Skus'!$A:$AC,22,FALSE)),""))</f>
        <v>MX</v>
      </c>
      <c r="U464" t="str">
        <f>(IF((VLOOKUP(Table6[[#This Row],[SKU]],'All Skus'!$A:$AC,2,FALSE))="JBL",(VLOOKUP(Table6[[#This Row],[SKU]],'All Skus'!$A:$AC,23,FALSE)),""))</f>
        <v>Compliant</v>
      </c>
      <c r="V464" s="284" t="str">
        <f>HYPERLINK((IF((VLOOKUP(Table6[[#This Row],[SKU]],'All Skus'!$A:$AC,2,FALSE))="JBL",(VLOOKUP(Table6[[#This Row],[SKU]],'All Skus'!$A:$AC,24,FALSE)),"")))</f>
        <v/>
      </c>
      <c r="W464" s="151">
        <v>462</v>
      </c>
    </row>
    <row r="465" spans="1:23" ht="15" hidden="1" customHeight="1">
      <c r="A465" s="13" t="s">
        <v>1471</v>
      </c>
      <c r="B465" s="12" t="str">
        <f>(IF((VLOOKUP(Table6[[#This Row],[SKU]],'All Skus'!$A:$AC,2,FALSE))="JBL",(VLOOKUP(Table6[[#This Row],[SKU]],'All Skus'!$A:$AC,3,FALSE)),""))</f>
        <v>AE Series</v>
      </c>
      <c r="C465" s="12" t="str">
        <f>(IF((VLOOKUP(Table6[[#This Row],[SKU]],'All Skus'!$A:$AC,2,FALSE))="JBL",(VLOOKUP(Table6[[#This Row],[SKU]],'All Skus'!$A:$AC,4,FALSE)),""))</f>
        <v>AM5215/26</v>
      </c>
      <c r="D465" s="61" t="str">
        <f>(IF((VLOOKUP(Table6[[#This Row],[SKU]],'All Skus'!$A:$AC,2,FALSE))="JBL",(VLOOKUP(Table6[[#This Row],[SKU]],'All Skus'!$A:$AC,5,FALSE)),""))</f>
        <v>JBL052</v>
      </c>
      <c r="E465" s="137">
        <f>(IF((VLOOKUP(Table6[[#This Row],[SKU]],'All Skus'!$A:$AC,2,FALSE))="JBL",(VLOOKUP(Table6[[#This Row],[SKU]],'All Skus'!$A:$AC,6,FALSE)),""))</f>
        <v>0</v>
      </c>
      <c r="F465" s="61">
        <f>(IF((VLOOKUP(Table6[[#This Row],[SKU]],'All Skus'!$A:$AC,2,FALSE))="JBL",(VLOOKUP(Table6[[#This Row],[SKU]],'All Skus'!$A:$AC,7,FALSE)),""))</f>
        <v>0</v>
      </c>
      <c r="G465" t="str">
        <f>(IF((VLOOKUP(Table6[[#This Row],[SKU]],'All Skus'!$A:$AC,2,FALSE))="JBL",(VLOOKUP(Table6[[#This Row],[SKU]],'All Skus'!$A:$AC,8,FALSE)),""))</f>
        <v>Two-way full range loudspeaker</v>
      </c>
      <c r="H465"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v>
      </c>
      <c r="I465" s="101">
        <f>(IF((VLOOKUP(Table6[[#This Row],[SKU]],'All Skus'!$A:$AC,2,FALSE))="JBL",(VLOOKUP(Table6[[#This Row],[SKU]],'All Skus'!$A:$AC,10,FALSE)),""))</f>
        <v>2460</v>
      </c>
      <c r="J465" s="101">
        <f>(IF((VLOOKUP(Table6[[#This Row],[SKU]],'All Skus'!$A:$AC,2,FALSE))="JBL",(VLOOKUP(Table6[[#This Row],[SKU]],'All Skus'!$A:$AC,11,FALSE)),""))</f>
        <v>2460</v>
      </c>
      <c r="K465" s="102">
        <f>(IF((VLOOKUP(Table6[[#This Row],[SKU]],'All Skus'!$A:$AC,2,FALSE))="JBL",(VLOOKUP(Table6[[#This Row],[SKU]],'All Skus'!$A:$AC,13,FALSE)),""))</f>
        <v>0</v>
      </c>
      <c r="L465" s="102">
        <f>(IF((VLOOKUP(Table6[[#This Row],[SKU]],'All Skus'!$A:$AC,2,FALSE))="JBL",(VLOOKUP(Table6[[#This Row],[SKU]],'All Skus'!$A:$AC,14,FALSE)),""))</f>
        <v>0</v>
      </c>
      <c r="M465" s="143">
        <f>(IF((VLOOKUP(Table6[[#This Row],[SKU]],'All Skus'!$A:$AC,2,FALSE))="JBL",(VLOOKUP(Table6[[#This Row],[SKU]],'All Skus'!$A:$AC,15,FALSE)),""))</f>
        <v>0</v>
      </c>
      <c r="N465" s="137">
        <f>(IF((VLOOKUP(Table6[[#This Row],[SKU]],'All Skus'!$A:$AC,2,FALSE))="JBL",(VLOOKUP(Table6[[#This Row],[SKU]],'All Skus'!$A:$AC,16,FALSE)),""))</f>
        <v>691991011092</v>
      </c>
      <c r="O465" s="61">
        <f>(IF((VLOOKUP(Table6[[#This Row],[SKU]],'All Skus'!$A:$AC,2,FALSE))="JBL",(VLOOKUP(Table6[[#This Row],[SKU]],'All Skus'!$A:$AC,17,FALSE)),""))</f>
        <v>0</v>
      </c>
      <c r="P465" s="136">
        <f>(IF((VLOOKUP(Table6[[#This Row],[SKU]],'All Skus'!$A:$AC,2,FALSE))="JBL",(VLOOKUP(Table6[[#This Row],[SKU]],'All Skus'!$A:$AC,18,FALSE)),""))</f>
        <v>71</v>
      </c>
      <c r="Q465" s="136">
        <f>(IF((VLOOKUP(Table6[[#This Row],[SKU]],'All Skus'!$A:$AC,2,FALSE))="JBL",(VLOOKUP(Table6[[#This Row],[SKU]],'All Skus'!$A:$AC,19,FALSE)),""))</f>
        <v>21</v>
      </c>
      <c r="R465" s="136">
        <f>(IF((VLOOKUP(Table6[[#This Row],[SKU]],'All Skus'!$A:$AC,2,FALSE))="JBL",(VLOOKUP(Table6[[#This Row],[SKU]],'All Skus'!$A:$AC,20,FALSE)),""))</f>
        <v>18</v>
      </c>
      <c r="S465" s="61">
        <f>(IF((VLOOKUP(Table6[[#This Row],[SKU]],'All Skus'!$A:$AC,2,FALSE))="JBL",(VLOOKUP(Table6[[#This Row],[SKU]],'All Skus'!$A:$AC,21,FALSE)),""))</f>
        <v>32</v>
      </c>
      <c r="T465" s="61" t="str">
        <f>(IF((VLOOKUP(Table6[[#This Row],[SKU]],'All Skus'!$A:$AC,2,FALSE))="JBL",(VLOOKUP(Table6[[#This Row],[SKU]],'All Skus'!$A:$AC,22,FALSE)),""))</f>
        <v>MX</v>
      </c>
      <c r="U465" t="str">
        <f>(IF((VLOOKUP(Table6[[#This Row],[SKU]],'All Skus'!$A:$AC,2,FALSE))="JBL",(VLOOKUP(Table6[[#This Row],[SKU]],'All Skus'!$A:$AC,23,FALSE)),""))</f>
        <v>Compliant</v>
      </c>
      <c r="V465" s="284" t="str">
        <f>HYPERLINK((IF((VLOOKUP(Table6[[#This Row],[SKU]],'All Skus'!$A:$AC,2,FALSE))="JBL",(VLOOKUP(Table6[[#This Row],[SKU]],'All Skus'!$A:$AC,24,FALSE)),"")))</f>
        <v/>
      </c>
      <c r="W465" s="151">
        <v>463</v>
      </c>
    </row>
    <row r="466" spans="1:23" ht="15" hidden="1" customHeight="1">
      <c r="A466" s="13" t="s">
        <v>1472</v>
      </c>
      <c r="B466" s="12" t="str">
        <f>(IF((VLOOKUP(Table6[[#This Row],[SKU]],'All Skus'!$A:$AC,2,FALSE))="JBL",(VLOOKUP(Table6[[#This Row],[SKU]],'All Skus'!$A:$AC,3,FALSE)),""))</f>
        <v>AE Series</v>
      </c>
      <c r="C466" s="12" t="str">
        <f>(IF((VLOOKUP(Table6[[#This Row],[SKU]],'All Skus'!$A:$AC,2,FALSE))="JBL",(VLOOKUP(Table6[[#This Row],[SKU]],'All Skus'!$A:$AC,4,FALSE)),""))</f>
        <v>AM5215/26-WH</v>
      </c>
      <c r="D466" s="61" t="str">
        <f>(IF((VLOOKUP(Table6[[#This Row],[SKU]],'All Skus'!$A:$AC,2,FALSE))="JBL",(VLOOKUP(Table6[[#This Row],[SKU]],'All Skus'!$A:$AC,5,FALSE)),""))</f>
        <v>JBL052</v>
      </c>
      <c r="E466" s="137">
        <f>(IF((VLOOKUP(Table6[[#This Row],[SKU]],'All Skus'!$A:$AC,2,FALSE))="JBL",(VLOOKUP(Table6[[#This Row],[SKU]],'All Skus'!$A:$AC,6,FALSE)),""))</f>
        <v>0</v>
      </c>
      <c r="F466" s="61">
        <f>(IF((VLOOKUP(Table6[[#This Row],[SKU]],'All Skus'!$A:$AC,2,FALSE))="JBL",(VLOOKUP(Table6[[#This Row],[SKU]],'All Skus'!$A:$AC,7,FALSE)),""))</f>
        <v>0</v>
      </c>
      <c r="G466" t="str">
        <f>(IF((VLOOKUP(Table6[[#This Row],[SKU]],'All Skus'!$A:$AC,2,FALSE))="JBL",(VLOOKUP(Table6[[#This Row],[SKU]],'All Skus'!$A:$AC,8,FALSE)),""))</f>
        <v>Two-way full range loudspeaker (white)</v>
      </c>
      <c r="H466"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v>
      </c>
      <c r="I466" s="101">
        <f>(IF((VLOOKUP(Table6[[#This Row],[SKU]],'All Skus'!$A:$AC,2,FALSE))="JBL",(VLOOKUP(Table6[[#This Row],[SKU]],'All Skus'!$A:$AC,10,FALSE)),""))</f>
        <v>2460</v>
      </c>
      <c r="J466" s="101">
        <f>(IF((VLOOKUP(Table6[[#This Row],[SKU]],'All Skus'!$A:$AC,2,FALSE))="JBL",(VLOOKUP(Table6[[#This Row],[SKU]],'All Skus'!$A:$AC,11,FALSE)),""))</f>
        <v>2460</v>
      </c>
      <c r="K466" s="102">
        <f>(IF((VLOOKUP(Table6[[#This Row],[SKU]],'All Skus'!$A:$AC,2,FALSE))="JBL",(VLOOKUP(Table6[[#This Row],[SKU]],'All Skus'!$A:$AC,13,FALSE)),""))</f>
        <v>0</v>
      </c>
      <c r="L466" s="102">
        <f>(IF((VLOOKUP(Table6[[#This Row],[SKU]],'All Skus'!$A:$AC,2,FALSE))="JBL",(VLOOKUP(Table6[[#This Row],[SKU]],'All Skus'!$A:$AC,14,FALSE)),""))</f>
        <v>0</v>
      </c>
      <c r="M466" s="143">
        <f>(IF((VLOOKUP(Table6[[#This Row],[SKU]],'All Skus'!$A:$AC,2,FALSE))="JBL",(VLOOKUP(Table6[[#This Row],[SKU]],'All Skus'!$A:$AC,15,FALSE)),""))</f>
        <v>0</v>
      </c>
      <c r="N466" s="137">
        <f>(IF((VLOOKUP(Table6[[#This Row],[SKU]],'All Skus'!$A:$AC,2,FALSE))="JBL",(VLOOKUP(Table6[[#This Row],[SKU]],'All Skus'!$A:$AC,16,FALSE)),""))</f>
        <v>691991011108</v>
      </c>
      <c r="O466" s="61">
        <f>(IF((VLOOKUP(Table6[[#This Row],[SKU]],'All Skus'!$A:$AC,2,FALSE))="JBL",(VLOOKUP(Table6[[#This Row],[SKU]],'All Skus'!$A:$AC,17,FALSE)),""))</f>
        <v>0</v>
      </c>
      <c r="P466" s="136">
        <f>(IF((VLOOKUP(Table6[[#This Row],[SKU]],'All Skus'!$A:$AC,2,FALSE))="JBL",(VLOOKUP(Table6[[#This Row],[SKU]],'All Skus'!$A:$AC,18,FALSE)),""))</f>
        <v>62.75</v>
      </c>
      <c r="Q466" s="136">
        <f>(IF((VLOOKUP(Table6[[#This Row],[SKU]],'All Skus'!$A:$AC,2,FALSE))="JBL",(VLOOKUP(Table6[[#This Row],[SKU]],'All Skus'!$A:$AC,19,FALSE)),""))</f>
        <v>21</v>
      </c>
      <c r="R466" s="136">
        <f>(IF((VLOOKUP(Table6[[#This Row],[SKU]],'All Skus'!$A:$AC,2,FALSE))="JBL",(VLOOKUP(Table6[[#This Row],[SKU]],'All Skus'!$A:$AC,20,FALSE)),""))</f>
        <v>18</v>
      </c>
      <c r="S466" s="61">
        <f>(IF((VLOOKUP(Table6[[#This Row],[SKU]],'All Skus'!$A:$AC,2,FALSE))="JBL",(VLOOKUP(Table6[[#This Row],[SKU]],'All Skus'!$A:$AC,21,FALSE)),""))</f>
        <v>33</v>
      </c>
      <c r="T466" s="61" t="str">
        <f>(IF((VLOOKUP(Table6[[#This Row],[SKU]],'All Skus'!$A:$AC,2,FALSE))="JBL",(VLOOKUP(Table6[[#This Row],[SKU]],'All Skus'!$A:$AC,22,FALSE)),""))</f>
        <v>MX</v>
      </c>
      <c r="U466" t="str">
        <f>(IF((VLOOKUP(Table6[[#This Row],[SKU]],'All Skus'!$A:$AC,2,FALSE))="JBL",(VLOOKUP(Table6[[#This Row],[SKU]],'All Skus'!$A:$AC,23,FALSE)),""))</f>
        <v>Compliant</v>
      </c>
      <c r="V466" s="284" t="str">
        <f>HYPERLINK((IF((VLOOKUP(Table6[[#This Row],[SKU]],'All Skus'!$A:$AC,2,FALSE))="JBL",(VLOOKUP(Table6[[#This Row],[SKU]],'All Skus'!$A:$AC,24,FALSE)),"")))</f>
        <v/>
      </c>
      <c r="W466" s="151">
        <v>464</v>
      </c>
    </row>
    <row r="467" spans="1:23" ht="15" hidden="1" customHeight="1">
      <c r="A467" s="13" t="s">
        <v>1473</v>
      </c>
      <c r="B467" s="12" t="str">
        <f>(IF((VLOOKUP(Table6[[#This Row],[SKU]],'All Skus'!$A:$AC,2,FALSE))="JBL",(VLOOKUP(Table6[[#This Row],[SKU]],'All Skus'!$A:$AC,3,FALSE)),""))</f>
        <v>Custom Shop</v>
      </c>
      <c r="C467" s="12" t="str">
        <f>(IF((VLOOKUP(Table6[[#This Row],[SKU]],'All Skus'!$A:$AC,2,FALSE))="JBL",(VLOOKUP(Table6[[#This Row],[SKU]],'All Skus'!$A:$AC,4,FALSE)),""))</f>
        <v>AM5215/26-WRX</v>
      </c>
      <c r="D467" s="61" t="str">
        <f>(IF((VLOOKUP(Table6[[#This Row],[SKU]],'All Skus'!$A:$AC,2,FALSE))="JBL",(VLOOKUP(Table6[[#This Row],[SKU]],'All Skus'!$A:$AC,5,FALSE)),""))</f>
        <v>JBL050</v>
      </c>
      <c r="E467" s="137" t="str">
        <f>(IF((VLOOKUP(Table6[[#This Row],[SKU]],'All Skus'!$A:$AC,2,FALSE))="JBL",(VLOOKUP(Table6[[#This Row],[SKU]],'All Skus'!$A:$AC,6,FALSE)),""))</f>
        <v>YES</v>
      </c>
      <c r="F467" s="61">
        <f>(IF((VLOOKUP(Table6[[#This Row],[SKU]],'All Skus'!$A:$AC,2,FALSE))="JBL",(VLOOKUP(Table6[[#This Row],[SKU]],'All Skus'!$A:$AC,7,FALSE)),""))</f>
        <v>0</v>
      </c>
      <c r="G467" t="str">
        <f>(IF((VLOOKUP(Table6[[#This Row],[SKU]],'All Skus'!$A:$AC,2,FALSE))="JBL",(VLOOKUP(Table6[[#This Row],[SKU]],'All Skus'!$A:$AC,8,FALSE)),""))</f>
        <v>Two-way full range loudspeaker (white)</v>
      </c>
      <c r="H467"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120° x 60° rotatable Progressive Transition™ waveguide, Bi-Amp/Passive  Switchable. Available in Black or White (-WH). Priced as each. Suspension eyebolts not included. Optional U-bracket model MTU-1.  White finish.</v>
      </c>
      <c r="I467" s="101" t="str">
        <f>(IF((VLOOKUP(Table6[[#This Row],[SKU]],'All Skus'!$A:$AC,2,FALSE))="JBL",(VLOOKUP(Table6[[#This Row],[SKU]],'All Skus'!$A:$AC,10,FALSE)),""))</f>
        <v>Please email CustomAudio@harman.com for quote</v>
      </c>
      <c r="J467" s="101">
        <f>(IF((VLOOKUP(Table6[[#This Row],[SKU]],'All Skus'!$A:$AC,2,FALSE))="JBL",(VLOOKUP(Table6[[#This Row],[SKU]],'All Skus'!$A:$AC,11,FALSE)),""))</f>
        <v>0</v>
      </c>
      <c r="K467" s="102">
        <f>(IF((VLOOKUP(Table6[[#This Row],[SKU]],'All Skus'!$A:$AC,2,FALSE))="JBL",(VLOOKUP(Table6[[#This Row],[SKU]],'All Skus'!$A:$AC,13,FALSE)),""))</f>
        <v>0</v>
      </c>
      <c r="L467" s="102">
        <f>(IF((VLOOKUP(Table6[[#This Row],[SKU]],'All Skus'!$A:$AC,2,FALSE))="JBL",(VLOOKUP(Table6[[#This Row],[SKU]],'All Skus'!$A:$AC,14,FALSE)),""))</f>
        <v>0</v>
      </c>
      <c r="M467" s="143">
        <f>(IF((VLOOKUP(Table6[[#This Row],[SKU]],'All Skus'!$A:$AC,2,FALSE))="JBL",(VLOOKUP(Table6[[#This Row],[SKU]],'All Skus'!$A:$AC,15,FALSE)),""))</f>
        <v>0</v>
      </c>
      <c r="N467" s="137">
        <f>(IF((VLOOKUP(Table6[[#This Row],[SKU]],'All Skus'!$A:$AC,2,FALSE))="JBL",(VLOOKUP(Table6[[#This Row],[SKU]],'All Skus'!$A:$AC,16,FALSE)),""))</f>
        <v>691991029417</v>
      </c>
      <c r="O467" s="61">
        <f>(IF((VLOOKUP(Table6[[#This Row],[SKU]],'All Skus'!$A:$AC,2,FALSE))="JBL",(VLOOKUP(Table6[[#This Row],[SKU]],'All Skus'!$A:$AC,17,FALSE)),""))</f>
        <v>0</v>
      </c>
      <c r="P467" s="136">
        <f>(IF((VLOOKUP(Table6[[#This Row],[SKU]],'All Skus'!$A:$AC,2,FALSE))="JBL",(VLOOKUP(Table6[[#This Row],[SKU]],'All Skus'!$A:$AC,18,FALSE)),""))</f>
        <v>61.5</v>
      </c>
      <c r="Q467" s="136">
        <f>(IF((VLOOKUP(Table6[[#This Row],[SKU]],'All Skus'!$A:$AC,2,FALSE))="JBL",(VLOOKUP(Table6[[#This Row],[SKU]],'All Skus'!$A:$AC,19,FALSE)),""))</f>
        <v>17.5</v>
      </c>
      <c r="R467" s="136">
        <f>(IF((VLOOKUP(Table6[[#This Row],[SKU]],'All Skus'!$A:$AC,2,FALSE))="JBL",(VLOOKUP(Table6[[#This Row],[SKU]],'All Skus'!$A:$AC,20,FALSE)),""))</f>
        <v>21</v>
      </c>
      <c r="S467" s="61">
        <f>(IF((VLOOKUP(Table6[[#This Row],[SKU]],'All Skus'!$A:$AC,2,FALSE))="JBL",(VLOOKUP(Table6[[#This Row],[SKU]],'All Skus'!$A:$AC,21,FALSE)),""))</f>
        <v>33</v>
      </c>
      <c r="T467" s="61" t="str">
        <f>(IF((VLOOKUP(Table6[[#This Row],[SKU]],'All Skus'!$A:$AC,2,FALSE))="JBL",(VLOOKUP(Table6[[#This Row],[SKU]],'All Skus'!$A:$AC,22,FALSE)),""))</f>
        <v>MX</v>
      </c>
      <c r="U467" t="str">
        <f>(IF((VLOOKUP(Table6[[#This Row],[SKU]],'All Skus'!$A:$AC,2,FALSE))="JBL",(VLOOKUP(Table6[[#This Row],[SKU]],'All Skus'!$A:$AC,23,FALSE)),""))</f>
        <v>Compliant</v>
      </c>
      <c r="V467" s="284" t="str">
        <f>HYPERLINK((IF((VLOOKUP(Table6[[#This Row],[SKU]],'All Skus'!$A:$AC,2,FALSE))="JBL",(VLOOKUP(Table6[[#This Row],[SKU]],'All Skus'!$A:$AC,24,FALSE)),"")))</f>
        <v/>
      </c>
      <c r="W467" s="151">
        <v>465</v>
      </c>
    </row>
    <row r="468" spans="1:23" ht="15" hidden="1" customHeight="1">
      <c r="A468" s="13" t="s">
        <v>1474</v>
      </c>
      <c r="B468" s="12" t="str">
        <f>(IF((VLOOKUP(Table6[[#This Row],[SKU]],'All Skus'!$A:$AC,2,FALSE))="JBL",(VLOOKUP(Table6[[#This Row],[SKU]],'All Skus'!$A:$AC,3,FALSE)),""))</f>
        <v>AE Series</v>
      </c>
      <c r="C468" s="12" t="str">
        <f>(IF((VLOOKUP(Table6[[#This Row],[SKU]],'All Skus'!$A:$AC,2,FALSE))="JBL",(VLOOKUP(Table6[[#This Row],[SKU]],'All Skus'!$A:$AC,4,FALSE)),""))</f>
        <v>AM5215/64</v>
      </c>
      <c r="D468" s="61" t="str">
        <f>(IF((VLOOKUP(Table6[[#This Row],[SKU]],'All Skus'!$A:$AC,2,FALSE))="JBL",(VLOOKUP(Table6[[#This Row],[SKU]],'All Skus'!$A:$AC,5,FALSE)),""))</f>
        <v>JBL052</v>
      </c>
      <c r="E468" s="137">
        <f>(IF((VLOOKUP(Table6[[#This Row],[SKU]],'All Skus'!$A:$AC,2,FALSE))="JBL",(VLOOKUP(Table6[[#This Row],[SKU]],'All Skus'!$A:$AC,6,FALSE)),""))</f>
        <v>0</v>
      </c>
      <c r="F468" s="61">
        <f>(IF((VLOOKUP(Table6[[#This Row],[SKU]],'All Skus'!$A:$AC,2,FALSE))="JBL",(VLOOKUP(Table6[[#This Row],[SKU]],'All Skus'!$A:$AC,7,FALSE)),""))</f>
        <v>0</v>
      </c>
      <c r="G468" t="str">
        <f>(IF((VLOOKUP(Table6[[#This Row],[SKU]],'All Skus'!$A:$AC,2,FALSE))="JBL",(VLOOKUP(Table6[[#This Row],[SKU]],'All Skus'!$A:$AC,8,FALSE)),""))</f>
        <v>Two-way full range loudspeaker</v>
      </c>
      <c r="H468"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v>
      </c>
      <c r="I468" s="101">
        <f>(IF((VLOOKUP(Table6[[#This Row],[SKU]],'All Skus'!$A:$AC,2,FALSE))="JBL",(VLOOKUP(Table6[[#This Row],[SKU]],'All Skus'!$A:$AC,10,FALSE)),""))</f>
        <v>2460</v>
      </c>
      <c r="J468" s="101">
        <f>(IF((VLOOKUP(Table6[[#This Row],[SKU]],'All Skus'!$A:$AC,2,FALSE))="JBL",(VLOOKUP(Table6[[#This Row],[SKU]],'All Skus'!$A:$AC,11,FALSE)),""))</f>
        <v>2460</v>
      </c>
      <c r="K468" s="102">
        <f>(IF((VLOOKUP(Table6[[#This Row],[SKU]],'All Skus'!$A:$AC,2,FALSE))="JBL",(VLOOKUP(Table6[[#This Row],[SKU]],'All Skus'!$A:$AC,13,FALSE)),""))</f>
        <v>0</v>
      </c>
      <c r="L468" s="102">
        <f>(IF((VLOOKUP(Table6[[#This Row],[SKU]],'All Skus'!$A:$AC,2,FALSE))="JBL",(VLOOKUP(Table6[[#This Row],[SKU]],'All Skus'!$A:$AC,14,FALSE)),""))</f>
        <v>0</v>
      </c>
      <c r="M468" s="143">
        <f>(IF((VLOOKUP(Table6[[#This Row],[SKU]],'All Skus'!$A:$AC,2,FALSE))="JBL",(VLOOKUP(Table6[[#This Row],[SKU]],'All Skus'!$A:$AC,15,FALSE)),""))</f>
        <v>0</v>
      </c>
      <c r="N468" s="137">
        <f>(IF((VLOOKUP(Table6[[#This Row],[SKU]],'All Skus'!$A:$AC,2,FALSE))="JBL",(VLOOKUP(Table6[[#This Row],[SKU]],'All Skus'!$A:$AC,16,FALSE)),""))</f>
        <v>691991011122</v>
      </c>
      <c r="O468" s="61">
        <f>(IF((VLOOKUP(Table6[[#This Row],[SKU]],'All Skus'!$A:$AC,2,FALSE))="JBL",(VLOOKUP(Table6[[#This Row],[SKU]],'All Skus'!$A:$AC,17,FALSE)),""))</f>
        <v>0</v>
      </c>
      <c r="P468" s="136">
        <f>(IF((VLOOKUP(Table6[[#This Row],[SKU]],'All Skus'!$A:$AC,2,FALSE))="JBL",(VLOOKUP(Table6[[#This Row],[SKU]],'All Skus'!$A:$AC,18,FALSE)),""))</f>
        <v>63</v>
      </c>
      <c r="Q468" s="136">
        <f>(IF((VLOOKUP(Table6[[#This Row],[SKU]],'All Skus'!$A:$AC,2,FALSE))="JBL",(VLOOKUP(Table6[[#This Row],[SKU]],'All Skus'!$A:$AC,19,FALSE)),""))</f>
        <v>21</v>
      </c>
      <c r="R468" s="136">
        <f>(IF((VLOOKUP(Table6[[#This Row],[SKU]],'All Skus'!$A:$AC,2,FALSE))="JBL",(VLOOKUP(Table6[[#This Row],[SKU]],'All Skus'!$A:$AC,20,FALSE)),""))</f>
        <v>18</v>
      </c>
      <c r="S468" s="61">
        <f>(IF((VLOOKUP(Table6[[#This Row],[SKU]],'All Skus'!$A:$AC,2,FALSE))="JBL",(VLOOKUP(Table6[[#This Row],[SKU]],'All Skus'!$A:$AC,21,FALSE)),""))</f>
        <v>32</v>
      </c>
      <c r="T468" s="61" t="str">
        <f>(IF((VLOOKUP(Table6[[#This Row],[SKU]],'All Skus'!$A:$AC,2,FALSE))="JBL",(VLOOKUP(Table6[[#This Row],[SKU]],'All Skus'!$A:$AC,22,FALSE)),""))</f>
        <v>MX</v>
      </c>
      <c r="U468" t="str">
        <f>(IF((VLOOKUP(Table6[[#This Row],[SKU]],'All Skus'!$A:$AC,2,FALSE))="JBL",(VLOOKUP(Table6[[#This Row],[SKU]],'All Skus'!$A:$AC,23,FALSE)),""))</f>
        <v>Compliant</v>
      </c>
      <c r="V468" s="284" t="str">
        <f>HYPERLINK((IF((VLOOKUP(Table6[[#This Row],[SKU]],'All Skus'!$A:$AC,2,FALSE))="JBL",(VLOOKUP(Table6[[#This Row],[SKU]],'All Skus'!$A:$AC,24,FALSE)),"")))</f>
        <v/>
      </c>
      <c r="W468" s="151">
        <v>466</v>
      </c>
    </row>
    <row r="469" spans="1:23" ht="15" hidden="1" customHeight="1">
      <c r="A469" s="13" t="s">
        <v>1475</v>
      </c>
      <c r="B469" s="12" t="str">
        <f>(IF((VLOOKUP(Table6[[#This Row],[SKU]],'All Skus'!$A:$AC,2,FALSE))="JBL",(VLOOKUP(Table6[[#This Row],[SKU]],'All Skus'!$A:$AC,3,FALSE)),""))</f>
        <v>AE Series</v>
      </c>
      <c r="C469" s="12" t="str">
        <f>(IF((VLOOKUP(Table6[[#This Row],[SKU]],'All Skus'!$A:$AC,2,FALSE))="JBL",(VLOOKUP(Table6[[#This Row],[SKU]],'All Skus'!$A:$AC,4,FALSE)),""))</f>
        <v>AM5215/64-WH</v>
      </c>
      <c r="D469" s="61" t="str">
        <f>(IF((VLOOKUP(Table6[[#This Row],[SKU]],'All Skus'!$A:$AC,2,FALSE))="JBL",(VLOOKUP(Table6[[#This Row],[SKU]],'All Skus'!$A:$AC,5,FALSE)),""))</f>
        <v>JBL052</v>
      </c>
      <c r="E469" s="137">
        <f>(IF((VLOOKUP(Table6[[#This Row],[SKU]],'All Skus'!$A:$AC,2,FALSE))="JBL",(VLOOKUP(Table6[[#This Row],[SKU]],'All Skus'!$A:$AC,6,FALSE)),""))</f>
        <v>0</v>
      </c>
      <c r="F469" s="61">
        <f>(IF((VLOOKUP(Table6[[#This Row],[SKU]],'All Skus'!$A:$AC,2,FALSE))="JBL",(VLOOKUP(Table6[[#This Row],[SKU]],'All Skus'!$A:$AC,7,FALSE)),""))</f>
        <v>0</v>
      </c>
      <c r="G469" t="str">
        <f>(IF((VLOOKUP(Table6[[#This Row],[SKU]],'All Skus'!$A:$AC,2,FALSE))="JBL",(VLOOKUP(Table6[[#This Row],[SKU]],'All Skus'!$A:$AC,8,FALSE)),""))</f>
        <v>Two-way full range loudspeaker (white)</v>
      </c>
      <c r="H469"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Available in Black or White (-WH). Priced as each. Suspension eyebolts not included. Optional U-bracket model MTU-1.  White finish.</v>
      </c>
      <c r="I469" s="101">
        <f>(IF((VLOOKUP(Table6[[#This Row],[SKU]],'All Skus'!$A:$AC,2,FALSE))="JBL",(VLOOKUP(Table6[[#This Row],[SKU]],'All Skus'!$A:$AC,10,FALSE)),""))</f>
        <v>2460</v>
      </c>
      <c r="J469" s="101">
        <f>(IF((VLOOKUP(Table6[[#This Row],[SKU]],'All Skus'!$A:$AC,2,FALSE))="JBL",(VLOOKUP(Table6[[#This Row],[SKU]],'All Skus'!$A:$AC,11,FALSE)),""))</f>
        <v>2460</v>
      </c>
      <c r="K469" s="102">
        <f>(IF((VLOOKUP(Table6[[#This Row],[SKU]],'All Skus'!$A:$AC,2,FALSE))="JBL",(VLOOKUP(Table6[[#This Row],[SKU]],'All Skus'!$A:$AC,13,FALSE)),""))</f>
        <v>0</v>
      </c>
      <c r="L469" s="102">
        <f>(IF((VLOOKUP(Table6[[#This Row],[SKU]],'All Skus'!$A:$AC,2,FALSE))="JBL",(VLOOKUP(Table6[[#This Row],[SKU]],'All Skus'!$A:$AC,14,FALSE)),""))</f>
        <v>0</v>
      </c>
      <c r="M469" s="143">
        <f>(IF((VLOOKUP(Table6[[#This Row],[SKU]],'All Skus'!$A:$AC,2,FALSE))="JBL",(VLOOKUP(Table6[[#This Row],[SKU]],'All Skus'!$A:$AC,15,FALSE)),""))</f>
        <v>0</v>
      </c>
      <c r="N469" s="137">
        <f>(IF((VLOOKUP(Table6[[#This Row],[SKU]],'All Skus'!$A:$AC,2,FALSE))="JBL",(VLOOKUP(Table6[[#This Row],[SKU]],'All Skus'!$A:$AC,16,FALSE)),""))</f>
        <v>691991011139</v>
      </c>
      <c r="O469" s="61">
        <f>(IF((VLOOKUP(Table6[[#This Row],[SKU]],'All Skus'!$A:$AC,2,FALSE))="JBL",(VLOOKUP(Table6[[#This Row],[SKU]],'All Skus'!$A:$AC,17,FALSE)),""))</f>
        <v>0</v>
      </c>
      <c r="P469" s="136">
        <f>(IF((VLOOKUP(Table6[[#This Row],[SKU]],'All Skus'!$A:$AC,2,FALSE))="JBL",(VLOOKUP(Table6[[#This Row],[SKU]],'All Skus'!$A:$AC,18,FALSE)),""))</f>
        <v>62.75</v>
      </c>
      <c r="Q469" s="136">
        <f>(IF((VLOOKUP(Table6[[#This Row],[SKU]],'All Skus'!$A:$AC,2,FALSE))="JBL",(VLOOKUP(Table6[[#This Row],[SKU]],'All Skus'!$A:$AC,19,FALSE)),""))</f>
        <v>17.5</v>
      </c>
      <c r="R469" s="136">
        <f>(IF((VLOOKUP(Table6[[#This Row],[SKU]],'All Skus'!$A:$AC,2,FALSE))="JBL",(VLOOKUP(Table6[[#This Row],[SKU]],'All Skus'!$A:$AC,20,FALSE)),""))</f>
        <v>21</v>
      </c>
      <c r="S469" s="61">
        <f>(IF((VLOOKUP(Table6[[#This Row],[SKU]],'All Skus'!$A:$AC,2,FALSE))="JBL",(VLOOKUP(Table6[[#This Row],[SKU]],'All Skus'!$A:$AC,21,FALSE)),""))</f>
        <v>32</v>
      </c>
      <c r="T469" s="61" t="str">
        <f>(IF((VLOOKUP(Table6[[#This Row],[SKU]],'All Skus'!$A:$AC,2,FALSE))="JBL",(VLOOKUP(Table6[[#This Row],[SKU]],'All Skus'!$A:$AC,22,FALSE)),""))</f>
        <v>MX</v>
      </c>
      <c r="U469" t="str">
        <f>(IF((VLOOKUP(Table6[[#This Row],[SKU]],'All Skus'!$A:$AC,2,FALSE))="JBL",(VLOOKUP(Table6[[#This Row],[SKU]],'All Skus'!$A:$AC,23,FALSE)),""))</f>
        <v>Compliant</v>
      </c>
      <c r="V469" s="284" t="str">
        <f>HYPERLINK((IF((VLOOKUP(Table6[[#This Row],[SKU]],'All Skus'!$A:$AC,2,FALSE))="JBL",(VLOOKUP(Table6[[#This Row],[SKU]],'All Skus'!$A:$AC,24,FALSE)),"")))</f>
        <v/>
      </c>
      <c r="W469" s="151">
        <v>467</v>
      </c>
    </row>
    <row r="470" spans="1:23" ht="15" hidden="1" customHeight="1">
      <c r="A470" s="13" t="s">
        <v>1476</v>
      </c>
      <c r="B470" s="12" t="str">
        <f>(IF((VLOOKUP(Table6[[#This Row],[SKU]],'All Skus'!$A:$AC,2,FALSE))="JBL",(VLOOKUP(Table6[[#This Row],[SKU]],'All Skus'!$A:$AC,3,FALSE)),""))</f>
        <v>Custom Shop Item</v>
      </c>
      <c r="C470" s="12" t="str">
        <f>(IF((VLOOKUP(Table6[[#This Row],[SKU]],'All Skus'!$A:$AC,2,FALSE))="JBL",(VLOOKUP(Table6[[#This Row],[SKU]],'All Skus'!$A:$AC,4,FALSE)),""))</f>
        <v>AM5215/64-WRX</v>
      </c>
      <c r="D470" s="61" t="str">
        <f>(IF((VLOOKUP(Table6[[#This Row],[SKU]],'All Skus'!$A:$AC,2,FALSE))="JBL",(VLOOKUP(Table6[[#This Row],[SKU]],'All Skus'!$A:$AC,5,FALSE)),""))</f>
        <v>JBL050</v>
      </c>
      <c r="E470" s="137" t="str">
        <f>(IF((VLOOKUP(Table6[[#This Row],[SKU]],'All Skus'!$A:$AC,2,FALSE))="JBL",(VLOOKUP(Table6[[#This Row],[SKU]],'All Skus'!$A:$AC,6,FALSE)),""))</f>
        <v>YES</v>
      </c>
      <c r="F470" s="61">
        <f>(IF((VLOOKUP(Table6[[#This Row],[SKU]],'All Skus'!$A:$AC,2,FALSE))="JBL",(VLOOKUP(Table6[[#This Row],[SKU]],'All Skus'!$A:$AC,7,FALSE)),""))</f>
        <v>0</v>
      </c>
      <c r="G470" t="str">
        <f>(IF((VLOOKUP(Table6[[#This Row],[SKU]],'All Skus'!$A:$AC,2,FALSE))="JBL",(VLOOKUP(Table6[[#This Row],[SKU]],'All Skus'!$A:$AC,8,FALSE)),""))</f>
        <v>Two-way full range loudspeaker (Extreme Weather Protection Treatment)</v>
      </c>
      <c r="H470" s="8" t="str">
        <f>(IF((VLOOKUP(Table6[[#This Row],[SKU]],'All Skus'!$A:$AC,2,FALSE))="JBL",(VLOOKUP(Table6[[#This Row],[SKU]],'All Skus'!$A:$AC,9,FALSE)),""))</f>
        <v xml:space="preserve">Medium Power 15” 2-Way Full-Range Loudspeaker System with JBL Differential Drive® 50.8 mm (2-in) dual voice coil and dual magnetic gap 265H low frequency driver and 2408H-1 high-frequency 38mm (1.5 in) exit, 38mm (1.5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470" s="101" t="str">
        <f>(IF((VLOOKUP(Table6[[#This Row],[SKU]],'All Skus'!$A:$AC,2,FALSE))="JBL",(VLOOKUP(Table6[[#This Row],[SKU]],'All Skus'!$A:$AC,10,FALSE)),""))</f>
        <v>Please email CustomAudio@harman.com for quote</v>
      </c>
      <c r="J470" s="101">
        <f>(IF((VLOOKUP(Table6[[#This Row],[SKU]],'All Skus'!$A:$AC,2,FALSE))="JBL",(VLOOKUP(Table6[[#This Row],[SKU]],'All Skus'!$A:$AC,11,FALSE)),""))</f>
        <v>0</v>
      </c>
      <c r="K470" s="102">
        <f>(IF((VLOOKUP(Table6[[#This Row],[SKU]],'All Skus'!$A:$AC,2,FALSE))="JBL",(VLOOKUP(Table6[[#This Row],[SKU]],'All Skus'!$A:$AC,13,FALSE)),""))</f>
        <v>0</v>
      </c>
      <c r="L470" s="102">
        <f>(IF((VLOOKUP(Table6[[#This Row],[SKU]],'All Skus'!$A:$AC,2,FALSE))="JBL",(VLOOKUP(Table6[[#This Row],[SKU]],'All Skus'!$A:$AC,14,FALSE)),""))</f>
        <v>0</v>
      </c>
      <c r="M470" s="143">
        <f>(IF((VLOOKUP(Table6[[#This Row],[SKU]],'All Skus'!$A:$AC,2,FALSE))="JBL",(VLOOKUP(Table6[[#This Row],[SKU]],'All Skus'!$A:$AC,15,FALSE)),""))</f>
        <v>0</v>
      </c>
      <c r="N470" s="137">
        <f>(IF((VLOOKUP(Table6[[#This Row],[SKU]],'All Skus'!$A:$AC,2,FALSE))="JBL",(VLOOKUP(Table6[[#This Row],[SKU]],'All Skus'!$A:$AC,16,FALSE)),""))</f>
        <v>691991011153</v>
      </c>
      <c r="O470" s="61">
        <f>(IF((VLOOKUP(Table6[[#This Row],[SKU]],'All Skus'!$A:$AC,2,FALSE))="JBL",(VLOOKUP(Table6[[#This Row],[SKU]],'All Skus'!$A:$AC,17,FALSE)),""))</f>
        <v>0</v>
      </c>
      <c r="P470" s="136">
        <f>(IF((VLOOKUP(Table6[[#This Row],[SKU]],'All Skus'!$A:$AC,2,FALSE))="JBL",(VLOOKUP(Table6[[#This Row],[SKU]],'All Skus'!$A:$AC,18,FALSE)),""))</f>
        <v>81</v>
      </c>
      <c r="Q470" s="136">
        <f>(IF((VLOOKUP(Table6[[#This Row],[SKU]],'All Skus'!$A:$AC,2,FALSE))="JBL",(VLOOKUP(Table6[[#This Row],[SKU]],'All Skus'!$A:$AC,19,FALSE)),""))</f>
        <v>24.5</v>
      </c>
      <c r="R470" s="136">
        <f>(IF((VLOOKUP(Table6[[#This Row],[SKU]],'All Skus'!$A:$AC,2,FALSE))="JBL",(VLOOKUP(Table6[[#This Row],[SKU]],'All Skus'!$A:$AC,20,FALSE)),""))</f>
        <v>23.25</v>
      </c>
      <c r="S470" s="61">
        <f>(IF((VLOOKUP(Table6[[#This Row],[SKU]],'All Skus'!$A:$AC,2,FALSE))="JBL",(VLOOKUP(Table6[[#This Row],[SKU]],'All Skus'!$A:$AC,21,FALSE)),""))</f>
        <v>34.5</v>
      </c>
      <c r="T470" s="61" t="str">
        <f>(IF((VLOOKUP(Table6[[#This Row],[SKU]],'All Skus'!$A:$AC,2,FALSE))="JBL",(VLOOKUP(Table6[[#This Row],[SKU]],'All Skus'!$A:$AC,22,FALSE)),""))</f>
        <v>MX</v>
      </c>
      <c r="U470" t="str">
        <f>(IF((VLOOKUP(Table6[[#This Row],[SKU]],'All Skus'!$A:$AC,2,FALSE))="JBL",(VLOOKUP(Table6[[#This Row],[SKU]],'All Skus'!$A:$AC,23,FALSE)),""))</f>
        <v>Compliant</v>
      </c>
      <c r="V470" s="284" t="str">
        <f>HYPERLINK((IF((VLOOKUP(Table6[[#This Row],[SKU]],'All Skus'!$A:$AC,2,FALSE))="JBL",(VLOOKUP(Table6[[#This Row],[SKU]],'All Skus'!$A:$AC,24,FALSE)),"")))</f>
        <v/>
      </c>
      <c r="W470" s="151">
        <v>468</v>
      </c>
    </row>
    <row r="471" spans="1:23" ht="15" hidden="1" customHeight="1">
      <c r="A471" s="13" t="s">
        <v>1477</v>
      </c>
      <c r="B471" s="12" t="str">
        <f>(IF((VLOOKUP(Table6[[#This Row],[SKU]],'All Skus'!$A:$AC,2,FALSE))="JBL",(VLOOKUP(Table6[[#This Row],[SKU]],'All Skus'!$A:$AC,3,FALSE)),""))</f>
        <v>AE Series</v>
      </c>
      <c r="C471" s="12" t="str">
        <f>(IF((VLOOKUP(Table6[[#This Row],[SKU]],'All Skus'!$A:$AC,2,FALSE))="JBL",(VLOOKUP(Table6[[#This Row],[SKU]],'All Skus'!$A:$AC,4,FALSE)),""))</f>
        <v>AM5215/66</v>
      </c>
      <c r="D471" s="61" t="str">
        <f>(IF((VLOOKUP(Table6[[#This Row],[SKU]],'All Skus'!$A:$AC,2,FALSE))="JBL",(VLOOKUP(Table6[[#This Row],[SKU]],'All Skus'!$A:$AC,5,FALSE)),""))</f>
        <v>JBL052</v>
      </c>
      <c r="E471" s="137">
        <f>(IF((VLOOKUP(Table6[[#This Row],[SKU]],'All Skus'!$A:$AC,2,FALSE))="JBL",(VLOOKUP(Table6[[#This Row],[SKU]],'All Skus'!$A:$AC,6,FALSE)),""))</f>
        <v>0</v>
      </c>
      <c r="F471" s="61">
        <f>(IF((VLOOKUP(Table6[[#This Row],[SKU]],'All Skus'!$A:$AC,2,FALSE))="JBL",(VLOOKUP(Table6[[#This Row],[SKU]],'All Skus'!$A:$AC,7,FALSE)),""))</f>
        <v>0</v>
      </c>
      <c r="G471" t="str">
        <f>(IF((VLOOKUP(Table6[[#This Row],[SKU]],'All Skus'!$A:$AC,2,FALSE))="JBL",(VLOOKUP(Table6[[#This Row],[SKU]],'All Skus'!$A:$AC,8,FALSE)),""))</f>
        <v>Two-way full range loudspeaker</v>
      </c>
      <c r="H471"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v>
      </c>
      <c r="I471" s="101">
        <f>(IF((VLOOKUP(Table6[[#This Row],[SKU]],'All Skus'!$A:$AC,2,FALSE))="JBL",(VLOOKUP(Table6[[#This Row],[SKU]],'All Skus'!$A:$AC,10,FALSE)),""))</f>
        <v>2460</v>
      </c>
      <c r="J471" s="101">
        <f>(IF((VLOOKUP(Table6[[#This Row],[SKU]],'All Skus'!$A:$AC,2,FALSE))="JBL",(VLOOKUP(Table6[[#This Row],[SKU]],'All Skus'!$A:$AC,11,FALSE)),""))</f>
        <v>2460</v>
      </c>
      <c r="K471" s="102">
        <f>(IF((VLOOKUP(Table6[[#This Row],[SKU]],'All Skus'!$A:$AC,2,FALSE))="JBL",(VLOOKUP(Table6[[#This Row],[SKU]],'All Skus'!$A:$AC,13,FALSE)),""))</f>
        <v>0</v>
      </c>
      <c r="L471" s="102">
        <f>(IF((VLOOKUP(Table6[[#This Row],[SKU]],'All Skus'!$A:$AC,2,FALSE))="JBL",(VLOOKUP(Table6[[#This Row],[SKU]],'All Skus'!$A:$AC,14,FALSE)),""))</f>
        <v>0</v>
      </c>
      <c r="M471" s="143">
        <f>(IF((VLOOKUP(Table6[[#This Row],[SKU]],'All Skus'!$A:$AC,2,FALSE))="JBL",(VLOOKUP(Table6[[#This Row],[SKU]],'All Skus'!$A:$AC,15,FALSE)),""))</f>
        <v>0</v>
      </c>
      <c r="N471" s="137">
        <f>(IF((VLOOKUP(Table6[[#This Row],[SKU]],'All Skus'!$A:$AC,2,FALSE))="JBL",(VLOOKUP(Table6[[#This Row],[SKU]],'All Skus'!$A:$AC,16,FALSE)),""))</f>
        <v>691991011160</v>
      </c>
      <c r="O471" s="61">
        <f>(IF((VLOOKUP(Table6[[#This Row],[SKU]],'All Skus'!$A:$AC,2,FALSE))="JBL",(VLOOKUP(Table6[[#This Row],[SKU]],'All Skus'!$A:$AC,17,FALSE)),""))</f>
        <v>0</v>
      </c>
      <c r="P471" s="136">
        <f>(IF((VLOOKUP(Table6[[#This Row],[SKU]],'All Skus'!$A:$AC,2,FALSE))="JBL",(VLOOKUP(Table6[[#This Row],[SKU]],'All Skus'!$A:$AC,18,FALSE)),""))</f>
        <v>61.4</v>
      </c>
      <c r="Q471" s="136">
        <f>(IF((VLOOKUP(Table6[[#This Row],[SKU]],'All Skus'!$A:$AC,2,FALSE))="JBL",(VLOOKUP(Table6[[#This Row],[SKU]],'All Skus'!$A:$AC,19,FALSE)),""))</f>
        <v>18</v>
      </c>
      <c r="R471" s="136">
        <f>(IF((VLOOKUP(Table6[[#This Row],[SKU]],'All Skus'!$A:$AC,2,FALSE))="JBL",(VLOOKUP(Table6[[#This Row],[SKU]],'All Skus'!$A:$AC,20,FALSE)),""))</f>
        <v>22</v>
      </c>
      <c r="S471" s="61">
        <f>(IF((VLOOKUP(Table6[[#This Row],[SKU]],'All Skus'!$A:$AC,2,FALSE))="JBL",(VLOOKUP(Table6[[#This Row],[SKU]],'All Skus'!$A:$AC,21,FALSE)),""))</f>
        <v>32.5</v>
      </c>
      <c r="T471" s="61" t="str">
        <f>(IF((VLOOKUP(Table6[[#This Row],[SKU]],'All Skus'!$A:$AC,2,FALSE))="JBL",(VLOOKUP(Table6[[#This Row],[SKU]],'All Skus'!$A:$AC,22,FALSE)),""))</f>
        <v>MX</v>
      </c>
      <c r="U471" t="str">
        <f>(IF((VLOOKUP(Table6[[#This Row],[SKU]],'All Skus'!$A:$AC,2,FALSE))="JBL",(VLOOKUP(Table6[[#This Row],[SKU]],'All Skus'!$A:$AC,23,FALSE)),""))</f>
        <v>Compliant</v>
      </c>
      <c r="V471" s="284" t="str">
        <f>HYPERLINK((IF((VLOOKUP(Table6[[#This Row],[SKU]],'All Skus'!$A:$AC,2,FALSE))="JBL",(VLOOKUP(Table6[[#This Row],[SKU]],'All Skus'!$A:$AC,24,FALSE)),"")))</f>
        <v/>
      </c>
      <c r="W471" s="151">
        <v>469</v>
      </c>
    </row>
    <row r="472" spans="1:23" ht="15" hidden="1" customHeight="1">
      <c r="A472" s="13" t="s">
        <v>1478</v>
      </c>
      <c r="B472" s="12" t="str">
        <f>(IF((VLOOKUP(Table6[[#This Row],[SKU]],'All Skus'!$A:$AC,2,FALSE))="JBL",(VLOOKUP(Table6[[#This Row],[SKU]],'All Skus'!$A:$AC,3,FALSE)),""))</f>
        <v>AE Series</v>
      </c>
      <c r="C472" s="12" t="str">
        <f>(IF((VLOOKUP(Table6[[#This Row],[SKU]],'All Skus'!$A:$AC,2,FALSE))="JBL",(VLOOKUP(Table6[[#This Row],[SKU]],'All Skus'!$A:$AC,4,FALSE)),""))</f>
        <v>AM5215/66-WH</v>
      </c>
      <c r="D472" s="61" t="str">
        <f>(IF((VLOOKUP(Table6[[#This Row],[SKU]],'All Skus'!$A:$AC,2,FALSE))="JBL",(VLOOKUP(Table6[[#This Row],[SKU]],'All Skus'!$A:$AC,5,FALSE)),""))</f>
        <v>JBL052</v>
      </c>
      <c r="E472" s="137">
        <f>(IF((VLOOKUP(Table6[[#This Row],[SKU]],'All Skus'!$A:$AC,2,FALSE))="JBL",(VLOOKUP(Table6[[#This Row],[SKU]],'All Skus'!$A:$AC,6,FALSE)),""))</f>
        <v>0</v>
      </c>
      <c r="F472" s="61">
        <f>(IF((VLOOKUP(Table6[[#This Row],[SKU]],'All Skus'!$A:$AC,2,FALSE))="JBL",(VLOOKUP(Table6[[#This Row],[SKU]],'All Skus'!$A:$AC,7,FALSE)),""))</f>
        <v>0</v>
      </c>
      <c r="G472" t="str">
        <f>(IF((VLOOKUP(Table6[[#This Row],[SKU]],'All Skus'!$A:$AC,2,FALSE))="JBL",(VLOOKUP(Table6[[#This Row],[SKU]],'All Skus'!$A:$AC,8,FALSE)),""))</f>
        <v>Two-way full range loudspeaker (white)</v>
      </c>
      <c r="H472"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Available in Black or White (-WH). Priced as each. Suspension eyebolts not included. Optional U-bracket model MTU-1.  White finish.</v>
      </c>
      <c r="I472" s="101">
        <f>(IF((VLOOKUP(Table6[[#This Row],[SKU]],'All Skus'!$A:$AC,2,FALSE))="JBL",(VLOOKUP(Table6[[#This Row],[SKU]],'All Skus'!$A:$AC,10,FALSE)),""))</f>
        <v>2460</v>
      </c>
      <c r="J472" s="101">
        <f>(IF((VLOOKUP(Table6[[#This Row],[SKU]],'All Skus'!$A:$AC,2,FALSE))="JBL",(VLOOKUP(Table6[[#This Row],[SKU]],'All Skus'!$A:$AC,11,FALSE)),""))</f>
        <v>2460</v>
      </c>
      <c r="K472" s="102">
        <f>(IF((VLOOKUP(Table6[[#This Row],[SKU]],'All Skus'!$A:$AC,2,FALSE))="JBL",(VLOOKUP(Table6[[#This Row],[SKU]],'All Skus'!$A:$AC,13,FALSE)),""))</f>
        <v>0</v>
      </c>
      <c r="L472" s="102">
        <f>(IF((VLOOKUP(Table6[[#This Row],[SKU]],'All Skus'!$A:$AC,2,FALSE))="JBL",(VLOOKUP(Table6[[#This Row],[SKU]],'All Skus'!$A:$AC,14,FALSE)),""))</f>
        <v>0</v>
      </c>
      <c r="M472" s="143">
        <f>(IF((VLOOKUP(Table6[[#This Row],[SKU]],'All Skus'!$A:$AC,2,FALSE))="JBL",(VLOOKUP(Table6[[#This Row],[SKU]],'All Skus'!$A:$AC,15,FALSE)),""))</f>
        <v>0</v>
      </c>
      <c r="N472" s="137">
        <f>(IF((VLOOKUP(Table6[[#This Row],[SKU]],'All Skus'!$A:$AC,2,FALSE))="JBL",(VLOOKUP(Table6[[#This Row],[SKU]],'All Skus'!$A:$AC,16,FALSE)),""))</f>
        <v>691991011177</v>
      </c>
      <c r="O472" s="61">
        <f>(IF((VLOOKUP(Table6[[#This Row],[SKU]],'All Skus'!$A:$AC,2,FALSE))="JBL",(VLOOKUP(Table6[[#This Row],[SKU]],'All Skus'!$A:$AC,17,FALSE)),""))</f>
        <v>0</v>
      </c>
      <c r="P472" s="136">
        <f>(IF((VLOOKUP(Table6[[#This Row],[SKU]],'All Skus'!$A:$AC,2,FALSE))="JBL",(VLOOKUP(Table6[[#This Row],[SKU]],'All Skus'!$A:$AC,18,FALSE)),""))</f>
        <v>62</v>
      </c>
      <c r="Q472" s="136">
        <f>(IF((VLOOKUP(Table6[[#This Row],[SKU]],'All Skus'!$A:$AC,2,FALSE))="JBL",(VLOOKUP(Table6[[#This Row],[SKU]],'All Skus'!$A:$AC,19,FALSE)),""))</f>
        <v>21</v>
      </c>
      <c r="R472" s="136">
        <f>(IF((VLOOKUP(Table6[[#This Row],[SKU]],'All Skus'!$A:$AC,2,FALSE))="JBL",(VLOOKUP(Table6[[#This Row],[SKU]],'All Skus'!$A:$AC,20,FALSE)),""))</f>
        <v>18</v>
      </c>
      <c r="S472" s="61">
        <f>(IF((VLOOKUP(Table6[[#This Row],[SKU]],'All Skus'!$A:$AC,2,FALSE))="JBL",(VLOOKUP(Table6[[#This Row],[SKU]],'All Skus'!$A:$AC,21,FALSE)),""))</f>
        <v>33</v>
      </c>
      <c r="T472" s="61" t="str">
        <f>(IF((VLOOKUP(Table6[[#This Row],[SKU]],'All Skus'!$A:$AC,2,FALSE))="JBL",(VLOOKUP(Table6[[#This Row],[SKU]],'All Skus'!$A:$AC,22,FALSE)),""))</f>
        <v>MX</v>
      </c>
      <c r="U472" t="str">
        <f>(IF((VLOOKUP(Table6[[#This Row],[SKU]],'All Skus'!$A:$AC,2,FALSE))="JBL",(VLOOKUP(Table6[[#This Row],[SKU]],'All Skus'!$A:$AC,23,FALSE)),""))</f>
        <v>Compliant</v>
      </c>
      <c r="V472" s="284" t="str">
        <f>HYPERLINK((IF((VLOOKUP(Table6[[#This Row],[SKU]],'All Skus'!$A:$AC,2,FALSE))="JBL",(VLOOKUP(Table6[[#This Row],[SKU]],'All Skus'!$A:$AC,24,FALSE)),"")))</f>
        <v/>
      </c>
      <c r="W472" s="151">
        <v>470</v>
      </c>
    </row>
    <row r="473" spans="1:23" ht="15" hidden="1" customHeight="1">
      <c r="A473" s="13" t="s">
        <v>1479</v>
      </c>
      <c r="B473" s="12" t="str">
        <f>(IF((VLOOKUP(Table6[[#This Row],[SKU]],'All Skus'!$A:$AC,2,FALSE))="JBL",(VLOOKUP(Table6[[#This Row],[SKU]],'All Skus'!$A:$AC,3,FALSE)),""))</f>
        <v>Custom Shop Item</v>
      </c>
      <c r="C473" s="12" t="str">
        <f>(IF((VLOOKUP(Table6[[#This Row],[SKU]],'All Skus'!$A:$AC,2,FALSE))="JBL",(VLOOKUP(Table6[[#This Row],[SKU]],'All Skus'!$A:$AC,4,FALSE)),""))</f>
        <v>AM5215/66-WRC</v>
      </c>
      <c r="D473" s="61">
        <f>(IF((VLOOKUP(Table6[[#This Row],[SKU]],'All Skus'!$A:$AC,2,FALSE))="JBL",(VLOOKUP(Table6[[#This Row],[SKU]],'All Skus'!$A:$AC,5,FALSE)),""))</f>
        <v>0</v>
      </c>
      <c r="E473" s="137" t="str">
        <f>(IF((VLOOKUP(Table6[[#This Row],[SKU]],'All Skus'!$A:$AC,2,FALSE))="JBL",(VLOOKUP(Table6[[#This Row],[SKU]],'All Skus'!$A:$AC,6,FALSE)),""))</f>
        <v>YES</v>
      </c>
      <c r="F473" s="61">
        <f>(IF((VLOOKUP(Table6[[#This Row],[SKU]],'All Skus'!$A:$AC,2,FALSE))="JBL",(VLOOKUP(Table6[[#This Row],[SKU]],'All Skus'!$A:$AC,7,FALSE)),""))</f>
        <v>0</v>
      </c>
      <c r="G473" t="str">
        <f>(IF((VLOOKUP(Table6[[#This Row],[SKU]],'All Skus'!$A:$AC,2,FALSE))="JBL",(VLOOKUP(Table6[[#This Row],[SKU]],'All Skus'!$A:$AC,8,FALSE)),""))</f>
        <v>Two-way full range loudspeaker (Weather Protection Treatment)</v>
      </c>
      <c r="H473"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473" s="101" t="str">
        <f>(IF((VLOOKUP(Table6[[#This Row],[SKU]],'All Skus'!$A:$AC,2,FALSE))="JBL",(VLOOKUP(Table6[[#This Row],[SKU]],'All Skus'!$A:$AC,10,FALSE)),""))</f>
        <v>Please email CustomAudio@harman.com for quote</v>
      </c>
      <c r="J473" s="101">
        <f>(IF((VLOOKUP(Table6[[#This Row],[SKU]],'All Skus'!$A:$AC,2,FALSE))="JBL",(VLOOKUP(Table6[[#This Row],[SKU]],'All Skus'!$A:$AC,11,FALSE)),""))</f>
        <v>0</v>
      </c>
      <c r="K473" s="102">
        <f>(IF((VLOOKUP(Table6[[#This Row],[SKU]],'All Skus'!$A:$AC,2,FALSE))="JBL",(VLOOKUP(Table6[[#This Row],[SKU]],'All Skus'!$A:$AC,13,FALSE)),""))</f>
        <v>0</v>
      </c>
      <c r="L473" s="102">
        <f>(IF((VLOOKUP(Table6[[#This Row],[SKU]],'All Skus'!$A:$AC,2,FALSE))="JBL",(VLOOKUP(Table6[[#This Row],[SKU]],'All Skus'!$A:$AC,14,FALSE)),""))</f>
        <v>0</v>
      </c>
      <c r="M473" s="143">
        <f>(IF((VLOOKUP(Table6[[#This Row],[SKU]],'All Skus'!$A:$AC,2,FALSE))="JBL",(VLOOKUP(Table6[[#This Row],[SKU]],'All Skus'!$A:$AC,15,FALSE)),""))</f>
        <v>0</v>
      </c>
      <c r="N473" s="137">
        <f>(IF((VLOOKUP(Table6[[#This Row],[SKU]],'All Skus'!$A:$AC,2,FALSE))="JBL",(VLOOKUP(Table6[[#This Row],[SKU]],'All Skus'!$A:$AC,16,FALSE)),""))</f>
        <v>691991011184</v>
      </c>
      <c r="O473" s="61">
        <f>(IF((VLOOKUP(Table6[[#This Row],[SKU]],'All Skus'!$A:$AC,2,FALSE))="JBL",(VLOOKUP(Table6[[#This Row],[SKU]],'All Skus'!$A:$AC,17,FALSE)),""))</f>
        <v>0</v>
      </c>
      <c r="P473" s="136">
        <f>(IF((VLOOKUP(Table6[[#This Row],[SKU]],'All Skus'!$A:$AC,2,FALSE))="JBL",(VLOOKUP(Table6[[#This Row],[SKU]],'All Skus'!$A:$AC,18,FALSE)),""))</f>
        <v>0</v>
      </c>
      <c r="Q473" s="136">
        <f>(IF((VLOOKUP(Table6[[#This Row],[SKU]],'All Skus'!$A:$AC,2,FALSE))="JBL",(VLOOKUP(Table6[[#This Row],[SKU]],'All Skus'!$A:$AC,19,FALSE)),""))</f>
        <v>0</v>
      </c>
      <c r="R473" s="136">
        <f>(IF((VLOOKUP(Table6[[#This Row],[SKU]],'All Skus'!$A:$AC,2,FALSE))="JBL",(VLOOKUP(Table6[[#This Row],[SKU]],'All Skus'!$A:$AC,20,FALSE)),""))</f>
        <v>0</v>
      </c>
      <c r="S473" s="61">
        <f>(IF((VLOOKUP(Table6[[#This Row],[SKU]],'All Skus'!$A:$AC,2,FALSE))="JBL",(VLOOKUP(Table6[[#This Row],[SKU]],'All Skus'!$A:$AC,21,FALSE)),""))</f>
        <v>0</v>
      </c>
      <c r="T473" s="61" t="str">
        <f>(IF((VLOOKUP(Table6[[#This Row],[SKU]],'All Skus'!$A:$AC,2,FALSE))="JBL",(VLOOKUP(Table6[[#This Row],[SKU]],'All Skus'!$A:$AC,22,FALSE)),""))</f>
        <v>MX</v>
      </c>
      <c r="U473" t="str">
        <f>(IF((VLOOKUP(Table6[[#This Row],[SKU]],'All Skus'!$A:$AC,2,FALSE))="JBL",(VLOOKUP(Table6[[#This Row],[SKU]],'All Skus'!$A:$AC,23,FALSE)),""))</f>
        <v>Compliant</v>
      </c>
      <c r="V473" s="284" t="str">
        <f>HYPERLINK((IF((VLOOKUP(Table6[[#This Row],[SKU]],'All Skus'!$A:$AC,2,FALSE))="JBL",(VLOOKUP(Table6[[#This Row],[SKU]],'All Skus'!$A:$AC,24,FALSE)),"")))</f>
        <v/>
      </c>
      <c r="W473" s="151">
        <v>471</v>
      </c>
    </row>
    <row r="474" spans="1:23" ht="15" hidden="1" customHeight="1">
      <c r="A474" s="13" t="s">
        <v>1480</v>
      </c>
      <c r="B474" s="12" t="str">
        <f>(IF((VLOOKUP(Table6[[#This Row],[SKU]],'All Skus'!$A:$AC,2,FALSE))="JBL",(VLOOKUP(Table6[[#This Row],[SKU]],'All Skus'!$A:$AC,3,FALSE)),""))</f>
        <v>Custom Shop Item</v>
      </c>
      <c r="C474" s="12" t="str">
        <f>(IF((VLOOKUP(Table6[[#This Row],[SKU]],'All Skus'!$A:$AC,2,FALSE))="JBL",(VLOOKUP(Table6[[#This Row],[SKU]],'All Skus'!$A:$AC,4,FALSE)),""))</f>
        <v>AM5215/66-WRX</v>
      </c>
      <c r="D474" s="61">
        <f>(IF((VLOOKUP(Table6[[#This Row],[SKU]],'All Skus'!$A:$AC,2,FALSE))="JBL",(VLOOKUP(Table6[[#This Row],[SKU]],'All Skus'!$A:$AC,5,FALSE)),""))</f>
        <v>0</v>
      </c>
      <c r="E474" s="137" t="str">
        <f>(IF((VLOOKUP(Table6[[#This Row],[SKU]],'All Skus'!$A:$AC,2,FALSE))="JBL",(VLOOKUP(Table6[[#This Row],[SKU]],'All Skus'!$A:$AC,6,FALSE)),""))</f>
        <v>YES</v>
      </c>
      <c r="F474" s="61">
        <f>(IF((VLOOKUP(Table6[[#This Row],[SKU]],'All Skus'!$A:$AC,2,FALSE))="JBL",(VLOOKUP(Table6[[#This Row],[SKU]],'All Skus'!$A:$AC,7,FALSE)),""))</f>
        <v>0</v>
      </c>
      <c r="G474" t="str">
        <f>(IF((VLOOKUP(Table6[[#This Row],[SKU]],'All Skus'!$A:$AC,2,FALSE))="JBL",(VLOOKUP(Table6[[#This Row],[SKU]],'All Skus'!$A:$AC,8,FALSE)),""))</f>
        <v>Two-way full range loudspeaker (Extreme Weather Protection Treatment)</v>
      </c>
      <c r="H474" s="8" t="str">
        <f>(IF((VLOOKUP(Table6[[#This Row],[SKU]],'All Skus'!$A:$AC,2,FALSE))="JBL",(VLOOKUP(Table6[[#This Row],[SKU]],'All Skus'!$A:$AC,9,FALSE)),""))</f>
        <v xml:space="preserve">Medium Power 15” 2-Way Full-Range Loudspeaker System with JBL Differential Drive® 50.8 mm (2-in) dual voice coil and dual magnetic gap 265H low frequency driver and 2408H-1 high-frequency 38mm (1.5 in) exit, 38mm (1.5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474" s="101" t="str">
        <f>(IF((VLOOKUP(Table6[[#This Row],[SKU]],'All Skus'!$A:$AC,2,FALSE))="JBL",(VLOOKUP(Table6[[#This Row],[SKU]],'All Skus'!$A:$AC,10,FALSE)),""))</f>
        <v>Please email CustomAudio@harman.com for quote</v>
      </c>
      <c r="J474" s="101">
        <f>(IF((VLOOKUP(Table6[[#This Row],[SKU]],'All Skus'!$A:$AC,2,FALSE))="JBL",(VLOOKUP(Table6[[#This Row],[SKU]],'All Skus'!$A:$AC,11,FALSE)),""))</f>
        <v>0</v>
      </c>
      <c r="K474" s="102">
        <f>(IF((VLOOKUP(Table6[[#This Row],[SKU]],'All Skus'!$A:$AC,2,FALSE))="JBL",(VLOOKUP(Table6[[#This Row],[SKU]],'All Skus'!$A:$AC,13,FALSE)),""))</f>
        <v>0</v>
      </c>
      <c r="L474" s="102">
        <f>(IF((VLOOKUP(Table6[[#This Row],[SKU]],'All Skus'!$A:$AC,2,FALSE))="JBL",(VLOOKUP(Table6[[#This Row],[SKU]],'All Skus'!$A:$AC,14,FALSE)),""))</f>
        <v>0</v>
      </c>
      <c r="M474" s="143">
        <f>(IF((VLOOKUP(Table6[[#This Row],[SKU]],'All Skus'!$A:$AC,2,FALSE))="JBL",(VLOOKUP(Table6[[#This Row],[SKU]],'All Skus'!$A:$AC,15,FALSE)),""))</f>
        <v>0</v>
      </c>
      <c r="N474" s="137">
        <f>(IF((VLOOKUP(Table6[[#This Row],[SKU]],'All Skus'!$A:$AC,2,FALSE))="JBL",(VLOOKUP(Table6[[#This Row],[SKU]],'All Skus'!$A:$AC,16,FALSE)),""))</f>
        <v>691991011191</v>
      </c>
      <c r="O474" s="61">
        <f>(IF((VLOOKUP(Table6[[#This Row],[SKU]],'All Skus'!$A:$AC,2,FALSE))="JBL",(VLOOKUP(Table6[[#This Row],[SKU]],'All Skus'!$A:$AC,17,FALSE)),""))</f>
        <v>0</v>
      </c>
      <c r="P474" s="136">
        <f>(IF((VLOOKUP(Table6[[#This Row],[SKU]],'All Skus'!$A:$AC,2,FALSE))="JBL",(VLOOKUP(Table6[[#This Row],[SKU]],'All Skus'!$A:$AC,18,FALSE)),""))</f>
        <v>0</v>
      </c>
      <c r="Q474" s="136">
        <f>(IF((VLOOKUP(Table6[[#This Row],[SKU]],'All Skus'!$A:$AC,2,FALSE))="JBL",(VLOOKUP(Table6[[#This Row],[SKU]],'All Skus'!$A:$AC,19,FALSE)),""))</f>
        <v>0</v>
      </c>
      <c r="R474" s="136">
        <f>(IF((VLOOKUP(Table6[[#This Row],[SKU]],'All Skus'!$A:$AC,2,FALSE))="JBL",(VLOOKUP(Table6[[#This Row],[SKU]],'All Skus'!$A:$AC,20,FALSE)),""))</f>
        <v>0</v>
      </c>
      <c r="S474" s="61">
        <f>(IF((VLOOKUP(Table6[[#This Row],[SKU]],'All Skus'!$A:$AC,2,FALSE))="JBL",(VLOOKUP(Table6[[#This Row],[SKU]],'All Skus'!$A:$AC,21,FALSE)),""))</f>
        <v>0</v>
      </c>
      <c r="T474" s="61" t="str">
        <f>(IF((VLOOKUP(Table6[[#This Row],[SKU]],'All Skus'!$A:$AC,2,FALSE))="JBL",(VLOOKUP(Table6[[#This Row],[SKU]],'All Skus'!$A:$AC,22,FALSE)),""))</f>
        <v>MX</v>
      </c>
      <c r="U474" t="str">
        <f>(IF((VLOOKUP(Table6[[#This Row],[SKU]],'All Skus'!$A:$AC,2,FALSE))="JBL",(VLOOKUP(Table6[[#This Row],[SKU]],'All Skus'!$A:$AC,23,FALSE)),""))</f>
        <v>Compliant</v>
      </c>
      <c r="V474" s="284" t="str">
        <f>HYPERLINK((IF((VLOOKUP(Table6[[#This Row],[SKU]],'All Skus'!$A:$AC,2,FALSE))="JBL",(VLOOKUP(Table6[[#This Row],[SKU]],'All Skus'!$A:$AC,24,FALSE)),"")))</f>
        <v/>
      </c>
      <c r="W474" s="151">
        <v>472</v>
      </c>
    </row>
    <row r="475" spans="1:23" ht="15" hidden="1" customHeight="1">
      <c r="A475" s="13" t="s">
        <v>1481</v>
      </c>
      <c r="B475" s="12" t="str">
        <f>(IF((VLOOKUP(Table6[[#This Row],[SKU]],'All Skus'!$A:$AC,2,FALSE))="JBL",(VLOOKUP(Table6[[#This Row],[SKU]],'All Skus'!$A:$AC,3,FALSE)),""))</f>
        <v>AE Series</v>
      </c>
      <c r="C475" s="12" t="str">
        <f>(IF((VLOOKUP(Table6[[#This Row],[SKU]],'All Skus'!$A:$AC,2,FALSE))="JBL",(VLOOKUP(Table6[[#This Row],[SKU]],'All Skus'!$A:$AC,4,FALSE)),""))</f>
        <v>AM5215/95</v>
      </c>
      <c r="D475" s="61" t="str">
        <f>(IF((VLOOKUP(Table6[[#This Row],[SKU]],'All Skus'!$A:$AC,2,FALSE))="JBL",(VLOOKUP(Table6[[#This Row],[SKU]],'All Skus'!$A:$AC,5,FALSE)),""))</f>
        <v>JBL052</v>
      </c>
      <c r="E475" s="137">
        <f>(IF((VLOOKUP(Table6[[#This Row],[SKU]],'All Skus'!$A:$AC,2,FALSE))="JBL",(VLOOKUP(Table6[[#This Row],[SKU]],'All Skus'!$A:$AC,6,FALSE)),""))</f>
        <v>0</v>
      </c>
      <c r="F475" s="61">
        <f>(IF((VLOOKUP(Table6[[#This Row],[SKU]],'All Skus'!$A:$AC,2,FALSE))="JBL",(VLOOKUP(Table6[[#This Row],[SKU]],'All Skus'!$A:$AC,7,FALSE)),""))</f>
        <v>0</v>
      </c>
      <c r="G475" t="str">
        <f>(IF((VLOOKUP(Table6[[#This Row],[SKU]],'All Skus'!$A:$AC,2,FALSE))="JBL",(VLOOKUP(Table6[[#This Row],[SKU]],'All Skus'!$A:$AC,8,FALSE)),""))</f>
        <v>Two-way full range loudspeaker</v>
      </c>
      <c r="H475"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v>
      </c>
      <c r="I475" s="101">
        <f>(IF((VLOOKUP(Table6[[#This Row],[SKU]],'All Skus'!$A:$AC,2,FALSE))="JBL",(VLOOKUP(Table6[[#This Row],[SKU]],'All Skus'!$A:$AC,10,FALSE)),""))</f>
        <v>2460</v>
      </c>
      <c r="J475" s="101">
        <f>(IF((VLOOKUP(Table6[[#This Row],[SKU]],'All Skus'!$A:$AC,2,FALSE))="JBL",(VLOOKUP(Table6[[#This Row],[SKU]],'All Skus'!$A:$AC,11,FALSE)),""))</f>
        <v>2460</v>
      </c>
      <c r="K475" s="102">
        <f>(IF((VLOOKUP(Table6[[#This Row],[SKU]],'All Skus'!$A:$AC,2,FALSE))="JBL",(VLOOKUP(Table6[[#This Row],[SKU]],'All Skus'!$A:$AC,13,FALSE)),""))</f>
        <v>0</v>
      </c>
      <c r="L475" s="102">
        <f>(IF((VLOOKUP(Table6[[#This Row],[SKU]],'All Skus'!$A:$AC,2,FALSE))="JBL",(VLOOKUP(Table6[[#This Row],[SKU]],'All Skus'!$A:$AC,14,FALSE)),""))</f>
        <v>0</v>
      </c>
      <c r="M475" s="143">
        <f>(IF((VLOOKUP(Table6[[#This Row],[SKU]],'All Skus'!$A:$AC,2,FALSE))="JBL",(VLOOKUP(Table6[[#This Row],[SKU]],'All Skus'!$A:$AC,15,FALSE)),""))</f>
        <v>0</v>
      </c>
      <c r="N475" s="137">
        <f>(IF((VLOOKUP(Table6[[#This Row],[SKU]],'All Skus'!$A:$AC,2,FALSE))="JBL",(VLOOKUP(Table6[[#This Row],[SKU]],'All Skus'!$A:$AC,16,FALSE)),""))</f>
        <v>691991011207</v>
      </c>
      <c r="O475" s="61">
        <f>(IF((VLOOKUP(Table6[[#This Row],[SKU]],'All Skus'!$A:$AC,2,FALSE))="JBL",(VLOOKUP(Table6[[#This Row],[SKU]],'All Skus'!$A:$AC,17,FALSE)),""))</f>
        <v>0</v>
      </c>
      <c r="P475" s="136">
        <f>(IF((VLOOKUP(Table6[[#This Row],[SKU]],'All Skus'!$A:$AC,2,FALSE))="JBL",(VLOOKUP(Table6[[#This Row],[SKU]],'All Skus'!$A:$AC,18,FALSE)),""))</f>
        <v>63</v>
      </c>
      <c r="Q475" s="136">
        <f>(IF((VLOOKUP(Table6[[#This Row],[SKU]],'All Skus'!$A:$AC,2,FALSE))="JBL",(VLOOKUP(Table6[[#This Row],[SKU]],'All Skus'!$A:$AC,19,FALSE)),""))</f>
        <v>21</v>
      </c>
      <c r="R475" s="136">
        <f>(IF((VLOOKUP(Table6[[#This Row],[SKU]],'All Skus'!$A:$AC,2,FALSE))="JBL",(VLOOKUP(Table6[[#This Row],[SKU]],'All Skus'!$A:$AC,20,FALSE)),""))</f>
        <v>18</v>
      </c>
      <c r="S475" s="61">
        <f>(IF((VLOOKUP(Table6[[#This Row],[SKU]],'All Skus'!$A:$AC,2,FALSE))="JBL",(VLOOKUP(Table6[[#This Row],[SKU]],'All Skus'!$A:$AC,21,FALSE)),""))</f>
        <v>32</v>
      </c>
      <c r="T475" s="61" t="str">
        <f>(IF((VLOOKUP(Table6[[#This Row],[SKU]],'All Skus'!$A:$AC,2,FALSE))="JBL",(VLOOKUP(Table6[[#This Row],[SKU]],'All Skus'!$A:$AC,22,FALSE)),""))</f>
        <v>MX</v>
      </c>
      <c r="U475" t="str">
        <f>(IF((VLOOKUP(Table6[[#This Row],[SKU]],'All Skus'!$A:$AC,2,FALSE))="JBL",(VLOOKUP(Table6[[#This Row],[SKU]],'All Skus'!$A:$AC,23,FALSE)),""))</f>
        <v>Compliant</v>
      </c>
      <c r="V475" s="284" t="str">
        <f>HYPERLINK((IF((VLOOKUP(Table6[[#This Row],[SKU]],'All Skus'!$A:$AC,2,FALSE))="JBL",(VLOOKUP(Table6[[#This Row],[SKU]],'All Skus'!$A:$AC,24,FALSE)),"")))</f>
        <v/>
      </c>
      <c r="W475" s="151">
        <v>473</v>
      </c>
    </row>
    <row r="476" spans="1:23" ht="15" hidden="1" customHeight="1">
      <c r="A476" s="13" t="s">
        <v>1482</v>
      </c>
      <c r="B476" s="12" t="str">
        <f>(IF((VLOOKUP(Table6[[#This Row],[SKU]],'All Skus'!$A:$AC,2,FALSE))="JBL",(VLOOKUP(Table6[[#This Row],[SKU]],'All Skus'!$A:$AC,3,FALSE)),""))</f>
        <v>AE Series</v>
      </c>
      <c r="C476" s="12" t="str">
        <f>(IF((VLOOKUP(Table6[[#This Row],[SKU]],'All Skus'!$A:$AC,2,FALSE))="JBL",(VLOOKUP(Table6[[#This Row],[SKU]],'All Skus'!$A:$AC,4,FALSE)),""))</f>
        <v>AM5215/95-WH</v>
      </c>
      <c r="D476" s="61" t="str">
        <f>(IF((VLOOKUP(Table6[[#This Row],[SKU]],'All Skus'!$A:$AC,2,FALSE))="JBL",(VLOOKUP(Table6[[#This Row],[SKU]],'All Skus'!$A:$AC,5,FALSE)),""))</f>
        <v>JBL052</v>
      </c>
      <c r="E476" s="137">
        <f>(IF((VLOOKUP(Table6[[#This Row],[SKU]],'All Skus'!$A:$AC,2,FALSE))="JBL",(VLOOKUP(Table6[[#This Row],[SKU]],'All Skus'!$A:$AC,6,FALSE)),""))</f>
        <v>0</v>
      </c>
      <c r="F476" s="61">
        <f>(IF((VLOOKUP(Table6[[#This Row],[SKU]],'All Skus'!$A:$AC,2,FALSE))="JBL",(VLOOKUP(Table6[[#This Row],[SKU]],'All Skus'!$A:$AC,7,FALSE)),""))</f>
        <v>0</v>
      </c>
      <c r="G476" t="str">
        <f>(IF((VLOOKUP(Table6[[#This Row],[SKU]],'All Skus'!$A:$AC,2,FALSE))="JBL",(VLOOKUP(Table6[[#This Row],[SKU]],'All Skus'!$A:$AC,8,FALSE)),""))</f>
        <v>Two-way full range loudspeaker (white)</v>
      </c>
      <c r="H476"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Available in Black or White (-WH). Priced as each. Suspension eyebolts not included. Optional U-bracket model MTU-1. White finish.</v>
      </c>
      <c r="I476" s="101">
        <f>(IF((VLOOKUP(Table6[[#This Row],[SKU]],'All Skus'!$A:$AC,2,FALSE))="JBL",(VLOOKUP(Table6[[#This Row],[SKU]],'All Skus'!$A:$AC,10,FALSE)),""))</f>
        <v>2460</v>
      </c>
      <c r="J476" s="101">
        <f>(IF((VLOOKUP(Table6[[#This Row],[SKU]],'All Skus'!$A:$AC,2,FALSE))="JBL",(VLOOKUP(Table6[[#This Row],[SKU]],'All Skus'!$A:$AC,11,FALSE)),""))</f>
        <v>2460</v>
      </c>
      <c r="K476" s="102">
        <f>(IF((VLOOKUP(Table6[[#This Row],[SKU]],'All Skus'!$A:$AC,2,FALSE))="JBL",(VLOOKUP(Table6[[#This Row],[SKU]],'All Skus'!$A:$AC,13,FALSE)),""))</f>
        <v>0</v>
      </c>
      <c r="L476" s="102">
        <f>(IF((VLOOKUP(Table6[[#This Row],[SKU]],'All Skus'!$A:$AC,2,FALSE))="JBL",(VLOOKUP(Table6[[#This Row],[SKU]],'All Skus'!$A:$AC,14,FALSE)),""))</f>
        <v>0</v>
      </c>
      <c r="M476" s="143">
        <f>(IF((VLOOKUP(Table6[[#This Row],[SKU]],'All Skus'!$A:$AC,2,FALSE))="JBL",(VLOOKUP(Table6[[#This Row],[SKU]],'All Skus'!$A:$AC,15,FALSE)),""))</f>
        <v>0</v>
      </c>
      <c r="N476" s="137">
        <f>(IF((VLOOKUP(Table6[[#This Row],[SKU]],'All Skus'!$A:$AC,2,FALSE))="JBL",(VLOOKUP(Table6[[#This Row],[SKU]],'All Skus'!$A:$AC,16,FALSE)),""))</f>
        <v>691991000287</v>
      </c>
      <c r="O476" s="61">
        <f>(IF((VLOOKUP(Table6[[#This Row],[SKU]],'All Skus'!$A:$AC,2,FALSE))="JBL",(VLOOKUP(Table6[[#This Row],[SKU]],'All Skus'!$A:$AC,17,FALSE)),""))</f>
        <v>0</v>
      </c>
      <c r="P476" s="136">
        <f>(IF((VLOOKUP(Table6[[#This Row],[SKU]],'All Skus'!$A:$AC,2,FALSE))="JBL",(VLOOKUP(Table6[[#This Row],[SKU]],'All Skus'!$A:$AC,18,FALSE)),""))</f>
        <v>84.5</v>
      </c>
      <c r="Q476" s="136">
        <f>(IF((VLOOKUP(Table6[[#This Row],[SKU]],'All Skus'!$A:$AC,2,FALSE))="JBL",(VLOOKUP(Table6[[#This Row],[SKU]],'All Skus'!$A:$AC,19,FALSE)),""))</f>
        <v>23</v>
      </c>
      <c r="R476" s="136">
        <f>(IF((VLOOKUP(Table6[[#This Row],[SKU]],'All Skus'!$A:$AC,2,FALSE))="JBL",(VLOOKUP(Table6[[#This Row],[SKU]],'All Skus'!$A:$AC,20,FALSE)),""))</f>
        <v>24</v>
      </c>
      <c r="S476" s="61">
        <f>(IF((VLOOKUP(Table6[[#This Row],[SKU]],'All Skus'!$A:$AC,2,FALSE))="JBL",(VLOOKUP(Table6[[#This Row],[SKU]],'All Skus'!$A:$AC,21,FALSE)),""))</f>
        <v>36</v>
      </c>
      <c r="T476" s="61" t="str">
        <f>(IF((VLOOKUP(Table6[[#This Row],[SKU]],'All Skus'!$A:$AC,2,FALSE))="JBL",(VLOOKUP(Table6[[#This Row],[SKU]],'All Skus'!$A:$AC,22,FALSE)),""))</f>
        <v>MX</v>
      </c>
      <c r="U476" t="str">
        <f>(IF((VLOOKUP(Table6[[#This Row],[SKU]],'All Skus'!$A:$AC,2,FALSE))="JBL",(VLOOKUP(Table6[[#This Row],[SKU]],'All Skus'!$A:$AC,23,FALSE)),""))</f>
        <v>Compliant</v>
      </c>
      <c r="V476" s="284" t="str">
        <f>HYPERLINK((IF((VLOOKUP(Table6[[#This Row],[SKU]],'All Skus'!$A:$AC,2,FALSE))="JBL",(VLOOKUP(Table6[[#This Row],[SKU]],'All Skus'!$A:$AC,24,FALSE)),"")))</f>
        <v/>
      </c>
      <c r="W476" s="151">
        <v>474</v>
      </c>
    </row>
    <row r="477" spans="1:23" ht="15" hidden="1" customHeight="1">
      <c r="A477" s="13" t="s">
        <v>1483</v>
      </c>
      <c r="B477" s="12" t="str">
        <f>(IF((VLOOKUP(Table6[[#This Row],[SKU]],'All Skus'!$A:$AC,2,FALSE))="JBL",(VLOOKUP(Table6[[#This Row],[SKU]],'All Skus'!$A:$AC,3,FALSE)),""))</f>
        <v>Custom Shop Item</v>
      </c>
      <c r="C477" s="12" t="str">
        <f>(IF((VLOOKUP(Table6[[#This Row],[SKU]],'All Skus'!$A:$AC,2,FALSE))="JBL",(VLOOKUP(Table6[[#This Row],[SKU]],'All Skus'!$A:$AC,4,FALSE)),""))</f>
        <v>AM5215/95-WRC</v>
      </c>
      <c r="D477" s="61">
        <f>(IF((VLOOKUP(Table6[[#This Row],[SKU]],'All Skus'!$A:$AC,2,FALSE))="JBL",(VLOOKUP(Table6[[#This Row],[SKU]],'All Skus'!$A:$AC,5,FALSE)),""))</f>
        <v>0</v>
      </c>
      <c r="E477" s="137" t="str">
        <f>(IF((VLOOKUP(Table6[[#This Row],[SKU]],'All Skus'!$A:$AC,2,FALSE))="JBL",(VLOOKUP(Table6[[#This Row],[SKU]],'All Skus'!$A:$AC,6,FALSE)),""))</f>
        <v>YES</v>
      </c>
      <c r="F477" s="61">
        <f>(IF((VLOOKUP(Table6[[#This Row],[SKU]],'All Skus'!$A:$AC,2,FALSE))="JBL",(VLOOKUP(Table6[[#This Row],[SKU]],'All Skus'!$A:$AC,7,FALSE)),""))</f>
        <v>0</v>
      </c>
      <c r="G477" t="str">
        <f>(IF((VLOOKUP(Table6[[#This Row],[SKU]],'All Skus'!$A:$AC,2,FALSE))="JBL",(VLOOKUP(Table6[[#This Row],[SKU]],'All Skus'!$A:$AC,8,FALSE)),""))</f>
        <v>Two-way full range loudspeaker (Weather Protection Treatment)</v>
      </c>
      <c r="H477" s="8" t="str">
        <f>(IF((VLOOKUP(Table6[[#This Row],[SKU]],'All Skus'!$A:$AC,2,FALSE))="JBL",(VLOOKUP(Table6[[#This Row],[SKU]],'All Skus'!$A:$AC,9,FALSE)),""))</f>
        <v>Medium Power 15” 2-Way Full-Range Loudspeaker System with JBL Differential Drive® 50.8 mm (2-in) dual voice coil and dual magnetic gap 265H low frequency driver and 2408H-1 high-frequency 38mm (1.5 in) exit, 38mm (1.5 in) voice-coil compression driver.  90° x 50°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477" s="101" t="str">
        <f>(IF((VLOOKUP(Table6[[#This Row],[SKU]],'All Skus'!$A:$AC,2,FALSE))="JBL",(VLOOKUP(Table6[[#This Row],[SKU]],'All Skus'!$A:$AC,10,FALSE)),""))</f>
        <v>Please email CustomAudio@harman.com for quote</v>
      </c>
      <c r="J477" s="101">
        <f>(IF((VLOOKUP(Table6[[#This Row],[SKU]],'All Skus'!$A:$AC,2,FALSE))="JBL",(VLOOKUP(Table6[[#This Row],[SKU]],'All Skus'!$A:$AC,11,FALSE)),""))</f>
        <v>0</v>
      </c>
      <c r="K477" s="102">
        <f>(IF((VLOOKUP(Table6[[#This Row],[SKU]],'All Skus'!$A:$AC,2,FALSE))="JBL",(VLOOKUP(Table6[[#This Row],[SKU]],'All Skus'!$A:$AC,13,FALSE)),""))</f>
        <v>0</v>
      </c>
      <c r="L477" s="102">
        <f>(IF((VLOOKUP(Table6[[#This Row],[SKU]],'All Skus'!$A:$AC,2,FALSE))="JBL",(VLOOKUP(Table6[[#This Row],[SKU]],'All Skus'!$A:$AC,14,FALSE)),""))</f>
        <v>0</v>
      </c>
      <c r="M477" s="143">
        <f>(IF((VLOOKUP(Table6[[#This Row],[SKU]],'All Skus'!$A:$AC,2,FALSE))="JBL",(VLOOKUP(Table6[[#This Row],[SKU]],'All Skus'!$A:$AC,15,FALSE)),""))</f>
        <v>0</v>
      </c>
      <c r="N477" s="137">
        <f>(IF((VLOOKUP(Table6[[#This Row],[SKU]],'All Skus'!$A:$AC,2,FALSE))="JBL",(VLOOKUP(Table6[[#This Row],[SKU]],'All Skus'!$A:$AC,16,FALSE)),""))</f>
        <v>691991011214</v>
      </c>
      <c r="O477" s="61">
        <f>(IF((VLOOKUP(Table6[[#This Row],[SKU]],'All Skus'!$A:$AC,2,FALSE))="JBL",(VLOOKUP(Table6[[#This Row],[SKU]],'All Skus'!$A:$AC,17,FALSE)),""))</f>
        <v>0</v>
      </c>
      <c r="P477" s="136">
        <f>(IF((VLOOKUP(Table6[[#This Row],[SKU]],'All Skus'!$A:$AC,2,FALSE))="JBL",(VLOOKUP(Table6[[#This Row],[SKU]],'All Skus'!$A:$AC,18,FALSE)),""))</f>
        <v>0</v>
      </c>
      <c r="Q477" s="136">
        <f>(IF((VLOOKUP(Table6[[#This Row],[SKU]],'All Skus'!$A:$AC,2,FALSE))="JBL",(VLOOKUP(Table6[[#This Row],[SKU]],'All Skus'!$A:$AC,19,FALSE)),""))</f>
        <v>0</v>
      </c>
      <c r="R477" s="136">
        <f>(IF((VLOOKUP(Table6[[#This Row],[SKU]],'All Skus'!$A:$AC,2,FALSE))="JBL",(VLOOKUP(Table6[[#This Row],[SKU]],'All Skus'!$A:$AC,20,FALSE)),""))</f>
        <v>0</v>
      </c>
      <c r="S477" s="61">
        <f>(IF((VLOOKUP(Table6[[#This Row],[SKU]],'All Skus'!$A:$AC,2,FALSE))="JBL",(VLOOKUP(Table6[[#This Row],[SKU]],'All Skus'!$A:$AC,21,FALSE)),""))</f>
        <v>0</v>
      </c>
      <c r="T477" s="61" t="str">
        <f>(IF((VLOOKUP(Table6[[#This Row],[SKU]],'All Skus'!$A:$AC,2,FALSE))="JBL",(VLOOKUP(Table6[[#This Row],[SKU]],'All Skus'!$A:$AC,22,FALSE)),""))</f>
        <v>MX</v>
      </c>
      <c r="U477" t="str">
        <f>(IF((VLOOKUP(Table6[[#This Row],[SKU]],'All Skus'!$A:$AC,2,FALSE))="JBL",(VLOOKUP(Table6[[#This Row],[SKU]],'All Skus'!$A:$AC,23,FALSE)),""))</f>
        <v>Compliant</v>
      </c>
      <c r="V477" s="284" t="str">
        <f>HYPERLINK((IF((VLOOKUP(Table6[[#This Row],[SKU]],'All Skus'!$A:$AC,2,FALSE))="JBL",(VLOOKUP(Table6[[#This Row],[SKU]],'All Skus'!$A:$AC,24,FALSE)),"")))</f>
        <v/>
      </c>
      <c r="W477" s="151">
        <v>475</v>
      </c>
    </row>
    <row r="478" spans="1:23" ht="15" hidden="1" customHeight="1">
      <c r="A478" s="13" t="s">
        <v>1484</v>
      </c>
      <c r="B478" s="12" t="str">
        <f>(IF((VLOOKUP(Table6[[#This Row],[SKU]],'All Skus'!$A:$AC,2,FALSE))="JBL",(VLOOKUP(Table6[[#This Row],[SKU]],'All Skus'!$A:$AC,3,FALSE)),""))</f>
        <v>Custom Shop Item</v>
      </c>
      <c r="C478" s="12">
        <f>(IF((VLOOKUP(Table6[[#This Row],[SKU]],'All Skus'!$A:$AC,2,FALSE))="JBL",(VLOOKUP(Table6[[#This Row],[SKU]],'All Skus'!$A:$AC,4,FALSE)),""))</f>
        <v>0</v>
      </c>
      <c r="D478" s="61" t="str">
        <f>(IF((VLOOKUP(Table6[[#This Row],[SKU]],'All Skus'!$A:$AC,2,FALSE))="JBL",(VLOOKUP(Table6[[#This Row],[SKU]],'All Skus'!$A:$AC,5,FALSE)),""))</f>
        <v>JBL050</v>
      </c>
      <c r="E478" s="137" t="str">
        <f>(IF((VLOOKUP(Table6[[#This Row],[SKU]],'All Skus'!$A:$AC,2,FALSE))="JBL",(VLOOKUP(Table6[[#This Row],[SKU]],'All Skus'!$A:$AC,6,FALSE)),""))</f>
        <v>YES</v>
      </c>
      <c r="F478" s="61">
        <f>(IF((VLOOKUP(Table6[[#This Row],[SKU]],'All Skus'!$A:$AC,2,FALSE))="JBL",(VLOOKUP(Table6[[#This Row],[SKU]],'All Skus'!$A:$AC,7,FALSE)),""))</f>
        <v>0</v>
      </c>
      <c r="G478">
        <f>(IF((VLOOKUP(Table6[[#This Row],[SKU]],'All Skus'!$A:$AC,2,FALSE))="JBL",(VLOOKUP(Table6[[#This Row],[SKU]],'All Skus'!$A:$AC,8,FALSE)),""))</f>
        <v>0</v>
      </c>
      <c r="H478" s="8">
        <f>(IF((VLOOKUP(Table6[[#This Row],[SKU]],'All Skus'!$A:$AC,2,FALSE))="JBL",(VLOOKUP(Table6[[#This Row],[SKU]],'All Skus'!$A:$AC,9,FALSE)),""))</f>
        <v>0</v>
      </c>
      <c r="I478" s="101" t="str">
        <f>(IF((VLOOKUP(Table6[[#This Row],[SKU]],'All Skus'!$A:$AC,2,FALSE))="JBL",(VLOOKUP(Table6[[#This Row],[SKU]],'All Skus'!$A:$AC,10,FALSE)),""))</f>
        <v>Please email CustomAudio@harman.com for quote</v>
      </c>
      <c r="J478" s="101">
        <f>(IF((VLOOKUP(Table6[[#This Row],[SKU]],'All Skus'!$A:$AC,2,FALSE))="JBL",(VLOOKUP(Table6[[#This Row],[SKU]],'All Skus'!$A:$AC,11,FALSE)),""))</f>
        <v>0</v>
      </c>
      <c r="K478" s="102">
        <f>(IF((VLOOKUP(Table6[[#This Row],[SKU]],'All Skus'!$A:$AC,2,FALSE))="JBL",(VLOOKUP(Table6[[#This Row],[SKU]],'All Skus'!$A:$AC,13,FALSE)),""))</f>
        <v>0</v>
      </c>
      <c r="L478" s="102">
        <f>(IF((VLOOKUP(Table6[[#This Row],[SKU]],'All Skus'!$A:$AC,2,FALSE))="JBL",(VLOOKUP(Table6[[#This Row],[SKU]],'All Skus'!$A:$AC,14,FALSE)),""))</f>
        <v>0</v>
      </c>
      <c r="M478" s="143">
        <f>(IF((VLOOKUP(Table6[[#This Row],[SKU]],'All Skus'!$A:$AC,2,FALSE))="JBL",(VLOOKUP(Table6[[#This Row],[SKU]],'All Skus'!$A:$AC,15,FALSE)),""))</f>
        <v>0</v>
      </c>
      <c r="N478" s="137">
        <f>(IF((VLOOKUP(Table6[[#This Row],[SKU]],'All Skus'!$A:$AC,2,FALSE))="JBL",(VLOOKUP(Table6[[#This Row],[SKU]],'All Skus'!$A:$AC,16,FALSE)),""))</f>
        <v>691991034114</v>
      </c>
      <c r="O478" s="61">
        <f>(IF((VLOOKUP(Table6[[#This Row],[SKU]],'All Skus'!$A:$AC,2,FALSE))="JBL",(VLOOKUP(Table6[[#This Row],[SKU]],'All Skus'!$A:$AC,17,FALSE)),""))</f>
        <v>0</v>
      </c>
      <c r="P478" s="136">
        <f>(IF((VLOOKUP(Table6[[#This Row],[SKU]],'All Skus'!$A:$AC,2,FALSE))="JBL",(VLOOKUP(Table6[[#This Row],[SKU]],'All Skus'!$A:$AC,18,FALSE)),""))</f>
        <v>0</v>
      </c>
      <c r="Q478" s="136">
        <f>(IF((VLOOKUP(Table6[[#This Row],[SKU]],'All Skus'!$A:$AC,2,FALSE))="JBL",(VLOOKUP(Table6[[#This Row],[SKU]],'All Skus'!$A:$AC,19,FALSE)),""))</f>
        <v>0</v>
      </c>
      <c r="R478" s="136">
        <f>(IF((VLOOKUP(Table6[[#This Row],[SKU]],'All Skus'!$A:$AC,2,FALSE))="JBL",(VLOOKUP(Table6[[#This Row],[SKU]],'All Skus'!$A:$AC,20,FALSE)),""))</f>
        <v>0</v>
      </c>
      <c r="S478" s="61">
        <f>(IF((VLOOKUP(Table6[[#This Row],[SKU]],'All Skus'!$A:$AC,2,FALSE))="JBL",(VLOOKUP(Table6[[#This Row],[SKU]],'All Skus'!$A:$AC,21,FALSE)),""))</f>
        <v>0</v>
      </c>
      <c r="T478" s="61" t="str">
        <f>(IF((VLOOKUP(Table6[[#This Row],[SKU]],'All Skus'!$A:$AC,2,FALSE))="JBL",(VLOOKUP(Table6[[#This Row],[SKU]],'All Skus'!$A:$AC,22,FALSE)),""))</f>
        <v>MX</v>
      </c>
      <c r="U478">
        <f>(IF((VLOOKUP(Table6[[#This Row],[SKU]],'All Skus'!$A:$AC,2,FALSE))="JBL",(VLOOKUP(Table6[[#This Row],[SKU]],'All Skus'!$A:$AC,23,FALSE)),""))</f>
        <v>0</v>
      </c>
      <c r="V478" s="284" t="str">
        <f>HYPERLINK((IF((VLOOKUP(Table6[[#This Row],[SKU]],'All Skus'!$A:$AC,2,FALSE))="JBL",(VLOOKUP(Table6[[#This Row],[SKU]],'All Skus'!$A:$AC,24,FALSE)),"")))</f>
        <v/>
      </c>
      <c r="W478" s="151">
        <v>476</v>
      </c>
    </row>
    <row r="479" spans="1:23" ht="15" hidden="1" customHeight="1">
      <c r="A479" s="13" t="s">
        <v>1485</v>
      </c>
      <c r="B479" s="12" t="str">
        <f>(IF((VLOOKUP(Table6[[#This Row],[SKU]],'All Skus'!$A:$AC,2,FALSE))="JBL",(VLOOKUP(Table6[[#This Row],[SKU]],'All Skus'!$A:$AC,3,FALSE)),""))</f>
        <v>AE Series</v>
      </c>
      <c r="C479" s="12" t="str">
        <f>(IF((VLOOKUP(Table6[[#This Row],[SKU]],'All Skus'!$A:$AC,2,FALSE))="JBL",(VLOOKUP(Table6[[#This Row],[SKU]],'All Skus'!$A:$AC,4,FALSE)),""))</f>
        <v>ASB6112</v>
      </c>
      <c r="D479" s="61" t="str">
        <f>(IF((VLOOKUP(Table6[[#This Row],[SKU]],'All Skus'!$A:$AC,2,FALSE))="JBL",(VLOOKUP(Table6[[#This Row],[SKU]],'All Skus'!$A:$AC,5,FALSE)),""))</f>
        <v>JBL052</v>
      </c>
      <c r="E479" s="137">
        <f>(IF((VLOOKUP(Table6[[#This Row],[SKU]],'All Skus'!$A:$AC,2,FALSE))="JBL",(VLOOKUP(Table6[[#This Row],[SKU]],'All Skus'!$A:$AC,6,FALSE)),""))</f>
        <v>0</v>
      </c>
      <c r="F479" s="61">
        <f>(IF((VLOOKUP(Table6[[#This Row],[SKU]],'All Skus'!$A:$AC,2,FALSE))="JBL",(VLOOKUP(Table6[[#This Row],[SKU]],'All Skus'!$A:$AC,7,FALSE)),""))</f>
        <v>0</v>
      </c>
      <c r="G479" t="str">
        <f>(IF((VLOOKUP(Table6[[#This Row],[SKU]],'All Skus'!$A:$AC,2,FALSE))="JBL",(VLOOKUP(Table6[[#This Row],[SKU]],'All Skus'!$A:$AC,8,FALSE)),""))</f>
        <v>SINGLE 12 SUBWOOFER</v>
      </c>
      <c r="H479" s="8" t="str">
        <f>(IF((VLOOKUP(Table6[[#This Row],[SKU]],'All Skus'!$A:$AC,2,FALSE))="JBL",(VLOOKUP(Table6[[#This Row],[SKU]],'All Skus'!$A:$AC,9,FALSE)),""))</f>
        <v xml:space="preserve">Ultra Compact High-Power 12” Subwoofer System.  2263H Differential Drive® woofer, 3” dual voice coil – dual gap, neodymium magnet.  Multiply hardwood enclosure with DuraFlex™ finish and 14-gauge steel grille.  Sixteen M10 suspension points.  Available in Black or White.  Priced as each. </v>
      </c>
      <c r="I479" s="101">
        <f>(IF((VLOOKUP(Table6[[#This Row],[SKU]],'All Skus'!$A:$AC,2,FALSE))="JBL",(VLOOKUP(Table6[[#This Row],[SKU]],'All Skus'!$A:$AC,10,FALSE)),""))</f>
        <v>1990</v>
      </c>
      <c r="J479" s="101">
        <f>(IF((VLOOKUP(Table6[[#This Row],[SKU]],'All Skus'!$A:$AC,2,FALSE))="JBL",(VLOOKUP(Table6[[#This Row],[SKU]],'All Skus'!$A:$AC,11,FALSE)),""))</f>
        <v>1990</v>
      </c>
      <c r="K479" s="102">
        <f>(IF((VLOOKUP(Table6[[#This Row],[SKU]],'All Skus'!$A:$AC,2,FALSE))="JBL",(VLOOKUP(Table6[[#This Row],[SKU]],'All Skus'!$A:$AC,13,FALSE)),""))</f>
        <v>0</v>
      </c>
      <c r="L479" s="102">
        <f>(IF((VLOOKUP(Table6[[#This Row],[SKU]],'All Skus'!$A:$AC,2,FALSE))="JBL",(VLOOKUP(Table6[[#This Row],[SKU]],'All Skus'!$A:$AC,14,FALSE)),""))</f>
        <v>0</v>
      </c>
      <c r="M479" s="143">
        <f>(IF((VLOOKUP(Table6[[#This Row],[SKU]],'All Skus'!$A:$AC,2,FALSE))="JBL",(VLOOKUP(Table6[[#This Row],[SKU]],'All Skus'!$A:$AC,15,FALSE)),""))</f>
        <v>0</v>
      </c>
      <c r="N479" s="137">
        <f>(IF((VLOOKUP(Table6[[#This Row],[SKU]],'All Skus'!$A:$AC,2,FALSE))="JBL",(VLOOKUP(Table6[[#This Row],[SKU]],'All Skus'!$A:$AC,16,FALSE)),""))</f>
        <v>691991011665</v>
      </c>
      <c r="O479" s="61">
        <f>(IF((VLOOKUP(Table6[[#This Row],[SKU]],'All Skus'!$A:$AC,2,FALSE))="JBL",(VLOOKUP(Table6[[#This Row],[SKU]],'All Skus'!$A:$AC,17,FALSE)),""))</f>
        <v>0</v>
      </c>
      <c r="P479" s="136">
        <f>(IF((VLOOKUP(Table6[[#This Row],[SKU]],'All Skus'!$A:$AC,2,FALSE))="JBL",(VLOOKUP(Table6[[#This Row],[SKU]],'All Skus'!$A:$AC,18,FALSE)),""))</f>
        <v>44</v>
      </c>
      <c r="Q479" s="136">
        <f>(IF((VLOOKUP(Table6[[#This Row],[SKU]],'All Skus'!$A:$AC,2,FALSE))="JBL",(VLOOKUP(Table6[[#This Row],[SKU]],'All Skus'!$A:$AC,19,FALSE)),""))</f>
        <v>23.75</v>
      </c>
      <c r="R479" s="136">
        <f>(IF((VLOOKUP(Table6[[#This Row],[SKU]],'All Skus'!$A:$AC,2,FALSE))="JBL",(VLOOKUP(Table6[[#This Row],[SKU]],'All Skus'!$A:$AC,20,FALSE)),""))</f>
        <v>19.25</v>
      </c>
      <c r="S479" s="61">
        <f>(IF((VLOOKUP(Table6[[#This Row],[SKU]],'All Skus'!$A:$AC,2,FALSE))="JBL",(VLOOKUP(Table6[[#This Row],[SKU]],'All Skus'!$A:$AC,21,FALSE)),""))</f>
        <v>18.5</v>
      </c>
      <c r="T479" s="61" t="str">
        <f>(IF((VLOOKUP(Table6[[#This Row],[SKU]],'All Skus'!$A:$AC,2,FALSE))="JBL",(VLOOKUP(Table6[[#This Row],[SKU]],'All Skus'!$A:$AC,22,FALSE)),""))</f>
        <v>MX</v>
      </c>
      <c r="U479" t="str">
        <f>(IF((VLOOKUP(Table6[[#This Row],[SKU]],'All Skus'!$A:$AC,2,FALSE))="JBL",(VLOOKUP(Table6[[#This Row],[SKU]],'All Skus'!$A:$AC,23,FALSE)),""))</f>
        <v>Compliant</v>
      </c>
      <c r="V479" s="284" t="str">
        <f>HYPERLINK((IF((VLOOKUP(Table6[[#This Row],[SKU]],'All Skus'!$A:$AC,2,FALSE))="JBL",(VLOOKUP(Table6[[#This Row],[SKU]],'All Skus'!$A:$AC,24,FALSE)),"")))</f>
        <v/>
      </c>
      <c r="W479" s="151">
        <v>477</v>
      </c>
    </row>
    <row r="480" spans="1:23" ht="15" hidden="1" customHeight="1">
      <c r="A480" s="13" t="s">
        <v>1486</v>
      </c>
      <c r="B480" s="12" t="str">
        <f>(IF((VLOOKUP(Table6[[#This Row],[SKU]],'All Skus'!$A:$AC,2,FALSE))="JBL",(VLOOKUP(Table6[[#This Row],[SKU]],'All Skus'!$A:$AC,3,FALSE)),""))</f>
        <v>Custom Shop Item</v>
      </c>
      <c r="C480" s="12" t="str">
        <f>(IF((VLOOKUP(Table6[[#This Row],[SKU]],'All Skus'!$A:$AC,2,FALSE))="JBL",(VLOOKUP(Table6[[#This Row],[SKU]],'All Skus'!$A:$AC,4,FALSE)),""))</f>
        <v>ASB6112-WRC</v>
      </c>
      <c r="D480" s="61" t="str">
        <f>(IF((VLOOKUP(Table6[[#This Row],[SKU]],'All Skus'!$A:$AC,2,FALSE))="JBL",(VLOOKUP(Table6[[#This Row],[SKU]],'All Skus'!$A:$AC,5,FALSE)),""))</f>
        <v>JBL050</v>
      </c>
      <c r="E480" s="137" t="str">
        <f>(IF((VLOOKUP(Table6[[#This Row],[SKU]],'All Skus'!$A:$AC,2,FALSE))="JBL",(VLOOKUP(Table6[[#This Row],[SKU]],'All Skus'!$A:$AC,6,FALSE)),""))</f>
        <v>YES</v>
      </c>
      <c r="F480" s="61">
        <f>(IF((VLOOKUP(Table6[[#This Row],[SKU]],'All Skus'!$A:$AC,2,FALSE))="JBL",(VLOOKUP(Table6[[#This Row],[SKU]],'All Skus'!$A:$AC,7,FALSE)),""))</f>
        <v>0</v>
      </c>
      <c r="G480" t="str">
        <f>(IF((VLOOKUP(Table6[[#This Row],[SKU]],'All Skus'!$A:$AC,2,FALSE))="JBL",(VLOOKUP(Table6[[#This Row],[SKU]],'All Skus'!$A:$AC,8,FALSE)),""))</f>
        <v>SINGLE 12 SUBWOOFER (Weather Protection Treatment)</v>
      </c>
      <c r="H480" s="8" t="str">
        <f>(IF((VLOOKUP(Table6[[#This Row],[SKU]],'All Skus'!$A:$AC,2,FALSE))="JBL",(VLOOKUP(Table6[[#This Row],[SKU]],'All Skus'!$A:$AC,9,FALSE)),""))</f>
        <v>Ultra Compact High-Power 12” Subwoofer System.  2263H Differential Drive® woofer, 3” dual voice coil – dual gap, neodymium magnet.  Multiply hardwood enclosure with DuraFlex™ finish and 14-gauge steel grille.  Sixteen M10 suspension points.  With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(-WH).8-10 weeks ship time for orders of 1-10, larger needs to be reviewed</v>
      </c>
      <c r="I480" s="101" t="str">
        <f>(IF((VLOOKUP(Table6[[#This Row],[SKU]],'All Skus'!$A:$AC,2,FALSE))="JBL",(VLOOKUP(Table6[[#This Row],[SKU]],'All Skus'!$A:$AC,10,FALSE)),""))</f>
        <v>Please email CustomAudio@harman.com for quote</v>
      </c>
      <c r="J480" s="101">
        <f>(IF((VLOOKUP(Table6[[#This Row],[SKU]],'All Skus'!$A:$AC,2,FALSE))="JBL",(VLOOKUP(Table6[[#This Row],[SKU]],'All Skus'!$A:$AC,11,FALSE)),""))</f>
        <v>0</v>
      </c>
      <c r="K480" s="102">
        <f>(IF((VLOOKUP(Table6[[#This Row],[SKU]],'All Skus'!$A:$AC,2,FALSE))="JBL",(VLOOKUP(Table6[[#This Row],[SKU]],'All Skus'!$A:$AC,13,FALSE)),""))</f>
        <v>0</v>
      </c>
      <c r="L480" s="102">
        <f>(IF((VLOOKUP(Table6[[#This Row],[SKU]],'All Skus'!$A:$AC,2,FALSE))="JBL",(VLOOKUP(Table6[[#This Row],[SKU]],'All Skus'!$A:$AC,14,FALSE)),""))</f>
        <v>0</v>
      </c>
      <c r="M480" s="143">
        <f>(IF((VLOOKUP(Table6[[#This Row],[SKU]],'All Skus'!$A:$AC,2,FALSE))="JBL",(VLOOKUP(Table6[[#This Row],[SKU]],'All Skus'!$A:$AC,15,FALSE)),""))</f>
        <v>0</v>
      </c>
      <c r="N480" s="137">
        <f>(IF((VLOOKUP(Table6[[#This Row],[SKU]],'All Skus'!$A:$AC,2,FALSE))="JBL",(VLOOKUP(Table6[[#This Row],[SKU]],'All Skus'!$A:$AC,16,FALSE)),""))</f>
        <v>691991029806</v>
      </c>
      <c r="O480" s="61">
        <f>(IF((VLOOKUP(Table6[[#This Row],[SKU]],'All Skus'!$A:$AC,2,FALSE))="JBL",(VLOOKUP(Table6[[#This Row],[SKU]],'All Skus'!$A:$AC,17,FALSE)),""))</f>
        <v>0</v>
      </c>
      <c r="P480" s="136">
        <f>(IF((VLOOKUP(Table6[[#This Row],[SKU]],'All Skus'!$A:$AC,2,FALSE))="JBL",(VLOOKUP(Table6[[#This Row],[SKU]],'All Skus'!$A:$AC,18,FALSE)),""))</f>
        <v>0</v>
      </c>
      <c r="Q480" s="136">
        <f>(IF((VLOOKUP(Table6[[#This Row],[SKU]],'All Skus'!$A:$AC,2,FALSE))="JBL",(VLOOKUP(Table6[[#This Row],[SKU]],'All Skus'!$A:$AC,19,FALSE)),""))</f>
        <v>0</v>
      </c>
      <c r="R480" s="136">
        <f>(IF((VLOOKUP(Table6[[#This Row],[SKU]],'All Skus'!$A:$AC,2,FALSE))="JBL",(VLOOKUP(Table6[[#This Row],[SKU]],'All Skus'!$A:$AC,20,FALSE)),""))</f>
        <v>0</v>
      </c>
      <c r="S480" s="61">
        <f>(IF((VLOOKUP(Table6[[#This Row],[SKU]],'All Skus'!$A:$AC,2,FALSE))="JBL",(VLOOKUP(Table6[[#This Row],[SKU]],'All Skus'!$A:$AC,21,FALSE)),""))</f>
        <v>0</v>
      </c>
      <c r="T480" s="61" t="str">
        <f>(IF((VLOOKUP(Table6[[#This Row],[SKU]],'All Skus'!$A:$AC,2,FALSE))="JBL",(VLOOKUP(Table6[[#This Row],[SKU]],'All Skus'!$A:$AC,22,FALSE)),""))</f>
        <v>MX</v>
      </c>
      <c r="U480" t="str">
        <f>(IF((VLOOKUP(Table6[[#This Row],[SKU]],'All Skus'!$A:$AC,2,FALSE))="JBL",(VLOOKUP(Table6[[#This Row],[SKU]],'All Skus'!$A:$AC,23,FALSE)),""))</f>
        <v>Compliant</v>
      </c>
      <c r="V480" s="284" t="str">
        <f>HYPERLINK((IF((VLOOKUP(Table6[[#This Row],[SKU]],'All Skus'!$A:$AC,2,FALSE))="JBL",(VLOOKUP(Table6[[#This Row],[SKU]],'All Skus'!$A:$AC,24,FALSE)),"")))</f>
        <v/>
      </c>
      <c r="W480" s="151">
        <v>478</v>
      </c>
    </row>
    <row r="481" spans="1:23" ht="15" hidden="1" customHeight="1">
      <c r="A481" s="13" t="s">
        <v>1487</v>
      </c>
      <c r="B481" s="12" t="str">
        <f>(IF((VLOOKUP(Table6[[#This Row],[SKU]],'All Skus'!$A:$AC,2,FALSE))="JBL",(VLOOKUP(Table6[[#This Row],[SKU]],'All Skus'!$A:$AC,3,FALSE)),""))</f>
        <v>Custom Shop Item</v>
      </c>
      <c r="C481" s="12" t="str">
        <f>(IF((VLOOKUP(Table6[[#This Row],[SKU]],'All Skus'!$A:$AC,2,FALSE))="JBL",(VLOOKUP(Table6[[#This Row],[SKU]],'All Skus'!$A:$AC,4,FALSE)),""))</f>
        <v>ASB6112-WRX</v>
      </c>
      <c r="D481" s="61" t="str">
        <f>(IF((VLOOKUP(Table6[[#This Row],[SKU]],'All Skus'!$A:$AC,2,FALSE))="JBL",(VLOOKUP(Table6[[#This Row],[SKU]],'All Skus'!$A:$AC,5,FALSE)),""))</f>
        <v>JBL050</v>
      </c>
      <c r="E481" s="137" t="str">
        <f>(IF((VLOOKUP(Table6[[#This Row],[SKU]],'All Skus'!$A:$AC,2,FALSE))="JBL",(VLOOKUP(Table6[[#This Row],[SKU]],'All Skus'!$A:$AC,6,FALSE)),""))</f>
        <v>YES</v>
      </c>
      <c r="F481" s="61">
        <f>(IF((VLOOKUP(Table6[[#This Row],[SKU]],'All Skus'!$A:$AC,2,FALSE))="JBL",(VLOOKUP(Table6[[#This Row],[SKU]],'All Skus'!$A:$AC,7,FALSE)),""))</f>
        <v>0</v>
      </c>
      <c r="G481" t="str">
        <f>(IF((VLOOKUP(Table6[[#This Row],[SKU]],'All Skus'!$A:$AC,2,FALSE))="JBL",(VLOOKUP(Table6[[#This Row],[SKU]],'All Skus'!$A:$AC,8,FALSE)),""))</f>
        <v>SINGLE 12 SUBWOOFER (Extreme Weather Protection Treatment)</v>
      </c>
      <c r="H481" s="8" t="str">
        <f>(IF((VLOOKUP(Table6[[#This Row],[SKU]],'All Skus'!$A:$AC,2,FALSE))="JBL",(VLOOKUP(Table6[[#This Row],[SKU]],'All Skus'!$A:$AC,9,FALSE)),""))</f>
        <v>Ultra Compact High-Power 12” Subwoofer System.  2263H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v>
      </c>
      <c r="I481" s="101" t="str">
        <f>(IF((VLOOKUP(Table6[[#This Row],[SKU]],'All Skus'!$A:$AC,2,FALSE))="JBL",(VLOOKUP(Table6[[#This Row],[SKU]],'All Skus'!$A:$AC,10,FALSE)),""))</f>
        <v>Please email CustomAudio@harman.com for quote</v>
      </c>
      <c r="J481" s="101">
        <f>(IF((VLOOKUP(Table6[[#This Row],[SKU]],'All Skus'!$A:$AC,2,FALSE))="JBL",(VLOOKUP(Table6[[#This Row],[SKU]],'All Skus'!$A:$AC,11,FALSE)),""))</f>
        <v>0</v>
      </c>
      <c r="K481" s="102">
        <f>(IF((VLOOKUP(Table6[[#This Row],[SKU]],'All Skus'!$A:$AC,2,FALSE))="JBL",(VLOOKUP(Table6[[#This Row],[SKU]],'All Skus'!$A:$AC,13,FALSE)),""))</f>
        <v>0</v>
      </c>
      <c r="L481" s="102">
        <f>(IF((VLOOKUP(Table6[[#This Row],[SKU]],'All Skus'!$A:$AC,2,FALSE))="JBL",(VLOOKUP(Table6[[#This Row],[SKU]],'All Skus'!$A:$AC,14,FALSE)),""))</f>
        <v>0</v>
      </c>
      <c r="M481" s="143">
        <f>(IF((VLOOKUP(Table6[[#This Row],[SKU]],'All Skus'!$A:$AC,2,FALSE))="JBL",(VLOOKUP(Table6[[#This Row],[SKU]],'All Skus'!$A:$AC,15,FALSE)),""))</f>
        <v>0</v>
      </c>
      <c r="N481" s="137">
        <f>(IF((VLOOKUP(Table6[[#This Row],[SKU]],'All Skus'!$A:$AC,2,FALSE))="JBL",(VLOOKUP(Table6[[#This Row],[SKU]],'All Skus'!$A:$AC,16,FALSE)),""))</f>
        <v>0</v>
      </c>
      <c r="O481" s="61">
        <f>(IF((VLOOKUP(Table6[[#This Row],[SKU]],'All Skus'!$A:$AC,2,FALSE))="JBL",(VLOOKUP(Table6[[#This Row],[SKU]],'All Skus'!$A:$AC,17,FALSE)),""))</f>
        <v>0</v>
      </c>
      <c r="P481" s="136">
        <f>(IF((VLOOKUP(Table6[[#This Row],[SKU]],'All Skus'!$A:$AC,2,FALSE))="JBL",(VLOOKUP(Table6[[#This Row],[SKU]],'All Skus'!$A:$AC,18,FALSE)),""))</f>
        <v>47</v>
      </c>
      <c r="Q481" s="136">
        <f>(IF((VLOOKUP(Table6[[#This Row],[SKU]],'All Skus'!$A:$AC,2,FALSE))="JBL",(VLOOKUP(Table6[[#This Row],[SKU]],'All Skus'!$A:$AC,19,FALSE)),""))</f>
        <v>24</v>
      </c>
      <c r="R481" s="136">
        <f>(IF((VLOOKUP(Table6[[#This Row],[SKU]],'All Skus'!$A:$AC,2,FALSE))="JBL",(VLOOKUP(Table6[[#This Row],[SKU]],'All Skus'!$A:$AC,20,FALSE)),""))</f>
        <v>19</v>
      </c>
      <c r="S481" s="61">
        <f>(IF((VLOOKUP(Table6[[#This Row],[SKU]],'All Skus'!$A:$AC,2,FALSE))="JBL",(VLOOKUP(Table6[[#This Row],[SKU]],'All Skus'!$A:$AC,21,FALSE)),""))</f>
        <v>17</v>
      </c>
      <c r="T481" s="61" t="str">
        <f>(IF((VLOOKUP(Table6[[#This Row],[SKU]],'All Skus'!$A:$AC,2,FALSE))="JBL",(VLOOKUP(Table6[[#This Row],[SKU]],'All Skus'!$A:$AC,22,FALSE)),""))</f>
        <v>MX</v>
      </c>
      <c r="U481" t="str">
        <f>(IF((VLOOKUP(Table6[[#This Row],[SKU]],'All Skus'!$A:$AC,2,FALSE))="JBL",(VLOOKUP(Table6[[#This Row],[SKU]],'All Skus'!$A:$AC,23,FALSE)),""))</f>
        <v>Compliant</v>
      </c>
      <c r="V481" s="284" t="str">
        <f>HYPERLINK((IF((VLOOKUP(Table6[[#This Row],[SKU]],'All Skus'!$A:$AC,2,FALSE))="JBL",(VLOOKUP(Table6[[#This Row],[SKU]],'All Skus'!$A:$AC,24,FALSE)),"")))</f>
        <v/>
      </c>
      <c r="W481" s="151">
        <v>479</v>
      </c>
    </row>
    <row r="482" spans="1:23" ht="15" hidden="1" customHeight="1">
      <c r="A482" s="13" t="s">
        <v>1488</v>
      </c>
      <c r="B482" s="12" t="str">
        <f>(IF((VLOOKUP(Table6[[#This Row],[SKU]],'All Skus'!$A:$AC,2,FALSE))="JBL",(VLOOKUP(Table6[[#This Row],[SKU]],'All Skus'!$A:$AC,3,FALSE)),""))</f>
        <v>AE Series</v>
      </c>
      <c r="C482" s="12" t="str">
        <f>(IF((VLOOKUP(Table6[[#This Row],[SKU]],'All Skus'!$A:$AC,2,FALSE))="JBL",(VLOOKUP(Table6[[#This Row],[SKU]],'All Skus'!$A:$AC,4,FALSE)),""))</f>
        <v>ASB6112-WH</v>
      </c>
      <c r="D482" s="61" t="str">
        <f>(IF((VLOOKUP(Table6[[#This Row],[SKU]],'All Skus'!$A:$AC,2,FALSE))="JBL",(VLOOKUP(Table6[[#This Row],[SKU]],'All Skus'!$A:$AC,5,FALSE)),""))</f>
        <v>JBL052</v>
      </c>
      <c r="E482" s="137">
        <f>(IF((VLOOKUP(Table6[[#This Row],[SKU]],'All Skus'!$A:$AC,2,FALSE))="JBL",(VLOOKUP(Table6[[#This Row],[SKU]],'All Skus'!$A:$AC,6,FALSE)),""))</f>
        <v>0</v>
      </c>
      <c r="F482" s="61">
        <f>(IF((VLOOKUP(Table6[[#This Row],[SKU]],'All Skus'!$A:$AC,2,FALSE))="JBL",(VLOOKUP(Table6[[#This Row],[SKU]],'All Skus'!$A:$AC,7,FALSE)),""))</f>
        <v>0</v>
      </c>
      <c r="G482" t="str">
        <f>(IF((VLOOKUP(Table6[[#This Row],[SKU]],'All Skus'!$A:$AC,2,FALSE))="JBL",(VLOOKUP(Table6[[#This Row],[SKU]],'All Skus'!$A:$AC,8,FALSE)),""))</f>
        <v>SINGLE 12 SUBWOOFER (white)</v>
      </c>
      <c r="H482" s="8" t="str">
        <f>(IF((VLOOKUP(Table6[[#This Row],[SKU]],'All Skus'!$A:$AC,2,FALSE))="JBL",(VLOOKUP(Table6[[#This Row],[SKU]],'All Skus'!$A:$AC,9,FALSE)),""))</f>
        <v xml:space="preserve">Ultra Compact High-Power 12” Subwoofer System.  2263H Differential Drive® woofer, 3” dual voice coil – dual gap, neodymium magnet.  Multiply hardwood enclosure with DuraFlex™ finish and 14-gauge steel grille.  Sixteen M10 suspension points.  White finish. Priced as each. </v>
      </c>
      <c r="I482" s="101">
        <f>(IF((VLOOKUP(Table6[[#This Row],[SKU]],'All Skus'!$A:$AC,2,FALSE))="JBL",(VLOOKUP(Table6[[#This Row],[SKU]],'All Skus'!$A:$AC,10,FALSE)),""))</f>
        <v>1990</v>
      </c>
      <c r="J482" s="101">
        <f>(IF((VLOOKUP(Table6[[#This Row],[SKU]],'All Skus'!$A:$AC,2,FALSE))="JBL",(VLOOKUP(Table6[[#This Row],[SKU]],'All Skus'!$A:$AC,11,FALSE)),""))</f>
        <v>1990</v>
      </c>
      <c r="K482" s="102">
        <f>(IF((VLOOKUP(Table6[[#This Row],[SKU]],'All Skus'!$A:$AC,2,FALSE))="JBL",(VLOOKUP(Table6[[#This Row],[SKU]],'All Skus'!$A:$AC,13,FALSE)),""))</f>
        <v>0</v>
      </c>
      <c r="L482" s="102">
        <f>(IF((VLOOKUP(Table6[[#This Row],[SKU]],'All Skus'!$A:$AC,2,FALSE))="JBL",(VLOOKUP(Table6[[#This Row],[SKU]],'All Skus'!$A:$AC,14,FALSE)),""))</f>
        <v>0</v>
      </c>
      <c r="M482" s="143">
        <f>(IF((VLOOKUP(Table6[[#This Row],[SKU]],'All Skus'!$A:$AC,2,FALSE))="JBL",(VLOOKUP(Table6[[#This Row],[SKU]],'All Skus'!$A:$AC,15,FALSE)),""))</f>
        <v>0</v>
      </c>
      <c r="N482" s="137">
        <f>(IF((VLOOKUP(Table6[[#This Row],[SKU]],'All Skus'!$A:$AC,2,FALSE))="JBL",(VLOOKUP(Table6[[#This Row],[SKU]],'All Skus'!$A:$AC,16,FALSE)),""))</f>
        <v>691991011672</v>
      </c>
      <c r="O482" s="61">
        <f>(IF((VLOOKUP(Table6[[#This Row],[SKU]],'All Skus'!$A:$AC,2,FALSE))="JBL",(VLOOKUP(Table6[[#This Row],[SKU]],'All Skus'!$A:$AC,17,FALSE)),""))</f>
        <v>0</v>
      </c>
      <c r="P482" s="136">
        <f>(IF((VLOOKUP(Table6[[#This Row],[SKU]],'All Skus'!$A:$AC,2,FALSE))="JBL",(VLOOKUP(Table6[[#This Row],[SKU]],'All Skus'!$A:$AC,18,FALSE)),""))</f>
        <v>46.35</v>
      </c>
      <c r="Q482" s="136">
        <f>(IF((VLOOKUP(Table6[[#This Row],[SKU]],'All Skus'!$A:$AC,2,FALSE))="JBL",(VLOOKUP(Table6[[#This Row],[SKU]],'All Skus'!$A:$AC,19,FALSE)),""))</f>
        <v>24</v>
      </c>
      <c r="R482" s="136">
        <f>(IF((VLOOKUP(Table6[[#This Row],[SKU]],'All Skus'!$A:$AC,2,FALSE))="JBL",(VLOOKUP(Table6[[#This Row],[SKU]],'All Skus'!$A:$AC,20,FALSE)),""))</f>
        <v>19</v>
      </c>
      <c r="S482" s="61">
        <f>(IF((VLOOKUP(Table6[[#This Row],[SKU]],'All Skus'!$A:$AC,2,FALSE))="JBL",(VLOOKUP(Table6[[#This Row],[SKU]],'All Skus'!$A:$AC,21,FALSE)),""))</f>
        <v>18</v>
      </c>
      <c r="T482" s="61" t="str">
        <f>(IF((VLOOKUP(Table6[[#This Row],[SKU]],'All Skus'!$A:$AC,2,FALSE))="JBL",(VLOOKUP(Table6[[#This Row],[SKU]],'All Skus'!$A:$AC,22,FALSE)),""))</f>
        <v>MX</v>
      </c>
      <c r="U482" t="str">
        <f>(IF((VLOOKUP(Table6[[#This Row],[SKU]],'All Skus'!$A:$AC,2,FALSE))="JBL",(VLOOKUP(Table6[[#This Row],[SKU]],'All Skus'!$A:$AC,23,FALSE)),""))</f>
        <v>Compliant</v>
      </c>
      <c r="V482" s="284" t="str">
        <f>HYPERLINK((IF((VLOOKUP(Table6[[#This Row],[SKU]],'All Skus'!$A:$AC,2,FALSE))="JBL",(VLOOKUP(Table6[[#This Row],[SKU]],'All Skus'!$A:$AC,24,FALSE)),"")))</f>
        <v/>
      </c>
      <c r="W482" s="151">
        <v>480</v>
      </c>
    </row>
    <row r="483" spans="1:23" ht="15" hidden="1" customHeight="1">
      <c r="A483" s="13" t="s">
        <v>1489</v>
      </c>
      <c r="B483" s="12" t="str">
        <f>(IF((VLOOKUP(Table6[[#This Row],[SKU]],'All Skus'!$A:$AC,2,FALSE))="JBL",(VLOOKUP(Table6[[#This Row],[SKU]],'All Skus'!$A:$AC,3,FALSE)),""))</f>
        <v>AE Series</v>
      </c>
      <c r="C483" s="12" t="str">
        <f>(IF((VLOOKUP(Table6[[#This Row],[SKU]],'All Skus'!$A:$AC,2,FALSE))="JBL",(VLOOKUP(Table6[[#This Row],[SKU]],'All Skus'!$A:$AC,4,FALSE)),""))</f>
        <v>ASB6115</v>
      </c>
      <c r="D483" s="61" t="str">
        <f>(IF((VLOOKUP(Table6[[#This Row],[SKU]],'All Skus'!$A:$AC,2,FALSE))="JBL",(VLOOKUP(Table6[[#This Row],[SKU]],'All Skus'!$A:$AC,5,FALSE)),""))</f>
        <v>JBL052</v>
      </c>
      <c r="E483" s="137">
        <f>(IF((VLOOKUP(Table6[[#This Row],[SKU]],'All Skus'!$A:$AC,2,FALSE))="JBL",(VLOOKUP(Table6[[#This Row],[SKU]],'All Skus'!$A:$AC,6,FALSE)),""))</f>
        <v>0</v>
      </c>
      <c r="F483" s="61">
        <f>(IF((VLOOKUP(Table6[[#This Row],[SKU]],'All Skus'!$A:$AC,2,FALSE))="JBL",(VLOOKUP(Table6[[#This Row],[SKU]],'All Skus'!$A:$AC,7,FALSE)),""))</f>
        <v>0</v>
      </c>
      <c r="G483" t="str">
        <f>(IF((VLOOKUP(Table6[[#This Row],[SKU]],'All Skus'!$A:$AC,2,FALSE))="JBL",(VLOOKUP(Table6[[#This Row],[SKU]],'All Skus'!$A:$AC,8,FALSE)),""))</f>
        <v>5INGLE 15 SUBWOOFER</v>
      </c>
      <c r="H483" s="8" t="str">
        <f>(IF((VLOOKUP(Table6[[#This Row],[SKU]],'All Skus'!$A:$AC,2,FALSE))="JBL",(VLOOKUP(Table6[[#This Row],[SKU]],'All Skus'!$A:$AC,9,FALSE)),""))</f>
        <v xml:space="preserve">Compact High-Power 15” Subwoofer System.  2265H-1 Differential Drive® woofer, 3” dual voice coil – dual gap, neodymium magnet.  Multiply hardwood enclosure with DuraFlex™ finish and 14-gauge steel grille.  Sixteen M10 suspension points.  Available in Black and White. Priced as each. </v>
      </c>
      <c r="I483" s="101">
        <f>(IF((VLOOKUP(Table6[[#This Row],[SKU]],'All Skus'!$A:$AC,2,FALSE))="JBL",(VLOOKUP(Table6[[#This Row],[SKU]],'All Skus'!$A:$AC,10,FALSE)),""))</f>
        <v>2250</v>
      </c>
      <c r="J483" s="101">
        <f>(IF((VLOOKUP(Table6[[#This Row],[SKU]],'All Skus'!$A:$AC,2,FALSE))="JBL",(VLOOKUP(Table6[[#This Row],[SKU]],'All Skus'!$A:$AC,11,FALSE)),""))</f>
        <v>2250</v>
      </c>
      <c r="K483" s="102">
        <f>(IF((VLOOKUP(Table6[[#This Row],[SKU]],'All Skus'!$A:$AC,2,FALSE))="JBL",(VLOOKUP(Table6[[#This Row],[SKU]],'All Skus'!$A:$AC,13,FALSE)),""))</f>
        <v>0</v>
      </c>
      <c r="L483" s="102">
        <f>(IF((VLOOKUP(Table6[[#This Row],[SKU]],'All Skus'!$A:$AC,2,FALSE))="JBL",(VLOOKUP(Table6[[#This Row],[SKU]],'All Skus'!$A:$AC,14,FALSE)),""))</f>
        <v>0</v>
      </c>
      <c r="M483" s="143">
        <f>(IF((VLOOKUP(Table6[[#This Row],[SKU]],'All Skus'!$A:$AC,2,FALSE))="JBL",(VLOOKUP(Table6[[#This Row],[SKU]],'All Skus'!$A:$AC,15,FALSE)),""))</f>
        <v>0</v>
      </c>
      <c r="N483" s="137">
        <f>(IF((VLOOKUP(Table6[[#This Row],[SKU]],'All Skus'!$A:$AC,2,FALSE))="JBL",(VLOOKUP(Table6[[#This Row],[SKU]],'All Skus'!$A:$AC,16,FALSE)),""))</f>
        <v>691991011689</v>
      </c>
      <c r="O483" s="61">
        <f>(IF((VLOOKUP(Table6[[#This Row],[SKU]],'All Skus'!$A:$AC,2,FALSE))="JBL",(VLOOKUP(Table6[[#This Row],[SKU]],'All Skus'!$A:$AC,17,FALSE)),""))</f>
        <v>0</v>
      </c>
      <c r="P483" s="136">
        <f>(IF((VLOOKUP(Table6[[#This Row],[SKU]],'All Skus'!$A:$AC,2,FALSE))="JBL",(VLOOKUP(Table6[[#This Row],[SKU]],'All Skus'!$A:$AC,18,FALSE)),""))</f>
        <v>56</v>
      </c>
      <c r="Q483" s="136">
        <f>(IF((VLOOKUP(Table6[[#This Row],[SKU]],'All Skus'!$A:$AC,2,FALSE))="JBL",(VLOOKUP(Table6[[#This Row],[SKU]],'All Skus'!$A:$AC,19,FALSE)),""))</f>
        <v>28.25</v>
      </c>
      <c r="R483" s="136">
        <f>(IF((VLOOKUP(Table6[[#This Row],[SKU]],'All Skus'!$A:$AC,2,FALSE))="JBL",(VLOOKUP(Table6[[#This Row],[SKU]],'All Skus'!$A:$AC,20,FALSE)),""))</f>
        <v>21</v>
      </c>
      <c r="S483" s="61">
        <f>(IF((VLOOKUP(Table6[[#This Row],[SKU]],'All Skus'!$A:$AC,2,FALSE))="JBL",(VLOOKUP(Table6[[#This Row],[SKU]],'All Skus'!$A:$AC,21,FALSE)),""))</f>
        <v>21</v>
      </c>
      <c r="T483" s="61" t="str">
        <f>(IF((VLOOKUP(Table6[[#This Row],[SKU]],'All Skus'!$A:$AC,2,FALSE))="JBL",(VLOOKUP(Table6[[#This Row],[SKU]],'All Skus'!$A:$AC,22,FALSE)),""))</f>
        <v>MX</v>
      </c>
      <c r="U483" t="str">
        <f>(IF((VLOOKUP(Table6[[#This Row],[SKU]],'All Skus'!$A:$AC,2,FALSE))="JBL",(VLOOKUP(Table6[[#This Row],[SKU]],'All Skus'!$A:$AC,23,FALSE)),""))</f>
        <v>Compliant</v>
      </c>
      <c r="V483" s="284" t="str">
        <f>HYPERLINK((IF((VLOOKUP(Table6[[#This Row],[SKU]],'All Skus'!$A:$AC,2,FALSE))="JBL",(VLOOKUP(Table6[[#This Row],[SKU]],'All Skus'!$A:$AC,24,FALSE)),"")))</f>
        <v/>
      </c>
      <c r="W483" s="151">
        <v>481</v>
      </c>
    </row>
    <row r="484" spans="1:23" ht="15" hidden="1" customHeight="1">
      <c r="A484" s="13" t="s">
        <v>1490</v>
      </c>
      <c r="B484" s="12" t="str">
        <f>(IF((VLOOKUP(Table6[[#This Row],[SKU]],'All Skus'!$A:$AC,2,FALSE))="JBL",(VLOOKUP(Table6[[#This Row],[SKU]],'All Skus'!$A:$AC,3,FALSE)),""))</f>
        <v>AE Series</v>
      </c>
      <c r="C484" s="12" t="str">
        <f>(IF((VLOOKUP(Table6[[#This Row],[SKU]],'All Skus'!$A:$AC,2,FALSE))="JBL",(VLOOKUP(Table6[[#This Row],[SKU]],'All Skus'!$A:$AC,4,FALSE)),""))</f>
        <v>ASB6115-WH</v>
      </c>
      <c r="D484" s="61" t="str">
        <f>(IF((VLOOKUP(Table6[[#This Row],[SKU]],'All Skus'!$A:$AC,2,FALSE))="JBL",(VLOOKUP(Table6[[#This Row],[SKU]],'All Skus'!$A:$AC,5,FALSE)),""))</f>
        <v>JBL052</v>
      </c>
      <c r="E484" s="137">
        <f>(IF((VLOOKUP(Table6[[#This Row],[SKU]],'All Skus'!$A:$AC,2,FALSE))="JBL",(VLOOKUP(Table6[[#This Row],[SKU]],'All Skus'!$A:$AC,6,FALSE)),""))</f>
        <v>0</v>
      </c>
      <c r="F484" s="61">
        <f>(IF((VLOOKUP(Table6[[#This Row],[SKU]],'All Skus'!$A:$AC,2,FALSE))="JBL",(VLOOKUP(Table6[[#This Row],[SKU]],'All Skus'!$A:$AC,7,FALSE)),""))</f>
        <v>0</v>
      </c>
      <c r="G484" t="str">
        <f>(IF((VLOOKUP(Table6[[#This Row],[SKU]],'All Skus'!$A:$AC,2,FALSE))="JBL",(VLOOKUP(Table6[[#This Row],[SKU]],'All Skus'!$A:$AC,8,FALSE)),""))</f>
        <v>5INGLE 15 SUBWOOFER (white)</v>
      </c>
      <c r="H484" s="8" t="str">
        <f>(IF((VLOOKUP(Table6[[#This Row],[SKU]],'All Skus'!$A:$AC,2,FALSE))="JBL",(VLOOKUP(Table6[[#This Row],[SKU]],'All Skus'!$A:$AC,9,FALSE)),""))</f>
        <v xml:space="preserve">Compact High-Power 15” Subwoofer System.  2265H-1 Differential Drive® woofer, 3” dual voice coil – dual gap, neodymium magnet.  Multiply hardwood enclosure with DuraFlex™ finish and 14-gauge steel grille.  Sixteen M10 suspension points. White finish. Priced as each. </v>
      </c>
      <c r="I484" s="101">
        <f>(IF((VLOOKUP(Table6[[#This Row],[SKU]],'All Skus'!$A:$AC,2,FALSE))="JBL",(VLOOKUP(Table6[[#This Row],[SKU]],'All Skus'!$A:$AC,10,FALSE)),""))</f>
        <v>2250</v>
      </c>
      <c r="J484" s="101">
        <f>(IF((VLOOKUP(Table6[[#This Row],[SKU]],'All Skus'!$A:$AC,2,FALSE))="JBL",(VLOOKUP(Table6[[#This Row],[SKU]],'All Skus'!$A:$AC,11,FALSE)),""))</f>
        <v>2250</v>
      </c>
      <c r="K484" s="102">
        <f>(IF((VLOOKUP(Table6[[#This Row],[SKU]],'All Skus'!$A:$AC,2,FALSE))="JBL",(VLOOKUP(Table6[[#This Row],[SKU]],'All Skus'!$A:$AC,13,FALSE)),""))</f>
        <v>0</v>
      </c>
      <c r="L484" s="102">
        <f>(IF((VLOOKUP(Table6[[#This Row],[SKU]],'All Skus'!$A:$AC,2,FALSE))="JBL",(VLOOKUP(Table6[[#This Row],[SKU]],'All Skus'!$A:$AC,14,FALSE)),""))</f>
        <v>0</v>
      </c>
      <c r="M484" s="143">
        <f>(IF((VLOOKUP(Table6[[#This Row],[SKU]],'All Skus'!$A:$AC,2,FALSE))="JBL",(VLOOKUP(Table6[[#This Row],[SKU]],'All Skus'!$A:$AC,15,FALSE)),""))</f>
        <v>0</v>
      </c>
      <c r="N484" s="137">
        <f>(IF((VLOOKUP(Table6[[#This Row],[SKU]],'All Skus'!$A:$AC,2,FALSE))="JBL",(VLOOKUP(Table6[[#This Row],[SKU]],'All Skus'!$A:$AC,16,FALSE)),""))</f>
        <v>691991004032</v>
      </c>
      <c r="O484" s="61">
        <f>(IF((VLOOKUP(Table6[[#This Row],[SKU]],'All Skus'!$A:$AC,2,FALSE))="JBL",(VLOOKUP(Table6[[#This Row],[SKU]],'All Skus'!$A:$AC,17,FALSE)),""))</f>
        <v>0</v>
      </c>
      <c r="P484" s="136">
        <f>(IF((VLOOKUP(Table6[[#This Row],[SKU]],'All Skus'!$A:$AC,2,FALSE))="JBL",(VLOOKUP(Table6[[#This Row],[SKU]],'All Skus'!$A:$AC,18,FALSE)),""))</f>
        <v>69</v>
      </c>
      <c r="Q484" s="136">
        <f>(IF((VLOOKUP(Table6[[#This Row],[SKU]],'All Skus'!$A:$AC,2,FALSE))="JBL",(VLOOKUP(Table6[[#This Row],[SKU]],'All Skus'!$A:$AC,19,FALSE)),""))</f>
        <v>28.5</v>
      </c>
      <c r="R484" s="136">
        <f>(IF((VLOOKUP(Table6[[#This Row],[SKU]],'All Skus'!$A:$AC,2,FALSE))="JBL",(VLOOKUP(Table6[[#This Row],[SKU]],'All Skus'!$A:$AC,20,FALSE)),""))</f>
        <v>21.5</v>
      </c>
      <c r="S484" s="61">
        <f>(IF((VLOOKUP(Table6[[#This Row],[SKU]],'All Skus'!$A:$AC,2,FALSE))="JBL",(VLOOKUP(Table6[[#This Row],[SKU]],'All Skus'!$A:$AC,21,FALSE)),""))</f>
        <v>21</v>
      </c>
      <c r="T484" s="61" t="str">
        <f>(IF((VLOOKUP(Table6[[#This Row],[SKU]],'All Skus'!$A:$AC,2,FALSE))="JBL",(VLOOKUP(Table6[[#This Row],[SKU]],'All Skus'!$A:$AC,22,FALSE)),""))</f>
        <v>MX</v>
      </c>
      <c r="U484" t="str">
        <f>(IF((VLOOKUP(Table6[[#This Row],[SKU]],'All Skus'!$A:$AC,2,FALSE))="JBL",(VLOOKUP(Table6[[#This Row],[SKU]],'All Skus'!$A:$AC,23,FALSE)),""))</f>
        <v>Compliant</v>
      </c>
      <c r="V484" s="284" t="str">
        <f>HYPERLINK((IF((VLOOKUP(Table6[[#This Row],[SKU]],'All Skus'!$A:$AC,2,FALSE))="JBL",(VLOOKUP(Table6[[#This Row],[SKU]],'All Skus'!$A:$AC,24,FALSE)),"")))</f>
        <v/>
      </c>
      <c r="W484" s="151">
        <v>482</v>
      </c>
    </row>
    <row r="485" spans="1:23" ht="15" hidden="1" customHeight="1">
      <c r="A485" s="13" t="s">
        <v>1491</v>
      </c>
      <c r="B485" s="12" t="str">
        <f>(IF((VLOOKUP(Table6[[#This Row],[SKU]],'All Skus'!$A:$AC,2,FALSE))="JBL",(VLOOKUP(Table6[[#This Row],[SKU]],'All Skus'!$A:$AC,3,FALSE)),""))</f>
        <v>Custom Shop Item</v>
      </c>
      <c r="C485" s="12" t="str">
        <f>(IF((VLOOKUP(Table6[[#This Row],[SKU]],'All Skus'!$A:$AC,2,FALSE))="JBL",(VLOOKUP(Table6[[#This Row],[SKU]],'All Skus'!$A:$AC,4,FALSE)),""))</f>
        <v>ASB6115-WRC</v>
      </c>
      <c r="D485" s="61" t="str">
        <f>(IF((VLOOKUP(Table6[[#This Row],[SKU]],'All Skus'!$A:$AC,2,FALSE))="JBL",(VLOOKUP(Table6[[#This Row],[SKU]],'All Skus'!$A:$AC,5,FALSE)),""))</f>
        <v>JBL050</v>
      </c>
      <c r="E485" s="137" t="str">
        <f>(IF((VLOOKUP(Table6[[#This Row],[SKU]],'All Skus'!$A:$AC,2,FALSE))="JBL",(VLOOKUP(Table6[[#This Row],[SKU]],'All Skus'!$A:$AC,6,FALSE)),""))</f>
        <v>YES</v>
      </c>
      <c r="F485" s="61">
        <f>(IF((VLOOKUP(Table6[[#This Row],[SKU]],'All Skus'!$A:$AC,2,FALSE))="JBL",(VLOOKUP(Table6[[#This Row],[SKU]],'All Skus'!$A:$AC,7,FALSE)),""))</f>
        <v>0</v>
      </c>
      <c r="G485" t="str">
        <f>(IF((VLOOKUP(Table6[[#This Row],[SKU]],'All Skus'!$A:$AC,2,FALSE))="JBL",(VLOOKUP(Table6[[#This Row],[SKU]],'All Skus'!$A:$AC,8,FALSE)),""))</f>
        <v>5INGLE 15 SUBWOOFER (Weather Protection Treatment)</v>
      </c>
      <c r="H485" s="8" t="str">
        <f>(IF((VLOOKUP(Table6[[#This Row],[SKU]],'All Skus'!$A:$AC,2,FALSE))="JBL",(VLOOKUP(Table6[[#This Row],[SKU]],'All Skus'!$A:$AC,9,FALSE)),""))</f>
        <v>Compact High-Power 15” Subwoofer System.  2265H-1 Differential Drive® woofer, 3” dual voice coil – dual gap, neodymium magnet.  Multiply hardwood enclosure with DuraFlex™ finish and 14-gauge steel grille.  Sixteen M10 suspension points.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v>
      </c>
      <c r="I485" s="101" t="str">
        <f>(IF((VLOOKUP(Table6[[#This Row],[SKU]],'All Skus'!$A:$AC,2,FALSE))="JBL",(VLOOKUP(Table6[[#This Row],[SKU]],'All Skus'!$A:$AC,10,FALSE)),""))</f>
        <v>Please email CustomAudio@harman.com for quote</v>
      </c>
      <c r="J485" s="101">
        <f>(IF((VLOOKUP(Table6[[#This Row],[SKU]],'All Skus'!$A:$AC,2,FALSE))="JBL",(VLOOKUP(Table6[[#This Row],[SKU]],'All Skus'!$A:$AC,11,FALSE)),""))</f>
        <v>0</v>
      </c>
      <c r="K485" s="102">
        <f>(IF((VLOOKUP(Table6[[#This Row],[SKU]],'All Skus'!$A:$AC,2,FALSE))="JBL",(VLOOKUP(Table6[[#This Row],[SKU]],'All Skus'!$A:$AC,13,FALSE)),""))</f>
        <v>0</v>
      </c>
      <c r="L485" s="102">
        <f>(IF((VLOOKUP(Table6[[#This Row],[SKU]],'All Skus'!$A:$AC,2,FALSE))="JBL",(VLOOKUP(Table6[[#This Row],[SKU]],'All Skus'!$A:$AC,14,FALSE)),""))</f>
        <v>0</v>
      </c>
      <c r="M485" s="143">
        <f>(IF((VLOOKUP(Table6[[#This Row],[SKU]],'All Skus'!$A:$AC,2,FALSE))="JBL",(VLOOKUP(Table6[[#This Row],[SKU]],'All Skus'!$A:$AC,15,FALSE)),""))</f>
        <v>0</v>
      </c>
      <c r="N485" s="137">
        <f>(IF((VLOOKUP(Table6[[#This Row],[SKU]],'All Skus'!$A:$AC,2,FALSE))="JBL",(VLOOKUP(Table6[[#This Row],[SKU]],'All Skus'!$A:$AC,16,FALSE)),""))</f>
        <v>691991011696</v>
      </c>
      <c r="O485" s="61">
        <f>(IF((VLOOKUP(Table6[[#This Row],[SKU]],'All Skus'!$A:$AC,2,FALSE))="JBL",(VLOOKUP(Table6[[#This Row],[SKU]],'All Skus'!$A:$AC,17,FALSE)),""))</f>
        <v>0</v>
      </c>
      <c r="P485" s="136">
        <f>(IF((VLOOKUP(Table6[[#This Row],[SKU]],'All Skus'!$A:$AC,2,FALSE))="JBL",(VLOOKUP(Table6[[#This Row],[SKU]],'All Skus'!$A:$AC,18,FALSE)),""))</f>
        <v>30</v>
      </c>
      <c r="Q485" s="136">
        <f>(IF((VLOOKUP(Table6[[#This Row],[SKU]],'All Skus'!$A:$AC,2,FALSE))="JBL",(VLOOKUP(Table6[[#This Row],[SKU]],'All Skus'!$A:$AC,19,FALSE)),""))</f>
        <v>24</v>
      </c>
      <c r="R485" s="136">
        <f>(IF((VLOOKUP(Table6[[#This Row],[SKU]],'All Skus'!$A:$AC,2,FALSE))="JBL",(VLOOKUP(Table6[[#This Row],[SKU]],'All Skus'!$A:$AC,20,FALSE)),""))</f>
        <v>16</v>
      </c>
      <c r="S485" s="61">
        <f>(IF((VLOOKUP(Table6[[#This Row],[SKU]],'All Skus'!$A:$AC,2,FALSE))="JBL",(VLOOKUP(Table6[[#This Row],[SKU]],'All Skus'!$A:$AC,21,FALSE)),""))</f>
        <v>24</v>
      </c>
      <c r="T485" s="61" t="str">
        <f>(IF((VLOOKUP(Table6[[#This Row],[SKU]],'All Skus'!$A:$AC,2,FALSE))="JBL",(VLOOKUP(Table6[[#This Row],[SKU]],'All Skus'!$A:$AC,22,FALSE)),""))</f>
        <v>MX</v>
      </c>
      <c r="U485" t="str">
        <f>(IF((VLOOKUP(Table6[[#This Row],[SKU]],'All Skus'!$A:$AC,2,FALSE))="JBL",(VLOOKUP(Table6[[#This Row],[SKU]],'All Skus'!$A:$AC,23,FALSE)),""))</f>
        <v>Compliant</v>
      </c>
      <c r="V485" s="284" t="str">
        <f>HYPERLINK((IF((VLOOKUP(Table6[[#This Row],[SKU]],'All Skus'!$A:$AC,2,FALSE))="JBL",(VLOOKUP(Table6[[#This Row],[SKU]],'All Skus'!$A:$AC,24,FALSE)),"")))</f>
        <v/>
      </c>
      <c r="W485" s="151">
        <v>483</v>
      </c>
    </row>
    <row r="486" spans="1:23" ht="15" hidden="1" customHeight="1">
      <c r="A486" s="13" t="s">
        <v>1492</v>
      </c>
      <c r="B486" s="12" t="str">
        <f>(IF((VLOOKUP(Table6[[#This Row],[SKU]],'All Skus'!$A:$AC,2,FALSE))="JBL",(VLOOKUP(Table6[[#This Row],[SKU]],'All Skus'!$A:$AC,3,FALSE)),""))</f>
        <v>Custom Shop Item</v>
      </c>
      <c r="C486" s="12" t="str">
        <f>(IF((VLOOKUP(Table6[[#This Row],[SKU]],'All Skus'!$A:$AC,2,FALSE))="JBL",(VLOOKUP(Table6[[#This Row],[SKU]],'All Skus'!$A:$AC,4,FALSE)),""))</f>
        <v>ASB6115-WRX</v>
      </c>
      <c r="D486" s="61" t="str">
        <f>(IF((VLOOKUP(Table6[[#This Row],[SKU]],'All Skus'!$A:$AC,2,FALSE))="JBL",(VLOOKUP(Table6[[#This Row],[SKU]],'All Skus'!$A:$AC,5,FALSE)),""))</f>
        <v>JBL050</v>
      </c>
      <c r="E486" s="137" t="str">
        <f>(IF((VLOOKUP(Table6[[#This Row],[SKU]],'All Skus'!$A:$AC,2,FALSE))="JBL",(VLOOKUP(Table6[[#This Row],[SKU]],'All Skus'!$A:$AC,6,FALSE)),""))</f>
        <v>YES</v>
      </c>
      <c r="F486" s="61">
        <f>(IF((VLOOKUP(Table6[[#This Row],[SKU]],'All Skus'!$A:$AC,2,FALSE))="JBL",(VLOOKUP(Table6[[#This Row],[SKU]],'All Skus'!$A:$AC,7,FALSE)),""))</f>
        <v>0</v>
      </c>
      <c r="G486" t="str">
        <f>(IF((VLOOKUP(Table6[[#This Row],[SKU]],'All Skus'!$A:$AC,2,FALSE))="JBL",(VLOOKUP(Table6[[#This Row],[SKU]],'All Skus'!$A:$AC,8,FALSE)),""))</f>
        <v>5INGLE 15 SUBWOOFER (Extreme Weather Protection Treatment)</v>
      </c>
      <c r="H486" s="8" t="str">
        <f>(IF((VLOOKUP(Table6[[#This Row],[SKU]],'All Skus'!$A:$AC,2,FALSE))="JBL",(VLOOKUP(Table6[[#This Row],[SKU]],'All Skus'!$A:$AC,9,FALSE)),""))</f>
        <v>Compact High-Power 15” Subwoofer System.  2265H-1 Differential Drive® woofer, 3”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v>
      </c>
      <c r="I486" s="101" t="str">
        <f>(IF((VLOOKUP(Table6[[#This Row],[SKU]],'All Skus'!$A:$AC,2,FALSE))="JBL",(VLOOKUP(Table6[[#This Row],[SKU]],'All Skus'!$A:$AC,10,FALSE)),""))</f>
        <v>Please email CustomAudio@harman.com for quote</v>
      </c>
      <c r="J486" s="101">
        <f>(IF((VLOOKUP(Table6[[#This Row],[SKU]],'All Skus'!$A:$AC,2,FALSE))="JBL",(VLOOKUP(Table6[[#This Row],[SKU]],'All Skus'!$A:$AC,11,FALSE)),""))</f>
        <v>0</v>
      </c>
      <c r="K486" s="102">
        <f>(IF((VLOOKUP(Table6[[#This Row],[SKU]],'All Skus'!$A:$AC,2,FALSE))="JBL",(VLOOKUP(Table6[[#This Row],[SKU]],'All Skus'!$A:$AC,13,FALSE)),""))</f>
        <v>0</v>
      </c>
      <c r="L486" s="102">
        <f>(IF((VLOOKUP(Table6[[#This Row],[SKU]],'All Skus'!$A:$AC,2,FALSE))="JBL",(VLOOKUP(Table6[[#This Row],[SKU]],'All Skus'!$A:$AC,14,FALSE)),""))</f>
        <v>0</v>
      </c>
      <c r="M486" s="143">
        <f>(IF((VLOOKUP(Table6[[#This Row],[SKU]],'All Skus'!$A:$AC,2,FALSE))="JBL",(VLOOKUP(Table6[[#This Row],[SKU]],'All Skus'!$A:$AC,15,FALSE)),""))</f>
        <v>0</v>
      </c>
      <c r="N486" s="137">
        <f>(IF((VLOOKUP(Table6[[#This Row],[SKU]],'All Skus'!$A:$AC,2,FALSE))="JBL",(VLOOKUP(Table6[[#This Row],[SKU]],'All Skus'!$A:$AC,16,FALSE)),""))</f>
        <v>0</v>
      </c>
      <c r="O486" s="61">
        <f>(IF((VLOOKUP(Table6[[#This Row],[SKU]],'All Skus'!$A:$AC,2,FALSE))="JBL",(VLOOKUP(Table6[[#This Row],[SKU]],'All Skus'!$A:$AC,17,FALSE)),""))</f>
        <v>0</v>
      </c>
      <c r="P486" s="136">
        <f>(IF((VLOOKUP(Table6[[#This Row],[SKU]],'All Skus'!$A:$AC,2,FALSE))="JBL",(VLOOKUP(Table6[[#This Row],[SKU]],'All Skus'!$A:$AC,18,FALSE)),""))</f>
        <v>50</v>
      </c>
      <c r="Q486" s="136">
        <f>(IF((VLOOKUP(Table6[[#This Row],[SKU]],'All Skus'!$A:$AC,2,FALSE))="JBL",(VLOOKUP(Table6[[#This Row],[SKU]],'All Skus'!$A:$AC,19,FALSE)),""))</f>
        <v>28</v>
      </c>
      <c r="R486" s="136">
        <f>(IF((VLOOKUP(Table6[[#This Row],[SKU]],'All Skus'!$A:$AC,2,FALSE))="JBL",(VLOOKUP(Table6[[#This Row],[SKU]],'All Skus'!$A:$AC,20,FALSE)),""))</f>
        <v>21</v>
      </c>
      <c r="S486" s="61">
        <f>(IF((VLOOKUP(Table6[[#This Row],[SKU]],'All Skus'!$A:$AC,2,FALSE))="JBL",(VLOOKUP(Table6[[#This Row],[SKU]],'All Skus'!$A:$AC,21,FALSE)),""))</f>
        <v>21</v>
      </c>
      <c r="T486" s="61" t="str">
        <f>(IF((VLOOKUP(Table6[[#This Row],[SKU]],'All Skus'!$A:$AC,2,FALSE))="JBL",(VLOOKUP(Table6[[#This Row],[SKU]],'All Skus'!$A:$AC,22,FALSE)),""))</f>
        <v>MX</v>
      </c>
      <c r="U486" t="str">
        <f>(IF((VLOOKUP(Table6[[#This Row],[SKU]],'All Skus'!$A:$AC,2,FALSE))="JBL",(VLOOKUP(Table6[[#This Row],[SKU]],'All Skus'!$A:$AC,23,FALSE)),""))</f>
        <v>Compliant</v>
      </c>
      <c r="V486" s="284" t="str">
        <f>HYPERLINK((IF((VLOOKUP(Table6[[#This Row],[SKU]],'All Skus'!$A:$AC,2,FALSE))="JBL",(VLOOKUP(Table6[[#This Row],[SKU]],'All Skus'!$A:$AC,24,FALSE)),"")))</f>
        <v/>
      </c>
      <c r="W486" s="151">
        <v>484</v>
      </c>
    </row>
    <row r="487" spans="1:23" ht="15" hidden="1" customHeight="1">
      <c r="A487" s="13" t="s">
        <v>1493</v>
      </c>
      <c r="B487" s="12" t="str">
        <f>(IF((VLOOKUP(Table6[[#This Row],[SKU]],'All Skus'!$A:$AC,2,FALSE))="JBL",(VLOOKUP(Table6[[#This Row],[SKU]],'All Skus'!$A:$AC,3,FALSE)),""))</f>
        <v>AE Series</v>
      </c>
      <c r="C487" s="12" t="str">
        <f>(IF((VLOOKUP(Table6[[#This Row],[SKU]],'All Skus'!$A:$AC,2,FALSE))="JBL",(VLOOKUP(Table6[[#This Row],[SKU]],'All Skus'!$A:$AC,4,FALSE)),""))</f>
        <v>ASB6118</v>
      </c>
      <c r="D487" s="61" t="str">
        <f>(IF((VLOOKUP(Table6[[#This Row],[SKU]],'All Skus'!$A:$AC,2,FALSE))="JBL",(VLOOKUP(Table6[[#This Row],[SKU]],'All Skus'!$A:$AC,5,FALSE)),""))</f>
        <v>JBL052</v>
      </c>
      <c r="E487" s="137">
        <f>(IF((VLOOKUP(Table6[[#This Row],[SKU]],'All Skus'!$A:$AC,2,FALSE))="JBL",(VLOOKUP(Table6[[#This Row],[SKU]],'All Skus'!$A:$AC,6,FALSE)),""))</f>
        <v>0</v>
      </c>
      <c r="F487" s="61">
        <f>(IF((VLOOKUP(Table6[[#This Row],[SKU]],'All Skus'!$A:$AC,2,FALSE))="JBL",(VLOOKUP(Table6[[#This Row],[SKU]],'All Skus'!$A:$AC,7,FALSE)),""))</f>
        <v>0</v>
      </c>
      <c r="G487" t="str">
        <f>(IF((VLOOKUP(Table6[[#This Row],[SKU]],'All Skus'!$A:$AC,2,FALSE))="JBL",(VLOOKUP(Table6[[#This Row],[SKU]],'All Skus'!$A:$AC,8,FALSE)),""))</f>
        <v>SINGLE 18" SUBWOOFER</v>
      </c>
      <c r="H487" s="8" t="str">
        <f>(IF((VLOOKUP(Table6[[#This Row],[SKU]],'All Skus'!$A:$AC,2,FALSE))="JBL",(VLOOKUP(Table6[[#This Row],[SKU]],'All Skus'!$A:$AC,9,FALSE)),""))</f>
        <v xml:space="preserve">High Power Single 18" Subwoofer.  1 x 18" 2242H VGC™  Driver.  Suspension Eyebolts Not Included.  Arrays with AM6200 and AM4200 Mid-High Loudspeakers Using Optional PAF-2K Planar Array Frame Kit. Priced as each. </v>
      </c>
      <c r="I487" s="101">
        <f>(IF((VLOOKUP(Table6[[#This Row],[SKU]],'All Skus'!$A:$AC,2,FALSE))="JBL",(VLOOKUP(Table6[[#This Row],[SKU]],'All Skus'!$A:$AC,10,FALSE)),""))</f>
        <v>2890</v>
      </c>
      <c r="J487" s="101">
        <f>(IF((VLOOKUP(Table6[[#This Row],[SKU]],'All Skus'!$A:$AC,2,FALSE))="JBL",(VLOOKUP(Table6[[#This Row],[SKU]],'All Skus'!$A:$AC,11,FALSE)),""))</f>
        <v>2890</v>
      </c>
      <c r="K487" s="102">
        <f>(IF((VLOOKUP(Table6[[#This Row],[SKU]],'All Skus'!$A:$AC,2,FALSE))="JBL",(VLOOKUP(Table6[[#This Row],[SKU]],'All Skus'!$A:$AC,13,FALSE)),""))</f>
        <v>0</v>
      </c>
      <c r="L487" s="102">
        <f>(IF((VLOOKUP(Table6[[#This Row],[SKU]],'All Skus'!$A:$AC,2,FALSE))="JBL",(VLOOKUP(Table6[[#This Row],[SKU]],'All Skus'!$A:$AC,14,FALSE)),""))</f>
        <v>0</v>
      </c>
      <c r="M487" s="143">
        <f>(IF((VLOOKUP(Table6[[#This Row],[SKU]],'All Skus'!$A:$AC,2,FALSE))="JBL",(VLOOKUP(Table6[[#This Row],[SKU]],'All Skus'!$A:$AC,15,FALSE)),""))</f>
        <v>0</v>
      </c>
      <c r="N487" s="137">
        <f>(IF((VLOOKUP(Table6[[#This Row],[SKU]],'All Skus'!$A:$AC,2,FALSE))="JBL",(VLOOKUP(Table6[[#This Row],[SKU]],'All Skus'!$A:$AC,16,FALSE)),""))</f>
        <v>691991011702</v>
      </c>
      <c r="O487" s="61">
        <f>(IF((VLOOKUP(Table6[[#This Row],[SKU]],'All Skus'!$A:$AC,2,FALSE))="JBL",(VLOOKUP(Table6[[#This Row],[SKU]],'All Skus'!$A:$AC,17,FALSE)),""))</f>
        <v>0</v>
      </c>
      <c r="P487" s="136">
        <f>(IF((VLOOKUP(Table6[[#This Row],[SKU]],'All Skus'!$A:$AC,2,FALSE))="JBL",(VLOOKUP(Table6[[#This Row],[SKU]],'All Skus'!$A:$AC,18,FALSE)),""))</f>
        <v>108.4</v>
      </c>
      <c r="Q487" s="136">
        <f>(IF((VLOOKUP(Table6[[#This Row],[SKU]],'All Skus'!$A:$AC,2,FALSE))="JBL",(VLOOKUP(Table6[[#This Row],[SKU]],'All Skus'!$A:$AC,19,FALSE)),""))</f>
        <v>36</v>
      </c>
      <c r="R487" s="136">
        <f>(IF((VLOOKUP(Table6[[#This Row],[SKU]],'All Skus'!$A:$AC,2,FALSE))="JBL",(VLOOKUP(Table6[[#This Row],[SKU]],'All Skus'!$A:$AC,20,FALSE)),""))</f>
        <v>26</v>
      </c>
      <c r="S487" s="61">
        <f>(IF((VLOOKUP(Table6[[#This Row],[SKU]],'All Skus'!$A:$AC,2,FALSE))="JBL",(VLOOKUP(Table6[[#This Row],[SKU]],'All Skus'!$A:$AC,21,FALSE)),""))</f>
        <v>24</v>
      </c>
      <c r="T487" s="61" t="str">
        <f>(IF((VLOOKUP(Table6[[#This Row],[SKU]],'All Skus'!$A:$AC,2,FALSE))="JBL",(VLOOKUP(Table6[[#This Row],[SKU]],'All Skus'!$A:$AC,22,FALSE)),""))</f>
        <v>MX</v>
      </c>
      <c r="U487" t="str">
        <f>(IF((VLOOKUP(Table6[[#This Row],[SKU]],'All Skus'!$A:$AC,2,FALSE))="JBL",(VLOOKUP(Table6[[#This Row],[SKU]],'All Skus'!$A:$AC,23,FALSE)),""))</f>
        <v>Compliant</v>
      </c>
      <c r="V487" s="284" t="str">
        <f>HYPERLINK((IF((VLOOKUP(Table6[[#This Row],[SKU]],'All Skus'!$A:$AC,2,FALSE))="JBL",(VLOOKUP(Table6[[#This Row],[SKU]],'All Skus'!$A:$AC,24,FALSE)),"")))</f>
        <v/>
      </c>
      <c r="W487" s="151">
        <v>485</v>
      </c>
    </row>
    <row r="488" spans="1:23" ht="15" hidden="1" customHeight="1">
      <c r="A488" s="13" t="s">
        <v>1494</v>
      </c>
      <c r="B488" s="12" t="str">
        <f>(IF((VLOOKUP(Table6[[#This Row],[SKU]],'All Skus'!$A:$AC,2,FALSE))="JBL",(VLOOKUP(Table6[[#This Row],[SKU]],'All Skus'!$A:$AC,3,FALSE)),""))</f>
        <v>AE Series</v>
      </c>
      <c r="C488" s="12" t="str">
        <f>(IF((VLOOKUP(Table6[[#This Row],[SKU]],'All Skus'!$A:$AC,2,FALSE))="JBL",(VLOOKUP(Table6[[#This Row],[SKU]],'All Skus'!$A:$AC,4,FALSE)),""))</f>
        <v>ASB6118-WH</v>
      </c>
      <c r="D488" s="61" t="str">
        <f>(IF((VLOOKUP(Table6[[#This Row],[SKU]],'All Skus'!$A:$AC,2,FALSE))="JBL",(VLOOKUP(Table6[[#This Row],[SKU]],'All Skus'!$A:$AC,5,FALSE)),""))</f>
        <v>JBL052</v>
      </c>
      <c r="E488" s="137">
        <f>(IF((VLOOKUP(Table6[[#This Row],[SKU]],'All Skus'!$A:$AC,2,FALSE))="JBL",(VLOOKUP(Table6[[#This Row],[SKU]],'All Skus'!$A:$AC,6,FALSE)),""))</f>
        <v>0</v>
      </c>
      <c r="F488" s="61">
        <f>(IF((VLOOKUP(Table6[[#This Row],[SKU]],'All Skus'!$A:$AC,2,FALSE))="JBL",(VLOOKUP(Table6[[#This Row],[SKU]],'All Skus'!$A:$AC,7,FALSE)),""))</f>
        <v>0</v>
      </c>
      <c r="G488" t="str">
        <f>(IF((VLOOKUP(Table6[[#This Row],[SKU]],'All Skus'!$A:$AC,2,FALSE))="JBL",(VLOOKUP(Table6[[#This Row],[SKU]],'All Skus'!$A:$AC,8,FALSE)),""))</f>
        <v>SINGLE 18" SUBWOOFER (white)</v>
      </c>
      <c r="H488" s="8" t="str">
        <f>(IF((VLOOKUP(Table6[[#This Row],[SKU]],'All Skus'!$A:$AC,2,FALSE))="JBL",(VLOOKUP(Table6[[#This Row],[SKU]],'All Skus'!$A:$AC,9,FALSE)),""))</f>
        <v xml:space="preserve">High Power Single 18" Subwoofer.  1 x 18" 2242H VGC™  Driver.  Suspension Eyebolts Not Included.  Arrays with AM6200 and AM4200 Mid-High Loudspeakers Using Optional PAF-2K Planar Array Frame Kit.  White finish. Priced as each. </v>
      </c>
      <c r="I488" s="101">
        <f>(IF((VLOOKUP(Table6[[#This Row],[SKU]],'All Skus'!$A:$AC,2,FALSE))="JBL",(VLOOKUP(Table6[[#This Row],[SKU]],'All Skus'!$A:$AC,10,FALSE)),""))</f>
        <v>2890</v>
      </c>
      <c r="J488" s="101">
        <f>(IF((VLOOKUP(Table6[[#This Row],[SKU]],'All Skus'!$A:$AC,2,FALSE))="JBL",(VLOOKUP(Table6[[#This Row],[SKU]],'All Skus'!$A:$AC,11,FALSE)),""))</f>
        <v>2890</v>
      </c>
      <c r="K488" s="102">
        <f>(IF((VLOOKUP(Table6[[#This Row],[SKU]],'All Skus'!$A:$AC,2,FALSE))="JBL",(VLOOKUP(Table6[[#This Row],[SKU]],'All Skus'!$A:$AC,13,FALSE)),""))</f>
        <v>0</v>
      </c>
      <c r="L488" s="102">
        <f>(IF((VLOOKUP(Table6[[#This Row],[SKU]],'All Skus'!$A:$AC,2,FALSE))="JBL",(VLOOKUP(Table6[[#This Row],[SKU]],'All Skus'!$A:$AC,14,FALSE)),""))</f>
        <v>0</v>
      </c>
      <c r="M488" s="143">
        <f>(IF((VLOOKUP(Table6[[#This Row],[SKU]],'All Skus'!$A:$AC,2,FALSE))="JBL",(VLOOKUP(Table6[[#This Row],[SKU]],'All Skus'!$A:$AC,15,FALSE)),""))</f>
        <v>0</v>
      </c>
      <c r="N488" s="137">
        <f>(IF((VLOOKUP(Table6[[#This Row],[SKU]],'All Skus'!$A:$AC,2,FALSE))="JBL",(VLOOKUP(Table6[[#This Row],[SKU]],'All Skus'!$A:$AC,16,FALSE)),""))</f>
        <v>691991011719</v>
      </c>
      <c r="O488" s="61">
        <f>(IF((VLOOKUP(Table6[[#This Row],[SKU]],'All Skus'!$A:$AC,2,FALSE))="JBL",(VLOOKUP(Table6[[#This Row],[SKU]],'All Skus'!$A:$AC,17,FALSE)),""))</f>
        <v>0</v>
      </c>
      <c r="P488" s="136">
        <f>(IF((VLOOKUP(Table6[[#This Row],[SKU]],'All Skus'!$A:$AC,2,FALSE))="JBL",(VLOOKUP(Table6[[#This Row],[SKU]],'All Skus'!$A:$AC,18,FALSE)),""))</f>
        <v>110</v>
      </c>
      <c r="Q488" s="136">
        <f>(IF((VLOOKUP(Table6[[#This Row],[SKU]],'All Skus'!$A:$AC,2,FALSE))="JBL",(VLOOKUP(Table6[[#This Row],[SKU]],'All Skus'!$A:$AC,19,FALSE)),""))</f>
        <v>36</v>
      </c>
      <c r="R488" s="136">
        <f>(IF((VLOOKUP(Table6[[#This Row],[SKU]],'All Skus'!$A:$AC,2,FALSE))="JBL",(VLOOKUP(Table6[[#This Row],[SKU]],'All Skus'!$A:$AC,20,FALSE)),""))</f>
        <v>25.5</v>
      </c>
      <c r="S488" s="61">
        <f>(IF((VLOOKUP(Table6[[#This Row],[SKU]],'All Skus'!$A:$AC,2,FALSE))="JBL",(VLOOKUP(Table6[[#This Row],[SKU]],'All Skus'!$A:$AC,21,FALSE)),""))</f>
        <v>23</v>
      </c>
      <c r="T488" s="61" t="str">
        <f>(IF((VLOOKUP(Table6[[#This Row],[SKU]],'All Skus'!$A:$AC,2,FALSE))="JBL",(VLOOKUP(Table6[[#This Row],[SKU]],'All Skus'!$A:$AC,22,FALSE)),""))</f>
        <v>MX</v>
      </c>
      <c r="U488" t="str">
        <f>(IF((VLOOKUP(Table6[[#This Row],[SKU]],'All Skus'!$A:$AC,2,FALSE))="JBL",(VLOOKUP(Table6[[#This Row],[SKU]],'All Skus'!$A:$AC,23,FALSE)),""))</f>
        <v>Compliant</v>
      </c>
      <c r="V488" s="284" t="str">
        <f>HYPERLINK((IF((VLOOKUP(Table6[[#This Row],[SKU]],'All Skus'!$A:$AC,2,FALSE))="JBL",(VLOOKUP(Table6[[#This Row],[SKU]],'All Skus'!$A:$AC,24,FALSE)),"")))</f>
        <v/>
      </c>
      <c r="W488" s="151">
        <v>486</v>
      </c>
    </row>
    <row r="489" spans="1:23" ht="15" hidden="1" customHeight="1">
      <c r="A489" s="13" t="s">
        <v>1495</v>
      </c>
      <c r="B489" s="12" t="str">
        <f>(IF((VLOOKUP(Table6[[#This Row],[SKU]],'All Skus'!$A:$AC,2,FALSE))="JBL",(VLOOKUP(Table6[[#This Row],[SKU]],'All Skus'!$A:$AC,3,FALSE)),""))</f>
        <v>Custom Shop Item</v>
      </c>
      <c r="C489" s="12" t="str">
        <f>(IF((VLOOKUP(Table6[[#This Row],[SKU]],'All Skus'!$A:$AC,2,FALSE))="JBL",(VLOOKUP(Table6[[#This Row],[SKU]],'All Skus'!$A:$AC,4,FALSE)),""))</f>
        <v>ASB6118-WRX</v>
      </c>
      <c r="D489" s="61" t="str">
        <f>(IF((VLOOKUP(Table6[[#This Row],[SKU]],'All Skus'!$A:$AC,2,FALSE))="JBL",(VLOOKUP(Table6[[#This Row],[SKU]],'All Skus'!$A:$AC,5,FALSE)),""))</f>
        <v>JBL050</v>
      </c>
      <c r="E489" s="137" t="str">
        <f>(IF((VLOOKUP(Table6[[#This Row],[SKU]],'All Skus'!$A:$AC,2,FALSE))="JBL",(VLOOKUP(Table6[[#This Row],[SKU]],'All Skus'!$A:$AC,6,FALSE)),""))</f>
        <v>YES</v>
      </c>
      <c r="F489" s="61">
        <f>(IF((VLOOKUP(Table6[[#This Row],[SKU]],'All Skus'!$A:$AC,2,FALSE))="JBL",(VLOOKUP(Table6[[#This Row],[SKU]],'All Skus'!$A:$AC,7,FALSE)),""))</f>
        <v>0</v>
      </c>
      <c r="G489" t="str">
        <f>(IF((VLOOKUP(Table6[[#This Row],[SKU]],'All Skus'!$A:$AC,2,FALSE))="JBL",(VLOOKUP(Table6[[#This Row],[SKU]],'All Skus'!$A:$AC,8,FALSE)),""))</f>
        <v>SINGLE 18" SUBWOOFER (Extreme Weather Protection Treatment)</v>
      </c>
      <c r="H489" s="8" t="str">
        <f>(IF((VLOOKUP(Table6[[#This Row],[SKU]],'All Skus'!$A:$AC,2,FALSE))="JBL",(VLOOKUP(Table6[[#This Row],[SKU]],'All Skus'!$A:$AC,9,FALSE)),""))</f>
        <v>High Power Single 18" Subwoofer.  1 x 18" 2242H VGC™  Driver.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v>
      </c>
      <c r="I489" s="101" t="str">
        <f>(IF((VLOOKUP(Table6[[#This Row],[SKU]],'All Skus'!$A:$AC,2,FALSE))="JBL",(VLOOKUP(Table6[[#This Row],[SKU]],'All Skus'!$A:$AC,10,FALSE)),""))</f>
        <v>Please email CustomAudio@harman.com for quote</v>
      </c>
      <c r="J489" s="101">
        <f>(IF((VLOOKUP(Table6[[#This Row],[SKU]],'All Skus'!$A:$AC,2,FALSE))="JBL",(VLOOKUP(Table6[[#This Row],[SKU]],'All Skus'!$A:$AC,11,FALSE)),""))</f>
        <v>0</v>
      </c>
      <c r="K489" s="102">
        <f>(IF((VLOOKUP(Table6[[#This Row],[SKU]],'All Skus'!$A:$AC,2,FALSE))="JBL",(VLOOKUP(Table6[[#This Row],[SKU]],'All Skus'!$A:$AC,13,FALSE)),""))</f>
        <v>0</v>
      </c>
      <c r="L489" s="102">
        <f>(IF((VLOOKUP(Table6[[#This Row],[SKU]],'All Skus'!$A:$AC,2,FALSE))="JBL",(VLOOKUP(Table6[[#This Row],[SKU]],'All Skus'!$A:$AC,14,FALSE)),""))</f>
        <v>0</v>
      </c>
      <c r="M489" s="143">
        <f>(IF((VLOOKUP(Table6[[#This Row],[SKU]],'All Skus'!$A:$AC,2,FALSE))="JBL",(VLOOKUP(Table6[[#This Row],[SKU]],'All Skus'!$A:$AC,15,FALSE)),""))</f>
        <v>0</v>
      </c>
      <c r="N489" s="137">
        <f>(IF((VLOOKUP(Table6[[#This Row],[SKU]],'All Skus'!$A:$AC,2,FALSE))="JBL",(VLOOKUP(Table6[[#This Row],[SKU]],'All Skus'!$A:$AC,16,FALSE)),""))</f>
        <v>691991029820</v>
      </c>
      <c r="O489" s="61">
        <f>(IF((VLOOKUP(Table6[[#This Row],[SKU]],'All Skus'!$A:$AC,2,FALSE))="JBL",(VLOOKUP(Table6[[#This Row],[SKU]],'All Skus'!$A:$AC,17,FALSE)),""))</f>
        <v>0</v>
      </c>
      <c r="P489" s="136">
        <f>(IF((VLOOKUP(Table6[[#This Row],[SKU]],'All Skus'!$A:$AC,2,FALSE))="JBL",(VLOOKUP(Table6[[#This Row],[SKU]],'All Skus'!$A:$AC,18,FALSE)),""))</f>
        <v>89</v>
      </c>
      <c r="Q489" s="136">
        <f>(IF((VLOOKUP(Table6[[#This Row],[SKU]],'All Skus'!$A:$AC,2,FALSE))="JBL",(VLOOKUP(Table6[[#This Row],[SKU]],'All Skus'!$A:$AC,19,FALSE)),""))</f>
        <v>34</v>
      </c>
      <c r="R489" s="136">
        <f>(IF((VLOOKUP(Table6[[#This Row],[SKU]],'All Skus'!$A:$AC,2,FALSE))="JBL",(VLOOKUP(Table6[[#This Row],[SKU]],'All Skus'!$A:$AC,20,FALSE)),""))</f>
        <v>29</v>
      </c>
      <c r="S489" s="61">
        <f>(IF((VLOOKUP(Table6[[#This Row],[SKU]],'All Skus'!$A:$AC,2,FALSE))="JBL",(VLOOKUP(Table6[[#This Row],[SKU]],'All Skus'!$A:$AC,21,FALSE)),""))</f>
        <v>27</v>
      </c>
      <c r="T489" s="61" t="str">
        <f>(IF((VLOOKUP(Table6[[#This Row],[SKU]],'All Skus'!$A:$AC,2,FALSE))="JBL",(VLOOKUP(Table6[[#This Row],[SKU]],'All Skus'!$A:$AC,22,FALSE)),""))</f>
        <v>MX</v>
      </c>
      <c r="U489" t="str">
        <f>(IF((VLOOKUP(Table6[[#This Row],[SKU]],'All Skus'!$A:$AC,2,FALSE))="JBL",(VLOOKUP(Table6[[#This Row],[SKU]],'All Skus'!$A:$AC,23,FALSE)),""))</f>
        <v>Compliant</v>
      </c>
      <c r="V489" s="284" t="str">
        <f>HYPERLINK((IF((VLOOKUP(Table6[[#This Row],[SKU]],'All Skus'!$A:$AC,2,FALSE))="JBL",(VLOOKUP(Table6[[#This Row],[SKU]],'All Skus'!$A:$AC,24,FALSE)),"")))</f>
        <v/>
      </c>
      <c r="W489" s="151">
        <v>487</v>
      </c>
    </row>
    <row r="490" spans="1:23" ht="15" hidden="1" customHeight="1">
      <c r="A490" s="13" t="s">
        <v>1496</v>
      </c>
      <c r="B490" s="12" t="str">
        <f>(IF((VLOOKUP(Table6[[#This Row],[SKU]],'All Skus'!$A:$AC,2,FALSE))="JBL",(VLOOKUP(Table6[[#This Row],[SKU]],'All Skus'!$A:$AC,3,FALSE)),""))</f>
        <v>AE Series</v>
      </c>
      <c r="C490" s="12" t="str">
        <f>(IF((VLOOKUP(Table6[[#This Row],[SKU]],'All Skus'!$A:$AC,2,FALSE))="JBL",(VLOOKUP(Table6[[#This Row],[SKU]],'All Skus'!$A:$AC,4,FALSE)),""))</f>
        <v>ASB6125</v>
      </c>
      <c r="D490" s="61" t="str">
        <f>(IF((VLOOKUP(Table6[[#This Row],[SKU]],'All Skus'!$A:$AC,2,FALSE))="JBL",(VLOOKUP(Table6[[#This Row],[SKU]],'All Skus'!$A:$AC,5,FALSE)),""))</f>
        <v>JBL052</v>
      </c>
      <c r="E490" s="137">
        <f>(IF((VLOOKUP(Table6[[#This Row],[SKU]],'All Skus'!$A:$AC,2,FALSE))="JBL",(VLOOKUP(Table6[[#This Row],[SKU]],'All Skus'!$A:$AC,6,FALSE)),""))</f>
        <v>0</v>
      </c>
      <c r="F490" s="61">
        <f>(IF((VLOOKUP(Table6[[#This Row],[SKU]],'All Skus'!$A:$AC,2,FALSE))="JBL",(VLOOKUP(Table6[[#This Row],[SKU]],'All Skus'!$A:$AC,7,FALSE)),""))</f>
        <v>0</v>
      </c>
      <c r="G490" t="str">
        <f>(IF((VLOOKUP(Table6[[#This Row],[SKU]],'All Skus'!$A:$AC,2,FALSE))="JBL",(VLOOKUP(Table6[[#This Row],[SKU]],'All Skus'!$A:$AC,8,FALSE)),""))</f>
        <v>DUAL 15" SUBWOOFER</v>
      </c>
      <c r="H490" s="8" t="str">
        <f>(IF((VLOOKUP(Table6[[#This Row],[SKU]],'All Skus'!$A:$AC,2,FALSE))="JBL",(VLOOKUP(Table6[[#This Row],[SKU]],'All Skus'!$A:$AC,9,FALSE)),""))</f>
        <v xml:space="preserve">Dual 15” High-Power Subwoofer System.  2 x 2265H-1 Differential Drive® woofer, 3” dual voice coil – dual gap, neodymium magnet.  Multiply hardwood enclosure with DuraFlex™ finish and 14-gauge steel grille.  Sixteen M10 suspension points.  Available in Black and White. Priced as each. </v>
      </c>
      <c r="I490" s="101">
        <f>(IF((VLOOKUP(Table6[[#This Row],[SKU]],'All Skus'!$A:$AC,2,FALSE))="JBL",(VLOOKUP(Table6[[#This Row],[SKU]],'All Skus'!$A:$AC,10,FALSE)),""))</f>
        <v>3530</v>
      </c>
      <c r="J490" s="101">
        <f>(IF((VLOOKUP(Table6[[#This Row],[SKU]],'All Skus'!$A:$AC,2,FALSE))="JBL",(VLOOKUP(Table6[[#This Row],[SKU]],'All Skus'!$A:$AC,11,FALSE)),""))</f>
        <v>3530</v>
      </c>
      <c r="K490" s="102">
        <f>(IF((VLOOKUP(Table6[[#This Row],[SKU]],'All Skus'!$A:$AC,2,FALSE))="JBL",(VLOOKUP(Table6[[#This Row],[SKU]],'All Skus'!$A:$AC,13,FALSE)),""))</f>
        <v>0</v>
      </c>
      <c r="L490" s="102">
        <f>(IF((VLOOKUP(Table6[[#This Row],[SKU]],'All Skus'!$A:$AC,2,FALSE))="JBL",(VLOOKUP(Table6[[#This Row],[SKU]],'All Skus'!$A:$AC,14,FALSE)),""))</f>
        <v>0</v>
      </c>
      <c r="M490" s="143">
        <f>(IF((VLOOKUP(Table6[[#This Row],[SKU]],'All Skus'!$A:$AC,2,FALSE))="JBL",(VLOOKUP(Table6[[#This Row],[SKU]],'All Skus'!$A:$AC,15,FALSE)),""))</f>
        <v>0</v>
      </c>
      <c r="N490" s="137">
        <f>(IF((VLOOKUP(Table6[[#This Row],[SKU]],'All Skus'!$A:$AC,2,FALSE))="JBL",(VLOOKUP(Table6[[#This Row],[SKU]],'All Skus'!$A:$AC,16,FALSE)),""))</f>
        <v>691991011733</v>
      </c>
      <c r="O490" s="61">
        <f>(IF((VLOOKUP(Table6[[#This Row],[SKU]],'All Skus'!$A:$AC,2,FALSE))="JBL",(VLOOKUP(Table6[[#This Row],[SKU]],'All Skus'!$A:$AC,17,FALSE)),""))</f>
        <v>0</v>
      </c>
      <c r="P490" s="136">
        <f>(IF((VLOOKUP(Table6[[#This Row],[SKU]],'All Skus'!$A:$AC,2,FALSE))="JBL",(VLOOKUP(Table6[[#This Row],[SKU]],'All Skus'!$A:$AC,18,FALSE)),""))</f>
        <v>97</v>
      </c>
      <c r="Q490" s="136">
        <f>(IF((VLOOKUP(Table6[[#This Row],[SKU]],'All Skus'!$A:$AC,2,FALSE))="JBL",(VLOOKUP(Table6[[#This Row],[SKU]],'All Skus'!$A:$AC,19,FALSE)),""))</f>
        <v>28</v>
      </c>
      <c r="R490" s="136">
        <f>(IF((VLOOKUP(Table6[[#This Row],[SKU]],'All Skus'!$A:$AC,2,FALSE))="JBL",(VLOOKUP(Table6[[#This Row],[SKU]],'All Skus'!$A:$AC,20,FALSE)),""))</f>
        <v>21</v>
      </c>
      <c r="S490" s="61">
        <f>(IF((VLOOKUP(Table6[[#This Row],[SKU]],'All Skus'!$A:$AC,2,FALSE))="JBL",(VLOOKUP(Table6[[#This Row],[SKU]],'All Skus'!$A:$AC,21,FALSE)),""))</f>
        <v>40</v>
      </c>
      <c r="T490" s="61" t="str">
        <f>(IF((VLOOKUP(Table6[[#This Row],[SKU]],'All Skus'!$A:$AC,2,FALSE))="JBL",(VLOOKUP(Table6[[#This Row],[SKU]],'All Skus'!$A:$AC,22,FALSE)),""))</f>
        <v>MX</v>
      </c>
      <c r="U490" t="str">
        <f>(IF((VLOOKUP(Table6[[#This Row],[SKU]],'All Skus'!$A:$AC,2,FALSE))="JBL",(VLOOKUP(Table6[[#This Row],[SKU]],'All Skus'!$A:$AC,23,FALSE)),""))</f>
        <v>Compliant</v>
      </c>
      <c r="V490" s="284" t="str">
        <f>HYPERLINK((IF((VLOOKUP(Table6[[#This Row],[SKU]],'All Skus'!$A:$AC,2,FALSE))="JBL",(VLOOKUP(Table6[[#This Row],[SKU]],'All Skus'!$A:$AC,24,FALSE)),"")))</f>
        <v/>
      </c>
      <c r="W490" s="151">
        <v>488</v>
      </c>
    </row>
    <row r="491" spans="1:23" ht="15" hidden="1" customHeight="1">
      <c r="A491" s="13" t="s">
        <v>1497</v>
      </c>
      <c r="B491" s="12" t="str">
        <f>(IF((VLOOKUP(Table6[[#This Row],[SKU]],'All Skus'!$A:$AC,2,FALSE))="JBL",(VLOOKUP(Table6[[#This Row],[SKU]],'All Skus'!$A:$AC,3,FALSE)),""))</f>
        <v>AE Series</v>
      </c>
      <c r="C491" s="12" t="str">
        <f>(IF((VLOOKUP(Table6[[#This Row],[SKU]],'All Skus'!$A:$AC,2,FALSE))="JBL",(VLOOKUP(Table6[[#This Row],[SKU]],'All Skus'!$A:$AC,4,FALSE)),""))</f>
        <v>ASB6125-WH</v>
      </c>
      <c r="D491" s="61" t="str">
        <f>(IF((VLOOKUP(Table6[[#This Row],[SKU]],'All Skus'!$A:$AC,2,FALSE))="JBL",(VLOOKUP(Table6[[#This Row],[SKU]],'All Skus'!$A:$AC,5,FALSE)),""))</f>
        <v>JBL052</v>
      </c>
      <c r="E491" s="137">
        <f>(IF((VLOOKUP(Table6[[#This Row],[SKU]],'All Skus'!$A:$AC,2,FALSE))="JBL",(VLOOKUP(Table6[[#This Row],[SKU]],'All Skus'!$A:$AC,6,FALSE)),""))</f>
        <v>0</v>
      </c>
      <c r="F491" s="61">
        <f>(IF((VLOOKUP(Table6[[#This Row],[SKU]],'All Skus'!$A:$AC,2,FALSE))="JBL",(VLOOKUP(Table6[[#This Row],[SKU]],'All Skus'!$A:$AC,7,FALSE)),""))</f>
        <v>0</v>
      </c>
      <c r="G491" t="str">
        <f>(IF((VLOOKUP(Table6[[#This Row],[SKU]],'All Skus'!$A:$AC,2,FALSE))="JBL",(VLOOKUP(Table6[[#This Row],[SKU]],'All Skus'!$A:$AC,8,FALSE)),""))</f>
        <v>DUAL 15" SUBWOOFER (white)</v>
      </c>
      <c r="H491" s="8" t="str">
        <f>(IF((VLOOKUP(Table6[[#This Row],[SKU]],'All Skus'!$A:$AC,2,FALSE))="JBL",(VLOOKUP(Table6[[#This Row],[SKU]],'All Skus'!$A:$AC,9,FALSE)),""))</f>
        <v xml:space="preserve">Dual 15” High-Power Subwoofer System.  2 x 2265H-1 Differential Drive® woofer, 3” dual voice coil – dual gap, neodymium magnet.  Multiply hardwood enclosure with DuraFlex™ finish and 14-gauge steel grille.  Sixteen M10 suspension points.  White finish. Priced as each. </v>
      </c>
      <c r="I491" s="101">
        <f>(IF((VLOOKUP(Table6[[#This Row],[SKU]],'All Skus'!$A:$AC,2,FALSE))="JBL",(VLOOKUP(Table6[[#This Row],[SKU]],'All Skus'!$A:$AC,10,FALSE)),""))</f>
        <v>3530</v>
      </c>
      <c r="J491" s="101">
        <f>(IF((VLOOKUP(Table6[[#This Row],[SKU]],'All Skus'!$A:$AC,2,FALSE))="JBL",(VLOOKUP(Table6[[#This Row],[SKU]],'All Skus'!$A:$AC,11,FALSE)),""))</f>
        <v>3530</v>
      </c>
      <c r="K491" s="102">
        <f>(IF((VLOOKUP(Table6[[#This Row],[SKU]],'All Skus'!$A:$AC,2,FALSE))="JBL",(VLOOKUP(Table6[[#This Row],[SKU]],'All Skus'!$A:$AC,13,FALSE)),""))</f>
        <v>0</v>
      </c>
      <c r="L491" s="102">
        <f>(IF((VLOOKUP(Table6[[#This Row],[SKU]],'All Skus'!$A:$AC,2,FALSE))="JBL",(VLOOKUP(Table6[[#This Row],[SKU]],'All Skus'!$A:$AC,14,FALSE)),""))</f>
        <v>0</v>
      </c>
      <c r="M491" s="143">
        <f>(IF((VLOOKUP(Table6[[#This Row],[SKU]],'All Skus'!$A:$AC,2,FALSE))="JBL",(VLOOKUP(Table6[[#This Row],[SKU]],'All Skus'!$A:$AC,15,FALSE)),""))</f>
        <v>0</v>
      </c>
      <c r="N491" s="137">
        <f>(IF((VLOOKUP(Table6[[#This Row],[SKU]],'All Skus'!$A:$AC,2,FALSE))="JBL",(VLOOKUP(Table6[[#This Row],[SKU]],'All Skus'!$A:$AC,16,FALSE)),""))</f>
        <v>691991011740</v>
      </c>
      <c r="O491" s="61">
        <f>(IF((VLOOKUP(Table6[[#This Row],[SKU]],'All Skus'!$A:$AC,2,FALSE))="JBL",(VLOOKUP(Table6[[#This Row],[SKU]],'All Skus'!$A:$AC,17,FALSE)),""))</f>
        <v>0</v>
      </c>
      <c r="P491" s="136">
        <f>(IF((VLOOKUP(Table6[[#This Row],[SKU]],'All Skus'!$A:$AC,2,FALSE))="JBL",(VLOOKUP(Table6[[#This Row],[SKU]],'All Skus'!$A:$AC,18,FALSE)),""))</f>
        <v>96</v>
      </c>
      <c r="Q491" s="136">
        <f>(IF((VLOOKUP(Table6[[#This Row],[SKU]],'All Skus'!$A:$AC,2,FALSE))="JBL",(VLOOKUP(Table6[[#This Row],[SKU]],'All Skus'!$A:$AC,19,FALSE)),""))</f>
        <v>28</v>
      </c>
      <c r="R491" s="136">
        <f>(IF((VLOOKUP(Table6[[#This Row],[SKU]],'All Skus'!$A:$AC,2,FALSE))="JBL",(VLOOKUP(Table6[[#This Row],[SKU]],'All Skus'!$A:$AC,20,FALSE)),""))</f>
        <v>21</v>
      </c>
      <c r="S491" s="61">
        <f>(IF((VLOOKUP(Table6[[#This Row],[SKU]],'All Skus'!$A:$AC,2,FALSE))="JBL",(VLOOKUP(Table6[[#This Row],[SKU]],'All Skus'!$A:$AC,21,FALSE)),""))</f>
        <v>40</v>
      </c>
      <c r="T491" s="61" t="str">
        <f>(IF((VLOOKUP(Table6[[#This Row],[SKU]],'All Skus'!$A:$AC,2,FALSE))="JBL",(VLOOKUP(Table6[[#This Row],[SKU]],'All Skus'!$A:$AC,22,FALSE)),""))</f>
        <v>MX</v>
      </c>
      <c r="U491" t="str">
        <f>(IF((VLOOKUP(Table6[[#This Row],[SKU]],'All Skus'!$A:$AC,2,FALSE))="JBL",(VLOOKUP(Table6[[#This Row],[SKU]],'All Skus'!$A:$AC,23,FALSE)),""))</f>
        <v>Compliant</v>
      </c>
      <c r="V491" s="284" t="str">
        <f>HYPERLINK((IF((VLOOKUP(Table6[[#This Row],[SKU]],'All Skus'!$A:$AC,2,FALSE))="JBL",(VLOOKUP(Table6[[#This Row],[SKU]],'All Skus'!$A:$AC,24,FALSE)),"")))</f>
        <v/>
      </c>
      <c r="W491" s="151">
        <v>489</v>
      </c>
    </row>
    <row r="492" spans="1:23" ht="15" hidden="1" customHeight="1">
      <c r="A492" s="13" t="s">
        <v>1498</v>
      </c>
      <c r="B492" s="12" t="str">
        <f>(IF((VLOOKUP(Table6[[#This Row],[SKU]],'All Skus'!$A:$AC,2,FALSE))="JBL",(VLOOKUP(Table6[[#This Row],[SKU]],'All Skus'!$A:$AC,3,FALSE)),""))</f>
        <v>Custom Shop Item</v>
      </c>
      <c r="C492" s="12" t="str">
        <f>(IF((VLOOKUP(Table6[[#This Row],[SKU]],'All Skus'!$A:$AC,2,FALSE))="JBL",(VLOOKUP(Table6[[#This Row],[SKU]],'All Skus'!$A:$AC,4,FALSE)),""))</f>
        <v>ASB6125-WRC</v>
      </c>
      <c r="D492" s="61" t="str">
        <f>(IF((VLOOKUP(Table6[[#This Row],[SKU]],'All Skus'!$A:$AC,2,FALSE))="JBL",(VLOOKUP(Table6[[#This Row],[SKU]],'All Skus'!$A:$AC,5,FALSE)),""))</f>
        <v>JBL050</v>
      </c>
      <c r="E492" s="137" t="str">
        <f>(IF((VLOOKUP(Table6[[#This Row],[SKU]],'All Skus'!$A:$AC,2,FALSE))="JBL",(VLOOKUP(Table6[[#This Row],[SKU]],'All Skus'!$A:$AC,6,FALSE)),""))</f>
        <v>YES</v>
      </c>
      <c r="F492" s="61">
        <f>(IF((VLOOKUP(Table6[[#This Row],[SKU]],'All Skus'!$A:$AC,2,FALSE))="JBL",(VLOOKUP(Table6[[#This Row],[SKU]],'All Skus'!$A:$AC,7,FALSE)),""))</f>
        <v>0</v>
      </c>
      <c r="G492" t="str">
        <f>(IF((VLOOKUP(Table6[[#This Row],[SKU]],'All Skus'!$A:$AC,2,FALSE))="JBL",(VLOOKUP(Table6[[#This Row],[SKU]],'All Skus'!$A:$AC,8,FALSE)),""))</f>
        <v>DUAL 15" SUBWOOFER (Extreme Weather Protection Finish)</v>
      </c>
      <c r="H492" s="8" t="str">
        <f>(IF((VLOOKUP(Table6[[#This Row],[SKU]],'All Skus'!$A:$AC,2,FALSE))="JBL",(VLOOKUP(Table6[[#This Row],[SKU]],'All Skus'!$A:$AC,9,FALSE)),""))</f>
        <v>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v>
      </c>
      <c r="I492" s="101" t="str">
        <f>(IF((VLOOKUP(Table6[[#This Row],[SKU]],'All Skus'!$A:$AC,2,FALSE))="JBL",(VLOOKUP(Table6[[#This Row],[SKU]],'All Skus'!$A:$AC,10,FALSE)),""))</f>
        <v>Please email CustomAudio@harman.com for quote</v>
      </c>
      <c r="J492" s="101">
        <f>(IF((VLOOKUP(Table6[[#This Row],[SKU]],'All Skus'!$A:$AC,2,FALSE))="JBL",(VLOOKUP(Table6[[#This Row],[SKU]],'All Skus'!$A:$AC,11,FALSE)),""))</f>
        <v>0</v>
      </c>
      <c r="K492" s="102">
        <f>(IF((VLOOKUP(Table6[[#This Row],[SKU]],'All Skus'!$A:$AC,2,FALSE))="JBL",(VLOOKUP(Table6[[#This Row],[SKU]],'All Skus'!$A:$AC,13,FALSE)),""))</f>
        <v>0</v>
      </c>
      <c r="L492" s="102">
        <f>(IF((VLOOKUP(Table6[[#This Row],[SKU]],'All Skus'!$A:$AC,2,FALSE))="JBL",(VLOOKUP(Table6[[#This Row],[SKU]],'All Skus'!$A:$AC,14,FALSE)),""))</f>
        <v>0</v>
      </c>
      <c r="M492" s="143">
        <f>(IF((VLOOKUP(Table6[[#This Row],[SKU]],'All Skus'!$A:$AC,2,FALSE))="JBL",(VLOOKUP(Table6[[#This Row],[SKU]],'All Skus'!$A:$AC,15,FALSE)),""))</f>
        <v>0</v>
      </c>
      <c r="N492" s="137">
        <f>(IF((VLOOKUP(Table6[[#This Row],[SKU]],'All Skus'!$A:$AC,2,FALSE))="JBL",(VLOOKUP(Table6[[#This Row],[SKU]],'All Skus'!$A:$AC,16,FALSE)),""))</f>
        <v>691991029851</v>
      </c>
      <c r="O492" s="61">
        <f>(IF((VLOOKUP(Table6[[#This Row],[SKU]],'All Skus'!$A:$AC,2,FALSE))="JBL",(VLOOKUP(Table6[[#This Row],[SKU]],'All Skus'!$A:$AC,17,FALSE)),""))</f>
        <v>0</v>
      </c>
      <c r="P492" s="136">
        <f>(IF((VLOOKUP(Table6[[#This Row],[SKU]],'All Skus'!$A:$AC,2,FALSE))="JBL",(VLOOKUP(Table6[[#This Row],[SKU]],'All Skus'!$A:$AC,18,FALSE)),""))</f>
        <v>130</v>
      </c>
      <c r="Q492" s="136">
        <f>(IF((VLOOKUP(Table6[[#This Row],[SKU]],'All Skus'!$A:$AC,2,FALSE))="JBL",(VLOOKUP(Table6[[#This Row],[SKU]],'All Skus'!$A:$AC,19,FALSE)),""))</f>
        <v>28</v>
      </c>
      <c r="R492" s="136">
        <f>(IF((VLOOKUP(Table6[[#This Row],[SKU]],'All Skus'!$A:$AC,2,FALSE))="JBL",(VLOOKUP(Table6[[#This Row],[SKU]],'All Skus'!$A:$AC,20,FALSE)),""))</f>
        <v>21</v>
      </c>
      <c r="S492" s="61">
        <f>(IF((VLOOKUP(Table6[[#This Row],[SKU]],'All Skus'!$A:$AC,2,FALSE))="JBL",(VLOOKUP(Table6[[#This Row],[SKU]],'All Skus'!$A:$AC,21,FALSE)),""))</f>
        <v>41</v>
      </c>
      <c r="T492" s="61" t="str">
        <f>(IF((VLOOKUP(Table6[[#This Row],[SKU]],'All Skus'!$A:$AC,2,FALSE))="JBL",(VLOOKUP(Table6[[#This Row],[SKU]],'All Skus'!$A:$AC,22,FALSE)),""))</f>
        <v>MX</v>
      </c>
      <c r="U492" t="str">
        <f>(IF((VLOOKUP(Table6[[#This Row],[SKU]],'All Skus'!$A:$AC,2,FALSE))="JBL",(VLOOKUP(Table6[[#This Row],[SKU]],'All Skus'!$A:$AC,23,FALSE)),""))</f>
        <v>Compliant</v>
      </c>
      <c r="V492" s="284" t="str">
        <f>HYPERLINK((IF((VLOOKUP(Table6[[#This Row],[SKU]],'All Skus'!$A:$AC,2,FALSE))="JBL",(VLOOKUP(Table6[[#This Row],[SKU]],'All Skus'!$A:$AC,24,FALSE)),"")))</f>
        <v/>
      </c>
      <c r="W492" s="151">
        <v>490</v>
      </c>
    </row>
    <row r="493" spans="1:23" ht="15" hidden="1" customHeight="1">
      <c r="A493" s="13" t="s">
        <v>1499</v>
      </c>
      <c r="B493" s="12" t="str">
        <f>(IF((VLOOKUP(Table6[[#This Row],[SKU]],'All Skus'!$A:$AC,2,FALSE))="JBL",(VLOOKUP(Table6[[#This Row],[SKU]],'All Skus'!$A:$AC,3,FALSE)),""))</f>
        <v>Custom Shop Item</v>
      </c>
      <c r="C493" s="12" t="str">
        <f>(IF((VLOOKUP(Table6[[#This Row],[SKU]],'All Skus'!$A:$AC,2,FALSE))="JBL",(VLOOKUP(Table6[[#This Row],[SKU]],'All Skus'!$A:$AC,4,FALSE)),""))</f>
        <v>ASB6125-WRX</v>
      </c>
      <c r="D493" s="61" t="str">
        <f>(IF((VLOOKUP(Table6[[#This Row],[SKU]],'All Skus'!$A:$AC,2,FALSE))="JBL",(VLOOKUP(Table6[[#This Row],[SKU]],'All Skus'!$A:$AC,5,FALSE)),""))</f>
        <v>JBL050</v>
      </c>
      <c r="E493" s="137" t="str">
        <f>(IF((VLOOKUP(Table6[[#This Row],[SKU]],'All Skus'!$A:$AC,2,FALSE))="JBL",(VLOOKUP(Table6[[#This Row],[SKU]],'All Skus'!$A:$AC,6,FALSE)),""))</f>
        <v>YES</v>
      </c>
      <c r="F493" s="61">
        <f>(IF((VLOOKUP(Table6[[#This Row],[SKU]],'All Skus'!$A:$AC,2,FALSE))="JBL",(VLOOKUP(Table6[[#This Row],[SKU]],'All Skus'!$A:$AC,7,FALSE)),""))</f>
        <v>0</v>
      </c>
      <c r="G493" t="str">
        <f>(IF((VLOOKUP(Table6[[#This Row],[SKU]],'All Skus'!$A:$AC,2,FALSE))="JBL",(VLOOKUP(Table6[[#This Row],[SKU]],'All Skus'!$A:$AC,8,FALSE)),""))</f>
        <v>DUAL 15" SUBWOOFER (Extreme Weather Protection Finish)</v>
      </c>
      <c r="H493" s="8" t="str">
        <f>(IF((VLOOKUP(Table6[[#This Row],[SKU]],'All Skus'!$A:$AC,2,FALSE))="JBL",(VLOOKUP(Table6[[#This Row],[SKU]],'All Skus'!$A:$AC,9,FALSE)),""))</f>
        <v>Dual 15” High-Power Subwoofer System.  2 x 2265H-1 Differential Drive® woofer, 3” dual voice coil – dual gap, neodymium magnet.  Multiply hardwood enclosure with DuraFlex™ finish and 14-gauge steel grille.  Sixteen M10 suspension points.  With Extreme Weather Protection Finish. Refer to WEATHER RESISTANT Configurations for AE, PD &amp; VLA Series document for details regarding WRC/WRX models. WRC &amp; WRX enclosures are larger than the standard enclosure.  Visit www.jblpro.com to download AE Series 2D WRC &amp; WRX drawings.  Standard color is GRAY. Available in Black (-BK) &amp; White (-WH).</v>
      </c>
      <c r="I493" s="101" t="str">
        <f>(IF((VLOOKUP(Table6[[#This Row],[SKU]],'All Skus'!$A:$AC,2,FALSE))="JBL",(VLOOKUP(Table6[[#This Row],[SKU]],'All Skus'!$A:$AC,10,FALSE)),""))</f>
        <v>Please email CustomAudio@harman.com for quote</v>
      </c>
      <c r="J493" s="101">
        <f>(IF((VLOOKUP(Table6[[#This Row],[SKU]],'All Skus'!$A:$AC,2,FALSE))="JBL",(VLOOKUP(Table6[[#This Row],[SKU]],'All Skus'!$A:$AC,11,FALSE)),""))</f>
        <v>0</v>
      </c>
      <c r="K493" s="102">
        <f>(IF((VLOOKUP(Table6[[#This Row],[SKU]],'All Skus'!$A:$AC,2,FALSE))="JBL",(VLOOKUP(Table6[[#This Row],[SKU]],'All Skus'!$A:$AC,13,FALSE)),""))</f>
        <v>0</v>
      </c>
      <c r="L493" s="102">
        <f>(IF((VLOOKUP(Table6[[#This Row],[SKU]],'All Skus'!$A:$AC,2,FALSE))="JBL",(VLOOKUP(Table6[[#This Row],[SKU]],'All Skus'!$A:$AC,14,FALSE)),""))</f>
        <v>0</v>
      </c>
      <c r="M493" s="143">
        <f>(IF((VLOOKUP(Table6[[#This Row],[SKU]],'All Skus'!$A:$AC,2,FALSE))="JBL",(VLOOKUP(Table6[[#This Row],[SKU]],'All Skus'!$A:$AC,15,FALSE)),""))</f>
        <v>0</v>
      </c>
      <c r="N493" s="137">
        <f>(IF((VLOOKUP(Table6[[#This Row],[SKU]],'All Skus'!$A:$AC,2,FALSE))="JBL",(VLOOKUP(Table6[[#This Row],[SKU]],'All Skus'!$A:$AC,16,FALSE)),""))</f>
        <v>691991011757</v>
      </c>
      <c r="O493" s="61">
        <f>(IF((VLOOKUP(Table6[[#This Row],[SKU]],'All Skus'!$A:$AC,2,FALSE))="JBL",(VLOOKUP(Table6[[#This Row],[SKU]],'All Skus'!$A:$AC,17,FALSE)),""))</f>
        <v>0</v>
      </c>
      <c r="P493" s="136">
        <f>(IF((VLOOKUP(Table6[[#This Row],[SKU]],'All Skus'!$A:$AC,2,FALSE))="JBL",(VLOOKUP(Table6[[#This Row],[SKU]],'All Skus'!$A:$AC,18,FALSE)),""))</f>
        <v>108</v>
      </c>
      <c r="Q493" s="136">
        <f>(IF((VLOOKUP(Table6[[#This Row],[SKU]],'All Skus'!$A:$AC,2,FALSE))="JBL",(VLOOKUP(Table6[[#This Row],[SKU]],'All Skus'!$A:$AC,19,FALSE)),""))</f>
        <v>29</v>
      </c>
      <c r="R493" s="136">
        <f>(IF((VLOOKUP(Table6[[#This Row],[SKU]],'All Skus'!$A:$AC,2,FALSE))="JBL",(VLOOKUP(Table6[[#This Row],[SKU]],'All Skus'!$A:$AC,20,FALSE)),""))</f>
        <v>22</v>
      </c>
      <c r="S493" s="61">
        <f>(IF((VLOOKUP(Table6[[#This Row],[SKU]],'All Skus'!$A:$AC,2,FALSE))="JBL",(VLOOKUP(Table6[[#This Row],[SKU]],'All Skus'!$A:$AC,21,FALSE)),""))</f>
        <v>41</v>
      </c>
      <c r="T493" s="61" t="str">
        <f>(IF((VLOOKUP(Table6[[#This Row],[SKU]],'All Skus'!$A:$AC,2,FALSE))="JBL",(VLOOKUP(Table6[[#This Row],[SKU]],'All Skus'!$A:$AC,22,FALSE)),""))</f>
        <v>MX</v>
      </c>
      <c r="U493" t="str">
        <f>(IF((VLOOKUP(Table6[[#This Row],[SKU]],'All Skus'!$A:$AC,2,FALSE))="JBL",(VLOOKUP(Table6[[#This Row],[SKU]],'All Skus'!$A:$AC,23,FALSE)),""))</f>
        <v>Compliant</v>
      </c>
      <c r="V493" s="284" t="str">
        <f>HYPERLINK((IF((VLOOKUP(Table6[[#This Row],[SKU]],'All Skus'!$A:$AC,2,FALSE))="JBL",(VLOOKUP(Table6[[#This Row],[SKU]],'All Skus'!$A:$AC,24,FALSE)),"")))</f>
        <v/>
      </c>
      <c r="W493" s="151">
        <v>491</v>
      </c>
    </row>
    <row r="494" spans="1:23" ht="15" hidden="1" customHeight="1">
      <c r="A494" s="13" t="s">
        <v>1500</v>
      </c>
      <c r="B494" s="12" t="str">
        <f>(IF((VLOOKUP(Table6[[#This Row],[SKU]],'All Skus'!$A:$AC,2,FALSE))="JBL",(VLOOKUP(Table6[[#This Row],[SKU]],'All Skus'!$A:$AC,3,FALSE)),""))</f>
        <v>AE Series</v>
      </c>
      <c r="C494" s="12" t="str">
        <f>(IF((VLOOKUP(Table6[[#This Row],[SKU]],'All Skus'!$A:$AC,2,FALSE))="JBL",(VLOOKUP(Table6[[#This Row],[SKU]],'All Skus'!$A:$AC,4,FALSE)),""))</f>
        <v>ASB6128</v>
      </c>
      <c r="D494" s="61" t="str">
        <f>(IF((VLOOKUP(Table6[[#This Row],[SKU]],'All Skus'!$A:$AC,2,FALSE))="JBL",(VLOOKUP(Table6[[#This Row],[SKU]],'All Skus'!$A:$AC,5,FALSE)),""))</f>
        <v>JBL052</v>
      </c>
      <c r="E494" s="137">
        <f>(IF((VLOOKUP(Table6[[#This Row],[SKU]],'All Skus'!$A:$AC,2,FALSE))="JBL",(VLOOKUP(Table6[[#This Row],[SKU]],'All Skus'!$A:$AC,6,FALSE)),""))</f>
        <v>0</v>
      </c>
      <c r="F494" s="61">
        <f>(IF((VLOOKUP(Table6[[#This Row],[SKU]],'All Skus'!$A:$AC,2,FALSE))="JBL",(VLOOKUP(Table6[[#This Row],[SKU]],'All Skus'!$A:$AC,7,FALSE)),""))</f>
        <v>0</v>
      </c>
      <c r="G494" t="str">
        <f>(IF((VLOOKUP(Table6[[#This Row],[SKU]],'All Skus'!$A:$AC,2,FALSE))="JBL",(VLOOKUP(Table6[[#This Row],[SKU]],'All Skus'!$A:$AC,8,FALSE)),""))</f>
        <v>DUAL 18" SUBWOOFER</v>
      </c>
      <c r="H494" s="8" t="str">
        <f>(IF((VLOOKUP(Table6[[#This Row],[SKU]],'All Skus'!$A:$AC,2,FALSE))="JBL",(VLOOKUP(Table6[[#This Row],[SKU]],'All Skus'!$A:$AC,9,FALSE)),""))</f>
        <v xml:space="preserve">High Power Dual 18" Subwoofer.  2 x 18" 2242H VGC™  Driver, Parallel/Discrete Switchable.  Suspension Eyebolts Not Included.  Arrays with AM6340 and AM4340 Loudspeakers Using PAF-2K Planar Array Frame Kit. Priced as each. </v>
      </c>
      <c r="I494" s="101">
        <f>(IF((VLOOKUP(Table6[[#This Row],[SKU]],'All Skus'!$A:$AC,2,FALSE))="JBL",(VLOOKUP(Table6[[#This Row],[SKU]],'All Skus'!$A:$AC,10,FALSE)),""))</f>
        <v>4560</v>
      </c>
      <c r="J494" s="101">
        <f>(IF((VLOOKUP(Table6[[#This Row],[SKU]],'All Skus'!$A:$AC,2,FALSE))="JBL",(VLOOKUP(Table6[[#This Row],[SKU]],'All Skus'!$A:$AC,11,FALSE)),""))</f>
        <v>4560</v>
      </c>
      <c r="K494" s="102">
        <f>(IF((VLOOKUP(Table6[[#This Row],[SKU]],'All Skus'!$A:$AC,2,FALSE))="JBL",(VLOOKUP(Table6[[#This Row],[SKU]],'All Skus'!$A:$AC,13,FALSE)),""))</f>
        <v>0</v>
      </c>
      <c r="L494" s="102">
        <f>(IF((VLOOKUP(Table6[[#This Row],[SKU]],'All Skus'!$A:$AC,2,FALSE))="JBL",(VLOOKUP(Table6[[#This Row],[SKU]],'All Skus'!$A:$AC,14,FALSE)),""))</f>
        <v>0</v>
      </c>
      <c r="M494" s="143">
        <f>(IF((VLOOKUP(Table6[[#This Row],[SKU]],'All Skus'!$A:$AC,2,FALSE))="JBL",(VLOOKUP(Table6[[#This Row],[SKU]],'All Skus'!$A:$AC,15,FALSE)),""))</f>
        <v>0</v>
      </c>
      <c r="N494" s="137">
        <f>(IF((VLOOKUP(Table6[[#This Row],[SKU]],'All Skus'!$A:$AC,2,FALSE))="JBL",(VLOOKUP(Table6[[#This Row],[SKU]],'All Skus'!$A:$AC,16,FALSE)),""))</f>
        <v>691991011764</v>
      </c>
      <c r="O494" s="61">
        <f>(IF((VLOOKUP(Table6[[#This Row],[SKU]],'All Skus'!$A:$AC,2,FALSE))="JBL",(VLOOKUP(Table6[[#This Row],[SKU]],'All Skus'!$A:$AC,17,FALSE)),""))</f>
        <v>0</v>
      </c>
      <c r="P494" s="136">
        <f>(IF((VLOOKUP(Table6[[#This Row],[SKU]],'All Skus'!$A:$AC,2,FALSE))="JBL",(VLOOKUP(Table6[[#This Row],[SKU]],'All Skus'!$A:$AC,18,FALSE)),""))</f>
        <v>161</v>
      </c>
      <c r="Q494" s="136">
        <f>(IF((VLOOKUP(Table6[[#This Row],[SKU]],'All Skus'!$A:$AC,2,FALSE))="JBL",(VLOOKUP(Table6[[#This Row],[SKU]],'All Skus'!$A:$AC,19,FALSE)),""))</f>
        <v>26</v>
      </c>
      <c r="R494" s="136">
        <f>(IF((VLOOKUP(Table6[[#This Row],[SKU]],'All Skus'!$A:$AC,2,FALSE))="JBL",(VLOOKUP(Table6[[#This Row],[SKU]],'All Skus'!$A:$AC,20,FALSE)),""))</f>
        <v>36</v>
      </c>
      <c r="S494" s="61">
        <f>(IF((VLOOKUP(Table6[[#This Row],[SKU]],'All Skus'!$A:$AC,2,FALSE))="JBL",(VLOOKUP(Table6[[#This Row],[SKU]],'All Skus'!$A:$AC,21,FALSE)),""))</f>
        <v>46</v>
      </c>
      <c r="T494" s="61" t="str">
        <f>(IF((VLOOKUP(Table6[[#This Row],[SKU]],'All Skus'!$A:$AC,2,FALSE))="JBL",(VLOOKUP(Table6[[#This Row],[SKU]],'All Skus'!$A:$AC,22,FALSE)),""))</f>
        <v>MX</v>
      </c>
      <c r="U494" t="str">
        <f>(IF((VLOOKUP(Table6[[#This Row],[SKU]],'All Skus'!$A:$AC,2,FALSE))="JBL",(VLOOKUP(Table6[[#This Row],[SKU]],'All Skus'!$A:$AC,23,FALSE)),""))</f>
        <v>Compliant</v>
      </c>
      <c r="V494" s="284" t="str">
        <f>HYPERLINK((IF((VLOOKUP(Table6[[#This Row],[SKU]],'All Skus'!$A:$AC,2,FALSE))="JBL",(VLOOKUP(Table6[[#This Row],[SKU]],'All Skus'!$A:$AC,24,FALSE)),"")))</f>
        <v/>
      </c>
      <c r="W494" s="151">
        <v>492</v>
      </c>
    </row>
    <row r="495" spans="1:23" ht="15" hidden="1" customHeight="1">
      <c r="A495" s="13" t="s">
        <v>1501</v>
      </c>
      <c r="B495" s="12" t="str">
        <f>(IF((VLOOKUP(Table6[[#This Row],[SKU]],'All Skus'!$A:$AC,2,FALSE))="JBL",(VLOOKUP(Table6[[#This Row],[SKU]],'All Skus'!$A:$AC,3,FALSE)),""))</f>
        <v>AE Series</v>
      </c>
      <c r="C495" s="12" t="str">
        <f>(IF((VLOOKUP(Table6[[#This Row],[SKU]],'All Skus'!$A:$AC,2,FALSE))="JBL",(VLOOKUP(Table6[[#This Row],[SKU]],'All Skus'!$A:$AC,4,FALSE)),""))</f>
        <v>ASB6128-WH</v>
      </c>
      <c r="D495" s="61" t="str">
        <f>(IF((VLOOKUP(Table6[[#This Row],[SKU]],'All Skus'!$A:$AC,2,FALSE))="JBL",(VLOOKUP(Table6[[#This Row],[SKU]],'All Skus'!$A:$AC,5,FALSE)),""))</f>
        <v>JBL052</v>
      </c>
      <c r="E495" s="137">
        <f>(IF((VLOOKUP(Table6[[#This Row],[SKU]],'All Skus'!$A:$AC,2,FALSE))="JBL",(VLOOKUP(Table6[[#This Row],[SKU]],'All Skus'!$A:$AC,6,FALSE)),""))</f>
        <v>0</v>
      </c>
      <c r="F495" s="61">
        <f>(IF((VLOOKUP(Table6[[#This Row],[SKU]],'All Skus'!$A:$AC,2,FALSE))="JBL",(VLOOKUP(Table6[[#This Row],[SKU]],'All Skus'!$A:$AC,7,FALSE)),""))</f>
        <v>0</v>
      </c>
      <c r="G495" t="str">
        <f>(IF((VLOOKUP(Table6[[#This Row],[SKU]],'All Skus'!$A:$AC,2,FALSE))="JBL",(VLOOKUP(Table6[[#This Row],[SKU]],'All Skus'!$A:$AC,8,FALSE)),""))</f>
        <v>DUAL 18" SUBWOOFER (white)</v>
      </c>
      <c r="H495" s="8" t="str">
        <f>(IF((VLOOKUP(Table6[[#This Row],[SKU]],'All Skus'!$A:$AC,2,FALSE))="JBL",(VLOOKUP(Table6[[#This Row],[SKU]],'All Skus'!$A:$AC,9,FALSE)),""))</f>
        <v xml:space="preserve">High Power Dual 18" Subwoofer.  2 x 18" 2242H VGC™  Driver, Parallel/Discrete Switchable.  Suspension Eyebolts Not Included.  Arrays with AM6340 and AM4340 Loudspeakers Using PAF-2K Planar Array Frame Kit.  White finish. Priced as each. </v>
      </c>
      <c r="I495" s="101">
        <f>(IF((VLOOKUP(Table6[[#This Row],[SKU]],'All Skus'!$A:$AC,2,FALSE))="JBL",(VLOOKUP(Table6[[#This Row],[SKU]],'All Skus'!$A:$AC,10,FALSE)),""))</f>
        <v>4560</v>
      </c>
      <c r="J495" s="101">
        <f>(IF((VLOOKUP(Table6[[#This Row],[SKU]],'All Skus'!$A:$AC,2,FALSE))="JBL",(VLOOKUP(Table6[[#This Row],[SKU]],'All Skus'!$A:$AC,11,FALSE)),""))</f>
        <v>4560</v>
      </c>
      <c r="K495" s="102">
        <f>(IF((VLOOKUP(Table6[[#This Row],[SKU]],'All Skus'!$A:$AC,2,FALSE))="JBL",(VLOOKUP(Table6[[#This Row],[SKU]],'All Skus'!$A:$AC,13,FALSE)),""))</f>
        <v>0</v>
      </c>
      <c r="L495" s="102">
        <f>(IF((VLOOKUP(Table6[[#This Row],[SKU]],'All Skus'!$A:$AC,2,FALSE))="JBL",(VLOOKUP(Table6[[#This Row],[SKU]],'All Skus'!$A:$AC,14,FALSE)),""))</f>
        <v>0</v>
      </c>
      <c r="M495" s="143">
        <f>(IF((VLOOKUP(Table6[[#This Row],[SKU]],'All Skus'!$A:$AC,2,FALSE))="JBL",(VLOOKUP(Table6[[#This Row],[SKU]],'All Skus'!$A:$AC,15,FALSE)),""))</f>
        <v>0</v>
      </c>
      <c r="N495" s="137">
        <f>(IF((VLOOKUP(Table6[[#This Row],[SKU]],'All Skus'!$A:$AC,2,FALSE))="JBL",(VLOOKUP(Table6[[#This Row],[SKU]],'All Skus'!$A:$AC,16,FALSE)),""))</f>
        <v>691991005053</v>
      </c>
      <c r="O495" s="61">
        <f>(IF((VLOOKUP(Table6[[#This Row],[SKU]],'All Skus'!$A:$AC,2,FALSE))="JBL",(VLOOKUP(Table6[[#This Row],[SKU]],'All Skus'!$A:$AC,17,FALSE)),""))</f>
        <v>0</v>
      </c>
      <c r="P495" s="136">
        <f>(IF((VLOOKUP(Table6[[#This Row],[SKU]],'All Skus'!$A:$AC,2,FALSE))="JBL",(VLOOKUP(Table6[[#This Row],[SKU]],'All Skus'!$A:$AC,18,FALSE)),""))</f>
        <v>182.25</v>
      </c>
      <c r="Q495" s="136">
        <f>(IF((VLOOKUP(Table6[[#This Row],[SKU]],'All Skus'!$A:$AC,2,FALSE))="JBL",(VLOOKUP(Table6[[#This Row],[SKU]],'All Skus'!$A:$AC,19,FALSE)),""))</f>
        <v>26</v>
      </c>
      <c r="R495" s="136">
        <f>(IF((VLOOKUP(Table6[[#This Row],[SKU]],'All Skus'!$A:$AC,2,FALSE))="JBL",(VLOOKUP(Table6[[#This Row],[SKU]],'All Skus'!$A:$AC,20,FALSE)),""))</f>
        <v>25.5</v>
      </c>
      <c r="S495" s="61">
        <f>(IF((VLOOKUP(Table6[[#This Row],[SKU]],'All Skus'!$A:$AC,2,FALSE))="JBL",(VLOOKUP(Table6[[#This Row],[SKU]],'All Skus'!$A:$AC,21,FALSE)),""))</f>
        <v>45</v>
      </c>
      <c r="T495" s="61" t="str">
        <f>(IF((VLOOKUP(Table6[[#This Row],[SKU]],'All Skus'!$A:$AC,2,FALSE))="JBL",(VLOOKUP(Table6[[#This Row],[SKU]],'All Skus'!$A:$AC,22,FALSE)),""))</f>
        <v>MX</v>
      </c>
      <c r="U495" t="str">
        <f>(IF((VLOOKUP(Table6[[#This Row],[SKU]],'All Skus'!$A:$AC,2,FALSE))="JBL",(VLOOKUP(Table6[[#This Row],[SKU]],'All Skus'!$A:$AC,23,FALSE)),""))</f>
        <v>Compliant</v>
      </c>
      <c r="V495" s="284" t="str">
        <f>HYPERLINK((IF((VLOOKUP(Table6[[#This Row],[SKU]],'All Skus'!$A:$AC,2,FALSE))="JBL",(VLOOKUP(Table6[[#This Row],[SKU]],'All Skus'!$A:$AC,24,FALSE)),"")))</f>
        <v/>
      </c>
      <c r="W495" s="151">
        <v>493</v>
      </c>
    </row>
    <row r="496" spans="1:23" ht="15" hidden="1" customHeight="1">
      <c r="A496" s="13" t="s">
        <v>1502</v>
      </c>
      <c r="B496" s="12" t="str">
        <f>(IF((VLOOKUP(Table6[[#This Row],[SKU]],'All Skus'!$A:$AC,2,FALSE))="JBL",(VLOOKUP(Table6[[#This Row],[SKU]],'All Skus'!$A:$AC,3,FALSE)),""))</f>
        <v>Custom Shop Item</v>
      </c>
      <c r="C496" s="12" t="str">
        <f>(IF((VLOOKUP(Table6[[#This Row],[SKU]],'All Skus'!$A:$AC,2,FALSE))="JBL",(VLOOKUP(Table6[[#This Row],[SKU]],'All Skus'!$A:$AC,4,FALSE)),""))</f>
        <v>ASB6128-WRC</v>
      </c>
      <c r="D496" s="61" t="str">
        <f>(IF((VLOOKUP(Table6[[#This Row],[SKU]],'All Skus'!$A:$AC,2,FALSE))="JBL",(VLOOKUP(Table6[[#This Row],[SKU]],'All Skus'!$A:$AC,5,FALSE)),""))</f>
        <v>JBL050</v>
      </c>
      <c r="E496" s="137" t="str">
        <f>(IF((VLOOKUP(Table6[[#This Row],[SKU]],'All Skus'!$A:$AC,2,FALSE))="JBL",(VLOOKUP(Table6[[#This Row],[SKU]],'All Skus'!$A:$AC,6,FALSE)),""))</f>
        <v>YES</v>
      </c>
      <c r="F496" s="61">
        <f>(IF((VLOOKUP(Table6[[#This Row],[SKU]],'All Skus'!$A:$AC,2,FALSE))="JBL",(VLOOKUP(Table6[[#This Row],[SKU]],'All Skus'!$A:$AC,7,FALSE)),""))</f>
        <v>0</v>
      </c>
      <c r="G496" t="str">
        <f>(IF((VLOOKUP(Table6[[#This Row],[SKU]],'All Skus'!$A:$AC,2,FALSE))="JBL",(VLOOKUP(Table6[[#This Row],[SKU]],'All Skus'!$A:$AC,8,FALSE)),""))</f>
        <v>DUAL 18" SUBWOOFER (Weather Protection Treatment)</v>
      </c>
      <c r="H496" s="8" t="str">
        <f>(IF((VLOOKUP(Table6[[#This Row],[SKU]],'All Skus'!$A:$AC,2,FALSE))="JBL",(VLOOKUP(Table6[[#This Row],[SKU]],'All Skus'!$A:$AC,9,FALSE)),""))</f>
        <v>High Power Dual 18" Subwoofer.  2 x 18" 2242H VGC™  Driver, Parallel/Discrete Switchable.  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v>
      </c>
      <c r="I496" s="101" t="str">
        <f>(IF((VLOOKUP(Table6[[#This Row],[SKU]],'All Skus'!$A:$AC,2,FALSE))="JBL",(VLOOKUP(Table6[[#This Row],[SKU]],'All Skus'!$A:$AC,10,FALSE)),""))</f>
        <v>Please email CustomAudio@harman.com for quote</v>
      </c>
      <c r="J496" s="101">
        <f>(IF((VLOOKUP(Table6[[#This Row],[SKU]],'All Skus'!$A:$AC,2,FALSE))="JBL",(VLOOKUP(Table6[[#This Row],[SKU]],'All Skus'!$A:$AC,11,FALSE)),""))</f>
        <v>0</v>
      </c>
      <c r="K496" s="102">
        <f>(IF((VLOOKUP(Table6[[#This Row],[SKU]],'All Skus'!$A:$AC,2,FALSE))="JBL",(VLOOKUP(Table6[[#This Row],[SKU]],'All Skus'!$A:$AC,13,FALSE)),""))</f>
        <v>0</v>
      </c>
      <c r="L496" s="102">
        <f>(IF((VLOOKUP(Table6[[#This Row],[SKU]],'All Skus'!$A:$AC,2,FALSE))="JBL",(VLOOKUP(Table6[[#This Row],[SKU]],'All Skus'!$A:$AC,14,FALSE)),""))</f>
        <v>0</v>
      </c>
      <c r="M496" s="143">
        <f>(IF((VLOOKUP(Table6[[#This Row],[SKU]],'All Skus'!$A:$AC,2,FALSE))="JBL",(VLOOKUP(Table6[[#This Row],[SKU]],'All Skus'!$A:$AC,15,FALSE)),""))</f>
        <v>0</v>
      </c>
      <c r="N496" s="137">
        <f>(IF((VLOOKUP(Table6[[#This Row],[SKU]],'All Skus'!$A:$AC,2,FALSE))="JBL",(VLOOKUP(Table6[[#This Row],[SKU]],'All Skus'!$A:$AC,16,FALSE)),""))</f>
        <v>691991011788</v>
      </c>
      <c r="O496" s="61">
        <f>(IF((VLOOKUP(Table6[[#This Row],[SKU]],'All Skus'!$A:$AC,2,FALSE))="JBL",(VLOOKUP(Table6[[#This Row],[SKU]],'All Skus'!$A:$AC,17,FALSE)),""))</f>
        <v>0</v>
      </c>
      <c r="P496" s="136">
        <f>(IF((VLOOKUP(Table6[[#This Row],[SKU]],'All Skus'!$A:$AC,2,FALSE))="JBL",(VLOOKUP(Table6[[#This Row],[SKU]],'All Skus'!$A:$AC,18,FALSE)),""))</f>
        <v>212</v>
      </c>
      <c r="Q496" s="136">
        <f>(IF((VLOOKUP(Table6[[#This Row],[SKU]],'All Skus'!$A:$AC,2,FALSE))="JBL",(VLOOKUP(Table6[[#This Row],[SKU]],'All Skus'!$A:$AC,19,FALSE)),""))</f>
        <v>34.5</v>
      </c>
      <c r="R496" s="136">
        <f>(IF((VLOOKUP(Table6[[#This Row],[SKU]],'All Skus'!$A:$AC,2,FALSE))="JBL",(VLOOKUP(Table6[[#This Row],[SKU]],'All Skus'!$A:$AC,20,FALSE)),""))</f>
        <v>28.5</v>
      </c>
      <c r="S496" s="61">
        <f>(IF((VLOOKUP(Table6[[#This Row],[SKU]],'All Skus'!$A:$AC,2,FALSE))="JBL",(VLOOKUP(Table6[[#This Row],[SKU]],'All Skus'!$A:$AC,21,FALSE)),""))</f>
        <v>48</v>
      </c>
      <c r="T496" s="61" t="str">
        <f>(IF((VLOOKUP(Table6[[#This Row],[SKU]],'All Skus'!$A:$AC,2,FALSE))="JBL",(VLOOKUP(Table6[[#This Row],[SKU]],'All Skus'!$A:$AC,22,FALSE)),""))</f>
        <v>MX</v>
      </c>
      <c r="U496" t="str">
        <f>(IF((VLOOKUP(Table6[[#This Row],[SKU]],'All Skus'!$A:$AC,2,FALSE))="JBL",(VLOOKUP(Table6[[#This Row],[SKU]],'All Skus'!$A:$AC,23,FALSE)),""))</f>
        <v>Compliant</v>
      </c>
      <c r="V496" s="284" t="str">
        <f>HYPERLINK((IF((VLOOKUP(Table6[[#This Row],[SKU]],'All Skus'!$A:$AC,2,FALSE))="JBL",(VLOOKUP(Table6[[#This Row],[SKU]],'All Skus'!$A:$AC,24,FALSE)),"")))</f>
        <v/>
      </c>
      <c r="W496" s="151">
        <v>494</v>
      </c>
    </row>
    <row r="497" spans="1:23" ht="15" hidden="1" customHeight="1">
      <c r="A497" s="13" t="s">
        <v>1503</v>
      </c>
      <c r="B497" s="12" t="str">
        <f>(IF((VLOOKUP(Table6[[#This Row],[SKU]],'All Skus'!$A:$AC,2,FALSE))="JBL",(VLOOKUP(Table6[[#This Row],[SKU]],'All Skus'!$A:$AC,3,FALSE)),""))</f>
        <v>AE Series</v>
      </c>
      <c r="C497" s="12" t="str">
        <f>(IF((VLOOKUP(Table6[[#This Row],[SKU]],'All Skus'!$A:$AC,2,FALSE))="JBL",(VLOOKUP(Table6[[#This Row],[SKU]],'All Skus'!$A:$AC,4,FALSE)),""))</f>
        <v>ASH6118</v>
      </c>
      <c r="D497" s="61" t="str">
        <f>(IF((VLOOKUP(Table6[[#This Row],[SKU]],'All Skus'!$A:$AC,2,FALSE))="JBL",(VLOOKUP(Table6[[#This Row],[SKU]],'All Skus'!$A:$AC,5,FALSE)),""))</f>
        <v>JBL050</v>
      </c>
      <c r="E497" s="137" t="str">
        <f>(IF((VLOOKUP(Table6[[#This Row],[SKU]],'All Skus'!$A:$AC,2,FALSE))="JBL",(VLOOKUP(Table6[[#This Row],[SKU]],'All Skus'!$A:$AC,6,FALSE)),""))</f>
        <v>YES</v>
      </c>
      <c r="F497" s="61" t="str">
        <f>(IF((VLOOKUP(Table6[[#This Row],[SKU]],'All Skus'!$A:$AC,2,FALSE))="JBL",(VLOOKUP(Table6[[#This Row],[SKU]],'All Skus'!$A:$AC,7,FALSE)),""))</f>
        <v>Limited Quantity</v>
      </c>
      <c r="G497" t="str">
        <f>(IF((VLOOKUP(Table6[[#This Row],[SKU]],'All Skus'!$A:$AC,2,FALSE))="JBL",(VLOOKUP(Table6[[#This Row],[SKU]],'All Skus'!$A:$AC,8,FALSE)),""))</f>
        <v>SINGLE 18' HORNLOADED SUBWOOFER</v>
      </c>
      <c r="H497" s="8" t="str">
        <f>(IF((VLOOKUP(Table6[[#This Row],[SKU]],'All Skus'!$A:$AC,2,FALSE))="JBL",(VLOOKUP(Table6[[#This Row],[SKU]],'All Skus'!$A:$AC,9,FALSE)),""))</f>
        <v xml:space="preserve">Horn Loaded Subwoofer, Maximum Low Frequency Output &amp; Sensitivity.  1 x 18" 2242H SVG™ Driver.  Designed to be Used In Multiples (2 Minimum, 4 Optimum) with Proximity Placement Or With Proper Boundary Surface Loading.  Not Suspendable.  Special Order, Typical 4 Week Lead Time. Priced as each. </v>
      </c>
      <c r="I497" s="101">
        <f>(IF((VLOOKUP(Table6[[#This Row],[SKU]],'All Skus'!$A:$AC,2,FALSE))="JBL",(VLOOKUP(Table6[[#This Row],[SKU]],'All Skus'!$A:$AC,10,FALSE)),""))</f>
        <v>4767.4399999999996</v>
      </c>
      <c r="J497" s="101">
        <f>(IF((VLOOKUP(Table6[[#This Row],[SKU]],'All Skus'!$A:$AC,2,FALSE))="JBL",(VLOOKUP(Table6[[#This Row],[SKU]],'All Skus'!$A:$AC,11,FALSE)),""))</f>
        <v>4767</v>
      </c>
      <c r="K497" s="102">
        <f>(IF((VLOOKUP(Table6[[#This Row],[SKU]],'All Skus'!$A:$AC,2,FALSE))="JBL",(VLOOKUP(Table6[[#This Row],[SKU]],'All Skus'!$A:$AC,13,FALSE)),""))</f>
        <v>0</v>
      </c>
      <c r="L497" s="102">
        <f>(IF((VLOOKUP(Table6[[#This Row],[SKU]],'All Skus'!$A:$AC,2,FALSE))="JBL",(VLOOKUP(Table6[[#This Row],[SKU]],'All Skus'!$A:$AC,14,FALSE)),""))</f>
        <v>0</v>
      </c>
      <c r="M497" s="143">
        <f>(IF((VLOOKUP(Table6[[#This Row],[SKU]],'All Skus'!$A:$AC,2,FALSE))="JBL",(VLOOKUP(Table6[[#This Row],[SKU]],'All Skus'!$A:$AC,15,FALSE)),""))</f>
        <v>0</v>
      </c>
      <c r="N497" s="137">
        <f>(IF((VLOOKUP(Table6[[#This Row],[SKU]],'All Skus'!$A:$AC,2,FALSE))="JBL",(VLOOKUP(Table6[[#This Row],[SKU]],'All Skus'!$A:$AC,16,FALSE)),""))</f>
        <v>691991011856</v>
      </c>
      <c r="O497" s="61">
        <f>(IF((VLOOKUP(Table6[[#This Row],[SKU]],'All Skus'!$A:$AC,2,FALSE))="JBL",(VLOOKUP(Table6[[#This Row],[SKU]],'All Skus'!$A:$AC,17,FALSE)),""))</f>
        <v>0</v>
      </c>
      <c r="P497" s="136">
        <f>(IF((VLOOKUP(Table6[[#This Row],[SKU]],'All Skus'!$A:$AC,2,FALSE))="JBL",(VLOOKUP(Table6[[#This Row],[SKU]],'All Skus'!$A:$AC,18,FALSE)),""))</f>
        <v>230</v>
      </c>
      <c r="Q497" s="136">
        <f>(IF((VLOOKUP(Table6[[#This Row],[SKU]],'All Skus'!$A:$AC,2,FALSE))="JBL",(VLOOKUP(Table6[[#This Row],[SKU]],'All Skus'!$A:$AC,19,FALSE)),""))</f>
        <v>59</v>
      </c>
      <c r="R497" s="136">
        <f>(IF((VLOOKUP(Table6[[#This Row],[SKU]],'All Skus'!$A:$AC,2,FALSE))="JBL",(VLOOKUP(Table6[[#This Row],[SKU]],'All Skus'!$A:$AC,20,FALSE)),""))</f>
        <v>28</v>
      </c>
      <c r="S497" s="61">
        <f>(IF((VLOOKUP(Table6[[#This Row],[SKU]],'All Skus'!$A:$AC,2,FALSE))="JBL",(VLOOKUP(Table6[[#This Row],[SKU]],'All Skus'!$A:$AC,21,FALSE)),""))</f>
        <v>60</v>
      </c>
      <c r="T497" s="61" t="str">
        <f>(IF((VLOOKUP(Table6[[#This Row],[SKU]],'All Skus'!$A:$AC,2,FALSE))="JBL",(VLOOKUP(Table6[[#This Row],[SKU]],'All Skus'!$A:$AC,22,FALSE)),""))</f>
        <v>MX</v>
      </c>
      <c r="U497" t="str">
        <f>(IF((VLOOKUP(Table6[[#This Row],[SKU]],'All Skus'!$A:$AC,2,FALSE))="JBL",(VLOOKUP(Table6[[#This Row],[SKU]],'All Skus'!$A:$AC,23,FALSE)),""))</f>
        <v>Compliant</v>
      </c>
      <c r="V497" s="284" t="str">
        <f>HYPERLINK((IF((VLOOKUP(Table6[[#This Row],[SKU]],'All Skus'!$A:$AC,2,FALSE))="JBL",(VLOOKUP(Table6[[#This Row],[SKU]],'All Skus'!$A:$AC,24,FALSE)),"")))</f>
        <v/>
      </c>
      <c r="W497" s="151">
        <v>495</v>
      </c>
    </row>
    <row r="498" spans="1:23" ht="15" hidden="1" customHeight="1">
      <c r="A498" s="13" t="s">
        <v>1504</v>
      </c>
      <c r="B498" s="12" t="str">
        <f>(IF((VLOOKUP(Table6[[#This Row],[SKU]],'All Skus'!$A:$AC,2,FALSE))="JBL",(VLOOKUP(Table6[[#This Row],[SKU]],'All Skus'!$A:$AC,3,FALSE)),""))</f>
        <v>AE Series</v>
      </c>
      <c r="C498" s="12" t="str">
        <f>(IF((VLOOKUP(Table6[[#This Row],[SKU]],'All Skus'!$A:$AC,2,FALSE))="JBL",(VLOOKUP(Table6[[#This Row],[SKU]],'All Skus'!$A:$AC,4,FALSE)),""))</f>
        <v>AM7200/64</v>
      </c>
      <c r="D498" s="61" t="str">
        <f>(IF((VLOOKUP(Table6[[#This Row],[SKU]],'All Skus'!$A:$AC,2,FALSE))="JBL",(VLOOKUP(Table6[[#This Row],[SKU]],'All Skus'!$A:$AC,5,FALSE)),""))</f>
        <v>JBL052</v>
      </c>
      <c r="E498" s="137" t="str">
        <f>(IF((VLOOKUP(Table6[[#This Row],[SKU]],'All Skus'!$A:$AC,2,FALSE))="JBL",(VLOOKUP(Table6[[#This Row],[SKU]],'All Skus'!$A:$AC,6,FALSE)),""))</f>
        <v>YES</v>
      </c>
      <c r="F498" s="61" t="str">
        <f>(IF((VLOOKUP(Table6[[#This Row],[SKU]],'All Skus'!$A:$AC,2,FALSE))="JBL",(VLOOKUP(Table6[[#This Row],[SKU]],'All Skus'!$A:$AC,7,FALSE)),""))</f>
        <v>Limited Quantity</v>
      </c>
      <c r="G498" t="str">
        <f>(IF((VLOOKUP(Table6[[#This Row],[SKU]],'All Skus'!$A:$AC,2,FALSE))="JBL",(VLOOKUP(Table6[[#This Row],[SKU]],'All Skus'!$A:$AC,8,FALSE)),""))</f>
        <v>2-WAY MID-HIGH LOUDSPEAKER SYSTEM</v>
      </c>
      <c r="H498" s="8" t="str">
        <f>(IF((VLOOKUP(Table6[[#This Row],[SKU]],'All Skus'!$A:$AC,2,FALSE))="JBL",(VLOOKUP(Table6[[#This Row],[SKU]],'All Skus'!$A:$AC,9,FALSE)),""))</f>
        <v>High Power Mid-High Frequency Loudspeaker with JBL CMCD-82H mid driver, and 2432H High Frequency 38mm (1.5 in) exit, 75mm (3-in) voice coil  compression driver.  60° x 40° Coverage, Bi-Amp/Passive Switchable.  Available in Black or White (-WH). Priced as each. Suspension eyebolts not included. Fits Optional Planar Array Frame Kits PAF-2K and PAF-3K.  See AE Bracket Handbook for Details.</v>
      </c>
      <c r="I498" s="101">
        <f>(IF((VLOOKUP(Table6[[#This Row],[SKU]],'All Skus'!$A:$AC,2,FALSE))="JBL",(VLOOKUP(Table6[[#This Row],[SKU]],'All Skus'!$A:$AC,10,FALSE)),""))</f>
        <v>3850</v>
      </c>
      <c r="J498" s="101">
        <f>(IF((VLOOKUP(Table6[[#This Row],[SKU]],'All Skus'!$A:$AC,2,FALSE))="JBL",(VLOOKUP(Table6[[#This Row],[SKU]],'All Skus'!$A:$AC,11,FALSE)),""))</f>
        <v>3850</v>
      </c>
      <c r="K498" s="102">
        <f>(IF((VLOOKUP(Table6[[#This Row],[SKU]],'All Skus'!$A:$AC,2,FALSE))="JBL",(VLOOKUP(Table6[[#This Row],[SKU]],'All Skus'!$A:$AC,13,FALSE)),""))</f>
        <v>0</v>
      </c>
      <c r="L498" s="102">
        <f>(IF((VLOOKUP(Table6[[#This Row],[SKU]],'All Skus'!$A:$AC,2,FALSE))="JBL",(VLOOKUP(Table6[[#This Row],[SKU]],'All Skus'!$A:$AC,14,FALSE)),""))</f>
        <v>0</v>
      </c>
      <c r="M498" s="143">
        <f>(IF((VLOOKUP(Table6[[#This Row],[SKU]],'All Skus'!$A:$AC,2,FALSE))="JBL",(VLOOKUP(Table6[[#This Row],[SKU]],'All Skus'!$A:$AC,15,FALSE)),""))</f>
        <v>0</v>
      </c>
      <c r="N498" s="137">
        <f>(IF((VLOOKUP(Table6[[#This Row],[SKU]],'All Skus'!$A:$AC,2,FALSE))="JBL",(VLOOKUP(Table6[[#This Row],[SKU]],'All Skus'!$A:$AC,16,FALSE)),""))</f>
        <v>691991011221</v>
      </c>
      <c r="O498" s="61">
        <f>(IF((VLOOKUP(Table6[[#This Row],[SKU]],'All Skus'!$A:$AC,2,FALSE))="JBL",(VLOOKUP(Table6[[#This Row],[SKU]],'All Skus'!$A:$AC,17,FALSE)),""))</f>
        <v>0</v>
      </c>
      <c r="P498" s="136">
        <f>(IF((VLOOKUP(Table6[[#This Row],[SKU]],'All Skus'!$A:$AC,2,FALSE))="JBL",(VLOOKUP(Table6[[#This Row],[SKU]],'All Skus'!$A:$AC,18,FALSE)),""))</f>
        <v>74</v>
      </c>
      <c r="Q498" s="136">
        <f>(IF((VLOOKUP(Table6[[#This Row],[SKU]],'All Skus'!$A:$AC,2,FALSE))="JBL",(VLOOKUP(Table6[[#This Row],[SKU]],'All Skus'!$A:$AC,19,FALSE)),""))</f>
        <v>26</v>
      </c>
      <c r="R498" s="136">
        <f>(IF((VLOOKUP(Table6[[#This Row],[SKU]],'All Skus'!$A:$AC,2,FALSE))="JBL",(VLOOKUP(Table6[[#This Row],[SKU]],'All Skus'!$A:$AC,20,FALSE)),""))</f>
        <v>30</v>
      </c>
      <c r="S498" s="61">
        <f>(IF((VLOOKUP(Table6[[#This Row],[SKU]],'All Skus'!$A:$AC,2,FALSE))="JBL",(VLOOKUP(Table6[[#This Row],[SKU]],'All Skus'!$A:$AC,21,FALSE)),""))</f>
        <v>24</v>
      </c>
      <c r="T498" s="61" t="str">
        <f>(IF((VLOOKUP(Table6[[#This Row],[SKU]],'All Skus'!$A:$AC,2,FALSE))="JBL",(VLOOKUP(Table6[[#This Row],[SKU]],'All Skus'!$A:$AC,22,FALSE)),""))</f>
        <v>MX</v>
      </c>
      <c r="U498" t="str">
        <f>(IF((VLOOKUP(Table6[[#This Row],[SKU]],'All Skus'!$A:$AC,2,FALSE))="JBL",(VLOOKUP(Table6[[#This Row],[SKU]],'All Skus'!$A:$AC,23,FALSE)),""))</f>
        <v>Compliant</v>
      </c>
      <c r="V498" s="284" t="str">
        <f>HYPERLINK((IF((VLOOKUP(Table6[[#This Row],[SKU]],'All Skus'!$A:$AC,2,FALSE))="JBL",(VLOOKUP(Table6[[#This Row],[SKU]],'All Skus'!$A:$AC,24,FALSE)),"")))</f>
        <v/>
      </c>
      <c r="W498" s="151">
        <v>496</v>
      </c>
    </row>
    <row r="499" spans="1:23" ht="15" hidden="1" customHeight="1">
      <c r="A499" s="13" t="s">
        <v>1505</v>
      </c>
      <c r="B499" s="12" t="str">
        <f>(IF((VLOOKUP(Table6[[#This Row],[SKU]],'All Skus'!$A:$AC,2,FALSE))="JBL",(VLOOKUP(Table6[[#This Row],[SKU]],'All Skus'!$A:$AC,3,FALSE)),""))</f>
        <v>AE Series</v>
      </c>
      <c r="C499" s="12" t="str">
        <f>(IF((VLOOKUP(Table6[[#This Row],[SKU]],'All Skus'!$A:$AC,2,FALSE))="JBL",(VLOOKUP(Table6[[#This Row],[SKU]],'All Skus'!$A:$AC,4,FALSE)),""))</f>
        <v>AM7200/95</v>
      </c>
      <c r="D499" s="61" t="str">
        <f>(IF((VLOOKUP(Table6[[#This Row],[SKU]],'All Skus'!$A:$AC,2,FALSE))="JBL",(VLOOKUP(Table6[[#This Row],[SKU]],'All Skus'!$A:$AC,5,FALSE)),""))</f>
        <v>JBL052</v>
      </c>
      <c r="E499" s="137" t="str">
        <f>(IF((VLOOKUP(Table6[[#This Row],[SKU]],'All Skus'!$A:$AC,2,FALSE))="JBL",(VLOOKUP(Table6[[#This Row],[SKU]],'All Skus'!$A:$AC,6,FALSE)),""))</f>
        <v>YES</v>
      </c>
      <c r="F499" s="61" t="str">
        <f>(IF((VLOOKUP(Table6[[#This Row],[SKU]],'All Skus'!$A:$AC,2,FALSE))="JBL",(VLOOKUP(Table6[[#This Row],[SKU]],'All Skus'!$A:$AC,7,FALSE)),""))</f>
        <v>Limited Quantity</v>
      </c>
      <c r="G499" t="str">
        <f>(IF((VLOOKUP(Table6[[#This Row],[SKU]],'All Skus'!$A:$AC,2,FALSE))="JBL",(VLOOKUP(Table6[[#This Row],[SKU]],'All Skus'!$A:$AC,8,FALSE)),""))</f>
        <v>2-WAY MID-HIGH LOUDSPEAKER SYSTEM</v>
      </c>
      <c r="H499" s="8" t="str">
        <f>(IF((VLOOKUP(Table6[[#This Row],[SKU]],'All Skus'!$A:$AC,2,FALSE))="JBL",(VLOOKUP(Table6[[#This Row],[SKU]],'All Skus'!$A:$AC,9,FALSE)),""))</f>
        <v>High Power Mid-High Frequency Loudspeaker with JBL CMCD-82H mid driver, and 2432H High Frequency 38mm (1.5 in) exit, 75mm (3-in) voice coil  compression driver.  90° x 50° Coverage, Bi-Amp/Passive Switchable.  Available in Black or White (-WH). Priced as each. Suspension eyebolts not included. Fits Optional Planar Array Frame Kits PAF-2K and PAF-3K.  See AE Bracket Handbook for Details.</v>
      </c>
      <c r="I499" s="101">
        <f>(IF((VLOOKUP(Table6[[#This Row],[SKU]],'All Skus'!$A:$AC,2,FALSE))="JBL",(VLOOKUP(Table6[[#This Row],[SKU]],'All Skus'!$A:$AC,10,FALSE)),""))</f>
        <v>3850</v>
      </c>
      <c r="J499" s="101">
        <f>(IF((VLOOKUP(Table6[[#This Row],[SKU]],'All Skus'!$A:$AC,2,FALSE))="JBL",(VLOOKUP(Table6[[#This Row],[SKU]],'All Skus'!$A:$AC,11,FALSE)),""))</f>
        <v>3850</v>
      </c>
      <c r="K499" s="102">
        <f>(IF((VLOOKUP(Table6[[#This Row],[SKU]],'All Skus'!$A:$AC,2,FALSE))="JBL",(VLOOKUP(Table6[[#This Row],[SKU]],'All Skus'!$A:$AC,13,FALSE)),""))</f>
        <v>0</v>
      </c>
      <c r="L499" s="102">
        <f>(IF((VLOOKUP(Table6[[#This Row],[SKU]],'All Skus'!$A:$AC,2,FALSE))="JBL",(VLOOKUP(Table6[[#This Row],[SKU]],'All Skus'!$A:$AC,14,FALSE)),""))</f>
        <v>0</v>
      </c>
      <c r="M499" s="143">
        <f>(IF((VLOOKUP(Table6[[#This Row],[SKU]],'All Skus'!$A:$AC,2,FALSE))="JBL",(VLOOKUP(Table6[[#This Row],[SKU]],'All Skus'!$A:$AC,15,FALSE)),""))</f>
        <v>0</v>
      </c>
      <c r="N499" s="137">
        <f>(IF((VLOOKUP(Table6[[#This Row],[SKU]],'All Skus'!$A:$AC,2,FALSE))="JBL",(VLOOKUP(Table6[[#This Row],[SKU]],'All Skus'!$A:$AC,16,FALSE)),""))</f>
        <v>691991011252</v>
      </c>
      <c r="O499" s="61">
        <f>(IF((VLOOKUP(Table6[[#This Row],[SKU]],'All Skus'!$A:$AC,2,FALSE))="JBL",(VLOOKUP(Table6[[#This Row],[SKU]],'All Skus'!$A:$AC,17,FALSE)),""))</f>
        <v>0</v>
      </c>
      <c r="P499" s="136">
        <f>(IF((VLOOKUP(Table6[[#This Row],[SKU]],'All Skus'!$A:$AC,2,FALSE))="JBL",(VLOOKUP(Table6[[#This Row],[SKU]],'All Skus'!$A:$AC,18,FALSE)),""))</f>
        <v>73.25</v>
      </c>
      <c r="Q499" s="136">
        <f>(IF((VLOOKUP(Table6[[#This Row],[SKU]],'All Skus'!$A:$AC,2,FALSE))="JBL",(VLOOKUP(Table6[[#This Row],[SKU]],'All Skus'!$A:$AC,19,FALSE)),""))</f>
        <v>30</v>
      </c>
      <c r="R499" s="136">
        <f>(IF((VLOOKUP(Table6[[#This Row],[SKU]],'All Skus'!$A:$AC,2,FALSE))="JBL",(VLOOKUP(Table6[[#This Row],[SKU]],'All Skus'!$A:$AC,20,FALSE)),""))</f>
        <v>26</v>
      </c>
      <c r="S499" s="61">
        <f>(IF((VLOOKUP(Table6[[#This Row],[SKU]],'All Skus'!$A:$AC,2,FALSE))="JBL",(VLOOKUP(Table6[[#This Row],[SKU]],'All Skus'!$A:$AC,21,FALSE)),""))</f>
        <v>24</v>
      </c>
      <c r="T499" s="61" t="str">
        <f>(IF((VLOOKUP(Table6[[#This Row],[SKU]],'All Skus'!$A:$AC,2,FALSE))="JBL",(VLOOKUP(Table6[[#This Row],[SKU]],'All Skus'!$A:$AC,22,FALSE)),""))</f>
        <v>MX</v>
      </c>
      <c r="U499" t="str">
        <f>(IF((VLOOKUP(Table6[[#This Row],[SKU]],'All Skus'!$A:$AC,2,FALSE))="JBL",(VLOOKUP(Table6[[#This Row],[SKU]],'All Skus'!$A:$AC,23,FALSE)),""))</f>
        <v>Compliant</v>
      </c>
      <c r="V499" s="284" t="str">
        <f>HYPERLINK((IF((VLOOKUP(Table6[[#This Row],[SKU]],'All Skus'!$A:$AC,2,FALSE))="JBL",(VLOOKUP(Table6[[#This Row],[SKU]],'All Skus'!$A:$AC,24,FALSE)),"")))</f>
        <v/>
      </c>
      <c r="W499" s="151">
        <v>497</v>
      </c>
    </row>
    <row r="500" spans="1:23" ht="15" hidden="1" customHeight="1">
      <c r="A500" s="13" t="s">
        <v>1506</v>
      </c>
      <c r="B500" s="12" t="str">
        <f>(IF((VLOOKUP(Table6[[#This Row],[SKU]],'All Skus'!$A:$AC,2,FALSE))="JBL",(VLOOKUP(Table6[[#This Row],[SKU]],'All Skus'!$A:$AC,3,FALSE)),""))</f>
        <v>AE Series</v>
      </c>
      <c r="C500" s="12" t="str">
        <f>(IF((VLOOKUP(Table6[[#This Row],[SKU]],'All Skus'!$A:$AC,2,FALSE))="JBL",(VLOOKUP(Table6[[#This Row],[SKU]],'All Skus'!$A:$AC,4,FALSE)),""))</f>
        <v>AM7212/00</v>
      </c>
      <c r="D500" s="61" t="str">
        <f>(IF((VLOOKUP(Table6[[#This Row],[SKU]],'All Skus'!$A:$AC,2,FALSE))="JBL",(VLOOKUP(Table6[[#This Row],[SKU]],'All Skus'!$A:$AC,5,FALSE)),""))</f>
        <v>JBL052</v>
      </c>
      <c r="E500" s="137">
        <f>(IF((VLOOKUP(Table6[[#This Row],[SKU]],'All Skus'!$A:$AC,2,FALSE))="JBL",(VLOOKUP(Table6[[#This Row],[SKU]],'All Skus'!$A:$AC,6,FALSE)),""))</f>
        <v>0</v>
      </c>
      <c r="F500" s="61">
        <f>(IF((VLOOKUP(Table6[[#This Row],[SKU]],'All Skus'!$A:$AC,2,FALSE))="JBL",(VLOOKUP(Table6[[#This Row],[SKU]],'All Skus'!$A:$AC,7,FALSE)),""))</f>
        <v>0</v>
      </c>
      <c r="G500" t="str">
        <f>(IF((VLOOKUP(Table6[[#This Row],[SKU]],'All Skus'!$A:$AC,2,FALSE))="JBL",(VLOOKUP(Table6[[#This Row],[SKU]],'All Skus'!$A:$AC,8,FALSE)),""))</f>
        <v>S/M, AM7212/00</v>
      </c>
      <c r="H500"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v>
      </c>
      <c r="I500" s="101">
        <f>(IF((VLOOKUP(Table6[[#This Row],[SKU]],'All Skus'!$A:$AC,2,FALSE))="JBL",(VLOOKUP(Table6[[#This Row],[SKU]],'All Skus'!$A:$AC,10,FALSE)),""))</f>
        <v>3500</v>
      </c>
      <c r="J500" s="101">
        <f>(IF((VLOOKUP(Table6[[#This Row],[SKU]],'All Skus'!$A:$AC,2,FALSE))="JBL",(VLOOKUP(Table6[[#This Row],[SKU]],'All Skus'!$A:$AC,11,FALSE)),""))</f>
        <v>3500</v>
      </c>
      <c r="K500" s="102">
        <f>(IF((VLOOKUP(Table6[[#This Row],[SKU]],'All Skus'!$A:$AC,2,FALSE))="JBL",(VLOOKUP(Table6[[#This Row],[SKU]],'All Skus'!$A:$AC,13,FALSE)),""))</f>
        <v>0</v>
      </c>
      <c r="L500" s="102">
        <f>(IF((VLOOKUP(Table6[[#This Row],[SKU]],'All Skus'!$A:$AC,2,FALSE))="JBL",(VLOOKUP(Table6[[#This Row],[SKU]],'All Skus'!$A:$AC,14,FALSE)),""))</f>
        <v>0</v>
      </c>
      <c r="M500" s="143">
        <f>(IF((VLOOKUP(Table6[[#This Row],[SKU]],'All Skus'!$A:$AC,2,FALSE))="JBL",(VLOOKUP(Table6[[#This Row],[SKU]],'All Skus'!$A:$AC,15,FALSE)),""))</f>
        <v>0</v>
      </c>
      <c r="N500" s="137">
        <f>(IF((VLOOKUP(Table6[[#This Row],[SKU]],'All Skus'!$A:$AC,2,FALSE))="JBL",(VLOOKUP(Table6[[#This Row],[SKU]],'All Skus'!$A:$AC,16,FALSE)),""))</f>
        <v>691991011283</v>
      </c>
      <c r="O500" s="61">
        <f>(IF((VLOOKUP(Table6[[#This Row],[SKU]],'All Skus'!$A:$AC,2,FALSE))="JBL",(VLOOKUP(Table6[[#This Row],[SKU]],'All Skus'!$A:$AC,17,FALSE)),""))</f>
        <v>0</v>
      </c>
      <c r="P500" s="136">
        <f>(IF((VLOOKUP(Table6[[#This Row],[SKU]],'All Skus'!$A:$AC,2,FALSE))="JBL",(VLOOKUP(Table6[[#This Row],[SKU]],'All Skus'!$A:$AC,18,FALSE)),""))</f>
        <v>55.95</v>
      </c>
      <c r="Q500" s="136">
        <f>(IF((VLOOKUP(Table6[[#This Row],[SKU]],'All Skus'!$A:$AC,2,FALSE))="JBL",(VLOOKUP(Table6[[#This Row],[SKU]],'All Skus'!$A:$AC,19,FALSE)),""))</f>
        <v>19</v>
      </c>
      <c r="R500" s="136">
        <f>(IF((VLOOKUP(Table6[[#This Row],[SKU]],'All Skus'!$A:$AC,2,FALSE))="JBL",(VLOOKUP(Table6[[#This Row],[SKU]],'All Skus'!$A:$AC,20,FALSE)),""))</f>
        <v>16</v>
      </c>
      <c r="S500" s="61">
        <f>(IF((VLOOKUP(Table6[[#This Row],[SKU]],'All Skus'!$A:$AC,2,FALSE))="JBL",(VLOOKUP(Table6[[#This Row],[SKU]],'All Skus'!$A:$AC,21,FALSE)),""))</f>
        <v>30</v>
      </c>
      <c r="T500" s="61" t="str">
        <f>(IF((VLOOKUP(Table6[[#This Row],[SKU]],'All Skus'!$A:$AC,2,FALSE))="JBL",(VLOOKUP(Table6[[#This Row],[SKU]],'All Skus'!$A:$AC,22,FALSE)),""))</f>
        <v>MX</v>
      </c>
      <c r="U500" t="str">
        <f>(IF((VLOOKUP(Table6[[#This Row],[SKU]],'All Skus'!$A:$AC,2,FALSE))="JBL",(VLOOKUP(Table6[[#This Row],[SKU]],'All Skus'!$A:$AC,23,FALSE)),""))</f>
        <v>Compliant</v>
      </c>
      <c r="V500" s="284" t="str">
        <f>HYPERLINK((IF((VLOOKUP(Table6[[#This Row],[SKU]],'All Skus'!$A:$AC,2,FALSE))="JBL",(VLOOKUP(Table6[[#This Row],[SKU]],'All Skus'!$A:$AC,24,FALSE)),"")))</f>
        <v/>
      </c>
      <c r="W500" s="151">
        <v>498</v>
      </c>
    </row>
    <row r="501" spans="1:23" ht="15" hidden="1" customHeight="1">
      <c r="A501" s="13" t="s">
        <v>1507</v>
      </c>
      <c r="B501" s="12" t="str">
        <f>(IF((VLOOKUP(Table6[[#This Row],[SKU]],'All Skus'!$A:$AC,2,FALSE))="JBL",(VLOOKUP(Table6[[#This Row],[SKU]],'All Skus'!$A:$AC,3,FALSE)),""))</f>
        <v>AE Series</v>
      </c>
      <c r="C501" s="12" t="str">
        <f>(IF((VLOOKUP(Table6[[#This Row],[SKU]],'All Skus'!$A:$AC,2,FALSE))="JBL",(VLOOKUP(Table6[[#This Row],[SKU]],'All Skus'!$A:$AC,4,FALSE)),""))</f>
        <v>AM7212/00-WH</v>
      </c>
      <c r="D501" s="61" t="str">
        <f>(IF((VLOOKUP(Table6[[#This Row],[SKU]],'All Skus'!$A:$AC,2,FALSE))="JBL",(VLOOKUP(Table6[[#This Row],[SKU]],'All Skus'!$A:$AC,5,FALSE)),""))</f>
        <v>JBL052</v>
      </c>
      <c r="E501" s="137">
        <f>(IF((VLOOKUP(Table6[[#This Row],[SKU]],'All Skus'!$A:$AC,2,FALSE))="JBL",(VLOOKUP(Table6[[#This Row],[SKU]],'All Skus'!$A:$AC,6,FALSE)),""))</f>
        <v>0</v>
      </c>
      <c r="F501" s="61">
        <f>(IF((VLOOKUP(Table6[[#This Row],[SKU]],'All Skus'!$A:$AC,2,FALSE))="JBL",(VLOOKUP(Table6[[#This Row],[SKU]],'All Skus'!$A:$AC,7,FALSE)),""))</f>
        <v>0</v>
      </c>
      <c r="G501" t="str">
        <f>(IF((VLOOKUP(Table6[[#This Row],[SKU]],'All Skus'!$A:$AC,2,FALSE))="JBL",(VLOOKUP(Table6[[#This Row],[SKU]],'All Skus'!$A:$AC,8,FALSE)),""))</f>
        <v>S/M, AM7212/00 WH</v>
      </c>
      <c r="H501"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v>
      </c>
      <c r="I501" s="101">
        <f>(IF((VLOOKUP(Table6[[#This Row],[SKU]],'All Skus'!$A:$AC,2,FALSE))="JBL",(VLOOKUP(Table6[[#This Row],[SKU]],'All Skus'!$A:$AC,10,FALSE)),""))</f>
        <v>3500</v>
      </c>
      <c r="J501" s="101">
        <f>(IF((VLOOKUP(Table6[[#This Row],[SKU]],'All Skus'!$A:$AC,2,FALSE))="JBL",(VLOOKUP(Table6[[#This Row],[SKU]],'All Skus'!$A:$AC,11,FALSE)),""))</f>
        <v>3500</v>
      </c>
      <c r="K501" s="102">
        <f>(IF((VLOOKUP(Table6[[#This Row],[SKU]],'All Skus'!$A:$AC,2,FALSE))="JBL",(VLOOKUP(Table6[[#This Row],[SKU]],'All Skus'!$A:$AC,13,FALSE)),""))</f>
        <v>0</v>
      </c>
      <c r="L501" s="102">
        <f>(IF((VLOOKUP(Table6[[#This Row],[SKU]],'All Skus'!$A:$AC,2,FALSE))="JBL",(VLOOKUP(Table6[[#This Row],[SKU]],'All Skus'!$A:$AC,14,FALSE)),""))</f>
        <v>0</v>
      </c>
      <c r="M501" s="143">
        <f>(IF((VLOOKUP(Table6[[#This Row],[SKU]],'All Skus'!$A:$AC,2,FALSE))="JBL",(VLOOKUP(Table6[[#This Row],[SKU]],'All Skus'!$A:$AC,15,FALSE)),""))</f>
        <v>0</v>
      </c>
      <c r="N501" s="137">
        <f>(IF((VLOOKUP(Table6[[#This Row],[SKU]],'All Skus'!$A:$AC,2,FALSE))="JBL",(VLOOKUP(Table6[[#This Row],[SKU]],'All Skus'!$A:$AC,16,FALSE)),""))</f>
        <v>691991011290</v>
      </c>
      <c r="O501" s="61">
        <f>(IF((VLOOKUP(Table6[[#This Row],[SKU]],'All Skus'!$A:$AC,2,FALSE))="JBL",(VLOOKUP(Table6[[#This Row],[SKU]],'All Skus'!$A:$AC,17,FALSE)),""))</f>
        <v>0</v>
      </c>
      <c r="P501" s="136">
        <f>(IF((VLOOKUP(Table6[[#This Row],[SKU]],'All Skus'!$A:$AC,2,FALSE))="JBL",(VLOOKUP(Table6[[#This Row],[SKU]],'All Skus'!$A:$AC,18,FALSE)),""))</f>
        <v>55</v>
      </c>
      <c r="Q501" s="136">
        <f>(IF((VLOOKUP(Table6[[#This Row],[SKU]],'All Skus'!$A:$AC,2,FALSE))="JBL",(VLOOKUP(Table6[[#This Row],[SKU]],'All Skus'!$A:$AC,19,FALSE)),""))</f>
        <v>19</v>
      </c>
      <c r="R501" s="136">
        <f>(IF((VLOOKUP(Table6[[#This Row],[SKU]],'All Skus'!$A:$AC,2,FALSE))="JBL",(VLOOKUP(Table6[[#This Row],[SKU]],'All Skus'!$A:$AC,20,FALSE)),""))</f>
        <v>16</v>
      </c>
      <c r="S501" s="61">
        <f>(IF((VLOOKUP(Table6[[#This Row],[SKU]],'All Skus'!$A:$AC,2,FALSE))="JBL",(VLOOKUP(Table6[[#This Row],[SKU]],'All Skus'!$A:$AC,21,FALSE)),""))</f>
        <v>30</v>
      </c>
      <c r="T501" s="61" t="str">
        <f>(IF((VLOOKUP(Table6[[#This Row],[SKU]],'All Skus'!$A:$AC,2,FALSE))="JBL",(VLOOKUP(Table6[[#This Row],[SKU]],'All Skus'!$A:$AC,22,FALSE)),""))</f>
        <v>MX</v>
      </c>
      <c r="U501" t="str">
        <f>(IF((VLOOKUP(Table6[[#This Row],[SKU]],'All Skus'!$A:$AC,2,FALSE))="JBL",(VLOOKUP(Table6[[#This Row],[SKU]],'All Skus'!$A:$AC,23,FALSE)),""))</f>
        <v>Compliant</v>
      </c>
      <c r="V501" s="284" t="str">
        <f>HYPERLINK((IF((VLOOKUP(Table6[[#This Row],[SKU]],'All Skus'!$A:$AC,2,FALSE))="JBL",(VLOOKUP(Table6[[#This Row],[SKU]],'All Skus'!$A:$AC,24,FALSE)),"")))</f>
        <v/>
      </c>
      <c r="W501" s="151">
        <v>499</v>
      </c>
    </row>
    <row r="502" spans="1:23" ht="15" hidden="1" customHeight="1">
      <c r="A502" s="13" t="s">
        <v>1508</v>
      </c>
      <c r="B502" s="12" t="str">
        <f>(IF((VLOOKUP(Table6[[#This Row],[SKU]],'All Skus'!$A:$AC,2,FALSE))="JBL",(VLOOKUP(Table6[[#This Row],[SKU]],'All Skus'!$A:$AC,3,FALSE)),""))</f>
        <v>Custom Shop</v>
      </c>
      <c r="C502" s="12" t="str">
        <f>(IF((VLOOKUP(Table6[[#This Row],[SKU]],'All Skus'!$A:$AC,2,FALSE))="JBL",(VLOOKUP(Table6[[#This Row],[SKU]],'All Skus'!$A:$AC,4,FALSE)),""))</f>
        <v>AM7212/00-WRC</v>
      </c>
      <c r="D502" s="61">
        <f>(IF((VLOOKUP(Table6[[#This Row],[SKU]],'All Skus'!$A:$AC,2,FALSE))="JBL",(VLOOKUP(Table6[[#This Row],[SKU]],'All Skus'!$A:$AC,5,FALSE)),""))</f>
        <v>0</v>
      </c>
      <c r="E502" s="137" t="str">
        <f>(IF((VLOOKUP(Table6[[#This Row],[SKU]],'All Skus'!$A:$AC,2,FALSE))="JBL",(VLOOKUP(Table6[[#This Row],[SKU]],'All Skus'!$A:$AC,6,FALSE)),""))</f>
        <v>YES</v>
      </c>
      <c r="F502" s="61">
        <f>(IF((VLOOKUP(Table6[[#This Row],[SKU]],'All Skus'!$A:$AC,2,FALSE))="JBL",(VLOOKUP(Table6[[#This Row],[SKU]],'All Skus'!$A:$AC,7,FALSE)),""))</f>
        <v>0</v>
      </c>
      <c r="G502" t="str">
        <f>(IF((VLOOKUP(Table6[[#This Row],[SKU]],'All Skus'!$A:$AC,2,FALSE))="JBL",(VLOOKUP(Table6[[#This Row],[SKU]],'All Skus'!$A:$AC,8,FALSE)),""))</f>
        <v>S/M, AM7212/00 WH</v>
      </c>
      <c r="H502"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v>
      </c>
      <c r="I502" s="101" t="str">
        <f>(IF((VLOOKUP(Table6[[#This Row],[SKU]],'All Skus'!$A:$AC,2,FALSE))="JBL",(VLOOKUP(Table6[[#This Row],[SKU]],'All Skus'!$A:$AC,10,FALSE)),""))</f>
        <v>Please email CustomAudio@harman.com for quote</v>
      </c>
      <c r="J502" s="101">
        <f>(IF((VLOOKUP(Table6[[#This Row],[SKU]],'All Skus'!$A:$AC,2,FALSE))="JBL",(VLOOKUP(Table6[[#This Row],[SKU]],'All Skus'!$A:$AC,11,FALSE)),""))</f>
        <v>0</v>
      </c>
      <c r="K502" s="102">
        <f>(IF((VLOOKUP(Table6[[#This Row],[SKU]],'All Skus'!$A:$AC,2,FALSE))="JBL",(VLOOKUP(Table6[[#This Row],[SKU]],'All Skus'!$A:$AC,13,FALSE)),""))</f>
        <v>0</v>
      </c>
      <c r="L502" s="102">
        <f>(IF((VLOOKUP(Table6[[#This Row],[SKU]],'All Skus'!$A:$AC,2,FALSE))="JBL",(VLOOKUP(Table6[[#This Row],[SKU]],'All Skus'!$A:$AC,14,FALSE)),""))</f>
        <v>0</v>
      </c>
      <c r="M502" s="143">
        <f>(IF((VLOOKUP(Table6[[#This Row],[SKU]],'All Skus'!$A:$AC,2,FALSE))="JBL",(VLOOKUP(Table6[[#This Row],[SKU]],'All Skus'!$A:$AC,15,FALSE)),""))</f>
        <v>0</v>
      </c>
      <c r="N502" s="137">
        <f>(IF((VLOOKUP(Table6[[#This Row],[SKU]],'All Skus'!$A:$AC,2,FALSE))="JBL",(VLOOKUP(Table6[[#This Row],[SKU]],'All Skus'!$A:$AC,16,FALSE)),""))</f>
        <v>691991029615</v>
      </c>
      <c r="O502" s="61">
        <f>(IF((VLOOKUP(Table6[[#This Row],[SKU]],'All Skus'!$A:$AC,2,FALSE))="JBL",(VLOOKUP(Table6[[#This Row],[SKU]],'All Skus'!$A:$AC,17,FALSE)),""))</f>
        <v>0</v>
      </c>
      <c r="P502" s="136">
        <f>(IF((VLOOKUP(Table6[[#This Row],[SKU]],'All Skus'!$A:$AC,2,FALSE))="JBL",(VLOOKUP(Table6[[#This Row],[SKU]],'All Skus'!$A:$AC,18,FALSE)),""))</f>
        <v>60</v>
      </c>
      <c r="Q502" s="136">
        <f>(IF((VLOOKUP(Table6[[#This Row],[SKU]],'All Skus'!$A:$AC,2,FALSE))="JBL",(VLOOKUP(Table6[[#This Row],[SKU]],'All Skus'!$A:$AC,19,FALSE)),""))</f>
        <v>30</v>
      </c>
      <c r="R502" s="136">
        <f>(IF((VLOOKUP(Table6[[#This Row],[SKU]],'All Skus'!$A:$AC,2,FALSE))="JBL",(VLOOKUP(Table6[[#This Row],[SKU]],'All Skus'!$A:$AC,20,FALSE)),""))</f>
        <v>4</v>
      </c>
      <c r="S502" s="61">
        <f>(IF((VLOOKUP(Table6[[#This Row],[SKU]],'All Skus'!$A:$AC,2,FALSE))="JBL",(VLOOKUP(Table6[[#This Row],[SKU]],'All Skus'!$A:$AC,21,FALSE)),""))</f>
        <v>21</v>
      </c>
      <c r="T502" s="61" t="str">
        <f>(IF((VLOOKUP(Table6[[#This Row],[SKU]],'All Skus'!$A:$AC,2,FALSE))="JBL",(VLOOKUP(Table6[[#This Row],[SKU]],'All Skus'!$A:$AC,22,FALSE)),""))</f>
        <v>MX</v>
      </c>
      <c r="U502" t="str">
        <f>(IF((VLOOKUP(Table6[[#This Row],[SKU]],'All Skus'!$A:$AC,2,FALSE))="JBL",(VLOOKUP(Table6[[#This Row],[SKU]],'All Skus'!$A:$AC,23,FALSE)),""))</f>
        <v>Compliant</v>
      </c>
      <c r="V502" s="284" t="str">
        <f>HYPERLINK((IF((VLOOKUP(Table6[[#This Row],[SKU]],'All Skus'!$A:$AC,2,FALSE))="JBL",(VLOOKUP(Table6[[#This Row],[SKU]],'All Skus'!$A:$AC,24,FALSE)),"")))</f>
        <v/>
      </c>
      <c r="W502" s="151">
        <v>500</v>
      </c>
    </row>
    <row r="503" spans="1:23" ht="15" hidden="1" customHeight="1">
      <c r="A503" s="13" t="s">
        <v>1509</v>
      </c>
      <c r="B503" s="12" t="str">
        <f>(IF((VLOOKUP(Table6[[#This Row],[SKU]],'All Skus'!$A:$AC,2,FALSE))="JBL",(VLOOKUP(Table6[[#This Row],[SKU]],'All Skus'!$A:$AC,3,FALSE)),""))</f>
        <v>Custom Shop</v>
      </c>
      <c r="C503" s="12" t="str">
        <f>(IF((VLOOKUP(Table6[[#This Row],[SKU]],'All Skus'!$A:$AC,2,FALSE))="JBL",(VLOOKUP(Table6[[#This Row],[SKU]],'All Skus'!$A:$AC,4,FALSE)),""))</f>
        <v>AM7212/00-WRX</v>
      </c>
      <c r="D503" s="61" t="str">
        <f>(IF((VLOOKUP(Table6[[#This Row],[SKU]],'All Skus'!$A:$AC,2,FALSE))="JBL",(VLOOKUP(Table6[[#This Row],[SKU]],'All Skus'!$A:$AC,5,FALSE)),""))</f>
        <v>JBL050</v>
      </c>
      <c r="E503" s="137" t="str">
        <f>(IF((VLOOKUP(Table6[[#This Row],[SKU]],'All Skus'!$A:$AC,2,FALSE))="JBL",(VLOOKUP(Table6[[#This Row],[SKU]],'All Skus'!$A:$AC,6,FALSE)),""))</f>
        <v>YES</v>
      </c>
      <c r="F503" s="61">
        <f>(IF((VLOOKUP(Table6[[#This Row],[SKU]],'All Skus'!$A:$AC,2,FALSE))="JBL",(VLOOKUP(Table6[[#This Row],[SKU]],'All Skus'!$A:$AC,7,FALSE)),""))</f>
        <v>0</v>
      </c>
      <c r="G503" t="str">
        <f>(IF((VLOOKUP(Table6[[#This Row],[SKU]],'All Skus'!$A:$AC,2,FALSE))="JBL",(VLOOKUP(Table6[[#This Row],[SKU]],'All Skus'!$A:$AC,8,FALSE)),""))</f>
        <v>S/M, AM7212/00 WH</v>
      </c>
      <c r="H503"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100° x 100° rotatable Progressive Transition™ waveguide, Bi-Amp/Passive Switchable. Available in Black or White (-WH). Priced as each. Suspension eyebolts not included. Optional U-bracket model MTU-3.</v>
      </c>
      <c r="I503" s="101" t="str">
        <f>(IF((VLOOKUP(Table6[[#This Row],[SKU]],'All Skus'!$A:$AC,2,FALSE))="JBL",(VLOOKUP(Table6[[#This Row],[SKU]],'All Skus'!$A:$AC,10,FALSE)),""))</f>
        <v>Please email CustomAudio@harman.com for quote</v>
      </c>
      <c r="J503" s="101">
        <f>(IF((VLOOKUP(Table6[[#This Row],[SKU]],'All Skus'!$A:$AC,2,FALSE))="JBL",(VLOOKUP(Table6[[#This Row],[SKU]],'All Skus'!$A:$AC,11,FALSE)),""))</f>
        <v>0</v>
      </c>
      <c r="K503" s="102">
        <f>(IF((VLOOKUP(Table6[[#This Row],[SKU]],'All Skus'!$A:$AC,2,FALSE))="JBL",(VLOOKUP(Table6[[#This Row],[SKU]],'All Skus'!$A:$AC,13,FALSE)),""))</f>
        <v>0</v>
      </c>
      <c r="L503" s="102">
        <f>(IF((VLOOKUP(Table6[[#This Row],[SKU]],'All Skus'!$A:$AC,2,FALSE))="JBL",(VLOOKUP(Table6[[#This Row],[SKU]],'All Skus'!$A:$AC,14,FALSE)),""))</f>
        <v>0</v>
      </c>
      <c r="M503" s="143">
        <f>(IF((VLOOKUP(Table6[[#This Row],[SKU]],'All Skus'!$A:$AC,2,FALSE))="JBL",(VLOOKUP(Table6[[#This Row],[SKU]],'All Skus'!$A:$AC,15,FALSE)),""))</f>
        <v>0</v>
      </c>
      <c r="N503" s="137">
        <f>(IF((VLOOKUP(Table6[[#This Row],[SKU]],'All Skus'!$A:$AC,2,FALSE))="JBL",(VLOOKUP(Table6[[#This Row],[SKU]],'All Skus'!$A:$AC,16,FALSE)),""))</f>
        <v>691991029622</v>
      </c>
      <c r="O503" s="61">
        <f>(IF((VLOOKUP(Table6[[#This Row],[SKU]],'All Skus'!$A:$AC,2,FALSE))="JBL",(VLOOKUP(Table6[[#This Row],[SKU]],'All Skus'!$A:$AC,17,FALSE)),""))</f>
        <v>0</v>
      </c>
      <c r="P503" s="136">
        <f>(IF((VLOOKUP(Table6[[#This Row],[SKU]],'All Skus'!$A:$AC,2,FALSE))="JBL",(VLOOKUP(Table6[[#This Row],[SKU]],'All Skus'!$A:$AC,18,FALSE)),""))</f>
        <v>74.5</v>
      </c>
      <c r="Q503" s="136">
        <f>(IF((VLOOKUP(Table6[[#This Row],[SKU]],'All Skus'!$A:$AC,2,FALSE))="JBL",(VLOOKUP(Table6[[#This Row],[SKU]],'All Skus'!$A:$AC,19,FALSE)),""))</f>
        <v>15</v>
      </c>
      <c r="R503" s="136">
        <f>(IF((VLOOKUP(Table6[[#This Row],[SKU]],'All Skus'!$A:$AC,2,FALSE))="JBL",(VLOOKUP(Table6[[#This Row],[SKU]],'All Skus'!$A:$AC,20,FALSE)),""))</f>
        <v>17</v>
      </c>
      <c r="S503" s="61">
        <f>(IF((VLOOKUP(Table6[[#This Row],[SKU]],'All Skus'!$A:$AC,2,FALSE))="JBL",(VLOOKUP(Table6[[#This Row],[SKU]],'All Skus'!$A:$AC,21,FALSE)),""))</f>
        <v>24</v>
      </c>
      <c r="T503" s="61" t="str">
        <f>(IF((VLOOKUP(Table6[[#This Row],[SKU]],'All Skus'!$A:$AC,2,FALSE))="JBL",(VLOOKUP(Table6[[#This Row],[SKU]],'All Skus'!$A:$AC,22,FALSE)),""))</f>
        <v>MX</v>
      </c>
      <c r="U503" t="str">
        <f>(IF((VLOOKUP(Table6[[#This Row],[SKU]],'All Skus'!$A:$AC,2,FALSE))="JBL",(VLOOKUP(Table6[[#This Row],[SKU]],'All Skus'!$A:$AC,23,FALSE)),""))</f>
        <v>Compliant</v>
      </c>
      <c r="V503" s="284" t="str">
        <f>HYPERLINK((IF((VLOOKUP(Table6[[#This Row],[SKU]],'All Skus'!$A:$AC,2,FALSE))="JBL",(VLOOKUP(Table6[[#This Row],[SKU]],'All Skus'!$A:$AC,24,FALSE)),"")))</f>
        <v/>
      </c>
      <c r="W503" s="151">
        <v>501</v>
      </c>
    </row>
    <row r="504" spans="1:23" ht="15" hidden="1" customHeight="1">
      <c r="A504" s="13" t="s">
        <v>1510</v>
      </c>
      <c r="B504" s="12" t="str">
        <f>(IF((VLOOKUP(Table6[[#This Row],[SKU]],'All Skus'!$A:$AC,2,FALSE))="JBL",(VLOOKUP(Table6[[#This Row],[SKU]],'All Skus'!$A:$AC,3,FALSE)),""))</f>
        <v>AE Series</v>
      </c>
      <c r="C504" s="12" t="str">
        <f>(IF((VLOOKUP(Table6[[#This Row],[SKU]],'All Skus'!$A:$AC,2,FALSE))="JBL",(VLOOKUP(Table6[[#This Row],[SKU]],'All Skus'!$A:$AC,4,FALSE)),""))</f>
        <v>AM7212/26</v>
      </c>
      <c r="D504" s="61" t="str">
        <f>(IF((VLOOKUP(Table6[[#This Row],[SKU]],'All Skus'!$A:$AC,2,FALSE))="JBL",(VLOOKUP(Table6[[#This Row],[SKU]],'All Skus'!$A:$AC,5,FALSE)),""))</f>
        <v>JBL052</v>
      </c>
      <c r="E504" s="137">
        <f>(IF((VLOOKUP(Table6[[#This Row],[SKU]],'All Skus'!$A:$AC,2,FALSE))="JBL",(VLOOKUP(Table6[[#This Row],[SKU]],'All Skus'!$A:$AC,6,FALSE)),""))</f>
        <v>0</v>
      </c>
      <c r="F504" s="61">
        <f>(IF((VLOOKUP(Table6[[#This Row],[SKU]],'All Skus'!$A:$AC,2,FALSE))="JBL",(VLOOKUP(Table6[[#This Row],[SKU]],'All Skus'!$A:$AC,7,FALSE)),""))</f>
        <v>0</v>
      </c>
      <c r="G504" t="str">
        <f>(IF((VLOOKUP(Table6[[#This Row],[SKU]],'All Skus'!$A:$AC,2,FALSE))="JBL",(VLOOKUP(Table6[[#This Row],[SKU]],'All Skus'!$A:$AC,8,FALSE)),""))</f>
        <v>Two-way full range loudspeaker</v>
      </c>
      <c r="H504"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v>
      </c>
      <c r="I504" s="101">
        <f>(IF((VLOOKUP(Table6[[#This Row],[SKU]],'All Skus'!$A:$AC,2,FALSE))="JBL",(VLOOKUP(Table6[[#This Row],[SKU]],'All Skus'!$A:$AC,10,FALSE)),""))</f>
        <v>3500</v>
      </c>
      <c r="J504" s="101">
        <f>(IF((VLOOKUP(Table6[[#This Row],[SKU]],'All Skus'!$A:$AC,2,FALSE))="JBL",(VLOOKUP(Table6[[#This Row],[SKU]],'All Skus'!$A:$AC,11,FALSE)),""))</f>
        <v>3500</v>
      </c>
      <c r="K504" s="102">
        <f>(IF((VLOOKUP(Table6[[#This Row],[SKU]],'All Skus'!$A:$AC,2,FALSE))="JBL",(VLOOKUP(Table6[[#This Row],[SKU]],'All Skus'!$A:$AC,13,FALSE)),""))</f>
        <v>0</v>
      </c>
      <c r="L504" s="102">
        <f>(IF((VLOOKUP(Table6[[#This Row],[SKU]],'All Skus'!$A:$AC,2,FALSE))="JBL",(VLOOKUP(Table6[[#This Row],[SKU]],'All Skus'!$A:$AC,14,FALSE)),""))</f>
        <v>0</v>
      </c>
      <c r="M504" s="143">
        <f>(IF((VLOOKUP(Table6[[#This Row],[SKU]],'All Skus'!$A:$AC,2,FALSE))="JBL",(VLOOKUP(Table6[[#This Row],[SKU]],'All Skus'!$A:$AC,15,FALSE)),""))</f>
        <v>0</v>
      </c>
      <c r="N504" s="137">
        <f>(IF((VLOOKUP(Table6[[#This Row],[SKU]],'All Skus'!$A:$AC,2,FALSE))="JBL",(VLOOKUP(Table6[[#This Row],[SKU]],'All Skus'!$A:$AC,16,FALSE)),""))</f>
        <v>691991011306</v>
      </c>
      <c r="O504" s="61">
        <f>(IF((VLOOKUP(Table6[[#This Row],[SKU]],'All Skus'!$A:$AC,2,FALSE))="JBL",(VLOOKUP(Table6[[#This Row],[SKU]],'All Skus'!$A:$AC,17,FALSE)),""))</f>
        <v>0</v>
      </c>
      <c r="P504" s="136">
        <f>(IF((VLOOKUP(Table6[[#This Row],[SKU]],'All Skus'!$A:$AC,2,FALSE))="JBL",(VLOOKUP(Table6[[#This Row],[SKU]],'All Skus'!$A:$AC,18,FALSE)),""))</f>
        <v>57.35</v>
      </c>
      <c r="Q504" s="136">
        <f>(IF((VLOOKUP(Table6[[#This Row],[SKU]],'All Skus'!$A:$AC,2,FALSE))="JBL",(VLOOKUP(Table6[[#This Row],[SKU]],'All Skus'!$A:$AC,19,FALSE)),""))</f>
        <v>19</v>
      </c>
      <c r="R504" s="136">
        <f>(IF((VLOOKUP(Table6[[#This Row],[SKU]],'All Skus'!$A:$AC,2,FALSE))="JBL",(VLOOKUP(Table6[[#This Row],[SKU]],'All Skus'!$A:$AC,20,FALSE)),""))</f>
        <v>16</v>
      </c>
      <c r="S504" s="61">
        <f>(IF((VLOOKUP(Table6[[#This Row],[SKU]],'All Skus'!$A:$AC,2,FALSE))="JBL",(VLOOKUP(Table6[[#This Row],[SKU]],'All Skus'!$A:$AC,21,FALSE)),""))</f>
        <v>30</v>
      </c>
      <c r="T504" s="61" t="str">
        <f>(IF((VLOOKUP(Table6[[#This Row],[SKU]],'All Skus'!$A:$AC,2,FALSE))="JBL",(VLOOKUP(Table6[[#This Row],[SKU]],'All Skus'!$A:$AC,22,FALSE)),""))</f>
        <v>MX</v>
      </c>
      <c r="U504" t="str">
        <f>(IF((VLOOKUP(Table6[[#This Row],[SKU]],'All Skus'!$A:$AC,2,FALSE))="JBL",(VLOOKUP(Table6[[#This Row],[SKU]],'All Skus'!$A:$AC,23,FALSE)),""))</f>
        <v>Compliant</v>
      </c>
      <c r="V504" s="284" t="str">
        <f>HYPERLINK((IF((VLOOKUP(Table6[[#This Row],[SKU]],'All Skus'!$A:$AC,2,FALSE))="JBL",(VLOOKUP(Table6[[#This Row],[SKU]],'All Skus'!$A:$AC,24,FALSE)),"")))</f>
        <v/>
      </c>
      <c r="W504" s="151">
        <v>502</v>
      </c>
    </row>
    <row r="505" spans="1:23" ht="15" hidden="1" customHeight="1">
      <c r="A505" s="13" t="s">
        <v>1511</v>
      </c>
      <c r="B505" s="12" t="str">
        <f>(IF((VLOOKUP(Table6[[#This Row],[SKU]],'All Skus'!$A:$AC,2,FALSE))="JBL",(VLOOKUP(Table6[[#This Row],[SKU]],'All Skus'!$A:$AC,3,FALSE)),""))</f>
        <v>AE Series</v>
      </c>
      <c r="C505" s="12" t="str">
        <f>(IF((VLOOKUP(Table6[[#This Row],[SKU]],'All Skus'!$A:$AC,2,FALSE))="JBL",(VLOOKUP(Table6[[#This Row],[SKU]],'All Skus'!$A:$AC,4,FALSE)),""))</f>
        <v>AM7212/26-WH</v>
      </c>
      <c r="D505" s="61" t="str">
        <f>(IF((VLOOKUP(Table6[[#This Row],[SKU]],'All Skus'!$A:$AC,2,FALSE))="JBL",(VLOOKUP(Table6[[#This Row],[SKU]],'All Skus'!$A:$AC,5,FALSE)),""))</f>
        <v>JBL052</v>
      </c>
      <c r="E505" s="137">
        <f>(IF((VLOOKUP(Table6[[#This Row],[SKU]],'All Skus'!$A:$AC,2,FALSE))="JBL",(VLOOKUP(Table6[[#This Row],[SKU]],'All Skus'!$A:$AC,6,FALSE)),""))</f>
        <v>0</v>
      </c>
      <c r="F505" s="61">
        <f>(IF((VLOOKUP(Table6[[#This Row],[SKU]],'All Skus'!$A:$AC,2,FALSE))="JBL",(VLOOKUP(Table6[[#This Row],[SKU]],'All Skus'!$A:$AC,7,FALSE)),""))</f>
        <v>0</v>
      </c>
      <c r="G505" t="str">
        <f>(IF((VLOOKUP(Table6[[#This Row],[SKU]],'All Skus'!$A:$AC,2,FALSE))="JBL",(VLOOKUP(Table6[[#This Row],[SKU]],'All Skus'!$A:$AC,8,FALSE)),""))</f>
        <v>Two-way full range loudspeaker (white)</v>
      </c>
      <c r="H505"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MTU-3.  White finish.</v>
      </c>
      <c r="I505" s="101">
        <f>(IF((VLOOKUP(Table6[[#This Row],[SKU]],'All Skus'!$A:$AC,2,FALSE))="JBL",(VLOOKUP(Table6[[#This Row],[SKU]],'All Skus'!$A:$AC,10,FALSE)),""))</f>
        <v>3500</v>
      </c>
      <c r="J505" s="101">
        <f>(IF((VLOOKUP(Table6[[#This Row],[SKU]],'All Skus'!$A:$AC,2,FALSE))="JBL",(VLOOKUP(Table6[[#This Row],[SKU]],'All Skus'!$A:$AC,11,FALSE)),""))</f>
        <v>3500</v>
      </c>
      <c r="K505" s="102">
        <f>(IF((VLOOKUP(Table6[[#This Row],[SKU]],'All Skus'!$A:$AC,2,FALSE))="JBL",(VLOOKUP(Table6[[#This Row],[SKU]],'All Skus'!$A:$AC,13,FALSE)),""))</f>
        <v>0</v>
      </c>
      <c r="L505" s="102">
        <f>(IF((VLOOKUP(Table6[[#This Row],[SKU]],'All Skus'!$A:$AC,2,FALSE))="JBL",(VLOOKUP(Table6[[#This Row],[SKU]],'All Skus'!$A:$AC,14,FALSE)),""))</f>
        <v>0</v>
      </c>
      <c r="M505" s="143">
        <f>(IF((VLOOKUP(Table6[[#This Row],[SKU]],'All Skus'!$A:$AC,2,FALSE))="JBL",(VLOOKUP(Table6[[#This Row],[SKU]],'All Skus'!$A:$AC,15,FALSE)),""))</f>
        <v>0</v>
      </c>
      <c r="N505" s="137">
        <f>(IF((VLOOKUP(Table6[[#This Row],[SKU]],'All Skus'!$A:$AC,2,FALSE))="JBL",(VLOOKUP(Table6[[#This Row],[SKU]],'All Skus'!$A:$AC,16,FALSE)),""))</f>
        <v>691991011313</v>
      </c>
      <c r="O505" s="61">
        <f>(IF((VLOOKUP(Table6[[#This Row],[SKU]],'All Skus'!$A:$AC,2,FALSE))="JBL",(VLOOKUP(Table6[[#This Row],[SKU]],'All Skus'!$A:$AC,17,FALSE)),""))</f>
        <v>0</v>
      </c>
      <c r="P505" s="136">
        <f>(IF((VLOOKUP(Table6[[#This Row],[SKU]],'All Skus'!$A:$AC,2,FALSE))="JBL",(VLOOKUP(Table6[[#This Row],[SKU]],'All Skus'!$A:$AC,18,FALSE)),""))</f>
        <v>27.5</v>
      </c>
      <c r="Q505" s="136">
        <f>(IF((VLOOKUP(Table6[[#This Row],[SKU]],'All Skus'!$A:$AC,2,FALSE))="JBL",(VLOOKUP(Table6[[#This Row],[SKU]],'All Skus'!$A:$AC,19,FALSE)),""))</f>
        <v>19</v>
      </c>
      <c r="R505" s="136">
        <f>(IF((VLOOKUP(Table6[[#This Row],[SKU]],'All Skus'!$A:$AC,2,FALSE))="JBL",(VLOOKUP(Table6[[#This Row],[SKU]],'All Skus'!$A:$AC,20,FALSE)),""))</f>
        <v>16</v>
      </c>
      <c r="S505" s="61">
        <f>(IF((VLOOKUP(Table6[[#This Row],[SKU]],'All Skus'!$A:$AC,2,FALSE))="JBL",(VLOOKUP(Table6[[#This Row],[SKU]],'All Skus'!$A:$AC,21,FALSE)),""))</f>
        <v>30</v>
      </c>
      <c r="T505" s="61" t="str">
        <f>(IF((VLOOKUP(Table6[[#This Row],[SKU]],'All Skus'!$A:$AC,2,FALSE))="JBL",(VLOOKUP(Table6[[#This Row],[SKU]],'All Skus'!$A:$AC,22,FALSE)),""))</f>
        <v>MX</v>
      </c>
      <c r="U505" t="str">
        <f>(IF((VLOOKUP(Table6[[#This Row],[SKU]],'All Skus'!$A:$AC,2,FALSE))="JBL",(VLOOKUP(Table6[[#This Row],[SKU]],'All Skus'!$A:$AC,23,FALSE)),""))</f>
        <v>Compliant</v>
      </c>
      <c r="V505" s="284" t="str">
        <f>HYPERLINK((IF((VLOOKUP(Table6[[#This Row],[SKU]],'All Skus'!$A:$AC,2,FALSE))="JBL",(VLOOKUP(Table6[[#This Row],[SKU]],'All Skus'!$A:$AC,24,FALSE)),"")))</f>
        <v/>
      </c>
      <c r="W505" s="151">
        <v>503</v>
      </c>
    </row>
    <row r="506" spans="1:23" ht="15" hidden="1" customHeight="1">
      <c r="A506" s="13" t="s">
        <v>1512</v>
      </c>
      <c r="B506" s="12" t="str">
        <f>(IF((VLOOKUP(Table6[[#This Row],[SKU]],'All Skus'!$A:$AC,2,FALSE))="JBL",(VLOOKUP(Table6[[#This Row],[SKU]],'All Skus'!$A:$AC,3,FALSE)),""))</f>
        <v>Custom Shop Item</v>
      </c>
      <c r="C506" s="12" t="str">
        <f>(IF((VLOOKUP(Table6[[#This Row],[SKU]],'All Skus'!$A:$AC,2,FALSE))="JBL",(VLOOKUP(Table6[[#This Row],[SKU]],'All Skus'!$A:$AC,4,FALSE)),""))</f>
        <v>AM7212/26-WRC</v>
      </c>
      <c r="D506" s="61" t="str">
        <f>(IF((VLOOKUP(Table6[[#This Row],[SKU]],'All Skus'!$A:$AC,2,FALSE))="JBL",(VLOOKUP(Table6[[#This Row],[SKU]],'All Skus'!$A:$AC,5,FALSE)),""))</f>
        <v>JBL050</v>
      </c>
      <c r="E506" s="137" t="str">
        <f>(IF((VLOOKUP(Table6[[#This Row],[SKU]],'All Skus'!$A:$AC,2,FALSE))="JBL",(VLOOKUP(Table6[[#This Row],[SKU]],'All Skus'!$A:$AC,6,FALSE)),""))</f>
        <v>YES</v>
      </c>
      <c r="F506" s="61">
        <f>(IF((VLOOKUP(Table6[[#This Row],[SKU]],'All Skus'!$A:$AC,2,FALSE))="JBL",(VLOOKUP(Table6[[#This Row],[SKU]],'All Skus'!$A:$AC,7,FALSE)),""))</f>
        <v>0</v>
      </c>
      <c r="G506" t="str">
        <f>(IF((VLOOKUP(Table6[[#This Row],[SKU]],'All Skus'!$A:$AC,2,FALSE))="JBL",(VLOOKUP(Table6[[#This Row],[SKU]],'All Skus'!$A:$AC,8,FALSE)),""))</f>
        <v>Two-way full range loudspeaker (Weather Protection Treatment)</v>
      </c>
      <c r="H506"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506" s="101" t="str">
        <f>(IF((VLOOKUP(Table6[[#This Row],[SKU]],'All Skus'!$A:$AC,2,FALSE))="JBL",(VLOOKUP(Table6[[#This Row],[SKU]],'All Skus'!$A:$AC,10,FALSE)),""))</f>
        <v>Please email CustomAudio@harman.com for quote</v>
      </c>
      <c r="J506" s="101">
        <f>(IF((VLOOKUP(Table6[[#This Row],[SKU]],'All Skus'!$A:$AC,2,FALSE))="JBL",(VLOOKUP(Table6[[#This Row],[SKU]],'All Skus'!$A:$AC,11,FALSE)),""))</f>
        <v>0</v>
      </c>
      <c r="K506" s="102">
        <f>(IF((VLOOKUP(Table6[[#This Row],[SKU]],'All Skus'!$A:$AC,2,FALSE))="JBL",(VLOOKUP(Table6[[#This Row],[SKU]],'All Skus'!$A:$AC,13,FALSE)),""))</f>
        <v>0</v>
      </c>
      <c r="L506" s="102">
        <f>(IF((VLOOKUP(Table6[[#This Row],[SKU]],'All Skus'!$A:$AC,2,FALSE))="JBL",(VLOOKUP(Table6[[#This Row],[SKU]],'All Skus'!$A:$AC,14,FALSE)),""))</f>
        <v>0</v>
      </c>
      <c r="M506" s="143">
        <f>(IF((VLOOKUP(Table6[[#This Row],[SKU]],'All Skus'!$A:$AC,2,FALSE))="JBL",(VLOOKUP(Table6[[#This Row],[SKU]],'All Skus'!$A:$AC,15,FALSE)),""))</f>
        <v>0</v>
      </c>
      <c r="N506" s="137">
        <f>(IF((VLOOKUP(Table6[[#This Row],[SKU]],'All Skus'!$A:$AC,2,FALSE))="JBL",(VLOOKUP(Table6[[#This Row],[SKU]],'All Skus'!$A:$AC,16,FALSE)),""))</f>
        <v>691991011320</v>
      </c>
      <c r="O506" s="61">
        <f>(IF((VLOOKUP(Table6[[#This Row],[SKU]],'All Skus'!$A:$AC,2,FALSE))="JBL",(VLOOKUP(Table6[[#This Row],[SKU]],'All Skus'!$A:$AC,17,FALSE)),""))</f>
        <v>0</v>
      </c>
      <c r="P506" s="136">
        <f>(IF((VLOOKUP(Table6[[#This Row],[SKU]],'All Skus'!$A:$AC,2,FALSE))="JBL",(VLOOKUP(Table6[[#This Row],[SKU]],'All Skus'!$A:$AC,18,FALSE)),""))</f>
        <v>0</v>
      </c>
      <c r="Q506" s="136">
        <f>(IF((VLOOKUP(Table6[[#This Row],[SKU]],'All Skus'!$A:$AC,2,FALSE))="JBL",(VLOOKUP(Table6[[#This Row],[SKU]],'All Skus'!$A:$AC,19,FALSE)),""))</f>
        <v>0</v>
      </c>
      <c r="R506" s="136">
        <f>(IF((VLOOKUP(Table6[[#This Row],[SKU]],'All Skus'!$A:$AC,2,FALSE))="JBL",(VLOOKUP(Table6[[#This Row],[SKU]],'All Skus'!$A:$AC,20,FALSE)),""))</f>
        <v>0</v>
      </c>
      <c r="S506" s="61">
        <f>(IF((VLOOKUP(Table6[[#This Row],[SKU]],'All Skus'!$A:$AC,2,FALSE))="JBL",(VLOOKUP(Table6[[#This Row],[SKU]],'All Skus'!$A:$AC,21,FALSE)),""))</f>
        <v>0</v>
      </c>
      <c r="T506" s="61" t="str">
        <f>(IF((VLOOKUP(Table6[[#This Row],[SKU]],'All Skus'!$A:$AC,2,FALSE))="JBL",(VLOOKUP(Table6[[#This Row],[SKU]],'All Skus'!$A:$AC,22,FALSE)),""))</f>
        <v>MX</v>
      </c>
      <c r="U506" t="str">
        <f>(IF((VLOOKUP(Table6[[#This Row],[SKU]],'All Skus'!$A:$AC,2,FALSE))="JBL",(VLOOKUP(Table6[[#This Row],[SKU]],'All Skus'!$A:$AC,23,FALSE)),""))</f>
        <v>Compliant</v>
      </c>
      <c r="V506" s="284" t="str">
        <f>HYPERLINK((IF((VLOOKUP(Table6[[#This Row],[SKU]],'All Skus'!$A:$AC,2,FALSE))="JBL",(VLOOKUP(Table6[[#This Row],[SKU]],'All Skus'!$A:$AC,24,FALSE)),"")))</f>
        <v/>
      </c>
      <c r="W506" s="151">
        <v>504</v>
      </c>
    </row>
    <row r="507" spans="1:23" ht="15" hidden="1" customHeight="1">
      <c r="A507" s="13" t="s">
        <v>1513</v>
      </c>
      <c r="B507" s="12" t="str">
        <f>(IF((VLOOKUP(Table6[[#This Row],[SKU]],'All Skus'!$A:$AC,2,FALSE))="JBL",(VLOOKUP(Table6[[#This Row],[SKU]],'All Skus'!$A:$AC,3,FALSE)),""))</f>
        <v>Custom Shop Item</v>
      </c>
      <c r="C507" s="12" t="str">
        <f>(IF((VLOOKUP(Table6[[#This Row],[SKU]],'All Skus'!$A:$AC,2,FALSE))="JBL",(VLOOKUP(Table6[[#This Row],[SKU]],'All Skus'!$A:$AC,4,FALSE)),""))</f>
        <v>AM7212/26-WRX</v>
      </c>
      <c r="D507" s="61" t="str">
        <f>(IF((VLOOKUP(Table6[[#This Row],[SKU]],'All Skus'!$A:$AC,2,FALSE))="JBL",(VLOOKUP(Table6[[#This Row],[SKU]],'All Skus'!$A:$AC,5,FALSE)),""))</f>
        <v>JBL050</v>
      </c>
      <c r="E507" s="137" t="str">
        <f>(IF((VLOOKUP(Table6[[#This Row],[SKU]],'All Skus'!$A:$AC,2,FALSE))="JBL",(VLOOKUP(Table6[[#This Row],[SKU]],'All Skus'!$A:$AC,6,FALSE)),""))</f>
        <v>YES</v>
      </c>
      <c r="F507" s="61">
        <f>(IF((VLOOKUP(Table6[[#This Row],[SKU]],'All Skus'!$A:$AC,2,FALSE))="JBL",(VLOOKUP(Table6[[#This Row],[SKU]],'All Skus'!$A:$AC,7,FALSE)),""))</f>
        <v>0</v>
      </c>
      <c r="G507" t="str">
        <f>(IF((VLOOKUP(Table6[[#This Row],[SKU]],'All Skus'!$A:$AC,2,FALSE))="JBL",(VLOOKUP(Table6[[#This Row],[SKU]],'All Skus'!$A:$AC,8,FALSE)),""))</f>
        <v>Two-way full range loudspeaker (Extreme Weather Protection Treatment)</v>
      </c>
      <c r="H507" s="8" t="str">
        <f>(IF((VLOOKUP(Table6[[#This Row],[SKU]],'All Skus'!$A:$AC,2,FALSE))="JBL",(VLOOKUP(Table6[[#This Row],[SKU]],'All Skus'!$A:$AC,9,FALSE)),""))</f>
        <v xml:space="preserve">High Power 12” 2-Way Full-Range Loudspeaker System with JBL Differential Drive® 75mm (3-in) dual voice coil and dual magnetic gap 2262H low frequency driver and 2432H high-frequency 38mm (1.5 in) exit, 75mm (3 in) voice-coil compression driver. 120° x 60°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507" s="101" t="str">
        <f>(IF((VLOOKUP(Table6[[#This Row],[SKU]],'All Skus'!$A:$AC,2,FALSE))="JBL",(VLOOKUP(Table6[[#This Row],[SKU]],'All Skus'!$A:$AC,10,FALSE)),""))</f>
        <v>Please email CustomAudio@harman.com for quote</v>
      </c>
      <c r="J507" s="101">
        <f>(IF((VLOOKUP(Table6[[#This Row],[SKU]],'All Skus'!$A:$AC,2,FALSE))="JBL",(VLOOKUP(Table6[[#This Row],[SKU]],'All Skus'!$A:$AC,11,FALSE)),""))</f>
        <v>0</v>
      </c>
      <c r="K507" s="102">
        <f>(IF((VLOOKUP(Table6[[#This Row],[SKU]],'All Skus'!$A:$AC,2,FALSE))="JBL",(VLOOKUP(Table6[[#This Row],[SKU]],'All Skus'!$A:$AC,13,FALSE)),""))</f>
        <v>0</v>
      </c>
      <c r="L507" s="102">
        <f>(IF((VLOOKUP(Table6[[#This Row],[SKU]],'All Skus'!$A:$AC,2,FALSE))="JBL",(VLOOKUP(Table6[[#This Row],[SKU]],'All Skus'!$A:$AC,14,FALSE)),""))</f>
        <v>0</v>
      </c>
      <c r="M507" s="143">
        <f>(IF((VLOOKUP(Table6[[#This Row],[SKU]],'All Skus'!$A:$AC,2,FALSE))="JBL",(VLOOKUP(Table6[[#This Row],[SKU]],'All Skus'!$A:$AC,15,FALSE)),""))</f>
        <v>0</v>
      </c>
      <c r="N507" s="137">
        <f>(IF((VLOOKUP(Table6[[#This Row],[SKU]],'All Skus'!$A:$AC,2,FALSE))="JBL",(VLOOKUP(Table6[[#This Row],[SKU]],'All Skus'!$A:$AC,16,FALSE)),""))</f>
        <v>691991011337</v>
      </c>
      <c r="O507" s="61">
        <f>(IF((VLOOKUP(Table6[[#This Row],[SKU]],'All Skus'!$A:$AC,2,FALSE))="JBL",(VLOOKUP(Table6[[#This Row],[SKU]],'All Skus'!$A:$AC,17,FALSE)),""))</f>
        <v>0</v>
      </c>
      <c r="P507" s="136">
        <f>(IF((VLOOKUP(Table6[[#This Row],[SKU]],'All Skus'!$A:$AC,2,FALSE))="JBL",(VLOOKUP(Table6[[#This Row],[SKU]],'All Skus'!$A:$AC,18,FALSE)),""))</f>
        <v>20</v>
      </c>
      <c r="Q507" s="136">
        <f>(IF((VLOOKUP(Table6[[#This Row],[SKU]],'All Skus'!$A:$AC,2,FALSE))="JBL",(VLOOKUP(Table6[[#This Row],[SKU]],'All Skus'!$A:$AC,19,FALSE)),""))</f>
        <v>21</v>
      </c>
      <c r="R507" s="136">
        <f>(IF((VLOOKUP(Table6[[#This Row],[SKU]],'All Skus'!$A:$AC,2,FALSE))="JBL",(VLOOKUP(Table6[[#This Row],[SKU]],'All Skus'!$A:$AC,20,FALSE)),""))</f>
        <v>19</v>
      </c>
      <c r="S507" s="61">
        <f>(IF((VLOOKUP(Table6[[#This Row],[SKU]],'All Skus'!$A:$AC,2,FALSE))="JBL",(VLOOKUP(Table6[[#This Row],[SKU]],'All Skus'!$A:$AC,21,FALSE)),""))</f>
        <v>35</v>
      </c>
      <c r="T507" s="61" t="str">
        <f>(IF((VLOOKUP(Table6[[#This Row],[SKU]],'All Skus'!$A:$AC,2,FALSE))="JBL",(VLOOKUP(Table6[[#This Row],[SKU]],'All Skus'!$A:$AC,22,FALSE)),""))</f>
        <v>MX</v>
      </c>
      <c r="U507" t="str">
        <f>(IF((VLOOKUP(Table6[[#This Row],[SKU]],'All Skus'!$A:$AC,2,FALSE))="JBL",(VLOOKUP(Table6[[#This Row],[SKU]],'All Skus'!$A:$AC,23,FALSE)),""))</f>
        <v>Compliant</v>
      </c>
      <c r="V507" s="284" t="str">
        <f>HYPERLINK((IF((VLOOKUP(Table6[[#This Row],[SKU]],'All Skus'!$A:$AC,2,FALSE))="JBL",(VLOOKUP(Table6[[#This Row],[SKU]],'All Skus'!$A:$AC,24,FALSE)),"")))</f>
        <v/>
      </c>
      <c r="W507" s="151">
        <v>505</v>
      </c>
    </row>
    <row r="508" spans="1:23" ht="15" hidden="1" customHeight="1">
      <c r="A508" s="13" t="s">
        <v>1514</v>
      </c>
      <c r="B508" s="12" t="str">
        <f>(IF((VLOOKUP(Table6[[#This Row],[SKU]],'All Skus'!$A:$AC,2,FALSE))="JBL",(VLOOKUP(Table6[[#This Row],[SKU]],'All Skus'!$A:$AC,3,FALSE)),""))</f>
        <v>AE Series</v>
      </c>
      <c r="C508" s="12" t="str">
        <f>(IF((VLOOKUP(Table6[[#This Row],[SKU]],'All Skus'!$A:$AC,2,FALSE))="JBL",(VLOOKUP(Table6[[#This Row],[SKU]],'All Skus'!$A:$AC,4,FALSE)),""))</f>
        <v>AM7212/64</v>
      </c>
      <c r="D508" s="61" t="str">
        <f>(IF((VLOOKUP(Table6[[#This Row],[SKU]],'All Skus'!$A:$AC,2,FALSE))="JBL",(VLOOKUP(Table6[[#This Row],[SKU]],'All Skus'!$A:$AC,5,FALSE)),""))</f>
        <v>JBL052</v>
      </c>
      <c r="E508" s="137">
        <f>(IF((VLOOKUP(Table6[[#This Row],[SKU]],'All Skus'!$A:$AC,2,FALSE))="JBL",(VLOOKUP(Table6[[#This Row],[SKU]],'All Skus'!$A:$AC,6,FALSE)),""))</f>
        <v>0</v>
      </c>
      <c r="F508" s="61">
        <f>(IF((VLOOKUP(Table6[[#This Row],[SKU]],'All Skus'!$A:$AC,2,FALSE))="JBL",(VLOOKUP(Table6[[#This Row],[SKU]],'All Skus'!$A:$AC,7,FALSE)),""))</f>
        <v>0</v>
      </c>
      <c r="G508" t="str">
        <f>(IF((VLOOKUP(Table6[[#This Row],[SKU]],'All Skus'!$A:$AC,2,FALSE))="JBL",(VLOOKUP(Table6[[#This Row],[SKU]],'All Skus'!$A:$AC,8,FALSE)),""))</f>
        <v>Two-way full range loudspeaker</v>
      </c>
      <c r="H508"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v>
      </c>
      <c r="I508" s="101">
        <f>(IF((VLOOKUP(Table6[[#This Row],[SKU]],'All Skus'!$A:$AC,2,FALSE))="JBL",(VLOOKUP(Table6[[#This Row],[SKU]],'All Skus'!$A:$AC,10,FALSE)),""))</f>
        <v>3500</v>
      </c>
      <c r="J508" s="101">
        <f>(IF((VLOOKUP(Table6[[#This Row],[SKU]],'All Skus'!$A:$AC,2,FALSE))="JBL",(VLOOKUP(Table6[[#This Row],[SKU]],'All Skus'!$A:$AC,11,FALSE)),""))</f>
        <v>3500</v>
      </c>
      <c r="K508" s="102">
        <f>(IF((VLOOKUP(Table6[[#This Row],[SKU]],'All Skus'!$A:$AC,2,FALSE))="JBL",(VLOOKUP(Table6[[#This Row],[SKU]],'All Skus'!$A:$AC,13,FALSE)),""))</f>
        <v>0</v>
      </c>
      <c r="L508" s="102">
        <f>(IF((VLOOKUP(Table6[[#This Row],[SKU]],'All Skus'!$A:$AC,2,FALSE))="JBL",(VLOOKUP(Table6[[#This Row],[SKU]],'All Skus'!$A:$AC,14,FALSE)),""))</f>
        <v>0</v>
      </c>
      <c r="M508" s="143">
        <f>(IF((VLOOKUP(Table6[[#This Row],[SKU]],'All Skus'!$A:$AC,2,FALSE))="JBL",(VLOOKUP(Table6[[#This Row],[SKU]],'All Skus'!$A:$AC,15,FALSE)),""))</f>
        <v>0</v>
      </c>
      <c r="N508" s="137">
        <f>(IF((VLOOKUP(Table6[[#This Row],[SKU]],'All Skus'!$A:$AC,2,FALSE))="JBL",(VLOOKUP(Table6[[#This Row],[SKU]],'All Skus'!$A:$AC,16,FALSE)),""))</f>
        <v>691991011344</v>
      </c>
      <c r="O508" s="61">
        <f>(IF((VLOOKUP(Table6[[#This Row],[SKU]],'All Skus'!$A:$AC,2,FALSE))="JBL",(VLOOKUP(Table6[[#This Row],[SKU]],'All Skus'!$A:$AC,17,FALSE)),""))</f>
        <v>0</v>
      </c>
      <c r="P508" s="136">
        <f>(IF((VLOOKUP(Table6[[#This Row],[SKU]],'All Skus'!$A:$AC,2,FALSE))="JBL",(VLOOKUP(Table6[[#This Row],[SKU]],'All Skus'!$A:$AC,18,FALSE)),""))</f>
        <v>59</v>
      </c>
      <c r="Q508" s="136">
        <f>(IF((VLOOKUP(Table6[[#This Row],[SKU]],'All Skus'!$A:$AC,2,FALSE))="JBL",(VLOOKUP(Table6[[#This Row],[SKU]],'All Skus'!$A:$AC,19,FALSE)),""))</f>
        <v>20</v>
      </c>
      <c r="R508" s="136">
        <f>(IF((VLOOKUP(Table6[[#This Row],[SKU]],'All Skus'!$A:$AC,2,FALSE))="JBL",(VLOOKUP(Table6[[#This Row],[SKU]],'All Skus'!$A:$AC,20,FALSE)),""))</f>
        <v>16</v>
      </c>
      <c r="S508" s="61">
        <f>(IF((VLOOKUP(Table6[[#This Row],[SKU]],'All Skus'!$A:$AC,2,FALSE))="JBL",(VLOOKUP(Table6[[#This Row],[SKU]],'All Skus'!$A:$AC,21,FALSE)),""))</f>
        <v>30</v>
      </c>
      <c r="T508" s="61" t="str">
        <f>(IF((VLOOKUP(Table6[[#This Row],[SKU]],'All Skus'!$A:$AC,2,FALSE))="JBL",(VLOOKUP(Table6[[#This Row],[SKU]],'All Skus'!$A:$AC,22,FALSE)),""))</f>
        <v>MX</v>
      </c>
      <c r="U508" t="str">
        <f>(IF((VLOOKUP(Table6[[#This Row],[SKU]],'All Skus'!$A:$AC,2,FALSE))="JBL",(VLOOKUP(Table6[[#This Row],[SKU]],'All Skus'!$A:$AC,23,FALSE)),""))</f>
        <v>Compliant</v>
      </c>
      <c r="V508" s="284" t="str">
        <f>HYPERLINK((IF((VLOOKUP(Table6[[#This Row],[SKU]],'All Skus'!$A:$AC,2,FALSE))="JBL",(VLOOKUP(Table6[[#This Row],[SKU]],'All Skus'!$A:$AC,24,FALSE)),"")))</f>
        <v/>
      </c>
      <c r="W508" s="151">
        <v>506</v>
      </c>
    </row>
    <row r="509" spans="1:23" ht="15" hidden="1" customHeight="1">
      <c r="A509" s="13" t="s">
        <v>1515</v>
      </c>
      <c r="B509" s="12" t="str">
        <f>(IF((VLOOKUP(Table6[[#This Row],[SKU]],'All Skus'!$A:$AC,2,FALSE))="JBL",(VLOOKUP(Table6[[#This Row],[SKU]],'All Skus'!$A:$AC,3,FALSE)),""))</f>
        <v>AE Series</v>
      </c>
      <c r="C509" s="12" t="str">
        <f>(IF((VLOOKUP(Table6[[#This Row],[SKU]],'All Skus'!$A:$AC,2,FALSE))="JBL",(VLOOKUP(Table6[[#This Row],[SKU]],'All Skus'!$A:$AC,4,FALSE)),""))</f>
        <v>AM7212/64-WH</v>
      </c>
      <c r="D509" s="61" t="str">
        <f>(IF((VLOOKUP(Table6[[#This Row],[SKU]],'All Skus'!$A:$AC,2,FALSE))="JBL",(VLOOKUP(Table6[[#This Row],[SKU]],'All Skus'!$A:$AC,5,FALSE)),""))</f>
        <v>JBL052</v>
      </c>
      <c r="E509" s="137">
        <f>(IF((VLOOKUP(Table6[[#This Row],[SKU]],'All Skus'!$A:$AC,2,FALSE))="JBL",(VLOOKUP(Table6[[#This Row],[SKU]],'All Skus'!$A:$AC,6,FALSE)),""))</f>
        <v>0</v>
      </c>
      <c r="F509" s="61">
        <f>(IF((VLOOKUP(Table6[[#This Row],[SKU]],'All Skus'!$A:$AC,2,FALSE))="JBL",(VLOOKUP(Table6[[#This Row],[SKU]],'All Skus'!$A:$AC,7,FALSE)),""))</f>
        <v>0</v>
      </c>
      <c r="G509" t="str">
        <f>(IF((VLOOKUP(Table6[[#This Row],[SKU]],'All Skus'!$A:$AC,2,FALSE))="JBL",(VLOOKUP(Table6[[#This Row],[SKU]],'All Skus'!$A:$AC,8,FALSE)),""))</f>
        <v>Two-way full range loudspeaker (white)</v>
      </c>
      <c r="H509"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MTU-3.  White finish.</v>
      </c>
      <c r="I509" s="101">
        <f>(IF((VLOOKUP(Table6[[#This Row],[SKU]],'All Skus'!$A:$AC,2,FALSE))="JBL",(VLOOKUP(Table6[[#This Row],[SKU]],'All Skus'!$A:$AC,10,FALSE)),""))</f>
        <v>3500</v>
      </c>
      <c r="J509" s="101">
        <f>(IF((VLOOKUP(Table6[[#This Row],[SKU]],'All Skus'!$A:$AC,2,FALSE))="JBL",(VLOOKUP(Table6[[#This Row],[SKU]],'All Skus'!$A:$AC,11,FALSE)),""))</f>
        <v>3500</v>
      </c>
      <c r="K509" s="102">
        <f>(IF((VLOOKUP(Table6[[#This Row],[SKU]],'All Skus'!$A:$AC,2,FALSE))="JBL",(VLOOKUP(Table6[[#This Row],[SKU]],'All Skus'!$A:$AC,13,FALSE)),""))</f>
        <v>0</v>
      </c>
      <c r="L509" s="102">
        <f>(IF((VLOOKUP(Table6[[#This Row],[SKU]],'All Skus'!$A:$AC,2,FALSE))="JBL",(VLOOKUP(Table6[[#This Row],[SKU]],'All Skus'!$A:$AC,14,FALSE)),""))</f>
        <v>0</v>
      </c>
      <c r="M509" s="143">
        <f>(IF((VLOOKUP(Table6[[#This Row],[SKU]],'All Skus'!$A:$AC,2,FALSE))="JBL",(VLOOKUP(Table6[[#This Row],[SKU]],'All Skus'!$A:$AC,15,FALSE)),""))</f>
        <v>0</v>
      </c>
      <c r="N509" s="137">
        <f>(IF((VLOOKUP(Table6[[#This Row],[SKU]],'All Skus'!$A:$AC,2,FALSE))="JBL",(VLOOKUP(Table6[[#This Row],[SKU]],'All Skus'!$A:$AC,16,FALSE)),""))</f>
        <v>691991011351</v>
      </c>
      <c r="O509" s="61">
        <f>(IF((VLOOKUP(Table6[[#This Row],[SKU]],'All Skus'!$A:$AC,2,FALSE))="JBL",(VLOOKUP(Table6[[#This Row],[SKU]],'All Skus'!$A:$AC,17,FALSE)),""))</f>
        <v>0</v>
      </c>
      <c r="P509" s="136">
        <f>(IF((VLOOKUP(Table6[[#This Row],[SKU]],'All Skus'!$A:$AC,2,FALSE))="JBL",(VLOOKUP(Table6[[#This Row],[SKU]],'All Skus'!$A:$AC,18,FALSE)),""))</f>
        <v>60.65</v>
      </c>
      <c r="Q509" s="136">
        <f>(IF((VLOOKUP(Table6[[#This Row],[SKU]],'All Skus'!$A:$AC,2,FALSE))="JBL",(VLOOKUP(Table6[[#This Row],[SKU]],'All Skus'!$A:$AC,19,FALSE)),""))</f>
        <v>19</v>
      </c>
      <c r="R509" s="136">
        <f>(IF((VLOOKUP(Table6[[#This Row],[SKU]],'All Skus'!$A:$AC,2,FALSE))="JBL",(VLOOKUP(Table6[[#This Row],[SKU]],'All Skus'!$A:$AC,20,FALSE)),""))</f>
        <v>16</v>
      </c>
      <c r="S509" s="61">
        <f>(IF((VLOOKUP(Table6[[#This Row],[SKU]],'All Skus'!$A:$AC,2,FALSE))="JBL",(VLOOKUP(Table6[[#This Row],[SKU]],'All Skus'!$A:$AC,21,FALSE)),""))</f>
        <v>30</v>
      </c>
      <c r="T509" s="61" t="str">
        <f>(IF((VLOOKUP(Table6[[#This Row],[SKU]],'All Skus'!$A:$AC,2,FALSE))="JBL",(VLOOKUP(Table6[[#This Row],[SKU]],'All Skus'!$A:$AC,22,FALSE)),""))</f>
        <v>MX</v>
      </c>
      <c r="U509" t="str">
        <f>(IF((VLOOKUP(Table6[[#This Row],[SKU]],'All Skus'!$A:$AC,2,FALSE))="JBL",(VLOOKUP(Table6[[#This Row],[SKU]],'All Skus'!$A:$AC,23,FALSE)),""))</f>
        <v>Compliant</v>
      </c>
      <c r="V509" s="284" t="str">
        <f>HYPERLINK((IF((VLOOKUP(Table6[[#This Row],[SKU]],'All Skus'!$A:$AC,2,FALSE))="JBL",(VLOOKUP(Table6[[#This Row],[SKU]],'All Skus'!$A:$AC,24,FALSE)),"")))</f>
        <v/>
      </c>
      <c r="W509" s="151">
        <v>507</v>
      </c>
    </row>
    <row r="510" spans="1:23" ht="15" hidden="1" customHeight="1">
      <c r="A510" s="13" t="s">
        <v>1516</v>
      </c>
      <c r="B510" s="12" t="str">
        <f>(IF((VLOOKUP(Table6[[#This Row],[SKU]],'All Skus'!$A:$AC,2,FALSE))="JBL",(VLOOKUP(Table6[[#This Row],[SKU]],'All Skus'!$A:$AC,3,FALSE)),""))</f>
        <v>Custom Shop Item</v>
      </c>
      <c r="C510" s="12" t="str">
        <f>(IF((VLOOKUP(Table6[[#This Row],[SKU]],'All Skus'!$A:$AC,2,FALSE))="JBL",(VLOOKUP(Table6[[#This Row],[SKU]],'All Skus'!$A:$AC,4,FALSE)),""))</f>
        <v>AM7212/64-WRC</v>
      </c>
      <c r="D510" s="61" t="str">
        <f>(IF((VLOOKUP(Table6[[#This Row],[SKU]],'All Skus'!$A:$AC,2,FALSE))="JBL",(VLOOKUP(Table6[[#This Row],[SKU]],'All Skus'!$A:$AC,5,FALSE)),""))</f>
        <v>JBL050</v>
      </c>
      <c r="E510" s="137" t="str">
        <f>(IF((VLOOKUP(Table6[[#This Row],[SKU]],'All Skus'!$A:$AC,2,FALSE))="JBL",(VLOOKUP(Table6[[#This Row],[SKU]],'All Skus'!$A:$AC,6,FALSE)),""))</f>
        <v>YES</v>
      </c>
      <c r="F510" s="61">
        <f>(IF((VLOOKUP(Table6[[#This Row],[SKU]],'All Skus'!$A:$AC,2,FALSE))="JBL",(VLOOKUP(Table6[[#This Row],[SKU]],'All Skus'!$A:$AC,7,FALSE)),""))</f>
        <v>0</v>
      </c>
      <c r="G510" t="str">
        <f>(IF((VLOOKUP(Table6[[#This Row],[SKU]],'All Skus'!$A:$AC,2,FALSE))="JBL",(VLOOKUP(Table6[[#This Row],[SKU]],'All Skus'!$A:$AC,8,FALSE)),""))</f>
        <v>Two-way full range loudspeaker (Weather Protection Treatment)</v>
      </c>
      <c r="H510"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510" s="101" t="str">
        <f>(IF((VLOOKUP(Table6[[#This Row],[SKU]],'All Skus'!$A:$AC,2,FALSE))="JBL",(VLOOKUP(Table6[[#This Row],[SKU]],'All Skus'!$A:$AC,10,FALSE)),""))</f>
        <v>Please email CustomAudio@harman.com for quote</v>
      </c>
      <c r="J510" s="101">
        <f>(IF((VLOOKUP(Table6[[#This Row],[SKU]],'All Skus'!$A:$AC,2,FALSE))="JBL",(VLOOKUP(Table6[[#This Row],[SKU]],'All Skus'!$A:$AC,11,FALSE)),""))</f>
        <v>0</v>
      </c>
      <c r="K510" s="102">
        <f>(IF((VLOOKUP(Table6[[#This Row],[SKU]],'All Skus'!$A:$AC,2,FALSE))="JBL",(VLOOKUP(Table6[[#This Row],[SKU]],'All Skus'!$A:$AC,13,FALSE)),""))</f>
        <v>0</v>
      </c>
      <c r="L510" s="102">
        <f>(IF((VLOOKUP(Table6[[#This Row],[SKU]],'All Skus'!$A:$AC,2,FALSE))="JBL",(VLOOKUP(Table6[[#This Row],[SKU]],'All Skus'!$A:$AC,14,FALSE)),""))</f>
        <v>0</v>
      </c>
      <c r="M510" s="143">
        <f>(IF((VLOOKUP(Table6[[#This Row],[SKU]],'All Skus'!$A:$AC,2,FALSE))="JBL",(VLOOKUP(Table6[[#This Row],[SKU]],'All Skus'!$A:$AC,15,FALSE)),""))</f>
        <v>0</v>
      </c>
      <c r="N510" s="137">
        <f>(IF((VLOOKUP(Table6[[#This Row],[SKU]],'All Skus'!$A:$AC,2,FALSE))="JBL",(VLOOKUP(Table6[[#This Row],[SKU]],'All Skus'!$A:$AC,16,FALSE)),""))</f>
        <v>691991011368</v>
      </c>
      <c r="O510" s="61">
        <f>(IF((VLOOKUP(Table6[[#This Row],[SKU]],'All Skus'!$A:$AC,2,FALSE))="JBL",(VLOOKUP(Table6[[#This Row],[SKU]],'All Skus'!$A:$AC,17,FALSE)),""))</f>
        <v>0</v>
      </c>
      <c r="P510" s="136">
        <f>(IF((VLOOKUP(Table6[[#This Row],[SKU]],'All Skus'!$A:$AC,2,FALSE))="JBL",(VLOOKUP(Table6[[#This Row],[SKU]],'All Skus'!$A:$AC,18,FALSE)),""))</f>
        <v>72</v>
      </c>
      <c r="Q510" s="136">
        <f>(IF((VLOOKUP(Table6[[#This Row],[SKU]],'All Skus'!$A:$AC,2,FALSE))="JBL",(VLOOKUP(Table6[[#This Row],[SKU]],'All Skus'!$A:$AC,19,FALSE)),""))</f>
        <v>21</v>
      </c>
      <c r="R510" s="136">
        <f>(IF((VLOOKUP(Table6[[#This Row],[SKU]],'All Skus'!$A:$AC,2,FALSE))="JBL",(VLOOKUP(Table6[[#This Row],[SKU]],'All Skus'!$A:$AC,20,FALSE)),""))</f>
        <v>19</v>
      </c>
      <c r="S510" s="61">
        <f>(IF((VLOOKUP(Table6[[#This Row],[SKU]],'All Skus'!$A:$AC,2,FALSE))="JBL",(VLOOKUP(Table6[[#This Row],[SKU]],'All Skus'!$A:$AC,21,FALSE)),""))</f>
        <v>34.5</v>
      </c>
      <c r="T510" s="61" t="str">
        <f>(IF((VLOOKUP(Table6[[#This Row],[SKU]],'All Skus'!$A:$AC,2,FALSE))="JBL",(VLOOKUP(Table6[[#This Row],[SKU]],'All Skus'!$A:$AC,22,FALSE)),""))</f>
        <v>MX</v>
      </c>
      <c r="U510" t="str">
        <f>(IF((VLOOKUP(Table6[[#This Row],[SKU]],'All Skus'!$A:$AC,2,FALSE))="JBL",(VLOOKUP(Table6[[#This Row],[SKU]],'All Skus'!$A:$AC,23,FALSE)),""))</f>
        <v>Compliant</v>
      </c>
      <c r="V510" s="284" t="str">
        <f>HYPERLINK((IF((VLOOKUP(Table6[[#This Row],[SKU]],'All Skus'!$A:$AC,2,FALSE))="JBL",(VLOOKUP(Table6[[#This Row],[SKU]],'All Skus'!$A:$AC,24,FALSE)),"")))</f>
        <v/>
      </c>
      <c r="W510" s="151">
        <v>508</v>
      </c>
    </row>
    <row r="511" spans="1:23" ht="15" hidden="1" customHeight="1">
      <c r="A511" s="13" t="s">
        <v>1517</v>
      </c>
      <c r="B511" s="12" t="str">
        <f>(IF((VLOOKUP(Table6[[#This Row],[SKU]],'All Skus'!$A:$AC,2,FALSE))="JBL",(VLOOKUP(Table6[[#This Row],[SKU]],'All Skus'!$A:$AC,3,FALSE)),""))</f>
        <v>AE Series</v>
      </c>
      <c r="C511" s="12" t="str">
        <f>(IF((VLOOKUP(Table6[[#This Row],[SKU]],'All Skus'!$A:$AC,2,FALSE))="JBL",(VLOOKUP(Table6[[#This Row],[SKU]],'All Skus'!$A:$AC,4,FALSE)),""))</f>
        <v>AM7212/66</v>
      </c>
      <c r="D511" s="61" t="str">
        <f>(IF((VLOOKUP(Table6[[#This Row],[SKU]],'All Skus'!$A:$AC,2,FALSE))="JBL",(VLOOKUP(Table6[[#This Row],[SKU]],'All Skus'!$A:$AC,5,FALSE)),""))</f>
        <v>JBL052</v>
      </c>
      <c r="E511" s="137">
        <f>(IF((VLOOKUP(Table6[[#This Row],[SKU]],'All Skus'!$A:$AC,2,FALSE))="JBL",(VLOOKUP(Table6[[#This Row],[SKU]],'All Skus'!$A:$AC,6,FALSE)),""))</f>
        <v>0</v>
      </c>
      <c r="F511" s="61">
        <f>(IF((VLOOKUP(Table6[[#This Row],[SKU]],'All Skus'!$A:$AC,2,FALSE))="JBL",(VLOOKUP(Table6[[#This Row],[SKU]],'All Skus'!$A:$AC,7,FALSE)),""))</f>
        <v>0</v>
      </c>
      <c r="G511" t="str">
        <f>(IF((VLOOKUP(Table6[[#This Row],[SKU]],'All Skus'!$A:$AC,2,FALSE))="JBL",(VLOOKUP(Table6[[#This Row],[SKU]],'All Skus'!$A:$AC,8,FALSE)),""))</f>
        <v>Two-way full range loudspeaker</v>
      </c>
      <c r="H511"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v>
      </c>
      <c r="I511" s="101">
        <f>(IF((VLOOKUP(Table6[[#This Row],[SKU]],'All Skus'!$A:$AC,2,FALSE))="JBL",(VLOOKUP(Table6[[#This Row],[SKU]],'All Skus'!$A:$AC,10,FALSE)),""))</f>
        <v>3500</v>
      </c>
      <c r="J511" s="101">
        <f>(IF((VLOOKUP(Table6[[#This Row],[SKU]],'All Skus'!$A:$AC,2,FALSE))="JBL",(VLOOKUP(Table6[[#This Row],[SKU]],'All Skus'!$A:$AC,11,FALSE)),""))</f>
        <v>3500</v>
      </c>
      <c r="K511" s="102">
        <f>(IF((VLOOKUP(Table6[[#This Row],[SKU]],'All Skus'!$A:$AC,2,FALSE))="JBL",(VLOOKUP(Table6[[#This Row],[SKU]],'All Skus'!$A:$AC,13,FALSE)),""))</f>
        <v>0</v>
      </c>
      <c r="L511" s="102">
        <f>(IF((VLOOKUP(Table6[[#This Row],[SKU]],'All Skus'!$A:$AC,2,FALSE))="JBL",(VLOOKUP(Table6[[#This Row],[SKU]],'All Skus'!$A:$AC,14,FALSE)),""))</f>
        <v>0</v>
      </c>
      <c r="M511" s="143">
        <f>(IF((VLOOKUP(Table6[[#This Row],[SKU]],'All Skus'!$A:$AC,2,FALSE))="JBL",(VLOOKUP(Table6[[#This Row],[SKU]],'All Skus'!$A:$AC,15,FALSE)),""))</f>
        <v>0</v>
      </c>
      <c r="N511" s="137">
        <f>(IF((VLOOKUP(Table6[[#This Row],[SKU]],'All Skus'!$A:$AC,2,FALSE))="JBL",(VLOOKUP(Table6[[#This Row],[SKU]],'All Skus'!$A:$AC,16,FALSE)),""))</f>
        <v>691991011382</v>
      </c>
      <c r="O511" s="61">
        <f>(IF((VLOOKUP(Table6[[#This Row],[SKU]],'All Skus'!$A:$AC,2,FALSE))="JBL",(VLOOKUP(Table6[[#This Row],[SKU]],'All Skus'!$A:$AC,17,FALSE)),""))</f>
        <v>0</v>
      </c>
      <c r="P511" s="136">
        <f>(IF((VLOOKUP(Table6[[#This Row],[SKU]],'All Skus'!$A:$AC,2,FALSE))="JBL",(VLOOKUP(Table6[[#This Row],[SKU]],'All Skus'!$A:$AC,18,FALSE)),""))</f>
        <v>51</v>
      </c>
      <c r="Q511" s="136">
        <f>(IF((VLOOKUP(Table6[[#This Row],[SKU]],'All Skus'!$A:$AC,2,FALSE))="JBL",(VLOOKUP(Table6[[#This Row],[SKU]],'All Skus'!$A:$AC,19,FALSE)),""))</f>
        <v>16</v>
      </c>
      <c r="R511" s="136">
        <f>(IF((VLOOKUP(Table6[[#This Row],[SKU]],'All Skus'!$A:$AC,2,FALSE))="JBL",(VLOOKUP(Table6[[#This Row],[SKU]],'All Skus'!$A:$AC,20,FALSE)),""))</f>
        <v>19</v>
      </c>
      <c r="S511" s="61">
        <f>(IF((VLOOKUP(Table6[[#This Row],[SKU]],'All Skus'!$A:$AC,2,FALSE))="JBL",(VLOOKUP(Table6[[#This Row],[SKU]],'All Skus'!$A:$AC,21,FALSE)),""))</f>
        <v>30</v>
      </c>
      <c r="T511" s="61" t="str">
        <f>(IF((VLOOKUP(Table6[[#This Row],[SKU]],'All Skus'!$A:$AC,2,FALSE))="JBL",(VLOOKUP(Table6[[#This Row],[SKU]],'All Skus'!$A:$AC,22,FALSE)),""))</f>
        <v>MX</v>
      </c>
      <c r="U511" t="str">
        <f>(IF((VLOOKUP(Table6[[#This Row],[SKU]],'All Skus'!$A:$AC,2,FALSE))="JBL",(VLOOKUP(Table6[[#This Row],[SKU]],'All Skus'!$A:$AC,23,FALSE)),""))</f>
        <v>Compliant</v>
      </c>
      <c r="V511" s="284" t="str">
        <f>HYPERLINK((IF((VLOOKUP(Table6[[#This Row],[SKU]],'All Skus'!$A:$AC,2,FALSE))="JBL",(VLOOKUP(Table6[[#This Row],[SKU]],'All Skus'!$A:$AC,24,FALSE)),"")))</f>
        <v/>
      </c>
      <c r="W511" s="151">
        <v>509</v>
      </c>
    </row>
    <row r="512" spans="1:23" ht="15" hidden="1" customHeight="1">
      <c r="A512" s="13" t="s">
        <v>1518</v>
      </c>
      <c r="B512" s="12" t="str">
        <f>(IF((VLOOKUP(Table6[[#This Row],[SKU]],'All Skus'!$A:$AC,2,FALSE))="JBL",(VLOOKUP(Table6[[#This Row],[SKU]],'All Skus'!$A:$AC,3,FALSE)),""))</f>
        <v>AE Series</v>
      </c>
      <c r="C512" s="12" t="str">
        <f>(IF((VLOOKUP(Table6[[#This Row],[SKU]],'All Skus'!$A:$AC,2,FALSE))="JBL",(VLOOKUP(Table6[[#This Row],[SKU]],'All Skus'!$A:$AC,4,FALSE)),""))</f>
        <v>AM7212/66-WH</v>
      </c>
      <c r="D512" s="61" t="str">
        <f>(IF((VLOOKUP(Table6[[#This Row],[SKU]],'All Skus'!$A:$AC,2,FALSE))="JBL",(VLOOKUP(Table6[[#This Row],[SKU]],'All Skus'!$A:$AC,5,FALSE)),""))</f>
        <v>JBL052</v>
      </c>
      <c r="E512" s="137">
        <f>(IF((VLOOKUP(Table6[[#This Row],[SKU]],'All Skus'!$A:$AC,2,FALSE))="JBL",(VLOOKUP(Table6[[#This Row],[SKU]],'All Skus'!$A:$AC,6,FALSE)),""))</f>
        <v>0</v>
      </c>
      <c r="F512" s="61">
        <f>(IF((VLOOKUP(Table6[[#This Row],[SKU]],'All Skus'!$A:$AC,2,FALSE))="JBL",(VLOOKUP(Table6[[#This Row],[SKU]],'All Skus'!$A:$AC,7,FALSE)),""))</f>
        <v>0</v>
      </c>
      <c r="G512" t="str">
        <f>(IF((VLOOKUP(Table6[[#This Row],[SKU]],'All Skus'!$A:$AC,2,FALSE))="JBL",(VLOOKUP(Table6[[#This Row],[SKU]],'All Skus'!$A:$AC,8,FALSE)),""))</f>
        <v>Two-way full range loudspeaker (white)</v>
      </c>
      <c r="H512"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Available in Black or White (-WH). Priced as each. Suspension eyebolts not included. Optional U-bracket model MTU-3.  White finish.</v>
      </c>
      <c r="I512" s="101">
        <f>(IF((VLOOKUP(Table6[[#This Row],[SKU]],'All Skus'!$A:$AC,2,FALSE))="JBL",(VLOOKUP(Table6[[#This Row],[SKU]],'All Skus'!$A:$AC,10,FALSE)),""))</f>
        <v>3500</v>
      </c>
      <c r="J512" s="101">
        <f>(IF((VLOOKUP(Table6[[#This Row],[SKU]],'All Skus'!$A:$AC,2,FALSE))="JBL",(VLOOKUP(Table6[[#This Row],[SKU]],'All Skus'!$A:$AC,11,FALSE)),""))</f>
        <v>3500</v>
      </c>
      <c r="K512" s="102">
        <f>(IF((VLOOKUP(Table6[[#This Row],[SKU]],'All Skus'!$A:$AC,2,FALSE))="JBL",(VLOOKUP(Table6[[#This Row],[SKU]],'All Skus'!$A:$AC,13,FALSE)),""))</f>
        <v>0</v>
      </c>
      <c r="L512" s="102">
        <f>(IF((VLOOKUP(Table6[[#This Row],[SKU]],'All Skus'!$A:$AC,2,FALSE))="JBL",(VLOOKUP(Table6[[#This Row],[SKU]],'All Skus'!$A:$AC,14,FALSE)),""))</f>
        <v>0</v>
      </c>
      <c r="M512" s="143">
        <f>(IF((VLOOKUP(Table6[[#This Row],[SKU]],'All Skus'!$A:$AC,2,FALSE))="JBL",(VLOOKUP(Table6[[#This Row],[SKU]],'All Skus'!$A:$AC,15,FALSE)),""))</f>
        <v>0</v>
      </c>
      <c r="N512" s="137">
        <f>(IF((VLOOKUP(Table6[[#This Row],[SKU]],'All Skus'!$A:$AC,2,FALSE))="JBL",(VLOOKUP(Table6[[#This Row],[SKU]],'All Skus'!$A:$AC,16,FALSE)),""))</f>
        <v>691991011399</v>
      </c>
      <c r="O512" s="61">
        <f>(IF((VLOOKUP(Table6[[#This Row],[SKU]],'All Skus'!$A:$AC,2,FALSE))="JBL",(VLOOKUP(Table6[[#This Row],[SKU]],'All Skus'!$A:$AC,17,FALSE)),""))</f>
        <v>0</v>
      </c>
      <c r="P512" s="136">
        <f>(IF((VLOOKUP(Table6[[#This Row],[SKU]],'All Skus'!$A:$AC,2,FALSE))="JBL",(VLOOKUP(Table6[[#This Row],[SKU]],'All Skus'!$A:$AC,18,FALSE)),""))</f>
        <v>60.65</v>
      </c>
      <c r="Q512" s="136">
        <f>(IF((VLOOKUP(Table6[[#This Row],[SKU]],'All Skus'!$A:$AC,2,FALSE))="JBL",(VLOOKUP(Table6[[#This Row],[SKU]],'All Skus'!$A:$AC,19,FALSE)),""))</f>
        <v>16</v>
      </c>
      <c r="R512" s="136">
        <f>(IF((VLOOKUP(Table6[[#This Row],[SKU]],'All Skus'!$A:$AC,2,FALSE))="JBL",(VLOOKUP(Table6[[#This Row],[SKU]],'All Skus'!$A:$AC,20,FALSE)),""))</f>
        <v>19</v>
      </c>
      <c r="S512" s="61">
        <f>(IF((VLOOKUP(Table6[[#This Row],[SKU]],'All Skus'!$A:$AC,2,FALSE))="JBL",(VLOOKUP(Table6[[#This Row],[SKU]],'All Skus'!$A:$AC,21,FALSE)),""))</f>
        <v>30</v>
      </c>
      <c r="T512" s="61" t="str">
        <f>(IF((VLOOKUP(Table6[[#This Row],[SKU]],'All Skus'!$A:$AC,2,FALSE))="JBL",(VLOOKUP(Table6[[#This Row],[SKU]],'All Skus'!$A:$AC,22,FALSE)),""))</f>
        <v>MX</v>
      </c>
      <c r="U512" t="str">
        <f>(IF((VLOOKUP(Table6[[#This Row],[SKU]],'All Skus'!$A:$AC,2,FALSE))="JBL",(VLOOKUP(Table6[[#This Row],[SKU]],'All Skus'!$A:$AC,23,FALSE)),""))</f>
        <v>Compliant</v>
      </c>
      <c r="V512" s="284" t="str">
        <f>HYPERLINK((IF((VLOOKUP(Table6[[#This Row],[SKU]],'All Skus'!$A:$AC,2,FALSE))="JBL",(VLOOKUP(Table6[[#This Row],[SKU]],'All Skus'!$A:$AC,24,FALSE)),"")))</f>
        <v/>
      </c>
      <c r="W512" s="151">
        <v>510</v>
      </c>
    </row>
    <row r="513" spans="1:23" ht="15" hidden="1" customHeight="1">
      <c r="A513" s="13" t="s">
        <v>1519</v>
      </c>
      <c r="B513" s="12" t="str">
        <f>(IF((VLOOKUP(Table6[[#This Row],[SKU]],'All Skus'!$A:$AC,2,FALSE))="JBL",(VLOOKUP(Table6[[#This Row],[SKU]],'All Skus'!$A:$AC,3,FALSE)),""))</f>
        <v>Custom Shop Item</v>
      </c>
      <c r="C513" s="12" t="str">
        <f>(IF((VLOOKUP(Table6[[#This Row],[SKU]],'All Skus'!$A:$AC,2,FALSE))="JBL",(VLOOKUP(Table6[[#This Row],[SKU]],'All Skus'!$A:$AC,4,FALSE)),""))</f>
        <v>AM7212/66-WRC</v>
      </c>
      <c r="D513" s="61">
        <f>(IF((VLOOKUP(Table6[[#This Row],[SKU]],'All Skus'!$A:$AC,2,FALSE))="JBL",(VLOOKUP(Table6[[#This Row],[SKU]],'All Skus'!$A:$AC,5,FALSE)),""))</f>
        <v>0</v>
      </c>
      <c r="E513" s="137" t="str">
        <f>(IF((VLOOKUP(Table6[[#This Row],[SKU]],'All Skus'!$A:$AC,2,FALSE))="JBL",(VLOOKUP(Table6[[#This Row],[SKU]],'All Skus'!$A:$AC,6,FALSE)),""))</f>
        <v>YES</v>
      </c>
      <c r="F513" s="61">
        <f>(IF((VLOOKUP(Table6[[#This Row],[SKU]],'All Skus'!$A:$AC,2,FALSE))="JBL",(VLOOKUP(Table6[[#This Row],[SKU]],'All Skus'!$A:$AC,7,FALSE)),""))</f>
        <v>0</v>
      </c>
      <c r="G513" t="str">
        <f>(IF((VLOOKUP(Table6[[#This Row],[SKU]],'All Skus'!$A:$AC,2,FALSE))="JBL",(VLOOKUP(Table6[[#This Row],[SKU]],'All Skus'!$A:$AC,8,FALSE)),""))</f>
        <v>Two-way full range loudspeaker (Weather Protection Treatment)</v>
      </c>
      <c r="H513" s="8" t="str">
        <f>(IF((VLOOKUP(Table6[[#This Row],[SKU]],'All Skus'!$A:$AC,2,FALSE))="JBL",(VLOOKUP(Table6[[#This Row],[SKU]],'All Skus'!$A:$AC,9,FALSE)),""))</f>
        <v>High Power 12” 2-Way Full-Range Loudspeaker System with JBL Differential Drive® 75mm (3-in) dual voice coil and dual magnetic gap 2262H low frequency driver and 2432H high-frequency 38mm (1.5 in) exit, 75mm (3 in) voice-coil compression driver.   60° x 60° 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513" s="101" t="str">
        <f>(IF((VLOOKUP(Table6[[#This Row],[SKU]],'All Skus'!$A:$AC,2,FALSE))="JBL",(VLOOKUP(Table6[[#This Row],[SKU]],'All Skus'!$A:$AC,10,FALSE)),""))</f>
        <v>Please email CustomAudio@harman.com for quote</v>
      </c>
      <c r="J513" s="101">
        <f>(IF((VLOOKUP(Table6[[#This Row],[SKU]],'All Skus'!$A:$AC,2,FALSE))="JBL",(VLOOKUP(Table6[[#This Row],[SKU]],'All Skus'!$A:$AC,11,FALSE)),""))</f>
        <v>0</v>
      </c>
      <c r="K513" s="102">
        <f>(IF((VLOOKUP(Table6[[#This Row],[SKU]],'All Skus'!$A:$AC,2,FALSE))="JBL",(VLOOKUP(Table6[[#This Row],[SKU]],'All Skus'!$A:$AC,13,FALSE)),""))</f>
        <v>0</v>
      </c>
      <c r="L513" s="102">
        <f>(IF((VLOOKUP(Table6[[#This Row],[SKU]],'All Skus'!$A:$AC,2,FALSE))="JBL",(VLOOKUP(Table6[[#This Row],[SKU]],'All Skus'!$A:$AC,14,FALSE)),""))</f>
        <v>0</v>
      </c>
      <c r="M513" s="143">
        <f>(IF((VLOOKUP(Table6[[#This Row],[SKU]],'All Skus'!$A:$AC,2,FALSE))="JBL",(VLOOKUP(Table6[[#This Row],[SKU]],'All Skus'!$A:$AC,15,FALSE)),""))</f>
        <v>0</v>
      </c>
      <c r="N513" s="137">
        <f>(IF((VLOOKUP(Table6[[#This Row],[SKU]],'All Skus'!$A:$AC,2,FALSE))="JBL",(VLOOKUP(Table6[[#This Row],[SKU]],'All Skus'!$A:$AC,16,FALSE)),""))</f>
        <v>691991011405</v>
      </c>
      <c r="O513" s="61">
        <f>(IF((VLOOKUP(Table6[[#This Row],[SKU]],'All Skus'!$A:$AC,2,FALSE))="JBL",(VLOOKUP(Table6[[#This Row],[SKU]],'All Skus'!$A:$AC,17,FALSE)),""))</f>
        <v>0</v>
      </c>
      <c r="P513" s="136">
        <f>(IF((VLOOKUP(Table6[[#This Row],[SKU]],'All Skus'!$A:$AC,2,FALSE))="JBL",(VLOOKUP(Table6[[#This Row],[SKU]],'All Skus'!$A:$AC,18,FALSE)),""))</f>
        <v>0</v>
      </c>
      <c r="Q513" s="136">
        <f>(IF((VLOOKUP(Table6[[#This Row],[SKU]],'All Skus'!$A:$AC,2,FALSE))="JBL",(VLOOKUP(Table6[[#This Row],[SKU]],'All Skus'!$A:$AC,19,FALSE)),""))</f>
        <v>0</v>
      </c>
      <c r="R513" s="136">
        <f>(IF((VLOOKUP(Table6[[#This Row],[SKU]],'All Skus'!$A:$AC,2,FALSE))="JBL",(VLOOKUP(Table6[[#This Row],[SKU]],'All Skus'!$A:$AC,20,FALSE)),""))</f>
        <v>0</v>
      </c>
      <c r="S513" s="61">
        <f>(IF((VLOOKUP(Table6[[#This Row],[SKU]],'All Skus'!$A:$AC,2,FALSE))="JBL",(VLOOKUP(Table6[[#This Row],[SKU]],'All Skus'!$A:$AC,21,FALSE)),""))</f>
        <v>0</v>
      </c>
      <c r="T513" s="61" t="str">
        <f>(IF((VLOOKUP(Table6[[#This Row],[SKU]],'All Skus'!$A:$AC,2,FALSE))="JBL",(VLOOKUP(Table6[[#This Row],[SKU]],'All Skus'!$A:$AC,22,FALSE)),""))</f>
        <v>MX</v>
      </c>
      <c r="U513" t="str">
        <f>(IF((VLOOKUP(Table6[[#This Row],[SKU]],'All Skus'!$A:$AC,2,FALSE))="JBL",(VLOOKUP(Table6[[#This Row],[SKU]],'All Skus'!$A:$AC,23,FALSE)),""))</f>
        <v>Compliant</v>
      </c>
      <c r="V513" s="284" t="str">
        <f>HYPERLINK((IF((VLOOKUP(Table6[[#This Row],[SKU]],'All Skus'!$A:$AC,2,FALSE))="JBL",(VLOOKUP(Table6[[#This Row],[SKU]],'All Skus'!$A:$AC,24,FALSE)),"")))</f>
        <v/>
      </c>
      <c r="W513" s="151">
        <v>511</v>
      </c>
    </row>
    <row r="514" spans="1:23" ht="15" hidden="1" customHeight="1">
      <c r="A514" s="13" t="s">
        <v>1520</v>
      </c>
      <c r="B514" s="12" t="str">
        <f>(IF((VLOOKUP(Table6[[#This Row],[SKU]],'All Skus'!$A:$AC,2,FALSE))="JBL",(VLOOKUP(Table6[[#This Row],[SKU]],'All Skus'!$A:$AC,3,FALSE)),""))</f>
        <v>Custom Shop Item</v>
      </c>
      <c r="C514" s="12" t="str">
        <f>(IF((VLOOKUP(Table6[[#This Row],[SKU]],'All Skus'!$A:$AC,2,FALSE))="JBL",(VLOOKUP(Table6[[#This Row],[SKU]],'All Skus'!$A:$AC,4,FALSE)),""))</f>
        <v>AM7212/66-WRX</v>
      </c>
      <c r="D514" s="61" t="str">
        <f>(IF((VLOOKUP(Table6[[#This Row],[SKU]],'All Skus'!$A:$AC,2,FALSE))="JBL",(VLOOKUP(Table6[[#This Row],[SKU]],'All Skus'!$A:$AC,5,FALSE)),""))</f>
        <v>JBL050</v>
      </c>
      <c r="E514" s="137" t="str">
        <f>(IF((VLOOKUP(Table6[[#This Row],[SKU]],'All Skus'!$A:$AC,2,FALSE))="JBL",(VLOOKUP(Table6[[#This Row],[SKU]],'All Skus'!$A:$AC,6,FALSE)),""))</f>
        <v>YES</v>
      </c>
      <c r="F514" s="61">
        <f>(IF((VLOOKUP(Table6[[#This Row],[SKU]],'All Skus'!$A:$AC,2,FALSE))="JBL",(VLOOKUP(Table6[[#This Row],[SKU]],'All Skus'!$A:$AC,7,FALSE)),""))</f>
        <v>0</v>
      </c>
      <c r="G514" t="str">
        <f>(IF((VLOOKUP(Table6[[#This Row],[SKU]],'All Skus'!$A:$AC,2,FALSE))="JBL",(VLOOKUP(Table6[[#This Row],[SKU]],'All Skus'!$A:$AC,8,FALSE)),""))</f>
        <v>Two-way full range loudspeaker (Extreme Weather Protection Treatment)</v>
      </c>
      <c r="H514" s="8" t="str">
        <f>(IF((VLOOKUP(Table6[[#This Row],[SKU]],'All Skus'!$A:$AC,2,FALSE))="JBL",(VLOOKUP(Table6[[#This Row],[SKU]],'All Skus'!$A:$AC,9,FALSE)),""))</f>
        <v xml:space="preserve">High Power 12” 2-Way Full-Range Loudspeaker System with JBL Differential Drive® 75mm (3-in) dual voice coil and dual magnetic gap 2262H low frequency driver and 2432H high-frequency 38mm (1.5 in) exit, 75mm (3 in) voice-coil compression driver. 60° x 40° 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514" s="101" t="str">
        <f>(IF((VLOOKUP(Table6[[#This Row],[SKU]],'All Skus'!$A:$AC,2,FALSE))="JBL",(VLOOKUP(Table6[[#This Row],[SKU]],'All Skus'!$A:$AC,10,FALSE)),""))</f>
        <v>Please email CustomAudio@harman.com for quote</v>
      </c>
      <c r="J514" s="101">
        <f>(IF((VLOOKUP(Table6[[#This Row],[SKU]],'All Skus'!$A:$AC,2,FALSE))="JBL",(VLOOKUP(Table6[[#This Row],[SKU]],'All Skus'!$A:$AC,11,FALSE)),""))</f>
        <v>0</v>
      </c>
      <c r="K514" s="102">
        <f>(IF((VLOOKUP(Table6[[#This Row],[SKU]],'All Skus'!$A:$AC,2,FALSE))="JBL",(VLOOKUP(Table6[[#This Row],[SKU]],'All Skus'!$A:$AC,13,FALSE)),""))</f>
        <v>0</v>
      </c>
      <c r="L514" s="102">
        <f>(IF((VLOOKUP(Table6[[#This Row],[SKU]],'All Skus'!$A:$AC,2,FALSE))="JBL",(VLOOKUP(Table6[[#This Row],[SKU]],'All Skus'!$A:$AC,14,FALSE)),""))</f>
        <v>0</v>
      </c>
      <c r="M514" s="143">
        <f>(IF((VLOOKUP(Table6[[#This Row],[SKU]],'All Skus'!$A:$AC,2,FALSE))="JBL",(VLOOKUP(Table6[[#This Row],[SKU]],'All Skus'!$A:$AC,15,FALSE)),""))</f>
        <v>0</v>
      </c>
      <c r="N514" s="137">
        <f>(IF((VLOOKUP(Table6[[#This Row],[SKU]],'All Skus'!$A:$AC,2,FALSE))="JBL",(VLOOKUP(Table6[[#This Row],[SKU]],'All Skus'!$A:$AC,16,FALSE)),""))</f>
        <v>691991011412</v>
      </c>
      <c r="O514" s="61">
        <f>(IF((VLOOKUP(Table6[[#This Row],[SKU]],'All Skus'!$A:$AC,2,FALSE))="JBL",(VLOOKUP(Table6[[#This Row],[SKU]],'All Skus'!$A:$AC,17,FALSE)),""))</f>
        <v>0</v>
      </c>
      <c r="P514" s="136">
        <f>(IF((VLOOKUP(Table6[[#This Row],[SKU]],'All Skus'!$A:$AC,2,FALSE))="JBL",(VLOOKUP(Table6[[#This Row],[SKU]],'All Skus'!$A:$AC,18,FALSE)),""))</f>
        <v>0</v>
      </c>
      <c r="Q514" s="136">
        <f>(IF((VLOOKUP(Table6[[#This Row],[SKU]],'All Skus'!$A:$AC,2,FALSE))="JBL",(VLOOKUP(Table6[[#This Row],[SKU]],'All Skus'!$A:$AC,19,FALSE)),""))</f>
        <v>0</v>
      </c>
      <c r="R514" s="136">
        <f>(IF((VLOOKUP(Table6[[#This Row],[SKU]],'All Skus'!$A:$AC,2,FALSE))="JBL",(VLOOKUP(Table6[[#This Row],[SKU]],'All Skus'!$A:$AC,20,FALSE)),""))</f>
        <v>0</v>
      </c>
      <c r="S514" s="61">
        <f>(IF((VLOOKUP(Table6[[#This Row],[SKU]],'All Skus'!$A:$AC,2,FALSE))="JBL",(VLOOKUP(Table6[[#This Row],[SKU]],'All Skus'!$A:$AC,21,FALSE)),""))</f>
        <v>0</v>
      </c>
      <c r="T514" s="61" t="str">
        <f>(IF((VLOOKUP(Table6[[#This Row],[SKU]],'All Skus'!$A:$AC,2,FALSE))="JBL",(VLOOKUP(Table6[[#This Row],[SKU]],'All Skus'!$A:$AC,22,FALSE)),""))</f>
        <v>MX</v>
      </c>
      <c r="U514" t="str">
        <f>(IF((VLOOKUP(Table6[[#This Row],[SKU]],'All Skus'!$A:$AC,2,FALSE))="JBL",(VLOOKUP(Table6[[#This Row],[SKU]],'All Skus'!$A:$AC,23,FALSE)),""))</f>
        <v>Compliant</v>
      </c>
      <c r="V514" s="284" t="str">
        <f>HYPERLINK((IF((VLOOKUP(Table6[[#This Row],[SKU]],'All Skus'!$A:$AC,2,FALSE))="JBL",(VLOOKUP(Table6[[#This Row],[SKU]],'All Skus'!$A:$AC,24,FALSE)),"")))</f>
        <v/>
      </c>
      <c r="W514" s="151">
        <v>512</v>
      </c>
    </row>
    <row r="515" spans="1:23" ht="15" hidden="1" customHeight="1">
      <c r="A515" s="13" t="s">
        <v>1521</v>
      </c>
      <c r="B515" s="12" t="str">
        <f>(IF((VLOOKUP(Table6[[#This Row],[SKU]],'All Skus'!$A:$AC,2,FALSE))="JBL",(VLOOKUP(Table6[[#This Row],[SKU]],'All Skus'!$A:$AC,3,FALSE)),""))</f>
        <v>AE Series</v>
      </c>
      <c r="C515" s="12" t="str">
        <f>(IF((VLOOKUP(Table6[[#This Row],[SKU]],'All Skus'!$A:$AC,2,FALSE))="JBL",(VLOOKUP(Table6[[#This Row],[SKU]],'All Skus'!$A:$AC,4,FALSE)),""))</f>
        <v>AM7212/95</v>
      </c>
      <c r="D515" s="61" t="str">
        <f>(IF((VLOOKUP(Table6[[#This Row],[SKU]],'All Skus'!$A:$AC,2,FALSE))="JBL",(VLOOKUP(Table6[[#This Row],[SKU]],'All Skus'!$A:$AC,5,FALSE)),""))</f>
        <v>JBL052</v>
      </c>
      <c r="E515" s="137">
        <f>(IF((VLOOKUP(Table6[[#This Row],[SKU]],'All Skus'!$A:$AC,2,FALSE))="JBL",(VLOOKUP(Table6[[#This Row],[SKU]],'All Skus'!$A:$AC,6,FALSE)),""))</f>
        <v>0</v>
      </c>
      <c r="F515" s="61">
        <f>(IF((VLOOKUP(Table6[[#This Row],[SKU]],'All Skus'!$A:$AC,2,FALSE))="JBL",(VLOOKUP(Table6[[#This Row],[SKU]],'All Skus'!$A:$AC,7,FALSE)),""))</f>
        <v>0</v>
      </c>
      <c r="G515" t="str">
        <f>(IF((VLOOKUP(Table6[[#This Row],[SKU]],'All Skus'!$A:$AC,2,FALSE))="JBL",(VLOOKUP(Table6[[#This Row],[SKU]],'All Skus'!$A:$AC,8,FALSE)),""))</f>
        <v>Two-way full range loudspeaker</v>
      </c>
      <c r="H515" s="8" t="str">
        <f>(IF((VLOOKUP(Table6[[#This Row],[SKU]],'All Skus'!$A:$AC,2,FALSE))="JBL",(VLOOKUP(Table6[[#This Row],[SKU]],'All Skus'!$A:$AC,9,FALSE)),""))</f>
        <v>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v>
      </c>
      <c r="I515" s="101">
        <f>(IF((VLOOKUP(Table6[[#This Row],[SKU]],'All Skus'!$A:$AC,2,FALSE))="JBL",(VLOOKUP(Table6[[#This Row],[SKU]],'All Skus'!$A:$AC,10,FALSE)),""))</f>
        <v>3500</v>
      </c>
      <c r="J515" s="101">
        <f>(IF((VLOOKUP(Table6[[#This Row],[SKU]],'All Skus'!$A:$AC,2,FALSE))="JBL",(VLOOKUP(Table6[[#This Row],[SKU]],'All Skus'!$A:$AC,11,FALSE)),""))</f>
        <v>3500</v>
      </c>
      <c r="K515" s="102">
        <f>(IF((VLOOKUP(Table6[[#This Row],[SKU]],'All Skus'!$A:$AC,2,FALSE))="JBL",(VLOOKUP(Table6[[#This Row],[SKU]],'All Skus'!$A:$AC,13,FALSE)),""))</f>
        <v>0</v>
      </c>
      <c r="L515" s="102">
        <f>(IF((VLOOKUP(Table6[[#This Row],[SKU]],'All Skus'!$A:$AC,2,FALSE))="JBL",(VLOOKUP(Table6[[#This Row],[SKU]],'All Skus'!$A:$AC,14,FALSE)),""))</f>
        <v>0</v>
      </c>
      <c r="M515" s="143">
        <f>(IF((VLOOKUP(Table6[[#This Row],[SKU]],'All Skus'!$A:$AC,2,FALSE))="JBL",(VLOOKUP(Table6[[#This Row],[SKU]],'All Skus'!$A:$AC,15,FALSE)),""))</f>
        <v>0</v>
      </c>
      <c r="N515" s="137">
        <f>(IF((VLOOKUP(Table6[[#This Row],[SKU]],'All Skus'!$A:$AC,2,FALSE))="JBL",(VLOOKUP(Table6[[#This Row],[SKU]],'All Skus'!$A:$AC,16,FALSE)),""))</f>
        <v>691991011429</v>
      </c>
      <c r="O515" s="61">
        <f>(IF((VLOOKUP(Table6[[#This Row],[SKU]],'All Skus'!$A:$AC,2,FALSE))="JBL",(VLOOKUP(Table6[[#This Row],[SKU]],'All Skus'!$A:$AC,17,FALSE)),""))</f>
        <v>0</v>
      </c>
      <c r="P515" s="136">
        <f>(IF((VLOOKUP(Table6[[#This Row],[SKU]],'All Skus'!$A:$AC,2,FALSE))="JBL",(VLOOKUP(Table6[[#This Row],[SKU]],'All Skus'!$A:$AC,18,FALSE)),""))</f>
        <v>57.6</v>
      </c>
      <c r="Q515" s="136">
        <f>(IF((VLOOKUP(Table6[[#This Row],[SKU]],'All Skus'!$A:$AC,2,FALSE))="JBL",(VLOOKUP(Table6[[#This Row],[SKU]],'All Skus'!$A:$AC,19,FALSE)),""))</f>
        <v>19</v>
      </c>
      <c r="R515" s="136">
        <f>(IF((VLOOKUP(Table6[[#This Row],[SKU]],'All Skus'!$A:$AC,2,FALSE))="JBL",(VLOOKUP(Table6[[#This Row],[SKU]],'All Skus'!$A:$AC,20,FALSE)),""))</f>
        <v>16</v>
      </c>
      <c r="S515" s="61">
        <f>(IF((VLOOKUP(Table6[[#This Row],[SKU]],'All Skus'!$A:$AC,2,FALSE))="JBL",(VLOOKUP(Table6[[#This Row],[SKU]],'All Skus'!$A:$AC,21,FALSE)),""))</f>
        <v>30</v>
      </c>
      <c r="T515" s="61" t="str">
        <f>(IF((VLOOKUP(Table6[[#This Row],[SKU]],'All Skus'!$A:$AC,2,FALSE))="JBL",(VLOOKUP(Table6[[#This Row],[SKU]],'All Skus'!$A:$AC,22,FALSE)),""))</f>
        <v>MX</v>
      </c>
      <c r="U515" t="str">
        <f>(IF((VLOOKUP(Table6[[#This Row],[SKU]],'All Skus'!$A:$AC,2,FALSE))="JBL",(VLOOKUP(Table6[[#This Row],[SKU]],'All Skus'!$A:$AC,23,FALSE)),""))</f>
        <v>Compliant</v>
      </c>
      <c r="V515" s="284" t="str">
        <f>HYPERLINK((IF((VLOOKUP(Table6[[#This Row],[SKU]],'All Skus'!$A:$AC,2,FALSE))="JBL",(VLOOKUP(Table6[[#This Row],[SKU]],'All Skus'!$A:$AC,24,FALSE)),"")))</f>
        <v/>
      </c>
      <c r="W515" s="151">
        <v>513</v>
      </c>
    </row>
    <row r="516" spans="1:23" ht="15" hidden="1" customHeight="1">
      <c r="A516" s="13" t="s">
        <v>1522</v>
      </c>
      <c r="B516" s="12" t="str">
        <f>(IF((VLOOKUP(Table6[[#This Row],[SKU]],'All Skus'!$A:$AC,2,FALSE))="JBL",(VLOOKUP(Table6[[#This Row],[SKU]],'All Skus'!$A:$AC,3,FALSE)),""))</f>
        <v>AE Series</v>
      </c>
      <c r="C516" s="12" t="str">
        <f>(IF((VLOOKUP(Table6[[#This Row],[SKU]],'All Skus'!$A:$AC,2,FALSE))="JBL",(VLOOKUP(Table6[[#This Row],[SKU]],'All Skus'!$A:$AC,4,FALSE)),""))</f>
        <v>AM7212/95-WH</v>
      </c>
      <c r="D516" s="61" t="str">
        <f>(IF((VLOOKUP(Table6[[#This Row],[SKU]],'All Skus'!$A:$AC,2,FALSE))="JBL",(VLOOKUP(Table6[[#This Row],[SKU]],'All Skus'!$A:$AC,5,FALSE)),""))</f>
        <v>JBL052</v>
      </c>
      <c r="E516" s="137">
        <f>(IF((VLOOKUP(Table6[[#This Row],[SKU]],'All Skus'!$A:$AC,2,FALSE))="JBL",(VLOOKUP(Table6[[#This Row],[SKU]],'All Skus'!$A:$AC,6,FALSE)),""))</f>
        <v>0</v>
      </c>
      <c r="F516" s="61">
        <f>(IF((VLOOKUP(Table6[[#This Row],[SKU]],'All Skus'!$A:$AC,2,FALSE))="JBL",(VLOOKUP(Table6[[#This Row],[SKU]],'All Skus'!$A:$AC,7,FALSE)),""))</f>
        <v>0</v>
      </c>
      <c r="G516" t="str">
        <f>(IF((VLOOKUP(Table6[[#This Row],[SKU]],'All Skus'!$A:$AC,2,FALSE))="JBL",(VLOOKUP(Table6[[#This Row],[SKU]],'All Skus'!$A:$AC,8,FALSE)),""))</f>
        <v>Two-way full range loudspeaker (white)</v>
      </c>
      <c r="H516" s="8" t="str">
        <f>(IF((VLOOKUP(Table6[[#This Row],[SKU]],'All Skus'!$A:$AC,2,FALSE))="JBL",(VLOOKUP(Table6[[#This Row],[SKU]],'All Skus'!$A:$AC,9,FALSE)),""))</f>
        <v>High Power 12” 2-Way Full-Range Loudspeaker System with JBL Differential Drive® 75 mm (3-in) dual voice coil and dual magnetic gap 2262H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MTU-3.  White finish.</v>
      </c>
      <c r="I516" s="101">
        <f>(IF((VLOOKUP(Table6[[#This Row],[SKU]],'All Skus'!$A:$AC,2,FALSE))="JBL",(VLOOKUP(Table6[[#This Row],[SKU]],'All Skus'!$A:$AC,10,FALSE)),""))</f>
        <v>3500</v>
      </c>
      <c r="J516" s="101">
        <f>(IF((VLOOKUP(Table6[[#This Row],[SKU]],'All Skus'!$A:$AC,2,FALSE))="JBL",(VLOOKUP(Table6[[#This Row],[SKU]],'All Skus'!$A:$AC,11,FALSE)),""))</f>
        <v>3500</v>
      </c>
      <c r="K516" s="102">
        <f>(IF((VLOOKUP(Table6[[#This Row],[SKU]],'All Skus'!$A:$AC,2,FALSE))="JBL",(VLOOKUP(Table6[[#This Row],[SKU]],'All Skus'!$A:$AC,13,FALSE)),""))</f>
        <v>0</v>
      </c>
      <c r="L516" s="102">
        <f>(IF((VLOOKUP(Table6[[#This Row],[SKU]],'All Skus'!$A:$AC,2,FALSE))="JBL",(VLOOKUP(Table6[[#This Row],[SKU]],'All Skus'!$A:$AC,14,FALSE)),""))</f>
        <v>0</v>
      </c>
      <c r="M516" s="143">
        <f>(IF((VLOOKUP(Table6[[#This Row],[SKU]],'All Skus'!$A:$AC,2,FALSE))="JBL",(VLOOKUP(Table6[[#This Row],[SKU]],'All Skus'!$A:$AC,15,FALSE)),""))</f>
        <v>0</v>
      </c>
      <c r="N516" s="137">
        <f>(IF((VLOOKUP(Table6[[#This Row],[SKU]],'All Skus'!$A:$AC,2,FALSE))="JBL",(VLOOKUP(Table6[[#This Row],[SKU]],'All Skus'!$A:$AC,16,FALSE)),""))</f>
        <v>691991007538</v>
      </c>
      <c r="O516" s="61">
        <f>(IF((VLOOKUP(Table6[[#This Row],[SKU]],'All Skus'!$A:$AC,2,FALSE))="JBL",(VLOOKUP(Table6[[#This Row],[SKU]],'All Skus'!$A:$AC,17,FALSE)),""))</f>
        <v>0</v>
      </c>
      <c r="P516" s="136">
        <f>(IF((VLOOKUP(Table6[[#This Row],[SKU]],'All Skus'!$A:$AC,2,FALSE))="JBL",(VLOOKUP(Table6[[#This Row],[SKU]],'All Skus'!$A:$AC,18,FALSE)),""))</f>
        <v>58</v>
      </c>
      <c r="Q516" s="136">
        <f>(IF((VLOOKUP(Table6[[#This Row],[SKU]],'All Skus'!$A:$AC,2,FALSE))="JBL",(VLOOKUP(Table6[[#This Row],[SKU]],'All Skus'!$A:$AC,19,FALSE)),""))</f>
        <v>19</v>
      </c>
      <c r="R516" s="136">
        <f>(IF((VLOOKUP(Table6[[#This Row],[SKU]],'All Skus'!$A:$AC,2,FALSE))="JBL",(VLOOKUP(Table6[[#This Row],[SKU]],'All Skus'!$A:$AC,20,FALSE)),""))</f>
        <v>15</v>
      </c>
      <c r="S516" s="61">
        <f>(IF((VLOOKUP(Table6[[#This Row],[SKU]],'All Skus'!$A:$AC,2,FALSE))="JBL",(VLOOKUP(Table6[[#This Row],[SKU]],'All Skus'!$A:$AC,21,FALSE)),""))</f>
        <v>30</v>
      </c>
      <c r="T516" s="61" t="str">
        <f>(IF((VLOOKUP(Table6[[#This Row],[SKU]],'All Skus'!$A:$AC,2,FALSE))="JBL",(VLOOKUP(Table6[[#This Row],[SKU]],'All Skus'!$A:$AC,22,FALSE)),""))</f>
        <v>MX</v>
      </c>
      <c r="U516" t="str">
        <f>(IF((VLOOKUP(Table6[[#This Row],[SKU]],'All Skus'!$A:$AC,2,FALSE))="JBL",(VLOOKUP(Table6[[#This Row],[SKU]],'All Skus'!$A:$AC,23,FALSE)),""))</f>
        <v>Compliant</v>
      </c>
      <c r="V516" s="284" t="str">
        <f>HYPERLINK((IF((VLOOKUP(Table6[[#This Row],[SKU]],'All Skus'!$A:$AC,2,FALSE))="JBL",(VLOOKUP(Table6[[#This Row],[SKU]],'All Skus'!$A:$AC,24,FALSE)),"")))</f>
        <v/>
      </c>
      <c r="W516" s="151">
        <v>514</v>
      </c>
    </row>
    <row r="517" spans="1:23" ht="15" hidden="1" customHeight="1">
      <c r="A517" s="13" t="s">
        <v>1523</v>
      </c>
      <c r="B517" s="12" t="str">
        <f>(IF((VLOOKUP(Table6[[#This Row],[SKU]],'All Skus'!$A:$AC,2,FALSE))="JBL",(VLOOKUP(Table6[[#This Row],[SKU]],'All Skus'!$A:$AC,3,FALSE)),""))</f>
        <v>AE Series</v>
      </c>
      <c r="C517" s="12" t="str">
        <f>(IF((VLOOKUP(Table6[[#This Row],[SKU]],'All Skus'!$A:$AC,2,FALSE))="JBL",(VLOOKUP(Table6[[#This Row],[SKU]],'All Skus'!$A:$AC,4,FALSE)),""))</f>
        <v>AM7215/26</v>
      </c>
      <c r="D517" s="61" t="str">
        <f>(IF((VLOOKUP(Table6[[#This Row],[SKU]],'All Skus'!$A:$AC,2,FALSE))="JBL",(VLOOKUP(Table6[[#This Row],[SKU]],'All Skus'!$A:$AC,5,FALSE)),""))</f>
        <v>JBL052</v>
      </c>
      <c r="E517" s="137">
        <f>(IF((VLOOKUP(Table6[[#This Row],[SKU]],'All Skus'!$A:$AC,2,FALSE))="JBL",(VLOOKUP(Table6[[#This Row],[SKU]],'All Skus'!$A:$AC,6,FALSE)),""))</f>
        <v>0</v>
      </c>
      <c r="F517" s="61">
        <f>(IF((VLOOKUP(Table6[[#This Row],[SKU]],'All Skus'!$A:$AC,2,FALSE))="JBL",(VLOOKUP(Table6[[#This Row],[SKU]],'All Skus'!$A:$AC,7,FALSE)),""))</f>
        <v>0</v>
      </c>
      <c r="G517" t="str">
        <f>(IF((VLOOKUP(Table6[[#This Row],[SKU]],'All Skus'!$A:$AC,2,FALSE))="JBL",(VLOOKUP(Table6[[#This Row],[SKU]],'All Skus'!$A:$AC,8,FALSE)),""))</f>
        <v>Two-way full range loudspeaker</v>
      </c>
      <c r="H517"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v>
      </c>
      <c r="I517" s="101">
        <f>(IF((VLOOKUP(Table6[[#This Row],[SKU]],'All Skus'!$A:$AC,2,FALSE))="JBL",(VLOOKUP(Table6[[#This Row],[SKU]],'All Skus'!$A:$AC,10,FALSE)),""))</f>
        <v>3670</v>
      </c>
      <c r="J517" s="101">
        <f>(IF((VLOOKUP(Table6[[#This Row],[SKU]],'All Skus'!$A:$AC,2,FALSE))="JBL",(VLOOKUP(Table6[[#This Row],[SKU]],'All Skus'!$A:$AC,11,FALSE)),""))</f>
        <v>3670</v>
      </c>
      <c r="K517" s="102">
        <f>(IF((VLOOKUP(Table6[[#This Row],[SKU]],'All Skus'!$A:$AC,2,FALSE))="JBL",(VLOOKUP(Table6[[#This Row],[SKU]],'All Skus'!$A:$AC,13,FALSE)),""))</f>
        <v>0</v>
      </c>
      <c r="L517" s="102">
        <f>(IF((VLOOKUP(Table6[[#This Row],[SKU]],'All Skus'!$A:$AC,2,FALSE))="JBL",(VLOOKUP(Table6[[#This Row],[SKU]],'All Skus'!$A:$AC,14,FALSE)),""))</f>
        <v>0</v>
      </c>
      <c r="M517" s="143">
        <f>(IF((VLOOKUP(Table6[[#This Row],[SKU]],'All Skus'!$A:$AC,2,FALSE))="JBL",(VLOOKUP(Table6[[#This Row],[SKU]],'All Skus'!$A:$AC,15,FALSE)),""))</f>
        <v>0</v>
      </c>
      <c r="N517" s="137">
        <f>(IF((VLOOKUP(Table6[[#This Row],[SKU]],'All Skus'!$A:$AC,2,FALSE))="JBL",(VLOOKUP(Table6[[#This Row],[SKU]],'All Skus'!$A:$AC,16,FALSE)),""))</f>
        <v>691991011443</v>
      </c>
      <c r="O517" s="61">
        <f>(IF((VLOOKUP(Table6[[#This Row],[SKU]],'All Skus'!$A:$AC,2,FALSE))="JBL",(VLOOKUP(Table6[[#This Row],[SKU]],'All Skus'!$A:$AC,17,FALSE)),""))</f>
        <v>0</v>
      </c>
      <c r="P517" s="136">
        <f>(IF((VLOOKUP(Table6[[#This Row],[SKU]],'All Skus'!$A:$AC,2,FALSE))="JBL",(VLOOKUP(Table6[[#This Row],[SKU]],'All Skus'!$A:$AC,18,FALSE)),""))</f>
        <v>66.900000000000006</v>
      </c>
      <c r="Q517" s="136">
        <f>(IF((VLOOKUP(Table6[[#This Row],[SKU]],'All Skus'!$A:$AC,2,FALSE))="JBL",(VLOOKUP(Table6[[#This Row],[SKU]],'All Skus'!$A:$AC,19,FALSE)),""))</f>
        <v>22</v>
      </c>
      <c r="R517" s="136">
        <f>(IF((VLOOKUP(Table6[[#This Row],[SKU]],'All Skus'!$A:$AC,2,FALSE))="JBL",(VLOOKUP(Table6[[#This Row],[SKU]],'All Skus'!$A:$AC,20,FALSE)),""))</f>
        <v>18</v>
      </c>
      <c r="S517" s="61">
        <f>(IF((VLOOKUP(Table6[[#This Row],[SKU]],'All Skus'!$A:$AC,2,FALSE))="JBL",(VLOOKUP(Table6[[#This Row],[SKU]],'All Skus'!$A:$AC,21,FALSE)),""))</f>
        <v>33</v>
      </c>
      <c r="T517" s="61" t="str">
        <f>(IF((VLOOKUP(Table6[[#This Row],[SKU]],'All Skus'!$A:$AC,2,FALSE))="JBL",(VLOOKUP(Table6[[#This Row],[SKU]],'All Skus'!$A:$AC,22,FALSE)),""))</f>
        <v>MX</v>
      </c>
      <c r="U517" t="str">
        <f>(IF((VLOOKUP(Table6[[#This Row],[SKU]],'All Skus'!$A:$AC,2,FALSE))="JBL",(VLOOKUP(Table6[[#This Row],[SKU]],'All Skus'!$A:$AC,23,FALSE)),""))</f>
        <v>Compliant</v>
      </c>
      <c r="V517" s="284" t="str">
        <f>HYPERLINK((IF((VLOOKUP(Table6[[#This Row],[SKU]],'All Skus'!$A:$AC,2,FALSE))="JBL",(VLOOKUP(Table6[[#This Row],[SKU]],'All Skus'!$A:$AC,24,FALSE)),"")))</f>
        <v/>
      </c>
      <c r="W517" s="151">
        <v>515</v>
      </c>
    </row>
    <row r="518" spans="1:23" ht="15" hidden="1" customHeight="1">
      <c r="A518" s="13" t="s">
        <v>1524</v>
      </c>
      <c r="B518" s="12" t="str">
        <f>(IF((VLOOKUP(Table6[[#This Row],[SKU]],'All Skus'!$A:$AC,2,FALSE))="JBL",(VLOOKUP(Table6[[#This Row],[SKU]],'All Skus'!$A:$AC,3,FALSE)),""))</f>
        <v>AE Series</v>
      </c>
      <c r="C518" s="12" t="str">
        <f>(IF((VLOOKUP(Table6[[#This Row],[SKU]],'All Skus'!$A:$AC,2,FALSE))="JBL",(VLOOKUP(Table6[[#This Row],[SKU]],'All Skus'!$A:$AC,4,FALSE)),""))</f>
        <v>AM7215/26-WH</v>
      </c>
      <c r="D518" s="61" t="str">
        <f>(IF((VLOOKUP(Table6[[#This Row],[SKU]],'All Skus'!$A:$AC,2,FALSE))="JBL",(VLOOKUP(Table6[[#This Row],[SKU]],'All Skus'!$A:$AC,5,FALSE)),""))</f>
        <v>JBL052</v>
      </c>
      <c r="E518" s="137">
        <f>(IF((VLOOKUP(Table6[[#This Row],[SKU]],'All Skus'!$A:$AC,2,FALSE))="JBL",(VLOOKUP(Table6[[#This Row],[SKU]],'All Skus'!$A:$AC,6,FALSE)),""))</f>
        <v>0</v>
      </c>
      <c r="F518" s="61">
        <f>(IF((VLOOKUP(Table6[[#This Row],[SKU]],'All Skus'!$A:$AC,2,FALSE))="JBL",(VLOOKUP(Table6[[#This Row],[SKU]],'All Skus'!$A:$AC,7,FALSE)),""))</f>
        <v>0</v>
      </c>
      <c r="G518" t="str">
        <f>(IF((VLOOKUP(Table6[[#This Row],[SKU]],'All Skus'!$A:$AC,2,FALSE))="JBL",(VLOOKUP(Table6[[#This Row],[SKU]],'All Skus'!$A:$AC,8,FALSE)),""))</f>
        <v>Two-way full range loudspeaker (white)</v>
      </c>
      <c r="H518"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v>
      </c>
      <c r="I518" s="101">
        <f>(IF((VLOOKUP(Table6[[#This Row],[SKU]],'All Skus'!$A:$AC,2,FALSE))="JBL",(VLOOKUP(Table6[[#This Row],[SKU]],'All Skus'!$A:$AC,10,FALSE)),""))</f>
        <v>3670</v>
      </c>
      <c r="J518" s="101">
        <f>(IF((VLOOKUP(Table6[[#This Row],[SKU]],'All Skus'!$A:$AC,2,FALSE))="JBL",(VLOOKUP(Table6[[#This Row],[SKU]],'All Skus'!$A:$AC,11,FALSE)),""))</f>
        <v>3670</v>
      </c>
      <c r="K518" s="102">
        <f>(IF((VLOOKUP(Table6[[#This Row],[SKU]],'All Skus'!$A:$AC,2,FALSE))="JBL",(VLOOKUP(Table6[[#This Row],[SKU]],'All Skus'!$A:$AC,13,FALSE)),""))</f>
        <v>0</v>
      </c>
      <c r="L518" s="102">
        <f>(IF((VLOOKUP(Table6[[#This Row],[SKU]],'All Skus'!$A:$AC,2,FALSE))="JBL",(VLOOKUP(Table6[[#This Row],[SKU]],'All Skus'!$A:$AC,14,FALSE)),""))</f>
        <v>0</v>
      </c>
      <c r="M518" s="143">
        <f>(IF((VLOOKUP(Table6[[#This Row],[SKU]],'All Skus'!$A:$AC,2,FALSE))="JBL",(VLOOKUP(Table6[[#This Row],[SKU]],'All Skus'!$A:$AC,15,FALSE)),""))</f>
        <v>0</v>
      </c>
      <c r="N518" s="137">
        <f>(IF((VLOOKUP(Table6[[#This Row],[SKU]],'All Skus'!$A:$AC,2,FALSE))="JBL",(VLOOKUP(Table6[[#This Row],[SKU]],'All Skus'!$A:$AC,16,FALSE)),""))</f>
        <v>691991011450</v>
      </c>
      <c r="O518" s="61">
        <f>(IF((VLOOKUP(Table6[[#This Row],[SKU]],'All Skus'!$A:$AC,2,FALSE))="JBL",(VLOOKUP(Table6[[#This Row],[SKU]],'All Skus'!$A:$AC,17,FALSE)),""))</f>
        <v>0</v>
      </c>
      <c r="P518" s="136">
        <f>(IF((VLOOKUP(Table6[[#This Row],[SKU]],'All Skus'!$A:$AC,2,FALSE))="JBL",(VLOOKUP(Table6[[#This Row],[SKU]],'All Skus'!$A:$AC,18,FALSE)),""))</f>
        <v>67.55</v>
      </c>
      <c r="Q518" s="136">
        <f>(IF((VLOOKUP(Table6[[#This Row],[SKU]],'All Skus'!$A:$AC,2,FALSE))="JBL",(VLOOKUP(Table6[[#This Row],[SKU]],'All Skus'!$A:$AC,19,FALSE)),""))</f>
        <v>21</v>
      </c>
      <c r="R518" s="136">
        <f>(IF((VLOOKUP(Table6[[#This Row],[SKU]],'All Skus'!$A:$AC,2,FALSE))="JBL",(VLOOKUP(Table6[[#This Row],[SKU]],'All Skus'!$A:$AC,20,FALSE)),""))</f>
        <v>18</v>
      </c>
      <c r="S518" s="61">
        <f>(IF((VLOOKUP(Table6[[#This Row],[SKU]],'All Skus'!$A:$AC,2,FALSE))="JBL",(VLOOKUP(Table6[[#This Row],[SKU]],'All Skus'!$A:$AC,21,FALSE)),""))</f>
        <v>32</v>
      </c>
      <c r="T518" s="61" t="str">
        <f>(IF((VLOOKUP(Table6[[#This Row],[SKU]],'All Skus'!$A:$AC,2,FALSE))="JBL",(VLOOKUP(Table6[[#This Row],[SKU]],'All Skus'!$A:$AC,22,FALSE)),""))</f>
        <v>MX</v>
      </c>
      <c r="U518" t="str">
        <f>(IF((VLOOKUP(Table6[[#This Row],[SKU]],'All Skus'!$A:$AC,2,FALSE))="JBL",(VLOOKUP(Table6[[#This Row],[SKU]],'All Skus'!$A:$AC,23,FALSE)),""))</f>
        <v>Compliant</v>
      </c>
      <c r="V518" s="284" t="str">
        <f>HYPERLINK((IF((VLOOKUP(Table6[[#This Row],[SKU]],'All Skus'!$A:$AC,2,FALSE))="JBL",(VLOOKUP(Table6[[#This Row],[SKU]],'All Skus'!$A:$AC,24,FALSE)),"")))</f>
        <v/>
      </c>
      <c r="W518" s="151">
        <v>516</v>
      </c>
    </row>
    <row r="519" spans="1:23" ht="15" hidden="1" customHeight="1">
      <c r="A519" s="13" t="s">
        <v>1525</v>
      </c>
      <c r="B519" s="12" t="str">
        <f>(IF((VLOOKUP(Table6[[#This Row],[SKU]],'All Skus'!$A:$AC,2,FALSE))="JBL",(VLOOKUP(Table6[[#This Row],[SKU]],'All Skus'!$A:$AC,3,FALSE)),""))</f>
        <v>Custom Shop</v>
      </c>
      <c r="C519" s="12" t="str">
        <f>(IF((VLOOKUP(Table6[[#This Row],[SKU]],'All Skus'!$A:$AC,2,FALSE))="JBL",(VLOOKUP(Table6[[#This Row],[SKU]],'All Skus'!$A:$AC,4,FALSE)),""))</f>
        <v>AM7215/26-WRC</v>
      </c>
      <c r="D519" s="61" t="str">
        <f>(IF((VLOOKUP(Table6[[#This Row],[SKU]],'All Skus'!$A:$AC,2,FALSE))="JBL",(VLOOKUP(Table6[[#This Row],[SKU]],'All Skus'!$A:$AC,5,FALSE)),""))</f>
        <v>JBL050</v>
      </c>
      <c r="E519" s="137" t="str">
        <f>(IF((VLOOKUP(Table6[[#This Row],[SKU]],'All Skus'!$A:$AC,2,FALSE))="JBL",(VLOOKUP(Table6[[#This Row],[SKU]],'All Skus'!$A:$AC,6,FALSE)),""))</f>
        <v>YES</v>
      </c>
      <c r="F519" s="61">
        <f>(IF((VLOOKUP(Table6[[#This Row],[SKU]],'All Skus'!$A:$AC,2,FALSE))="JBL",(VLOOKUP(Table6[[#This Row],[SKU]],'All Skus'!$A:$AC,7,FALSE)),""))</f>
        <v>0</v>
      </c>
      <c r="G519" t="str">
        <f>(IF((VLOOKUP(Table6[[#This Row],[SKU]],'All Skus'!$A:$AC,2,FALSE))="JBL",(VLOOKUP(Table6[[#This Row],[SKU]],'All Skus'!$A:$AC,8,FALSE)),""))</f>
        <v xml:space="preserve">Two-way full range loudspeaker </v>
      </c>
      <c r="H519"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v>
      </c>
      <c r="I519" s="101" t="str">
        <f>(IF((VLOOKUP(Table6[[#This Row],[SKU]],'All Skus'!$A:$AC,2,FALSE))="JBL",(VLOOKUP(Table6[[#This Row],[SKU]],'All Skus'!$A:$AC,10,FALSE)),""))</f>
        <v>Please email CustomAudio@harman.com for quote</v>
      </c>
      <c r="J519" s="101">
        <f>(IF((VLOOKUP(Table6[[#This Row],[SKU]],'All Skus'!$A:$AC,2,FALSE))="JBL",(VLOOKUP(Table6[[#This Row],[SKU]],'All Skus'!$A:$AC,11,FALSE)),""))</f>
        <v>0</v>
      </c>
      <c r="K519" s="102">
        <f>(IF((VLOOKUP(Table6[[#This Row],[SKU]],'All Skus'!$A:$AC,2,FALSE))="JBL",(VLOOKUP(Table6[[#This Row],[SKU]],'All Skus'!$A:$AC,13,FALSE)),""))</f>
        <v>0</v>
      </c>
      <c r="L519" s="102">
        <f>(IF((VLOOKUP(Table6[[#This Row],[SKU]],'All Skus'!$A:$AC,2,FALSE))="JBL",(VLOOKUP(Table6[[#This Row],[SKU]],'All Skus'!$A:$AC,14,FALSE)),""))</f>
        <v>0</v>
      </c>
      <c r="M519" s="143">
        <f>(IF((VLOOKUP(Table6[[#This Row],[SKU]],'All Skus'!$A:$AC,2,FALSE))="JBL",(VLOOKUP(Table6[[#This Row],[SKU]],'All Skus'!$A:$AC,15,FALSE)),""))</f>
        <v>0</v>
      </c>
      <c r="N519" s="137">
        <f>(IF((VLOOKUP(Table6[[#This Row],[SKU]],'All Skus'!$A:$AC,2,FALSE))="JBL",(VLOOKUP(Table6[[#This Row],[SKU]],'All Skus'!$A:$AC,16,FALSE)),""))</f>
        <v>0</v>
      </c>
      <c r="O519" s="61">
        <f>(IF((VLOOKUP(Table6[[#This Row],[SKU]],'All Skus'!$A:$AC,2,FALSE))="JBL",(VLOOKUP(Table6[[#This Row],[SKU]],'All Skus'!$A:$AC,17,FALSE)),""))</f>
        <v>0</v>
      </c>
      <c r="P519" s="136">
        <f>(IF((VLOOKUP(Table6[[#This Row],[SKU]],'All Skus'!$A:$AC,2,FALSE))="JBL",(VLOOKUP(Table6[[#This Row],[SKU]],'All Skus'!$A:$AC,18,FALSE)),""))</f>
        <v>60</v>
      </c>
      <c r="Q519" s="136">
        <f>(IF((VLOOKUP(Table6[[#This Row],[SKU]],'All Skus'!$A:$AC,2,FALSE))="JBL",(VLOOKUP(Table6[[#This Row],[SKU]],'All Skus'!$A:$AC,19,FALSE)),""))</f>
        <v>25</v>
      </c>
      <c r="R519" s="136">
        <f>(IF((VLOOKUP(Table6[[#This Row],[SKU]],'All Skus'!$A:$AC,2,FALSE))="JBL",(VLOOKUP(Table6[[#This Row],[SKU]],'All Skus'!$A:$AC,20,FALSE)),""))</f>
        <v>23</v>
      </c>
      <c r="S519" s="61">
        <f>(IF((VLOOKUP(Table6[[#This Row],[SKU]],'All Skus'!$A:$AC,2,FALSE))="JBL",(VLOOKUP(Table6[[#This Row],[SKU]],'All Skus'!$A:$AC,21,FALSE)),""))</f>
        <v>34</v>
      </c>
      <c r="T519" s="61" t="str">
        <f>(IF((VLOOKUP(Table6[[#This Row],[SKU]],'All Skus'!$A:$AC,2,FALSE))="JBL",(VLOOKUP(Table6[[#This Row],[SKU]],'All Skus'!$A:$AC,22,FALSE)),""))</f>
        <v>MX</v>
      </c>
      <c r="U519" t="str">
        <f>(IF((VLOOKUP(Table6[[#This Row],[SKU]],'All Skus'!$A:$AC,2,FALSE))="JBL",(VLOOKUP(Table6[[#This Row],[SKU]],'All Skus'!$A:$AC,23,FALSE)),""))</f>
        <v>Compliant</v>
      </c>
      <c r="V519" s="284" t="str">
        <f>HYPERLINK((IF((VLOOKUP(Table6[[#This Row],[SKU]],'All Skus'!$A:$AC,2,FALSE))="JBL",(VLOOKUP(Table6[[#This Row],[SKU]],'All Skus'!$A:$AC,24,FALSE)),"")))</f>
        <v/>
      </c>
      <c r="W519" s="151">
        <v>517</v>
      </c>
    </row>
    <row r="520" spans="1:23" ht="15" hidden="1" customHeight="1">
      <c r="A520" s="13" t="s">
        <v>1526</v>
      </c>
      <c r="B520" s="12" t="str">
        <f>(IF((VLOOKUP(Table6[[#This Row],[SKU]],'All Skus'!$A:$AC,2,FALSE))="JBL",(VLOOKUP(Table6[[#This Row],[SKU]],'All Skus'!$A:$AC,3,FALSE)),""))</f>
        <v>Custom Shop</v>
      </c>
      <c r="C520" s="12" t="str">
        <f>(IF((VLOOKUP(Table6[[#This Row],[SKU]],'All Skus'!$A:$AC,2,FALSE))="JBL",(VLOOKUP(Table6[[#This Row],[SKU]],'All Skus'!$A:$AC,4,FALSE)),""))</f>
        <v>AM7215/26-WRX</v>
      </c>
      <c r="D520" s="61" t="str">
        <f>(IF((VLOOKUP(Table6[[#This Row],[SKU]],'All Skus'!$A:$AC,2,FALSE))="JBL",(VLOOKUP(Table6[[#This Row],[SKU]],'All Skus'!$A:$AC,5,FALSE)),""))</f>
        <v>JBL050</v>
      </c>
      <c r="E520" s="137" t="str">
        <f>(IF((VLOOKUP(Table6[[#This Row],[SKU]],'All Skus'!$A:$AC,2,FALSE))="JBL",(VLOOKUP(Table6[[#This Row],[SKU]],'All Skus'!$A:$AC,6,FALSE)),""))</f>
        <v>YES</v>
      </c>
      <c r="F520" s="61">
        <f>(IF((VLOOKUP(Table6[[#This Row],[SKU]],'All Skus'!$A:$AC,2,FALSE))="JBL",(VLOOKUP(Table6[[#This Row],[SKU]],'All Skus'!$A:$AC,7,FALSE)),""))</f>
        <v>0</v>
      </c>
      <c r="G520" t="str">
        <f>(IF((VLOOKUP(Table6[[#This Row],[SKU]],'All Skus'!$A:$AC,2,FALSE))="JBL",(VLOOKUP(Table6[[#This Row],[SKU]],'All Skus'!$A:$AC,8,FALSE)),""))</f>
        <v xml:space="preserve">Two-way full range loudspeaker </v>
      </c>
      <c r="H520"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120° x 60° rotatable Progressive Transition™ waveguide, Bi-Amp/Passive  Switchable. Available in Black or White (-WH). Priced as each. Suspension eyebolts not included. Optional U-bracket model MTU-1. White finish.</v>
      </c>
      <c r="I520" s="101" t="str">
        <f>(IF((VLOOKUP(Table6[[#This Row],[SKU]],'All Skus'!$A:$AC,2,FALSE))="JBL",(VLOOKUP(Table6[[#This Row],[SKU]],'All Skus'!$A:$AC,10,FALSE)),""))</f>
        <v>Please email CustomAudio@harman.com for quote</v>
      </c>
      <c r="J520" s="101">
        <f>(IF((VLOOKUP(Table6[[#This Row],[SKU]],'All Skus'!$A:$AC,2,FALSE))="JBL",(VLOOKUP(Table6[[#This Row],[SKU]],'All Skus'!$A:$AC,11,FALSE)),""))</f>
        <v>0</v>
      </c>
      <c r="K520" s="102">
        <f>(IF((VLOOKUP(Table6[[#This Row],[SKU]],'All Skus'!$A:$AC,2,FALSE))="JBL",(VLOOKUP(Table6[[#This Row],[SKU]],'All Skus'!$A:$AC,13,FALSE)),""))</f>
        <v>0</v>
      </c>
      <c r="L520" s="102">
        <f>(IF((VLOOKUP(Table6[[#This Row],[SKU]],'All Skus'!$A:$AC,2,FALSE))="JBL",(VLOOKUP(Table6[[#This Row],[SKU]],'All Skus'!$A:$AC,14,FALSE)),""))</f>
        <v>0</v>
      </c>
      <c r="M520" s="143">
        <f>(IF((VLOOKUP(Table6[[#This Row],[SKU]],'All Skus'!$A:$AC,2,FALSE))="JBL",(VLOOKUP(Table6[[#This Row],[SKU]],'All Skus'!$A:$AC,15,FALSE)),""))</f>
        <v>0</v>
      </c>
      <c r="N520" s="137">
        <f>(IF((VLOOKUP(Table6[[#This Row],[SKU]],'All Skus'!$A:$AC,2,FALSE))="JBL",(VLOOKUP(Table6[[#This Row],[SKU]],'All Skus'!$A:$AC,16,FALSE)),""))</f>
        <v>0</v>
      </c>
      <c r="O520" s="61">
        <f>(IF((VLOOKUP(Table6[[#This Row],[SKU]],'All Skus'!$A:$AC,2,FALSE))="JBL",(VLOOKUP(Table6[[#This Row],[SKU]],'All Skus'!$A:$AC,17,FALSE)),""))</f>
        <v>0</v>
      </c>
      <c r="P520" s="136">
        <f>(IF((VLOOKUP(Table6[[#This Row],[SKU]],'All Skus'!$A:$AC,2,FALSE))="JBL",(VLOOKUP(Table6[[#This Row],[SKU]],'All Skus'!$A:$AC,18,FALSE)),""))</f>
        <v>85</v>
      </c>
      <c r="Q520" s="136">
        <f>(IF((VLOOKUP(Table6[[#This Row],[SKU]],'All Skus'!$A:$AC,2,FALSE))="JBL",(VLOOKUP(Table6[[#This Row],[SKU]],'All Skus'!$A:$AC,19,FALSE)),""))</f>
        <v>22.5</v>
      </c>
      <c r="R520" s="136">
        <f>(IF((VLOOKUP(Table6[[#This Row],[SKU]],'All Skus'!$A:$AC,2,FALSE))="JBL",(VLOOKUP(Table6[[#This Row],[SKU]],'All Skus'!$A:$AC,20,FALSE)),""))</f>
        <v>24.5</v>
      </c>
      <c r="S520" s="61">
        <f>(IF((VLOOKUP(Table6[[#This Row],[SKU]],'All Skus'!$A:$AC,2,FALSE))="JBL",(VLOOKUP(Table6[[#This Row],[SKU]],'All Skus'!$A:$AC,21,FALSE)),""))</f>
        <v>34</v>
      </c>
      <c r="T520" s="61" t="str">
        <f>(IF((VLOOKUP(Table6[[#This Row],[SKU]],'All Skus'!$A:$AC,2,FALSE))="JBL",(VLOOKUP(Table6[[#This Row],[SKU]],'All Skus'!$A:$AC,22,FALSE)),""))</f>
        <v>MX</v>
      </c>
      <c r="U520" t="str">
        <f>(IF((VLOOKUP(Table6[[#This Row],[SKU]],'All Skus'!$A:$AC,2,FALSE))="JBL",(VLOOKUP(Table6[[#This Row],[SKU]],'All Skus'!$A:$AC,23,FALSE)),""))</f>
        <v>Compliant</v>
      </c>
      <c r="V520" s="284" t="str">
        <f>HYPERLINK((IF((VLOOKUP(Table6[[#This Row],[SKU]],'All Skus'!$A:$AC,2,FALSE))="JBL",(VLOOKUP(Table6[[#This Row],[SKU]],'All Skus'!$A:$AC,24,FALSE)),"")))</f>
        <v/>
      </c>
      <c r="W520" s="151">
        <v>518</v>
      </c>
    </row>
    <row r="521" spans="1:23" ht="15" hidden="1" customHeight="1">
      <c r="A521" s="13" t="s">
        <v>1527</v>
      </c>
      <c r="B521" s="12" t="str">
        <f>(IF((VLOOKUP(Table6[[#This Row],[SKU]],'All Skus'!$A:$AC,2,FALSE))="JBL",(VLOOKUP(Table6[[#This Row],[SKU]],'All Skus'!$A:$AC,3,FALSE)),""))</f>
        <v>AE Series</v>
      </c>
      <c r="C521" s="12" t="str">
        <f>(IF((VLOOKUP(Table6[[#This Row],[SKU]],'All Skus'!$A:$AC,2,FALSE))="JBL",(VLOOKUP(Table6[[#This Row],[SKU]],'All Skus'!$A:$AC,4,FALSE)),""))</f>
        <v>AM7215/64</v>
      </c>
      <c r="D521" s="61" t="str">
        <f>(IF((VLOOKUP(Table6[[#This Row],[SKU]],'All Skus'!$A:$AC,2,FALSE))="JBL",(VLOOKUP(Table6[[#This Row],[SKU]],'All Skus'!$A:$AC,5,FALSE)),""))</f>
        <v>JBL052</v>
      </c>
      <c r="E521" s="137">
        <f>(IF((VLOOKUP(Table6[[#This Row],[SKU]],'All Skus'!$A:$AC,2,FALSE))="JBL",(VLOOKUP(Table6[[#This Row],[SKU]],'All Skus'!$A:$AC,6,FALSE)),""))</f>
        <v>0</v>
      </c>
      <c r="F521" s="61">
        <f>(IF((VLOOKUP(Table6[[#This Row],[SKU]],'All Skus'!$A:$AC,2,FALSE))="JBL",(VLOOKUP(Table6[[#This Row],[SKU]],'All Skus'!$A:$AC,7,FALSE)),""))</f>
        <v>0</v>
      </c>
      <c r="G521" t="str">
        <f>(IF((VLOOKUP(Table6[[#This Row],[SKU]],'All Skus'!$A:$AC,2,FALSE))="JBL",(VLOOKUP(Table6[[#This Row],[SKU]],'All Skus'!$A:$AC,8,FALSE)),""))</f>
        <v>Two-way full range loudspeaker</v>
      </c>
      <c r="H521"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v>
      </c>
      <c r="I521" s="101">
        <f>(IF((VLOOKUP(Table6[[#This Row],[SKU]],'All Skus'!$A:$AC,2,FALSE))="JBL",(VLOOKUP(Table6[[#This Row],[SKU]],'All Skus'!$A:$AC,10,FALSE)),""))</f>
        <v>3670</v>
      </c>
      <c r="J521" s="101">
        <f>(IF((VLOOKUP(Table6[[#This Row],[SKU]],'All Skus'!$A:$AC,2,FALSE))="JBL",(VLOOKUP(Table6[[#This Row],[SKU]],'All Skus'!$A:$AC,11,FALSE)),""))</f>
        <v>3670</v>
      </c>
      <c r="K521" s="102">
        <f>(IF((VLOOKUP(Table6[[#This Row],[SKU]],'All Skus'!$A:$AC,2,FALSE))="JBL",(VLOOKUP(Table6[[#This Row],[SKU]],'All Skus'!$A:$AC,13,FALSE)),""))</f>
        <v>0</v>
      </c>
      <c r="L521" s="102">
        <f>(IF((VLOOKUP(Table6[[#This Row],[SKU]],'All Skus'!$A:$AC,2,FALSE))="JBL",(VLOOKUP(Table6[[#This Row],[SKU]],'All Skus'!$A:$AC,14,FALSE)),""))</f>
        <v>0</v>
      </c>
      <c r="M521" s="143">
        <f>(IF((VLOOKUP(Table6[[#This Row],[SKU]],'All Skus'!$A:$AC,2,FALSE))="JBL",(VLOOKUP(Table6[[#This Row],[SKU]],'All Skus'!$A:$AC,15,FALSE)),""))</f>
        <v>0</v>
      </c>
      <c r="N521" s="137">
        <f>(IF((VLOOKUP(Table6[[#This Row],[SKU]],'All Skus'!$A:$AC,2,FALSE))="JBL",(VLOOKUP(Table6[[#This Row],[SKU]],'All Skus'!$A:$AC,16,FALSE)),""))</f>
        <v>691991011467</v>
      </c>
      <c r="O521" s="61">
        <f>(IF((VLOOKUP(Table6[[#This Row],[SKU]],'All Skus'!$A:$AC,2,FALSE))="JBL",(VLOOKUP(Table6[[#This Row],[SKU]],'All Skus'!$A:$AC,17,FALSE)),""))</f>
        <v>0</v>
      </c>
      <c r="P521" s="136">
        <f>(IF((VLOOKUP(Table6[[#This Row],[SKU]],'All Skus'!$A:$AC,2,FALSE))="JBL",(VLOOKUP(Table6[[#This Row],[SKU]],'All Skus'!$A:$AC,18,FALSE)),""))</f>
        <v>68.25</v>
      </c>
      <c r="Q521" s="136">
        <f>(IF((VLOOKUP(Table6[[#This Row],[SKU]],'All Skus'!$A:$AC,2,FALSE))="JBL",(VLOOKUP(Table6[[#This Row],[SKU]],'All Skus'!$A:$AC,19,FALSE)),""))</f>
        <v>21</v>
      </c>
      <c r="R521" s="136">
        <f>(IF((VLOOKUP(Table6[[#This Row],[SKU]],'All Skus'!$A:$AC,2,FALSE))="JBL",(VLOOKUP(Table6[[#This Row],[SKU]],'All Skus'!$A:$AC,20,FALSE)),""))</f>
        <v>18</v>
      </c>
      <c r="S521" s="61">
        <f>(IF((VLOOKUP(Table6[[#This Row],[SKU]],'All Skus'!$A:$AC,2,FALSE))="JBL",(VLOOKUP(Table6[[#This Row],[SKU]],'All Skus'!$A:$AC,21,FALSE)),""))</f>
        <v>32</v>
      </c>
      <c r="T521" s="61" t="str">
        <f>(IF((VLOOKUP(Table6[[#This Row],[SKU]],'All Skus'!$A:$AC,2,FALSE))="JBL",(VLOOKUP(Table6[[#This Row],[SKU]],'All Skus'!$A:$AC,22,FALSE)),""))</f>
        <v>MX</v>
      </c>
      <c r="U521" t="str">
        <f>(IF((VLOOKUP(Table6[[#This Row],[SKU]],'All Skus'!$A:$AC,2,FALSE))="JBL",(VLOOKUP(Table6[[#This Row],[SKU]],'All Skus'!$A:$AC,23,FALSE)),""))</f>
        <v>Compliant</v>
      </c>
      <c r="V521" s="284" t="str">
        <f>HYPERLINK((IF((VLOOKUP(Table6[[#This Row],[SKU]],'All Skus'!$A:$AC,2,FALSE))="JBL",(VLOOKUP(Table6[[#This Row],[SKU]],'All Skus'!$A:$AC,24,FALSE)),"")))</f>
        <v/>
      </c>
      <c r="W521" s="151">
        <v>519</v>
      </c>
    </row>
    <row r="522" spans="1:23" ht="15" hidden="1" customHeight="1">
      <c r="A522" s="13" t="s">
        <v>1528</v>
      </c>
      <c r="B522" s="12" t="str">
        <f>(IF((VLOOKUP(Table6[[#This Row],[SKU]],'All Skus'!$A:$AC,2,FALSE))="JBL",(VLOOKUP(Table6[[#This Row],[SKU]],'All Skus'!$A:$AC,3,FALSE)),""))</f>
        <v>Custom Shop Item</v>
      </c>
      <c r="C522" s="12" t="str">
        <f>(IF((VLOOKUP(Table6[[#This Row],[SKU]],'All Skus'!$A:$AC,2,FALSE))="JBL",(VLOOKUP(Table6[[#This Row],[SKU]],'All Skus'!$A:$AC,4,FALSE)),""))</f>
        <v>AM7215/64-WH</v>
      </c>
      <c r="D522" s="61" t="str">
        <f>(IF((VLOOKUP(Table6[[#This Row],[SKU]],'All Skus'!$A:$AC,2,FALSE))="JBL",(VLOOKUP(Table6[[#This Row],[SKU]],'All Skus'!$A:$AC,5,FALSE)),""))</f>
        <v>JBL052</v>
      </c>
      <c r="E522" s="137">
        <f>(IF((VLOOKUP(Table6[[#This Row],[SKU]],'All Skus'!$A:$AC,2,FALSE))="JBL",(VLOOKUP(Table6[[#This Row],[SKU]],'All Skus'!$A:$AC,6,FALSE)),""))</f>
        <v>0</v>
      </c>
      <c r="F522" s="61">
        <f>(IF((VLOOKUP(Table6[[#This Row],[SKU]],'All Skus'!$A:$AC,2,FALSE))="JBL",(VLOOKUP(Table6[[#This Row],[SKU]],'All Skus'!$A:$AC,7,FALSE)),""))</f>
        <v>0</v>
      </c>
      <c r="G522" t="str">
        <f>(IF((VLOOKUP(Table6[[#This Row],[SKU]],'All Skus'!$A:$AC,2,FALSE))="JBL",(VLOOKUP(Table6[[#This Row],[SKU]],'All Skus'!$A:$AC,8,FALSE)),""))</f>
        <v>Two-way full range loudspeaker (white)</v>
      </c>
      <c r="H522"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v>
      </c>
      <c r="I522" s="101">
        <f>(IF((VLOOKUP(Table6[[#This Row],[SKU]],'All Skus'!$A:$AC,2,FALSE))="JBL",(VLOOKUP(Table6[[#This Row],[SKU]],'All Skus'!$A:$AC,10,FALSE)),""))</f>
        <v>3702.81</v>
      </c>
      <c r="J522" s="101">
        <f>(IF((VLOOKUP(Table6[[#This Row],[SKU]],'All Skus'!$A:$AC,2,FALSE))="JBL",(VLOOKUP(Table6[[#This Row],[SKU]],'All Skus'!$A:$AC,11,FALSE)),""))</f>
        <v>3702.81</v>
      </c>
      <c r="K522" s="102">
        <f>(IF((VLOOKUP(Table6[[#This Row],[SKU]],'All Skus'!$A:$AC,2,FALSE))="JBL",(VLOOKUP(Table6[[#This Row],[SKU]],'All Skus'!$A:$AC,13,FALSE)),""))</f>
        <v>0</v>
      </c>
      <c r="L522" s="102">
        <f>(IF((VLOOKUP(Table6[[#This Row],[SKU]],'All Skus'!$A:$AC,2,FALSE))="JBL",(VLOOKUP(Table6[[#This Row],[SKU]],'All Skus'!$A:$AC,14,FALSE)),""))</f>
        <v>0</v>
      </c>
      <c r="M522" s="143">
        <f>(IF((VLOOKUP(Table6[[#This Row],[SKU]],'All Skus'!$A:$AC,2,FALSE))="JBL",(VLOOKUP(Table6[[#This Row],[SKU]],'All Skus'!$A:$AC,15,FALSE)),""))</f>
        <v>0</v>
      </c>
      <c r="N522" s="137">
        <f>(IF((VLOOKUP(Table6[[#This Row],[SKU]],'All Skus'!$A:$AC,2,FALSE))="JBL",(VLOOKUP(Table6[[#This Row],[SKU]],'All Skus'!$A:$AC,16,FALSE)),""))</f>
        <v>691991011474</v>
      </c>
      <c r="O522" s="61">
        <f>(IF((VLOOKUP(Table6[[#This Row],[SKU]],'All Skus'!$A:$AC,2,FALSE))="JBL",(VLOOKUP(Table6[[#This Row],[SKU]],'All Skus'!$A:$AC,17,FALSE)),""))</f>
        <v>0</v>
      </c>
      <c r="P522" s="136">
        <f>(IF((VLOOKUP(Table6[[#This Row],[SKU]],'All Skus'!$A:$AC,2,FALSE))="JBL",(VLOOKUP(Table6[[#This Row],[SKU]],'All Skus'!$A:$AC,18,FALSE)),""))</f>
        <v>66</v>
      </c>
      <c r="Q522" s="136">
        <f>(IF((VLOOKUP(Table6[[#This Row],[SKU]],'All Skus'!$A:$AC,2,FALSE))="JBL",(VLOOKUP(Table6[[#This Row],[SKU]],'All Skus'!$A:$AC,19,FALSE)),""))</f>
        <v>21</v>
      </c>
      <c r="R522" s="136">
        <f>(IF((VLOOKUP(Table6[[#This Row],[SKU]],'All Skus'!$A:$AC,2,FALSE))="JBL",(VLOOKUP(Table6[[#This Row],[SKU]],'All Skus'!$A:$AC,20,FALSE)),""))</f>
        <v>18</v>
      </c>
      <c r="S522" s="61">
        <f>(IF((VLOOKUP(Table6[[#This Row],[SKU]],'All Skus'!$A:$AC,2,FALSE))="JBL",(VLOOKUP(Table6[[#This Row],[SKU]],'All Skus'!$A:$AC,21,FALSE)),""))</f>
        <v>32</v>
      </c>
      <c r="T522" s="61" t="str">
        <f>(IF((VLOOKUP(Table6[[#This Row],[SKU]],'All Skus'!$A:$AC,2,FALSE))="JBL",(VLOOKUP(Table6[[#This Row],[SKU]],'All Skus'!$A:$AC,22,FALSE)),""))</f>
        <v>MX</v>
      </c>
      <c r="U522" t="str">
        <f>(IF((VLOOKUP(Table6[[#This Row],[SKU]],'All Skus'!$A:$AC,2,FALSE))="JBL",(VLOOKUP(Table6[[#This Row],[SKU]],'All Skus'!$A:$AC,23,FALSE)),""))</f>
        <v>Compliant</v>
      </c>
      <c r="V522" s="284" t="str">
        <f>HYPERLINK((IF((VLOOKUP(Table6[[#This Row],[SKU]],'All Skus'!$A:$AC,2,FALSE))="JBL",(VLOOKUP(Table6[[#This Row],[SKU]],'All Skus'!$A:$AC,24,FALSE)),"")))</f>
        <v/>
      </c>
      <c r="W522" s="151">
        <v>520</v>
      </c>
    </row>
    <row r="523" spans="1:23" ht="15" hidden="1" customHeight="1">
      <c r="A523" s="13" t="s">
        <v>1529</v>
      </c>
      <c r="B523" s="12" t="str">
        <f>(IF((VLOOKUP(Table6[[#This Row],[SKU]],'All Skus'!$A:$AC,2,FALSE))="JBL",(VLOOKUP(Table6[[#This Row],[SKU]],'All Skus'!$A:$AC,3,FALSE)),""))</f>
        <v>Custom Shop Item</v>
      </c>
      <c r="C523" s="12" t="str">
        <f>(IF((VLOOKUP(Table6[[#This Row],[SKU]],'All Skus'!$A:$AC,2,FALSE))="JBL",(VLOOKUP(Table6[[#This Row],[SKU]],'All Skus'!$A:$AC,4,FALSE)),""))</f>
        <v>AM7215/64-WRC</v>
      </c>
      <c r="D523" s="61" t="str">
        <f>(IF((VLOOKUP(Table6[[#This Row],[SKU]],'All Skus'!$A:$AC,2,FALSE))="JBL",(VLOOKUP(Table6[[#This Row],[SKU]],'All Skus'!$A:$AC,5,FALSE)),""))</f>
        <v>JBL050</v>
      </c>
      <c r="E523" s="137" t="str">
        <f>(IF((VLOOKUP(Table6[[#This Row],[SKU]],'All Skus'!$A:$AC,2,FALSE))="JBL",(VLOOKUP(Table6[[#This Row],[SKU]],'All Skus'!$A:$AC,6,FALSE)),""))</f>
        <v>YES</v>
      </c>
      <c r="F523" s="61">
        <f>(IF((VLOOKUP(Table6[[#This Row],[SKU]],'All Skus'!$A:$AC,2,FALSE))="JBL",(VLOOKUP(Table6[[#This Row],[SKU]],'All Skus'!$A:$AC,7,FALSE)),""))</f>
        <v>0</v>
      </c>
      <c r="G523" t="str">
        <f>(IF((VLOOKUP(Table6[[#This Row],[SKU]],'All Skus'!$A:$AC,2,FALSE))="JBL",(VLOOKUP(Table6[[#This Row],[SKU]],'All Skus'!$A:$AC,8,FALSE)),""))</f>
        <v>Two-way full range loudspeaker (white)</v>
      </c>
      <c r="H523"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v>
      </c>
      <c r="I523" s="101" t="str">
        <f>(IF((VLOOKUP(Table6[[#This Row],[SKU]],'All Skus'!$A:$AC,2,FALSE))="JBL",(VLOOKUP(Table6[[#This Row],[SKU]],'All Skus'!$A:$AC,10,FALSE)),""))</f>
        <v>Please email CustomAudio@harman.com for quote</v>
      </c>
      <c r="J523" s="101">
        <f>(IF((VLOOKUP(Table6[[#This Row],[SKU]],'All Skus'!$A:$AC,2,FALSE))="JBL",(VLOOKUP(Table6[[#This Row],[SKU]],'All Skus'!$A:$AC,11,FALSE)),""))</f>
        <v>0</v>
      </c>
      <c r="K523" s="102">
        <f>(IF((VLOOKUP(Table6[[#This Row],[SKU]],'All Skus'!$A:$AC,2,FALSE))="JBL",(VLOOKUP(Table6[[#This Row],[SKU]],'All Skus'!$A:$AC,13,FALSE)),""))</f>
        <v>0</v>
      </c>
      <c r="L523" s="102">
        <f>(IF((VLOOKUP(Table6[[#This Row],[SKU]],'All Skus'!$A:$AC,2,FALSE))="JBL",(VLOOKUP(Table6[[#This Row],[SKU]],'All Skus'!$A:$AC,14,FALSE)),""))</f>
        <v>0</v>
      </c>
      <c r="M523" s="143">
        <f>(IF((VLOOKUP(Table6[[#This Row],[SKU]],'All Skus'!$A:$AC,2,FALSE))="JBL",(VLOOKUP(Table6[[#This Row],[SKU]],'All Skus'!$A:$AC,15,FALSE)),""))</f>
        <v>0</v>
      </c>
      <c r="N523" s="137">
        <f>(IF((VLOOKUP(Table6[[#This Row],[SKU]],'All Skus'!$A:$AC,2,FALSE))="JBL",(VLOOKUP(Table6[[#This Row],[SKU]],'All Skus'!$A:$AC,16,FALSE)),""))</f>
        <v>0</v>
      </c>
      <c r="O523" s="61">
        <f>(IF((VLOOKUP(Table6[[#This Row],[SKU]],'All Skus'!$A:$AC,2,FALSE))="JBL",(VLOOKUP(Table6[[#This Row],[SKU]],'All Skus'!$A:$AC,17,FALSE)),""))</f>
        <v>0</v>
      </c>
      <c r="P523" s="136">
        <f>(IF((VLOOKUP(Table6[[#This Row],[SKU]],'All Skus'!$A:$AC,2,FALSE))="JBL",(VLOOKUP(Table6[[#This Row],[SKU]],'All Skus'!$A:$AC,18,FALSE)),""))</f>
        <v>0</v>
      </c>
      <c r="Q523" s="136">
        <f>(IF((VLOOKUP(Table6[[#This Row],[SKU]],'All Skus'!$A:$AC,2,FALSE))="JBL",(VLOOKUP(Table6[[#This Row],[SKU]],'All Skus'!$A:$AC,19,FALSE)),""))</f>
        <v>0</v>
      </c>
      <c r="R523" s="136">
        <f>(IF((VLOOKUP(Table6[[#This Row],[SKU]],'All Skus'!$A:$AC,2,FALSE))="JBL",(VLOOKUP(Table6[[#This Row],[SKU]],'All Skus'!$A:$AC,20,FALSE)),""))</f>
        <v>0</v>
      </c>
      <c r="S523" s="61">
        <f>(IF((VLOOKUP(Table6[[#This Row],[SKU]],'All Skus'!$A:$AC,2,FALSE))="JBL",(VLOOKUP(Table6[[#This Row],[SKU]],'All Skus'!$A:$AC,21,FALSE)),""))</f>
        <v>0</v>
      </c>
      <c r="T523" s="61" t="str">
        <f>(IF((VLOOKUP(Table6[[#This Row],[SKU]],'All Skus'!$A:$AC,2,FALSE))="JBL",(VLOOKUP(Table6[[#This Row],[SKU]],'All Skus'!$A:$AC,22,FALSE)),""))</f>
        <v>MX</v>
      </c>
      <c r="U523" t="str">
        <f>(IF((VLOOKUP(Table6[[#This Row],[SKU]],'All Skus'!$A:$AC,2,FALSE))="JBL",(VLOOKUP(Table6[[#This Row],[SKU]],'All Skus'!$A:$AC,23,FALSE)),""))</f>
        <v>Compliant</v>
      </c>
      <c r="V523" s="284" t="str">
        <f>HYPERLINK((IF((VLOOKUP(Table6[[#This Row],[SKU]],'All Skus'!$A:$AC,2,FALSE))="JBL",(VLOOKUP(Table6[[#This Row],[SKU]],'All Skus'!$A:$AC,24,FALSE)),"")))</f>
        <v/>
      </c>
      <c r="W523" s="151">
        <v>521</v>
      </c>
    </row>
    <row r="524" spans="1:23" ht="15" hidden="1" customHeight="1">
      <c r="A524" s="13" t="s">
        <v>1530</v>
      </c>
      <c r="B524" s="12" t="str">
        <f>(IF((VLOOKUP(Table6[[#This Row],[SKU]],'All Skus'!$A:$AC,2,FALSE))="JBL",(VLOOKUP(Table6[[#This Row],[SKU]],'All Skus'!$A:$AC,3,FALSE)),""))</f>
        <v>Custom Shop</v>
      </c>
      <c r="C524" s="12" t="str">
        <f>(IF((VLOOKUP(Table6[[#This Row],[SKU]],'All Skus'!$A:$AC,2,FALSE))="JBL",(VLOOKUP(Table6[[#This Row],[SKU]],'All Skus'!$A:$AC,4,FALSE)),""))</f>
        <v>AM7215/64-WRX</v>
      </c>
      <c r="D524" s="61" t="str">
        <f>(IF((VLOOKUP(Table6[[#This Row],[SKU]],'All Skus'!$A:$AC,2,FALSE))="JBL",(VLOOKUP(Table6[[#This Row],[SKU]],'All Skus'!$A:$AC,5,FALSE)),""))</f>
        <v>JBL050</v>
      </c>
      <c r="E524" s="137" t="str">
        <f>(IF((VLOOKUP(Table6[[#This Row],[SKU]],'All Skus'!$A:$AC,2,FALSE))="JBL",(VLOOKUP(Table6[[#This Row],[SKU]],'All Skus'!$A:$AC,6,FALSE)),""))</f>
        <v>YES</v>
      </c>
      <c r="F524" s="61">
        <f>(IF((VLOOKUP(Table6[[#This Row],[SKU]],'All Skus'!$A:$AC,2,FALSE))="JBL",(VLOOKUP(Table6[[#This Row],[SKU]],'All Skus'!$A:$AC,7,FALSE)),""))</f>
        <v>0</v>
      </c>
      <c r="G524" t="str">
        <f>(IF((VLOOKUP(Table6[[#This Row],[SKU]],'All Skus'!$A:$AC,2,FALSE))="JBL",(VLOOKUP(Table6[[#This Row],[SKU]],'All Skus'!$A:$AC,8,FALSE)),""))</f>
        <v>Two-way full range loudspeaker (white)</v>
      </c>
      <c r="H524"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40° rotatable Progressive Transition™ waveguide, Bi-Amp/Passive Switchable. Available in Black or White (-WH). Priced as each. Suspension eyebolts not included. Optional U-bracket model MTU-1.  White finish.</v>
      </c>
      <c r="I524" s="101" t="str">
        <f>(IF((VLOOKUP(Table6[[#This Row],[SKU]],'All Skus'!$A:$AC,2,FALSE))="JBL",(VLOOKUP(Table6[[#This Row],[SKU]],'All Skus'!$A:$AC,10,FALSE)),""))</f>
        <v>Please email CustomAudio@harman.com for quote</v>
      </c>
      <c r="J524" s="101">
        <f>(IF((VLOOKUP(Table6[[#This Row],[SKU]],'All Skus'!$A:$AC,2,FALSE))="JBL",(VLOOKUP(Table6[[#This Row],[SKU]],'All Skus'!$A:$AC,11,FALSE)),""))</f>
        <v>0</v>
      </c>
      <c r="K524" s="102">
        <f>(IF((VLOOKUP(Table6[[#This Row],[SKU]],'All Skus'!$A:$AC,2,FALSE))="JBL",(VLOOKUP(Table6[[#This Row],[SKU]],'All Skus'!$A:$AC,13,FALSE)),""))</f>
        <v>0</v>
      </c>
      <c r="L524" s="102">
        <f>(IF((VLOOKUP(Table6[[#This Row],[SKU]],'All Skus'!$A:$AC,2,FALSE))="JBL",(VLOOKUP(Table6[[#This Row],[SKU]],'All Skus'!$A:$AC,14,FALSE)),""))</f>
        <v>0</v>
      </c>
      <c r="M524" s="143">
        <f>(IF((VLOOKUP(Table6[[#This Row],[SKU]],'All Skus'!$A:$AC,2,FALSE))="JBL",(VLOOKUP(Table6[[#This Row],[SKU]],'All Skus'!$A:$AC,15,FALSE)),""))</f>
        <v>0</v>
      </c>
      <c r="N524" s="137">
        <f>(IF((VLOOKUP(Table6[[#This Row],[SKU]],'All Skus'!$A:$AC,2,FALSE))="JBL",(VLOOKUP(Table6[[#This Row],[SKU]],'All Skus'!$A:$AC,16,FALSE)),""))</f>
        <v>691991011481</v>
      </c>
      <c r="O524" s="61">
        <f>(IF((VLOOKUP(Table6[[#This Row],[SKU]],'All Skus'!$A:$AC,2,FALSE))="JBL",(VLOOKUP(Table6[[#This Row],[SKU]],'All Skus'!$A:$AC,17,FALSE)),""))</f>
        <v>0</v>
      </c>
      <c r="P524" s="136">
        <f>(IF((VLOOKUP(Table6[[#This Row],[SKU]],'All Skus'!$A:$AC,2,FALSE))="JBL",(VLOOKUP(Table6[[#This Row],[SKU]],'All Skus'!$A:$AC,18,FALSE)),""))</f>
        <v>81.5</v>
      </c>
      <c r="Q524" s="136">
        <f>(IF((VLOOKUP(Table6[[#This Row],[SKU]],'All Skus'!$A:$AC,2,FALSE))="JBL",(VLOOKUP(Table6[[#This Row],[SKU]],'All Skus'!$A:$AC,19,FALSE)),""))</f>
        <v>23</v>
      </c>
      <c r="R524" s="136">
        <f>(IF((VLOOKUP(Table6[[#This Row],[SKU]],'All Skus'!$A:$AC,2,FALSE))="JBL",(VLOOKUP(Table6[[#This Row],[SKU]],'All Skus'!$A:$AC,20,FALSE)),""))</f>
        <v>25</v>
      </c>
      <c r="S524" s="61">
        <f>(IF((VLOOKUP(Table6[[#This Row],[SKU]],'All Skus'!$A:$AC,2,FALSE))="JBL",(VLOOKUP(Table6[[#This Row],[SKU]],'All Skus'!$A:$AC,21,FALSE)),""))</f>
        <v>36</v>
      </c>
      <c r="T524" s="61" t="str">
        <f>(IF((VLOOKUP(Table6[[#This Row],[SKU]],'All Skus'!$A:$AC,2,FALSE))="JBL",(VLOOKUP(Table6[[#This Row],[SKU]],'All Skus'!$A:$AC,22,FALSE)),""))</f>
        <v>MX</v>
      </c>
      <c r="U524" t="str">
        <f>(IF((VLOOKUP(Table6[[#This Row],[SKU]],'All Skus'!$A:$AC,2,FALSE))="JBL",(VLOOKUP(Table6[[#This Row],[SKU]],'All Skus'!$A:$AC,23,FALSE)),""))</f>
        <v>Compliant</v>
      </c>
      <c r="V524" s="284" t="str">
        <f>HYPERLINK((IF((VLOOKUP(Table6[[#This Row],[SKU]],'All Skus'!$A:$AC,2,FALSE))="JBL",(VLOOKUP(Table6[[#This Row],[SKU]],'All Skus'!$A:$AC,24,FALSE)),"")))</f>
        <v/>
      </c>
      <c r="W524" s="151">
        <v>522</v>
      </c>
    </row>
    <row r="525" spans="1:23" ht="15" hidden="1" customHeight="1">
      <c r="A525" s="13" t="s">
        <v>1531</v>
      </c>
      <c r="B525" s="12" t="str">
        <f>(IF((VLOOKUP(Table6[[#This Row],[SKU]],'All Skus'!$A:$AC,2,FALSE))="JBL",(VLOOKUP(Table6[[#This Row],[SKU]],'All Skus'!$A:$AC,3,FALSE)),""))</f>
        <v>AE Series</v>
      </c>
      <c r="C525" s="12" t="str">
        <f>(IF((VLOOKUP(Table6[[#This Row],[SKU]],'All Skus'!$A:$AC,2,FALSE))="JBL",(VLOOKUP(Table6[[#This Row],[SKU]],'All Skus'!$A:$AC,4,FALSE)),""))</f>
        <v>AM7215/66</v>
      </c>
      <c r="D525" s="61" t="str">
        <f>(IF((VLOOKUP(Table6[[#This Row],[SKU]],'All Skus'!$A:$AC,2,FALSE))="JBL",(VLOOKUP(Table6[[#This Row],[SKU]],'All Skus'!$A:$AC,5,FALSE)),""))</f>
        <v>JBL052</v>
      </c>
      <c r="E525" s="137">
        <f>(IF((VLOOKUP(Table6[[#This Row],[SKU]],'All Skus'!$A:$AC,2,FALSE))="JBL",(VLOOKUP(Table6[[#This Row],[SKU]],'All Skus'!$A:$AC,6,FALSE)),""))</f>
        <v>0</v>
      </c>
      <c r="F525" s="61">
        <f>(IF((VLOOKUP(Table6[[#This Row],[SKU]],'All Skus'!$A:$AC,2,FALSE))="JBL",(VLOOKUP(Table6[[#This Row],[SKU]],'All Skus'!$A:$AC,7,FALSE)),""))</f>
        <v>0</v>
      </c>
      <c r="G525" t="str">
        <f>(IF((VLOOKUP(Table6[[#This Row],[SKU]],'All Skus'!$A:$AC,2,FALSE))="JBL",(VLOOKUP(Table6[[#This Row],[SKU]],'All Skus'!$A:$AC,8,FALSE)),""))</f>
        <v>Two-way full range loudspeaker</v>
      </c>
      <c r="H525"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v>
      </c>
      <c r="I525" s="101">
        <f>(IF((VLOOKUP(Table6[[#This Row],[SKU]],'All Skus'!$A:$AC,2,FALSE))="JBL",(VLOOKUP(Table6[[#This Row],[SKU]],'All Skus'!$A:$AC,10,FALSE)),""))</f>
        <v>3670</v>
      </c>
      <c r="J525" s="101">
        <f>(IF((VLOOKUP(Table6[[#This Row],[SKU]],'All Skus'!$A:$AC,2,FALSE))="JBL",(VLOOKUP(Table6[[#This Row],[SKU]],'All Skus'!$A:$AC,11,FALSE)),""))</f>
        <v>3670</v>
      </c>
      <c r="K525" s="102">
        <f>(IF((VLOOKUP(Table6[[#This Row],[SKU]],'All Skus'!$A:$AC,2,FALSE))="JBL",(VLOOKUP(Table6[[#This Row],[SKU]],'All Skus'!$A:$AC,13,FALSE)),""))</f>
        <v>0</v>
      </c>
      <c r="L525" s="102">
        <f>(IF((VLOOKUP(Table6[[#This Row],[SKU]],'All Skus'!$A:$AC,2,FALSE))="JBL",(VLOOKUP(Table6[[#This Row],[SKU]],'All Skus'!$A:$AC,14,FALSE)),""))</f>
        <v>0</v>
      </c>
      <c r="M525" s="143">
        <f>(IF((VLOOKUP(Table6[[#This Row],[SKU]],'All Skus'!$A:$AC,2,FALSE))="JBL",(VLOOKUP(Table6[[#This Row],[SKU]],'All Skus'!$A:$AC,15,FALSE)),""))</f>
        <v>0</v>
      </c>
      <c r="N525" s="137">
        <f>(IF((VLOOKUP(Table6[[#This Row],[SKU]],'All Skus'!$A:$AC,2,FALSE))="JBL",(VLOOKUP(Table6[[#This Row],[SKU]],'All Skus'!$A:$AC,16,FALSE)),""))</f>
        <v>691991011498</v>
      </c>
      <c r="O525" s="61">
        <f>(IF((VLOOKUP(Table6[[#This Row],[SKU]],'All Skus'!$A:$AC,2,FALSE))="JBL",(VLOOKUP(Table6[[#This Row],[SKU]],'All Skus'!$A:$AC,17,FALSE)),""))</f>
        <v>0</v>
      </c>
      <c r="P525" s="136">
        <f>(IF((VLOOKUP(Table6[[#This Row],[SKU]],'All Skus'!$A:$AC,2,FALSE))="JBL",(VLOOKUP(Table6[[#This Row],[SKU]],'All Skus'!$A:$AC,18,FALSE)),""))</f>
        <v>67</v>
      </c>
      <c r="Q525" s="136">
        <f>(IF((VLOOKUP(Table6[[#This Row],[SKU]],'All Skus'!$A:$AC,2,FALSE))="JBL",(VLOOKUP(Table6[[#This Row],[SKU]],'All Skus'!$A:$AC,19,FALSE)),""))</f>
        <v>22</v>
      </c>
      <c r="R525" s="136">
        <f>(IF((VLOOKUP(Table6[[#This Row],[SKU]],'All Skus'!$A:$AC,2,FALSE))="JBL",(VLOOKUP(Table6[[#This Row],[SKU]],'All Skus'!$A:$AC,20,FALSE)),""))</f>
        <v>18</v>
      </c>
      <c r="S525" s="61">
        <f>(IF((VLOOKUP(Table6[[#This Row],[SKU]],'All Skus'!$A:$AC,2,FALSE))="JBL",(VLOOKUP(Table6[[#This Row],[SKU]],'All Skus'!$A:$AC,21,FALSE)),""))</f>
        <v>32</v>
      </c>
      <c r="T525" s="61" t="str">
        <f>(IF((VLOOKUP(Table6[[#This Row],[SKU]],'All Skus'!$A:$AC,2,FALSE))="JBL",(VLOOKUP(Table6[[#This Row],[SKU]],'All Skus'!$A:$AC,22,FALSE)),""))</f>
        <v>MX</v>
      </c>
      <c r="U525" t="str">
        <f>(IF((VLOOKUP(Table6[[#This Row],[SKU]],'All Skus'!$A:$AC,2,FALSE))="JBL",(VLOOKUP(Table6[[#This Row],[SKU]],'All Skus'!$A:$AC,23,FALSE)),""))</f>
        <v>Compliant</v>
      </c>
      <c r="V525" s="284" t="str">
        <f>HYPERLINK((IF((VLOOKUP(Table6[[#This Row],[SKU]],'All Skus'!$A:$AC,2,FALSE))="JBL",(VLOOKUP(Table6[[#This Row],[SKU]],'All Skus'!$A:$AC,24,FALSE)),"")))</f>
        <v/>
      </c>
      <c r="W525" s="151">
        <v>523</v>
      </c>
    </row>
    <row r="526" spans="1:23" ht="15" hidden="1" customHeight="1">
      <c r="A526" s="13" t="s">
        <v>1532</v>
      </c>
      <c r="B526" s="12" t="str">
        <f>(IF((VLOOKUP(Table6[[#This Row],[SKU]],'All Skus'!$A:$AC,2,FALSE))="JBL",(VLOOKUP(Table6[[#This Row],[SKU]],'All Skus'!$A:$AC,3,FALSE)),""))</f>
        <v>AE Series</v>
      </c>
      <c r="C526" s="12" t="str">
        <f>(IF((VLOOKUP(Table6[[#This Row],[SKU]],'All Skus'!$A:$AC,2,FALSE))="JBL",(VLOOKUP(Table6[[#This Row],[SKU]],'All Skus'!$A:$AC,4,FALSE)),""))</f>
        <v>AM7215/66-WH</v>
      </c>
      <c r="D526" s="61" t="str">
        <f>(IF((VLOOKUP(Table6[[#This Row],[SKU]],'All Skus'!$A:$AC,2,FALSE))="JBL",(VLOOKUP(Table6[[#This Row],[SKU]],'All Skus'!$A:$AC,5,FALSE)),""))</f>
        <v>JBL052</v>
      </c>
      <c r="E526" s="137">
        <f>(IF((VLOOKUP(Table6[[#This Row],[SKU]],'All Skus'!$A:$AC,2,FALSE))="JBL",(VLOOKUP(Table6[[#This Row],[SKU]],'All Skus'!$A:$AC,6,FALSE)),""))</f>
        <v>0</v>
      </c>
      <c r="F526" s="61">
        <f>(IF((VLOOKUP(Table6[[#This Row],[SKU]],'All Skus'!$A:$AC,2,FALSE))="JBL",(VLOOKUP(Table6[[#This Row],[SKU]],'All Skus'!$A:$AC,7,FALSE)),""))</f>
        <v>0</v>
      </c>
      <c r="G526" t="str">
        <f>(IF((VLOOKUP(Table6[[#This Row],[SKU]],'All Skus'!$A:$AC,2,FALSE))="JBL",(VLOOKUP(Table6[[#This Row],[SKU]],'All Skus'!$A:$AC,8,FALSE)),""))</f>
        <v>Two-way full range loudspeaker (white)</v>
      </c>
      <c r="H526"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Available in Black or White (-WH). Priced as each. Suspension eyebolts not included. Optional U-bracket model MTU-1. White finish.</v>
      </c>
      <c r="I526" s="101">
        <f>(IF((VLOOKUP(Table6[[#This Row],[SKU]],'All Skus'!$A:$AC,2,FALSE))="JBL",(VLOOKUP(Table6[[#This Row],[SKU]],'All Skus'!$A:$AC,10,FALSE)),""))</f>
        <v>3670</v>
      </c>
      <c r="J526" s="101">
        <f>(IF((VLOOKUP(Table6[[#This Row],[SKU]],'All Skus'!$A:$AC,2,FALSE))="JBL",(VLOOKUP(Table6[[#This Row],[SKU]],'All Skus'!$A:$AC,11,FALSE)),""))</f>
        <v>3670</v>
      </c>
      <c r="K526" s="102">
        <f>(IF((VLOOKUP(Table6[[#This Row],[SKU]],'All Skus'!$A:$AC,2,FALSE))="JBL",(VLOOKUP(Table6[[#This Row],[SKU]],'All Skus'!$A:$AC,13,FALSE)),""))</f>
        <v>0</v>
      </c>
      <c r="L526" s="102">
        <f>(IF((VLOOKUP(Table6[[#This Row],[SKU]],'All Skus'!$A:$AC,2,FALSE))="JBL",(VLOOKUP(Table6[[#This Row],[SKU]],'All Skus'!$A:$AC,14,FALSE)),""))</f>
        <v>0</v>
      </c>
      <c r="M526" s="143">
        <f>(IF((VLOOKUP(Table6[[#This Row],[SKU]],'All Skus'!$A:$AC,2,FALSE))="JBL",(VLOOKUP(Table6[[#This Row],[SKU]],'All Skus'!$A:$AC,15,FALSE)),""))</f>
        <v>0</v>
      </c>
      <c r="N526" s="137">
        <f>(IF((VLOOKUP(Table6[[#This Row],[SKU]],'All Skus'!$A:$AC,2,FALSE))="JBL",(VLOOKUP(Table6[[#This Row],[SKU]],'All Skus'!$A:$AC,16,FALSE)),""))</f>
        <v>691991011504</v>
      </c>
      <c r="O526" s="61">
        <f>(IF((VLOOKUP(Table6[[#This Row],[SKU]],'All Skus'!$A:$AC,2,FALSE))="JBL",(VLOOKUP(Table6[[#This Row],[SKU]],'All Skus'!$A:$AC,17,FALSE)),""))</f>
        <v>0</v>
      </c>
      <c r="P526" s="136">
        <f>(IF((VLOOKUP(Table6[[#This Row],[SKU]],'All Skus'!$A:$AC,2,FALSE))="JBL",(VLOOKUP(Table6[[#This Row],[SKU]],'All Skus'!$A:$AC,18,FALSE)),""))</f>
        <v>100</v>
      </c>
      <c r="Q526" s="136">
        <f>(IF((VLOOKUP(Table6[[#This Row],[SKU]],'All Skus'!$A:$AC,2,FALSE))="JBL",(VLOOKUP(Table6[[#This Row],[SKU]],'All Skus'!$A:$AC,19,FALSE)),""))</f>
        <v>24</v>
      </c>
      <c r="R526" s="136">
        <f>(IF((VLOOKUP(Table6[[#This Row],[SKU]],'All Skus'!$A:$AC,2,FALSE))="JBL",(VLOOKUP(Table6[[#This Row],[SKU]],'All Skus'!$A:$AC,20,FALSE)),""))</f>
        <v>23</v>
      </c>
      <c r="S526" s="61">
        <f>(IF((VLOOKUP(Table6[[#This Row],[SKU]],'All Skus'!$A:$AC,2,FALSE))="JBL",(VLOOKUP(Table6[[#This Row],[SKU]],'All Skus'!$A:$AC,21,FALSE)),""))</f>
        <v>34</v>
      </c>
      <c r="T526" s="61" t="str">
        <f>(IF((VLOOKUP(Table6[[#This Row],[SKU]],'All Skus'!$A:$AC,2,FALSE))="JBL",(VLOOKUP(Table6[[#This Row],[SKU]],'All Skus'!$A:$AC,22,FALSE)),""))</f>
        <v>MX</v>
      </c>
      <c r="U526" t="str">
        <f>(IF((VLOOKUP(Table6[[#This Row],[SKU]],'All Skus'!$A:$AC,2,FALSE))="JBL",(VLOOKUP(Table6[[#This Row],[SKU]],'All Skus'!$A:$AC,23,FALSE)),""))</f>
        <v>Compliant</v>
      </c>
      <c r="V526" s="284" t="str">
        <f>HYPERLINK((IF((VLOOKUP(Table6[[#This Row],[SKU]],'All Skus'!$A:$AC,2,FALSE))="JBL",(VLOOKUP(Table6[[#This Row],[SKU]],'All Skus'!$A:$AC,24,FALSE)),"")))</f>
        <v/>
      </c>
      <c r="W526" s="151">
        <v>524</v>
      </c>
    </row>
    <row r="527" spans="1:23" ht="15" hidden="1" customHeight="1">
      <c r="A527" s="13" t="s">
        <v>1533</v>
      </c>
      <c r="B527" s="12" t="str">
        <f>(IF((VLOOKUP(Table6[[#This Row],[SKU]],'All Skus'!$A:$AC,2,FALSE))="JBL",(VLOOKUP(Table6[[#This Row],[SKU]],'All Skus'!$A:$AC,3,FALSE)),""))</f>
        <v>Custom Shop Item</v>
      </c>
      <c r="C527" s="12" t="str">
        <f>(IF((VLOOKUP(Table6[[#This Row],[SKU]],'All Skus'!$A:$AC,2,FALSE))="JBL",(VLOOKUP(Table6[[#This Row],[SKU]],'All Skus'!$A:$AC,4,FALSE)),""))</f>
        <v>AM7215/66-WRC</v>
      </c>
      <c r="D527" s="61">
        <f>(IF((VLOOKUP(Table6[[#This Row],[SKU]],'All Skus'!$A:$AC,2,FALSE))="JBL",(VLOOKUP(Table6[[#This Row],[SKU]],'All Skus'!$A:$AC,5,FALSE)),""))</f>
        <v>0</v>
      </c>
      <c r="E527" s="137" t="str">
        <f>(IF((VLOOKUP(Table6[[#This Row],[SKU]],'All Skus'!$A:$AC,2,FALSE))="JBL",(VLOOKUP(Table6[[#This Row],[SKU]],'All Skus'!$A:$AC,6,FALSE)),""))</f>
        <v>YES</v>
      </c>
      <c r="F527" s="61">
        <f>(IF((VLOOKUP(Table6[[#This Row],[SKU]],'All Skus'!$A:$AC,2,FALSE))="JBL",(VLOOKUP(Table6[[#This Row],[SKU]],'All Skus'!$A:$AC,7,FALSE)),""))</f>
        <v>0</v>
      </c>
      <c r="G527" t="str">
        <f>(IF((VLOOKUP(Table6[[#This Row],[SKU]],'All Skus'!$A:$AC,2,FALSE))="JBL",(VLOOKUP(Table6[[#This Row],[SKU]],'All Skus'!$A:$AC,8,FALSE)),""))</f>
        <v>Two-way full range loudspeaker (Weather Protection Treatment)</v>
      </c>
      <c r="H527"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Weather Protection Treatment.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527" s="101" t="str">
        <f>(IF((VLOOKUP(Table6[[#This Row],[SKU]],'All Skus'!$A:$AC,2,FALSE))="JBL",(VLOOKUP(Table6[[#This Row],[SKU]],'All Skus'!$A:$AC,10,FALSE)),""))</f>
        <v>Please email CustomAudio@harman.com for quote</v>
      </c>
      <c r="J527" s="101">
        <f>(IF((VLOOKUP(Table6[[#This Row],[SKU]],'All Skus'!$A:$AC,2,FALSE))="JBL",(VLOOKUP(Table6[[#This Row],[SKU]],'All Skus'!$A:$AC,11,FALSE)),""))</f>
        <v>0</v>
      </c>
      <c r="K527" s="102">
        <f>(IF((VLOOKUP(Table6[[#This Row],[SKU]],'All Skus'!$A:$AC,2,FALSE))="JBL",(VLOOKUP(Table6[[#This Row],[SKU]],'All Skus'!$A:$AC,13,FALSE)),""))</f>
        <v>0</v>
      </c>
      <c r="L527" s="102">
        <f>(IF((VLOOKUP(Table6[[#This Row],[SKU]],'All Skus'!$A:$AC,2,FALSE))="JBL",(VLOOKUP(Table6[[#This Row],[SKU]],'All Skus'!$A:$AC,14,FALSE)),""))</f>
        <v>0</v>
      </c>
      <c r="M527" s="143">
        <f>(IF((VLOOKUP(Table6[[#This Row],[SKU]],'All Skus'!$A:$AC,2,FALSE))="JBL",(VLOOKUP(Table6[[#This Row],[SKU]],'All Skus'!$A:$AC,15,FALSE)),""))</f>
        <v>0</v>
      </c>
      <c r="N527" s="137">
        <f>(IF((VLOOKUP(Table6[[#This Row],[SKU]],'All Skus'!$A:$AC,2,FALSE))="JBL",(VLOOKUP(Table6[[#This Row],[SKU]],'All Skus'!$A:$AC,16,FALSE)),""))</f>
        <v>691991011511</v>
      </c>
      <c r="O527" s="61">
        <f>(IF((VLOOKUP(Table6[[#This Row],[SKU]],'All Skus'!$A:$AC,2,FALSE))="JBL",(VLOOKUP(Table6[[#This Row],[SKU]],'All Skus'!$A:$AC,17,FALSE)),""))</f>
        <v>0</v>
      </c>
      <c r="P527" s="136">
        <f>(IF((VLOOKUP(Table6[[#This Row],[SKU]],'All Skus'!$A:$AC,2,FALSE))="JBL",(VLOOKUP(Table6[[#This Row],[SKU]],'All Skus'!$A:$AC,18,FALSE)),""))</f>
        <v>0</v>
      </c>
      <c r="Q527" s="136">
        <f>(IF((VLOOKUP(Table6[[#This Row],[SKU]],'All Skus'!$A:$AC,2,FALSE))="JBL",(VLOOKUP(Table6[[#This Row],[SKU]],'All Skus'!$A:$AC,19,FALSE)),""))</f>
        <v>0</v>
      </c>
      <c r="R527" s="136">
        <f>(IF((VLOOKUP(Table6[[#This Row],[SKU]],'All Skus'!$A:$AC,2,FALSE))="JBL",(VLOOKUP(Table6[[#This Row],[SKU]],'All Skus'!$A:$AC,20,FALSE)),""))</f>
        <v>0</v>
      </c>
      <c r="S527" s="61">
        <f>(IF((VLOOKUP(Table6[[#This Row],[SKU]],'All Skus'!$A:$AC,2,FALSE))="JBL",(VLOOKUP(Table6[[#This Row],[SKU]],'All Skus'!$A:$AC,21,FALSE)),""))</f>
        <v>0</v>
      </c>
      <c r="T527" s="61" t="str">
        <f>(IF((VLOOKUP(Table6[[#This Row],[SKU]],'All Skus'!$A:$AC,2,FALSE))="JBL",(VLOOKUP(Table6[[#This Row],[SKU]],'All Skus'!$A:$AC,22,FALSE)),""))</f>
        <v>MX</v>
      </c>
      <c r="U527" t="str">
        <f>(IF((VLOOKUP(Table6[[#This Row],[SKU]],'All Skus'!$A:$AC,2,FALSE))="JBL",(VLOOKUP(Table6[[#This Row],[SKU]],'All Skus'!$A:$AC,23,FALSE)),""))</f>
        <v>Compliant</v>
      </c>
      <c r="V527" s="284" t="str">
        <f>HYPERLINK((IF((VLOOKUP(Table6[[#This Row],[SKU]],'All Skus'!$A:$AC,2,FALSE))="JBL",(VLOOKUP(Table6[[#This Row],[SKU]],'All Skus'!$A:$AC,24,FALSE)),"")))</f>
        <v/>
      </c>
      <c r="W527" s="151">
        <v>525</v>
      </c>
    </row>
    <row r="528" spans="1:23" ht="15" hidden="1" customHeight="1">
      <c r="A528" s="13" t="s">
        <v>1534</v>
      </c>
      <c r="B528" s="12" t="str">
        <f>(IF((VLOOKUP(Table6[[#This Row],[SKU]],'All Skus'!$A:$AC,2,FALSE))="JBL",(VLOOKUP(Table6[[#This Row],[SKU]],'All Skus'!$A:$AC,3,FALSE)),""))</f>
        <v>Custom Shop Item</v>
      </c>
      <c r="C528" s="12" t="str">
        <f>(IF((VLOOKUP(Table6[[#This Row],[SKU]],'All Skus'!$A:$AC,2,FALSE))="JBL",(VLOOKUP(Table6[[#This Row],[SKU]],'All Skus'!$A:$AC,4,FALSE)),""))</f>
        <v>AM7215/66-WRX</v>
      </c>
      <c r="D528" s="61" t="str">
        <f>(IF((VLOOKUP(Table6[[#This Row],[SKU]],'All Skus'!$A:$AC,2,FALSE))="JBL",(VLOOKUP(Table6[[#This Row],[SKU]],'All Skus'!$A:$AC,5,FALSE)),""))</f>
        <v>JBL050</v>
      </c>
      <c r="E528" s="137" t="str">
        <f>(IF((VLOOKUP(Table6[[#This Row],[SKU]],'All Skus'!$A:$AC,2,FALSE))="JBL",(VLOOKUP(Table6[[#This Row],[SKU]],'All Skus'!$A:$AC,6,FALSE)),""))</f>
        <v>YES</v>
      </c>
      <c r="F528" s="61">
        <f>(IF((VLOOKUP(Table6[[#This Row],[SKU]],'All Skus'!$A:$AC,2,FALSE))="JBL",(VLOOKUP(Table6[[#This Row],[SKU]],'All Skus'!$A:$AC,7,FALSE)),""))</f>
        <v>0</v>
      </c>
      <c r="G528" t="str">
        <f>(IF((VLOOKUP(Table6[[#This Row],[SKU]],'All Skus'!$A:$AC,2,FALSE))="JBL",(VLOOKUP(Table6[[#This Row],[SKU]],'All Skus'!$A:$AC,8,FALSE)),""))</f>
        <v>Two-way full range loudspeaker (Extreme Weather Protection Treatment)</v>
      </c>
      <c r="H528" s="8" t="str">
        <f>(IF((VLOOKUP(Table6[[#This Row],[SKU]],'All Skus'!$A:$AC,2,FALSE))="JBL",(VLOOKUP(Table6[[#This Row],[SKU]],'All Skus'!$A:$AC,9,FALSE)),""))</f>
        <v xml:space="preserve">High Power 15” 2-Way Full-Range Loudspeaker System with JBL Differential Drive® 75mm (3-in) dual voice coil and dual magnetic gap 2265H low frequency driver and 2432H high-frequency 38mm (1.5 in) exit, 75mm (3 in) voice-coil compression driver.  60° x 60°rotatable Progressive Transition™ waveguide, Bi-Amp/Passive Switchable. With Extreme Weather Protection Treatment. WRC &amp; WRX enclosures are larger than the standard enclosure.  Visit www.jblpro.com to download AE Series 2D WRC &amp; WRX drawings.  MTU brackets do not fit WRC &amp; WRX enclosures.  Standard color is GRAY. Available in Black (-BK) &amp; White (-WH).  </v>
      </c>
      <c r="I528" s="101" t="str">
        <f>(IF((VLOOKUP(Table6[[#This Row],[SKU]],'All Skus'!$A:$AC,2,FALSE))="JBL",(VLOOKUP(Table6[[#This Row],[SKU]],'All Skus'!$A:$AC,10,FALSE)),""))</f>
        <v>Please email CustomAudio@harman.com for quote</v>
      </c>
      <c r="J528" s="101">
        <f>(IF((VLOOKUP(Table6[[#This Row],[SKU]],'All Skus'!$A:$AC,2,FALSE))="JBL",(VLOOKUP(Table6[[#This Row],[SKU]],'All Skus'!$A:$AC,11,FALSE)),""))</f>
        <v>0</v>
      </c>
      <c r="K528" s="102">
        <f>(IF((VLOOKUP(Table6[[#This Row],[SKU]],'All Skus'!$A:$AC,2,FALSE))="JBL",(VLOOKUP(Table6[[#This Row],[SKU]],'All Skus'!$A:$AC,13,FALSE)),""))</f>
        <v>0</v>
      </c>
      <c r="L528" s="102">
        <f>(IF((VLOOKUP(Table6[[#This Row],[SKU]],'All Skus'!$A:$AC,2,FALSE))="JBL",(VLOOKUP(Table6[[#This Row],[SKU]],'All Skus'!$A:$AC,14,FALSE)),""))</f>
        <v>0</v>
      </c>
      <c r="M528" s="143">
        <f>(IF((VLOOKUP(Table6[[#This Row],[SKU]],'All Skus'!$A:$AC,2,FALSE))="JBL",(VLOOKUP(Table6[[#This Row],[SKU]],'All Skus'!$A:$AC,15,FALSE)),""))</f>
        <v>0</v>
      </c>
      <c r="N528" s="137">
        <f>(IF((VLOOKUP(Table6[[#This Row],[SKU]],'All Skus'!$A:$AC,2,FALSE))="JBL",(VLOOKUP(Table6[[#This Row],[SKU]],'All Skus'!$A:$AC,16,FALSE)),""))</f>
        <v>691991011528</v>
      </c>
      <c r="O528" s="61">
        <f>(IF((VLOOKUP(Table6[[#This Row],[SKU]],'All Skus'!$A:$AC,2,FALSE))="JBL",(VLOOKUP(Table6[[#This Row],[SKU]],'All Skus'!$A:$AC,17,FALSE)),""))</f>
        <v>0</v>
      </c>
      <c r="P528" s="136">
        <f>(IF((VLOOKUP(Table6[[#This Row],[SKU]],'All Skus'!$A:$AC,2,FALSE))="JBL",(VLOOKUP(Table6[[#This Row],[SKU]],'All Skus'!$A:$AC,18,FALSE)),""))</f>
        <v>0</v>
      </c>
      <c r="Q528" s="136">
        <f>(IF((VLOOKUP(Table6[[#This Row],[SKU]],'All Skus'!$A:$AC,2,FALSE))="JBL",(VLOOKUP(Table6[[#This Row],[SKU]],'All Skus'!$A:$AC,19,FALSE)),""))</f>
        <v>0</v>
      </c>
      <c r="R528" s="136">
        <f>(IF((VLOOKUP(Table6[[#This Row],[SKU]],'All Skus'!$A:$AC,2,FALSE))="JBL",(VLOOKUP(Table6[[#This Row],[SKU]],'All Skus'!$A:$AC,20,FALSE)),""))</f>
        <v>0</v>
      </c>
      <c r="S528" s="61">
        <f>(IF((VLOOKUP(Table6[[#This Row],[SKU]],'All Skus'!$A:$AC,2,FALSE))="JBL",(VLOOKUP(Table6[[#This Row],[SKU]],'All Skus'!$A:$AC,21,FALSE)),""))</f>
        <v>0</v>
      </c>
      <c r="T528" s="61" t="str">
        <f>(IF((VLOOKUP(Table6[[#This Row],[SKU]],'All Skus'!$A:$AC,2,FALSE))="JBL",(VLOOKUP(Table6[[#This Row],[SKU]],'All Skus'!$A:$AC,22,FALSE)),""))</f>
        <v>MX</v>
      </c>
      <c r="U528" t="str">
        <f>(IF((VLOOKUP(Table6[[#This Row],[SKU]],'All Skus'!$A:$AC,2,FALSE))="JBL",(VLOOKUP(Table6[[#This Row],[SKU]],'All Skus'!$A:$AC,23,FALSE)),""))</f>
        <v>Compliant</v>
      </c>
      <c r="V528" s="284" t="str">
        <f>HYPERLINK((IF((VLOOKUP(Table6[[#This Row],[SKU]],'All Skus'!$A:$AC,2,FALSE))="JBL",(VLOOKUP(Table6[[#This Row],[SKU]],'All Skus'!$A:$AC,24,FALSE)),"")))</f>
        <v/>
      </c>
      <c r="W528" s="151">
        <v>526</v>
      </c>
    </row>
    <row r="529" spans="1:23" ht="15" hidden="1" customHeight="1">
      <c r="A529" s="13" t="s">
        <v>1535</v>
      </c>
      <c r="B529" s="12" t="str">
        <f>(IF((VLOOKUP(Table6[[#This Row],[SKU]],'All Skus'!$A:$AC,2,FALSE))="JBL",(VLOOKUP(Table6[[#This Row],[SKU]],'All Skus'!$A:$AC,3,FALSE)),""))</f>
        <v>AE Series</v>
      </c>
      <c r="C529" s="12" t="str">
        <f>(IF((VLOOKUP(Table6[[#This Row],[SKU]],'All Skus'!$A:$AC,2,FALSE))="JBL",(VLOOKUP(Table6[[#This Row],[SKU]],'All Skus'!$A:$AC,4,FALSE)),""))</f>
        <v>AM7215/95</v>
      </c>
      <c r="D529" s="61" t="str">
        <f>(IF((VLOOKUP(Table6[[#This Row],[SKU]],'All Skus'!$A:$AC,2,FALSE))="JBL",(VLOOKUP(Table6[[#This Row],[SKU]],'All Skus'!$A:$AC,5,FALSE)),""))</f>
        <v>JBL052</v>
      </c>
      <c r="E529" s="137">
        <f>(IF((VLOOKUP(Table6[[#This Row],[SKU]],'All Skus'!$A:$AC,2,FALSE))="JBL",(VLOOKUP(Table6[[#This Row],[SKU]],'All Skus'!$A:$AC,6,FALSE)),""))</f>
        <v>0</v>
      </c>
      <c r="F529" s="61">
        <f>(IF((VLOOKUP(Table6[[#This Row],[SKU]],'All Skus'!$A:$AC,2,FALSE))="JBL",(VLOOKUP(Table6[[#This Row],[SKU]],'All Skus'!$A:$AC,7,FALSE)),""))</f>
        <v>0</v>
      </c>
      <c r="G529" t="str">
        <f>(IF((VLOOKUP(Table6[[#This Row],[SKU]],'All Skus'!$A:$AC,2,FALSE))="JBL",(VLOOKUP(Table6[[#This Row],[SKU]],'All Skus'!$A:$AC,8,FALSE)),""))</f>
        <v>Two-way full range loudspeaker</v>
      </c>
      <c r="H529"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v>
      </c>
      <c r="I529" s="101">
        <f>(IF((VLOOKUP(Table6[[#This Row],[SKU]],'All Skus'!$A:$AC,2,FALSE))="JBL",(VLOOKUP(Table6[[#This Row],[SKU]],'All Skus'!$A:$AC,10,FALSE)),""))</f>
        <v>3670</v>
      </c>
      <c r="J529" s="101">
        <f>(IF((VLOOKUP(Table6[[#This Row],[SKU]],'All Skus'!$A:$AC,2,FALSE))="JBL",(VLOOKUP(Table6[[#This Row],[SKU]],'All Skus'!$A:$AC,11,FALSE)),""))</f>
        <v>3670</v>
      </c>
      <c r="K529" s="102">
        <f>(IF((VLOOKUP(Table6[[#This Row],[SKU]],'All Skus'!$A:$AC,2,FALSE))="JBL",(VLOOKUP(Table6[[#This Row],[SKU]],'All Skus'!$A:$AC,13,FALSE)),""))</f>
        <v>0</v>
      </c>
      <c r="L529" s="102">
        <f>(IF((VLOOKUP(Table6[[#This Row],[SKU]],'All Skus'!$A:$AC,2,FALSE))="JBL",(VLOOKUP(Table6[[#This Row],[SKU]],'All Skus'!$A:$AC,14,FALSE)),""))</f>
        <v>0</v>
      </c>
      <c r="M529" s="143">
        <f>(IF((VLOOKUP(Table6[[#This Row],[SKU]],'All Skus'!$A:$AC,2,FALSE))="JBL",(VLOOKUP(Table6[[#This Row],[SKU]],'All Skus'!$A:$AC,15,FALSE)),""))</f>
        <v>0</v>
      </c>
      <c r="N529" s="137">
        <f>(IF((VLOOKUP(Table6[[#This Row],[SKU]],'All Skus'!$A:$AC,2,FALSE))="JBL",(VLOOKUP(Table6[[#This Row],[SKU]],'All Skus'!$A:$AC,16,FALSE)),""))</f>
        <v>691991011535</v>
      </c>
      <c r="O529" s="61">
        <f>(IF((VLOOKUP(Table6[[#This Row],[SKU]],'All Skus'!$A:$AC,2,FALSE))="JBL",(VLOOKUP(Table6[[#This Row],[SKU]],'All Skus'!$A:$AC,17,FALSE)),""))</f>
        <v>0</v>
      </c>
      <c r="P529" s="136">
        <f>(IF((VLOOKUP(Table6[[#This Row],[SKU]],'All Skus'!$A:$AC,2,FALSE))="JBL",(VLOOKUP(Table6[[#This Row],[SKU]],'All Skus'!$A:$AC,18,FALSE)),""))</f>
        <v>66</v>
      </c>
      <c r="Q529" s="136">
        <f>(IF((VLOOKUP(Table6[[#This Row],[SKU]],'All Skus'!$A:$AC,2,FALSE))="JBL",(VLOOKUP(Table6[[#This Row],[SKU]],'All Skus'!$A:$AC,19,FALSE)),""))</f>
        <v>21</v>
      </c>
      <c r="R529" s="136">
        <f>(IF((VLOOKUP(Table6[[#This Row],[SKU]],'All Skus'!$A:$AC,2,FALSE))="JBL",(VLOOKUP(Table6[[#This Row],[SKU]],'All Skus'!$A:$AC,20,FALSE)),""))</f>
        <v>18</v>
      </c>
      <c r="S529" s="61">
        <f>(IF((VLOOKUP(Table6[[#This Row],[SKU]],'All Skus'!$A:$AC,2,FALSE))="JBL",(VLOOKUP(Table6[[#This Row],[SKU]],'All Skus'!$A:$AC,21,FALSE)),""))</f>
        <v>32</v>
      </c>
      <c r="T529" s="61" t="str">
        <f>(IF((VLOOKUP(Table6[[#This Row],[SKU]],'All Skus'!$A:$AC,2,FALSE))="JBL",(VLOOKUP(Table6[[#This Row],[SKU]],'All Skus'!$A:$AC,22,FALSE)),""))</f>
        <v>MX</v>
      </c>
      <c r="U529" t="str">
        <f>(IF((VLOOKUP(Table6[[#This Row],[SKU]],'All Skus'!$A:$AC,2,FALSE))="JBL",(VLOOKUP(Table6[[#This Row],[SKU]],'All Skus'!$A:$AC,23,FALSE)),""))</f>
        <v>Compliant</v>
      </c>
      <c r="V529" s="284" t="str">
        <f>HYPERLINK((IF((VLOOKUP(Table6[[#This Row],[SKU]],'All Skus'!$A:$AC,2,FALSE))="JBL",(VLOOKUP(Table6[[#This Row],[SKU]],'All Skus'!$A:$AC,24,FALSE)),"")))</f>
        <v/>
      </c>
      <c r="W529" s="151">
        <v>527</v>
      </c>
    </row>
    <row r="530" spans="1:23" ht="15" hidden="1" customHeight="1">
      <c r="A530" s="13" t="s">
        <v>1536</v>
      </c>
      <c r="B530" s="12" t="str">
        <f>(IF((VLOOKUP(Table6[[#This Row],[SKU]],'All Skus'!$A:$AC,2,FALSE))="JBL",(VLOOKUP(Table6[[#This Row],[SKU]],'All Skus'!$A:$AC,3,FALSE)),""))</f>
        <v>AE Series</v>
      </c>
      <c r="C530" s="12" t="str">
        <f>(IF((VLOOKUP(Table6[[#This Row],[SKU]],'All Skus'!$A:$AC,2,FALSE))="JBL",(VLOOKUP(Table6[[#This Row],[SKU]],'All Skus'!$A:$AC,4,FALSE)),""))</f>
        <v>AM7215/95-WH</v>
      </c>
      <c r="D530" s="61" t="str">
        <f>(IF((VLOOKUP(Table6[[#This Row],[SKU]],'All Skus'!$A:$AC,2,FALSE))="JBL",(VLOOKUP(Table6[[#This Row],[SKU]],'All Skus'!$A:$AC,5,FALSE)),""))</f>
        <v>JBL052</v>
      </c>
      <c r="E530" s="137">
        <f>(IF((VLOOKUP(Table6[[#This Row],[SKU]],'All Skus'!$A:$AC,2,FALSE))="JBL",(VLOOKUP(Table6[[#This Row],[SKU]],'All Skus'!$A:$AC,6,FALSE)),""))</f>
        <v>0</v>
      </c>
      <c r="F530" s="61">
        <f>(IF((VLOOKUP(Table6[[#This Row],[SKU]],'All Skus'!$A:$AC,2,FALSE))="JBL",(VLOOKUP(Table6[[#This Row],[SKU]],'All Skus'!$A:$AC,7,FALSE)),""))</f>
        <v>0</v>
      </c>
      <c r="G530" t="str">
        <f>(IF((VLOOKUP(Table6[[#This Row],[SKU]],'All Skus'!$A:$AC,2,FALSE))="JBL",(VLOOKUP(Table6[[#This Row],[SKU]],'All Skus'!$A:$AC,8,FALSE)),""))</f>
        <v>Two-way full range loudspeaker (white)</v>
      </c>
      <c r="H530"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v>
      </c>
      <c r="I530" s="101">
        <f>(IF((VLOOKUP(Table6[[#This Row],[SKU]],'All Skus'!$A:$AC,2,FALSE))="JBL",(VLOOKUP(Table6[[#This Row],[SKU]],'All Skus'!$A:$AC,10,FALSE)),""))</f>
        <v>3670</v>
      </c>
      <c r="J530" s="101">
        <f>(IF((VLOOKUP(Table6[[#This Row],[SKU]],'All Skus'!$A:$AC,2,FALSE))="JBL",(VLOOKUP(Table6[[#This Row],[SKU]],'All Skus'!$A:$AC,11,FALSE)),""))</f>
        <v>3670</v>
      </c>
      <c r="K530" s="102">
        <f>(IF((VLOOKUP(Table6[[#This Row],[SKU]],'All Skus'!$A:$AC,2,FALSE))="JBL",(VLOOKUP(Table6[[#This Row],[SKU]],'All Skus'!$A:$AC,13,FALSE)),""))</f>
        <v>0</v>
      </c>
      <c r="L530" s="102">
        <f>(IF((VLOOKUP(Table6[[#This Row],[SKU]],'All Skus'!$A:$AC,2,FALSE))="JBL",(VLOOKUP(Table6[[#This Row],[SKU]],'All Skus'!$A:$AC,14,FALSE)),""))</f>
        <v>0</v>
      </c>
      <c r="M530" s="143">
        <f>(IF((VLOOKUP(Table6[[#This Row],[SKU]],'All Skus'!$A:$AC,2,FALSE))="JBL",(VLOOKUP(Table6[[#This Row],[SKU]],'All Skus'!$A:$AC,15,FALSE)),""))</f>
        <v>0</v>
      </c>
      <c r="N530" s="137">
        <f>(IF((VLOOKUP(Table6[[#This Row],[SKU]],'All Skus'!$A:$AC,2,FALSE))="JBL",(VLOOKUP(Table6[[#This Row],[SKU]],'All Skus'!$A:$AC,16,FALSE)),""))</f>
        <v>691991011542</v>
      </c>
      <c r="O530" s="61">
        <f>(IF((VLOOKUP(Table6[[#This Row],[SKU]],'All Skus'!$A:$AC,2,FALSE))="JBL",(VLOOKUP(Table6[[#This Row],[SKU]],'All Skus'!$A:$AC,17,FALSE)),""))</f>
        <v>0</v>
      </c>
      <c r="P530" s="136">
        <f>(IF((VLOOKUP(Table6[[#This Row],[SKU]],'All Skus'!$A:$AC,2,FALSE))="JBL",(VLOOKUP(Table6[[#This Row],[SKU]],'All Skus'!$A:$AC,18,FALSE)),""))</f>
        <v>67</v>
      </c>
      <c r="Q530" s="136">
        <f>(IF((VLOOKUP(Table6[[#This Row],[SKU]],'All Skus'!$A:$AC,2,FALSE))="JBL",(VLOOKUP(Table6[[#This Row],[SKU]],'All Skus'!$A:$AC,19,FALSE)),""))</f>
        <v>22</v>
      </c>
      <c r="R530" s="136">
        <f>(IF((VLOOKUP(Table6[[#This Row],[SKU]],'All Skus'!$A:$AC,2,FALSE))="JBL",(VLOOKUP(Table6[[#This Row],[SKU]],'All Skus'!$A:$AC,20,FALSE)),""))</f>
        <v>18</v>
      </c>
      <c r="S530" s="61">
        <f>(IF((VLOOKUP(Table6[[#This Row],[SKU]],'All Skus'!$A:$AC,2,FALSE))="JBL",(VLOOKUP(Table6[[#This Row],[SKU]],'All Skus'!$A:$AC,21,FALSE)),""))</f>
        <v>33</v>
      </c>
      <c r="T530" s="61" t="str">
        <f>(IF((VLOOKUP(Table6[[#This Row],[SKU]],'All Skus'!$A:$AC,2,FALSE))="JBL",(VLOOKUP(Table6[[#This Row],[SKU]],'All Skus'!$A:$AC,22,FALSE)),""))</f>
        <v>MX</v>
      </c>
      <c r="U530" t="str">
        <f>(IF((VLOOKUP(Table6[[#This Row],[SKU]],'All Skus'!$A:$AC,2,FALSE))="JBL",(VLOOKUP(Table6[[#This Row],[SKU]],'All Skus'!$A:$AC,23,FALSE)),""))</f>
        <v>Compliant</v>
      </c>
      <c r="V530" s="284" t="str">
        <f>HYPERLINK((IF((VLOOKUP(Table6[[#This Row],[SKU]],'All Skus'!$A:$AC,2,FALSE))="JBL",(VLOOKUP(Table6[[#This Row],[SKU]],'All Skus'!$A:$AC,24,FALSE)),"")))</f>
        <v/>
      </c>
      <c r="W530" s="151">
        <v>528</v>
      </c>
    </row>
    <row r="531" spans="1:23" ht="15" hidden="1" customHeight="1">
      <c r="A531" s="13" t="s">
        <v>1537</v>
      </c>
      <c r="B531" s="12" t="str">
        <f>(IF((VLOOKUP(Table6[[#This Row],[SKU]],'All Skus'!$A:$AC,2,FALSE))="JBL",(VLOOKUP(Table6[[#This Row],[SKU]],'All Skus'!$A:$AC,3,FALSE)),""))</f>
        <v>Custom Shop</v>
      </c>
      <c r="C531" s="12" t="str">
        <f>(IF((VLOOKUP(Table6[[#This Row],[SKU]],'All Skus'!$A:$AC,2,FALSE))="JBL",(VLOOKUP(Table6[[#This Row],[SKU]],'All Skus'!$A:$AC,4,FALSE)),""))</f>
        <v>AM7215/95-WRX</v>
      </c>
      <c r="D531" s="61" t="str">
        <f>(IF((VLOOKUP(Table6[[#This Row],[SKU]],'All Skus'!$A:$AC,2,FALSE))="JBL",(VLOOKUP(Table6[[#This Row],[SKU]],'All Skus'!$A:$AC,5,FALSE)),""))</f>
        <v>JBL050</v>
      </c>
      <c r="E531" s="137" t="str">
        <f>(IF((VLOOKUP(Table6[[#This Row],[SKU]],'All Skus'!$A:$AC,2,FALSE))="JBL",(VLOOKUP(Table6[[#This Row],[SKU]],'All Skus'!$A:$AC,6,FALSE)),""))</f>
        <v>YES</v>
      </c>
      <c r="F531" s="61">
        <f>(IF((VLOOKUP(Table6[[#This Row],[SKU]],'All Skus'!$A:$AC,2,FALSE))="JBL",(VLOOKUP(Table6[[#This Row],[SKU]],'All Skus'!$A:$AC,7,FALSE)),""))</f>
        <v>0</v>
      </c>
      <c r="G531" t="str">
        <f>(IF((VLOOKUP(Table6[[#This Row],[SKU]],'All Skus'!$A:$AC,2,FALSE))="JBL",(VLOOKUP(Table6[[#This Row],[SKU]],'All Skus'!$A:$AC,8,FALSE)),""))</f>
        <v>Two-way full range loudspeaker (white)</v>
      </c>
      <c r="H531" s="8" t="str">
        <f>(IF((VLOOKUP(Table6[[#This Row],[SKU]],'All Skus'!$A:$AC,2,FALSE))="JBL",(VLOOKUP(Table6[[#This Row],[SKU]],'All Skus'!$A:$AC,9,FALSE)),""))</f>
        <v>High Power 15” 2-Way Full-Range Loudspeaker System with JBL Differential Drive® 75mm (3-in) dual voice coil and dual magnetic gap 2265H low frequency driver and 2432H high-frequency 38mm (1.5 in) exit, 75mm (3 in) voice-coil compression driver.  90° x 50° rotatable Progressive Transition™ waveguide, Bi-Amp/Passive Switchable. Available in Black or White (-WH). Priced as each. Suspension eyebolts not included. Optional U-bracket model MTU-1.  White finish.</v>
      </c>
      <c r="I531" s="101" t="str">
        <f>(IF((VLOOKUP(Table6[[#This Row],[SKU]],'All Skus'!$A:$AC,2,FALSE))="JBL",(VLOOKUP(Table6[[#This Row],[SKU]],'All Skus'!$A:$AC,10,FALSE)),""))</f>
        <v>Please email CustomAudio@harman.com for quote</v>
      </c>
      <c r="J531" s="101">
        <f>(IF((VLOOKUP(Table6[[#This Row],[SKU]],'All Skus'!$A:$AC,2,FALSE))="JBL",(VLOOKUP(Table6[[#This Row],[SKU]],'All Skus'!$A:$AC,11,FALSE)),""))</f>
        <v>0</v>
      </c>
      <c r="K531" s="102">
        <f>(IF((VLOOKUP(Table6[[#This Row],[SKU]],'All Skus'!$A:$AC,2,FALSE))="JBL",(VLOOKUP(Table6[[#This Row],[SKU]],'All Skus'!$A:$AC,13,FALSE)),""))</f>
        <v>0</v>
      </c>
      <c r="L531" s="102">
        <f>(IF((VLOOKUP(Table6[[#This Row],[SKU]],'All Skus'!$A:$AC,2,FALSE))="JBL",(VLOOKUP(Table6[[#This Row],[SKU]],'All Skus'!$A:$AC,14,FALSE)),""))</f>
        <v>0</v>
      </c>
      <c r="M531" s="143">
        <f>(IF((VLOOKUP(Table6[[#This Row],[SKU]],'All Skus'!$A:$AC,2,FALSE))="JBL",(VLOOKUP(Table6[[#This Row],[SKU]],'All Skus'!$A:$AC,15,FALSE)),""))</f>
        <v>0</v>
      </c>
      <c r="N531" s="137">
        <f>(IF((VLOOKUP(Table6[[#This Row],[SKU]],'All Skus'!$A:$AC,2,FALSE))="JBL",(VLOOKUP(Table6[[#This Row],[SKU]],'All Skus'!$A:$AC,16,FALSE)),""))</f>
        <v>0</v>
      </c>
      <c r="O531" s="61">
        <f>(IF((VLOOKUP(Table6[[#This Row],[SKU]],'All Skus'!$A:$AC,2,FALSE))="JBL",(VLOOKUP(Table6[[#This Row],[SKU]],'All Skus'!$A:$AC,17,FALSE)),""))</f>
        <v>0</v>
      </c>
      <c r="P531" s="136">
        <f>(IF((VLOOKUP(Table6[[#This Row],[SKU]],'All Skus'!$A:$AC,2,FALSE))="JBL",(VLOOKUP(Table6[[#This Row],[SKU]],'All Skus'!$A:$AC,18,FALSE)),""))</f>
        <v>102</v>
      </c>
      <c r="Q531" s="136">
        <f>(IF((VLOOKUP(Table6[[#This Row],[SKU]],'All Skus'!$A:$AC,2,FALSE))="JBL",(VLOOKUP(Table6[[#This Row],[SKU]],'All Skus'!$A:$AC,19,FALSE)),""))</f>
        <v>33</v>
      </c>
      <c r="R531" s="136">
        <f>(IF((VLOOKUP(Table6[[#This Row],[SKU]],'All Skus'!$A:$AC,2,FALSE))="JBL",(VLOOKUP(Table6[[#This Row],[SKU]],'All Skus'!$A:$AC,20,FALSE)),""))</f>
        <v>32</v>
      </c>
      <c r="S531" s="61">
        <f>(IF((VLOOKUP(Table6[[#This Row],[SKU]],'All Skus'!$A:$AC,2,FALSE))="JBL",(VLOOKUP(Table6[[#This Row],[SKU]],'All Skus'!$A:$AC,21,FALSE)),""))</f>
        <v>35</v>
      </c>
      <c r="T531" s="61" t="str">
        <f>(IF((VLOOKUP(Table6[[#This Row],[SKU]],'All Skus'!$A:$AC,2,FALSE))="JBL",(VLOOKUP(Table6[[#This Row],[SKU]],'All Skus'!$A:$AC,22,FALSE)),""))</f>
        <v>MX</v>
      </c>
      <c r="U531" t="str">
        <f>(IF((VLOOKUP(Table6[[#This Row],[SKU]],'All Skus'!$A:$AC,2,FALSE))="JBL",(VLOOKUP(Table6[[#This Row],[SKU]],'All Skus'!$A:$AC,23,FALSE)),""))</f>
        <v>Compliant</v>
      </c>
      <c r="V531" s="284" t="str">
        <f>HYPERLINK((IF((VLOOKUP(Table6[[#This Row],[SKU]],'All Skus'!$A:$AC,2,FALSE))="JBL",(VLOOKUP(Table6[[#This Row],[SKU]],'All Skus'!$A:$AC,24,FALSE)),"")))</f>
        <v/>
      </c>
      <c r="W531" s="151">
        <v>529</v>
      </c>
    </row>
    <row r="532" spans="1:23" ht="15" hidden="1" customHeight="1">
      <c r="A532" s="13" t="s">
        <v>1538</v>
      </c>
      <c r="B532" s="12" t="str">
        <f>(IF((VLOOKUP(Table6[[#This Row],[SKU]],'All Skus'!$A:$AC,2,FALSE))="JBL",(VLOOKUP(Table6[[#This Row],[SKU]],'All Skus'!$A:$AC,3,FALSE)),""))</f>
        <v>AE Series</v>
      </c>
      <c r="C532" s="12" t="str">
        <f>(IF((VLOOKUP(Table6[[#This Row],[SKU]],'All Skus'!$A:$AC,2,FALSE))="JBL",(VLOOKUP(Table6[[#This Row],[SKU]],'All Skus'!$A:$AC,4,FALSE)),""))</f>
        <v>AM7315/64</v>
      </c>
      <c r="D532" s="61" t="str">
        <f>(IF((VLOOKUP(Table6[[#This Row],[SKU]],'All Skus'!$A:$AC,2,FALSE))="JBL",(VLOOKUP(Table6[[#This Row],[SKU]],'All Skus'!$A:$AC,5,FALSE)),""))</f>
        <v>JBL052</v>
      </c>
      <c r="E532" s="137" t="str">
        <f>(IF((VLOOKUP(Table6[[#This Row],[SKU]],'All Skus'!$A:$AC,2,FALSE))="JBL",(VLOOKUP(Table6[[#This Row],[SKU]],'All Skus'!$A:$AC,6,FALSE)),""))</f>
        <v>YES</v>
      </c>
      <c r="F532" s="61">
        <f>(IF((VLOOKUP(Table6[[#This Row],[SKU]],'All Skus'!$A:$AC,2,FALSE))="JBL",(VLOOKUP(Table6[[#This Row],[SKU]],'All Skus'!$A:$AC,7,FALSE)),""))</f>
        <v>0</v>
      </c>
      <c r="G532" t="str">
        <f>(IF((VLOOKUP(Table6[[#This Row],[SKU]],'All Skus'!$A:$AC,2,FALSE))="JBL",(VLOOKUP(Table6[[#This Row],[SKU]],'All Skus'!$A:$AC,8,FALSE)),""))</f>
        <v>3-WAY FULL-RANGE LOUDSPEAKER SYS</v>
      </c>
      <c r="H532"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v>
      </c>
      <c r="I532" s="101">
        <f>(IF((VLOOKUP(Table6[[#This Row],[SKU]],'All Skus'!$A:$AC,2,FALSE))="JBL",(VLOOKUP(Table6[[#This Row],[SKU]],'All Skus'!$A:$AC,10,FALSE)),""))</f>
        <v>5210</v>
      </c>
      <c r="J532" s="101">
        <f>(IF((VLOOKUP(Table6[[#This Row],[SKU]],'All Skus'!$A:$AC,2,FALSE))="JBL",(VLOOKUP(Table6[[#This Row],[SKU]],'All Skus'!$A:$AC,11,FALSE)),""))</f>
        <v>5210</v>
      </c>
      <c r="K532" s="102">
        <f>(IF((VLOOKUP(Table6[[#This Row],[SKU]],'All Skus'!$A:$AC,2,FALSE))="JBL",(VLOOKUP(Table6[[#This Row],[SKU]],'All Skus'!$A:$AC,13,FALSE)),""))</f>
        <v>0</v>
      </c>
      <c r="L532" s="102">
        <f>(IF((VLOOKUP(Table6[[#This Row],[SKU]],'All Skus'!$A:$AC,2,FALSE))="JBL",(VLOOKUP(Table6[[#This Row],[SKU]],'All Skus'!$A:$AC,14,FALSE)),""))</f>
        <v>0</v>
      </c>
      <c r="M532" s="143">
        <f>(IF((VLOOKUP(Table6[[#This Row],[SKU]],'All Skus'!$A:$AC,2,FALSE))="JBL",(VLOOKUP(Table6[[#This Row],[SKU]],'All Skus'!$A:$AC,15,FALSE)),""))</f>
        <v>0</v>
      </c>
      <c r="N532" s="137">
        <f>(IF((VLOOKUP(Table6[[#This Row],[SKU]],'All Skus'!$A:$AC,2,FALSE))="JBL",(VLOOKUP(Table6[[#This Row],[SKU]],'All Skus'!$A:$AC,16,FALSE)),""))</f>
        <v>691991011559</v>
      </c>
      <c r="O532" s="61">
        <f>(IF((VLOOKUP(Table6[[#This Row],[SKU]],'All Skus'!$A:$AC,2,FALSE))="JBL",(VLOOKUP(Table6[[#This Row],[SKU]],'All Skus'!$A:$AC,17,FALSE)),""))</f>
        <v>0</v>
      </c>
      <c r="P532" s="136">
        <f>(IF((VLOOKUP(Table6[[#This Row],[SKU]],'All Skus'!$A:$AC,2,FALSE))="JBL",(VLOOKUP(Table6[[#This Row],[SKU]],'All Skus'!$A:$AC,18,FALSE)),""))</f>
        <v>101</v>
      </c>
      <c r="Q532" s="136">
        <f>(IF((VLOOKUP(Table6[[#This Row],[SKU]],'All Skus'!$A:$AC,2,FALSE))="JBL",(VLOOKUP(Table6[[#This Row],[SKU]],'All Skus'!$A:$AC,19,FALSE)),""))</f>
        <v>38</v>
      </c>
      <c r="R532" s="136">
        <f>(IF((VLOOKUP(Table6[[#This Row],[SKU]],'All Skus'!$A:$AC,2,FALSE))="JBL",(VLOOKUP(Table6[[#This Row],[SKU]],'All Skus'!$A:$AC,20,FALSE)),""))</f>
        <v>23</v>
      </c>
      <c r="S532" s="61">
        <f>(IF((VLOOKUP(Table6[[#This Row],[SKU]],'All Skus'!$A:$AC,2,FALSE))="JBL",(VLOOKUP(Table6[[#This Row],[SKU]],'All Skus'!$A:$AC,21,FALSE)),""))</f>
        <v>26</v>
      </c>
      <c r="T532" s="61" t="str">
        <f>(IF((VLOOKUP(Table6[[#This Row],[SKU]],'All Skus'!$A:$AC,2,FALSE))="JBL",(VLOOKUP(Table6[[#This Row],[SKU]],'All Skus'!$A:$AC,22,FALSE)),""))</f>
        <v>MX</v>
      </c>
      <c r="U532" t="str">
        <f>(IF((VLOOKUP(Table6[[#This Row],[SKU]],'All Skus'!$A:$AC,2,FALSE))="JBL",(VLOOKUP(Table6[[#This Row],[SKU]],'All Skus'!$A:$AC,23,FALSE)),""))</f>
        <v>Compliant</v>
      </c>
      <c r="V532" s="284" t="str">
        <f>HYPERLINK((IF((VLOOKUP(Table6[[#This Row],[SKU]],'All Skus'!$A:$AC,2,FALSE))="JBL",(VLOOKUP(Table6[[#This Row],[SKU]],'All Skus'!$A:$AC,24,FALSE)),"")))</f>
        <v/>
      </c>
      <c r="W532" s="151">
        <v>530</v>
      </c>
    </row>
    <row r="533" spans="1:23" ht="15" hidden="1" customHeight="1">
      <c r="A533" s="13" t="s">
        <v>1539</v>
      </c>
      <c r="B533" s="12" t="str">
        <f>(IF((VLOOKUP(Table6[[#This Row],[SKU]],'All Skus'!$A:$AC,2,FALSE))="JBL",(VLOOKUP(Table6[[#This Row],[SKU]],'All Skus'!$A:$AC,3,FALSE)),""))</f>
        <v>AE Series</v>
      </c>
      <c r="C533" s="12" t="str">
        <f>(IF((VLOOKUP(Table6[[#This Row],[SKU]],'All Skus'!$A:$AC,2,FALSE))="JBL",(VLOOKUP(Table6[[#This Row],[SKU]],'All Skus'!$A:$AC,4,FALSE)),""))</f>
        <v>AM7315/64</v>
      </c>
      <c r="D533" s="61" t="str">
        <f>(IF((VLOOKUP(Table6[[#This Row],[SKU]],'All Skus'!$A:$AC,2,FALSE))="JBL",(VLOOKUP(Table6[[#This Row],[SKU]],'All Skus'!$A:$AC,5,FALSE)),""))</f>
        <v>JBL052</v>
      </c>
      <c r="E533" s="137" t="str">
        <f>(IF((VLOOKUP(Table6[[#This Row],[SKU]],'All Skus'!$A:$AC,2,FALSE))="JBL",(VLOOKUP(Table6[[#This Row],[SKU]],'All Skus'!$A:$AC,6,FALSE)),""))</f>
        <v>YES</v>
      </c>
      <c r="F533" s="61">
        <f>(IF((VLOOKUP(Table6[[#This Row],[SKU]],'All Skus'!$A:$AC,2,FALSE))="JBL",(VLOOKUP(Table6[[#This Row],[SKU]],'All Skus'!$A:$AC,7,FALSE)),""))</f>
        <v>0</v>
      </c>
      <c r="G533" t="str">
        <f>(IF((VLOOKUP(Table6[[#This Row],[SKU]],'All Skus'!$A:$AC,2,FALSE))="JBL",(VLOOKUP(Table6[[#This Row],[SKU]],'All Skus'!$A:$AC,8,FALSE)),""))</f>
        <v>3-WAY FULL-RANGE LOUDSPEAKER SYS</v>
      </c>
      <c r="H533"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60° x 40° Coverage, Bi-Amp/Tri-Amp Switchable.  Available in Black or White (-WH). Priced as each. Suspension eyebolts not included. Fits Optional Planar Array Frame Kits PAF-2K and PAF-3K.  See AE Bracket Handbook for Details.</v>
      </c>
      <c r="I533" s="101">
        <f>(IF((VLOOKUP(Table6[[#This Row],[SKU]],'All Skus'!$A:$AC,2,FALSE))="JBL",(VLOOKUP(Table6[[#This Row],[SKU]],'All Skus'!$A:$AC,10,FALSE)),""))</f>
        <v>5210</v>
      </c>
      <c r="J533" s="101">
        <f>(IF((VLOOKUP(Table6[[#This Row],[SKU]],'All Skus'!$A:$AC,2,FALSE))="JBL",(VLOOKUP(Table6[[#This Row],[SKU]],'All Skus'!$A:$AC,11,FALSE)),""))</f>
        <v>5210</v>
      </c>
      <c r="K533" s="102">
        <f>(IF((VLOOKUP(Table6[[#This Row],[SKU]],'All Skus'!$A:$AC,2,FALSE))="JBL",(VLOOKUP(Table6[[#This Row],[SKU]],'All Skus'!$A:$AC,13,FALSE)),""))</f>
        <v>0</v>
      </c>
      <c r="L533" s="102">
        <f>(IF((VLOOKUP(Table6[[#This Row],[SKU]],'All Skus'!$A:$AC,2,FALSE))="JBL",(VLOOKUP(Table6[[#This Row],[SKU]],'All Skus'!$A:$AC,14,FALSE)),""))</f>
        <v>0</v>
      </c>
      <c r="M533" s="143">
        <f>(IF((VLOOKUP(Table6[[#This Row],[SKU]],'All Skus'!$A:$AC,2,FALSE))="JBL",(VLOOKUP(Table6[[#This Row],[SKU]],'All Skus'!$A:$AC,15,FALSE)),""))</f>
        <v>0</v>
      </c>
      <c r="N533" s="137">
        <f>(IF((VLOOKUP(Table6[[#This Row],[SKU]],'All Skus'!$A:$AC,2,FALSE))="JBL",(VLOOKUP(Table6[[#This Row],[SKU]],'All Skus'!$A:$AC,16,FALSE)),""))</f>
        <v>691991011566</v>
      </c>
      <c r="O533" s="61">
        <f>(IF((VLOOKUP(Table6[[#This Row],[SKU]],'All Skus'!$A:$AC,2,FALSE))="JBL",(VLOOKUP(Table6[[#This Row],[SKU]],'All Skus'!$A:$AC,17,FALSE)),""))</f>
        <v>0</v>
      </c>
      <c r="P533" s="136">
        <f>(IF((VLOOKUP(Table6[[#This Row],[SKU]],'All Skus'!$A:$AC,2,FALSE))="JBL",(VLOOKUP(Table6[[#This Row],[SKU]],'All Skus'!$A:$AC,18,FALSE)),""))</f>
        <v>101</v>
      </c>
      <c r="Q533" s="136">
        <f>(IF((VLOOKUP(Table6[[#This Row],[SKU]],'All Skus'!$A:$AC,2,FALSE))="JBL",(VLOOKUP(Table6[[#This Row],[SKU]],'All Skus'!$A:$AC,19,FALSE)),""))</f>
        <v>38</v>
      </c>
      <c r="R533" s="136">
        <f>(IF((VLOOKUP(Table6[[#This Row],[SKU]],'All Skus'!$A:$AC,2,FALSE))="JBL",(VLOOKUP(Table6[[#This Row],[SKU]],'All Skus'!$A:$AC,20,FALSE)),""))</f>
        <v>23</v>
      </c>
      <c r="S533" s="61">
        <f>(IF((VLOOKUP(Table6[[#This Row],[SKU]],'All Skus'!$A:$AC,2,FALSE))="JBL",(VLOOKUP(Table6[[#This Row],[SKU]],'All Skus'!$A:$AC,21,FALSE)),""))</f>
        <v>26</v>
      </c>
      <c r="T533" s="61" t="str">
        <f>(IF((VLOOKUP(Table6[[#This Row],[SKU]],'All Skus'!$A:$AC,2,FALSE))="JBL",(VLOOKUP(Table6[[#This Row],[SKU]],'All Skus'!$A:$AC,22,FALSE)),""))</f>
        <v>MX</v>
      </c>
      <c r="U533" t="str">
        <f>(IF((VLOOKUP(Table6[[#This Row],[SKU]],'All Skus'!$A:$AC,2,FALSE))="JBL",(VLOOKUP(Table6[[#This Row],[SKU]],'All Skus'!$A:$AC,23,FALSE)),""))</f>
        <v>Compliant</v>
      </c>
      <c r="V533" s="284" t="str">
        <f>HYPERLINK((IF((VLOOKUP(Table6[[#This Row],[SKU]],'All Skus'!$A:$AC,2,FALSE))="JBL",(VLOOKUP(Table6[[#This Row],[SKU]],'All Skus'!$A:$AC,24,FALSE)),"")))</f>
        <v/>
      </c>
      <c r="W533" s="151">
        <v>531</v>
      </c>
    </row>
    <row r="534" spans="1:23" ht="15" hidden="1" customHeight="1">
      <c r="A534" s="13" t="s">
        <v>1540</v>
      </c>
      <c r="B534" s="12" t="str">
        <f>(IF((VLOOKUP(Table6[[#This Row],[SKU]],'All Skus'!$A:$AC,2,FALSE))="JBL",(VLOOKUP(Table6[[#This Row],[SKU]],'All Skus'!$A:$AC,3,FALSE)),""))</f>
        <v>Custom Shop Item</v>
      </c>
      <c r="C534" s="12" t="str">
        <f>(IF((VLOOKUP(Table6[[#This Row],[SKU]],'All Skus'!$A:$AC,2,FALSE))="JBL",(VLOOKUP(Table6[[#This Row],[SKU]],'All Skus'!$A:$AC,4,FALSE)),""))</f>
        <v>AM7315/64-WRC</v>
      </c>
      <c r="D534" s="61">
        <f>(IF((VLOOKUP(Table6[[#This Row],[SKU]],'All Skus'!$A:$AC,2,FALSE))="JBL",(VLOOKUP(Table6[[#This Row],[SKU]],'All Skus'!$A:$AC,5,FALSE)),""))</f>
        <v>0</v>
      </c>
      <c r="E534" s="137" t="str">
        <f>(IF((VLOOKUP(Table6[[#This Row],[SKU]],'All Skus'!$A:$AC,2,FALSE))="JBL",(VLOOKUP(Table6[[#This Row],[SKU]],'All Skus'!$A:$AC,6,FALSE)),""))</f>
        <v>YES</v>
      </c>
      <c r="F534" s="61">
        <f>(IF((VLOOKUP(Table6[[#This Row],[SKU]],'All Skus'!$A:$AC,2,FALSE))="JBL",(VLOOKUP(Table6[[#This Row],[SKU]],'All Skus'!$A:$AC,7,FALSE)),""))</f>
        <v>0</v>
      </c>
      <c r="G534" t="str">
        <f>(IF((VLOOKUP(Table6[[#This Row],[SKU]],'All Skus'!$A:$AC,2,FALSE))="JBL",(VLOOKUP(Table6[[#This Row],[SKU]],'All Skus'!$A:$AC,8,FALSE)),""))</f>
        <v>3-WAY FULL-RANGE LOUDSPEAKER SYS</v>
      </c>
      <c r="H534" s="8" t="str">
        <f>(IF((VLOOKUP(Table6[[#This Row],[SKU]],'All Skus'!$A:$AC,2,FALSE))="JBL",(VLOOKUP(Table6[[#This Row],[SKU]],'All Skus'!$A:$AC,9,FALSE)),""))</f>
        <v>With Weather Protection Treatment. Refer to WEATHER RESISTANT Configurations for AE, PD &amp; VLA Series document for details regarding WRC/WRX models. WRC &amp; WRX enclosures are larger than the standard enclosure.  Visit www.jblpro.com to download AE Series 2D WRC &amp; WRX drawings.  MTU brackets do not fit WRC &amp; WRX enclosures.  Standard color is GRAY. Available in Black (-BK) &amp; White (-WH).  8-10 weeks ship time for orders of 1-10, larger needs to be reviewed</v>
      </c>
      <c r="I534" s="101" t="str">
        <f>(IF((VLOOKUP(Table6[[#This Row],[SKU]],'All Skus'!$A:$AC,2,FALSE))="JBL",(VLOOKUP(Table6[[#This Row],[SKU]],'All Skus'!$A:$AC,10,FALSE)),""))</f>
        <v>Please email CustomAudio@harman.com for quote</v>
      </c>
      <c r="J534" s="101">
        <f>(IF((VLOOKUP(Table6[[#This Row],[SKU]],'All Skus'!$A:$AC,2,FALSE))="JBL",(VLOOKUP(Table6[[#This Row],[SKU]],'All Skus'!$A:$AC,11,FALSE)),""))</f>
        <v>0</v>
      </c>
      <c r="K534" s="102">
        <f>(IF((VLOOKUP(Table6[[#This Row],[SKU]],'All Skus'!$A:$AC,2,FALSE))="JBL",(VLOOKUP(Table6[[#This Row],[SKU]],'All Skus'!$A:$AC,13,FALSE)),""))</f>
        <v>0</v>
      </c>
      <c r="L534" s="102">
        <f>(IF((VLOOKUP(Table6[[#This Row],[SKU]],'All Skus'!$A:$AC,2,FALSE))="JBL",(VLOOKUP(Table6[[#This Row],[SKU]],'All Skus'!$A:$AC,14,FALSE)),""))</f>
        <v>0</v>
      </c>
      <c r="M534" s="143">
        <f>(IF((VLOOKUP(Table6[[#This Row],[SKU]],'All Skus'!$A:$AC,2,FALSE))="JBL",(VLOOKUP(Table6[[#This Row],[SKU]],'All Skus'!$A:$AC,15,FALSE)),""))</f>
        <v>0</v>
      </c>
      <c r="N534" s="137">
        <f>(IF((VLOOKUP(Table6[[#This Row],[SKU]],'All Skus'!$A:$AC,2,FALSE))="JBL",(VLOOKUP(Table6[[#This Row],[SKU]],'All Skus'!$A:$AC,16,FALSE)),""))</f>
        <v>691991011573</v>
      </c>
      <c r="O534" s="61">
        <f>(IF((VLOOKUP(Table6[[#This Row],[SKU]],'All Skus'!$A:$AC,2,FALSE))="JBL",(VLOOKUP(Table6[[#This Row],[SKU]],'All Skus'!$A:$AC,17,FALSE)),""))</f>
        <v>0</v>
      </c>
      <c r="P534" s="136">
        <f>(IF((VLOOKUP(Table6[[#This Row],[SKU]],'All Skus'!$A:$AC,2,FALSE))="JBL",(VLOOKUP(Table6[[#This Row],[SKU]],'All Skus'!$A:$AC,18,FALSE)),""))</f>
        <v>0</v>
      </c>
      <c r="Q534" s="136">
        <f>(IF((VLOOKUP(Table6[[#This Row],[SKU]],'All Skus'!$A:$AC,2,FALSE))="JBL",(VLOOKUP(Table6[[#This Row],[SKU]],'All Skus'!$A:$AC,19,FALSE)),""))</f>
        <v>0</v>
      </c>
      <c r="R534" s="136">
        <f>(IF((VLOOKUP(Table6[[#This Row],[SKU]],'All Skus'!$A:$AC,2,FALSE))="JBL",(VLOOKUP(Table6[[#This Row],[SKU]],'All Skus'!$A:$AC,20,FALSE)),""))</f>
        <v>0</v>
      </c>
      <c r="S534" s="61">
        <f>(IF((VLOOKUP(Table6[[#This Row],[SKU]],'All Skus'!$A:$AC,2,FALSE))="JBL",(VLOOKUP(Table6[[#This Row],[SKU]],'All Skus'!$A:$AC,21,FALSE)),""))</f>
        <v>0</v>
      </c>
      <c r="T534" s="61" t="str">
        <f>(IF((VLOOKUP(Table6[[#This Row],[SKU]],'All Skus'!$A:$AC,2,FALSE))="JBL",(VLOOKUP(Table6[[#This Row],[SKU]],'All Skus'!$A:$AC,22,FALSE)),""))</f>
        <v>MX</v>
      </c>
      <c r="U534" t="str">
        <f>(IF((VLOOKUP(Table6[[#This Row],[SKU]],'All Skus'!$A:$AC,2,FALSE))="JBL",(VLOOKUP(Table6[[#This Row],[SKU]],'All Skus'!$A:$AC,23,FALSE)),""))</f>
        <v>Compliant</v>
      </c>
      <c r="V534" s="284" t="str">
        <f>HYPERLINK((IF((VLOOKUP(Table6[[#This Row],[SKU]],'All Skus'!$A:$AC,2,FALSE))="JBL",(VLOOKUP(Table6[[#This Row],[SKU]],'All Skus'!$A:$AC,24,FALSE)),"")))</f>
        <v/>
      </c>
      <c r="W534" s="151">
        <v>532</v>
      </c>
    </row>
    <row r="535" spans="1:23" ht="15" hidden="1" customHeight="1">
      <c r="A535" s="13" t="s">
        <v>1541</v>
      </c>
      <c r="B535" s="12" t="str">
        <f>(IF((VLOOKUP(Table6[[#This Row],[SKU]],'All Skus'!$A:$AC,2,FALSE))="JBL",(VLOOKUP(Table6[[#This Row],[SKU]],'All Skus'!$A:$AC,3,FALSE)),""))</f>
        <v>AE Series</v>
      </c>
      <c r="C535" s="12" t="str">
        <f>(IF((VLOOKUP(Table6[[#This Row],[SKU]],'All Skus'!$A:$AC,2,FALSE))="JBL",(VLOOKUP(Table6[[#This Row],[SKU]],'All Skus'!$A:$AC,4,FALSE)),""))</f>
        <v>AM7315/95</v>
      </c>
      <c r="D535" s="61" t="str">
        <f>(IF((VLOOKUP(Table6[[#This Row],[SKU]],'All Skus'!$A:$AC,2,FALSE))="JBL",(VLOOKUP(Table6[[#This Row],[SKU]],'All Skus'!$A:$AC,5,FALSE)),""))</f>
        <v>JBL052</v>
      </c>
      <c r="E535" s="137" t="str">
        <f>(IF((VLOOKUP(Table6[[#This Row],[SKU]],'All Skus'!$A:$AC,2,FALSE))="JBL",(VLOOKUP(Table6[[#This Row],[SKU]],'All Skus'!$A:$AC,6,FALSE)),""))</f>
        <v>YES</v>
      </c>
      <c r="F535" s="61">
        <f>(IF((VLOOKUP(Table6[[#This Row],[SKU]],'All Skus'!$A:$AC,2,FALSE))="JBL",(VLOOKUP(Table6[[#This Row],[SKU]],'All Skus'!$A:$AC,7,FALSE)),""))</f>
        <v>0</v>
      </c>
      <c r="G535" t="str">
        <f>(IF((VLOOKUP(Table6[[#This Row],[SKU]],'All Skus'!$A:$AC,2,FALSE))="JBL",(VLOOKUP(Table6[[#This Row],[SKU]],'All Skus'!$A:$AC,8,FALSE)),""))</f>
        <v>3-WAY FULL-RANGE LOAUDSPEAKER SYSTEM</v>
      </c>
      <c r="H535"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v>
      </c>
      <c r="I535" s="101">
        <f>(IF((VLOOKUP(Table6[[#This Row],[SKU]],'All Skus'!$A:$AC,2,FALSE))="JBL",(VLOOKUP(Table6[[#This Row],[SKU]],'All Skus'!$A:$AC,10,FALSE)),""))</f>
        <v>5210</v>
      </c>
      <c r="J535" s="101">
        <f>(IF((VLOOKUP(Table6[[#This Row],[SKU]],'All Skus'!$A:$AC,2,FALSE))="JBL",(VLOOKUP(Table6[[#This Row],[SKU]],'All Skus'!$A:$AC,11,FALSE)),""))</f>
        <v>5210</v>
      </c>
      <c r="K535" s="102">
        <f>(IF((VLOOKUP(Table6[[#This Row],[SKU]],'All Skus'!$A:$AC,2,FALSE))="JBL",(VLOOKUP(Table6[[#This Row],[SKU]],'All Skus'!$A:$AC,13,FALSE)),""))</f>
        <v>0</v>
      </c>
      <c r="L535" s="102">
        <f>(IF((VLOOKUP(Table6[[#This Row],[SKU]],'All Skus'!$A:$AC,2,FALSE))="JBL",(VLOOKUP(Table6[[#This Row],[SKU]],'All Skus'!$A:$AC,14,FALSE)),""))</f>
        <v>0</v>
      </c>
      <c r="M535" s="143">
        <f>(IF((VLOOKUP(Table6[[#This Row],[SKU]],'All Skus'!$A:$AC,2,FALSE))="JBL",(VLOOKUP(Table6[[#This Row],[SKU]],'All Skus'!$A:$AC,15,FALSE)),""))</f>
        <v>0</v>
      </c>
      <c r="N535" s="137">
        <f>(IF((VLOOKUP(Table6[[#This Row],[SKU]],'All Skus'!$A:$AC,2,FALSE))="JBL",(VLOOKUP(Table6[[#This Row],[SKU]],'All Skus'!$A:$AC,16,FALSE)),""))</f>
        <v>691991011597</v>
      </c>
      <c r="O535" s="61">
        <f>(IF((VLOOKUP(Table6[[#This Row],[SKU]],'All Skus'!$A:$AC,2,FALSE))="JBL",(VLOOKUP(Table6[[#This Row],[SKU]],'All Skus'!$A:$AC,17,FALSE)),""))</f>
        <v>0</v>
      </c>
      <c r="P535" s="136">
        <f>(IF((VLOOKUP(Table6[[#This Row],[SKU]],'All Skus'!$A:$AC,2,FALSE))="JBL",(VLOOKUP(Table6[[#This Row],[SKU]],'All Skus'!$A:$AC,18,FALSE)),""))</f>
        <v>110</v>
      </c>
      <c r="Q535" s="136">
        <f>(IF((VLOOKUP(Table6[[#This Row],[SKU]],'All Skus'!$A:$AC,2,FALSE))="JBL",(VLOOKUP(Table6[[#This Row],[SKU]],'All Skus'!$A:$AC,19,FALSE)),""))</f>
        <v>30</v>
      </c>
      <c r="R535" s="136">
        <f>(IF((VLOOKUP(Table6[[#This Row],[SKU]],'All Skus'!$A:$AC,2,FALSE))="JBL",(VLOOKUP(Table6[[#This Row],[SKU]],'All Skus'!$A:$AC,20,FALSE)),""))</f>
        <v>26</v>
      </c>
      <c r="S535" s="61">
        <f>(IF((VLOOKUP(Table6[[#This Row],[SKU]],'All Skus'!$A:$AC,2,FALSE))="JBL",(VLOOKUP(Table6[[#This Row],[SKU]],'All Skus'!$A:$AC,21,FALSE)),""))</f>
        <v>40</v>
      </c>
      <c r="T535" s="61" t="str">
        <f>(IF((VLOOKUP(Table6[[#This Row],[SKU]],'All Skus'!$A:$AC,2,FALSE))="JBL",(VLOOKUP(Table6[[#This Row],[SKU]],'All Skus'!$A:$AC,22,FALSE)),""))</f>
        <v>MX</v>
      </c>
      <c r="U535" t="str">
        <f>(IF((VLOOKUP(Table6[[#This Row],[SKU]],'All Skus'!$A:$AC,2,FALSE))="JBL",(VLOOKUP(Table6[[#This Row],[SKU]],'All Skus'!$A:$AC,23,FALSE)),""))</f>
        <v>Compliant</v>
      </c>
      <c r="V535" s="284" t="str">
        <f>HYPERLINK((IF((VLOOKUP(Table6[[#This Row],[SKU]],'All Skus'!$A:$AC,2,FALSE))="JBL",(VLOOKUP(Table6[[#This Row],[SKU]],'All Skus'!$A:$AC,24,FALSE)),"")))</f>
        <v/>
      </c>
      <c r="W535" s="151">
        <v>533</v>
      </c>
    </row>
    <row r="536" spans="1:23" ht="15" hidden="1" customHeight="1">
      <c r="A536" s="13" t="s">
        <v>1542</v>
      </c>
      <c r="B536" s="12" t="str">
        <f>(IF((VLOOKUP(Table6[[#This Row],[SKU]],'All Skus'!$A:$AC,2,FALSE))="JBL",(VLOOKUP(Table6[[#This Row],[SKU]],'All Skus'!$A:$AC,3,FALSE)),""))</f>
        <v>AE Series</v>
      </c>
      <c r="C536" s="12" t="str">
        <f>(IF((VLOOKUP(Table6[[#This Row],[SKU]],'All Skus'!$A:$AC,2,FALSE))="JBL",(VLOOKUP(Table6[[#This Row],[SKU]],'All Skus'!$A:$AC,4,FALSE)),""))</f>
        <v>AM7315/95-WH</v>
      </c>
      <c r="D536" s="61" t="str">
        <f>(IF((VLOOKUP(Table6[[#This Row],[SKU]],'All Skus'!$A:$AC,2,FALSE))="JBL",(VLOOKUP(Table6[[#This Row],[SKU]],'All Skus'!$A:$AC,5,FALSE)),""))</f>
        <v>JBL052</v>
      </c>
      <c r="E536" s="137" t="str">
        <f>(IF((VLOOKUP(Table6[[#This Row],[SKU]],'All Skus'!$A:$AC,2,FALSE))="JBL",(VLOOKUP(Table6[[#This Row],[SKU]],'All Skus'!$A:$AC,6,FALSE)),""))</f>
        <v>YES</v>
      </c>
      <c r="F536" s="61">
        <f>(IF((VLOOKUP(Table6[[#This Row],[SKU]],'All Skus'!$A:$AC,2,FALSE))="JBL",(VLOOKUP(Table6[[#This Row],[SKU]],'All Skus'!$A:$AC,7,FALSE)),""))</f>
        <v>0</v>
      </c>
      <c r="G536" t="str">
        <f>(IF((VLOOKUP(Table6[[#This Row],[SKU]],'All Skus'!$A:$AC,2,FALSE))="JBL",(VLOOKUP(Table6[[#This Row],[SKU]],'All Skus'!$A:$AC,8,FALSE)),""))</f>
        <v>3-WAY FULL-RANGE LOUDSPEAKER SYS</v>
      </c>
      <c r="H536"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v>
      </c>
      <c r="I536" s="101">
        <f>(IF((VLOOKUP(Table6[[#This Row],[SKU]],'All Skus'!$A:$AC,2,FALSE))="JBL",(VLOOKUP(Table6[[#This Row],[SKU]],'All Skus'!$A:$AC,10,FALSE)),""))</f>
        <v>5210</v>
      </c>
      <c r="J536" s="101">
        <f>(IF((VLOOKUP(Table6[[#This Row],[SKU]],'All Skus'!$A:$AC,2,FALSE))="JBL",(VLOOKUP(Table6[[#This Row],[SKU]],'All Skus'!$A:$AC,11,FALSE)),""))</f>
        <v>5210</v>
      </c>
      <c r="K536" s="102">
        <f>(IF((VLOOKUP(Table6[[#This Row],[SKU]],'All Skus'!$A:$AC,2,FALSE))="JBL",(VLOOKUP(Table6[[#This Row],[SKU]],'All Skus'!$A:$AC,13,FALSE)),""))</f>
        <v>0</v>
      </c>
      <c r="L536" s="102">
        <f>(IF((VLOOKUP(Table6[[#This Row],[SKU]],'All Skus'!$A:$AC,2,FALSE))="JBL",(VLOOKUP(Table6[[#This Row],[SKU]],'All Skus'!$A:$AC,14,FALSE)),""))</f>
        <v>0</v>
      </c>
      <c r="M536" s="143">
        <f>(IF((VLOOKUP(Table6[[#This Row],[SKU]],'All Skus'!$A:$AC,2,FALSE))="JBL",(VLOOKUP(Table6[[#This Row],[SKU]],'All Skus'!$A:$AC,15,FALSE)),""))</f>
        <v>0</v>
      </c>
      <c r="N536" s="137">
        <f>(IF((VLOOKUP(Table6[[#This Row],[SKU]],'All Skus'!$A:$AC,2,FALSE))="JBL",(VLOOKUP(Table6[[#This Row],[SKU]],'All Skus'!$A:$AC,16,FALSE)),""))</f>
        <v>691991011603</v>
      </c>
      <c r="O536" s="61">
        <f>(IF((VLOOKUP(Table6[[#This Row],[SKU]],'All Skus'!$A:$AC,2,FALSE))="JBL",(VLOOKUP(Table6[[#This Row],[SKU]],'All Skus'!$A:$AC,17,FALSE)),""))</f>
        <v>0</v>
      </c>
      <c r="P536" s="136">
        <f>(IF((VLOOKUP(Table6[[#This Row],[SKU]],'All Skus'!$A:$AC,2,FALSE))="JBL",(VLOOKUP(Table6[[#This Row],[SKU]],'All Skus'!$A:$AC,18,FALSE)),""))</f>
        <v>113</v>
      </c>
      <c r="Q536" s="136">
        <f>(IF((VLOOKUP(Table6[[#This Row],[SKU]],'All Skus'!$A:$AC,2,FALSE))="JBL",(VLOOKUP(Table6[[#This Row],[SKU]],'All Skus'!$A:$AC,19,FALSE)),""))</f>
        <v>30</v>
      </c>
      <c r="R536" s="136">
        <f>(IF((VLOOKUP(Table6[[#This Row],[SKU]],'All Skus'!$A:$AC,2,FALSE))="JBL",(VLOOKUP(Table6[[#This Row],[SKU]],'All Skus'!$A:$AC,20,FALSE)),""))</f>
        <v>26</v>
      </c>
      <c r="S536" s="61">
        <f>(IF((VLOOKUP(Table6[[#This Row],[SKU]],'All Skus'!$A:$AC,2,FALSE))="JBL",(VLOOKUP(Table6[[#This Row],[SKU]],'All Skus'!$A:$AC,21,FALSE)),""))</f>
        <v>40</v>
      </c>
      <c r="T536" s="61" t="str">
        <f>(IF((VLOOKUP(Table6[[#This Row],[SKU]],'All Skus'!$A:$AC,2,FALSE))="JBL",(VLOOKUP(Table6[[#This Row],[SKU]],'All Skus'!$A:$AC,22,FALSE)),""))</f>
        <v>MX</v>
      </c>
      <c r="U536" t="str">
        <f>(IF((VLOOKUP(Table6[[#This Row],[SKU]],'All Skus'!$A:$AC,2,FALSE))="JBL",(VLOOKUP(Table6[[#This Row],[SKU]],'All Skus'!$A:$AC,23,FALSE)),""))</f>
        <v>Compliant</v>
      </c>
      <c r="V536" s="284" t="str">
        <f>HYPERLINK((IF((VLOOKUP(Table6[[#This Row],[SKU]],'All Skus'!$A:$AC,2,FALSE))="JBL",(VLOOKUP(Table6[[#This Row],[SKU]],'All Skus'!$A:$AC,24,FALSE)),"")))</f>
        <v/>
      </c>
      <c r="W536" s="151">
        <v>534</v>
      </c>
    </row>
    <row r="537" spans="1:23" ht="15" hidden="1" customHeight="1">
      <c r="A537" s="13" t="s">
        <v>1543</v>
      </c>
      <c r="B537" s="12" t="str">
        <f>(IF((VLOOKUP(Table6[[#This Row],[SKU]],'All Skus'!$A:$AC,2,FALSE))="JBL",(VLOOKUP(Table6[[#This Row],[SKU]],'All Skus'!$A:$AC,3,FALSE)),""))</f>
        <v>Custom Shop</v>
      </c>
      <c r="C537" s="12" t="str">
        <f>(IF((VLOOKUP(Table6[[#This Row],[SKU]],'All Skus'!$A:$AC,2,FALSE))="JBL",(VLOOKUP(Table6[[#This Row],[SKU]],'All Skus'!$A:$AC,4,FALSE)),""))</f>
        <v>AM7315/95-WRC</v>
      </c>
      <c r="D537" s="61" t="str">
        <f>(IF((VLOOKUP(Table6[[#This Row],[SKU]],'All Skus'!$A:$AC,2,FALSE))="JBL",(VLOOKUP(Table6[[#This Row],[SKU]],'All Skus'!$A:$AC,5,FALSE)),""))</f>
        <v>JBL050</v>
      </c>
      <c r="E537" s="137" t="str">
        <f>(IF((VLOOKUP(Table6[[#This Row],[SKU]],'All Skus'!$A:$AC,2,FALSE))="JBL",(VLOOKUP(Table6[[#This Row],[SKU]],'All Skus'!$A:$AC,6,FALSE)),""))</f>
        <v>YES</v>
      </c>
      <c r="F537" s="61">
        <f>(IF((VLOOKUP(Table6[[#This Row],[SKU]],'All Skus'!$A:$AC,2,FALSE))="JBL",(VLOOKUP(Table6[[#This Row],[SKU]],'All Skus'!$A:$AC,7,FALSE)),""))</f>
        <v>0</v>
      </c>
      <c r="G537" t="str">
        <f>(IF((VLOOKUP(Table6[[#This Row],[SKU]],'All Skus'!$A:$AC,2,FALSE))="JBL",(VLOOKUP(Table6[[#This Row],[SKU]],'All Skus'!$A:$AC,8,FALSE)),""))</f>
        <v>3-WAY FULL-RANGE LOUDSPEAKER SYS</v>
      </c>
      <c r="H537"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v>
      </c>
      <c r="I537" s="101" t="str">
        <f>(IF((VLOOKUP(Table6[[#This Row],[SKU]],'All Skus'!$A:$AC,2,FALSE))="JBL",(VLOOKUP(Table6[[#This Row],[SKU]],'All Skus'!$A:$AC,10,FALSE)),""))</f>
        <v>Please email CustomAudio@harman.com for quote</v>
      </c>
      <c r="J537" s="101">
        <f>(IF((VLOOKUP(Table6[[#This Row],[SKU]],'All Skus'!$A:$AC,2,FALSE))="JBL",(VLOOKUP(Table6[[#This Row],[SKU]],'All Skus'!$A:$AC,11,FALSE)),""))</f>
        <v>0</v>
      </c>
      <c r="K537" s="102">
        <f>(IF((VLOOKUP(Table6[[#This Row],[SKU]],'All Skus'!$A:$AC,2,FALSE))="JBL",(VLOOKUP(Table6[[#This Row],[SKU]],'All Skus'!$A:$AC,13,FALSE)),""))</f>
        <v>0</v>
      </c>
      <c r="L537" s="102">
        <f>(IF((VLOOKUP(Table6[[#This Row],[SKU]],'All Skus'!$A:$AC,2,FALSE))="JBL",(VLOOKUP(Table6[[#This Row],[SKU]],'All Skus'!$A:$AC,14,FALSE)),""))</f>
        <v>0</v>
      </c>
      <c r="M537" s="143">
        <f>(IF((VLOOKUP(Table6[[#This Row],[SKU]],'All Skus'!$A:$AC,2,FALSE))="JBL",(VLOOKUP(Table6[[#This Row],[SKU]],'All Skus'!$A:$AC,15,FALSE)),""))</f>
        <v>0</v>
      </c>
      <c r="N537" s="137">
        <f>(IF((VLOOKUP(Table6[[#This Row],[SKU]],'All Skus'!$A:$AC,2,FALSE))="JBL",(VLOOKUP(Table6[[#This Row],[SKU]],'All Skus'!$A:$AC,16,FALSE)),""))</f>
        <v>691991011610</v>
      </c>
      <c r="O537" s="61">
        <f>(IF((VLOOKUP(Table6[[#This Row],[SKU]],'All Skus'!$A:$AC,2,FALSE))="JBL",(VLOOKUP(Table6[[#This Row],[SKU]],'All Skus'!$A:$AC,17,FALSE)),""))</f>
        <v>0</v>
      </c>
      <c r="P537" s="136">
        <f>(IF((VLOOKUP(Table6[[#This Row],[SKU]],'All Skus'!$A:$AC,2,FALSE))="JBL",(VLOOKUP(Table6[[#This Row],[SKU]],'All Skus'!$A:$AC,18,FALSE)),""))</f>
        <v>127</v>
      </c>
      <c r="Q537" s="136">
        <f>(IF((VLOOKUP(Table6[[#This Row],[SKU]],'All Skus'!$A:$AC,2,FALSE))="JBL",(VLOOKUP(Table6[[#This Row],[SKU]],'All Skus'!$A:$AC,19,FALSE)),""))</f>
        <v>29</v>
      </c>
      <c r="R537" s="136">
        <f>(IF((VLOOKUP(Table6[[#This Row],[SKU]],'All Skus'!$A:$AC,2,FALSE))="JBL",(VLOOKUP(Table6[[#This Row],[SKU]],'All Skus'!$A:$AC,20,FALSE)),""))</f>
        <v>29</v>
      </c>
      <c r="S537" s="61">
        <f>(IF((VLOOKUP(Table6[[#This Row],[SKU]],'All Skus'!$A:$AC,2,FALSE))="JBL",(VLOOKUP(Table6[[#This Row],[SKU]],'All Skus'!$A:$AC,21,FALSE)),""))</f>
        <v>41</v>
      </c>
      <c r="T537" s="61" t="str">
        <f>(IF((VLOOKUP(Table6[[#This Row],[SKU]],'All Skus'!$A:$AC,2,FALSE))="JBL",(VLOOKUP(Table6[[#This Row],[SKU]],'All Skus'!$A:$AC,22,FALSE)),""))</f>
        <v>MX</v>
      </c>
      <c r="U537" t="str">
        <f>(IF((VLOOKUP(Table6[[#This Row],[SKU]],'All Skus'!$A:$AC,2,FALSE))="JBL",(VLOOKUP(Table6[[#This Row],[SKU]],'All Skus'!$A:$AC,23,FALSE)),""))</f>
        <v>Compliant</v>
      </c>
      <c r="V537" s="284" t="str">
        <f>HYPERLINK((IF((VLOOKUP(Table6[[#This Row],[SKU]],'All Skus'!$A:$AC,2,FALSE))="JBL",(VLOOKUP(Table6[[#This Row],[SKU]],'All Skus'!$A:$AC,24,FALSE)),"")))</f>
        <v/>
      </c>
      <c r="W537" s="151">
        <v>535</v>
      </c>
    </row>
    <row r="538" spans="1:23" ht="15" hidden="1" customHeight="1">
      <c r="A538" s="13" t="s">
        <v>1544</v>
      </c>
      <c r="B538" s="12" t="str">
        <f>(IF((VLOOKUP(Table6[[#This Row],[SKU]],'All Skus'!$A:$AC,2,FALSE))="JBL",(VLOOKUP(Table6[[#This Row],[SKU]],'All Skus'!$A:$AC,3,FALSE)),""))</f>
        <v>Custom Shop</v>
      </c>
      <c r="C538" s="12" t="str">
        <f>(IF((VLOOKUP(Table6[[#This Row],[SKU]],'All Skus'!$A:$AC,2,FALSE))="JBL",(VLOOKUP(Table6[[#This Row],[SKU]],'All Skus'!$A:$AC,4,FALSE)),""))</f>
        <v>AM7315/95-WRX</v>
      </c>
      <c r="D538" s="61" t="str">
        <f>(IF((VLOOKUP(Table6[[#This Row],[SKU]],'All Skus'!$A:$AC,2,FALSE))="JBL",(VLOOKUP(Table6[[#This Row],[SKU]],'All Skus'!$A:$AC,5,FALSE)),""))</f>
        <v>JBL050</v>
      </c>
      <c r="E538" s="137" t="str">
        <f>(IF((VLOOKUP(Table6[[#This Row],[SKU]],'All Skus'!$A:$AC,2,FALSE))="JBL",(VLOOKUP(Table6[[#This Row],[SKU]],'All Skus'!$A:$AC,6,FALSE)),""))</f>
        <v>YES</v>
      </c>
      <c r="F538" s="61">
        <f>(IF((VLOOKUP(Table6[[#This Row],[SKU]],'All Skus'!$A:$AC,2,FALSE))="JBL",(VLOOKUP(Table6[[#This Row],[SKU]],'All Skus'!$A:$AC,7,FALSE)),""))</f>
        <v>0</v>
      </c>
      <c r="G538" t="str">
        <f>(IF((VLOOKUP(Table6[[#This Row],[SKU]],'All Skus'!$A:$AC,2,FALSE))="JBL",(VLOOKUP(Table6[[#This Row],[SKU]],'All Skus'!$A:$AC,8,FALSE)),""))</f>
        <v>3-WAY FULL-RANGE LOUDSPEAKER SYS</v>
      </c>
      <c r="H538" s="8" t="str">
        <f>(IF((VLOOKUP(Table6[[#This Row],[SKU]],'All Skus'!$A:$AC,2,FALSE))="JBL",(VLOOKUP(Table6[[#This Row],[SKU]],'All Skus'!$A:$AC,9,FALSE)),""))</f>
        <v>High Power 3-Way Full-Range Loudspeaker System with JBL Differential Drive® 75mm (3-in) dual voice coil and dual magnetic gap 2265H low frequency driver, CMCD-82H mid driver, and 2432H high-frequency 38mm (1.5 in) exit, 75mm (3 in) voice-coil compression driver.  90° x 50° Coverage, Bi-Amp/Tri-Amp Switchable.  Available in Black or White (-WH). Priced as each. Suspension eyebolts not included. Fits Optional Planar Array Frame Kits PAF-2K and PAF-3K.  See AE Bracket Handbook for Details.</v>
      </c>
      <c r="I538" s="101" t="str">
        <f>(IF((VLOOKUP(Table6[[#This Row],[SKU]],'All Skus'!$A:$AC,2,FALSE))="JBL",(VLOOKUP(Table6[[#This Row],[SKU]],'All Skus'!$A:$AC,10,FALSE)),""))</f>
        <v>Please email CustomAudio@harman.com for quote</v>
      </c>
      <c r="J538" s="101">
        <f>(IF((VLOOKUP(Table6[[#This Row],[SKU]],'All Skus'!$A:$AC,2,FALSE))="JBL",(VLOOKUP(Table6[[#This Row],[SKU]],'All Skus'!$A:$AC,11,FALSE)),""))</f>
        <v>0</v>
      </c>
      <c r="K538" s="102">
        <f>(IF((VLOOKUP(Table6[[#This Row],[SKU]],'All Skus'!$A:$AC,2,FALSE))="JBL",(VLOOKUP(Table6[[#This Row],[SKU]],'All Skus'!$A:$AC,13,FALSE)),""))</f>
        <v>0</v>
      </c>
      <c r="L538" s="102">
        <f>(IF((VLOOKUP(Table6[[#This Row],[SKU]],'All Skus'!$A:$AC,2,FALSE))="JBL",(VLOOKUP(Table6[[#This Row],[SKU]],'All Skus'!$A:$AC,14,FALSE)),""))</f>
        <v>0</v>
      </c>
      <c r="M538" s="143">
        <f>(IF((VLOOKUP(Table6[[#This Row],[SKU]],'All Skus'!$A:$AC,2,FALSE))="JBL",(VLOOKUP(Table6[[#This Row],[SKU]],'All Skus'!$A:$AC,15,FALSE)),""))</f>
        <v>0</v>
      </c>
      <c r="N538" s="137">
        <f>(IF((VLOOKUP(Table6[[#This Row],[SKU]],'All Skus'!$A:$AC,2,FALSE))="JBL",(VLOOKUP(Table6[[#This Row],[SKU]],'All Skus'!$A:$AC,16,FALSE)),""))</f>
        <v>691991029790</v>
      </c>
      <c r="O538" s="61">
        <f>(IF((VLOOKUP(Table6[[#This Row],[SKU]],'All Skus'!$A:$AC,2,FALSE))="JBL",(VLOOKUP(Table6[[#This Row],[SKU]],'All Skus'!$A:$AC,17,FALSE)),""))</f>
        <v>0</v>
      </c>
      <c r="P538" s="136">
        <f>(IF((VLOOKUP(Table6[[#This Row],[SKU]],'All Skus'!$A:$AC,2,FALSE))="JBL",(VLOOKUP(Table6[[#This Row],[SKU]],'All Skus'!$A:$AC,18,FALSE)),""))</f>
        <v>0</v>
      </c>
      <c r="Q538" s="136">
        <f>(IF((VLOOKUP(Table6[[#This Row],[SKU]],'All Skus'!$A:$AC,2,FALSE))="JBL",(VLOOKUP(Table6[[#This Row],[SKU]],'All Skus'!$A:$AC,19,FALSE)),""))</f>
        <v>0</v>
      </c>
      <c r="R538" s="136">
        <f>(IF((VLOOKUP(Table6[[#This Row],[SKU]],'All Skus'!$A:$AC,2,FALSE))="JBL",(VLOOKUP(Table6[[#This Row],[SKU]],'All Skus'!$A:$AC,20,FALSE)),""))</f>
        <v>0</v>
      </c>
      <c r="S538" s="61">
        <f>(IF((VLOOKUP(Table6[[#This Row],[SKU]],'All Skus'!$A:$AC,2,FALSE))="JBL",(VLOOKUP(Table6[[#This Row],[SKU]],'All Skus'!$A:$AC,21,FALSE)),""))</f>
        <v>0</v>
      </c>
      <c r="T538" s="61" t="str">
        <f>(IF((VLOOKUP(Table6[[#This Row],[SKU]],'All Skus'!$A:$AC,2,FALSE))="JBL",(VLOOKUP(Table6[[#This Row],[SKU]],'All Skus'!$A:$AC,22,FALSE)),""))</f>
        <v>MX</v>
      </c>
      <c r="U538" t="str">
        <f>(IF((VLOOKUP(Table6[[#This Row],[SKU]],'All Skus'!$A:$AC,2,FALSE))="JBL",(VLOOKUP(Table6[[#This Row],[SKU]],'All Skus'!$A:$AC,23,FALSE)),""))</f>
        <v>Compliant</v>
      </c>
      <c r="V538" s="284" t="str">
        <f>HYPERLINK((IF((VLOOKUP(Table6[[#This Row],[SKU]],'All Skus'!$A:$AC,2,FALSE))="JBL",(VLOOKUP(Table6[[#This Row],[SKU]],'All Skus'!$A:$AC,24,FALSE)),"")))</f>
        <v/>
      </c>
      <c r="W538" s="151">
        <v>536</v>
      </c>
    </row>
    <row r="539" spans="1:23" ht="15" hidden="1" customHeight="1">
      <c r="A539" s="13" t="s">
        <v>1545</v>
      </c>
      <c r="B539" s="12" t="str">
        <f>(IF((VLOOKUP(Table6[[#This Row],[SKU]],'All Skus'!$A:$AC,2,FALSE))="JBL",(VLOOKUP(Table6[[#This Row],[SKU]],'All Skus'!$A:$AC,3,FALSE)),""))</f>
        <v>AE Series</v>
      </c>
      <c r="C539" s="12" t="str">
        <f>(IF((VLOOKUP(Table6[[#This Row],[SKU]],'All Skus'!$A:$AC,2,FALSE))="JBL",(VLOOKUP(Table6[[#This Row],[SKU]],'All Skus'!$A:$AC,4,FALSE)),""))</f>
        <v>AL7115</v>
      </c>
      <c r="D539" s="61" t="str">
        <f>(IF((VLOOKUP(Table6[[#This Row],[SKU]],'All Skus'!$A:$AC,2,FALSE))="JBL",(VLOOKUP(Table6[[#This Row],[SKU]],'All Skus'!$A:$AC,5,FALSE)),""))</f>
        <v>JBL052</v>
      </c>
      <c r="E539" s="137">
        <f>(IF((VLOOKUP(Table6[[#This Row],[SKU]],'All Skus'!$A:$AC,2,FALSE))="JBL",(VLOOKUP(Table6[[#This Row],[SKU]],'All Skus'!$A:$AC,6,FALSE)),""))</f>
        <v>0</v>
      </c>
      <c r="F539" s="61">
        <f>(IF((VLOOKUP(Table6[[#This Row],[SKU]],'All Skus'!$A:$AC,2,FALSE))="JBL",(VLOOKUP(Table6[[#This Row],[SKU]],'All Skus'!$A:$AC,7,FALSE)),""))</f>
        <v>0</v>
      </c>
      <c r="G539" t="str">
        <f>(IF((VLOOKUP(Table6[[#This Row],[SKU]],'All Skus'!$A:$AC,2,FALSE))="JBL",(VLOOKUP(Table6[[#This Row],[SKU]],'All Skus'!$A:$AC,8,FALSE)),""))</f>
        <v>15" LOW FREQUENCY SPEAKER</v>
      </c>
      <c r="H539" s="8" t="str">
        <f>(IF((VLOOKUP(Table6[[#This Row],[SKU]],'All Skus'!$A:$AC,2,FALSE))="JBL",(VLOOKUP(Table6[[#This Row],[SKU]],'All Skus'!$A:$AC,9,FALSE)),""))</f>
        <v>High Power 1 x 15" Low Frequency Loudspeaker.  1 x 15" 2265H Differential Drive® woofer.  Available in Black or White (-WH).  Priced as each. Suspension Eyebolts Not Included.  Arrays With AM7200 and Mid-High Loudspeakers using PAF-3K Planar Array Frame Kit.</v>
      </c>
      <c r="I539" s="101">
        <f>(IF((VLOOKUP(Table6[[#This Row],[SKU]],'All Skus'!$A:$AC,2,FALSE))="JBL",(VLOOKUP(Table6[[#This Row],[SKU]],'All Skus'!$A:$AC,10,FALSE)),""))</f>
        <v>2245.5</v>
      </c>
      <c r="J539" s="101">
        <f>(IF((VLOOKUP(Table6[[#This Row],[SKU]],'All Skus'!$A:$AC,2,FALSE))="JBL",(VLOOKUP(Table6[[#This Row],[SKU]],'All Skus'!$A:$AC,11,FALSE)),""))</f>
        <v>2245.5</v>
      </c>
      <c r="K539" s="102">
        <f>(IF((VLOOKUP(Table6[[#This Row],[SKU]],'All Skus'!$A:$AC,2,FALSE))="JBL",(VLOOKUP(Table6[[#This Row],[SKU]],'All Skus'!$A:$AC,13,FALSE)),""))</f>
        <v>0</v>
      </c>
      <c r="L539" s="102">
        <f>(IF((VLOOKUP(Table6[[#This Row],[SKU]],'All Skus'!$A:$AC,2,FALSE))="JBL",(VLOOKUP(Table6[[#This Row],[SKU]],'All Skus'!$A:$AC,14,FALSE)),""))</f>
        <v>0</v>
      </c>
      <c r="M539" s="143">
        <f>(IF((VLOOKUP(Table6[[#This Row],[SKU]],'All Skus'!$A:$AC,2,FALSE))="JBL",(VLOOKUP(Table6[[#This Row],[SKU]],'All Skus'!$A:$AC,15,FALSE)),""))</f>
        <v>0</v>
      </c>
      <c r="N539" s="137">
        <f>(IF((VLOOKUP(Table6[[#This Row],[SKU]],'All Skus'!$A:$AC,2,FALSE))="JBL",(VLOOKUP(Table6[[#This Row],[SKU]],'All Skus'!$A:$AC,16,FALSE)),""))</f>
        <v>691991000164</v>
      </c>
      <c r="O539" s="61">
        <f>(IF((VLOOKUP(Table6[[#This Row],[SKU]],'All Skus'!$A:$AC,2,FALSE))="JBL",(VLOOKUP(Table6[[#This Row],[SKU]],'All Skus'!$A:$AC,17,FALSE)),""))</f>
        <v>0</v>
      </c>
      <c r="P539" s="136">
        <f>(IF((VLOOKUP(Table6[[#This Row],[SKU]],'All Skus'!$A:$AC,2,FALSE))="JBL",(VLOOKUP(Table6[[#This Row],[SKU]],'All Skus'!$A:$AC,18,FALSE)),""))</f>
        <v>70</v>
      </c>
      <c r="Q539" s="136">
        <f>(IF((VLOOKUP(Table6[[#This Row],[SKU]],'All Skus'!$A:$AC,2,FALSE))="JBL",(VLOOKUP(Table6[[#This Row],[SKU]],'All Skus'!$A:$AC,19,FALSE)),""))</f>
        <v>26</v>
      </c>
      <c r="R539" s="136">
        <f>(IF((VLOOKUP(Table6[[#This Row],[SKU]],'All Skus'!$A:$AC,2,FALSE))="JBL",(VLOOKUP(Table6[[#This Row],[SKU]],'All Skus'!$A:$AC,20,FALSE)),""))</f>
        <v>30</v>
      </c>
      <c r="S539" s="61">
        <f>(IF((VLOOKUP(Table6[[#This Row],[SKU]],'All Skus'!$A:$AC,2,FALSE))="JBL",(VLOOKUP(Table6[[#This Row],[SKU]],'All Skus'!$A:$AC,21,FALSE)),""))</f>
        <v>24</v>
      </c>
      <c r="T539" s="61" t="str">
        <f>(IF((VLOOKUP(Table6[[#This Row],[SKU]],'All Skus'!$A:$AC,2,FALSE))="JBL",(VLOOKUP(Table6[[#This Row],[SKU]],'All Skus'!$A:$AC,22,FALSE)),""))</f>
        <v>MX</v>
      </c>
      <c r="U539" t="str">
        <f>(IF((VLOOKUP(Table6[[#This Row],[SKU]],'All Skus'!$A:$AC,2,FALSE))="JBL",(VLOOKUP(Table6[[#This Row],[SKU]],'All Skus'!$A:$AC,23,FALSE)),""))</f>
        <v>Compliant</v>
      </c>
      <c r="V539" s="284" t="str">
        <f>HYPERLINK((IF((VLOOKUP(Table6[[#This Row],[SKU]],'All Skus'!$A:$AC,2,FALSE))="JBL",(VLOOKUP(Table6[[#This Row],[SKU]],'All Skus'!$A:$AC,24,FALSE)),"")))</f>
        <v/>
      </c>
      <c r="W539" s="151">
        <v>537</v>
      </c>
    </row>
    <row r="540" spans="1:23" ht="15" hidden="1" customHeight="1">
      <c r="A540" s="13" t="s">
        <v>1546</v>
      </c>
      <c r="B540" s="12" t="str">
        <f>(IF((VLOOKUP(Table6[[#This Row],[SKU]],'All Skus'!$A:$AC,2,FALSE))="JBL",(VLOOKUP(Table6[[#This Row],[SKU]],'All Skus'!$A:$AC,3,FALSE)),""))</f>
        <v>AE Series</v>
      </c>
      <c r="C540" s="12" t="str">
        <f>(IF((VLOOKUP(Table6[[#This Row],[SKU]],'All Skus'!$A:$AC,2,FALSE))="JBL",(VLOOKUP(Table6[[#This Row],[SKU]],'All Skus'!$A:$AC,4,FALSE)),""))</f>
        <v>AL7115-WH</v>
      </c>
      <c r="D540" s="61" t="str">
        <f>(IF((VLOOKUP(Table6[[#This Row],[SKU]],'All Skus'!$A:$AC,2,FALSE))="JBL",(VLOOKUP(Table6[[#This Row],[SKU]],'All Skus'!$A:$AC,5,FALSE)),""))</f>
        <v>JBL052</v>
      </c>
      <c r="E540" s="137">
        <f>(IF((VLOOKUP(Table6[[#This Row],[SKU]],'All Skus'!$A:$AC,2,FALSE))="JBL",(VLOOKUP(Table6[[#This Row],[SKU]],'All Skus'!$A:$AC,6,FALSE)),""))</f>
        <v>0</v>
      </c>
      <c r="F540" s="61">
        <f>(IF((VLOOKUP(Table6[[#This Row],[SKU]],'All Skus'!$A:$AC,2,FALSE))="JBL",(VLOOKUP(Table6[[#This Row],[SKU]],'All Skus'!$A:$AC,7,FALSE)),""))</f>
        <v>0</v>
      </c>
      <c r="G540" t="str">
        <f>(IF((VLOOKUP(Table6[[#This Row],[SKU]],'All Skus'!$A:$AC,2,FALSE))="JBL",(VLOOKUP(Table6[[#This Row],[SKU]],'All Skus'!$A:$AC,8,FALSE)),""))</f>
        <v>15" LOW FREQUENCY SPEAKER</v>
      </c>
      <c r="H540" s="8" t="str">
        <f>(IF((VLOOKUP(Table6[[#This Row],[SKU]],'All Skus'!$A:$AC,2,FALSE))="JBL",(VLOOKUP(Table6[[#This Row],[SKU]],'All Skus'!$A:$AC,9,FALSE)),""))</f>
        <v>High Power 1 x 15" Low Frequency Loudspeaker.  1 x 15" 2265H Differential Drive® woofer.  Available in Black or White (-WH).  Priced as each. Suspension Eyebolts Not Included.  Arrays With AM7200 and Mid-High Loudspeakers using PAF-3K Planar Array Frame Kit.</v>
      </c>
      <c r="I540" s="101">
        <f>(IF((VLOOKUP(Table6[[#This Row],[SKU]],'All Skus'!$A:$AC,2,FALSE))="JBL",(VLOOKUP(Table6[[#This Row],[SKU]],'All Skus'!$A:$AC,10,FALSE)),""))</f>
        <v>2245.5</v>
      </c>
      <c r="J540" s="101">
        <f>(IF((VLOOKUP(Table6[[#This Row],[SKU]],'All Skus'!$A:$AC,2,FALSE))="JBL",(VLOOKUP(Table6[[#This Row],[SKU]],'All Skus'!$A:$AC,11,FALSE)),""))</f>
        <v>2245.5</v>
      </c>
      <c r="K540" s="102">
        <f>(IF((VLOOKUP(Table6[[#This Row],[SKU]],'All Skus'!$A:$AC,2,FALSE))="JBL",(VLOOKUP(Table6[[#This Row],[SKU]],'All Skus'!$A:$AC,13,FALSE)),""))</f>
        <v>0</v>
      </c>
      <c r="L540" s="102">
        <f>(IF((VLOOKUP(Table6[[#This Row],[SKU]],'All Skus'!$A:$AC,2,FALSE))="JBL",(VLOOKUP(Table6[[#This Row],[SKU]],'All Skus'!$A:$AC,14,FALSE)),""))</f>
        <v>0</v>
      </c>
      <c r="M540" s="143">
        <f>(IF((VLOOKUP(Table6[[#This Row],[SKU]],'All Skus'!$A:$AC,2,FALSE))="JBL",(VLOOKUP(Table6[[#This Row],[SKU]],'All Skus'!$A:$AC,15,FALSE)),""))</f>
        <v>0</v>
      </c>
      <c r="N540" s="137">
        <f>(IF((VLOOKUP(Table6[[#This Row],[SKU]],'All Skus'!$A:$AC,2,FALSE))="JBL",(VLOOKUP(Table6[[#This Row],[SKU]],'All Skus'!$A:$AC,16,FALSE)),""))</f>
        <v>691991010927</v>
      </c>
      <c r="O540" s="61">
        <f>(IF((VLOOKUP(Table6[[#This Row],[SKU]],'All Skus'!$A:$AC,2,FALSE))="JBL",(VLOOKUP(Table6[[#This Row],[SKU]],'All Skus'!$A:$AC,17,FALSE)),""))</f>
        <v>0</v>
      </c>
      <c r="P540" s="136">
        <f>(IF((VLOOKUP(Table6[[#This Row],[SKU]],'All Skus'!$A:$AC,2,FALSE))="JBL",(VLOOKUP(Table6[[#This Row],[SKU]],'All Skus'!$A:$AC,18,FALSE)),""))</f>
        <v>70</v>
      </c>
      <c r="Q540" s="136">
        <f>(IF((VLOOKUP(Table6[[#This Row],[SKU]],'All Skus'!$A:$AC,2,FALSE))="JBL",(VLOOKUP(Table6[[#This Row],[SKU]],'All Skus'!$A:$AC,19,FALSE)),""))</f>
        <v>26</v>
      </c>
      <c r="R540" s="136">
        <f>(IF((VLOOKUP(Table6[[#This Row],[SKU]],'All Skus'!$A:$AC,2,FALSE))="JBL",(VLOOKUP(Table6[[#This Row],[SKU]],'All Skus'!$A:$AC,20,FALSE)),""))</f>
        <v>26</v>
      </c>
      <c r="S540" s="61">
        <f>(IF((VLOOKUP(Table6[[#This Row],[SKU]],'All Skus'!$A:$AC,2,FALSE))="JBL",(VLOOKUP(Table6[[#This Row],[SKU]],'All Skus'!$A:$AC,21,FALSE)),""))</f>
        <v>24</v>
      </c>
      <c r="T540" s="61" t="str">
        <f>(IF((VLOOKUP(Table6[[#This Row],[SKU]],'All Skus'!$A:$AC,2,FALSE))="JBL",(VLOOKUP(Table6[[#This Row],[SKU]],'All Skus'!$A:$AC,22,FALSE)),""))</f>
        <v>MX</v>
      </c>
      <c r="U540" t="str">
        <f>(IF((VLOOKUP(Table6[[#This Row],[SKU]],'All Skus'!$A:$AC,2,FALSE))="JBL",(VLOOKUP(Table6[[#This Row],[SKU]],'All Skus'!$A:$AC,23,FALSE)),""))</f>
        <v>Compliant</v>
      </c>
      <c r="V540" s="284" t="str">
        <f>HYPERLINK((IF((VLOOKUP(Table6[[#This Row],[SKU]],'All Skus'!$A:$AC,2,FALSE))="JBL",(VLOOKUP(Table6[[#This Row],[SKU]],'All Skus'!$A:$AC,24,FALSE)),"")))</f>
        <v/>
      </c>
      <c r="W540" s="151">
        <v>538</v>
      </c>
    </row>
    <row r="541" spans="1:23" ht="15" hidden="1" customHeight="1">
      <c r="A541" s="13" t="s">
        <v>1547</v>
      </c>
      <c r="B541" s="12" t="str">
        <f>(IF((VLOOKUP(Table6[[#This Row],[SKU]],'All Skus'!$A:$AC,2,FALSE))="JBL",(VLOOKUP(Table6[[#This Row],[SKU]],'All Skus'!$A:$AC,3,FALSE)),""))</f>
        <v>Custom Shop Item</v>
      </c>
      <c r="C541" s="12" t="str">
        <f>(IF((VLOOKUP(Table6[[#This Row],[SKU]],'All Skus'!$A:$AC,2,FALSE))="JBL",(VLOOKUP(Table6[[#This Row],[SKU]],'All Skus'!$A:$AC,4,FALSE)),""))</f>
        <v>AL7115-WRC</v>
      </c>
      <c r="D541" s="61" t="str">
        <f>(IF((VLOOKUP(Table6[[#This Row],[SKU]],'All Skus'!$A:$AC,2,FALSE))="JBL",(VLOOKUP(Table6[[#This Row],[SKU]],'All Skus'!$A:$AC,5,FALSE)),""))</f>
        <v>JBL050</v>
      </c>
      <c r="E541" s="137" t="str">
        <f>(IF((VLOOKUP(Table6[[#This Row],[SKU]],'All Skus'!$A:$AC,2,FALSE))="JBL",(VLOOKUP(Table6[[#This Row],[SKU]],'All Skus'!$A:$AC,6,FALSE)),""))</f>
        <v>YES</v>
      </c>
      <c r="F541" s="61">
        <f>(IF((VLOOKUP(Table6[[#This Row],[SKU]],'All Skus'!$A:$AC,2,FALSE))="JBL",(VLOOKUP(Table6[[#This Row],[SKU]],'All Skus'!$A:$AC,7,FALSE)),""))</f>
        <v>0</v>
      </c>
      <c r="G541" t="str">
        <f>(IF((VLOOKUP(Table6[[#This Row],[SKU]],'All Skus'!$A:$AC,2,FALSE))="JBL",(VLOOKUP(Table6[[#This Row],[SKU]],'All Skus'!$A:$AC,8,FALSE)),""))</f>
        <v>15" LOW FREQUENCY SPEAKER</v>
      </c>
      <c r="H541" s="8" t="str">
        <f>(IF((VLOOKUP(Table6[[#This Row],[SKU]],'All Skus'!$A:$AC,2,FALSE))="JBL",(VLOOKUP(Table6[[#This Row],[SKU]],'All Skus'!$A:$AC,9,FALSE)),""))</f>
        <v>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(-WH).8-10 weeks ship time for orders of 1-10, larger needs to be reviewed</v>
      </c>
      <c r="I541" s="101" t="str">
        <f>(IF((VLOOKUP(Table6[[#This Row],[SKU]],'All Skus'!$A:$AC,2,FALSE))="JBL",(VLOOKUP(Table6[[#This Row],[SKU]],'All Skus'!$A:$AC,10,FALSE)),""))</f>
        <v>Please email CustomAudio@harman.com for quote</v>
      </c>
      <c r="J541" s="101">
        <f>(IF((VLOOKUP(Table6[[#This Row],[SKU]],'All Skus'!$A:$AC,2,FALSE))="JBL",(VLOOKUP(Table6[[#This Row],[SKU]],'All Skus'!$A:$AC,11,FALSE)),""))</f>
        <v>0</v>
      </c>
      <c r="K541" s="102">
        <f>(IF((VLOOKUP(Table6[[#This Row],[SKU]],'All Skus'!$A:$AC,2,FALSE))="JBL",(VLOOKUP(Table6[[#This Row],[SKU]],'All Skus'!$A:$AC,13,FALSE)),""))</f>
        <v>0</v>
      </c>
      <c r="L541" s="102">
        <f>(IF((VLOOKUP(Table6[[#This Row],[SKU]],'All Skus'!$A:$AC,2,FALSE))="JBL",(VLOOKUP(Table6[[#This Row],[SKU]],'All Skus'!$A:$AC,14,FALSE)),""))</f>
        <v>0</v>
      </c>
      <c r="M541" s="143">
        <f>(IF((VLOOKUP(Table6[[#This Row],[SKU]],'All Skus'!$A:$AC,2,FALSE))="JBL",(VLOOKUP(Table6[[#This Row],[SKU]],'All Skus'!$A:$AC,15,FALSE)),""))</f>
        <v>0</v>
      </c>
      <c r="N541" s="137">
        <f>(IF((VLOOKUP(Table6[[#This Row],[SKU]],'All Skus'!$A:$AC,2,FALSE))="JBL",(VLOOKUP(Table6[[#This Row],[SKU]],'All Skus'!$A:$AC,16,FALSE)),""))</f>
        <v>691991010934</v>
      </c>
      <c r="O541" s="61">
        <f>(IF((VLOOKUP(Table6[[#This Row],[SKU]],'All Skus'!$A:$AC,2,FALSE))="JBL",(VLOOKUP(Table6[[#This Row],[SKU]],'All Skus'!$A:$AC,17,FALSE)),""))</f>
        <v>0</v>
      </c>
      <c r="P541" s="136">
        <f>(IF((VLOOKUP(Table6[[#This Row],[SKU]],'All Skus'!$A:$AC,2,FALSE))="JBL",(VLOOKUP(Table6[[#This Row],[SKU]],'All Skus'!$A:$AC,18,FALSE)),""))</f>
        <v>57</v>
      </c>
      <c r="Q541" s="136">
        <f>(IF((VLOOKUP(Table6[[#This Row],[SKU]],'All Skus'!$A:$AC,2,FALSE))="JBL",(VLOOKUP(Table6[[#This Row],[SKU]],'All Skus'!$A:$AC,19,FALSE)),""))</f>
        <v>29.5</v>
      </c>
      <c r="R541" s="136">
        <f>(IF((VLOOKUP(Table6[[#This Row],[SKU]],'All Skus'!$A:$AC,2,FALSE))="JBL",(VLOOKUP(Table6[[#This Row],[SKU]],'All Skus'!$A:$AC,20,FALSE)),""))</f>
        <v>26.5</v>
      </c>
      <c r="S541" s="61">
        <f>(IF((VLOOKUP(Table6[[#This Row],[SKU]],'All Skus'!$A:$AC,2,FALSE))="JBL",(VLOOKUP(Table6[[#This Row],[SKU]],'All Skus'!$A:$AC,21,FALSE)),""))</f>
        <v>24</v>
      </c>
      <c r="T541" s="61" t="str">
        <f>(IF((VLOOKUP(Table6[[#This Row],[SKU]],'All Skus'!$A:$AC,2,FALSE))="JBL",(VLOOKUP(Table6[[#This Row],[SKU]],'All Skus'!$A:$AC,22,FALSE)),""))</f>
        <v>MX</v>
      </c>
      <c r="U541" t="str">
        <f>(IF((VLOOKUP(Table6[[#This Row],[SKU]],'All Skus'!$A:$AC,2,FALSE))="JBL",(VLOOKUP(Table6[[#This Row],[SKU]],'All Skus'!$A:$AC,23,FALSE)),""))</f>
        <v>Compliant</v>
      </c>
      <c r="V541" s="284" t="str">
        <f>HYPERLINK((IF((VLOOKUP(Table6[[#This Row],[SKU]],'All Skus'!$A:$AC,2,FALSE))="JBL",(VLOOKUP(Table6[[#This Row],[SKU]],'All Skus'!$A:$AC,24,FALSE)),"")))</f>
        <v/>
      </c>
      <c r="W541" s="151">
        <v>539</v>
      </c>
    </row>
    <row r="542" spans="1:23" ht="15" hidden="1" customHeight="1">
      <c r="A542" s="13" t="s">
        <v>1548</v>
      </c>
      <c r="B542" s="12" t="str">
        <f>(IF((VLOOKUP(Table6[[#This Row],[SKU]],'All Skus'!$A:$AC,2,FALSE))="JBL",(VLOOKUP(Table6[[#This Row],[SKU]],'All Skus'!$A:$AC,3,FALSE)),""))</f>
        <v>Custom Shop Item</v>
      </c>
      <c r="C542" s="12" t="str">
        <f>(IF((VLOOKUP(Table6[[#This Row],[SKU]],'All Skus'!$A:$AC,2,FALSE))="JBL",(VLOOKUP(Table6[[#This Row],[SKU]],'All Skus'!$A:$AC,4,FALSE)),""))</f>
        <v>AL7115-WRX</v>
      </c>
      <c r="D542" s="61" t="str">
        <f>(IF((VLOOKUP(Table6[[#This Row],[SKU]],'All Skus'!$A:$AC,2,FALSE))="JBL",(VLOOKUP(Table6[[#This Row],[SKU]],'All Skus'!$A:$AC,5,FALSE)),""))</f>
        <v>JBL050</v>
      </c>
      <c r="E542" s="137" t="str">
        <f>(IF((VLOOKUP(Table6[[#This Row],[SKU]],'All Skus'!$A:$AC,2,FALSE))="JBL",(VLOOKUP(Table6[[#This Row],[SKU]],'All Skus'!$A:$AC,6,FALSE)),""))</f>
        <v>YES</v>
      </c>
      <c r="F542" s="61">
        <f>(IF((VLOOKUP(Table6[[#This Row],[SKU]],'All Skus'!$A:$AC,2,FALSE))="JBL",(VLOOKUP(Table6[[#This Row],[SKU]],'All Skus'!$A:$AC,7,FALSE)),""))</f>
        <v>0</v>
      </c>
      <c r="G542" t="str">
        <f>(IF((VLOOKUP(Table6[[#This Row],[SKU]],'All Skus'!$A:$AC,2,FALSE))="JBL",(VLOOKUP(Table6[[#This Row],[SKU]],'All Skus'!$A:$AC,8,FALSE)),""))</f>
        <v>15" LOW FREQUENCY SPEAKER</v>
      </c>
      <c r="H542" s="8" t="str">
        <f>(IF((VLOOKUP(Table6[[#This Row],[SKU]],'All Skus'!$A:$AC,2,FALSE))="JBL",(VLOOKUP(Table6[[#This Row],[SKU]],'All Skus'!$A:$AC,9,FALSE)),""))</f>
        <v>With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v>
      </c>
      <c r="I542" s="101" t="str">
        <f>(IF((VLOOKUP(Table6[[#This Row],[SKU]],'All Skus'!$A:$AC,2,FALSE))="JBL",(VLOOKUP(Table6[[#This Row],[SKU]],'All Skus'!$A:$AC,10,FALSE)),""))</f>
        <v>Please email CustomAudio@harman.com for quote</v>
      </c>
      <c r="J542" s="101">
        <f>(IF((VLOOKUP(Table6[[#This Row],[SKU]],'All Skus'!$A:$AC,2,FALSE))="JBL",(VLOOKUP(Table6[[#This Row],[SKU]],'All Skus'!$A:$AC,11,FALSE)),""))</f>
        <v>0</v>
      </c>
      <c r="K542" s="102">
        <f>(IF((VLOOKUP(Table6[[#This Row],[SKU]],'All Skus'!$A:$AC,2,FALSE))="JBL",(VLOOKUP(Table6[[#This Row],[SKU]],'All Skus'!$A:$AC,13,FALSE)),""))</f>
        <v>0</v>
      </c>
      <c r="L542" s="102">
        <f>(IF((VLOOKUP(Table6[[#This Row],[SKU]],'All Skus'!$A:$AC,2,FALSE))="JBL",(VLOOKUP(Table6[[#This Row],[SKU]],'All Skus'!$A:$AC,14,FALSE)),""))</f>
        <v>0</v>
      </c>
      <c r="M542" s="143">
        <f>(IF((VLOOKUP(Table6[[#This Row],[SKU]],'All Skus'!$A:$AC,2,FALSE))="JBL",(VLOOKUP(Table6[[#This Row],[SKU]],'All Skus'!$A:$AC,15,FALSE)),""))</f>
        <v>0</v>
      </c>
      <c r="N542" s="137">
        <f>(IF((VLOOKUP(Table6[[#This Row],[SKU]],'All Skus'!$A:$AC,2,FALSE))="JBL",(VLOOKUP(Table6[[#This Row],[SKU]],'All Skus'!$A:$AC,16,FALSE)),""))</f>
        <v>691991010941</v>
      </c>
      <c r="O542" s="61">
        <f>(IF((VLOOKUP(Table6[[#This Row],[SKU]],'All Skus'!$A:$AC,2,FALSE))="JBL",(VLOOKUP(Table6[[#This Row],[SKU]],'All Skus'!$A:$AC,17,FALSE)),""))</f>
        <v>0</v>
      </c>
      <c r="P542" s="136">
        <f>(IF((VLOOKUP(Table6[[#This Row],[SKU]],'All Skus'!$A:$AC,2,FALSE))="JBL",(VLOOKUP(Table6[[#This Row],[SKU]],'All Skus'!$A:$AC,18,FALSE)),""))</f>
        <v>0</v>
      </c>
      <c r="Q542" s="136">
        <f>(IF((VLOOKUP(Table6[[#This Row],[SKU]],'All Skus'!$A:$AC,2,FALSE))="JBL",(VLOOKUP(Table6[[#This Row],[SKU]],'All Skus'!$A:$AC,19,FALSE)),""))</f>
        <v>0</v>
      </c>
      <c r="R542" s="136">
        <f>(IF((VLOOKUP(Table6[[#This Row],[SKU]],'All Skus'!$A:$AC,2,FALSE))="JBL",(VLOOKUP(Table6[[#This Row],[SKU]],'All Skus'!$A:$AC,20,FALSE)),""))</f>
        <v>0</v>
      </c>
      <c r="S542" s="61">
        <f>(IF((VLOOKUP(Table6[[#This Row],[SKU]],'All Skus'!$A:$AC,2,FALSE))="JBL",(VLOOKUP(Table6[[#This Row],[SKU]],'All Skus'!$A:$AC,21,FALSE)),""))</f>
        <v>0</v>
      </c>
      <c r="T542" s="61" t="str">
        <f>(IF((VLOOKUP(Table6[[#This Row],[SKU]],'All Skus'!$A:$AC,2,FALSE))="JBL",(VLOOKUP(Table6[[#This Row],[SKU]],'All Skus'!$A:$AC,22,FALSE)),""))</f>
        <v>MX</v>
      </c>
      <c r="U542" t="str">
        <f>(IF((VLOOKUP(Table6[[#This Row],[SKU]],'All Skus'!$A:$AC,2,FALSE))="JBL",(VLOOKUP(Table6[[#This Row],[SKU]],'All Skus'!$A:$AC,23,FALSE)),""))</f>
        <v>Compliant</v>
      </c>
      <c r="V542" s="284" t="str">
        <f>HYPERLINK((IF((VLOOKUP(Table6[[#This Row],[SKU]],'All Skus'!$A:$AC,2,FALSE))="JBL",(VLOOKUP(Table6[[#This Row],[SKU]],'All Skus'!$A:$AC,24,FALSE)),"")))</f>
        <v/>
      </c>
      <c r="W542" s="151">
        <v>540</v>
      </c>
    </row>
    <row r="543" spans="1:23" ht="15" hidden="1" customHeight="1">
      <c r="A543" s="13" t="s">
        <v>1549</v>
      </c>
      <c r="B543" s="12" t="str">
        <f>(IF((VLOOKUP(Table6[[#This Row],[SKU]],'All Skus'!$A:$AC,2,FALSE))="JBL",(VLOOKUP(Table6[[#This Row],[SKU]],'All Skus'!$A:$AC,3,FALSE)),""))</f>
        <v>AE Series</v>
      </c>
      <c r="C543" s="12" t="str">
        <f>(IF((VLOOKUP(Table6[[#This Row],[SKU]],'All Skus'!$A:$AC,2,FALSE))="JBL",(VLOOKUP(Table6[[#This Row],[SKU]],'All Skus'!$A:$AC,4,FALSE)),""))</f>
        <v>ASB7118</v>
      </c>
      <c r="D543" s="61" t="str">
        <f>(IF((VLOOKUP(Table6[[#This Row],[SKU]],'All Skus'!$A:$AC,2,FALSE))="JBL",(VLOOKUP(Table6[[#This Row],[SKU]],'All Skus'!$A:$AC,5,FALSE)),""))</f>
        <v>JBL052</v>
      </c>
      <c r="E543" s="137">
        <f>(IF((VLOOKUP(Table6[[#This Row],[SKU]],'All Skus'!$A:$AC,2,FALSE))="JBL",(VLOOKUP(Table6[[#This Row],[SKU]],'All Skus'!$A:$AC,6,FALSE)),""))</f>
        <v>0</v>
      </c>
      <c r="F543" s="61">
        <f>(IF((VLOOKUP(Table6[[#This Row],[SKU]],'All Skus'!$A:$AC,2,FALSE))="JBL",(VLOOKUP(Table6[[#This Row],[SKU]],'All Skus'!$A:$AC,7,FALSE)),""))</f>
        <v>0</v>
      </c>
      <c r="G543" t="str">
        <f>(IF((VLOOKUP(Table6[[#This Row],[SKU]],'All Skus'!$A:$AC,2,FALSE))="JBL",(VLOOKUP(Table6[[#This Row],[SKU]],'All Skus'!$A:$AC,8,FALSE)),""))</f>
        <v>SINGLE 18" SUBWOOFER</v>
      </c>
      <c r="H543" s="8" t="str">
        <f>(IF((VLOOKUP(Table6[[#This Row],[SKU]],'All Skus'!$A:$AC,2,FALSE))="JBL",(VLOOKUP(Table6[[#This Row],[SKU]],'All Skus'!$A:$AC,9,FALSE)),""))</f>
        <v xml:space="preserve">Ultra High-Power 18” Subwoofer System.  .  2269H 
Differential Drive® Vented Gap™ woofer, 4” dual voice coil – dual gap, neodymium magnet.  Multiply hardwood enclosure with DuraFlex™ finish and 14-gauge steel grille.  Sixteen M10 suspension points.  Available in Black and White. Priced as each. 
</v>
      </c>
      <c r="I543" s="101">
        <f>(IF((VLOOKUP(Table6[[#This Row],[SKU]],'All Skus'!$A:$AC,2,FALSE))="JBL",(VLOOKUP(Table6[[#This Row],[SKU]],'All Skus'!$A:$AC,10,FALSE)),""))</f>
        <v>4330</v>
      </c>
      <c r="J543" s="101">
        <f>(IF((VLOOKUP(Table6[[#This Row],[SKU]],'All Skus'!$A:$AC,2,FALSE))="JBL",(VLOOKUP(Table6[[#This Row],[SKU]],'All Skus'!$A:$AC,11,FALSE)),""))</f>
        <v>4330</v>
      </c>
      <c r="K543" s="102">
        <f>(IF((VLOOKUP(Table6[[#This Row],[SKU]],'All Skus'!$A:$AC,2,FALSE))="JBL",(VLOOKUP(Table6[[#This Row],[SKU]],'All Skus'!$A:$AC,13,FALSE)),""))</f>
        <v>0</v>
      </c>
      <c r="L543" s="102">
        <f>(IF((VLOOKUP(Table6[[#This Row],[SKU]],'All Skus'!$A:$AC,2,FALSE))="JBL",(VLOOKUP(Table6[[#This Row],[SKU]],'All Skus'!$A:$AC,14,FALSE)),""))</f>
        <v>0</v>
      </c>
      <c r="M543" s="143">
        <f>(IF((VLOOKUP(Table6[[#This Row],[SKU]],'All Skus'!$A:$AC,2,FALSE))="JBL",(VLOOKUP(Table6[[#This Row],[SKU]],'All Skus'!$A:$AC,15,FALSE)),""))</f>
        <v>0</v>
      </c>
      <c r="N543" s="137">
        <f>(IF((VLOOKUP(Table6[[#This Row],[SKU]],'All Skus'!$A:$AC,2,FALSE))="JBL",(VLOOKUP(Table6[[#This Row],[SKU]],'All Skus'!$A:$AC,16,FALSE)),""))</f>
        <v>691991011801</v>
      </c>
      <c r="O543" s="61">
        <f>(IF((VLOOKUP(Table6[[#This Row],[SKU]],'All Skus'!$A:$AC,2,FALSE))="JBL",(VLOOKUP(Table6[[#This Row],[SKU]],'All Skus'!$A:$AC,17,FALSE)),""))</f>
        <v>0</v>
      </c>
      <c r="P543" s="136">
        <f>(IF((VLOOKUP(Table6[[#This Row],[SKU]],'All Skus'!$A:$AC,2,FALSE))="JBL",(VLOOKUP(Table6[[#This Row],[SKU]],'All Skus'!$A:$AC,18,FALSE)),""))</f>
        <v>108.4</v>
      </c>
      <c r="Q543" s="136">
        <f>(IF((VLOOKUP(Table6[[#This Row],[SKU]],'All Skus'!$A:$AC,2,FALSE))="JBL",(VLOOKUP(Table6[[#This Row],[SKU]],'All Skus'!$A:$AC,19,FALSE)),""))</f>
        <v>36</v>
      </c>
      <c r="R543" s="136">
        <f>(IF((VLOOKUP(Table6[[#This Row],[SKU]],'All Skus'!$A:$AC,2,FALSE))="JBL",(VLOOKUP(Table6[[#This Row],[SKU]],'All Skus'!$A:$AC,20,FALSE)),""))</f>
        <v>26</v>
      </c>
      <c r="S543" s="61">
        <f>(IF((VLOOKUP(Table6[[#This Row],[SKU]],'All Skus'!$A:$AC,2,FALSE))="JBL",(VLOOKUP(Table6[[#This Row],[SKU]],'All Skus'!$A:$AC,21,FALSE)),""))</f>
        <v>24</v>
      </c>
      <c r="T543" s="61" t="str">
        <f>(IF((VLOOKUP(Table6[[#This Row],[SKU]],'All Skus'!$A:$AC,2,FALSE))="JBL",(VLOOKUP(Table6[[#This Row],[SKU]],'All Skus'!$A:$AC,22,FALSE)),""))</f>
        <v>MX</v>
      </c>
      <c r="U543" t="str">
        <f>(IF((VLOOKUP(Table6[[#This Row],[SKU]],'All Skus'!$A:$AC,2,FALSE))="JBL",(VLOOKUP(Table6[[#This Row],[SKU]],'All Skus'!$A:$AC,23,FALSE)),""))</f>
        <v>Compliant</v>
      </c>
      <c r="V543" s="284" t="str">
        <f>HYPERLINK((IF((VLOOKUP(Table6[[#This Row],[SKU]],'All Skus'!$A:$AC,2,FALSE))="JBL",(VLOOKUP(Table6[[#This Row],[SKU]],'All Skus'!$A:$AC,24,FALSE)),"")))</f>
        <v/>
      </c>
      <c r="W543" s="151">
        <v>541</v>
      </c>
    </row>
    <row r="544" spans="1:23" ht="15" hidden="1" customHeight="1">
      <c r="A544" s="13" t="s">
        <v>1550</v>
      </c>
      <c r="B544" s="12" t="str">
        <f>(IF((VLOOKUP(Table6[[#This Row],[SKU]],'All Skus'!$A:$AC,2,FALSE))="JBL",(VLOOKUP(Table6[[#This Row],[SKU]],'All Skus'!$A:$AC,3,FALSE)),""))</f>
        <v>AE Series</v>
      </c>
      <c r="C544" s="12" t="str">
        <f>(IF((VLOOKUP(Table6[[#This Row],[SKU]],'All Skus'!$A:$AC,2,FALSE))="JBL",(VLOOKUP(Table6[[#This Row],[SKU]],'All Skus'!$A:$AC,4,FALSE)),""))</f>
        <v>ASB7118-WH</v>
      </c>
      <c r="D544" s="61" t="str">
        <f>(IF((VLOOKUP(Table6[[#This Row],[SKU]],'All Skus'!$A:$AC,2,FALSE))="JBL",(VLOOKUP(Table6[[#This Row],[SKU]],'All Skus'!$A:$AC,5,FALSE)),""))</f>
        <v>JBL052</v>
      </c>
      <c r="E544" s="137">
        <f>(IF((VLOOKUP(Table6[[#This Row],[SKU]],'All Skus'!$A:$AC,2,FALSE))="JBL",(VLOOKUP(Table6[[#This Row],[SKU]],'All Skus'!$A:$AC,6,FALSE)),""))</f>
        <v>0</v>
      </c>
      <c r="F544" s="61">
        <f>(IF((VLOOKUP(Table6[[#This Row],[SKU]],'All Skus'!$A:$AC,2,FALSE))="JBL",(VLOOKUP(Table6[[#This Row],[SKU]],'All Skus'!$A:$AC,7,FALSE)),""))</f>
        <v>0</v>
      </c>
      <c r="G544" t="str">
        <f>(IF((VLOOKUP(Table6[[#This Row],[SKU]],'All Skus'!$A:$AC,2,FALSE))="JBL",(VLOOKUP(Table6[[#This Row],[SKU]],'All Skus'!$A:$AC,8,FALSE)),""))</f>
        <v>SINGLE 18" SUBWOOFER (white)</v>
      </c>
      <c r="H544" s="8" t="str">
        <f>(IF((VLOOKUP(Table6[[#This Row],[SKU]],'All Skus'!$A:$AC,2,FALSE))="JBL",(VLOOKUP(Table6[[#This Row],[SKU]],'All Skus'!$A:$AC,9,FALSE)),""))</f>
        <v xml:space="preserve">Ultra High-Power 18” Subwoofer System.  .  2269H 
Differential Drive® Vented Gap™ woofer, 4” dual voice coil – dual gap, neodymium magnet.  Multiply hardwood enclosure with DuraFlex™ finish and 14-gauge steel grille.  Sixteen M10 suspension points.  White finish. Priced as each. 
</v>
      </c>
      <c r="I544" s="101">
        <f>(IF((VLOOKUP(Table6[[#This Row],[SKU]],'All Skus'!$A:$AC,2,FALSE))="JBL",(VLOOKUP(Table6[[#This Row],[SKU]],'All Skus'!$A:$AC,10,FALSE)),""))</f>
        <v>4330</v>
      </c>
      <c r="J544" s="101">
        <f>(IF((VLOOKUP(Table6[[#This Row],[SKU]],'All Skus'!$A:$AC,2,FALSE))="JBL",(VLOOKUP(Table6[[#This Row],[SKU]],'All Skus'!$A:$AC,11,FALSE)),""))</f>
        <v>4330</v>
      </c>
      <c r="K544" s="102">
        <f>(IF((VLOOKUP(Table6[[#This Row],[SKU]],'All Skus'!$A:$AC,2,FALSE))="JBL",(VLOOKUP(Table6[[#This Row],[SKU]],'All Skus'!$A:$AC,13,FALSE)),""))</f>
        <v>0</v>
      </c>
      <c r="L544" s="102">
        <f>(IF((VLOOKUP(Table6[[#This Row],[SKU]],'All Skus'!$A:$AC,2,FALSE))="JBL",(VLOOKUP(Table6[[#This Row],[SKU]],'All Skus'!$A:$AC,14,FALSE)),""))</f>
        <v>0</v>
      </c>
      <c r="M544" s="143">
        <f>(IF((VLOOKUP(Table6[[#This Row],[SKU]],'All Skus'!$A:$AC,2,FALSE))="JBL",(VLOOKUP(Table6[[#This Row],[SKU]],'All Skus'!$A:$AC,15,FALSE)),""))</f>
        <v>0</v>
      </c>
      <c r="N544" s="137">
        <f>(IF((VLOOKUP(Table6[[#This Row],[SKU]],'All Skus'!$A:$AC,2,FALSE))="JBL",(VLOOKUP(Table6[[#This Row],[SKU]],'All Skus'!$A:$AC,16,FALSE)),""))</f>
        <v>691991011818</v>
      </c>
      <c r="O544" s="61">
        <f>(IF((VLOOKUP(Table6[[#This Row],[SKU]],'All Skus'!$A:$AC,2,FALSE))="JBL",(VLOOKUP(Table6[[#This Row],[SKU]],'All Skus'!$A:$AC,17,FALSE)),""))</f>
        <v>0</v>
      </c>
      <c r="P544" s="136">
        <f>(IF((VLOOKUP(Table6[[#This Row],[SKU]],'All Skus'!$A:$AC,2,FALSE))="JBL",(VLOOKUP(Table6[[#This Row],[SKU]],'All Skus'!$A:$AC,18,FALSE)),""))</f>
        <v>125</v>
      </c>
      <c r="Q544" s="136">
        <f>(IF((VLOOKUP(Table6[[#This Row],[SKU]],'All Skus'!$A:$AC,2,FALSE))="JBL",(VLOOKUP(Table6[[#This Row],[SKU]],'All Skus'!$A:$AC,19,FALSE)),""))</f>
        <v>35</v>
      </c>
      <c r="R544" s="136">
        <f>(IF((VLOOKUP(Table6[[#This Row],[SKU]],'All Skus'!$A:$AC,2,FALSE))="JBL",(VLOOKUP(Table6[[#This Row],[SKU]],'All Skus'!$A:$AC,20,FALSE)),""))</f>
        <v>26</v>
      </c>
      <c r="S544" s="61">
        <f>(IF((VLOOKUP(Table6[[#This Row],[SKU]],'All Skus'!$A:$AC,2,FALSE))="JBL",(VLOOKUP(Table6[[#This Row],[SKU]],'All Skus'!$A:$AC,21,FALSE)),""))</f>
        <v>24</v>
      </c>
      <c r="T544" s="61" t="str">
        <f>(IF((VLOOKUP(Table6[[#This Row],[SKU]],'All Skus'!$A:$AC,2,FALSE))="JBL",(VLOOKUP(Table6[[#This Row],[SKU]],'All Skus'!$A:$AC,22,FALSE)),""))</f>
        <v>MX</v>
      </c>
      <c r="U544" t="str">
        <f>(IF((VLOOKUP(Table6[[#This Row],[SKU]],'All Skus'!$A:$AC,2,FALSE))="JBL",(VLOOKUP(Table6[[#This Row],[SKU]],'All Skus'!$A:$AC,23,FALSE)),""))</f>
        <v>Compliant</v>
      </c>
      <c r="V544" s="284" t="str">
        <f>HYPERLINK((IF((VLOOKUP(Table6[[#This Row],[SKU]],'All Skus'!$A:$AC,2,FALSE))="JBL",(VLOOKUP(Table6[[#This Row],[SKU]],'All Skus'!$A:$AC,24,FALSE)),"")))</f>
        <v/>
      </c>
      <c r="W544" s="151">
        <v>542</v>
      </c>
    </row>
    <row r="545" spans="1:23" ht="15" hidden="1" customHeight="1">
      <c r="A545" s="13" t="s">
        <v>1551</v>
      </c>
      <c r="B545" s="12" t="str">
        <f>(IF((VLOOKUP(Table6[[#This Row],[SKU]],'All Skus'!$A:$AC,2,FALSE))="JBL",(VLOOKUP(Table6[[#This Row],[SKU]],'All Skus'!$A:$AC,3,FALSE)),""))</f>
        <v>Custom Shop Item</v>
      </c>
      <c r="C545" s="12" t="str">
        <f>(IF((VLOOKUP(Table6[[#This Row],[SKU]],'All Skus'!$A:$AC,2,FALSE))="JBL",(VLOOKUP(Table6[[#This Row],[SKU]],'All Skus'!$A:$AC,4,FALSE)),""))</f>
        <v>ASB7118-WRC</v>
      </c>
      <c r="D545" s="61" t="str">
        <f>(IF((VLOOKUP(Table6[[#This Row],[SKU]],'All Skus'!$A:$AC,2,FALSE))="JBL",(VLOOKUP(Table6[[#This Row],[SKU]],'All Skus'!$A:$AC,5,FALSE)),""))</f>
        <v>JBL050</v>
      </c>
      <c r="E545" s="137" t="str">
        <f>(IF((VLOOKUP(Table6[[#This Row],[SKU]],'All Skus'!$A:$AC,2,FALSE))="JBL",(VLOOKUP(Table6[[#This Row],[SKU]],'All Skus'!$A:$AC,6,FALSE)),""))</f>
        <v>YES</v>
      </c>
      <c r="F545" s="61">
        <f>(IF((VLOOKUP(Table6[[#This Row],[SKU]],'All Skus'!$A:$AC,2,FALSE))="JBL",(VLOOKUP(Table6[[#This Row],[SKU]],'All Skus'!$A:$AC,7,FALSE)),""))</f>
        <v>0</v>
      </c>
      <c r="G545" t="str">
        <f>(IF((VLOOKUP(Table6[[#This Row],[SKU]],'All Skus'!$A:$AC,2,FALSE))="JBL",(VLOOKUP(Table6[[#This Row],[SKU]],'All Skus'!$A:$AC,8,FALSE)),""))</f>
        <v>SINGLE 18" SUBWOOFER (Extreme Weather Protection Treatment)</v>
      </c>
      <c r="H545" s="8" t="str">
        <f>(IF((VLOOKUP(Table6[[#This Row],[SKU]],'All Skus'!$A:$AC,2,FALSE))="JBL",(VLOOKUP(Table6[[#This Row],[SKU]],'All Skus'!$A:$AC,9,FALSE)),""))</f>
        <v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v>
      </c>
      <c r="I545" s="101" t="str">
        <f>(IF((VLOOKUP(Table6[[#This Row],[SKU]],'All Skus'!$A:$AC,2,FALSE))="JBL",(VLOOKUP(Table6[[#This Row],[SKU]],'All Skus'!$A:$AC,10,FALSE)),""))</f>
        <v>Please email CustomAudio@harman.com for quote</v>
      </c>
      <c r="J545" s="101">
        <f>(IF((VLOOKUP(Table6[[#This Row],[SKU]],'All Skus'!$A:$AC,2,FALSE))="JBL",(VLOOKUP(Table6[[#This Row],[SKU]],'All Skus'!$A:$AC,11,FALSE)),""))</f>
        <v>0</v>
      </c>
      <c r="K545" s="102">
        <f>(IF((VLOOKUP(Table6[[#This Row],[SKU]],'All Skus'!$A:$AC,2,FALSE))="JBL",(VLOOKUP(Table6[[#This Row],[SKU]],'All Skus'!$A:$AC,13,FALSE)),""))</f>
        <v>0</v>
      </c>
      <c r="L545" s="102">
        <f>(IF((VLOOKUP(Table6[[#This Row],[SKU]],'All Skus'!$A:$AC,2,FALSE))="JBL",(VLOOKUP(Table6[[#This Row],[SKU]],'All Skus'!$A:$AC,14,FALSE)),""))</f>
        <v>0</v>
      </c>
      <c r="M545" s="143">
        <f>(IF((VLOOKUP(Table6[[#This Row],[SKU]],'All Skus'!$A:$AC,2,FALSE))="JBL",(VLOOKUP(Table6[[#This Row],[SKU]],'All Skus'!$A:$AC,15,FALSE)),""))</f>
        <v>0</v>
      </c>
      <c r="N545" s="137">
        <f>(IF((VLOOKUP(Table6[[#This Row],[SKU]],'All Skus'!$A:$AC,2,FALSE))="JBL",(VLOOKUP(Table6[[#This Row],[SKU]],'All Skus'!$A:$AC,16,FALSE)),""))</f>
        <v>0</v>
      </c>
      <c r="O545" s="61">
        <f>(IF((VLOOKUP(Table6[[#This Row],[SKU]],'All Skus'!$A:$AC,2,FALSE))="JBL",(VLOOKUP(Table6[[#This Row],[SKU]],'All Skus'!$A:$AC,17,FALSE)),""))</f>
        <v>0</v>
      </c>
      <c r="P545" s="136">
        <f>(IF((VLOOKUP(Table6[[#This Row],[SKU]],'All Skus'!$A:$AC,2,FALSE))="JBL",(VLOOKUP(Table6[[#This Row],[SKU]],'All Skus'!$A:$AC,18,FALSE)),""))</f>
        <v>130</v>
      </c>
      <c r="Q545" s="136">
        <f>(IF((VLOOKUP(Table6[[#This Row],[SKU]],'All Skus'!$A:$AC,2,FALSE))="JBL",(VLOOKUP(Table6[[#This Row],[SKU]],'All Skus'!$A:$AC,19,FALSE)),""))</f>
        <v>29</v>
      </c>
      <c r="R545" s="136">
        <f>(IF((VLOOKUP(Table6[[#This Row],[SKU]],'All Skus'!$A:$AC,2,FALSE))="JBL",(VLOOKUP(Table6[[#This Row],[SKU]],'All Skus'!$A:$AC,20,FALSE)),""))</f>
        <v>35</v>
      </c>
      <c r="S545" s="61">
        <f>(IF((VLOOKUP(Table6[[#This Row],[SKU]],'All Skus'!$A:$AC,2,FALSE))="JBL",(VLOOKUP(Table6[[#This Row],[SKU]],'All Skus'!$A:$AC,21,FALSE)),""))</f>
        <v>26.5</v>
      </c>
      <c r="T545" s="61" t="str">
        <f>(IF((VLOOKUP(Table6[[#This Row],[SKU]],'All Skus'!$A:$AC,2,FALSE))="JBL",(VLOOKUP(Table6[[#This Row],[SKU]],'All Skus'!$A:$AC,22,FALSE)),""))</f>
        <v>MX</v>
      </c>
      <c r="U545" t="str">
        <f>(IF((VLOOKUP(Table6[[#This Row],[SKU]],'All Skus'!$A:$AC,2,FALSE))="JBL",(VLOOKUP(Table6[[#This Row],[SKU]],'All Skus'!$A:$AC,23,FALSE)),""))</f>
        <v>Compliant</v>
      </c>
      <c r="V545" s="284" t="str">
        <f>HYPERLINK((IF((VLOOKUP(Table6[[#This Row],[SKU]],'All Skus'!$A:$AC,2,FALSE))="JBL",(VLOOKUP(Table6[[#This Row],[SKU]],'All Skus'!$A:$AC,24,FALSE)),"")))</f>
        <v/>
      </c>
      <c r="W545" s="151">
        <v>543</v>
      </c>
    </row>
    <row r="546" spans="1:23" ht="15" hidden="1" customHeight="1">
      <c r="A546" s="13" t="s">
        <v>1552</v>
      </c>
      <c r="B546" s="12" t="str">
        <f>(IF((VLOOKUP(Table6[[#This Row],[SKU]],'All Skus'!$A:$AC,2,FALSE))="JBL",(VLOOKUP(Table6[[#This Row],[SKU]],'All Skus'!$A:$AC,3,FALSE)),""))</f>
        <v>Custom Shop Item</v>
      </c>
      <c r="C546" s="12" t="str">
        <f>(IF((VLOOKUP(Table6[[#This Row],[SKU]],'All Skus'!$A:$AC,2,FALSE))="JBL",(VLOOKUP(Table6[[#This Row],[SKU]],'All Skus'!$A:$AC,4,FALSE)),""))</f>
        <v>ASB7118WRX</v>
      </c>
      <c r="D546" s="61" t="str">
        <f>(IF((VLOOKUP(Table6[[#This Row],[SKU]],'All Skus'!$A:$AC,2,FALSE))="JBL",(VLOOKUP(Table6[[#This Row],[SKU]],'All Skus'!$A:$AC,5,FALSE)),""))</f>
        <v>JBL050</v>
      </c>
      <c r="E546" s="137" t="str">
        <f>(IF((VLOOKUP(Table6[[#This Row],[SKU]],'All Skus'!$A:$AC,2,FALSE))="JBL",(VLOOKUP(Table6[[#This Row],[SKU]],'All Skus'!$A:$AC,6,FALSE)),""))</f>
        <v>YES</v>
      </c>
      <c r="F546" s="61">
        <f>(IF((VLOOKUP(Table6[[#This Row],[SKU]],'All Skus'!$A:$AC,2,FALSE))="JBL",(VLOOKUP(Table6[[#This Row],[SKU]],'All Skus'!$A:$AC,7,FALSE)),""))</f>
        <v>0</v>
      </c>
      <c r="G546" t="str">
        <f>(IF((VLOOKUP(Table6[[#This Row],[SKU]],'All Skus'!$A:$AC,2,FALSE))="JBL",(VLOOKUP(Table6[[#This Row],[SKU]],'All Skus'!$A:$AC,8,FALSE)),""))</f>
        <v>SINGLE 18" SUBWOOFER (Extreme Weather Protection Treatment)</v>
      </c>
      <c r="H546" s="8" t="str">
        <f>(IF((VLOOKUP(Table6[[#This Row],[SKU]],'All Skus'!$A:$AC,2,FALSE))="JBL",(VLOOKUP(Table6[[#This Row],[SKU]],'All Skus'!$A:$AC,9,FALSE)),""))</f>
        <v xml:space="preserve">Ultra High-Power 18” Subwoofer System.  .  2269H 
Differential Drive® Vented Gap™ woofer, 4” dual voice coil – dual gap, neodymium magnet.  Multiply hardwood enclosure with DuraFlex™ finish and 14-gauge steel grille.  Sixteen M10 suspension points.  With Extreme Weather Protection Treatment. Refer to WEATHER RESISTANT Configurations for AE, PD &amp; VLA Series document for details regarding WRC/WRX models. WRC &amp; WRX enclosures are larger than the standard enclosure.  Visit www.jblpro.com to download AE Series 2D WRC &amp; WRX drawings.  PAF kits do not fit WRC &amp; WRX enclosures.  Standard color is GRAY. Available in Black (-BK) &amp; White (-WH).
</v>
      </c>
      <c r="I546" s="101" t="str">
        <f>(IF((VLOOKUP(Table6[[#This Row],[SKU]],'All Skus'!$A:$AC,2,FALSE))="JBL",(VLOOKUP(Table6[[#This Row],[SKU]],'All Skus'!$A:$AC,10,FALSE)),""))</f>
        <v>Please email CustomAudio@harman.com for quote</v>
      </c>
      <c r="J546" s="101">
        <f>(IF((VLOOKUP(Table6[[#This Row],[SKU]],'All Skus'!$A:$AC,2,FALSE))="JBL",(VLOOKUP(Table6[[#This Row],[SKU]],'All Skus'!$A:$AC,11,FALSE)),""))</f>
        <v>0</v>
      </c>
      <c r="K546" s="102">
        <f>(IF((VLOOKUP(Table6[[#This Row],[SKU]],'All Skus'!$A:$AC,2,FALSE))="JBL",(VLOOKUP(Table6[[#This Row],[SKU]],'All Skus'!$A:$AC,13,FALSE)),""))</f>
        <v>0</v>
      </c>
      <c r="L546" s="102">
        <f>(IF((VLOOKUP(Table6[[#This Row],[SKU]],'All Skus'!$A:$AC,2,FALSE))="JBL",(VLOOKUP(Table6[[#This Row],[SKU]],'All Skus'!$A:$AC,14,FALSE)),""))</f>
        <v>0</v>
      </c>
      <c r="M546" s="143">
        <f>(IF((VLOOKUP(Table6[[#This Row],[SKU]],'All Skus'!$A:$AC,2,FALSE))="JBL",(VLOOKUP(Table6[[#This Row],[SKU]],'All Skus'!$A:$AC,15,FALSE)),""))</f>
        <v>0</v>
      </c>
      <c r="N546" s="137">
        <f>(IF((VLOOKUP(Table6[[#This Row],[SKU]],'All Skus'!$A:$AC,2,FALSE))="JBL",(VLOOKUP(Table6[[#This Row],[SKU]],'All Skus'!$A:$AC,16,FALSE)),""))</f>
        <v>691991029912</v>
      </c>
      <c r="O546" s="61">
        <f>(IF((VLOOKUP(Table6[[#This Row],[SKU]],'All Skus'!$A:$AC,2,FALSE))="JBL",(VLOOKUP(Table6[[#This Row],[SKU]],'All Skus'!$A:$AC,17,FALSE)),""))</f>
        <v>0</v>
      </c>
      <c r="P546" s="136">
        <f>(IF((VLOOKUP(Table6[[#This Row],[SKU]],'All Skus'!$A:$AC,2,FALSE))="JBL",(VLOOKUP(Table6[[#This Row],[SKU]],'All Skus'!$A:$AC,18,FALSE)),""))</f>
        <v>65</v>
      </c>
      <c r="Q546" s="136">
        <f>(IF((VLOOKUP(Table6[[#This Row],[SKU]],'All Skus'!$A:$AC,2,FALSE))="JBL",(VLOOKUP(Table6[[#This Row],[SKU]],'All Skus'!$A:$AC,19,FALSE)),""))</f>
        <v>25</v>
      </c>
      <c r="R546" s="136">
        <f>(IF((VLOOKUP(Table6[[#This Row],[SKU]],'All Skus'!$A:$AC,2,FALSE))="JBL",(VLOOKUP(Table6[[#This Row],[SKU]],'All Skus'!$A:$AC,20,FALSE)),""))</f>
        <v>29</v>
      </c>
      <c r="S546" s="61">
        <f>(IF((VLOOKUP(Table6[[#This Row],[SKU]],'All Skus'!$A:$AC,2,FALSE))="JBL",(VLOOKUP(Table6[[#This Row],[SKU]],'All Skus'!$A:$AC,21,FALSE)),""))</f>
        <v>34</v>
      </c>
      <c r="T546" s="61" t="str">
        <f>(IF((VLOOKUP(Table6[[#This Row],[SKU]],'All Skus'!$A:$AC,2,FALSE))="JBL",(VLOOKUP(Table6[[#This Row],[SKU]],'All Skus'!$A:$AC,22,FALSE)),""))</f>
        <v>MX</v>
      </c>
      <c r="U546" t="str">
        <f>(IF((VLOOKUP(Table6[[#This Row],[SKU]],'All Skus'!$A:$AC,2,FALSE))="JBL",(VLOOKUP(Table6[[#This Row],[SKU]],'All Skus'!$A:$AC,23,FALSE)),""))</f>
        <v>Compliant</v>
      </c>
      <c r="V546" s="284" t="str">
        <f>HYPERLINK((IF((VLOOKUP(Table6[[#This Row],[SKU]],'All Skus'!$A:$AC,2,FALSE))="JBL",(VLOOKUP(Table6[[#This Row],[SKU]],'All Skus'!$A:$AC,24,FALSE)),"")))</f>
        <v/>
      </c>
      <c r="W546" s="151">
        <v>544</v>
      </c>
    </row>
    <row r="547" spans="1:23" ht="15" hidden="1" customHeight="1">
      <c r="A547" s="13" t="s">
        <v>1553</v>
      </c>
      <c r="B547" s="12" t="str">
        <f>(IF((VLOOKUP(Table6[[#This Row],[SKU]],'All Skus'!$A:$AC,2,FALSE))="JBL",(VLOOKUP(Table6[[#This Row],[SKU]],'All Skus'!$A:$AC,3,FALSE)),""))</f>
        <v>AE Series</v>
      </c>
      <c r="C547" s="12" t="str">
        <f>(IF((VLOOKUP(Table6[[#This Row],[SKU]],'All Skus'!$A:$AC,2,FALSE))="JBL",(VLOOKUP(Table6[[#This Row],[SKU]],'All Skus'!$A:$AC,4,FALSE)),""))</f>
        <v>ASB7128</v>
      </c>
      <c r="D547" s="61" t="str">
        <f>(IF((VLOOKUP(Table6[[#This Row],[SKU]],'All Skus'!$A:$AC,2,FALSE))="JBL",(VLOOKUP(Table6[[#This Row],[SKU]],'All Skus'!$A:$AC,5,FALSE)),""))</f>
        <v>JBL052</v>
      </c>
      <c r="E547" s="137">
        <f>(IF((VLOOKUP(Table6[[#This Row],[SKU]],'All Skus'!$A:$AC,2,FALSE))="JBL",(VLOOKUP(Table6[[#This Row],[SKU]],'All Skus'!$A:$AC,6,FALSE)),""))</f>
        <v>0</v>
      </c>
      <c r="F547" s="61">
        <f>(IF((VLOOKUP(Table6[[#This Row],[SKU]],'All Skus'!$A:$AC,2,FALSE))="JBL",(VLOOKUP(Table6[[#This Row],[SKU]],'All Skus'!$A:$AC,7,FALSE)),""))</f>
        <v>0</v>
      </c>
      <c r="G547" t="str">
        <f>(IF((VLOOKUP(Table6[[#This Row],[SKU]],'All Skus'!$A:$AC,2,FALSE))="JBL",(VLOOKUP(Table6[[#This Row],[SKU]],'All Skus'!$A:$AC,8,FALSE)),""))</f>
        <v>DUAL 18" SUBWOOFER</v>
      </c>
      <c r="H547" s="8" t="str">
        <f>(IF((VLOOKUP(Table6[[#This Row],[SKU]],'All Skus'!$A:$AC,2,FALSE))="JBL",(VLOOKUP(Table6[[#This Row],[SKU]],'All Skus'!$A:$AC,9,FALSE)),""))</f>
        <v xml:space="preserve">Dual 18” Ultra High-Power Subwoofer System.  2 x 2269H Differential Drive® Vented Gap™ woofer, 4” dual voice coil – dual gap, neodymium magnet.  Multiply hardwood enclosure with DuraFlex™ finish and 14-gauge steel grille.  Sixteen M10 suspension points.  Available in Black and White. Priced as each. 
</v>
      </c>
      <c r="I547" s="101">
        <f>(IF((VLOOKUP(Table6[[#This Row],[SKU]],'All Skus'!$A:$AC,2,FALSE))="JBL",(VLOOKUP(Table6[[#This Row],[SKU]],'All Skus'!$A:$AC,10,FALSE)),""))</f>
        <v>7600</v>
      </c>
      <c r="J547" s="101">
        <f>(IF((VLOOKUP(Table6[[#This Row],[SKU]],'All Skus'!$A:$AC,2,FALSE))="JBL",(VLOOKUP(Table6[[#This Row],[SKU]],'All Skus'!$A:$AC,11,FALSE)),""))</f>
        <v>7600</v>
      </c>
      <c r="K547" s="102">
        <f>(IF((VLOOKUP(Table6[[#This Row],[SKU]],'All Skus'!$A:$AC,2,FALSE))="JBL",(VLOOKUP(Table6[[#This Row],[SKU]],'All Skus'!$A:$AC,13,FALSE)),""))</f>
        <v>0</v>
      </c>
      <c r="L547" s="102">
        <f>(IF((VLOOKUP(Table6[[#This Row],[SKU]],'All Skus'!$A:$AC,2,FALSE))="JBL",(VLOOKUP(Table6[[#This Row],[SKU]],'All Skus'!$A:$AC,14,FALSE)),""))</f>
        <v>0</v>
      </c>
      <c r="M547" s="143">
        <f>(IF((VLOOKUP(Table6[[#This Row],[SKU]],'All Skus'!$A:$AC,2,FALSE))="JBL",(VLOOKUP(Table6[[#This Row],[SKU]],'All Skus'!$A:$AC,15,FALSE)),""))</f>
        <v>0</v>
      </c>
      <c r="N547" s="137">
        <f>(IF((VLOOKUP(Table6[[#This Row],[SKU]],'All Skus'!$A:$AC,2,FALSE))="JBL",(VLOOKUP(Table6[[#This Row],[SKU]],'All Skus'!$A:$AC,16,FALSE)),""))</f>
        <v>691991011832</v>
      </c>
      <c r="O547" s="61">
        <f>(IF((VLOOKUP(Table6[[#This Row],[SKU]],'All Skus'!$A:$AC,2,FALSE))="JBL",(VLOOKUP(Table6[[#This Row],[SKU]],'All Skus'!$A:$AC,17,FALSE)),""))</f>
        <v>0</v>
      </c>
      <c r="P547" s="136">
        <f>(IF((VLOOKUP(Table6[[#This Row],[SKU]],'All Skus'!$A:$AC,2,FALSE))="JBL",(VLOOKUP(Table6[[#This Row],[SKU]],'All Skus'!$A:$AC,18,FALSE)),""))</f>
        <v>158.5</v>
      </c>
      <c r="Q547" s="136">
        <f>(IF((VLOOKUP(Table6[[#This Row],[SKU]],'All Skus'!$A:$AC,2,FALSE))="JBL",(VLOOKUP(Table6[[#This Row],[SKU]],'All Skus'!$A:$AC,19,FALSE)),""))</f>
        <v>36</v>
      </c>
      <c r="R547" s="136">
        <f>(IF((VLOOKUP(Table6[[#This Row],[SKU]],'All Skus'!$A:$AC,2,FALSE))="JBL",(VLOOKUP(Table6[[#This Row],[SKU]],'All Skus'!$A:$AC,20,FALSE)),""))</f>
        <v>26</v>
      </c>
      <c r="S547" s="61">
        <f>(IF((VLOOKUP(Table6[[#This Row],[SKU]],'All Skus'!$A:$AC,2,FALSE))="JBL",(VLOOKUP(Table6[[#This Row],[SKU]],'All Skus'!$A:$AC,21,FALSE)),""))</f>
        <v>46</v>
      </c>
      <c r="T547" s="61" t="str">
        <f>(IF((VLOOKUP(Table6[[#This Row],[SKU]],'All Skus'!$A:$AC,2,FALSE))="JBL",(VLOOKUP(Table6[[#This Row],[SKU]],'All Skus'!$A:$AC,22,FALSE)),""))</f>
        <v>MX</v>
      </c>
      <c r="U547" t="str">
        <f>(IF((VLOOKUP(Table6[[#This Row],[SKU]],'All Skus'!$A:$AC,2,FALSE))="JBL",(VLOOKUP(Table6[[#This Row],[SKU]],'All Skus'!$A:$AC,23,FALSE)),""))</f>
        <v>Compliant</v>
      </c>
      <c r="V547" s="284" t="str">
        <f>HYPERLINK((IF((VLOOKUP(Table6[[#This Row],[SKU]],'All Skus'!$A:$AC,2,FALSE))="JBL",(VLOOKUP(Table6[[#This Row],[SKU]],'All Skus'!$A:$AC,24,FALSE)),"")))</f>
        <v/>
      </c>
      <c r="W547" s="151">
        <v>545</v>
      </c>
    </row>
    <row r="548" spans="1:23" ht="15" hidden="1" customHeight="1">
      <c r="A548" s="13" t="s">
        <v>1554</v>
      </c>
      <c r="B548" s="12" t="str">
        <f>(IF((VLOOKUP(Table6[[#This Row],[SKU]],'All Skus'!$A:$AC,2,FALSE))="JBL",(VLOOKUP(Table6[[#This Row],[SKU]],'All Skus'!$A:$AC,3,FALSE)),""))</f>
        <v>AE Series</v>
      </c>
      <c r="C548" s="12" t="str">
        <f>(IF((VLOOKUP(Table6[[#This Row],[SKU]],'All Skus'!$A:$AC,2,FALSE))="JBL",(VLOOKUP(Table6[[#This Row],[SKU]],'All Skus'!$A:$AC,4,FALSE)),""))</f>
        <v>ASB7128-WH</v>
      </c>
      <c r="D548" s="61" t="str">
        <f>(IF((VLOOKUP(Table6[[#This Row],[SKU]],'All Skus'!$A:$AC,2,FALSE))="JBL",(VLOOKUP(Table6[[#This Row],[SKU]],'All Skus'!$A:$AC,5,FALSE)),""))</f>
        <v>JBL052</v>
      </c>
      <c r="E548" s="137">
        <f>(IF((VLOOKUP(Table6[[#This Row],[SKU]],'All Skus'!$A:$AC,2,FALSE))="JBL",(VLOOKUP(Table6[[#This Row],[SKU]],'All Skus'!$A:$AC,6,FALSE)),""))</f>
        <v>0</v>
      </c>
      <c r="F548" s="61">
        <f>(IF((VLOOKUP(Table6[[#This Row],[SKU]],'All Skus'!$A:$AC,2,FALSE))="JBL",(VLOOKUP(Table6[[#This Row],[SKU]],'All Skus'!$A:$AC,7,FALSE)),""))</f>
        <v>0</v>
      </c>
      <c r="G548" t="str">
        <f>(IF((VLOOKUP(Table6[[#This Row],[SKU]],'All Skus'!$A:$AC,2,FALSE))="JBL",(VLOOKUP(Table6[[#This Row],[SKU]],'All Skus'!$A:$AC,8,FALSE)),""))</f>
        <v>DUAL 18" SUBWOOFER (white)</v>
      </c>
      <c r="H548" s="8" t="str">
        <f>(IF((VLOOKUP(Table6[[#This Row],[SKU]],'All Skus'!$A:$AC,2,FALSE))="JBL",(VLOOKUP(Table6[[#This Row],[SKU]],'All Skus'!$A:$AC,9,FALSE)),""))</f>
        <v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v>
      </c>
      <c r="I548" s="101">
        <f>(IF((VLOOKUP(Table6[[#This Row],[SKU]],'All Skus'!$A:$AC,2,FALSE))="JBL",(VLOOKUP(Table6[[#This Row],[SKU]],'All Skus'!$A:$AC,10,FALSE)),""))</f>
        <v>7600</v>
      </c>
      <c r="J548" s="101">
        <f>(IF((VLOOKUP(Table6[[#This Row],[SKU]],'All Skus'!$A:$AC,2,FALSE))="JBL",(VLOOKUP(Table6[[#This Row],[SKU]],'All Skus'!$A:$AC,11,FALSE)),""))</f>
        <v>7600</v>
      </c>
      <c r="K548" s="102">
        <f>(IF((VLOOKUP(Table6[[#This Row],[SKU]],'All Skus'!$A:$AC,2,FALSE))="JBL",(VLOOKUP(Table6[[#This Row],[SKU]],'All Skus'!$A:$AC,13,FALSE)),""))</f>
        <v>0</v>
      </c>
      <c r="L548" s="102">
        <f>(IF((VLOOKUP(Table6[[#This Row],[SKU]],'All Skus'!$A:$AC,2,FALSE))="JBL",(VLOOKUP(Table6[[#This Row],[SKU]],'All Skus'!$A:$AC,14,FALSE)),""))</f>
        <v>0</v>
      </c>
      <c r="M548" s="143">
        <f>(IF((VLOOKUP(Table6[[#This Row],[SKU]],'All Skus'!$A:$AC,2,FALSE))="JBL",(VLOOKUP(Table6[[#This Row],[SKU]],'All Skus'!$A:$AC,15,FALSE)),""))</f>
        <v>0</v>
      </c>
      <c r="N548" s="137">
        <f>(IF((VLOOKUP(Table6[[#This Row],[SKU]],'All Skus'!$A:$AC,2,FALSE))="JBL",(VLOOKUP(Table6[[#This Row],[SKU]],'All Skus'!$A:$AC,16,FALSE)),""))</f>
        <v>691991011849</v>
      </c>
      <c r="O548" s="61">
        <f>(IF((VLOOKUP(Table6[[#This Row],[SKU]],'All Skus'!$A:$AC,2,FALSE))="JBL",(VLOOKUP(Table6[[#This Row],[SKU]],'All Skus'!$A:$AC,17,FALSE)),""))</f>
        <v>0</v>
      </c>
      <c r="P548" s="136">
        <f>(IF((VLOOKUP(Table6[[#This Row],[SKU]],'All Skus'!$A:$AC,2,FALSE))="JBL",(VLOOKUP(Table6[[#This Row],[SKU]],'All Skus'!$A:$AC,18,FALSE)),""))</f>
        <v>158</v>
      </c>
      <c r="Q548" s="136">
        <f>(IF((VLOOKUP(Table6[[#This Row],[SKU]],'All Skus'!$A:$AC,2,FALSE))="JBL",(VLOOKUP(Table6[[#This Row],[SKU]],'All Skus'!$A:$AC,19,FALSE)),""))</f>
        <v>36</v>
      </c>
      <c r="R548" s="136">
        <f>(IF((VLOOKUP(Table6[[#This Row],[SKU]],'All Skus'!$A:$AC,2,FALSE))="JBL",(VLOOKUP(Table6[[#This Row],[SKU]],'All Skus'!$A:$AC,20,FALSE)),""))</f>
        <v>26</v>
      </c>
      <c r="S548" s="61">
        <f>(IF((VLOOKUP(Table6[[#This Row],[SKU]],'All Skus'!$A:$AC,2,FALSE))="JBL",(VLOOKUP(Table6[[#This Row],[SKU]],'All Skus'!$A:$AC,21,FALSE)),""))</f>
        <v>46</v>
      </c>
      <c r="T548" s="61" t="str">
        <f>(IF((VLOOKUP(Table6[[#This Row],[SKU]],'All Skus'!$A:$AC,2,FALSE))="JBL",(VLOOKUP(Table6[[#This Row],[SKU]],'All Skus'!$A:$AC,22,FALSE)),""))</f>
        <v>MX</v>
      </c>
      <c r="U548" t="str">
        <f>(IF((VLOOKUP(Table6[[#This Row],[SKU]],'All Skus'!$A:$AC,2,FALSE))="JBL",(VLOOKUP(Table6[[#This Row],[SKU]],'All Skus'!$A:$AC,23,FALSE)),""))</f>
        <v>Compliant</v>
      </c>
      <c r="V548" s="284" t="str">
        <f>HYPERLINK((IF((VLOOKUP(Table6[[#This Row],[SKU]],'All Skus'!$A:$AC,2,FALSE))="JBL",(VLOOKUP(Table6[[#This Row],[SKU]],'All Skus'!$A:$AC,24,FALSE)),"")))</f>
        <v/>
      </c>
      <c r="W548" s="151">
        <v>546</v>
      </c>
    </row>
    <row r="549" spans="1:23" ht="15" hidden="1" customHeight="1">
      <c r="A549" s="13" t="s">
        <v>1555</v>
      </c>
      <c r="B549" s="12" t="str">
        <f>(IF((VLOOKUP(Table6[[#This Row],[SKU]],'All Skus'!$A:$AC,2,FALSE))="JBL",(VLOOKUP(Table6[[#This Row],[SKU]],'All Skus'!$A:$AC,3,FALSE)),""))</f>
        <v>Custom Shop Item</v>
      </c>
      <c r="C549" s="12" t="str">
        <f>(IF((VLOOKUP(Table6[[#This Row],[SKU]],'All Skus'!$A:$AC,2,FALSE))="JBL",(VLOOKUP(Table6[[#This Row],[SKU]],'All Skus'!$A:$AC,4,FALSE)),""))</f>
        <v>ASB7128-WRC</v>
      </c>
      <c r="D549" s="61" t="str">
        <f>(IF((VLOOKUP(Table6[[#This Row],[SKU]],'All Skus'!$A:$AC,2,FALSE))="JBL",(VLOOKUP(Table6[[#This Row],[SKU]],'All Skus'!$A:$AC,5,FALSE)),""))</f>
        <v>JBL050</v>
      </c>
      <c r="E549" s="137" t="str">
        <f>(IF((VLOOKUP(Table6[[#This Row],[SKU]],'All Skus'!$A:$AC,2,FALSE))="JBL",(VLOOKUP(Table6[[#This Row],[SKU]],'All Skus'!$A:$AC,6,FALSE)),""))</f>
        <v>YES</v>
      </c>
      <c r="F549" s="61">
        <f>(IF((VLOOKUP(Table6[[#This Row],[SKU]],'All Skus'!$A:$AC,2,FALSE))="JBL",(VLOOKUP(Table6[[#This Row],[SKU]],'All Skus'!$A:$AC,7,FALSE)),""))</f>
        <v>0</v>
      </c>
      <c r="G549" t="str">
        <f>(IF((VLOOKUP(Table6[[#This Row],[SKU]],'All Skus'!$A:$AC,2,FALSE))="JBL",(VLOOKUP(Table6[[#This Row],[SKU]],'All Skus'!$A:$AC,8,FALSE)),""))</f>
        <v xml:space="preserve">DUAL 18" SUBWOOFER </v>
      </c>
      <c r="H549" s="8" t="str">
        <f>(IF((VLOOKUP(Table6[[#This Row],[SKU]],'All Skus'!$A:$AC,2,FALSE))="JBL",(VLOOKUP(Table6[[#This Row],[SKU]],'All Skus'!$A:$AC,9,FALSE)),""))</f>
        <v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v>
      </c>
      <c r="I549" s="101" t="str">
        <f>(IF((VLOOKUP(Table6[[#This Row],[SKU]],'All Skus'!$A:$AC,2,FALSE))="JBL",(VLOOKUP(Table6[[#This Row],[SKU]],'All Skus'!$A:$AC,10,FALSE)),""))</f>
        <v>Please email CustomAudio@harman.com for quote</v>
      </c>
      <c r="J549" s="101">
        <f>(IF((VLOOKUP(Table6[[#This Row],[SKU]],'All Skus'!$A:$AC,2,FALSE))="JBL",(VLOOKUP(Table6[[#This Row],[SKU]],'All Skus'!$A:$AC,11,FALSE)),""))</f>
        <v>0</v>
      </c>
      <c r="K549" s="102">
        <f>(IF((VLOOKUP(Table6[[#This Row],[SKU]],'All Skus'!$A:$AC,2,FALSE))="JBL",(VLOOKUP(Table6[[#This Row],[SKU]],'All Skus'!$A:$AC,13,FALSE)),""))</f>
        <v>0</v>
      </c>
      <c r="L549" s="102">
        <f>(IF((VLOOKUP(Table6[[#This Row],[SKU]],'All Skus'!$A:$AC,2,FALSE))="JBL",(VLOOKUP(Table6[[#This Row],[SKU]],'All Skus'!$A:$AC,14,FALSE)),""))</f>
        <v>0</v>
      </c>
      <c r="M549" s="143">
        <f>(IF((VLOOKUP(Table6[[#This Row],[SKU]],'All Skus'!$A:$AC,2,FALSE))="JBL",(VLOOKUP(Table6[[#This Row],[SKU]],'All Skus'!$A:$AC,15,FALSE)),""))</f>
        <v>0</v>
      </c>
      <c r="N549" s="137">
        <f>(IF((VLOOKUP(Table6[[#This Row],[SKU]],'All Skus'!$A:$AC,2,FALSE))="JBL",(VLOOKUP(Table6[[#This Row],[SKU]],'All Skus'!$A:$AC,16,FALSE)),""))</f>
        <v>0</v>
      </c>
      <c r="O549" s="61">
        <f>(IF((VLOOKUP(Table6[[#This Row],[SKU]],'All Skus'!$A:$AC,2,FALSE))="JBL",(VLOOKUP(Table6[[#This Row],[SKU]],'All Skus'!$A:$AC,17,FALSE)),""))</f>
        <v>0</v>
      </c>
      <c r="P549" s="136">
        <f>(IF((VLOOKUP(Table6[[#This Row],[SKU]],'All Skus'!$A:$AC,2,FALSE))="JBL",(VLOOKUP(Table6[[#This Row],[SKU]],'All Skus'!$A:$AC,18,FALSE)),""))</f>
        <v>209</v>
      </c>
      <c r="Q549" s="136">
        <f>(IF((VLOOKUP(Table6[[#This Row],[SKU]],'All Skus'!$A:$AC,2,FALSE))="JBL",(VLOOKUP(Table6[[#This Row],[SKU]],'All Skus'!$A:$AC,19,FALSE)),""))</f>
        <v>29</v>
      </c>
      <c r="R549" s="136">
        <f>(IF((VLOOKUP(Table6[[#This Row],[SKU]],'All Skus'!$A:$AC,2,FALSE))="JBL",(VLOOKUP(Table6[[#This Row],[SKU]],'All Skus'!$A:$AC,20,FALSE)),""))</f>
        <v>48</v>
      </c>
      <c r="S549" s="61">
        <f>(IF((VLOOKUP(Table6[[#This Row],[SKU]],'All Skus'!$A:$AC,2,FALSE))="JBL",(VLOOKUP(Table6[[#This Row],[SKU]],'All Skus'!$A:$AC,21,FALSE)),""))</f>
        <v>34</v>
      </c>
      <c r="T549" s="61" t="str">
        <f>(IF((VLOOKUP(Table6[[#This Row],[SKU]],'All Skus'!$A:$AC,2,FALSE))="JBL",(VLOOKUP(Table6[[#This Row],[SKU]],'All Skus'!$A:$AC,22,FALSE)),""))</f>
        <v>MX</v>
      </c>
      <c r="U549" t="str">
        <f>(IF((VLOOKUP(Table6[[#This Row],[SKU]],'All Skus'!$A:$AC,2,FALSE))="JBL",(VLOOKUP(Table6[[#This Row],[SKU]],'All Skus'!$A:$AC,23,FALSE)),""))</f>
        <v>Compliant</v>
      </c>
      <c r="V549" s="284" t="str">
        <f>HYPERLINK((IF((VLOOKUP(Table6[[#This Row],[SKU]],'All Skus'!$A:$AC,2,FALSE))="JBL",(VLOOKUP(Table6[[#This Row],[SKU]],'All Skus'!$A:$AC,24,FALSE)),"")))</f>
        <v/>
      </c>
      <c r="W549" s="151">
        <v>547</v>
      </c>
    </row>
    <row r="550" spans="1:23" ht="15" hidden="1" customHeight="1">
      <c r="A550" s="13" t="s">
        <v>1556</v>
      </c>
      <c r="B550" s="12" t="str">
        <f>(IF((VLOOKUP(Table6[[#This Row],[SKU]],'All Skus'!$A:$AC,2,FALSE))="JBL",(VLOOKUP(Table6[[#This Row],[SKU]],'All Skus'!$A:$AC,3,FALSE)),""))</f>
        <v>Custom Shop Item</v>
      </c>
      <c r="C550" s="12" t="str">
        <f>(IF((VLOOKUP(Table6[[#This Row],[SKU]],'All Skus'!$A:$AC,2,FALSE))="JBL",(VLOOKUP(Table6[[#This Row],[SKU]],'All Skus'!$A:$AC,4,FALSE)),""))</f>
        <v>ASB7128-WRX</v>
      </c>
      <c r="D550" s="61" t="str">
        <f>(IF((VLOOKUP(Table6[[#This Row],[SKU]],'All Skus'!$A:$AC,2,FALSE))="JBL",(VLOOKUP(Table6[[#This Row],[SKU]],'All Skus'!$A:$AC,5,FALSE)),""))</f>
        <v>JBL050</v>
      </c>
      <c r="E550" s="137" t="str">
        <f>(IF((VLOOKUP(Table6[[#This Row],[SKU]],'All Skus'!$A:$AC,2,FALSE))="JBL",(VLOOKUP(Table6[[#This Row],[SKU]],'All Skus'!$A:$AC,6,FALSE)),""))</f>
        <v>YES</v>
      </c>
      <c r="F550" s="61">
        <f>(IF((VLOOKUP(Table6[[#This Row],[SKU]],'All Skus'!$A:$AC,2,FALSE))="JBL",(VLOOKUP(Table6[[#This Row],[SKU]],'All Skus'!$A:$AC,7,FALSE)),""))</f>
        <v>0</v>
      </c>
      <c r="G550" t="str">
        <f>(IF((VLOOKUP(Table6[[#This Row],[SKU]],'All Skus'!$A:$AC,2,FALSE))="JBL",(VLOOKUP(Table6[[#This Row],[SKU]],'All Skus'!$A:$AC,8,FALSE)),""))</f>
        <v xml:space="preserve">DUAL 18" SUBWOOFER </v>
      </c>
      <c r="H550" s="8" t="str">
        <f>(IF((VLOOKUP(Table6[[#This Row],[SKU]],'All Skus'!$A:$AC,2,FALSE))="JBL",(VLOOKUP(Table6[[#This Row],[SKU]],'All Skus'!$A:$AC,9,FALSE)),""))</f>
        <v xml:space="preserve">Dual 18” Ultra High-Power Subwoofer System.  2 x 2269H Differential Drive® Vented Gap™ woofer, 4” dual voice coil – dual gap, neodymium magnet.  Multiply hardwood enclosure with DuraFlex™ finish and 14-gauge steel grille.  Sixteen M10 suspension points.  White finish. Priced as each. 
</v>
      </c>
      <c r="I550" s="101" t="str">
        <f>(IF((VLOOKUP(Table6[[#This Row],[SKU]],'All Skus'!$A:$AC,2,FALSE))="JBL",(VLOOKUP(Table6[[#This Row],[SKU]],'All Skus'!$A:$AC,10,FALSE)),""))</f>
        <v>Please email CustomAudio@harman.com for quote</v>
      </c>
      <c r="J550" s="101">
        <f>(IF((VLOOKUP(Table6[[#This Row],[SKU]],'All Skus'!$A:$AC,2,FALSE))="JBL",(VLOOKUP(Table6[[#This Row],[SKU]],'All Skus'!$A:$AC,11,FALSE)),""))</f>
        <v>0</v>
      </c>
      <c r="K550" s="102">
        <f>(IF((VLOOKUP(Table6[[#This Row],[SKU]],'All Skus'!$A:$AC,2,FALSE))="JBL",(VLOOKUP(Table6[[#This Row],[SKU]],'All Skus'!$A:$AC,13,FALSE)),""))</f>
        <v>0</v>
      </c>
      <c r="L550" s="102">
        <f>(IF((VLOOKUP(Table6[[#This Row],[SKU]],'All Skus'!$A:$AC,2,FALSE))="JBL",(VLOOKUP(Table6[[#This Row],[SKU]],'All Skus'!$A:$AC,14,FALSE)),""))</f>
        <v>0</v>
      </c>
      <c r="M550" s="143">
        <f>(IF((VLOOKUP(Table6[[#This Row],[SKU]],'All Skus'!$A:$AC,2,FALSE))="JBL",(VLOOKUP(Table6[[#This Row],[SKU]],'All Skus'!$A:$AC,15,FALSE)),""))</f>
        <v>0</v>
      </c>
      <c r="N550" s="137">
        <f>(IF((VLOOKUP(Table6[[#This Row],[SKU]],'All Skus'!$A:$AC,2,FALSE))="JBL",(VLOOKUP(Table6[[#This Row],[SKU]],'All Skus'!$A:$AC,16,FALSE)),""))</f>
        <v>691991039164</v>
      </c>
      <c r="O550" s="61">
        <f>(IF((VLOOKUP(Table6[[#This Row],[SKU]],'All Skus'!$A:$AC,2,FALSE))="JBL",(VLOOKUP(Table6[[#This Row],[SKU]],'All Skus'!$A:$AC,17,FALSE)),""))</f>
        <v>0</v>
      </c>
      <c r="P550" s="136">
        <f>(IF((VLOOKUP(Table6[[#This Row],[SKU]],'All Skus'!$A:$AC,2,FALSE))="JBL",(VLOOKUP(Table6[[#This Row],[SKU]],'All Skus'!$A:$AC,18,FALSE)),""))</f>
        <v>209</v>
      </c>
      <c r="Q550" s="136">
        <f>(IF((VLOOKUP(Table6[[#This Row],[SKU]],'All Skus'!$A:$AC,2,FALSE))="JBL",(VLOOKUP(Table6[[#This Row],[SKU]],'All Skus'!$A:$AC,19,FALSE)),""))</f>
        <v>34.5</v>
      </c>
      <c r="R550" s="136">
        <f>(IF((VLOOKUP(Table6[[#This Row],[SKU]],'All Skus'!$A:$AC,2,FALSE))="JBL",(VLOOKUP(Table6[[#This Row],[SKU]],'All Skus'!$A:$AC,20,FALSE)),""))</f>
        <v>29</v>
      </c>
      <c r="S550" s="61">
        <f>(IF((VLOOKUP(Table6[[#This Row],[SKU]],'All Skus'!$A:$AC,2,FALSE))="JBL",(VLOOKUP(Table6[[#This Row],[SKU]],'All Skus'!$A:$AC,21,FALSE)),""))</f>
        <v>48.5</v>
      </c>
      <c r="T550" s="61" t="str">
        <f>(IF((VLOOKUP(Table6[[#This Row],[SKU]],'All Skus'!$A:$AC,2,FALSE))="JBL",(VLOOKUP(Table6[[#This Row],[SKU]],'All Skus'!$A:$AC,22,FALSE)),""))</f>
        <v>MX</v>
      </c>
      <c r="U550" t="str">
        <f>(IF((VLOOKUP(Table6[[#This Row],[SKU]],'All Skus'!$A:$AC,2,FALSE))="JBL",(VLOOKUP(Table6[[#This Row],[SKU]],'All Skus'!$A:$AC,23,FALSE)),""))</f>
        <v>Compliant</v>
      </c>
      <c r="V550" s="284" t="str">
        <f>HYPERLINK((IF((VLOOKUP(Table6[[#This Row],[SKU]],'All Skus'!$A:$AC,2,FALSE))="JBL",(VLOOKUP(Table6[[#This Row],[SKU]],'All Skus'!$A:$AC,24,FALSE)),"")))</f>
        <v/>
      </c>
      <c r="W550" s="151">
        <v>548</v>
      </c>
    </row>
    <row r="551" spans="1:23" ht="15" hidden="1" customHeight="1">
      <c r="A551" s="13" t="s">
        <v>1557</v>
      </c>
      <c r="B551" s="12" t="str">
        <f>(IF((VLOOKUP(Table6[[#This Row],[SKU]],'All Skus'!$A:$AC,2,FALSE))="JBL",(VLOOKUP(Table6[[#This Row],[SKU]],'All Skus'!$A:$AC,3,FALSE)),""))</f>
        <v>AE Series</v>
      </c>
      <c r="C551" s="12" t="str">
        <f>(IF((VLOOKUP(Table6[[#This Row],[SKU]],'All Skus'!$A:$AC,2,FALSE))="JBL",(VLOOKUP(Table6[[#This Row],[SKU]],'All Skus'!$A:$AC,4,FALSE)),""))</f>
        <v>CWT128</v>
      </c>
      <c r="D551" s="61" t="str">
        <f>(IF((VLOOKUP(Table6[[#This Row],[SKU]],'All Skus'!$A:$AC,2,FALSE))="JBL",(VLOOKUP(Table6[[#This Row],[SKU]],'All Skus'!$A:$AC,5,FALSE)),""))</f>
        <v>JBL052</v>
      </c>
      <c r="E551" s="137">
        <f>(IF((VLOOKUP(Table6[[#This Row],[SKU]],'All Skus'!$A:$AC,2,FALSE))="JBL",(VLOOKUP(Table6[[#This Row],[SKU]],'All Skus'!$A:$AC,6,FALSE)),""))</f>
        <v>0</v>
      </c>
      <c r="F551" s="61">
        <f>(IF((VLOOKUP(Table6[[#This Row],[SKU]],'All Skus'!$A:$AC,2,FALSE))="JBL",(VLOOKUP(Table6[[#This Row],[SKU]],'All Skus'!$A:$AC,7,FALSE)),""))</f>
        <v>0</v>
      </c>
      <c r="G551" t="str">
        <f>(IF((VLOOKUP(Table6[[#This Row],[SKU]],'All Skus'!$A:$AC,2,FALSE))="JBL",(VLOOKUP(Table6[[#This Row],[SKU]],'All Skus'!$A:$AC,8,FALSE)),""))</f>
        <v>2-WAY FULL-RANGE CROSSFIRE WAVEGUIDE</v>
      </c>
      <c r="H551" s="8" t="str">
        <f>(IF((VLOOKUP(Table6[[#This Row],[SKU]],'All Skus'!$A:$AC,2,FALSE))="JBL",(VLOOKUP(Table6[[#This Row],[SKU]],'All Skus'!$A:$AC,9,FALSE)),""))</f>
        <v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v>
      </c>
      <c r="I551" s="101">
        <f>(IF((VLOOKUP(Table6[[#This Row],[SKU]],'All Skus'!$A:$AC,2,FALSE))="JBL",(VLOOKUP(Table6[[#This Row],[SKU]],'All Skus'!$A:$AC,10,FALSE)),""))</f>
        <v>3346.42</v>
      </c>
      <c r="J551" s="101">
        <f>(IF((VLOOKUP(Table6[[#This Row],[SKU]],'All Skus'!$A:$AC,2,FALSE))="JBL",(VLOOKUP(Table6[[#This Row],[SKU]],'All Skus'!$A:$AC,11,FALSE)),""))</f>
        <v>3346.42</v>
      </c>
      <c r="K551" s="102">
        <f>(IF((VLOOKUP(Table6[[#This Row],[SKU]],'All Skus'!$A:$AC,2,FALSE))="JBL",(VLOOKUP(Table6[[#This Row],[SKU]],'All Skus'!$A:$AC,13,FALSE)),""))</f>
        <v>0</v>
      </c>
      <c r="L551" s="102">
        <f>(IF((VLOOKUP(Table6[[#This Row],[SKU]],'All Skus'!$A:$AC,2,FALSE))="JBL",(VLOOKUP(Table6[[#This Row],[SKU]],'All Skus'!$A:$AC,14,FALSE)),""))</f>
        <v>0</v>
      </c>
      <c r="M551" s="143">
        <f>(IF((VLOOKUP(Table6[[#This Row],[SKU]],'All Skus'!$A:$AC,2,FALSE))="JBL",(VLOOKUP(Table6[[#This Row],[SKU]],'All Skus'!$A:$AC,15,FALSE)),""))</f>
        <v>0</v>
      </c>
      <c r="N551" s="137">
        <f>(IF((VLOOKUP(Table6[[#This Row],[SKU]],'All Skus'!$A:$AC,2,FALSE))="JBL",(VLOOKUP(Table6[[#This Row],[SKU]],'All Skus'!$A:$AC,16,FALSE)),""))</f>
        <v>691991007569</v>
      </c>
      <c r="O551" s="61">
        <f>(IF((VLOOKUP(Table6[[#This Row],[SKU]],'All Skus'!$A:$AC,2,FALSE))="JBL",(VLOOKUP(Table6[[#This Row],[SKU]],'All Skus'!$A:$AC,17,FALSE)),""))</f>
        <v>0</v>
      </c>
      <c r="P551" s="136">
        <f>(IF((VLOOKUP(Table6[[#This Row],[SKU]],'All Skus'!$A:$AC,2,FALSE))="JBL",(VLOOKUP(Table6[[#This Row],[SKU]],'All Skus'!$A:$AC,18,FALSE)),""))</f>
        <v>66.849999999999994</v>
      </c>
      <c r="Q551" s="136">
        <f>(IF((VLOOKUP(Table6[[#This Row],[SKU]],'All Skus'!$A:$AC,2,FALSE))="JBL",(VLOOKUP(Table6[[#This Row],[SKU]],'All Skus'!$A:$AC,19,FALSE)),""))</f>
        <v>18</v>
      </c>
      <c r="R551" s="136">
        <f>(IF((VLOOKUP(Table6[[#This Row],[SKU]],'All Skus'!$A:$AC,2,FALSE))="JBL",(VLOOKUP(Table6[[#This Row],[SKU]],'All Skus'!$A:$AC,20,FALSE)),""))</f>
        <v>16</v>
      </c>
      <c r="S551" s="61">
        <f>(IF((VLOOKUP(Table6[[#This Row],[SKU]],'All Skus'!$A:$AC,2,FALSE))="JBL",(VLOOKUP(Table6[[#This Row],[SKU]],'All Skus'!$A:$AC,21,FALSE)),""))</f>
        <v>34</v>
      </c>
      <c r="T551" s="61" t="str">
        <f>(IF((VLOOKUP(Table6[[#This Row],[SKU]],'All Skus'!$A:$AC,2,FALSE))="JBL",(VLOOKUP(Table6[[#This Row],[SKU]],'All Skus'!$A:$AC,22,FALSE)),""))</f>
        <v>MX</v>
      </c>
      <c r="U551" t="str">
        <f>(IF((VLOOKUP(Table6[[#This Row],[SKU]],'All Skus'!$A:$AC,2,FALSE))="JBL",(VLOOKUP(Table6[[#This Row],[SKU]],'All Skus'!$A:$AC,23,FALSE)),""))</f>
        <v>Compliant</v>
      </c>
      <c r="V551" s="284" t="str">
        <f>HYPERLINK((IF((VLOOKUP(Table6[[#This Row],[SKU]],'All Skus'!$A:$AC,2,FALSE))="JBL",(VLOOKUP(Table6[[#This Row],[SKU]],'All Skus'!$A:$AC,24,FALSE)),"")))</f>
        <v/>
      </c>
      <c r="W551" s="151">
        <v>549</v>
      </c>
    </row>
    <row r="552" spans="1:23" ht="15" hidden="1" customHeight="1">
      <c r="A552" s="13" t="s">
        <v>1558</v>
      </c>
      <c r="B552" s="12" t="str">
        <f>(IF((VLOOKUP(Table6[[#This Row],[SKU]],'All Skus'!$A:$AC,2,FALSE))="JBL",(VLOOKUP(Table6[[#This Row],[SKU]],'All Skus'!$A:$AC,3,FALSE)),""))</f>
        <v>AE Series</v>
      </c>
      <c r="C552" s="12" t="str">
        <f>(IF((VLOOKUP(Table6[[#This Row],[SKU]],'All Skus'!$A:$AC,2,FALSE))="JBL",(VLOOKUP(Table6[[#This Row],[SKU]],'All Skus'!$A:$AC,4,FALSE)),""))</f>
        <v>CWT128-WH</v>
      </c>
      <c r="D552" s="61" t="str">
        <f>(IF((VLOOKUP(Table6[[#This Row],[SKU]],'All Skus'!$A:$AC,2,FALSE))="JBL",(VLOOKUP(Table6[[#This Row],[SKU]],'All Skus'!$A:$AC,5,FALSE)),""))</f>
        <v>JBL052</v>
      </c>
      <c r="E552" s="137">
        <f>(IF((VLOOKUP(Table6[[#This Row],[SKU]],'All Skus'!$A:$AC,2,FALSE))="JBL",(VLOOKUP(Table6[[#This Row],[SKU]],'All Skus'!$A:$AC,6,FALSE)),""))</f>
        <v>0</v>
      </c>
      <c r="F552" s="61">
        <f>(IF((VLOOKUP(Table6[[#This Row],[SKU]],'All Skus'!$A:$AC,2,FALSE))="JBL",(VLOOKUP(Table6[[#This Row],[SKU]],'All Skus'!$A:$AC,7,FALSE)),""))</f>
        <v>0</v>
      </c>
      <c r="G552" t="str">
        <f>(IF((VLOOKUP(Table6[[#This Row],[SKU]],'All Skus'!$A:$AC,2,FALSE))="JBL",(VLOOKUP(Table6[[#This Row],[SKU]],'All Skus'!$A:$AC,8,FALSE)),""))</f>
        <v>2-WAY FULL-RANGE CROSSFIRE WAVEGUIDE - WHITE</v>
      </c>
      <c r="H552" s="8" t="str">
        <f>(IF((VLOOKUP(Table6[[#This Row],[SKU]],'All Skus'!$A:$AC,2,FALSE))="JBL",(VLOOKUP(Table6[[#This Row],[SKU]],'All Skus'!$A:$AC,9,FALSE)),""))</f>
        <v xml:space="preserve">Crossfired Waveguide Technology. Extremely wide coverage dual 8”, dual 2408H-1 compression drivers in a compact 2-way passive loudspeaker system. 400W Watt pink noise power handling. 1600 Watt peak power handling. 126 dB maximum SPL, 8 ohms. Foam backed powder coated 16 gauge steel grille. Four M10 suspension points and OmniMount® provision on rear panel. Standard finish: Black DuraFlex™. Optional finishes: White (-WH), WRC and WRX. Net weight 18.6 kg (40.9 lbs). Priced as each. </v>
      </c>
      <c r="I552" s="101">
        <f>(IF((VLOOKUP(Table6[[#This Row],[SKU]],'All Skus'!$A:$AC,2,FALSE))="JBL",(VLOOKUP(Table6[[#This Row],[SKU]],'All Skus'!$A:$AC,10,FALSE)),""))</f>
        <v>3346.42</v>
      </c>
      <c r="J552" s="101">
        <f>(IF((VLOOKUP(Table6[[#This Row],[SKU]],'All Skus'!$A:$AC,2,FALSE))="JBL",(VLOOKUP(Table6[[#This Row],[SKU]],'All Skus'!$A:$AC,11,FALSE)),""))</f>
        <v>3346.42</v>
      </c>
      <c r="K552" s="102">
        <f>(IF((VLOOKUP(Table6[[#This Row],[SKU]],'All Skus'!$A:$AC,2,FALSE))="JBL",(VLOOKUP(Table6[[#This Row],[SKU]],'All Skus'!$A:$AC,13,FALSE)),""))</f>
        <v>0</v>
      </c>
      <c r="L552" s="102">
        <f>(IF((VLOOKUP(Table6[[#This Row],[SKU]],'All Skus'!$A:$AC,2,FALSE))="JBL",(VLOOKUP(Table6[[#This Row],[SKU]],'All Skus'!$A:$AC,14,FALSE)),""))</f>
        <v>0</v>
      </c>
      <c r="M552" s="143">
        <f>(IF((VLOOKUP(Table6[[#This Row],[SKU]],'All Skus'!$A:$AC,2,FALSE))="JBL",(VLOOKUP(Table6[[#This Row],[SKU]],'All Skus'!$A:$AC,15,FALSE)),""))</f>
        <v>0</v>
      </c>
      <c r="N552" s="137">
        <f>(IF((VLOOKUP(Table6[[#This Row],[SKU]],'All Skus'!$A:$AC,2,FALSE))="JBL",(VLOOKUP(Table6[[#This Row],[SKU]],'All Skus'!$A:$AC,16,FALSE)),""))</f>
        <v>691991007576</v>
      </c>
      <c r="O552" s="61">
        <f>(IF((VLOOKUP(Table6[[#This Row],[SKU]],'All Skus'!$A:$AC,2,FALSE))="JBL",(VLOOKUP(Table6[[#This Row],[SKU]],'All Skus'!$A:$AC,17,FALSE)),""))</f>
        <v>0</v>
      </c>
      <c r="P552" s="136">
        <f>(IF((VLOOKUP(Table6[[#This Row],[SKU]],'All Skus'!$A:$AC,2,FALSE))="JBL",(VLOOKUP(Table6[[#This Row],[SKU]],'All Skus'!$A:$AC,18,FALSE)),""))</f>
        <v>66.849999999999994</v>
      </c>
      <c r="Q552" s="136">
        <f>(IF((VLOOKUP(Table6[[#This Row],[SKU]],'All Skus'!$A:$AC,2,FALSE))="JBL",(VLOOKUP(Table6[[#This Row],[SKU]],'All Skus'!$A:$AC,19,FALSE)),""))</f>
        <v>16</v>
      </c>
      <c r="R552" s="136">
        <f>(IF((VLOOKUP(Table6[[#This Row],[SKU]],'All Skus'!$A:$AC,2,FALSE))="JBL",(VLOOKUP(Table6[[#This Row],[SKU]],'All Skus'!$A:$AC,20,FALSE)),""))</f>
        <v>18</v>
      </c>
      <c r="S552" s="61">
        <f>(IF((VLOOKUP(Table6[[#This Row],[SKU]],'All Skus'!$A:$AC,2,FALSE))="JBL",(VLOOKUP(Table6[[#This Row],[SKU]],'All Skus'!$A:$AC,21,FALSE)),""))</f>
        <v>34</v>
      </c>
      <c r="T552" s="61" t="str">
        <f>(IF((VLOOKUP(Table6[[#This Row],[SKU]],'All Skus'!$A:$AC,2,FALSE))="JBL",(VLOOKUP(Table6[[#This Row],[SKU]],'All Skus'!$A:$AC,22,FALSE)),""))</f>
        <v>MX</v>
      </c>
      <c r="U552" t="str">
        <f>(IF((VLOOKUP(Table6[[#This Row],[SKU]],'All Skus'!$A:$AC,2,FALSE))="JBL",(VLOOKUP(Table6[[#This Row],[SKU]],'All Skus'!$A:$AC,23,FALSE)),""))</f>
        <v>Compliant</v>
      </c>
      <c r="V552" s="284" t="str">
        <f>HYPERLINK((IF((VLOOKUP(Table6[[#This Row],[SKU]],'All Skus'!$A:$AC,2,FALSE))="JBL",(VLOOKUP(Table6[[#This Row],[SKU]],'All Skus'!$A:$AC,24,FALSE)),"")))</f>
        <v/>
      </c>
      <c r="W552" s="151">
        <v>550</v>
      </c>
    </row>
    <row r="553" spans="1:23" ht="15" hidden="1" customHeight="1">
      <c r="A553" s="13" t="s">
        <v>1559</v>
      </c>
      <c r="B553" s="12" t="str">
        <f>(IF((VLOOKUP(Table6[[#This Row],[SKU]],'All Skus'!$A:$AC,2,FALSE))="JBL",(VLOOKUP(Table6[[#This Row],[SKU]],'All Skus'!$A:$AC,3,FALSE)),""))</f>
        <v>Custom Shop Item</v>
      </c>
      <c r="C553" s="12" t="str">
        <f>(IF((VLOOKUP(Table6[[#This Row],[SKU]],'All Skus'!$A:$AC,2,FALSE))="JBL",(VLOOKUP(Table6[[#This Row],[SKU]],'All Skus'!$A:$AC,4,FALSE)),""))</f>
        <v>CWT128-WRC</v>
      </c>
      <c r="D553" s="61">
        <f>(IF((VLOOKUP(Table6[[#This Row],[SKU]],'All Skus'!$A:$AC,2,FALSE))="JBL",(VLOOKUP(Table6[[#This Row],[SKU]],'All Skus'!$A:$AC,5,FALSE)),""))</f>
        <v>0</v>
      </c>
      <c r="E553" s="137" t="str">
        <f>(IF((VLOOKUP(Table6[[#This Row],[SKU]],'All Skus'!$A:$AC,2,FALSE))="JBL",(VLOOKUP(Table6[[#This Row],[SKU]],'All Skus'!$A:$AC,6,FALSE)),""))</f>
        <v>YES</v>
      </c>
      <c r="F553" s="61">
        <f>(IF((VLOOKUP(Table6[[#This Row],[SKU]],'All Skus'!$A:$AC,2,FALSE))="JBL",(VLOOKUP(Table6[[#This Row],[SKU]],'All Skus'!$A:$AC,7,FALSE)),""))</f>
        <v>0</v>
      </c>
      <c r="G553" t="str">
        <f>(IF((VLOOKUP(Table6[[#This Row],[SKU]],'All Skus'!$A:$AC,2,FALSE))="JBL",(VLOOKUP(Table6[[#This Row],[SKU]],'All Skus'!$A:$AC,8,FALSE)),""))</f>
        <v>With Weather Protection treatment</v>
      </c>
      <c r="H553" s="8" t="str">
        <f>(IF((VLOOKUP(Table6[[#This Row],[SKU]],'All Skus'!$A:$AC,2,FALSE))="JBL",(VLOOKUP(Table6[[#This Row],[SKU]],'All Skus'!$A:$AC,9,FALSE)),""))</f>
        <v>With Weather Protection Treatment. Refer to WEATHER RESISTANT Configurations for AE, PD &amp; VLA Series document for details regarding WRC/WRX models. Standard color is GRAY. Available in Black (-BK) &amp; White (-WH).8-10 weeks ship time for orders of 1-10, larger needs to be reviewed</v>
      </c>
      <c r="I553" s="101" t="str">
        <f>(IF((VLOOKUP(Table6[[#This Row],[SKU]],'All Skus'!$A:$AC,2,FALSE))="JBL",(VLOOKUP(Table6[[#This Row],[SKU]],'All Skus'!$A:$AC,10,FALSE)),""))</f>
        <v>Please email CustomAudio@harman.com for quote</v>
      </c>
      <c r="J553" s="101">
        <f>(IF((VLOOKUP(Table6[[#This Row],[SKU]],'All Skus'!$A:$AC,2,FALSE))="JBL",(VLOOKUP(Table6[[#This Row],[SKU]],'All Skus'!$A:$AC,11,FALSE)),""))</f>
        <v>0</v>
      </c>
      <c r="K553" s="102">
        <f>(IF((VLOOKUP(Table6[[#This Row],[SKU]],'All Skus'!$A:$AC,2,FALSE))="JBL",(VLOOKUP(Table6[[#This Row],[SKU]],'All Skus'!$A:$AC,13,FALSE)),""))</f>
        <v>0</v>
      </c>
      <c r="L553" s="102">
        <f>(IF((VLOOKUP(Table6[[#This Row],[SKU]],'All Skus'!$A:$AC,2,FALSE))="JBL",(VLOOKUP(Table6[[#This Row],[SKU]],'All Skus'!$A:$AC,14,FALSE)),""))</f>
        <v>0</v>
      </c>
      <c r="M553" s="143">
        <f>(IF((VLOOKUP(Table6[[#This Row],[SKU]],'All Skus'!$A:$AC,2,FALSE))="JBL",(VLOOKUP(Table6[[#This Row],[SKU]],'All Skus'!$A:$AC,15,FALSE)),""))</f>
        <v>0</v>
      </c>
      <c r="N553" s="137">
        <f>(IF((VLOOKUP(Table6[[#This Row],[SKU]],'All Skus'!$A:$AC,2,FALSE))="JBL",(VLOOKUP(Table6[[#This Row],[SKU]],'All Skus'!$A:$AC,16,FALSE)),""))</f>
        <v>691991013867</v>
      </c>
      <c r="O553" s="61">
        <f>(IF((VLOOKUP(Table6[[#This Row],[SKU]],'All Skus'!$A:$AC,2,FALSE))="JBL",(VLOOKUP(Table6[[#This Row],[SKU]],'All Skus'!$A:$AC,17,FALSE)),""))</f>
        <v>0</v>
      </c>
      <c r="P553" s="136">
        <f>(IF((VLOOKUP(Table6[[#This Row],[SKU]],'All Skus'!$A:$AC,2,FALSE))="JBL",(VLOOKUP(Table6[[#This Row],[SKU]],'All Skus'!$A:$AC,18,FALSE)),""))</f>
        <v>0</v>
      </c>
      <c r="Q553" s="136">
        <f>(IF((VLOOKUP(Table6[[#This Row],[SKU]],'All Skus'!$A:$AC,2,FALSE))="JBL",(VLOOKUP(Table6[[#This Row],[SKU]],'All Skus'!$A:$AC,19,FALSE)),""))</f>
        <v>0</v>
      </c>
      <c r="R553" s="136">
        <f>(IF((VLOOKUP(Table6[[#This Row],[SKU]],'All Skus'!$A:$AC,2,FALSE))="JBL",(VLOOKUP(Table6[[#This Row],[SKU]],'All Skus'!$A:$AC,20,FALSE)),""))</f>
        <v>0</v>
      </c>
      <c r="S553" s="61">
        <f>(IF((VLOOKUP(Table6[[#This Row],[SKU]],'All Skus'!$A:$AC,2,FALSE))="JBL",(VLOOKUP(Table6[[#This Row],[SKU]],'All Skus'!$A:$AC,21,FALSE)),""))</f>
        <v>0</v>
      </c>
      <c r="T553" s="61" t="str">
        <f>(IF((VLOOKUP(Table6[[#This Row],[SKU]],'All Skus'!$A:$AC,2,FALSE))="JBL",(VLOOKUP(Table6[[#This Row],[SKU]],'All Skus'!$A:$AC,22,FALSE)),""))</f>
        <v>MX</v>
      </c>
      <c r="U553">
        <f>(IF((VLOOKUP(Table6[[#This Row],[SKU]],'All Skus'!$A:$AC,2,FALSE))="JBL",(VLOOKUP(Table6[[#This Row],[SKU]],'All Skus'!$A:$AC,23,FALSE)),""))</f>
        <v>0</v>
      </c>
      <c r="V553" s="284" t="str">
        <f>HYPERLINK((IF((VLOOKUP(Table6[[#This Row],[SKU]],'All Skus'!$A:$AC,2,FALSE))="JBL",(VLOOKUP(Table6[[#This Row],[SKU]],'All Skus'!$A:$AC,24,FALSE)),"")))</f>
        <v/>
      </c>
      <c r="W553" s="151">
        <v>551</v>
      </c>
    </row>
    <row r="554" spans="1:23" ht="15" hidden="1" customHeight="1">
      <c r="A554" s="13" t="s">
        <v>1560</v>
      </c>
      <c r="B554" s="12" t="str">
        <f>(IF((VLOOKUP(Table6[[#This Row],[SKU]],'All Skus'!$A:$AC,2,FALSE))="JBL",(VLOOKUP(Table6[[#This Row],[SKU]],'All Skus'!$A:$AC,3,FALSE)),""))</f>
        <v>Custom Shop Item</v>
      </c>
      <c r="C554" s="12" t="str">
        <f>(IF((VLOOKUP(Table6[[#This Row],[SKU]],'All Skus'!$A:$AC,2,FALSE))="JBL",(VLOOKUP(Table6[[#This Row],[SKU]],'All Skus'!$A:$AC,4,FALSE)),""))</f>
        <v>CWT128-WRX</v>
      </c>
      <c r="D554" s="61" t="str">
        <f>(IF((VLOOKUP(Table6[[#This Row],[SKU]],'All Skus'!$A:$AC,2,FALSE))="JBL",(VLOOKUP(Table6[[#This Row],[SKU]],'All Skus'!$A:$AC,5,FALSE)),""))</f>
        <v>JBL050</v>
      </c>
      <c r="E554" s="137" t="str">
        <f>(IF((VLOOKUP(Table6[[#This Row],[SKU]],'All Skus'!$A:$AC,2,FALSE))="JBL",(VLOOKUP(Table6[[#This Row],[SKU]],'All Skus'!$A:$AC,6,FALSE)),""))</f>
        <v>YES</v>
      </c>
      <c r="F554" s="61">
        <f>(IF((VLOOKUP(Table6[[#This Row],[SKU]],'All Skus'!$A:$AC,2,FALSE))="JBL",(VLOOKUP(Table6[[#This Row],[SKU]],'All Skus'!$A:$AC,7,FALSE)),""))</f>
        <v>0</v>
      </c>
      <c r="G554" t="str">
        <f>(IF((VLOOKUP(Table6[[#This Row],[SKU]],'All Skus'!$A:$AC,2,FALSE))="JBL",(VLOOKUP(Table6[[#This Row],[SKU]],'All Skus'!$A:$AC,8,FALSE)),""))</f>
        <v>With Weather Protection treatment</v>
      </c>
      <c r="H554" s="8" t="str">
        <f>(IF((VLOOKUP(Table6[[#This Row],[SKU]],'All Skus'!$A:$AC,2,FALSE))="JBL",(VLOOKUP(Table6[[#This Row],[SKU]],'All Skus'!$A:$AC,9,FALSE)),""))</f>
        <v>With Weather Protection Treatment. Refer to WEATHER RESISTANT Configurations for AE, PD &amp; VLA Series document for details regarding WRC/WRX models. Standard color is GRAY. Available in Black (-BK) &amp; White (-WH).8-10 weeks ship time for orders of 1-10, larger needs to be reviewed</v>
      </c>
      <c r="I554" s="101" t="str">
        <f>(IF((VLOOKUP(Table6[[#This Row],[SKU]],'All Skus'!$A:$AC,2,FALSE))="JBL",(VLOOKUP(Table6[[#This Row],[SKU]],'All Skus'!$A:$AC,10,FALSE)),""))</f>
        <v>Please email CustomAudio@harman.com for quote</v>
      </c>
      <c r="J554" s="101">
        <f>(IF((VLOOKUP(Table6[[#This Row],[SKU]],'All Skus'!$A:$AC,2,FALSE))="JBL",(VLOOKUP(Table6[[#This Row],[SKU]],'All Skus'!$A:$AC,11,FALSE)),""))</f>
        <v>0</v>
      </c>
      <c r="K554" s="102">
        <f>(IF((VLOOKUP(Table6[[#This Row],[SKU]],'All Skus'!$A:$AC,2,FALSE))="JBL",(VLOOKUP(Table6[[#This Row],[SKU]],'All Skus'!$A:$AC,13,FALSE)),""))</f>
        <v>0</v>
      </c>
      <c r="L554" s="102">
        <f>(IF((VLOOKUP(Table6[[#This Row],[SKU]],'All Skus'!$A:$AC,2,FALSE))="JBL",(VLOOKUP(Table6[[#This Row],[SKU]],'All Skus'!$A:$AC,14,FALSE)),""))</f>
        <v>0</v>
      </c>
      <c r="M554" s="143">
        <f>(IF((VLOOKUP(Table6[[#This Row],[SKU]],'All Skus'!$A:$AC,2,FALSE))="JBL",(VLOOKUP(Table6[[#This Row],[SKU]],'All Skus'!$A:$AC,15,FALSE)),""))</f>
        <v>0</v>
      </c>
      <c r="N554" s="137">
        <f>(IF((VLOOKUP(Table6[[#This Row],[SKU]],'All Skus'!$A:$AC,2,FALSE))="JBL",(VLOOKUP(Table6[[#This Row],[SKU]],'All Skus'!$A:$AC,16,FALSE)),""))</f>
        <v>0</v>
      </c>
      <c r="O554" s="61">
        <f>(IF((VLOOKUP(Table6[[#This Row],[SKU]],'All Skus'!$A:$AC,2,FALSE))="JBL",(VLOOKUP(Table6[[#This Row],[SKU]],'All Skus'!$A:$AC,17,FALSE)),""))</f>
        <v>0</v>
      </c>
      <c r="P554" s="136">
        <f>(IF((VLOOKUP(Table6[[#This Row],[SKU]],'All Skus'!$A:$AC,2,FALSE))="JBL",(VLOOKUP(Table6[[#This Row],[SKU]],'All Skus'!$A:$AC,18,FALSE)),""))</f>
        <v>75</v>
      </c>
      <c r="Q554" s="136">
        <f>(IF((VLOOKUP(Table6[[#This Row],[SKU]],'All Skus'!$A:$AC,2,FALSE))="JBL",(VLOOKUP(Table6[[#This Row],[SKU]],'All Skus'!$A:$AC,19,FALSE)),""))</f>
        <v>17.5</v>
      </c>
      <c r="R554" s="136">
        <f>(IF((VLOOKUP(Table6[[#This Row],[SKU]],'All Skus'!$A:$AC,2,FALSE))="JBL",(VLOOKUP(Table6[[#This Row],[SKU]],'All Skus'!$A:$AC,20,FALSE)),""))</f>
        <v>16</v>
      </c>
      <c r="S554" s="61">
        <f>(IF((VLOOKUP(Table6[[#This Row],[SKU]],'All Skus'!$A:$AC,2,FALSE))="JBL",(VLOOKUP(Table6[[#This Row],[SKU]],'All Skus'!$A:$AC,21,FALSE)),""))</f>
        <v>34</v>
      </c>
      <c r="T554" s="61" t="str">
        <f>(IF((VLOOKUP(Table6[[#This Row],[SKU]],'All Skus'!$A:$AC,2,FALSE))="JBL",(VLOOKUP(Table6[[#This Row],[SKU]],'All Skus'!$A:$AC,22,FALSE)),""))</f>
        <v>MX</v>
      </c>
      <c r="U554">
        <f>(IF((VLOOKUP(Table6[[#This Row],[SKU]],'All Skus'!$A:$AC,2,FALSE))="JBL",(VLOOKUP(Table6[[#This Row],[SKU]],'All Skus'!$A:$AC,23,FALSE)),""))</f>
        <v>0</v>
      </c>
      <c r="V554" s="284" t="str">
        <f>HYPERLINK((IF((VLOOKUP(Table6[[#This Row],[SKU]],'All Skus'!$A:$AC,2,FALSE))="JBL",(VLOOKUP(Table6[[#This Row],[SKU]],'All Skus'!$A:$AC,24,FALSE)),"")))</f>
        <v/>
      </c>
      <c r="W554" s="151">
        <v>552</v>
      </c>
    </row>
    <row r="555" spans="1:23" ht="15" hidden="1" customHeight="1">
      <c r="A555" s="91" t="s">
        <v>1561</v>
      </c>
      <c r="B555" s="12">
        <f>(IF((VLOOKUP(Table6[[#This Row],[SKU]],'All Skus'!$A:$AC,2,FALSE))="JBL",(VLOOKUP(Table6[[#This Row],[SKU]],'All Skus'!$A:$AC,3,FALSE)),""))</f>
        <v>0</v>
      </c>
      <c r="C555" s="12">
        <f>(IF((VLOOKUP(Table6[[#This Row],[SKU]],'All Skus'!$A:$AC,2,FALSE))="JBL",(VLOOKUP(Table6[[#This Row],[SKU]],'All Skus'!$A:$AC,4,FALSE)),""))</f>
        <v>0</v>
      </c>
      <c r="D555" s="61">
        <f>(IF((VLOOKUP(Table6[[#This Row],[SKU]],'All Skus'!$A:$AC,2,FALSE))="JBL",(VLOOKUP(Table6[[#This Row],[SKU]],'All Skus'!$A:$AC,5,FALSE)),""))</f>
        <v>0</v>
      </c>
      <c r="E555" s="137">
        <f>(IF((VLOOKUP(Table6[[#This Row],[SKU]],'All Skus'!$A:$AC,2,FALSE))="JBL",(VLOOKUP(Table6[[#This Row],[SKU]],'All Skus'!$A:$AC,6,FALSE)),""))</f>
        <v>0</v>
      </c>
      <c r="F555" s="61">
        <f>(IF((VLOOKUP(Table6[[#This Row],[SKU]],'All Skus'!$A:$AC,2,FALSE))="JBL",(VLOOKUP(Table6[[#This Row],[SKU]],'All Skus'!$A:$AC,7,FALSE)),""))</f>
        <v>0</v>
      </c>
      <c r="G555">
        <f>(IF((VLOOKUP(Table6[[#This Row],[SKU]],'All Skus'!$A:$AC,2,FALSE))="JBL",(VLOOKUP(Table6[[#This Row],[SKU]],'All Skus'!$A:$AC,8,FALSE)),""))</f>
        <v>0</v>
      </c>
      <c r="H555" s="8">
        <f>(IF((VLOOKUP(Table6[[#This Row],[SKU]],'All Skus'!$A:$AC,2,FALSE))="JBL",(VLOOKUP(Table6[[#This Row],[SKU]],'All Skus'!$A:$AC,9,FALSE)),""))</f>
        <v>0</v>
      </c>
      <c r="I555" s="101">
        <f>(IF((VLOOKUP(Table6[[#This Row],[SKU]],'All Skus'!$A:$AC,2,FALSE))="JBL",(VLOOKUP(Table6[[#This Row],[SKU]],'All Skus'!$A:$AC,10,FALSE)),""))</f>
        <v>0</v>
      </c>
      <c r="J555" s="101">
        <f>(IF((VLOOKUP(Table6[[#This Row],[SKU]],'All Skus'!$A:$AC,2,FALSE))="JBL",(VLOOKUP(Table6[[#This Row],[SKU]],'All Skus'!$A:$AC,11,FALSE)),""))</f>
        <v>0</v>
      </c>
      <c r="K555" s="102">
        <f>(IF((VLOOKUP(Table6[[#This Row],[SKU]],'All Skus'!$A:$AC,2,FALSE))="JBL",(VLOOKUP(Table6[[#This Row],[SKU]],'All Skus'!$A:$AC,13,FALSE)),""))</f>
        <v>0</v>
      </c>
      <c r="L555" s="102">
        <f>(IF((VLOOKUP(Table6[[#This Row],[SKU]],'All Skus'!$A:$AC,2,FALSE))="JBL",(VLOOKUP(Table6[[#This Row],[SKU]],'All Skus'!$A:$AC,14,FALSE)),""))</f>
        <v>0</v>
      </c>
      <c r="M555" s="143">
        <f>(IF((VLOOKUP(Table6[[#This Row],[SKU]],'All Skus'!$A:$AC,2,FALSE))="JBL",(VLOOKUP(Table6[[#This Row],[SKU]],'All Skus'!$A:$AC,15,FALSE)),""))</f>
        <v>0</v>
      </c>
      <c r="N555" s="137">
        <f>(IF((VLOOKUP(Table6[[#This Row],[SKU]],'All Skus'!$A:$AC,2,FALSE))="JBL",(VLOOKUP(Table6[[#This Row],[SKU]],'All Skus'!$A:$AC,16,FALSE)),""))</f>
        <v>0</v>
      </c>
      <c r="O555" s="61">
        <f>(IF((VLOOKUP(Table6[[#This Row],[SKU]],'All Skus'!$A:$AC,2,FALSE))="JBL",(VLOOKUP(Table6[[#This Row],[SKU]],'All Skus'!$A:$AC,17,FALSE)),""))</f>
        <v>0</v>
      </c>
      <c r="P555" s="136">
        <f>(IF((VLOOKUP(Table6[[#This Row],[SKU]],'All Skus'!$A:$AC,2,FALSE))="JBL",(VLOOKUP(Table6[[#This Row],[SKU]],'All Skus'!$A:$AC,18,FALSE)),""))</f>
        <v>0</v>
      </c>
      <c r="Q555" s="136">
        <f>(IF((VLOOKUP(Table6[[#This Row],[SKU]],'All Skus'!$A:$AC,2,FALSE))="JBL",(VLOOKUP(Table6[[#This Row],[SKU]],'All Skus'!$A:$AC,19,FALSE)),""))</f>
        <v>0</v>
      </c>
      <c r="R555" s="136">
        <f>(IF((VLOOKUP(Table6[[#This Row],[SKU]],'All Skus'!$A:$AC,2,FALSE))="JBL",(VLOOKUP(Table6[[#This Row],[SKU]],'All Skus'!$A:$AC,20,FALSE)),""))</f>
        <v>0</v>
      </c>
      <c r="S555" s="61">
        <f>(IF((VLOOKUP(Table6[[#This Row],[SKU]],'All Skus'!$A:$AC,2,FALSE))="JBL",(VLOOKUP(Table6[[#This Row],[SKU]],'All Skus'!$A:$AC,21,FALSE)),""))</f>
        <v>0</v>
      </c>
      <c r="T555" s="61" t="str">
        <f>(IF((VLOOKUP(Table6[[#This Row],[SKU]],'All Skus'!$A:$AC,2,FALSE))="JBL",(VLOOKUP(Table6[[#This Row],[SKU]],'All Skus'!$A:$AC,22,FALSE)),""))</f>
        <v>US</v>
      </c>
      <c r="U555" t="str">
        <f>(IF((VLOOKUP(Table6[[#This Row],[SKU]],'All Skus'!$A:$AC,2,FALSE))="JBL",(VLOOKUP(Table6[[#This Row],[SKU]],'All Skus'!$A:$AC,23,FALSE)),""))</f>
        <v>Compliant</v>
      </c>
      <c r="V555" s="284" t="str">
        <f>HYPERLINK((IF((VLOOKUP(Table6[[#This Row],[SKU]],'All Skus'!$A:$AC,2,FALSE))="JBL",(VLOOKUP(Table6[[#This Row],[SKU]],'All Skus'!$A:$AC,24,FALSE)),"")))</f>
        <v/>
      </c>
      <c r="W555" s="151">
        <v>553</v>
      </c>
    </row>
    <row r="556" spans="1:23" ht="15" hidden="1" customHeight="1">
      <c r="A556" s="13" t="s">
        <v>1562</v>
      </c>
      <c r="B556" s="12" t="str">
        <f>(IF((VLOOKUP(Table6[[#This Row],[SKU]],'All Skus'!$A:$AC,2,FALSE))="JBL",(VLOOKUP(Table6[[#This Row],[SKU]],'All Skus'!$A:$AC,3,FALSE)),""))</f>
        <v>AE Series</v>
      </c>
      <c r="C556" s="12" t="str">
        <f>(IF((VLOOKUP(Table6[[#This Row],[SKU]],'All Skus'!$A:$AC,2,FALSE))="JBL",(VLOOKUP(Table6[[#This Row],[SKU]],'All Skus'!$A:$AC,4,FALSE)),""))</f>
        <v>MTU-1</v>
      </c>
      <c r="D556" s="61" t="str">
        <f>(IF((VLOOKUP(Table6[[#This Row],[SKU]],'All Skus'!$A:$AC,2,FALSE))="JBL",(VLOOKUP(Table6[[#This Row],[SKU]],'All Skus'!$A:$AC,5,FALSE)),""))</f>
        <v>JBL052</v>
      </c>
      <c r="E556" s="137">
        <f>(IF((VLOOKUP(Table6[[#This Row],[SKU]],'All Skus'!$A:$AC,2,FALSE))="JBL",(VLOOKUP(Table6[[#This Row],[SKU]],'All Skus'!$A:$AC,6,FALSE)),""))</f>
        <v>0</v>
      </c>
      <c r="F556" s="61">
        <f>(IF((VLOOKUP(Table6[[#This Row],[SKU]],'All Skus'!$A:$AC,2,FALSE))="JBL",(VLOOKUP(Table6[[#This Row],[SKU]],'All Skus'!$A:$AC,7,FALSE)),""))</f>
        <v>0</v>
      </c>
      <c r="G556" t="str">
        <f>(IF((VLOOKUP(Table6[[#This Row],[SKU]],'All Skus'!$A:$AC,2,FALSE))="JBL",(VLOOKUP(Table6[[#This Row],[SKU]],'All Skus'!$A:$AC,8,FALSE)),""))</f>
        <v xml:space="preserve">U BRACKET FOR AM7215/xx and AM5215/xx </v>
      </c>
      <c r="H556" s="8" t="str">
        <f>(IF((VLOOKUP(Table6[[#This Row],[SKU]],'All Skus'!$A:$AC,2,FALSE))="JBL",(VLOOKUP(Table6[[#This Row],[SKU]],'All Skus'!$A:$AC,9,FALSE)),""))</f>
        <v>U-Bracket For Models AM7215/xx and AM5215/xx.</v>
      </c>
      <c r="I556" s="101">
        <f>(IF((VLOOKUP(Table6[[#This Row],[SKU]],'All Skus'!$A:$AC,2,FALSE))="JBL",(VLOOKUP(Table6[[#This Row],[SKU]],'All Skus'!$A:$AC,10,FALSE)),""))</f>
        <v>290</v>
      </c>
      <c r="J556" s="101">
        <f>(IF((VLOOKUP(Table6[[#This Row],[SKU]],'All Skus'!$A:$AC,2,FALSE))="JBL",(VLOOKUP(Table6[[#This Row],[SKU]],'All Skus'!$A:$AC,11,FALSE)),""))</f>
        <v>290</v>
      </c>
      <c r="K556" s="102">
        <f>(IF((VLOOKUP(Table6[[#This Row],[SKU]],'All Skus'!$A:$AC,2,FALSE))="JBL",(VLOOKUP(Table6[[#This Row],[SKU]],'All Skus'!$A:$AC,13,FALSE)),""))</f>
        <v>0</v>
      </c>
      <c r="L556" s="102">
        <f>(IF((VLOOKUP(Table6[[#This Row],[SKU]],'All Skus'!$A:$AC,2,FALSE))="JBL",(VLOOKUP(Table6[[#This Row],[SKU]],'All Skus'!$A:$AC,14,FALSE)),""))</f>
        <v>0</v>
      </c>
      <c r="M556" s="143">
        <f>(IF((VLOOKUP(Table6[[#This Row],[SKU]],'All Skus'!$A:$AC,2,FALSE))="JBL",(VLOOKUP(Table6[[#This Row],[SKU]],'All Skus'!$A:$AC,15,FALSE)),""))</f>
        <v>0</v>
      </c>
      <c r="N556" s="137">
        <f>(IF((VLOOKUP(Table6[[#This Row],[SKU]],'All Skus'!$A:$AC,2,FALSE))="JBL",(VLOOKUP(Table6[[#This Row],[SKU]],'All Skus'!$A:$AC,16,FALSE)),""))</f>
        <v>691991012228</v>
      </c>
      <c r="O556" s="61">
        <f>(IF((VLOOKUP(Table6[[#This Row],[SKU]],'All Skus'!$A:$AC,2,FALSE))="JBL",(VLOOKUP(Table6[[#This Row],[SKU]],'All Skus'!$A:$AC,17,FALSE)),""))</f>
        <v>0</v>
      </c>
      <c r="P556" s="136">
        <f>(IF((VLOOKUP(Table6[[#This Row],[SKU]],'All Skus'!$A:$AC,2,FALSE))="JBL",(VLOOKUP(Table6[[#This Row],[SKU]],'All Skus'!$A:$AC,18,FALSE)),""))</f>
        <v>10.5</v>
      </c>
      <c r="Q556" s="136">
        <f>(IF((VLOOKUP(Table6[[#This Row],[SKU]],'All Skus'!$A:$AC,2,FALSE))="JBL",(VLOOKUP(Table6[[#This Row],[SKU]],'All Skus'!$A:$AC,19,FALSE)),""))</f>
        <v>15</v>
      </c>
      <c r="R556" s="136">
        <f>(IF((VLOOKUP(Table6[[#This Row],[SKU]],'All Skus'!$A:$AC,2,FALSE))="JBL",(VLOOKUP(Table6[[#This Row],[SKU]],'All Skus'!$A:$AC,20,FALSE)),""))</f>
        <v>33.5</v>
      </c>
      <c r="S556" s="61">
        <f>(IF((VLOOKUP(Table6[[#This Row],[SKU]],'All Skus'!$A:$AC,2,FALSE))="JBL",(VLOOKUP(Table6[[#This Row],[SKU]],'All Skus'!$A:$AC,21,FALSE)),""))</f>
        <v>4.5</v>
      </c>
      <c r="T556" s="61" t="str">
        <f>(IF((VLOOKUP(Table6[[#This Row],[SKU]],'All Skus'!$A:$AC,2,FALSE))="JBL",(VLOOKUP(Table6[[#This Row],[SKU]],'All Skus'!$A:$AC,22,FALSE)),""))</f>
        <v>US</v>
      </c>
      <c r="U556" t="str">
        <f>(IF((VLOOKUP(Table6[[#This Row],[SKU]],'All Skus'!$A:$AC,2,FALSE))="JBL",(VLOOKUP(Table6[[#This Row],[SKU]],'All Skus'!$A:$AC,23,FALSE)),""))</f>
        <v>Compliant</v>
      </c>
      <c r="V556" s="284" t="str">
        <f>HYPERLINK((IF((VLOOKUP(Table6[[#This Row],[SKU]],'All Skus'!$A:$AC,2,FALSE))="JBL",(VLOOKUP(Table6[[#This Row],[SKU]],'All Skus'!$A:$AC,24,FALSE)),"")))</f>
        <v/>
      </c>
      <c r="W556" s="151">
        <v>554</v>
      </c>
    </row>
    <row r="557" spans="1:23" ht="15" hidden="1" customHeight="1">
      <c r="A557" s="13" t="s">
        <v>1563</v>
      </c>
      <c r="B557" s="12" t="str">
        <f>(IF((VLOOKUP(Table6[[#This Row],[SKU]],'All Skus'!$A:$AC,2,FALSE))="JBL",(VLOOKUP(Table6[[#This Row],[SKU]],'All Skus'!$A:$AC,3,FALSE)),""))</f>
        <v>AE Series</v>
      </c>
      <c r="C557" s="12" t="str">
        <f>(IF((VLOOKUP(Table6[[#This Row],[SKU]],'All Skus'!$A:$AC,2,FALSE))="JBL",(VLOOKUP(Table6[[#This Row],[SKU]],'All Skus'!$A:$AC,4,FALSE)),""))</f>
        <v>MTU-1-WH</v>
      </c>
      <c r="D557" s="61" t="str">
        <f>(IF((VLOOKUP(Table6[[#This Row],[SKU]],'All Skus'!$A:$AC,2,FALSE))="JBL",(VLOOKUP(Table6[[#This Row],[SKU]],'All Skus'!$A:$AC,5,FALSE)),""))</f>
        <v>JBL052</v>
      </c>
      <c r="E557" s="137">
        <f>(IF((VLOOKUP(Table6[[#This Row],[SKU]],'All Skus'!$A:$AC,2,FALSE))="JBL",(VLOOKUP(Table6[[#This Row],[SKU]],'All Skus'!$A:$AC,6,FALSE)),""))</f>
        <v>0</v>
      </c>
      <c r="F557" s="61">
        <f>(IF((VLOOKUP(Table6[[#This Row],[SKU]],'All Skus'!$A:$AC,2,FALSE))="JBL",(VLOOKUP(Table6[[#This Row],[SKU]],'All Skus'!$A:$AC,7,FALSE)),""))</f>
        <v>0</v>
      </c>
      <c r="G557" t="str">
        <f>(IF((VLOOKUP(Table6[[#This Row],[SKU]],'All Skus'!$A:$AC,2,FALSE))="JBL",(VLOOKUP(Table6[[#This Row],[SKU]],'All Skus'!$A:$AC,8,FALSE)),""))</f>
        <v>U BRACKET FOR AM7215/xx and AM5215/xx (white)</v>
      </c>
      <c r="H557" s="8" t="str">
        <f>(IF((VLOOKUP(Table6[[#This Row],[SKU]],'All Skus'!$A:$AC,2,FALSE))="JBL",(VLOOKUP(Table6[[#This Row],[SKU]],'All Skus'!$A:$AC,9,FALSE)),""))</f>
        <v>U-Bracket For Models AM7215/xx and AM5215/xx. White finish.</v>
      </c>
      <c r="I557" s="101">
        <f>(IF((VLOOKUP(Table6[[#This Row],[SKU]],'All Skus'!$A:$AC,2,FALSE))="JBL",(VLOOKUP(Table6[[#This Row],[SKU]],'All Skus'!$A:$AC,10,FALSE)),""))</f>
        <v>290</v>
      </c>
      <c r="J557" s="101">
        <f>(IF((VLOOKUP(Table6[[#This Row],[SKU]],'All Skus'!$A:$AC,2,FALSE))="JBL",(VLOOKUP(Table6[[#This Row],[SKU]],'All Skus'!$A:$AC,11,FALSE)),""))</f>
        <v>290</v>
      </c>
      <c r="K557" s="102">
        <f>(IF((VLOOKUP(Table6[[#This Row],[SKU]],'All Skus'!$A:$AC,2,FALSE))="JBL",(VLOOKUP(Table6[[#This Row],[SKU]],'All Skus'!$A:$AC,13,FALSE)),""))</f>
        <v>0</v>
      </c>
      <c r="L557" s="102">
        <f>(IF((VLOOKUP(Table6[[#This Row],[SKU]],'All Skus'!$A:$AC,2,FALSE))="JBL",(VLOOKUP(Table6[[#This Row],[SKU]],'All Skus'!$A:$AC,14,FALSE)),""))</f>
        <v>0</v>
      </c>
      <c r="M557" s="143">
        <f>(IF((VLOOKUP(Table6[[#This Row],[SKU]],'All Skus'!$A:$AC,2,FALSE))="JBL",(VLOOKUP(Table6[[#This Row],[SKU]],'All Skus'!$A:$AC,15,FALSE)),""))</f>
        <v>0</v>
      </c>
      <c r="N557" s="137">
        <f>(IF((VLOOKUP(Table6[[#This Row],[SKU]],'All Skus'!$A:$AC,2,FALSE))="JBL",(VLOOKUP(Table6[[#This Row],[SKU]],'All Skus'!$A:$AC,16,FALSE)),""))</f>
        <v>691991012297</v>
      </c>
      <c r="O557" s="61">
        <f>(IF((VLOOKUP(Table6[[#This Row],[SKU]],'All Skus'!$A:$AC,2,FALSE))="JBL",(VLOOKUP(Table6[[#This Row],[SKU]],'All Skus'!$A:$AC,17,FALSE)),""))</f>
        <v>0</v>
      </c>
      <c r="P557" s="136">
        <f>(IF((VLOOKUP(Table6[[#This Row],[SKU]],'All Skus'!$A:$AC,2,FALSE))="JBL",(VLOOKUP(Table6[[#This Row],[SKU]],'All Skus'!$A:$AC,18,FALSE)),""))</f>
        <v>9.85</v>
      </c>
      <c r="Q557" s="136">
        <f>(IF((VLOOKUP(Table6[[#This Row],[SKU]],'All Skus'!$A:$AC,2,FALSE))="JBL",(VLOOKUP(Table6[[#This Row],[SKU]],'All Skus'!$A:$AC,19,FALSE)),""))</f>
        <v>33</v>
      </c>
      <c r="R557" s="136">
        <f>(IF((VLOOKUP(Table6[[#This Row],[SKU]],'All Skus'!$A:$AC,2,FALSE))="JBL",(VLOOKUP(Table6[[#This Row],[SKU]],'All Skus'!$A:$AC,20,FALSE)),""))</f>
        <v>15</v>
      </c>
      <c r="S557" s="61">
        <f>(IF((VLOOKUP(Table6[[#This Row],[SKU]],'All Skus'!$A:$AC,2,FALSE))="JBL",(VLOOKUP(Table6[[#This Row],[SKU]],'All Skus'!$A:$AC,21,FALSE)),""))</f>
        <v>5</v>
      </c>
      <c r="T557" s="61" t="str">
        <f>(IF((VLOOKUP(Table6[[#This Row],[SKU]],'All Skus'!$A:$AC,2,FALSE))="JBL",(VLOOKUP(Table6[[#This Row],[SKU]],'All Skus'!$A:$AC,22,FALSE)),""))</f>
        <v>US</v>
      </c>
      <c r="U557" t="str">
        <f>(IF((VLOOKUP(Table6[[#This Row],[SKU]],'All Skus'!$A:$AC,2,FALSE))="JBL",(VLOOKUP(Table6[[#This Row],[SKU]],'All Skus'!$A:$AC,23,FALSE)),""))</f>
        <v>Compliant</v>
      </c>
      <c r="V557" s="284" t="str">
        <f>HYPERLINK((IF((VLOOKUP(Table6[[#This Row],[SKU]],'All Skus'!$A:$AC,2,FALSE))="JBL",(VLOOKUP(Table6[[#This Row],[SKU]],'All Skus'!$A:$AC,24,FALSE)),"")))</f>
        <v/>
      </c>
      <c r="W557" s="151">
        <v>555</v>
      </c>
    </row>
    <row r="558" spans="1:23" ht="15" hidden="1" customHeight="1">
      <c r="A558" s="13" t="s">
        <v>1564</v>
      </c>
      <c r="B558" s="12" t="str">
        <f>(IF((VLOOKUP(Table6[[#This Row],[SKU]],'All Skus'!$A:$AC,2,FALSE))="JBL",(VLOOKUP(Table6[[#This Row],[SKU]],'All Skus'!$A:$AC,3,FALSE)),""))</f>
        <v>AE Series</v>
      </c>
      <c r="C558" s="12" t="str">
        <f>(IF((VLOOKUP(Table6[[#This Row],[SKU]],'All Skus'!$A:$AC,2,FALSE))="JBL",(VLOOKUP(Table6[[#This Row],[SKU]],'All Skus'!$A:$AC,4,FALSE)),""))</f>
        <v>MTU-2</v>
      </c>
      <c r="D558" s="61" t="str">
        <f>(IF((VLOOKUP(Table6[[#This Row],[SKU]],'All Skus'!$A:$AC,2,FALSE))="JBL",(VLOOKUP(Table6[[#This Row],[SKU]],'All Skus'!$A:$AC,5,FALSE)),""))</f>
        <v>JBL052</v>
      </c>
      <c r="E558" s="137">
        <f>(IF((VLOOKUP(Table6[[#This Row],[SKU]],'All Skus'!$A:$AC,2,FALSE))="JBL",(VLOOKUP(Table6[[#This Row],[SKU]],'All Skus'!$A:$AC,6,FALSE)),""))</f>
        <v>0</v>
      </c>
      <c r="F558" s="61">
        <f>(IF((VLOOKUP(Table6[[#This Row],[SKU]],'All Skus'!$A:$AC,2,FALSE))="JBL",(VLOOKUP(Table6[[#This Row],[SKU]],'All Skus'!$A:$AC,7,FALSE)),""))</f>
        <v>0</v>
      </c>
      <c r="G558" t="str">
        <f>(IF((VLOOKUP(Table6[[#This Row],[SKU]],'All Skus'!$A:$AC,2,FALSE))="JBL",(VLOOKUP(Table6[[#This Row],[SKU]],'All Skus'!$A:$AC,8,FALSE)),""))</f>
        <v>U?BRACKET FOR MODEL AC2215/xx</v>
      </c>
      <c r="H558" s="8" t="str">
        <f>(IF((VLOOKUP(Table6[[#This Row],[SKU]],'All Skus'!$A:$AC,2,FALSE))="JBL",(VLOOKUP(Table6[[#This Row],[SKU]],'All Skus'!$A:$AC,9,FALSE)),""))</f>
        <v>U-Bracket For Model AC2215/xx</v>
      </c>
      <c r="I558" s="101">
        <f>(IF((VLOOKUP(Table6[[#This Row],[SKU]],'All Skus'!$A:$AC,2,FALSE))="JBL",(VLOOKUP(Table6[[#This Row],[SKU]],'All Skus'!$A:$AC,10,FALSE)),""))</f>
        <v>274</v>
      </c>
      <c r="J558" s="101">
        <f>(IF((VLOOKUP(Table6[[#This Row],[SKU]],'All Skus'!$A:$AC,2,FALSE))="JBL",(VLOOKUP(Table6[[#This Row],[SKU]],'All Skus'!$A:$AC,11,FALSE)),""))</f>
        <v>274</v>
      </c>
      <c r="K558" s="102">
        <f>(IF((VLOOKUP(Table6[[#This Row],[SKU]],'All Skus'!$A:$AC,2,FALSE))="JBL",(VLOOKUP(Table6[[#This Row],[SKU]],'All Skus'!$A:$AC,13,FALSE)),""))</f>
        <v>0</v>
      </c>
      <c r="L558" s="102">
        <f>(IF((VLOOKUP(Table6[[#This Row],[SKU]],'All Skus'!$A:$AC,2,FALSE))="JBL",(VLOOKUP(Table6[[#This Row],[SKU]],'All Skus'!$A:$AC,14,FALSE)),""))</f>
        <v>0</v>
      </c>
      <c r="M558" s="143">
        <f>(IF((VLOOKUP(Table6[[#This Row],[SKU]],'All Skus'!$A:$AC,2,FALSE))="JBL",(VLOOKUP(Table6[[#This Row],[SKU]],'All Skus'!$A:$AC,15,FALSE)),""))</f>
        <v>0</v>
      </c>
      <c r="N558" s="137">
        <f>(IF((VLOOKUP(Table6[[#This Row],[SKU]],'All Skus'!$A:$AC,2,FALSE))="JBL",(VLOOKUP(Table6[[#This Row],[SKU]],'All Skus'!$A:$AC,16,FALSE)),""))</f>
        <v>691991012303</v>
      </c>
      <c r="O558" s="61">
        <f>(IF((VLOOKUP(Table6[[#This Row],[SKU]],'All Skus'!$A:$AC,2,FALSE))="JBL",(VLOOKUP(Table6[[#This Row],[SKU]],'All Skus'!$A:$AC,17,FALSE)),""))</f>
        <v>0</v>
      </c>
      <c r="P558" s="136">
        <f>(IF((VLOOKUP(Table6[[#This Row],[SKU]],'All Skus'!$A:$AC,2,FALSE))="JBL",(VLOOKUP(Table6[[#This Row],[SKU]],'All Skus'!$A:$AC,18,FALSE)),""))</f>
        <v>7.5</v>
      </c>
      <c r="Q558" s="136">
        <f>(IF((VLOOKUP(Table6[[#This Row],[SKU]],'All Skus'!$A:$AC,2,FALSE))="JBL",(VLOOKUP(Table6[[#This Row],[SKU]],'All Skus'!$A:$AC,19,FALSE)),""))</f>
        <v>29.5</v>
      </c>
      <c r="R558" s="136">
        <f>(IF((VLOOKUP(Table6[[#This Row],[SKU]],'All Skus'!$A:$AC,2,FALSE))="JBL",(VLOOKUP(Table6[[#This Row],[SKU]],'All Skus'!$A:$AC,20,FALSE)),""))</f>
        <v>15.5</v>
      </c>
      <c r="S558" s="61">
        <f>(IF((VLOOKUP(Table6[[#This Row],[SKU]],'All Skus'!$A:$AC,2,FALSE))="JBL",(VLOOKUP(Table6[[#This Row],[SKU]],'All Skus'!$A:$AC,21,FALSE)),""))</f>
        <v>4.75</v>
      </c>
      <c r="T558" s="61" t="str">
        <f>(IF((VLOOKUP(Table6[[#This Row],[SKU]],'All Skus'!$A:$AC,2,FALSE))="JBL",(VLOOKUP(Table6[[#This Row],[SKU]],'All Skus'!$A:$AC,22,FALSE)),""))</f>
        <v>US</v>
      </c>
      <c r="U558" t="str">
        <f>(IF((VLOOKUP(Table6[[#This Row],[SKU]],'All Skus'!$A:$AC,2,FALSE))="JBL",(VLOOKUP(Table6[[#This Row],[SKU]],'All Skus'!$A:$AC,23,FALSE)),""))</f>
        <v>Compliant</v>
      </c>
      <c r="V558" s="284" t="str">
        <f>HYPERLINK((IF((VLOOKUP(Table6[[#This Row],[SKU]],'All Skus'!$A:$AC,2,FALSE))="JBL",(VLOOKUP(Table6[[#This Row],[SKU]],'All Skus'!$A:$AC,24,FALSE)),"")))</f>
        <v/>
      </c>
      <c r="W558" s="151">
        <v>556</v>
      </c>
    </row>
    <row r="559" spans="1:23" ht="15" hidden="1" customHeight="1">
      <c r="A559" s="13" t="s">
        <v>1565</v>
      </c>
      <c r="B559" s="12" t="str">
        <f>(IF((VLOOKUP(Table6[[#This Row],[SKU]],'All Skus'!$A:$AC,2,FALSE))="JBL",(VLOOKUP(Table6[[#This Row],[SKU]],'All Skus'!$A:$AC,3,FALSE)),""))</f>
        <v>AE Series</v>
      </c>
      <c r="C559" s="12" t="str">
        <f>(IF((VLOOKUP(Table6[[#This Row],[SKU]],'All Skus'!$A:$AC,2,FALSE))="JBL",(VLOOKUP(Table6[[#This Row],[SKU]],'All Skus'!$A:$AC,4,FALSE)),""))</f>
        <v>MTU-2-WH</v>
      </c>
      <c r="D559" s="61" t="str">
        <f>(IF((VLOOKUP(Table6[[#This Row],[SKU]],'All Skus'!$A:$AC,2,FALSE))="JBL",(VLOOKUP(Table6[[#This Row],[SKU]],'All Skus'!$A:$AC,5,FALSE)),""))</f>
        <v>JBL052</v>
      </c>
      <c r="E559" s="137">
        <f>(IF((VLOOKUP(Table6[[#This Row],[SKU]],'All Skus'!$A:$AC,2,FALSE))="JBL",(VLOOKUP(Table6[[#This Row],[SKU]],'All Skus'!$A:$AC,6,FALSE)),""))</f>
        <v>0</v>
      </c>
      <c r="F559" s="61">
        <f>(IF((VLOOKUP(Table6[[#This Row],[SKU]],'All Skus'!$A:$AC,2,FALSE))="JBL",(VLOOKUP(Table6[[#This Row],[SKU]],'All Skus'!$A:$AC,7,FALSE)),""))</f>
        <v>0</v>
      </c>
      <c r="G559" t="str">
        <f>(IF((VLOOKUP(Table6[[#This Row],[SKU]],'All Skus'!$A:$AC,2,FALSE))="JBL",(VLOOKUP(Table6[[#This Row],[SKU]],'All Skus'!$A:$AC,8,FALSE)),""))</f>
        <v>U BRACKET FOR AM7215/xx and AM5215/xx (white)</v>
      </c>
      <c r="H559" s="8" t="str">
        <f>(IF((VLOOKUP(Table6[[#This Row],[SKU]],'All Skus'!$A:$AC,2,FALSE))="JBL",(VLOOKUP(Table6[[#This Row],[SKU]],'All Skus'!$A:$AC,9,FALSE)),""))</f>
        <v>U-Bracket For Model AC2215/xx. White finish.</v>
      </c>
      <c r="I559" s="101">
        <f>(IF((VLOOKUP(Table6[[#This Row],[SKU]],'All Skus'!$A:$AC,2,FALSE))="JBL",(VLOOKUP(Table6[[#This Row],[SKU]],'All Skus'!$A:$AC,10,FALSE)),""))</f>
        <v>274</v>
      </c>
      <c r="J559" s="101">
        <f>(IF((VLOOKUP(Table6[[#This Row],[SKU]],'All Skus'!$A:$AC,2,FALSE))="JBL",(VLOOKUP(Table6[[#This Row],[SKU]],'All Skus'!$A:$AC,11,FALSE)),""))</f>
        <v>274</v>
      </c>
      <c r="K559" s="102">
        <f>(IF((VLOOKUP(Table6[[#This Row],[SKU]],'All Skus'!$A:$AC,2,FALSE))="JBL",(VLOOKUP(Table6[[#This Row],[SKU]],'All Skus'!$A:$AC,13,FALSE)),""))</f>
        <v>0</v>
      </c>
      <c r="L559" s="102">
        <f>(IF((VLOOKUP(Table6[[#This Row],[SKU]],'All Skus'!$A:$AC,2,FALSE))="JBL",(VLOOKUP(Table6[[#This Row],[SKU]],'All Skus'!$A:$AC,14,FALSE)),""))</f>
        <v>0</v>
      </c>
      <c r="M559" s="143">
        <f>(IF((VLOOKUP(Table6[[#This Row],[SKU]],'All Skus'!$A:$AC,2,FALSE))="JBL",(VLOOKUP(Table6[[#This Row],[SKU]],'All Skus'!$A:$AC,15,FALSE)),""))</f>
        <v>0</v>
      </c>
      <c r="N559" s="137">
        <f>(IF((VLOOKUP(Table6[[#This Row],[SKU]],'All Skus'!$A:$AC,2,FALSE))="JBL",(VLOOKUP(Table6[[#This Row],[SKU]],'All Skus'!$A:$AC,16,FALSE)),""))</f>
        <v>691991012372</v>
      </c>
      <c r="O559" s="61">
        <f>(IF((VLOOKUP(Table6[[#This Row],[SKU]],'All Skus'!$A:$AC,2,FALSE))="JBL",(VLOOKUP(Table6[[#This Row],[SKU]],'All Skus'!$A:$AC,17,FALSE)),""))</f>
        <v>0</v>
      </c>
      <c r="P559" s="136">
        <f>(IF((VLOOKUP(Table6[[#This Row],[SKU]],'All Skus'!$A:$AC,2,FALSE))="JBL",(VLOOKUP(Table6[[#This Row],[SKU]],'All Skus'!$A:$AC,18,FALSE)),""))</f>
        <v>8</v>
      </c>
      <c r="Q559" s="136">
        <f>(IF((VLOOKUP(Table6[[#This Row],[SKU]],'All Skus'!$A:$AC,2,FALSE))="JBL",(VLOOKUP(Table6[[#This Row],[SKU]],'All Skus'!$A:$AC,19,FALSE)),""))</f>
        <v>30</v>
      </c>
      <c r="R559" s="136">
        <f>(IF((VLOOKUP(Table6[[#This Row],[SKU]],'All Skus'!$A:$AC,2,FALSE))="JBL",(VLOOKUP(Table6[[#This Row],[SKU]],'All Skus'!$A:$AC,20,FALSE)),""))</f>
        <v>16</v>
      </c>
      <c r="S559" s="61">
        <f>(IF((VLOOKUP(Table6[[#This Row],[SKU]],'All Skus'!$A:$AC,2,FALSE))="JBL",(VLOOKUP(Table6[[#This Row],[SKU]],'All Skus'!$A:$AC,21,FALSE)),""))</f>
        <v>5</v>
      </c>
      <c r="T559" s="61" t="str">
        <f>(IF((VLOOKUP(Table6[[#This Row],[SKU]],'All Skus'!$A:$AC,2,FALSE))="JBL",(VLOOKUP(Table6[[#This Row],[SKU]],'All Skus'!$A:$AC,22,FALSE)),""))</f>
        <v>US</v>
      </c>
      <c r="U559" t="str">
        <f>(IF((VLOOKUP(Table6[[#This Row],[SKU]],'All Skus'!$A:$AC,2,FALSE))="JBL",(VLOOKUP(Table6[[#This Row],[SKU]],'All Skus'!$A:$AC,23,FALSE)),""))</f>
        <v>Compliant</v>
      </c>
      <c r="V559" s="284" t="str">
        <f>HYPERLINK((IF((VLOOKUP(Table6[[#This Row],[SKU]],'All Skus'!$A:$AC,2,FALSE))="JBL",(VLOOKUP(Table6[[#This Row],[SKU]],'All Skus'!$A:$AC,24,FALSE)),"")))</f>
        <v/>
      </c>
      <c r="W559" s="151">
        <v>557</v>
      </c>
    </row>
    <row r="560" spans="1:23" ht="15" hidden="1" customHeight="1">
      <c r="A560" s="13" t="s">
        <v>1566</v>
      </c>
      <c r="B560" s="12" t="str">
        <f>(IF((VLOOKUP(Table6[[#This Row],[SKU]],'All Skus'!$A:$AC,2,FALSE))="JBL",(VLOOKUP(Table6[[#This Row],[SKU]],'All Skus'!$A:$AC,3,FALSE)),""))</f>
        <v>AE Series</v>
      </c>
      <c r="C560" s="12" t="str">
        <f>(IF((VLOOKUP(Table6[[#This Row],[SKU]],'All Skus'!$A:$AC,2,FALSE))="JBL",(VLOOKUP(Table6[[#This Row],[SKU]],'All Skus'!$A:$AC,4,FALSE)),""))</f>
        <v>MTU-3</v>
      </c>
      <c r="D560" s="61" t="str">
        <f>(IF((VLOOKUP(Table6[[#This Row],[SKU]],'All Skus'!$A:$AC,2,FALSE))="JBL",(VLOOKUP(Table6[[#This Row],[SKU]],'All Skus'!$A:$AC,5,FALSE)),""))</f>
        <v>JBL052</v>
      </c>
      <c r="E560" s="137">
        <f>(IF((VLOOKUP(Table6[[#This Row],[SKU]],'All Skus'!$A:$AC,2,FALSE))="JBL",(VLOOKUP(Table6[[#This Row],[SKU]],'All Skus'!$A:$AC,6,FALSE)),""))</f>
        <v>0</v>
      </c>
      <c r="F560" s="61">
        <f>(IF((VLOOKUP(Table6[[#This Row],[SKU]],'All Skus'!$A:$AC,2,FALSE))="JBL",(VLOOKUP(Table6[[#This Row],[SKU]],'All Skus'!$A:$AC,7,FALSE)),""))</f>
        <v>0</v>
      </c>
      <c r="G560" t="str">
        <f>(IF((VLOOKUP(Table6[[#This Row],[SKU]],'All Skus'!$A:$AC,2,FALSE))="JBL",(VLOOKUP(Table6[[#This Row],[SKU]],'All Skus'!$A:$AC,8,FALSE)),""))</f>
        <v>AE SERIES 28-1/2" U-BRACKET</v>
      </c>
      <c r="H560" s="8" t="str">
        <f>(IF((VLOOKUP(Table6[[#This Row],[SKU]],'All Skus'!$A:$AC,2,FALSE))="JBL",(VLOOKUP(Table6[[#This Row],[SKU]],'All Skus'!$A:$AC,9,FALSE)),""))</f>
        <v>U-Bracket For Models AM7212/xx and AM5212/xx.</v>
      </c>
      <c r="I560" s="101">
        <f>(IF((VLOOKUP(Table6[[#This Row],[SKU]],'All Skus'!$A:$AC,2,FALSE))="JBL",(VLOOKUP(Table6[[#This Row],[SKU]],'All Skus'!$A:$AC,10,FALSE)),""))</f>
        <v>300</v>
      </c>
      <c r="J560" s="101">
        <f>(IF((VLOOKUP(Table6[[#This Row],[SKU]],'All Skus'!$A:$AC,2,FALSE))="JBL",(VLOOKUP(Table6[[#This Row],[SKU]],'All Skus'!$A:$AC,11,FALSE)),""))</f>
        <v>300</v>
      </c>
      <c r="K560" s="102">
        <f>(IF((VLOOKUP(Table6[[#This Row],[SKU]],'All Skus'!$A:$AC,2,FALSE))="JBL",(VLOOKUP(Table6[[#This Row],[SKU]],'All Skus'!$A:$AC,13,FALSE)),""))</f>
        <v>0</v>
      </c>
      <c r="L560" s="102">
        <f>(IF((VLOOKUP(Table6[[#This Row],[SKU]],'All Skus'!$A:$AC,2,FALSE))="JBL",(VLOOKUP(Table6[[#This Row],[SKU]],'All Skus'!$A:$AC,14,FALSE)),""))</f>
        <v>0</v>
      </c>
      <c r="M560" s="143">
        <f>(IF((VLOOKUP(Table6[[#This Row],[SKU]],'All Skus'!$A:$AC,2,FALSE))="JBL",(VLOOKUP(Table6[[#This Row],[SKU]],'All Skus'!$A:$AC,15,FALSE)),""))</f>
        <v>0</v>
      </c>
      <c r="N560" s="137">
        <f>(IF((VLOOKUP(Table6[[#This Row],[SKU]],'All Skus'!$A:$AC,2,FALSE))="JBL",(VLOOKUP(Table6[[#This Row],[SKU]],'All Skus'!$A:$AC,16,FALSE)),""))</f>
        <v>691991012389</v>
      </c>
      <c r="O560" s="61">
        <f>(IF((VLOOKUP(Table6[[#This Row],[SKU]],'All Skus'!$A:$AC,2,FALSE))="JBL",(VLOOKUP(Table6[[#This Row],[SKU]],'All Skus'!$A:$AC,17,FALSE)),""))</f>
        <v>0</v>
      </c>
      <c r="P560" s="136">
        <f>(IF((VLOOKUP(Table6[[#This Row],[SKU]],'All Skus'!$A:$AC,2,FALSE))="JBL",(VLOOKUP(Table6[[#This Row],[SKU]],'All Skus'!$A:$AC,18,FALSE)),""))</f>
        <v>9.5</v>
      </c>
      <c r="Q560" s="136">
        <f>(IF((VLOOKUP(Table6[[#This Row],[SKU]],'All Skus'!$A:$AC,2,FALSE))="JBL",(VLOOKUP(Table6[[#This Row],[SKU]],'All Skus'!$A:$AC,19,FALSE)),""))</f>
        <v>30</v>
      </c>
      <c r="R560" s="136">
        <f>(IF((VLOOKUP(Table6[[#This Row],[SKU]],'All Skus'!$A:$AC,2,FALSE))="JBL",(VLOOKUP(Table6[[#This Row],[SKU]],'All Skus'!$A:$AC,20,FALSE)),""))</f>
        <v>18</v>
      </c>
      <c r="S560" s="61">
        <f>(IF((VLOOKUP(Table6[[#This Row],[SKU]],'All Skus'!$A:$AC,2,FALSE))="JBL",(VLOOKUP(Table6[[#This Row],[SKU]],'All Skus'!$A:$AC,21,FALSE)),""))</f>
        <v>5</v>
      </c>
      <c r="T560" s="61" t="str">
        <f>(IF((VLOOKUP(Table6[[#This Row],[SKU]],'All Skus'!$A:$AC,2,FALSE))="JBL",(VLOOKUP(Table6[[#This Row],[SKU]],'All Skus'!$A:$AC,22,FALSE)),""))</f>
        <v>US</v>
      </c>
      <c r="U560" t="str">
        <f>(IF((VLOOKUP(Table6[[#This Row],[SKU]],'All Skus'!$A:$AC,2,FALSE))="JBL",(VLOOKUP(Table6[[#This Row],[SKU]],'All Skus'!$A:$AC,23,FALSE)),""))</f>
        <v>Compliant</v>
      </c>
      <c r="V560" s="284" t="str">
        <f>HYPERLINK((IF((VLOOKUP(Table6[[#This Row],[SKU]],'All Skus'!$A:$AC,2,FALSE))="JBL",(VLOOKUP(Table6[[#This Row],[SKU]],'All Skus'!$A:$AC,24,FALSE)),"")))</f>
        <v/>
      </c>
      <c r="W560" s="151">
        <v>558</v>
      </c>
    </row>
    <row r="561" spans="1:23" ht="15" hidden="1" customHeight="1">
      <c r="A561" s="13" t="s">
        <v>1567</v>
      </c>
      <c r="B561" s="12" t="str">
        <f>(IF((VLOOKUP(Table6[[#This Row],[SKU]],'All Skus'!$A:$AC,2,FALSE))="JBL",(VLOOKUP(Table6[[#This Row],[SKU]],'All Skus'!$A:$AC,3,FALSE)),""))</f>
        <v>AE Series</v>
      </c>
      <c r="C561" s="12" t="str">
        <f>(IF((VLOOKUP(Table6[[#This Row],[SKU]],'All Skus'!$A:$AC,2,FALSE))="JBL",(VLOOKUP(Table6[[#This Row],[SKU]],'All Skus'!$A:$AC,4,FALSE)),""))</f>
        <v>MTU-3-WH</v>
      </c>
      <c r="D561" s="61" t="str">
        <f>(IF((VLOOKUP(Table6[[#This Row],[SKU]],'All Skus'!$A:$AC,2,FALSE))="JBL",(VLOOKUP(Table6[[#This Row],[SKU]],'All Skus'!$A:$AC,5,FALSE)),""))</f>
        <v>JBL052</v>
      </c>
      <c r="E561" s="137">
        <f>(IF((VLOOKUP(Table6[[#This Row],[SKU]],'All Skus'!$A:$AC,2,FALSE))="JBL",(VLOOKUP(Table6[[#This Row],[SKU]],'All Skus'!$A:$AC,6,FALSE)),""))</f>
        <v>0</v>
      </c>
      <c r="F561" s="61">
        <f>(IF((VLOOKUP(Table6[[#This Row],[SKU]],'All Skus'!$A:$AC,2,FALSE))="JBL",(VLOOKUP(Table6[[#This Row],[SKU]],'All Skus'!$A:$AC,7,FALSE)),""))</f>
        <v>0</v>
      </c>
      <c r="G561" t="str">
        <f>(IF((VLOOKUP(Table6[[#This Row],[SKU]],'All Skus'!$A:$AC,2,FALSE))="JBL",(VLOOKUP(Table6[[#This Row],[SKU]],'All Skus'!$A:$AC,8,FALSE)),""))</f>
        <v>AE SERIES 28-1/2" U-BRACKET (white)</v>
      </c>
      <c r="H561" s="8" t="str">
        <f>(IF((VLOOKUP(Table6[[#This Row],[SKU]],'All Skus'!$A:$AC,2,FALSE))="JBL",(VLOOKUP(Table6[[#This Row],[SKU]],'All Skus'!$A:$AC,9,FALSE)),""))</f>
        <v>U-Bracket For Models AM7212/xx and AM5212/xx. White finish.</v>
      </c>
      <c r="I561" s="101">
        <f>(IF((VLOOKUP(Table6[[#This Row],[SKU]],'All Skus'!$A:$AC,2,FALSE))="JBL",(VLOOKUP(Table6[[#This Row],[SKU]],'All Skus'!$A:$AC,10,FALSE)),""))</f>
        <v>300</v>
      </c>
      <c r="J561" s="101">
        <f>(IF((VLOOKUP(Table6[[#This Row],[SKU]],'All Skus'!$A:$AC,2,FALSE))="JBL",(VLOOKUP(Table6[[#This Row],[SKU]],'All Skus'!$A:$AC,11,FALSE)),""))</f>
        <v>300</v>
      </c>
      <c r="K561" s="102">
        <f>(IF((VLOOKUP(Table6[[#This Row],[SKU]],'All Skus'!$A:$AC,2,FALSE))="JBL",(VLOOKUP(Table6[[#This Row],[SKU]],'All Skus'!$A:$AC,13,FALSE)),""))</f>
        <v>0</v>
      </c>
      <c r="L561" s="102">
        <f>(IF((VLOOKUP(Table6[[#This Row],[SKU]],'All Skus'!$A:$AC,2,FALSE))="JBL",(VLOOKUP(Table6[[#This Row],[SKU]],'All Skus'!$A:$AC,14,FALSE)),""))</f>
        <v>0</v>
      </c>
      <c r="M561" s="143">
        <f>(IF((VLOOKUP(Table6[[#This Row],[SKU]],'All Skus'!$A:$AC,2,FALSE))="JBL",(VLOOKUP(Table6[[#This Row],[SKU]],'All Skus'!$A:$AC,15,FALSE)),""))</f>
        <v>0</v>
      </c>
      <c r="N561" s="137">
        <f>(IF((VLOOKUP(Table6[[#This Row],[SKU]],'All Skus'!$A:$AC,2,FALSE))="JBL",(VLOOKUP(Table6[[#This Row],[SKU]],'All Skus'!$A:$AC,16,FALSE)),""))</f>
        <v>691991007545</v>
      </c>
      <c r="O561" s="61">
        <f>(IF((VLOOKUP(Table6[[#This Row],[SKU]],'All Skus'!$A:$AC,2,FALSE))="JBL",(VLOOKUP(Table6[[#This Row],[SKU]],'All Skus'!$A:$AC,17,FALSE)),""))</f>
        <v>0</v>
      </c>
      <c r="P561" s="136">
        <f>(IF((VLOOKUP(Table6[[#This Row],[SKU]],'All Skus'!$A:$AC,2,FALSE))="JBL",(VLOOKUP(Table6[[#This Row],[SKU]],'All Skus'!$A:$AC,18,FALSE)),""))</f>
        <v>9.5</v>
      </c>
      <c r="Q561" s="136">
        <f>(IF((VLOOKUP(Table6[[#This Row],[SKU]],'All Skus'!$A:$AC,2,FALSE))="JBL",(VLOOKUP(Table6[[#This Row],[SKU]],'All Skus'!$A:$AC,19,FALSE)),""))</f>
        <v>30</v>
      </c>
      <c r="R561" s="136">
        <f>(IF((VLOOKUP(Table6[[#This Row],[SKU]],'All Skus'!$A:$AC,2,FALSE))="JBL",(VLOOKUP(Table6[[#This Row],[SKU]],'All Skus'!$A:$AC,20,FALSE)),""))</f>
        <v>15</v>
      </c>
      <c r="S561" s="61">
        <f>(IF((VLOOKUP(Table6[[#This Row],[SKU]],'All Skus'!$A:$AC,2,FALSE))="JBL",(VLOOKUP(Table6[[#This Row],[SKU]],'All Skus'!$A:$AC,21,FALSE)),""))</f>
        <v>5</v>
      </c>
      <c r="T561" s="61" t="str">
        <f>(IF((VLOOKUP(Table6[[#This Row],[SKU]],'All Skus'!$A:$AC,2,FALSE))="JBL",(VLOOKUP(Table6[[#This Row],[SKU]],'All Skus'!$A:$AC,22,FALSE)),""))</f>
        <v>US</v>
      </c>
      <c r="U561" t="str">
        <f>(IF((VLOOKUP(Table6[[#This Row],[SKU]],'All Skus'!$A:$AC,2,FALSE))="JBL",(VLOOKUP(Table6[[#This Row],[SKU]],'All Skus'!$A:$AC,23,FALSE)),""))</f>
        <v>Compliant</v>
      </c>
      <c r="V561" s="284" t="str">
        <f>HYPERLINK((IF((VLOOKUP(Table6[[#This Row],[SKU]],'All Skus'!$A:$AC,2,FALSE))="JBL",(VLOOKUP(Table6[[#This Row],[SKU]],'All Skus'!$A:$AC,24,FALSE)),"")))</f>
        <v/>
      </c>
      <c r="W561" s="151">
        <v>559</v>
      </c>
    </row>
    <row r="562" spans="1:23" ht="15" hidden="1" customHeight="1">
      <c r="A562" s="13" t="s">
        <v>1568</v>
      </c>
      <c r="B562" s="12" t="str">
        <f>(IF((VLOOKUP(Table6[[#This Row],[SKU]],'All Skus'!$A:$AC,2,FALSE))="JBL",(VLOOKUP(Table6[[#This Row],[SKU]],'All Skus'!$A:$AC,3,FALSE)),""))</f>
        <v>AE Series</v>
      </c>
      <c r="C562" s="12" t="str">
        <f>(IF((VLOOKUP(Table6[[#This Row],[SKU]],'All Skus'!$A:$AC,2,FALSE))="JBL",(VLOOKUP(Table6[[#This Row],[SKU]],'All Skus'!$A:$AC,4,FALSE)),""))</f>
        <v>MTU-4</v>
      </c>
      <c r="D562" s="61" t="str">
        <f>(IF((VLOOKUP(Table6[[#This Row],[SKU]],'All Skus'!$A:$AC,2,FALSE))="JBL",(VLOOKUP(Table6[[#This Row],[SKU]],'All Skus'!$A:$AC,5,FALSE)),""))</f>
        <v>JBL052</v>
      </c>
      <c r="E562" s="137">
        <f>(IF((VLOOKUP(Table6[[#This Row],[SKU]],'All Skus'!$A:$AC,2,FALSE))="JBL",(VLOOKUP(Table6[[#This Row],[SKU]],'All Skus'!$A:$AC,6,FALSE)),""))</f>
        <v>0</v>
      </c>
      <c r="F562" s="61">
        <f>(IF((VLOOKUP(Table6[[#This Row],[SKU]],'All Skus'!$A:$AC,2,FALSE))="JBL",(VLOOKUP(Table6[[#This Row],[SKU]],'All Skus'!$A:$AC,7,FALSE)),""))</f>
        <v>0</v>
      </c>
      <c r="G562" t="str">
        <f>(IF((VLOOKUP(Table6[[#This Row],[SKU]],'All Skus'!$A:$AC,2,FALSE))="JBL",(VLOOKUP(Table6[[#This Row],[SKU]],'All Skus'!$A:$AC,8,FALSE)),""))</f>
        <v>AE SERIES 22-1/4" U-BRACKET</v>
      </c>
      <c r="H562" s="8" t="str">
        <f>(IF((VLOOKUP(Table6[[#This Row],[SKU]],'All Skus'!$A:$AC,2,FALSE))="JBL",(VLOOKUP(Table6[[#This Row],[SKU]],'All Skus'!$A:$AC,9,FALSE)),""))</f>
        <v>U-Bracket For Model AC2212/xx.</v>
      </c>
      <c r="I562" s="101">
        <f>(IF((VLOOKUP(Table6[[#This Row],[SKU]],'All Skus'!$A:$AC,2,FALSE))="JBL",(VLOOKUP(Table6[[#This Row],[SKU]],'All Skus'!$A:$AC,10,FALSE)),""))</f>
        <v>284</v>
      </c>
      <c r="J562" s="101">
        <f>(IF((VLOOKUP(Table6[[#This Row],[SKU]],'All Skus'!$A:$AC,2,FALSE))="JBL",(VLOOKUP(Table6[[#This Row],[SKU]],'All Skus'!$A:$AC,11,FALSE)),""))</f>
        <v>284</v>
      </c>
      <c r="K562" s="102">
        <f>(IF((VLOOKUP(Table6[[#This Row],[SKU]],'All Skus'!$A:$AC,2,FALSE))="JBL",(VLOOKUP(Table6[[#This Row],[SKU]],'All Skus'!$A:$AC,13,FALSE)),""))</f>
        <v>0</v>
      </c>
      <c r="L562" s="102">
        <f>(IF((VLOOKUP(Table6[[#This Row],[SKU]],'All Skus'!$A:$AC,2,FALSE))="JBL",(VLOOKUP(Table6[[#This Row],[SKU]],'All Skus'!$A:$AC,14,FALSE)),""))</f>
        <v>0</v>
      </c>
      <c r="M562" s="143">
        <f>(IF((VLOOKUP(Table6[[#This Row],[SKU]],'All Skus'!$A:$AC,2,FALSE))="JBL",(VLOOKUP(Table6[[#This Row],[SKU]],'All Skus'!$A:$AC,15,FALSE)),""))</f>
        <v>0</v>
      </c>
      <c r="N562" s="137">
        <f>(IF((VLOOKUP(Table6[[#This Row],[SKU]],'All Skus'!$A:$AC,2,FALSE))="JBL",(VLOOKUP(Table6[[#This Row],[SKU]],'All Skus'!$A:$AC,16,FALSE)),""))</f>
        <v>691991012396</v>
      </c>
      <c r="O562" s="61">
        <f>(IF((VLOOKUP(Table6[[#This Row],[SKU]],'All Skus'!$A:$AC,2,FALSE))="JBL",(VLOOKUP(Table6[[#This Row],[SKU]],'All Skus'!$A:$AC,17,FALSE)),""))</f>
        <v>0</v>
      </c>
      <c r="P562" s="136">
        <f>(IF((VLOOKUP(Table6[[#This Row],[SKU]],'All Skus'!$A:$AC,2,FALSE))="JBL",(VLOOKUP(Table6[[#This Row],[SKU]],'All Skus'!$A:$AC,18,FALSE)),""))</f>
        <v>6</v>
      </c>
      <c r="Q562" s="136">
        <f>(IF((VLOOKUP(Table6[[#This Row],[SKU]],'All Skus'!$A:$AC,2,FALSE))="JBL",(VLOOKUP(Table6[[#This Row],[SKU]],'All Skus'!$A:$AC,19,FALSE)),""))</f>
        <v>24</v>
      </c>
      <c r="R562" s="136">
        <f>(IF((VLOOKUP(Table6[[#This Row],[SKU]],'All Skus'!$A:$AC,2,FALSE))="JBL",(VLOOKUP(Table6[[#This Row],[SKU]],'All Skus'!$A:$AC,20,FALSE)),""))</f>
        <v>14</v>
      </c>
      <c r="S562" s="61">
        <f>(IF((VLOOKUP(Table6[[#This Row],[SKU]],'All Skus'!$A:$AC,2,FALSE))="JBL",(VLOOKUP(Table6[[#This Row],[SKU]],'All Skus'!$A:$AC,21,FALSE)),""))</f>
        <v>4</v>
      </c>
      <c r="T562" s="61" t="str">
        <f>(IF((VLOOKUP(Table6[[#This Row],[SKU]],'All Skus'!$A:$AC,2,FALSE))="JBL",(VLOOKUP(Table6[[#This Row],[SKU]],'All Skus'!$A:$AC,22,FALSE)),""))</f>
        <v>US</v>
      </c>
      <c r="U562" t="str">
        <f>(IF((VLOOKUP(Table6[[#This Row],[SKU]],'All Skus'!$A:$AC,2,FALSE))="JBL",(VLOOKUP(Table6[[#This Row],[SKU]],'All Skus'!$A:$AC,23,FALSE)),""))</f>
        <v>Compliant</v>
      </c>
      <c r="V562" s="284" t="str">
        <f>HYPERLINK((IF((VLOOKUP(Table6[[#This Row],[SKU]],'All Skus'!$A:$AC,2,FALSE))="JBL",(VLOOKUP(Table6[[#This Row],[SKU]],'All Skus'!$A:$AC,24,FALSE)),"")))</f>
        <v/>
      </c>
      <c r="W562" s="151">
        <v>560</v>
      </c>
    </row>
    <row r="563" spans="1:23" ht="15" hidden="1" customHeight="1">
      <c r="A563" s="13" t="s">
        <v>1569</v>
      </c>
      <c r="B563" s="12" t="str">
        <f>(IF((VLOOKUP(Table6[[#This Row],[SKU]],'All Skus'!$A:$AC,2,FALSE))="JBL",(VLOOKUP(Table6[[#This Row],[SKU]],'All Skus'!$A:$AC,3,FALSE)),""))</f>
        <v>AE Series</v>
      </c>
      <c r="C563" s="12" t="str">
        <f>(IF((VLOOKUP(Table6[[#This Row],[SKU]],'All Skus'!$A:$AC,2,FALSE))="JBL",(VLOOKUP(Table6[[#This Row],[SKU]],'All Skus'!$A:$AC,4,FALSE)),""))</f>
        <v>MTU-4-WH</v>
      </c>
      <c r="D563" s="61" t="str">
        <f>(IF((VLOOKUP(Table6[[#This Row],[SKU]],'All Skus'!$A:$AC,2,FALSE))="JBL",(VLOOKUP(Table6[[#This Row],[SKU]],'All Skus'!$A:$AC,5,FALSE)),""))</f>
        <v>JBL052</v>
      </c>
      <c r="E563" s="137">
        <f>(IF((VLOOKUP(Table6[[#This Row],[SKU]],'All Skus'!$A:$AC,2,FALSE))="JBL",(VLOOKUP(Table6[[#This Row],[SKU]],'All Skus'!$A:$AC,6,FALSE)),""))</f>
        <v>0</v>
      </c>
      <c r="F563" s="61">
        <f>(IF((VLOOKUP(Table6[[#This Row],[SKU]],'All Skus'!$A:$AC,2,FALSE))="JBL",(VLOOKUP(Table6[[#This Row],[SKU]],'All Skus'!$A:$AC,7,FALSE)),""))</f>
        <v>0</v>
      </c>
      <c r="G563" t="str">
        <f>(IF((VLOOKUP(Table6[[#This Row],[SKU]],'All Skus'!$A:$AC,2,FALSE))="JBL",(VLOOKUP(Table6[[#This Row],[SKU]],'All Skus'!$A:$AC,8,FALSE)),""))</f>
        <v>AE SERIES 22-1/4" U-BRACKET(white)</v>
      </c>
      <c r="H563" s="8" t="str">
        <f>(IF((VLOOKUP(Table6[[#This Row],[SKU]],'All Skus'!$A:$AC,2,FALSE))="JBL",(VLOOKUP(Table6[[#This Row],[SKU]],'All Skus'!$A:$AC,9,FALSE)),""))</f>
        <v>U-Bracket For Model AC2212/xx. White finish.</v>
      </c>
      <c r="I563" s="101">
        <f>(IF((VLOOKUP(Table6[[#This Row],[SKU]],'All Skus'!$A:$AC,2,FALSE))="JBL",(VLOOKUP(Table6[[#This Row],[SKU]],'All Skus'!$A:$AC,10,FALSE)),""))</f>
        <v>284</v>
      </c>
      <c r="J563" s="101">
        <f>(IF((VLOOKUP(Table6[[#This Row],[SKU]],'All Skus'!$A:$AC,2,FALSE))="JBL",(VLOOKUP(Table6[[#This Row],[SKU]],'All Skus'!$A:$AC,11,FALSE)),""))</f>
        <v>284</v>
      </c>
      <c r="K563" s="102">
        <f>(IF((VLOOKUP(Table6[[#This Row],[SKU]],'All Skus'!$A:$AC,2,FALSE))="JBL",(VLOOKUP(Table6[[#This Row],[SKU]],'All Skus'!$A:$AC,13,FALSE)),""))</f>
        <v>0</v>
      </c>
      <c r="L563" s="102">
        <f>(IF((VLOOKUP(Table6[[#This Row],[SKU]],'All Skus'!$A:$AC,2,FALSE))="JBL",(VLOOKUP(Table6[[#This Row],[SKU]],'All Skus'!$A:$AC,14,FALSE)),""))</f>
        <v>0</v>
      </c>
      <c r="M563" s="143">
        <f>(IF((VLOOKUP(Table6[[#This Row],[SKU]],'All Skus'!$A:$AC,2,FALSE))="JBL",(VLOOKUP(Table6[[#This Row],[SKU]],'All Skus'!$A:$AC,15,FALSE)),""))</f>
        <v>0</v>
      </c>
      <c r="N563" s="137">
        <f>(IF((VLOOKUP(Table6[[#This Row],[SKU]],'All Skus'!$A:$AC,2,FALSE))="JBL",(VLOOKUP(Table6[[#This Row],[SKU]],'All Skus'!$A:$AC,16,FALSE)),""))</f>
        <v>691991012402</v>
      </c>
      <c r="O563" s="61">
        <f>(IF((VLOOKUP(Table6[[#This Row],[SKU]],'All Skus'!$A:$AC,2,FALSE))="JBL",(VLOOKUP(Table6[[#This Row],[SKU]],'All Skus'!$A:$AC,17,FALSE)),""))</f>
        <v>0</v>
      </c>
      <c r="P563" s="136">
        <f>(IF((VLOOKUP(Table6[[#This Row],[SKU]],'All Skus'!$A:$AC,2,FALSE))="JBL",(VLOOKUP(Table6[[#This Row],[SKU]],'All Skus'!$A:$AC,18,FALSE)),""))</f>
        <v>7</v>
      </c>
      <c r="Q563" s="136">
        <f>(IF((VLOOKUP(Table6[[#This Row],[SKU]],'All Skus'!$A:$AC,2,FALSE))="JBL",(VLOOKUP(Table6[[#This Row],[SKU]],'All Skus'!$A:$AC,19,FALSE)),""))</f>
        <v>27</v>
      </c>
      <c r="R563" s="136">
        <f>(IF((VLOOKUP(Table6[[#This Row],[SKU]],'All Skus'!$A:$AC,2,FALSE))="JBL",(VLOOKUP(Table6[[#This Row],[SKU]],'All Skus'!$A:$AC,20,FALSE)),""))</f>
        <v>12</v>
      </c>
      <c r="S563" s="61">
        <f>(IF((VLOOKUP(Table6[[#This Row],[SKU]],'All Skus'!$A:$AC,2,FALSE))="JBL",(VLOOKUP(Table6[[#This Row],[SKU]],'All Skus'!$A:$AC,21,FALSE)),""))</f>
        <v>5</v>
      </c>
      <c r="T563" s="61" t="str">
        <f>(IF((VLOOKUP(Table6[[#This Row],[SKU]],'All Skus'!$A:$AC,2,FALSE))="JBL",(VLOOKUP(Table6[[#This Row],[SKU]],'All Skus'!$A:$AC,22,FALSE)),""))</f>
        <v>US</v>
      </c>
      <c r="U563" t="str">
        <f>(IF((VLOOKUP(Table6[[#This Row],[SKU]],'All Skus'!$A:$AC,2,FALSE))="JBL",(VLOOKUP(Table6[[#This Row],[SKU]],'All Skus'!$A:$AC,23,FALSE)),""))</f>
        <v>Compliant</v>
      </c>
      <c r="V563" s="284" t="str">
        <f>HYPERLINK((IF((VLOOKUP(Table6[[#This Row],[SKU]],'All Skus'!$A:$AC,2,FALSE))="JBL",(VLOOKUP(Table6[[#This Row],[SKU]],'All Skus'!$A:$AC,24,FALSE)),"")))</f>
        <v/>
      </c>
      <c r="W563" s="151">
        <v>561</v>
      </c>
    </row>
    <row r="564" spans="1:23" ht="15" hidden="1" customHeight="1">
      <c r="A564" s="13" t="s">
        <v>1570</v>
      </c>
      <c r="B564" s="12" t="str">
        <f>(IF((VLOOKUP(Table6[[#This Row],[SKU]],'All Skus'!$A:$AC,2,FALSE))="JBL",(VLOOKUP(Table6[[#This Row],[SKU]],'All Skus'!$A:$AC,3,FALSE)),""))</f>
        <v>AE Series</v>
      </c>
      <c r="C564" s="12" t="str">
        <f>(IF((VLOOKUP(Table6[[#This Row],[SKU]],'All Skus'!$A:$AC,2,FALSE))="JBL",(VLOOKUP(Table6[[#This Row],[SKU]],'All Skus'!$A:$AC,4,FALSE)),""))</f>
        <v>229-00009-01</v>
      </c>
      <c r="D564" s="61" t="str">
        <f>(IF((VLOOKUP(Table6[[#This Row],[SKU]],'All Skus'!$A:$AC,2,FALSE))="JBL",(VLOOKUP(Table6[[#This Row],[SKU]],'All Skus'!$A:$AC,5,FALSE)),""))</f>
        <v>JBL052</v>
      </c>
      <c r="E564" s="137">
        <f>(IF((VLOOKUP(Table6[[#This Row],[SKU]],'All Skus'!$A:$AC,2,FALSE))="JBL",(VLOOKUP(Table6[[#This Row],[SKU]],'All Skus'!$A:$AC,6,FALSE)),""))</f>
        <v>0</v>
      </c>
      <c r="F564" s="61">
        <f>(IF((VLOOKUP(Table6[[#This Row],[SKU]],'All Skus'!$A:$AC,2,FALSE))="JBL",(VLOOKUP(Table6[[#This Row],[SKU]],'All Skus'!$A:$AC,7,FALSE)),""))</f>
        <v>0</v>
      </c>
      <c r="G564" t="str">
        <f>(IF((VLOOKUP(Table6[[#This Row],[SKU]],'All Skus'!$A:$AC,2,FALSE))="JBL",(VLOOKUP(Table6[[#This Row],[SKU]],'All Skus'!$A:$AC,8,FALSE)),""))</f>
        <v>HARDWARE KIT, SP/VS</v>
      </c>
      <c r="H564" s="8" t="str">
        <f>(IF((VLOOKUP(Table6[[#This Row],[SKU]],'All Skus'!$A:$AC,2,FALSE))="JBL",(VLOOKUP(Table6[[#This Row],[SKU]],'All Skus'!$A:$AC,9,FALSE)),""))</f>
        <v>Set of Three M10 x 35mm Forged Shoulder Steel Eyebolts (priced and ships as a PACK of 3 bolts)</v>
      </c>
      <c r="I564" s="101">
        <f>(IF((VLOOKUP(Table6[[#This Row],[SKU]],'All Skus'!$A:$AC,2,FALSE))="JBL",(VLOOKUP(Table6[[#This Row],[SKU]],'All Skus'!$A:$AC,10,FALSE)),""))</f>
        <v>58.2</v>
      </c>
      <c r="J564" s="101">
        <f>(IF((VLOOKUP(Table6[[#This Row],[SKU]],'All Skus'!$A:$AC,2,FALSE))="JBL",(VLOOKUP(Table6[[#This Row],[SKU]],'All Skus'!$A:$AC,11,FALSE)),""))</f>
        <v>58.2</v>
      </c>
      <c r="K564" s="102">
        <f>(IF((VLOOKUP(Table6[[#This Row],[SKU]],'All Skus'!$A:$AC,2,FALSE))="JBL",(VLOOKUP(Table6[[#This Row],[SKU]],'All Skus'!$A:$AC,13,FALSE)),""))</f>
        <v>0</v>
      </c>
      <c r="L564" s="102">
        <f>(IF((VLOOKUP(Table6[[#This Row],[SKU]],'All Skus'!$A:$AC,2,FALSE))="JBL",(VLOOKUP(Table6[[#This Row],[SKU]],'All Skus'!$A:$AC,14,FALSE)),""))</f>
        <v>0</v>
      </c>
      <c r="M564" s="143">
        <f>(IF((VLOOKUP(Table6[[#This Row],[SKU]],'All Skus'!$A:$AC,2,FALSE))="JBL",(VLOOKUP(Table6[[#This Row],[SKU]],'All Skus'!$A:$AC,15,FALSE)),""))</f>
        <v>0</v>
      </c>
      <c r="N564" s="137">
        <f>(IF((VLOOKUP(Table6[[#This Row],[SKU]],'All Skus'!$A:$AC,2,FALSE))="JBL",(VLOOKUP(Table6[[#This Row],[SKU]],'All Skus'!$A:$AC,16,FALSE)),""))</f>
        <v>0</v>
      </c>
      <c r="O564" s="61">
        <f>(IF((VLOOKUP(Table6[[#This Row],[SKU]],'All Skus'!$A:$AC,2,FALSE))="JBL",(VLOOKUP(Table6[[#This Row],[SKU]],'All Skus'!$A:$AC,17,FALSE)),""))</f>
        <v>0</v>
      </c>
      <c r="P564" s="136">
        <f>(IF((VLOOKUP(Table6[[#This Row],[SKU]],'All Skus'!$A:$AC,2,FALSE))="JBL",(VLOOKUP(Table6[[#This Row],[SKU]],'All Skus'!$A:$AC,18,FALSE)),""))</f>
        <v>1</v>
      </c>
      <c r="Q564" s="136">
        <f>(IF((VLOOKUP(Table6[[#This Row],[SKU]],'All Skus'!$A:$AC,2,FALSE))="JBL",(VLOOKUP(Table6[[#This Row],[SKU]],'All Skus'!$A:$AC,19,FALSE)),""))</f>
        <v>2</v>
      </c>
      <c r="R564" s="136">
        <f>(IF((VLOOKUP(Table6[[#This Row],[SKU]],'All Skus'!$A:$AC,2,FALSE))="JBL",(VLOOKUP(Table6[[#This Row],[SKU]],'All Skus'!$A:$AC,20,FALSE)),""))</f>
        <v>6</v>
      </c>
      <c r="S564" s="61">
        <f>(IF((VLOOKUP(Table6[[#This Row],[SKU]],'All Skus'!$A:$AC,2,FALSE))="JBL",(VLOOKUP(Table6[[#This Row],[SKU]],'All Skus'!$A:$AC,21,FALSE)),""))</f>
        <v>3</v>
      </c>
      <c r="T564" s="61" t="str">
        <f>(IF((VLOOKUP(Table6[[#This Row],[SKU]],'All Skus'!$A:$AC,2,FALSE))="JBL",(VLOOKUP(Table6[[#This Row],[SKU]],'All Skus'!$A:$AC,22,FALSE)),""))</f>
        <v>CN</v>
      </c>
      <c r="U564">
        <f>(IF((VLOOKUP(Table6[[#This Row],[SKU]],'All Skus'!$A:$AC,2,FALSE))="JBL",(VLOOKUP(Table6[[#This Row],[SKU]],'All Skus'!$A:$AC,23,FALSE)),""))</f>
        <v>0</v>
      </c>
      <c r="V564" s="284" t="str">
        <f>HYPERLINK((IF((VLOOKUP(Table6[[#This Row],[SKU]],'All Skus'!$A:$AC,2,FALSE))="JBL",(VLOOKUP(Table6[[#This Row],[SKU]],'All Skus'!$A:$AC,24,FALSE)),"")))</f>
        <v/>
      </c>
      <c r="W564" s="151">
        <v>562</v>
      </c>
    </row>
    <row r="565" spans="1:23" ht="15" hidden="1" customHeight="1">
      <c r="A565" s="104" t="s">
        <v>1571</v>
      </c>
      <c r="B565" s="12">
        <f>(IF((VLOOKUP(Table6[[#This Row],[SKU]],'All Skus'!$A:$AC,2,FALSE))="JBL",(VLOOKUP(Table6[[#This Row],[SKU]],'All Skus'!$A:$AC,3,FALSE)),""))</f>
        <v>0</v>
      </c>
      <c r="C565" s="12">
        <f>(IF((VLOOKUP(Table6[[#This Row],[SKU]],'All Skus'!$A:$AC,2,FALSE))="JBL",(VLOOKUP(Table6[[#This Row],[SKU]],'All Skus'!$A:$AC,4,FALSE)),""))</f>
        <v>0</v>
      </c>
      <c r="D565" s="61">
        <f>(IF((VLOOKUP(Table6[[#This Row],[SKU]],'All Skus'!$A:$AC,2,FALSE))="JBL",(VLOOKUP(Table6[[#This Row],[SKU]],'All Skus'!$A:$AC,5,FALSE)),""))</f>
        <v>0</v>
      </c>
      <c r="E565" s="137">
        <f>(IF((VLOOKUP(Table6[[#This Row],[SKU]],'All Skus'!$A:$AC,2,FALSE))="JBL",(VLOOKUP(Table6[[#This Row],[SKU]],'All Skus'!$A:$AC,6,FALSE)),""))</f>
        <v>0</v>
      </c>
      <c r="F565" s="61">
        <f>(IF((VLOOKUP(Table6[[#This Row],[SKU]],'All Skus'!$A:$AC,2,FALSE))="JBL",(VLOOKUP(Table6[[#This Row],[SKU]],'All Skus'!$A:$AC,7,FALSE)),""))</f>
        <v>0</v>
      </c>
      <c r="G565">
        <f>(IF((VLOOKUP(Table6[[#This Row],[SKU]],'All Skus'!$A:$AC,2,FALSE))="JBL",(VLOOKUP(Table6[[#This Row],[SKU]],'All Skus'!$A:$AC,8,FALSE)),""))</f>
        <v>0</v>
      </c>
      <c r="H565" s="8">
        <f>(IF((VLOOKUP(Table6[[#This Row],[SKU]],'All Skus'!$A:$AC,2,FALSE))="JBL",(VLOOKUP(Table6[[#This Row],[SKU]],'All Skus'!$A:$AC,9,FALSE)),""))</f>
        <v>0</v>
      </c>
      <c r="I565" s="101">
        <f>(IF((VLOOKUP(Table6[[#This Row],[SKU]],'All Skus'!$A:$AC,2,FALSE))="JBL",(VLOOKUP(Table6[[#This Row],[SKU]],'All Skus'!$A:$AC,10,FALSE)),""))</f>
        <v>0</v>
      </c>
      <c r="J565" s="101">
        <f>(IF((VLOOKUP(Table6[[#This Row],[SKU]],'All Skus'!$A:$AC,2,FALSE))="JBL",(VLOOKUP(Table6[[#This Row],[SKU]],'All Skus'!$A:$AC,11,FALSE)),""))</f>
        <v>0</v>
      </c>
      <c r="K565" s="102">
        <f>(IF((VLOOKUP(Table6[[#This Row],[SKU]],'All Skus'!$A:$AC,2,FALSE))="JBL",(VLOOKUP(Table6[[#This Row],[SKU]],'All Skus'!$A:$AC,13,FALSE)),""))</f>
        <v>0</v>
      </c>
      <c r="L565" s="102">
        <f>(IF((VLOOKUP(Table6[[#This Row],[SKU]],'All Skus'!$A:$AC,2,FALSE))="JBL",(VLOOKUP(Table6[[#This Row],[SKU]],'All Skus'!$A:$AC,14,FALSE)),""))</f>
        <v>0</v>
      </c>
      <c r="M565" s="143">
        <f>(IF((VLOOKUP(Table6[[#This Row],[SKU]],'All Skus'!$A:$AC,2,FALSE))="JBL",(VLOOKUP(Table6[[#This Row],[SKU]],'All Skus'!$A:$AC,15,FALSE)),""))</f>
        <v>0</v>
      </c>
      <c r="N565" s="137">
        <f>(IF((VLOOKUP(Table6[[#This Row],[SKU]],'All Skus'!$A:$AC,2,FALSE))="JBL",(VLOOKUP(Table6[[#This Row],[SKU]],'All Skus'!$A:$AC,16,FALSE)),""))</f>
        <v>0</v>
      </c>
      <c r="O565" s="61">
        <f>(IF((VLOOKUP(Table6[[#This Row],[SKU]],'All Skus'!$A:$AC,2,FALSE))="JBL",(VLOOKUP(Table6[[#This Row],[SKU]],'All Skus'!$A:$AC,17,FALSE)),""))</f>
        <v>0</v>
      </c>
      <c r="P565" s="136">
        <f>(IF((VLOOKUP(Table6[[#This Row],[SKU]],'All Skus'!$A:$AC,2,FALSE))="JBL",(VLOOKUP(Table6[[#This Row],[SKU]],'All Skus'!$A:$AC,18,FALSE)),""))</f>
        <v>0</v>
      </c>
      <c r="Q565" s="136">
        <f>(IF((VLOOKUP(Table6[[#This Row],[SKU]],'All Skus'!$A:$AC,2,FALSE))="JBL",(VLOOKUP(Table6[[#This Row],[SKU]],'All Skus'!$A:$AC,19,FALSE)),""))</f>
        <v>0</v>
      </c>
      <c r="R565" s="136">
        <f>(IF((VLOOKUP(Table6[[#This Row],[SKU]],'All Skus'!$A:$AC,2,FALSE))="JBL",(VLOOKUP(Table6[[#This Row],[SKU]],'All Skus'!$A:$AC,20,FALSE)),""))</f>
        <v>0</v>
      </c>
      <c r="S565" s="61">
        <f>(IF((VLOOKUP(Table6[[#This Row],[SKU]],'All Skus'!$A:$AC,2,FALSE))="JBL",(VLOOKUP(Table6[[#This Row],[SKU]],'All Skus'!$A:$AC,21,FALSE)),""))</f>
        <v>0</v>
      </c>
      <c r="T565" s="61" t="str">
        <f>(IF((VLOOKUP(Table6[[#This Row],[SKU]],'All Skus'!$A:$AC,2,FALSE))="JBL",(VLOOKUP(Table6[[#This Row],[SKU]],'All Skus'!$A:$AC,22,FALSE)),""))</f>
        <v>MX</v>
      </c>
      <c r="U565" t="str">
        <f>(IF((VLOOKUP(Table6[[#This Row],[SKU]],'All Skus'!$A:$AC,2,FALSE))="JBL",(VLOOKUP(Table6[[#This Row],[SKU]],'All Skus'!$A:$AC,23,FALSE)),""))</f>
        <v>Compliant</v>
      </c>
      <c r="V565" s="284" t="str">
        <f>HYPERLINK((IF((VLOOKUP(Table6[[#This Row],[SKU]],'All Skus'!$A:$AC,2,FALSE))="JBL",(VLOOKUP(Table6[[#This Row],[SKU]],'All Skus'!$A:$AC,24,FALSE)),"")))</f>
        <v/>
      </c>
      <c r="W565" s="151">
        <v>563</v>
      </c>
    </row>
    <row r="566" spans="1:23" ht="15" hidden="1" customHeight="1">
      <c r="A566" s="13" t="s">
        <v>1572</v>
      </c>
      <c r="B566" s="12" t="str">
        <f>(IF((VLOOKUP(Table6[[#This Row],[SKU]],'All Skus'!$A:$AC,2,FALSE))="JBL",(VLOOKUP(Table6[[#This Row],[SKU]],'All Skus'!$A:$AC,3,FALSE)),""))</f>
        <v>PD Series</v>
      </c>
      <c r="C566" s="12" t="str">
        <f>(IF((VLOOKUP(Table6[[#This Row],[SKU]],'All Skus'!$A:$AC,2,FALSE))="JBL",(VLOOKUP(Table6[[#This Row],[SKU]],'All Skus'!$A:$AC,4,FALSE)),""))</f>
        <v>PD525S</v>
      </c>
      <c r="D566" s="61" t="str">
        <f>(IF((VLOOKUP(Table6[[#This Row],[SKU]],'All Skus'!$A:$AC,2,FALSE))="JBL",(VLOOKUP(Table6[[#This Row],[SKU]],'All Skus'!$A:$AC,5,FALSE)),""))</f>
        <v>JBL051</v>
      </c>
      <c r="E566" s="137">
        <f>(IF((VLOOKUP(Table6[[#This Row],[SKU]],'All Skus'!$A:$AC,2,FALSE))="JBL",(VLOOKUP(Table6[[#This Row],[SKU]],'All Skus'!$A:$AC,6,FALSE)),""))</f>
        <v>0</v>
      </c>
      <c r="F566" s="61">
        <f>(IF((VLOOKUP(Table6[[#This Row],[SKU]],'All Skus'!$A:$AC,2,FALSE))="JBL",(VLOOKUP(Table6[[#This Row],[SKU]],'All Skus'!$A:$AC,7,FALSE)),""))</f>
        <v>0</v>
      </c>
      <c r="G566" t="str">
        <f>(IF((VLOOKUP(Table6[[#This Row],[SKU]],'All Skus'!$A:$AC,2,FALSE))="JBL",(VLOOKUP(Table6[[#This Row],[SKU]],'All Skus'!$A:$AC,8,FALSE)),""))</f>
        <v>Dual 15" LF</v>
      </c>
      <c r="H566" s="8" t="str">
        <f>(IF((VLOOKUP(Table6[[#This Row],[SKU]],'All Skus'!$A:$AC,2,FALSE))="JBL",(VLOOKUP(Table6[[#This Row],[SKU]],'All Skus'!$A:$AC,9,FALSE)),""))</f>
        <v>Dual 15" subwoofer system, 2275H driver, 75mm (3 in) voice coil, 4-ohm nominal impedance.</v>
      </c>
      <c r="I566" s="101">
        <f>(IF((VLOOKUP(Table6[[#This Row],[SKU]],'All Skus'!$A:$AC,2,FALSE))="JBL",(VLOOKUP(Table6[[#This Row],[SKU]],'All Skus'!$A:$AC,10,FALSE)),""))</f>
        <v>3120</v>
      </c>
      <c r="J566" s="101">
        <f>(IF((VLOOKUP(Table6[[#This Row],[SKU]],'All Skus'!$A:$AC,2,FALSE))="JBL",(VLOOKUP(Table6[[#This Row],[SKU]],'All Skus'!$A:$AC,11,FALSE)),""))</f>
        <v>3120</v>
      </c>
      <c r="K566" s="102">
        <f>(IF((VLOOKUP(Table6[[#This Row],[SKU]],'All Skus'!$A:$AC,2,FALSE))="JBL",(VLOOKUP(Table6[[#This Row],[SKU]],'All Skus'!$A:$AC,13,FALSE)),""))</f>
        <v>0</v>
      </c>
      <c r="L566" s="102">
        <f>(IF((VLOOKUP(Table6[[#This Row],[SKU]],'All Skus'!$A:$AC,2,FALSE))="JBL",(VLOOKUP(Table6[[#This Row],[SKU]],'All Skus'!$A:$AC,14,FALSE)),""))</f>
        <v>0</v>
      </c>
      <c r="M566" s="143">
        <f>(IF((VLOOKUP(Table6[[#This Row],[SKU]],'All Skus'!$A:$AC,2,FALSE))="JBL",(VLOOKUP(Table6[[#This Row],[SKU]],'All Skus'!$A:$AC,15,FALSE)),""))</f>
        <v>0</v>
      </c>
      <c r="N566" s="137">
        <f>(IF((VLOOKUP(Table6[[#This Row],[SKU]],'All Skus'!$A:$AC,2,FALSE))="JBL",(VLOOKUP(Table6[[#This Row],[SKU]],'All Skus'!$A:$AC,16,FALSE)),""))</f>
        <v>691991014789</v>
      </c>
      <c r="O566" s="61">
        <f>(IF((VLOOKUP(Table6[[#This Row],[SKU]],'All Skus'!$A:$AC,2,FALSE))="JBL",(VLOOKUP(Table6[[#This Row],[SKU]],'All Skus'!$A:$AC,17,FALSE)),""))</f>
        <v>0</v>
      </c>
      <c r="P566" s="136">
        <f>(IF((VLOOKUP(Table6[[#This Row],[SKU]],'All Skus'!$A:$AC,2,FALSE))="JBL",(VLOOKUP(Table6[[#This Row],[SKU]],'All Skus'!$A:$AC,18,FALSE)),""))</f>
        <v>132</v>
      </c>
      <c r="Q566" s="136">
        <f>(IF((VLOOKUP(Table6[[#This Row],[SKU]],'All Skus'!$A:$AC,2,FALSE))="JBL",(VLOOKUP(Table6[[#This Row],[SKU]],'All Skus'!$A:$AC,19,FALSE)),""))</f>
        <v>34</v>
      </c>
      <c r="R566" s="136">
        <f>(IF((VLOOKUP(Table6[[#This Row],[SKU]],'All Skus'!$A:$AC,2,FALSE))="JBL",(VLOOKUP(Table6[[#This Row],[SKU]],'All Skus'!$A:$AC,20,FALSE)),""))</f>
        <v>34</v>
      </c>
      <c r="S566" s="61">
        <f>(IF((VLOOKUP(Table6[[#This Row],[SKU]],'All Skus'!$A:$AC,2,FALSE))="JBL",(VLOOKUP(Table6[[#This Row],[SKU]],'All Skus'!$A:$AC,21,FALSE)),""))</f>
        <v>28</v>
      </c>
      <c r="T566" s="61" t="str">
        <f>(IF((VLOOKUP(Table6[[#This Row],[SKU]],'All Skus'!$A:$AC,2,FALSE))="JBL",(VLOOKUP(Table6[[#This Row],[SKU]],'All Skus'!$A:$AC,22,FALSE)),""))</f>
        <v>MX</v>
      </c>
      <c r="U566" t="str">
        <f>(IF((VLOOKUP(Table6[[#This Row],[SKU]],'All Skus'!$A:$AC,2,FALSE))="JBL",(VLOOKUP(Table6[[#This Row],[SKU]],'All Skus'!$A:$AC,23,FALSE)),""))</f>
        <v>Compliant</v>
      </c>
      <c r="V566" s="284" t="str">
        <f>HYPERLINK((IF((VLOOKUP(Table6[[#This Row],[SKU]],'All Skus'!$A:$AC,2,FALSE))="JBL",(VLOOKUP(Table6[[#This Row],[SKU]],'All Skus'!$A:$AC,24,FALSE)),"")))</f>
        <v/>
      </c>
      <c r="W566" s="151">
        <v>564</v>
      </c>
    </row>
    <row r="567" spans="1:23" ht="15" hidden="1" customHeight="1">
      <c r="A567" s="13" t="s">
        <v>1573</v>
      </c>
      <c r="B567" s="12" t="str">
        <f>(IF((VLOOKUP(Table6[[#This Row],[SKU]],'All Skus'!$A:$AC,2,FALSE))="JBL",(VLOOKUP(Table6[[#This Row],[SKU]],'All Skus'!$A:$AC,3,FALSE)),""))</f>
        <v>PD Series</v>
      </c>
      <c r="C567" s="12" t="str">
        <f>(IF((VLOOKUP(Table6[[#This Row],[SKU]],'All Skus'!$A:$AC,2,FALSE))="JBL",(VLOOKUP(Table6[[#This Row],[SKU]],'All Skus'!$A:$AC,4,FALSE)),""))</f>
        <v>PD525S - WH</v>
      </c>
      <c r="D567" s="61">
        <f>(IF((VLOOKUP(Table6[[#This Row],[SKU]],'All Skus'!$A:$AC,2,FALSE))="JBL",(VLOOKUP(Table6[[#This Row],[SKU]],'All Skus'!$A:$AC,5,FALSE)),""))</f>
        <v>0</v>
      </c>
      <c r="E567" s="137">
        <f>(IF((VLOOKUP(Table6[[#This Row],[SKU]],'All Skus'!$A:$AC,2,FALSE))="JBL",(VLOOKUP(Table6[[#This Row],[SKU]],'All Skus'!$A:$AC,6,FALSE)),""))</f>
        <v>0</v>
      </c>
      <c r="F567" s="61">
        <f>(IF((VLOOKUP(Table6[[#This Row],[SKU]],'All Skus'!$A:$AC,2,FALSE))="JBL",(VLOOKUP(Table6[[#This Row],[SKU]],'All Skus'!$A:$AC,7,FALSE)),""))</f>
        <v>0</v>
      </c>
      <c r="G567" t="str">
        <f>(IF((VLOOKUP(Table6[[#This Row],[SKU]],'All Skus'!$A:$AC,2,FALSE))="JBL",(VLOOKUP(Table6[[#This Row],[SKU]],'All Skus'!$A:$AC,8,FALSE)),""))</f>
        <v>Dual 15" LF</v>
      </c>
      <c r="H567" s="8" t="str">
        <f>(IF((VLOOKUP(Table6[[#This Row],[SKU]],'All Skus'!$A:$AC,2,FALSE))="JBL",(VLOOKUP(Table6[[#This Row],[SKU]],'All Skus'!$A:$AC,9,FALSE)),""))</f>
        <v>Dual 15" subwoofer system, 2275H driver, 75mm (3 in) voice coil, 4-ohm nominal impedance.</v>
      </c>
      <c r="I567" s="101">
        <f>(IF((VLOOKUP(Table6[[#This Row],[SKU]],'All Skus'!$A:$AC,2,FALSE))="JBL",(VLOOKUP(Table6[[#This Row],[SKU]],'All Skus'!$A:$AC,10,FALSE)),""))</f>
        <v>3120</v>
      </c>
      <c r="J567" s="101">
        <f>(IF((VLOOKUP(Table6[[#This Row],[SKU]],'All Skus'!$A:$AC,2,FALSE))="JBL",(VLOOKUP(Table6[[#This Row],[SKU]],'All Skus'!$A:$AC,11,FALSE)),""))</f>
        <v>3120</v>
      </c>
      <c r="K567" s="102">
        <f>(IF((VLOOKUP(Table6[[#This Row],[SKU]],'All Skus'!$A:$AC,2,FALSE))="JBL",(VLOOKUP(Table6[[#This Row],[SKU]],'All Skus'!$A:$AC,13,FALSE)),""))</f>
        <v>0</v>
      </c>
      <c r="L567" s="102">
        <f>(IF((VLOOKUP(Table6[[#This Row],[SKU]],'All Skus'!$A:$AC,2,FALSE))="JBL",(VLOOKUP(Table6[[#This Row],[SKU]],'All Skus'!$A:$AC,14,FALSE)),""))</f>
        <v>0</v>
      </c>
      <c r="M567" s="143">
        <f>(IF((VLOOKUP(Table6[[#This Row],[SKU]],'All Skus'!$A:$AC,2,FALSE))="JBL",(VLOOKUP(Table6[[#This Row],[SKU]],'All Skus'!$A:$AC,15,FALSE)),""))</f>
        <v>0</v>
      </c>
      <c r="N567" s="137">
        <f>(IF((VLOOKUP(Table6[[#This Row],[SKU]],'All Skus'!$A:$AC,2,FALSE))="JBL",(VLOOKUP(Table6[[#This Row],[SKU]],'All Skus'!$A:$AC,16,FALSE)),""))</f>
        <v>0</v>
      </c>
      <c r="O567" s="61">
        <f>(IF((VLOOKUP(Table6[[#This Row],[SKU]],'All Skus'!$A:$AC,2,FALSE))="JBL",(VLOOKUP(Table6[[#This Row],[SKU]],'All Skus'!$A:$AC,17,FALSE)),""))</f>
        <v>0</v>
      </c>
      <c r="P567" s="136">
        <f>(IF((VLOOKUP(Table6[[#This Row],[SKU]],'All Skus'!$A:$AC,2,FALSE))="JBL",(VLOOKUP(Table6[[#This Row],[SKU]],'All Skus'!$A:$AC,18,FALSE)),""))</f>
        <v>0</v>
      </c>
      <c r="Q567" s="136">
        <f>(IF((VLOOKUP(Table6[[#This Row],[SKU]],'All Skus'!$A:$AC,2,FALSE))="JBL",(VLOOKUP(Table6[[#This Row],[SKU]],'All Skus'!$A:$AC,19,FALSE)),""))</f>
        <v>0</v>
      </c>
      <c r="R567" s="136">
        <f>(IF((VLOOKUP(Table6[[#This Row],[SKU]],'All Skus'!$A:$AC,2,FALSE))="JBL",(VLOOKUP(Table6[[#This Row],[SKU]],'All Skus'!$A:$AC,20,FALSE)),""))</f>
        <v>0</v>
      </c>
      <c r="S567" s="61">
        <f>(IF((VLOOKUP(Table6[[#This Row],[SKU]],'All Skus'!$A:$AC,2,FALSE))="JBL",(VLOOKUP(Table6[[#This Row],[SKU]],'All Skus'!$A:$AC,21,FALSE)),""))</f>
        <v>0</v>
      </c>
      <c r="T567" s="61" t="str">
        <f>(IF((VLOOKUP(Table6[[#This Row],[SKU]],'All Skus'!$A:$AC,2,FALSE))="JBL",(VLOOKUP(Table6[[#This Row],[SKU]],'All Skus'!$A:$AC,22,FALSE)),""))</f>
        <v>MX</v>
      </c>
      <c r="U567" t="str">
        <f>(IF((VLOOKUP(Table6[[#This Row],[SKU]],'All Skus'!$A:$AC,2,FALSE))="JBL",(VLOOKUP(Table6[[#This Row],[SKU]],'All Skus'!$A:$AC,23,FALSE)),""))</f>
        <v>Compliant</v>
      </c>
      <c r="V567" s="284" t="str">
        <f>HYPERLINK((IF((VLOOKUP(Table6[[#This Row],[SKU]],'All Skus'!$A:$AC,2,FALSE))="JBL",(VLOOKUP(Table6[[#This Row],[SKU]],'All Skus'!$A:$AC,24,FALSE)),"")))</f>
        <v/>
      </c>
      <c r="W567" s="151">
        <v>565</v>
      </c>
    </row>
    <row r="568" spans="1:23" ht="15" hidden="1" customHeight="1">
      <c r="A568" s="13" t="s">
        <v>1574</v>
      </c>
      <c r="B568" s="12" t="str">
        <f>(IF((VLOOKUP(Table6[[#This Row],[SKU]],'All Skus'!$A:$AC,2,FALSE))="JBL",(VLOOKUP(Table6[[#This Row],[SKU]],'All Skus'!$A:$AC,3,FALSE)),""))</f>
        <v>Custom Shop Item</v>
      </c>
      <c r="C568" s="12" t="str">
        <f>(IF((VLOOKUP(Table6[[#This Row],[SKU]],'All Skus'!$A:$AC,2,FALSE))="JBL",(VLOOKUP(Table6[[#This Row],[SKU]],'All Skus'!$A:$AC,4,FALSE)),""))</f>
        <v>PD525S-WRC</v>
      </c>
      <c r="D568" s="61" t="str">
        <f>(IF((VLOOKUP(Table6[[#This Row],[SKU]],'All Skus'!$A:$AC,2,FALSE))="JBL",(VLOOKUP(Table6[[#This Row],[SKU]],'All Skus'!$A:$AC,5,FALSE)),""))</f>
        <v>JBL050</v>
      </c>
      <c r="E568" s="137" t="str">
        <f>(IF((VLOOKUP(Table6[[#This Row],[SKU]],'All Skus'!$A:$AC,2,FALSE))="JBL",(VLOOKUP(Table6[[#This Row],[SKU]],'All Skus'!$A:$AC,6,FALSE)),""))</f>
        <v>YES</v>
      </c>
      <c r="F568" s="61">
        <f>(IF((VLOOKUP(Table6[[#This Row],[SKU]],'All Skus'!$A:$AC,2,FALSE))="JBL",(VLOOKUP(Table6[[#This Row],[SKU]],'All Skus'!$A:$AC,7,FALSE)),""))</f>
        <v>0</v>
      </c>
      <c r="G568" t="str">
        <f>(IF((VLOOKUP(Table6[[#This Row],[SKU]],'All Skus'!$A:$AC,2,FALSE))="JBL",(VLOOKUP(Table6[[#This Row],[SKU]],'All Skus'!$A:$AC,8,FALSE)),""))</f>
        <v>Dual 15" Subwoofer</v>
      </c>
      <c r="H568" s="8" t="str">
        <f>(IF((VLOOKUP(Table6[[#This Row],[SKU]],'All Skus'!$A:$AC,2,FALSE))="JBL",(VLOOKUP(Table6[[#This Row],[SKU]],'All Skus'!$A:$AC,9,FALSE)),""))</f>
        <v>Dual 15" 2275H Differential Driver® with dual 75mm (3 in) voice coils and dual magnetic gap subwoofer system. With Weather Protection Treatment.8-10 weeks ship time for orders of 1-10, larger needs to be reviewed</v>
      </c>
      <c r="I568" s="101" t="str">
        <f>(IF((VLOOKUP(Table6[[#This Row],[SKU]],'All Skus'!$A:$AC,2,FALSE))="JBL",(VLOOKUP(Table6[[#This Row],[SKU]],'All Skus'!$A:$AC,10,FALSE)),""))</f>
        <v>Please email CustomAudio@harman.com for quote</v>
      </c>
      <c r="J568" s="101">
        <f>(IF((VLOOKUP(Table6[[#This Row],[SKU]],'All Skus'!$A:$AC,2,FALSE))="JBL",(VLOOKUP(Table6[[#This Row],[SKU]],'All Skus'!$A:$AC,11,FALSE)),""))</f>
        <v>0</v>
      </c>
      <c r="K568" s="102">
        <f>(IF((VLOOKUP(Table6[[#This Row],[SKU]],'All Skus'!$A:$AC,2,FALSE))="JBL",(VLOOKUP(Table6[[#This Row],[SKU]],'All Skus'!$A:$AC,13,FALSE)),""))</f>
        <v>0</v>
      </c>
      <c r="L568" s="102">
        <f>(IF((VLOOKUP(Table6[[#This Row],[SKU]],'All Skus'!$A:$AC,2,FALSE))="JBL",(VLOOKUP(Table6[[#This Row],[SKU]],'All Skus'!$A:$AC,14,FALSE)),""))</f>
        <v>0</v>
      </c>
      <c r="M568" s="143">
        <f>(IF((VLOOKUP(Table6[[#This Row],[SKU]],'All Skus'!$A:$AC,2,FALSE))="JBL",(VLOOKUP(Table6[[#This Row],[SKU]],'All Skus'!$A:$AC,15,FALSE)),""))</f>
        <v>0</v>
      </c>
      <c r="N568" s="137">
        <f>(IF((VLOOKUP(Table6[[#This Row],[SKU]],'All Skus'!$A:$AC,2,FALSE))="JBL",(VLOOKUP(Table6[[#This Row],[SKU]],'All Skus'!$A:$AC,16,FALSE)),""))</f>
        <v>691991031984</v>
      </c>
      <c r="O568" s="61">
        <f>(IF((VLOOKUP(Table6[[#This Row],[SKU]],'All Skus'!$A:$AC,2,FALSE))="JBL",(VLOOKUP(Table6[[#This Row],[SKU]],'All Skus'!$A:$AC,17,FALSE)),""))</f>
        <v>0</v>
      </c>
      <c r="P568" s="136">
        <f>(IF((VLOOKUP(Table6[[#This Row],[SKU]],'All Skus'!$A:$AC,2,FALSE))="JBL",(VLOOKUP(Table6[[#This Row],[SKU]],'All Skus'!$A:$AC,18,FALSE)),""))</f>
        <v>171</v>
      </c>
      <c r="Q568" s="136">
        <f>(IF((VLOOKUP(Table6[[#This Row],[SKU]],'All Skus'!$A:$AC,2,FALSE))="JBL",(VLOOKUP(Table6[[#This Row],[SKU]],'All Skus'!$A:$AC,19,FALSE)),""))</f>
        <v>33</v>
      </c>
      <c r="R568" s="136">
        <f>(IF((VLOOKUP(Table6[[#This Row],[SKU]],'All Skus'!$A:$AC,2,FALSE))="JBL",(VLOOKUP(Table6[[#This Row],[SKU]],'All Skus'!$A:$AC,20,FALSE)),""))</f>
        <v>34</v>
      </c>
      <c r="S568" s="61">
        <f>(IF((VLOOKUP(Table6[[#This Row],[SKU]],'All Skus'!$A:$AC,2,FALSE))="JBL",(VLOOKUP(Table6[[#This Row],[SKU]],'All Skus'!$A:$AC,21,FALSE)),""))</f>
        <v>27</v>
      </c>
      <c r="T568" s="61" t="str">
        <f>(IF((VLOOKUP(Table6[[#This Row],[SKU]],'All Skus'!$A:$AC,2,FALSE))="JBL",(VLOOKUP(Table6[[#This Row],[SKU]],'All Skus'!$A:$AC,22,FALSE)),""))</f>
        <v>MX</v>
      </c>
      <c r="U568" t="str">
        <f>(IF((VLOOKUP(Table6[[#This Row],[SKU]],'All Skus'!$A:$AC,2,FALSE))="JBL",(VLOOKUP(Table6[[#This Row],[SKU]],'All Skus'!$A:$AC,23,FALSE)),""))</f>
        <v>Compliant</v>
      </c>
      <c r="V568" s="284" t="str">
        <f>HYPERLINK((IF((VLOOKUP(Table6[[#This Row],[SKU]],'All Skus'!$A:$AC,2,FALSE))="JBL",(VLOOKUP(Table6[[#This Row],[SKU]],'All Skus'!$A:$AC,24,FALSE)),"")))</f>
        <v/>
      </c>
      <c r="W568" s="151">
        <v>566</v>
      </c>
    </row>
    <row r="569" spans="1:23" ht="15" hidden="1" customHeight="1">
      <c r="A569" s="13" t="s">
        <v>1575</v>
      </c>
      <c r="B569" s="12" t="str">
        <f>(IF((VLOOKUP(Table6[[#This Row],[SKU]],'All Skus'!$A:$AC,2,FALSE))="JBL",(VLOOKUP(Table6[[#This Row],[SKU]],'All Skus'!$A:$AC,3,FALSE)),""))</f>
        <v>Custom Shop Item</v>
      </c>
      <c r="C569" s="12" t="str">
        <f>(IF((VLOOKUP(Table6[[#This Row],[SKU]],'All Skus'!$A:$AC,2,FALSE))="JBL",(VLOOKUP(Table6[[#This Row],[SKU]],'All Skus'!$A:$AC,4,FALSE)),""))</f>
        <v>PD525S-WRX</v>
      </c>
      <c r="D569" s="61" t="str">
        <f>(IF((VLOOKUP(Table6[[#This Row],[SKU]],'All Skus'!$A:$AC,2,FALSE))="JBL",(VLOOKUP(Table6[[#This Row],[SKU]],'All Skus'!$A:$AC,5,FALSE)),""))</f>
        <v>JBL050</v>
      </c>
      <c r="E569" s="137" t="str">
        <f>(IF((VLOOKUP(Table6[[#This Row],[SKU]],'All Skus'!$A:$AC,2,FALSE))="JBL",(VLOOKUP(Table6[[#This Row],[SKU]],'All Skus'!$A:$AC,6,FALSE)),""))</f>
        <v>YES</v>
      </c>
      <c r="F569" s="61">
        <f>(IF((VLOOKUP(Table6[[#This Row],[SKU]],'All Skus'!$A:$AC,2,FALSE))="JBL",(VLOOKUP(Table6[[#This Row],[SKU]],'All Skus'!$A:$AC,7,FALSE)),""))</f>
        <v>0</v>
      </c>
      <c r="G569" t="str">
        <f>(IF((VLOOKUP(Table6[[#This Row],[SKU]],'All Skus'!$A:$AC,2,FALSE))="JBL",(VLOOKUP(Table6[[#This Row],[SKU]],'All Skus'!$A:$AC,8,FALSE)),""))</f>
        <v>Dual 15" Subwoofer</v>
      </c>
      <c r="H569" s="8" t="str">
        <f>(IF((VLOOKUP(Table6[[#This Row],[SKU]],'All Skus'!$A:$AC,2,FALSE))="JBL",(VLOOKUP(Table6[[#This Row],[SKU]],'All Skus'!$A:$AC,9,FALSE)),""))</f>
        <v>Dual 15" 2275H Differential Driver® with dual 75mm (3 in) voice coils and dual magnetic gap subwoofer system. With Extreme Weather Protection Treatment.</v>
      </c>
      <c r="I569" s="101" t="str">
        <f>(IF((VLOOKUP(Table6[[#This Row],[SKU]],'All Skus'!$A:$AC,2,FALSE))="JBL",(VLOOKUP(Table6[[#This Row],[SKU]],'All Skus'!$A:$AC,10,FALSE)),""))</f>
        <v>Please email CustomAudio@harman.com for quote</v>
      </c>
      <c r="J569" s="101">
        <f>(IF((VLOOKUP(Table6[[#This Row],[SKU]],'All Skus'!$A:$AC,2,FALSE))="JBL",(VLOOKUP(Table6[[#This Row],[SKU]],'All Skus'!$A:$AC,11,FALSE)),""))</f>
        <v>0</v>
      </c>
      <c r="K569" s="102">
        <f>(IF((VLOOKUP(Table6[[#This Row],[SKU]],'All Skus'!$A:$AC,2,FALSE))="JBL",(VLOOKUP(Table6[[#This Row],[SKU]],'All Skus'!$A:$AC,13,FALSE)),""))</f>
        <v>0</v>
      </c>
      <c r="L569" s="102">
        <f>(IF((VLOOKUP(Table6[[#This Row],[SKU]],'All Skus'!$A:$AC,2,FALSE))="JBL",(VLOOKUP(Table6[[#This Row],[SKU]],'All Skus'!$A:$AC,14,FALSE)),""))</f>
        <v>0</v>
      </c>
      <c r="M569" s="143">
        <f>(IF((VLOOKUP(Table6[[#This Row],[SKU]],'All Skus'!$A:$AC,2,FALSE))="JBL",(VLOOKUP(Table6[[#This Row],[SKU]],'All Skus'!$A:$AC,15,FALSE)),""))</f>
        <v>0</v>
      </c>
      <c r="N569" s="137">
        <f>(IF((VLOOKUP(Table6[[#This Row],[SKU]],'All Skus'!$A:$AC,2,FALSE))="JBL",(VLOOKUP(Table6[[#This Row],[SKU]],'All Skus'!$A:$AC,16,FALSE)),""))</f>
        <v>691991039188</v>
      </c>
      <c r="O569" s="61">
        <f>(IF((VLOOKUP(Table6[[#This Row],[SKU]],'All Skus'!$A:$AC,2,FALSE))="JBL",(VLOOKUP(Table6[[#This Row],[SKU]],'All Skus'!$A:$AC,17,FALSE)),""))</f>
        <v>0</v>
      </c>
      <c r="P569" s="136">
        <f>(IF((VLOOKUP(Table6[[#This Row],[SKU]],'All Skus'!$A:$AC,2,FALSE))="JBL",(VLOOKUP(Table6[[#This Row],[SKU]],'All Skus'!$A:$AC,18,FALSE)),""))</f>
        <v>167</v>
      </c>
      <c r="Q569" s="136">
        <f>(IF((VLOOKUP(Table6[[#This Row],[SKU]],'All Skus'!$A:$AC,2,FALSE))="JBL",(VLOOKUP(Table6[[#This Row],[SKU]],'All Skus'!$A:$AC,19,FALSE)),""))</f>
        <v>33.5</v>
      </c>
      <c r="R569" s="136">
        <f>(IF((VLOOKUP(Table6[[#This Row],[SKU]],'All Skus'!$A:$AC,2,FALSE))="JBL",(VLOOKUP(Table6[[#This Row],[SKU]],'All Skus'!$A:$AC,20,FALSE)),""))</f>
        <v>34</v>
      </c>
      <c r="S569" s="61">
        <f>(IF((VLOOKUP(Table6[[#This Row],[SKU]],'All Skus'!$A:$AC,2,FALSE))="JBL",(VLOOKUP(Table6[[#This Row],[SKU]],'All Skus'!$A:$AC,21,FALSE)),""))</f>
        <v>27</v>
      </c>
      <c r="T569" s="61" t="str">
        <f>(IF((VLOOKUP(Table6[[#This Row],[SKU]],'All Skus'!$A:$AC,2,FALSE))="JBL",(VLOOKUP(Table6[[#This Row],[SKU]],'All Skus'!$A:$AC,22,FALSE)),""))</f>
        <v>MX</v>
      </c>
      <c r="U569" t="str">
        <f>(IF((VLOOKUP(Table6[[#This Row],[SKU]],'All Skus'!$A:$AC,2,FALSE))="JBL",(VLOOKUP(Table6[[#This Row],[SKU]],'All Skus'!$A:$AC,23,FALSE)),""))</f>
        <v>Compliant</v>
      </c>
      <c r="V569" s="284" t="str">
        <f>HYPERLINK((IF((VLOOKUP(Table6[[#This Row],[SKU]],'All Skus'!$A:$AC,2,FALSE))="JBL",(VLOOKUP(Table6[[#This Row],[SKU]],'All Skus'!$A:$AC,24,FALSE)),"")))</f>
        <v/>
      </c>
      <c r="W569" s="151">
        <v>567</v>
      </c>
    </row>
    <row r="570" spans="1:23" ht="15" hidden="1" customHeight="1">
      <c r="A570" s="13" t="s">
        <v>1576</v>
      </c>
      <c r="B570" s="12" t="str">
        <f>(IF((VLOOKUP(Table6[[#This Row],[SKU]],'All Skus'!$A:$AC,2,FALSE))="JBL",(VLOOKUP(Table6[[#This Row],[SKU]],'All Skus'!$A:$AC,3,FALSE)),""))</f>
        <v>PD Series</v>
      </c>
      <c r="C570" s="12" t="str">
        <f>(IF((VLOOKUP(Table6[[#This Row],[SKU]],'All Skus'!$A:$AC,2,FALSE))="JBL",(VLOOKUP(Table6[[#This Row],[SKU]],'All Skus'!$A:$AC,4,FALSE)),""))</f>
        <v>PD544</v>
      </c>
      <c r="D570" s="61" t="str">
        <f>(IF((VLOOKUP(Table6[[#This Row],[SKU]],'All Skus'!$A:$AC,2,FALSE))="JBL",(VLOOKUP(Table6[[#This Row],[SKU]],'All Skus'!$A:$AC,5,FALSE)),""))</f>
        <v>JBL051</v>
      </c>
      <c r="E570" s="137">
        <f>(IF((VLOOKUP(Table6[[#This Row],[SKU]],'All Skus'!$A:$AC,2,FALSE))="JBL",(VLOOKUP(Table6[[#This Row],[SKU]],'All Skus'!$A:$AC,6,FALSE)),""))</f>
        <v>0</v>
      </c>
      <c r="F570" s="61">
        <f>(IF((VLOOKUP(Table6[[#This Row],[SKU]],'All Skus'!$A:$AC,2,FALSE))="JBL",(VLOOKUP(Table6[[#This Row],[SKU]],'All Skus'!$A:$AC,7,FALSE)),""))</f>
        <v>0</v>
      </c>
      <c r="G570" t="str">
        <f>(IF((VLOOKUP(Table6[[#This Row],[SKU]],'All Skus'!$A:$AC,2,FALSE))="JBL",(VLOOKUP(Table6[[#This Row],[SKU]],'All Skus'!$A:$AC,8,FALSE)),""))</f>
        <v>15" 2-way full-range, 40 X 40</v>
      </c>
      <c r="H570" s="8" t="str">
        <f>(IF((VLOOKUP(Table6[[#This Row],[SKU]],'All Skus'!$A:$AC,2,FALSE))="JBL",(VLOOKUP(Table6[[#This Row],[SKU]],'All Skus'!$A:$AC,9,FALSE)),""))</f>
        <v xml:space="preserve">15" Horn-Loaded 2-way full-range system, 40? x 40? coverage pattern with 2432H 38mm (1.5 in) exit, 
75mm (3 in) voice coil and 2031H 15" low-frequency driver with 75mm (3 in) voice coil, 8 ohm nominal system impedance.
</v>
      </c>
      <c r="I570" s="101">
        <f>(IF((VLOOKUP(Table6[[#This Row],[SKU]],'All Skus'!$A:$AC,2,FALSE))="JBL",(VLOOKUP(Table6[[#This Row],[SKU]],'All Skus'!$A:$AC,10,FALSE)),""))</f>
        <v>4376</v>
      </c>
      <c r="J570" s="101">
        <f>(IF((VLOOKUP(Table6[[#This Row],[SKU]],'All Skus'!$A:$AC,2,FALSE))="JBL",(VLOOKUP(Table6[[#This Row],[SKU]],'All Skus'!$A:$AC,11,FALSE)),""))</f>
        <v>4376</v>
      </c>
      <c r="K570" s="102">
        <f>(IF((VLOOKUP(Table6[[#This Row],[SKU]],'All Skus'!$A:$AC,2,FALSE))="JBL",(VLOOKUP(Table6[[#This Row],[SKU]],'All Skus'!$A:$AC,13,FALSE)),""))</f>
        <v>0</v>
      </c>
      <c r="L570" s="102">
        <f>(IF((VLOOKUP(Table6[[#This Row],[SKU]],'All Skus'!$A:$AC,2,FALSE))="JBL",(VLOOKUP(Table6[[#This Row],[SKU]],'All Skus'!$A:$AC,14,FALSE)),""))</f>
        <v>0</v>
      </c>
      <c r="M570" s="143">
        <f>(IF((VLOOKUP(Table6[[#This Row],[SKU]],'All Skus'!$A:$AC,2,FALSE))="JBL",(VLOOKUP(Table6[[#This Row],[SKU]],'All Skus'!$A:$AC,15,FALSE)),""))</f>
        <v>0</v>
      </c>
      <c r="N570" s="137">
        <f>(IF((VLOOKUP(Table6[[#This Row],[SKU]],'All Skus'!$A:$AC,2,FALSE))="JBL",(VLOOKUP(Table6[[#This Row],[SKU]],'All Skus'!$A:$AC,16,FALSE)),""))</f>
        <v>691991014796</v>
      </c>
      <c r="O570" s="61">
        <f>(IF((VLOOKUP(Table6[[#This Row],[SKU]],'All Skus'!$A:$AC,2,FALSE))="JBL",(VLOOKUP(Table6[[#This Row],[SKU]],'All Skus'!$A:$AC,17,FALSE)),""))</f>
        <v>0</v>
      </c>
      <c r="P570" s="136">
        <f>(IF((VLOOKUP(Table6[[#This Row],[SKU]],'All Skus'!$A:$AC,2,FALSE))="JBL",(VLOOKUP(Table6[[#This Row],[SKU]],'All Skus'!$A:$AC,18,FALSE)),""))</f>
        <v>162</v>
      </c>
      <c r="Q570" s="136">
        <f>(IF((VLOOKUP(Table6[[#This Row],[SKU]],'All Skus'!$A:$AC,2,FALSE))="JBL",(VLOOKUP(Table6[[#This Row],[SKU]],'All Skus'!$A:$AC,19,FALSE)),""))</f>
        <v>33.5</v>
      </c>
      <c r="R570" s="136">
        <f>(IF((VLOOKUP(Table6[[#This Row],[SKU]],'All Skus'!$A:$AC,2,FALSE))="JBL",(VLOOKUP(Table6[[#This Row],[SKU]],'All Skus'!$A:$AC,20,FALSE)),""))</f>
        <v>34</v>
      </c>
      <c r="S570" s="61">
        <f>(IF((VLOOKUP(Table6[[#This Row],[SKU]],'All Skus'!$A:$AC,2,FALSE))="JBL",(VLOOKUP(Table6[[#This Row],[SKU]],'All Skus'!$A:$AC,21,FALSE)),""))</f>
        <v>27.25</v>
      </c>
      <c r="T570" s="61" t="str">
        <f>(IF((VLOOKUP(Table6[[#This Row],[SKU]],'All Skus'!$A:$AC,2,FALSE))="JBL",(VLOOKUP(Table6[[#This Row],[SKU]],'All Skus'!$A:$AC,22,FALSE)),""))</f>
        <v>MX</v>
      </c>
      <c r="U570" t="str">
        <f>(IF((VLOOKUP(Table6[[#This Row],[SKU]],'All Skus'!$A:$AC,2,FALSE))="JBL",(VLOOKUP(Table6[[#This Row],[SKU]],'All Skus'!$A:$AC,23,FALSE)),""))</f>
        <v>Compliant</v>
      </c>
      <c r="V570" s="284" t="str">
        <f>HYPERLINK((IF((VLOOKUP(Table6[[#This Row],[SKU]],'All Skus'!$A:$AC,2,FALSE))="JBL",(VLOOKUP(Table6[[#This Row],[SKU]],'All Skus'!$A:$AC,24,FALSE)),"")))</f>
        <v/>
      </c>
      <c r="W570" s="151">
        <v>568</v>
      </c>
    </row>
    <row r="571" spans="1:23" ht="15" hidden="1" customHeight="1">
      <c r="A571" s="13" t="s">
        <v>1577</v>
      </c>
      <c r="B571" s="12" t="str">
        <f>(IF((VLOOKUP(Table6[[#This Row],[SKU]],'All Skus'!$A:$AC,2,FALSE))="JBL",(VLOOKUP(Table6[[#This Row],[SKU]],'All Skus'!$A:$AC,3,FALSE)),""))</f>
        <v>PD Series</v>
      </c>
      <c r="C571" s="12" t="str">
        <f>(IF((VLOOKUP(Table6[[#This Row],[SKU]],'All Skus'!$A:$AC,2,FALSE))="JBL",(VLOOKUP(Table6[[#This Row],[SKU]],'All Skus'!$A:$AC,4,FALSE)),""))</f>
        <v>PD544 - WH</v>
      </c>
      <c r="D571" s="61">
        <f>(IF((VLOOKUP(Table6[[#This Row],[SKU]],'All Skus'!$A:$AC,2,FALSE))="JBL",(VLOOKUP(Table6[[#This Row],[SKU]],'All Skus'!$A:$AC,5,FALSE)),""))</f>
        <v>0</v>
      </c>
      <c r="E571" s="137">
        <f>(IF((VLOOKUP(Table6[[#This Row],[SKU]],'All Skus'!$A:$AC,2,FALSE))="JBL",(VLOOKUP(Table6[[#This Row],[SKU]],'All Skus'!$A:$AC,6,FALSE)),""))</f>
        <v>0</v>
      </c>
      <c r="F571" s="61">
        <f>(IF((VLOOKUP(Table6[[#This Row],[SKU]],'All Skus'!$A:$AC,2,FALSE))="JBL",(VLOOKUP(Table6[[#This Row],[SKU]],'All Skus'!$A:$AC,7,FALSE)),""))</f>
        <v>0</v>
      </c>
      <c r="G571" t="str">
        <f>(IF((VLOOKUP(Table6[[#This Row],[SKU]],'All Skus'!$A:$AC,2,FALSE))="JBL",(VLOOKUP(Table6[[#This Row],[SKU]],'All Skus'!$A:$AC,8,FALSE)),""))</f>
        <v>15" 2-way full-range, 40 X 40</v>
      </c>
      <c r="H571" s="8" t="str">
        <f>(IF((VLOOKUP(Table6[[#This Row],[SKU]],'All Skus'!$A:$AC,2,FALSE))="JBL",(VLOOKUP(Table6[[#This Row],[SKU]],'All Skus'!$A:$AC,9,FALSE)),""))</f>
        <v xml:space="preserve">15" Horn-Loaded 2-way full-range system, 40? x 40? coverage pattern with 2432H 38mm (1.5 in) exit, 
75mm (3 in) voice coil and 2031H 15" low-frequency driver with 75mm (3 in) voice coil, 8 ohm nominal system impedance. *NEW*
</v>
      </c>
      <c r="I571" s="101">
        <f>(IF((VLOOKUP(Table6[[#This Row],[SKU]],'All Skus'!$A:$AC,2,FALSE))="JBL",(VLOOKUP(Table6[[#This Row],[SKU]],'All Skus'!$A:$AC,10,FALSE)),""))</f>
        <v>4376</v>
      </c>
      <c r="J571" s="101">
        <f>(IF((VLOOKUP(Table6[[#This Row],[SKU]],'All Skus'!$A:$AC,2,FALSE))="JBL",(VLOOKUP(Table6[[#This Row],[SKU]],'All Skus'!$A:$AC,11,FALSE)),""))</f>
        <v>4376</v>
      </c>
      <c r="K571" s="102">
        <f>(IF((VLOOKUP(Table6[[#This Row],[SKU]],'All Skus'!$A:$AC,2,FALSE))="JBL",(VLOOKUP(Table6[[#This Row],[SKU]],'All Skus'!$A:$AC,13,FALSE)),""))</f>
        <v>0</v>
      </c>
      <c r="L571" s="102">
        <f>(IF((VLOOKUP(Table6[[#This Row],[SKU]],'All Skus'!$A:$AC,2,FALSE))="JBL",(VLOOKUP(Table6[[#This Row],[SKU]],'All Skus'!$A:$AC,14,FALSE)),""))</f>
        <v>0</v>
      </c>
      <c r="M571" s="143">
        <f>(IF((VLOOKUP(Table6[[#This Row],[SKU]],'All Skus'!$A:$AC,2,FALSE))="JBL",(VLOOKUP(Table6[[#This Row],[SKU]],'All Skus'!$A:$AC,15,FALSE)),""))</f>
        <v>0</v>
      </c>
      <c r="N571" s="137">
        <f>(IF((VLOOKUP(Table6[[#This Row],[SKU]],'All Skus'!$A:$AC,2,FALSE))="JBL",(VLOOKUP(Table6[[#This Row],[SKU]],'All Skus'!$A:$AC,16,FALSE)),""))</f>
        <v>0</v>
      </c>
      <c r="O571" s="61">
        <f>(IF((VLOOKUP(Table6[[#This Row],[SKU]],'All Skus'!$A:$AC,2,FALSE))="JBL",(VLOOKUP(Table6[[#This Row],[SKU]],'All Skus'!$A:$AC,17,FALSE)),""))</f>
        <v>0</v>
      </c>
      <c r="P571" s="136">
        <f>(IF((VLOOKUP(Table6[[#This Row],[SKU]],'All Skus'!$A:$AC,2,FALSE))="JBL",(VLOOKUP(Table6[[#This Row],[SKU]],'All Skus'!$A:$AC,18,FALSE)),""))</f>
        <v>0</v>
      </c>
      <c r="Q571" s="136">
        <f>(IF((VLOOKUP(Table6[[#This Row],[SKU]],'All Skus'!$A:$AC,2,FALSE))="JBL",(VLOOKUP(Table6[[#This Row],[SKU]],'All Skus'!$A:$AC,19,FALSE)),""))</f>
        <v>0</v>
      </c>
      <c r="R571" s="136">
        <f>(IF((VLOOKUP(Table6[[#This Row],[SKU]],'All Skus'!$A:$AC,2,FALSE))="JBL",(VLOOKUP(Table6[[#This Row],[SKU]],'All Skus'!$A:$AC,20,FALSE)),""))</f>
        <v>0</v>
      </c>
      <c r="S571" s="61">
        <f>(IF((VLOOKUP(Table6[[#This Row],[SKU]],'All Skus'!$A:$AC,2,FALSE))="JBL",(VLOOKUP(Table6[[#This Row],[SKU]],'All Skus'!$A:$AC,21,FALSE)),""))</f>
        <v>0</v>
      </c>
      <c r="T571" s="61" t="str">
        <f>(IF((VLOOKUP(Table6[[#This Row],[SKU]],'All Skus'!$A:$AC,2,FALSE))="JBL",(VLOOKUP(Table6[[#This Row],[SKU]],'All Skus'!$A:$AC,22,FALSE)),""))</f>
        <v>MX</v>
      </c>
      <c r="U571" t="str">
        <f>(IF((VLOOKUP(Table6[[#This Row],[SKU]],'All Skus'!$A:$AC,2,FALSE))="JBL",(VLOOKUP(Table6[[#This Row],[SKU]],'All Skus'!$A:$AC,23,FALSE)),""))</f>
        <v>Compliant</v>
      </c>
      <c r="V571" s="284" t="str">
        <f>HYPERLINK((IF((VLOOKUP(Table6[[#This Row],[SKU]],'All Skus'!$A:$AC,2,FALSE))="JBL",(VLOOKUP(Table6[[#This Row],[SKU]],'All Skus'!$A:$AC,24,FALSE)),"")))</f>
        <v/>
      </c>
      <c r="W571" s="151">
        <v>569</v>
      </c>
    </row>
    <row r="572" spans="1:23" ht="15" hidden="1" customHeight="1">
      <c r="A572" s="13" t="s">
        <v>1578</v>
      </c>
      <c r="B572" s="12" t="str">
        <f>(IF((VLOOKUP(Table6[[#This Row],[SKU]],'All Skus'!$A:$AC,2,FALSE))="JBL",(VLOOKUP(Table6[[#This Row],[SKU]],'All Skus'!$A:$AC,3,FALSE)),""))</f>
        <v>Custom Shop Item</v>
      </c>
      <c r="C572" s="12" t="str">
        <f>(IF((VLOOKUP(Table6[[#This Row],[SKU]],'All Skus'!$A:$AC,2,FALSE))="JBL",(VLOOKUP(Table6[[#This Row],[SKU]],'All Skus'!$A:$AC,4,FALSE)),""))</f>
        <v>PD544-WRC</v>
      </c>
      <c r="D572" s="61" t="str">
        <f>(IF((VLOOKUP(Table6[[#This Row],[SKU]],'All Skus'!$A:$AC,2,FALSE))="JBL",(VLOOKUP(Table6[[#This Row],[SKU]],'All Skus'!$A:$AC,5,FALSE)),""))</f>
        <v>JBL050</v>
      </c>
      <c r="E572" s="137" t="str">
        <f>(IF((VLOOKUP(Table6[[#This Row],[SKU]],'All Skus'!$A:$AC,2,FALSE))="JBL",(VLOOKUP(Table6[[#This Row],[SKU]],'All Skus'!$A:$AC,6,FALSE)),""))</f>
        <v>YES</v>
      </c>
      <c r="F572" s="61">
        <f>(IF((VLOOKUP(Table6[[#This Row],[SKU]],'All Skus'!$A:$AC,2,FALSE))="JBL",(VLOOKUP(Table6[[#This Row],[SKU]],'All Skus'!$A:$AC,7,FALSE)),""))</f>
        <v>0</v>
      </c>
      <c r="G572" t="str">
        <f>(IF((VLOOKUP(Table6[[#This Row],[SKU]],'All Skus'!$A:$AC,2,FALSE))="JBL",(VLOOKUP(Table6[[#This Row],[SKU]],'All Skus'!$A:$AC,8,FALSE)),""))</f>
        <v>15" Horn-loaded 2-way full-range loudspeaker</v>
      </c>
      <c r="H572" s="8" t="str">
        <f>(IF((VLOOKUP(Table6[[#This Row],[SKU]],'All Skus'!$A:$AC,2,FALSE))="JBL",(VLOOKUP(Table6[[#This Row],[SKU]],'All Skus'!$A:$AC,9,FALSE)),""))</f>
        <v>15" Horn-loaded 2-way full-range loudspeaker system, 40? x 40? coverage pattern with 2432H 38mm (1.5 in) exit, 75mm (3 in) voice coil HF driver and 2031H 75mm (3 in) voice coil LF driver. With Weather Protection Treatment.8-10 weeks ship time for orders of 1-10, larger needs to be reviewed</v>
      </c>
      <c r="I572" s="101" t="str">
        <f>(IF((VLOOKUP(Table6[[#This Row],[SKU]],'All Skus'!$A:$AC,2,FALSE))="JBL",(VLOOKUP(Table6[[#This Row],[SKU]],'All Skus'!$A:$AC,10,FALSE)),""))</f>
        <v>Please email CustomAudio@harman.com for quote</v>
      </c>
      <c r="J572" s="101">
        <f>(IF((VLOOKUP(Table6[[#This Row],[SKU]],'All Skus'!$A:$AC,2,FALSE))="JBL",(VLOOKUP(Table6[[#This Row],[SKU]],'All Skus'!$A:$AC,11,FALSE)),""))</f>
        <v>0</v>
      </c>
      <c r="K572" s="102">
        <f>(IF((VLOOKUP(Table6[[#This Row],[SKU]],'All Skus'!$A:$AC,2,FALSE))="JBL",(VLOOKUP(Table6[[#This Row],[SKU]],'All Skus'!$A:$AC,13,FALSE)),""))</f>
        <v>0</v>
      </c>
      <c r="L572" s="102">
        <f>(IF((VLOOKUP(Table6[[#This Row],[SKU]],'All Skus'!$A:$AC,2,FALSE))="JBL",(VLOOKUP(Table6[[#This Row],[SKU]],'All Skus'!$A:$AC,14,FALSE)),""))</f>
        <v>0</v>
      </c>
      <c r="M572" s="143">
        <f>(IF((VLOOKUP(Table6[[#This Row],[SKU]],'All Skus'!$A:$AC,2,FALSE))="JBL",(VLOOKUP(Table6[[#This Row],[SKU]],'All Skus'!$A:$AC,15,FALSE)),""))</f>
        <v>0</v>
      </c>
      <c r="N572" s="137">
        <f>(IF((VLOOKUP(Table6[[#This Row],[SKU]],'All Skus'!$A:$AC,2,FALSE))="JBL",(VLOOKUP(Table6[[#This Row],[SKU]],'All Skus'!$A:$AC,16,FALSE)),""))</f>
        <v>691991014802</v>
      </c>
      <c r="O572" s="61">
        <f>(IF((VLOOKUP(Table6[[#This Row],[SKU]],'All Skus'!$A:$AC,2,FALSE))="JBL",(VLOOKUP(Table6[[#This Row],[SKU]],'All Skus'!$A:$AC,17,FALSE)),""))</f>
        <v>0</v>
      </c>
      <c r="P572" s="136">
        <f>(IF((VLOOKUP(Table6[[#This Row],[SKU]],'All Skus'!$A:$AC,2,FALSE))="JBL",(VLOOKUP(Table6[[#This Row],[SKU]],'All Skus'!$A:$AC,18,FALSE)),""))</f>
        <v>0</v>
      </c>
      <c r="Q572" s="136">
        <f>(IF((VLOOKUP(Table6[[#This Row],[SKU]],'All Skus'!$A:$AC,2,FALSE))="JBL",(VLOOKUP(Table6[[#This Row],[SKU]],'All Skus'!$A:$AC,19,FALSE)),""))</f>
        <v>0</v>
      </c>
      <c r="R572" s="136">
        <f>(IF((VLOOKUP(Table6[[#This Row],[SKU]],'All Skus'!$A:$AC,2,FALSE))="JBL",(VLOOKUP(Table6[[#This Row],[SKU]],'All Skus'!$A:$AC,20,FALSE)),""))</f>
        <v>0</v>
      </c>
      <c r="S572" s="61">
        <f>(IF((VLOOKUP(Table6[[#This Row],[SKU]],'All Skus'!$A:$AC,2,FALSE))="JBL",(VLOOKUP(Table6[[#This Row],[SKU]],'All Skus'!$A:$AC,21,FALSE)),""))</f>
        <v>0</v>
      </c>
      <c r="T572" s="61" t="str">
        <f>(IF((VLOOKUP(Table6[[#This Row],[SKU]],'All Skus'!$A:$AC,2,FALSE))="JBL",(VLOOKUP(Table6[[#This Row],[SKU]],'All Skus'!$A:$AC,22,FALSE)),""))</f>
        <v>MX</v>
      </c>
      <c r="U572" t="str">
        <f>(IF((VLOOKUP(Table6[[#This Row],[SKU]],'All Skus'!$A:$AC,2,FALSE))="JBL",(VLOOKUP(Table6[[#This Row],[SKU]],'All Skus'!$A:$AC,23,FALSE)),""))</f>
        <v>Compliant</v>
      </c>
      <c r="V572" s="284" t="str">
        <f>HYPERLINK((IF((VLOOKUP(Table6[[#This Row],[SKU]],'All Skus'!$A:$AC,2,FALSE))="JBL",(VLOOKUP(Table6[[#This Row],[SKU]],'All Skus'!$A:$AC,24,FALSE)),"")))</f>
        <v/>
      </c>
      <c r="W572" s="151">
        <v>570</v>
      </c>
    </row>
    <row r="573" spans="1:23" ht="15" hidden="1" customHeight="1">
      <c r="A573" s="13" t="s">
        <v>1579</v>
      </c>
      <c r="B573" s="12" t="str">
        <f>(IF((VLOOKUP(Table6[[#This Row],[SKU]],'All Skus'!$A:$AC,2,FALSE))="JBL",(VLOOKUP(Table6[[#This Row],[SKU]],'All Skus'!$A:$AC,3,FALSE)),""))</f>
        <v>Custom Shop Item</v>
      </c>
      <c r="C573" s="12" t="str">
        <f>(IF((VLOOKUP(Table6[[#This Row],[SKU]],'All Skus'!$A:$AC,2,FALSE))="JBL",(VLOOKUP(Table6[[#This Row],[SKU]],'All Skus'!$A:$AC,4,FALSE)),""))</f>
        <v>PD544-WRX</v>
      </c>
      <c r="D573" s="61" t="str">
        <f>(IF((VLOOKUP(Table6[[#This Row],[SKU]],'All Skus'!$A:$AC,2,FALSE))="JBL",(VLOOKUP(Table6[[#This Row],[SKU]],'All Skus'!$A:$AC,5,FALSE)),""))</f>
        <v>JBL050</v>
      </c>
      <c r="E573" s="137" t="str">
        <f>(IF((VLOOKUP(Table6[[#This Row],[SKU]],'All Skus'!$A:$AC,2,FALSE))="JBL",(VLOOKUP(Table6[[#This Row],[SKU]],'All Skus'!$A:$AC,6,FALSE)),""))</f>
        <v>YES</v>
      </c>
      <c r="F573" s="61">
        <f>(IF((VLOOKUP(Table6[[#This Row],[SKU]],'All Skus'!$A:$AC,2,FALSE))="JBL",(VLOOKUP(Table6[[#This Row],[SKU]],'All Skus'!$A:$AC,7,FALSE)),""))</f>
        <v>0</v>
      </c>
      <c r="G573" t="str">
        <f>(IF((VLOOKUP(Table6[[#This Row],[SKU]],'All Skus'!$A:$AC,2,FALSE))="JBL",(VLOOKUP(Table6[[#This Row],[SKU]],'All Skus'!$A:$AC,8,FALSE)),""))</f>
        <v>15" Horn-loaded 2-way full-range loudspeaker</v>
      </c>
      <c r="H573" s="8" t="str">
        <f>(IF((VLOOKUP(Table6[[#This Row],[SKU]],'All Skus'!$A:$AC,2,FALSE))="JBL",(VLOOKUP(Table6[[#This Row],[SKU]],'All Skus'!$A:$AC,9,FALSE)),""))</f>
        <v>15" Horn-loaded 2-way full-range loudspeaker system, 40? x 40? coverage pattern with 2432H 38mm (1.5 in) exit, 75mm (3 in) voice coil HF driver and 2031H 75mm (3 in) voice coil LF driver. With Extreme Weather Protection Treatment.</v>
      </c>
      <c r="I573" s="101" t="str">
        <f>(IF((VLOOKUP(Table6[[#This Row],[SKU]],'All Skus'!$A:$AC,2,FALSE))="JBL",(VLOOKUP(Table6[[#This Row],[SKU]],'All Skus'!$A:$AC,10,FALSE)),""))</f>
        <v>Please email CustomAudio@harman.com for quote</v>
      </c>
      <c r="J573" s="101">
        <f>(IF((VLOOKUP(Table6[[#This Row],[SKU]],'All Skus'!$A:$AC,2,FALSE))="JBL",(VLOOKUP(Table6[[#This Row],[SKU]],'All Skus'!$A:$AC,11,FALSE)),""))</f>
        <v>0</v>
      </c>
      <c r="K573" s="102">
        <f>(IF((VLOOKUP(Table6[[#This Row],[SKU]],'All Skus'!$A:$AC,2,FALSE))="JBL",(VLOOKUP(Table6[[#This Row],[SKU]],'All Skus'!$A:$AC,13,FALSE)),""))</f>
        <v>0</v>
      </c>
      <c r="L573" s="102">
        <f>(IF((VLOOKUP(Table6[[#This Row],[SKU]],'All Skus'!$A:$AC,2,FALSE))="JBL",(VLOOKUP(Table6[[#This Row],[SKU]],'All Skus'!$A:$AC,14,FALSE)),""))</f>
        <v>0</v>
      </c>
      <c r="M573" s="143">
        <f>(IF((VLOOKUP(Table6[[#This Row],[SKU]],'All Skus'!$A:$AC,2,FALSE))="JBL",(VLOOKUP(Table6[[#This Row],[SKU]],'All Skus'!$A:$AC,15,FALSE)),""))</f>
        <v>0</v>
      </c>
      <c r="N573" s="137">
        <f>(IF((VLOOKUP(Table6[[#This Row],[SKU]],'All Skus'!$A:$AC,2,FALSE))="JBL",(VLOOKUP(Table6[[#This Row],[SKU]],'All Skus'!$A:$AC,16,FALSE)),""))</f>
        <v>691991014819</v>
      </c>
      <c r="O573" s="61">
        <f>(IF((VLOOKUP(Table6[[#This Row],[SKU]],'All Skus'!$A:$AC,2,FALSE))="JBL",(VLOOKUP(Table6[[#This Row],[SKU]],'All Skus'!$A:$AC,17,FALSE)),""))</f>
        <v>0</v>
      </c>
      <c r="P573" s="136">
        <f>(IF((VLOOKUP(Table6[[#This Row],[SKU]],'All Skus'!$A:$AC,2,FALSE))="JBL",(VLOOKUP(Table6[[#This Row],[SKU]],'All Skus'!$A:$AC,18,FALSE)),""))</f>
        <v>181</v>
      </c>
      <c r="Q573" s="136">
        <f>(IF((VLOOKUP(Table6[[#This Row],[SKU]],'All Skus'!$A:$AC,2,FALSE))="JBL",(VLOOKUP(Table6[[#This Row],[SKU]],'All Skus'!$A:$AC,19,FALSE)),""))</f>
        <v>33</v>
      </c>
      <c r="R573" s="136">
        <f>(IF((VLOOKUP(Table6[[#This Row],[SKU]],'All Skus'!$A:$AC,2,FALSE))="JBL",(VLOOKUP(Table6[[#This Row],[SKU]],'All Skus'!$A:$AC,20,FALSE)),""))</f>
        <v>34</v>
      </c>
      <c r="S573" s="61">
        <f>(IF((VLOOKUP(Table6[[#This Row],[SKU]],'All Skus'!$A:$AC,2,FALSE))="JBL",(VLOOKUP(Table6[[#This Row],[SKU]],'All Skus'!$A:$AC,21,FALSE)),""))</f>
        <v>27</v>
      </c>
      <c r="T573" s="61" t="str">
        <f>(IF((VLOOKUP(Table6[[#This Row],[SKU]],'All Skus'!$A:$AC,2,FALSE))="JBL",(VLOOKUP(Table6[[#This Row],[SKU]],'All Skus'!$A:$AC,22,FALSE)),""))</f>
        <v>MX</v>
      </c>
      <c r="U573" t="str">
        <f>(IF((VLOOKUP(Table6[[#This Row],[SKU]],'All Skus'!$A:$AC,2,FALSE))="JBL",(VLOOKUP(Table6[[#This Row],[SKU]],'All Skus'!$A:$AC,23,FALSE)),""))</f>
        <v>Compliant</v>
      </c>
      <c r="V573" s="284" t="str">
        <f>HYPERLINK((IF((VLOOKUP(Table6[[#This Row],[SKU]],'All Skus'!$A:$AC,2,FALSE))="JBL",(VLOOKUP(Table6[[#This Row],[SKU]],'All Skus'!$A:$AC,24,FALSE)),"")))</f>
        <v/>
      </c>
      <c r="W573" s="151">
        <v>571</v>
      </c>
    </row>
    <row r="574" spans="1:23" ht="15" hidden="1" customHeight="1">
      <c r="A574" s="13" t="s">
        <v>1580</v>
      </c>
      <c r="B574" s="12" t="str">
        <f>(IF((VLOOKUP(Table6[[#This Row],[SKU]],'All Skus'!$A:$AC,2,FALSE))="JBL",(VLOOKUP(Table6[[#This Row],[SKU]],'All Skus'!$A:$AC,3,FALSE)),""))</f>
        <v>PD Series</v>
      </c>
      <c r="C574" s="12" t="str">
        <f>(IF((VLOOKUP(Table6[[#This Row],[SKU]],'All Skus'!$A:$AC,2,FALSE))="JBL",(VLOOKUP(Table6[[#This Row],[SKU]],'All Skus'!$A:$AC,4,FALSE)),""))</f>
        <v>PD564</v>
      </c>
      <c r="D574" s="61" t="str">
        <f>(IF((VLOOKUP(Table6[[#This Row],[SKU]],'All Skus'!$A:$AC,2,FALSE))="JBL",(VLOOKUP(Table6[[#This Row],[SKU]],'All Skus'!$A:$AC,5,FALSE)),""))</f>
        <v>JBL051</v>
      </c>
      <c r="E574" s="137">
        <f>(IF((VLOOKUP(Table6[[#This Row],[SKU]],'All Skus'!$A:$AC,2,FALSE))="JBL",(VLOOKUP(Table6[[#This Row],[SKU]],'All Skus'!$A:$AC,6,FALSE)),""))</f>
        <v>0</v>
      </c>
      <c r="F574" s="61">
        <f>(IF((VLOOKUP(Table6[[#This Row],[SKU]],'All Skus'!$A:$AC,2,FALSE))="JBL",(VLOOKUP(Table6[[#This Row],[SKU]],'All Skus'!$A:$AC,7,FALSE)),""))</f>
        <v>0</v>
      </c>
      <c r="G574" t="str">
        <f>(IF((VLOOKUP(Table6[[#This Row],[SKU]],'All Skus'!$A:$AC,2,FALSE))="JBL",(VLOOKUP(Table6[[#This Row],[SKU]],'All Skus'!$A:$AC,8,FALSE)),""))</f>
        <v>15" 2-way full-range, 60 X 40</v>
      </c>
      <c r="H574" s="8" t="str">
        <f>(IF((VLOOKUP(Table6[[#This Row],[SKU]],'All Skus'!$A:$AC,2,FALSE))="JBL",(VLOOKUP(Table6[[#This Row],[SKU]],'All Skus'!$A:$AC,9,FALSE)),""))</f>
        <v xml:space="preserve">15" Horn-Loaded 2-way full-range system, rotatable 
60? x 40? coverage pattern with 2432H 38mm (1.5 in) exit, 75mm (3 in) voice coil and 2031H 15" low-frequency driver with 75mm (3 in) voice coil, 8 ohm nominal system impedance.
</v>
      </c>
      <c r="I574" s="101">
        <f>(IF((VLOOKUP(Table6[[#This Row],[SKU]],'All Skus'!$A:$AC,2,FALSE))="JBL",(VLOOKUP(Table6[[#This Row],[SKU]],'All Skus'!$A:$AC,10,FALSE)),""))</f>
        <v>4370</v>
      </c>
      <c r="J574" s="101">
        <f>(IF((VLOOKUP(Table6[[#This Row],[SKU]],'All Skus'!$A:$AC,2,FALSE))="JBL",(VLOOKUP(Table6[[#This Row],[SKU]],'All Skus'!$A:$AC,11,FALSE)),""))</f>
        <v>4370</v>
      </c>
      <c r="K574" s="102">
        <f>(IF((VLOOKUP(Table6[[#This Row],[SKU]],'All Skus'!$A:$AC,2,FALSE))="JBL",(VLOOKUP(Table6[[#This Row],[SKU]],'All Skus'!$A:$AC,13,FALSE)),""))</f>
        <v>0</v>
      </c>
      <c r="L574" s="102">
        <f>(IF((VLOOKUP(Table6[[#This Row],[SKU]],'All Skus'!$A:$AC,2,FALSE))="JBL",(VLOOKUP(Table6[[#This Row],[SKU]],'All Skus'!$A:$AC,14,FALSE)),""))</f>
        <v>0</v>
      </c>
      <c r="M574" s="143">
        <f>(IF((VLOOKUP(Table6[[#This Row],[SKU]],'All Skus'!$A:$AC,2,FALSE))="JBL",(VLOOKUP(Table6[[#This Row],[SKU]],'All Skus'!$A:$AC,15,FALSE)),""))</f>
        <v>0</v>
      </c>
      <c r="N574" s="137">
        <f>(IF((VLOOKUP(Table6[[#This Row],[SKU]],'All Skus'!$A:$AC,2,FALSE))="JBL",(VLOOKUP(Table6[[#This Row],[SKU]],'All Skus'!$A:$AC,16,FALSE)),""))</f>
        <v>691991014826</v>
      </c>
      <c r="O574" s="61">
        <f>(IF((VLOOKUP(Table6[[#This Row],[SKU]],'All Skus'!$A:$AC,2,FALSE))="JBL",(VLOOKUP(Table6[[#This Row],[SKU]],'All Skus'!$A:$AC,17,FALSE)),""))</f>
        <v>0</v>
      </c>
      <c r="P574" s="136">
        <f>(IF((VLOOKUP(Table6[[#This Row],[SKU]],'All Skus'!$A:$AC,2,FALSE))="JBL",(VLOOKUP(Table6[[#This Row],[SKU]],'All Skus'!$A:$AC,18,FALSE)),""))</f>
        <v>154</v>
      </c>
      <c r="Q574" s="136">
        <f>(IF((VLOOKUP(Table6[[#This Row],[SKU]],'All Skus'!$A:$AC,2,FALSE))="JBL",(VLOOKUP(Table6[[#This Row],[SKU]],'All Skus'!$A:$AC,19,FALSE)),""))</f>
        <v>33</v>
      </c>
      <c r="R574" s="136">
        <f>(IF((VLOOKUP(Table6[[#This Row],[SKU]],'All Skus'!$A:$AC,2,FALSE))="JBL",(VLOOKUP(Table6[[#This Row],[SKU]],'All Skus'!$A:$AC,20,FALSE)),""))</f>
        <v>33</v>
      </c>
      <c r="S574" s="61">
        <f>(IF((VLOOKUP(Table6[[#This Row],[SKU]],'All Skus'!$A:$AC,2,FALSE))="JBL",(VLOOKUP(Table6[[#This Row],[SKU]],'All Skus'!$A:$AC,21,FALSE)),""))</f>
        <v>26</v>
      </c>
      <c r="T574" s="61" t="str">
        <f>(IF((VLOOKUP(Table6[[#This Row],[SKU]],'All Skus'!$A:$AC,2,FALSE))="JBL",(VLOOKUP(Table6[[#This Row],[SKU]],'All Skus'!$A:$AC,22,FALSE)),""))</f>
        <v>MX</v>
      </c>
      <c r="U574" t="str">
        <f>(IF((VLOOKUP(Table6[[#This Row],[SKU]],'All Skus'!$A:$AC,2,FALSE))="JBL",(VLOOKUP(Table6[[#This Row],[SKU]],'All Skus'!$A:$AC,23,FALSE)),""))</f>
        <v>Compliant</v>
      </c>
      <c r="V574" s="284" t="str">
        <f>HYPERLINK((IF((VLOOKUP(Table6[[#This Row],[SKU]],'All Skus'!$A:$AC,2,FALSE))="JBL",(VLOOKUP(Table6[[#This Row],[SKU]],'All Skus'!$A:$AC,24,FALSE)),"")))</f>
        <v/>
      </c>
      <c r="W574" s="151">
        <v>572</v>
      </c>
    </row>
    <row r="575" spans="1:23" ht="15" hidden="1" customHeight="1">
      <c r="A575" s="13" t="s">
        <v>1581</v>
      </c>
      <c r="B575" s="12" t="str">
        <f>(IF((VLOOKUP(Table6[[#This Row],[SKU]],'All Skus'!$A:$AC,2,FALSE))="JBL",(VLOOKUP(Table6[[#This Row],[SKU]],'All Skus'!$A:$AC,3,FALSE)),""))</f>
        <v>PD Series</v>
      </c>
      <c r="C575" s="12" t="str">
        <f>(IF((VLOOKUP(Table6[[#This Row],[SKU]],'All Skus'!$A:$AC,2,FALSE))="JBL",(VLOOKUP(Table6[[#This Row],[SKU]],'All Skus'!$A:$AC,4,FALSE)),""))</f>
        <v>PD564 - WH</v>
      </c>
      <c r="D575" s="61">
        <f>(IF((VLOOKUP(Table6[[#This Row],[SKU]],'All Skus'!$A:$AC,2,FALSE))="JBL",(VLOOKUP(Table6[[#This Row],[SKU]],'All Skus'!$A:$AC,5,FALSE)),""))</f>
        <v>0</v>
      </c>
      <c r="E575" s="137">
        <f>(IF((VLOOKUP(Table6[[#This Row],[SKU]],'All Skus'!$A:$AC,2,FALSE))="JBL",(VLOOKUP(Table6[[#This Row],[SKU]],'All Skus'!$A:$AC,6,FALSE)),""))</f>
        <v>0</v>
      </c>
      <c r="F575" s="61">
        <f>(IF((VLOOKUP(Table6[[#This Row],[SKU]],'All Skus'!$A:$AC,2,FALSE))="JBL",(VLOOKUP(Table6[[#This Row],[SKU]],'All Skus'!$A:$AC,7,FALSE)),""))</f>
        <v>0</v>
      </c>
      <c r="G575" t="str">
        <f>(IF((VLOOKUP(Table6[[#This Row],[SKU]],'All Skus'!$A:$AC,2,FALSE))="JBL",(VLOOKUP(Table6[[#This Row],[SKU]],'All Skus'!$A:$AC,8,FALSE)),""))</f>
        <v>15" 2-way full-range, 60 X 40</v>
      </c>
      <c r="H575" s="8" t="str">
        <f>(IF((VLOOKUP(Table6[[#This Row],[SKU]],'All Skus'!$A:$AC,2,FALSE))="JBL",(VLOOKUP(Table6[[#This Row],[SKU]],'All Skus'!$A:$AC,9,FALSE)),""))</f>
        <v xml:space="preserve">15" Horn-Loaded 2-way full-range system, rotatable 
60? x 40? coverage pattern with 2432H 38mm (1.5 in) exit, 75mm (3 in) voice coil and 2031H 15" low-frequency driver with 75mm (3 in) voice coil, 8 ohm nominal system impedance. *NEW*
</v>
      </c>
      <c r="I575" s="101">
        <f>(IF((VLOOKUP(Table6[[#This Row],[SKU]],'All Skus'!$A:$AC,2,FALSE))="JBL",(VLOOKUP(Table6[[#This Row],[SKU]],'All Skus'!$A:$AC,10,FALSE)),""))</f>
        <v>4370</v>
      </c>
      <c r="J575" s="101">
        <f>(IF((VLOOKUP(Table6[[#This Row],[SKU]],'All Skus'!$A:$AC,2,FALSE))="JBL",(VLOOKUP(Table6[[#This Row],[SKU]],'All Skus'!$A:$AC,11,FALSE)),""))</f>
        <v>4370</v>
      </c>
      <c r="K575" s="102">
        <f>(IF((VLOOKUP(Table6[[#This Row],[SKU]],'All Skus'!$A:$AC,2,FALSE))="JBL",(VLOOKUP(Table6[[#This Row],[SKU]],'All Skus'!$A:$AC,13,FALSE)),""))</f>
        <v>0</v>
      </c>
      <c r="L575" s="102">
        <f>(IF((VLOOKUP(Table6[[#This Row],[SKU]],'All Skus'!$A:$AC,2,FALSE))="JBL",(VLOOKUP(Table6[[#This Row],[SKU]],'All Skus'!$A:$AC,14,FALSE)),""))</f>
        <v>0</v>
      </c>
      <c r="M575" s="143">
        <f>(IF((VLOOKUP(Table6[[#This Row],[SKU]],'All Skus'!$A:$AC,2,FALSE))="JBL",(VLOOKUP(Table6[[#This Row],[SKU]],'All Skus'!$A:$AC,15,FALSE)),""))</f>
        <v>0</v>
      </c>
      <c r="N575" s="137">
        <f>(IF((VLOOKUP(Table6[[#This Row],[SKU]],'All Skus'!$A:$AC,2,FALSE))="JBL",(VLOOKUP(Table6[[#This Row],[SKU]],'All Skus'!$A:$AC,16,FALSE)),""))</f>
        <v>0</v>
      </c>
      <c r="O575" s="61">
        <f>(IF((VLOOKUP(Table6[[#This Row],[SKU]],'All Skus'!$A:$AC,2,FALSE))="JBL",(VLOOKUP(Table6[[#This Row],[SKU]],'All Skus'!$A:$AC,17,FALSE)),""))</f>
        <v>0</v>
      </c>
      <c r="P575" s="136">
        <f>(IF((VLOOKUP(Table6[[#This Row],[SKU]],'All Skus'!$A:$AC,2,FALSE))="JBL",(VLOOKUP(Table6[[#This Row],[SKU]],'All Skus'!$A:$AC,18,FALSE)),""))</f>
        <v>0</v>
      </c>
      <c r="Q575" s="136">
        <f>(IF((VLOOKUP(Table6[[#This Row],[SKU]],'All Skus'!$A:$AC,2,FALSE))="JBL",(VLOOKUP(Table6[[#This Row],[SKU]],'All Skus'!$A:$AC,19,FALSE)),""))</f>
        <v>0</v>
      </c>
      <c r="R575" s="136">
        <f>(IF((VLOOKUP(Table6[[#This Row],[SKU]],'All Skus'!$A:$AC,2,FALSE))="JBL",(VLOOKUP(Table6[[#This Row],[SKU]],'All Skus'!$A:$AC,20,FALSE)),""))</f>
        <v>0</v>
      </c>
      <c r="S575" s="61">
        <f>(IF((VLOOKUP(Table6[[#This Row],[SKU]],'All Skus'!$A:$AC,2,FALSE))="JBL",(VLOOKUP(Table6[[#This Row],[SKU]],'All Skus'!$A:$AC,21,FALSE)),""))</f>
        <v>0</v>
      </c>
      <c r="T575" s="61" t="str">
        <f>(IF((VLOOKUP(Table6[[#This Row],[SKU]],'All Skus'!$A:$AC,2,FALSE))="JBL",(VLOOKUP(Table6[[#This Row],[SKU]],'All Skus'!$A:$AC,22,FALSE)),""))</f>
        <v>MX</v>
      </c>
      <c r="U575" t="str">
        <f>(IF((VLOOKUP(Table6[[#This Row],[SKU]],'All Skus'!$A:$AC,2,FALSE))="JBL",(VLOOKUP(Table6[[#This Row],[SKU]],'All Skus'!$A:$AC,23,FALSE)),""))</f>
        <v>Compliant</v>
      </c>
      <c r="V575" s="284" t="str">
        <f>HYPERLINK((IF((VLOOKUP(Table6[[#This Row],[SKU]],'All Skus'!$A:$AC,2,FALSE))="JBL",(VLOOKUP(Table6[[#This Row],[SKU]],'All Skus'!$A:$AC,24,FALSE)),"")))</f>
        <v/>
      </c>
      <c r="W575" s="151">
        <v>573</v>
      </c>
    </row>
    <row r="576" spans="1:23" ht="15" hidden="1" customHeight="1">
      <c r="A576" s="13" t="s">
        <v>1582</v>
      </c>
      <c r="B576" s="12" t="str">
        <f>(IF((VLOOKUP(Table6[[#This Row],[SKU]],'All Skus'!$A:$AC,2,FALSE))="JBL",(VLOOKUP(Table6[[#This Row],[SKU]],'All Skus'!$A:$AC,3,FALSE)),""))</f>
        <v>Custom Shop Item</v>
      </c>
      <c r="C576" s="12" t="str">
        <f>(IF((VLOOKUP(Table6[[#This Row],[SKU]],'All Skus'!$A:$AC,2,FALSE))="JBL",(VLOOKUP(Table6[[#This Row],[SKU]],'All Skus'!$A:$AC,4,FALSE)),""))</f>
        <v>PD564-WRC</v>
      </c>
      <c r="D576" s="61" t="str">
        <f>(IF((VLOOKUP(Table6[[#This Row],[SKU]],'All Skus'!$A:$AC,2,FALSE))="JBL",(VLOOKUP(Table6[[#This Row],[SKU]],'All Skus'!$A:$AC,5,FALSE)),""))</f>
        <v>JBL050</v>
      </c>
      <c r="E576" s="137" t="str">
        <f>(IF((VLOOKUP(Table6[[#This Row],[SKU]],'All Skus'!$A:$AC,2,FALSE))="JBL",(VLOOKUP(Table6[[#This Row],[SKU]],'All Skus'!$A:$AC,6,FALSE)),""))</f>
        <v>YES</v>
      </c>
      <c r="F576" s="61">
        <f>(IF((VLOOKUP(Table6[[#This Row],[SKU]],'All Skus'!$A:$AC,2,FALSE))="JBL",(VLOOKUP(Table6[[#This Row],[SKU]],'All Skus'!$A:$AC,7,FALSE)),""))</f>
        <v>0</v>
      </c>
      <c r="G576" t="str">
        <f>(IF((VLOOKUP(Table6[[#This Row],[SKU]],'All Skus'!$A:$AC,2,FALSE))="JBL",(VLOOKUP(Table6[[#This Row],[SKU]],'All Skus'!$A:$AC,8,FALSE)),""))</f>
        <v>15" Horn-loaded 2-way full-range loudspeaker</v>
      </c>
      <c r="H576" s="8" t="str">
        <f>(IF((VLOOKUP(Table6[[#This Row],[SKU]],'All Skus'!$A:$AC,2,FALSE))="JBL",(VLOOKUP(Table6[[#This Row],[SKU]],'All Skus'!$A:$AC,9,FALSE)),""))</f>
        <v>15" Horn-loaded 2-way full-range loudspeaker 2-way system, 60? x 40? coverage pattern with 2432H 38mm (1.5 in) exit, 75mm (3 in) voice coil HF driver and 2031H 75mm (3 in) voice coil LF driver. With Weather Protection Treatment.8-10 weeks ship time for orders of 1-10, larger needs to be reviewed</v>
      </c>
      <c r="I576" s="101" t="str">
        <f>(IF((VLOOKUP(Table6[[#This Row],[SKU]],'All Skus'!$A:$AC,2,FALSE))="JBL",(VLOOKUP(Table6[[#This Row],[SKU]],'All Skus'!$A:$AC,10,FALSE)),""))</f>
        <v>Please email CustomAudio@harman.com for quote</v>
      </c>
      <c r="J576" s="101">
        <f>(IF((VLOOKUP(Table6[[#This Row],[SKU]],'All Skus'!$A:$AC,2,FALSE))="JBL",(VLOOKUP(Table6[[#This Row],[SKU]],'All Skus'!$A:$AC,11,FALSE)),""))</f>
        <v>0</v>
      </c>
      <c r="K576" s="102">
        <f>(IF((VLOOKUP(Table6[[#This Row],[SKU]],'All Skus'!$A:$AC,2,FALSE))="JBL",(VLOOKUP(Table6[[#This Row],[SKU]],'All Skus'!$A:$AC,13,FALSE)),""))</f>
        <v>0</v>
      </c>
      <c r="L576" s="102">
        <f>(IF((VLOOKUP(Table6[[#This Row],[SKU]],'All Skus'!$A:$AC,2,FALSE))="JBL",(VLOOKUP(Table6[[#This Row],[SKU]],'All Skus'!$A:$AC,14,FALSE)),""))</f>
        <v>0</v>
      </c>
      <c r="M576" s="143">
        <f>(IF((VLOOKUP(Table6[[#This Row],[SKU]],'All Skus'!$A:$AC,2,FALSE))="JBL",(VLOOKUP(Table6[[#This Row],[SKU]],'All Skus'!$A:$AC,15,FALSE)),""))</f>
        <v>0</v>
      </c>
      <c r="N576" s="137">
        <f>(IF((VLOOKUP(Table6[[#This Row],[SKU]],'All Skus'!$A:$AC,2,FALSE))="JBL",(VLOOKUP(Table6[[#This Row],[SKU]],'All Skus'!$A:$AC,16,FALSE)),""))</f>
        <v>691991014833</v>
      </c>
      <c r="O576" s="61">
        <f>(IF((VLOOKUP(Table6[[#This Row],[SKU]],'All Skus'!$A:$AC,2,FALSE))="JBL",(VLOOKUP(Table6[[#This Row],[SKU]],'All Skus'!$A:$AC,17,FALSE)),""))</f>
        <v>0</v>
      </c>
      <c r="P576" s="136">
        <f>(IF((VLOOKUP(Table6[[#This Row],[SKU]],'All Skus'!$A:$AC,2,FALSE))="JBL",(VLOOKUP(Table6[[#This Row],[SKU]],'All Skus'!$A:$AC,18,FALSE)),""))</f>
        <v>176</v>
      </c>
      <c r="Q576" s="136">
        <f>(IF((VLOOKUP(Table6[[#This Row],[SKU]],'All Skus'!$A:$AC,2,FALSE))="JBL",(VLOOKUP(Table6[[#This Row],[SKU]],'All Skus'!$A:$AC,19,FALSE)),""))</f>
        <v>34</v>
      </c>
      <c r="R576" s="136">
        <f>(IF((VLOOKUP(Table6[[#This Row],[SKU]],'All Skus'!$A:$AC,2,FALSE))="JBL",(VLOOKUP(Table6[[#This Row],[SKU]],'All Skus'!$A:$AC,20,FALSE)),""))</f>
        <v>34</v>
      </c>
      <c r="S576" s="61">
        <f>(IF((VLOOKUP(Table6[[#This Row],[SKU]],'All Skus'!$A:$AC,2,FALSE))="JBL",(VLOOKUP(Table6[[#This Row],[SKU]],'All Skus'!$A:$AC,21,FALSE)),""))</f>
        <v>27</v>
      </c>
      <c r="T576" s="61" t="str">
        <f>(IF((VLOOKUP(Table6[[#This Row],[SKU]],'All Skus'!$A:$AC,2,FALSE))="JBL",(VLOOKUP(Table6[[#This Row],[SKU]],'All Skus'!$A:$AC,22,FALSE)),""))</f>
        <v>MX</v>
      </c>
      <c r="U576" t="str">
        <f>(IF((VLOOKUP(Table6[[#This Row],[SKU]],'All Skus'!$A:$AC,2,FALSE))="JBL",(VLOOKUP(Table6[[#This Row],[SKU]],'All Skus'!$A:$AC,23,FALSE)),""))</f>
        <v>Compliant</v>
      </c>
      <c r="V576" s="284" t="str">
        <f>HYPERLINK((IF((VLOOKUP(Table6[[#This Row],[SKU]],'All Skus'!$A:$AC,2,FALSE))="JBL",(VLOOKUP(Table6[[#This Row],[SKU]],'All Skus'!$A:$AC,24,FALSE)),"")))</f>
        <v/>
      </c>
      <c r="W576" s="151">
        <v>574</v>
      </c>
    </row>
    <row r="577" spans="1:23" ht="15" hidden="1" customHeight="1">
      <c r="A577" s="13" t="s">
        <v>1583</v>
      </c>
      <c r="B577" s="12" t="str">
        <f>(IF((VLOOKUP(Table6[[#This Row],[SKU]],'All Skus'!$A:$AC,2,FALSE))="JBL",(VLOOKUP(Table6[[#This Row],[SKU]],'All Skus'!$A:$AC,3,FALSE)),""))</f>
        <v>Custom Shop Item</v>
      </c>
      <c r="C577" s="12" t="str">
        <f>(IF((VLOOKUP(Table6[[#This Row],[SKU]],'All Skus'!$A:$AC,2,FALSE))="JBL",(VLOOKUP(Table6[[#This Row],[SKU]],'All Skus'!$A:$AC,4,FALSE)),""))</f>
        <v>PD564-WRX</v>
      </c>
      <c r="D577" s="61" t="str">
        <f>(IF((VLOOKUP(Table6[[#This Row],[SKU]],'All Skus'!$A:$AC,2,FALSE))="JBL",(VLOOKUP(Table6[[#This Row],[SKU]],'All Skus'!$A:$AC,5,FALSE)),""))</f>
        <v>JBL050</v>
      </c>
      <c r="E577" s="137" t="str">
        <f>(IF((VLOOKUP(Table6[[#This Row],[SKU]],'All Skus'!$A:$AC,2,FALSE))="JBL",(VLOOKUP(Table6[[#This Row],[SKU]],'All Skus'!$A:$AC,6,FALSE)),""))</f>
        <v>YES</v>
      </c>
      <c r="F577" s="61">
        <f>(IF((VLOOKUP(Table6[[#This Row],[SKU]],'All Skus'!$A:$AC,2,FALSE))="JBL",(VLOOKUP(Table6[[#This Row],[SKU]],'All Skus'!$A:$AC,7,FALSE)),""))</f>
        <v>0</v>
      </c>
      <c r="G577" t="str">
        <f>(IF((VLOOKUP(Table6[[#This Row],[SKU]],'All Skus'!$A:$AC,2,FALSE))="JBL",(VLOOKUP(Table6[[#This Row],[SKU]],'All Skus'!$A:$AC,8,FALSE)),""))</f>
        <v>15" Horn-loaded 2-way full-range loudspeaker</v>
      </c>
      <c r="H577" s="8" t="str">
        <f>(IF((VLOOKUP(Table6[[#This Row],[SKU]],'All Skus'!$A:$AC,2,FALSE))="JBL",(VLOOKUP(Table6[[#This Row],[SKU]],'All Skus'!$A:$AC,9,FALSE)),""))</f>
        <v>15" Horn-loaded 2-way full-range loudspeaker 2-way system, 60? x 40? coverage pattern with 2432H 38mm (1.5 in) exit, 75mm (3 in) voice coil HF driver and 2031H 75mm (3 in) voice coil LF driver. With Extreme Weather Protection Treatment.</v>
      </c>
      <c r="I577" s="101" t="str">
        <f>(IF((VLOOKUP(Table6[[#This Row],[SKU]],'All Skus'!$A:$AC,2,FALSE))="JBL",(VLOOKUP(Table6[[#This Row],[SKU]],'All Skus'!$A:$AC,10,FALSE)),""))</f>
        <v>Please email CustomAudio@harman.com for quote</v>
      </c>
      <c r="J577" s="101">
        <f>(IF((VLOOKUP(Table6[[#This Row],[SKU]],'All Skus'!$A:$AC,2,FALSE))="JBL",(VLOOKUP(Table6[[#This Row],[SKU]],'All Skus'!$A:$AC,11,FALSE)),""))</f>
        <v>0</v>
      </c>
      <c r="K577" s="102">
        <f>(IF((VLOOKUP(Table6[[#This Row],[SKU]],'All Skus'!$A:$AC,2,FALSE))="JBL",(VLOOKUP(Table6[[#This Row],[SKU]],'All Skus'!$A:$AC,13,FALSE)),""))</f>
        <v>0</v>
      </c>
      <c r="L577" s="102">
        <f>(IF((VLOOKUP(Table6[[#This Row],[SKU]],'All Skus'!$A:$AC,2,FALSE))="JBL",(VLOOKUP(Table6[[#This Row],[SKU]],'All Skus'!$A:$AC,14,FALSE)),""))</f>
        <v>0</v>
      </c>
      <c r="M577" s="143">
        <f>(IF((VLOOKUP(Table6[[#This Row],[SKU]],'All Skus'!$A:$AC,2,FALSE))="JBL",(VLOOKUP(Table6[[#This Row],[SKU]],'All Skus'!$A:$AC,15,FALSE)),""))</f>
        <v>0</v>
      </c>
      <c r="N577" s="137">
        <f>(IF((VLOOKUP(Table6[[#This Row],[SKU]],'All Skus'!$A:$AC,2,FALSE))="JBL",(VLOOKUP(Table6[[#This Row],[SKU]],'All Skus'!$A:$AC,16,FALSE)),""))</f>
        <v>691991014840</v>
      </c>
      <c r="O577" s="61">
        <f>(IF((VLOOKUP(Table6[[#This Row],[SKU]],'All Skus'!$A:$AC,2,FALSE))="JBL",(VLOOKUP(Table6[[#This Row],[SKU]],'All Skus'!$A:$AC,17,FALSE)),""))</f>
        <v>0</v>
      </c>
      <c r="P577" s="136">
        <f>(IF((VLOOKUP(Table6[[#This Row],[SKU]],'All Skus'!$A:$AC,2,FALSE))="JBL",(VLOOKUP(Table6[[#This Row],[SKU]],'All Skus'!$A:$AC,18,FALSE)),""))</f>
        <v>173</v>
      </c>
      <c r="Q577" s="136">
        <f>(IF((VLOOKUP(Table6[[#This Row],[SKU]],'All Skus'!$A:$AC,2,FALSE))="JBL",(VLOOKUP(Table6[[#This Row],[SKU]],'All Skus'!$A:$AC,19,FALSE)),""))</f>
        <v>34</v>
      </c>
      <c r="R577" s="136">
        <f>(IF((VLOOKUP(Table6[[#This Row],[SKU]],'All Skus'!$A:$AC,2,FALSE))="JBL",(VLOOKUP(Table6[[#This Row],[SKU]],'All Skus'!$A:$AC,20,FALSE)),""))</f>
        <v>34</v>
      </c>
      <c r="S577" s="61">
        <f>(IF((VLOOKUP(Table6[[#This Row],[SKU]],'All Skus'!$A:$AC,2,FALSE))="JBL",(VLOOKUP(Table6[[#This Row],[SKU]],'All Skus'!$A:$AC,21,FALSE)),""))</f>
        <v>27.5</v>
      </c>
      <c r="T577" s="61" t="str">
        <f>(IF((VLOOKUP(Table6[[#This Row],[SKU]],'All Skus'!$A:$AC,2,FALSE))="JBL",(VLOOKUP(Table6[[#This Row],[SKU]],'All Skus'!$A:$AC,22,FALSE)),""))</f>
        <v>MX</v>
      </c>
      <c r="U577" t="str">
        <f>(IF((VLOOKUP(Table6[[#This Row],[SKU]],'All Skus'!$A:$AC,2,FALSE))="JBL",(VLOOKUP(Table6[[#This Row],[SKU]],'All Skus'!$A:$AC,23,FALSE)),""))</f>
        <v>Compliant</v>
      </c>
      <c r="V577" s="284" t="str">
        <f>HYPERLINK((IF((VLOOKUP(Table6[[#This Row],[SKU]],'All Skus'!$A:$AC,2,FALSE))="JBL",(VLOOKUP(Table6[[#This Row],[SKU]],'All Skus'!$A:$AC,24,FALSE)),"")))</f>
        <v/>
      </c>
      <c r="W577" s="151">
        <v>575</v>
      </c>
    </row>
    <row r="578" spans="1:23" ht="15" hidden="1" customHeight="1">
      <c r="A578" s="13" t="s">
        <v>1584</v>
      </c>
      <c r="B578" s="12" t="str">
        <f>(IF((VLOOKUP(Table6[[#This Row],[SKU]],'All Skus'!$A:$AC,2,FALSE))="JBL",(VLOOKUP(Table6[[#This Row],[SKU]],'All Skus'!$A:$AC,3,FALSE)),""))</f>
        <v>PD Series</v>
      </c>
      <c r="C578" s="12" t="str">
        <f>(IF((VLOOKUP(Table6[[#This Row],[SKU]],'All Skus'!$A:$AC,2,FALSE))="JBL",(VLOOKUP(Table6[[#This Row],[SKU]],'All Skus'!$A:$AC,4,FALSE)),""))</f>
        <v>PD566 - WH</v>
      </c>
      <c r="D578" s="61">
        <f>(IF((VLOOKUP(Table6[[#This Row],[SKU]],'All Skus'!$A:$AC,2,FALSE))="JBL",(VLOOKUP(Table6[[#This Row],[SKU]],'All Skus'!$A:$AC,5,FALSE)),""))</f>
        <v>0</v>
      </c>
      <c r="E578" s="137">
        <f>(IF((VLOOKUP(Table6[[#This Row],[SKU]],'All Skus'!$A:$AC,2,FALSE))="JBL",(VLOOKUP(Table6[[#This Row],[SKU]],'All Skus'!$A:$AC,6,FALSE)),""))</f>
        <v>0</v>
      </c>
      <c r="F578" s="61">
        <f>(IF((VLOOKUP(Table6[[#This Row],[SKU]],'All Skus'!$A:$AC,2,FALSE))="JBL",(VLOOKUP(Table6[[#This Row],[SKU]],'All Skus'!$A:$AC,7,FALSE)),""))</f>
        <v>0</v>
      </c>
      <c r="G578" t="str">
        <f>(IF((VLOOKUP(Table6[[#This Row],[SKU]],'All Skus'!$A:$AC,2,FALSE))="JBL",(VLOOKUP(Table6[[#This Row],[SKU]],'All Skus'!$A:$AC,8,FALSE)),""))</f>
        <v>15" 2-way full-range, 60 X 60</v>
      </c>
      <c r="H578" s="8" t="str">
        <f>(IF((VLOOKUP(Table6[[#This Row],[SKU]],'All Skus'!$A:$AC,2,FALSE))="JBL",(VLOOKUP(Table6[[#This Row],[SKU]],'All Skus'!$A:$AC,9,FALSE)),""))</f>
        <v xml:space="preserve">15" Horn-Loaded 2-way full-range system, 60? x 60? coverage pattern with 2432H 38mm (1.5 in) exit, 
75mm (3 in) voice coil and 2031H 15" low-frequency driver with 75mm (3 in) voice coil, 8 ohm nominal system impedance. *NEW*
</v>
      </c>
      <c r="I578" s="101">
        <f>(IF((VLOOKUP(Table6[[#This Row],[SKU]],'All Skus'!$A:$AC,2,FALSE))="JBL",(VLOOKUP(Table6[[#This Row],[SKU]],'All Skus'!$A:$AC,10,FALSE)),""))</f>
        <v>4376</v>
      </c>
      <c r="J578" s="101">
        <f>(IF((VLOOKUP(Table6[[#This Row],[SKU]],'All Skus'!$A:$AC,2,FALSE))="JBL",(VLOOKUP(Table6[[#This Row],[SKU]],'All Skus'!$A:$AC,11,FALSE)),""))</f>
        <v>4376</v>
      </c>
      <c r="K578" s="102">
        <f>(IF((VLOOKUP(Table6[[#This Row],[SKU]],'All Skus'!$A:$AC,2,FALSE))="JBL",(VLOOKUP(Table6[[#This Row],[SKU]],'All Skus'!$A:$AC,13,FALSE)),""))</f>
        <v>0</v>
      </c>
      <c r="L578" s="102">
        <f>(IF((VLOOKUP(Table6[[#This Row],[SKU]],'All Skus'!$A:$AC,2,FALSE))="JBL",(VLOOKUP(Table6[[#This Row],[SKU]],'All Skus'!$A:$AC,14,FALSE)),""))</f>
        <v>0</v>
      </c>
      <c r="M578" s="143">
        <f>(IF((VLOOKUP(Table6[[#This Row],[SKU]],'All Skus'!$A:$AC,2,FALSE))="JBL",(VLOOKUP(Table6[[#This Row],[SKU]],'All Skus'!$A:$AC,15,FALSE)),""))</f>
        <v>0</v>
      </c>
      <c r="N578" s="137">
        <f>(IF((VLOOKUP(Table6[[#This Row],[SKU]],'All Skus'!$A:$AC,2,FALSE))="JBL",(VLOOKUP(Table6[[#This Row],[SKU]],'All Skus'!$A:$AC,16,FALSE)),""))</f>
        <v>0</v>
      </c>
      <c r="O578" s="61">
        <f>(IF((VLOOKUP(Table6[[#This Row],[SKU]],'All Skus'!$A:$AC,2,FALSE))="JBL",(VLOOKUP(Table6[[#This Row],[SKU]],'All Skus'!$A:$AC,17,FALSE)),""))</f>
        <v>0</v>
      </c>
      <c r="P578" s="136">
        <f>(IF((VLOOKUP(Table6[[#This Row],[SKU]],'All Skus'!$A:$AC,2,FALSE))="JBL",(VLOOKUP(Table6[[#This Row],[SKU]],'All Skus'!$A:$AC,18,FALSE)),""))</f>
        <v>0</v>
      </c>
      <c r="Q578" s="136">
        <f>(IF((VLOOKUP(Table6[[#This Row],[SKU]],'All Skus'!$A:$AC,2,FALSE))="JBL",(VLOOKUP(Table6[[#This Row],[SKU]],'All Skus'!$A:$AC,19,FALSE)),""))</f>
        <v>0</v>
      </c>
      <c r="R578" s="136">
        <f>(IF((VLOOKUP(Table6[[#This Row],[SKU]],'All Skus'!$A:$AC,2,FALSE))="JBL",(VLOOKUP(Table6[[#This Row],[SKU]],'All Skus'!$A:$AC,20,FALSE)),""))</f>
        <v>0</v>
      </c>
      <c r="S578" s="61">
        <f>(IF((VLOOKUP(Table6[[#This Row],[SKU]],'All Skus'!$A:$AC,2,FALSE))="JBL",(VLOOKUP(Table6[[#This Row],[SKU]],'All Skus'!$A:$AC,21,FALSE)),""))</f>
        <v>0</v>
      </c>
      <c r="T578" s="61" t="str">
        <f>(IF((VLOOKUP(Table6[[#This Row],[SKU]],'All Skus'!$A:$AC,2,FALSE))="JBL",(VLOOKUP(Table6[[#This Row],[SKU]],'All Skus'!$A:$AC,22,FALSE)),""))</f>
        <v>MX</v>
      </c>
      <c r="U578" t="str">
        <f>(IF((VLOOKUP(Table6[[#This Row],[SKU]],'All Skus'!$A:$AC,2,FALSE))="JBL",(VLOOKUP(Table6[[#This Row],[SKU]],'All Skus'!$A:$AC,23,FALSE)),""))</f>
        <v>Compliant</v>
      </c>
      <c r="V578" s="284" t="str">
        <f>HYPERLINK((IF((VLOOKUP(Table6[[#This Row],[SKU]],'All Skus'!$A:$AC,2,FALSE))="JBL",(VLOOKUP(Table6[[#This Row],[SKU]],'All Skus'!$A:$AC,24,FALSE)),"")))</f>
        <v/>
      </c>
      <c r="W578" s="151">
        <v>576</v>
      </c>
    </row>
    <row r="579" spans="1:23" ht="15" hidden="1" customHeight="1">
      <c r="A579" s="13" t="s">
        <v>1585</v>
      </c>
      <c r="B579" s="12" t="str">
        <f>(IF((VLOOKUP(Table6[[#This Row],[SKU]],'All Skus'!$A:$AC,2,FALSE))="JBL",(VLOOKUP(Table6[[#This Row],[SKU]],'All Skus'!$A:$AC,3,FALSE)),""))</f>
        <v>Custom Shop Item</v>
      </c>
      <c r="C579" s="12" t="str">
        <f>(IF((VLOOKUP(Table6[[#This Row],[SKU]],'All Skus'!$A:$AC,2,FALSE))="JBL",(VLOOKUP(Table6[[#This Row],[SKU]],'All Skus'!$A:$AC,4,FALSE)),""))</f>
        <v>PD566-WRC</v>
      </c>
      <c r="D579" s="61" t="str">
        <f>(IF((VLOOKUP(Table6[[#This Row],[SKU]],'All Skus'!$A:$AC,2,FALSE))="JBL",(VLOOKUP(Table6[[#This Row],[SKU]],'All Skus'!$A:$AC,5,FALSE)),""))</f>
        <v>JBL050</v>
      </c>
      <c r="E579" s="137" t="str">
        <f>(IF((VLOOKUP(Table6[[#This Row],[SKU]],'All Skus'!$A:$AC,2,FALSE))="JBL",(VLOOKUP(Table6[[#This Row],[SKU]],'All Skus'!$A:$AC,6,FALSE)),""))</f>
        <v>YES</v>
      </c>
      <c r="F579" s="61">
        <f>(IF((VLOOKUP(Table6[[#This Row],[SKU]],'All Skus'!$A:$AC,2,FALSE))="JBL",(VLOOKUP(Table6[[#This Row],[SKU]],'All Skus'!$A:$AC,7,FALSE)),""))</f>
        <v>0</v>
      </c>
      <c r="G579" t="str">
        <f>(IF((VLOOKUP(Table6[[#This Row],[SKU]],'All Skus'!$A:$AC,2,FALSE))="JBL",(VLOOKUP(Table6[[#This Row],[SKU]],'All Skus'!$A:$AC,8,FALSE)),""))</f>
        <v>15" Horn-loaded 2-way full-range loudspeaker</v>
      </c>
      <c r="H579" s="8" t="str">
        <f>(IF((VLOOKUP(Table6[[#This Row],[SKU]],'All Skus'!$A:$AC,2,FALSE))="JBL",(VLOOKUP(Table6[[#This Row],[SKU]],'All Skus'!$A:$AC,9,FALSE)),""))</f>
        <v>15" Horn-loaded 2-way full-range loudspeaker2-way system, 60? x 60? coverage pattern with 2432H 38mm (1.5 in) exit, 75mm (3 in) voice coil HF driver and 2031H 75mm (3 in) voice coil LF driver. With Extreme Weather Protection Treatment.</v>
      </c>
      <c r="I579" s="101" t="str">
        <f>(IF((VLOOKUP(Table6[[#This Row],[SKU]],'All Skus'!$A:$AC,2,FALSE))="JBL",(VLOOKUP(Table6[[#This Row],[SKU]],'All Skus'!$A:$AC,10,FALSE)),""))</f>
        <v>Please email CustomAudio@harman.com for quote</v>
      </c>
      <c r="J579" s="101">
        <f>(IF((VLOOKUP(Table6[[#This Row],[SKU]],'All Skus'!$A:$AC,2,FALSE))="JBL",(VLOOKUP(Table6[[#This Row],[SKU]],'All Skus'!$A:$AC,11,FALSE)),""))</f>
        <v>0</v>
      </c>
      <c r="K579" s="102">
        <f>(IF((VLOOKUP(Table6[[#This Row],[SKU]],'All Skus'!$A:$AC,2,FALSE))="JBL",(VLOOKUP(Table6[[#This Row],[SKU]],'All Skus'!$A:$AC,13,FALSE)),""))</f>
        <v>0</v>
      </c>
      <c r="L579" s="102">
        <f>(IF((VLOOKUP(Table6[[#This Row],[SKU]],'All Skus'!$A:$AC,2,FALSE))="JBL",(VLOOKUP(Table6[[#This Row],[SKU]],'All Skus'!$A:$AC,14,FALSE)),""))</f>
        <v>0</v>
      </c>
      <c r="M579" s="143">
        <f>(IF((VLOOKUP(Table6[[#This Row],[SKU]],'All Skus'!$A:$AC,2,FALSE))="JBL",(VLOOKUP(Table6[[#This Row],[SKU]],'All Skus'!$A:$AC,15,FALSE)),""))</f>
        <v>0</v>
      </c>
      <c r="N579" s="137">
        <f>(IF((VLOOKUP(Table6[[#This Row],[SKU]],'All Skus'!$A:$AC,2,FALSE))="JBL",(VLOOKUP(Table6[[#This Row],[SKU]],'All Skus'!$A:$AC,16,FALSE)),""))</f>
        <v>0</v>
      </c>
      <c r="O579" s="61">
        <f>(IF((VLOOKUP(Table6[[#This Row],[SKU]],'All Skus'!$A:$AC,2,FALSE))="JBL",(VLOOKUP(Table6[[#This Row],[SKU]],'All Skus'!$A:$AC,17,FALSE)),""))</f>
        <v>0</v>
      </c>
      <c r="P579" s="136">
        <f>(IF((VLOOKUP(Table6[[#This Row],[SKU]],'All Skus'!$A:$AC,2,FALSE))="JBL",(VLOOKUP(Table6[[#This Row],[SKU]],'All Skus'!$A:$AC,18,FALSE)),""))</f>
        <v>172</v>
      </c>
      <c r="Q579" s="136">
        <f>(IF((VLOOKUP(Table6[[#This Row],[SKU]],'All Skus'!$A:$AC,2,FALSE))="JBL",(VLOOKUP(Table6[[#This Row],[SKU]],'All Skus'!$A:$AC,19,FALSE)),""))</f>
        <v>33.5</v>
      </c>
      <c r="R579" s="136">
        <f>(IF((VLOOKUP(Table6[[#This Row],[SKU]],'All Skus'!$A:$AC,2,FALSE))="JBL",(VLOOKUP(Table6[[#This Row],[SKU]],'All Skus'!$A:$AC,20,FALSE)),""))</f>
        <v>34</v>
      </c>
      <c r="S579" s="61">
        <f>(IF((VLOOKUP(Table6[[#This Row],[SKU]],'All Skus'!$A:$AC,2,FALSE))="JBL",(VLOOKUP(Table6[[#This Row],[SKU]],'All Skus'!$A:$AC,21,FALSE)),""))</f>
        <v>27</v>
      </c>
      <c r="T579" s="61" t="str">
        <f>(IF((VLOOKUP(Table6[[#This Row],[SKU]],'All Skus'!$A:$AC,2,FALSE))="JBL",(VLOOKUP(Table6[[#This Row],[SKU]],'All Skus'!$A:$AC,22,FALSE)),""))</f>
        <v>MX</v>
      </c>
      <c r="U579" t="str">
        <f>(IF((VLOOKUP(Table6[[#This Row],[SKU]],'All Skus'!$A:$AC,2,FALSE))="JBL",(VLOOKUP(Table6[[#This Row],[SKU]],'All Skus'!$A:$AC,23,FALSE)),""))</f>
        <v>Compliant</v>
      </c>
      <c r="V579" s="284" t="str">
        <f>HYPERLINK((IF((VLOOKUP(Table6[[#This Row],[SKU]],'All Skus'!$A:$AC,2,FALSE))="JBL",(VLOOKUP(Table6[[#This Row],[SKU]],'All Skus'!$A:$AC,24,FALSE)),"")))</f>
        <v/>
      </c>
      <c r="W579" s="151">
        <v>577</v>
      </c>
    </row>
    <row r="580" spans="1:23" ht="15" hidden="1" customHeight="1">
      <c r="A580" s="13" t="s">
        <v>1586</v>
      </c>
      <c r="B580" s="12" t="str">
        <f>(IF((VLOOKUP(Table6[[#This Row],[SKU]],'All Skus'!$A:$AC,2,FALSE))="JBL",(VLOOKUP(Table6[[#This Row],[SKU]],'All Skus'!$A:$AC,3,FALSE)),""))</f>
        <v>Custom Shop Item</v>
      </c>
      <c r="C580" s="12" t="str">
        <f>(IF((VLOOKUP(Table6[[#This Row],[SKU]],'All Skus'!$A:$AC,2,FALSE))="JBL",(VLOOKUP(Table6[[#This Row],[SKU]],'All Skus'!$A:$AC,4,FALSE)),""))</f>
        <v>PD566-WRX</v>
      </c>
      <c r="D580" s="61" t="str">
        <f>(IF((VLOOKUP(Table6[[#This Row],[SKU]],'All Skus'!$A:$AC,2,FALSE))="JBL",(VLOOKUP(Table6[[#This Row],[SKU]],'All Skus'!$A:$AC,5,FALSE)),""))</f>
        <v>JBL050</v>
      </c>
      <c r="E580" s="137" t="str">
        <f>(IF((VLOOKUP(Table6[[#This Row],[SKU]],'All Skus'!$A:$AC,2,FALSE))="JBL",(VLOOKUP(Table6[[#This Row],[SKU]],'All Skus'!$A:$AC,6,FALSE)),""))</f>
        <v>YES</v>
      </c>
      <c r="F580" s="61">
        <f>(IF((VLOOKUP(Table6[[#This Row],[SKU]],'All Skus'!$A:$AC,2,FALSE))="JBL",(VLOOKUP(Table6[[#This Row],[SKU]],'All Skus'!$A:$AC,7,FALSE)),""))</f>
        <v>0</v>
      </c>
      <c r="G580" t="str">
        <f>(IF((VLOOKUP(Table6[[#This Row],[SKU]],'All Skus'!$A:$AC,2,FALSE))="JBL",(VLOOKUP(Table6[[#This Row],[SKU]],'All Skus'!$A:$AC,8,FALSE)),""))</f>
        <v>15" Horn-loaded 2-way full-range loudspeaker</v>
      </c>
      <c r="H580" s="8" t="str">
        <f>(IF((VLOOKUP(Table6[[#This Row],[SKU]],'All Skus'!$A:$AC,2,FALSE))="JBL",(VLOOKUP(Table6[[#This Row],[SKU]],'All Skus'!$A:$AC,9,FALSE)),""))</f>
        <v>15" Horn-loaded 2-way full-range loudspeaker2-way system, 60? x 60? coverage pattern with 2432H 38mm (1.5 in) exit, 75mm (3 in) voice coil HF driver and 2031H 75mm (3 in) voice coil LF driver. With Extreme Weather Protection Treatment.</v>
      </c>
      <c r="I580" s="101" t="str">
        <f>(IF((VLOOKUP(Table6[[#This Row],[SKU]],'All Skus'!$A:$AC,2,FALSE))="JBL",(VLOOKUP(Table6[[#This Row],[SKU]],'All Skus'!$A:$AC,10,FALSE)),""))</f>
        <v>Please email CustomAudio@harman.com for quote</v>
      </c>
      <c r="J580" s="101">
        <f>(IF((VLOOKUP(Table6[[#This Row],[SKU]],'All Skus'!$A:$AC,2,FALSE))="JBL",(VLOOKUP(Table6[[#This Row],[SKU]],'All Skus'!$A:$AC,11,FALSE)),""))</f>
        <v>0</v>
      </c>
      <c r="K580" s="102">
        <f>(IF((VLOOKUP(Table6[[#This Row],[SKU]],'All Skus'!$A:$AC,2,FALSE))="JBL",(VLOOKUP(Table6[[#This Row],[SKU]],'All Skus'!$A:$AC,13,FALSE)),""))</f>
        <v>0</v>
      </c>
      <c r="L580" s="102">
        <f>(IF((VLOOKUP(Table6[[#This Row],[SKU]],'All Skus'!$A:$AC,2,FALSE))="JBL",(VLOOKUP(Table6[[#This Row],[SKU]],'All Skus'!$A:$AC,14,FALSE)),""))</f>
        <v>0</v>
      </c>
      <c r="M580" s="143">
        <f>(IF((VLOOKUP(Table6[[#This Row],[SKU]],'All Skus'!$A:$AC,2,FALSE))="JBL",(VLOOKUP(Table6[[#This Row],[SKU]],'All Skus'!$A:$AC,15,FALSE)),""))</f>
        <v>0</v>
      </c>
      <c r="N580" s="137">
        <f>(IF((VLOOKUP(Table6[[#This Row],[SKU]],'All Skus'!$A:$AC,2,FALSE))="JBL",(VLOOKUP(Table6[[#This Row],[SKU]],'All Skus'!$A:$AC,16,FALSE)),""))</f>
        <v>691991014864</v>
      </c>
      <c r="O580" s="61">
        <f>(IF((VLOOKUP(Table6[[#This Row],[SKU]],'All Skus'!$A:$AC,2,FALSE))="JBL",(VLOOKUP(Table6[[#This Row],[SKU]],'All Skus'!$A:$AC,17,FALSE)),""))</f>
        <v>0</v>
      </c>
      <c r="P580" s="136">
        <f>(IF((VLOOKUP(Table6[[#This Row],[SKU]],'All Skus'!$A:$AC,2,FALSE))="JBL",(VLOOKUP(Table6[[#This Row],[SKU]],'All Skus'!$A:$AC,18,FALSE)),""))</f>
        <v>60</v>
      </c>
      <c r="Q580" s="136">
        <f>(IF((VLOOKUP(Table6[[#This Row],[SKU]],'All Skus'!$A:$AC,2,FALSE))="JBL",(VLOOKUP(Table6[[#This Row],[SKU]],'All Skus'!$A:$AC,19,FALSE)),""))</f>
        <v>34</v>
      </c>
      <c r="R580" s="136">
        <f>(IF((VLOOKUP(Table6[[#This Row],[SKU]],'All Skus'!$A:$AC,2,FALSE))="JBL",(VLOOKUP(Table6[[#This Row],[SKU]],'All Skus'!$A:$AC,20,FALSE)),""))</f>
        <v>34</v>
      </c>
      <c r="S580" s="61">
        <f>(IF((VLOOKUP(Table6[[#This Row],[SKU]],'All Skus'!$A:$AC,2,FALSE))="JBL",(VLOOKUP(Table6[[#This Row],[SKU]],'All Skus'!$A:$AC,21,FALSE)),""))</f>
        <v>34</v>
      </c>
      <c r="T580" s="61" t="str">
        <f>(IF((VLOOKUP(Table6[[#This Row],[SKU]],'All Skus'!$A:$AC,2,FALSE))="JBL",(VLOOKUP(Table6[[#This Row],[SKU]],'All Skus'!$A:$AC,22,FALSE)),""))</f>
        <v>MX</v>
      </c>
      <c r="U580" t="str">
        <f>(IF((VLOOKUP(Table6[[#This Row],[SKU]],'All Skus'!$A:$AC,2,FALSE))="JBL",(VLOOKUP(Table6[[#This Row],[SKU]],'All Skus'!$A:$AC,23,FALSE)),""))</f>
        <v>Compliant</v>
      </c>
      <c r="V580" s="284" t="str">
        <f>HYPERLINK((IF((VLOOKUP(Table6[[#This Row],[SKU]],'All Skus'!$A:$AC,2,FALSE))="JBL",(VLOOKUP(Table6[[#This Row],[SKU]],'All Skus'!$A:$AC,24,FALSE)),"")))</f>
        <v/>
      </c>
      <c r="W580" s="151">
        <v>578</v>
      </c>
    </row>
    <row r="581" spans="1:23" ht="15" hidden="1" customHeight="1">
      <c r="A581" s="13" t="s">
        <v>1587</v>
      </c>
      <c r="B581" s="12" t="str">
        <f>(IF((VLOOKUP(Table6[[#This Row],[SKU]],'All Skus'!$A:$AC,2,FALSE))="JBL",(VLOOKUP(Table6[[#This Row],[SKU]],'All Skus'!$A:$AC,3,FALSE)),""))</f>
        <v>PD Series</v>
      </c>
      <c r="C581" s="12" t="str">
        <f>(IF((VLOOKUP(Table6[[#This Row],[SKU]],'All Skus'!$A:$AC,2,FALSE))="JBL",(VLOOKUP(Table6[[#This Row],[SKU]],'All Skus'!$A:$AC,4,FALSE)),""))</f>
        <v>PD595</v>
      </c>
      <c r="D581" s="61" t="str">
        <f>(IF((VLOOKUP(Table6[[#This Row],[SKU]],'All Skus'!$A:$AC,2,FALSE))="JBL",(VLOOKUP(Table6[[#This Row],[SKU]],'All Skus'!$A:$AC,5,FALSE)),""))</f>
        <v>JBL051</v>
      </c>
      <c r="E581" s="137">
        <f>(IF((VLOOKUP(Table6[[#This Row],[SKU]],'All Skus'!$A:$AC,2,FALSE))="JBL",(VLOOKUP(Table6[[#This Row],[SKU]],'All Skus'!$A:$AC,6,FALSE)),""))</f>
        <v>0</v>
      </c>
      <c r="F581" s="61">
        <f>(IF((VLOOKUP(Table6[[#This Row],[SKU]],'All Skus'!$A:$AC,2,FALSE))="JBL",(VLOOKUP(Table6[[#This Row],[SKU]],'All Skus'!$A:$AC,7,FALSE)),""))</f>
        <v>0</v>
      </c>
      <c r="G581" t="str">
        <f>(IF((VLOOKUP(Table6[[#This Row],[SKU]],'All Skus'!$A:$AC,2,FALSE))="JBL",(VLOOKUP(Table6[[#This Row],[SKU]],'All Skus'!$A:$AC,8,FALSE)),""))</f>
        <v>15" 2-way full-range, 90 X 50</v>
      </c>
      <c r="H581" s="8" t="str">
        <f>(IF((VLOOKUP(Table6[[#This Row],[SKU]],'All Skus'!$A:$AC,2,FALSE))="JBL",(VLOOKUP(Table6[[#This Row],[SKU]],'All Skus'!$A:$AC,9,FALSE)),""))</f>
        <v xml:space="preserve">15" Horn-Loaded 2-way full-range system, rotatable 
90? x 50? coverage pattern with 2432H 38mm (1.5 in) exit, 75mm (3 in) voice coil and 2031H 15" low-frequency driver with 75mm (3 in) voice coil, 8 ohm nominal system impedance.
</v>
      </c>
      <c r="I581" s="101">
        <f>(IF((VLOOKUP(Table6[[#This Row],[SKU]],'All Skus'!$A:$AC,2,FALSE))="JBL",(VLOOKUP(Table6[[#This Row],[SKU]],'All Skus'!$A:$AC,10,FALSE)),""))</f>
        <v>4370</v>
      </c>
      <c r="J581" s="101">
        <f>(IF((VLOOKUP(Table6[[#This Row],[SKU]],'All Skus'!$A:$AC,2,FALSE))="JBL",(VLOOKUP(Table6[[#This Row],[SKU]],'All Skus'!$A:$AC,11,FALSE)),""))</f>
        <v>4370</v>
      </c>
      <c r="K581" s="102">
        <f>(IF((VLOOKUP(Table6[[#This Row],[SKU]],'All Skus'!$A:$AC,2,FALSE))="JBL",(VLOOKUP(Table6[[#This Row],[SKU]],'All Skus'!$A:$AC,13,FALSE)),""))</f>
        <v>0</v>
      </c>
      <c r="L581" s="102">
        <f>(IF((VLOOKUP(Table6[[#This Row],[SKU]],'All Skus'!$A:$AC,2,FALSE))="JBL",(VLOOKUP(Table6[[#This Row],[SKU]],'All Skus'!$A:$AC,14,FALSE)),""))</f>
        <v>0</v>
      </c>
      <c r="M581" s="143">
        <f>(IF((VLOOKUP(Table6[[#This Row],[SKU]],'All Skus'!$A:$AC,2,FALSE))="JBL",(VLOOKUP(Table6[[#This Row],[SKU]],'All Skus'!$A:$AC,15,FALSE)),""))</f>
        <v>0</v>
      </c>
      <c r="N581" s="137">
        <f>(IF((VLOOKUP(Table6[[#This Row],[SKU]],'All Skus'!$A:$AC,2,FALSE))="JBL",(VLOOKUP(Table6[[#This Row],[SKU]],'All Skus'!$A:$AC,16,FALSE)),""))</f>
        <v>691991014871</v>
      </c>
      <c r="O581" s="61">
        <f>(IF((VLOOKUP(Table6[[#This Row],[SKU]],'All Skus'!$A:$AC,2,FALSE))="JBL",(VLOOKUP(Table6[[#This Row],[SKU]],'All Skus'!$A:$AC,17,FALSE)),""))</f>
        <v>0</v>
      </c>
      <c r="P581" s="136">
        <f>(IF((VLOOKUP(Table6[[#This Row],[SKU]],'All Skus'!$A:$AC,2,FALSE))="JBL",(VLOOKUP(Table6[[#This Row],[SKU]],'All Skus'!$A:$AC,18,FALSE)),""))</f>
        <v>157</v>
      </c>
      <c r="Q581" s="136">
        <f>(IF((VLOOKUP(Table6[[#This Row],[SKU]],'All Skus'!$A:$AC,2,FALSE))="JBL",(VLOOKUP(Table6[[#This Row],[SKU]],'All Skus'!$A:$AC,19,FALSE)),""))</f>
        <v>34</v>
      </c>
      <c r="R581" s="136">
        <f>(IF((VLOOKUP(Table6[[#This Row],[SKU]],'All Skus'!$A:$AC,2,FALSE))="JBL",(VLOOKUP(Table6[[#This Row],[SKU]],'All Skus'!$A:$AC,20,FALSE)),""))</f>
        <v>34</v>
      </c>
      <c r="S581" s="61">
        <f>(IF((VLOOKUP(Table6[[#This Row],[SKU]],'All Skus'!$A:$AC,2,FALSE))="JBL",(VLOOKUP(Table6[[#This Row],[SKU]],'All Skus'!$A:$AC,21,FALSE)),""))</f>
        <v>27</v>
      </c>
      <c r="T581" s="61" t="str">
        <f>(IF((VLOOKUP(Table6[[#This Row],[SKU]],'All Skus'!$A:$AC,2,FALSE))="JBL",(VLOOKUP(Table6[[#This Row],[SKU]],'All Skus'!$A:$AC,22,FALSE)),""))</f>
        <v>MX</v>
      </c>
      <c r="U581" t="str">
        <f>(IF((VLOOKUP(Table6[[#This Row],[SKU]],'All Skus'!$A:$AC,2,FALSE))="JBL",(VLOOKUP(Table6[[#This Row],[SKU]],'All Skus'!$A:$AC,23,FALSE)),""))</f>
        <v>Compliant</v>
      </c>
      <c r="V581" s="284" t="str">
        <f>HYPERLINK((IF((VLOOKUP(Table6[[#This Row],[SKU]],'All Skus'!$A:$AC,2,FALSE))="JBL",(VLOOKUP(Table6[[#This Row],[SKU]],'All Skus'!$A:$AC,24,FALSE)),"")))</f>
        <v/>
      </c>
      <c r="W581" s="151">
        <v>579</v>
      </c>
    </row>
    <row r="582" spans="1:23" ht="15" hidden="1" customHeight="1">
      <c r="A582" s="13" t="s">
        <v>1588</v>
      </c>
      <c r="B582" s="12" t="str">
        <f>(IF((VLOOKUP(Table6[[#This Row],[SKU]],'All Skus'!$A:$AC,2,FALSE))="JBL",(VLOOKUP(Table6[[#This Row],[SKU]],'All Skus'!$A:$AC,3,FALSE)),""))</f>
        <v>PD Series</v>
      </c>
      <c r="C582" s="12" t="str">
        <f>(IF((VLOOKUP(Table6[[#This Row],[SKU]],'All Skus'!$A:$AC,2,FALSE))="JBL",(VLOOKUP(Table6[[#This Row],[SKU]],'All Skus'!$A:$AC,4,FALSE)),""))</f>
        <v>PD595 -WH</v>
      </c>
      <c r="D582" s="61">
        <f>(IF((VLOOKUP(Table6[[#This Row],[SKU]],'All Skus'!$A:$AC,2,FALSE))="JBL",(VLOOKUP(Table6[[#This Row],[SKU]],'All Skus'!$A:$AC,5,FALSE)),""))</f>
        <v>0</v>
      </c>
      <c r="E582" s="137">
        <f>(IF((VLOOKUP(Table6[[#This Row],[SKU]],'All Skus'!$A:$AC,2,FALSE))="JBL",(VLOOKUP(Table6[[#This Row],[SKU]],'All Skus'!$A:$AC,6,FALSE)),""))</f>
        <v>0</v>
      </c>
      <c r="F582" s="61">
        <f>(IF((VLOOKUP(Table6[[#This Row],[SKU]],'All Skus'!$A:$AC,2,FALSE))="JBL",(VLOOKUP(Table6[[#This Row],[SKU]],'All Skus'!$A:$AC,7,FALSE)),""))</f>
        <v>0</v>
      </c>
      <c r="G582" t="str">
        <f>(IF((VLOOKUP(Table6[[#This Row],[SKU]],'All Skus'!$A:$AC,2,FALSE))="JBL",(VLOOKUP(Table6[[#This Row],[SKU]],'All Skus'!$A:$AC,8,FALSE)),""))</f>
        <v>15" 2-way full-range, 90 X 50</v>
      </c>
      <c r="H582" s="8" t="str">
        <f>(IF((VLOOKUP(Table6[[#This Row],[SKU]],'All Skus'!$A:$AC,2,FALSE))="JBL",(VLOOKUP(Table6[[#This Row],[SKU]],'All Skus'!$A:$AC,9,FALSE)),""))</f>
        <v xml:space="preserve">15" Horn-Loaded 2-way full-range system, rotatable 
90? x 50? coverage pattern with 2432H 38mm (1.5 in) exit, 75mm (3 in) voice coil and 2031H 15" low-frequency driver with 75mm (3 in) voice coil, 8 ohm nominal system impedance.
</v>
      </c>
      <c r="I582" s="101">
        <f>(IF((VLOOKUP(Table6[[#This Row],[SKU]],'All Skus'!$A:$AC,2,FALSE))="JBL",(VLOOKUP(Table6[[#This Row],[SKU]],'All Skus'!$A:$AC,10,FALSE)),""))</f>
        <v>4370</v>
      </c>
      <c r="J582" s="101">
        <f>(IF((VLOOKUP(Table6[[#This Row],[SKU]],'All Skus'!$A:$AC,2,FALSE))="JBL",(VLOOKUP(Table6[[#This Row],[SKU]],'All Skus'!$A:$AC,11,FALSE)),""))</f>
        <v>4370</v>
      </c>
      <c r="K582" s="102">
        <f>(IF((VLOOKUP(Table6[[#This Row],[SKU]],'All Skus'!$A:$AC,2,FALSE))="JBL",(VLOOKUP(Table6[[#This Row],[SKU]],'All Skus'!$A:$AC,13,FALSE)),""))</f>
        <v>0</v>
      </c>
      <c r="L582" s="102">
        <f>(IF((VLOOKUP(Table6[[#This Row],[SKU]],'All Skus'!$A:$AC,2,FALSE))="JBL",(VLOOKUP(Table6[[#This Row],[SKU]],'All Skus'!$A:$AC,14,FALSE)),""))</f>
        <v>0</v>
      </c>
      <c r="M582" s="143">
        <f>(IF((VLOOKUP(Table6[[#This Row],[SKU]],'All Skus'!$A:$AC,2,FALSE))="JBL",(VLOOKUP(Table6[[#This Row],[SKU]],'All Skus'!$A:$AC,15,FALSE)),""))</f>
        <v>0</v>
      </c>
      <c r="N582" s="137">
        <f>(IF((VLOOKUP(Table6[[#This Row],[SKU]],'All Skus'!$A:$AC,2,FALSE))="JBL",(VLOOKUP(Table6[[#This Row],[SKU]],'All Skus'!$A:$AC,16,FALSE)),""))</f>
        <v>0</v>
      </c>
      <c r="O582" s="61">
        <f>(IF((VLOOKUP(Table6[[#This Row],[SKU]],'All Skus'!$A:$AC,2,FALSE))="JBL",(VLOOKUP(Table6[[#This Row],[SKU]],'All Skus'!$A:$AC,17,FALSE)),""))</f>
        <v>0</v>
      </c>
      <c r="P582" s="136">
        <f>(IF((VLOOKUP(Table6[[#This Row],[SKU]],'All Skus'!$A:$AC,2,FALSE))="JBL",(VLOOKUP(Table6[[#This Row],[SKU]],'All Skus'!$A:$AC,18,FALSE)),""))</f>
        <v>0</v>
      </c>
      <c r="Q582" s="136">
        <f>(IF((VLOOKUP(Table6[[#This Row],[SKU]],'All Skus'!$A:$AC,2,FALSE))="JBL",(VLOOKUP(Table6[[#This Row],[SKU]],'All Skus'!$A:$AC,19,FALSE)),""))</f>
        <v>0</v>
      </c>
      <c r="R582" s="136">
        <f>(IF((VLOOKUP(Table6[[#This Row],[SKU]],'All Skus'!$A:$AC,2,FALSE))="JBL",(VLOOKUP(Table6[[#This Row],[SKU]],'All Skus'!$A:$AC,20,FALSE)),""))</f>
        <v>0</v>
      </c>
      <c r="S582" s="61">
        <f>(IF((VLOOKUP(Table6[[#This Row],[SKU]],'All Skus'!$A:$AC,2,FALSE))="JBL",(VLOOKUP(Table6[[#This Row],[SKU]],'All Skus'!$A:$AC,21,FALSE)),""))</f>
        <v>0</v>
      </c>
      <c r="T582" s="61" t="str">
        <f>(IF((VLOOKUP(Table6[[#This Row],[SKU]],'All Skus'!$A:$AC,2,FALSE))="JBL",(VLOOKUP(Table6[[#This Row],[SKU]],'All Skus'!$A:$AC,22,FALSE)),""))</f>
        <v>MX</v>
      </c>
      <c r="U582" t="str">
        <f>(IF((VLOOKUP(Table6[[#This Row],[SKU]],'All Skus'!$A:$AC,2,FALSE))="JBL",(VLOOKUP(Table6[[#This Row],[SKU]],'All Skus'!$A:$AC,23,FALSE)),""))</f>
        <v>Compliant</v>
      </c>
      <c r="V582" s="284" t="str">
        <f>HYPERLINK((IF((VLOOKUP(Table6[[#This Row],[SKU]],'All Skus'!$A:$AC,2,FALSE))="JBL",(VLOOKUP(Table6[[#This Row],[SKU]],'All Skus'!$A:$AC,24,FALSE)),"")))</f>
        <v/>
      </c>
      <c r="W582" s="151">
        <v>580</v>
      </c>
    </row>
    <row r="583" spans="1:23" ht="15" hidden="1" customHeight="1">
      <c r="A583" s="13" t="s">
        <v>1589</v>
      </c>
      <c r="B583" s="12" t="str">
        <f>(IF((VLOOKUP(Table6[[#This Row],[SKU]],'All Skus'!$A:$AC,2,FALSE))="JBL",(VLOOKUP(Table6[[#This Row],[SKU]],'All Skus'!$A:$AC,3,FALSE)),""))</f>
        <v>Custom Shop Item</v>
      </c>
      <c r="C583" s="12" t="str">
        <f>(IF((VLOOKUP(Table6[[#This Row],[SKU]],'All Skus'!$A:$AC,2,FALSE))="JBL",(VLOOKUP(Table6[[#This Row],[SKU]],'All Skus'!$A:$AC,4,FALSE)),""))</f>
        <v>PD595-WRC</v>
      </c>
      <c r="D583" s="61" t="str">
        <f>(IF((VLOOKUP(Table6[[#This Row],[SKU]],'All Skus'!$A:$AC,2,FALSE))="JBL",(VLOOKUP(Table6[[#This Row],[SKU]],'All Skus'!$A:$AC,5,FALSE)),""))</f>
        <v>JBL050</v>
      </c>
      <c r="E583" s="137" t="str">
        <f>(IF((VLOOKUP(Table6[[#This Row],[SKU]],'All Skus'!$A:$AC,2,FALSE))="JBL",(VLOOKUP(Table6[[#This Row],[SKU]],'All Skus'!$A:$AC,6,FALSE)),""))</f>
        <v>YES</v>
      </c>
      <c r="F583" s="61">
        <f>(IF((VLOOKUP(Table6[[#This Row],[SKU]],'All Skus'!$A:$AC,2,FALSE))="JBL",(VLOOKUP(Table6[[#This Row],[SKU]],'All Skus'!$A:$AC,7,FALSE)),""))</f>
        <v>0</v>
      </c>
      <c r="G583" t="str">
        <f>(IF((VLOOKUP(Table6[[#This Row],[SKU]],'All Skus'!$A:$AC,2,FALSE))="JBL",(VLOOKUP(Table6[[#This Row],[SKU]],'All Skus'!$A:$AC,8,FALSE)),""))</f>
        <v>15" Horn-loaded 2-way full-range loudspeaker</v>
      </c>
      <c r="H583" s="8" t="str">
        <f>(IF((VLOOKUP(Table6[[#This Row],[SKU]],'All Skus'!$A:$AC,2,FALSE))="JBL",(VLOOKUP(Table6[[#This Row],[SKU]],'All Skus'!$A:$AC,9,FALSE)),""))</f>
        <v>15" Horn-loaded 2-way full-range loudspeaker 2-way system, 90? x 50? coverage pattern with 2432H 38mm (1.5 in) exit, 75mm (3 in) voice coil HF driver and 2031H 75mm (3 in) voice coil LF driver. With Weather Protection Treatment.8-10 weeks ship time for orders of 1-10, larger needs to be reviewed</v>
      </c>
      <c r="I583" s="101" t="str">
        <f>(IF((VLOOKUP(Table6[[#This Row],[SKU]],'All Skus'!$A:$AC,2,FALSE))="JBL",(VLOOKUP(Table6[[#This Row],[SKU]],'All Skus'!$A:$AC,10,FALSE)),""))</f>
        <v>Please email CustomAudio@harman.com for quote</v>
      </c>
      <c r="J583" s="101">
        <f>(IF((VLOOKUP(Table6[[#This Row],[SKU]],'All Skus'!$A:$AC,2,FALSE))="JBL",(VLOOKUP(Table6[[#This Row],[SKU]],'All Skus'!$A:$AC,11,FALSE)),""))</f>
        <v>0</v>
      </c>
      <c r="K583" s="102">
        <f>(IF((VLOOKUP(Table6[[#This Row],[SKU]],'All Skus'!$A:$AC,2,FALSE))="JBL",(VLOOKUP(Table6[[#This Row],[SKU]],'All Skus'!$A:$AC,13,FALSE)),""))</f>
        <v>0</v>
      </c>
      <c r="L583" s="102">
        <f>(IF((VLOOKUP(Table6[[#This Row],[SKU]],'All Skus'!$A:$AC,2,FALSE))="JBL",(VLOOKUP(Table6[[#This Row],[SKU]],'All Skus'!$A:$AC,14,FALSE)),""))</f>
        <v>0</v>
      </c>
      <c r="M583" s="143">
        <f>(IF((VLOOKUP(Table6[[#This Row],[SKU]],'All Skus'!$A:$AC,2,FALSE))="JBL",(VLOOKUP(Table6[[#This Row],[SKU]],'All Skus'!$A:$AC,15,FALSE)),""))</f>
        <v>0</v>
      </c>
      <c r="N583" s="137">
        <f>(IF((VLOOKUP(Table6[[#This Row],[SKU]],'All Skus'!$A:$AC,2,FALSE))="JBL",(VLOOKUP(Table6[[#This Row],[SKU]],'All Skus'!$A:$AC,16,FALSE)),""))</f>
        <v>691991014888</v>
      </c>
      <c r="O583" s="61">
        <f>(IF((VLOOKUP(Table6[[#This Row],[SKU]],'All Skus'!$A:$AC,2,FALSE))="JBL",(VLOOKUP(Table6[[#This Row],[SKU]],'All Skus'!$A:$AC,17,FALSE)),""))</f>
        <v>0</v>
      </c>
      <c r="P583" s="136">
        <f>(IF((VLOOKUP(Table6[[#This Row],[SKU]],'All Skus'!$A:$AC,2,FALSE))="JBL",(VLOOKUP(Table6[[#This Row],[SKU]],'All Skus'!$A:$AC,18,FALSE)),""))</f>
        <v>176</v>
      </c>
      <c r="Q583" s="136">
        <f>(IF((VLOOKUP(Table6[[#This Row],[SKU]],'All Skus'!$A:$AC,2,FALSE))="JBL",(VLOOKUP(Table6[[#This Row],[SKU]],'All Skus'!$A:$AC,19,FALSE)),""))</f>
        <v>34</v>
      </c>
      <c r="R583" s="136">
        <f>(IF((VLOOKUP(Table6[[#This Row],[SKU]],'All Skus'!$A:$AC,2,FALSE))="JBL",(VLOOKUP(Table6[[#This Row],[SKU]],'All Skus'!$A:$AC,20,FALSE)),""))</f>
        <v>34</v>
      </c>
      <c r="S583" s="61">
        <f>(IF((VLOOKUP(Table6[[#This Row],[SKU]],'All Skus'!$A:$AC,2,FALSE))="JBL",(VLOOKUP(Table6[[#This Row],[SKU]],'All Skus'!$A:$AC,21,FALSE)),""))</f>
        <v>27</v>
      </c>
      <c r="T583" s="61" t="str">
        <f>(IF((VLOOKUP(Table6[[#This Row],[SKU]],'All Skus'!$A:$AC,2,FALSE))="JBL",(VLOOKUP(Table6[[#This Row],[SKU]],'All Skus'!$A:$AC,22,FALSE)),""))</f>
        <v>MX</v>
      </c>
      <c r="U583" t="str">
        <f>(IF((VLOOKUP(Table6[[#This Row],[SKU]],'All Skus'!$A:$AC,2,FALSE))="JBL",(VLOOKUP(Table6[[#This Row],[SKU]],'All Skus'!$A:$AC,23,FALSE)),""))</f>
        <v>Compliant</v>
      </c>
      <c r="V583" s="284" t="str">
        <f>HYPERLINK((IF((VLOOKUP(Table6[[#This Row],[SKU]],'All Skus'!$A:$AC,2,FALSE))="JBL",(VLOOKUP(Table6[[#This Row],[SKU]],'All Skus'!$A:$AC,24,FALSE)),"")))</f>
        <v/>
      </c>
      <c r="W583" s="151">
        <v>581</v>
      </c>
    </row>
    <row r="584" spans="1:23" ht="15" hidden="1" customHeight="1">
      <c r="A584" s="13" t="s">
        <v>1590</v>
      </c>
      <c r="B584" s="12" t="str">
        <f>(IF((VLOOKUP(Table6[[#This Row],[SKU]],'All Skus'!$A:$AC,2,FALSE))="JBL",(VLOOKUP(Table6[[#This Row],[SKU]],'All Skus'!$A:$AC,3,FALSE)),""))</f>
        <v>Custom Shop Item</v>
      </c>
      <c r="C584" s="12" t="str">
        <f>(IF((VLOOKUP(Table6[[#This Row],[SKU]],'All Skus'!$A:$AC,2,FALSE))="JBL",(VLOOKUP(Table6[[#This Row],[SKU]],'All Skus'!$A:$AC,4,FALSE)),""))</f>
        <v>PD595-WRX</v>
      </c>
      <c r="D584" s="61" t="str">
        <f>(IF((VLOOKUP(Table6[[#This Row],[SKU]],'All Skus'!$A:$AC,2,FALSE))="JBL",(VLOOKUP(Table6[[#This Row],[SKU]],'All Skus'!$A:$AC,5,FALSE)),""))</f>
        <v>JBL050</v>
      </c>
      <c r="E584" s="137" t="str">
        <f>(IF((VLOOKUP(Table6[[#This Row],[SKU]],'All Skus'!$A:$AC,2,FALSE))="JBL",(VLOOKUP(Table6[[#This Row],[SKU]],'All Skus'!$A:$AC,6,FALSE)),""))</f>
        <v>YES</v>
      </c>
      <c r="F584" s="61">
        <f>(IF((VLOOKUP(Table6[[#This Row],[SKU]],'All Skus'!$A:$AC,2,FALSE))="JBL",(VLOOKUP(Table6[[#This Row],[SKU]],'All Skus'!$A:$AC,7,FALSE)),""))</f>
        <v>0</v>
      </c>
      <c r="G584" t="str">
        <f>(IF((VLOOKUP(Table6[[#This Row],[SKU]],'All Skus'!$A:$AC,2,FALSE))="JBL",(VLOOKUP(Table6[[#This Row],[SKU]],'All Skus'!$A:$AC,8,FALSE)),""))</f>
        <v>15" Horn-loaded 2-way full-range loudspeaker</v>
      </c>
      <c r="H584" s="8" t="str">
        <f>(IF((VLOOKUP(Table6[[#This Row],[SKU]],'All Skus'!$A:$AC,2,FALSE))="JBL",(VLOOKUP(Table6[[#This Row],[SKU]],'All Skus'!$A:$AC,9,FALSE)),""))</f>
        <v>15" Horn-loaded 2-way full-range loudspeaker 2-way system, 90? x 50? coverage pattern with 2432H 38mm (1.5 in) exit, 75mm (3 in) voice coil HF driver and 2031H 75mm (3 in) voice coil LF driver. With Extreme Weather Protection Treatment.</v>
      </c>
      <c r="I584" s="101" t="str">
        <f>(IF((VLOOKUP(Table6[[#This Row],[SKU]],'All Skus'!$A:$AC,2,FALSE))="JBL",(VLOOKUP(Table6[[#This Row],[SKU]],'All Skus'!$A:$AC,10,FALSE)),""))</f>
        <v>Please email CustomAudio@harman.com for quote</v>
      </c>
      <c r="J584" s="101">
        <f>(IF((VLOOKUP(Table6[[#This Row],[SKU]],'All Skus'!$A:$AC,2,FALSE))="JBL",(VLOOKUP(Table6[[#This Row],[SKU]],'All Skus'!$A:$AC,11,FALSE)),""))</f>
        <v>0</v>
      </c>
      <c r="K584" s="102">
        <f>(IF((VLOOKUP(Table6[[#This Row],[SKU]],'All Skus'!$A:$AC,2,FALSE))="JBL",(VLOOKUP(Table6[[#This Row],[SKU]],'All Skus'!$A:$AC,13,FALSE)),""))</f>
        <v>0</v>
      </c>
      <c r="L584" s="102">
        <f>(IF((VLOOKUP(Table6[[#This Row],[SKU]],'All Skus'!$A:$AC,2,FALSE))="JBL",(VLOOKUP(Table6[[#This Row],[SKU]],'All Skus'!$A:$AC,14,FALSE)),""))</f>
        <v>0</v>
      </c>
      <c r="M584" s="143">
        <f>(IF((VLOOKUP(Table6[[#This Row],[SKU]],'All Skus'!$A:$AC,2,FALSE))="JBL",(VLOOKUP(Table6[[#This Row],[SKU]],'All Skus'!$A:$AC,15,FALSE)),""))</f>
        <v>0</v>
      </c>
      <c r="N584" s="137">
        <f>(IF((VLOOKUP(Table6[[#This Row],[SKU]],'All Skus'!$A:$AC,2,FALSE))="JBL",(VLOOKUP(Table6[[#This Row],[SKU]],'All Skus'!$A:$AC,16,FALSE)),""))</f>
        <v>691991014895</v>
      </c>
      <c r="O584" s="61">
        <f>(IF((VLOOKUP(Table6[[#This Row],[SKU]],'All Skus'!$A:$AC,2,FALSE))="JBL",(VLOOKUP(Table6[[#This Row],[SKU]],'All Skus'!$A:$AC,17,FALSE)),""))</f>
        <v>0</v>
      </c>
      <c r="P584" s="136">
        <f>(IF((VLOOKUP(Table6[[#This Row],[SKU]],'All Skus'!$A:$AC,2,FALSE))="JBL",(VLOOKUP(Table6[[#This Row],[SKU]],'All Skus'!$A:$AC,18,FALSE)),""))</f>
        <v>197</v>
      </c>
      <c r="Q584" s="136">
        <f>(IF((VLOOKUP(Table6[[#This Row],[SKU]],'All Skus'!$A:$AC,2,FALSE))="JBL",(VLOOKUP(Table6[[#This Row],[SKU]],'All Skus'!$A:$AC,19,FALSE)),""))</f>
        <v>33.5</v>
      </c>
      <c r="R584" s="136">
        <f>(IF((VLOOKUP(Table6[[#This Row],[SKU]],'All Skus'!$A:$AC,2,FALSE))="JBL",(VLOOKUP(Table6[[#This Row],[SKU]],'All Skus'!$A:$AC,20,FALSE)),""))</f>
        <v>33.5</v>
      </c>
      <c r="S584" s="61">
        <f>(IF((VLOOKUP(Table6[[#This Row],[SKU]],'All Skus'!$A:$AC,2,FALSE))="JBL",(VLOOKUP(Table6[[#This Row],[SKU]],'All Skus'!$A:$AC,21,FALSE)),""))</f>
        <v>27</v>
      </c>
      <c r="T584" s="61" t="str">
        <f>(IF((VLOOKUP(Table6[[#This Row],[SKU]],'All Skus'!$A:$AC,2,FALSE))="JBL",(VLOOKUP(Table6[[#This Row],[SKU]],'All Skus'!$A:$AC,22,FALSE)),""))</f>
        <v>MX</v>
      </c>
      <c r="U584" t="str">
        <f>(IF((VLOOKUP(Table6[[#This Row],[SKU]],'All Skus'!$A:$AC,2,FALSE))="JBL",(VLOOKUP(Table6[[#This Row],[SKU]],'All Skus'!$A:$AC,23,FALSE)),""))</f>
        <v>Compliant</v>
      </c>
      <c r="V584" s="284" t="str">
        <f>HYPERLINK((IF((VLOOKUP(Table6[[#This Row],[SKU]],'All Skus'!$A:$AC,2,FALSE))="JBL",(VLOOKUP(Table6[[#This Row],[SKU]],'All Skus'!$A:$AC,24,FALSE)),"")))</f>
        <v/>
      </c>
      <c r="W584" s="151">
        <v>582</v>
      </c>
    </row>
    <row r="585" spans="1:23" ht="15" hidden="1" customHeight="1">
      <c r="A585" s="13" t="s">
        <v>1591</v>
      </c>
      <c r="B585" s="12" t="str">
        <f>(IF((VLOOKUP(Table6[[#This Row],[SKU]],'All Skus'!$A:$AC,2,FALSE))="JBL",(VLOOKUP(Table6[[#This Row],[SKU]],'All Skus'!$A:$AC,3,FALSE)),""))</f>
        <v>Custom Shop Item</v>
      </c>
      <c r="C585" s="12" t="str">
        <f>(IF((VLOOKUP(Table6[[#This Row],[SKU]],'All Skus'!$A:$AC,2,FALSE))="JBL",(VLOOKUP(Table6[[#This Row],[SKU]],'All Skus'!$A:$AC,4,FALSE)),""))</f>
        <v>PD743-WH</v>
      </c>
      <c r="D585" s="61">
        <f>(IF((VLOOKUP(Table6[[#This Row],[SKU]],'All Skus'!$A:$AC,2,FALSE))="JBL",(VLOOKUP(Table6[[#This Row],[SKU]],'All Skus'!$A:$AC,5,FALSE)),""))</f>
        <v>0</v>
      </c>
      <c r="E585" s="137" t="str">
        <f>(IF((VLOOKUP(Table6[[#This Row],[SKU]],'All Skus'!$A:$AC,2,FALSE))="JBL",(VLOOKUP(Table6[[#This Row],[SKU]],'All Skus'!$A:$AC,6,FALSE)),""))</f>
        <v>YES</v>
      </c>
      <c r="F585" s="61">
        <f>(IF((VLOOKUP(Table6[[#This Row],[SKU]],'All Skus'!$A:$AC,2,FALSE))="JBL",(VLOOKUP(Table6[[#This Row],[SKU]],'All Skus'!$A:$AC,7,FALSE)),""))</f>
        <v>0</v>
      </c>
      <c r="G585" t="str">
        <f>(IF((VLOOKUP(Table6[[#This Row],[SKU]],'All Skus'!$A:$AC,2,FALSE))="JBL",(VLOOKUP(Table6[[#This Row],[SKU]],'All Skus'!$A:$AC,8,FALSE)),""))</f>
        <v>HIGH OUTPUT COAX 40 X 30 (Weather Protection Treatment)</v>
      </c>
      <c r="H585" s="8" t="str">
        <f>(IF((VLOOKUP(Table6[[#This Row],[SKU]],'All Skus'!$A:$AC,2,FALSE))="JBL",(VLOOKUP(Table6[[#This Row],[SKU]],'All Skus'!$A:$AC,9,FALSE)),""))</f>
        <v>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v>
      </c>
      <c r="I585" s="101">
        <f>(IF((VLOOKUP(Table6[[#This Row],[SKU]],'All Skus'!$A:$AC,2,FALSE))="JBL",(VLOOKUP(Table6[[#This Row],[SKU]],'All Skus'!$A:$AC,10,FALSE)),""))</f>
        <v>16003.4</v>
      </c>
      <c r="J585" s="101">
        <f>(IF((VLOOKUP(Table6[[#This Row],[SKU]],'All Skus'!$A:$AC,2,FALSE))="JBL",(VLOOKUP(Table6[[#This Row],[SKU]],'All Skus'!$A:$AC,11,FALSE)),""))</f>
        <v>16003</v>
      </c>
      <c r="K585" s="102">
        <f>(IF((VLOOKUP(Table6[[#This Row],[SKU]],'All Skus'!$A:$AC,2,FALSE))="JBL",(VLOOKUP(Table6[[#This Row],[SKU]],'All Skus'!$A:$AC,13,FALSE)),""))</f>
        <v>0</v>
      </c>
      <c r="L585" s="102">
        <f>(IF((VLOOKUP(Table6[[#This Row],[SKU]],'All Skus'!$A:$AC,2,FALSE))="JBL",(VLOOKUP(Table6[[#This Row],[SKU]],'All Skus'!$A:$AC,14,FALSE)),""))</f>
        <v>0</v>
      </c>
      <c r="M585" s="143">
        <f>(IF((VLOOKUP(Table6[[#This Row],[SKU]],'All Skus'!$A:$AC,2,FALSE))="JBL",(VLOOKUP(Table6[[#This Row],[SKU]],'All Skus'!$A:$AC,15,FALSE)),""))</f>
        <v>0</v>
      </c>
      <c r="N585" s="137">
        <f>(IF((VLOOKUP(Table6[[#This Row],[SKU]],'All Skus'!$A:$AC,2,FALSE))="JBL",(VLOOKUP(Table6[[#This Row],[SKU]],'All Skus'!$A:$AC,16,FALSE)),""))</f>
        <v>0</v>
      </c>
      <c r="O585" s="61">
        <f>(IF((VLOOKUP(Table6[[#This Row],[SKU]],'All Skus'!$A:$AC,2,FALSE))="JBL",(VLOOKUP(Table6[[#This Row],[SKU]],'All Skus'!$A:$AC,17,FALSE)),""))</f>
        <v>0</v>
      </c>
      <c r="P585" s="136">
        <f>(IF((VLOOKUP(Table6[[#This Row],[SKU]],'All Skus'!$A:$AC,2,FALSE))="JBL",(VLOOKUP(Table6[[#This Row],[SKU]],'All Skus'!$A:$AC,18,FALSE)),""))</f>
        <v>0</v>
      </c>
      <c r="Q585" s="136">
        <f>(IF((VLOOKUP(Table6[[#This Row],[SKU]],'All Skus'!$A:$AC,2,FALSE))="JBL",(VLOOKUP(Table6[[#This Row],[SKU]],'All Skus'!$A:$AC,19,FALSE)),""))</f>
        <v>0</v>
      </c>
      <c r="R585" s="136">
        <f>(IF((VLOOKUP(Table6[[#This Row],[SKU]],'All Skus'!$A:$AC,2,FALSE))="JBL",(VLOOKUP(Table6[[#This Row],[SKU]],'All Skus'!$A:$AC,20,FALSE)),""))</f>
        <v>0</v>
      </c>
      <c r="S585" s="61">
        <f>(IF((VLOOKUP(Table6[[#This Row],[SKU]],'All Skus'!$A:$AC,2,FALSE))="JBL",(VLOOKUP(Table6[[#This Row],[SKU]],'All Skus'!$A:$AC,21,FALSE)),""))</f>
        <v>0</v>
      </c>
      <c r="T585" s="61" t="str">
        <f>(IF((VLOOKUP(Table6[[#This Row],[SKU]],'All Skus'!$A:$AC,2,FALSE))="JBL",(VLOOKUP(Table6[[#This Row],[SKU]],'All Skus'!$A:$AC,22,FALSE)),""))</f>
        <v>MX</v>
      </c>
      <c r="U585" t="str">
        <f>(IF((VLOOKUP(Table6[[#This Row],[SKU]],'All Skus'!$A:$AC,2,FALSE))="JBL",(VLOOKUP(Table6[[#This Row],[SKU]],'All Skus'!$A:$AC,23,FALSE)),""))</f>
        <v>Compliant</v>
      </c>
      <c r="V585" s="284" t="str">
        <f>HYPERLINK((IF((VLOOKUP(Table6[[#This Row],[SKU]],'All Skus'!$A:$AC,2,FALSE))="JBL",(VLOOKUP(Table6[[#This Row],[SKU]],'All Skus'!$A:$AC,24,FALSE)),"")))</f>
        <v/>
      </c>
      <c r="W585" s="151">
        <v>583</v>
      </c>
    </row>
    <row r="586" spans="1:23" ht="15" hidden="1" customHeight="1">
      <c r="A586" s="13" t="s">
        <v>1592</v>
      </c>
      <c r="B586" s="12" t="str">
        <f>(IF((VLOOKUP(Table6[[#This Row],[SKU]],'All Skus'!$A:$AC,2,FALSE))="JBL",(VLOOKUP(Table6[[#This Row],[SKU]],'All Skus'!$A:$AC,3,FALSE)),""))</f>
        <v>Custom Shop Item</v>
      </c>
      <c r="C586" s="12" t="str">
        <f>(IF((VLOOKUP(Table6[[#This Row],[SKU]],'All Skus'!$A:$AC,2,FALSE))="JBL",(VLOOKUP(Table6[[#This Row],[SKU]],'All Skus'!$A:$AC,4,FALSE)),""))</f>
        <v>PD743i-WRC</v>
      </c>
      <c r="D586" s="61">
        <f>(IF((VLOOKUP(Table6[[#This Row],[SKU]],'All Skus'!$A:$AC,2,FALSE))="JBL",(VLOOKUP(Table6[[#This Row],[SKU]],'All Skus'!$A:$AC,5,FALSE)),""))</f>
        <v>0</v>
      </c>
      <c r="E586" s="137" t="str">
        <f>(IF((VLOOKUP(Table6[[#This Row],[SKU]],'All Skus'!$A:$AC,2,FALSE))="JBL",(VLOOKUP(Table6[[#This Row],[SKU]],'All Skus'!$A:$AC,6,FALSE)),""))</f>
        <v>YES</v>
      </c>
      <c r="F586" s="61">
        <f>(IF((VLOOKUP(Table6[[#This Row],[SKU]],'All Skus'!$A:$AC,2,FALSE))="JBL",(VLOOKUP(Table6[[#This Row],[SKU]],'All Skus'!$A:$AC,7,FALSE)),""))</f>
        <v>0</v>
      </c>
      <c r="G586">
        <f>(IF((VLOOKUP(Table6[[#This Row],[SKU]],'All Skus'!$A:$AC,2,FALSE))="JBL",(VLOOKUP(Table6[[#This Row],[SKU]],'All Skus'!$A:$AC,8,FALSE)),""))</f>
        <v>0</v>
      </c>
      <c r="H586" s="8">
        <f>(IF((VLOOKUP(Table6[[#This Row],[SKU]],'All Skus'!$A:$AC,2,FALSE))="JBL",(VLOOKUP(Table6[[#This Row],[SKU]],'All Skus'!$A:$AC,9,FALSE)),""))</f>
        <v>0</v>
      </c>
      <c r="I586" s="101" t="str">
        <f>(IF((VLOOKUP(Table6[[#This Row],[SKU]],'All Skus'!$A:$AC,2,FALSE))="JBL",(VLOOKUP(Table6[[#This Row],[SKU]],'All Skus'!$A:$AC,10,FALSE)),""))</f>
        <v>Please email CustomAudio@harman.com for quote</v>
      </c>
      <c r="J586" s="101">
        <f>(IF((VLOOKUP(Table6[[#This Row],[SKU]],'All Skus'!$A:$AC,2,FALSE))="JBL",(VLOOKUP(Table6[[#This Row],[SKU]],'All Skus'!$A:$AC,11,FALSE)),""))</f>
        <v>0</v>
      </c>
      <c r="K586" s="102">
        <f>(IF((VLOOKUP(Table6[[#This Row],[SKU]],'All Skus'!$A:$AC,2,FALSE))="JBL",(VLOOKUP(Table6[[#This Row],[SKU]],'All Skus'!$A:$AC,13,FALSE)),""))</f>
        <v>0</v>
      </c>
      <c r="L586" s="102">
        <f>(IF((VLOOKUP(Table6[[#This Row],[SKU]],'All Skus'!$A:$AC,2,FALSE))="JBL",(VLOOKUP(Table6[[#This Row],[SKU]],'All Skus'!$A:$AC,14,FALSE)),""))</f>
        <v>0</v>
      </c>
      <c r="M586" s="143">
        <f>(IF((VLOOKUP(Table6[[#This Row],[SKU]],'All Skus'!$A:$AC,2,FALSE))="JBL",(VLOOKUP(Table6[[#This Row],[SKU]],'All Skus'!$A:$AC,15,FALSE)),""))</f>
        <v>0</v>
      </c>
      <c r="N586" s="137">
        <f>(IF((VLOOKUP(Table6[[#This Row],[SKU]],'All Skus'!$A:$AC,2,FALSE))="JBL",(VLOOKUP(Table6[[#This Row],[SKU]],'All Skus'!$A:$AC,16,FALSE)),""))</f>
        <v>0</v>
      </c>
      <c r="O586" s="61">
        <f>(IF((VLOOKUP(Table6[[#This Row],[SKU]],'All Skus'!$A:$AC,2,FALSE))="JBL",(VLOOKUP(Table6[[#This Row],[SKU]],'All Skus'!$A:$AC,17,FALSE)),""))</f>
        <v>0</v>
      </c>
      <c r="P586" s="136">
        <f>(IF((VLOOKUP(Table6[[#This Row],[SKU]],'All Skus'!$A:$AC,2,FALSE))="JBL",(VLOOKUP(Table6[[#This Row],[SKU]],'All Skus'!$A:$AC,18,FALSE)),""))</f>
        <v>0</v>
      </c>
      <c r="Q586" s="136">
        <f>(IF((VLOOKUP(Table6[[#This Row],[SKU]],'All Skus'!$A:$AC,2,FALSE))="JBL",(VLOOKUP(Table6[[#This Row],[SKU]],'All Skus'!$A:$AC,19,FALSE)),""))</f>
        <v>0</v>
      </c>
      <c r="R586" s="136">
        <f>(IF((VLOOKUP(Table6[[#This Row],[SKU]],'All Skus'!$A:$AC,2,FALSE))="JBL",(VLOOKUP(Table6[[#This Row],[SKU]],'All Skus'!$A:$AC,20,FALSE)),""))</f>
        <v>0</v>
      </c>
      <c r="S586" s="61">
        <f>(IF((VLOOKUP(Table6[[#This Row],[SKU]],'All Skus'!$A:$AC,2,FALSE))="JBL",(VLOOKUP(Table6[[#This Row],[SKU]],'All Skus'!$A:$AC,21,FALSE)),""))</f>
        <v>0</v>
      </c>
      <c r="T586" s="61">
        <f>(IF((VLOOKUP(Table6[[#This Row],[SKU]],'All Skus'!$A:$AC,2,FALSE))="JBL",(VLOOKUP(Table6[[#This Row],[SKU]],'All Skus'!$A:$AC,22,FALSE)),""))</f>
        <v>0</v>
      </c>
      <c r="U586">
        <f>(IF((VLOOKUP(Table6[[#This Row],[SKU]],'All Skus'!$A:$AC,2,FALSE))="JBL",(VLOOKUP(Table6[[#This Row],[SKU]],'All Skus'!$A:$AC,23,FALSE)),""))</f>
        <v>0</v>
      </c>
      <c r="V586" s="284" t="str">
        <f>HYPERLINK((IF((VLOOKUP(Table6[[#This Row],[SKU]],'All Skus'!$A:$AC,2,FALSE))="JBL",(VLOOKUP(Table6[[#This Row],[SKU]],'All Skus'!$A:$AC,24,FALSE)),"")))</f>
        <v/>
      </c>
      <c r="W586" s="151">
        <v>584</v>
      </c>
    </row>
    <row r="587" spans="1:23" ht="15" hidden="1" customHeight="1">
      <c r="A587" s="13" t="s">
        <v>1593</v>
      </c>
      <c r="B587" s="12" t="str">
        <f>(IF((VLOOKUP(Table6[[#This Row],[SKU]],'All Skus'!$A:$AC,2,FALSE))="JBL",(VLOOKUP(Table6[[#This Row],[SKU]],'All Skus'!$A:$AC,3,FALSE)),""))</f>
        <v>Custom Shop Item</v>
      </c>
      <c r="C587" s="12" t="str">
        <f>(IF((VLOOKUP(Table6[[#This Row],[SKU]],'All Skus'!$A:$AC,2,FALSE))="JBL",(VLOOKUP(Table6[[#This Row],[SKU]],'All Skus'!$A:$AC,4,FALSE)),""))</f>
        <v>PD743i-WRX</v>
      </c>
      <c r="D587" s="61" t="str">
        <f>(IF((VLOOKUP(Table6[[#This Row],[SKU]],'All Skus'!$A:$AC,2,FALSE))="JBL",(VLOOKUP(Table6[[#This Row],[SKU]],'All Skus'!$A:$AC,5,FALSE)),""))</f>
        <v>JBL050</v>
      </c>
      <c r="E587" s="137" t="str">
        <f>(IF((VLOOKUP(Table6[[#This Row],[SKU]],'All Skus'!$A:$AC,2,FALSE))="JBL",(VLOOKUP(Table6[[#This Row],[SKU]],'All Skus'!$A:$AC,6,FALSE)),""))</f>
        <v>YES</v>
      </c>
      <c r="F587" s="61">
        <f>(IF((VLOOKUP(Table6[[#This Row],[SKU]],'All Skus'!$A:$AC,2,FALSE))="JBL",(VLOOKUP(Table6[[#This Row],[SKU]],'All Skus'!$A:$AC,7,FALSE)),""))</f>
        <v>0</v>
      </c>
      <c r="G587">
        <f>(IF((VLOOKUP(Table6[[#This Row],[SKU]],'All Skus'!$A:$AC,2,FALSE))="JBL",(VLOOKUP(Table6[[#This Row],[SKU]],'All Skus'!$A:$AC,8,FALSE)),""))</f>
        <v>0</v>
      </c>
      <c r="H587" s="8">
        <f>(IF((VLOOKUP(Table6[[#This Row],[SKU]],'All Skus'!$A:$AC,2,FALSE))="JBL",(VLOOKUP(Table6[[#This Row],[SKU]],'All Skus'!$A:$AC,9,FALSE)),""))</f>
        <v>0</v>
      </c>
      <c r="I587" s="101" t="str">
        <f>(IF((VLOOKUP(Table6[[#This Row],[SKU]],'All Skus'!$A:$AC,2,FALSE))="JBL",(VLOOKUP(Table6[[#This Row],[SKU]],'All Skus'!$A:$AC,10,FALSE)),""))</f>
        <v>Please email CustomAudio@harman.com for quote</v>
      </c>
      <c r="J587" s="101">
        <f>(IF((VLOOKUP(Table6[[#This Row],[SKU]],'All Skus'!$A:$AC,2,FALSE))="JBL",(VLOOKUP(Table6[[#This Row],[SKU]],'All Skus'!$A:$AC,11,FALSE)),""))</f>
        <v>0</v>
      </c>
      <c r="K587" s="102">
        <f>(IF((VLOOKUP(Table6[[#This Row],[SKU]],'All Skus'!$A:$AC,2,FALSE))="JBL",(VLOOKUP(Table6[[#This Row],[SKU]],'All Skus'!$A:$AC,13,FALSE)),""))</f>
        <v>0</v>
      </c>
      <c r="L587" s="102">
        <f>(IF((VLOOKUP(Table6[[#This Row],[SKU]],'All Skus'!$A:$AC,2,FALSE))="JBL",(VLOOKUP(Table6[[#This Row],[SKU]],'All Skus'!$A:$AC,14,FALSE)),""))</f>
        <v>0</v>
      </c>
      <c r="M587" s="143">
        <f>(IF((VLOOKUP(Table6[[#This Row],[SKU]],'All Skus'!$A:$AC,2,FALSE))="JBL",(VLOOKUP(Table6[[#This Row],[SKU]],'All Skus'!$A:$AC,15,FALSE)),""))</f>
        <v>0</v>
      </c>
      <c r="N587" s="137">
        <f>(IF((VLOOKUP(Table6[[#This Row],[SKU]],'All Skus'!$A:$AC,2,FALSE))="JBL",(VLOOKUP(Table6[[#This Row],[SKU]],'All Skus'!$A:$AC,16,FALSE)),""))</f>
        <v>0</v>
      </c>
      <c r="O587" s="61">
        <f>(IF((VLOOKUP(Table6[[#This Row],[SKU]],'All Skus'!$A:$AC,2,FALSE))="JBL",(VLOOKUP(Table6[[#This Row],[SKU]],'All Skus'!$A:$AC,17,FALSE)),""))</f>
        <v>0</v>
      </c>
      <c r="P587" s="136">
        <f>(IF((VLOOKUP(Table6[[#This Row],[SKU]],'All Skus'!$A:$AC,2,FALSE))="JBL",(VLOOKUP(Table6[[#This Row],[SKU]],'All Skus'!$A:$AC,18,FALSE)),""))</f>
        <v>0</v>
      </c>
      <c r="Q587" s="136">
        <f>(IF((VLOOKUP(Table6[[#This Row],[SKU]],'All Skus'!$A:$AC,2,FALSE))="JBL",(VLOOKUP(Table6[[#This Row],[SKU]],'All Skus'!$A:$AC,19,FALSE)),""))</f>
        <v>0</v>
      </c>
      <c r="R587" s="136">
        <f>(IF((VLOOKUP(Table6[[#This Row],[SKU]],'All Skus'!$A:$AC,2,FALSE))="JBL",(VLOOKUP(Table6[[#This Row],[SKU]],'All Skus'!$A:$AC,20,FALSE)),""))</f>
        <v>0</v>
      </c>
      <c r="S587" s="61">
        <f>(IF((VLOOKUP(Table6[[#This Row],[SKU]],'All Skus'!$A:$AC,2,FALSE))="JBL",(VLOOKUP(Table6[[#This Row],[SKU]],'All Skus'!$A:$AC,21,FALSE)),""))</f>
        <v>0</v>
      </c>
      <c r="T587" s="61" t="str">
        <f>(IF((VLOOKUP(Table6[[#This Row],[SKU]],'All Skus'!$A:$AC,2,FALSE))="JBL",(VLOOKUP(Table6[[#This Row],[SKU]],'All Skus'!$A:$AC,22,FALSE)),""))</f>
        <v>MX</v>
      </c>
      <c r="U587">
        <f>(IF((VLOOKUP(Table6[[#This Row],[SKU]],'All Skus'!$A:$AC,2,FALSE))="JBL",(VLOOKUP(Table6[[#This Row],[SKU]],'All Skus'!$A:$AC,23,FALSE)),""))</f>
        <v>0</v>
      </c>
      <c r="V587" s="284" t="str">
        <f>HYPERLINK((IF((VLOOKUP(Table6[[#This Row],[SKU]],'All Skus'!$A:$AC,2,FALSE))="JBL",(VLOOKUP(Table6[[#This Row],[SKU]],'All Skus'!$A:$AC,24,FALSE)),"")))</f>
        <v/>
      </c>
      <c r="W587" s="151">
        <v>585</v>
      </c>
    </row>
    <row r="588" spans="1:23" ht="15" hidden="1" customHeight="1">
      <c r="A588" s="13" t="s">
        <v>1594</v>
      </c>
      <c r="B588" s="12" t="str">
        <f>(IF((VLOOKUP(Table6[[#This Row],[SKU]],'All Skus'!$A:$AC,2,FALSE))="JBL",(VLOOKUP(Table6[[#This Row],[SKU]],'All Skus'!$A:$AC,3,FALSE)),""))</f>
        <v>Custom Shop Item</v>
      </c>
      <c r="C588" s="12" t="str">
        <f>(IF((VLOOKUP(Table6[[#This Row],[SKU]],'All Skus'!$A:$AC,2,FALSE))="JBL",(VLOOKUP(Table6[[#This Row],[SKU]],'All Skus'!$A:$AC,4,FALSE)),""))</f>
        <v>PD743i-215-WRX</v>
      </c>
      <c r="D588" s="61" t="str">
        <f>(IF((VLOOKUP(Table6[[#This Row],[SKU]],'All Skus'!$A:$AC,2,FALSE))="JBL",(VLOOKUP(Table6[[#This Row],[SKU]],'All Skus'!$A:$AC,5,FALSE)),""))</f>
        <v>JBL050</v>
      </c>
      <c r="E588" s="137" t="str">
        <f>(IF((VLOOKUP(Table6[[#This Row],[SKU]],'All Skus'!$A:$AC,2,FALSE))="JBL",(VLOOKUP(Table6[[#This Row],[SKU]],'All Skus'!$A:$AC,6,FALSE)),""))</f>
        <v>YES</v>
      </c>
      <c r="F588" s="61">
        <f>(IF((VLOOKUP(Table6[[#This Row],[SKU]],'All Skus'!$A:$AC,2,FALSE))="JBL",(VLOOKUP(Table6[[#This Row],[SKU]],'All Skus'!$A:$AC,7,FALSE)),""))</f>
        <v>0</v>
      </c>
      <c r="G588" t="str">
        <f>(IF((VLOOKUP(Table6[[#This Row],[SKU]],'All Skus'!$A:$AC,2,FALSE))="JBL",(VLOOKUP(Table6[[#This Row],[SKU]],'All Skus'!$A:$AC,8,FALSE)),""))</f>
        <v>HIGH OUTPUT COAX 40 X 30 (Extreme Weather Protection Treatment)</v>
      </c>
      <c r="H588" s="8" t="str">
        <f>(IF((VLOOKUP(Table6[[#This Row],[SKU]],'All Skus'!$A:$AC,2,FALSE))="JBL",(VLOOKUP(Table6[[#This Row],[SKU]],'All Skus'!$A:$AC,9,FALSE)),""))</f>
        <v>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Extreme Weather Protection Treatment. Refer to WEATHER RESISTANT Configurations for AE, PD &amp; VLA Series document for details regarding WRC/WRX models. Standard color is GRAY. Available in Black (-BK) &amp; White (-WH).</v>
      </c>
      <c r="I588" s="101" t="str">
        <f>(IF((VLOOKUP(Table6[[#This Row],[SKU]],'All Skus'!$A:$AC,2,FALSE))="JBL",(VLOOKUP(Table6[[#This Row],[SKU]],'All Skus'!$A:$AC,10,FALSE)),""))</f>
        <v>Please email CustomAudio@harman.com for quote</v>
      </c>
      <c r="J588" s="101">
        <f>(IF((VLOOKUP(Table6[[#This Row],[SKU]],'All Skus'!$A:$AC,2,FALSE))="JBL",(VLOOKUP(Table6[[#This Row],[SKU]],'All Skus'!$A:$AC,11,FALSE)),""))</f>
        <v>0</v>
      </c>
      <c r="K588" s="102">
        <f>(IF((VLOOKUP(Table6[[#This Row],[SKU]],'All Skus'!$A:$AC,2,FALSE))="JBL",(VLOOKUP(Table6[[#This Row],[SKU]],'All Skus'!$A:$AC,13,FALSE)),""))</f>
        <v>0</v>
      </c>
      <c r="L588" s="102">
        <f>(IF((VLOOKUP(Table6[[#This Row],[SKU]],'All Skus'!$A:$AC,2,FALSE))="JBL",(VLOOKUP(Table6[[#This Row],[SKU]],'All Skus'!$A:$AC,14,FALSE)),""))</f>
        <v>0</v>
      </c>
      <c r="M588" s="143">
        <f>(IF((VLOOKUP(Table6[[#This Row],[SKU]],'All Skus'!$A:$AC,2,FALSE))="JBL",(VLOOKUP(Table6[[#This Row],[SKU]],'All Skus'!$A:$AC,15,FALSE)),""))</f>
        <v>0</v>
      </c>
      <c r="N588" s="137">
        <f>(IF((VLOOKUP(Table6[[#This Row],[SKU]],'All Skus'!$A:$AC,2,FALSE))="JBL",(VLOOKUP(Table6[[#This Row],[SKU]],'All Skus'!$A:$AC,16,FALSE)),""))</f>
        <v>0</v>
      </c>
      <c r="O588" s="61">
        <f>(IF((VLOOKUP(Table6[[#This Row],[SKU]],'All Skus'!$A:$AC,2,FALSE))="JBL",(VLOOKUP(Table6[[#This Row],[SKU]],'All Skus'!$A:$AC,17,FALSE)),""))</f>
        <v>0</v>
      </c>
      <c r="P588" s="136">
        <f>(IF((VLOOKUP(Table6[[#This Row],[SKU]],'All Skus'!$A:$AC,2,FALSE))="JBL",(VLOOKUP(Table6[[#This Row],[SKU]],'All Skus'!$A:$AC,18,FALSE)),""))</f>
        <v>0</v>
      </c>
      <c r="Q588" s="136">
        <f>(IF((VLOOKUP(Table6[[#This Row],[SKU]],'All Skus'!$A:$AC,2,FALSE))="JBL",(VLOOKUP(Table6[[#This Row],[SKU]],'All Skus'!$A:$AC,19,FALSE)),""))</f>
        <v>0</v>
      </c>
      <c r="R588" s="136">
        <f>(IF((VLOOKUP(Table6[[#This Row],[SKU]],'All Skus'!$A:$AC,2,FALSE))="JBL",(VLOOKUP(Table6[[#This Row],[SKU]],'All Skus'!$A:$AC,20,FALSE)),""))</f>
        <v>0</v>
      </c>
      <c r="S588" s="61">
        <f>(IF((VLOOKUP(Table6[[#This Row],[SKU]],'All Skus'!$A:$AC,2,FALSE))="JBL",(VLOOKUP(Table6[[#This Row],[SKU]],'All Skus'!$A:$AC,21,FALSE)),""))</f>
        <v>0</v>
      </c>
      <c r="T588" s="61" t="str">
        <f>(IF((VLOOKUP(Table6[[#This Row],[SKU]],'All Skus'!$A:$AC,2,FALSE))="JBL",(VLOOKUP(Table6[[#This Row],[SKU]],'All Skus'!$A:$AC,22,FALSE)),""))</f>
        <v>MX</v>
      </c>
      <c r="U588" t="str">
        <f>(IF((VLOOKUP(Table6[[#This Row],[SKU]],'All Skus'!$A:$AC,2,FALSE))="JBL",(VLOOKUP(Table6[[#This Row],[SKU]],'All Skus'!$A:$AC,23,FALSE)),""))</f>
        <v>Compliant</v>
      </c>
      <c r="V588" s="284" t="str">
        <f>HYPERLINK((IF((VLOOKUP(Table6[[#This Row],[SKU]],'All Skus'!$A:$AC,2,FALSE))="JBL",(VLOOKUP(Table6[[#This Row],[SKU]],'All Skus'!$A:$AC,24,FALSE)),"")))</f>
        <v/>
      </c>
      <c r="W588" s="151">
        <v>586</v>
      </c>
    </row>
    <row r="589" spans="1:23" ht="15" hidden="1" customHeight="1">
      <c r="A589" s="13" t="s">
        <v>1595</v>
      </c>
      <c r="B589" s="12" t="str">
        <f>(IF((VLOOKUP(Table6[[#This Row],[SKU]],'All Skus'!$A:$AC,2,FALSE))="JBL",(VLOOKUP(Table6[[#This Row],[SKU]],'All Skus'!$A:$AC,3,FALSE)),""))</f>
        <v>Custom Shop Item</v>
      </c>
      <c r="C589" s="12" t="str">
        <f>(IF((VLOOKUP(Table6[[#This Row],[SKU]],'All Skus'!$A:$AC,2,FALSE))="JBL",(VLOOKUP(Table6[[#This Row],[SKU]],'All Skus'!$A:$AC,4,FALSE)),""))</f>
        <v>PD743i-215-WRC</v>
      </c>
      <c r="D589" s="61" t="str">
        <f>(IF((VLOOKUP(Table6[[#This Row],[SKU]],'All Skus'!$A:$AC,2,FALSE))="JBL",(VLOOKUP(Table6[[#This Row],[SKU]],'All Skus'!$A:$AC,5,FALSE)),""))</f>
        <v>JBL050</v>
      </c>
      <c r="E589" s="137" t="str">
        <f>(IF((VLOOKUP(Table6[[#This Row],[SKU]],'All Skus'!$A:$AC,2,FALSE))="JBL",(VLOOKUP(Table6[[#This Row],[SKU]],'All Skus'!$A:$AC,6,FALSE)),""))</f>
        <v>YES</v>
      </c>
      <c r="F589" s="61">
        <f>(IF((VLOOKUP(Table6[[#This Row],[SKU]],'All Skus'!$A:$AC,2,FALSE))="JBL",(VLOOKUP(Table6[[#This Row],[SKU]],'All Skus'!$A:$AC,7,FALSE)),""))</f>
        <v>0</v>
      </c>
      <c r="G589">
        <f>(IF((VLOOKUP(Table6[[#This Row],[SKU]],'All Skus'!$A:$AC,2,FALSE))="JBL",(VLOOKUP(Table6[[#This Row],[SKU]],'All Skus'!$A:$AC,8,FALSE)),""))</f>
        <v>0</v>
      </c>
      <c r="H589" s="8">
        <f>(IF((VLOOKUP(Table6[[#This Row],[SKU]],'All Skus'!$A:$AC,2,FALSE))="JBL",(VLOOKUP(Table6[[#This Row],[SKU]],'All Skus'!$A:$AC,9,FALSE)),""))</f>
        <v>0</v>
      </c>
      <c r="I589" s="101" t="str">
        <f>(IF((VLOOKUP(Table6[[#This Row],[SKU]],'All Skus'!$A:$AC,2,FALSE))="JBL",(VLOOKUP(Table6[[#This Row],[SKU]],'All Skus'!$A:$AC,10,FALSE)),""))</f>
        <v>Please email CustomAudio@harman.com for quote</v>
      </c>
      <c r="J589" s="101">
        <f>(IF((VLOOKUP(Table6[[#This Row],[SKU]],'All Skus'!$A:$AC,2,FALSE))="JBL",(VLOOKUP(Table6[[#This Row],[SKU]],'All Skus'!$A:$AC,11,FALSE)),""))</f>
        <v>0</v>
      </c>
      <c r="K589" s="102">
        <f>(IF((VLOOKUP(Table6[[#This Row],[SKU]],'All Skus'!$A:$AC,2,FALSE))="JBL",(VLOOKUP(Table6[[#This Row],[SKU]],'All Skus'!$A:$AC,13,FALSE)),""))</f>
        <v>0</v>
      </c>
      <c r="L589" s="102">
        <f>(IF((VLOOKUP(Table6[[#This Row],[SKU]],'All Skus'!$A:$AC,2,FALSE))="JBL",(VLOOKUP(Table6[[#This Row],[SKU]],'All Skus'!$A:$AC,14,FALSE)),""))</f>
        <v>0</v>
      </c>
      <c r="M589" s="143">
        <f>(IF((VLOOKUP(Table6[[#This Row],[SKU]],'All Skus'!$A:$AC,2,FALSE))="JBL",(VLOOKUP(Table6[[#This Row],[SKU]],'All Skus'!$A:$AC,15,FALSE)),""))</f>
        <v>0</v>
      </c>
      <c r="N589" s="137">
        <f>(IF((VLOOKUP(Table6[[#This Row],[SKU]],'All Skus'!$A:$AC,2,FALSE))="JBL",(VLOOKUP(Table6[[#This Row],[SKU]],'All Skus'!$A:$AC,16,FALSE)),""))</f>
        <v>0</v>
      </c>
      <c r="O589" s="61">
        <f>(IF((VLOOKUP(Table6[[#This Row],[SKU]],'All Skus'!$A:$AC,2,FALSE))="JBL",(VLOOKUP(Table6[[#This Row],[SKU]],'All Skus'!$A:$AC,17,FALSE)),""))</f>
        <v>0</v>
      </c>
      <c r="P589" s="136">
        <f>(IF((VLOOKUP(Table6[[#This Row],[SKU]],'All Skus'!$A:$AC,2,FALSE))="JBL",(VLOOKUP(Table6[[#This Row],[SKU]],'All Skus'!$A:$AC,18,FALSE)),""))</f>
        <v>0</v>
      </c>
      <c r="Q589" s="136">
        <f>(IF((VLOOKUP(Table6[[#This Row],[SKU]],'All Skus'!$A:$AC,2,FALSE))="JBL",(VLOOKUP(Table6[[#This Row],[SKU]],'All Skus'!$A:$AC,19,FALSE)),""))</f>
        <v>0</v>
      </c>
      <c r="R589" s="136">
        <f>(IF((VLOOKUP(Table6[[#This Row],[SKU]],'All Skus'!$A:$AC,2,FALSE))="JBL",(VLOOKUP(Table6[[#This Row],[SKU]],'All Skus'!$A:$AC,20,FALSE)),""))</f>
        <v>0</v>
      </c>
      <c r="S589" s="61" t="str">
        <f>(IF((VLOOKUP(Table6[[#This Row],[SKU]],'All Skus'!$A:$AC,2,FALSE))="JBL",(VLOOKUP(Table6[[#This Row],[SKU]],'All Skus'!$A:$AC,21,FALSE)),""))</f>
        <v>MX</v>
      </c>
      <c r="T589" s="61" t="str">
        <f>(IF((VLOOKUP(Table6[[#This Row],[SKU]],'All Skus'!$A:$AC,2,FALSE))="JBL",(VLOOKUP(Table6[[#This Row],[SKU]],'All Skus'!$A:$AC,22,FALSE)),""))</f>
        <v>MX</v>
      </c>
      <c r="U589">
        <f>(IF((VLOOKUP(Table6[[#This Row],[SKU]],'All Skus'!$A:$AC,2,FALSE))="JBL",(VLOOKUP(Table6[[#This Row],[SKU]],'All Skus'!$A:$AC,23,FALSE)),""))</f>
        <v>0</v>
      </c>
      <c r="V589" s="284" t="str">
        <f>HYPERLINK((IF((VLOOKUP(Table6[[#This Row],[SKU]],'All Skus'!$A:$AC,2,FALSE))="JBL",(VLOOKUP(Table6[[#This Row],[SKU]],'All Skus'!$A:$AC,24,FALSE)),"")))</f>
        <v/>
      </c>
      <c r="W589" s="151">
        <v>587</v>
      </c>
    </row>
    <row r="590" spans="1:23" ht="15" hidden="1" customHeight="1">
      <c r="A590" s="13" t="s">
        <v>1596</v>
      </c>
      <c r="B590" s="12" t="str">
        <f>(IF((VLOOKUP(Table6[[#This Row],[SKU]],'All Skus'!$A:$AC,2,FALSE))="JBL",(VLOOKUP(Table6[[#This Row],[SKU]],'All Skus'!$A:$AC,3,FALSE)),""))</f>
        <v>Custom Shop Item</v>
      </c>
      <c r="C590" s="12" t="str">
        <f>(IF((VLOOKUP(Table6[[#This Row],[SKU]],'All Skus'!$A:$AC,2,FALSE))="JBL",(VLOOKUP(Table6[[#This Row],[SKU]],'All Skus'!$A:$AC,4,FALSE)),""))</f>
        <v>PD764-WH</v>
      </c>
      <c r="D590" s="61">
        <f>(IF((VLOOKUP(Table6[[#This Row],[SKU]],'All Skus'!$A:$AC,2,FALSE))="JBL",(VLOOKUP(Table6[[#This Row],[SKU]],'All Skus'!$A:$AC,5,FALSE)),""))</f>
        <v>0</v>
      </c>
      <c r="E590" s="137" t="str">
        <f>(IF((VLOOKUP(Table6[[#This Row],[SKU]],'All Skus'!$A:$AC,2,FALSE))="JBL",(VLOOKUP(Table6[[#This Row],[SKU]],'All Skus'!$A:$AC,6,FALSE)),""))</f>
        <v>YES</v>
      </c>
      <c r="F590" s="61">
        <f>(IF((VLOOKUP(Table6[[#This Row],[SKU]],'All Skus'!$A:$AC,2,FALSE))="JBL",(VLOOKUP(Table6[[#This Row],[SKU]],'All Skus'!$A:$AC,7,FALSE)),""))</f>
        <v>0</v>
      </c>
      <c r="G590" t="str">
        <f>(IF((VLOOKUP(Table6[[#This Row],[SKU]],'All Skus'!$A:$AC,2,FALSE))="JBL",(VLOOKUP(Table6[[#This Row],[SKU]],'All Skus'!$A:$AC,8,FALSE)),""))</f>
        <v>HIGH OUTPUT COAX 60 X 40 (Weather Protection Treatment)</v>
      </c>
      <c r="H590" s="8" t="str">
        <f>(IF((VLOOKUP(Table6[[#This Row],[SKU]],'All Skus'!$A:$AC,2,FALSE))="JBL",(VLOOKUP(Table6[[#This Row],[SKU]],'All Skus'!$A:$AC,9,FALSE)),""))</f>
        <v>Precision Directivity™ Mid/High Frequency Coaxial with 40 x 30 Dispersion.  Dual large format 2430H HF drivers with IFS™ Interference Free Summation, dual 2250J very high output 8" MF Drivers, well controlled dispersion to below 400 Hz, ten M10 integrated suspension points.  150 Hz to 16 kHz frequency range.  700 W MF, 150 W HF continuous power capability.  Max SPL capability of 139 dB continuous, 145 peak.  Compact 991 H x 991  W x 1146 D mm (39 x 39 x 45.1 in), 111.4 kg (245 lb).  With Weather Protection Treatment. Refer to WEATHER RESISTANT Configurations for AE, PD &amp; VLA Series document for details regarding WRC/WRX models. Standard color is GRAY. Available in Black (-BK) &amp; White (-WH).8-10 weeks ship time for orders of 1-10, larger needs to be reviewed</v>
      </c>
      <c r="I590" s="101">
        <f>(IF((VLOOKUP(Table6[[#This Row],[SKU]],'All Skus'!$A:$AC,2,FALSE))="JBL",(VLOOKUP(Table6[[#This Row],[SKU]],'All Skus'!$A:$AC,10,FALSE)),""))</f>
        <v>14579.65</v>
      </c>
      <c r="J590" s="101">
        <f>(IF((VLOOKUP(Table6[[#This Row],[SKU]],'All Skus'!$A:$AC,2,FALSE))="JBL",(VLOOKUP(Table6[[#This Row],[SKU]],'All Skus'!$A:$AC,11,FALSE)),""))</f>
        <v>14579</v>
      </c>
      <c r="K590" s="102">
        <f>(IF((VLOOKUP(Table6[[#This Row],[SKU]],'All Skus'!$A:$AC,2,FALSE))="JBL",(VLOOKUP(Table6[[#This Row],[SKU]],'All Skus'!$A:$AC,13,FALSE)),""))</f>
        <v>0</v>
      </c>
      <c r="L590" s="102">
        <f>(IF((VLOOKUP(Table6[[#This Row],[SKU]],'All Skus'!$A:$AC,2,FALSE))="JBL",(VLOOKUP(Table6[[#This Row],[SKU]],'All Skus'!$A:$AC,14,FALSE)),""))</f>
        <v>0</v>
      </c>
      <c r="M590" s="143">
        <f>(IF((VLOOKUP(Table6[[#This Row],[SKU]],'All Skus'!$A:$AC,2,FALSE))="JBL",(VLOOKUP(Table6[[#This Row],[SKU]],'All Skus'!$A:$AC,15,FALSE)),""))</f>
        <v>0</v>
      </c>
      <c r="N590" s="137">
        <f>(IF((VLOOKUP(Table6[[#This Row],[SKU]],'All Skus'!$A:$AC,2,FALSE))="JBL",(VLOOKUP(Table6[[#This Row],[SKU]],'All Skus'!$A:$AC,16,FALSE)),""))</f>
        <v>0</v>
      </c>
      <c r="O590" s="61">
        <f>(IF((VLOOKUP(Table6[[#This Row],[SKU]],'All Skus'!$A:$AC,2,FALSE))="JBL",(VLOOKUP(Table6[[#This Row],[SKU]],'All Skus'!$A:$AC,17,FALSE)),""))</f>
        <v>0</v>
      </c>
      <c r="P590" s="136">
        <f>(IF((VLOOKUP(Table6[[#This Row],[SKU]],'All Skus'!$A:$AC,2,FALSE))="JBL",(VLOOKUP(Table6[[#This Row],[SKU]],'All Skus'!$A:$AC,18,FALSE)),""))</f>
        <v>0</v>
      </c>
      <c r="Q590" s="136">
        <f>(IF((VLOOKUP(Table6[[#This Row],[SKU]],'All Skus'!$A:$AC,2,FALSE))="JBL",(VLOOKUP(Table6[[#This Row],[SKU]],'All Skus'!$A:$AC,19,FALSE)),""))</f>
        <v>0</v>
      </c>
      <c r="R590" s="136">
        <f>(IF((VLOOKUP(Table6[[#This Row],[SKU]],'All Skus'!$A:$AC,2,FALSE))="JBL",(VLOOKUP(Table6[[#This Row],[SKU]],'All Skus'!$A:$AC,20,FALSE)),""))</f>
        <v>0</v>
      </c>
      <c r="S590" s="61">
        <f>(IF((VLOOKUP(Table6[[#This Row],[SKU]],'All Skus'!$A:$AC,2,FALSE))="JBL",(VLOOKUP(Table6[[#This Row],[SKU]],'All Skus'!$A:$AC,21,FALSE)),""))</f>
        <v>0</v>
      </c>
      <c r="T590" s="61" t="str">
        <f>(IF((VLOOKUP(Table6[[#This Row],[SKU]],'All Skus'!$A:$AC,2,FALSE))="JBL",(VLOOKUP(Table6[[#This Row],[SKU]],'All Skus'!$A:$AC,22,FALSE)),""))</f>
        <v>MX</v>
      </c>
      <c r="U590" t="str">
        <f>(IF((VLOOKUP(Table6[[#This Row],[SKU]],'All Skus'!$A:$AC,2,FALSE))="JBL",(VLOOKUP(Table6[[#This Row],[SKU]],'All Skus'!$A:$AC,23,FALSE)),""))</f>
        <v>Compliant</v>
      </c>
      <c r="V590" s="284" t="str">
        <f>HYPERLINK((IF((VLOOKUP(Table6[[#This Row],[SKU]],'All Skus'!$A:$AC,2,FALSE))="JBL",(VLOOKUP(Table6[[#This Row],[SKU]],'All Skus'!$A:$AC,24,FALSE)),"")))</f>
        <v/>
      </c>
      <c r="W590" s="151">
        <v>588</v>
      </c>
    </row>
    <row r="591" spans="1:23" ht="15" hidden="1" customHeight="1">
      <c r="A591" s="13" t="s">
        <v>1597</v>
      </c>
      <c r="B591" s="12" t="str">
        <f>(IF((VLOOKUP(Table6[[#This Row],[SKU]],'All Skus'!$A:$AC,2,FALSE))="JBL",(VLOOKUP(Table6[[#This Row],[SKU]],'All Skus'!$A:$AC,3,FALSE)),""))</f>
        <v>Custom Shop Item</v>
      </c>
      <c r="C591" s="12" t="str">
        <f>(IF((VLOOKUP(Table6[[#This Row],[SKU]],'All Skus'!$A:$AC,2,FALSE))="JBL",(VLOOKUP(Table6[[#This Row],[SKU]],'All Skus'!$A:$AC,4,FALSE)),""))</f>
        <v>PD764i-WRC</v>
      </c>
      <c r="D591" s="61" t="str">
        <f>(IF((VLOOKUP(Table6[[#This Row],[SKU]],'All Skus'!$A:$AC,2,FALSE))="JBL",(VLOOKUP(Table6[[#This Row],[SKU]],'All Skus'!$A:$AC,5,FALSE)),""))</f>
        <v>JBL050</v>
      </c>
      <c r="E591" s="137" t="str">
        <f>(IF((VLOOKUP(Table6[[#This Row],[SKU]],'All Skus'!$A:$AC,2,FALSE))="JBL",(VLOOKUP(Table6[[#This Row],[SKU]],'All Skus'!$A:$AC,6,FALSE)),""))</f>
        <v>YES</v>
      </c>
      <c r="F591" s="61">
        <f>(IF((VLOOKUP(Table6[[#This Row],[SKU]],'All Skus'!$A:$AC,2,FALSE))="JBL",(VLOOKUP(Table6[[#This Row],[SKU]],'All Skus'!$A:$AC,7,FALSE)),""))</f>
        <v>0</v>
      </c>
      <c r="G591">
        <f>(IF((VLOOKUP(Table6[[#This Row],[SKU]],'All Skus'!$A:$AC,2,FALSE))="JBL",(VLOOKUP(Table6[[#This Row],[SKU]],'All Skus'!$A:$AC,8,FALSE)),""))</f>
        <v>0</v>
      </c>
      <c r="H591" s="8">
        <f>(IF((VLOOKUP(Table6[[#This Row],[SKU]],'All Skus'!$A:$AC,2,FALSE))="JBL",(VLOOKUP(Table6[[#This Row],[SKU]],'All Skus'!$A:$AC,9,FALSE)),""))</f>
        <v>0</v>
      </c>
      <c r="I591" s="101" t="str">
        <f>(IF((VLOOKUP(Table6[[#This Row],[SKU]],'All Skus'!$A:$AC,2,FALSE))="JBL",(VLOOKUP(Table6[[#This Row],[SKU]],'All Skus'!$A:$AC,10,FALSE)),""))</f>
        <v>Please email CustomAudio@harman.com for quote</v>
      </c>
      <c r="J591" s="101">
        <f>(IF((VLOOKUP(Table6[[#This Row],[SKU]],'All Skus'!$A:$AC,2,FALSE))="JBL",(VLOOKUP(Table6[[#This Row],[SKU]],'All Skus'!$A:$AC,11,FALSE)),""))</f>
        <v>0</v>
      </c>
      <c r="K591" s="102">
        <f>(IF((VLOOKUP(Table6[[#This Row],[SKU]],'All Skus'!$A:$AC,2,FALSE))="JBL",(VLOOKUP(Table6[[#This Row],[SKU]],'All Skus'!$A:$AC,13,FALSE)),""))</f>
        <v>0</v>
      </c>
      <c r="L591" s="102">
        <f>(IF((VLOOKUP(Table6[[#This Row],[SKU]],'All Skus'!$A:$AC,2,FALSE))="JBL",(VLOOKUP(Table6[[#This Row],[SKU]],'All Skus'!$A:$AC,14,FALSE)),""))</f>
        <v>0</v>
      </c>
      <c r="M591" s="143">
        <f>(IF((VLOOKUP(Table6[[#This Row],[SKU]],'All Skus'!$A:$AC,2,FALSE))="JBL",(VLOOKUP(Table6[[#This Row],[SKU]],'All Skus'!$A:$AC,15,FALSE)),""))</f>
        <v>0</v>
      </c>
      <c r="N591" s="137">
        <f>(IF((VLOOKUP(Table6[[#This Row],[SKU]],'All Skus'!$A:$AC,2,FALSE))="JBL",(VLOOKUP(Table6[[#This Row],[SKU]],'All Skus'!$A:$AC,16,FALSE)),""))</f>
        <v>0</v>
      </c>
      <c r="O591" s="61">
        <f>(IF((VLOOKUP(Table6[[#This Row],[SKU]],'All Skus'!$A:$AC,2,FALSE))="JBL",(VLOOKUP(Table6[[#This Row],[SKU]],'All Skus'!$A:$AC,17,FALSE)),""))</f>
        <v>0</v>
      </c>
      <c r="P591" s="136">
        <f>(IF((VLOOKUP(Table6[[#This Row],[SKU]],'All Skus'!$A:$AC,2,FALSE))="JBL",(VLOOKUP(Table6[[#This Row],[SKU]],'All Skus'!$A:$AC,18,FALSE)),""))</f>
        <v>0</v>
      </c>
      <c r="Q591" s="136">
        <f>(IF((VLOOKUP(Table6[[#This Row],[SKU]],'All Skus'!$A:$AC,2,FALSE))="JBL",(VLOOKUP(Table6[[#This Row],[SKU]],'All Skus'!$A:$AC,19,FALSE)),""))</f>
        <v>0</v>
      </c>
      <c r="R591" s="136">
        <f>(IF((VLOOKUP(Table6[[#This Row],[SKU]],'All Skus'!$A:$AC,2,FALSE))="JBL",(VLOOKUP(Table6[[#This Row],[SKU]],'All Skus'!$A:$AC,20,FALSE)),""))</f>
        <v>0</v>
      </c>
      <c r="S591" s="61">
        <f>(IF((VLOOKUP(Table6[[#This Row],[SKU]],'All Skus'!$A:$AC,2,FALSE))="JBL",(VLOOKUP(Table6[[#This Row],[SKU]],'All Skus'!$A:$AC,21,FALSE)),""))</f>
        <v>0</v>
      </c>
      <c r="T591" s="61">
        <f>(IF((VLOOKUP(Table6[[#This Row],[SKU]],'All Skus'!$A:$AC,2,FALSE))="JBL",(VLOOKUP(Table6[[#This Row],[SKU]],'All Skus'!$A:$AC,22,FALSE)),""))</f>
        <v>0</v>
      </c>
      <c r="U591">
        <f>(IF((VLOOKUP(Table6[[#This Row],[SKU]],'All Skus'!$A:$AC,2,FALSE))="JBL",(VLOOKUP(Table6[[#This Row],[SKU]],'All Skus'!$A:$AC,23,FALSE)),""))</f>
        <v>0</v>
      </c>
      <c r="V591" s="284" t="str">
        <f>HYPERLINK((IF((VLOOKUP(Table6[[#This Row],[SKU]],'All Skus'!$A:$AC,2,FALSE))="JBL",(VLOOKUP(Table6[[#This Row],[SKU]],'All Skus'!$A:$AC,24,FALSE)),"")))</f>
        <v/>
      </c>
      <c r="W591" s="151">
        <v>589</v>
      </c>
    </row>
    <row r="592" spans="1:23" ht="15" hidden="1" customHeight="1">
      <c r="A592" s="13" t="s">
        <v>1598</v>
      </c>
      <c r="B592" s="12" t="str">
        <f>(IF((VLOOKUP(Table6[[#This Row],[SKU]],'All Skus'!$A:$AC,2,FALSE))="JBL",(VLOOKUP(Table6[[#This Row],[SKU]],'All Skus'!$A:$AC,3,FALSE)),""))</f>
        <v>Custom Shop Item</v>
      </c>
      <c r="C592" s="12" t="str">
        <f>(IF((VLOOKUP(Table6[[#This Row],[SKU]],'All Skus'!$A:$AC,2,FALSE))="JBL",(VLOOKUP(Table6[[#This Row],[SKU]],'All Skus'!$A:$AC,4,FALSE)),""))</f>
        <v>PD764i-WRX</v>
      </c>
      <c r="D592" s="61" t="str">
        <f>(IF((VLOOKUP(Table6[[#This Row],[SKU]],'All Skus'!$A:$AC,2,FALSE))="JBL",(VLOOKUP(Table6[[#This Row],[SKU]],'All Skus'!$A:$AC,5,FALSE)),""))</f>
        <v>JBL050</v>
      </c>
      <c r="E592" s="137" t="str">
        <f>(IF((VLOOKUP(Table6[[#This Row],[SKU]],'All Skus'!$A:$AC,2,FALSE))="JBL",(VLOOKUP(Table6[[#This Row],[SKU]],'All Skus'!$A:$AC,6,FALSE)),""))</f>
        <v>YES</v>
      </c>
      <c r="F592" s="61">
        <f>(IF((VLOOKUP(Table6[[#This Row],[SKU]],'All Skus'!$A:$AC,2,FALSE))="JBL",(VLOOKUP(Table6[[#This Row],[SKU]],'All Skus'!$A:$AC,7,FALSE)),""))</f>
        <v>0</v>
      </c>
      <c r="G592">
        <f>(IF((VLOOKUP(Table6[[#This Row],[SKU]],'All Skus'!$A:$AC,2,FALSE))="JBL",(VLOOKUP(Table6[[#This Row],[SKU]],'All Skus'!$A:$AC,8,FALSE)),""))</f>
        <v>0</v>
      </c>
      <c r="H592" s="8">
        <f>(IF((VLOOKUP(Table6[[#This Row],[SKU]],'All Skus'!$A:$AC,2,FALSE))="JBL",(VLOOKUP(Table6[[#This Row],[SKU]],'All Skus'!$A:$AC,9,FALSE)),""))</f>
        <v>0</v>
      </c>
      <c r="I592" s="101" t="str">
        <f>(IF((VLOOKUP(Table6[[#This Row],[SKU]],'All Skus'!$A:$AC,2,FALSE))="JBL",(VLOOKUP(Table6[[#This Row],[SKU]],'All Skus'!$A:$AC,10,FALSE)),""))</f>
        <v>Please email CustomAudio@harman.com for quote</v>
      </c>
      <c r="J592" s="101">
        <f>(IF((VLOOKUP(Table6[[#This Row],[SKU]],'All Skus'!$A:$AC,2,FALSE))="JBL",(VLOOKUP(Table6[[#This Row],[SKU]],'All Skus'!$A:$AC,11,FALSE)),""))</f>
        <v>0</v>
      </c>
      <c r="K592" s="102">
        <f>(IF((VLOOKUP(Table6[[#This Row],[SKU]],'All Skus'!$A:$AC,2,FALSE))="JBL",(VLOOKUP(Table6[[#This Row],[SKU]],'All Skus'!$A:$AC,13,FALSE)),""))</f>
        <v>0</v>
      </c>
      <c r="L592" s="102">
        <f>(IF((VLOOKUP(Table6[[#This Row],[SKU]],'All Skus'!$A:$AC,2,FALSE))="JBL",(VLOOKUP(Table6[[#This Row],[SKU]],'All Skus'!$A:$AC,14,FALSE)),""))</f>
        <v>0</v>
      </c>
      <c r="M592" s="143">
        <f>(IF((VLOOKUP(Table6[[#This Row],[SKU]],'All Skus'!$A:$AC,2,FALSE))="JBL",(VLOOKUP(Table6[[#This Row],[SKU]],'All Skus'!$A:$AC,15,FALSE)),""))</f>
        <v>0</v>
      </c>
      <c r="N592" s="137">
        <f>(IF((VLOOKUP(Table6[[#This Row],[SKU]],'All Skus'!$A:$AC,2,FALSE))="JBL",(VLOOKUP(Table6[[#This Row],[SKU]],'All Skus'!$A:$AC,16,FALSE)),""))</f>
        <v>0</v>
      </c>
      <c r="O592" s="61">
        <f>(IF((VLOOKUP(Table6[[#This Row],[SKU]],'All Skus'!$A:$AC,2,FALSE))="JBL",(VLOOKUP(Table6[[#This Row],[SKU]],'All Skus'!$A:$AC,17,FALSE)),""))</f>
        <v>0</v>
      </c>
      <c r="P592" s="136">
        <f>(IF((VLOOKUP(Table6[[#This Row],[SKU]],'All Skus'!$A:$AC,2,FALSE))="JBL",(VLOOKUP(Table6[[#This Row],[SKU]],'All Skus'!$A:$AC,18,FALSE)),""))</f>
        <v>0</v>
      </c>
      <c r="Q592" s="136">
        <f>(IF((VLOOKUP(Table6[[#This Row],[SKU]],'All Skus'!$A:$AC,2,FALSE))="JBL",(VLOOKUP(Table6[[#This Row],[SKU]],'All Skus'!$A:$AC,19,FALSE)),""))</f>
        <v>0</v>
      </c>
      <c r="R592" s="136">
        <f>(IF((VLOOKUP(Table6[[#This Row],[SKU]],'All Skus'!$A:$AC,2,FALSE))="JBL",(VLOOKUP(Table6[[#This Row],[SKU]],'All Skus'!$A:$AC,20,FALSE)),""))</f>
        <v>0</v>
      </c>
      <c r="S592" s="61">
        <f>(IF((VLOOKUP(Table6[[#This Row],[SKU]],'All Skus'!$A:$AC,2,FALSE))="JBL",(VLOOKUP(Table6[[#This Row],[SKU]],'All Skus'!$A:$AC,21,FALSE)),""))</f>
        <v>0</v>
      </c>
      <c r="T592" s="61" t="str">
        <f>(IF((VLOOKUP(Table6[[#This Row],[SKU]],'All Skus'!$A:$AC,2,FALSE))="JBL",(VLOOKUP(Table6[[#This Row],[SKU]],'All Skus'!$A:$AC,22,FALSE)),""))</f>
        <v>MX</v>
      </c>
      <c r="U592">
        <f>(IF((VLOOKUP(Table6[[#This Row],[SKU]],'All Skus'!$A:$AC,2,FALSE))="JBL",(VLOOKUP(Table6[[#This Row],[SKU]],'All Skus'!$A:$AC,23,FALSE)),""))</f>
        <v>0</v>
      </c>
      <c r="V592" s="284" t="str">
        <f>HYPERLINK((IF((VLOOKUP(Table6[[#This Row],[SKU]],'All Skus'!$A:$AC,2,FALSE))="JBL",(VLOOKUP(Table6[[#This Row],[SKU]],'All Skus'!$A:$AC,24,FALSE)),"")))</f>
        <v/>
      </c>
      <c r="W592" s="151">
        <v>590</v>
      </c>
    </row>
    <row r="593" spans="1:23" ht="15" hidden="1" customHeight="1">
      <c r="A593" s="13" t="s">
        <v>1599</v>
      </c>
      <c r="B593" s="12" t="str">
        <f>(IF((VLOOKUP(Table6[[#This Row],[SKU]],'All Skus'!$A:$AC,2,FALSE))="JBL",(VLOOKUP(Table6[[#This Row],[SKU]],'All Skus'!$A:$AC,3,FALSE)),""))</f>
        <v>Custom Shop Item</v>
      </c>
      <c r="C593" s="12" t="str">
        <f>(IF((VLOOKUP(Table6[[#This Row],[SKU]],'All Skus'!$A:$AC,2,FALSE))="JBL",(VLOOKUP(Table6[[#This Row],[SKU]],'All Skus'!$A:$AC,4,FALSE)),""))</f>
        <v>PD764i-215-WRC</v>
      </c>
      <c r="D593" s="61" t="str">
        <f>(IF((VLOOKUP(Table6[[#This Row],[SKU]],'All Skus'!$A:$AC,2,FALSE))="JBL",(VLOOKUP(Table6[[#This Row],[SKU]],'All Skus'!$A:$AC,5,FALSE)),""))</f>
        <v>JBL050</v>
      </c>
      <c r="E593" s="137" t="str">
        <f>(IF((VLOOKUP(Table6[[#This Row],[SKU]],'All Skus'!$A:$AC,2,FALSE))="JBL",(VLOOKUP(Table6[[#This Row],[SKU]],'All Skus'!$A:$AC,6,FALSE)),""))</f>
        <v>YES</v>
      </c>
      <c r="F593" s="61">
        <f>(IF((VLOOKUP(Table6[[#This Row],[SKU]],'All Skus'!$A:$AC,2,FALSE))="JBL",(VLOOKUP(Table6[[#This Row],[SKU]],'All Skus'!$A:$AC,7,FALSE)),""))</f>
        <v>0</v>
      </c>
      <c r="G593">
        <f>(IF((VLOOKUP(Table6[[#This Row],[SKU]],'All Skus'!$A:$AC,2,FALSE))="JBL",(VLOOKUP(Table6[[#This Row],[SKU]],'All Skus'!$A:$AC,8,FALSE)),""))</f>
        <v>0</v>
      </c>
      <c r="H593" s="8">
        <f>(IF((VLOOKUP(Table6[[#This Row],[SKU]],'All Skus'!$A:$AC,2,FALSE))="JBL",(VLOOKUP(Table6[[#This Row],[SKU]],'All Skus'!$A:$AC,9,FALSE)),""))</f>
        <v>0</v>
      </c>
      <c r="I593" s="101" t="str">
        <f>(IF((VLOOKUP(Table6[[#This Row],[SKU]],'All Skus'!$A:$AC,2,FALSE))="JBL",(VLOOKUP(Table6[[#This Row],[SKU]],'All Skus'!$A:$AC,10,FALSE)),""))</f>
        <v>Please email CustomAudio@harman.com for quote</v>
      </c>
      <c r="J593" s="101">
        <f>(IF((VLOOKUP(Table6[[#This Row],[SKU]],'All Skus'!$A:$AC,2,FALSE))="JBL",(VLOOKUP(Table6[[#This Row],[SKU]],'All Skus'!$A:$AC,11,FALSE)),""))</f>
        <v>0</v>
      </c>
      <c r="K593" s="102">
        <f>(IF((VLOOKUP(Table6[[#This Row],[SKU]],'All Skus'!$A:$AC,2,FALSE))="JBL",(VLOOKUP(Table6[[#This Row],[SKU]],'All Skus'!$A:$AC,13,FALSE)),""))</f>
        <v>0</v>
      </c>
      <c r="L593" s="102">
        <f>(IF((VLOOKUP(Table6[[#This Row],[SKU]],'All Skus'!$A:$AC,2,FALSE))="JBL",(VLOOKUP(Table6[[#This Row],[SKU]],'All Skus'!$A:$AC,14,FALSE)),""))</f>
        <v>0</v>
      </c>
      <c r="M593" s="143">
        <f>(IF((VLOOKUP(Table6[[#This Row],[SKU]],'All Skus'!$A:$AC,2,FALSE))="JBL",(VLOOKUP(Table6[[#This Row],[SKU]],'All Skus'!$A:$AC,15,FALSE)),""))</f>
        <v>0</v>
      </c>
      <c r="N593" s="137">
        <f>(IF((VLOOKUP(Table6[[#This Row],[SKU]],'All Skus'!$A:$AC,2,FALSE))="JBL",(VLOOKUP(Table6[[#This Row],[SKU]],'All Skus'!$A:$AC,16,FALSE)),""))</f>
        <v>0</v>
      </c>
      <c r="O593" s="61">
        <f>(IF((VLOOKUP(Table6[[#This Row],[SKU]],'All Skus'!$A:$AC,2,FALSE))="JBL",(VLOOKUP(Table6[[#This Row],[SKU]],'All Skus'!$A:$AC,17,FALSE)),""))</f>
        <v>0</v>
      </c>
      <c r="P593" s="136">
        <f>(IF((VLOOKUP(Table6[[#This Row],[SKU]],'All Skus'!$A:$AC,2,FALSE))="JBL",(VLOOKUP(Table6[[#This Row],[SKU]],'All Skus'!$A:$AC,18,FALSE)),""))</f>
        <v>0</v>
      </c>
      <c r="Q593" s="136">
        <f>(IF((VLOOKUP(Table6[[#This Row],[SKU]],'All Skus'!$A:$AC,2,FALSE))="JBL",(VLOOKUP(Table6[[#This Row],[SKU]],'All Skus'!$A:$AC,19,FALSE)),""))</f>
        <v>0</v>
      </c>
      <c r="R593" s="136">
        <f>(IF((VLOOKUP(Table6[[#This Row],[SKU]],'All Skus'!$A:$AC,2,FALSE))="JBL",(VLOOKUP(Table6[[#This Row],[SKU]],'All Skus'!$A:$AC,20,FALSE)),""))</f>
        <v>0</v>
      </c>
      <c r="S593" s="61">
        <f>(IF((VLOOKUP(Table6[[#This Row],[SKU]],'All Skus'!$A:$AC,2,FALSE))="JBL",(VLOOKUP(Table6[[#This Row],[SKU]],'All Skus'!$A:$AC,21,FALSE)),""))</f>
        <v>0</v>
      </c>
      <c r="T593" s="61">
        <f>(IF((VLOOKUP(Table6[[#This Row],[SKU]],'All Skus'!$A:$AC,2,FALSE))="JBL",(VLOOKUP(Table6[[#This Row],[SKU]],'All Skus'!$A:$AC,22,FALSE)),""))</f>
        <v>0</v>
      </c>
      <c r="U593">
        <f>(IF((VLOOKUP(Table6[[#This Row],[SKU]],'All Skus'!$A:$AC,2,FALSE))="JBL",(VLOOKUP(Table6[[#This Row],[SKU]],'All Skus'!$A:$AC,23,FALSE)),""))</f>
        <v>0</v>
      </c>
      <c r="V593" s="284" t="str">
        <f>HYPERLINK((IF((VLOOKUP(Table6[[#This Row],[SKU]],'All Skus'!$A:$AC,2,FALSE))="JBL",(VLOOKUP(Table6[[#This Row],[SKU]],'All Skus'!$A:$AC,24,FALSE)),"")))</f>
        <v/>
      </c>
      <c r="W593" s="151">
        <v>591</v>
      </c>
    </row>
    <row r="594" spans="1:23" ht="15" hidden="1" customHeight="1">
      <c r="A594" s="13" t="s">
        <v>1600</v>
      </c>
      <c r="B594" s="12" t="str">
        <f>(IF((VLOOKUP(Table6[[#This Row],[SKU]],'All Skus'!$A:$AC,2,FALSE))="JBL",(VLOOKUP(Table6[[#This Row],[SKU]],'All Skus'!$A:$AC,3,FALSE)),""))</f>
        <v>Custom Shop Item</v>
      </c>
      <c r="C594" s="12" t="str">
        <f>(IF((VLOOKUP(Table6[[#This Row],[SKU]],'All Skus'!$A:$AC,2,FALSE))="JBL",(VLOOKUP(Table6[[#This Row],[SKU]],'All Skus'!$A:$AC,4,FALSE)),""))</f>
        <v>PD764i-215-WRX</v>
      </c>
      <c r="D594" s="61" t="str">
        <f>(IF((VLOOKUP(Table6[[#This Row],[SKU]],'All Skus'!$A:$AC,2,FALSE))="JBL",(VLOOKUP(Table6[[#This Row],[SKU]],'All Skus'!$A:$AC,5,FALSE)),""))</f>
        <v>JBL050</v>
      </c>
      <c r="E594" s="137" t="str">
        <f>(IF((VLOOKUP(Table6[[#This Row],[SKU]],'All Skus'!$A:$AC,2,FALSE))="JBL",(VLOOKUP(Table6[[#This Row],[SKU]],'All Skus'!$A:$AC,6,FALSE)),""))</f>
        <v>YES</v>
      </c>
      <c r="F594" s="61">
        <f>(IF((VLOOKUP(Table6[[#This Row],[SKU]],'All Skus'!$A:$AC,2,FALSE))="JBL",(VLOOKUP(Table6[[#This Row],[SKU]],'All Skus'!$A:$AC,7,FALSE)),""))</f>
        <v>0</v>
      </c>
      <c r="G594">
        <f>(IF((VLOOKUP(Table6[[#This Row],[SKU]],'All Skus'!$A:$AC,2,FALSE))="JBL",(VLOOKUP(Table6[[#This Row],[SKU]],'All Skus'!$A:$AC,8,FALSE)),""))</f>
        <v>0</v>
      </c>
      <c r="H594" s="8">
        <f>(IF((VLOOKUP(Table6[[#This Row],[SKU]],'All Skus'!$A:$AC,2,FALSE))="JBL",(VLOOKUP(Table6[[#This Row],[SKU]],'All Skus'!$A:$AC,9,FALSE)),""))</f>
        <v>0</v>
      </c>
      <c r="I594" s="101" t="str">
        <f>(IF((VLOOKUP(Table6[[#This Row],[SKU]],'All Skus'!$A:$AC,2,FALSE))="JBL",(VLOOKUP(Table6[[#This Row],[SKU]],'All Skus'!$A:$AC,10,FALSE)),""))</f>
        <v>Please email CustomAudio@harman.com for quote</v>
      </c>
      <c r="J594" s="101">
        <f>(IF((VLOOKUP(Table6[[#This Row],[SKU]],'All Skus'!$A:$AC,2,FALSE))="JBL",(VLOOKUP(Table6[[#This Row],[SKU]],'All Skus'!$A:$AC,11,FALSE)),""))</f>
        <v>0</v>
      </c>
      <c r="K594" s="102">
        <f>(IF((VLOOKUP(Table6[[#This Row],[SKU]],'All Skus'!$A:$AC,2,FALSE))="JBL",(VLOOKUP(Table6[[#This Row],[SKU]],'All Skus'!$A:$AC,13,FALSE)),""))</f>
        <v>0</v>
      </c>
      <c r="L594" s="102">
        <f>(IF((VLOOKUP(Table6[[#This Row],[SKU]],'All Skus'!$A:$AC,2,FALSE))="JBL",(VLOOKUP(Table6[[#This Row],[SKU]],'All Skus'!$A:$AC,14,FALSE)),""))</f>
        <v>0</v>
      </c>
      <c r="M594" s="143">
        <f>(IF((VLOOKUP(Table6[[#This Row],[SKU]],'All Skus'!$A:$AC,2,FALSE))="JBL",(VLOOKUP(Table6[[#This Row],[SKU]],'All Skus'!$A:$AC,15,FALSE)),""))</f>
        <v>0</v>
      </c>
      <c r="N594" s="137">
        <f>(IF((VLOOKUP(Table6[[#This Row],[SKU]],'All Skus'!$A:$AC,2,FALSE))="JBL",(VLOOKUP(Table6[[#This Row],[SKU]],'All Skus'!$A:$AC,16,FALSE)),""))</f>
        <v>0</v>
      </c>
      <c r="O594" s="61">
        <f>(IF((VLOOKUP(Table6[[#This Row],[SKU]],'All Skus'!$A:$AC,2,FALSE))="JBL",(VLOOKUP(Table6[[#This Row],[SKU]],'All Skus'!$A:$AC,17,FALSE)),""))</f>
        <v>0</v>
      </c>
      <c r="P594" s="136">
        <f>(IF((VLOOKUP(Table6[[#This Row],[SKU]],'All Skus'!$A:$AC,2,FALSE))="JBL",(VLOOKUP(Table6[[#This Row],[SKU]],'All Skus'!$A:$AC,18,FALSE)),""))</f>
        <v>0</v>
      </c>
      <c r="Q594" s="136">
        <f>(IF((VLOOKUP(Table6[[#This Row],[SKU]],'All Skus'!$A:$AC,2,FALSE))="JBL",(VLOOKUP(Table6[[#This Row],[SKU]],'All Skus'!$A:$AC,19,FALSE)),""))</f>
        <v>0</v>
      </c>
      <c r="R594" s="136">
        <f>(IF((VLOOKUP(Table6[[#This Row],[SKU]],'All Skus'!$A:$AC,2,FALSE))="JBL",(VLOOKUP(Table6[[#This Row],[SKU]],'All Skus'!$A:$AC,20,FALSE)),""))</f>
        <v>0</v>
      </c>
      <c r="S594" s="61">
        <f>(IF((VLOOKUP(Table6[[#This Row],[SKU]],'All Skus'!$A:$AC,2,FALSE))="JBL",(VLOOKUP(Table6[[#This Row],[SKU]],'All Skus'!$A:$AC,21,FALSE)),""))</f>
        <v>0</v>
      </c>
      <c r="T594" s="61" t="str">
        <f>(IF((VLOOKUP(Table6[[#This Row],[SKU]],'All Skus'!$A:$AC,2,FALSE))="JBL",(VLOOKUP(Table6[[#This Row],[SKU]],'All Skus'!$A:$AC,22,FALSE)),""))</f>
        <v>MX</v>
      </c>
      <c r="U594">
        <f>(IF((VLOOKUP(Table6[[#This Row],[SKU]],'All Skus'!$A:$AC,2,FALSE))="JBL",(VLOOKUP(Table6[[#This Row],[SKU]],'All Skus'!$A:$AC,23,FALSE)),""))</f>
        <v>0</v>
      </c>
      <c r="V594" s="284" t="str">
        <f>HYPERLINK((IF((VLOOKUP(Table6[[#This Row],[SKU]],'All Skus'!$A:$AC,2,FALSE))="JBL",(VLOOKUP(Table6[[#This Row],[SKU]],'All Skus'!$A:$AC,24,FALSE)),"")))</f>
        <v/>
      </c>
      <c r="W594" s="151">
        <v>592</v>
      </c>
    </row>
    <row r="595" spans="1:23" ht="15" hidden="1" customHeight="1">
      <c r="A595" s="13" t="s">
        <v>1601</v>
      </c>
      <c r="B595" s="12" t="str">
        <f>(IF((VLOOKUP(Table6[[#This Row],[SKU]],'All Skus'!$A:$AC,2,FALSE))="JBL",(VLOOKUP(Table6[[#This Row],[SKU]],'All Skus'!$A:$AC,3,FALSE)),""))</f>
        <v>PD Series</v>
      </c>
      <c r="C595" s="12" t="str">
        <f>(IF((VLOOKUP(Table6[[#This Row],[SKU]],'All Skus'!$A:$AC,2,FALSE))="JBL",(VLOOKUP(Table6[[#This Row],[SKU]],'All Skus'!$A:$AC,4,FALSE)),""))</f>
        <v>PD5122</v>
      </c>
      <c r="D595" s="61" t="str">
        <f>(IF((VLOOKUP(Table6[[#This Row],[SKU]],'All Skus'!$A:$AC,2,FALSE))="JBL",(VLOOKUP(Table6[[#This Row],[SKU]],'All Skus'!$A:$AC,5,FALSE)),""))</f>
        <v>JBL051</v>
      </c>
      <c r="E595" s="137" t="str">
        <f>(IF((VLOOKUP(Table6[[#This Row],[SKU]],'All Skus'!$A:$AC,2,FALSE))="JBL",(VLOOKUP(Table6[[#This Row],[SKU]],'All Skus'!$A:$AC,6,FALSE)),""))</f>
        <v>YES</v>
      </c>
      <c r="F595" s="61">
        <f>(IF((VLOOKUP(Table6[[#This Row],[SKU]],'All Skus'!$A:$AC,2,FALSE))="JBL",(VLOOKUP(Table6[[#This Row],[SKU]],'All Skus'!$A:$AC,7,FALSE)),""))</f>
        <v>0</v>
      </c>
      <c r="G595" t="str">
        <f>(IF((VLOOKUP(Table6[[#This Row],[SKU]],'All Skus'!$A:$AC,2,FALSE))="JBL",(VLOOKUP(Table6[[#This Row],[SKU]],'All Skus'!$A:$AC,8,FALSE)),""))</f>
        <v>Dual 12" low-frequency loudspeaker</v>
      </c>
      <c r="H595" s="8" t="str">
        <f>(IF((VLOOKUP(Table6[[#This Row],[SKU]],'All Skus'!$A:$AC,2,FALSE))="JBL",(VLOOKUP(Table6[[#This Row],[SKU]],'All Skus'!$A:$AC,9,FALSE)),""))</f>
        <v>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*NEW*</v>
      </c>
      <c r="I595" s="101">
        <f>(IF((VLOOKUP(Table6[[#This Row],[SKU]],'All Skus'!$A:$AC,2,FALSE))="JBL",(VLOOKUP(Table6[[#This Row],[SKU]],'All Skus'!$A:$AC,10,FALSE)),""))</f>
        <v>3420</v>
      </c>
      <c r="J595" s="101">
        <f>(IF((VLOOKUP(Table6[[#This Row],[SKU]],'All Skus'!$A:$AC,2,FALSE))="JBL",(VLOOKUP(Table6[[#This Row],[SKU]],'All Skus'!$A:$AC,11,FALSE)),""))</f>
        <v>3420</v>
      </c>
      <c r="K595" s="102">
        <f>(IF((VLOOKUP(Table6[[#This Row],[SKU]],'All Skus'!$A:$AC,2,FALSE))="JBL",(VLOOKUP(Table6[[#This Row],[SKU]],'All Skus'!$A:$AC,13,FALSE)),""))</f>
        <v>0</v>
      </c>
      <c r="L595" s="102">
        <f>(IF((VLOOKUP(Table6[[#This Row],[SKU]],'All Skus'!$A:$AC,2,FALSE))="JBL",(VLOOKUP(Table6[[#This Row],[SKU]],'All Skus'!$A:$AC,14,FALSE)),""))</f>
        <v>0</v>
      </c>
      <c r="M595" s="143">
        <f>(IF((VLOOKUP(Table6[[#This Row],[SKU]],'All Skus'!$A:$AC,2,FALSE))="JBL",(VLOOKUP(Table6[[#This Row],[SKU]],'All Skus'!$A:$AC,15,FALSE)),""))</f>
        <v>0</v>
      </c>
      <c r="N595" s="137">
        <f>(IF((VLOOKUP(Table6[[#This Row],[SKU]],'All Skus'!$A:$AC,2,FALSE))="JBL",(VLOOKUP(Table6[[#This Row],[SKU]],'All Skus'!$A:$AC,16,FALSE)),""))</f>
        <v>691991031854</v>
      </c>
      <c r="O595" s="61">
        <f>(IF((VLOOKUP(Table6[[#This Row],[SKU]],'All Skus'!$A:$AC,2,FALSE))="JBL",(VLOOKUP(Table6[[#This Row],[SKU]],'All Skus'!$A:$AC,17,FALSE)),""))</f>
        <v>0</v>
      </c>
      <c r="P595" s="136">
        <f>(IF((VLOOKUP(Table6[[#This Row],[SKU]],'All Skus'!$A:$AC,2,FALSE))="JBL",(VLOOKUP(Table6[[#This Row],[SKU]],'All Skus'!$A:$AC,18,FALSE)),""))</f>
        <v>50</v>
      </c>
      <c r="Q595" s="136">
        <f>(IF((VLOOKUP(Table6[[#This Row],[SKU]],'All Skus'!$A:$AC,2,FALSE))="JBL",(VLOOKUP(Table6[[#This Row],[SKU]],'All Skus'!$A:$AC,19,FALSE)),""))</f>
        <v>17</v>
      </c>
      <c r="R595" s="136">
        <f>(IF((VLOOKUP(Table6[[#This Row],[SKU]],'All Skus'!$A:$AC,2,FALSE))="JBL",(VLOOKUP(Table6[[#This Row],[SKU]],'All Skus'!$A:$AC,20,FALSE)),""))</f>
        <v>31</v>
      </c>
      <c r="S595" s="61">
        <f>(IF((VLOOKUP(Table6[[#This Row],[SKU]],'All Skus'!$A:$AC,2,FALSE))="JBL",(VLOOKUP(Table6[[#This Row],[SKU]],'All Skus'!$A:$AC,21,FALSE)),""))</f>
        <v>32</v>
      </c>
      <c r="T595" s="61" t="str">
        <f>(IF((VLOOKUP(Table6[[#This Row],[SKU]],'All Skus'!$A:$AC,2,FALSE))="JBL",(VLOOKUP(Table6[[#This Row],[SKU]],'All Skus'!$A:$AC,22,FALSE)),""))</f>
        <v>MX</v>
      </c>
      <c r="U595" t="str">
        <f>(IF((VLOOKUP(Table6[[#This Row],[SKU]],'All Skus'!$A:$AC,2,FALSE))="JBL",(VLOOKUP(Table6[[#This Row],[SKU]],'All Skus'!$A:$AC,23,FALSE)),""))</f>
        <v>Compliant</v>
      </c>
      <c r="V595" s="284" t="str">
        <f>HYPERLINK((IF((VLOOKUP(Table6[[#This Row],[SKU]],'All Skus'!$A:$AC,2,FALSE))="JBL",(VLOOKUP(Table6[[#This Row],[SKU]],'All Skus'!$A:$AC,24,FALSE)),"")))</f>
        <v/>
      </c>
      <c r="W595" s="151">
        <v>593</v>
      </c>
    </row>
    <row r="596" spans="1:23" ht="15" hidden="1" customHeight="1">
      <c r="A596" s="13" t="s">
        <v>1602</v>
      </c>
      <c r="B596" s="12" t="str">
        <f>(IF((VLOOKUP(Table6[[#This Row],[SKU]],'All Skus'!$A:$AC,2,FALSE))="JBL",(VLOOKUP(Table6[[#This Row],[SKU]],'All Skus'!$A:$AC,3,FALSE)),""))</f>
        <v>PD Series</v>
      </c>
      <c r="C596" s="12" t="str">
        <f>(IF((VLOOKUP(Table6[[#This Row],[SKU]],'All Skus'!$A:$AC,2,FALSE))="JBL",(VLOOKUP(Table6[[#This Row],[SKU]],'All Skus'!$A:$AC,4,FALSE)),""))</f>
        <v>PD5122-WH</v>
      </c>
      <c r="D596" s="61">
        <f>(IF((VLOOKUP(Table6[[#This Row],[SKU]],'All Skus'!$A:$AC,2,FALSE))="JBL",(VLOOKUP(Table6[[#This Row],[SKU]],'All Skus'!$A:$AC,5,FALSE)),""))</f>
        <v>0</v>
      </c>
      <c r="E596" s="137" t="str">
        <f>(IF((VLOOKUP(Table6[[#This Row],[SKU]],'All Skus'!$A:$AC,2,FALSE))="JBL",(VLOOKUP(Table6[[#This Row],[SKU]],'All Skus'!$A:$AC,6,FALSE)),""))</f>
        <v>YES</v>
      </c>
      <c r="F596" s="61">
        <f>(IF((VLOOKUP(Table6[[#This Row],[SKU]],'All Skus'!$A:$AC,2,FALSE))="JBL",(VLOOKUP(Table6[[#This Row],[SKU]],'All Skus'!$A:$AC,7,FALSE)),""))</f>
        <v>0</v>
      </c>
      <c r="G596" t="str">
        <f>(IF((VLOOKUP(Table6[[#This Row],[SKU]],'All Skus'!$A:$AC,2,FALSE))="JBL",(VLOOKUP(Table6[[#This Row],[SKU]],'All Skus'!$A:$AC,8,FALSE)),""))</f>
        <v>Dual 12" low-frequency loudspeaker (white)</v>
      </c>
      <c r="H596" s="8" t="str">
        <f>(IF((VLOOKUP(Table6[[#This Row],[SKU]],'All Skus'!$A:$AC,2,FALSE))="JBL",(VLOOKUP(Table6[[#This Row],[SKU]],'All Skus'!$A:$AC,9,FALSE)),""))</f>
        <v>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White finish. *NEW*</v>
      </c>
      <c r="I596" s="101">
        <f>(IF((VLOOKUP(Table6[[#This Row],[SKU]],'All Skus'!$A:$AC,2,FALSE))="JBL",(VLOOKUP(Table6[[#This Row],[SKU]],'All Skus'!$A:$AC,10,FALSE)),""))</f>
        <v>3420</v>
      </c>
      <c r="J596" s="101">
        <f>(IF((VLOOKUP(Table6[[#This Row],[SKU]],'All Skus'!$A:$AC,2,FALSE))="JBL",(VLOOKUP(Table6[[#This Row],[SKU]],'All Skus'!$A:$AC,11,FALSE)),""))</f>
        <v>3420</v>
      </c>
      <c r="K596" s="102">
        <f>(IF((VLOOKUP(Table6[[#This Row],[SKU]],'All Skus'!$A:$AC,2,FALSE))="JBL",(VLOOKUP(Table6[[#This Row],[SKU]],'All Skus'!$A:$AC,13,FALSE)),""))</f>
        <v>0</v>
      </c>
      <c r="L596" s="102">
        <f>(IF((VLOOKUP(Table6[[#This Row],[SKU]],'All Skus'!$A:$AC,2,FALSE))="JBL",(VLOOKUP(Table6[[#This Row],[SKU]],'All Skus'!$A:$AC,14,FALSE)),""))</f>
        <v>0</v>
      </c>
      <c r="M596" s="143">
        <f>(IF((VLOOKUP(Table6[[#This Row],[SKU]],'All Skus'!$A:$AC,2,FALSE))="JBL",(VLOOKUP(Table6[[#This Row],[SKU]],'All Skus'!$A:$AC,15,FALSE)),""))</f>
        <v>0</v>
      </c>
      <c r="N596" s="137">
        <f>(IF((VLOOKUP(Table6[[#This Row],[SKU]],'All Skus'!$A:$AC,2,FALSE))="JBL",(VLOOKUP(Table6[[#This Row],[SKU]],'All Skus'!$A:$AC,16,FALSE)),""))</f>
        <v>0</v>
      </c>
      <c r="O596" s="61">
        <f>(IF((VLOOKUP(Table6[[#This Row],[SKU]],'All Skus'!$A:$AC,2,FALSE))="JBL",(VLOOKUP(Table6[[#This Row],[SKU]],'All Skus'!$A:$AC,17,FALSE)),""))</f>
        <v>0</v>
      </c>
      <c r="P596" s="136">
        <f>(IF((VLOOKUP(Table6[[#This Row],[SKU]],'All Skus'!$A:$AC,2,FALSE))="JBL",(VLOOKUP(Table6[[#This Row],[SKU]],'All Skus'!$A:$AC,18,FALSE)),""))</f>
        <v>0</v>
      </c>
      <c r="Q596" s="136">
        <f>(IF((VLOOKUP(Table6[[#This Row],[SKU]],'All Skus'!$A:$AC,2,FALSE))="JBL",(VLOOKUP(Table6[[#This Row],[SKU]],'All Skus'!$A:$AC,19,FALSE)),""))</f>
        <v>0</v>
      </c>
      <c r="R596" s="136">
        <f>(IF((VLOOKUP(Table6[[#This Row],[SKU]],'All Skus'!$A:$AC,2,FALSE))="JBL",(VLOOKUP(Table6[[#This Row],[SKU]],'All Skus'!$A:$AC,20,FALSE)),""))</f>
        <v>0</v>
      </c>
      <c r="S596" s="61">
        <f>(IF((VLOOKUP(Table6[[#This Row],[SKU]],'All Skus'!$A:$AC,2,FALSE))="JBL",(VLOOKUP(Table6[[#This Row],[SKU]],'All Skus'!$A:$AC,21,FALSE)),""))</f>
        <v>0</v>
      </c>
      <c r="T596" s="61" t="str">
        <f>(IF((VLOOKUP(Table6[[#This Row],[SKU]],'All Skus'!$A:$AC,2,FALSE))="JBL",(VLOOKUP(Table6[[#This Row],[SKU]],'All Skus'!$A:$AC,22,FALSE)),""))</f>
        <v>MX</v>
      </c>
      <c r="U596" t="str">
        <f>(IF((VLOOKUP(Table6[[#This Row],[SKU]],'All Skus'!$A:$AC,2,FALSE))="JBL",(VLOOKUP(Table6[[#This Row],[SKU]],'All Skus'!$A:$AC,23,FALSE)),""))</f>
        <v>Compliant</v>
      </c>
      <c r="V596" s="284" t="str">
        <f>HYPERLINK((IF((VLOOKUP(Table6[[#This Row],[SKU]],'All Skus'!$A:$AC,2,FALSE))="JBL",(VLOOKUP(Table6[[#This Row],[SKU]],'All Skus'!$A:$AC,24,FALSE)),"")))</f>
        <v/>
      </c>
      <c r="W596" s="151">
        <v>594</v>
      </c>
    </row>
    <row r="597" spans="1:23" ht="15" hidden="1" customHeight="1">
      <c r="A597" s="13" t="s">
        <v>1603</v>
      </c>
      <c r="B597" s="12" t="str">
        <f>(IF((VLOOKUP(Table6[[#This Row],[SKU]],'All Skus'!$A:$AC,2,FALSE))="JBL",(VLOOKUP(Table6[[#This Row],[SKU]],'All Skus'!$A:$AC,3,FALSE)),""))</f>
        <v>Custom Shop Item</v>
      </c>
      <c r="C597" s="12" t="str">
        <f>(IF((VLOOKUP(Table6[[#This Row],[SKU]],'All Skus'!$A:$AC,2,FALSE))="JBL",(VLOOKUP(Table6[[#This Row],[SKU]],'All Skus'!$A:$AC,4,FALSE)),""))</f>
        <v>PD5122-WRC</v>
      </c>
      <c r="D597" s="61" t="str">
        <f>(IF((VLOOKUP(Table6[[#This Row],[SKU]],'All Skus'!$A:$AC,2,FALSE))="JBL",(VLOOKUP(Table6[[#This Row],[SKU]],'All Skus'!$A:$AC,5,FALSE)),""))</f>
        <v>JBL050</v>
      </c>
      <c r="E597" s="137" t="str">
        <f>(IF((VLOOKUP(Table6[[#This Row],[SKU]],'All Skus'!$A:$AC,2,FALSE))="JBL",(VLOOKUP(Table6[[#This Row],[SKU]],'All Skus'!$A:$AC,6,FALSE)),""))</f>
        <v>YES</v>
      </c>
      <c r="F597" s="61">
        <f>(IF((VLOOKUP(Table6[[#This Row],[SKU]],'All Skus'!$A:$AC,2,FALSE))="JBL",(VLOOKUP(Table6[[#This Row],[SKU]],'All Skus'!$A:$AC,7,FALSE)),""))</f>
        <v>0</v>
      </c>
      <c r="G597" t="str">
        <f>(IF((VLOOKUP(Table6[[#This Row],[SKU]],'All Skus'!$A:$AC,2,FALSE))="JBL",(VLOOKUP(Table6[[#This Row],[SKU]],'All Skus'!$A:$AC,8,FALSE)),""))</f>
        <v>Dual 12" low-frequency loudspeaker (Weather Protection Treatment)</v>
      </c>
      <c r="H597" s="8" t="str">
        <f>(IF((VLOOKUP(Table6[[#This Row],[SKU]],'All Skus'!$A:$AC,2,FALSE))="JBL",(VLOOKUP(Table6[[#This Row],[SKU]],'All Skus'!$A:$AC,9,FALSE)),""))</f>
        <v>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Extreme Weather Protection Treatment. Refer to WEATHER RESISTANT Configurations for AE, PD &amp; VLA Series document for details regarding WRC/WRX models. Standard color is GRAY. Available in Black (-BK) &amp; White (-WH). *NEW*8-10 weeks ship time for orders of 1-10, larger needs to be reviewed</v>
      </c>
      <c r="I597" s="101" t="str">
        <f>(IF((VLOOKUP(Table6[[#This Row],[SKU]],'All Skus'!$A:$AC,2,FALSE))="JBL",(VLOOKUP(Table6[[#This Row],[SKU]],'All Skus'!$A:$AC,10,FALSE)),""))</f>
        <v>Please email CustomAudio@harman.com for quote</v>
      </c>
      <c r="J597" s="101">
        <f>(IF((VLOOKUP(Table6[[#This Row],[SKU]],'All Skus'!$A:$AC,2,FALSE))="JBL",(VLOOKUP(Table6[[#This Row],[SKU]],'All Skus'!$A:$AC,11,FALSE)),""))</f>
        <v>0</v>
      </c>
      <c r="K597" s="102">
        <f>(IF((VLOOKUP(Table6[[#This Row],[SKU]],'All Skus'!$A:$AC,2,FALSE))="JBL",(VLOOKUP(Table6[[#This Row],[SKU]],'All Skus'!$A:$AC,13,FALSE)),""))</f>
        <v>0</v>
      </c>
      <c r="L597" s="102">
        <f>(IF((VLOOKUP(Table6[[#This Row],[SKU]],'All Skus'!$A:$AC,2,FALSE))="JBL",(VLOOKUP(Table6[[#This Row],[SKU]],'All Skus'!$A:$AC,14,FALSE)),""))</f>
        <v>0</v>
      </c>
      <c r="M597" s="143">
        <f>(IF((VLOOKUP(Table6[[#This Row],[SKU]],'All Skus'!$A:$AC,2,FALSE))="JBL",(VLOOKUP(Table6[[#This Row],[SKU]],'All Skus'!$A:$AC,15,FALSE)),""))</f>
        <v>0</v>
      </c>
      <c r="N597" s="137">
        <f>(IF((VLOOKUP(Table6[[#This Row],[SKU]],'All Skus'!$A:$AC,2,FALSE))="JBL",(VLOOKUP(Table6[[#This Row],[SKU]],'All Skus'!$A:$AC,16,FALSE)),""))</f>
        <v>691991031861</v>
      </c>
      <c r="O597" s="61">
        <f>(IF((VLOOKUP(Table6[[#This Row],[SKU]],'All Skus'!$A:$AC,2,FALSE))="JBL",(VLOOKUP(Table6[[#This Row],[SKU]],'All Skus'!$A:$AC,17,FALSE)),""))</f>
        <v>0</v>
      </c>
      <c r="P597" s="136">
        <f>(IF((VLOOKUP(Table6[[#This Row],[SKU]],'All Skus'!$A:$AC,2,FALSE))="JBL",(VLOOKUP(Table6[[#This Row],[SKU]],'All Skus'!$A:$AC,18,FALSE)),""))</f>
        <v>0</v>
      </c>
      <c r="Q597" s="136">
        <f>(IF((VLOOKUP(Table6[[#This Row],[SKU]],'All Skus'!$A:$AC,2,FALSE))="JBL",(VLOOKUP(Table6[[#This Row],[SKU]],'All Skus'!$A:$AC,19,FALSE)),""))</f>
        <v>0</v>
      </c>
      <c r="R597" s="136">
        <f>(IF((VLOOKUP(Table6[[#This Row],[SKU]],'All Skus'!$A:$AC,2,FALSE))="JBL",(VLOOKUP(Table6[[#This Row],[SKU]],'All Skus'!$A:$AC,20,FALSE)),""))</f>
        <v>0</v>
      </c>
      <c r="S597" s="61">
        <f>(IF((VLOOKUP(Table6[[#This Row],[SKU]],'All Skus'!$A:$AC,2,FALSE))="JBL",(VLOOKUP(Table6[[#This Row],[SKU]],'All Skus'!$A:$AC,21,FALSE)),""))</f>
        <v>0</v>
      </c>
      <c r="T597" s="61" t="str">
        <f>(IF((VLOOKUP(Table6[[#This Row],[SKU]],'All Skus'!$A:$AC,2,FALSE))="JBL",(VLOOKUP(Table6[[#This Row],[SKU]],'All Skus'!$A:$AC,22,FALSE)),""))</f>
        <v>MX</v>
      </c>
      <c r="U597" t="str">
        <f>(IF((VLOOKUP(Table6[[#This Row],[SKU]],'All Skus'!$A:$AC,2,FALSE))="JBL",(VLOOKUP(Table6[[#This Row],[SKU]],'All Skus'!$A:$AC,23,FALSE)),""))</f>
        <v>Compliant</v>
      </c>
      <c r="V597" s="284" t="str">
        <f>HYPERLINK((IF((VLOOKUP(Table6[[#This Row],[SKU]],'All Skus'!$A:$AC,2,FALSE))="JBL",(VLOOKUP(Table6[[#This Row],[SKU]],'All Skus'!$A:$AC,24,FALSE)),"")))</f>
        <v/>
      </c>
      <c r="W597" s="151">
        <v>595</v>
      </c>
    </row>
    <row r="598" spans="1:23" ht="15" hidden="1" customHeight="1">
      <c r="A598" s="13" t="s">
        <v>1604</v>
      </c>
      <c r="B598" s="12" t="str">
        <f>(IF((VLOOKUP(Table6[[#This Row],[SKU]],'All Skus'!$A:$AC,2,FALSE))="JBL",(VLOOKUP(Table6[[#This Row],[SKU]],'All Skus'!$A:$AC,3,FALSE)),""))</f>
        <v>Custom Shop Item</v>
      </c>
      <c r="C598" s="12" t="str">
        <f>(IF((VLOOKUP(Table6[[#This Row],[SKU]],'All Skus'!$A:$AC,2,FALSE))="JBL",(VLOOKUP(Table6[[#This Row],[SKU]],'All Skus'!$A:$AC,4,FALSE)),""))</f>
        <v>PD5122-WRX</v>
      </c>
      <c r="D598" s="61">
        <f>(IF((VLOOKUP(Table6[[#This Row],[SKU]],'All Skus'!$A:$AC,2,FALSE))="JBL",(VLOOKUP(Table6[[#This Row],[SKU]],'All Skus'!$A:$AC,5,FALSE)),""))</f>
        <v>0</v>
      </c>
      <c r="E598" s="137" t="str">
        <f>(IF((VLOOKUP(Table6[[#This Row],[SKU]],'All Skus'!$A:$AC,2,FALSE))="JBL",(VLOOKUP(Table6[[#This Row],[SKU]],'All Skus'!$A:$AC,6,FALSE)),""))</f>
        <v>YES</v>
      </c>
      <c r="F598" s="61">
        <f>(IF((VLOOKUP(Table6[[#This Row],[SKU]],'All Skus'!$A:$AC,2,FALSE))="JBL",(VLOOKUP(Table6[[#This Row],[SKU]],'All Skus'!$A:$AC,7,FALSE)),""))</f>
        <v>0</v>
      </c>
      <c r="G598" t="str">
        <f>(IF((VLOOKUP(Table6[[#This Row],[SKU]],'All Skus'!$A:$AC,2,FALSE))="JBL",(VLOOKUP(Table6[[#This Row],[SKU]],'All Skus'!$A:$AC,8,FALSE)),""))</f>
        <v>Dual 12" low-frequency loudspeaker (Extreme Weather Protection Treatment)</v>
      </c>
      <c r="H598" s="8" t="str">
        <f>(IF((VLOOKUP(Table6[[#This Row],[SKU]],'All Skus'!$A:$AC,2,FALSE))="JBL",(VLOOKUP(Table6[[#This Row],[SKU]],'All Skus'!$A:$AC,9,FALSE)),""))</f>
        <v>High Output Low Frequency Loudspeaker with 12" Slot Loaded Woofers.  Two 300mm (12 in.) VGC™ Vented Gap Cooled 2206H Low Frequency Drivers in a Slot Loaded, Vented Configuration.  Same as LF Section in PD5322 Series.  41 Hz to 1 Hz Frequency Range. 375 x  673 x 706 mm (14.8 x 26.5 x 27.8 in.), 36.4 kg (80 lb).  With Weather Protection Treatment. Refer to WEATHER RESISTANT Configurations for AE, PD &amp; VLA Series document for details regarding WRC/WRX models. Standard color is GRAY. Available in Black (-BK) &amp; White (-WH). *NEW*</v>
      </c>
      <c r="I598" s="101" t="str">
        <f>(IF((VLOOKUP(Table6[[#This Row],[SKU]],'All Skus'!$A:$AC,2,FALSE))="JBL",(VLOOKUP(Table6[[#This Row],[SKU]],'All Skus'!$A:$AC,10,FALSE)),""))</f>
        <v>Please email CustomAudio@harman.com for quote</v>
      </c>
      <c r="J598" s="101">
        <f>(IF((VLOOKUP(Table6[[#This Row],[SKU]],'All Skus'!$A:$AC,2,FALSE))="JBL",(VLOOKUP(Table6[[#This Row],[SKU]],'All Skus'!$A:$AC,11,FALSE)),""))</f>
        <v>0</v>
      </c>
      <c r="K598" s="102">
        <f>(IF((VLOOKUP(Table6[[#This Row],[SKU]],'All Skus'!$A:$AC,2,FALSE))="JBL",(VLOOKUP(Table6[[#This Row],[SKU]],'All Skus'!$A:$AC,13,FALSE)),""))</f>
        <v>0</v>
      </c>
      <c r="L598" s="102">
        <f>(IF((VLOOKUP(Table6[[#This Row],[SKU]],'All Skus'!$A:$AC,2,FALSE))="JBL",(VLOOKUP(Table6[[#This Row],[SKU]],'All Skus'!$A:$AC,14,FALSE)),""))</f>
        <v>0</v>
      </c>
      <c r="M598" s="143">
        <f>(IF((VLOOKUP(Table6[[#This Row],[SKU]],'All Skus'!$A:$AC,2,FALSE))="JBL",(VLOOKUP(Table6[[#This Row],[SKU]],'All Skus'!$A:$AC,15,FALSE)),""))</f>
        <v>0</v>
      </c>
      <c r="N598" s="137">
        <f>(IF((VLOOKUP(Table6[[#This Row],[SKU]],'All Skus'!$A:$AC,2,FALSE))="JBL",(VLOOKUP(Table6[[#This Row],[SKU]],'All Skus'!$A:$AC,16,FALSE)),""))</f>
        <v>0</v>
      </c>
      <c r="O598" s="61">
        <f>(IF((VLOOKUP(Table6[[#This Row],[SKU]],'All Skus'!$A:$AC,2,FALSE))="JBL",(VLOOKUP(Table6[[#This Row],[SKU]],'All Skus'!$A:$AC,17,FALSE)),""))</f>
        <v>0</v>
      </c>
      <c r="P598" s="136">
        <f>(IF((VLOOKUP(Table6[[#This Row],[SKU]],'All Skus'!$A:$AC,2,FALSE))="JBL",(VLOOKUP(Table6[[#This Row],[SKU]],'All Skus'!$A:$AC,18,FALSE)),""))</f>
        <v>0</v>
      </c>
      <c r="Q598" s="136">
        <f>(IF((VLOOKUP(Table6[[#This Row],[SKU]],'All Skus'!$A:$AC,2,FALSE))="JBL",(VLOOKUP(Table6[[#This Row],[SKU]],'All Skus'!$A:$AC,19,FALSE)),""))</f>
        <v>0</v>
      </c>
      <c r="R598" s="136">
        <f>(IF((VLOOKUP(Table6[[#This Row],[SKU]],'All Skus'!$A:$AC,2,FALSE))="JBL",(VLOOKUP(Table6[[#This Row],[SKU]],'All Skus'!$A:$AC,20,FALSE)),""))</f>
        <v>0</v>
      </c>
      <c r="S598" s="61">
        <f>(IF((VLOOKUP(Table6[[#This Row],[SKU]],'All Skus'!$A:$AC,2,FALSE))="JBL",(VLOOKUP(Table6[[#This Row],[SKU]],'All Skus'!$A:$AC,21,FALSE)),""))</f>
        <v>0</v>
      </c>
      <c r="T598" s="61" t="str">
        <f>(IF((VLOOKUP(Table6[[#This Row],[SKU]],'All Skus'!$A:$AC,2,FALSE))="JBL",(VLOOKUP(Table6[[#This Row],[SKU]],'All Skus'!$A:$AC,22,FALSE)),""))</f>
        <v>MX</v>
      </c>
      <c r="U598" t="str">
        <f>(IF((VLOOKUP(Table6[[#This Row],[SKU]],'All Skus'!$A:$AC,2,FALSE))="JBL",(VLOOKUP(Table6[[#This Row],[SKU]],'All Skus'!$A:$AC,23,FALSE)),""))</f>
        <v>Compliant</v>
      </c>
      <c r="V598" s="284" t="str">
        <f>HYPERLINK((IF((VLOOKUP(Table6[[#This Row],[SKU]],'All Skus'!$A:$AC,2,FALSE))="JBL",(VLOOKUP(Table6[[#This Row],[SKU]],'All Skus'!$A:$AC,24,FALSE)),"")))</f>
        <v/>
      </c>
      <c r="W598" s="151">
        <v>596</v>
      </c>
    </row>
    <row r="599" spans="1:23" ht="15" hidden="1" customHeight="1">
      <c r="A599" s="13" t="s">
        <v>1605</v>
      </c>
      <c r="B599" s="12" t="str">
        <f>(IF((VLOOKUP(Table6[[#This Row],[SKU]],'All Skus'!$A:$AC,2,FALSE))="JBL",(VLOOKUP(Table6[[#This Row],[SKU]],'All Skus'!$A:$AC,3,FALSE)),""))</f>
        <v>PD Series</v>
      </c>
      <c r="C599" s="12" t="str">
        <f>(IF((VLOOKUP(Table6[[#This Row],[SKU]],'All Skus'!$A:$AC,2,FALSE))="JBL",(VLOOKUP(Table6[[#This Row],[SKU]],'All Skus'!$A:$AC,4,FALSE)),""))</f>
        <v>PD6200/43-WH</v>
      </c>
      <c r="D599" s="61" t="str">
        <f>(IF((VLOOKUP(Table6[[#This Row],[SKU]],'All Skus'!$A:$AC,2,FALSE))="JBL",(VLOOKUP(Table6[[#This Row],[SKU]],'All Skus'!$A:$AC,5,FALSE)),""))</f>
        <v>JBL051</v>
      </c>
      <c r="E599" s="137" t="str">
        <f>(IF((VLOOKUP(Table6[[#This Row],[SKU]],'All Skus'!$A:$AC,2,FALSE))="JBL",(VLOOKUP(Table6[[#This Row],[SKU]],'All Skus'!$A:$AC,6,FALSE)),""))</f>
        <v>YES</v>
      </c>
      <c r="F599" s="61">
        <f>(IF((VLOOKUP(Table6[[#This Row],[SKU]],'All Skus'!$A:$AC,2,FALSE))="JBL",(VLOOKUP(Table6[[#This Row],[SKU]],'All Skus'!$A:$AC,7,FALSE)),""))</f>
        <v>0</v>
      </c>
      <c r="G599" t="str">
        <f>(IF((VLOOKUP(Table6[[#This Row],[SKU]],'All Skus'!$A:$AC,2,FALSE))="JBL",(VLOOKUP(Table6[[#This Row],[SKU]],'All Skus'!$A:$AC,8,FALSE)),""))</f>
        <v>Two-way mid-high horn-loaded loudspeaker (white)</v>
      </c>
      <c r="H599" s="8" t="str">
        <f>(IF((VLOOKUP(Table6[[#This Row],[SKU]],'All Skus'!$A:$AC,2,FALSE))="JBL",(VLOOKUP(Table6[[#This Row],[SKU]],'All Skus'!$A:$AC,9,FALSE)),""))</f>
        <v>High Output Two-Way MID/HIGH Frequency Loudspeaker with  8" MF and 40° x  30° Coverage Pattern.  200 mm (8 in.) CMCD™  Cone Midrange Compression Driver and Large Format 2431H Neodymium HF Driver.  200 Hz to 17 kHz Frequency Range.  991 x  673 x 706 mm.  (39 x 26.5 x 27.8 in),   58.8 kg (130 lbs).  White finish.</v>
      </c>
      <c r="I599" s="101">
        <f>(IF((VLOOKUP(Table6[[#This Row],[SKU]],'All Skus'!$A:$AC,2,FALSE))="JBL",(VLOOKUP(Table6[[#This Row],[SKU]],'All Skus'!$A:$AC,10,FALSE)),""))</f>
        <v>6260</v>
      </c>
      <c r="J599" s="101">
        <f>(IF((VLOOKUP(Table6[[#This Row],[SKU]],'All Skus'!$A:$AC,2,FALSE))="JBL",(VLOOKUP(Table6[[#This Row],[SKU]],'All Skus'!$A:$AC,11,FALSE)),""))</f>
        <v>6260</v>
      </c>
      <c r="K599" s="102">
        <f>(IF((VLOOKUP(Table6[[#This Row],[SKU]],'All Skus'!$A:$AC,2,FALSE))="JBL",(VLOOKUP(Table6[[#This Row],[SKU]],'All Skus'!$A:$AC,13,FALSE)),""))</f>
        <v>0</v>
      </c>
      <c r="L599" s="102">
        <f>(IF((VLOOKUP(Table6[[#This Row],[SKU]],'All Skus'!$A:$AC,2,FALSE))="JBL",(VLOOKUP(Table6[[#This Row],[SKU]],'All Skus'!$A:$AC,14,FALSE)),""))</f>
        <v>0</v>
      </c>
      <c r="M599" s="143">
        <f>(IF((VLOOKUP(Table6[[#This Row],[SKU]],'All Skus'!$A:$AC,2,FALSE))="JBL",(VLOOKUP(Table6[[#This Row],[SKU]],'All Skus'!$A:$AC,15,FALSE)),""))</f>
        <v>0</v>
      </c>
      <c r="N599" s="137">
        <f>(IF((VLOOKUP(Table6[[#This Row],[SKU]],'All Skus'!$A:$AC,2,FALSE))="JBL",(VLOOKUP(Table6[[#This Row],[SKU]],'All Skus'!$A:$AC,16,FALSE)),""))</f>
        <v>691991014482</v>
      </c>
      <c r="O599" s="61">
        <f>(IF((VLOOKUP(Table6[[#This Row],[SKU]],'All Skus'!$A:$AC,2,FALSE))="JBL",(VLOOKUP(Table6[[#This Row],[SKU]],'All Skus'!$A:$AC,17,FALSE)),""))</f>
        <v>0</v>
      </c>
      <c r="P599" s="136">
        <f>(IF((VLOOKUP(Table6[[#This Row],[SKU]],'All Skus'!$A:$AC,2,FALSE))="JBL",(VLOOKUP(Table6[[#This Row],[SKU]],'All Skus'!$A:$AC,18,FALSE)),""))</f>
        <v>0</v>
      </c>
      <c r="Q599" s="136">
        <f>(IF((VLOOKUP(Table6[[#This Row],[SKU]],'All Skus'!$A:$AC,2,FALSE))="JBL",(VLOOKUP(Table6[[#This Row],[SKU]],'All Skus'!$A:$AC,19,FALSE)),""))</f>
        <v>0</v>
      </c>
      <c r="R599" s="136">
        <f>(IF((VLOOKUP(Table6[[#This Row],[SKU]],'All Skus'!$A:$AC,2,FALSE))="JBL",(VLOOKUP(Table6[[#This Row],[SKU]],'All Skus'!$A:$AC,20,FALSE)),""))</f>
        <v>0</v>
      </c>
      <c r="S599" s="61">
        <f>(IF((VLOOKUP(Table6[[#This Row],[SKU]],'All Skus'!$A:$AC,2,FALSE))="JBL",(VLOOKUP(Table6[[#This Row],[SKU]],'All Skus'!$A:$AC,21,FALSE)),""))</f>
        <v>0</v>
      </c>
      <c r="T599" s="61" t="str">
        <f>(IF((VLOOKUP(Table6[[#This Row],[SKU]],'All Skus'!$A:$AC,2,FALSE))="JBL",(VLOOKUP(Table6[[#This Row],[SKU]],'All Skus'!$A:$AC,22,FALSE)),""))</f>
        <v>MX</v>
      </c>
      <c r="U599" t="str">
        <f>(IF((VLOOKUP(Table6[[#This Row],[SKU]],'All Skus'!$A:$AC,2,FALSE))="JBL",(VLOOKUP(Table6[[#This Row],[SKU]],'All Skus'!$A:$AC,23,FALSE)),""))</f>
        <v>Compliant</v>
      </c>
      <c r="V599" s="284" t="str">
        <f>HYPERLINK((IF((VLOOKUP(Table6[[#This Row],[SKU]],'All Skus'!$A:$AC,2,FALSE))="JBL",(VLOOKUP(Table6[[#This Row],[SKU]],'All Skus'!$A:$AC,24,FALSE)),"")))</f>
        <v/>
      </c>
      <c r="W599" s="151">
        <v>597</v>
      </c>
    </row>
    <row r="600" spans="1:23" ht="15" hidden="1" customHeight="1">
      <c r="A600" s="13" t="s">
        <v>1606</v>
      </c>
      <c r="B600" s="12" t="str">
        <f>(IF((VLOOKUP(Table6[[#This Row],[SKU]],'All Skus'!$A:$AC,2,FALSE))="JBL",(VLOOKUP(Table6[[#This Row],[SKU]],'All Skus'!$A:$AC,3,FALSE)),""))</f>
        <v>Custom Shop Item</v>
      </c>
      <c r="C600" s="12" t="str">
        <f>(IF((VLOOKUP(Table6[[#This Row],[SKU]],'All Skus'!$A:$AC,2,FALSE))="JBL",(VLOOKUP(Table6[[#This Row],[SKU]],'All Skus'!$A:$AC,4,FALSE)),""))</f>
        <v>PD6200/43-WRC</v>
      </c>
      <c r="D600" s="61" t="str">
        <f>(IF((VLOOKUP(Table6[[#This Row],[SKU]],'All Skus'!$A:$AC,2,FALSE))="JBL",(VLOOKUP(Table6[[#This Row],[SKU]],'All Skus'!$A:$AC,5,FALSE)),""))</f>
        <v>JBL050</v>
      </c>
      <c r="E600" s="137" t="str">
        <f>(IF((VLOOKUP(Table6[[#This Row],[SKU]],'All Skus'!$A:$AC,2,FALSE))="JBL",(VLOOKUP(Table6[[#This Row],[SKU]],'All Skus'!$A:$AC,6,FALSE)),""))</f>
        <v>YES</v>
      </c>
      <c r="F600" s="61">
        <f>(IF((VLOOKUP(Table6[[#This Row],[SKU]],'All Skus'!$A:$AC,2,FALSE))="JBL",(VLOOKUP(Table6[[#This Row],[SKU]],'All Skus'!$A:$AC,7,FALSE)),""))</f>
        <v>0</v>
      </c>
      <c r="G600" t="str">
        <f>(IF((VLOOKUP(Table6[[#This Row],[SKU]],'All Skus'!$A:$AC,2,FALSE))="JBL",(VLOOKUP(Table6[[#This Row],[SKU]],'All Skus'!$A:$AC,8,FALSE)),""))</f>
        <v>Two-way mid-high horn-loaded loudspeaker (Extreme Weather Protection Treatment)</v>
      </c>
      <c r="H600" s="8" t="str">
        <f>(IF((VLOOKUP(Table6[[#This Row],[SKU]],'All Skus'!$A:$AC,2,FALSE))="JBL",(VLOOKUP(Table6[[#This Row],[SKU]],'All Skus'!$A:$AC,9,FALSE)),""))</f>
        <v>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00" s="101" t="str">
        <f>(IF((VLOOKUP(Table6[[#This Row],[SKU]],'All Skus'!$A:$AC,2,FALSE))="JBL",(VLOOKUP(Table6[[#This Row],[SKU]],'All Skus'!$A:$AC,10,FALSE)),""))</f>
        <v>Please email CustomAudio@harman.com for quote</v>
      </c>
      <c r="J600" s="101">
        <f>(IF((VLOOKUP(Table6[[#This Row],[SKU]],'All Skus'!$A:$AC,2,FALSE))="JBL",(VLOOKUP(Table6[[#This Row],[SKU]],'All Skus'!$A:$AC,11,FALSE)),""))</f>
        <v>0</v>
      </c>
      <c r="K600" s="102">
        <f>(IF((VLOOKUP(Table6[[#This Row],[SKU]],'All Skus'!$A:$AC,2,FALSE))="JBL",(VLOOKUP(Table6[[#This Row],[SKU]],'All Skus'!$A:$AC,13,FALSE)),""))</f>
        <v>0</v>
      </c>
      <c r="L600" s="102">
        <f>(IF((VLOOKUP(Table6[[#This Row],[SKU]],'All Skus'!$A:$AC,2,FALSE))="JBL",(VLOOKUP(Table6[[#This Row],[SKU]],'All Skus'!$A:$AC,14,FALSE)),""))</f>
        <v>0</v>
      </c>
      <c r="M600" s="143">
        <f>(IF((VLOOKUP(Table6[[#This Row],[SKU]],'All Skus'!$A:$AC,2,FALSE))="JBL",(VLOOKUP(Table6[[#This Row],[SKU]],'All Skus'!$A:$AC,15,FALSE)),""))</f>
        <v>0</v>
      </c>
      <c r="N600" s="137">
        <f>(IF((VLOOKUP(Table6[[#This Row],[SKU]],'All Skus'!$A:$AC,2,FALSE))="JBL",(VLOOKUP(Table6[[#This Row],[SKU]],'All Skus'!$A:$AC,16,FALSE)),""))</f>
        <v>691991014499</v>
      </c>
      <c r="O600" s="61">
        <f>(IF((VLOOKUP(Table6[[#This Row],[SKU]],'All Skus'!$A:$AC,2,FALSE))="JBL",(VLOOKUP(Table6[[#This Row],[SKU]],'All Skus'!$A:$AC,17,FALSE)),""))</f>
        <v>0</v>
      </c>
      <c r="P600" s="136">
        <f>(IF((VLOOKUP(Table6[[#This Row],[SKU]],'All Skus'!$A:$AC,2,FALSE))="JBL",(VLOOKUP(Table6[[#This Row],[SKU]],'All Skus'!$A:$AC,18,FALSE)),""))</f>
        <v>200</v>
      </c>
      <c r="Q600" s="136">
        <f>(IF((VLOOKUP(Table6[[#This Row],[SKU]],'All Skus'!$A:$AC,2,FALSE))="JBL",(VLOOKUP(Table6[[#This Row],[SKU]],'All Skus'!$A:$AC,19,FALSE)),""))</f>
        <v>40</v>
      </c>
      <c r="R600" s="136">
        <f>(IF((VLOOKUP(Table6[[#This Row],[SKU]],'All Skus'!$A:$AC,2,FALSE))="JBL",(VLOOKUP(Table6[[#This Row],[SKU]],'All Skus'!$A:$AC,20,FALSE)),""))</f>
        <v>31</v>
      </c>
      <c r="S600" s="61">
        <f>(IF((VLOOKUP(Table6[[#This Row],[SKU]],'All Skus'!$A:$AC,2,FALSE))="JBL",(VLOOKUP(Table6[[#This Row],[SKU]],'All Skus'!$A:$AC,21,FALSE)),""))</f>
        <v>41</v>
      </c>
      <c r="T600" s="61" t="str">
        <f>(IF((VLOOKUP(Table6[[#This Row],[SKU]],'All Skus'!$A:$AC,2,FALSE))="JBL",(VLOOKUP(Table6[[#This Row],[SKU]],'All Skus'!$A:$AC,22,FALSE)),""))</f>
        <v>MX</v>
      </c>
      <c r="U600" t="str">
        <f>(IF((VLOOKUP(Table6[[#This Row],[SKU]],'All Skus'!$A:$AC,2,FALSE))="JBL",(VLOOKUP(Table6[[#This Row],[SKU]],'All Skus'!$A:$AC,23,FALSE)),""))</f>
        <v>Compliant</v>
      </c>
      <c r="V600" s="284" t="str">
        <f>HYPERLINK((IF((VLOOKUP(Table6[[#This Row],[SKU]],'All Skus'!$A:$AC,2,FALSE))="JBL",(VLOOKUP(Table6[[#This Row],[SKU]],'All Skus'!$A:$AC,24,FALSE)),"")))</f>
        <v/>
      </c>
      <c r="W600" s="151">
        <v>598</v>
      </c>
    </row>
    <row r="601" spans="1:23" ht="15" hidden="1" customHeight="1">
      <c r="A601" s="13" t="s">
        <v>1607</v>
      </c>
      <c r="B601" s="12" t="str">
        <f>(IF((VLOOKUP(Table6[[#This Row],[SKU]],'All Skus'!$A:$AC,2,FALSE))="JBL",(VLOOKUP(Table6[[#This Row],[SKU]],'All Skus'!$A:$AC,3,FALSE)),""))</f>
        <v>Custom Shop Item</v>
      </c>
      <c r="C601" s="12" t="str">
        <f>(IF((VLOOKUP(Table6[[#This Row],[SKU]],'All Skus'!$A:$AC,2,FALSE))="JBL",(VLOOKUP(Table6[[#This Row],[SKU]],'All Skus'!$A:$AC,4,FALSE)),""))</f>
        <v>PD6200/43-WRX</v>
      </c>
      <c r="D601" s="61">
        <f>(IF((VLOOKUP(Table6[[#This Row],[SKU]],'All Skus'!$A:$AC,2,FALSE))="JBL",(VLOOKUP(Table6[[#This Row],[SKU]],'All Skus'!$A:$AC,5,FALSE)),""))</f>
        <v>0</v>
      </c>
      <c r="E601" s="137" t="str">
        <f>(IF((VLOOKUP(Table6[[#This Row],[SKU]],'All Skus'!$A:$AC,2,FALSE))="JBL",(VLOOKUP(Table6[[#This Row],[SKU]],'All Skus'!$A:$AC,6,FALSE)),""))</f>
        <v>YES</v>
      </c>
      <c r="F601" s="61">
        <f>(IF((VLOOKUP(Table6[[#This Row],[SKU]],'All Skus'!$A:$AC,2,FALSE))="JBL",(VLOOKUP(Table6[[#This Row],[SKU]],'All Skus'!$A:$AC,7,FALSE)),""))</f>
        <v>0</v>
      </c>
      <c r="G601" t="str">
        <f>(IF((VLOOKUP(Table6[[#This Row],[SKU]],'All Skus'!$A:$AC,2,FALSE))="JBL",(VLOOKUP(Table6[[#This Row],[SKU]],'All Skus'!$A:$AC,8,FALSE)),""))</f>
        <v>Two-way mid-high horn-loaded loudspeaker (Extreme Weather Protection Treatment)</v>
      </c>
      <c r="H601" s="8" t="str">
        <f>(IF((VLOOKUP(Table6[[#This Row],[SKU]],'All Skus'!$A:$AC,2,FALSE))="JBL",(VLOOKUP(Table6[[#This Row],[SKU]],'All Skus'!$A:$AC,9,FALSE)),""))</f>
        <v>High Output Two-Way MID/HIGH Frequency Loudspeaker with  8" MF and 40° x  30° Coverage Pattern.  200 mm (8 in.) CMCD™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01" s="101" t="str">
        <f>(IF((VLOOKUP(Table6[[#This Row],[SKU]],'All Skus'!$A:$AC,2,FALSE))="JBL",(VLOOKUP(Table6[[#This Row],[SKU]],'All Skus'!$A:$AC,10,FALSE)),""))</f>
        <v>Please email CustomAudio@harman.com for quote</v>
      </c>
      <c r="J601" s="101">
        <f>(IF((VLOOKUP(Table6[[#This Row],[SKU]],'All Skus'!$A:$AC,2,FALSE))="JBL",(VLOOKUP(Table6[[#This Row],[SKU]],'All Skus'!$A:$AC,11,FALSE)),""))</f>
        <v>0</v>
      </c>
      <c r="K601" s="102">
        <f>(IF((VLOOKUP(Table6[[#This Row],[SKU]],'All Skus'!$A:$AC,2,FALSE))="JBL",(VLOOKUP(Table6[[#This Row],[SKU]],'All Skus'!$A:$AC,13,FALSE)),""))</f>
        <v>0</v>
      </c>
      <c r="L601" s="102">
        <f>(IF((VLOOKUP(Table6[[#This Row],[SKU]],'All Skus'!$A:$AC,2,FALSE))="JBL",(VLOOKUP(Table6[[#This Row],[SKU]],'All Skus'!$A:$AC,14,FALSE)),""))</f>
        <v>0</v>
      </c>
      <c r="M601" s="143">
        <f>(IF((VLOOKUP(Table6[[#This Row],[SKU]],'All Skus'!$A:$AC,2,FALSE))="JBL",(VLOOKUP(Table6[[#This Row],[SKU]],'All Skus'!$A:$AC,15,FALSE)),""))</f>
        <v>0</v>
      </c>
      <c r="N601" s="137">
        <f>(IF((VLOOKUP(Table6[[#This Row],[SKU]],'All Skus'!$A:$AC,2,FALSE))="JBL",(VLOOKUP(Table6[[#This Row],[SKU]],'All Skus'!$A:$AC,16,FALSE)),""))</f>
        <v>691991014505</v>
      </c>
      <c r="O601" s="61">
        <f>(IF((VLOOKUP(Table6[[#This Row],[SKU]],'All Skus'!$A:$AC,2,FALSE))="JBL",(VLOOKUP(Table6[[#This Row],[SKU]],'All Skus'!$A:$AC,17,FALSE)),""))</f>
        <v>0</v>
      </c>
      <c r="P601" s="136">
        <f>(IF((VLOOKUP(Table6[[#This Row],[SKU]],'All Skus'!$A:$AC,2,FALSE))="JBL",(VLOOKUP(Table6[[#This Row],[SKU]],'All Skus'!$A:$AC,18,FALSE)),""))</f>
        <v>0</v>
      </c>
      <c r="Q601" s="136">
        <f>(IF((VLOOKUP(Table6[[#This Row],[SKU]],'All Skus'!$A:$AC,2,FALSE))="JBL",(VLOOKUP(Table6[[#This Row],[SKU]],'All Skus'!$A:$AC,19,FALSE)),""))</f>
        <v>0</v>
      </c>
      <c r="R601" s="136">
        <f>(IF((VLOOKUP(Table6[[#This Row],[SKU]],'All Skus'!$A:$AC,2,FALSE))="JBL",(VLOOKUP(Table6[[#This Row],[SKU]],'All Skus'!$A:$AC,20,FALSE)),""))</f>
        <v>0</v>
      </c>
      <c r="S601" s="61">
        <f>(IF((VLOOKUP(Table6[[#This Row],[SKU]],'All Skus'!$A:$AC,2,FALSE))="JBL",(VLOOKUP(Table6[[#This Row],[SKU]],'All Skus'!$A:$AC,21,FALSE)),""))</f>
        <v>0</v>
      </c>
      <c r="T601" s="61" t="str">
        <f>(IF((VLOOKUP(Table6[[#This Row],[SKU]],'All Skus'!$A:$AC,2,FALSE))="JBL",(VLOOKUP(Table6[[#This Row],[SKU]],'All Skus'!$A:$AC,22,FALSE)),""))</f>
        <v>MX</v>
      </c>
      <c r="U601" t="str">
        <f>(IF((VLOOKUP(Table6[[#This Row],[SKU]],'All Skus'!$A:$AC,2,FALSE))="JBL",(VLOOKUP(Table6[[#This Row],[SKU]],'All Skus'!$A:$AC,23,FALSE)),""))</f>
        <v>Compliant</v>
      </c>
      <c r="V601" s="284" t="str">
        <f>HYPERLINK((IF((VLOOKUP(Table6[[#This Row],[SKU]],'All Skus'!$A:$AC,2,FALSE))="JBL",(VLOOKUP(Table6[[#This Row],[SKU]],'All Skus'!$A:$AC,24,FALSE)),"")))</f>
        <v/>
      </c>
      <c r="W601" s="151">
        <v>599</v>
      </c>
    </row>
    <row r="602" spans="1:23" ht="15" hidden="1" customHeight="1">
      <c r="A602" s="13" t="s">
        <v>1608</v>
      </c>
      <c r="B602" s="12" t="str">
        <f>(IF((VLOOKUP(Table6[[#This Row],[SKU]],'All Skus'!$A:$AC,2,FALSE))="JBL",(VLOOKUP(Table6[[#This Row],[SKU]],'All Skus'!$A:$AC,3,FALSE)),""))</f>
        <v>PD Series</v>
      </c>
      <c r="C602" s="12" t="str">
        <f>(IF((VLOOKUP(Table6[[#This Row],[SKU]],'All Skus'!$A:$AC,2,FALSE))="JBL",(VLOOKUP(Table6[[#This Row],[SKU]],'All Skus'!$A:$AC,4,FALSE)),""))</f>
        <v>PD6200/64</v>
      </c>
      <c r="D602" s="61" t="str">
        <f>(IF((VLOOKUP(Table6[[#This Row],[SKU]],'All Skus'!$A:$AC,2,FALSE))="JBL",(VLOOKUP(Table6[[#This Row],[SKU]],'All Skus'!$A:$AC,5,FALSE)),""))</f>
        <v>JBL051</v>
      </c>
      <c r="E602" s="137" t="str">
        <f>(IF((VLOOKUP(Table6[[#This Row],[SKU]],'All Skus'!$A:$AC,2,FALSE))="JBL",(VLOOKUP(Table6[[#This Row],[SKU]],'All Skus'!$A:$AC,6,FALSE)),""))</f>
        <v>YES</v>
      </c>
      <c r="F602" s="61" t="str">
        <f>(IF((VLOOKUP(Table6[[#This Row],[SKU]],'All Skus'!$A:$AC,2,FALSE))="JBL",(VLOOKUP(Table6[[#This Row],[SKU]],'All Skus'!$A:$AC,7,FALSE)),""))</f>
        <v>Limited Quantity</v>
      </c>
      <c r="G602" t="str">
        <f>(IF((VLOOKUP(Table6[[#This Row],[SKU]],'All Skus'!$A:$AC,2,FALSE))="JBL",(VLOOKUP(Table6[[#This Row],[SKU]],'All Skus'!$A:$AC,8,FALSE)),""))</f>
        <v>Two-way mid-high horn-loaded loudspeaker</v>
      </c>
      <c r="H602" s="8" t="str">
        <f>(IF((VLOOKUP(Table6[[#This Row],[SKU]],'All Skus'!$A:$AC,2,FALSE))="JBL",(VLOOKUP(Table6[[#This Row],[SKU]],'All Skus'!$A:$AC,9,FALSE)),""))</f>
        <v>High Output Two-Way MID/HIGH Frequency Loudspeaker with  8" MF and 60° x  40° Coverage Pattern.  200 mm (8 in.) CMCD-82H™ Cone Midrange Compression Driver and Large Format 2431H Neodymium HF Driver.  200 Hz to 17 kHz Frequency Range.  991 x  673 x 706 mm.  (39 x 26.5 x 27.8 in),   58.8 kg (130 lbs).</v>
      </c>
      <c r="I602" s="101">
        <f>(IF((VLOOKUP(Table6[[#This Row],[SKU]],'All Skus'!$A:$AC,2,FALSE))="JBL",(VLOOKUP(Table6[[#This Row],[SKU]],'All Skus'!$A:$AC,10,FALSE)),""))</f>
        <v>4364</v>
      </c>
      <c r="J602" s="101">
        <f>(IF((VLOOKUP(Table6[[#This Row],[SKU]],'All Skus'!$A:$AC,2,FALSE))="JBL",(VLOOKUP(Table6[[#This Row],[SKU]],'All Skus'!$A:$AC,11,FALSE)),""))</f>
        <v>4364</v>
      </c>
      <c r="K602" s="102">
        <f>(IF((VLOOKUP(Table6[[#This Row],[SKU]],'All Skus'!$A:$AC,2,FALSE))="JBL",(VLOOKUP(Table6[[#This Row],[SKU]],'All Skus'!$A:$AC,13,FALSE)),""))</f>
        <v>0</v>
      </c>
      <c r="L602" s="102">
        <f>(IF((VLOOKUP(Table6[[#This Row],[SKU]],'All Skus'!$A:$AC,2,FALSE))="JBL",(VLOOKUP(Table6[[#This Row],[SKU]],'All Skus'!$A:$AC,14,FALSE)),""))</f>
        <v>0</v>
      </c>
      <c r="M602" s="143">
        <f>(IF((VLOOKUP(Table6[[#This Row],[SKU]],'All Skus'!$A:$AC,2,FALSE))="JBL",(VLOOKUP(Table6[[#This Row],[SKU]],'All Skus'!$A:$AC,15,FALSE)),""))</f>
        <v>0</v>
      </c>
      <c r="N602" s="137">
        <f>(IF((VLOOKUP(Table6[[#This Row],[SKU]],'All Skus'!$A:$AC,2,FALSE))="JBL",(VLOOKUP(Table6[[#This Row],[SKU]],'All Skus'!$A:$AC,16,FALSE)),""))</f>
        <v>691991014512</v>
      </c>
      <c r="O602" s="61">
        <f>(IF((VLOOKUP(Table6[[#This Row],[SKU]],'All Skus'!$A:$AC,2,FALSE))="JBL",(VLOOKUP(Table6[[#This Row],[SKU]],'All Skus'!$A:$AC,17,FALSE)),""))</f>
        <v>0</v>
      </c>
      <c r="P602" s="136">
        <f>(IF((VLOOKUP(Table6[[#This Row],[SKU]],'All Skus'!$A:$AC,2,FALSE))="JBL",(VLOOKUP(Table6[[#This Row],[SKU]],'All Skus'!$A:$AC,18,FALSE)),""))</f>
        <v>200</v>
      </c>
      <c r="Q602" s="136">
        <f>(IF((VLOOKUP(Table6[[#This Row],[SKU]],'All Skus'!$A:$AC,2,FALSE))="JBL",(VLOOKUP(Table6[[#This Row],[SKU]],'All Skus'!$A:$AC,19,FALSE)),""))</f>
        <v>31</v>
      </c>
      <c r="R602" s="136">
        <f>(IF((VLOOKUP(Table6[[#This Row],[SKU]],'All Skus'!$A:$AC,2,FALSE))="JBL",(VLOOKUP(Table6[[#This Row],[SKU]],'All Skus'!$A:$AC,20,FALSE)),""))</f>
        <v>33</v>
      </c>
      <c r="S602" s="61">
        <f>(IF((VLOOKUP(Table6[[#This Row],[SKU]],'All Skus'!$A:$AC,2,FALSE))="JBL",(VLOOKUP(Table6[[#This Row],[SKU]],'All Skus'!$A:$AC,21,FALSE)),""))</f>
        <v>42</v>
      </c>
      <c r="T602" s="61" t="str">
        <f>(IF((VLOOKUP(Table6[[#This Row],[SKU]],'All Skus'!$A:$AC,2,FALSE))="JBL",(VLOOKUP(Table6[[#This Row],[SKU]],'All Skus'!$A:$AC,22,FALSE)),""))</f>
        <v>MX</v>
      </c>
      <c r="U602" t="str">
        <f>(IF((VLOOKUP(Table6[[#This Row],[SKU]],'All Skus'!$A:$AC,2,FALSE))="JBL",(VLOOKUP(Table6[[#This Row],[SKU]],'All Skus'!$A:$AC,23,FALSE)),""))</f>
        <v>Compliant</v>
      </c>
      <c r="V602" s="284" t="str">
        <f>HYPERLINK((IF((VLOOKUP(Table6[[#This Row],[SKU]],'All Skus'!$A:$AC,2,FALSE))="JBL",(VLOOKUP(Table6[[#This Row],[SKU]],'All Skus'!$A:$AC,24,FALSE)),"")))</f>
        <v/>
      </c>
      <c r="W602" s="151">
        <v>600</v>
      </c>
    </row>
    <row r="603" spans="1:23" ht="15" hidden="1" customHeight="1">
      <c r="A603" s="13" t="s">
        <v>1609</v>
      </c>
      <c r="B603" s="12" t="str">
        <f>(IF((VLOOKUP(Table6[[#This Row],[SKU]],'All Skus'!$A:$AC,2,FALSE))="JBL",(VLOOKUP(Table6[[#This Row],[SKU]],'All Skus'!$A:$AC,3,FALSE)),""))</f>
        <v>PD Series</v>
      </c>
      <c r="C603" s="12" t="str">
        <f>(IF((VLOOKUP(Table6[[#This Row],[SKU]],'All Skus'!$A:$AC,2,FALSE))="JBL",(VLOOKUP(Table6[[#This Row],[SKU]],'All Skus'!$A:$AC,4,FALSE)),""))</f>
        <v>PD6200/64-WH</v>
      </c>
      <c r="D603" s="61" t="str">
        <f>(IF((VLOOKUP(Table6[[#This Row],[SKU]],'All Skus'!$A:$AC,2,FALSE))="JBL",(VLOOKUP(Table6[[#This Row],[SKU]],'All Skus'!$A:$AC,5,FALSE)),""))</f>
        <v>JBL051</v>
      </c>
      <c r="E603" s="137" t="str">
        <f>(IF((VLOOKUP(Table6[[#This Row],[SKU]],'All Skus'!$A:$AC,2,FALSE))="JBL",(VLOOKUP(Table6[[#This Row],[SKU]],'All Skus'!$A:$AC,6,FALSE)),""))</f>
        <v>YES</v>
      </c>
      <c r="F603" s="61">
        <f>(IF((VLOOKUP(Table6[[#This Row],[SKU]],'All Skus'!$A:$AC,2,FALSE))="JBL",(VLOOKUP(Table6[[#This Row],[SKU]],'All Skus'!$A:$AC,7,FALSE)),""))</f>
        <v>0</v>
      </c>
      <c r="G603" t="str">
        <f>(IF((VLOOKUP(Table6[[#This Row],[SKU]],'All Skus'!$A:$AC,2,FALSE))="JBL",(VLOOKUP(Table6[[#This Row],[SKU]],'All Skus'!$A:$AC,8,FALSE)),""))</f>
        <v>Two-way mid-high horn-loaded loudspeaker (white)</v>
      </c>
      <c r="H603" s="8" t="str">
        <f>(IF((VLOOKUP(Table6[[#This Row],[SKU]],'All Skus'!$A:$AC,2,FALSE))="JBL",(VLOOKUP(Table6[[#This Row],[SKU]],'All Skus'!$A:$AC,9,FALSE)),""))</f>
        <v>High Output Two-Way MID/HIGH Frequency Loudspeaker with  8" MF and 60° x  40° Coverage Pattern.  200 mm (8 in.) CMCD-82H™ Cone Midrange Compression Driver and Large Format 2431H Neodymium HF Driver.  200 Hz to 17 kHz Frequency Range.  991 x  673 x 706 mm.  (39 x 26.5 x 27.8 in),   58.8 kg (130 lbs).  White finish.</v>
      </c>
      <c r="I603" s="101">
        <f>(IF((VLOOKUP(Table6[[#This Row],[SKU]],'All Skus'!$A:$AC,2,FALSE))="JBL",(VLOOKUP(Table6[[#This Row],[SKU]],'All Skus'!$A:$AC,10,FALSE)),""))</f>
        <v>4364</v>
      </c>
      <c r="J603" s="101">
        <f>(IF((VLOOKUP(Table6[[#This Row],[SKU]],'All Skus'!$A:$AC,2,FALSE))="JBL",(VLOOKUP(Table6[[#This Row],[SKU]],'All Skus'!$A:$AC,11,FALSE)),""))</f>
        <v>4364</v>
      </c>
      <c r="K603" s="102">
        <f>(IF((VLOOKUP(Table6[[#This Row],[SKU]],'All Skus'!$A:$AC,2,FALSE))="JBL",(VLOOKUP(Table6[[#This Row],[SKU]],'All Skus'!$A:$AC,13,FALSE)),""))</f>
        <v>0</v>
      </c>
      <c r="L603" s="102">
        <f>(IF((VLOOKUP(Table6[[#This Row],[SKU]],'All Skus'!$A:$AC,2,FALSE))="JBL",(VLOOKUP(Table6[[#This Row],[SKU]],'All Skus'!$A:$AC,14,FALSE)),""))</f>
        <v>0</v>
      </c>
      <c r="M603" s="143">
        <f>(IF((VLOOKUP(Table6[[#This Row],[SKU]],'All Skus'!$A:$AC,2,FALSE))="JBL",(VLOOKUP(Table6[[#This Row],[SKU]],'All Skus'!$A:$AC,15,FALSE)),""))</f>
        <v>0</v>
      </c>
      <c r="N603" s="137">
        <f>(IF((VLOOKUP(Table6[[#This Row],[SKU]],'All Skus'!$A:$AC,2,FALSE))="JBL",(VLOOKUP(Table6[[#This Row],[SKU]],'All Skus'!$A:$AC,16,FALSE)),""))</f>
        <v>691991014529</v>
      </c>
      <c r="O603" s="61">
        <f>(IF((VLOOKUP(Table6[[#This Row],[SKU]],'All Skus'!$A:$AC,2,FALSE))="JBL",(VLOOKUP(Table6[[#This Row],[SKU]],'All Skus'!$A:$AC,17,FALSE)),""))</f>
        <v>0</v>
      </c>
      <c r="P603" s="136">
        <f>(IF((VLOOKUP(Table6[[#This Row],[SKU]],'All Skus'!$A:$AC,2,FALSE))="JBL",(VLOOKUP(Table6[[#This Row],[SKU]],'All Skus'!$A:$AC,18,FALSE)),""))</f>
        <v>140</v>
      </c>
      <c r="Q603" s="136">
        <f>(IF((VLOOKUP(Table6[[#This Row],[SKU]],'All Skus'!$A:$AC,2,FALSE))="JBL",(VLOOKUP(Table6[[#This Row],[SKU]],'All Skus'!$A:$AC,19,FALSE)),""))</f>
        <v>33</v>
      </c>
      <c r="R603" s="136">
        <f>(IF((VLOOKUP(Table6[[#This Row],[SKU]],'All Skus'!$A:$AC,2,FALSE))="JBL",(VLOOKUP(Table6[[#This Row],[SKU]],'All Skus'!$A:$AC,20,FALSE)),""))</f>
        <v>31</v>
      </c>
      <c r="S603" s="61">
        <f>(IF((VLOOKUP(Table6[[#This Row],[SKU]],'All Skus'!$A:$AC,2,FALSE))="JBL",(VLOOKUP(Table6[[#This Row],[SKU]],'All Skus'!$A:$AC,21,FALSE)),""))</f>
        <v>41.5</v>
      </c>
      <c r="T603" s="61" t="str">
        <f>(IF((VLOOKUP(Table6[[#This Row],[SKU]],'All Skus'!$A:$AC,2,FALSE))="JBL",(VLOOKUP(Table6[[#This Row],[SKU]],'All Skus'!$A:$AC,22,FALSE)),""))</f>
        <v>MX</v>
      </c>
      <c r="U603" t="str">
        <f>(IF((VLOOKUP(Table6[[#This Row],[SKU]],'All Skus'!$A:$AC,2,FALSE))="JBL",(VLOOKUP(Table6[[#This Row],[SKU]],'All Skus'!$A:$AC,23,FALSE)),""))</f>
        <v>Compliant</v>
      </c>
      <c r="V603" s="284" t="str">
        <f>HYPERLINK((IF((VLOOKUP(Table6[[#This Row],[SKU]],'All Skus'!$A:$AC,2,FALSE))="JBL",(VLOOKUP(Table6[[#This Row],[SKU]],'All Skus'!$A:$AC,24,FALSE)),"")))</f>
        <v/>
      </c>
      <c r="W603" s="151">
        <v>601</v>
      </c>
    </row>
    <row r="604" spans="1:23" ht="15" hidden="1" customHeight="1">
      <c r="A604" s="13" t="s">
        <v>1610</v>
      </c>
      <c r="B604" s="12" t="str">
        <f>(IF((VLOOKUP(Table6[[#This Row],[SKU]],'All Skus'!$A:$AC,2,FALSE))="JBL",(VLOOKUP(Table6[[#This Row],[SKU]],'All Skus'!$A:$AC,3,FALSE)),""))</f>
        <v>Custom Shop Item</v>
      </c>
      <c r="C604" s="12" t="str">
        <f>(IF((VLOOKUP(Table6[[#This Row],[SKU]],'All Skus'!$A:$AC,2,FALSE))="JBL",(VLOOKUP(Table6[[#This Row],[SKU]],'All Skus'!$A:$AC,4,FALSE)),""))</f>
        <v>PD6200/64-WRC</v>
      </c>
      <c r="D604" s="61">
        <f>(IF((VLOOKUP(Table6[[#This Row],[SKU]],'All Skus'!$A:$AC,2,FALSE))="JBL",(VLOOKUP(Table6[[#This Row],[SKU]],'All Skus'!$A:$AC,5,FALSE)),""))</f>
        <v>0</v>
      </c>
      <c r="E604" s="137" t="str">
        <f>(IF((VLOOKUP(Table6[[#This Row],[SKU]],'All Skus'!$A:$AC,2,FALSE))="JBL",(VLOOKUP(Table6[[#This Row],[SKU]],'All Skus'!$A:$AC,6,FALSE)),""))</f>
        <v>YES</v>
      </c>
      <c r="F604" s="61">
        <f>(IF((VLOOKUP(Table6[[#This Row],[SKU]],'All Skus'!$A:$AC,2,FALSE))="JBL",(VLOOKUP(Table6[[#This Row],[SKU]],'All Skus'!$A:$AC,7,FALSE)),""))</f>
        <v>0</v>
      </c>
      <c r="G604" t="str">
        <f>(IF((VLOOKUP(Table6[[#This Row],[SKU]],'All Skus'!$A:$AC,2,FALSE))="JBL",(VLOOKUP(Table6[[#This Row],[SKU]],'All Skus'!$A:$AC,8,FALSE)),""))</f>
        <v>Two-way mid-high horn-loaded loudspeaker (Weather Protection Treatment)</v>
      </c>
      <c r="H604" s="8" t="str">
        <f>(IF((VLOOKUP(Table6[[#This Row],[SKU]],'All Skus'!$A:$AC,2,FALSE))="JBL",(VLOOKUP(Table6[[#This Row],[SKU]],'All Skus'!$A:$AC,9,FALSE)),""))</f>
        <v>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v>
      </c>
      <c r="I604" s="101" t="str">
        <f>(IF((VLOOKUP(Table6[[#This Row],[SKU]],'All Skus'!$A:$AC,2,FALSE))="JBL",(VLOOKUP(Table6[[#This Row],[SKU]],'All Skus'!$A:$AC,10,FALSE)),""))</f>
        <v>Please email CustomAudio@harman.com for quote</v>
      </c>
      <c r="J604" s="101">
        <f>(IF((VLOOKUP(Table6[[#This Row],[SKU]],'All Skus'!$A:$AC,2,FALSE))="JBL",(VLOOKUP(Table6[[#This Row],[SKU]],'All Skus'!$A:$AC,11,FALSE)),""))</f>
        <v>0</v>
      </c>
      <c r="K604" s="102">
        <f>(IF((VLOOKUP(Table6[[#This Row],[SKU]],'All Skus'!$A:$AC,2,FALSE))="JBL",(VLOOKUP(Table6[[#This Row],[SKU]],'All Skus'!$A:$AC,13,FALSE)),""))</f>
        <v>0</v>
      </c>
      <c r="L604" s="102">
        <f>(IF((VLOOKUP(Table6[[#This Row],[SKU]],'All Skus'!$A:$AC,2,FALSE))="JBL",(VLOOKUP(Table6[[#This Row],[SKU]],'All Skus'!$A:$AC,14,FALSE)),""))</f>
        <v>0</v>
      </c>
      <c r="M604" s="143">
        <f>(IF((VLOOKUP(Table6[[#This Row],[SKU]],'All Skus'!$A:$AC,2,FALSE))="JBL",(VLOOKUP(Table6[[#This Row],[SKU]],'All Skus'!$A:$AC,15,FALSE)),""))</f>
        <v>0</v>
      </c>
      <c r="N604" s="137">
        <f>(IF((VLOOKUP(Table6[[#This Row],[SKU]],'All Skus'!$A:$AC,2,FALSE))="JBL",(VLOOKUP(Table6[[#This Row],[SKU]],'All Skus'!$A:$AC,16,FALSE)),""))</f>
        <v>691991014536</v>
      </c>
      <c r="O604" s="61">
        <f>(IF((VLOOKUP(Table6[[#This Row],[SKU]],'All Skus'!$A:$AC,2,FALSE))="JBL",(VLOOKUP(Table6[[#This Row],[SKU]],'All Skus'!$A:$AC,17,FALSE)),""))</f>
        <v>0</v>
      </c>
      <c r="P604" s="136">
        <f>(IF((VLOOKUP(Table6[[#This Row],[SKU]],'All Skus'!$A:$AC,2,FALSE))="JBL",(VLOOKUP(Table6[[#This Row],[SKU]],'All Skus'!$A:$AC,18,FALSE)),""))</f>
        <v>0</v>
      </c>
      <c r="Q604" s="136">
        <f>(IF((VLOOKUP(Table6[[#This Row],[SKU]],'All Skus'!$A:$AC,2,FALSE))="JBL",(VLOOKUP(Table6[[#This Row],[SKU]],'All Skus'!$A:$AC,19,FALSE)),""))</f>
        <v>0</v>
      </c>
      <c r="R604" s="136">
        <f>(IF((VLOOKUP(Table6[[#This Row],[SKU]],'All Skus'!$A:$AC,2,FALSE))="JBL",(VLOOKUP(Table6[[#This Row],[SKU]],'All Skus'!$A:$AC,20,FALSE)),""))</f>
        <v>0</v>
      </c>
      <c r="S604" s="61">
        <f>(IF((VLOOKUP(Table6[[#This Row],[SKU]],'All Skus'!$A:$AC,2,FALSE))="JBL",(VLOOKUP(Table6[[#This Row],[SKU]],'All Skus'!$A:$AC,21,FALSE)),""))</f>
        <v>0</v>
      </c>
      <c r="T604" s="61" t="str">
        <f>(IF((VLOOKUP(Table6[[#This Row],[SKU]],'All Skus'!$A:$AC,2,FALSE))="JBL",(VLOOKUP(Table6[[#This Row],[SKU]],'All Skus'!$A:$AC,22,FALSE)),""))</f>
        <v>MX</v>
      </c>
      <c r="U604" t="str">
        <f>(IF((VLOOKUP(Table6[[#This Row],[SKU]],'All Skus'!$A:$AC,2,FALSE))="JBL",(VLOOKUP(Table6[[#This Row],[SKU]],'All Skus'!$A:$AC,23,FALSE)),""))</f>
        <v>Compliant</v>
      </c>
      <c r="V604" s="284" t="str">
        <f>HYPERLINK((IF((VLOOKUP(Table6[[#This Row],[SKU]],'All Skus'!$A:$AC,2,FALSE))="JBL",(VLOOKUP(Table6[[#This Row],[SKU]],'All Skus'!$A:$AC,24,FALSE)),"")))</f>
        <v/>
      </c>
      <c r="W604" s="151">
        <v>602</v>
      </c>
    </row>
    <row r="605" spans="1:23" ht="15" hidden="1" customHeight="1">
      <c r="A605" s="13" t="s">
        <v>1611</v>
      </c>
      <c r="B605" s="12" t="str">
        <f>(IF((VLOOKUP(Table6[[#This Row],[SKU]],'All Skus'!$A:$AC,2,FALSE))="JBL",(VLOOKUP(Table6[[#This Row],[SKU]],'All Skus'!$A:$AC,3,FALSE)),""))</f>
        <v>Custom Shop Item</v>
      </c>
      <c r="C605" s="12" t="str">
        <f>(IF((VLOOKUP(Table6[[#This Row],[SKU]],'All Skus'!$A:$AC,2,FALSE))="JBL",(VLOOKUP(Table6[[#This Row],[SKU]],'All Skus'!$A:$AC,4,FALSE)),""))</f>
        <v>PD6200/64-WRX</v>
      </c>
      <c r="D605" s="61" t="str">
        <f>(IF((VLOOKUP(Table6[[#This Row],[SKU]],'All Skus'!$A:$AC,2,FALSE))="JBL",(VLOOKUP(Table6[[#This Row],[SKU]],'All Skus'!$A:$AC,5,FALSE)),""))</f>
        <v>JBL050</v>
      </c>
      <c r="E605" s="137" t="str">
        <f>(IF((VLOOKUP(Table6[[#This Row],[SKU]],'All Skus'!$A:$AC,2,FALSE))="JBL",(VLOOKUP(Table6[[#This Row],[SKU]],'All Skus'!$A:$AC,6,FALSE)),""))</f>
        <v>YES</v>
      </c>
      <c r="F605" s="61">
        <f>(IF((VLOOKUP(Table6[[#This Row],[SKU]],'All Skus'!$A:$AC,2,FALSE))="JBL",(VLOOKUP(Table6[[#This Row],[SKU]],'All Skus'!$A:$AC,7,FALSE)),""))</f>
        <v>0</v>
      </c>
      <c r="G605" t="str">
        <f>(IF((VLOOKUP(Table6[[#This Row],[SKU]],'All Skus'!$A:$AC,2,FALSE))="JBL",(VLOOKUP(Table6[[#This Row],[SKU]],'All Skus'!$A:$AC,8,FALSE)),""))</f>
        <v>Two-way mid-high horn-loaded loudspeaker (Weather Protection Treatment)</v>
      </c>
      <c r="H605" s="8" t="str">
        <f>(IF((VLOOKUP(Table6[[#This Row],[SKU]],'All Skus'!$A:$AC,2,FALSE))="JBL",(VLOOKUP(Table6[[#This Row],[SKU]],'All Skus'!$A:$AC,9,FALSE)),""))</f>
        <v>High Output Two-Way MID/HIGH Frequency Loudspeaker with  8" MF and 60° x  40° Coverage Pattern.  200 mm (8 in.) CMCD-82H™ Cone Midrange Compression Driver and Large Format 2431H Neodymium HF Driver.  200 Hz to 17 kHz Frequency Range.  991 x  673 x 706 mm.  (39 x 26.5 x 27.8 in),   58.8 kg (130 lbs). With Weather Protection Treatment. Refer to WEATHER RESISTANT Configurations for AE, PD &amp; VLA Series document for details regarding WRC/WRX models. Standard color is GRAY. Available in Black (-BK) &amp; White (-WH).8-10 weeks ship time for orders of 1-10, larger needs to be reviewed</v>
      </c>
      <c r="I605" s="101" t="str">
        <f>(IF((VLOOKUP(Table6[[#This Row],[SKU]],'All Skus'!$A:$AC,2,FALSE))="JBL",(VLOOKUP(Table6[[#This Row],[SKU]],'All Skus'!$A:$AC,10,FALSE)),""))</f>
        <v>Please email CustomAudio@harman.com for quote</v>
      </c>
      <c r="J605" s="101">
        <f>(IF((VLOOKUP(Table6[[#This Row],[SKU]],'All Skus'!$A:$AC,2,FALSE))="JBL",(VLOOKUP(Table6[[#This Row],[SKU]],'All Skus'!$A:$AC,11,FALSE)),""))</f>
        <v>0</v>
      </c>
      <c r="K605" s="102">
        <f>(IF((VLOOKUP(Table6[[#This Row],[SKU]],'All Skus'!$A:$AC,2,FALSE))="JBL",(VLOOKUP(Table6[[#This Row],[SKU]],'All Skus'!$A:$AC,13,FALSE)),""))</f>
        <v>0</v>
      </c>
      <c r="L605" s="102">
        <f>(IF((VLOOKUP(Table6[[#This Row],[SKU]],'All Skus'!$A:$AC,2,FALSE))="JBL",(VLOOKUP(Table6[[#This Row],[SKU]],'All Skus'!$A:$AC,14,FALSE)),""))</f>
        <v>0</v>
      </c>
      <c r="M605" s="143">
        <f>(IF((VLOOKUP(Table6[[#This Row],[SKU]],'All Skus'!$A:$AC,2,FALSE))="JBL",(VLOOKUP(Table6[[#This Row],[SKU]],'All Skus'!$A:$AC,15,FALSE)),""))</f>
        <v>0</v>
      </c>
      <c r="N605" s="137">
        <f>(IF((VLOOKUP(Table6[[#This Row],[SKU]],'All Skus'!$A:$AC,2,FALSE))="JBL",(VLOOKUP(Table6[[#This Row],[SKU]],'All Skus'!$A:$AC,16,FALSE)),""))</f>
        <v>0</v>
      </c>
      <c r="O605" s="61">
        <f>(IF((VLOOKUP(Table6[[#This Row],[SKU]],'All Skus'!$A:$AC,2,FALSE))="JBL",(VLOOKUP(Table6[[#This Row],[SKU]],'All Skus'!$A:$AC,17,FALSE)),""))</f>
        <v>0</v>
      </c>
      <c r="P605" s="136">
        <f>(IF((VLOOKUP(Table6[[#This Row],[SKU]],'All Skus'!$A:$AC,2,FALSE))="JBL",(VLOOKUP(Table6[[#This Row],[SKU]],'All Skus'!$A:$AC,18,FALSE)),""))</f>
        <v>156</v>
      </c>
      <c r="Q605" s="136">
        <f>(IF((VLOOKUP(Table6[[#This Row],[SKU]],'All Skus'!$A:$AC,2,FALSE))="JBL",(VLOOKUP(Table6[[#This Row],[SKU]],'All Skus'!$A:$AC,19,FALSE)),""))</f>
        <v>31</v>
      </c>
      <c r="R605" s="136">
        <f>(IF((VLOOKUP(Table6[[#This Row],[SKU]],'All Skus'!$A:$AC,2,FALSE))="JBL",(VLOOKUP(Table6[[#This Row],[SKU]],'All Skus'!$A:$AC,20,FALSE)),""))</f>
        <v>33</v>
      </c>
      <c r="S605" s="61">
        <f>(IF((VLOOKUP(Table6[[#This Row],[SKU]],'All Skus'!$A:$AC,2,FALSE))="JBL",(VLOOKUP(Table6[[#This Row],[SKU]],'All Skus'!$A:$AC,21,FALSE)),""))</f>
        <v>41.5</v>
      </c>
      <c r="T605" s="61" t="str">
        <f>(IF((VLOOKUP(Table6[[#This Row],[SKU]],'All Skus'!$A:$AC,2,FALSE))="JBL",(VLOOKUP(Table6[[#This Row],[SKU]],'All Skus'!$A:$AC,22,FALSE)),""))</f>
        <v>MX</v>
      </c>
      <c r="U605" t="str">
        <f>(IF((VLOOKUP(Table6[[#This Row],[SKU]],'All Skus'!$A:$AC,2,FALSE))="JBL",(VLOOKUP(Table6[[#This Row],[SKU]],'All Skus'!$A:$AC,23,FALSE)),""))</f>
        <v>Compliant</v>
      </c>
      <c r="V605" s="284" t="str">
        <f>HYPERLINK((IF((VLOOKUP(Table6[[#This Row],[SKU]],'All Skus'!$A:$AC,2,FALSE))="JBL",(VLOOKUP(Table6[[#This Row],[SKU]],'All Skus'!$A:$AC,24,FALSE)),"")))</f>
        <v/>
      </c>
      <c r="W605" s="151">
        <v>603</v>
      </c>
    </row>
    <row r="606" spans="1:23" ht="15" hidden="1" customHeight="1">
      <c r="A606" s="13" t="s">
        <v>1612</v>
      </c>
      <c r="B606" s="12" t="str">
        <f>(IF((VLOOKUP(Table6[[#This Row],[SKU]],'All Skus'!$A:$AC,2,FALSE))="JBL",(VLOOKUP(Table6[[#This Row],[SKU]],'All Skus'!$A:$AC,3,FALSE)),""))</f>
        <v>PD Series</v>
      </c>
      <c r="C606" s="12" t="str">
        <f>(IF((VLOOKUP(Table6[[#This Row],[SKU]],'All Skus'!$A:$AC,2,FALSE))="JBL",(VLOOKUP(Table6[[#This Row],[SKU]],'All Skus'!$A:$AC,4,FALSE)),""))</f>
        <v>PD6200/66</v>
      </c>
      <c r="D606" s="61">
        <f>(IF((VLOOKUP(Table6[[#This Row],[SKU]],'All Skus'!$A:$AC,2,FALSE))="JBL",(VLOOKUP(Table6[[#This Row],[SKU]],'All Skus'!$A:$AC,5,FALSE)),""))</f>
        <v>0</v>
      </c>
      <c r="E606" s="137" t="str">
        <f>(IF((VLOOKUP(Table6[[#This Row],[SKU]],'All Skus'!$A:$AC,2,FALSE))="JBL",(VLOOKUP(Table6[[#This Row],[SKU]],'All Skus'!$A:$AC,6,FALSE)),""))</f>
        <v>YES</v>
      </c>
      <c r="F606" s="61">
        <f>(IF((VLOOKUP(Table6[[#This Row],[SKU]],'All Skus'!$A:$AC,2,FALSE))="JBL",(VLOOKUP(Table6[[#This Row],[SKU]],'All Skus'!$A:$AC,7,FALSE)),""))</f>
        <v>0</v>
      </c>
      <c r="G606" t="str">
        <f>(IF((VLOOKUP(Table6[[#This Row],[SKU]],'All Skus'!$A:$AC,2,FALSE))="JBL",(VLOOKUP(Table6[[#This Row],[SKU]],'All Skus'!$A:$AC,8,FALSE)),""))</f>
        <v>Two-way mid-high horn-loaded loudspeaker</v>
      </c>
      <c r="H606" s="8" t="str">
        <f>(IF((VLOOKUP(Table6[[#This Row],[SKU]],'All Skus'!$A:$AC,2,FALSE))="JBL",(VLOOKUP(Table6[[#This Row],[SKU]],'All Skus'!$A:$AC,9,FALSE)),""))</f>
        <v>High Output Two-Way MID/HIGH Frequency Loudspeaker with  8" MF and 60° x  60° Coverage Pattern.  200 mm (8 in.) CMCD-82H™ Cone Midrange Compression Driver and Large Format 2431H Neodymium HF Driver.  200 Hz to 17 kHz Frequency Range.  991 x  673 x 706 mm.  (39 x 26.5 x 27.8 in),   58.8 kg (130 lbs).</v>
      </c>
      <c r="I606" s="101">
        <f>(IF((VLOOKUP(Table6[[#This Row],[SKU]],'All Skus'!$A:$AC,2,FALSE))="JBL",(VLOOKUP(Table6[[#This Row],[SKU]],'All Skus'!$A:$AC,10,FALSE)),""))</f>
        <v>4364</v>
      </c>
      <c r="J606" s="101">
        <f>(IF((VLOOKUP(Table6[[#This Row],[SKU]],'All Skus'!$A:$AC,2,FALSE))="JBL",(VLOOKUP(Table6[[#This Row],[SKU]],'All Skus'!$A:$AC,11,FALSE)),""))</f>
        <v>4364</v>
      </c>
      <c r="K606" s="102">
        <f>(IF((VLOOKUP(Table6[[#This Row],[SKU]],'All Skus'!$A:$AC,2,FALSE))="JBL",(VLOOKUP(Table6[[#This Row],[SKU]],'All Skus'!$A:$AC,13,FALSE)),""))</f>
        <v>0</v>
      </c>
      <c r="L606" s="102">
        <f>(IF((VLOOKUP(Table6[[#This Row],[SKU]],'All Skus'!$A:$AC,2,FALSE))="JBL",(VLOOKUP(Table6[[#This Row],[SKU]],'All Skus'!$A:$AC,14,FALSE)),""))</f>
        <v>0</v>
      </c>
      <c r="M606" s="143">
        <f>(IF((VLOOKUP(Table6[[#This Row],[SKU]],'All Skus'!$A:$AC,2,FALSE))="JBL",(VLOOKUP(Table6[[#This Row],[SKU]],'All Skus'!$A:$AC,15,FALSE)),""))</f>
        <v>0</v>
      </c>
      <c r="N606" s="137">
        <f>(IF((VLOOKUP(Table6[[#This Row],[SKU]],'All Skus'!$A:$AC,2,FALSE))="JBL",(VLOOKUP(Table6[[#This Row],[SKU]],'All Skus'!$A:$AC,16,FALSE)),""))</f>
        <v>691991014543</v>
      </c>
      <c r="O606" s="61">
        <f>(IF((VLOOKUP(Table6[[#This Row],[SKU]],'All Skus'!$A:$AC,2,FALSE))="JBL",(VLOOKUP(Table6[[#This Row],[SKU]],'All Skus'!$A:$AC,17,FALSE)),""))</f>
        <v>0</v>
      </c>
      <c r="P606" s="136">
        <f>(IF((VLOOKUP(Table6[[#This Row],[SKU]],'All Skus'!$A:$AC,2,FALSE))="JBL",(VLOOKUP(Table6[[#This Row],[SKU]],'All Skus'!$A:$AC,18,FALSE)),""))</f>
        <v>140</v>
      </c>
      <c r="Q606" s="136">
        <f>(IF((VLOOKUP(Table6[[#This Row],[SKU]],'All Skus'!$A:$AC,2,FALSE))="JBL",(VLOOKUP(Table6[[#This Row],[SKU]],'All Skus'!$A:$AC,19,FALSE)),""))</f>
        <v>32.5</v>
      </c>
      <c r="R606" s="136">
        <f>(IF((VLOOKUP(Table6[[#This Row],[SKU]],'All Skus'!$A:$AC,2,FALSE))="JBL",(VLOOKUP(Table6[[#This Row],[SKU]],'All Skus'!$A:$AC,20,FALSE)),""))</f>
        <v>31</v>
      </c>
      <c r="S606" s="61">
        <f>(IF((VLOOKUP(Table6[[#This Row],[SKU]],'All Skus'!$A:$AC,2,FALSE))="JBL",(VLOOKUP(Table6[[#This Row],[SKU]],'All Skus'!$A:$AC,21,FALSE)),""))</f>
        <v>41</v>
      </c>
      <c r="T606" s="61" t="str">
        <f>(IF((VLOOKUP(Table6[[#This Row],[SKU]],'All Skus'!$A:$AC,2,FALSE))="JBL",(VLOOKUP(Table6[[#This Row],[SKU]],'All Skus'!$A:$AC,22,FALSE)),""))</f>
        <v>MX</v>
      </c>
      <c r="U606" t="str">
        <f>(IF((VLOOKUP(Table6[[#This Row],[SKU]],'All Skus'!$A:$AC,2,FALSE))="JBL",(VLOOKUP(Table6[[#This Row],[SKU]],'All Skus'!$A:$AC,23,FALSE)),""))</f>
        <v>Compliant</v>
      </c>
      <c r="V606" s="284" t="str">
        <f>HYPERLINK((IF((VLOOKUP(Table6[[#This Row],[SKU]],'All Skus'!$A:$AC,2,FALSE))="JBL",(VLOOKUP(Table6[[#This Row],[SKU]],'All Skus'!$A:$AC,24,FALSE)),"")))</f>
        <v/>
      </c>
      <c r="W606" s="151">
        <v>604</v>
      </c>
    </row>
    <row r="607" spans="1:23" ht="15" hidden="1" customHeight="1">
      <c r="A607" s="13" t="s">
        <v>1613</v>
      </c>
      <c r="B607" s="12" t="str">
        <f>(IF((VLOOKUP(Table6[[#This Row],[SKU]],'All Skus'!$A:$AC,2,FALSE))="JBL",(VLOOKUP(Table6[[#This Row],[SKU]],'All Skus'!$A:$AC,3,FALSE)),""))</f>
        <v>PD Series</v>
      </c>
      <c r="C607" s="12" t="str">
        <f>(IF((VLOOKUP(Table6[[#This Row],[SKU]],'All Skus'!$A:$AC,2,FALSE))="JBL",(VLOOKUP(Table6[[#This Row],[SKU]],'All Skus'!$A:$AC,4,FALSE)),""))</f>
        <v>PD6200/66-WH</v>
      </c>
      <c r="D607" s="61" t="str">
        <f>(IF((VLOOKUP(Table6[[#This Row],[SKU]],'All Skus'!$A:$AC,2,FALSE))="JBL",(VLOOKUP(Table6[[#This Row],[SKU]],'All Skus'!$A:$AC,5,FALSE)),""))</f>
        <v>JBL051</v>
      </c>
      <c r="E607" s="137" t="str">
        <f>(IF((VLOOKUP(Table6[[#This Row],[SKU]],'All Skus'!$A:$AC,2,FALSE))="JBL",(VLOOKUP(Table6[[#This Row],[SKU]],'All Skus'!$A:$AC,6,FALSE)),""))</f>
        <v>YES</v>
      </c>
      <c r="F607" s="61">
        <f>(IF((VLOOKUP(Table6[[#This Row],[SKU]],'All Skus'!$A:$AC,2,FALSE))="JBL",(VLOOKUP(Table6[[#This Row],[SKU]],'All Skus'!$A:$AC,7,FALSE)),""))</f>
        <v>0</v>
      </c>
      <c r="G607" t="str">
        <f>(IF((VLOOKUP(Table6[[#This Row],[SKU]],'All Skus'!$A:$AC,2,FALSE))="JBL",(VLOOKUP(Table6[[#This Row],[SKU]],'All Skus'!$A:$AC,8,FALSE)),""))</f>
        <v>Two-way mid-high horn-loaded loudspeaker (white)</v>
      </c>
      <c r="H607" s="8" t="str">
        <f>(IF((VLOOKUP(Table6[[#This Row],[SKU]],'All Skus'!$A:$AC,2,FALSE))="JBL",(VLOOKUP(Table6[[#This Row],[SKU]],'All Skus'!$A:$AC,9,FALSE)),""))</f>
        <v>High Output Two-Way MID/HIGH Frequency Loudspeaker with  8" MF and 60° x  60° Coverage Pattern.  200 mm (8 in.) CMCD-82H™ Cone Midrange Compression Driver and Large Format 2431H Neodymium HF Driver.  200 Hz to 17 kHz Frequency Range.  991 x  673 x 706 mm.  (39 x 26.5 x 27.8 in),   58.8 kg (130 lbs).  White finish.</v>
      </c>
      <c r="I607" s="101">
        <f>(IF((VLOOKUP(Table6[[#This Row],[SKU]],'All Skus'!$A:$AC,2,FALSE))="JBL",(VLOOKUP(Table6[[#This Row],[SKU]],'All Skus'!$A:$AC,10,FALSE)),""))</f>
        <v>4364</v>
      </c>
      <c r="J607" s="101">
        <f>(IF((VLOOKUP(Table6[[#This Row],[SKU]],'All Skus'!$A:$AC,2,FALSE))="JBL",(VLOOKUP(Table6[[#This Row],[SKU]],'All Skus'!$A:$AC,11,FALSE)),""))</f>
        <v>4364</v>
      </c>
      <c r="K607" s="102">
        <f>(IF((VLOOKUP(Table6[[#This Row],[SKU]],'All Skus'!$A:$AC,2,FALSE))="JBL",(VLOOKUP(Table6[[#This Row],[SKU]],'All Skus'!$A:$AC,13,FALSE)),""))</f>
        <v>0</v>
      </c>
      <c r="L607" s="102">
        <f>(IF((VLOOKUP(Table6[[#This Row],[SKU]],'All Skus'!$A:$AC,2,FALSE))="JBL",(VLOOKUP(Table6[[#This Row],[SKU]],'All Skus'!$A:$AC,14,FALSE)),""))</f>
        <v>0</v>
      </c>
      <c r="M607" s="143">
        <f>(IF((VLOOKUP(Table6[[#This Row],[SKU]],'All Skus'!$A:$AC,2,FALSE))="JBL",(VLOOKUP(Table6[[#This Row],[SKU]],'All Skus'!$A:$AC,15,FALSE)),""))</f>
        <v>0</v>
      </c>
      <c r="N607" s="137">
        <f>(IF((VLOOKUP(Table6[[#This Row],[SKU]],'All Skus'!$A:$AC,2,FALSE))="JBL",(VLOOKUP(Table6[[#This Row],[SKU]],'All Skus'!$A:$AC,16,FALSE)),""))</f>
        <v>691991014550</v>
      </c>
      <c r="O607" s="61">
        <f>(IF((VLOOKUP(Table6[[#This Row],[SKU]],'All Skus'!$A:$AC,2,FALSE))="JBL",(VLOOKUP(Table6[[#This Row],[SKU]],'All Skus'!$A:$AC,17,FALSE)),""))</f>
        <v>0</v>
      </c>
      <c r="P607" s="136">
        <f>(IF((VLOOKUP(Table6[[#This Row],[SKU]],'All Skus'!$A:$AC,2,FALSE))="JBL",(VLOOKUP(Table6[[#This Row],[SKU]],'All Skus'!$A:$AC,18,FALSE)),""))</f>
        <v>140</v>
      </c>
      <c r="Q607" s="136">
        <f>(IF((VLOOKUP(Table6[[#This Row],[SKU]],'All Skus'!$A:$AC,2,FALSE))="JBL",(VLOOKUP(Table6[[#This Row],[SKU]],'All Skus'!$A:$AC,19,FALSE)),""))</f>
        <v>33</v>
      </c>
      <c r="R607" s="136">
        <f>(IF((VLOOKUP(Table6[[#This Row],[SKU]],'All Skus'!$A:$AC,2,FALSE))="JBL",(VLOOKUP(Table6[[#This Row],[SKU]],'All Skus'!$A:$AC,20,FALSE)),""))</f>
        <v>31</v>
      </c>
      <c r="S607" s="61">
        <f>(IF((VLOOKUP(Table6[[#This Row],[SKU]],'All Skus'!$A:$AC,2,FALSE))="JBL",(VLOOKUP(Table6[[#This Row],[SKU]],'All Skus'!$A:$AC,21,FALSE)),""))</f>
        <v>41.5</v>
      </c>
      <c r="T607" s="61" t="str">
        <f>(IF((VLOOKUP(Table6[[#This Row],[SKU]],'All Skus'!$A:$AC,2,FALSE))="JBL",(VLOOKUP(Table6[[#This Row],[SKU]],'All Skus'!$A:$AC,22,FALSE)),""))</f>
        <v>MX</v>
      </c>
      <c r="U607" t="str">
        <f>(IF((VLOOKUP(Table6[[#This Row],[SKU]],'All Skus'!$A:$AC,2,FALSE))="JBL",(VLOOKUP(Table6[[#This Row],[SKU]],'All Skus'!$A:$AC,23,FALSE)),""))</f>
        <v>Compliant</v>
      </c>
      <c r="V607" s="284" t="str">
        <f>HYPERLINK((IF((VLOOKUP(Table6[[#This Row],[SKU]],'All Skus'!$A:$AC,2,FALSE))="JBL",(VLOOKUP(Table6[[#This Row],[SKU]],'All Skus'!$A:$AC,24,FALSE)),"")))</f>
        <v/>
      </c>
      <c r="W607" s="151">
        <v>605</v>
      </c>
    </row>
    <row r="608" spans="1:23" ht="15" hidden="1" customHeight="1">
      <c r="A608" s="13" t="s">
        <v>1614</v>
      </c>
      <c r="B608" s="12" t="str">
        <f>(IF((VLOOKUP(Table6[[#This Row],[SKU]],'All Skus'!$A:$AC,2,FALSE))="JBL",(VLOOKUP(Table6[[#This Row],[SKU]],'All Skus'!$A:$AC,3,FALSE)),""))</f>
        <v>Custom Shop Item</v>
      </c>
      <c r="C608" s="12" t="str">
        <f>(IF((VLOOKUP(Table6[[#This Row],[SKU]],'All Skus'!$A:$AC,2,FALSE))="JBL",(VLOOKUP(Table6[[#This Row],[SKU]],'All Skus'!$A:$AC,4,FALSE)),""))</f>
        <v>PD6200/66-WRC</v>
      </c>
      <c r="D608" s="61" t="str">
        <f>(IF((VLOOKUP(Table6[[#This Row],[SKU]],'All Skus'!$A:$AC,2,FALSE))="JBL",(VLOOKUP(Table6[[#This Row],[SKU]],'All Skus'!$A:$AC,5,FALSE)),""))</f>
        <v>JBL050</v>
      </c>
      <c r="E608" s="137" t="str">
        <f>(IF((VLOOKUP(Table6[[#This Row],[SKU]],'All Skus'!$A:$AC,2,FALSE))="JBL",(VLOOKUP(Table6[[#This Row],[SKU]],'All Skus'!$A:$AC,6,FALSE)),""))</f>
        <v>YES</v>
      </c>
      <c r="F608" s="61">
        <f>(IF((VLOOKUP(Table6[[#This Row],[SKU]],'All Skus'!$A:$AC,2,FALSE))="JBL",(VLOOKUP(Table6[[#This Row],[SKU]],'All Skus'!$A:$AC,7,FALSE)),""))</f>
        <v>0</v>
      </c>
      <c r="G608" t="str">
        <f>(IF((VLOOKUP(Table6[[#This Row],[SKU]],'All Skus'!$A:$AC,2,FALSE))="JBL",(VLOOKUP(Table6[[#This Row],[SKU]],'All Skus'!$A:$AC,8,FALSE)),""))</f>
        <v>Two-way mid-high horn-loaded loudspeaker (Extreme Weather Protection Treatment)</v>
      </c>
      <c r="H608" s="8" t="str">
        <f>(IF((VLOOKUP(Table6[[#This Row],[SKU]],'All Skus'!$A:$AC,2,FALSE))="JBL",(VLOOKUP(Table6[[#This Row],[SKU]],'All Skus'!$A:$AC,9,FALSE)),""))</f>
        <v>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08" s="101" t="str">
        <f>(IF((VLOOKUP(Table6[[#This Row],[SKU]],'All Skus'!$A:$AC,2,FALSE))="JBL",(VLOOKUP(Table6[[#This Row],[SKU]],'All Skus'!$A:$AC,10,FALSE)),""))</f>
        <v>Please email CustomAudio@harman.com for quote</v>
      </c>
      <c r="J608" s="101">
        <f>(IF((VLOOKUP(Table6[[#This Row],[SKU]],'All Skus'!$A:$AC,2,FALSE))="JBL",(VLOOKUP(Table6[[#This Row],[SKU]],'All Skus'!$A:$AC,11,FALSE)),""))</f>
        <v>0</v>
      </c>
      <c r="K608" s="102">
        <f>(IF((VLOOKUP(Table6[[#This Row],[SKU]],'All Skus'!$A:$AC,2,FALSE))="JBL",(VLOOKUP(Table6[[#This Row],[SKU]],'All Skus'!$A:$AC,13,FALSE)),""))</f>
        <v>0</v>
      </c>
      <c r="L608" s="102">
        <f>(IF((VLOOKUP(Table6[[#This Row],[SKU]],'All Skus'!$A:$AC,2,FALSE))="JBL",(VLOOKUP(Table6[[#This Row],[SKU]],'All Skus'!$A:$AC,14,FALSE)),""))</f>
        <v>0</v>
      </c>
      <c r="M608" s="143">
        <f>(IF((VLOOKUP(Table6[[#This Row],[SKU]],'All Skus'!$A:$AC,2,FALSE))="JBL",(VLOOKUP(Table6[[#This Row],[SKU]],'All Skus'!$A:$AC,15,FALSE)),""))</f>
        <v>0</v>
      </c>
      <c r="N608" s="137">
        <f>(IF((VLOOKUP(Table6[[#This Row],[SKU]],'All Skus'!$A:$AC,2,FALSE))="JBL",(VLOOKUP(Table6[[#This Row],[SKU]],'All Skus'!$A:$AC,16,FALSE)),""))</f>
        <v>0</v>
      </c>
      <c r="O608" s="61">
        <f>(IF((VLOOKUP(Table6[[#This Row],[SKU]],'All Skus'!$A:$AC,2,FALSE))="JBL",(VLOOKUP(Table6[[#This Row],[SKU]],'All Skus'!$A:$AC,17,FALSE)),""))</f>
        <v>0</v>
      </c>
      <c r="P608" s="136">
        <f>(IF((VLOOKUP(Table6[[#This Row],[SKU]],'All Skus'!$A:$AC,2,FALSE))="JBL",(VLOOKUP(Table6[[#This Row],[SKU]],'All Skus'!$A:$AC,18,FALSE)),""))</f>
        <v>143</v>
      </c>
      <c r="Q608" s="136">
        <f>(IF((VLOOKUP(Table6[[#This Row],[SKU]],'All Skus'!$A:$AC,2,FALSE))="JBL",(VLOOKUP(Table6[[#This Row],[SKU]],'All Skus'!$A:$AC,19,FALSE)),""))</f>
        <v>31</v>
      </c>
      <c r="R608" s="136">
        <f>(IF((VLOOKUP(Table6[[#This Row],[SKU]],'All Skus'!$A:$AC,2,FALSE))="JBL",(VLOOKUP(Table6[[#This Row],[SKU]],'All Skus'!$A:$AC,20,FALSE)),""))</f>
        <v>32</v>
      </c>
      <c r="S608" s="61">
        <f>(IF((VLOOKUP(Table6[[#This Row],[SKU]],'All Skus'!$A:$AC,2,FALSE))="JBL",(VLOOKUP(Table6[[#This Row],[SKU]],'All Skus'!$A:$AC,21,FALSE)),""))</f>
        <v>41</v>
      </c>
      <c r="T608" s="61" t="str">
        <f>(IF((VLOOKUP(Table6[[#This Row],[SKU]],'All Skus'!$A:$AC,2,FALSE))="JBL",(VLOOKUP(Table6[[#This Row],[SKU]],'All Skus'!$A:$AC,22,FALSE)),""))</f>
        <v>MX</v>
      </c>
      <c r="U608" t="str">
        <f>(IF((VLOOKUP(Table6[[#This Row],[SKU]],'All Skus'!$A:$AC,2,FALSE))="JBL",(VLOOKUP(Table6[[#This Row],[SKU]],'All Skus'!$A:$AC,23,FALSE)),""))</f>
        <v>Compliant</v>
      </c>
      <c r="V608" s="284" t="str">
        <f>HYPERLINK((IF((VLOOKUP(Table6[[#This Row],[SKU]],'All Skus'!$A:$AC,2,FALSE))="JBL",(VLOOKUP(Table6[[#This Row],[SKU]],'All Skus'!$A:$AC,24,FALSE)),"")))</f>
        <v/>
      </c>
      <c r="W608" s="151">
        <v>606</v>
      </c>
    </row>
    <row r="609" spans="1:23" ht="15" hidden="1" customHeight="1">
      <c r="A609" s="13" t="s">
        <v>1615</v>
      </c>
      <c r="B609" s="12" t="str">
        <f>(IF((VLOOKUP(Table6[[#This Row],[SKU]],'All Skus'!$A:$AC,2,FALSE))="JBL",(VLOOKUP(Table6[[#This Row],[SKU]],'All Skus'!$A:$AC,3,FALSE)),""))</f>
        <v>Custom Shop Item</v>
      </c>
      <c r="C609" s="12" t="str">
        <f>(IF((VLOOKUP(Table6[[#This Row],[SKU]],'All Skus'!$A:$AC,2,FALSE))="JBL",(VLOOKUP(Table6[[#This Row],[SKU]],'All Skus'!$A:$AC,4,FALSE)),""))</f>
        <v>PD6200/66-WRX</v>
      </c>
      <c r="D609" s="61">
        <f>(IF((VLOOKUP(Table6[[#This Row],[SKU]],'All Skus'!$A:$AC,2,FALSE))="JBL",(VLOOKUP(Table6[[#This Row],[SKU]],'All Skus'!$A:$AC,5,FALSE)),""))</f>
        <v>0</v>
      </c>
      <c r="E609" s="137" t="str">
        <f>(IF((VLOOKUP(Table6[[#This Row],[SKU]],'All Skus'!$A:$AC,2,FALSE))="JBL",(VLOOKUP(Table6[[#This Row],[SKU]],'All Skus'!$A:$AC,6,FALSE)),""))</f>
        <v>YES</v>
      </c>
      <c r="F609" s="61">
        <f>(IF((VLOOKUP(Table6[[#This Row],[SKU]],'All Skus'!$A:$AC,2,FALSE))="JBL",(VLOOKUP(Table6[[#This Row],[SKU]],'All Skus'!$A:$AC,7,FALSE)),""))</f>
        <v>0</v>
      </c>
      <c r="G609" t="str">
        <f>(IF((VLOOKUP(Table6[[#This Row],[SKU]],'All Skus'!$A:$AC,2,FALSE))="JBL",(VLOOKUP(Table6[[#This Row],[SKU]],'All Skus'!$A:$AC,8,FALSE)),""))</f>
        <v>Two-way mid-high horn-loaded loudspeaker (Extreme Weather Protection Treatment)</v>
      </c>
      <c r="H609" s="8" t="str">
        <f>(IF((VLOOKUP(Table6[[#This Row],[SKU]],'All Skus'!$A:$AC,2,FALSE))="JBL",(VLOOKUP(Table6[[#This Row],[SKU]],'All Skus'!$A:$AC,9,FALSE)),""))</f>
        <v>High Output Two-Way MID/HIGH Frequency Loudspeaker with  8" MF and 60° x  60°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09" s="101" t="str">
        <f>(IF((VLOOKUP(Table6[[#This Row],[SKU]],'All Skus'!$A:$AC,2,FALSE))="JBL",(VLOOKUP(Table6[[#This Row],[SKU]],'All Skus'!$A:$AC,10,FALSE)),""))</f>
        <v>Please email CustomAudio@harman.com for quote</v>
      </c>
      <c r="J609" s="101">
        <f>(IF((VLOOKUP(Table6[[#This Row],[SKU]],'All Skus'!$A:$AC,2,FALSE))="JBL",(VLOOKUP(Table6[[#This Row],[SKU]],'All Skus'!$A:$AC,11,FALSE)),""))</f>
        <v>0</v>
      </c>
      <c r="K609" s="102">
        <f>(IF((VLOOKUP(Table6[[#This Row],[SKU]],'All Skus'!$A:$AC,2,FALSE))="JBL",(VLOOKUP(Table6[[#This Row],[SKU]],'All Skus'!$A:$AC,13,FALSE)),""))</f>
        <v>0</v>
      </c>
      <c r="L609" s="102">
        <f>(IF((VLOOKUP(Table6[[#This Row],[SKU]],'All Skus'!$A:$AC,2,FALSE))="JBL",(VLOOKUP(Table6[[#This Row],[SKU]],'All Skus'!$A:$AC,14,FALSE)),""))</f>
        <v>0</v>
      </c>
      <c r="M609" s="143">
        <f>(IF((VLOOKUP(Table6[[#This Row],[SKU]],'All Skus'!$A:$AC,2,FALSE))="JBL",(VLOOKUP(Table6[[#This Row],[SKU]],'All Skus'!$A:$AC,15,FALSE)),""))</f>
        <v>0</v>
      </c>
      <c r="N609" s="137">
        <f>(IF((VLOOKUP(Table6[[#This Row],[SKU]],'All Skus'!$A:$AC,2,FALSE))="JBL",(VLOOKUP(Table6[[#This Row],[SKU]],'All Skus'!$A:$AC,16,FALSE)),""))</f>
        <v>691991014567</v>
      </c>
      <c r="O609" s="61">
        <f>(IF((VLOOKUP(Table6[[#This Row],[SKU]],'All Skus'!$A:$AC,2,FALSE))="JBL",(VLOOKUP(Table6[[#This Row],[SKU]],'All Skus'!$A:$AC,17,FALSE)),""))</f>
        <v>0</v>
      </c>
      <c r="P609" s="136">
        <f>(IF((VLOOKUP(Table6[[#This Row],[SKU]],'All Skus'!$A:$AC,2,FALSE))="JBL",(VLOOKUP(Table6[[#This Row],[SKU]],'All Skus'!$A:$AC,18,FALSE)),""))</f>
        <v>0</v>
      </c>
      <c r="Q609" s="136">
        <f>(IF((VLOOKUP(Table6[[#This Row],[SKU]],'All Skus'!$A:$AC,2,FALSE))="JBL",(VLOOKUP(Table6[[#This Row],[SKU]],'All Skus'!$A:$AC,19,FALSE)),""))</f>
        <v>0</v>
      </c>
      <c r="R609" s="136">
        <f>(IF((VLOOKUP(Table6[[#This Row],[SKU]],'All Skus'!$A:$AC,2,FALSE))="JBL",(VLOOKUP(Table6[[#This Row],[SKU]],'All Skus'!$A:$AC,20,FALSE)),""))</f>
        <v>0</v>
      </c>
      <c r="S609" s="61">
        <f>(IF((VLOOKUP(Table6[[#This Row],[SKU]],'All Skus'!$A:$AC,2,FALSE))="JBL",(VLOOKUP(Table6[[#This Row],[SKU]],'All Skus'!$A:$AC,21,FALSE)),""))</f>
        <v>0</v>
      </c>
      <c r="T609" s="61" t="str">
        <f>(IF((VLOOKUP(Table6[[#This Row],[SKU]],'All Skus'!$A:$AC,2,FALSE))="JBL",(VLOOKUP(Table6[[#This Row],[SKU]],'All Skus'!$A:$AC,22,FALSE)),""))</f>
        <v>MX</v>
      </c>
      <c r="U609" t="str">
        <f>(IF((VLOOKUP(Table6[[#This Row],[SKU]],'All Skus'!$A:$AC,2,FALSE))="JBL",(VLOOKUP(Table6[[#This Row],[SKU]],'All Skus'!$A:$AC,23,FALSE)),""))</f>
        <v>Compliant</v>
      </c>
      <c r="V609" s="284" t="str">
        <f>HYPERLINK((IF((VLOOKUP(Table6[[#This Row],[SKU]],'All Skus'!$A:$AC,2,FALSE))="JBL",(VLOOKUP(Table6[[#This Row],[SKU]],'All Skus'!$A:$AC,24,FALSE)),"")))</f>
        <v/>
      </c>
      <c r="W609" s="151">
        <v>607</v>
      </c>
    </row>
    <row r="610" spans="1:23" ht="15" hidden="1" customHeight="1">
      <c r="A610" s="13" t="s">
        <v>1616</v>
      </c>
      <c r="B610" s="12" t="str">
        <f>(IF((VLOOKUP(Table6[[#This Row],[SKU]],'All Skus'!$A:$AC,2,FALSE))="JBL",(VLOOKUP(Table6[[#This Row],[SKU]],'All Skus'!$A:$AC,3,FALSE)),""))</f>
        <v>PD Series</v>
      </c>
      <c r="C610" s="12" t="str">
        <f>(IF((VLOOKUP(Table6[[#This Row],[SKU]],'All Skus'!$A:$AC,2,FALSE))="JBL",(VLOOKUP(Table6[[#This Row],[SKU]],'All Skus'!$A:$AC,4,FALSE)),""))</f>
        <v>PD6200/95</v>
      </c>
      <c r="D610" s="61" t="str">
        <f>(IF((VLOOKUP(Table6[[#This Row],[SKU]],'All Skus'!$A:$AC,2,FALSE))="JBL",(VLOOKUP(Table6[[#This Row],[SKU]],'All Skus'!$A:$AC,5,FALSE)),""))</f>
        <v>JBL051</v>
      </c>
      <c r="E610" s="137" t="str">
        <f>(IF((VLOOKUP(Table6[[#This Row],[SKU]],'All Skus'!$A:$AC,2,FALSE))="JBL",(VLOOKUP(Table6[[#This Row],[SKU]],'All Skus'!$A:$AC,6,FALSE)),""))</f>
        <v>YES</v>
      </c>
      <c r="F610" s="61">
        <f>(IF((VLOOKUP(Table6[[#This Row],[SKU]],'All Skus'!$A:$AC,2,FALSE))="JBL",(VLOOKUP(Table6[[#This Row],[SKU]],'All Skus'!$A:$AC,7,FALSE)),""))</f>
        <v>0</v>
      </c>
      <c r="G610" t="str">
        <f>(IF((VLOOKUP(Table6[[#This Row],[SKU]],'All Skus'!$A:$AC,2,FALSE))="JBL",(VLOOKUP(Table6[[#This Row],[SKU]],'All Skus'!$A:$AC,8,FALSE)),""))</f>
        <v>Two-way mid-high horn-loaded loudspeaker</v>
      </c>
      <c r="H610" s="8" t="str">
        <f>(IF((VLOOKUP(Table6[[#This Row],[SKU]],'All Skus'!$A:$AC,2,FALSE))="JBL",(VLOOKUP(Table6[[#This Row],[SKU]],'All Skus'!$A:$AC,9,FALSE)),""))</f>
        <v>High Output Two-Way MID/HIGH Frequency Loudspeaker with  8" MF and 90° x 50° Coverage Pattern.  200 mm (8 in.) CMCD-82H™ Cone Midrange Compression Driver and Large Format 2431H Neodymium HF Driver.  200 Hz to 17 kHz Frequency Range.  991 x  673 x 706 mm.  (39 x 26.5 x 27.8 in), 58.8 kg (130 lbs).</v>
      </c>
      <c r="I610" s="101">
        <f>(IF((VLOOKUP(Table6[[#This Row],[SKU]],'All Skus'!$A:$AC,2,FALSE))="JBL",(VLOOKUP(Table6[[#This Row],[SKU]],'All Skus'!$A:$AC,10,FALSE)),""))</f>
        <v>4364</v>
      </c>
      <c r="J610" s="101">
        <f>(IF((VLOOKUP(Table6[[#This Row],[SKU]],'All Skus'!$A:$AC,2,FALSE))="JBL",(VLOOKUP(Table6[[#This Row],[SKU]],'All Skus'!$A:$AC,11,FALSE)),""))</f>
        <v>4364</v>
      </c>
      <c r="K610" s="102">
        <f>(IF((VLOOKUP(Table6[[#This Row],[SKU]],'All Skus'!$A:$AC,2,FALSE))="JBL",(VLOOKUP(Table6[[#This Row],[SKU]],'All Skus'!$A:$AC,13,FALSE)),""))</f>
        <v>0</v>
      </c>
      <c r="L610" s="102">
        <f>(IF((VLOOKUP(Table6[[#This Row],[SKU]],'All Skus'!$A:$AC,2,FALSE))="JBL",(VLOOKUP(Table6[[#This Row],[SKU]],'All Skus'!$A:$AC,14,FALSE)),""))</f>
        <v>0</v>
      </c>
      <c r="M610" s="143">
        <f>(IF((VLOOKUP(Table6[[#This Row],[SKU]],'All Skus'!$A:$AC,2,FALSE))="JBL",(VLOOKUP(Table6[[#This Row],[SKU]],'All Skus'!$A:$AC,15,FALSE)),""))</f>
        <v>0</v>
      </c>
      <c r="N610" s="137">
        <f>(IF((VLOOKUP(Table6[[#This Row],[SKU]],'All Skus'!$A:$AC,2,FALSE))="JBL",(VLOOKUP(Table6[[#This Row],[SKU]],'All Skus'!$A:$AC,16,FALSE)),""))</f>
        <v>691991014574</v>
      </c>
      <c r="O610" s="61">
        <f>(IF((VLOOKUP(Table6[[#This Row],[SKU]],'All Skus'!$A:$AC,2,FALSE))="JBL",(VLOOKUP(Table6[[#This Row],[SKU]],'All Skus'!$A:$AC,17,FALSE)),""))</f>
        <v>0</v>
      </c>
      <c r="P610" s="136">
        <f>(IF((VLOOKUP(Table6[[#This Row],[SKU]],'All Skus'!$A:$AC,2,FALSE))="JBL",(VLOOKUP(Table6[[#This Row],[SKU]],'All Skus'!$A:$AC,18,FALSE)),""))</f>
        <v>100</v>
      </c>
      <c r="Q610" s="136">
        <f>(IF((VLOOKUP(Table6[[#This Row],[SKU]],'All Skus'!$A:$AC,2,FALSE))="JBL",(VLOOKUP(Table6[[#This Row],[SKU]],'All Skus'!$A:$AC,19,FALSE)),""))</f>
        <v>41</v>
      </c>
      <c r="R610" s="136">
        <f>(IF((VLOOKUP(Table6[[#This Row],[SKU]],'All Skus'!$A:$AC,2,FALSE))="JBL",(VLOOKUP(Table6[[#This Row],[SKU]],'All Skus'!$A:$AC,20,FALSE)),""))</f>
        <v>31</v>
      </c>
      <c r="S610" s="61">
        <f>(IF((VLOOKUP(Table6[[#This Row],[SKU]],'All Skus'!$A:$AC,2,FALSE))="JBL",(VLOOKUP(Table6[[#This Row],[SKU]],'All Skus'!$A:$AC,21,FALSE)),""))</f>
        <v>33</v>
      </c>
      <c r="T610" s="61" t="str">
        <f>(IF((VLOOKUP(Table6[[#This Row],[SKU]],'All Skus'!$A:$AC,2,FALSE))="JBL",(VLOOKUP(Table6[[#This Row],[SKU]],'All Skus'!$A:$AC,22,FALSE)),""))</f>
        <v>MX</v>
      </c>
      <c r="U610" t="str">
        <f>(IF((VLOOKUP(Table6[[#This Row],[SKU]],'All Skus'!$A:$AC,2,FALSE))="JBL",(VLOOKUP(Table6[[#This Row],[SKU]],'All Skus'!$A:$AC,23,FALSE)),""))</f>
        <v>Compliant</v>
      </c>
      <c r="V610" s="284" t="str">
        <f>HYPERLINK((IF((VLOOKUP(Table6[[#This Row],[SKU]],'All Skus'!$A:$AC,2,FALSE))="JBL",(VLOOKUP(Table6[[#This Row],[SKU]],'All Skus'!$A:$AC,24,FALSE)),"")))</f>
        <v/>
      </c>
      <c r="W610" s="151">
        <v>608</v>
      </c>
    </row>
    <row r="611" spans="1:23" ht="15" hidden="1" customHeight="1">
      <c r="A611" s="13" t="s">
        <v>1617</v>
      </c>
      <c r="B611" s="12" t="str">
        <f>(IF((VLOOKUP(Table6[[#This Row],[SKU]],'All Skus'!$A:$AC,2,FALSE))="JBL",(VLOOKUP(Table6[[#This Row],[SKU]],'All Skus'!$A:$AC,3,FALSE)),""))</f>
        <v>PD Series</v>
      </c>
      <c r="C611" s="12" t="str">
        <f>(IF((VLOOKUP(Table6[[#This Row],[SKU]],'All Skus'!$A:$AC,2,FALSE))="JBL",(VLOOKUP(Table6[[#This Row],[SKU]],'All Skus'!$A:$AC,4,FALSE)),""))</f>
        <v>PD6200/95-WH</v>
      </c>
      <c r="D611" s="61" t="str">
        <f>(IF((VLOOKUP(Table6[[#This Row],[SKU]],'All Skus'!$A:$AC,2,FALSE))="JBL",(VLOOKUP(Table6[[#This Row],[SKU]],'All Skus'!$A:$AC,5,FALSE)),""))</f>
        <v>JBL051</v>
      </c>
      <c r="E611" s="137" t="str">
        <f>(IF((VLOOKUP(Table6[[#This Row],[SKU]],'All Skus'!$A:$AC,2,FALSE))="JBL",(VLOOKUP(Table6[[#This Row],[SKU]],'All Skus'!$A:$AC,6,FALSE)),""))</f>
        <v>YES</v>
      </c>
      <c r="F611" s="61">
        <f>(IF((VLOOKUP(Table6[[#This Row],[SKU]],'All Skus'!$A:$AC,2,FALSE))="JBL",(VLOOKUP(Table6[[#This Row],[SKU]],'All Skus'!$A:$AC,7,FALSE)),""))</f>
        <v>0</v>
      </c>
      <c r="G611" t="str">
        <f>(IF((VLOOKUP(Table6[[#This Row],[SKU]],'All Skus'!$A:$AC,2,FALSE))="JBL",(VLOOKUP(Table6[[#This Row],[SKU]],'All Skus'!$A:$AC,8,FALSE)),""))</f>
        <v>Two-way mid-high horn-loaded loudspeaker (white)</v>
      </c>
      <c r="H611" s="8" t="str">
        <f>(IF((VLOOKUP(Table6[[#This Row],[SKU]],'All Skus'!$A:$AC,2,FALSE))="JBL",(VLOOKUP(Table6[[#This Row],[SKU]],'All Skus'!$A:$AC,9,FALSE)),""))</f>
        <v>High Output Two-Way MID/HIGH Frequency Loudspeaker with  8" MF and 90° x 50° Coverage Pattern.  200 mm (8 in.) CMCD-82H™ Cone Midrange Compression Driver and Large Format 2431H Neodymium HF Driver.  200 Hz to 17 kHz Frequency Range.  991 x  673 x 706 mm.  (39 x 26.5 x 27.8 in), 58.8 kg (130 lbs).  White finish.</v>
      </c>
      <c r="I611" s="101">
        <f>(IF((VLOOKUP(Table6[[#This Row],[SKU]],'All Skus'!$A:$AC,2,FALSE))="JBL",(VLOOKUP(Table6[[#This Row],[SKU]],'All Skus'!$A:$AC,10,FALSE)),""))</f>
        <v>4364</v>
      </c>
      <c r="J611" s="101">
        <f>(IF((VLOOKUP(Table6[[#This Row],[SKU]],'All Skus'!$A:$AC,2,FALSE))="JBL",(VLOOKUP(Table6[[#This Row],[SKU]],'All Skus'!$A:$AC,11,FALSE)),""))</f>
        <v>4364</v>
      </c>
      <c r="K611" s="102">
        <f>(IF((VLOOKUP(Table6[[#This Row],[SKU]],'All Skus'!$A:$AC,2,FALSE))="JBL",(VLOOKUP(Table6[[#This Row],[SKU]],'All Skus'!$A:$AC,13,FALSE)),""))</f>
        <v>0</v>
      </c>
      <c r="L611" s="102">
        <f>(IF((VLOOKUP(Table6[[#This Row],[SKU]],'All Skus'!$A:$AC,2,FALSE))="JBL",(VLOOKUP(Table6[[#This Row],[SKU]],'All Skus'!$A:$AC,14,FALSE)),""))</f>
        <v>0</v>
      </c>
      <c r="M611" s="143">
        <f>(IF((VLOOKUP(Table6[[#This Row],[SKU]],'All Skus'!$A:$AC,2,FALSE))="JBL",(VLOOKUP(Table6[[#This Row],[SKU]],'All Skus'!$A:$AC,15,FALSE)),""))</f>
        <v>0</v>
      </c>
      <c r="N611" s="137">
        <f>(IF((VLOOKUP(Table6[[#This Row],[SKU]],'All Skus'!$A:$AC,2,FALSE))="JBL",(VLOOKUP(Table6[[#This Row],[SKU]],'All Skus'!$A:$AC,16,FALSE)),""))</f>
        <v>691991014581</v>
      </c>
      <c r="O611" s="61">
        <f>(IF((VLOOKUP(Table6[[#This Row],[SKU]],'All Skus'!$A:$AC,2,FALSE))="JBL",(VLOOKUP(Table6[[#This Row],[SKU]],'All Skus'!$A:$AC,17,FALSE)),""))</f>
        <v>0</v>
      </c>
      <c r="P611" s="136">
        <f>(IF((VLOOKUP(Table6[[#This Row],[SKU]],'All Skus'!$A:$AC,2,FALSE))="JBL",(VLOOKUP(Table6[[#This Row],[SKU]],'All Skus'!$A:$AC,18,FALSE)),""))</f>
        <v>150</v>
      </c>
      <c r="Q611" s="136">
        <f>(IF((VLOOKUP(Table6[[#This Row],[SKU]],'All Skus'!$A:$AC,2,FALSE))="JBL",(VLOOKUP(Table6[[#This Row],[SKU]],'All Skus'!$A:$AC,19,FALSE)),""))</f>
        <v>33</v>
      </c>
      <c r="R611" s="136">
        <f>(IF((VLOOKUP(Table6[[#This Row],[SKU]],'All Skus'!$A:$AC,2,FALSE))="JBL",(VLOOKUP(Table6[[#This Row],[SKU]],'All Skus'!$A:$AC,20,FALSE)),""))</f>
        <v>31</v>
      </c>
      <c r="S611" s="61">
        <f>(IF((VLOOKUP(Table6[[#This Row],[SKU]],'All Skus'!$A:$AC,2,FALSE))="JBL",(VLOOKUP(Table6[[#This Row],[SKU]],'All Skus'!$A:$AC,21,FALSE)),""))</f>
        <v>41.5</v>
      </c>
      <c r="T611" s="61" t="str">
        <f>(IF((VLOOKUP(Table6[[#This Row],[SKU]],'All Skus'!$A:$AC,2,FALSE))="JBL",(VLOOKUP(Table6[[#This Row],[SKU]],'All Skus'!$A:$AC,22,FALSE)),""))</f>
        <v>MX</v>
      </c>
      <c r="U611" t="str">
        <f>(IF((VLOOKUP(Table6[[#This Row],[SKU]],'All Skus'!$A:$AC,2,FALSE))="JBL",(VLOOKUP(Table6[[#This Row],[SKU]],'All Skus'!$A:$AC,23,FALSE)),""))</f>
        <v>Compliant</v>
      </c>
      <c r="V611" s="284" t="str">
        <f>HYPERLINK((IF((VLOOKUP(Table6[[#This Row],[SKU]],'All Skus'!$A:$AC,2,FALSE))="JBL",(VLOOKUP(Table6[[#This Row],[SKU]],'All Skus'!$A:$AC,24,FALSE)),"")))</f>
        <v/>
      </c>
      <c r="W611" s="151">
        <v>609</v>
      </c>
    </row>
    <row r="612" spans="1:23" ht="15" hidden="1" customHeight="1">
      <c r="A612" s="13" t="s">
        <v>1618</v>
      </c>
      <c r="B612" s="12" t="str">
        <f>(IF((VLOOKUP(Table6[[#This Row],[SKU]],'All Skus'!$A:$AC,2,FALSE))="JBL",(VLOOKUP(Table6[[#This Row],[SKU]],'All Skus'!$A:$AC,3,FALSE)),""))</f>
        <v>Custom Shop Item</v>
      </c>
      <c r="C612" s="12" t="str">
        <f>(IF((VLOOKUP(Table6[[#This Row],[SKU]],'All Skus'!$A:$AC,2,FALSE))="JBL",(VLOOKUP(Table6[[#This Row],[SKU]],'All Skus'!$A:$AC,4,FALSE)),""))</f>
        <v>PD6200/95-WRC</v>
      </c>
      <c r="D612" s="61" t="str">
        <f>(IF((VLOOKUP(Table6[[#This Row],[SKU]],'All Skus'!$A:$AC,2,FALSE))="JBL",(VLOOKUP(Table6[[#This Row],[SKU]],'All Skus'!$A:$AC,5,FALSE)),""))</f>
        <v>JBL050</v>
      </c>
      <c r="E612" s="137" t="str">
        <f>(IF((VLOOKUP(Table6[[#This Row],[SKU]],'All Skus'!$A:$AC,2,FALSE))="JBL",(VLOOKUP(Table6[[#This Row],[SKU]],'All Skus'!$A:$AC,6,FALSE)),""))</f>
        <v>YES</v>
      </c>
      <c r="F612" s="61">
        <f>(IF((VLOOKUP(Table6[[#This Row],[SKU]],'All Skus'!$A:$AC,2,FALSE))="JBL",(VLOOKUP(Table6[[#This Row],[SKU]],'All Skus'!$A:$AC,7,FALSE)),""))</f>
        <v>0</v>
      </c>
      <c r="G612" t="str">
        <f>(IF((VLOOKUP(Table6[[#This Row],[SKU]],'All Skus'!$A:$AC,2,FALSE))="JBL",(VLOOKUP(Table6[[#This Row],[SKU]],'All Skus'!$A:$AC,8,FALSE)),""))</f>
        <v>Two-way mid-high horn-loaded loudspeaker ( Extreme Weather Protection Treatment)</v>
      </c>
      <c r="H612" s="8" t="str">
        <f>(IF((VLOOKUP(Table6[[#This Row],[SKU]],'All Skus'!$A:$AC,2,FALSE))="JBL",(VLOOKUP(Table6[[#This Row],[SKU]],'All Skus'!$A:$AC,9,FALSE)),""))</f>
        <v>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12" s="101" t="str">
        <f>(IF((VLOOKUP(Table6[[#This Row],[SKU]],'All Skus'!$A:$AC,2,FALSE))="JBL",(VLOOKUP(Table6[[#This Row],[SKU]],'All Skus'!$A:$AC,10,FALSE)),""))</f>
        <v>Please email CustomAudio@harman.com for quote</v>
      </c>
      <c r="J612" s="101">
        <f>(IF((VLOOKUP(Table6[[#This Row],[SKU]],'All Skus'!$A:$AC,2,FALSE))="JBL",(VLOOKUP(Table6[[#This Row],[SKU]],'All Skus'!$A:$AC,11,FALSE)),""))</f>
        <v>0</v>
      </c>
      <c r="K612" s="102">
        <f>(IF((VLOOKUP(Table6[[#This Row],[SKU]],'All Skus'!$A:$AC,2,FALSE))="JBL",(VLOOKUP(Table6[[#This Row],[SKU]],'All Skus'!$A:$AC,13,FALSE)),""))</f>
        <v>0</v>
      </c>
      <c r="L612" s="102">
        <f>(IF((VLOOKUP(Table6[[#This Row],[SKU]],'All Skus'!$A:$AC,2,FALSE))="JBL",(VLOOKUP(Table6[[#This Row],[SKU]],'All Skus'!$A:$AC,14,FALSE)),""))</f>
        <v>0</v>
      </c>
      <c r="M612" s="143">
        <f>(IF((VLOOKUP(Table6[[#This Row],[SKU]],'All Skus'!$A:$AC,2,FALSE))="JBL",(VLOOKUP(Table6[[#This Row],[SKU]],'All Skus'!$A:$AC,15,FALSE)),""))</f>
        <v>0</v>
      </c>
      <c r="N612" s="137">
        <f>(IF((VLOOKUP(Table6[[#This Row],[SKU]],'All Skus'!$A:$AC,2,FALSE))="JBL",(VLOOKUP(Table6[[#This Row],[SKU]],'All Skus'!$A:$AC,16,FALSE)),""))</f>
        <v>691991037191</v>
      </c>
      <c r="O612" s="61">
        <f>(IF((VLOOKUP(Table6[[#This Row],[SKU]],'All Skus'!$A:$AC,2,FALSE))="JBL",(VLOOKUP(Table6[[#This Row],[SKU]],'All Skus'!$A:$AC,17,FALSE)),""))</f>
        <v>0</v>
      </c>
      <c r="P612" s="136">
        <f>(IF((VLOOKUP(Table6[[#This Row],[SKU]],'All Skus'!$A:$AC,2,FALSE))="JBL",(VLOOKUP(Table6[[#This Row],[SKU]],'All Skus'!$A:$AC,18,FALSE)),""))</f>
        <v>125.5</v>
      </c>
      <c r="Q612" s="136">
        <f>(IF((VLOOKUP(Table6[[#This Row],[SKU]],'All Skus'!$A:$AC,2,FALSE))="JBL",(VLOOKUP(Table6[[#This Row],[SKU]],'All Skus'!$A:$AC,19,FALSE)),""))</f>
        <v>32.75</v>
      </c>
      <c r="R612" s="136">
        <f>(IF((VLOOKUP(Table6[[#This Row],[SKU]],'All Skus'!$A:$AC,2,FALSE))="JBL",(VLOOKUP(Table6[[#This Row],[SKU]],'All Skus'!$A:$AC,20,FALSE)),""))</f>
        <v>31.25</v>
      </c>
      <c r="S612" s="61">
        <f>(IF((VLOOKUP(Table6[[#This Row],[SKU]],'All Skus'!$A:$AC,2,FALSE))="JBL",(VLOOKUP(Table6[[#This Row],[SKU]],'All Skus'!$A:$AC,21,FALSE)),""))</f>
        <v>31.5</v>
      </c>
      <c r="T612" s="61" t="str">
        <f>(IF((VLOOKUP(Table6[[#This Row],[SKU]],'All Skus'!$A:$AC,2,FALSE))="JBL",(VLOOKUP(Table6[[#This Row],[SKU]],'All Skus'!$A:$AC,22,FALSE)),""))</f>
        <v>MX</v>
      </c>
      <c r="U612" t="str">
        <f>(IF((VLOOKUP(Table6[[#This Row],[SKU]],'All Skus'!$A:$AC,2,FALSE))="JBL",(VLOOKUP(Table6[[#This Row],[SKU]],'All Skus'!$A:$AC,23,FALSE)),""))</f>
        <v>Compliant</v>
      </c>
      <c r="V612" s="284" t="str">
        <f>HYPERLINK((IF((VLOOKUP(Table6[[#This Row],[SKU]],'All Skus'!$A:$AC,2,FALSE))="JBL",(VLOOKUP(Table6[[#This Row],[SKU]],'All Skus'!$A:$AC,24,FALSE)),"")))</f>
        <v/>
      </c>
      <c r="W612" s="151">
        <v>610</v>
      </c>
    </row>
    <row r="613" spans="1:23" ht="15" hidden="1" customHeight="1">
      <c r="A613" s="13" t="s">
        <v>1619</v>
      </c>
      <c r="B613" s="12" t="str">
        <f>(IF((VLOOKUP(Table6[[#This Row],[SKU]],'All Skus'!$A:$AC,2,FALSE))="JBL",(VLOOKUP(Table6[[#This Row],[SKU]],'All Skus'!$A:$AC,3,FALSE)),""))</f>
        <v>Custom Shop Item</v>
      </c>
      <c r="C613" s="12" t="str">
        <f>(IF((VLOOKUP(Table6[[#This Row],[SKU]],'All Skus'!$A:$AC,2,FALSE))="JBL",(VLOOKUP(Table6[[#This Row],[SKU]],'All Skus'!$A:$AC,4,FALSE)),""))</f>
        <v>PD6200/95-WRX</v>
      </c>
      <c r="D613" s="61">
        <f>(IF((VLOOKUP(Table6[[#This Row],[SKU]],'All Skus'!$A:$AC,2,FALSE))="JBL",(VLOOKUP(Table6[[#This Row],[SKU]],'All Skus'!$A:$AC,5,FALSE)),""))</f>
        <v>0</v>
      </c>
      <c r="E613" s="137" t="str">
        <f>(IF((VLOOKUP(Table6[[#This Row],[SKU]],'All Skus'!$A:$AC,2,FALSE))="JBL",(VLOOKUP(Table6[[#This Row],[SKU]],'All Skus'!$A:$AC,6,FALSE)),""))</f>
        <v>YES</v>
      </c>
      <c r="F613" s="61">
        <f>(IF((VLOOKUP(Table6[[#This Row],[SKU]],'All Skus'!$A:$AC,2,FALSE))="JBL",(VLOOKUP(Table6[[#This Row],[SKU]],'All Skus'!$A:$AC,7,FALSE)),""))</f>
        <v>0</v>
      </c>
      <c r="G613" t="str">
        <f>(IF((VLOOKUP(Table6[[#This Row],[SKU]],'All Skus'!$A:$AC,2,FALSE))="JBL",(VLOOKUP(Table6[[#This Row],[SKU]],'All Skus'!$A:$AC,8,FALSE)),""))</f>
        <v>Two-way mid-high horn-loaded loudspeaker ( Extreme Weather Protection Treatment)</v>
      </c>
      <c r="H613" s="8" t="str">
        <f>(IF((VLOOKUP(Table6[[#This Row],[SKU]],'All Skus'!$A:$AC,2,FALSE))="JBL",(VLOOKUP(Table6[[#This Row],[SKU]],'All Skus'!$A:$AC,9,FALSE)),""))</f>
        <v>High Output Two-Way MID/HIGH Frequency Loudspeaker with  8" MF and 90° x 50° Coverage Pattern.  200 mm (8 in.) CMCD-82H™ Cone Midrange Compression Driver and Large Format 2431H Neodymium HF Driver.  200 Hz to 17 kHz Frequency Range.  991 x  673 x 706 mm.  (39 x 26.5 x 27.8 in), 58.8 kg (130 lbs).  With Extreme Weather Protection Treatment. Refer to WEATHER RESISTANT Configurations for AE, PD &amp; VLA Series document for details regarding WRC/WRX models. Standard color is GRAY. Available in Black (-BK) &amp; White (-WH).</v>
      </c>
      <c r="I613" s="101" t="str">
        <f>(IF((VLOOKUP(Table6[[#This Row],[SKU]],'All Skus'!$A:$AC,2,FALSE))="JBL",(VLOOKUP(Table6[[#This Row],[SKU]],'All Skus'!$A:$AC,10,FALSE)),""))</f>
        <v>Please email CustomAudio@harman.com for quote</v>
      </c>
      <c r="J613" s="101">
        <f>(IF((VLOOKUP(Table6[[#This Row],[SKU]],'All Skus'!$A:$AC,2,FALSE))="JBL",(VLOOKUP(Table6[[#This Row],[SKU]],'All Skus'!$A:$AC,11,FALSE)),""))</f>
        <v>0</v>
      </c>
      <c r="K613" s="102">
        <f>(IF((VLOOKUP(Table6[[#This Row],[SKU]],'All Skus'!$A:$AC,2,FALSE))="JBL",(VLOOKUP(Table6[[#This Row],[SKU]],'All Skus'!$A:$AC,13,FALSE)),""))</f>
        <v>0</v>
      </c>
      <c r="L613" s="102">
        <f>(IF((VLOOKUP(Table6[[#This Row],[SKU]],'All Skus'!$A:$AC,2,FALSE))="JBL",(VLOOKUP(Table6[[#This Row],[SKU]],'All Skus'!$A:$AC,14,FALSE)),""))</f>
        <v>0</v>
      </c>
      <c r="M613" s="143">
        <f>(IF((VLOOKUP(Table6[[#This Row],[SKU]],'All Skus'!$A:$AC,2,FALSE))="JBL",(VLOOKUP(Table6[[#This Row],[SKU]],'All Skus'!$A:$AC,15,FALSE)),""))</f>
        <v>0</v>
      </c>
      <c r="N613" s="137">
        <f>(IF((VLOOKUP(Table6[[#This Row],[SKU]],'All Skus'!$A:$AC,2,FALSE))="JBL",(VLOOKUP(Table6[[#This Row],[SKU]],'All Skus'!$A:$AC,16,FALSE)),""))</f>
        <v>691991014598</v>
      </c>
      <c r="O613" s="61">
        <f>(IF((VLOOKUP(Table6[[#This Row],[SKU]],'All Skus'!$A:$AC,2,FALSE))="JBL",(VLOOKUP(Table6[[#This Row],[SKU]],'All Skus'!$A:$AC,17,FALSE)),""))</f>
        <v>0</v>
      </c>
      <c r="P613" s="136">
        <f>(IF((VLOOKUP(Table6[[#This Row],[SKU]],'All Skus'!$A:$AC,2,FALSE))="JBL",(VLOOKUP(Table6[[#This Row],[SKU]],'All Skus'!$A:$AC,18,FALSE)),""))</f>
        <v>0</v>
      </c>
      <c r="Q613" s="136">
        <f>(IF((VLOOKUP(Table6[[#This Row],[SKU]],'All Skus'!$A:$AC,2,FALSE))="JBL",(VLOOKUP(Table6[[#This Row],[SKU]],'All Skus'!$A:$AC,19,FALSE)),""))</f>
        <v>0</v>
      </c>
      <c r="R613" s="136">
        <f>(IF((VLOOKUP(Table6[[#This Row],[SKU]],'All Skus'!$A:$AC,2,FALSE))="JBL",(VLOOKUP(Table6[[#This Row],[SKU]],'All Skus'!$A:$AC,20,FALSE)),""))</f>
        <v>0</v>
      </c>
      <c r="S613" s="61">
        <f>(IF((VLOOKUP(Table6[[#This Row],[SKU]],'All Skus'!$A:$AC,2,FALSE))="JBL",(VLOOKUP(Table6[[#This Row],[SKU]],'All Skus'!$A:$AC,21,FALSE)),""))</f>
        <v>0</v>
      </c>
      <c r="T613" s="61" t="str">
        <f>(IF((VLOOKUP(Table6[[#This Row],[SKU]],'All Skus'!$A:$AC,2,FALSE))="JBL",(VLOOKUP(Table6[[#This Row],[SKU]],'All Skus'!$A:$AC,22,FALSE)),""))</f>
        <v>MX</v>
      </c>
      <c r="U613" t="str">
        <f>(IF((VLOOKUP(Table6[[#This Row],[SKU]],'All Skus'!$A:$AC,2,FALSE))="JBL",(VLOOKUP(Table6[[#This Row],[SKU]],'All Skus'!$A:$AC,23,FALSE)),""))</f>
        <v>Compliant</v>
      </c>
      <c r="V613" s="284" t="str">
        <f>HYPERLINK((IF((VLOOKUP(Table6[[#This Row],[SKU]],'All Skus'!$A:$AC,2,FALSE))="JBL",(VLOOKUP(Table6[[#This Row],[SKU]],'All Skus'!$A:$AC,24,FALSE)),"")))</f>
        <v/>
      </c>
      <c r="W613" s="151">
        <v>611</v>
      </c>
    </row>
    <row r="614" spans="1:23" ht="15" hidden="1" customHeight="1">
      <c r="A614" s="13" t="s">
        <v>1620</v>
      </c>
      <c r="B614" s="12" t="str">
        <f>(IF((VLOOKUP(Table6[[#This Row],[SKU]],'All Skus'!$A:$AC,2,FALSE))="JBL",(VLOOKUP(Table6[[#This Row],[SKU]],'All Skus'!$A:$AC,3,FALSE)),""))</f>
        <v>PD Series</v>
      </c>
      <c r="C614" s="12" t="str">
        <f>(IF((VLOOKUP(Table6[[#This Row],[SKU]],'All Skus'!$A:$AC,2,FALSE))="JBL",(VLOOKUP(Table6[[#This Row],[SKU]],'All Skus'!$A:$AC,4,FALSE)),""))</f>
        <v>PD6212/43</v>
      </c>
      <c r="D614" s="61" t="str">
        <f>(IF((VLOOKUP(Table6[[#This Row],[SKU]],'All Skus'!$A:$AC,2,FALSE))="JBL",(VLOOKUP(Table6[[#This Row],[SKU]],'All Skus'!$A:$AC,5,FALSE)),""))</f>
        <v>JBL051</v>
      </c>
      <c r="E614" s="137" t="str">
        <f>(IF((VLOOKUP(Table6[[#This Row],[SKU]],'All Skus'!$A:$AC,2,FALSE))="JBL",(VLOOKUP(Table6[[#This Row],[SKU]],'All Skus'!$A:$AC,6,FALSE)),""))</f>
        <v>YES</v>
      </c>
      <c r="F614" s="61">
        <f>(IF((VLOOKUP(Table6[[#This Row],[SKU]],'All Skus'!$A:$AC,2,FALSE))="JBL",(VLOOKUP(Table6[[#This Row],[SKU]],'All Skus'!$A:$AC,7,FALSE)),""))</f>
        <v>0</v>
      </c>
      <c r="G614" t="str">
        <f>(IF((VLOOKUP(Table6[[#This Row],[SKU]],'All Skus'!$A:$AC,2,FALSE))="JBL",(VLOOKUP(Table6[[#This Row],[SKU]],'All Skus'!$A:$AC,8,FALSE)),""))</f>
        <v>12" two-way horn-loaded loudspeaker</v>
      </c>
      <c r="H614" s="8" t="str">
        <f>(IF((VLOOKUP(Table6[[#This Row],[SKU]],'All Skus'!$A:$AC,2,FALSE))="JBL",(VLOOKUP(Table6[[#This Row],[SKU]],'All Skus'!$A:$AC,9,FALSE)),""))</f>
        <v>High Sensitivity Two-Way FULL-RANGE Loudspeaker with Horn Loaded 12" LF and 40° x  30° Coverage Pattern.  300 mm (12 in.) M222- 8A Horn-loaded LF and Large Format 2451H-1 Neodymium HF Driver. 80 Hz to 18 kHz Frequency Range.      991 x  673 x 897 mm.  (39 x 26.5 x 35.3 in),  79.5 kg (175 lbs).</v>
      </c>
      <c r="I614" s="101">
        <f>(IF((VLOOKUP(Table6[[#This Row],[SKU]],'All Skus'!$A:$AC,2,FALSE))="JBL",(VLOOKUP(Table6[[#This Row],[SKU]],'All Skus'!$A:$AC,10,FALSE)),""))</f>
        <v>6840</v>
      </c>
      <c r="J614" s="101">
        <f>(IF((VLOOKUP(Table6[[#This Row],[SKU]],'All Skus'!$A:$AC,2,FALSE))="JBL",(VLOOKUP(Table6[[#This Row],[SKU]],'All Skus'!$A:$AC,11,FALSE)),""))</f>
        <v>6840</v>
      </c>
      <c r="K614" s="102">
        <f>(IF((VLOOKUP(Table6[[#This Row],[SKU]],'All Skus'!$A:$AC,2,FALSE))="JBL",(VLOOKUP(Table6[[#This Row],[SKU]],'All Skus'!$A:$AC,13,FALSE)),""))</f>
        <v>0</v>
      </c>
      <c r="L614" s="102">
        <f>(IF((VLOOKUP(Table6[[#This Row],[SKU]],'All Skus'!$A:$AC,2,FALSE))="JBL",(VLOOKUP(Table6[[#This Row],[SKU]],'All Skus'!$A:$AC,14,FALSE)),""))</f>
        <v>0</v>
      </c>
      <c r="M614" s="143">
        <f>(IF((VLOOKUP(Table6[[#This Row],[SKU]],'All Skus'!$A:$AC,2,FALSE))="JBL",(VLOOKUP(Table6[[#This Row],[SKU]],'All Skus'!$A:$AC,15,FALSE)),""))</f>
        <v>0</v>
      </c>
      <c r="N614" s="137">
        <f>(IF((VLOOKUP(Table6[[#This Row],[SKU]],'All Skus'!$A:$AC,2,FALSE))="JBL",(VLOOKUP(Table6[[#This Row],[SKU]],'All Skus'!$A:$AC,16,FALSE)),""))</f>
        <v>691991014604</v>
      </c>
      <c r="O614" s="61">
        <f>(IF((VLOOKUP(Table6[[#This Row],[SKU]],'All Skus'!$A:$AC,2,FALSE))="JBL",(VLOOKUP(Table6[[#This Row],[SKU]],'All Skus'!$A:$AC,17,FALSE)),""))</f>
        <v>0</v>
      </c>
      <c r="P614" s="136">
        <f>(IF((VLOOKUP(Table6[[#This Row],[SKU]],'All Skus'!$A:$AC,2,FALSE))="JBL",(VLOOKUP(Table6[[#This Row],[SKU]],'All Skus'!$A:$AC,18,FALSE)),""))</f>
        <v>150</v>
      </c>
      <c r="Q614" s="136">
        <f>(IF((VLOOKUP(Table6[[#This Row],[SKU]],'All Skus'!$A:$AC,2,FALSE))="JBL",(VLOOKUP(Table6[[#This Row],[SKU]],'All Skus'!$A:$AC,19,FALSE)),""))</f>
        <v>31</v>
      </c>
      <c r="R614" s="136">
        <f>(IF((VLOOKUP(Table6[[#This Row],[SKU]],'All Skus'!$A:$AC,2,FALSE))="JBL",(VLOOKUP(Table6[[#This Row],[SKU]],'All Skus'!$A:$AC,20,FALSE)),""))</f>
        <v>40</v>
      </c>
      <c r="S614" s="61">
        <f>(IF((VLOOKUP(Table6[[#This Row],[SKU]],'All Skus'!$A:$AC,2,FALSE))="JBL",(VLOOKUP(Table6[[#This Row],[SKU]],'All Skus'!$A:$AC,21,FALSE)),""))</f>
        <v>42</v>
      </c>
      <c r="T614" s="61" t="str">
        <f>(IF((VLOOKUP(Table6[[#This Row],[SKU]],'All Skus'!$A:$AC,2,FALSE))="JBL",(VLOOKUP(Table6[[#This Row],[SKU]],'All Skus'!$A:$AC,22,FALSE)),""))</f>
        <v>MX</v>
      </c>
      <c r="U614" t="str">
        <f>(IF((VLOOKUP(Table6[[#This Row],[SKU]],'All Skus'!$A:$AC,2,FALSE))="JBL",(VLOOKUP(Table6[[#This Row],[SKU]],'All Skus'!$A:$AC,23,FALSE)),""))</f>
        <v>Compliant</v>
      </c>
      <c r="V614" s="284" t="str">
        <f>HYPERLINK((IF((VLOOKUP(Table6[[#This Row],[SKU]],'All Skus'!$A:$AC,2,FALSE))="JBL",(VLOOKUP(Table6[[#This Row],[SKU]],'All Skus'!$A:$AC,24,FALSE)),"")))</f>
        <v/>
      </c>
      <c r="W614" s="151">
        <v>612</v>
      </c>
    </row>
    <row r="615" spans="1:23" ht="15" hidden="1" customHeight="1">
      <c r="A615" s="13" t="s">
        <v>1621</v>
      </c>
      <c r="B615" s="12" t="str">
        <f>(IF((VLOOKUP(Table6[[#This Row],[SKU]],'All Skus'!$A:$AC,2,FALSE))="JBL",(VLOOKUP(Table6[[#This Row],[SKU]],'All Skus'!$A:$AC,3,FALSE)),""))</f>
        <v>PD Series</v>
      </c>
      <c r="C615" s="12" t="str">
        <f>(IF((VLOOKUP(Table6[[#This Row],[SKU]],'All Skus'!$A:$AC,2,FALSE))="JBL",(VLOOKUP(Table6[[#This Row],[SKU]],'All Skus'!$A:$AC,4,FALSE)),""))</f>
        <v>PD6212/43-WH</v>
      </c>
      <c r="D615" s="61" t="str">
        <f>(IF((VLOOKUP(Table6[[#This Row],[SKU]],'All Skus'!$A:$AC,2,FALSE))="JBL",(VLOOKUP(Table6[[#This Row],[SKU]],'All Skus'!$A:$AC,5,FALSE)),""))</f>
        <v>JBL051</v>
      </c>
      <c r="E615" s="137" t="str">
        <f>(IF((VLOOKUP(Table6[[#This Row],[SKU]],'All Skus'!$A:$AC,2,FALSE))="JBL",(VLOOKUP(Table6[[#This Row],[SKU]],'All Skus'!$A:$AC,6,FALSE)),""))</f>
        <v>YES</v>
      </c>
      <c r="F615" s="61">
        <f>(IF((VLOOKUP(Table6[[#This Row],[SKU]],'All Skus'!$A:$AC,2,FALSE))="JBL",(VLOOKUP(Table6[[#This Row],[SKU]],'All Skus'!$A:$AC,7,FALSE)),""))</f>
        <v>0</v>
      </c>
      <c r="G615" t="str">
        <f>(IF((VLOOKUP(Table6[[#This Row],[SKU]],'All Skus'!$A:$AC,2,FALSE))="JBL",(VLOOKUP(Table6[[#This Row],[SKU]],'All Skus'!$A:$AC,8,FALSE)),""))</f>
        <v>12" two-way horn-loaded loudspeaker (white)</v>
      </c>
      <c r="H615" s="8" t="str">
        <f>(IF((VLOOKUP(Table6[[#This Row],[SKU]],'All Skus'!$A:$AC,2,FALSE))="JBL",(VLOOKUP(Table6[[#This Row],[SKU]],'All Skus'!$A:$AC,9,FALSE)),""))</f>
        <v>High Sensitivity Two-Way FULL-RANGE Loudspeaker with Horn Loaded 12" LF and 40° x  30° Coverage Pattern.  300 mm (12 in.) M222- 8A Horn-loaded LF and Large Format 2451H-1 Neodymium HF Driver. 80 Hz to 18 kHz Frequency Range.      991 x  673 x 897 mm.  (39 x 26.5 x 35.3 in),  79.5 kg (175 lbs).  White finish.</v>
      </c>
      <c r="I615" s="101">
        <f>(IF((VLOOKUP(Table6[[#This Row],[SKU]],'All Skus'!$A:$AC,2,FALSE))="JBL",(VLOOKUP(Table6[[#This Row],[SKU]],'All Skus'!$A:$AC,10,FALSE)),""))</f>
        <v>6840</v>
      </c>
      <c r="J615" s="101">
        <f>(IF((VLOOKUP(Table6[[#This Row],[SKU]],'All Skus'!$A:$AC,2,FALSE))="JBL",(VLOOKUP(Table6[[#This Row],[SKU]],'All Skus'!$A:$AC,11,FALSE)),""))</f>
        <v>6840</v>
      </c>
      <c r="K615" s="102">
        <f>(IF((VLOOKUP(Table6[[#This Row],[SKU]],'All Skus'!$A:$AC,2,FALSE))="JBL",(VLOOKUP(Table6[[#This Row],[SKU]],'All Skus'!$A:$AC,13,FALSE)),""))</f>
        <v>0</v>
      </c>
      <c r="L615" s="102">
        <f>(IF((VLOOKUP(Table6[[#This Row],[SKU]],'All Skus'!$A:$AC,2,FALSE))="JBL",(VLOOKUP(Table6[[#This Row],[SKU]],'All Skus'!$A:$AC,14,FALSE)),""))</f>
        <v>0</v>
      </c>
      <c r="M615" s="143">
        <f>(IF((VLOOKUP(Table6[[#This Row],[SKU]],'All Skus'!$A:$AC,2,FALSE))="JBL",(VLOOKUP(Table6[[#This Row],[SKU]],'All Skus'!$A:$AC,15,FALSE)),""))</f>
        <v>0</v>
      </c>
      <c r="N615" s="137">
        <f>(IF((VLOOKUP(Table6[[#This Row],[SKU]],'All Skus'!$A:$AC,2,FALSE))="JBL",(VLOOKUP(Table6[[#This Row],[SKU]],'All Skus'!$A:$AC,16,FALSE)),""))</f>
        <v>691991014611</v>
      </c>
      <c r="O615" s="61">
        <f>(IF((VLOOKUP(Table6[[#This Row],[SKU]],'All Skus'!$A:$AC,2,FALSE))="JBL",(VLOOKUP(Table6[[#This Row],[SKU]],'All Skus'!$A:$AC,17,FALSE)),""))</f>
        <v>0</v>
      </c>
      <c r="P615" s="136">
        <f>(IF((VLOOKUP(Table6[[#This Row],[SKU]],'All Skus'!$A:$AC,2,FALSE))="JBL",(VLOOKUP(Table6[[#This Row],[SKU]],'All Skus'!$A:$AC,18,FALSE)),""))</f>
        <v>0</v>
      </c>
      <c r="Q615" s="136">
        <f>(IF((VLOOKUP(Table6[[#This Row],[SKU]],'All Skus'!$A:$AC,2,FALSE))="JBL",(VLOOKUP(Table6[[#This Row],[SKU]],'All Skus'!$A:$AC,19,FALSE)),""))</f>
        <v>0</v>
      </c>
      <c r="R615" s="136">
        <f>(IF((VLOOKUP(Table6[[#This Row],[SKU]],'All Skus'!$A:$AC,2,FALSE))="JBL",(VLOOKUP(Table6[[#This Row],[SKU]],'All Skus'!$A:$AC,20,FALSE)),""))</f>
        <v>0</v>
      </c>
      <c r="S615" s="61">
        <f>(IF((VLOOKUP(Table6[[#This Row],[SKU]],'All Skus'!$A:$AC,2,FALSE))="JBL",(VLOOKUP(Table6[[#This Row],[SKU]],'All Skus'!$A:$AC,21,FALSE)),""))</f>
        <v>0</v>
      </c>
      <c r="T615" s="61" t="str">
        <f>(IF((VLOOKUP(Table6[[#This Row],[SKU]],'All Skus'!$A:$AC,2,FALSE))="JBL",(VLOOKUP(Table6[[#This Row],[SKU]],'All Skus'!$A:$AC,22,FALSE)),""))</f>
        <v>MX</v>
      </c>
      <c r="U615" t="str">
        <f>(IF((VLOOKUP(Table6[[#This Row],[SKU]],'All Skus'!$A:$AC,2,FALSE))="JBL",(VLOOKUP(Table6[[#This Row],[SKU]],'All Skus'!$A:$AC,23,FALSE)),""))</f>
        <v>Compliant</v>
      </c>
      <c r="V615" s="284" t="str">
        <f>HYPERLINK((IF((VLOOKUP(Table6[[#This Row],[SKU]],'All Skus'!$A:$AC,2,FALSE))="JBL",(VLOOKUP(Table6[[#This Row],[SKU]],'All Skus'!$A:$AC,24,FALSE)),"")))</f>
        <v/>
      </c>
      <c r="W615" s="151">
        <v>613</v>
      </c>
    </row>
    <row r="616" spans="1:23" ht="15" hidden="1" customHeight="1">
      <c r="A616" s="13" t="s">
        <v>1622</v>
      </c>
      <c r="B616" s="12" t="str">
        <f>(IF((VLOOKUP(Table6[[#This Row],[SKU]],'All Skus'!$A:$AC,2,FALSE))="JBL",(VLOOKUP(Table6[[#This Row],[SKU]],'All Skus'!$A:$AC,3,FALSE)),""))</f>
        <v>Custom Shop Item</v>
      </c>
      <c r="C616" s="12" t="str">
        <f>(IF((VLOOKUP(Table6[[#This Row],[SKU]],'All Skus'!$A:$AC,2,FALSE))="JBL",(VLOOKUP(Table6[[#This Row],[SKU]],'All Skus'!$A:$AC,4,FALSE)),""))</f>
        <v>PD6212/43-WRC</v>
      </c>
      <c r="D616" s="61" t="str">
        <f>(IF((VLOOKUP(Table6[[#This Row],[SKU]],'All Skus'!$A:$AC,2,FALSE))="JBL",(VLOOKUP(Table6[[#This Row],[SKU]],'All Skus'!$A:$AC,5,FALSE)),""))</f>
        <v>JBL050</v>
      </c>
      <c r="E616" s="137" t="str">
        <f>(IF((VLOOKUP(Table6[[#This Row],[SKU]],'All Skus'!$A:$AC,2,FALSE))="JBL",(VLOOKUP(Table6[[#This Row],[SKU]],'All Skus'!$A:$AC,6,FALSE)),""))</f>
        <v>YES</v>
      </c>
      <c r="F616" s="61">
        <f>(IF((VLOOKUP(Table6[[#This Row],[SKU]],'All Skus'!$A:$AC,2,FALSE))="JBL",(VLOOKUP(Table6[[#This Row],[SKU]],'All Skus'!$A:$AC,7,FALSE)),""))</f>
        <v>0</v>
      </c>
      <c r="G616" t="str">
        <f>(IF((VLOOKUP(Table6[[#This Row],[SKU]],'All Skus'!$A:$AC,2,FALSE))="JBL",(VLOOKUP(Table6[[#This Row],[SKU]],'All Skus'!$A:$AC,8,FALSE)),""))</f>
        <v>12" two-way horn-loaded loudspeaker (Weather Protection Treatment)</v>
      </c>
      <c r="H616" s="8" t="str">
        <f>(IF((VLOOKUP(Table6[[#This Row],[SKU]],'All Skus'!$A:$AC,2,FALSE))="JBL",(VLOOKUP(Table6[[#This Row],[SKU]],'All Skus'!$A:$AC,9,FALSE)),""))</f>
        <v>High Sensitivity Two-Way FULL-RANGE Loudspeaker with Horn Loaded 12" LF and 40° x  30° Coverage Pattern.  300 mm (12 in.) M222- 8A Horn-loaded LF and Large Format 2451H-1 Neodymium HF Driver. 80 Hz to 18 kHz Frequency Range.      991 x  673 x 897 mm.  (39 x 26.5 x 35.3 in),  79.5 kg (175 lbs).  With Weather Protection Treatment. Refer to WEATHER RESISTANT Configurations for AE, PD &amp; VLA Series document for details regarding WRC/WRX models. Standard color is GRAY. Available in Black (-BK) &amp; White (-WH).8-10 weeks ship time for orders of 1-10, larger needs to be reviewed</v>
      </c>
      <c r="I616" s="101" t="str">
        <f>(IF((VLOOKUP(Table6[[#This Row],[SKU]],'All Skus'!$A:$AC,2,FALSE))="JBL",(VLOOKUP(Table6[[#This Row],[SKU]],'All Skus'!$A:$AC,10,FALSE)),""))</f>
        <v>Please email CustomAudio@harman.com for quote</v>
      </c>
      <c r="J616" s="101">
        <f>(IF((VLOOKUP(Table6[[#This Row],[SKU]],'All Skus'!$A:$AC,2,FALSE))="JBL",(VLOOKUP(Table6[[#This Row],[SKU]],'All Skus'!$A:$AC,11,FALSE)),""))</f>
        <v>0</v>
      </c>
      <c r="K616" s="102">
        <f>(IF((VLOOKUP(Table6[[#This Row],[SKU]],'All Skus'!$A:$AC,2,FALSE))="JBL",(VLOOKUP(Table6[[#This Row],[SKU]],'All Skus'!$A:$AC,13,FALSE)),""))</f>
        <v>0</v>
      </c>
      <c r="L616" s="102">
        <f>(IF((VLOOKUP(Table6[[#This Row],[SKU]],'All Skus'!$A:$AC,2,FALSE))="JBL",(VLOOKUP(Table6[[#This Row],[SKU]],'All Skus'!$A:$AC,14,FALSE)),""))</f>
        <v>0</v>
      </c>
      <c r="M616" s="143">
        <f>(IF((VLOOKUP(Table6[[#This Row],[SKU]],'All Skus'!$A:$AC,2,FALSE))="JBL",(VLOOKUP(Table6[[#This Row],[SKU]],'All Skus'!$A:$AC,15,FALSE)),""))</f>
        <v>0</v>
      </c>
      <c r="N616" s="137">
        <f>(IF((VLOOKUP(Table6[[#This Row],[SKU]],'All Skus'!$A:$AC,2,FALSE))="JBL",(VLOOKUP(Table6[[#This Row],[SKU]],'All Skus'!$A:$AC,16,FALSE)),""))</f>
        <v>691991014628</v>
      </c>
      <c r="O616" s="61">
        <f>(IF((VLOOKUP(Table6[[#This Row],[SKU]],'All Skus'!$A:$AC,2,FALSE))="JBL",(VLOOKUP(Table6[[#This Row],[SKU]],'All Skus'!$A:$AC,17,FALSE)),""))</f>
        <v>0</v>
      </c>
      <c r="P616" s="136">
        <f>(IF((VLOOKUP(Table6[[#This Row],[SKU]],'All Skus'!$A:$AC,2,FALSE))="JBL",(VLOOKUP(Table6[[#This Row],[SKU]],'All Skus'!$A:$AC,18,FALSE)),""))</f>
        <v>0</v>
      </c>
      <c r="Q616" s="136">
        <f>(IF((VLOOKUP(Table6[[#This Row],[SKU]],'All Skus'!$A:$AC,2,FALSE))="JBL",(VLOOKUP(Table6[[#This Row],[SKU]],'All Skus'!$A:$AC,19,FALSE)),""))</f>
        <v>0</v>
      </c>
      <c r="R616" s="136">
        <f>(IF((VLOOKUP(Table6[[#This Row],[SKU]],'All Skus'!$A:$AC,2,FALSE))="JBL",(VLOOKUP(Table6[[#This Row],[SKU]],'All Skus'!$A:$AC,20,FALSE)),""))</f>
        <v>0</v>
      </c>
      <c r="S616" s="61">
        <f>(IF((VLOOKUP(Table6[[#This Row],[SKU]],'All Skus'!$A:$AC,2,FALSE))="JBL",(VLOOKUP(Table6[[#This Row],[SKU]],'All Skus'!$A:$AC,21,FALSE)),""))</f>
        <v>0</v>
      </c>
      <c r="T616" s="61" t="str">
        <f>(IF((VLOOKUP(Table6[[#This Row],[SKU]],'All Skus'!$A:$AC,2,FALSE))="JBL",(VLOOKUP(Table6[[#This Row],[SKU]],'All Skus'!$A:$AC,22,FALSE)),""))</f>
        <v>MX</v>
      </c>
      <c r="U616" t="str">
        <f>(IF((VLOOKUP(Table6[[#This Row],[SKU]],'All Skus'!$A:$AC,2,FALSE))="JBL",(VLOOKUP(Table6[[#This Row],[SKU]],'All Skus'!$A:$AC,23,FALSE)),""))</f>
        <v>Compliant</v>
      </c>
      <c r="V616" s="284" t="str">
        <f>HYPERLINK((IF((VLOOKUP(Table6[[#This Row],[SKU]],'All Skus'!$A:$AC,2,FALSE))="JBL",(VLOOKUP(Table6[[#This Row],[SKU]],'All Skus'!$A:$AC,24,FALSE)),"")))</f>
        <v/>
      </c>
      <c r="W616" s="151">
        <v>614</v>
      </c>
    </row>
    <row r="617" spans="1:23" ht="15" hidden="1" customHeight="1">
      <c r="A617" s="13" t="s">
        <v>1623</v>
      </c>
      <c r="B617" s="12" t="str">
        <f>(IF((VLOOKUP(Table6[[#This Row],[SKU]],'All Skus'!$A:$AC,2,FALSE))="JBL",(VLOOKUP(Table6[[#This Row],[SKU]],'All Skus'!$A:$AC,3,FALSE)),""))</f>
        <v>Custom Shop Item</v>
      </c>
      <c r="C617" s="12" t="str">
        <f>(IF((VLOOKUP(Table6[[#This Row],[SKU]],'All Skus'!$A:$AC,2,FALSE))="JBL",(VLOOKUP(Table6[[#This Row],[SKU]],'All Skus'!$A:$AC,4,FALSE)),""))</f>
        <v>PD6212/43-WRX</v>
      </c>
      <c r="D617" s="61">
        <f>(IF((VLOOKUP(Table6[[#This Row],[SKU]],'All Skus'!$A:$AC,2,FALSE))="JBL",(VLOOKUP(Table6[[#This Row],[SKU]],'All Skus'!$A:$AC,5,FALSE)),""))</f>
        <v>0</v>
      </c>
      <c r="E617" s="137" t="str">
        <f>(IF((VLOOKUP(Table6[[#This Row],[SKU]],'All Skus'!$A:$AC,2,FALSE))="JBL",(VLOOKUP(Table6[[#This Row],[SKU]],'All Skus'!$A:$AC,6,FALSE)),""))</f>
        <v>YES</v>
      </c>
      <c r="F617" s="61">
        <f>(IF((VLOOKUP(Table6[[#This Row],[SKU]],'All Skus'!$A:$AC,2,FALSE))="JBL",(VLOOKUP(Table6[[#This Row],[SKU]],'All Skus'!$A:$AC,7,FALSE)),""))</f>
        <v>0</v>
      </c>
      <c r="G617" t="str">
        <f>(IF((VLOOKUP(Table6[[#This Row],[SKU]],'All Skus'!$A:$AC,2,FALSE))="JBL",(VLOOKUP(Table6[[#This Row],[SKU]],'All Skus'!$A:$AC,8,FALSE)),""))</f>
        <v>12" two-way horn-loaded loudspeaker (Extreme Weather Protection Treatment)</v>
      </c>
      <c r="H617" s="8" t="str">
        <f>(IF((VLOOKUP(Table6[[#This Row],[SKU]],'All Skus'!$A:$AC,2,FALSE))="JBL",(VLOOKUP(Table6[[#This Row],[SKU]],'All Skus'!$A:$AC,9,FALSE)),""))</f>
        <v>High Sensitivity Two-Way FULL-RANGE Loudspeaker with Horn Loaded 12" LF and 40° x  30° Coverage Pattern.  300 mm (12 in.) M222- 8A Horn-loaded LF and Large Format 2451H-1 Neodymium HF Driver. 80 Hz to 18 kHz Frequency Range.      991 x  673 x 897 mm.  (39 x 26.5 x 35.3 in),  79.5 kg (175 lbs).  With Extreme Weather Protection Treatment. Refer to WEATHER RESISTANT Configurations for AE, PD &amp; VLA Series document for details regarding WRC/WRX models. Standard color is GRAY. Available in Black (-BK) &amp; White (-WH).</v>
      </c>
      <c r="I617" s="101" t="str">
        <f>(IF((VLOOKUP(Table6[[#This Row],[SKU]],'All Skus'!$A:$AC,2,FALSE))="JBL",(VLOOKUP(Table6[[#This Row],[SKU]],'All Skus'!$A:$AC,10,FALSE)),""))</f>
        <v>Please email CustomAudio@harman.com for quote</v>
      </c>
      <c r="J617" s="101">
        <f>(IF((VLOOKUP(Table6[[#This Row],[SKU]],'All Skus'!$A:$AC,2,FALSE))="JBL",(VLOOKUP(Table6[[#This Row],[SKU]],'All Skus'!$A:$AC,11,FALSE)),""))</f>
        <v>0</v>
      </c>
      <c r="K617" s="102">
        <f>(IF((VLOOKUP(Table6[[#This Row],[SKU]],'All Skus'!$A:$AC,2,FALSE))="JBL",(VLOOKUP(Table6[[#This Row],[SKU]],'All Skus'!$A:$AC,13,FALSE)),""))</f>
        <v>0</v>
      </c>
      <c r="L617" s="102">
        <f>(IF((VLOOKUP(Table6[[#This Row],[SKU]],'All Skus'!$A:$AC,2,FALSE))="JBL",(VLOOKUP(Table6[[#This Row],[SKU]],'All Skus'!$A:$AC,14,FALSE)),""))</f>
        <v>0</v>
      </c>
      <c r="M617" s="143">
        <f>(IF((VLOOKUP(Table6[[#This Row],[SKU]],'All Skus'!$A:$AC,2,FALSE))="JBL",(VLOOKUP(Table6[[#This Row],[SKU]],'All Skus'!$A:$AC,15,FALSE)),""))</f>
        <v>0</v>
      </c>
      <c r="N617" s="137">
        <f>(IF((VLOOKUP(Table6[[#This Row],[SKU]],'All Skus'!$A:$AC,2,FALSE))="JBL",(VLOOKUP(Table6[[#This Row],[SKU]],'All Skus'!$A:$AC,16,FALSE)),""))</f>
        <v>0</v>
      </c>
      <c r="O617" s="61">
        <f>(IF((VLOOKUP(Table6[[#This Row],[SKU]],'All Skus'!$A:$AC,2,FALSE))="JBL",(VLOOKUP(Table6[[#This Row],[SKU]],'All Skus'!$A:$AC,17,FALSE)),""))</f>
        <v>0</v>
      </c>
      <c r="P617" s="136">
        <f>(IF((VLOOKUP(Table6[[#This Row],[SKU]],'All Skus'!$A:$AC,2,FALSE))="JBL",(VLOOKUP(Table6[[#This Row],[SKU]],'All Skus'!$A:$AC,18,FALSE)),""))</f>
        <v>120</v>
      </c>
      <c r="Q617" s="136">
        <f>(IF((VLOOKUP(Table6[[#This Row],[SKU]],'All Skus'!$A:$AC,2,FALSE))="JBL",(VLOOKUP(Table6[[#This Row],[SKU]],'All Skus'!$A:$AC,19,FALSE)),""))</f>
        <v>40</v>
      </c>
      <c r="R617" s="136">
        <f>(IF((VLOOKUP(Table6[[#This Row],[SKU]],'All Skus'!$A:$AC,2,FALSE))="JBL",(VLOOKUP(Table6[[#This Row],[SKU]],'All Skus'!$A:$AC,20,FALSE)),""))</f>
        <v>31</v>
      </c>
      <c r="S617" s="61">
        <f>(IF((VLOOKUP(Table6[[#This Row],[SKU]],'All Skus'!$A:$AC,2,FALSE))="JBL",(VLOOKUP(Table6[[#This Row],[SKU]],'All Skus'!$A:$AC,21,FALSE)),""))</f>
        <v>82</v>
      </c>
      <c r="T617" s="61">
        <f>(IF((VLOOKUP(Table6[[#This Row],[SKU]],'All Skus'!$A:$AC,2,FALSE))="JBL",(VLOOKUP(Table6[[#This Row],[SKU]],'All Skus'!$A:$AC,22,FALSE)),""))</f>
        <v>0</v>
      </c>
      <c r="U617">
        <f>(IF((VLOOKUP(Table6[[#This Row],[SKU]],'All Skus'!$A:$AC,2,FALSE))="JBL",(VLOOKUP(Table6[[#This Row],[SKU]],'All Skus'!$A:$AC,23,FALSE)),""))</f>
        <v>0</v>
      </c>
      <c r="V617" s="284" t="str">
        <f>HYPERLINK((IF((VLOOKUP(Table6[[#This Row],[SKU]],'All Skus'!$A:$AC,2,FALSE))="JBL",(VLOOKUP(Table6[[#This Row],[SKU]],'All Skus'!$A:$AC,24,FALSE)),"")))</f>
        <v/>
      </c>
      <c r="W617" s="151">
        <v>615</v>
      </c>
    </row>
    <row r="618" spans="1:23" ht="15" hidden="1" customHeight="1">
      <c r="A618" s="13" t="s">
        <v>1624</v>
      </c>
      <c r="B618" s="12" t="str">
        <f>(IF((VLOOKUP(Table6[[#This Row],[SKU]],'All Skus'!$A:$AC,2,FALSE))="JBL",(VLOOKUP(Table6[[#This Row],[SKU]],'All Skus'!$A:$AC,3,FALSE)),""))</f>
        <v>PD Series</v>
      </c>
      <c r="C618" s="12" t="str">
        <f>(IF((VLOOKUP(Table6[[#This Row],[SKU]],'All Skus'!$A:$AC,2,FALSE))="JBL",(VLOOKUP(Table6[[#This Row],[SKU]],'All Skus'!$A:$AC,4,FALSE)),""))</f>
        <v>PD6212/64</v>
      </c>
      <c r="D618" s="61" t="str">
        <f>(IF((VLOOKUP(Table6[[#This Row],[SKU]],'All Skus'!$A:$AC,2,FALSE))="JBL",(VLOOKUP(Table6[[#This Row],[SKU]],'All Skus'!$A:$AC,5,FALSE)),""))</f>
        <v>JBL051</v>
      </c>
      <c r="E618" s="137" t="str">
        <f>(IF((VLOOKUP(Table6[[#This Row],[SKU]],'All Skus'!$A:$AC,2,FALSE))="JBL",(VLOOKUP(Table6[[#This Row],[SKU]],'All Skus'!$A:$AC,6,FALSE)),""))</f>
        <v>YES</v>
      </c>
      <c r="F618" s="61">
        <f>(IF((VLOOKUP(Table6[[#This Row],[SKU]],'All Skus'!$A:$AC,2,FALSE))="JBL",(VLOOKUP(Table6[[#This Row],[SKU]],'All Skus'!$A:$AC,7,FALSE)),""))</f>
        <v>0</v>
      </c>
      <c r="G618" t="str">
        <f>(IF((VLOOKUP(Table6[[#This Row],[SKU]],'All Skus'!$A:$AC,2,FALSE))="JBL",(VLOOKUP(Table6[[#This Row],[SKU]],'All Skus'!$A:$AC,8,FALSE)),""))</f>
        <v>12" two-way horn-loaded loudspeaker</v>
      </c>
      <c r="H618" s="8" t="str">
        <f>(IF((VLOOKUP(Table6[[#This Row],[SKU]],'All Skus'!$A:$AC,2,FALSE))="JBL",(VLOOKUP(Table6[[#This Row],[SKU]],'All Skus'!$A:$AC,9,FALSE)),""))</f>
        <v>High Sensitivity Two-Way FULL-RANGE Loudspeaker with Horn Loaded 12" LF and 60° x  40° Coverage Pattern.  300 mm (12 in.) M222- 8A Horn-loaded LF and Large Format 2451H-1 Neodymium HF Driver. 80 Hz to 18 kHz Frequency Range.      991 x  673 x 706 mm.  (39 x 26.5 x 27.8 in),  69 kg (152 lbs).</v>
      </c>
      <c r="I618" s="101">
        <f>(IF((VLOOKUP(Table6[[#This Row],[SKU]],'All Skus'!$A:$AC,2,FALSE))="JBL",(VLOOKUP(Table6[[#This Row],[SKU]],'All Skus'!$A:$AC,10,FALSE)),""))</f>
        <v>4950</v>
      </c>
      <c r="J618" s="101">
        <f>(IF((VLOOKUP(Table6[[#This Row],[SKU]],'All Skus'!$A:$AC,2,FALSE))="JBL",(VLOOKUP(Table6[[#This Row],[SKU]],'All Skus'!$A:$AC,11,FALSE)),""))</f>
        <v>4950</v>
      </c>
      <c r="K618" s="102">
        <f>(IF((VLOOKUP(Table6[[#This Row],[SKU]],'All Skus'!$A:$AC,2,FALSE))="JBL",(VLOOKUP(Table6[[#This Row],[SKU]],'All Skus'!$A:$AC,13,FALSE)),""))</f>
        <v>0</v>
      </c>
      <c r="L618" s="102">
        <f>(IF((VLOOKUP(Table6[[#This Row],[SKU]],'All Skus'!$A:$AC,2,FALSE))="JBL",(VLOOKUP(Table6[[#This Row],[SKU]],'All Skus'!$A:$AC,14,FALSE)),""))</f>
        <v>0</v>
      </c>
      <c r="M618" s="143">
        <f>(IF((VLOOKUP(Table6[[#This Row],[SKU]],'All Skus'!$A:$AC,2,FALSE))="JBL",(VLOOKUP(Table6[[#This Row],[SKU]],'All Skus'!$A:$AC,15,FALSE)),""))</f>
        <v>0</v>
      </c>
      <c r="N618" s="137">
        <f>(IF((VLOOKUP(Table6[[#This Row],[SKU]],'All Skus'!$A:$AC,2,FALSE))="JBL",(VLOOKUP(Table6[[#This Row],[SKU]],'All Skus'!$A:$AC,16,FALSE)),""))</f>
        <v>0</v>
      </c>
      <c r="O618" s="61">
        <f>(IF((VLOOKUP(Table6[[#This Row],[SKU]],'All Skus'!$A:$AC,2,FALSE))="JBL",(VLOOKUP(Table6[[#This Row],[SKU]],'All Skus'!$A:$AC,17,FALSE)),""))</f>
        <v>0</v>
      </c>
      <c r="P618" s="136">
        <f>(IF((VLOOKUP(Table6[[#This Row],[SKU]],'All Skus'!$A:$AC,2,FALSE))="JBL",(VLOOKUP(Table6[[#This Row],[SKU]],'All Skus'!$A:$AC,18,FALSE)),""))</f>
        <v>150</v>
      </c>
      <c r="Q618" s="136">
        <f>(IF((VLOOKUP(Table6[[#This Row],[SKU]],'All Skus'!$A:$AC,2,FALSE))="JBL",(VLOOKUP(Table6[[#This Row],[SKU]],'All Skus'!$A:$AC,19,FALSE)),""))</f>
        <v>33</v>
      </c>
      <c r="R618" s="136">
        <f>(IF((VLOOKUP(Table6[[#This Row],[SKU]],'All Skus'!$A:$AC,2,FALSE))="JBL",(VLOOKUP(Table6[[#This Row],[SKU]],'All Skus'!$A:$AC,20,FALSE)),""))</f>
        <v>31</v>
      </c>
      <c r="S618" s="61">
        <f>(IF((VLOOKUP(Table6[[#This Row],[SKU]],'All Skus'!$A:$AC,2,FALSE))="JBL",(VLOOKUP(Table6[[#This Row],[SKU]],'All Skus'!$A:$AC,21,FALSE)),""))</f>
        <v>41</v>
      </c>
      <c r="T618" s="61" t="str">
        <f>(IF((VLOOKUP(Table6[[#This Row],[SKU]],'All Skus'!$A:$AC,2,FALSE))="JBL",(VLOOKUP(Table6[[#This Row],[SKU]],'All Skus'!$A:$AC,22,FALSE)),""))</f>
        <v>MX</v>
      </c>
      <c r="U618" t="str">
        <f>(IF((VLOOKUP(Table6[[#This Row],[SKU]],'All Skus'!$A:$AC,2,FALSE))="JBL",(VLOOKUP(Table6[[#This Row],[SKU]],'All Skus'!$A:$AC,23,FALSE)),""))</f>
        <v>Compliant</v>
      </c>
      <c r="V618" s="284" t="str">
        <f>HYPERLINK((IF((VLOOKUP(Table6[[#This Row],[SKU]],'All Skus'!$A:$AC,2,FALSE))="JBL",(VLOOKUP(Table6[[#This Row],[SKU]],'All Skus'!$A:$AC,24,FALSE)),"")))</f>
        <v/>
      </c>
      <c r="W618" s="151">
        <v>616</v>
      </c>
    </row>
    <row r="619" spans="1:23" ht="15" hidden="1" customHeight="1">
      <c r="A619" s="13" t="s">
        <v>1625</v>
      </c>
      <c r="B619" s="12" t="str">
        <f>(IF((VLOOKUP(Table6[[#This Row],[SKU]],'All Skus'!$A:$AC,2,FALSE))="JBL",(VLOOKUP(Table6[[#This Row],[SKU]],'All Skus'!$A:$AC,3,FALSE)),""))</f>
        <v>Custom Shop Item</v>
      </c>
      <c r="C619" s="12" t="str">
        <f>(IF((VLOOKUP(Table6[[#This Row],[SKU]],'All Skus'!$A:$AC,2,FALSE))="JBL",(VLOOKUP(Table6[[#This Row],[SKU]],'All Skus'!$A:$AC,4,FALSE)),""))</f>
        <v>PD6212/64-WRC</v>
      </c>
      <c r="D619" s="61" t="str">
        <f>(IF((VLOOKUP(Table6[[#This Row],[SKU]],'All Skus'!$A:$AC,2,FALSE))="JBL",(VLOOKUP(Table6[[#This Row],[SKU]],'All Skus'!$A:$AC,5,FALSE)),""))</f>
        <v>JBL050</v>
      </c>
      <c r="E619" s="137" t="str">
        <f>(IF((VLOOKUP(Table6[[#This Row],[SKU]],'All Skus'!$A:$AC,2,FALSE))="JBL",(VLOOKUP(Table6[[#This Row],[SKU]],'All Skus'!$A:$AC,6,FALSE)),""))</f>
        <v>YES</v>
      </c>
      <c r="F619" s="61">
        <f>(IF((VLOOKUP(Table6[[#This Row],[SKU]],'All Skus'!$A:$AC,2,FALSE))="JBL",(VLOOKUP(Table6[[#This Row],[SKU]],'All Skus'!$A:$AC,7,FALSE)),""))</f>
        <v>0</v>
      </c>
      <c r="G619" t="str">
        <f>(IF((VLOOKUP(Table6[[#This Row],[SKU]],'All Skus'!$A:$AC,2,FALSE))="JBL",(VLOOKUP(Table6[[#This Row],[SKU]],'All Skus'!$A:$AC,8,FALSE)),""))</f>
        <v>12" two-way horn-loaded loudspeaker (Weather Protection Treatment)</v>
      </c>
      <c r="H619" s="8" t="str">
        <f>(IF((VLOOKUP(Table6[[#This Row],[SKU]],'All Skus'!$A:$AC,2,FALSE))="JBL",(VLOOKUP(Table6[[#This Row],[SKU]],'All Skus'!$A:$AC,9,FALSE)),""))</f>
        <v>High Sensitivity Two-Way FULL-RANGE Loudspeaker with Horn Loaded 12" LF and 60° x  40°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v>
      </c>
      <c r="I619" s="101" t="str">
        <f>(IF((VLOOKUP(Table6[[#This Row],[SKU]],'All Skus'!$A:$AC,2,FALSE))="JBL",(VLOOKUP(Table6[[#This Row],[SKU]],'All Skus'!$A:$AC,10,FALSE)),""))</f>
        <v>Please email CustomAudio@harman.com for quote</v>
      </c>
      <c r="J619" s="101">
        <f>(IF((VLOOKUP(Table6[[#This Row],[SKU]],'All Skus'!$A:$AC,2,FALSE))="JBL",(VLOOKUP(Table6[[#This Row],[SKU]],'All Skus'!$A:$AC,11,FALSE)),""))</f>
        <v>0</v>
      </c>
      <c r="K619" s="102">
        <f>(IF((VLOOKUP(Table6[[#This Row],[SKU]],'All Skus'!$A:$AC,2,FALSE))="JBL",(VLOOKUP(Table6[[#This Row],[SKU]],'All Skus'!$A:$AC,13,FALSE)),""))</f>
        <v>0</v>
      </c>
      <c r="L619" s="102">
        <f>(IF((VLOOKUP(Table6[[#This Row],[SKU]],'All Skus'!$A:$AC,2,FALSE))="JBL",(VLOOKUP(Table6[[#This Row],[SKU]],'All Skus'!$A:$AC,14,FALSE)),""))</f>
        <v>0</v>
      </c>
      <c r="M619" s="143">
        <f>(IF((VLOOKUP(Table6[[#This Row],[SKU]],'All Skus'!$A:$AC,2,FALSE))="JBL",(VLOOKUP(Table6[[#This Row],[SKU]],'All Skus'!$A:$AC,15,FALSE)),""))</f>
        <v>0</v>
      </c>
      <c r="N619" s="137">
        <f>(IF((VLOOKUP(Table6[[#This Row],[SKU]],'All Skus'!$A:$AC,2,FALSE))="JBL",(VLOOKUP(Table6[[#This Row],[SKU]],'All Skus'!$A:$AC,16,FALSE)),""))</f>
        <v>691991014642</v>
      </c>
      <c r="O619" s="61">
        <f>(IF((VLOOKUP(Table6[[#This Row],[SKU]],'All Skus'!$A:$AC,2,FALSE))="JBL",(VLOOKUP(Table6[[#This Row],[SKU]],'All Skus'!$A:$AC,17,FALSE)),""))</f>
        <v>0</v>
      </c>
      <c r="P619" s="136">
        <f>(IF((VLOOKUP(Table6[[#This Row],[SKU]],'All Skus'!$A:$AC,2,FALSE))="JBL",(VLOOKUP(Table6[[#This Row],[SKU]],'All Skus'!$A:$AC,18,FALSE)),""))</f>
        <v>0</v>
      </c>
      <c r="Q619" s="136">
        <f>(IF((VLOOKUP(Table6[[#This Row],[SKU]],'All Skus'!$A:$AC,2,FALSE))="JBL",(VLOOKUP(Table6[[#This Row],[SKU]],'All Skus'!$A:$AC,19,FALSE)),""))</f>
        <v>0</v>
      </c>
      <c r="R619" s="136">
        <f>(IF((VLOOKUP(Table6[[#This Row],[SKU]],'All Skus'!$A:$AC,2,FALSE))="JBL",(VLOOKUP(Table6[[#This Row],[SKU]],'All Skus'!$A:$AC,20,FALSE)),""))</f>
        <v>0</v>
      </c>
      <c r="S619" s="61">
        <f>(IF((VLOOKUP(Table6[[#This Row],[SKU]],'All Skus'!$A:$AC,2,FALSE))="JBL",(VLOOKUP(Table6[[#This Row],[SKU]],'All Skus'!$A:$AC,21,FALSE)),""))</f>
        <v>0</v>
      </c>
      <c r="T619" s="61" t="str">
        <f>(IF((VLOOKUP(Table6[[#This Row],[SKU]],'All Skus'!$A:$AC,2,FALSE))="JBL",(VLOOKUP(Table6[[#This Row],[SKU]],'All Skus'!$A:$AC,22,FALSE)),""))</f>
        <v>MX</v>
      </c>
      <c r="U619" t="str">
        <f>(IF((VLOOKUP(Table6[[#This Row],[SKU]],'All Skus'!$A:$AC,2,FALSE))="JBL",(VLOOKUP(Table6[[#This Row],[SKU]],'All Skus'!$A:$AC,23,FALSE)),""))</f>
        <v>Compliant</v>
      </c>
      <c r="V619" s="284" t="str">
        <f>HYPERLINK((IF((VLOOKUP(Table6[[#This Row],[SKU]],'All Skus'!$A:$AC,2,FALSE))="JBL",(VLOOKUP(Table6[[#This Row],[SKU]],'All Skus'!$A:$AC,24,FALSE)),"")))</f>
        <v/>
      </c>
      <c r="W619" s="151">
        <v>617</v>
      </c>
    </row>
    <row r="620" spans="1:23" ht="15" hidden="1" customHeight="1">
      <c r="A620" s="13" t="s">
        <v>1626</v>
      </c>
      <c r="B620" s="12" t="str">
        <f>(IF((VLOOKUP(Table6[[#This Row],[SKU]],'All Skus'!$A:$AC,2,FALSE))="JBL",(VLOOKUP(Table6[[#This Row],[SKU]],'All Skus'!$A:$AC,3,FALSE)),""))</f>
        <v>PD Series</v>
      </c>
      <c r="C620" s="12" t="str">
        <f>(IF((VLOOKUP(Table6[[#This Row],[SKU]],'All Skus'!$A:$AC,2,FALSE))="JBL",(VLOOKUP(Table6[[#This Row],[SKU]],'All Skus'!$A:$AC,4,FALSE)),""))</f>
        <v>PD6212/66</v>
      </c>
      <c r="D620" s="61" t="str">
        <f>(IF((VLOOKUP(Table6[[#This Row],[SKU]],'All Skus'!$A:$AC,2,FALSE))="JBL",(VLOOKUP(Table6[[#This Row],[SKU]],'All Skus'!$A:$AC,5,FALSE)),""))</f>
        <v>JBL051</v>
      </c>
      <c r="E620" s="137" t="str">
        <f>(IF((VLOOKUP(Table6[[#This Row],[SKU]],'All Skus'!$A:$AC,2,FALSE))="JBL",(VLOOKUP(Table6[[#This Row],[SKU]],'All Skus'!$A:$AC,6,FALSE)),""))</f>
        <v>YES</v>
      </c>
      <c r="F620" s="61">
        <f>(IF((VLOOKUP(Table6[[#This Row],[SKU]],'All Skus'!$A:$AC,2,FALSE))="JBL",(VLOOKUP(Table6[[#This Row],[SKU]],'All Skus'!$A:$AC,7,FALSE)),""))</f>
        <v>0</v>
      </c>
      <c r="G620" t="str">
        <f>(IF((VLOOKUP(Table6[[#This Row],[SKU]],'All Skus'!$A:$AC,2,FALSE))="JBL",(VLOOKUP(Table6[[#This Row],[SKU]],'All Skus'!$A:$AC,8,FALSE)),""))</f>
        <v>12" two-way horn-loaded loudspeaker</v>
      </c>
      <c r="H620" s="8" t="str">
        <f>(IF((VLOOKUP(Table6[[#This Row],[SKU]],'All Skus'!$A:$AC,2,FALSE))="JBL",(VLOOKUP(Table6[[#This Row],[SKU]],'All Skus'!$A:$AC,9,FALSE)),""))</f>
        <v>High Sensitivity Two-Way FULL-RANGE Loudspeaker with Horn Loaded 12" LF and 60° x  60° Coverage Pattern.  300 mm (12 in.) M222- 8A Horn-loaded LF and Large Format 2451H-1 Neodymium HF Driver. 80 Hz to 18 kHz Frequency Range.      991 x  673 x 706 mm.  (39 x 26.5 x 27.8 in),  69 kg (152 lbs).</v>
      </c>
      <c r="I620" s="101">
        <f>(IF((VLOOKUP(Table6[[#This Row],[SKU]],'All Skus'!$A:$AC,2,FALSE))="JBL",(VLOOKUP(Table6[[#This Row],[SKU]],'All Skus'!$A:$AC,10,FALSE)),""))</f>
        <v>4950</v>
      </c>
      <c r="J620" s="101">
        <f>(IF((VLOOKUP(Table6[[#This Row],[SKU]],'All Skus'!$A:$AC,2,FALSE))="JBL",(VLOOKUP(Table6[[#This Row],[SKU]],'All Skus'!$A:$AC,11,FALSE)),""))</f>
        <v>4950</v>
      </c>
      <c r="K620" s="102">
        <f>(IF((VLOOKUP(Table6[[#This Row],[SKU]],'All Skus'!$A:$AC,2,FALSE))="JBL",(VLOOKUP(Table6[[#This Row],[SKU]],'All Skus'!$A:$AC,13,FALSE)),""))</f>
        <v>0</v>
      </c>
      <c r="L620" s="102">
        <f>(IF((VLOOKUP(Table6[[#This Row],[SKU]],'All Skus'!$A:$AC,2,FALSE))="JBL",(VLOOKUP(Table6[[#This Row],[SKU]],'All Skus'!$A:$AC,14,FALSE)),""))</f>
        <v>0</v>
      </c>
      <c r="M620" s="143">
        <f>(IF((VLOOKUP(Table6[[#This Row],[SKU]],'All Skus'!$A:$AC,2,FALSE))="JBL",(VLOOKUP(Table6[[#This Row],[SKU]],'All Skus'!$A:$AC,15,FALSE)),""))</f>
        <v>0</v>
      </c>
      <c r="N620" s="137">
        <f>(IF((VLOOKUP(Table6[[#This Row],[SKU]],'All Skus'!$A:$AC,2,FALSE))="JBL",(VLOOKUP(Table6[[#This Row],[SKU]],'All Skus'!$A:$AC,16,FALSE)),""))</f>
        <v>691991014659</v>
      </c>
      <c r="O620" s="61">
        <f>(IF((VLOOKUP(Table6[[#This Row],[SKU]],'All Skus'!$A:$AC,2,FALSE))="JBL",(VLOOKUP(Table6[[#This Row],[SKU]],'All Skus'!$A:$AC,17,FALSE)),""))</f>
        <v>0</v>
      </c>
      <c r="P620" s="136">
        <f>(IF((VLOOKUP(Table6[[#This Row],[SKU]],'All Skus'!$A:$AC,2,FALSE))="JBL",(VLOOKUP(Table6[[#This Row],[SKU]],'All Skus'!$A:$AC,18,FALSE)),""))</f>
        <v>150</v>
      </c>
      <c r="Q620" s="136">
        <f>(IF((VLOOKUP(Table6[[#This Row],[SKU]],'All Skus'!$A:$AC,2,FALSE))="JBL",(VLOOKUP(Table6[[#This Row],[SKU]],'All Skus'!$A:$AC,19,FALSE)),""))</f>
        <v>33</v>
      </c>
      <c r="R620" s="136">
        <f>(IF((VLOOKUP(Table6[[#This Row],[SKU]],'All Skus'!$A:$AC,2,FALSE))="JBL",(VLOOKUP(Table6[[#This Row],[SKU]],'All Skus'!$A:$AC,20,FALSE)),""))</f>
        <v>31</v>
      </c>
      <c r="S620" s="61">
        <f>(IF((VLOOKUP(Table6[[#This Row],[SKU]],'All Skus'!$A:$AC,2,FALSE))="JBL",(VLOOKUP(Table6[[#This Row],[SKU]],'All Skus'!$A:$AC,21,FALSE)),""))</f>
        <v>42</v>
      </c>
      <c r="T620" s="61" t="str">
        <f>(IF((VLOOKUP(Table6[[#This Row],[SKU]],'All Skus'!$A:$AC,2,FALSE))="JBL",(VLOOKUP(Table6[[#This Row],[SKU]],'All Skus'!$A:$AC,22,FALSE)),""))</f>
        <v>MX</v>
      </c>
      <c r="U620" t="str">
        <f>(IF((VLOOKUP(Table6[[#This Row],[SKU]],'All Skus'!$A:$AC,2,FALSE))="JBL",(VLOOKUP(Table6[[#This Row],[SKU]],'All Skus'!$A:$AC,23,FALSE)),""))</f>
        <v>Compliant</v>
      </c>
      <c r="V620" s="284" t="str">
        <f>HYPERLINK((IF((VLOOKUP(Table6[[#This Row],[SKU]],'All Skus'!$A:$AC,2,FALSE))="JBL",(VLOOKUP(Table6[[#This Row],[SKU]],'All Skus'!$A:$AC,24,FALSE)),"")))</f>
        <v/>
      </c>
      <c r="W620" s="151">
        <v>618</v>
      </c>
    </row>
    <row r="621" spans="1:23" ht="15" hidden="1" customHeight="1">
      <c r="A621" s="13" t="s">
        <v>1627</v>
      </c>
      <c r="B621" s="12" t="str">
        <f>(IF((VLOOKUP(Table6[[#This Row],[SKU]],'All Skus'!$A:$AC,2,FALSE))="JBL",(VLOOKUP(Table6[[#This Row],[SKU]],'All Skus'!$A:$AC,3,FALSE)),""))</f>
        <v>PD Series</v>
      </c>
      <c r="C621" s="12" t="str">
        <f>(IF((VLOOKUP(Table6[[#This Row],[SKU]],'All Skus'!$A:$AC,2,FALSE))="JBL",(VLOOKUP(Table6[[#This Row],[SKU]],'All Skus'!$A:$AC,4,FALSE)),""))</f>
        <v>PD6212/66-WH</v>
      </c>
      <c r="D621" s="61" t="str">
        <f>(IF((VLOOKUP(Table6[[#This Row],[SKU]],'All Skus'!$A:$AC,2,FALSE))="JBL",(VLOOKUP(Table6[[#This Row],[SKU]],'All Skus'!$A:$AC,5,FALSE)),""))</f>
        <v>JBL051</v>
      </c>
      <c r="E621" s="137" t="str">
        <f>(IF((VLOOKUP(Table6[[#This Row],[SKU]],'All Skus'!$A:$AC,2,FALSE))="JBL",(VLOOKUP(Table6[[#This Row],[SKU]],'All Skus'!$A:$AC,6,FALSE)),""))</f>
        <v>YES</v>
      </c>
      <c r="F621" s="61">
        <f>(IF((VLOOKUP(Table6[[#This Row],[SKU]],'All Skus'!$A:$AC,2,FALSE))="JBL",(VLOOKUP(Table6[[#This Row],[SKU]],'All Skus'!$A:$AC,7,FALSE)),""))</f>
        <v>0</v>
      </c>
      <c r="G621" t="str">
        <f>(IF((VLOOKUP(Table6[[#This Row],[SKU]],'All Skus'!$A:$AC,2,FALSE))="JBL",(VLOOKUP(Table6[[#This Row],[SKU]],'All Skus'!$A:$AC,8,FALSE)),""))</f>
        <v>12" two-way horn-loaded loudspeaker (white)</v>
      </c>
      <c r="H621" s="8" t="str">
        <f>(IF((VLOOKUP(Table6[[#This Row],[SKU]],'All Skus'!$A:$AC,2,FALSE))="JBL",(VLOOKUP(Table6[[#This Row],[SKU]],'All Skus'!$A:$AC,9,FALSE)),""))</f>
        <v>High Sensitivity Two-Way FULL-RANGE Loudspeaker with Horn Loaded 12" LF and 60° x  60° Coverage Pattern.  300 mm (12 in.) M222- 8A Horn-loaded LF and Large Format 2451H-1 Neodymium HF Driver. 80 Hz to 18 kHz Frequency Range.      991 x  673 x 706 mm.  (39 x 26.5 x 27.8 in),  69 kg (152 lbs). White finish.</v>
      </c>
      <c r="I621" s="101">
        <f>(IF((VLOOKUP(Table6[[#This Row],[SKU]],'All Skus'!$A:$AC,2,FALSE))="JBL",(VLOOKUP(Table6[[#This Row],[SKU]],'All Skus'!$A:$AC,10,FALSE)),""))</f>
        <v>4950</v>
      </c>
      <c r="J621" s="101">
        <f>(IF((VLOOKUP(Table6[[#This Row],[SKU]],'All Skus'!$A:$AC,2,FALSE))="JBL",(VLOOKUP(Table6[[#This Row],[SKU]],'All Skus'!$A:$AC,11,FALSE)),""))</f>
        <v>4950</v>
      </c>
      <c r="K621" s="102">
        <f>(IF((VLOOKUP(Table6[[#This Row],[SKU]],'All Skus'!$A:$AC,2,FALSE))="JBL",(VLOOKUP(Table6[[#This Row],[SKU]],'All Skus'!$A:$AC,13,FALSE)),""))</f>
        <v>0</v>
      </c>
      <c r="L621" s="102">
        <f>(IF((VLOOKUP(Table6[[#This Row],[SKU]],'All Skus'!$A:$AC,2,FALSE))="JBL",(VLOOKUP(Table6[[#This Row],[SKU]],'All Skus'!$A:$AC,14,FALSE)),""))</f>
        <v>0</v>
      </c>
      <c r="M621" s="143">
        <f>(IF((VLOOKUP(Table6[[#This Row],[SKU]],'All Skus'!$A:$AC,2,FALSE))="JBL",(VLOOKUP(Table6[[#This Row],[SKU]],'All Skus'!$A:$AC,15,FALSE)),""))</f>
        <v>0</v>
      </c>
      <c r="N621" s="137">
        <f>(IF((VLOOKUP(Table6[[#This Row],[SKU]],'All Skus'!$A:$AC,2,FALSE))="JBL",(VLOOKUP(Table6[[#This Row],[SKU]],'All Skus'!$A:$AC,16,FALSE)),""))</f>
        <v>691991014666</v>
      </c>
      <c r="O621" s="61">
        <f>(IF((VLOOKUP(Table6[[#This Row],[SKU]],'All Skus'!$A:$AC,2,FALSE))="JBL",(VLOOKUP(Table6[[#This Row],[SKU]],'All Skus'!$A:$AC,17,FALSE)),""))</f>
        <v>0</v>
      </c>
      <c r="P621" s="136">
        <f>(IF((VLOOKUP(Table6[[#This Row],[SKU]],'All Skus'!$A:$AC,2,FALSE))="JBL",(VLOOKUP(Table6[[#This Row],[SKU]],'All Skus'!$A:$AC,18,FALSE)),""))</f>
        <v>160</v>
      </c>
      <c r="Q621" s="136">
        <f>(IF((VLOOKUP(Table6[[#This Row],[SKU]],'All Skus'!$A:$AC,2,FALSE))="JBL",(VLOOKUP(Table6[[#This Row],[SKU]],'All Skus'!$A:$AC,19,FALSE)),""))</f>
        <v>33</v>
      </c>
      <c r="R621" s="136">
        <f>(IF((VLOOKUP(Table6[[#This Row],[SKU]],'All Skus'!$A:$AC,2,FALSE))="JBL",(VLOOKUP(Table6[[#This Row],[SKU]],'All Skus'!$A:$AC,20,FALSE)),""))</f>
        <v>31</v>
      </c>
      <c r="S621" s="61">
        <f>(IF((VLOOKUP(Table6[[#This Row],[SKU]],'All Skus'!$A:$AC,2,FALSE))="JBL",(VLOOKUP(Table6[[#This Row],[SKU]],'All Skus'!$A:$AC,21,FALSE)),""))</f>
        <v>41</v>
      </c>
      <c r="T621" s="61" t="str">
        <f>(IF((VLOOKUP(Table6[[#This Row],[SKU]],'All Skus'!$A:$AC,2,FALSE))="JBL",(VLOOKUP(Table6[[#This Row],[SKU]],'All Skus'!$A:$AC,22,FALSE)),""))</f>
        <v>MX</v>
      </c>
      <c r="U621" t="str">
        <f>(IF((VLOOKUP(Table6[[#This Row],[SKU]],'All Skus'!$A:$AC,2,FALSE))="JBL",(VLOOKUP(Table6[[#This Row],[SKU]],'All Skus'!$A:$AC,23,FALSE)),""))</f>
        <v>Compliant</v>
      </c>
      <c r="V621" s="284" t="str">
        <f>HYPERLINK((IF((VLOOKUP(Table6[[#This Row],[SKU]],'All Skus'!$A:$AC,2,FALSE))="JBL",(VLOOKUP(Table6[[#This Row],[SKU]],'All Skus'!$A:$AC,24,FALSE)),"")))</f>
        <v/>
      </c>
      <c r="W621" s="151">
        <v>619</v>
      </c>
    </row>
    <row r="622" spans="1:23" ht="15" hidden="1" customHeight="1">
      <c r="A622" s="13" t="s">
        <v>1628</v>
      </c>
      <c r="B622" s="12" t="str">
        <f>(IF((VLOOKUP(Table6[[#This Row],[SKU]],'All Skus'!$A:$AC,2,FALSE))="JBL",(VLOOKUP(Table6[[#This Row],[SKU]],'All Skus'!$A:$AC,3,FALSE)),""))</f>
        <v>Custom Shop Item</v>
      </c>
      <c r="C622" s="12" t="str">
        <f>(IF((VLOOKUP(Table6[[#This Row],[SKU]],'All Skus'!$A:$AC,2,FALSE))="JBL",(VLOOKUP(Table6[[#This Row],[SKU]],'All Skus'!$A:$AC,4,FALSE)),""))</f>
        <v>PD6212/66-WRC</v>
      </c>
      <c r="D622" s="61" t="str">
        <f>(IF((VLOOKUP(Table6[[#This Row],[SKU]],'All Skus'!$A:$AC,2,FALSE))="JBL",(VLOOKUP(Table6[[#This Row],[SKU]],'All Skus'!$A:$AC,5,FALSE)),""))</f>
        <v>JBL050</v>
      </c>
      <c r="E622" s="137" t="str">
        <f>(IF((VLOOKUP(Table6[[#This Row],[SKU]],'All Skus'!$A:$AC,2,FALSE))="JBL",(VLOOKUP(Table6[[#This Row],[SKU]],'All Skus'!$A:$AC,6,FALSE)),""))</f>
        <v>YES</v>
      </c>
      <c r="F622" s="61">
        <f>(IF((VLOOKUP(Table6[[#This Row],[SKU]],'All Skus'!$A:$AC,2,FALSE))="JBL",(VLOOKUP(Table6[[#This Row],[SKU]],'All Skus'!$A:$AC,7,FALSE)),""))</f>
        <v>0</v>
      </c>
      <c r="G622" t="str">
        <f>(IF((VLOOKUP(Table6[[#This Row],[SKU]],'All Skus'!$A:$AC,2,FALSE))="JBL",(VLOOKUP(Table6[[#This Row],[SKU]],'All Skus'!$A:$AC,8,FALSE)),""))</f>
        <v>12" two-way horn-loaded loudspeaker (Weather Protection Treatment)</v>
      </c>
      <c r="H622" s="8" t="str">
        <f>(IF((VLOOKUP(Table6[[#This Row],[SKU]],'All Skus'!$A:$AC,2,FALSE))="JBL",(VLOOKUP(Table6[[#This Row],[SKU]],'All Skus'!$A:$AC,9,FALSE)),""))</f>
        <v>High Sensitivity Two-Way FULL-RANGE Loudspeaker with Horn Loaded 12" LF and 60° x  60° Coverage Pattern.  300 mm (12 in.) M222- 8A Horn-loaded LF and Large Format 2451H-1 Neodymium HF Driver. 80 Hz to 18 kHz Frequency Range.      991 x  673 x 706 mm.  (39 x 26.5 x 27.8 in),  69 kg (152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22" s="101" t="str">
        <f>(IF((VLOOKUP(Table6[[#This Row],[SKU]],'All Skus'!$A:$AC,2,FALSE))="JBL",(VLOOKUP(Table6[[#This Row],[SKU]],'All Skus'!$A:$AC,10,FALSE)),""))</f>
        <v>Please email CustomAudio@harman.com for quote</v>
      </c>
      <c r="J622" s="101">
        <f>(IF((VLOOKUP(Table6[[#This Row],[SKU]],'All Skus'!$A:$AC,2,FALSE))="JBL",(VLOOKUP(Table6[[#This Row],[SKU]],'All Skus'!$A:$AC,11,FALSE)),""))</f>
        <v>0</v>
      </c>
      <c r="K622" s="102">
        <f>(IF((VLOOKUP(Table6[[#This Row],[SKU]],'All Skus'!$A:$AC,2,FALSE))="JBL",(VLOOKUP(Table6[[#This Row],[SKU]],'All Skus'!$A:$AC,13,FALSE)),""))</f>
        <v>0</v>
      </c>
      <c r="L622" s="102">
        <f>(IF((VLOOKUP(Table6[[#This Row],[SKU]],'All Skus'!$A:$AC,2,FALSE))="JBL",(VLOOKUP(Table6[[#This Row],[SKU]],'All Skus'!$A:$AC,14,FALSE)),""))</f>
        <v>0</v>
      </c>
      <c r="M622" s="143">
        <f>(IF((VLOOKUP(Table6[[#This Row],[SKU]],'All Skus'!$A:$AC,2,FALSE))="JBL",(VLOOKUP(Table6[[#This Row],[SKU]],'All Skus'!$A:$AC,15,FALSE)),""))</f>
        <v>0</v>
      </c>
      <c r="N622" s="137">
        <f>(IF((VLOOKUP(Table6[[#This Row],[SKU]],'All Skus'!$A:$AC,2,FALSE))="JBL",(VLOOKUP(Table6[[#This Row],[SKU]],'All Skus'!$A:$AC,16,FALSE)),""))</f>
        <v>691991014673</v>
      </c>
      <c r="O622" s="61">
        <f>(IF((VLOOKUP(Table6[[#This Row],[SKU]],'All Skus'!$A:$AC,2,FALSE))="JBL",(VLOOKUP(Table6[[#This Row],[SKU]],'All Skus'!$A:$AC,17,FALSE)),""))</f>
        <v>0</v>
      </c>
      <c r="P622" s="136">
        <f>(IF((VLOOKUP(Table6[[#This Row],[SKU]],'All Skus'!$A:$AC,2,FALSE))="JBL",(VLOOKUP(Table6[[#This Row],[SKU]],'All Skus'!$A:$AC,18,FALSE)),""))</f>
        <v>157</v>
      </c>
      <c r="Q622" s="136">
        <f>(IF((VLOOKUP(Table6[[#This Row],[SKU]],'All Skus'!$A:$AC,2,FALSE))="JBL",(VLOOKUP(Table6[[#This Row],[SKU]],'All Skus'!$A:$AC,19,FALSE)),""))</f>
        <v>33</v>
      </c>
      <c r="R622" s="136">
        <f>(IF((VLOOKUP(Table6[[#This Row],[SKU]],'All Skus'!$A:$AC,2,FALSE))="JBL",(VLOOKUP(Table6[[#This Row],[SKU]],'All Skus'!$A:$AC,20,FALSE)),""))</f>
        <v>31</v>
      </c>
      <c r="S622" s="61">
        <f>(IF((VLOOKUP(Table6[[#This Row],[SKU]],'All Skus'!$A:$AC,2,FALSE))="JBL",(VLOOKUP(Table6[[#This Row],[SKU]],'All Skus'!$A:$AC,21,FALSE)),""))</f>
        <v>42</v>
      </c>
      <c r="T622" s="61" t="str">
        <f>(IF((VLOOKUP(Table6[[#This Row],[SKU]],'All Skus'!$A:$AC,2,FALSE))="JBL",(VLOOKUP(Table6[[#This Row],[SKU]],'All Skus'!$A:$AC,22,FALSE)),""))</f>
        <v>MX</v>
      </c>
      <c r="U622" t="str">
        <f>(IF((VLOOKUP(Table6[[#This Row],[SKU]],'All Skus'!$A:$AC,2,FALSE))="JBL",(VLOOKUP(Table6[[#This Row],[SKU]],'All Skus'!$A:$AC,23,FALSE)),""))</f>
        <v>Compliant</v>
      </c>
      <c r="V622" s="284" t="str">
        <f>HYPERLINK((IF((VLOOKUP(Table6[[#This Row],[SKU]],'All Skus'!$A:$AC,2,FALSE))="JBL",(VLOOKUP(Table6[[#This Row],[SKU]],'All Skus'!$A:$AC,24,FALSE)),"")))</f>
        <v/>
      </c>
      <c r="W622" s="151">
        <v>620</v>
      </c>
    </row>
    <row r="623" spans="1:23" ht="15" hidden="1" customHeight="1">
      <c r="A623" s="13" t="s">
        <v>1629</v>
      </c>
      <c r="B623" s="12" t="str">
        <f>(IF((VLOOKUP(Table6[[#This Row],[SKU]],'All Skus'!$A:$AC,2,FALSE))="JBL",(VLOOKUP(Table6[[#This Row],[SKU]],'All Skus'!$A:$AC,3,FALSE)),""))</f>
        <v>PD Series</v>
      </c>
      <c r="C623" s="12" t="str">
        <f>(IF((VLOOKUP(Table6[[#This Row],[SKU]],'All Skus'!$A:$AC,2,FALSE))="JBL",(VLOOKUP(Table6[[#This Row],[SKU]],'All Skus'!$A:$AC,4,FALSE)),""))</f>
        <v>PD6212/95</v>
      </c>
      <c r="D623" s="61" t="str">
        <f>(IF((VLOOKUP(Table6[[#This Row],[SKU]],'All Skus'!$A:$AC,2,FALSE))="JBL",(VLOOKUP(Table6[[#This Row],[SKU]],'All Skus'!$A:$AC,5,FALSE)),""))</f>
        <v>JBL051</v>
      </c>
      <c r="E623" s="137" t="str">
        <f>(IF((VLOOKUP(Table6[[#This Row],[SKU]],'All Skus'!$A:$AC,2,FALSE))="JBL",(VLOOKUP(Table6[[#This Row],[SKU]],'All Skus'!$A:$AC,6,FALSE)),""))</f>
        <v>YES</v>
      </c>
      <c r="F623" s="61">
        <f>(IF((VLOOKUP(Table6[[#This Row],[SKU]],'All Skus'!$A:$AC,2,FALSE))="JBL",(VLOOKUP(Table6[[#This Row],[SKU]],'All Skus'!$A:$AC,7,FALSE)),""))</f>
        <v>0</v>
      </c>
      <c r="G623" t="str">
        <f>(IF((VLOOKUP(Table6[[#This Row],[SKU]],'All Skus'!$A:$AC,2,FALSE))="JBL",(VLOOKUP(Table6[[#This Row],[SKU]],'All Skus'!$A:$AC,8,FALSE)),""))</f>
        <v>12" two-way horn-loaded loudspeaker</v>
      </c>
      <c r="H623" s="8" t="str">
        <f>(IF((VLOOKUP(Table6[[#This Row],[SKU]],'All Skus'!$A:$AC,2,FALSE))="JBL",(VLOOKUP(Table6[[#This Row],[SKU]],'All Skus'!$A:$AC,9,FALSE)),""))</f>
        <v>High Sensitivity Two-Way FULL-RANGE Loudspeaker with Horn Loaded 12" LF and 90° x  50° Coverage Pattern.  300 mm (12 in.) M222- 8A Horn-loaded LF and Large Format 2451H-1 Neodymium HF Driver. 80 Hz to 18 kHz Frequency Range.      991 x  673 x 706 mm.  (39 x 26.5 x 27.8 in),  69 kg (152 lbs).</v>
      </c>
      <c r="I623" s="101">
        <f>(IF((VLOOKUP(Table6[[#This Row],[SKU]],'All Skus'!$A:$AC,2,FALSE))="JBL",(VLOOKUP(Table6[[#This Row],[SKU]],'All Skus'!$A:$AC,10,FALSE)),""))</f>
        <v>4950</v>
      </c>
      <c r="J623" s="101">
        <f>(IF((VLOOKUP(Table6[[#This Row],[SKU]],'All Skus'!$A:$AC,2,FALSE))="JBL",(VLOOKUP(Table6[[#This Row],[SKU]],'All Skus'!$A:$AC,11,FALSE)),""))</f>
        <v>4950</v>
      </c>
      <c r="K623" s="102">
        <f>(IF((VLOOKUP(Table6[[#This Row],[SKU]],'All Skus'!$A:$AC,2,FALSE))="JBL",(VLOOKUP(Table6[[#This Row],[SKU]],'All Skus'!$A:$AC,13,FALSE)),""))</f>
        <v>0</v>
      </c>
      <c r="L623" s="102">
        <f>(IF((VLOOKUP(Table6[[#This Row],[SKU]],'All Skus'!$A:$AC,2,FALSE))="JBL",(VLOOKUP(Table6[[#This Row],[SKU]],'All Skus'!$A:$AC,14,FALSE)),""))</f>
        <v>0</v>
      </c>
      <c r="M623" s="143">
        <f>(IF((VLOOKUP(Table6[[#This Row],[SKU]],'All Skus'!$A:$AC,2,FALSE))="JBL",(VLOOKUP(Table6[[#This Row],[SKU]],'All Skus'!$A:$AC,15,FALSE)),""))</f>
        <v>0</v>
      </c>
      <c r="N623" s="137">
        <f>(IF((VLOOKUP(Table6[[#This Row],[SKU]],'All Skus'!$A:$AC,2,FALSE))="JBL",(VLOOKUP(Table6[[#This Row],[SKU]],'All Skus'!$A:$AC,16,FALSE)),""))</f>
        <v>691991014680</v>
      </c>
      <c r="O623" s="61">
        <f>(IF((VLOOKUP(Table6[[#This Row],[SKU]],'All Skus'!$A:$AC,2,FALSE))="JBL",(VLOOKUP(Table6[[#This Row],[SKU]],'All Skus'!$A:$AC,17,FALSE)),""))</f>
        <v>0</v>
      </c>
      <c r="P623" s="136">
        <f>(IF((VLOOKUP(Table6[[#This Row],[SKU]],'All Skus'!$A:$AC,2,FALSE))="JBL",(VLOOKUP(Table6[[#This Row],[SKU]],'All Skus'!$A:$AC,18,FALSE)),""))</f>
        <v>150</v>
      </c>
      <c r="Q623" s="136">
        <f>(IF((VLOOKUP(Table6[[#This Row],[SKU]],'All Skus'!$A:$AC,2,FALSE))="JBL",(VLOOKUP(Table6[[#This Row],[SKU]],'All Skus'!$A:$AC,19,FALSE)),""))</f>
        <v>40</v>
      </c>
      <c r="R623" s="136">
        <f>(IF((VLOOKUP(Table6[[#This Row],[SKU]],'All Skus'!$A:$AC,2,FALSE))="JBL",(VLOOKUP(Table6[[#This Row],[SKU]],'All Skus'!$A:$AC,20,FALSE)),""))</f>
        <v>31</v>
      </c>
      <c r="S623" s="61">
        <f>(IF((VLOOKUP(Table6[[#This Row],[SKU]],'All Skus'!$A:$AC,2,FALSE))="JBL",(VLOOKUP(Table6[[#This Row],[SKU]],'All Skus'!$A:$AC,21,FALSE)),""))</f>
        <v>33</v>
      </c>
      <c r="T623" s="61" t="str">
        <f>(IF((VLOOKUP(Table6[[#This Row],[SKU]],'All Skus'!$A:$AC,2,FALSE))="JBL",(VLOOKUP(Table6[[#This Row],[SKU]],'All Skus'!$A:$AC,22,FALSE)),""))</f>
        <v>MX</v>
      </c>
      <c r="U623" t="str">
        <f>(IF((VLOOKUP(Table6[[#This Row],[SKU]],'All Skus'!$A:$AC,2,FALSE))="JBL",(VLOOKUP(Table6[[#This Row],[SKU]],'All Skus'!$A:$AC,23,FALSE)),""))</f>
        <v>Compliant</v>
      </c>
      <c r="V623" s="284" t="str">
        <f>HYPERLINK((IF((VLOOKUP(Table6[[#This Row],[SKU]],'All Skus'!$A:$AC,2,FALSE))="JBL",(VLOOKUP(Table6[[#This Row],[SKU]],'All Skus'!$A:$AC,24,FALSE)),"")))</f>
        <v/>
      </c>
      <c r="W623" s="151">
        <v>621</v>
      </c>
    </row>
    <row r="624" spans="1:23" ht="15" hidden="1" customHeight="1">
      <c r="A624" s="13" t="s">
        <v>1630</v>
      </c>
      <c r="B624" s="12" t="str">
        <f>(IF((VLOOKUP(Table6[[#This Row],[SKU]],'All Skus'!$A:$AC,2,FALSE))="JBL",(VLOOKUP(Table6[[#This Row],[SKU]],'All Skus'!$A:$AC,3,FALSE)),""))</f>
        <v>PD Series</v>
      </c>
      <c r="C624" s="12" t="str">
        <f>(IF((VLOOKUP(Table6[[#This Row],[SKU]],'All Skus'!$A:$AC,2,FALSE))="JBL",(VLOOKUP(Table6[[#This Row],[SKU]],'All Skus'!$A:$AC,4,FALSE)),""))</f>
        <v>PD6212/95-WH</v>
      </c>
      <c r="D624" s="61" t="str">
        <f>(IF((VLOOKUP(Table6[[#This Row],[SKU]],'All Skus'!$A:$AC,2,FALSE))="JBL",(VLOOKUP(Table6[[#This Row],[SKU]],'All Skus'!$A:$AC,5,FALSE)),""))</f>
        <v>JBL051</v>
      </c>
      <c r="E624" s="137" t="str">
        <f>(IF((VLOOKUP(Table6[[#This Row],[SKU]],'All Skus'!$A:$AC,2,FALSE))="JBL",(VLOOKUP(Table6[[#This Row],[SKU]],'All Skus'!$A:$AC,6,FALSE)),""))</f>
        <v>YES</v>
      </c>
      <c r="F624" s="61">
        <f>(IF((VLOOKUP(Table6[[#This Row],[SKU]],'All Skus'!$A:$AC,2,FALSE))="JBL",(VLOOKUP(Table6[[#This Row],[SKU]],'All Skus'!$A:$AC,7,FALSE)),""))</f>
        <v>0</v>
      </c>
      <c r="G624" t="str">
        <f>(IF((VLOOKUP(Table6[[#This Row],[SKU]],'All Skus'!$A:$AC,2,FALSE))="JBL",(VLOOKUP(Table6[[#This Row],[SKU]],'All Skus'!$A:$AC,8,FALSE)),""))</f>
        <v>12" two-way horn-loaded loudspeaker (white)</v>
      </c>
      <c r="H624" s="8" t="str">
        <f>(IF((VLOOKUP(Table6[[#This Row],[SKU]],'All Skus'!$A:$AC,2,FALSE))="JBL",(VLOOKUP(Table6[[#This Row],[SKU]],'All Skus'!$A:$AC,9,FALSE)),""))</f>
        <v>High Sensitivity Two-Way FULL-RANGE Loudspeaker with Horn Loaded 12" LF and 90° x  50° Coverage Pattern.  300 mm (12 in.) M222- 8A Horn-loaded LF and Large Format 2451H-1 Neodymium HF Driver. 80 Hz to 18 kHz Frequency Range.      991 x  673 x 706 mm.  (39 x 26.5 x 27.8 in),  69 kg (152 lbs). White finish</v>
      </c>
      <c r="I624" s="101">
        <f>(IF((VLOOKUP(Table6[[#This Row],[SKU]],'All Skus'!$A:$AC,2,FALSE))="JBL",(VLOOKUP(Table6[[#This Row],[SKU]],'All Skus'!$A:$AC,10,FALSE)),""))</f>
        <v>4950</v>
      </c>
      <c r="J624" s="101">
        <f>(IF((VLOOKUP(Table6[[#This Row],[SKU]],'All Skus'!$A:$AC,2,FALSE))="JBL",(VLOOKUP(Table6[[#This Row],[SKU]],'All Skus'!$A:$AC,11,FALSE)),""))</f>
        <v>4950</v>
      </c>
      <c r="K624" s="102">
        <f>(IF((VLOOKUP(Table6[[#This Row],[SKU]],'All Skus'!$A:$AC,2,FALSE))="JBL",(VLOOKUP(Table6[[#This Row],[SKU]],'All Skus'!$A:$AC,13,FALSE)),""))</f>
        <v>0</v>
      </c>
      <c r="L624" s="102">
        <f>(IF((VLOOKUP(Table6[[#This Row],[SKU]],'All Skus'!$A:$AC,2,FALSE))="JBL",(VLOOKUP(Table6[[#This Row],[SKU]],'All Skus'!$A:$AC,14,FALSE)),""))</f>
        <v>0</v>
      </c>
      <c r="M624" s="143">
        <f>(IF((VLOOKUP(Table6[[#This Row],[SKU]],'All Skus'!$A:$AC,2,FALSE))="JBL",(VLOOKUP(Table6[[#This Row],[SKU]],'All Skus'!$A:$AC,15,FALSE)),""))</f>
        <v>0</v>
      </c>
      <c r="N624" s="137">
        <f>(IF((VLOOKUP(Table6[[#This Row],[SKU]],'All Skus'!$A:$AC,2,FALSE))="JBL",(VLOOKUP(Table6[[#This Row],[SKU]],'All Skus'!$A:$AC,16,FALSE)),""))</f>
        <v>0</v>
      </c>
      <c r="O624" s="61">
        <f>(IF((VLOOKUP(Table6[[#This Row],[SKU]],'All Skus'!$A:$AC,2,FALSE))="JBL",(VLOOKUP(Table6[[#This Row],[SKU]],'All Skus'!$A:$AC,17,FALSE)),""))</f>
        <v>0</v>
      </c>
      <c r="P624" s="136">
        <f>(IF((VLOOKUP(Table6[[#This Row],[SKU]],'All Skus'!$A:$AC,2,FALSE))="JBL",(VLOOKUP(Table6[[#This Row],[SKU]],'All Skus'!$A:$AC,18,FALSE)),""))</f>
        <v>180</v>
      </c>
      <c r="Q624" s="136">
        <f>(IF((VLOOKUP(Table6[[#This Row],[SKU]],'All Skus'!$A:$AC,2,FALSE))="JBL",(VLOOKUP(Table6[[#This Row],[SKU]],'All Skus'!$A:$AC,19,FALSE)),""))</f>
        <v>31</v>
      </c>
      <c r="R624" s="136">
        <f>(IF((VLOOKUP(Table6[[#This Row],[SKU]],'All Skus'!$A:$AC,2,FALSE))="JBL",(VLOOKUP(Table6[[#This Row],[SKU]],'All Skus'!$A:$AC,20,FALSE)),""))</f>
        <v>33</v>
      </c>
      <c r="S624" s="61">
        <f>(IF((VLOOKUP(Table6[[#This Row],[SKU]],'All Skus'!$A:$AC,2,FALSE))="JBL",(VLOOKUP(Table6[[#This Row],[SKU]],'All Skus'!$A:$AC,21,FALSE)),""))</f>
        <v>42</v>
      </c>
      <c r="T624" s="61" t="str">
        <f>(IF((VLOOKUP(Table6[[#This Row],[SKU]],'All Skus'!$A:$AC,2,FALSE))="JBL",(VLOOKUP(Table6[[#This Row],[SKU]],'All Skus'!$A:$AC,22,FALSE)),""))</f>
        <v>MX</v>
      </c>
      <c r="U624" t="str">
        <f>(IF((VLOOKUP(Table6[[#This Row],[SKU]],'All Skus'!$A:$AC,2,FALSE))="JBL",(VLOOKUP(Table6[[#This Row],[SKU]],'All Skus'!$A:$AC,23,FALSE)),""))</f>
        <v>Compliant</v>
      </c>
      <c r="V624" s="284" t="str">
        <f>HYPERLINK((IF((VLOOKUP(Table6[[#This Row],[SKU]],'All Skus'!$A:$AC,2,FALSE))="JBL",(VLOOKUP(Table6[[#This Row],[SKU]],'All Skus'!$A:$AC,24,FALSE)),"")))</f>
        <v/>
      </c>
      <c r="W624" s="151">
        <v>622</v>
      </c>
    </row>
    <row r="625" spans="1:23" ht="15" hidden="1" customHeight="1">
      <c r="A625" s="13" t="s">
        <v>1631</v>
      </c>
      <c r="B625" s="12" t="str">
        <f>(IF((VLOOKUP(Table6[[#This Row],[SKU]],'All Skus'!$A:$AC,2,FALSE))="JBL",(VLOOKUP(Table6[[#This Row],[SKU]],'All Skus'!$A:$AC,3,FALSE)),""))</f>
        <v>Custom Shop Item</v>
      </c>
      <c r="C625" s="12" t="str">
        <f>(IF((VLOOKUP(Table6[[#This Row],[SKU]],'All Skus'!$A:$AC,2,FALSE))="JBL",(VLOOKUP(Table6[[#This Row],[SKU]],'All Skus'!$A:$AC,4,FALSE)),""))</f>
        <v>PD6212/95-WRC</v>
      </c>
      <c r="D625" s="61" t="str">
        <f>(IF((VLOOKUP(Table6[[#This Row],[SKU]],'All Skus'!$A:$AC,2,FALSE))="JBL",(VLOOKUP(Table6[[#This Row],[SKU]],'All Skus'!$A:$AC,5,FALSE)),""))</f>
        <v>JBL050</v>
      </c>
      <c r="E625" s="137" t="str">
        <f>(IF((VLOOKUP(Table6[[#This Row],[SKU]],'All Skus'!$A:$AC,2,FALSE))="JBL",(VLOOKUP(Table6[[#This Row],[SKU]],'All Skus'!$A:$AC,6,FALSE)),""))</f>
        <v>YES</v>
      </c>
      <c r="F625" s="61">
        <f>(IF((VLOOKUP(Table6[[#This Row],[SKU]],'All Skus'!$A:$AC,2,FALSE))="JBL",(VLOOKUP(Table6[[#This Row],[SKU]],'All Skus'!$A:$AC,7,FALSE)),""))</f>
        <v>0</v>
      </c>
      <c r="G625" t="str">
        <f>(IF((VLOOKUP(Table6[[#This Row],[SKU]],'All Skus'!$A:$AC,2,FALSE))="JBL",(VLOOKUP(Table6[[#This Row],[SKU]],'All Skus'!$A:$AC,8,FALSE)),""))</f>
        <v>12" two-way horn-loaded loudspeaker (Weather Protection Treatment)</v>
      </c>
      <c r="H625" s="8" t="str">
        <f>(IF((VLOOKUP(Table6[[#This Row],[SKU]],'All Skus'!$A:$AC,2,FALSE))="JBL",(VLOOKUP(Table6[[#This Row],[SKU]],'All Skus'!$A:$AC,9,FALSE)),""))</f>
        <v>High Sensitivity Two-Way FULL-RANGE Loudspeaker with Horn Loaded 12" LF and 90° x  50° Coverage Pattern.  300 mm (12 in.) M222- 8A Horn-loaded LF and Large Format 2451H-1 Neodymium HF Driver. 80 Hz to 18 kHz Frequency Range.      991 x  673 x 706 mm.  (39 x 26.5 x 27.8 in),  69 kg (152 lbs). With Extreme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25" s="101" t="str">
        <f>(IF((VLOOKUP(Table6[[#This Row],[SKU]],'All Skus'!$A:$AC,2,FALSE))="JBL",(VLOOKUP(Table6[[#This Row],[SKU]],'All Skus'!$A:$AC,10,FALSE)),""))</f>
        <v>Please email CustomAudio@harman.com for quote</v>
      </c>
      <c r="J625" s="101">
        <f>(IF((VLOOKUP(Table6[[#This Row],[SKU]],'All Skus'!$A:$AC,2,FALSE))="JBL",(VLOOKUP(Table6[[#This Row],[SKU]],'All Skus'!$A:$AC,11,FALSE)),""))</f>
        <v>0</v>
      </c>
      <c r="K625" s="102">
        <f>(IF((VLOOKUP(Table6[[#This Row],[SKU]],'All Skus'!$A:$AC,2,FALSE))="JBL",(VLOOKUP(Table6[[#This Row],[SKU]],'All Skus'!$A:$AC,13,FALSE)),""))</f>
        <v>0</v>
      </c>
      <c r="L625" s="102">
        <f>(IF((VLOOKUP(Table6[[#This Row],[SKU]],'All Skus'!$A:$AC,2,FALSE))="JBL",(VLOOKUP(Table6[[#This Row],[SKU]],'All Skus'!$A:$AC,14,FALSE)),""))</f>
        <v>0</v>
      </c>
      <c r="M625" s="143">
        <f>(IF((VLOOKUP(Table6[[#This Row],[SKU]],'All Skus'!$A:$AC,2,FALSE))="JBL",(VLOOKUP(Table6[[#This Row],[SKU]],'All Skus'!$A:$AC,15,FALSE)),""))</f>
        <v>0</v>
      </c>
      <c r="N625" s="137">
        <f>(IF((VLOOKUP(Table6[[#This Row],[SKU]],'All Skus'!$A:$AC,2,FALSE))="JBL",(VLOOKUP(Table6[[#This Row],[SKU]],'All Skus'!$A:$AC,16,FALSE)),""))</f>
        <v>691991014697</v>
      </c>
      <c r="O625" s="61">
        <f>(IF((VLOOKUP(Table6[[#This Row],[SKU]],'All Skus'!$A:$AC,2,FALSE))="JBL",(VLOOKUP(Table6[[#This Row],[SKU]],'All Skus'!$A:$AC,17,FALSE)),""))</f>
        <v>0</v>
      </c>
      <c r="P625" s="136">
        <f>(IF((VLOOKUP(Table6[[#This Row],[SKU]],'All Skus'!$A:$AC,2,FALSE))="JBL",(VLOOKUP(Table6[[#This Row],[SKU]],'All Skus'!$A:$AC,18,FALSE)),""))</f>
        <v>0</v>
      </c>
      <c r="Q625" s="136">
        <f>(IF((VLOOKUP(Table6[[#This Row],[SKU]],'All Skus'!$A:$AC,2,FALSE))="JBL",(VLOOKUP(Table6[[#This Row],[SKU]],'All Skus'!$A:$AC,19,FALSE)),""))</f>
        <v>0</v>
      </c>
      <c r="R625" s="136">
        <f>(IF((VLOOKUP(Table6[[#This Row],[SKU]],'All Skus'!$A:$AC,2,FALSE))="JBL",(VLOOKUP(Table6[[#This Row],[SKU]],'All Skus'!$A:$AC,20,FALSE)),""))</f>
        <v>0</v>
      </c>
      <c r="S625" s="61">
        <f>(IF((VLOOKUP(Table6[[#This Row],[SKU]],'All Skus'!$A:$AC,2,FALSE))="JBL",(VLOOKUP(Table6[[#This Row],[SKU]],'All Skus'!$A:$AC,21,FALSE)),""))</f>
        <v>0</v>
      </c>
      <c r="T625" s="61" t="str">
        <f>(IF((VLOOKUP(Table6[[#This Row],[SKU]],'All Skus'!$A:$AC,2,FALSE))="JBL",(VLOOKUP(Table6[[#This Row],[SKU]],'All Skus'!$A:$AC,22,FALSE)),""))</f>
        <v>MX</v>
      </c>
      <c r="U625" t="str">
        <f>(IF((VLOOKUP(Table6[[#This Row],[SKU]],'All Skus'!$A:$AC,2,FALSE))="JBL",(VLOOKUP(Table6[[#This Row],[SKU]],'All Skus'!$A:$AC,23,FALSE)),""))</f>
        <v>Compliant</v>
      </c>
      <c r="V625" s="284" t="str">
        <f>HYPERLINK((IF((VLOOKUP(Table6[[#This Row],[SKU]],'All Skus'!$A:$AC,2,FALSE))="JBL",(VLOOKUP(Table6[[#This Row],[SKU]],'All Skus'!$A:$AC,24,FALSE)),"")))</f>
        <v/>
      </c>
      <c r="W625" s="151">
        <v>623</v>
      </c>
    </row>
    <row r="626" spans="1:23" ht="15" hidden="1" customHeight="1">
      <c r="A626" s="13" t="s">
        <v>1632</v>
      </c>
      <c r="B626" s="12" t="str">
        <f>(IF((VLOOKUP(Table6[[#This Row],[SKU]],'All Skus'!$A:$AC,2,FALSE))="JBL",(VLOOKUP(Table6[[#This Row],[SKU]],'All Skus'!$A:$AC,3,FALSE)),""))</f>
        <v>PD Series</v>
      </c>
      <c r="C626" s="12" t="str">
        <f>(IF((VLOOKUP(Table6[[#This Row],[SKU]],'All Skus'!$A:$AC,2,FALSE))="JBL",(VLOOKUP(Table6[[#This Row],[SKU]],'All Skus'!$A:$AC,4,FALSE)),""))</f>
        <v>PD6322/43</v>
      </c>
      <c r="D626" s="61" t="str">
        <f>(IF((VLOOKUP(Table6[[#This Row],[SKU]],'All Skus'!$A:$AC,2,FALSE))="JBL",(VLOOKUP(Table6[[#This Row],[SKU]],'All Skus'!$A:$AC,5,FALSE)),""))</f>
        <v>JBL051</v>
      </c>
      <c r="E626" s="137" t="str">
        <f>(IF((VLOOKUP(Table6[[#This Row],[SKU]],'All Skus'!$A:$AC,2,FALSE))="JBL",(VLOOKUP(Table6[[#This Row],[SKU]],'All Skus'!$A:$AC,6,FALSE)),""))</f>
        <v>YES</v>
      </c>
      <c r="F626" s="61">
        <f>(IF((VLOOKUP(Table6[[#This Row],[SKU]],'All Skus'!$A:$AC,2,FALSE))="JBL",(VLOOKUP(Table6[[#This Row],[SKU]],'All Skus'!$A:$AC,7,FALSE)),""))</f>
        <v>0</v>
      </c>
      <c r="G626" t="str">
        <f>(IF((VLOOKUP(Table6[[#This Row],[SKU]],'All Skus'!$A:$AC,2,FALSE))="JBL",(VLOOKUP(Table6[[#This Row],[SKU]],'All Skus'!$A:$AC,8,FALSE)),""))</f>
        <v>Dual 12" three-way full-range loudspeaker</v>
      </c>
      <c r="H626" s="8" t="str">
        <f>(IF((VLOOKUP(Table6[[#This Row],[SKU]],'All Skus'!$A:$AC,2,FALSE))="JBL",(VLOOKUP(Table6[[#This Row],[SKU]],'All Skus'!$A:$AC,9,FALSE)),""))</f>
        <v>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v>
      </c>
      <c r="I626" s="101">
        <f>(IF((VLOOKUP(Table6[[#This Row],[SKU]],'All Skus'!$A:$AC,2,FALSE))="JBL",(VLOOKUP(Table6[[#This Row],[SKU]],'All Skus'!$A:$AC,10,FALSE)),""))</f>
        <v>7856</v>
      </c>
      <c r="J626" s="101">
        <f>(IF((VLOOKUP(Table6[[#This Row],[SKU]],'All Skus'!$A:$AC,2,FALSE))="JBL",(VLOOKUP(Table6[[#This Row],[SKU]],'All Skus'!$A:$AC,11,FALSE)),""))</f>
        <v>7856</v>
      </c>
      <c r="K626" s="102">
        <f>(IF((VLOOKUP(Table6[[#This Row],[SKU]],'All Skus'!$A:$AC,2,FALSE))="JBL",(VLOOKUP(Table6[[#This Row],[SKU]],'All Skus'!$A:$AC,13,FALSE)),""))</f>
        <v>0</v>
      </c>
      <c r="L626" s="102">
        <f>(IF((VLOOKUP(Table6[[#This Row],[SKU]],'All Skus'!$A:$AC,2,FALSE))="JBL",(VLOOKUP(Table6[[#This Row],[SKU]],'All Skus'!$A:$AC,14,FALSE)),""))</f>
        <v>0</v>
      </c>
      <c r="M626" s="143">
        <f>(IF((VLOOKUP(Table6[[#This Row],[SKU]],'All Skus'!$A:$AC,2,FALSE))="JBL",(VLOOKUP(Table6[[#This Row],[SKU]],'All Skus'!$A:$AC,15,FALSE)),""))</f>
        <v>0</v>
      </c>
      <c r="N626" s="137">
        <f>(IF((VLOOKUP(Table6[[#This Row],[SKU]],'All Skus'!$A:$AC,2,FALSE))="JBL",(VLOOKUP(Table6[[#This Row],[SKU]],'All Skus'!$A:$AC,16,FALSE)),""))</f>
        <v>691991014703</v>
      </c>
      <c r="O626" s="61">
        <f>(IF((VLOOKUP(Table6[[#This Row],[SKU]],'All Skus'!$A:$AC,2,FALSE))="JBL",(VLOOKUP(Table6[[#This Row],[SKU]],'All Skus'!$A:$AC,17,FALSE)),""))</f>
        <v>0</v>
      </c>
      <c r="P626" s="136">
        <f>(IF((VLOOKUP(Table6[[#This Row],[SKU]],'All Skus'!$A:$AC,2,FALSE))="JBL",(VLOOKUP(Table6[[#This Row],[SKU]],'All Skus'!$A:$AC,18,FALSE)),""))</f>
        <v>200</v>
      </c>
      <c r="Q626" s="136">
        <f>(IF((VLOOKUP(Table6[[#This Row],[SKU]],'All Skus'!$A:$AC,2,FALSE))="JBL",(VLOOKUP(Table6[[#This Row],[SKU]],'All Skus'!$A:$AC,19,FALSE)),""))</f>
        <v>31</v>
      </c>
      <c r="R626" s="136">
        <f>(IF((VLOOKUP(Table6[[#This Row],[SKU]],'All Skus'!$A:$AC,2,FALSE))="JBL",(VLOOKUP(Table6[[#This Row],[SKU]],'All Skus'!$A:$AC,20,FALSE)),""))</f>
        <v>33</v>
      </c>
      <c r="S626" s="61">
        <f>(IF((VLOOKUP(Table6[[#This Row],[SKU]],'All Skus'!$A:$AC,2,FALSE))="JBL",(VLOOKUP(Table6[[#This Row],[SKU]],'All Skus'!$A:$AC,21,FALSE)),""))</f>
        <v>41</v>
      </c>
      <c r="T626" s="61" t="str">
        <f>(IF((VLOOKUP(Table6[[#This Row],[SKU]],'All Skus'!$A:$AC,2,FALSE))="JBL",(VLOOKUP(Table6[[#This Row],[SKU]],'All Skus'!$A:$AC,22,FALSE)),""))</f>
        <v>MX</v>
      </c>
      <c r="U626" t="str">
        <f>(IF((VLOOKUP(Table6[[#This Row],[SKU]],'All Skus'!$A:$AC,2,FALSE))="JBL",(VLOOKUP(Table6[[#This Row],[SKU]],'All Skus'!$A:$AC,23,FALSE)),""))</f>
        <v>Compliant</v>
      </c>
      <c r="V626" s="284" t="str">
        <f>HYPERLINK((IF((VLOOKUP(Table6[[#This Row],[SKU]],'All Skus'!$A:$AC,2,FALSE))="JBL",(VLOOKUP(Table6[[#This Row],[SKU]],'All Skus'!$A:$AC,24,FALSE)),"")))</f>
        <v/>
      </c>
      <c r="W626" s="151">
        <v>624</v>
      </c>
    </row>
    <row r="627" spans="1:23" ht="15" hidden="1" customHeight="1">
      <c r="A627" s="13" t="s">
        <v>1633</v>
      </c>
      <c r="B627" s="12" t="str">
        <f>(IF((VLOOKUP(Table6[[#This Row],[SKU]],'All Skus'!$A:$AC,2,FALSE))="JBL",(VLOOKUP(Table6[[#This Row],[SKU]],'All Skus'!$A:$AC,3,FALSE)),""))</f>
        <v>PD Series</v>
      </c>
      <c r="C627" s="12" t="str">
        <f>(IF((VLOOKUP(Table6[[#This Row],[SKU]],'All Skus'!$A:$AC,2,FALSE))="JBL",(VLOOKUP(Table6[[#This Row],[SKU]],'All Skus'!$A:$AC,4,FALSE)),""))</f>
        <v>PD6322/43-WH</v>
      </c>
      <c r="D627" s="61" t="str">
        <f>(IF((VLOOKUP(Table6[[#This Row],[SKU]],'All Skus'!$A:$AC,2,FALSE))="JBL",(VLOOKUP(Table6[[#This Row],[SKU]],'All Skus'!$A:$AC,5,FALSE)),""))</f>
        <v>JBL051</v>
      </c>
      <c r="E627" s="137" t="str">
        <f>(IF((VLOOKUP(Table6[[#This Row],[SKU]],'All Skus'!$A:$AC,2,FALSE))="JBL",(VLOOKUP(Table6[[#This Row],[SKU]],'All Skus'!$A:$AC,6,FALSE)),""))</f>
        <v>YES</v>
      </c>
      <c r="F627" s="61">
        <f>(IF((VLOOKUP(Table6[[#This Row],[SKU]],'All Skus'!$A:$AC,2,FALSE))="JBL",(VLOOKUP(Table6[[#This Row],[SKU]],'All Skus'!$A:$AC,7,FALSE)),""))</f>
        <v>0</v>
      </c>
      <c r="G627" t="str">
        <f>(IF((VLOOKUP(Table6[[#This Row],[SKU]],'All Skus'!$A:$AC,2,FALSE))="JBL",(VLOOKUP(Table6[[#This Row],[SKU]],'All Skus'!$A:$AC,8,FALSE)),""))</f>
        <v>Dual 12" three-way full-range loudspeaker (white)</v>
      </c>
      <c r="H627" s="8" t="str">
        <f>(IF((VLOOKUP(Table6[[#This Row],[SKU]],'All Skus'!$A:$AC,2,FALSE))="JBL",(VLOOKUP(Table6[[#This Row],[SKU]],'All Skus'!$A:$AC,9,FALSE)),""))</f>
        <v>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White finish.</v>
      </c>
      <c r="I627" s="101">
        <f>(IF((VLOOKUP(Table6[[#This Row],[SKU]],'All Skus'!$A:$AC,2,FALSE))="JBL",(VLOOKUP(Table6[[#This Row],[SKU]],'All Skus'!$A:$AC,10,FALSE)),""))</f>
        <v>7856</v>
      </c>
      <c r="J627" s="101">
        <f>(IF((VLOOKUP(Table6[[#This Row],[SKU]],'All Skus'!$A:$AC,2,FALSE))="JBL",(VLOOKUP(Table6[[#This Row],[SKU]],'All Skus'!$A:$AC,11,FALSE)),""))</f>
        <v>7856</v>
      </c>
      <c r="K627" s="102">
        <f>(IF((VLOOKUP(Table6[[#This Row],[SKU]],'All Skus'!$A:$AC,2,FALSE))="JBL",(VLOOKUP(Table6[[#This Row],[SKU]],'All Skus'!$A:$AC,13,FALSE)),""))</f>
        <v>0</v>
      </c>
      <c r="L627" s="102">
        <f>(IF((VLOOKUP(Table6[[#This Row],[SKU]],'All Skus'!$A:$AC,2,FALSE))="JBL",(VLOOKUP(Table6[[#This Row],[SKU]],'All Skus'!$A:$AC,14,FALSE)),""))</f>
        <v>0</v>
      </c>
      <c r="M627" s="143">
        <f>(IF((VLOOKUP(Table6[[#This Row],[SKU]],'All Skus'!$A:$AC,2,FALSE))="JBL",(VLOOKUP(Table6[[#This Row],[SKU]],'All Skus'!$A:$AC,15,FALSE)),""))</f>
        <v>0</v>
      </c>
      <c r="N627" s="137">
        <f>(IF((VLOOKUP(Table6[[#This Row],[SKU]],'All Skus'!$A:$AC,2,FALSE))="JBL",(VLOOKUP(Table6[[#This Row],[SKU]],'All Skus'!$A:$AC,16,FALSE)),""))</f>
        <v>691991014710</v>
      </c>
      <c r="O627" s="61">
        <f>(IF((VLOOKUP(Table6[[#This Row],[SKU]],'All Skus'!$A:$AC,2,FALSE))="JBL",(VLOOKUP(Table6[[#This Row],[SKU]],'All Skus'!$A:$AC,17,FALSE)),""))</f>
        <v>0</v>
      </c>
      <c r="P627" s="136">
        <f>(IF((VLOOKUP(Table6[[#This Row],[SKU]],'All Skus'!$A:$AC,2,FALSE))="JBL",(VLOOKUP(Table6[[#This Row],[SKU]],'All Skus'!$A:$AC,18,FALSE)),""))</f>
        <v>249</v>
      </c>
      <c r="Q627" s="136">
        <f>(IF((VLOOKUP(Table6[[#This Row],[SKU]],'All Skus'!$A:$AC,2,FALSE))="JBL",(VLOOKUP(Table6[[#This Row],[SKU]],'All Skus'!$A:$AC,19,FALSE)),""))</f>
        <v>40</v>
      </c>
      <c r="R627" s="136">
        <f>(IF((VLOOKUP(Table6[[#This Row],[SKU]],'All Skus'!$A:$AC,2,FALSE))="JBL",(VLOOKUP(Table6[[#This Row],[SKU]],'All Skus'!$A:$AC,20,FALSE)),""))</f>
        <v>31</v>
      </c>
      <c r="S627" s="61">
        <f>(IF((VLOOKUP(Table6[[#This Row],[SKU]],'All Skus'!$A:$AC,2,FALSE))="JBL",(VLOOKUP(Table6[[#This Row],[SKU]],'All Skus'!$A:$AC,21,FALSE)),""))</f>
        <v>42</v>
      </c>
      <c r="T627" s="61" t="str">
        <f>(IF((VLOOKUP(Table6[[#This Row],[SKU]],'All Skus'!$A:$AC,2,FALSE))="JBL",(VLOOKUP(Table6[[#This Row],[SKU]],'All Skus'!$A:$AC,22,FALSE)),""))</f>
        <v>MX</v>
      </c>
      <c r="U627" t="str">
        <f>(IF((VLOOKUP(Table6[[#This Row],[SKU]],'All Skus'!$A:$AC,2,FALSE))="JBL",(VLOOKUP(Table6[[#This Row],[SKU]],'All Skus'!$A:$AC,23,FALSE)),""))</f>
        <v>Compliant</v>
      </c>
      <c r="V627" s="284" t="str">
        <f>HYPERLINK((IF((VLOOKUP(Table6[[#This Row],[SKU]],'All Skus'!$A:$AC,2,FALSE))="JBL",(VLOOKUP(Table6[[#This Row],[SKU]],'All Skus'!$A:$AC,24,FALSE)),"")))</f>
        <v/>
      </c>
      <c r="W627" s="151">
        <v>625</v>
      </c>
    </row>
    <row r="628" spans="1:23" ht="15" hidden="1" customHeight="1">
      <c r="A628" s="13" t="s">
        <v>1634</v>
      </c>
      <c r="B628" s="12" t="str">
        <f>(IF((VLOOKUP(Table6[[#This Row],[SKU]],'All Skus'!$A:$AC,2,FALSE))="JBL",(VLOOKUP(Table6[[#This Row],[SKU]],'All Skus'!$A:$AC,3,FALSE)),""))</f>
        <v>Custom Shop Item</v>
      </c>
      <c r="C628" s="12" t="str">
        <f>(IF((VLOOKUP(Table6[[#This Row],[SKU]],'All Skus'!$A:$AC,2,FALSE))="JBL",(VLOOKUP(Table6[[#This Row],[SKU]],'All Skus'!$A:$AC,4,FALSE)),""))</f>
        <v>PD6322/43-WRC</v>
      </c>
      <c r="D628" s="61">
        <f>(IF((VLOOKUP(Table6[[#This Row],[SKU]],'All Skus'!$A:$AC,2,FALSE))="JBL",(VLOOKUP(Table6[[#This Row],[SKU]],'All Skus'!$A:$AC,5,FALSE)),""))</f>
        <v>0</v>
      </c>
      <c r="E628" s="137" t="str">
        <f>(IF((VLOOKUP(Table6[[#This Row],[SKU]],'All Skus'!$A:$AC,2,FALSE))="JBL",(VLOOKUP(Table6[[#This Row],[SKU]],'All Skus'!$A:$AC,6,FALSE)),""))</f>
        <v>YES</v>
      </c>
      <c r="F628" s="61">
        <f>(IF((VLOOKUP(Table6[[#This Row],[SKU]],'All Skus'!$A:$AC,2,FALSE))="JBL",(VLOOKUP(Table6[[#This Row],[SKU]],'All Skus'!$A:$AC,7,FALSE)),""))</f>
        <v>0</v>
      </c>
      <c r="G628" t="str">
        <f>(IF((VLOOKUP(Table6[[#This Row],[SKU]],'All Skus'!$A:$AC,2,FALSE))="JBL",(VLOOKUP(Table6[[#This Row],[SKU]],'All Skus'!$A:$AC,8,FALSE)),""))</f>
        <v>Dual 12" three-way full-range loudspeaker (Weather Protection Treatment)</v>
      </c>
      <c r="H628" s="8" t="str">
        <f>(IF((VLOOKUP(Table6[[#This Row],[SKU]],'All Skus'!$A:$AC,2,FALSE))="JBL",(VLOOKUP(Table6[[#This Row],[SKU]],'All Skus'!$A:$AC,9,FALSE)),""))</f>
        <v>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28" s="101" t="str">
        <f>(IF((VLOOKUP(Table6[[#This Row],[SKU]],'All Skus'!$A:$AC,2,FALSE))="JBL",(VLOOKUP(Table6[[#This Row],[SKU]],'All Skus'!$A:$AC,10,FALSE)),""))</f>
        <v>Please email CustomAudio@harman.com for quote</v>
      </c>
      <c r="J628" s="101">
        <f>(IF((VLOOKUP(Table6[[#This Row],[SKU]],'All Skus'!$A:$AC,2,FALSE))="JBL",(VLOOKUP(Table6[[#This Row],[SKU]],'All Skus'!$A:$AC,11,FALSE)),""))</f>
        <v>0</v>
      </c>
      <c r="K628" s="102">
        <f>(IF((VLOOKUP(Table6[[#This Row],[SKU]],'All Skus'!$A:$AC,2,FALSE))="JBL",(VLOOKUP(Table6[[#This Row],[SKU]],'All Skus'!$A:$AC,13,FALSE)),""))</f>
        <v>0</v>
      </c>
      <c r="L628" s="102">
        <f>(IF((VLOOKUP(Table6[[#This Row],[SKU]],'All Skus'!$A:$AC,2,FALSE))="JBL",(VLOOKUP(Table6[[#This Row],[SKU]],'All Skus'!$A:$AC,14,FALSE)),""))</f>
        <v>0</v>
      </c>
      <c r="M628" s="143">
        <f>(IF((VLOOKUP(Table6[[#This Row],[SKU]],'All Skus'!$A:$AC,2,FALSE))="JBL",(VLOOKUP(Table6[[#This Row],[SKU]],'All Skus'!$A:$AC,15,FALSE)),""))</f>
        <v>0</v>
      </c>
      <c r="N628" s="137">
        <f>(IF((VLOOKUP(Table6[[#This Row],[SKU]],'All Skus'!$A:$AC,2,FALSE))="JBL",(VLOOKUP(Table6[[#This Row],[SKU]],'All Skus'!$A:$AC,16,FALSE)),""))</f>
        <v>691991014727</v>
      </c>
      <c r="O628" s="61">
        <f>(IF((VLOOKUP(Table6[[#This Row],[SKU]],'All Skus'!$A:$AC,2,FALSE))="JBL",(VLOOKUP(Table6[[#This Row],[SKU]],'All Skus'!$A:$AC,17,FALSE)),""))</f>
        <v>0</v>
      </c>
      <c r="P628" s="136">
        <f>(IF((VLOOKUP(Table6[[#This Row],[SKU]],'All Skus'!$A:$AC,2,FALSE))="JBL",(VLOOKUP(Table6[[#This Row],[SKU]],'All Skus'!$A:$AC,18,FALSE)),""))</f>
        <v>0</v>
      </c>
      <c r="Q628" s="136">
        <f>(IF((VLOOKUP(Table6[[#This Row],[SKU]],'All Skus'!$A:$AC,2,FALSE))="JBL",(VLOOKUP(Table6[[#This Row],[SKU]],'All Skus'!$A:$AC,19,FALSE)),""))</f>
        <v>0</v>
      </c>
      <c r="R628" s="136">
        <f>(IF((VLOOKUP(Table6[[#This Row],[SKU]],'All Skus'!$A:$AC,2,FALSE))="JBL",(VLOOKUP(Table6[[#This Row],[SKU]],'All Skus'!$A:$AC,20,FALSE)),""))</f>
        <v>0</v>
      </c>
      <c r="S628" s="61">
        <f>(IF((VLOOKUP(Table6[[#This Row],[SKU]],'All Skus'!$A:$AC,2,FALSE))="JBL",(VLOOKUP(Table6[[#This Row],[SKU]],'All Skus'!$A:$AC,21,FALSE)),""))</f>
        <v>0</v>
      </c>
      <c r="T628" s="61" t="str">
        <f>(IF((VLOOKUP(Table6[[#This Row],[SKU]],'All Skus'!$A:$AC,2,FALSE))="JBL",(VLOOKUP(Table6[[#This Row],[SKU]],'All Skus'!$A:$AC,22,FALSE)),""))</f>
        <v>MX</v>
      </c>
      <c r="U628" t="str">
        <f>(IF((VLOOKUP(Table6[[#This Row],[SKU]],'All Skus'!$A:$AC,2,FALSE))="JBL",(VLOOKUP(Table6[[#This Row],[SKU]],'All Skus'!$A:$AC,23,FALSE)),""))</f>
        <v>Compliant</v>
      </c>
      <c r="V628" s="284" t="str">
        <f>HYPERLINK((IF((VLOOKUP(Table6[[#This Row],[SKU]],'All Skus'!$A:$AC,2,FALSE))="JBL",(VLOOKUP(Table6[[#This Row],[SKU]],'All Skus'!$A:$AC,24,FALSE)),"")))</f>
        <v/>
      </c>
      <c r="W628" s="151">
        <v>626</v>
      </c>
    </row>
    <row r="629" spans="1:23" ht="15" hidden="1" customHeight="1">
      <c r="A629" s="13" t="s">
        <v>1635</v>
      </c>
      <c r="B629" s="12" t="str">
        <f>(IF((VLOOKUP(Table6[[#This Row],[SKU]],'All Skus'!$A:$AC,2,FALSE))="JBL",(VLOOKUP(Table6[[#This Row],[SKU]],'All Skus'!$A:$AC,3,FALSE)),""))</f>
        <v>Custom Shop Item</v>
      </c>
      <c r="C629" s="12" t="str">
        <f>(IF((VLOOKUP(Table6[[#This Row],[SKU]],'All Skus'!$A:$AC,2,FALSE))="JBL",(VLOOKUP(Table6[[#This Row],[SKU]],'All Skus'!$A:$AC,4,FALSE)),""))</f>
        <v>PD6322/43-WRX</v>
      </c>
      <c r="D629" s="61" t="str">
        <f>(IF((VLOOKUP(Table6[[#This Row],[SKU]],'All Skus'!$A:$AC,2,FALSE))="JBL",(VLOOKUP(Table6[[#This Row],[SKU]],'All Skus'!$A:$AC,5,FALSE)),""))</f>
        <v>JBL050</v>
      </c>
      <c r="E629" s="137" t="str">
        <f>(IF((VLOOKUP(Table6[[#This Row],[SKU]],'All Skus'!$A:$AC,2,FALSE))="JBL",(VLOOKUP(Table6[[#This Row],[SKU]],'All Skus'!$A:$AC,6,FALSE)),""))</f>
        <v>YES</v>
      </c>
      <c r="F629" s="61">
        <f>(IF((VLOOKUP(Table6[[#This Row],[SKU]],'All Skus'!$A:$AC,2,FALSE))="JBL",(VLOOKUP(Table6[[#This Row],[SKU]],'All Skus'!$A:$AC,7,FALSE)),""))</f>
        <v>0</v>
      </c>
      <c r="G629" t="str">
        <f>(IF((VLOOKUP(Table6[[#This Row],[SKU]],'All Skus'!$A:$AC,2,FALSE))="JBL",(VLOOKUP(Table6[[#This Row],[SKU]],'All Skus'!$A:$AC,8,FALSE)),""))</f>
        <v>Dual 12" three-way full-range loudspeaker (Weather Protection Treatment)</v>
      </c>
      <c r="H629" s="8" t="str">
        <f>(IF((VLOOKUP(Table6[[#This Row],[SKU]],'All Skus'!$A:$AC,2,FALSE))="JBL",(VLOOKUP(Table6[[#This Row],[SKU]],'All Skus'!$A:$AC,9,FALSE)),""))</f>
        <v>High Output Three-Way FULL-RANGE Loudspeaker with 12" LF, 8" MF and 40º x 30º Coverage Pattern.  Two 300 mm Loaded LF Configuration, 200 mm (8 in) CMCD™  Cone MidRange Compression Driver and Large Format 2431H Neodymium HF Driver.  40 Hz to 17 kHz Frequency Range. 991 x  673 x  897 mm.  (39 x 26.5 x 35.3 in),  87.3 kg (192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29" s="101" t="str">
        <f>(IF((VLOOKUP(Table6[[#This Row],[SKU]],'All Skus'!$A:$AC,2,FALSE))="JBL",(VLOOKUP(Table6[[#This Row],[SKU]],'All Skus'!$A:$AC,10,FALSE)),""))</f>
        <v>Please email CustomAudio@harman.com for quote</v>
      </c>
      <c r="J629" s="101">
        <f>(IF((VLOOKUP(Table6[[#This Row],[SKU]],'All Skus'!$A:$AC,2,FALSE))="JBL",(VLOOKUP(Table6[[#This Row],[SKU]],'All Skus'!$A:$AC,11,FALSE)),""))</f>
        <v>0</v>
      </c>
      <c r="K629" s="102">
        <f>(IF((VLOOKUP(Table6[[#This Row],[SKU]],'All Skus'!$A:$AC,2,FALSE))="JBL",(VLOOKUP(Table6[[#This Row],[SKU]],'All Skus'!$A:$AC,13,FALSE)),""))</f>
        <v>0</v>
      </c>
      <c r="L629" s="102">
        <f>(IF((VLOOKUP(Table6[[#This Row],[SKU]],'All Skus'!$A:$AC,2,FALSE))="JBL",(VLOOKUP(Table6[[#This Row],[SKU]],'All Skus'!$A:$AC,14,FALSE)),""))</f>
        <v>0</v>
      </c>
      <c r="M629" s="143">
        <f>(IF((VLOOKUP(Table6[[#This Row],[SKU]],'All Skus'!$A:$AC,2,FALSE))="JBL",(VLOOKUP(Table6[[#This Row],[SKU]],'All Skus'!$A:$AC,15,FALSE)),""))</f>
        <v>0</v>
      </c>
      <c r="N629" s="137">
        <f>(IF((VLOOKUP(Table6[[#This Row],[SKU]],'All Skus'!$A:$AC,2,FALSE))="JBL",(VLOOKUP(Table6[[#This Row],[SKU]],'All Skus'!$A:$AC,16,FALSE)),""))</f>
        <v>691991014734</v>
      </c>
      <c r="O629" s="61">
        <f>(IF((VLOOKUP(Table6[[#This Row],[SKU]],'All Skus'!$A:$AC,2,FALSE))="JBL",(VLOOKUP(Table6[[#This Row],[SKU]],'All Skus'!$A:$AC,17,FALSE)),""))</f>
        <v>0</v>
      </c>
      <c r="P629" s="136">
        <f>(IF((VLOOKUP(Table6[[#This Row],[SKU]],'All Skus'!$A:$AC,2,FALSE))="JBL",(VLOOKUP(Table6[[#This Row],[SKU]],'All Skus'!$A:$AC,18,FALSE)),""))</f>
        <v>0</v>
      </c>
      <c r="Q629" s="136">
        <f>(IF((VLOOKUP(Table6[[#This Row],[SKU]],'All Skus'!$A:$AC,2,FALSE))="JBL",(VLOOKUP(Table6[[#This Row],[SKU]],'All Skus'!$A:$AC,19,FALSE)),""))</f>
        <v>0</v>
      </c>
      <c r="R629" s="136">
        <f>(IF((VLOOKUP(Table6[[#This Row],[SKU]],'All Skus'!$A:$AC,2,FALSE))="JBL",(VLOOKUP(Table6[[#This Row],[SKU]],'All Skus'!$A:$AC,20,FALSE)),""))</f>
        <v>0</v>
      </c>
      <c r="S629" s="61">
        <f>(IF((VLOOKUP(Table6[[#This Row],[SKU]],'All Skus'!$A:$AC,2,FALSE))="JBL",(VLOOKUP(Table6[[#This Row],[SKU]],'All Skus'!$A:$AC,21,FALSE)),""))</f>
        <v>0</v>
      </c>
      <c r="T629" s="61" t="str">
        <f>(IF((VLOOKUP(Table6[[#This Row],[SKU]],'All Skus'!$A:$AC,2,FALSE))="JBL",(VLOOKUP(Table6[[#This Row],[SKU]],'All Skus'!$A:$AC,22,FALSE)),""))</f>
        <v>MX</v>
      </c>
      <c r="U629" t="str">
        <f>(IF((VLOOKUP(Table6[[#This Row],[SKU]],'All Skus'!$A:$AC,2,FALSE))="JBL",(VLOOKUP(Table6[[#This Row],[SKU]],'All Skus'!$A:$AC,23,FALSE)),""))</f>
        <v>Compliant</v>
      </c>
      <c r="V629" s="284" t="str">
        <f>HYPERLINK((IF((VLOOKUP(Table6[[#This Row],[SKU]],'All Skus'!$A:$AC,2,FALSE))="JBL",(VLOOKUP(Table6[[#This Row],[SKU]],'All Skus'!$A:$AC,24,FALSE)),"")))</f>
        <v/>
      </c>
      <c r="W629" s="151">
        <v>627</v>
      </c>
    </row>
    <row r="630" spans="1:23" ht="15" hidden="1" customHeight="1">
      <c r="A630" s="13" t="s">
        <v>1636</v>
      </c>
      <c r="B630" s="12" t="str">
        <f>(IF((VLOOKUP(Table6[[#This Row],[SKU]],'All Skus'!$A:$AC,2,FALSE))="JBL",(VLOOKUP(Table6[[#This Row],[SKU]],'All Skus'!$A:$AC,3,FALSE)),""))</f>
        <v>PD Series</v>
      </c>
      <c r="C630" s="12" t="str">
        <f>(IF((VLOOKUP(Table6[[#This Row],[SKU]],'All Skus'!$A:$AC,2,FALSE))="JBL",(VLOOKUP(Table6[[#This Row],[SKU]],'All Skus'!$A:$AC,4,FALSE)),""))</f>
        <v>PD6322/64-H</v>
      </c>
      <c r="D630" s="61" t="str">
        <f>(IF((VLOOKUP(Table6[[#This Row],[SKU]],'All Skus'!$A:$AC,2,FALSE))="JBL",(VLOOKUP(Table6[[#This Row],[SKU]],'All Skus'!$A:$AC,5,FALSE)),""))</f>
        <v>JBL051</v>
      </c>
      <c r="E630" s="137">
        <f>(IF((VLOOKUP(Table6[[#This Row],[SKU]],'All Skus'!$A:$AC,2,FALSE))="JBL",(VLOOKUP(Table6[[#This Row],[SKU]],'All Skus'!$A:$AC,6,FALSE)),""))</f>
        <v>0</v>
      </c>
      <c r="F630" s="61">
        <f>(IF((VLOOKUP(Table6[[#This Row],[SKU]],'All Skus'!$A:$AC,2,FALSE))="JBL",(VLOOKUP(Table6[[#This Row],[SKU]],'All Skus'!$A:$AC,7,FALSE)),""))</f>
        <v>0</v>
      </c>
      <c r="G630" t="str">
        <f>(IF((VLOOKUP(Table6[[#This Row],[SKU]],'All Skus'!$A:$AC,2,FALSE))="JBL",(VLOOKUP(Table6[[#This Row],[SKU]],'All Skus'!$A:$AC,8,FALSE)),""))</f>
        <v>Dual 12" three-way full-range loudspeaker</v>
      </c>
      <c r="H630" s="8" t="str">
        <f>(IF((VLOOKUP(Table6[[#This Row],[SKU]],'All Skus'!$A:$AC,2,FALSE))="JBL",(VLOOKUP(Table6[[#This Row],[SKU]],'All Skus'!$A:$AC,9,FALSE)),""))</f>
        <v>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v>
      </c>
      <c r="I630" s="101">
        <f>(IF((VLOOKUP(Table6[[#This Row],[SKU]],'All Skus'!$A:$AC,2,FALSE))="JBL",(VLOOKUP(Table6[[#This Row],[SKU]],'All Skus'!$A:$AC,10,FALSE)),""))</f>
        <v>5818</v>
      </c>
      <c r="J630" s="101">
        <f>(IF((VLOOKUP(Table6[[#This Row],[SKU]],'All Skus'!$A:$AC,2,FALSE))="JBL",(VLOOKUP(Table6[[#This Row],[SKU]],'All Skus'!$A:$AC,11,FALSE)),""))</f>
        <v>5818</v>
      </c>
      <c r="K630" s="102">
        <f>(IF((VLOOKUP(Table6[[#This Row],[SKU]],'All Skus'!$A:$AC,2,FALSE))="JBL",(VLOOKUP(Table6[[#This Row],[SKU]],'All Skus'!$A:$AC,13,FALSE)),""))</f>
        <v>0</v>
      </c>
      <c r="L630" s="102">
        <f>(IF((VLOOKUP(Table6[[#This Row],[SKU]],'All Skus'!$A:$AC,2,FALSE))="JBL",(VLOOKUP(Table6[[#This Row],[SKU]],'All Skus'!$A:$AC,14,FALSE)),""))</f>
        <v>0</v>
      </c>
      <c r="M630" s="143">
        <f>(IF((VLOOKUP(Table6[[#This Row],[SKU]],'All Skus'!$A:$AC,2,FALSE))="JBL",(VLOOKUP(Table6[[#This Row],[SKU]],'All Skus'!$A:$AC,15,FALSE)),""))</f>
        <v>0</v>
      </c>
      <c r="N630" s="137">
        <f>(IF((VLOOKUP(Table6[[#This Row],[SKU]],'All Skus'!$A:$AC,2,FALSE))="JBL",(VLOOKUP(Table6[[#This Row],[SKU]],'All Skus'!$A:$AC,16,FALSE)),""))</f>
        <v>0</v>
      </c>
      <c r="O630" s="61">
        <f>(IF((VLOOKUP(Table6[[#This Row],[SKU]],'All Skus'!$A:$AC,2,FALSE))="JBL",(VLOOKUP(Table6[[#This Row],[SKU]],'All Skus'!$A:$AC,17,FALSE)),""))</f>
        <v>0</v>
      </c>
      <c r="P630" s="136">
        <f>(IF((VLOOKUP(Table6[[#This Row],[SKU]],'All Skus'!$A:$AC,2,FALSE))="JBL",(VLOOKUP(Table6[[#This Row],[SKU]],'All Skus'!$A:$AC,18,FALSE)),""))</f>
        <v>0</v>
      </c>
      <c r="Q630" s="136">
        <f>(IF((VLOOKUP(Table6[[#This Row],[SKU]],'All Skus'!$A:$AC,2,FALSE))="JBL",(VLOOKUP(Table6[[#This Row],[SKU]],'All Skus'!$A:$AC,19,FALSE)),""))</f>
        <v>0</v>
      </c>
      <c r="R630" s="136">
        <f>(IF((VLOOKUP(Table6[[#This Row],[SKU]],'All Skus'!$A:$AC,2,FALSE))="JBL",(VLOOKUP(Table6[[#This Row],[SKU]],'All Skus'!$A:$AC,20,FALSE)),""))</f>
        <v>0</v>
      </c>
      <c r="S630" s="61">
        <f>(IF((VLOOKUP(Table6[[#This Row],[SKU]],'All Skus'!$A:$AC,2,FALSE))="JBL",(VLOOKUP(Table6[[#This Row],[SKU]],'All Skus'!$A:$AC,21,FALSE)),""))</f>
        <v>0</v>
      </c>
      <c r="T630" s="61" t="str">
        <f>(IF((VLOOKUP(Table6[[#This Row],[SKU]],'All Skus'!$A:$AC,2,FALSE))="JBL",(VLOOKUP(Table6[[#This Row],[SKU]],'All Skus'!$A:$AC,22,FALSE)),""))</f>
        <v>MX</v>
      </c>
      <c r="U630" t="str">
        <f>(IF((VLOOKUP(Table6[[#This Row],[SKU]],'All Skus'!$A:$AC,2,FALSE))="JBL",(VLOOKUP(Table6[[#This Row],[SKU]],'All Skus'!$A:$AC,23,FALSE)),""))</f>
        <v>Compliant</v>
      </c>
      <c r="V630" s="284" t="str">
        <f>HYPERLINK((IF((VLOOKUP(Table6[[#This Row],[SKU]],'All Skus'!$A:$AC,2,FALSE))="JBL",(VLOOKUP(Table6[[#This Row],[SKU]],'All Skus'!$A:$AC,24,FALSE)),"")))</f>
        <v/>
      </c>
      <c r="W630" s="151">
        <v>628</v>
      </c>
    </row>
    <row r="631" spans="1:23" ht="15" hidden="1" customHeight="1">
      <c r="A631" s="13" t="s">
        <v>1637</v>
      </c>
      <c r="B631" s="12" t="str">
        <f>(IF((VLOOKUP(Table6[[#This Row],[SKU]],'All Skus'!$A:$AC,2,FALSE))="JBL",(VLOOKUP(Table6[[#This Row],[SKU]],'All Skus'!$A:$AC,3,FALSE)),""))</f>
        <v>PD Series</v>
      </c>
      <c r="C631" s="12" t="str">
        <f>(IF((VLOOKUP(Table6[[#This Row],[SKU]],'All Skus'!$A:$AC,2,FALSE))="JBL",(VLOOKUP(Table6[[#This Row],[SKU]],'All Skus'!$A:$AC,4,FALSE)),""))</f>
        <v>PD6322/64-WH</v>
      </c>
      <c r="D631" s="61" t="str">
        <f>(IF((VLOOKUP(Table6[[#This Row],[SKU]],'All Skus'!$A:$AC,2,FALSE))="JBL",(VLOOKUP(Table6[[#This Row],[SKU]],'All Skus'!$A:$AC,5,FALSE)),""))</f>
        <v>JBL051</v>
      </c>
      <c r="E631" s="137" t="str">
        <f>(IF((VLOOKUP(Table6[[#This Row],[SKU]],'All Skus'!$A:$AC,2,FALSE))="JBL",(VLOOKUP(Table6[[#This Row],[SKU]],'All Skus'!$A:$AC,6,FALSE)),""))</f>
        <v>YES</v>
      </c>
      <c r="F631" s="61">
        <f>(IF((VLOOKUP(Table6[[#This Row],[SKU]],'All Skus'!$A:$AC,2,FALSE))="JBL",(VLOOKUP(Table6[[#This Row],[SKU]],'All Skus'!$A:$AC,7,FALSE)),""))</f>
        <v>0</v>
      </c>
      <c r="G631" t="str">
        <f>(IF((VLOOKUP(Table6[[#This Row],[SKU]],'All Skus'!$A:$AC,2,FALSE))="JBL",(VLOOKUP(Table6[[#This Row],[SKU]],'All Skus'!$A:$AC,8,FALSE)),""))</f>
        <v>Dual 12" three-way full-range loudspeaker (white)</v>
      </c>
      <c r="H631" s="8" t="str">
        <f>(IF((VLOOKUP(Table6[[#This Row],[SKU]],'All Skus'!$A:$AC,2,FALSE))="JBL",(VLOOKUP(Table6[[#This Row],[SKU]],'All Skus'!$A:$AC,9,FALSE)),""))</f>
        <v>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v>
      </c>
      <c r="I631" s="101">
        <f>(IF((VLOOKUP(Table6[[#This Row],[SKU]],'All Skus'!$A:$AC,2,FALSE))="JBL",(VLOOKUP(Table6[[#This Row],[SKU]],'All Skus'!$A:$AC,10,FALSE)),""))</f>
        <v>5818</v>
      </c>
      <c r="J631" s="101">
        <f>(IF((VLOOKUP(Table6[[#This Row],[SKU]],'All Skus'!$A:$AC,2,FALSE))="JBL",(VLOOKUP(Table6[[#This Row],[SKU]],'All Skus'!$A:$AC,11,FALSE)),""))</f>
        <v>5818</v>
      </c>
      <c r="K631" s="102">
        <f>(IF((VLOOKUP(Table6[[#This Row],[SKU]],'All Skus'!$A:$AC,2,FALSE))="JBL",(VLOOKUP(Table6[[#This Row],[SKU]],'All Skus'!$A:$AC,13,FALSE)),""))</f>
        <v>0</v>
      </c>
      <c r="L631" s="102">
        <f>(IF((VLOOKUP(Table6[[#This Row],[SKU]],'All Skus'!$A:$AC,2,FALSE))="JBL",(VLOOKUP(Table6[[#This Row],[SKU]],'All Skus'!$A:$AC,14,FALSE)),""))</f>
        <v>0</v>
      </c>
      <c r="M631" s="143">
        <f>(IF((VLOOKUP(Table6[[#This Row],[SKU]],'All Skus'!$A:$AC,2,FALSE))="JBL",(VLOOKUP(Table6[[#This Row],[SKU]],'All Skus'!$A:$AC,15,FALSE)),""))</f>
        <v>0</v>
      </c>
      <c r="N631" s="137">
        <f>(IF((VLOOKUP(Table6[[#This Row],[SKU]],'All Skus'!$A:$AC,2,FALSE))="JBL",(VLOOKUP(Table6[[#This Row],[SKU]],'All Skus'!$A:$AC,16,FALSE)),""))</f>
        <v>691991014741</v>
      </c>
      <c r="O631" s="61">
        <f>(IF((VLOOKUP(Table6[[#This Row],[SKU]],'All Skus'!$A:$AC,2,FALSE))="JBL",(VLOOKUP(Table6[[#This Row],[SKU]],'All Skus'!$A:$AC,17,FALSE)),""))</f>
        <v>0</v>
      </c>
      <c r="P631" s="136">
        <f>(IF((VLOOKUP(Table6[[#This Row],[SKU]],'All Skus'!$A:$AC,2,FALSE))="JBL",(VLOOKUP(Table6[[#This Row],[SKU]],'All Skus'!$A:$AC,18,FALSE)),""))</f>
        <v>200</v>
      </c>
      <c r="Q631" s="136">
        <f>(IF((VLOOKUP(Table6[[#This Row],[SKU]],'All Skus'!$A:$AC,2,FALSE))="JBL",(VLOOKUP(Table6[[#This Row],[SKU]],'All Skus'!$A:$AC,19,FALSE)),""))</f>
        <v>33</v>
      </c>
      <c r="R631" s="136">
        <f>(IF((VLOOKUP(Table6[[#This Row],[SKU]],'All Skus'!$A:$AC,2,FALSE))="JBL",(VLOOKUP(Table6[[#This Row],[SKU]],'All Skus'!$A:$AC,20,FALSE)),""))</f>
        <v>31</v>
      </c>
      <c r="S631" s="61">
        <f>(IF((VLOOKUP(Table6[[#This Row],[SKU]],'All Skus'!$A:$AC,2,FALSE))="JBL",(VLOOKUP(Table6[[#This Row],[SKU]],'All Skus'!$A:$AC,21,FALSE)),""))</f>
        <v>41</v>
      </c>
      <c r="T631" s="61" t="str">
        <f>(IF((VLOOKUP(Table6[[#This Row],[SKU]],'All Skus'!$A:$AC,2,FALSE))="JBL",(VLOOKUP(Table6[[#This Row],[SKU]],'All Skus'!$A:$AC,22,FALSE)),""))</f>
        <v>MX</v>
      </c>
      <c r="U631" t="str">
        <f>(IF((VLOOKUP(Table6[[#This Row],[SKU]],'All Skus'!$A:$AC,2,FALSE))="JBL",(VLOOKUP(Table6[[#This Row],[SKU]],'All Skus'!$A:$AC,23,FALSE)),""))</f>
        <v>Compliant</v>
      </c>
      <c r="V631" s="284" t="str">
        <f>HYPERLINK((IF((VLOOKUP(Table6[[#This Row],[SKU]],'All Skus'!$A:$AC,2,FALSE))="JBL",(VLOOKUP(Table6[[#This Row],[SKU]],'All Skus'!$A:$AC,24,FALSE)),"")))</f>
        <v/>
      </c>
      <c r="W631" s="151">
        <v>629</v>
      </c>
    </row>
    <row r="632" spans="1:23" ht="15" hidden="1" customHeight="1">
      <c r="A632" s="13" t="s">
        <v>1638</v>
      </c>
      <c r="B632" s="12" t="str">
        <f>(IF((VLOOKUP(Table6[[#This Row],[SKU]],'All Skus'!$A:$AC,2,FALSE))="JBL",(VLOOKUP(Table6[[#This Row],[SKU]],'All Skus'!$A:$AC,3,FALSE)),""))</f>
        <v>Custom Shop</v>
      </c>
      <c r="C632" s="12" t="str">
        <f>(IF((VLOOKUP(Table6[[#This Row],[SKU]],'All Skus'!$A:$AC,2,FALSE))="JBL",(VLOOKUP(Table6[[#This Row],[SKU]],'All Skus'!$A:$AC,4,FALSE)),""))</f>
        <v>PD6322/64-WRC</v>
      </c>
      <c r="D632" s="61" t="str">
        <f>(IF((VLOOKUP(Table6[[#This Row],[SKU]],'All Skus'!$A:$AC,2,FALSE))="JBL",(VLOOKUP(Table6[[#This Row],[SKU]],'All Skus'!$A:$AC,5,FALSE)),""))</f>
        <v>JBL050</v>
      </c>
      <c r="E632" s="137" t="str">
        <f>(IF((VLOOKUP(Table6[[#This Row],[SKU]],'All Skus'!$A:$AC,2,FALSE))="JBL",(VLOOKUP(Table6[[#This Row],[SKU]],'All Skus'!$A:$AC,6,FALSE)),""))</f>
        <v>YES</v>
      </c>
      <c r="F632" s="61">
        <f>(IF((VLOOKUP(Table6[[#This Row],[SKU]],'All Skus'!$A:$AC,2,FALSE))="JBL",(VLOOKUP(Table6[[#This Row],[SKU]],'All Skus'!$A:$AC,7,FALSE)),""))</f>
        <v>0</v>
      </c>
      <c r="G632" t="str">
        <f>(IF((VLOOKUP(Table6[[#This Row],[SKU]],'All Skus'!$A:$AC,2,FALSE))="JBL",(VLOOKUP(Table6[[#This Row],[SKU]],'All Skus'!$A:$AC,8,FALSE)),""))</f>
        <v xml:space="preserve">Dual 12" three-way full-range loudspeaker </v>
      </c>
      <c r="H632" s="8" t="str">
        <f>(IF((VLOOKUP(Table6[[#This Row],[SKU]],'All Skus'!$A:$AC,2,FALSE))="JBL",(VLOOKUP(Table6[[#This Row],[SKU]],'All Skus'!$A:$AC,9,FALSE)),""))</f>
        <v>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v>
      </c>
      <c r="I632" s="101" t="str">
        <f>(IF((VLOOKUP(Table6[[#This Row],[SKU]],'All Skus'!$A:$AC,2,FALSE))="JBL",(VLOOKUP(Table6[[#This Row],[SKU]],'All Skus'!$A:$AC,10,FALSE)),""))</f>
        <v>Please email CustomAudio@harman.com for quote</v>
      </c>
      <c r="J632" s="101">
        <f>(IF((VLOOKUP(Table6[[#This Row],[SKU]],'All Skus'!$A:$AC,2,FALSE))="JBL",(VLOOKUP(Table6[[#This Row],[SKU]],'All Skus'!$A:$AC,11,FALSE)),""))</f>
        <v>0</v>
      </c>
      <c r="K632" s="102">
        <f>(IF((VLOOKUP(Table6[[#This Row],[SKU]],'All Skus'!$A:$AC,2,FALSE))="JBL",(VLOOKUP(Table6[[#This Row],[SKU]],'All Skus'!$A:$AC,13,FALSE)),""))</f>
        <v>0</v>
      </c>
      <c r="L632" s="102">
        <f>(IF((VLOOKUP(Table6[[#This Row],[SKU]],'All Skus'!$A:$AC,2,FALSE))="JBL",(VLOOKUP(Table6[[#This Row],[SKU]],'All Skus'!$A:$AC,14,FALSE)),""))</f>
        <v>0</v>
      </c>
      <c r="M632" s="143">
        <f>(IF((VLOOKUP(Table6[[#This Row],[SKU]],'All Skus'!$A:$AC,2,FALSE))="JBL",(VLOOKUP(Table6[[#This Row],[SKU]],'All Skus'!$A:$AC,15,FALSE)),""))</f>
        <v>0</v>
      </c>
      <c r="N632" s="137">
        <f>(IF((VLOOKUP(Table6[[#This Row],[SKU]],'All Skus'!$A:$AC,2,FALSE))="JBL",(VLOOKUP(Table6[[#This Row],[SKU]],'All Skus'!$A:$AC,16,FALSE)),""))</f>
        <v>0</v>
      </c>
      <c r="O632" s="61">
        <f>(IF((VLOOKUP(Table6[[#This Row],[SKU]],'All Skus'!$A:$AC,2,FALSE))="JBL",(VLOOKUP(Table6[[#This Row],[SKU]],'All Skus'!$A:$AC,17,FALSE)),""))</f>
        <v>0</v>
      </c>
      <c r="P632" s="136">
        <f>(IF((VLOOKUP(Table6[[#This Row],[SKU]],'All Skus'!$A:$AC,2,FALSE))="JBL",(VLOOKUP(Table6[[#This Row],[SKU]],'All Skus'!$A:$AC,18,FALSE)),""))</f>
        <v>100</v>
      </c>
      <c r="Q632" s="136">
        <f>(IF((VLOOKUP(Table6[[#This Row],[SKU]],'All Skus'!$A:$AC,2,FALSE))="JBL",(VLOOKUP(Table6[[#This Row],[SKU]],'All Skus'!$A:$AC,19,FALSE)),""))</f>
        <v>33</v>
      </c>
      <c r="R632" s="136">
        <f>(IF((VLOOKUP(Table6[[#This Row],[SKU]],'All Skus'!$A:$AC,2,FALSE))="JBL",(VLOOKUP(Table6[[#This Row],[SKU]],'All Skus'!$A:$AC,20,FALSE)),""))</f>
        <v>31</v>
      </c>
      <c r="S632" s="61">
        <f>(IF((VLOOKUP(Table6[[#This Row],[SKU]],'All Skus'!$A:$AC,2,FALSE))="JBL",(VLOOKUP(Table6[[#This Row],[SKU]],'All Skus'!$A:$AC,21,FALSE)),""))</f>
        <v>41</v>
      </c>
      <c r="T632" s="61" t="str">
        <f>(IF((VLOOKUP(Table6[[#This Row],[SKU]],'All Skus'!$A:$AC,2,FALSE))="JBL",(VLOOKUP(Table6[[#This Row],[SKU]],'All Skus'!$A:$AC,22,FALSE)),""))</f>
        <v>MX</v>
      </c>
      <c r="U632" t="str">
        <f>(IF((VLOOKUP(Table6[[#This Row],[SKU]],'All Skus'!$A:$AC,2,FALSE))="JBL",(VLOOKUP(Table6[[#This Row],[SKU]],'All Skus'!$A:$AC,23,FALSE)),""))</f>
        <v>Compliant</v>
      </c>
      <c r="V632" s="284" t="str">
        <f>HYPERLINK((IF((VLOOKUP(Table6[[#This Row],[SKU]],'All Skus'!$A:$AC,2,FALSE))="JBL",(VLOOKUP(Table6[[#This Row],[SKU]],'All Skus'!$A:$AC,24,FALSE)),"")))</f>
        <v/>
      </c>
      <c r="W632" s="151">
        <v>630</v>
      </c>
    </row>
    <row r="633" spans="1:23" ht="15" hidden="1" customHeight="1">
      <c r="A633" s="13" t="s">
        <v>1639</v>
      </c>
      <c r="B633" s="12" t="str">
        <f>(IF((VLOOKUP(Table6[[#This Row],[SKU]],'All Skus'!$A:$AC,2,FALSE))="JBL",(VLOOKUP(Table6[[#This Row],[SKU]],'All Skus'!$A:$AC,3,FALSE)),""))</f>
        <v>Custom Shop</v>
      </c>
      <c r="C633" s="12" t="str">
        <f>(IF((VLOOKUP(Table6[[#This Row],[SKU]],'All Skus'!$A:$AC,2,FALSE))="JBL",(VLOOKUP(Table6[[#This Row],[SKU]],'All Skus'!$A:$AC,4,FALSE)),""))</f>
        <v>PD6322/64-WRX</v>
      </c>
      <c r="D633" s="61" t="str">
        <f>(IF((VLOOKUP(Table6[[#This Row],[SKU]],'All Skus'!$A:$AC,2,FALSE))="JBL",(VLOOKUP(Table6[[#This Row],[SKU]],'All Skus'!$A:$AC,5,FALSE)),""))</f>
        <v>JBL050</v>
      </c>
      <c r="E633" s="137" t="str">
        <f>(IF((VLOOKUP(Table6[[#This Row],[SKU]],'All Skus'!$A:$AC,2,FALSE))="JBL",(VLOOKUP(Table6[[#This Row],[SKU]],'All Skus'!$A:$AC,6,FALSE)),""))</f>
        <v>YES</v>
      </c>
      <c r="F633" s="61">
        <f>(IF((VLOOKUP(Table6[[#This Row],[SKU]],'All Skus'!$A:$AC,2,FALSE))="JBL",(VLOOKUP(Table6[[#This Row],[SKU]],'All Skus'!$A:$AC,7,FALSE)),""))</f>
        <v>0</v>
      </c>
      <c r="G633" t="str">
        <f>(IF((VLOOKUP(Table6[[#This Row],[SKU]],'All Skus'!$A:$AC,2,FALSE))="JBL",(VLOOKUP(Table6[[#This Row],[SKU]],'All Skus'!$A:$AC,8,FALSE)),""))</f>
        <v>Dual 12" three-way full-range loudspeaker (white)</v>
      </c>
      <c r="H633" s="8" t="str">
        <f>(IF((VLOOKUP(Table6[[#This Row],[SKU]],'All Skus'!$A:$AC,2,FALSE))="JBL",(VLOOKUP(Table6[[#This Row],[SKU]],'All Skus'!$A:$AC,9,FALSE)),""))</f>
        <v>High Output Three-Way FULL-RANGE Loudspeaker with  12" LF, 8" MF and 60° x  40°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v>
      </c>
      <c r="I633" s="101" t="str">
        <f>(IF((VLOOKUP(Table6[[#This Row],[SKU]],'All Skus'!$A:$AC,2,FALSE))="JBL",(VLOOKUP(Table6[[#This Row],[SKU]],'All Skus'!$A:$AC,10,FALSE)),""))</f>
        <v>Please email CustomAudio@harman.com for quote</v>
      </c>
      <c r="J633" s="101">
        <f>(IF((VLOOKUP(Table6[[#This Row],[SKU]],'All Skus'!$A:$AC,2,FALSE))="JBL",(VLOOKUP(Table6[[#This Row],[SKU]],'All Skus'!$A:$AC,11,FALSE)),""))</f>
        <v>0</v>
      </c>
      <c r="K633" s="102">
        <f>(IF((VLOOKUP(Table6[[#This Row],[SKU]],'All Skus'!$A:$AC,2,FALSE))="JBL",(VLOOKUP(Table6[[#This Row],[SKU]],'All Skus'!$A:$AC,13,FALSE)),""))</f>
        <v>0</v>
      </c>
      <c r="L633" s="102">
        <f>(IF((VLOOKUP(Table6[[#This Row],[SKU]],'All Skus'!$A:$AC,2,FALSE))="JBL",(VLOOKUP(Table6[[#This Row],[SKU]],'All Skus'!$A:$AC,14,FALSE)),""))</f>
        <v>0</v>
      </c>
      <c r="M633" s="143">
        <f>(IF((VLOOKUP(Table6[[#This Row],[SKU]],'All Skus'!$A:$AC,2,FALSE))="JBL",(VLOOKUP(Table6[[#This Row],[SKU]],'All Skus'!$A:$AC,15,FALSE)),""))</f>
        <v>0</v>
      </c>
      <c r="N633" s="137">
        <f>(IF((VLOOKUP(Table6[[#This Row],[SKU]],'All Skus'!$A:$AC,2,FALSE))="JBL",(VLOOKUP(Table6[[#This Row],[SKU]],'All Skus'!$A:$AC,16,FALSE)),""))</f>
        <v>691991032066</v>
      </c>
      <c r="O633" s="61">
        <f>(IF((VLOOKUP(Table6[[#This Row],[SKU]],'All Skus'!$A:$AC,2,FALSE))="JBL",(VLOOKUP(Table6[[#This Row],[SKU]],'All Skus'!$A:$AC,17,FALSE)),""))</f>
        <v>0</v>
      </c>
      <c r="P633" s="136">
        <f>(IF((VLOOKUP(Table6[[#This Row],[SKU]],'All Skus'!$A:$AC,2,FALSE))="JBL",(VLOOKUP(Table6[[#This Row],[SKU]],'All Skus'!$A:$AC,18,FALSE)),""))</f>
        <v>220</v>
      </c>
      <c r="Q633" s="136">
        <f>(IF((VLOOKUP(Table6[[#This Row],[SKU]],'All Skus'!$A:$AC,2,FALSE))="JBL",(VLOOKUP(Table6[[#This Row],[SKU]],'All Skus'!$A:$AC,19,FALSE)),""))</f>
        <v>33</v>
      </c>
      <c r="R633" s="136">
        <f>(IF((VLOOKUP(Table6[[#This Row],[SKU]],'All Skus'!$A:$AC,2,FALSE))="JBL",(VLOOKUP(Table6[[#This Row],[SKU]],'All Skus'!$A:$AC,20,FALSE)),""))</f>
        <v>31</v>
      </c>
      <c r="S633" s="61">
        <f>(IF((VLOOKUP(Table6[[#This Row],[SKU]],'All Skus'!$A:$AC,2,FALSE))="JBL",(VLOOKUP(Table6[[#This Row],[SKU]],'All Skus'!$A:$AC,21,FALSE)),""))</f>
        <v>41</v>
      </c>
      <c r="T633" s="61" t="str">
        <f>(IF((VLOOKUP(Table6[[#This Row],[SKU]],'All Skus'!$A:$AC,2,FALSE))="JBL",(VLOOKUP(Table6[[#This Row],[SKU]],'All Skus'!$A:$AC,22,FALSE)),""))</f>
        <v>MX</v>
      </c>
      <c r="U633" t="str">
        <f>(IF((VLOOKUP(Table6[[#This Row],[SKU]],'All Skus'!$A:$AC,2,FALSE))="JBL",(VLOOKUP(Table6[[#This Row],[SKU]],'All Skus'!$A:$AC,23,FALSE)),""))</f>
        <v>Compliant</v>
      </c>
      <c r="V633" s="284" t="str">
        <f>HYPERLINK((IF((VLOOKUP(Table6[[#This Row],[SKU]],'All Skus'!$A:$AC,2,FALSE))="JBL",(VLOOKUP(Table6[[#This Row],[SKU]],'All Skus'!$A:$AC,24,FALSE)),"")))</f>
        <v/>
      </c>
      <c r="W633" s="151">
        <v>631</v>
      </c>
    </row>
    <row r="634" spans="1:23" ht="15" hidden="1" customHeight="1">
      <c r="A634" s="13" t="s">
        <v>1640</v>
      </c>
      <c r="B634" s="12" t="str">
        <f>(IF((VLOOKUP(Table6[[#This Row],[SKU]],'All Skus'!$A:$AC,2,FALSE))="JBL",(VLOOKUP(Table6[[#This Row],[SKU]],'All Skus'!$A:$AC,3,FALSE)),""))</f>
        <v>PD Series</v>
      </c>
      <c r="C634" s="12" t="str">
        <f>(IF((VLOOKUP(Table6[[#This Row],[SKU]],'All Skus'!$A:$AC,2,FALSE))="JBL",(VLOOKUP(Table6[[#This Row],[SKU]],'All Skus'!$A:$AC,4,FALSE)),""))</f>
        <v>PD6322/66</v>
      </c>
      <c r="D634" s="61" t="str">
        <f>(IF((VLOOKUP(Table6[[#This Row],[SKU]],'All Skus'!$A:$AC,2,FALSE))="JBL",(VLOOKUP(Table6[[#This Row],[SKU]],'All Skus'!$A:$AC,5,FALSE)),""))</f>
        <v>JBL051</v>
      </c>
      <c r="E634" s="137" t="str">
        <f>(IF((VLOOKUP(Table6[[#This Row],[SKU]],'All Skus'!$A:$AC,2,FALSE))="JBL",(VLOOKUP(Table6[[#This Row],[SKU]],'All Skus'!$A:$AC,6,FALSE)),""))</f>
        <v>YES</v>
      </c>
      <c r="F634" s="61">
        <f>(IF((VLOOKUP(Table6[[#This Row],[SKU]],'All Skus'!$A:$AC,2,FALSE))="JBL",(VLOOKUP(Table6[[#This Row],[SKU]],'All Skus'!$A:$AC,7,FALSE)),""))</f>
        <v>0</v>
      </c>
      <c r="G634" t="str">
        <f>(IF((VLOOKUP(Table6[[#This Row],[SKU]],'All Skus'!$A:$AC,2,FALSE))="JBL",(VLOOKUP(Table6[[#This Row],[SKU]],'All Skus'!$A:$AC,8,FALSE)),""))</f>
        <v>Dual 12" three-way full-range loudspeaker</v>
      </c>
      <c r="H634" s="8" t="str">
        <f>(IF((VLOOKUP(Table6[[#This Row],[SKU]],'All Skus'!$A:$AC,2,FALSE))="JBL",(VLOOKUP(Table6[[#This Row],[SKU]],'All Skus'!$A:$AC,9,FALSE)),""))</f>
        <v>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v>
      </c>
      <c r="I634" s="101">
        <f>(IF((VLOOKUP(Table6[[#This Row],[SKU]],'All Skus'!$A:$AC,2,FALSE))="JBL",(VLOOKUP(Table6[[#This Row],[SKU]],'All Skus'!$A:$AC,10,FALSE)),""))</f>
        <v>5818</v>
      </c>
      <c r="J634" s="101">
        <f>(IF((VLOOKUP(Table6[[#This Row],[SKU]],'All Skus'!$A:$AC,2,FALSE))="JBL",(VLOOKUP(Table6[[#This Row],[SKU]],'All Skus'!$A:$AC,11,FALSE)),""))</f>
        <v>5818</v>
      </c>
      <c r="K634" s="102">
        <f>(IF((VLOOKUP(Table6[[#This Row],[SKU]],'All Skus'!$A:$AC,2,FALSE))="JBL",(VLOOKUP(Table6[[#This Row],[SKU]],'All Skus'!$A:$AC,13,FALSE)),""))</f>
        <v>0</v>
      </c>
      <c r="L634" s="102">
        <f>(IF((VLOOKUP(Table6[[#This Row],[SKU]],'All Skus'!$A:$AC,2,FALSE))="JBL",(VLOOKUP(Table6[[#This Row],[SKU]],'All Skus'!$A:$AC,14,FALSE)),""))</f>
        <v>0</v>
      </c>
      <c r="M634" s="143">
        <f>(IF((VLOOKUP(Table6[[#This Row],[SKU]],'All Skus'!$A:$AC,2,FALSE))="JBL",(VLOOKUP(Table6[[#This Row],[SKU]],'All Skus'!$A:$AC,15,FALSE)),""))</f>
        <v>0</v>
      </c>
      <c r="N634" s="137">
        <f>(IF((VLOOKUP(Table6[[#This Row],[SKU]],'All Skus'!$A:$AC,2,FALSE))="JBL",(VLOOKUP(Table6[[#This Row],[SKU]],'All Skus'!$A:$AC,16,FALSE)),""))</f>
        <v>0</v>
      </c>
      <c r="O634" s="61">
        <f>(IF((VLOOKUP(Table6[[#This Row],[SKU]],'All Skus'!$A:$AC,2,FALSE))="JBL",(VLOOKUP(Table6[[#This Row],[SKU]],'All Skus'!$A:$AC,17,FALSE)),""))</f>
        <v>0</v>
      </c>
      <c r="P634" s="136">
        <f>(IF((VLOOKUP(Table6[[#This Row],[SKU]],'All Skus'!$A:$AC,2,FALSE))="JBL",(VLOOKUP(Table6[[#This Row],[SKU]],'All Skus'!$A:$AC,18,FALSE)),""))</f>
        <v>200</v>
      </c>
      <c r="Q634" s="136">
        <f>(IF((VLOOKUP(Table6[[#This Row],[SKU]],'All Skus'!$A:$AC,2,FALSE))="JBL",(VLOOKUP(Table6[[#This Row],[SKU]],'All Skus'!$A:$AC,19,FALSE)),""))</f>
        <v>33</v>
      </c>
      <c r="R634" s="136">
        <f>(IF((VLOOKUP(Table6[[#This Row],[SKU]],'All Skus'!$A:$AC,2,FALSE))="JBL",(VLOOKUP(Table6[[#This Row],[SKU]],'All Skus'!$A:$AC,20,FALSE)),""))</f>
        <v>31</v>
      </c>
      <c r="S634" s="61">
        <f>(IF((VLOOKUP(Table6[[#This Row],[SKU]],'All Skus'!$A:$AC,2,FALSE))="JBL",(VLOOKUP(Table6[[#This Row],[SKU]],'All Skus'!$A:$AC,21,FALSE)),""))</f>
        <v>41</v>
      </c>
      <c r="T634" s="61" t="str">
        <f>(IF((VLOOKUP(Table6[[#This Row],[SKU]],'All Skus'!$A:$AC,2,FALSE))="JBL",(VLOOKUP(Table6[[#This Row],[SKU]],'All Skus'!$A:$AC,22,FALSE)),""))</f>
        <v>MX</v>
      </c>
      <c r="U634" t="str">
        <f>(IF((VLOOKUP(Table6[[#This Row],[SKU]],'All Skus'!$A:$AC,2,FALSE))="JBL",(VLOOKUP(Table6[[#This Row],[SKU]],'All Skus'!$A:$AC,23,FALSE)),""))</f>
        <v>Compliant</v>
      </c>
      <c r="V634" s="284" t="str">
        <f>HYPERLINK((IF((VLOOKUP(Table6[[#This Row],[SKU]],'All Skus'!$A:$AC,2,FALSE))="JBL",(VLOOKUP(Table6[[#This Row],[SKU]],'All Skus'!$A:$AC,24,FALSE)),"")))</f>
        <v/>
      </c>
      <c r="W634" s="151">
        <v>632</v>
      </c>
    </row>
    <row r="635" spans="1:23" ht="15" hidden="1" customHeight="1">
      <c r="A635" s="13" t="s">
        <v>1641</v>
      </c>
      <c r="B635" s="12" t="str">
        <f>(IF((VLOOKUP(Table6[[#This Row],[SKU]],'All Skus'!$A:$AC,2,FALSE))="JBL",(VLOOKUP(Table6[[#This Row],[SKU]],'All Skus'!$A:$AC,3,FALSE)),""))</f>
        <v>PD Series</v>
      </c>
      <c r="C635" s="12" t="str">
        <f>(IF((VLOOKUP(Table6[[#This Row],[SKU]],'All Skus'!$A:$AC,2,FALSE))="JBL",(VLOOKUP(Table6[[#This Row],[SKU]],'All Skus'!$A:$AC,4,FALSE)),""))</f>
        <v>PD6322/66-WH</v>
      </c>
      <c r="D635" s="61" t="str">
        <f>(IF((VLOOKUP(Table6[[#This Row],[SKU]],'All Skus'!$A:$AC,2,FALSE))="JBL",(VLOOKUP(Table6[[#This Row],[SKU]],'All Skus'!$A:$AC,5,FALSE)),""))</f>
        <v>JBL051</v>
      </c>
      <c r="E635" s="137" t="str">
        <f>(IF((VLOOKUP(Table6[[#This Row],[SKU]],'All Skus'!$A:$AC,2,FALSE))="JBL",(VLOOKUP(Table6[[#This Row],[SKU]],'All Skus'!$A:$AC,6,FALSE)),""))</f>
        <v>YES</v>
      </c>
      <c r="F635" s="61">
        <f>(IF((VLOOKUP(Table6[[#This Row],[SKU]],'All Skus'!$A:$AC,2,FALSE))="JBL",(VLOOKUP(Table6[[#This Row],[SKU]],'All Skus'!$A:$AC,7,FALSE)),""))</f>
        <v>0</v>
      </c>
      <c r="G635" t="str">
        <f>(IF((VLOOKUP(Table6[[#This Row],[SKU]],'All Skus'!$A:$AC,2,FALSE))="JBL",(VLOOKUP(Table6[[#This Row],[SKU]],'All Skus'!$A:$AC,8,FALSE)),""))</f>
        <v>Dual 12" three-way full-range loudspeaker (white)</v>
      </c>
      <c r="H635" s="8" t="str">
        <f>(IF((VLOOKUP(Table6[[#This Row],[SKU]],'All Skus'!$A:$AC,2,FALSE))="JBL",(VLOOKUP(Table6[[#This Row],[SKU]],'All Skus'!$A:$AC,9,FALSE)),""))</f>
        <v>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v>
      </c>
      <c r="I635" s="101">
        <f>(IF((VLOOKUP(Table6[[#This Row],[SKU]],'All Skus'!$A:$AC,2,FALSE))="JBL",(VLOOKUP(Table6[[#This Row],[SKU]],'All Skus'!$A:$AC,10,FALSE)),""))</f>
        <v>5818</v>
      </c>
      <c r="J635" s="101">
        <f>(IF((VLOOKUP(Table6[[#This Row],[SKU]],'All Skus'!$A:$AC,2,FALSE))="JBL",(VLOOKUP(Table6[[#This Row],[SKU]],'All Skus'!$A:$AC,11,FALSE)),""))</f>
        <v>5818</v>
      </c>
      <c r="K635" s="102">
        <f>(IF((VLOOKUP(Table6[[#This Row],[SKU]],'All Skus'!$A:$AC,2,FALSE))="JBL",(VLOOKUP(Table6[[#This Row],[SKU]],'All Skus'!$A:$AC,13,FALSE)),""))</f>
        <v>0</v>
      </c>
      <c r="L635" s="102">
        <f>(IF((VLOOKUP(Table6[[#This Row],[SKU]],'All Skus'!$A:$AC,2,FALSE))="JBL",(VLOOKUP(Table6[[#This Row],[SKU]],'All Skus'!$A:$AC,14,FALSE)),""))</f>
        <v>0</v>
      </c>
      <c r="M635" s="143">
        <f>(IF((VLOOKUP(Table6[[#This Row],[SKU]],'All Skus'!$A:$AC,2,FALSE))="JBL",(VLOOKUP(Table6[[#This Row],[SKU]],'All Skus'!$A:$AC,15,FALSE)),""))</f>
        <v>0</v>
      </c>
      <c r="N635" s="137">
        <f>(IF((VLOOKUP(Table6[[#This Row],[SKU]],'All Skus'!$A:$AC,2,FALSE))="JBL",(VLOOKUP(Table6[[#This Row],[SKU]],'All Skus'!$A:$AC,16,FALSE)),""))</f>
        <v>691991014758</v>
      </c>
      <c r="O635" s="61">
        <f>(IF((VLOOKUP(Table6[[#This Row],[SKU]],'All Skus'!$A:$AC,2,FALSE))="JBL",(VLOOKUP(Table6[[#This Row],[SKU]],'All Skus'!$A:$AC,17,FALSE)),""))</f>
        <v>0</v>
      </c>
      <c r="P635" s="136">
        <f>(IF((VLOOKUP(Table6[[#This Row],[SKU]],'All Skus'!$A:$AC,2,FALSE))="JBL",(VLOOKUP(Table6[[#This Row],[SKU]],'All Skus'!$A:$AC,18,FALSE)),""))</f>
        <v>200</v>
      </c>
      <c r="Q635" s="136">
        <f>(IF((VLOOKUP(Table6[[#This Row],[SKU]],'All Skus'!$A:$AC,2,FALSE))="JBL",(VLOOKUP(Table6[[#This Row],[SKU]],'All Skus'!$A:$AC,19,FALSE)),""))</f>
        <v>33</v>
      </c>
      <c r="R635" s="136">
        <f>(IF((VLOOKUP(Table6[[#This Row],[SKU]],'All Skus'!$A:$AC,2,FALSE))="JBL",(VLOOKUP(Table6[[#This Row],[SKU]],'All Skus'!$A:$AC,20,FALSE)),""))</f>
        <v>31</v>
      </c>
      <c r="S635" s="61">
        <f>(IF((VLOOKUP(Table6[[#This Row],[SKU]],'All Skus'!$A:$AC,2,FALSE))="JBL",(VLOOKUP(Table6[[#This Row],[SKU]],'All Skus'!$A:$AC,21,FALSE)),""))</f>
        <v>41</v>
      </c>
      <c r="T635" s="61" t="str">
        <f>(IF((VLOOKUP(Table6[[#This Row],[SKU]],'All Skus'!$A:$AC,2,FALSE))="JBL",(VLOOKUP(Table6[[#This Row],[SKU]],'All Skus'!$A:$AC,22,FALSE)),""))</f>
        <v>MX</v>
      </c>
      <c r="U635" t="str">
        <f>(IF((VLOOKUP(Table6[[#This Row],[SKU]],'All Skus'!$A:$AC,2,FALSE))="JBL",(VLOOKUP(Table6[[#This Row],[SKU]],'All Skus'!$A:$AC,23,FALSE)),""))</f>
        <v>Compliant</v>
      </c>
      <c r="V635" s="284" t="str">
        <f>HYPERLINK((IF((VLOOKUP(Table6[[#This Row],[SKU]],'All Skus'!$A:$AC,2,FALSE))="JBL",(VLOOKUP(Table6[[#This Row],[SKU]],'All Skus'!$A:$AC,24,FALSE)),"")))</f>
        <v/>
      </c>
      <c r="W635" s="151">
        <v>633</v>
      </c>
    </row>
    <row r="636" spans="1:23" ht="15" hidden="1" customHeight="1">
      <c r="A636" s="13" t="s">
        <v>1642</v>
      </c>
      <c r="B636" s="12" t="str">
        <f>(IF((VLOOKUP(Table6[[#This Row],[SKU]],'All Skus'!$A:$AC,2,FALSE))="JBL",(VLOOKUP(Table6[[#This Row],[SKU]],'All Skus'!$A:$AC,3,FALSE)),""))</f>
        <v>Custom Shop Item</v>
      </c>
      <c r="C636" s="12" t="str">
        <f>(IF((VLOOKUP(Table6[[#This Row],[SKU]],'All Skus'!$A:$AC,2,FALSE))="JBL",(VLOOKUP(Table6[[#This Row],[SKU]],'All Skus'!$A:$AC,4,FALSE)),""))</f>
        <v>PD6322/66-WRC</v>
      </c>
      <c r="D636" s="61" t="str">
        <f>(IF((VLOOKUP(Table6[[#This Row],[SKU]],'All Skus'!$A:$AC,2,FALSE))="JBL",(VLOOKUP(Table6[[#This Row],[SKU]],'All Skus'!$A:$AC,5,FALSE)),""))</f>
        <v>JBL050</v>
      </c>
      <c r="E636" s="137" t="str">
        <f>(IF((VLOOKUP(Table6[[#This Row],[SKU]],'All Skus'!$A:$AC,2,FALSE))="JBL",(VLOOKUP(Table6[[#This Row],[SKU]],'All Skus'!$A:$AC,6,FALSE)),""))</f>
        <v>YES</v>
      </c>
      <c r="F636" s="61">
        <f>(IF((VLOOKUP(Table6[[#This Row],[SKU]],'All Skus'!$A:$AC,2,FALSE))="JBL",(VLOOKUP(Table6[[#This Row],[SKU]],'All Skus'!$A:$AC,7,FALSE)),""))</f>
        <v>0</v>
      </c>
      <c r="G636" t="str">
        <f>(IF((VLOOKUP(Table6[[#This Row],[SKU]],'All Skus'!$A:$AC,2,FALSE))="JBL",(VLOOKUP(Table6[[#This Row],[SKU]],'All Skus'!$A:$AC,8,FALSE)),""))</f>
        <v>Dual 12" three-way full-range loudspeaker (Weather Protection Treatment)</v>
      </c>
      <c r="H636" s="8" t="str">
        <f>(IF((VLOOKUP(Table6[[#This Row],[SKU]],'All Skus'!$A:$AC,2,FALSE))="JBL",(VLOOKUP(Table6[[#This Row],[SKU]],'All Skus'!$A:$AC,9,FALSE)),""))</f>
        <v>High Output Three-Way FULL-RANGE Loudspeaker with  12" LF, 8" MF and 60° x  60°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36" s="101" t="str">
        <f>(IF((VLOOKUP(Table6[[#This Row],[SKU]],'All Skus'!$A:$AC,2,FALSE))="JBL",(VLOOKUP(Table6[[#This Row],[SKU]],'All Skus'!$A:$AC,10,FALSE)),""))</f>
        <v>Please email CustomAudio@harman.com for quote</v>
      </c>
      <c r="J636" s="101">
        <f>(IF((VLOOKUP(Table6[[#This Row],[SKU]],'All Skus'!$A:$AC,2,FALSE))="JBL",(VLOOKUP(Table6[[#This Row],[SKU]],'All Skus'!$A:$AC,11,FALSE)),""))</f>
        <v>0</v>
      </c>
      <c r="K636" s="102">
        <f>(IF((VLOOKUP(Table6[[#This Row],[SKU]],'All Skus'!$A:$AC,2,FALSE))="JBL",(VLOOKUP(Table6[[#This Row],[SKU]],'All Skus'!$A:$AC,13,FALSE)),""))</f>
        <v>0</v>
      </c>
      <c r="L636" s="102">
        <f>(IF((VLOOKUP(Table6[[#This Row],[SKU]],'All Skus'!$A:$AC,2,FALSE))="JBL",(VLOOKUP(Table6[[#This Row],[SKU]],'All Skus'!$A:$AC,14,FALSE)),""))</f>
        <v>0</v>
      </c>
      <c r="M636" s="143">
        <f>(IF((VLOOKUP(Table6[[#This Row],[SKU]],'All Skus'!$A:$AC,2,FALSE))="JBL",(VLOOKUP(Table6[[#This Row],[SKU]],'All Skus'!$A:$AC,15,FALSE)),""))</f>
        <v>0</v>
      </c>
      <c r="N636" s="137">
        <f>(IF((VLOOKUP(Table6[[#This Row],[SKU]],'All Skus'!$A:$AC,2,FALSE))="JBL",(VLOOKUP(Table6[[#This Row],[SKU]],'All Skus'!$A:$AC,16,FALSE)),""))</f>
        <v>691991014765</v>
      </c>
      <c r="O636" s="61">
        <f>(IF((VLOOKUP(Table6[[#This Row],[SKU]],'All Skus'!$A:$AC,2,FALSE))="JBL",(VLOOKUP(Table6[[#This Row],[SKU]],'All Skus'!$A:$AC,17,FALSE)),""))</f>
        <v>0</v>
      </c>
      <c r="P636" s="136">
        <f>(IF((VLOOKUP(Table6[[#This Row],[SKU]],'All Skus'!$A:$AC,2,FALSE))="JBL",(VLOOKUP(Table6[[#This Row],[SKU]],'All Skus'!$A:$AC,18,FALSE)),""))</f>
        <v>183</v>
      </c>
      <c r="Q636" s="136">
        <f>(IF((VLOOKUP(Table6[[#This Row],[SKU]],'All Skus'!$A:$AC,2,FALSE))="JBL",(VLOOKUP(Table6[[#This Row],[SKU]],'All Skus'!$A:$AC,19,FALSE)),""))</f>
        <v>33.5</v>
      </c>
      <c r="R636" s="136">
        <f>(IF((VLOOKUP(Table6[[#This Row],[SKU]],'All Skus'!$A:$AC,2,FALSE))="JBL",(VLOOKUP(Table6[[#This Row],[SKU]],'All Skus'!$A:$AC,20,FALSE)),""))</f>
        <v>31</v>
      </c>
      <c r="S636" s="61">
        <f>(IF((VLOOKUP(Table6[[#This Row],[SKU]],'All Skus'!$A:$AC,2,FALSE))="JBL",(VLOOKUP(Table6[[#This Row],[SKU]],'All Skus'!$A:$AC,21,FALSE)),""))</f>
        <v>41.5</v>
      </c>
      <c r="T636" s="61" t="str">
        <f>(IF((VLOOKUP(Table6[[#This Row],[SKU]],'All Skus'!$A:$AC,2,FALSE))="JBL",(VLOOKUP(Table6[[#This Row],[SKU]],'All Skus'!$A:$AC,22,FALSE)),""))</f>
        <v>MX</v>
      </c>
      <c r="U636" t="str">
        <f>(IF((VLOOKUP(Table6[[#This Row],[SKU]],'All Skus'!$A:$AC,2,FALSE))="JBL",(VLOOKUP(Table6[[#This Row],[SKU]],'All Skus'!$A:$AC,23,FALSE)),""))</f>
        <v>Compliant</v>
      </c>
      <c r="V636" s="284" t="str">
        <f>HYPERLINK((IF((VLOOKUP(Table6[[#This Row],[SKU]],'All Skus'!$A:$AC,2,FALSE))="JBL",(VLOOKUP(Table6[[#This Row],[SKU]],'All Skus'!$A:$AC,24,FALSE)),"")))</f>
        <v/>
      </c>
      <c r="W636" s="151">
        <v>634</v>
      </c>
    </row>
    <row r="637" spans="1:23" ht="15" hidden="1" customHeight="1">
      <c r="A637" s="13" t="s">
        <v>1643</v>
      </c>
      <c r="B637" s="12" t="str">
        <f>(IF((VLOOKUP(Table6[[#This Row],[SKU]],'All Skus'!$A:$AC,2,FALSE))="JBL",(VLOOKUP(Table6[[#This Row],[SKU]],'All Skus'!$A:$AC,3,FALSE)),""))</f>
        <v>PD Series</v>
      </c>
      <c r="C637" s="12" t="str">
        <f>(IF((VLOOKUP(Table6[[#This Row],[SKU]],'All Skus'!$A:$AC,2,FALSE))="JBL",(VLOOKUP(Table6[[#This Row],[SKU]],'All Skus'!$A:$AC,4,FALSE)),""))</f>
        <v>PD6322/95</v>
      </c>
      <c r="D637" s="61" t="str">
        <f>(IF((VLOOKUP(Table6[[#This Row],[SKU]],'All Skus'!$A:$AC,2,FALSE))="JBL",(VLOOKUP(Table6[[#This Row],[SKU]],'All Skus'!$A:$AC,5,FALSE)),""))</f>
        <v>JBL051</v>
      </c>
      <c r="E637" s="137" t="str">
        <f>(IF((VLOOKUP(Table6[[#This Row],[SKU]],'All Skus'!$A:$AC,2,FALSE))="JBL",(VLOOKUP(Table6[[#This Row],[SKU]],'All Skus'!$A:$AC,6,FALSE)),""))</f>
        <v>YES</v>
      </c>
      <c r="F637" s="61">
        <f>(IF((VLOOKUP(Table6[[#This Row],[SKU]],'All Skus'!$A:$AC,2,FALSE))="JBL",(VLOOKUP(Table6[[#This Row],[SKU]],'All Skus'!$A:$AC,7,FALSE)),""))</f>
        <v>0</v>
      </c>
      <c r="G637" t="str">
        <f>(IF((VLOOKUP(Table6[[#This Row],[SKU]],'All Skus'!$A:$AC,2,FALSE))="JBL",(VLOOKUP(Table6[[#This Row],[SKU]],'All Skus'!$A:$AC,8,FALSE)),""))</f>
        <v>Dual 12" three-way full-range loudspeaker</v>
      </c>
      <c r="H637" s="8" t="str">
        <f>(IF((VLOOKUP(Table6[[#This Row],[SKU]],'All Skus'!$A:$AC,2,FALSE))="JBL",(VLOOKUP(Table6[[#This Row],[SKU]],'All Skus'!$A:$AC,9,FALSE)),""))</f>
        <v>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v>
      </c>
      <c r="I637" s="101">
        <f>(IF((VLOOKUP(Table6[[#This Row],[SKU]],'All Skus'!$A:$AC,2,FALSE))="JBL",(VLOOKUP(Table6[[#This Row],[SKU]],'All Skus'!$A:$AC,10,FALSE)),""))</f>
        <v>5818</v>
      </c>
      <c r="J637" s="101">
        <f>(IF((VLOOKUP(Table6[[#This Row],[SKU]],'All Skus'!$A:$AC,2,FALSE))="JBL",(VLOOKUP(Table6[[#This Row],[SKU]],'All Skus'!$A:$AC,11,FALSE)),""))</f>
        <v>5818</v>
      </c>
      <c r="K637" s="102">
        <f>(IF((VLOOKUP(Table6[[#This Row],[SKU]],'All Skus'!$A:$AC,2,FALSE))="JBL",(VLOOKUP(Table6[[#This Row],[SKU]],'All Skus'!$A:$AC,13,FALSE)),""))</f>
        <v>0</v>
      </c>
      <c r="L637" s="102">
        <f>(IF((VLOOKUP(Table6[[#This Row],[SKU]],'All Skus'!$A:$AC,2,FALSE))="JBL",(VLOOKUP(Table6[[#This Row],[SKU]],'All Skus'!$A:$AC,14,FALSE)),""))</f>
        <v>0</v>
      </c>
      <c r="M637" s="143">
        <f>(IF((VLOOKUP(Table6[[#This Row],[SKU]],'All Skus'!$A:$AC,2,FALSE))="JBL",(VLOOKUP(Table6[[#This Row],[SKU]],'All Skus'!$A:$AC,15,FALSE)),""))</f>
        <v>0</v>
      </c>
      <c r="N637" s="137">
        <f>(IF((VLOOKUP(Table6[[#This Row],[SKU]],'All Skus'!$A:$AC,2,FALSE))="JBL",(VLOOKUP(Table6[[#This Row],[SKU]],'All Skus'!$A:$AC,16,FALSE)),""))</f>
        <v>691991005008</v>
      </c>
      <c r="O637" s="61">
        <f>(IF((VLOOKUP(Table6[[#This Row],[SKU]],'All Skus'!$A:$AC,2,FALSE))="JBL",(VLOOKUP(Table6[[#This Row],[SKU]],'All Skus'!$A:$AC,17,FALSE)),""))</f>
        <v>0</v>
      </c>
      <c r="P637" s="136">
        <f>(IF((VLOOKUP(Table6[[#This Row],[SKU]],'All Skus'!$A:$AC,2,FALSE))="JBL",(VLOOKUP(Table6[[#This Row],[SKU]],'All Skus'!$A:$AC,18,FALSE)),""))</f>
        <v>180</v>
      </c>
      <c r="Q637" s="136">
        <f>(IF((VLOOKUP(Table6[[#This Row],[SKU]],'All Skus'!$A:$AC,2,FALSE))="JBL",(VLOOKUP(Table6[[#This Row],[SKU]],'All Skus'!$A:$AC,19,FALSE)),""))</f>
        <v>33</v>
      </c>
      <c r="R637" s="136">
        <f>(IF((VLOOKUP(Table6[[#This Row],[SKU]],'All Skus'!$A:$AC,2,FALSE))="JBL",(VLOOKUP(Table6[[#This Row],[SKU]],'All Skus'!$A:$AC,20,FALSE)),""))</f>
        <v>31</v>
      </c>
      <c r="S637" s="61">
        <f>(IF((VLOOKUP(Table6[[#This Row],[SKU]],'All Skus'!$A:$AC,2,FALSE))="JBL",(VLOOKUP(Table6[[#This Row],[SKU]],'All Skus'!$A:$AC,21,FALSE)),""))</f>
        <v>41</v>
      </c>
      <c r="T637" s="61" t="str">
        <f>(IF((VLOOKUP(Table6[[#This Row],[SKU]],'All Skus'!$A:$AC,2,FALSE))="JBL",(VLOOKUP(Table6[[#This Row],[SKU]],'All Skus'!$A:$AC,22,FALSE)),""))</f>
        <v>MX</v>
      </c>
      <c r="U637" t="str">
        <f>(IF((VLOOKUP(Table6[[#This Row],[SKU]],'All Skus'!$A:$AC,2,FALSE))="JBL",(VLOOKUP(Table6[[#This Row],[SKU]],'All Skus'!$A:$AC,23,FALSE)),""))</f>
        <v>Compliant</v>
      </c>
      <c r="V637" s="284" t="str">
        <f>HYPERLINK((IF((VLOOKUP(Table6[[#This Row],[SKU]],'All Skus'!$A:$AC,2,FALSE))="JBL",(VLOOKUP(Table6[[#This Row],[SKU]],'All Skus'!$A:$AC,24,FALSE)),"")))</f>
        <v/>
      </c>
      <c r="W637" s="151">
        <v>635</v>
      </c>
    </row>
    <row r="638" spans="1:23" ht="15" hidden="1" customHeight="1">
      <c r="A638" s="13" t="s">
        <v>1644</v>
      </c>
      <c r="B638" s="12" t="str">
        <f>(IF((VLOOKUP(Table6[[#This Row],[SKU]],'All Skus'!$A:$AC,2,FALSE))="JBL",(VLOOKUP(Table6[[#This Row],[SKU]],'All Skus'!$A:$AC,3,FALSE)),""))</f>
        <v>PD Series</v>
      </c>
      <c r="C638" s="12" t="str">
        <f>(IF((VLOOKUP(Table6[[#This Row],[SKU]],'All Skus'!$A:$AC,2,FALSE))="JBL",(VLOOKUP(Table6[[#This Row],[SKU]],'All Skus'!$A:$AC,4,FALSE)),""))</f>
        <v>PD6322/95-WH</v>
      </c>
      <c r="D638" s="61" t="str">
        <f>(IF((VLOOKUP(Table6[[#This Row],[SKU]],'All Skus'!$A:$AC,2,FALSE))="JBL",(VLOOKUP(Table6[[#This Row],[SKU]],'All Skus'!$A:$AC,5,FALSE)),""))</f>
        <v>JBL051</v>
      </c>
      <c r="E638" s="137" t="str">
        <f>(IF((VLOOKUP(Table6[[#This Row],[SKU]],'All Skus'!$A:$AC,2,FALSE))="JBL",(VLOOKUP(Table6[[#This Row],[SKU]],'All Skus'!$A:$AC,6,FALSE)),""))</f>
        <v>YES</v>
      </c>
      <c r="F638" s="61">
        <f>(IF((VLOOKUP(Table6[[#This Row],[SKU]],'All Skus'!$A:$AC,2,FALSE))="JBL",(VLOOKUP(Table6[[#This Row],[SKU]],'All Skus'!$A:$AC,7,FALSE)),""))</f>
        <v>0</v>
      </c>
      <c r="G638" t="str">
        <f>(IF((VLOOKUP(Table6[[#This Row],[SKU]],'All Skus'!$A:$AC,2,FALSE))="JBL",(VLOOKUP(Table6[[#This Row],[SKU]],'All Skus'!$A:$AC,8,FALSE)),""))</f>
        <v>Dual 12" three-way full-range loudspeaker (white)</v>
      </c>
      <c r="H638" s="8" t="str">
        <f>(IF((VLOOKUP(Table6[[#This Row],[SKU]],'All Skus'!$A:$AC,2,FALSE))="JBL",(VLOOKUP(Table6[[#This Row],[SKU]],'All Skus'!$A:$AC,9,FALSE)),""))</f>
        <v>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White finish.</v>
      </c>
      <c r="I638" s="101">
        <f>(IF((VLOOKUP(Table6[[#This Row],[SKU]],'All Skus'!$A:$AC,2,FALSE))="JBL",(VLOOKUP(Table6[[#This Row],[SKU]],'All Skus'!$A:$AC,10,FALSE)),""))</f>
        <v>5818</v>
      </c>
      <c r="J638" s="101">
        <f>(IF((VLOOKUP(Table6[[#This Row],[SKU]],'All Skus'!$A:$AC,2,FALSE))="JBL",(VLOOKUP(Table6[[#This Row],[SKU]],'All Skus'!$A:$AC,11,FALSE)),""))</f>
        <v>5818</v>
      </c>
      <c r="K638" s="102">
        <f>(IF((VLOOKUP(Table6[[#This Row],[SKU]],'All Skus'!$A:$AC,2,FALSE))="JBL",(VLOOKUP(Table6[[#This Row],[SKU]],'All Skus'!$A:$AC,13,FALSE)),""))</f>
        <v>0</v>
      </c>
      <c r="L638" s="102">
        <f>(IF((VLOOKUP(Table6[[#This Row],[SKU]],'All Skus'!$A:$AC,2,FALSE))="JBL",(VLOOKUP(Table6[[#This Row],[SKU]],'All Skus'!$A:$AC,14,FALSE)),""))</f>
        <v>0</v>
      </c>
      <c r="M638" s="143">
        <f>(IF((VLOOKUP(Table6[[#This Row],[SKU]],'All Skus'!$A:$AC,2,FALSE))="JBL",(VLOOKUP(Table6[[#This Row],[SKU]],'All Skus'!$A:$AC,15,FALSE)),""))</f>
        <v>0</v>
      </c>
      <c r="N638" s="137">
        <f>(IF((VLOOKUP(Table6[[#This Row],[SKU]],'All Skus'!$A:$AC,2,FALSE))="JBL",(VLOOKUP(Table6[[#This Row],[SKU]],'All Skus'!$A:$AC,16,FALSE)),""))</f>
        <v>691991005039</v>
      </c>
      <c r="O638" s="61">
        <f>(IF((VLOOKUP(Table6[[#This Row],[SKU]],'All Skus'!$A:$AC,2,FALSE))="JBL",(VLOOKUP(Table6[[#This Row],[SKU]],'All Skus'!$A:$AC,17,FALSE)),""))</f>
        <v>0</v>
      </c>
      <c r="P638" s="136">
        <f>(IF((VLOOKUP(Table6[[#This Row],[SKU]],'All Skus'!$A:$AC,2,FALSE))="JBL",(VLOOKUP(Table6[[#This Row],[SKU]],'All Skus'!$A:$AC,18,FALSE)),""))</f>
        <v>215</v>
      </c>
      <c r="Q638" s="136">
        <f>(IF((VLOOKUP(Table6[[#This Row],[SKU]],'All Skus'!$A:$AC,2,FALSE))="JBL",(VLOOKUP(Table6[[#This Row],[SKU]],'All Skus'!$A:$AC,19,FALSE)),""))</f>
        <v>33</v>
      </c>
      <c r="R638" s="136">
        <f>(IF((VLOOKUP(Table6[[#This Row],[SKU]],'All Skus'!$A:$AC,2,FALSE))="JBL",(VLOOKUP(Table6[[#This Row],[SKU]],'All Skus'!$A:$AC,20,FALSE)),""))</f>
        <v>31</v>
      </c>
      <c r="S638" s="61">
        <f>(IF((VLOOKUP(Table6[[#This Row],[SKU]],'All Skus'!$A:$AC,2,FALSE))="JBL",(VLOOKUP(Table6[[#This Row],[SKU]],'All Skus'!$A:$AC,21,FALSE)),""))</f>
        <v>41.5</v>
      </c>
      <c r="T638" s="61" t="str">
        <f>(IF((VLOOKUP(Table6[[#This Row],[SKU]],'All Skus'!$A:$AC,2,FALSE))="JBL",(VLOOKUP(Table6[[#This Row],[SKU]],'All Skus'!$A:$AC,22,FALSE)),""))</f>
        <v>MX</v>
      </c>
      <c r="U638">
        <f>(IF((VLOOKUP(Table6[[#This Row],[SKU]],'All Skus'!$A:$AC,2,FALSE))="JBL",(VLOOKUP(Table6[[#This Row],[SKU]],'All Skus'!$A:$AC,23,FALSE)),""))</f>
        <v>0</v>
      </c>
      <c r="V638" s="284" t="str">
        <f>HYPERLINK((IF((VLOOKUP(Table6[[#This Row],[SKU]],'All Skus'!$A:$AC,2,FALSE))="JBL",(VLOOKUP(Table6[[#This Row],[SKU]],'All Skus'!$A:$AC,24,FALSE)),"")))</f>
        <v/>
      </c>
      <c r="W638" s="151">
        <v>636</v>
      </c>
    </row>
    <row r="639" spans="1:23" ht="15" hidden="1" customHeight="1">
      <c r="A639" s="13" t="s">
        <v>1645</v>
      </c>
      <c r="B639" s="12" t="str">
        <f>(IF((VLOOKUP(Table6[[#This Row],[SKU]],'All Skus'!$A:$AC,2,FALSE))="JBL",(VLOOKUP(Table6[[#This Row],[SKU]],'All Skus'!$A:$AC,3,FALSE)),""))</f>
        <v>Custom Shop Item</v>
      </c>
      <c r="C639" s="12" t="str">
        <f>(IF((VLOOKUP(Table6[[#This Row],[SKU]],'All Skus'!$A:$AC,2,FALSE))="JBL",(VLOOKUP(Table6[[#This Row],[SKU]],'All Skus'!$A:$AC,4,FALSE)),""))</f>
        <v>PD6322/95-WRC</v>
      </c>
      <c r="D639" s="61" t="str">
        <f>(IF((VLOOKUP(Table6[[#This Row],[SKU]],'All Skus'!$A:$AC,2,FALSE))="JBL",(VLOOKUP(Table6[[#This Row],[SKU]],'All Skus'!$A:$AC,5,FALSE)),""))</f>
        <v>JBL050</v>
      </c>
      <c r="E639" s="137" t="str">
        <f>(IF((VLOOKUP(Table6[[#This Row],[SKU]],'All Skus'!$A:$AC,2,FALSE))="JBL",(VLOOKUP(Table6[[#This Row],[SKU]],'All Skus'!$A:$AC,6,FALSE)),""))</f>
        <v>YES</v>
      </c>
      <c r="F639" s="61">
        <f>(IF((VLOOKUP(Table6[[#This Row],[SKU]],'All Skus'!$A:$AC,2,FALSE))="JBL",(VLOOKUP(Table6[[#This Row],[SKU]],'All Skus'!$A:$AC,7,FALSE)),""))</f>
        <v>0</v>
      </c>
      <c r="G639" t="str">
        <f>(IF((VLOOKUP(Table6[[#This Row],[SKU]],'All Skus'!$A:$AC,2,FALSE))="JBL",(VLOOKUP(Table6[[#This Row],[SKU]],'All Skus'!$A:$AC,8,FALSE)),""))</f>
        <v>Dual 12" three-way full-range loudspeaker (Weather Protection Treatment)</v>
      </c>
      <c r="H639" s="8" t="str">
        <f>(IF((VLOOKUP(Table6[[#This Row],[SKU]],'All Skus'!$A:$AC,2,FALSE))="JBL",(VLOOKUP(Table6[[#This Row],[SKU]],'All Skus'!$A:$AC,9,FALSE)),""))</f>
        <v>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39" s="101" t="str">
        <f>(IF((VLOOKUP(Table6[[#This Row],[SKU]],'All Skus'!$A:$AC,2,FALSE))="JBL",(VLOOKUP(Table6[[#This Row],[SKU]],'All Skus'!$A:$AC,10,FALSE)),""))</f>
        <v>Please email CustomAudio@harman.com for quote</v>
      </c>
      <c r="J639" s="101">
        <f>(IF((VLOOKUP(Table6[[#This Row],[SKU]],'All Skus'!$A:$AC,2,FALSE))="JBL",(VLOOKUP(Table6[[#This Row],[SKU]],'All Skus'!$A:$AC,11,FALSE)),""))</f>
        <v>0</v>
      </c>
      <c r="K639" s="102">
        <f>(IF((VLOOKUP(Table6[[#This Row],[SKU]],'All Skus'!$A:$AC,2,FALSE))="JBL",(VLOOKUP(Table6[[#This Row],[SKU]],'All Skus'!$A:$AC,13,FALSE)),""))</f>
        <v>0</v>
      </c>
      <c r="L639" s="102">
        <f>(IF((VLOOKUP(Table6[[#This Row],[SKU]],'All Skus'!$A:$AC,2,FALSE))="JBL",(VLOOKUP(Table6[[#This Row],[SKU]],'All Skus'!$A:$AC,14,FALSE)),""))</f>
        <v>0</v>
      </c>
      <c r="M639" s="143">
        <f>(IF((VLOOKUP(Table6[[#This Row],[SKU]],'All Skus'!$A:$AC,2,FALSE))="JBL",(VLOOKUP(Table6[[#This Row],[SKU]],'All Skus'!$A:$AC,15,FALSE)),""))</f>
        <v>0</v>
      </c>
      <c r="N639" s="137">
        <f>(IF((VLOOKUP(Table6[[#This Row],[SKU]],'All Skus'!$A:$AC,2,FALSE))="JBL",(VLOOKUP(Table6[[#This Row],[SKU]],'All Skus'!$A:$AC,16,FALSE)),""))</f>
        <v>691991014772</v>
      </c>
      <c r="O639" s="61">
        <f>(IF((VLOOKUP(Table6[[#This Row],[SKU]],'All Skus'!$A:$AC,2,FALSE))="JBL",(VLOOKUP(Table6[[#This Row],[SKU]],'All Skus'!$A:$AC,17,FALSE)),""))</f>
        <v>0</v>
      </c>
      <c r="P639" s="136">
        <f>(IF((VLOOKUP(Table6[[#This Row],[SKU]],'All Skus'!$A:$AC,2,FALSE))="JBL",(VLOOKUP(Table6[[#This Row],[SKU]],'All Skus'!$A:$AC,18,FALSE)),""))</f>
        <v>100</v>
      </c>
      <c r="Q639" s="136">
        <f>(IF((VLOOKUP(Table6[[#This Row],[SKU]],'All Skus'!$A:$AC,2,FALSE))="JBL",(VLOOKUP(Table6[[#This Row],[SKU]],'All Skus'!$A:$AC,19,FALSE)),""))</f>
        <v>41</v>
      </c>
      <c r="R639" s="136">
        <f>(IF((VLOOKUP(Table6[[#This Row],[SKU]],'All Skus'!$A:$AC,2,FALSE))="JBL",(VLOOKUP(Table6[[#This Row],[SKU]],'All Skus'!$A:$AC,20,FALSE)),""))</f>
        <v>30</v>
      </c>
      <c r="S639" s="61">
        <f>(IF((VLOOKUP(Table6[[#This Row],[SKU]],'All Skus'!$A:$AC,2,FALSE))="JBL",(VLOOKUP(Table6[[#This Row],[SKU]],'All Skus'!$A:$AC,21,FALSE)),""))</f>
        <v>33</v>
      </c>
      <c r="T639" s="61" t="str">
        <f>(IF((VLOOKUP(Table6[[#This Row],[SKU]],'All Skus'!$A:$AC,2,FALSE))="JBL",(VLOOKUP(Table6[[#This Row],[SKU]],'All Skus'!$A:$AC,22,FALSE)),""))</f>
        <v>MX</v>
      </c>
      <c r="U639" t="str">
        <f>(IF((VLOOKUP(Table6[[#This Row],[SKU]],'All Skus'!$A:$AC,2,FALSE))="JBL",(VLOOKUP(Table6[[#This Row],[SKU]],'All Skus'!$A:$AC,23,FALSE)),""))</f>
        <v>Compliant</v>
      </c>
      <c r="V639" s="284" t="str">
        <f>HYPERLINK((IF((VLOOKUP(Table6[[#This Row],[SKU]],'All Skus'!$A:$AC,2,FALSE))="JBL",(VLOOKUP(Table6[[#This Row],[SKU]],'All Skus'!$A:$AC,24,FALSE)),"")))</f>
        <v/>
      </c>
      <c r="W639" s="151">
        <v>637</v>
      </c>
    </row>
    <row r="640" spans="1:23" ht="15" hidden="1" customHeight="1">
      <c r="A640" s="13" t="s">
        <v>1646</v>
      </c>
      <c r="B640" s="12" t="str">
        <f>(IF((VLOOKUP(Table6[[#This Row],[SKU]],'All Skus'!$A:$AC,2,FALSE))="JBL",(VLOOKUP(Table6[[#This Row],[SKU]],'All Skus'!$A:$AC,3,FALSE)),""))</f>
        <v>Custom Shop Item</v>
      </c>
      <c r="C640" s="12" t="str">
        <f>(IF((VLOOKUP(Table6[[#This Row],[SKU]],'All Skus'!$A:$AC,2,FALSE))="JBL",(VLOOKUP(Table6[[#This Row],[SKU]],'All Skus'!$A:$AC,4,FALSE)),""))</f>
        <v>PD6322/95-WRX</v>
      </c>
      <c r="D640" s="61" t="str">
        <f>(IF((VLOOKUP(Table6[[#This Row],[SKU]],'All Skus'!$A:$AC,2,FALSE))="JBL",(VLOOKUP(Table6[[#This Row],[SKU]],'All Skus'!$A:$AC,5,FALSE)),""))</f>
        <v>JBL050</v>
      </c>
      <c r="E640" s="137" t="str">
        <f>(IF((VLOOKUP(Table6[[#This Row],[SKU]],'All Skus'!$A:$AC,2,FALSE))="JBL",(VLOOKUP(Table6[[#This Row],[SKU]],'All Skus'!$A:$AC,6,FALSE)),""))</f>
        <v>YES</v>
      </c>
      <c r="F640" s="61">
        <f>(IF((VLOOKUP(Table6[[#This Row],[SKU]],'All Skus'!$A:$AC,2,FALSE))="JBL",(VLOOKUP(Table6[[#This Row],[SKU]],'All Skus'!$A:$AC,7,FALSE)),""))</f>
        <v>0</v>
      </c>
      <c r="G640" t="str">
        <f>(IF((VLOOKUP(Table6[[#This Row],[SKU]],'All Skus'!$A:$AC,2,FALSE))="JBL",(VLOOKUP(Table6[[#This Row],[SKU]],'All Skus'!$A:$AC,8,FALSE)),""))</f>
        <v>Dual 12" three-way full-range loudspeaker (Weather Protection Treatment)</v>
      </c>
      <c r="H640" s="8" t="str">
        <f>(IF((VLOOKUP(Table6[[#This Row],[SKU]],'All Skus'!$A:$AC,2,FALSE))="JBL",(VLOOKUP(Table6[[#This Row],[SKU]],'All Skus'!$A:$AC,9,FALSE)),""))</f>
        <v>High Output Three-Way FULL-RANGE Loudspeaker with  12" LF, 8" MF and 90° x  50° Coverage Pattern.  Two 300 mm (12 in.) VGC™  Vented Gap Cooled 2206H Woofers in a Slot Loaded LF, 200 mm (8 in) CMCD™  Cone Midrange Compression Driver and Large Format 2431H Neodymium HF Driver.  41 Hz to 17 kHz Frequency Range. 991 x  673 x 706 mm.  (39 x 26.5 x 27.8 in),  77 kg (170 lbs).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40" s="101" t="str">
        <f>(IF((VLOOKUP(Table6[[#This Row],[SKU]],'All Skus'!$A:$AC,2,FALSE))="JBL",(VLOOKUP(Table6[[#This Row],[SKU]],'All Skus'!$A:$AC,10,FALSE)),""))</f>
        <v>Please email CustomAudio@harman.com for quote</v>
      </c>
      <c r="J640" s="101">
        <f>(IF((VLOOKUP(Table6[[#This Row],[SKU]],'All Skus'!$A:$AC,2,FALSE))="JBL",(VLOOKUP(Table6[[#This Row],[SKU]],'All Skus'!$A:$AC,11,FALSE)),""))</f>
        <v>0</v>
      </c>
      <c r="K640" s="102">
        <f>(IF((VLOOKUP(Table6[[#This Row],[SKU]],'All Skus'!$A:$AC,2,FALSE))="JBL",(VLOOKUP(Table6[[#This Row],[SKU]],'All Skus'!$A:$AC,13,FALSE)),""))</f>
        <v>0</v>
      </c>
      <c r="L640" s="102">
        <f>(IF((VLOOKUP(Table6[[#This Row],[SKU]],'All Skus'!$A:$AC,2,FALSE))="JBL",(VLOOKUP(Table6[[#This Row],[SKU]],'All Skus'!$A:$AC,14,FALSE)),""))</f>
        <v>0</v>
      </c>
      <c r="M640" s="143">
        <f>(IF((VLOOKUP(Table6[[#This Row],[SKU]],'All Skus'!$A:$AC,2,FALSE))="JBL",(VLOOKUP(Table6[[#This Row],[SKU]],'All Skus'!$A:$AC,15,FALSE)),""))</f>
        <v>0</v>
      </c>
      <c r="N640" s="137">
        <f>(IF((VLOOKUP(Table6[[#This Row],[SKU]],'All Skus'!$A:$AC,2,FALSE))="JBL",(VLOOKUP(Table6[[#This Row],[SKU]],'All Skus'!$A:$AC,16,FALSE)),""))</f>
        <v>691991032073</v>
      </c>
      <c r="O640" s="61">
        <f>(IF((VLOOKUP(Table6[[#This Row],[SKU]],'All Skus'!$A:$AC,2,FALSE))="JBL",(VLOOKUP(Table6[[#This Row],[SKU]],'All Skus'!$A:$AC,17,FALSE)),""))</f>
        <v>0</v>
      </c>
      <c r="P640" s="136">
        <f>(IF((VLOOKUP(Table6[[#This Row],[SKU]],'All Skus'!$A:$AC,2,FALSE))="JBL",(VLOOKUP(Table6[[#This Row],[SKU]],'All Skus'!$A:$AC,18,FALSE)),""))</f>
        <v>100</v>
      </c>
      <c r="Q640" s="136">
        <f>(IF((VLOOKUP(Table6[[#This Row],[SKU]],'All Skus'!$A:$AC,2,FALSE))="JBL",(VLOOKUP(Table6[[#This Row],[SKU]],'All Skus'!$A:$AC,19,FALSE)),""))</f>
        <v>41</v>
      </c>
      <c r="R640" s="136">
        <f>(IF((VLOOKUP(Table6[[#This Row],[SKU]],'All Skus'!$A:$AC,2,FALSE))="JBL",(VLOOKUP(Table6[[#This Row],[SKU]],'All Skus'!$A:$AC,20,FALSE)),""))</f>
        <v>37</v>
      </c>
      <c r="S640" s="61">
        <f>(IF((VLOOKUP(Table6[[#This Row],[SKU]],'All Skus'!$A:$AC,2,FALSE))="JBL",(VLOOKUP(Table6[[#This Row],[SKU]],'All Skus'!$A:$AC,21,FALSE)),""))</f>
        <v>40</v>
      </c>
      <c r="T640" s="61" t="str">
        <f>(IF((VLOOKUP(Table6[[#This Row],[SKU]],'All Skus'!$A:$AC,2,FALSE))="JBL",(VLOOKUP(Table6[[#This Row],[SKU]],'All Skus'!$A:$AC,22,FALSE)),""))</f>
        <v>MX</v>
      </c>
      <c r="U640" t="str">
        <f>(IF((VLOOKUP(Table6[[#This Row],[SKU]],'All Skus'!$A:$AC,2,FALSE))="JBL",(VLOOKUP(Table6[[#This Row],[SKU]],'All Skus'!$A:$AC,23,FALSE)),""))</f>
        <v>Compliant</v>
      </c>
      <c r="V640" s="284" t="str">
        <f>HYPERLINK((IF((VLOOKUP(Table6[[#This Row],[SKU]],'All Skus'!$A:$AC,2,FALSE))="JBL",(VLOOKUP(Table6[[#This Row],[SKU]],'All Skus'!$A:$AC,24,FALSE)),"")))</f>
        <v/>
      </c>
      <c r="W640" s="151">
        <v>638</v>
      </c>
    </row>
    <row r="641" spans="1:23" ht="15" hidden="1" customHeight="1">
      <c r="A641" s="104" t="s">
        <v>1647</v>
      </c>
      <c r="B641" s="12">
        <f>(IF((VLOOKUP(Table6[[#This Row],[SKU]],'All Skus'!$A:$AC,2,FALSE))="JBL",(VLOOKUP(Table6[[#This Row],[SKU]],'All Skus'!$A:$AC,3,FALSE)),""))</f>
        <v>0</v>
      </c>
      <c r="C641" s="12">
        <f>(IF((VLOOKUP(Table6[[#This Row],[SKU]],'All Skus'!$A:$AC,2,FALSE))="JBL",(VLOOKUP(Table6[[#This Row],[SKU]],'All Skus'!$A:$AC,4,FALSE)),""))</f>
        <v>0</v>
      </c>
      <c r="D641" s="61">
        <f>(IF((VLOOKUP(Table6[[#This Row],[SKU]],'All Skus'!$A:$AC,2,FALSE))="JBL",(VLOOKUP(Table6[[#This Row],[SKU]],'All Skus'!$A:$AC,5,FALSE)),""))</f>
        <v>0</v>
      </c>
      <c r="E641" s="137">
        <f>(IF((VLOOKUP(Table6[[#This Row],[SKU]],'All Skus'!$A:$AC,2,FALSE))="JBL",(VLOOKUP(Table6[[#This Row],[SKU]],'All Skus'!$A:$AC,6,FALSE)),""))</f>
        <v>0</v>
      </c>
      <c r="F641" s="61">
        <f>(IF((VLOOKUP(Table6[[#This Row],[SKU]],'All Skus'!$A:$AC,2,FALSE))="JBL",(VLOOKUP(Table6[[#This Row],[SKU]],'All Skus'!$A:$AC,7,FALSE)),""))</f>
        <v>0</v>
      </c>
      <c r="G641">
        <f>(IF((VLOOKUP(Table6[[#This Row],[SKU]],'All Skus'!$A:$AC,2,FALSE))="JBL",(VLOOKUP(Table6[[#This Row],[SKU]],'All Skus'!$A:$AC,8,FALSE)),""))</f>
        <v>0</v>
      </c>
      <c r="H641" s="8">
        <f>(IF((VLOOKUP(Table6[[#This Row],[SKU]],'All Skus'!$A:$AC,2,FALSE))="JBL",(VLOOKUP(Table6[[#This Row],[SKU]],'All Skus'!$A:$AC,9,FALSE)),""))</f>
        <v>0</v>
      </c>
      <c r="I641" s="101">
        <f>(IF((VLOOKUP(Table6[[#This Row],[SKU]],'All Skus'!$A:$AC,2,FALSE))="JBL",(VLOOKUP(Table6[[#This Row],[SKU]],'All Skus'!$A:$AC,10,FALSE)),""))</f>
        <v>0</v>
      </c>
      <c r="J641" s="101">
        <f>(IF((VLOOKUP(Table6[[#This Row],[SKU]],'All Skus'!$A:$AC,2,FALSE))="JBL",(VLOOKUP(Table6[[#This Row],[SKU]],'All Skus'!$A:$AC,11,FALSE)),""))</f>
        <v>0</v>
      </c>
      <c r="K641" s="102">
        <f>(IF((VLOOKUP(Table6[[#This Row],[SKU]],'All Skus'!$A:$AC,2,FALSE))="JBL",(VLOOKUP(Table6[[#This Row],[SKU]],'All Skus'!$A:$AC,13,FALSE)),""))</f>
        <v>0</v>
      </c>
      <c r="L641" s="102">
        <f>(IF((VLOOKUP(Table6[[#This Row],[SKU]],'All Skus'!$A:$AC,2,FALSE))="JBL",(VLOOKUP(Table6[[#This Row],[SKU]],'All Skus'!$A:$AC,14,FALSE)),""))</f>
        <v>0</v>
      </c>
      <c r="M641" s="143">
        <f>(IF((VLOOKUP(Table6[[#This Row],[SKU]],'All Skus'!$A:$AC,2,FALSE))="JBL",(VLOOKUP(Table6[[#This Row],[SKU]],'All Skus'!$A:$AC,15,FALSE)),""))</f>
        <v>0</v>
      </c>
      <c r="N641" s="137">
        <f>(IF((VLOOKUP(Table6[[#This Row],[SKU]],'All Skus'!$A:$AC,2,FALSE))="JBL",(VLOOKUP(Table6[[#This Row],[SKU]],'All Skus'!$A:$AC,16,FALSE)),""))</f>
        <v>0</v>
      </c>
      <c r="O641" s="61">
        <f>(IF((VLOOKUP(Table6[[#This Row],[SKU]],'All Skus'!$A:$AC,2,FALSE))="JBL",(VLOOKUP(Table6[[#This Row],[SKU]],'All Skus'!$A:$AC,17,FALSE)),""))</f>
        <v>0</v>
      </c>
      <c r="P641" s="136">
        <f>(IF((VLOOKUP(Table6[[#This Row],[SKU]],'All Skus'!$A:$AC,2,FALSE))="JBL",(VLOOKUP(Table6[[#This Row],[SKU]],'All Skus'!$A:$AC,18,FALSE)),""))</f>
        <v>0</v>
      </c>
      <c r="Q641" s="136">
        <f>(IF((VLOOKUP(Table6[[#This Row],[SKU]],'All Skus'!$A:$AC,2,FALSE))="JBL",(VLOOKUP(Table6[[#This Row],[SKU]],'All Skus'!$A:$AC,19,FALSE)),""))</f>
        <v>0</v>
      </c>
      <c r="R641" s="136">
        <f>(IF((VLOOKUP(Table6[[#This Row],[SKU]],'All Skus'!$A:$AC,2,FALSE))="JBL",(VLOOKUP(Table6[[#This Row],[SKU]],'All Skus'!$A:$AC,20,FALSE)),""))</f>
        <v>0</v>
      </c>
      <c r="S641" s="61">
        <f>(IF((VLOOKUP(Table6[[#This Row],[SKU]],'All Skus'!$A:$AC,2,FALSE))="JBL",(VLOOKUP(Table6[[#This Row],[SKU]],'All Skus'!$A:$AC,21,FALSE)),""))</f>
        <v>0</v>
      </c>
      <c r="T641" s="61" t="str">
        <f>(IF((VLOOKUP(Table6[[#This Row],[SKU]],'All Skus'!$A:$AC,2,FALSE))="JBL",(VLOOKUP(Table6[[#This Row],[SKU]],'All Skus'!$A:$AC,22,FALSE)),""))</f>
        <v>MX</v>
      </c>
      <c r="U641" t="str">
        <f>(IF((VLOOKUP(Table6[[#This Row],[SKU]],'All Skus'!$A:$AC,2,FALSE))="JBL",(VLOOKUP(Table6[[#This Row],[SKU]],'All Skus'!$A:$AC,23,FALSE)),""))</f>
        <v>Compliant</v>
      </c>
      <c r="V641" s="284" t="str">
        <f>HYPERLINK((IF((VLOOKUP(Table6[[#This Row],[SKU]],'All Skus'!$A:$AC,2,FALSE))="JBL",(VLOOKUP(Table6[[#This Row],[SKU]],'All Skus'!$A:$AC,24,FALSE)),"")))</f>
        <v/>
      </c>
      <c r="W641" s="151">
        <v>639</v>
      </c>
    </row>
    <row r="642" spans="1:23" ht="15" hidden="1" customHeight="1">
      <c r="A642" s="13" t="s">
        <v>1648</v>
      </c>
      <c r="B642" s="12" t="str">
        <f>(IF((VLOOKUP(Table6[[#This Row],[SKU]],'All Skus'!$A:$AC,2,FALSE))="JBL",(VLOOKUP(Table6[[#This Row],[SKU]],'All Skus'!$A:$AC,3,FALSE)),""))</f>
        <v>PD Series</v>
      </c>
      <c r="C642" s="12" t="str">
        <f>(IF((VLOOKUP(Table6[[#This Row],[SKU]],'All Skus'!$A:$AC,2,FALSE))="JBL",(VLOOKUP(Table6[[#This Row],[SKU]],'All Skus'!$A:$AC,4,FALSE)),""))</f>
        <v>VLA301I</v>
      </c>
      <c r="D642" s="61">
        <f>(IF((VLOOKUP(Table6[[#This Row],[SKU]],'All Skus'!$A:$AC,2,FALSE))="JBL",(VLOOKUP(Table6[[#This Row],[SKU]],'All Skus'!$A:$AC,5,FALSE)),""))</f>
        <v>0</v>
      </c>
      <c r="E642" s="137">
        <f>(IF((VLOOKUP(Table6[[#This Row],[SKU]],'All Skus'!$A:$AC,2,FALSE))="JBL",(VLOOKUP(Table6[[#This Row],[SKU]],'All Skus'!$A:$AC,6,FALSE)),""))</f>
        <v>0</v>
      </c>
      <c r="F642" s="61">
        <f>(IF((VLOOKUP(Table6[[#This Row],[SKU]],'All Skus'!$A:$AC,2,FALSE))="JBL",(VLOOKUP(Table6[[#This Row],[SKU]],'All Skus'!$A:$AC,7,FALSE)),""))</f>
        <v>0</v>
      </c>
      <c r="G642" t="str">
        <f>(IF((VLOOKUP(Table6[[#This Row],[SKU]],'All Skus'!$A:$AC,2,FALSE))="JBL",(VLOOKUP(Table6[[#This Row],[SKU]],'All Skus'!$A:$AC,8,FALSE)),""))</f>
        <v>Three-way horn-loaded line array system</v>
      </c>
      <c r="H642" s="8" t="str">
        <f>(IF((VLOOKUP(Table6[[#This Row],[SKU]],'All Skus'!$A:$AC,2,FALSE))="JBL",(VLOOKUP(Table6[[#This Row],[SKU]],'All Skus'!$A:$AC,9,FALSE)),""))</f>
        <v>High Output Three-Way Full-Range Horn-Loaded Line Array Loudspeaker System. 30° Horizontal Horn Coverage Pattern.  2x15” LF, 2x8” MF, 3x1.5” Exit HF</v>
      </c>
      <c r="I642" s="101">
        <f>(IF((VLOOKUP(Table6[[#This Row],[SKU]],'All Skus'!$A:$AC,2,FALSE))="JBL",(VLOOKUP(Table6[[#This Row],[SKU]],'All Skus'!$A:$AC,10,FALSE)),""))</f>
        <v>14135.48</v>
      </c>
      <c r="J642" s="101">
        <f>(IF((VLOOKUP(Table6[[#This Row],[SKU]],'All Skus'!$A:$AC,2,FALSE))="JBL",(VLOOKUP(Table6[[#This Row],[SKU]],'All Skus'!$A:$AC,11,FALSE)),""))</f>
        <v>14135</v>
      </c>
      <c r="K642" s="102">
        <f>(IF((VLOOKUP(Table6[[#This Row],[SKU]],'All Skus'!$A:$AC,2,FALSE))="JBL",(VLOOKUP(Table6[[#This Row],[SKU]],'All Skus'!$A:$AC,13,FALSE)),""))</f>
        <v>0</v>
      </c>
      <c r="L642" s="102">
        <f>(IF((VLOOKUP(Table6[[#This Row],[SKU]],'All Skus'!$A:$AC,2,FALSE))="JBL",(VLOOKUP(Table6[[#This Row],[SKU]],'All Skus'!$A:$AC,14,FALSE)),""))</f>
        <v>0</v>
      </c>
      <c r="M642" s="143">
        <f>(IF((VLOOKUP(Table6[[#This Row],[SKU]],'All Skus'!$A:$AC,2,FALSE))="JBL",(VLOOKUP(Table6[[#This Row],[SKU]],'All Skus'!$A:$AC,15,FALSE)),""))</f>
        <v>0</v>
      </c>
      <c r="N642" s="137">
        <f>(IF((VLOOKUP(Table6[[#This Row],[SKU]],'All Skus'!$A:$AC,2,FALSE))="JBL",(VLOOKUP(Table6[[#This Row],[SKU]],'All Skus'!$A:$AC,16,FALSE)),""))</f>
        <v>691991014932</v>
      </c>
      <c r="O642" s="61">
        <f>(IF((VLOOKUP(Table6[[#This Row],[SKU]],'All Skus'!$A:$AC,2,FALSE))="JBL",(VLOOKUP(Table6[[#This Row],[SKU]],'All Skus'!$A:$AC,17,FALSE)),""))</f>
        <v>0</v>
      </c>
      <c r="P642" s="136">
        <f>(IF((VLOOKUP(Table6[[#This Row],[SKU]],'All Skus'!$A:$AC,2,FALSE))="JBL",(VLOOKUP(Table6[[#This Row],[SKU]],'All Skus'!$A:$AC,18,FALSE)),""))</f>
        <v>0</v>
      </c>
      <c r="Q642" s="136">
        <f>(IF((VLOOKUP(Table6[[#This Row],[SKU]],'All Skus'!$A:$AC,2,FALSE))="JBL",(VLOOKUP(Table6[[#This Row],[SKU]],'All Skus'!$A:$AC,19,FALSE)),""))</f>
        <v>0</v>
      </c>
      <c r="R642" s="136">
        <f>(IF((VLOOKUP(Table6[[#This Row],[SKU]],'All Skus'!$A:$AC,2,FALSE))="JBL",(VLOOKUP(Table6[[#This Row],[SKU]],'All Skus'!$A:$AC,20,FALSE)),""))</f>
        <v>0</v>
      </c>
      <c r="S642" s="61">
        <f>(IF((VLOOKUP(Table6[[#This Row],[SKU]],'All Skus'!$A:$AC,2,FALSE))="JBL",(VLOOKUP(Table6[[#This Row],[SKU]],'All Skus'!$A:$AC,21,FALSE)),""))</f>
        <v>0</v>
      </c>
      <c r="T642" s="61" t="str">
        <f>(IF((VLOOKUP(Table6[[#This Row],[SKU]],'All Skus'!$A:$AC,2,FALSE))="JBL",(VLOOKUP(Table6[[#This Row],[SKU]],'All Skus'!$A:$AC,22,FALSE)),""))</f>
        <v>MX</v>
      </c>
      <c r="U642" t="str">
        <f>(IF((VLOOKUP(Table6[[#This Row],[SKU]],'All Skus'!$A:$AC,2,FALSE))="JBL",(VLOOKUP(Table6[[#This Row],[SKU]],'All Skus'!$A:$AC,23,FALSE)),""))</f>
        <v>Compliant</v>
      </c>
      <c r="V642" s="284" t="str">
        <f>HYPERLINK((IF((VLOOKUP(Table6[[#This Row],[SKU]],'All Skus'!$A:$AC,2,FALSE))="JBL",(VLOOKUP(Table6[[#This Row],[SKU]],'All Skus'!$A:$AC,24,FALSE)),"")))</f>
        <v/>
      </c>
      <c r="W642" s="151">
        <v>640</v>
      </c>
    </row>
    <row r="643" spans="1:23" ht="15" hidden="1" customHeight="1">
      <c r="A643" s="13" t="s">
        <v>1649</v>
      </c>
      <c r="B643" s="12" t="str">
        <f>(IF((VLOOKUP(Table6[[#This Row],[SKU]],'All Skus'!$A:$AC,2,FALSE))="JBL",(VLOOKUP(Table6[[#This Row],[SKU]],'All Skus'!$A:$AC,3,FALSE)),""))</f>
        <v>Custom Shop Item</v>
      </c>
      <c r="C643" s="12" t="str">
        <f>(IF((VLOOKUP(Table6[[#This Row],[SKU]],'All Skus'!$A:$AC,2,FALSE))="JBL",(VLOOKUP(Table6[[#This Row],[SKU]],'All Skus'!$A:$AC,4,FALSE)),""))</f>
        <v>VLA301I-WRC</v>
      </c>
      <c r="D643" s="61">
        <f>(IF((VLOOKUP(Table6[[#This Row],[SKU]],'All Skus'!$A:$AC,2,FALSE))="JBL",(VLOOKUP(Table6[[#This Row],[SKU]],'All Skus'!$A:$AC,5,FALSE)),""))</f>
        <v>0</v>
      </c>
      <c r="E643" s="137" t="str">
        <f>(IF((VLOOKUP(Table6[[#This Row],[SKU]],'All Skus'!$A:$AC,2,FALSE))="JBL",(VLOOKUP(Table6[[#This Row],[SKU]],'All Skus'!$A:$AC,6,FALSE)),""))</f>
        <v>YES</v>
      </c>
      <c r="F643" s="61">
        <f>(IF((VLOOKUP(Table6[[#This Row],[SKU]],'All Skus'!$A:$AC,2,FALSE))="JBL",(VLOOKUP(Table6[[#This Row],[SKU]],'All Skus'!$A:$AC,7,FALSE)),""))</f>
        <v>0</v>
      </c>
      <c r="G643" t="str">
        <f>(IF((VLOOKUP(Table6[[#This Row],[SKU]],'All Skus'!$A:$AC,2,FALSE))="JBL",(VLOOKUP(Table6[[#This Row],[SKU]],'All Skus'!$A:$AC,8,FALSE)),""))</f>
        <v>Three-way horn-loaded line array system (Weather Protection Treatment)</v>
      </c>
      <c r="H643" s="8" t="str">
        <f>(IF((VLOOKUP(Table6[[#This Row],[SKU]],'All Skus'!$A:$AC,2,FALSE))="JBL",(VLOOKUP(Table6[[#This Row],[SKU]],'All Skus'!$A:$AC,9,FALSE)),""))</f>
        <v>High Output Three-Way Full-Range Horn-Loaded Line Array Loudspeaker System. 30°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43" s="101" t="str">
        <f>(IF((VLOOKUP(Table6[[#This Row],[SKU]],'All Skus'!$A:$AC,2,FALSE))="JBL",(VLOOKUP(Table6[[#This Row],[SKU]],'All Skus'!$A:$AC,10,FALSE)),""))</f>
        <v>Please email CustomAudio@harman.com for quote</v>
      </c>
      <c r="J643" s="101">
        <f>(IF((VLOOKUP(Table6[[#This Row],[SKU]],'All Skus'!$A:$AC,2,FALSE))="JBL",(VLOOKUP(Table6[[#This Row],[SKU]],'All Skus'!$A:$AC,11,FALSE)),""))</f>
        <v>0</v>
      </c>
      <c r="K643" s="102">
        <f>(IF((VLOOKUP(Table6[[#This Row],[SKU]],'All Skus'!$A:$AC,2,FALSE))="JBL",(VLOOKUP(Table6[[#This Row],[SKU]],'All Skus'!$A:$AC,13,FALSE)),""))</f>
        <v>0</v>
      </c>
      <c r="L643" s="102">
        <f>(IF((VLOOKUP(Table6[[#This Row],[SKU]],'All Skus'!$A:$AC,2,FALSE))="JBL",(VLOOKUP(Table6[[#This Row],[SKU]],'All Skus'!$A:$AC,14,FALSE)),""))</f>
        <v>0</v>
      </c>
      <c r="M643" s="143">
        <f>(IF((VLOOKUP(Table6[[#This Row],[SKU]],'All Skus'!$A:$AC,2,FALSE))="JBL",(VLOOKUP(Table6[[#This Row],[SKU]],'All Skus'!$A:$AC,15,FALSE)),""))</f>
        <v>0</v>
      </c>
      <c r="N643" s="137">
        <f>(IF((VLOOKUP(Table6[[#This Row],[SKU]],'All Skus'!$A:$AC,2,FALSE))="JBL",(VLOOKUP(Table6[[#This Row],[SKU]],'All Skus'!$A:$AC,16,FALSE)),""))</f>
        <v>691991014949</v>
      </c>
      <c r="O643" s="61">
        <f>(IF((VLOOKUP(Table6[[#This Row],[SKU]],'All Skus'!$A:$AC,2,FALSE))="JBL",(VLOOKUP(Table6[[#This Row],[SKU]],'All Skus'!$A:$AC,17,FALSE)),""))</f>
        <v>0</v>
      </c>
      <c r="P643" s="136">
        <f>(IF((VLOOKUP(Table6[[#This Row],[SKU]],'All Skus'!$A:$AC,2,FALSE))="JBL",(VLOOKUP(Table6[[#This Row],[SKU]],'All Skus'!$A:$AC,18,FALSE)),""))</f>
        <v>0</v>
      </c>
      <c r="Q643" s="136">
        <f>(IF((VLOOKUP(Table6[[#This Row],[SKU]],'All Skus'!$A:$AC,2,FALSE))="JBL",(VLOOKUP(Table6[[#This Row],[SKU]],'All Skus'!$A:$AC,19,FALSE)),""))</f>
        <v>0</v>
      </c>
      <c r="R643" s="136">
        <f>(IF((VLOOKUP(Table6[[#This Row],[SKU]],'All Skus'!$A:$AC,2,FALSE))="JBL",(VLOOKUP(Table6[[#This Row],[SKU]],'All Skus'!$A:$AC,20,FALSE)),""))</f>
        <v>0</v>
      </c>
      <c r="S643" s="61">
        <f>(IF((VLOOKUP(Table6[[#This Row],[SKU]],'All Skus'!$A:$AC,2,FALSE))="JBL",(VLOOKUP(Table6[[#This Row],[SKU]],'All Skus'!$A:$AC,21,FALSE)),""))</f>
        <v>0</v>
      </c>
      <c r="T643" s="61" t="str">
        <f>(IF((VLOOKUP(Table6[[#This Row],[SKU]],'All Skus'!$A:$AC,2,FALSE))="JBL",(VLOOKUP(Table6[[#This Row],[SKU]],'All Skus'!$A:$AC,22,FALSE)),""))</f>
        <v>MX</v>
      </c>
      <c r="U643" t="str">
        <f>(IF((VLOOKUP(Table6[[#This Row],[SKU]],'All Skus'!$A:$AC,2,FALSE))="JBL",(VLOOKUP(Table6[[#This Row],[SKU]],'All Skus'!$A:$AC,23,FALSE)),""))</f>
        <v>Compliant</v>
      </c>
      <c r="V643" s="284" t="str">
        <f>HYPERLINK((IF((VLOOKUP(Table6[[#This Row],[SKU]],'All Skus'!$A:$AC,2,FALSE))="JBL",(VLOOKUP(Table6[[#This Row],[SKU]],'All Skus'!$A:$AC,24,FALSE)),"")))</f>
        <v/>
      </c>
      <c r="W643" s="151">
        <v>641</v>
      </c>
    </row>
    <row r="644" spans="1:23" ht="15" hidden="1" customHeight="1">
      <c r="A644" s="13" t="s">
        <v>1650</v>
      </c>
      <c r="B644" s="12" t="str">
        <f>(IF((VLOOKUP(Table6[[#This Row],[SKU]],'All Skus'!$A:$AC,2,FALSE))="JBL",(VLOOKUP(Table6[[#This Row],[SKU]],'All Skus'!$A:$AC,3,FALSE)),""))</f>
        <v>Custom Shop Item</v>
      </c>
      <c r="C644" s="12" t="str">
        <f>(IF((VLOOKUP(Table6[[#This Row],[SKU]],'All Skus'!$A:$AC,2,FALSE))="JBL",(VLOOKUP(Table6[[#This Row],[SKU]],'All Skus'!$A:$AC,4,FALSE)),""))</f>
        <v>VLA301HI-WRC</v>
      </c>
      <c r="D644" s="61">
        <f>(IF((VLOOKUP(Table6[[#This Row],[SKU]],'All Skus'!$A:$AC,2,FALSE))="JBL",(VLOOKUP(Table6[[#This Row],[SKU]],'All Skus'!$A:$AC,5,FALSE)),""))</f>
        <v>0</v>
      </c>
      <c r="E644" s="137" t="str">
        <f>(IF((VLOOKUP(Table6[[#This Row],[SKU]],'All Skus'!$A:$AC,2,FALSE))="JBL",(VLOOKUP(Table6[[#This Row],[SKU]],'All Skus'!$A:$AC,6,FALSE)),""))</f>
        <v>YES</v>
      </c>
      <c r="F644" s="61">
        <f>(IF((VLOOKUP(Table6[[#This Row],[SKU]],'All Skus'!$A:$AC,2,FALSE))="JBL",(VLOOKUP(Table6[[#This Row],[SKU]],'All Skus'!$A:$AC,7,FALSE)),""))</f>
        <v>0</v>
      </c>
      <c r="G644" t="str">
        <f>(IF((VLOOKUP(Table6[[#This Row],[SKU]],'All Skus'!$A:$AC,2,FALSE))="JBL",(VLOOKUP(Table6[[#This Row],[SKU]],'All Skus'!$A:$AC,8,FALSE)),""))</f>
        <v>Three-way horn-loaded line array system (Weather Protection Treatment)</v>
      </c>
      <c r="H644" s="8" t="str">
        <f>(IF((VLOOKUP(Table6[[#This Row],[SKU]],'All Skus'!$A:$AC,2,FALSE))="JBL",(VLOOKUP(Table6[[#This Row],[SKU]],'All Skus'!$A:$AC,9,FALSE)),""))</f>
        <v>High Output Three-Way Full-Range Horn-Loaded Line Array Loudspeaker System. 30°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44" s="101" t="str">
        <f>(IF((VLOOKUP(Table6[[#This Row],[SKU]],'All Skus'!$A:$AC,2,FALSE))="JBL",(VLOOKUP(Table6[[#This Row],[SKU]],'All Skus'!$A:$AC,10,FALSE)),""))</f>
        <v>Please email CustomAudio@harman.com for quote</v>
      </c>
      <c r="J644" s="101">
        <f>(IF((VLOOKUP(Table6[[#This Row],[SKU]],'All Skus'!$A:$AC,2,FALSE))="JBL",(VLOOKUP(Table6[[#This Row],[SKU]],'All Skus'!$A:$AC,11,FALSE)),""))</f>
        <v>0</v>
      </c>
      <c r="K644" s="102">
        <f>(IF((VLOOKUP(Table6[[#This Row],[SKU]],'All Skus'!$A:$AC,2,FALSE))="JBL",(VLOOKUP(Table6[[#This Row],[SKU]],'All Skus'!$A:$AC,13,FALSE)),""))</f>
        <v>0</v>
      </c>
      <c r="L644" s="102">
        <f>(IF((VLOOKUP(Table6[[#This Row],[SKU]],'All Skus'!$A:$AC,2,FALSE))="JBL",(VLOOKUP(Table6[[#This Row],[SKU]],'All Skus'!$A:$AC,14,FALSE)),""))</f>
        <v>0</v>
      </c>
      <c r="M644" s="143">
        <f>(IF((VLOOKUP(Table6[[#This Row],[SKU]],'All Skus'!$A:$AC,2,FALSE))="JBL",(VLOOKUP(Table6[[#This Row],[SKU]],'All Skus'!$A:$AC,15,FALSE)),""))</f>
        <v>0</v>
      </c>
      <c r="N644" s="137">
        <f>(IF((VLOOKUP(Table6[[#This Row],[SKU]],'All Skus'!$A:$AC,2,FALSE))="JBL",(VLOOKUP(Table6[[#This Row],[SKU]],'All Skus'!$A:$AC,16,FALSE)),""))</f>
        <v>691991036651</v>
      </c>
      <c r="O644" s="61">
        <f>(IF((VLOOKUP(Table6[[#This Row],[SKU]],'All Skus'!$A:$AC,2,FALSE))="JBL",(VLOOKUP(Table6[[#This Row],[SKU]],'All Skus'!$A:$AC,17,FALSE)),""))</f>
        <v>0</v>
      </c>
      <c r="P644" s="136">
        <f>(IF((VLOOKUP(Table6[[#This Row],[SKU]],'All Skus'!$A:$AC,2,FALSE))="JBL",(VLOOKUP(Table6[[#This Row],[SKU]],'All Skus'!$A:$AC,18,FALSE)),""))</f>
        <v>0</v>
      </c>
      <c r="Q644" s="136">
        <f>(IF((VLOOKUP(Table6[[#This Row],[SKU]],'All Skus'!$A:$AC,2,FALSE))="JBL",(VLOOKUP(Table6[[#This Row],[SKU]],'All Skus'!$A:$AC,19,FALSE)),""))</f>
        <v>0</v>
      </c>
      <c r="R644" s="136">
        <f>(IF((VLOOKUP(Table6[[#This Row],[SKU]],'All Skus'!$A:$AC,2,FALSE))="JBL",(VLOOKUP(Table6[[#This Row],[SKU]],'All Skus'!$A:$AC,20,FALSE)),""))</f>
        <v>0</v>
      </c>
      <c r="S644" s="61">
        <f>(IF((VLOOKUP(Table6[[#This Row],[SKU]],'All Skus'!$A:$AC,2,FALSE))="JBL",(VLOOKUP(Table6[[#This Row],[SKU]],'All Skus'!$A:$AC,21,FALSE)),""))</f>
        <v>0</v>
      </c>
      <c r="T644" s="61" t="str">
        <f>(IF((VLOOKUP(Table6[[#This Row],[SKU]],'All Skus'!$A:$AC,2,FALSE))="JBL",(VLOOKUP(Table6[[#This Row],[SKU]],'All Skus'!$A:$AC,22,FALSE)),""))</f>
        <v>MX</v>
      </c>
      <c r="U644" t="str">
        <f>(IF((VLOOKUP(Table6[[#This Row],[SKU]],'All Skus'!$A:$AC,2,FALSE))="JBL",(VLOOKUP(Table6[[#This Row],[SKU]],'All Skus'!$A:$AC,23,FALSE)),""))</f>
        <v>Compliant</v>
      </c>
      <c r="V644" s="284" t="str">
        <f>HYPERLINK((IF((VLOOKUP(Table6[[#This Row],[SKU]],'All Skus'!$A:$AC,2,FALSE))="JBL",(VLOOKUP(Table6[[#This Row],[SKU]],'All Skus'!$A:$AC,24,FALSE)),"")))</f>
        <v/>
      </c>
      <c r="W644" s="151">
        <v>642</v>
      </c>
    </row>
    <row r="645" spans="1:23" ht="15" hidden="1" customHeight="1">
      <c r="A645" s="13" t="s">
        <v>1651</v>
      </c>
      <c r="B645" s="12" t="str">
        <f>(IF((VLOOKUP(Table6[[#This Row],[SKU]],'All Skus'!$A:$AC,2,FALSE))="JBL",(VLOOKUP(Table6[[#This Row],[SKU]],'All Skus'!$A:$AC,3,FALSE)),""))</f>
        <v>Custom Shop Item</v>
      </c>
      <c r="C645" s="12" t="str">
        <f>(IF((VLOOKUP(Table6[[#This Row],[SKU]],'All Skus'!$A:$AC,2,FALSE))="JBL",(VLOOKUP(Table6[[#This Row],[SKU]],'All Skus'!$A:$AC,4,FALSE)),""))</f>
        <v>VLA301HI-WRX</v>
      </c>
      <c r="D645" s="61">
        <f>(IF((VLOOKUP(Table6[[#This Row],[SKU]],'All Skus'!$A:$AC,2,FALSE))="JBL",(VLOOKUP(Table6[[#This Row],[SKU]],'All Skus'!$A:$AC,5,FALSE)),""))</f>
        <v>0</v>
      </c>
      <c r="E645" s="137" t="str">
        <f>(IF((VLOOKUP(Table6[[#This Row],[SKU]],'All Skus'!$A:$AC,2,FALSE))="JBL",(VLOOKUP(Table6[[#This Row],[SKU]],'All Skus'!$A:$AC,6,FALSE)),""))</f>
        <v>YES</v>
      </c>
      <c r="F645" s="61">
        <f>(IF((VLOOKUP(Table6[[#This Row],[SKU]],'All Skus'!$A:$AC,2,FALSE))="JBL",(VLOOKUP(Table6[[#This Row],[SKU]],'All Skus'!$A:$AC,7,FALSE)),""))</f>
        <v>0</v>
      </c>
      <c r="G645" t="str">
        <f>(IF((VLOOKUP(Table6[[#This Row],[SKU]],'All Skus'!$A:$AC,2,FALSE))="JBL",(VLOOKUP(Table6[[#This Row],[SKU]],'All Skus'!$A:$AC,8,FALSE)),""))</f>
        <v>Three-way horn-loaded line array system (Extreme Weather Protection Treatment)</v>
      </c>
      <c r="H645" s="8" t="str">
        <f>(IF((VLOOKUP(Table6[[#This Row],[SKU]],'All Skus'!$A:$AC,2,FALSE))="JBL",(VLOOKUP(Table6[[#This Row],[SKU]],'All Skus'!$A:$AC,9,FALSE)),""))</f>
        <v>High Output Three-Way Full-Range Horn-Loaded Line Array Loudspeaker System. 30° Horizontal Horn Coverage Pattern.  2x15” LF, 4x8” MF, 6x1.5” Exit HF.  With Extreme Weather Protection Treatment. Refer to WEATHER RESISTANT Configurations for AE, PD &amp; VLA Series document for details regarding WRC/WRX models. Standard color is GRAY. Available in Black (-BK) &amp; White (-WH).</v>
      </c>
      <c r="I645" s="101" t="str">
        <f>(IF((VLOOKUP(Table6[[#This Row],[SKU]],'All Skus'!$A:$AC,2,FALSE))="JBL",(VLOOKUP(Table6[[#This Row],[SKU]],'All Skus'!$A:$AC,10,FALSE)),""))</f>
        <v>Please email CustomAudio@harman.com for quote</v>
      </c>
      <c r="J645" s="101">
        <f>(IF((VLOOKUP(Table6[[#This Row],[SKU]],'All Skus'!$A:$AC,2,FALSE))="JBL",(VLOOKUP(Table6[[#This Row],[SKU]],'All Skus'!$A:$AC,11,FALSE)),""))</f>
        <v>0</v>
      </c>
      <c r="K645" s="102">
        <f>(IF((VLOOKUP(Table6[[#This Row],[SKU]],'All Skus'!$A:$AC,2,FALSE))="JBL",(VLOOKUP(Table6[[#This Row],[SKU]],'All Skus'!$A:$AC,13,FALSE)),""))</f>
        <v>0</v>
      </c>
      <c r="L645" s="102">
        <f>(IF((VLOOKUP(Table6[[#This Row],[SKU]],'All Skus'!$A:$AC,2,FALSE))="JBL",(VLOOKUP(Table6[[#This Row],[SKU]],'All Skus'!$A:$AC,14,FALSE)),""))</f>
        <v>0</v>
      </c>
      <c r="M645" s="143">
        <f>(IF((VLOOKUP(Table6[[#This Row],[SKU]],'All Skus'!$A:$AC,2,FALSE))="JBL",(VLOOKUP(Table6[[#This Row],[SKU]],'All Skus'!$A:$AC,15,FALSE)),""))</f>
        <v>0</v>
      </c>
      <c r="N645" s="137">
        <f>(IF((VLOOKUP(Table6[[#This Row],[SKU]],'All Skus'!$A:$AC,2,FALSE))="JBL",(VLOOKUP(Table6[[#This Row],[SKU]],'All Skus'!$A:$AC,16,FALSE)),""))</f>
        <v>691991036644</v>
      </c>
      <c r="O645" s="61">
        <f>(IF((VLOOKUP(Table6[[#This Row],[SKU]],'All Skus'!$A:$AC,2,FALSE))="JBL",(VLOOKUP(Table6[[#This Row],[SKU]],'All Skus'!$A:$AC,17,FALSE)),""))</f>
        <v>0</v>
      </c>
      <c r="P645" s="136">
        <f>(IF((VLOOKUP(Table6[[#This Row],[SKU]],'All Skus'!$A:$AC,2,FALSE))="JBL",(VLOOKUP(Table6[[#This Row],[SKU]],'All Skus'!$A:$AC,18,FALSE)),""))</f>
        <v>421</v>
      </c>
      <c r="Q645" s="136">
        <f>(IF((VLOOKUP(Table6[[#This Row],[SKU]],'All Skus'!$A:$AC,2,FALSE))="JBL",(VLOOKUP(Table6[[#This Row],[SKU]],'All Skus'!$A:$AC,19,FALSE)),""))</f>
        <v>54</v>
      </c>
      <c r="R645" s="136">
        <f>(IF((VLOOKUP(Table6[[#This Row],[SKU]],'All Skus'!$A:$AC,2,FALSE))="JBL",(VLOOKUP(Table6[[#This Row],[SKU]],'All Skus'!$A:$AC,20,FALSE)),""))</f>
        <v>21.5</v>
      </c>
      <c r="S645" s="61">
        <f>(IF((VLOOKUP(Table6[[#This Row],[SKU]],'All Skus'!$A:$AC,2,FALSE))="JBL",(VLOOKUP(Table6[[#This Row],[SKU]],'All Skus'!$A:$AC,21,FALSE)),""))</f>
        <v>60</v>
      </c>
      <c r="T645" s="61" t="str">
        <f>(IF((VLOOKUP(Table6[[#This Row],[SKU]],'All Skus'!$A:$AC,2,FALSE))="JBL",(VLOOKUP(Table6[[#This Row],[SKU]],'All Skus'!$A:$AC,22,FALSE)),""))</f>
        <v>MX</v>
      </c>
      <c r="U645" t="str">
        <f>(IF((VLOOKUP(Table6[[#This Row],[SKU]],'All Skus'!$A:$AC,2,FALSE))="JBL",(VLOOKUP(Table6[[#This Row],[SKU]],'All Skus'!$A:$AC,23,FALSE)),""))</f>
        <v>Compliant</v>
      </c>
      <c r="V645" s="284" t="str">
        <f>HYPERLINK((IF((VLOOKUP(Table6[[#This Row],[SKU]],'All Skus'!$A:$AC,2,FALSE))="JBL",(VLOOKUP(Table6[[#This Row],[SKU]],'All Skus'!$A:$AC,24,FALSE)),"")))</f>
        <v/>
      </c>
      <c r="W645" s="151">
        <v>643</v>
      </c>
    </row>
    <row r="646" spans="1:23" ht="15" hidden="1" customHeight="1">
      <c r="A646" s="13" t="s">
        <v>1652</v>
      </c>
      <c r="B646" s="12" t="str">
        <f>(IF((VLOOKUP(Table6[[#This Row],[SKU]],'All Skus'!$A:$AC,2,FALSE))="JBL",(VLOOKUP(Table6[[#This Row],[SKU]],'All Skus'!$A:$AC,3,FALSE)),""))</f>
        <v>Custom Shop Item</v>
      </c>
      <c r="C646" s="12" t="str">
        <f>(IF((VLOOKUP(Table6[[#This Row],[SKU]],'All Skus'!$A:$AC,2,FALSE))="JBL",(VLOOKUP(Table6[[#This Row],[SKU]],'All Skus'!$A:$AC,4,FALSE)),""))</f>
        <v>VLA301I-WRX</v>
      </c>
      <c r="D646" s="61">
        <f>(IF((VLOOKUP(Table6[[#This Row],[SKU]],'All Skus'!$A:$AC,2,FALSE))="JBL",(VLOOKUP(Table6[[#This Row],[SKU]],'All Skus'!$A:$AC,5,FALSE)),""))</f>
        <v>0</v>
      </c>
      <c r="E646" s="137" t="str">
        <f>(IF((VLOOKUP(Table6[[#This Row],[SKU]],'All Skus'!$A:$AC,2,FALSE))="JBL",(VLOOKUP(Table6[[#This Row],[SKU]],'All Skus'!$A:$AC,6,FALSE)),""))</f>
        <v>YES</v>
      </c>
      <c r="F646" s="61">
        <f>(IF((VLOOKUP(Table6[[#This Row],[SKU]],'All Skus'!$A:$AC,2,FALSE))="JBL",(VLOOKUP(Table6[[#This Row],[SKU]],'All Skus'!$A:$AC,7,FALSE)),""))</f>
        <v>0</v>
      </c>
      <c r="G646" t="str">
        <f>(IF((VLOOKUP(Table6[[#This Row],[SKU]],'All Skus'!$A:$AC,2,FALSE))="JBL",(VLOOKUP(Table6[[#This Row],[SKU]],'All Skus'!$A:$AC,8,FALSE)),""))</f>
        <v>Three-way horn-loaded line array system (Extreme Weather Protection Treatment)</v>
      </c>
      <c r="H646" s="8" t="str">
        <f>(IF((VLOOKUP(Table6[[#This Row],[SKU]],'All Skus'!$A:$AC,2,FALSE))="JBL",(VLOOKUP(Table6[[#This Row],[SKU]],'All Skus'!$A:$AC,9,FALSE)),""))</f>
        <v>High Output Three-Way Full-Range Horn-Loaded Line Array Loudspeaker System. 30° Horizontal Horn Coverage Pattern.  2x15” LF, 2x8” MF, 3x1.5” Exit HF.  With Extreme Weather Protection Treatment. Refer to WEATHER RESISTANT Configurations for AE, PD &amp; VLA Series document for details regarding WRC/WRX models. Standard color is GRAY. Available in Black (-BK) &amp; White (-WH).</v>
      </c>
      <c r="I646" s="101" t="str">
        <f>(IF((VLOOKUP(Table6[[#This Row],[SKU]],'All Skus'!$A:$AC,2,FALSE))="JBL",(VLOOKUP(Table6[[#This Row],[SKU]],'All Skus'!$A:$AC,10,FALSE)),""))</f>
        <v>Please email CustomAudio@harman.com for quote</v>
      </c>
      <c r="J646" s="101">
        <f>(IF((VLOOKUP(Table6[[#This Row],[SKU]],'All Skus'!$A:$AC,2,FALSE))="JBL",(VLOOKUP(Table6[[#This Row],[SKU]],'All Skus'!$A:$AC,11,FALSE)),""))</f>
        <v>0</v>
      </c>
      <c r="K646" s="102">
        <f>(IF((VLOOKUP(Table6[[#This Row],[SKU]],'All Skus'!$A:$AC,2,FALSE))="JBL",(VLOOKUP(Table6[[#This Row],[SKU]],'All Skus'!$A:$AC,13,FALSE)),""))</f>
        <v>0</v>
      </c>
      <c r="L646" s="102">
        <f>(IF((VLOOKUP(Table6[[#This Row],[SKU]],'All Skus'!$A:$AC,2,FALSE))="JBL",(VLOOKUP(Table6[[#This Row],[SKU]],'All Skus'!$A:$AC,14,FALSE)),""))</f>
        <v>0</v>
      </c>
      <c r="M646" s="143">
        <f>(IF((VLOOKUP(Table6[[#This Row],[SKU]],'All Skus'!$A:$AC,2,FALSE))="JBL",(VLOOKUP(Table6[[#This Row],[SKU]],'All Skus'!$A:$AC,15,FALSE)),""))</f>
        <v>0</v>
      </c>
      <c r="N646" s="137">
        <f>(IF((VLOOKUP(Table6[[#This Row],[SKU]],'All Skus'!$A:$AC,2,FALSE))="JBL",(VLOOKUP(Table6[[#This Row],[SKU]],'All Skus'!$A:$AC,16,FALSE)),""))</f>
        <v>0</v>
      </c>
      <c r="O646" s="61">
        <f>(IF((VLOOKUP(Table6[[#This Row],[SKU]],'All Skus'!$A:$AC,2,FALSE))="JBL",(VLOOKUP(Table6[[#This Row],[SKU]],'All Skus'!$A:$AC,17,FALSE)),""))</f>
        <v>0</v>
      </c>
      <c r="P646" s="136">
        <f>(IF((VLOOKUP(Table6[[#This Row],[SKU]],'All Skus'!$A:$AC,2,FALSE))="JBL",(VLOOKUP(Table6[[#This Row],[SKU]],'All Skus'!$A:$AC,18,FALSE)),""))</f>
        <v>400</v>
      </c>
      <c r="Q646" s="136">
        <f>(IF((VLOOKUP(Table6[[#This Row],[SKU]],'All Skus'!$A:$AC,2,FALSE))="JBL",(VLOOKUP(Table6[[#This Row],[SKU]],'All Skus'!$A:$AC,19,FALSE)),""))</f>
        <v>55.5</v>
      </c>
      <c r="R646" s="136">
        <f>(IF((VLOOKUP(Table6[[#This Row],[SKU]],'All Skus'!$A:$AC,2,FALSE))="JBL",(VLOOKUP(Table6[[#This Row],[SKU]],'All Skus'!$A:$AC,20,FALSE)),""))</f>
        <v>23.5</v>
      </c>
      <c r="S646" s="61">
        <f>(IF((VLOOKUP(Table6[[#This Row],[SKU]],'All Skus'!$A:$AC,2,FALSE))="JBL",(VLOOKUP(Table6[[#This Row],[SKU]],'All Skus'!$A:$AC,21,FALSE)),""))</f>
        <v>59.5</v>
      </c>
      <c r="T646" s="61" t="str">
        <f>(IF((VLOOKUP(Table6[[#This Row],[SKU]],'All Skus'!$A:$AC,2,FALSE))="JBL",(VLOOKUP(Table6[[#This Row],[SKU]],'All Skus'!$A:$AC,22,FALSE)),""))</f>
        <v>MX</v>
      </c>
      <c r="U646" t="str">
        <f>(IF((VLOOKUP(Table6[[#This Row],[SKU]],'All Skus'!$A:$AC,2,FALSE))="JBL",(VLOOKUP(Table6[[#This Row],[SKU]],'All Skus'!$A:$AC,23,FALSE)),""))</f>
        <v>Compliant</v>
      </c>
      <c r="V646" s="284" t="str">
        <f>HYPERLINK((IF((VLOOKUP(Table6[[#This Row],[SKU]],'All Skus'!$A:$AC,2,FALSE))="JBL",(VLOOKUP(Table6[[#This Row],[SKU]],'All Skus'!$A:$AC,24,FALSE)),"")))</f>
        <v/>
      </c>
      <c r="W646" s="151">
        <v>644</v>
      </c>
    </row>
    <row r="647" spans="1:23" ht="15" hidden="1" customHeight="1">
      <c r="A647" s="13" t="s">
        <v>1653</v>
      </c>
      <c r="B647" s="12" t="str">
        <f>(IF((VLOOKUP(Table6[[#This Row],[SKU]],'All Skus'!$A:$AC,2,FALSE))="JBL",(VLOOKUP(Table6[[#This Row],[SKU]],'All Skus'!$A:$AC,3,FALSE)),""))</f>
        <v>PD Series</v>
      </c>
      <c r="C647" s="12" t="str">
        <f>(IF((VLOOKUP(Table6[[#This Row],[SKU]],'All Skus'!$A:$AC,2,FALSE))="JBL",(VLOOKUP(Table6[[#This Row],[SKU]],'All Skus'!$A:$AC,4,FALSE)),""))</f>
        <v>VLA301HI</v>
      </c>
      <c r="D647" s="61">
        <f>(IF((VLOOKUP(Table6[[#This Row],[SKU]],'All Skus'!$A:$AC,2,FALSE))="JBL",(VLOOKUP(Table6[[#This Row],[SKU]],'All Skus'!$A:$AC,5,FALSE)),""))</f>
        <v>0</v>
      </c>
      <c r="E647" s="137">
        <f>(IF((VLOOKUP(Table6[[#This Row],[SKU]],'All Skus'!$A:$AC,2,FALSE))="JBL",(VLOOKUP(Table6[[#This Row],[SKU]],'All Skus'!$A:$AC,6,FALSE)),""))</f>
        <v>0</v>
      </c>
      <c r="F647" s="61">
        <f>(IF((VLOOKUP(Table6[[#This Row],[SKU]],'All Skus'!$A:$AC,2,FALSE))="JBL",(VLOOKUP(Table6[[#This Row],[SKU]],'All Skus'!$A:$AC,7,FALSE)),""))</f>
        <v>0</v>
      </c>
      <c r="G647" t="str">
        <f>(IF((VLOOKUP(Table6[[#This Row],[SKU]],'All Skus'!$A:$AC,2,FALSE))="JBL",(VLOOKUP(Table6[[#This Row],[SKU]],'All Skus'!$A:$AC,8,FALSE)),""))</f>
        <v>Three-way horn-loaded line array system</v>
      </c>
      <c r="H647" s="8" t="str">
        <f>(IF((VLOOKUP(Table6[[#This Row],[SKU]],'All Skus'!$A:$AC,2,FALSE))="JBL",(VLOOKUP(Table6[[#This Row],[SKU]],'All Skus'!$A:$AC,9,FALSE)),""))</f>
        <v>High Output Three-Way Full-Range Horn-Loaded Line Array Loudspeaker System. 30° Horizontal Horn Coverage Pattern.  2x15” LF, 4x8” MF, 6x1.5” Exit HF</v>
      </c>
      <c r="I647" s="101">
        <f>(IF((VLOOKUP(Table6[[#This Row],[SKU]],'All Skus'!$A:$AC,2,FALSE))="JBL",(VLOOKUP(Table6[[#This Row],[SKU]],'All Skus'!$A:$AC,10,FALSE)),""))</f>
        <v>16056.22</v>
      </c>
      <c r="J647" s="101">
        <f>(IF((VLOOKUP(Table6[[#This Row],[SKU]],'All Skus'!$A:$AC,2,FALSE))="JBL",(VLOOKUP(Table6[[#This Row],[SKU]],'All Skus'!$A:$AC,11,FALSE)),""))</f>
        <v>16056</v>
      </c>
      <c r="K647" s="102">
        <f>(IF((VLOOKUP(Table6[[#This Row],[SKU]],'All Skus'!$A:$AC,2,FALSE))="JBL",(VLOOKUP(Table6[[#This Row],[SKU]],'All Skus'!$A:$AC,13,FALSE)),""))</f>
        <v>0</v>
      </c>
      <c r="L647" s="102">
        <f>(IF((VLOOKUP(Table6[[#This Row],[SKU]],'All Skus'!$A:$AC,2,FALSE))="JBL",(VLOOKUP(Table6[[#This Row],[SKU]],'All Skus'!$A:$AC,14,FALSE)),""))</f>
        <v>0</v>
      </c>
      <c r="M647" s="143">
        <f>(IF((VLOOKUP(Table6[[#This Row],[SKU]],'All Skus'!$A:$AC,2,FALSE))="JBL",(VLOOKUP(Table6[[#This Row],[SKU]],'All Skus'!$A:$AC,15,FALSE)),""))</f>
        <v>0</v>
      </c>
      <c r="N647" s="137">
        <f>(IF((VLOOKUP(Table6[[#This Row],[SKU]],'All Skus'!$A:$AC,2,FALSE))="JBL",(VLOOKUP(Table6[[#This Row],[SKU]],'All Skus'!$A:$AC,16,FALSE)),""))</f>
        <v>691991014956</v>
      </c>
      <c r="O647" s="61">
        <f>(IF((VLOOKUP(Table6[[#This Row],[SKU]],'All Skus'!$A:$AC,2,FALSE))="JBL",(VLOOKUP(Table6[[#This Row],[SKU]],'All Skus'!$A:$AC,17,FALSE)),""))</f>
        <v>0</v>
      </c>
      <c r="P647" s="136">
        <f>(IF((VLOOKUP(Table6[[#This Row],[SKU]],'All Skus'!$A:$AC,2,FALSE))="JBL",(VLOOKUP(Table6[[#This Row],[SKU]],'All Skus'!$A:$AC,18,FALSE)),""))</f>
        <v>0</v>
      </c>
      <c r="Q647" s="136">
        <f>(IF((VLOOKUP(Table6[[#This Row],[SKU]],'All Skus'!$A:$AC,2,FALSE))="JBL",(VLOOKUP(Table6[[#This Row],[SKU]],'All Skus'!$A:$AC,19,FALSE)),""))</f>
        <v>0</v>
      </c>
      <c r="R647" s="136">
        <f>(IF((VLOOKUP(Table6[[#This Row],[SKU]],'All Skus'!$A:$AC,2,FALSE))="JBL",(VLOOKUP(Table6[[#This Row],[SKU]],'All Skus'!$A:$AC,20,FALSE)),""))</f>
        <v>0</v>
      </c>
      <c r="S647" s="61">
        <f>(IF((VLOOKUP(Table6[[#This Row],[SKU]],'All Skus'!$A:$AC,2,FALSE))="JBL",(VLOOKUP(Table6[[#This Row],[SKU]],'All Skus'!$A:$AC,21,FALSE)),""))</f>
        <v>0</v>
      </c>
      <c r="T647" s="61" t="str">
        <f>(IF((VLOOKUP(Table6[[#This Row],[SKU]],'All Skus'!$A:$AC,2,FALSE))="JBL",(VLOOKUP(Table6[[#This Row],[SKU]],'All Skus'!$A:$AC,22,FALSE)),""))</f>
        <v>MX</v>
      </c>
      <c r="U647" t="str">
        <f>(IF((VLOOKUP(Table6[[#This Row],[SKU]],'All Skus'!$A:$AC,2,FALSE))="JBL",(VLOOKUP(Table6[[#This Row],[SKU]],'All Skus'!$A:$AC,23,FALSE)),""))</f>
        <v>Compliant</v>
      </c>
      <c r="V647" s="284" t="str">
        <f>HYPERLINK((IF((VLOOKUP(Table6[[#This Row],[SKU]],'All Skus'!$A:$AC,2,FALSE))="JBL",(VLOOKUP(Table6[[#This Row],[SKU]],'All Skus'!$A:$AC,24,FALSE)),"")))</f>
        <v/>
      </c>
      <c r="W647" s="151">
        <v>645</v>
      </c>
    </row>
    <row r="648" spans="1:23" ht="15" hidden="1" customHeight="1">
      <c r="A648" s="13" t="s">
        <v>1654</v>
      </c>
      <c r="B648" s="12" t="str">
        <f>(IF((VLOOKUP(Table6[[#This Row],[SKU]],'All Skus'!$A:$AC,2,FALSE))="JBL",(VLOOKUP(Table6[[#This Row],[SKU]],'All Skus'!$A:$AC,3,FALSE)),""))</f>
        <v>PD Series</v>
      </c>
      <c r="C648" s="12" t="str">
        <f>(IF((VLOOKUP(Table6[[#This Row],[SKU]],'All Skus'!$A:$AC,2,FALSE))="JBL",(VLOOKUP(Table6[[#This Row],[SKU]],'All Skus'!$A:$AC,4,FALSE)),""))</f>
        <v>VLA601I</v>
      </c>
      <c r="D648" s="61" t="str">
        <f>(IF((VLOOKUP(Table6[[#This Row],[SKU]],'All Skus'!$A:$AC,2,FALSE))="JBL",(VLOOKUP(Table6[[#This Row],[SKU]],'All Skus'!$A:$AC,5,FALSE)),""))</f>
        <v>JBL050</v>
      </c>
      <c r="E648" s="137">
        <f>(IF((VLOOKUP(Table6[[#This Row],[SKU]],'All Skus'!$A:$AC,2,FALSE))="JBL",(VLOOKUP(Table6[[#This Row],[SKU]],'All Skus'!$A:$AC,6,FALSE)),""))</f>
        <v>0</v>
      </c>
      <c r="F648" s="61">
        <f>(IF((VLOOKUP(Table6[[#This Row],[SKU]],'All Skus'!$A:$AC,2,FALSE))="JBL",(VLOOKUP(Table6[[#This Row],[SKU]],'All Skus'!$A:$AC,7,FALSE)),""))</f>
        <v>0</v>
      </c>
      <c r="G648" t="str">
        <f>(IF((VLOOKUP(Table6[[#This Row],[SKU]],'All Skus'!$A:$AC,2,FALSE))="JBL",(VLOOKUP(Table6[[#This Row],[SKU]],'All Skus'!$A:$AC,8,FALSE)),""))</f>
        <v>Three-way horn-loaded line array system</v>
      </c>
      <c r="H648" s="8" t="str">
        <f>(IF((VLOOKUP(Table6[[#This Row],[SKU]],'All Skus'!$A:$AC,2,FALSE))="JBL",(VLOOKUP(Table6[[#This Row],[SKU]],'All Skus'!$A:$AC,9,FALSE)),""))</f>
        <v>High Output Three-Way Full-Range Horn-Loaded Line Array Loudspeaker System. 60° Horizontal Horn Coverage Pattern.  2x15” LF, 2x8” MF, 3x1.5” Exit HF</v>
      </c>
      <c r="I648" s="101">
        <f>(IF((VLOOKUP(Table6[[#This Row],[SKU]],'All Skus'!$A:$AC,2,FALSE))="JBL",(VLOOKUP(Table6[[#This Row],[SKU]],'All Skus'!$A:$AC,10,FALSE)),""))</f>
        <v>11764.56</v>
      </c>
      <c r="J648" s="101">
        <f>(IF((VLOOKUP(Table6[[#This Row],[SKU]],'All Skus'!$A:$AC,2,FALSE))="JBL",(VLOOKUP(Table6[[#This Row],[SKU]],'All Skus'!$A:$AC,11,FALSE)),""))</f>
        <v>0</v>
      </c>
      <c r="K648" s="102">
        <f>(IF((VLOOKUP(Table6[[#This Row],[SKU]],'All Skus'!$A:$AC,2,FALSE))="JBL",(VLOOKUP(Table6[[#This Row],[SKU]],'All Skus'!$A:$AC,13,FALSE)),""))</f>
        <v>0</v>
      </c>
      <c r="L648" s="102">
        <f>(IF((VLOOKUP(Table6[[#This Row],[SKU]],'All Skus'!$A:$AC,2,FALSE))="JBL",(VLOOKUP(Table6[[#This Row],[SKU]],'All Skus'!$A:$AC,14,FALSE)),""))</f>
        <v>0</v>
      </c>
      <c r="M648" s="143">
        <f>(IF((VLOOKUP(Table6[[#This Row],[SKU]],'All Skus'!$A:$AC,2,FALSE))="JBL",(VLOOKUP(Table6[[#This Row],[SKU]],'All Skus'!$A:$AC,15,FALSE)),""))</f>
        <v>0</v>
      </c>
      <c r="N648" s="137">
        <f>(IF((VLOOKUP(Table6[[#This Row],[SKU]],'All Skus'!$A:$AC,2,FALSE))="JBL",(VLOOKUP(Table6[[#This Row],[SKU]],'All Skus'!$A:$AC,16,FALSE)),""))</f>
        <v>691991014963</v>
      </c>
      <c r="O648" s="61">
        <f>(IF((VLOOKUP(Table6[[#This Row],[SKU]],'All Skus'!$A:$AC,2,FALSE))="JBL",(VLOOKUP(Table6[[#This Row],[SKU]],'All Skus'!$A:$AC,17,FALSE)),""))</f>
        <v>0</v>
      </c>
      <c r="P648" s="136">
        <f>(IF((VLOOKUP(Table6[[#This Row],[SKU]],'All Skus'!$A:$AC,2,FALSE))="JBL",(VLOOKUP(Table6[[#This Row],[SKU]],'All Skus'!$A:$AC,18,FALSE)),""))</f>
        <v>0</v>
      </c>
      <c r="Q648" s="136">
        <f>(IF((VLOOKUP(Table6[[#This Row],[SKU]],'All Skus'!$A:$AC,2,FALSE))="JBL",(VLOOKUP(Table6[[#This Row],[SKU]],'All Skus'!$A:$AC,19,FALSE)),""))</f>
        <v>0</v>
      </c>
      <c r="R648" s="136">
        <f>(IF((VLOOKUP(Table6[[#This Row],[SKU]],'All Skus'!$A:$AC,2,FALSE))="JBL",(VLOOKUP(Table6[[#This Row],[SKU]],'All Skus'!$A:$AC,20,FALSE)),""))</f>
        <v>0</v>
      </c>
      <c r="S648" s="61">
        <f>(IF((VLOOKUP(Table6[[#This Row],[SKU]],'All Skus'!$A:$AC,2,FALSE))="JBL",(VLOOKUP(Table6[[#This Row],[SKU]],'All Skus'!$A:$AC,21,FALSE)),""))</f>
        <v>0</v>
      </c>
      <c r="T648" s="61" t="str">
        <f>(IF((VLOOKUP(Table6[[#This Row],[SKU]],'All Skus'!$A:$AC,2,FALSE))="JBL",(VLOOKUP(Table6[[#This Row],[SKU]],'All Skus'!$A:$AC,22,FALSE)),""))</f>
        <v>MX</v>
      </c>
      <c r="U648" t="str">
        <f>(IF((VLOOKUP(Table6[[#This Row],[SKU]],'All Skus'!$A:$AC,2,FALSE))="JBL",(VLOOKUP(Table6[[#This Row],[SKU]],'All Skus'!$A:$AC,23,FALSE)),""))</f>
        <v>Compliant</v>
      </c>
      <c r="V648" s="284" t="str">
        <f>HYPERLINK((IF((VLOOKUP(Table6[[#This Row],[SKU]],'All Skus'!$A:$AC,2,FALSE))="JBL",(VLOOKUP(Table6[[#This Row],[SKU]],'All Skus'!$A:$AC,24,FALSE)),"")))</f>
        <v/>
      </c>
      <c r="W648" s="151">
        <v>646</v>
      </c>
    </row>
    <row r="649" spans="1:23" ht="15" hidden="1" customHeight="1">
      <c r="A649" s="13" t="s">
        <v>1655</v>
      </c>
      <c r="B649" s="12" t="str">
        <f>(IF((VLOOKUP(Table6[[#This Row],[SKU]],'All Skus'!$A:$AC,2,FALSE))="JBL",(VLOOKUP(Table6[[#This Row],[SKU]],'All Skus'!$A:$AC,3,FALSE)),""))</f>
        <v>Custom Shop Item</v>
      </c>
      <c r="C649" s="12" t="str">
        <f>(IF((VLOOKUP(Table6[[#This Row],[SKU]],'All Skus'!$A:$AC,2,FALSE))="JBL",(VLOOKUP(Table6[[#This Row],[SKU]],'All Skus'!$A:$AC,4,FALSE)),""))</f>
        <v>VLA601I-WRC</v>
      </c>
      <c r="D649" s="61" t="str">
        <f>(IF((VLOOKUP(Table6[[#This Row],[SKU]],'All Skus'!$A:$AC,2,FALSE))="JBL",(VLOOKUP(Table6[[#This Row],[SKU]],'All Skus'!$A:$AC,5,FALSE)),""))</f>
        <v>JBL050</v>
      </c>
      <c r="E649" s="137" t="str">
        <f>(IF((VLOOKUP(Table6[[#This Row],[SKU]],'All Skus'!$A:$AC,2,FALSE))="JBL",(VLOOKUP(Table6[[#This Row],[SKU]],'All Skus'!$A:$AC,6,FALSE)),""))</f>
        <v>YES</v>
      </c>
      <c r="F649" s="61">
        <f>(IF((VLOOKUP(Table6[[#This Row],[SKU]],'All Skus'!$A:$AC,2,FALSE))="JBL",(VLOOKUP(Table6[[#This Row],[SKU]],'All Skus'!$A:$AC,7,FALSE)),""))</f>
        <v>0</v>
      </c>
      <c r="G649" t="str">
        <f>(IF((VLOOKUP(Table6[[#This Row],[SKU]],'All Skus'!$A:$AC,2,FALSE))="JBL",(VLOOKUP(Table6[[#This Row],[SKU]],'All Skus'!$A:$AC,8,FALSE)),""))</f>
        <v>Three-way horn-loaded line array system (Weather Protection Treatment)</v>
      </c>
      <c r="H649" s="8" t="str">
        <f>(IF((VLOOKUP(Table6[[#This Row],[SKU]],'All Skus'!$A:$AC,2,FALSE))="JBL",(VLOOKUP(Table6[[#This Row],[SKU]],'All Skus'!$A:$AC,9,FALSE)),""))</f>
        <v>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49" s="101" t="str">
        <f>(IF((VLOOKUP(Table6[[#This Row],[SKU]],'All Skus'!$A:$AC,2,FALSE))="JBL",(VLOOKUP(Table6[[#This Row],[SKU]],'All Skus'!$A:$AC,10,FALSE)),""))</f>
        <v>Please email CustomAudio@harman.com for quote</v>
      </c>
      <c r="J649" s="101">
        <f>(IF((VLOOKUP(Table6[[#This Row],[SKU]],'All Skus'!$A:$AC,2,FALSE))="JBL",(VLOOKUP(Table6[[#This Row],[SKU]],'All Skus'!$A:$AC,11,FALSE)),""))</f>
        <v>0</v>
      </c>
      <c r="K649" s="102">
        <f>(IF((VLOOKUP(Table6[[#This Row],[SKU]],'All Skus'!$A:$AC,2,FALSE))="JBL",(VLOOKUP(Table6[[#This Row],[SKU]],'All Skus'!$A:$AC,13,FALSE)),""))</f>
        <v>0</v>
      </c>
      <c r="L649" s="102">
        <f>(IF((VLOOKUP(Table6[[#This Row],[SKU]],'All Skus'!$A:$AC,2,FALSE))="JBL",(VLOOKUP(Table6[[#This Row],[SKU]],'All Skus'!$A:$AC,14,FALSE)),""))</f>
        <v>0</v>
      </c>
      <c r="M649" s="143" t="str">
        <f>(IF((VLOOKUP(Table6[[#This Row],[SKU]],'All Skus'!$A:$AC,2,FALSE))="JBL",(VLOOKUP(Table6[[#This Row],[SKU]],'All Skus'!$A:$AC,15,FALSE)),""))</f>
        <v>691991014970</v>
      </c>
      <c r="N649" s="137">
        <f>(IF((VLOOKUP(Table6[[#This Row],[SKU]],'All Skus'!$A:$AC,2,FALSE))="JBL",(VLOOKUP(Table6[[#This Row],[SKU]],'All Skus'!$A:$AC,16,FALSE)),""))</f>
        <v>0</v>
      </c>
      <c r="O649" s="61">
        <f>(IF((VLOOKUP(Table6[[#This Row],[SKU]],'All Skus'!$A:$AC,2,FALSE))="JBL",(VLOOKUP(Table6[[#This Row],[SKU]],'All Skus'!$A:$AC,17,FALSE)),""))</f>
        <v>0</v>
      </c>
      <c r="P649" s="136">
        <f>(IF((VLOOKUP(Table6[[#This Row],[SKU]],'All Skus'!$A:$AC,2,FALSE))="JBL",(VLOOKUP(Table6[[#This Row],[SKU]],'All Skus'!$A:$AC,18,FALSE)),""))</f>
        <v>0</v>
      </c>
      <c r="Q649" s="136">
        <f>(IF((VLOOKUP(Table6[[#This Row],[SKU]],'All Skus'!$A:$AC,2,FALSE))="JBL",(VLOOKUP(Table6[[#This Row],[SKU]],'All Skus'!$A:$AC,19,FALSE)),""))</f>
        <v>0</v>
      </c>
      <c r="R649" s="136">
        <f>(IF((VLOOKUP(Table6[[#This Row],[SKU]],'All Skus'!$A:$AC,2,FALSE))="JBL",(VLOOKUP(Table6[[#This Row],[SKU]],'All Skus'!$A:$AC,20,FALSE)),""))</f>
        <v>0</v>
      </c>
      <c r="S649" s="61" t="str">
        <f>(IF((VLOOKUP(Table6[[#This Row],[SKU]],'All Skus'!$A:$AC,2,FALSE))="JBL",(VLOOKUP(Table6[[#This Row],[SKU]],'All Skus'!$A:$AC,21,FALSE)),""))</f>
        <v>MX</v>
      </c>
      <c r="T649" s="61">
        <f>(IF((VLOOKUP(Table6[[#This Row],[SKU]],'All Skus'!$A:$AC,2,FALSE))="JBL",(VLOOKUP(Table6[[#This Row],[SKU]],'All Skus'!$A:$AC,22,FALSE)),""))</f>
        <v>0</v>
      </c>
      <c r="U649">
        <f>(IF((VLOOKUP(Table6[[#This Row],[SKU]],'All Skus'!$A:$AC,2,FALSE))="JBL",(VLOOKUP(Table6[[#This Row],[SKU]],'All Skus'!$A:$AC,23,FALSE)),""))</f>
        <v>0</v>
      </c>
      <c r="V649" s="284" t="str">
        <f>HYPERLINK((IF((VLOOKUP(Table6[[#This Row],[SKU]],'All Skus'!$A:$AC,2,FALSE))="JBL",(VLOOKUP(Table6[[#This Row],[SKU]],'All Skus'!$A:$AC,24,FALSE)),"")))</f>
        <v/>
      </c>
      <c r="W649" s="151">
        <v>647</v>
      </c>
    </row>
    <row r="650" spans="1:23" ht="15" hidden="1" customHeight="1">
      <c r="A650" s="13" t="s">
        <v>1656</v>
      </c>
      <c r="B650" s="12" t="str">
        <f>(IF((VLOOKUP(Table6[[#This Row],[SKU]],'All Skus'!$A:$AC,2,FALSE))="JBL",(VLOOKUP(Table6[[#This Row],[SKU]],'All Skus'!$A:$AC,3,FALSE)),""))</f>
        <v>Custom Shop Item</v>
      </c>
      <c r="C650" s="12" t="str">
        <f>(IF((VLOOKUP(Table6[[#This Row],[SKU]],'All Skus'!$A:$AC,2,FALSE))="JBL",(VLOOKUP(Table6[[#This Row],[SKU]],'All Skus'!$A:$AC,4,FALSE)),""))</f>
        <v>VLA601I-WRC</v>
      </c>
      <c r="D650" s="61" t="str">
        <f>(IF((VLOOKUP(Table6[[#This Row],[SKU]],'All Skus'!$A:$AC,2,FALSE))="JBL",(VLOOKUP(Table6[[#This Row],[SKU]],'All Skus'!$A:$AC,5,FALSE)),""))</f>
        <v>JBL050</v>
      </c>
      <c r="E650" s="137" t="str">
        <f>(IF((VLOOKUP(Table6[[#This Row],[SKU]],'All Skus'!$A:$AC,2,FALSE))="JBL",(VLOOKUP(Table6[[#This Row],[SKU]],'All Skus'!$A:$AC,6,FALSE)),""))</f>
        <v>YES</v>
      </c>
      <c r="F650" s="61">
        <f>(IF((VLOOKUP(Table6[[#This Row],[SKU]],'All Skus'!$A:$AC,2,FALSE))="JBL",(VLOOKUP(Table6[[#This Row],[SKU]],'All Skus'!$A:$AC,7,FALSE)),""))</f>
        <v>0</v>
      </c>
      <c r="G650" t="str">
        <f>(IF((VLOOKUP(Table6[[#This Row],[SKU]],'All Skus'!$A:$AC,2,FALSE))="JBL",(VLOOKUP(Table6[[#This Row],[SKU]],'All Skus'!$A:$AC,8,FALSE)),""))</f>
        <v>Three-way horn-loaded line array system (Weather Protection Treatment)</v>
      </c>
      <c r="H650" s="8" t="str">
        <f>(IF((VLOOKUP(Table6[[#This Row],[SKU]],'All Skus'!$A:$AC,2,FALSE))="JBL",(VLOOKUP(Table6[[#This Row],[SKU]],'All Skus'!$A:$AC,9,FALSE)),""))</f>
        <v>High Output Three-Way Full-Range Horn-Loaded Line Array Loudspeaker System. 60°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50" s="101" t="str">
        <f>(IF((VLOOKUP(Table6[[#This Row],[SKU]],'All Skus'!$A:$AC,2,FALSE))="JBL",(VLOOKUP(Table6[[#This Row],[SKU]],'All Skus'!$A:$AC,10,FALSE)),""))</f>
        <v>Please email CustomAudio@harman.com for quote</v>
      </c>
      <c r="J650" s="101">
        <f>(IF((VLOOKUP(Table6[[#This Row],[SKU]],'All Skus'!$A:$AC,2,FALSE))="JBL",(VLOOKUP(Table6[[#This Row],[SKU]],'All Skus'!$A:$AC,11,FALSE)),""))</f>
        <v>0</v>
      </c>
      <c r="K650" s="102">
        <f>(IF((VLOOKUP(Table6[[#This Row],[SKU]],'All Skus'!$A:$AC,2,FALSE))="JBL",(VLOOKUP(Table6[[#This Row],[SKU]],'All Skus'!$A:$AC,13,FALSE)),""))</f>
        <v>0</v>
      </c>
      <c r="L650" s="102">
        <f>(IF((VLOOKUP(Table6[[#This Row],[SKU]],'All Skus'!$A:$AC,2,FALSE))="JBL",(VLOOKUP(Table6[[#This Row],[SKU]],'All Skus'!$A:$AC,14,FALSE)),""))</f>
        <v>0</v>
      </c>
      <c r="M650" s="143">
        <f>(IF((VLOOKUP(Table6[[#This Row],[SKU]],'All Skus'!$A:$AC,2,FALSE))="JBL",(VLOOKUP(Table6[[#This Row],[SKU]],'All Skus'!$A:$AC,15,FALSE)),""))</f>
        <v>0</v>
      </c>
      <c r="N650" s="137">
        <f>(IF((VLOOKUP(Table6[[#This Row],[SKU]],'All Skus'!$A:$AC,2,FALSE))="JBL",(VLOOKUP(Table6[[#This Row],[SKU]],'All Skus'!$A:$AC,16,FALSE)),""))</f>
        <v>691991014970</v>
      </c>
      <c r="O650" s="61">
        <f>(IF((VLOOKUP(Table6[[#This Row],[SKU]],'All Skus'!$A:$AC,2,FALSE))="JBL",(VLOOKUP(Table6[[#This Row],[SKU]],'All Skus'!$A:$AC,17,FALSE)),""))</f>
        <v>0</v>
      </c>
      <c r="P650" s="136">
        <f>(IF((VLOOKUP(Table6[[#This Row],[SKU]],'All Skus'!$A:$AC,2,FALSE))="JBL",(VLOOKUP(Table6[[#This Row],[SKU]],'All Skus'!$A:$AC,18,FALSE)),""))</f>
        <v>0</v>
      </c>
      <c r="Q650" s="136">
        <f>(IF((VLOOKUP(Table6[[#This Row],[SKU]],'All Skus'!$A:$AC,2,FALSE))="JBL",(VLOOKUP(Table6[[#This Row],[SKU]],'All Skus'!$A:$AC,19,FALSE)),""))</f>
        <v>0</v>
      </c>
      <c r="R650" s="136">
        <f>(IF((VLOOKUP(Table6[[#This Row],[SKU]],'All Skus'!$A:$AC,2,FALSE))="JBL",(VLOOKUP(Table6[[#This Row],[SKU]],'All Skus'!$A:$AC,20,FALSE)),""))</f>
        <v>0</v>
      </c>
      <c r="S650" s="61">
        <f>(IF((VLOOKUP(Table6[[#This Row],[SKU]],'All Skus'!$A:$AC,2,FALSE))="JBL",(VLOOKUP(Table6[[#This Row],[SKU]],'All Skus'!$A:$AC,21,FALSE)),""))</f>
        <v>0</v>
      </c>
      <c r="T650" s="61" t="str">
        <f>(IF((VLOOKUP(Table6[[#This Row],[SKU]],'All Skus'!$A:$AC,2,FALSE))="JBL",(VLOOKUP(Table6[[#This Row],[SKU]],'All Skus'!$A:$AC,22,FALSE)),""))</f>
        <v>MX</v>
      </c>
      <c r="U650" t="str">
        <f>(IF((VLOOKUP(Table6[[#This Row],[SKU]],'All Skus'!$A:$AC,2,FALSE))="JBL",(VLOOKUP(Table6[[#This Row],[SKU]],'All Skus'!$A:$AC,23,FALSE)),""))</f>
        <v>Compliant</v>
      </c>
      <c r="V650" s="284" t="str">
        <f>HYPERLINK((IF((VLOOKUP(Table6[[#This Row],[SKU]],'All Skus'!$A:$AC,2,FALSE))="JBL",(VLOOKUP(Table6[[#This Row],[SKU]],'All Skus'!$A:$AC,24,FALSE)),"")))</f>
        <v/>
      </c>
      <c r="W650" s="151">
        <v>648</v>
      </c>
    </row>
    <row r="651" spans="1:23" ht="15" hidden="1" customHeight="1">
      <c r="A651" s="13" t="s">
        <v>1657</v>
      </c>
      <c r="B651" s="12" t="str">
        <f>(IF((VLOOKUP(Table6[[#This Row],[SKU]],'All Skus'!$A:$AC,2,FALSE))="JBL",(VLOOKUP(Table6[[#This Row],[SKU]],'All Skus'!$A:$AC,3,FALSE)),""))</f>
        <v>PD Series</v>
      </c>
      <c r="C651" s="12" t="str">
        <f>(IF((VLOOKUP(Table6[[#This Row],[SKU]],'All Skus'!$A:$AC,2,FALSE))="JBL",(VLOOKUP(Table6[[#This Row],[SKU]],'All Skus'!$A:$AC,4,FALSE)),""))</f>
        <v>VLA601HI</v>
      </c>
      <c r="D651" s="61">
        <f>(IF((VLOOKUP(Table6[[#This Row],[SKU]],'All Skus'!$A:$AC,2,FALSE))="JBL",(VLOOKUP(Table6[[#This Row],[SKU]],'All Skus'!$A:$AC,5,FALSE)),""))</f>
        <v>0</v>
      </c>
      <c r="E651" s="137">
        <f>(IF((VLOOKUP(Table6[[#This Row],[SKU]],'All Skus'!$A:$AC,2,FALSE))="JBL",(VLOOKUP(Table6[[#This Row],[SKU]],'All Skus'!$A:$AC,6,FALSE)),""))</f>
        <v>0</v>
      </c>
      <c r="F651" s="61">
        <f>(IF((VLOOKUP(Table6[[#This Row],[SKU]],'All Skus'!$A:$AC,2,FALSE))="JBL",(VLOOKUP(Table6[[#This Row],[SKU]],'All Skus'!$A:$AC,7,FALSE)),""))</f>
        <v>0</v>
      </c>
      <c r="G651" t="str">
        <f>(IF((VLOOKUP(Table6[[#This Row],[SKU]],'All Skus'!$A:$AC,2,FALSE))="JBL",(VLOOKUP(Table6[[#This Row],[SKU]],'All Skus'!$A:$AC,8,FALSE)),""))</f>
        <v>Three-way horn-loaded line array system</v>
      </c>
      <c r="H651" s="8" t="str">
        <f>(IF((VLOOKUP(Table6[[#This Row],[SKU]],'All Skus'!$A:$AC,2,FALSE))="JBL",(VLOOKUP(Table6[[#This Row],[SKU]],'All Skus'!$A:$AC,9,FALSE)),""))</f>
        <v>High Output Three-Way Full-Range Horn-Loaded Line Array Loudspeaker System. 60° Horizontal Horn Coverage Pattern.  2x15” LF, 4x8” MF, 6x1.5” Exit HF</v>
      </c>
      <c r="I651" s="101">
        <f>(IF((VLOOKUP(Table6[[#This Row],[SKU]],'All Skus'!$A:$AC,2,FALSE))="JBL",(VLOOKUP(Table6[[#This Row],[SKU]],'All Skus'!$A:$AC,10,FALSE)),""))</f>
        <v>14495.61</v>
      </c>
      <c r="J651" s="101">
        <f>(IF((VLOOKUP(Table6[[#This Row],[SKU]],'All Skus'!$A:$AC,2,FALSE))="JBL",(VLOOKUP(Table6[[#This Row],[SKU]],'All Skus'!$A:$AC,11,FALSE)),""))</f>
        <v>14495</v>
      </c>
      <c r="K651" s="102">
        <f>(IF((VLOOKUP(Table6[[#This Row],[SKU]],'All Skus'!$A:$AC,2,FALSE))="JBL",(VLOOKUP(Table6[[#This Row],[SKU]],'All Skus'!$A:$AC,13,FALSE)),""))</f>
        <v>0</v>
      </c>
      <c r="L651" s="102">
        <f>(IF((VLOOKUP(Table6[[#This Row],[SKU]],'All Skus'!$A:$AC,2,FALSE))="JBL",(VLOOKUP(Table6[[#This Row],[SKU]],'All Skus'!$A:$AC,14,FALSE)),""))</f>
        <v>0</v>
      </c>
      <c r="M651" s="143">
        <f>(IF((VLOOKUP(Table6[[#This Row],[SKU]],'All Skus'!$A:$AC,2,FALSE))="JBL",(VLOOKUP(Table6[[#This Row],[SKU]],'All Skus'!$A:$AC,15,FALSE)),""))</f>
        <v>0</v>
      </c>
      <c r="N651" s="137">
        <f>(IF((VLOOKUP(Table6[[#This Row],[SKU]],'All Skus'!$A:$AC,2,FALSE))="JBL",(VLOOKUP(Table6[[#This Row],[SKU]],'All Skus'!$A:$AC,16,FALSE)),""))</f>
        <v>691991014987</v>
      </c>
      <c r="O651" s="61">
        <f>(IF((VLOOKUP(Table6[[#This Row],[SKU]],'All Skus'!$A:$AC,2,FALSE))="JBL",(VLOOKUP(Table6[[#This Row],[SKU]],'All Skus'!$A:$AC,17,FALSE)),""))</f>
        <v>0</v>
      </c>
      <c r="P651" s="136">
        <f>(IF((VLOOKUP(Table6[[#This Row],[SKU]],'All Skus'!$A:$AC,2,FALSE))="JBL",(VLOOKUP(Table6[[#This Row],[SKU]],'All Skus'!$A:$AC,18,FALSE)),""))</f>
        <v>70</v>
      </c>
      <c r="Q651" s="136">
        <f>(IF((VLOOKUP(Table6[[#This Row],[SKU]],'All Skus'!$A:$AC,2,FALSE))="JBL",(VLOOKUP(Table6[[#This Row],[SKU]],'All Skus'!$A:$AC,19,FALSE)),""))</f>
        <v>40</v>
      </c>
      <c r="R651" s="136">
        <f>(IF((VLOOKUP(Table6[[#This Row],[SKU]],'All Skus'!$A:$AC,2,FALSE))="JBL",(VLOOKUP(Table6[[#This Row],[SKU]],'All Skus'!$A:$AC,20,FALSE)),""))</f>
        <v>20</v>
      </c>
      <c r="S651" s="61">
        <f>(IF((VLOOKUP(Table6[[#This Row],[SKU]],'All Skus'!$A:$AC,2,FALSE))="JBL",(VLOOKUP(Table6[[#This Row],[SKU]],'All Skus'!$A:$AC,21,FALSE)),""))</f>
        <v>30</v>
      </c>
      <c r="T651" s="61" t="str">
        <f>(IF((VLOOKUP(Table6[[#This Row],[SKU]],'All Skus'!$A:$AC,2,FALSE))="JBL",(VLOOKUP(Table6[[#This Row],[SKU]],'All Skus'!$A:$AC,22,FALSE)),""))</f>
        <v>MX</v>
      </c>
      <c r="U651" t="str">
        <f>(IF((VLOOKUP(Table6[[#This Row],[SKU]],'All Skus'!$A:$AC,2,FALSE))="JBL",(VLOOKUP(Table6[[#This Row],[SKU]],'All Skus'!$A:$AC,23,FALSE)),""))</f>
        <v>Compliant</v>
      </c>
      <c r="V651" s="284" t="str">
        <f>HYPERLINK((IF((VLOOKUP(Table6[[#This Row],[SKU]],'All Skus'!$A:$AC,2,FALSE))="JBL",(VLOOKUP(Table6[[#This Row],[SKU]],'All Skus'!$A:$AC,24,FALSE)),"")))</f>
        <v/>
      </c>
      <c r="W651" s="151">
        <v>649</v>
      </c>
    </row>
    <row r="652" spans="1:23" ht="15" hidden="1" customHeight="1">
      <c r="A652" s="13" t="s">
        <v>1658</v>
      </c>
      <c r="B652" s="12" t="str">
        <f>(IF((VLOOKUP(Table6[[#This Row],[SKU]],'All Skus'!$A:$AC,2,FALSE))="JBL",(VLOOKUP(Table6[[#This Row],[SKU]],'All Skus'!$A:$AC,3,FALSE)),""))</f>
        <v>Custom Shop</v>
      </c>
      <c r="C652" s="12" t="str">
        <f>(IF((VLOOKUP(Table6[[#This Row],[SKU]],'All Skus'!$A:$AC,2,FALSE))="JBL",(VLOOKUP(Table6[[#This Row],[SKU]],'All Skus'!$A:$AC,4,FALSE)),""))</f>
        <v>VLA601HI-WRC</v>
      </c>
      <c r="D652" s="61">
        <f>(IF((VLOOKUP(Table6[[#This Row],[SKU]],'All Skus'!$A:$AC,2,FALSE))="JBL",(VLOOKUP(Table6[[#This Row],[SKU]],'All Skus'!$A:$AC,5,FALSE)),""))</f>
        <v>0</v>
      </c>
      <c r="E652" s="137" t="str">
        <f>(IF((VLOOKUP(Table6[[#This Row],[SKU]],'All Skus'!$A:$AC,2,FALSE))="JBL",(VLOOKUP(Table6[[#This Row],[SKU]],'All Skus'!$A:$AC,6,FALSE)),""))</f>
        <v>YES</v>
      </c>
      <c r="F652" s="61">
        <f>(IF((VLOOKUP(Table6[[#This Row],[SKU]],'All Skus'!$A:$AC,2,FALSE))="JBL",(VLOOKUP(Table6[[#This Row],[SKU]],'All Skus'!$A:$AC,7,FALSE)),""))</f>
        <v>0</v>
      </c>
      <c r="G652" t="str">
        <f>(IF((VLOOKUP(Table6[[#This Row],[SKU]],'All Skus'!$A:$AC,2,FALSE))="JBL",(VLOOKUP(Table6[[#This Row],[SKU]],'All Skus'!$A:$AC,8,FALSE)),""))</f>
        <v>Three-way horn-loaded line array system</v>
      </c>
      <c r="H652" s="8" t="str">
        <f>(IF((VLOOKUP(Table6[[#This Row],[SKU]],'All Skus'!$A:$AC,2,FALSE))="JBL",(VLOOKUP(Table6[[#This Row],[SKU]],'All Skus'!$A:$AC,9,FALSE)),""))</f>
        <v>High Output Three-Way Full-Range Horn-Loaded Line Array Loudspeaker System. 60° Horizontal Horn Coverage Pattern.  2x15” LF, 4x8” MF, 6x1.5” Exit HF</v>
      </c>
      <c r="I652" s="101" t="str">
        <f>(IF((VLOOKUP(Table6[[#This Row],[SKU]],'All Skus'!$A:$AC,2,FALSE))="JBL",(VLOOKUP(Table6[[#This Row],[SKU]],'All Skus'!$A:$AC,10,FALSE)),""))</f>
        <v>Please email CustomAudio@harman.com for quote</v>
      </c>
      <c r="J652" s="101">
        <f>(IF((VLOOKUP(Table6[[#This Row],[SKU]],'All Skus'!$A:$AC,2,FALSE))="JBL",(VLOOKUP(Table6[[#This Row],[SKU]],'All Skus'!$A:$AC,11,FALSE)),""))</f>
        <v>0</v>
      </c>
      <c r="K652" s="102">
        <f>(IF((VLOOKUP(Table6[[#This Row],[SKU]],'All Skus'!$A:$AC,2,FALSE))="JBL",(VLOOKUP(Table6[[#This Row],[SKU]],'All Skus'!$A:$AC,13,FALSE)),""))</f>
        <v>0</v>
      </c>
      <c r="L652" s="102">
        <f>(IF((VLOOKUP(Table6[[#This Row],[SKU]],'All Skus'!$A:$AC,2,FALSE))="JBL",(VLOOKUP(Table6[[#This Row],[SKU]],'All Skus'!$A:$AC,14,FALSE)),""))</f>
        <v>0</v>
      </c>
      <c r="M652" s="143">
        <f>(IF((VLOOKUP(Table6[[#This Row],[SKU]],'All Skus'!$A:$AC,2,FALSE))="JBL",(VLOOKUP(Table6[[#This Row],[SKU]],'All Skus'!$A:$AC,15,FALSE)),""))</f>
        <v>0</v>
      </c>
      <c r="N652" s="137">
        <f>(IF((VLOOKUP(Table6[[#This Row],[SKU]],'All Skus'!$A:$AC,2,FALSE))="JBL",(VLOOKUP(Table6[[#This Row],[SKU]],'All Skus'!$A:$AC,16,FALSE)),""))</f>
        <v>0</v>
      </c>
      <c r="O652" s="61">
        <f>(IF((VLOOKUP(Table6[[#This Row],[SKU]],'All Skus'!$A:$AC,2,FALSE))="JBL",(VLOOKUP(Table6[[#This Row],[SKU]],'All Skus'!$A:$AC,17,FALSE)),""))</f>
        <v>0</v>
      </c>
      <c r="P652" s="136">
        <f>(IF((VLOOKUP(Table6[[#This Row],[SKU]],'All Skus'!$A:$AC,2,FALSE))="JBL",(VLOOKUP(Table6[[#This Row],[SKU]],'All Skus'!$A:$AC,18,FALSE)),""))</f>
        <v>200</v>
      </c>
      <c r="Q652" s="136">
        <f>(IF((VLOOKUP(Table6[[#This Row],[SKU]],'All Skus'!$A:$AC,2,FALSE))="JBL",(VLOOKUP(Table6[[#This Row],[SKU]],'All Skus'!$A:$AC,19,FALSE)),""))</f>
        <v>31</v>
      </c>
      <c r="R652" s="136">
        <f>(IF((VLOOKUP(Table6[[#This Row],[SKU]],'All Skus'!$A:$AC,2,FALSE))="JBL",(VLOOKUP(Table6[[#This Row],[SKU]],'All Skus'!$A:$AC,20,FALSE)),""))</f>
        <v>28</v>
      </c>
      <c r="S652" s="61">
        <f>(IF((VLOOKUP(Table6[[#This Row],[SKU]],'All Skus'!$A:$AC,2,FALSE))="JBL",(VLOOKUP(Table6[[#This Row],[SKU]],'All Skus'!$A:$AC,21,FALSE)),""))</f>
        <v>55</v>
      </c>
      <c r="T652" s="61" t="str">
        <f>(IF((VLOOKUP(Table6[[#This Row],[SKU]],'All Skus'!$A:$AC,2,FALSE))="JBL",(VLOOKUP(Table6[[#This Row],[SKU]],'All Skus'!$A:$AC,22,FALSE)),""))</f>
        <v>MX</v>
      </c>
      <c r="U652" t="str">
        <f>(IF((VLOOKUP(Table6[[#This Row],[SKU]],'All Skus'!$A:$AC,2,FALSE))="JBL",(VLOOKUP(Table6[[#This Row],[SKU]],'All Skus'!$A:$AC,23,FALSE)),""))</f>
        <v>Compliant</v>
      </c>
      <c r="V652" s="284" t="str">
        <f>HYPERLINK((IF((VLOOKUP(Table6[[#This Row],[SKU]],'All Skus'!$A:$AC,2,FALSE))="JBL",(VLOOKUP(Table6[[#This Row],[SKU]],'All Skus'!$A:$AC,24,FALSE)),"")))</f>
        <v/>
      </c>
      <c r="W652" s="151">
        <v>650</v>
      </c>
    </row>
    <row r="653" spans="1:23" ht="15" hidden="1" customHeight="1">
      <c r="A653" s="13" t="s">
        <v>1659</v>
      </c>
      <c r="B653" s="12" t="str">
        <f>(IF((VLOOKUP(Table6[[#This Row],[SKU]],'All Skus'!$A:$AC,2,FALSE))="JBL",(VLOOKUP(Table6[[#This Row],[SKU]],'All Skus'!$A:$AC,3,FALSE)),""))</f>
        <v>Custom Shop</v>
      </c>
      <c r="C653" s="12" t="str">
        <f>(IF((VLOOKUP(Table6[[#This Row],[SKU]],'All Skus'!$A:$AC,2,FALSE))="JBL",(VLOOKUP(Table6[[#This Row],[SKU]],'All Skus'!$A:$AC,4,FALSE)),""))</f>
        <v>VLA601HI-WRX</v>
      </c>
      <c r="D653" s="61">
        <f>(IF((VLOOKUP(Table6[[#This Row],[SKU]],'All Skus'!$A:$AC,2,FALSE))="JBL",(VLOOKUP(Table6[[#This Row],[SKU]],'All Skus'!$A:$AC,5,FALSE)),""))</f>
        <v>0</v>
      </c>
      <c r="E653" s="137" t="str">
        <f>(IF((VLOOKUP(Table6[[#This Row],[SKU]],'All Skus'!$A:$AC,2,FALSE))="JBL",(VLOOKUP(Table6[[#This Row],[SKU]],'All Skus'!$A:$AC,6,FALSE)),""))</f>
        <v>YES</v>
      </c>
      <c r="F653" s="61">
        <f>(IF((VLOOKUP(Table6[[#This Row],[SKU]],'All Skus'!$A:$AC,2,FALSE))="JBL",(VLOOKUP(Table6[[#This Row],[SKU]],'All Skus'!$A:$AC,7,FALSE)),""))</f>
        <v>0</v>
      </c>
      <c r="G653" t="str">
        <f>(IF((VLOOKUP(Table6[[#This Row],[SKU]],'All Skus'!$A:$AC,2,FALSE))="JBL",(VLOOKUP(Table6[[#This Row],[SKU]],'All Skus'!$A:$AC,8,FALSE)),""))</f>
        <v>Three-way horn-loaded line array system</v>
      </c>
      <c r="H653" s="8" t="str">
        <f>(IF((VLOOKUP(Table6[[#This Row],[SKU]],'All Skus'!$A:$AC,2,FALSE))="JBL",(VLOOKUP(Table6[[#This Row],[SKU]],'All Skus'!$A:$AC,9,FALSE)),""))</f>
        <v>High Output Three-Way Full-Range Horn-Loaded Line Array Loudspeaker System. 60° Horizontal Horn Coverage Pattern.  2x15” LF, 4x8” MF, 6x1.5” Exit HF</v>
      </c>
      <c r="I653" s="101" t="str">
        <f>(IF((VLOOKUP(Table6[[#This Row],[SKU]],'All Skus'!$A:$AC,2,FALSE))="JBL",(VLOOKUP(Table6[[#This Row],[SKU]],'All Skus'!$A:$AC,10,FALSE)),""))</f>
        <v>Please email CustomAudio@harman.com for quote</v>
      </c>
      <c r="J653" s="101">
        <f>(IF((VLOOKUP(Table6[[#This Row],[SKU]],'All Skus'!$A:$AC,2,FALSE))="JBL",(VLOOKUP(Table6[[#This Row],[SKU]],'All Skus'!$A:$AC,11,FALSE)),""))</f>
        <v>0</v>
      </c>
      <c r="K653" s="102">
        <f>(IF((VLOOKUP(Table6[[#This Row],[SKU]],'All Skus'!$A:$AC,2,FALSE))="JBL",(VLOOKUP(Table6[[#This Row],[SKU]],'All Skus'!$A:$AC,13,FALSE)),""))</f>
        <v>0</v>
      </c>
      <c r="L653" s="102">
        <f>(IF((VLOOKUP(Table6[[#This Row],[SKU]],'All Skus'!$A:$AC,2,FALSE))="JBL",(VLOOKUP(Table6[[#This Row],[SKU]],'All Skus'!$A:$AC,14,FALSE)),""))</f>
        <v>0</v>
      </c>
      <c r="M653" s="143">
        <f>(IF((VLOOKUP(Table6[[#This Row],[SKU]],'All Skus'!$A:$AC,2,FALSE))="JBL",(VLOOKUP(Table6[[#This Row],[SKU]],'All Skus'!$A:$AC,15,FALSE)),""))</f>
        <v>0</v>
      </c>
      <c r="N653" s="137">
        <f>(IF((VLOOKUP(Table6[[#This Row],[SKU]],'All Skus'!$A:$AC,2,FALSE))="JBL",(VLOOKUP(Table6[[#This Row],[SKU]],'All Skus'!$A:$AC,16,FALSE)),""))</f>
        <v>0</v>
      </c>
      <c r="O653" s="61">
        <f>(IF((VLOOKUP(Table6[[#This Row],[SKU]],'All Skus'!$A:$AC,2,FALSE))="JBL",(VLOOKUP(Table6[[#This Row],[SKU]],'All Skus'!$A:$AC,17,FALSE)),""))</f>
        <v>0</v>
      </c>
      <c r="P653" s="136">
        <f>(IF((VLOOKUP(Table6[[#This Row],[SKU]],'All Skus'!$A:$AC,2,FALSE))="JBL",(VLOOKUP(Table6[[#This Row],[SKU]],'All Skus'!$A:$AC,18,FALSE)),""))</f>
        <v>200</v>
      </c>
      <c r="Q653" s="136">
        <f>(IF((VLOOKUP(Table6[[#This Row],[SKU]],'All Skus'!$A:$AC,2,FALSE))="JBL",(VLOOKUP(Table6[[#This Row],[SKU]],'All Skus'!$A:$AC,19,FALSE)),""))</f>
        <v>22</v>
      </c>
      <c r="R653" s="136">
        <f>(IF((VLOOKUP(Table6[[#This Row],[SKU]],'All Skus'!$A:$AC,2,FALSE))="JBL",(VLOOKUP(Table6[[#This Row],[SKU]],'All Skus'!$A:$AC,20,FALSE)),""))</f>
        <v>54</v>
      </c>
      <c r="S653" s="61">
        <f>(IF((VLOOKUP(Table6[[#This Row],[SKU]],'All Skus'!$A:$AC,2,FALSE))="JBL",(VLOOKUP(Table6[[#This Row],[SKU]],'All Skus'!$A:$AC,21,FALSE)),""))</f>
        <v>35</v>
      </c>
      <c r="T653" s="61" t="str">
        <f>(IF((VLOOKUP(Table6[[#This Row],[SKU]],'All Skus'!$A:$AC,2,FALSE))="JBL",(VLOOKUP(Table6[[#This Row],[SKU]],'All Skus'!$A:$AC,22,FALSE)),""))</f>
        <v>MX</v>
      </c>
      <c r="U653" t="str">
        <f>(IF((VLOOKUP(Table6[[#This Row],[SKU]],'All Skus'!$A:$AC,2,FALSE))="JBL",(VLOOKUP(Table6[[#This Row],[SKU]],'All Skus'!$A:$AC,23,FALSE)),""))</f>
        <v>Compliant</v>
      </c>
      <c r="V653" s="284" t="str">
        <f>HYPERLINK((IF((VLOOKUP(Table6[[#This Row],[SKU]],'All Skus'!$A:$AC,2,FALSE))="JBL",(VLOOKUP(Table6[[#This Row],[SKU]],'All Skus'!$A:$AC,24,FALSE)),"")))</f>
        <v/>
      </c>
      <c r="W653" s="151">
        <v>651</v>
      </c>
    </row>
    <row r="654" spans="1:23" ht="15" hidden="1" customHeight="1">
      <c r="A654" s="13" t="s">
        <v>1660</v>
      </c>
      <c r="B654" s="12" t="str">
        <f>(IF((VLOOKUP(Table6[[#This Row],[SKU]],'All Skus'!$A:$AC,2,FALSE))="JBL",(VLOOKUP(Table6[[#This Row],[SKU]],'All Skus'!$A:$AC,3,FALSE)),""))</f>
        <v>PD Series</v>
      </c>
      <c r="C654" s="12" t="str">
        <f>(IF((VLOOKUP(Table6[[#This Row],[SKU]],'All Skus'!$A:$AC,2,FALSE))="JBL",(VLOOKUP(Table6[[#This Row],[SKU]],'All Skus'!$A:$AC,4,FALSE)),""))</f>
        <v>VLA901I</v>
      </c>
      <c r="D654" s="61" t="str">
        <f>(IF((VLOOKUP(Table6[[#This Row],[SKU]],'All Skus'!$A:$AC,2,FALSE))="JBL",(VLOOKUP(Table6[[#This Row],[SKU]],'All Skus'!$A:$AC,5,FALSE)),""))</f>
        <v>JBL050</v>
      </c>
      <c r="E654" s="137">
        <f>(IF((VLOOKUP(Table6[[#This Row],[SKU]],'All Skus'!$A:$AC,2,FALSE))="JBL",(VLOOKUP(Table6[[#This Row],[SKU]],'All Skus'!$A:$AC,6,FALSE)),""))</f>
        <v>0</v>
      </c>
      <c r="F654" s="61">
        <f>(IF((VLOOKUP(Table6[[#This Row],[SKU]],'All Skus'!$A:$AC,2,FALSE))="JBL",(VLOOKUP(Table6[[#This Row],[SKU]],'All Skus'!$A:$AC,7,FALSE)),""))</f>
        <v>0</v>
      </c>
      <c r="G654" t="str">
        <f>(IF((VLOOKUP(Table6[[#This Row],[SKU]],'All Skus'!$A:$AC,2,FALSE))="JBL",(VLOOKUP(Table6[[#This Row],[SKU]],'All Skus'!$A:$AC,8,FALSE)),""))</f>
        <v>Three-way horn-loaded line array system</v>
      </c>
      <c r="H654" s="8" t="str">
        <f>(IF((VLOOKUP(Table6[[#This Row],[SKU]],'All Skus'!$A:$AC,2,FALSE))="JBL",(VLOOKUP(Table6[[#This Row],[SKU]],'All Skus'!$A:$AC,9,FALSE)),""))</f>
        <v>High Output Three-Way Full-Range Horn-Loaded Line Array Loudspeaker System. 90° Horizontal Horn Coverage Pattern.  2x15” LF, 2x8” MF, 3x1.5” Exit HF</v>
      </c>
      <c r="I654" s="101">
        <f>(IF((VLOOKUP(Table6[[#This Row],[SKU]],'All Skus'!$A:$AC,2,FALSE))="JBL",(VLOOKUP(Table6[[#This Row],[SKU]],'All Skus'!$A:$AC,10,FALSE)),""))</f>
        <v>9763.3799999999992</v>
      </c>
      <c r="J654" s="101">
        <f>(IF((VLOOKUP(Table6[[#This Row],[SKU]],'All Skus'!$A:$AC,2,FALSE))="JBL",(VLOOKUP(Table6[[#This Row],[SKU]],'All Skus'!$A:$AC,11,FALSE)),""))</f>
        <v>0</v>
      </c>
      <c r="K654" s="102">
        <f>(IF((VLOOKUP(Table6[[#This Row],[SKU]],'All Skus'!$A:$AC,2,FALSE))="JBL",(VLOOKUP(Table6[[#This Row],[SKU]],'All Skus'!$A:$AC,13,FALSE)),""))</f>
        <v>0</v>
      </c>
      <c r="L654" s="102">
        <f>(IF((VLOOKUP(Table6[[#This Row],[SKU]],'All Skus'!$A:$AC,2,FALSE))="JBL",(VLOOKUP(Table6[[#This Row],[SKU]],'All Skus'!$A:$AC,14,FALSE)),""))</f>
        <v>0</v>
      </c>
      <c r="M654" s="143">
        <f>(IF((VLOOKUP(Table6[[#This Row],[SKU]],'All Skus'!$A:$AC,2,FALSE))="JBL",(VLOOKUP(Table6[[#This Row],[SKU]],'All Skus'!$A:$AC,15,FALSE)),""))</f>
        <v>0</v>
      </c>
      <c r="N654" s="137">
        <f>(IF((VLOOKUP(Table6[[#This Row],[SKU]],'All Skus'!$A:$AC,2,FALSE))="JBL",(VLOOKUP(Table6[[#This Row],[SKU]],'All Skus'!$A:$AC,16,FALSE)),""))</f>
        <v>691991014994</v>
      </c>
      <c r="O654" s="61">
        <f>(IF((VLOOKUP(Table6[[#This Row],[SKU]],'All Skus'!$A:$AC,2,FALSE))="JBL",(VLOOKUP(Table6[[#This Row],[SKU]],'All Skus'!$A:$AC,17,FALSE)),""))</f>
        <v>0</v>
      </c>
      <c r="P654" s="136">
        <f>(IF((VLOOKUP(Table6[[#This Row],[SKU]],'All Skus'!$A:$AC,2,FALSE))="JBL",(VLOOKUP(Table6[[#This Row],[SKU]],'All Skus'!$A:$AC,18,FALSE)),""))</f>
        <v>0</v>
      </c>
      <c r="Q654" s="136">
        <f>(IF((VLOOKUP(Table6[[#This Row],[SKU]],'All Skus'!$A:$AC,2,FALSE))="JBL",(VLOOKUP(Table6[[#This Row],[SKU]],'All Skus'!$A:$AC,19,FALSE)),""))</f>
        <v>0</v>
      </c>
      <c r="R654" s="136">
        <f>(IF((VLOOKUP(Table6[[#This Row],[SKU]],'All Skus'!$A:$AC,2,FALSE))="JBL",(VLOOKUP(Table6[[#This Row],[SKU]],'All Skus'!$A:$AC,20,FALSE)),""))</f>
        <v>0</v>
      </c>
      <c r="S654" s="61">
        <f>(IF((VLOOKUP(Table6[[#This Row],[SKU]],'All Skus'!$A:$AC,2,FALSE))="JBL",(VLOOKUP(Table6[[#This Row],[SKU]],'All Skus'!$A:$AC,21,FALSE)),""))</f>
        <v>0</v>
      </c>
      <c r="T654" s="61" t="str">
        <f>(IF((VLOOKUP(Table6[[#This Row],[SKU]],'All Skus'!$A:$AC,2,FALSE))="JBL",(VLOOKUP(Table6[[#This Row],[SKU]],'All Skus'!$A:$AC,22,FALSE)),""))</f>
        <v>MX</v>
      </c>
      <c r="U654" t="str">
        <f>(IF((VLOOKUP(Table6[[#This Row],[SKU]],'All Skus'!$A:$AC,2,FALSE))="JBL",(VLOOKUP(Table6[[#This Row],[SKU]],'All Skus'!$A:$AC,23,FALSE)),""))</f>
        <v>Compliant</v>
      </c>
      <c r="V654" s="284" t="str">
        <f>HYPERLINK((IF((VLOOKUP(Table6[[#This Row],[SKU]],'All Skus'!$A:$AC,2,FALSE))="JBL",(VLOOKUP(Table6[[#This Row],[SKU]],'All Skus'!$A:$AC,24,FALSE)),"")))</f>
        <v/>
      </c>
      <c r="W654" s="151">
        <v>652</v>
      </c>
    </row>
    <row r="655" spans="1:23" ht="15" hidden="1" customHeight="1">
      <c r="A655" s="13" t="s">
        <v>1661</v>
      </c>
      <c r="B655" s="12" t="str">
        <f>(IF((VLOOKUP(Table6[[#This Row],[SKU]],'All Skus'!$A:$AC,2,FALSE))="JBL",(VLOOKUP(Table6[[#This Row],[SKU]],'All Skus'!$A:$AC,3,FALSE)),""))</f>
        <v>Custom Shop Item</v>
      </c>
      <c r="C655" s="12" t="str">
        <f>(IF((VLOOKUP(Table6[[#This Row],[SKU]],'All Skus'!$A:$AC,2,FALSE))="JBL",(VLOOKUP(Table6[[#This Row],[SKU]],'All Skus'!$A:$AC,4,FALSE)),""))</f>
        <v>VLA901I-WRC</v>
      </c>
      <c r="D655" s="61">
        <f>(IF((VLOOKUP(Table6[[#This Row],[SKU]],'All Skus'!$A:$AC,2,FALSE))="JBL",(VLOOKUP(Table6[[#This Row],[SKU]],'All Skus'!$A:$AC,5,FALSE)),""))</f>
        <v>0</v>
      </c>
      <c r="E655" s="137" t="str">
        <f>(IF((VLOOKUP(Table6[[#This Row],[SKU]],'All Skus'!$A:$AC,2,FALSE))="JBL",(VLOOKUP(Table6[[#This Row],[SKU]],'All Skus'!$A:$AC,6,FALSE)),""))</f>
        <v>YES</v>
      </c>
      <c r="F655" s="61">
        <f>(IF((VLOOKUP(Table6[[#This Row],[SKU]],'All Skus'!$A:$AC,2,FALSE))="JBL",(VLOOKUP(Table6[[#This Row],[SKU]],'All Skus'!$A:$AC,7,FALSE)),""))</f>
        <v>0</v>
      </c>
      <c r="G655" t="str">
        <f>(IF((VLOOKUP(Table6[[#This Row],[SKU]],'All Skus'!$A:$AC,2,FALSE))="JBL",(VLOOKUP(Table6[[#This Row],[SKU]],'All Skus'!$A:$AC,8,FALSE)),""))</f>
        <v>Three-way horn-loaded line array system (Weather Protection Treatment)</v>
      </c>
      <c r="H655" s="8" t="str">
        <f>(IF((VLOOKUP(Table6[[#This Row],[SKU]],'All Skus'!$A:$AC,2,FALSE))="JBL",(VLOOKUP(Table6[[#This Row],[SKU]],'All Skus'!$A:$AC,9,FALSE)),""))</f>
        <v>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55" s="101" t="str">
        <f>(IF((VLOOKUP(Table6[[#This Row],[SKU]],'All Skus'!$A:$AC,2,FALSE))="JBL",(VLOOKUP(Table6[[#This Row],[SKU]],'All Skus'!$A:$AC,10,FALSE)),""))</f>
        <v>Please email CustomAudio@harman.com for quote</v>
      </c>
      <c r="J655" s="101">
        <f>(IF((VLOOKUP(Table6[[#This Row],[SKU]],'All Skus'!$A:$AC,2,FALSE))="JBL",(VLOOKUP(Table6[[#This Row],[SKU]],'All Skus'!$A:$AC,11,FALSE)),""))</f>
        <v>0</v>
      </c>
      <c r="K655" s="102">
        <f>(IF((VLOOKUP(Table6[[#This Row],[SKU]],'All Skus'!$A:$AC,2,FALSE))="JBL",(VLOOKUP(Table6[[#This Row],[SKU]],'All Skus'!$A:$AC,13,FALSE)),""))</f>
        <v>0</v>
      </c>
      <c r="L655" s="102">
        <f>(IF((VLOOKUP(Table6[[#This Row],[SKU]],'All Skus'!$A:$AC,2,FALSE))="JBL",(VLOOKUP(Table6[[#This Row],[SKU]],'All Skus'!$A:$AC,14,FALSE)),""))</f>
        <v>0</v>
      </c>
      <c r="M655" s="143">
        <f>(IF((VLOOKUP(Table6[[#This Row],[SKU]],'All Skus'!$A:$AC,2,FALSE))="JBL",(VLOOKUP(Table6[[#This Row],[SKU]],'All Skus'!$A:$AC,15,FALSE)),""))</f>
        <v>0</v>
      </c>
      <c r="N655" s="137">
        <f>(IF((VLOOKUP(Table6[[#This Row],[SKU]],'All Skus'!$A:$AC,2,FALSE))="JBL",(VLOOKUP(Table6[[#This Row],[SKU]],'All Skus'!$A:$AC,16,FALSE)),""))</f>
        <v>691991015007</v>
      </c>
      <c r="O655" s="61">
        <f>(IF((VLOOKUP(Table6[[#This Row],[SKU]],'All Skus'!$A:$AC,2,FALSE))="JBL",(VLOOKUP(Table6[[#This Row],[SKU]],'All Skus'!$A:$AC,17,FALSE)),""))</f>
        <v>0</v>
      </c>
      <c r="P655" s="136">
        <f>(IF((VLOOKUP(Table6[[#This Row],[SKU]],'All Skus'!$A:$AC,2,FALSE))="JBL",(VLOOKUP(Table6[[#This Row],[SKU]],'All Skus'!$A:$AC,18,FALSE)),""))</f>
        <v>0</v>
      </c>
      <c r="Q655" s="136">
        <f>(IF((VLOOKUP(Table6[[#This Row],[SKU]],'All Skus'!$A:$AC,2,FALSE))="JBL",(VLOOKUP(Table6[[#This Row],[SKU]],'All Skus'!$A:$AC,19,FALSE)),""))</f>
        <v>0</v>
      </c>
      <c r="R655" s="136">
        <f>(IF((VLOOKUP(Table6[[#This Row],[SKU]],'All Skus'!$A:$AC,2,FALSE))="JBL",(VLOOKUP(Table6[[#This Row],[SKU]],'All Skus'!$A:$AC,20,FALSE)),""))</f>
        <v>0</v>
      </c>
      <c r="S655" s="61">
        <f>(IF((VLOOKUP(Table6[[#This Row],[SKU]],'All Skus'!$A:$AC,2,FALSE))="JBL",(VLOOKUP(Table6[[#This Row],[SKU]],'All Skus'!$A:$AC,21,FALSE)),""))</f>
        <v>0</v>
      </c>
      <c r="T655" s="61" t="str">
        <f>(IF((VLOOKUP(Table6[[#This Row],[SKU]],'All Skus'!$A:$AC,2,FALSE))="JBL",(VLOOKUP(Table6[[#This Row],[SKU]],'All Skus'!$A:$AC,22,FALSE)),""))</f>
        <v>MX</v>
      </c>
      <c r="U655" t="str">
        <f>(IF((VLOOKUP(Table6[[#This Row],[SKU]],'All Skus'!$A:$AC,2,FALSE))="JBL",(VLOOKUP(Table6[[#This Row],[SKU]],'All Skus'!$A:$AC,23,FALSE)),""))</f>
        <v>Compliant</v>
      </c>
      <c r="V655" s="284" t="str">
        <f>HYPERLINK((IF((VLOOKUP(Table6[[#This Row],[SKU]],'All Skus'!$A:$AC,2,FALSE))="JBL",(VLOOKUP(Table6[[#This Row],[SKU]],'All Skus'!$A:$AC,24,FALSE)),"")))</f>
        <v/>
      </c>
      <c r="W655" s="151">
        <v>653</v>
      </c>
    </row>
    <row r="656" spans="1:23" ht="15" hidden="1" customHeight="1">
      <c r="A656" s="13" t="s">
        <v>1662</v>
      </c>
      <c r="B656" s="12" t="str">
        <f>(IF((VLOOKUP(Table6[[#This Row],[SKU]],'All Skus'!$A:$AC,2,FALSE))="JBL",(VLOOKUP(Table6[[#This Row],[SKU]],'All Skus'!$A:$AC,3,FALSE)),""))</f>
        <v>Custom Shop Item</v>
      </c>
      <c r="C656" s="12" t="str">
        <f>(IF((VLOOKUP(Table6[[#This Row],[SKU]],'All Skus'!$A:$AC,2,FALSE))="JBL",(VLOOKUP(Table6[[#This Row],[SKU]],'All Skus'!$A:$AC,4,FALSE)),""))</f>
        <v>VLA901I-WRX</v>
      </c>
      <c r="D656" s="61" t="str">
        <f>(IF((VLOOKUP(Table6[[#This Row],[SKU]],'All Skus'!$A:$AC,2,FALSE))="JBL",(VLOOKUP(Table6[[#This Row],[SKU]],'All Skus'!$A:$AC,5,FALSE)),""))</f>
        <v>JBL050</v>
      </c>
      <c r="E656" s="137" t="str">
        <f>(IF((VLOOKUP(Table6[[#This Row],[SKU]],'All Skus'!$A:$AC,2,FALSE))="JBL",(VLOOKUP(Table6[[#This Row],[SKU]],'All Skus'!$A:$AC,6,FALSE)),""))</f>
        <v>YES</v>
      </c>
      <c r="F656" s="61">
        <f>(IF((VLOOKUP(Table6[[#This Row],[SKU]],'All Skus'!$A:$AC,2,FALSE))="JBL",(VLOOKUP(Table6[[#This Row],[SKU]],'All Skus'!$A:$AC,7,FALSE)),""))</f>
        <v>0</v>
      </c>
      <c r="G656" t="str">
        <f>(IF((VLOOKUP(Table6[[#This Row],[SKU]],'All Skus'!$A:$AC,2,FALSE))="JBL",(VLOOKUP(Table6[[#This Row],[SKU]],'All Skus'!$A:$AC,8,FALSE)),""))</f>
        <v>Three-way horn-loaded line array system (Weather Protection Treatment)</v>
      </c>
      <c r="H656" s="8" t="str">
        <f>(IF((VLOOKUP(Table6[[#This Row],[SKU]],'All Skus'!$A:$AC,2,FALSE))="JBL",(VLOOKUP(Table6[[#This Row],[SKU]],'All Skus'!$A:$AC,9,FALSE)),""))</f>
        <v>High Output Three-Way Full-Range Horn-Loaded Line Array Loudspeaker System. 90° Horizontal Horn Coverage Pattern.  2x15” LF, 2x8” MF, 3x1.5”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56" s="101" t="str">
        <f>(IF((VLOOKUP(Table6[[#This Row],[SKU]],'All Skus'!$A:$AC,2,FALSE))="JBL",(VLOOKUP(Table6[[#This Row],[SKU]],'All Skus'!$A:$AC,10,FALSE)),""))</f>
        <v>Please email CustomAudio@harman.com for quote</v>
      </c>
      <c r="J656" s="101">
        <f>(IF((VLOOKUP(Table6[[#This Row],[SKU]],'All Skus'!$A:$AC,2,FALSE))="JBL",(VLOOKUP(Table6[[#This Row],[SKU]],'All Skus'!$A:$AC,11,FALSE)),""))</f>
        <v>0</v>
      </c>
      <c r="K656" s="102">
        <f>(IF((VLOOKUP(Table6[[#This Row],[SKU]],'All Skus'!$A:$AC,2,FALSE))="JBL",(VLOOKUP(Table6[[#This Row],[SKU]],'All Skus'!$A:$AC,13,FALSE)),""))</f>
        <v>0</v>
      </c>
      <c r="L656" s="102">
        <f>(IF((VLOOKUP(Table6[[#This Row],[SKU]],'All Skus'!$A:$AC,2,FALSE))="JBL",(VLOOKUP(Table6[[#This Row],[SKU]],'All Skus'!$A:$AC,14,FALSE)),""))</f>
        <v>0</v>
      </c>
      <c r="M656" s="143">
        <f>(IF((VLOOKUP(Table6[[#This Row],[SKU]],'All Skus'!$A:$AC,2,FALSE))="JBL",(VLOOKUP(Table6[[#This Row],[SKU]],'All Skus'!$A:$AC,15,FALSE)),""))</f>
        <v>0</v>
      </c>
      <c r="N656" s="137">
        <f>(IF((VLOOKUP(Table6[[#This Row],[SKU]],'All Skus'!$A:$AC,2,FALSE))="JBL",(VLOOKUP(Table6[[#This Row],[SKU]],'All Skus'!$A:$AC,16,FALSE)),""))</f>
        <v>691991032455</v>
      </c>
      <c r="O656" s="61">
        <f>(IF((VLOOKUP(Table6[[#This Row],[SKU]],'All Skus'!$A:$AC,2,FALSE))="JBL",(VLOOKUP(Table6[[#This Row],[SKU]],'All Skus'!$A:$AC,17,FALSE)),""))</f>
        <v>0</v>
      </c>
      <c r="P656" s="136">
        <f>(IF((VLOOKUP(Table6[[#This Row],[SKU]],'All Skus'!$A:$AC,2,FALSE))="JBL",(VLOOKUP(Table6[[#This Row],[SKU]],'All Skus'!$A:$AC,18,FALSE)),""))</f>
        <v>286</v>
      </c>
      <c r="Q656" s="136">
        <f>(IF((VLOOKUP(Table6[[#This Row],[SKU]],'All Skus'!$A:$AC,2,FALSE))="JBL",(VLOOKUP(Table6[[#This Row],[SKU]],'All Skus'!$A:$AC,19,FALSE)),""))</f>
        <v>35.5</v>
      </c>
      <c r="R656" s="136">
        <f>(IF((VLOOKUP(Table6[[#This Row],[SKU]],'All Skus'!$A:$AC,2,FALSE))="JBL",(VLOOKUP(Table6[[#This Row],[SKU]],'All Skus'!$A:$AC,20,FALSE)),""))</f>
        <v>23.5</v>
      </c>
      <c r="S656" s="61">
        <f>(IF((VLOOKUP(Table6[[#This Row],[SKU]],'All Skus'!$A:$AC,2,FALSE))="JBL",(VLOOKUP(Table6[[#This Row],[SKU]],'All Skus'!$A:$AC,21,FALSE)),""))</f>
        <v>30</v>
      </c>
      <c r="T656" s="61" t="str">
        <f>(IF((VLOOKUP(Table6[[#This Row],[SKU]],'All Skus'!$A:$AC,2,FALSE))="JBL",(VLOOKUP(Table6[[#This Row],[SKU]],'All Skus'!$A:$AC,22,FALSE)),""))</f>
        <v>MX</v>
      </c>
      <c r="U656" t="str">
        <f>(IF((VLOOKUP(Table6[[#This Row],[SKU]],'All Skus'!$A:$AC,2,FALSE))="JBL",(VLOOKUP(Table6[[#This Row],[SKU]],'All Skus'!$A:$AC,23,FALSE)),""))</f>
        <v>Compliant</v>
      </c>
      <c r="V656" s="284" t="str">
        <f>HYPERLINK((IF((VLOOKUP(Table6[[#This Row],[SKU]],'All Skus'!$A:$AC,2,FALSE))="JBL",(VLOOKUP(Table6[[#This Row],[SKU]],'All Skus'!$A:$AC,24,FALSE)),"")))</f>
        <v/>
      </c>
      <c r="W656" s="151">
        <v>654</v>
      </c>
    </row>
    <row r="657" spans="1:23" ht="15" hidden="1" customHeight="1">
      <c r="A657" s="13" t="s">
        <v>1663</v>
      </c>
      <c r="B657" s="12" t="str">
        <f>(IF((VLOOKUP(Table6[[#This Row],[SKU]],'All Skus'!$A:$AC,2,FALSE))="JBL",(VLOOKUP(Table6[[#This Row],[SKU]],'All Skus'!$A:$AC,3,FALSE)),""))</f>
        <v>PD Series</v>
      </c>
      <c r="C657" s="12" t="str">
        <f>(IF((VLOOKUP(Table6[[#This Row],[SKU]],'All Skus'!$A:$AC,2,FALSE))="JBL",(VLOOKUP(Table6[[#This Row],[SKU]],'All Skus'!$A:$AC,4,FALSE)),""))</f>
        <v>VLA901HI</v>
      </c>
      <c r="D657" s="61">
        <f>(IF((VLOOKUP(Table6[[#This Row],[SKU]],'All Skus'!$A:$AC,2,FALSE))="JBL",(VLOOKUP(Table6[[#This Row],[SKU]],'All Skus'!$A:$AC,5,FALSE)),""))</f>
        <v>0</v>
      </c>
      <c r="E657" s="137">
        <f>(IF((VLOOKUP(Table6[[#This Row],[SKU]],'All Skus'!$A:$AC,2,FALSE))="JBL",(VLOOKUP(Table6[[#This Row],[SKU]],'All Skus'!$A:$AC,6,FALSE)),""))</f>
        <v>0</v>
      </c>
      <c r="F657" s="61">
        <f>(IF((VLOOKUP(Table6[[#This Row],[SKU]],'All Skus'!$A:$AC,2,FALSE))="JBL",(VLOOKUP(Table6[[#This Row],[SKU]],'All Skus'!$A:$AC,7,FALSE)),""))</f>
        <v>0</v>
      </c>
      <c r="G657" t="str">
        <f>(IF((VLOOKUP(Table6[[#This Row],[SKU]],'All Skus'!$A:$AC,2,FALSE))="JBL",(VLOOKUP(Table6[[#This Row],[SKU]],'All Skus'!$A:$AC,8,FALSE)),""))</f>
        <v>Three-way horn-loaded line array system</v>
      </c>
      <c r="H657" s="8" t="str">
        <f>(IF((VLOOKUP(Table6[[#This Row],[SKU]],'All Skus'!$A:$AC,2,FALSE))="JBL",(VLOOKUP(Table6[[#This Row],[SKU]],'All Skus'!$A:$AC,9,FALSE)),""))</f>
        <v>High Output Three-Way Full-Range Horn-Loaded Line Array Loudspeaker System. 90° Horizontal Horn Coverage Pattern.  2x15” LF, 4x8” MF, 6x1.5” Exit HF</v>
      </c>
      <c r="I657" s="101">
        <f>(IF((VLOOKUP(Table6[[#This Row],[SKU]],'All Skus'!$A:$AC,2,FALSE))="JBL",(VLOOKUP(Table6[[#This Row],[SKU]],'All Skus'!$A:$AC,10,FALSE)),""))</f>
        <v>13805.35</v>
      </c>
      <c r="J657" s="101">
        <f>(IF((VLOOKUP(Table6[[#This Row],[SKU]],'All Skus'!$A:$AC,2,FALSE))="JBL",(VLOOKUP(Table6[[#This Row],[SKU]],'All Skus'!$A:$AC,11,FALSE)),""))</f>
        <v>0</v>
      </c>
      <c r="K657" s="102">
        <f>(IF((VLOOKUP(Table6[[#This Row],[SKU]],'All Skus'!$A:$AC,2,FALSE))="JBL",(VLOOKUP(Table6[[#This Row],[SKU]],'All Skus'!$A:$AC,13,FALSE)),""))</f>
        <v>0</v>
      </c>
      <c r="L657" s="102">
        <f>(IF((VLOOKUP(Table6[[#This Row],[SKU]],'All Skus'!$A:$AC,2,FALSE))="JBL",(VLOOKUP(Table6[[#This Row],[SKU]],'All Skus'!$A:$AC,14,FALSE)),""))</f>
        <v>0</v>
      </c>
      <c r="M657" s="143">
        <f>(IF((VLOOKUP(Table6[[#This Row],[SKU]],'All Skus'!$A:$AC,2,FALSE))="JBL",(VLOOKUP(Table6[[#This Row],[SKU]],'All Skus'!$A:$AC,15,FALSE)),""))</f>
        <v>0</v>
      </c>
      <c r="N657" s="137">
        <f>(IF((VLOOKUP(Table6[[#This Row],[SKU]],'All Skus'!$A:$AC,2,FALSE))="JBL",(VLOOKUP(Table6[[#This Row],[SKU]],'All Skus'!$A:$AC,16,FALSE)),""))</f>
        <v>691991015014</v>
      </c>
      <c r="O657" s="61">
        <f>(IF((VLOOKUP(Table6[[#This Row],[SKU]],'All Skus'!$A:$AC,2,FALSE))="JBL",(VLOOKUP(Table6[[#This Row],[SKU]],'All Skus'!$A:$AC,17,FALSE)),""))</f>
        <v>0</v>
      </c>
      <c r="P657" s="136">
        <f>(IF((VLOOKUP(Table6[[#This Row],[SKU]],'All Skus'!$A:$AC,2,FALSE))="JBL",(VLOOKUP(Table6[[#This Row],[SKU]],'All Skus'!$A:$AC,18,FALSE)),""))</f>
        <v>0</v>
      </c>
      <c r="Q657" s="136">
        <f>(IF((VLOOKUP(Table6[[#This Row],[SKU]],'All Skus'!$A:$AC,2,FALSE))="JBL",(VLOOKUP(Table6[[#This Row],[SKU]],'All Skus'!$A:$AC,19,FALSE)),""))</f>
        <v>0</v>
      </c>
      <c r="R657" s="136">
        <f>(IF((VLOOKUP(Table6[[#This Row],[SKU]],'All Skus'!$A:$AC,2,FALSE))="JBL",(VLOOKUP(Table6[[#This Row],[SKU]],'All Skus'!$A:$AC,20,FALSE)),""))</f>
        <v>0</v>
      </c>
      <c r="S657" s="61">
        <f>(IF((VLOOKUP(Table6[[#This Row],[SKU]],'All Skus'!$A:$AC,2,FALSE))="JBL",(VLOOKUP(Table6[[#This Row],[SKU]],'All Skus'!$A:$AC,21,FALSE)),""))</f>
        <v>0</v>
      </c>
      <c r="T657" s="61" t="str">
        <f>(IF((VLOOKUP(Table6[[#This Row],[SKU]],'All Skus'!$A:$AC,2,FALSE))="JBL",(VLOOKUP(Table6[[#This Row],[SKU]],'All Skus'!$A:$AC,22,FALSE)),""))</f>
        <v>MX</v>
      </c>
      <c r="U657" t="str">
        <f>(IF((VLOOKUP(Table6[[#This Row],[SKU]],'All Skus'!$A:$AC,2,FALSE))="JBL",(VLOOKUP(Table6[[#This Row],[SKU]],'All Skus'!$A:$AC,23,FALSE)),""))</f>
        <v>Compliant</v>
      </c>
      <c r="V657" s="284" t="str">
        <f>HYPERLINK((IF((VLOOKUP(Table6[[#This Row],[SKU]],'All Skus'!$A:$AC,2,FALSE))="JBL",(VLOOKUP(Table6[[#This Row],[SKU]],'All Skus'!$A:$AC,24,FALSE)),"")))</f>
        <v/>
      </c>
      <c r="W657" s="151">
        <v>655</v>
      </c>
    </row>
    <row r="658" spans="1:23" ht="15" hidden="1" customHeight="1">
      <c r="A658" s="13" t="s">
        <v>1664</v>
      </c>
      <c r="B658" s="12" t="str">
        <f>(IF((VLOOKUP(Table6[[#This Row],[SKU]],'All Skus'!$A:$AC,2,FALSE))="JBL",(VLOOKUP(Table6[[#This Row],[SKU]],'All Skus'!$A:$AC,3,FALSE)),""))</f>
        <v>Custom Shop Item</v>
      </c>
      <c r="C658" s="12" t="str">
        <f>(IF((VLOOKUP(Table6[[#This Row],[SKU]],'All Skus'!$A:$AC,2,FALSE))="JBL",(VLOOKUP(Table6[[#This Row],[SKU]],'All Skus'!$A:$AC,4,FALSE)),""))</f>
        <v>VLA901HI-WRC</v>
      </c>
      <c r="D658" s="61">
        <f>(IF((VLOOKUP(Table6[[#This Row],[SKU]],'All Skus'!$A:$AC,2,FALSE))="JBL",(VLOOKUP(Table6[[#This Row],[SKU]],'All Skus'!$A:$AC,5,FALSE)),""))</f>
        <v>0</v>
      </c>
      <c r="E658" s="137" t="str">
        <f>(IF((VLOOKUP(Table6[[#This Row],[SKU]],'All Skus'!$A:$AC,2,FALSE))="JBL",(VLOOKUP(Table6[[#This Row],[SKU]],'All Skus'!$A:$AC,6,FALSE)),""))</f>
        <v>YES</v>
      </c>
      <c r="F658" s="61">
        <f>(IF((VLOOKUP(Table6[[#This Row],[SKU]],'All Skus'!$A:$AC,2,FALSE))="JBL",(VLOOKUP(Table6[[#This Row],[SKU]],'All Skus'!$A:$AC,7,FALSE)),""))</f>
        <v>0</v>
      </c>
      <c r="G658" t="str">
        <f>(IF((VLOOKUP(Table6[[#This Row],[SKU]],'All Skus'!$A:$AC,2,FALSE))="JBL",(VLOOKUP(Table6[[#This Row],[SKU]],'All Skus'!$A:$AC,8,FALSE)),""))</f>
        <v>Three-way horn-loaded line array system (Weather Protection Treatment)</v>
      </c>
      <c r="H658" s="8" t="str">
        <f>(IF((VLOOKUP(Table6[[#This Row],[SKU]],'All Skus'!$A:$AC,2,FALSE))="JBL",(VLOOKUP(Table6[[#This Row],[SKU]],'All Skus'!$A:$AC,9,FALSE)),""))</f>
        <v>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58" s="101" t="str">
        <f>(IF((VLOOKUP(Table6[[#This Row],[SKU]],'All Skus'!$A:$AC,2,FALSE))="JBL",(VLOOKUP(Table6[[#This Row],[SKU]],'All Skus'!$A:$AC,10,FALSE)),""))</f>
        <v>Please email CustomAudio@harman.com for quote</v>
      </c>
      <c r="J658" s="101">
        <f>(IF((VLOOKUP(Table6[[#This Row],[SKU]],'All Skus'!$A:$AC,2,FALSE))="JBL",(VLOOKUP(Table6[[#This Row],[SKU]],'All Skus'!$A:$AC,11,FALSE)),""))</f>
        <v>0</v>
      </c>
      <c r="K658" s="102">
        <f>(IF((VLOOKUP(Table6[[#This Row],[SKU]],'All Skus'!$A:$AC,2,FALSE))="JBL",(VLOOKUP(Table6[[#This Row],[SKU]],'All Skus'!$A:$AC,13,FALSE)),""))</f>
        <v>0</v>
      </c>
      <c r="L658" s="102">
        <f>(IF((VLOOKUP(Table6[[#This Row],[SKU]],'All Skus'!$A:$AC,2,FALSE))="JBL",(VLOOKUP(Table6[[#This Row],[SKU]],'All Skus'!$A:$AC,14,FALSE)),""))</f>
        <v>0</v>
      </c>
      <c r="M658" s="143">
        <f>(IF((VLOOKUP(Table6[[#This Row],[SKU]],'All Skus'!$A:$AC,2,FALSE))="JBL",(VLOOKUP(Table6[[#This Row],[SKU]],'All Skus'!$A:$AC,15,FALSE)),""))</f>
        <v>0</v>
      </c>
      <c r="N658" s="137">
        <f>(IF((VLOOKUP(Table6[[#This Row],[SKU]],'All Skus'!$A:$AC,2,FALSE))="JBL",(VLOOKUP(Table6[[#This Row],[SKU]],'All Skus'!$A:$AC,16,FALSE)),""))</f>
        <v>691991015021</v>
      </c>
      <c r="O658" s="61">
        <f>(IF((VLOOKUP(Table6[[#This Row],[SKU]],'All Skus'!$A:$AC,2,FALSE))="JBL",(VLOOKUP(Table6[[#This Row],[SKU]],'All Skus'!$A:$AC,17,FALSE)),""))</f>
        <v>0</v>
      </c>
      <c r="P658" s="136">
        <f>(IF((VLOOKUP(Table6[[#This Row],[SKU]],'All Skus'!$A:$AC,2,FALSE))="JBL",(VLOOKUP(Table6[[#This Row],[SKU]],'All Skus'!$A:$AC,18,FALSE)),""))</f>
        <v>0</v>
      </c>
      <c r="Q658" s="136">
        <f>(IF((VLOOKUP(Table6[[#This Row],[SKU]],'All Skus'!$A:$AC,2,FALSE))="JBL",(VLOOKUP(Table6[[#This Row],[SKU]],'All Skus'!$A:$AC,19,FALSE)),""))</f>
        <v>0</v>
      </c>
      <c r="R658" s="136">
        <f>(IF((VLOOKUP(Table6[[#This Row],[SKU]],'All Skus'!$A:$AC,2,FALSE))="JBL",(VLOOKUP(Table6[[#This Row],[SKU]],'All Skus'!$A:$AC,20,FALSE)),""))</f>
        <v>0</v>
      </c>
      <c r="S658" s="61">
        <f>(IF((VLOOKUP(Table6[[#This Row],[SKU]],'All Skus'!$A:$AC,2,FALSE))="JBL",(VLOOKUP(Table6[[#This Row],[SKU]],'All Skus'!$A:$AC,21,FALSE)),""))</f>
        <v>0</v>
      </c>
      <c r="T658" s="61">
        <f>(IF((VLOOKUP(Table6[[#This Row],[SKU]],'All Skus'!$A:$AC,2,FALSE))="JBL",(VLOOKUP(Table6[[#This Row],[SKU]],'All Skus'!$A:$AC,22,FALSE)),""))</f>
        <v>0</v>
      </c>
      <c r="U658">
        <f>(IF((VLOOKUP(Table6[[#This Row],[SKU]],'All Skus'!$A:$AC,2,FALSE))="JBL",(VLOOKUP(Table6[[#This Row],[SKU]],'All Skus'!$A:$AC,23,FALSE)),""))</f>
        <v>0</v>
      </c>
      <c r="V658" s="284" t="str">
        <f>HYPERLINK((IF((VLOOKUP(Table6[[#This Row],[SKU]],'All Skus'!$A:$AC,2,FALSE))="JBL",(VLOOKUP(Table6[[#This Row],[SKU]],'All Skus'!$A:$AC,24,FALSE)),"")))</f>
        <v/>
      </c>
      <c r="W658" s="151">
        <v>656</v>
      </c>
    </row>
    <row r="659" spans="1:23" ht="15" hidden="1" customHeight="1">
      <c r="A659" s="13" t="s">
        <v>1665</v>
      </c>
      <c r="B659" s="12" t="str">
        <f>(IF((VLOOKUP(Table6[[#This Row],[SKU]],'All Skus'!$A:$AC,2,FALSE))="JBL",(VLOOKUP(Table6[[#This Row],[SKU]],'All Skus'!$A:$AC,3,FALSE)),""))</f>
        <v>Custom Shop Item</v>
      </c>
      <c r="C659" s="12" t="str">
        <f>(IF((VLOOKUP(Table6[[#This Row],[SKU]],'All Skus'!$A:$AC,2,FALSE))="JBL",(VLOOKUP(Table6[[#This Row],[SKU]],'All Skus'!$A:$AC,4,FALSE)),""))</f>
        <v>VLA901HI-WRX</v>
      </c>
      <c r="D659" s="61" t="str">
        <f>(IF((VLOOKUP(Table6[[#This Row],[SKU]],'All Skus'!$A:$AC,2,FALSE))="JBL",(VLOOKUP(Table6[[#This Row],[SKU]],'All Skus'!$A:$AC,5,FALSE)),""))</f>
        <v>JBL050</v>
      </c>
      <c r="E659" s="137" t="str">
        <f>(IF((VLOOKUP(Table6[[#This Row],[SKU]],'All Skus'!$A:$AC,2,FALSE))="JBL",(VLOOKUP(Table6[[#This Row],[SKU]],'All Skus'!$A:$AC,6,FALSE)),""))</f>
        <v>YES</v>
      </c>
      <c r="F659" s="61">
        <f>(IF((VLOOKUP(Table6[[#This Row],[SKU]],'All Skus'!$A:$AC,2,FALSE))="JBL",(VLOOKUP(Table6[[#This Row],[SKU]],'All Skus'!$A:$AC,7,FALSE)),""))</f>
        <v>0</v>
      </c>
      <c r="G659" t="str">
        <f>(IF((VLOOKUP(Table6[[#This Row],[SKU]],'All Skus'!$A:$AC,2,FALSE))="JBL",(VLOOKUP(Table6[[#This Row],[SKU]],'All Skus'!$A:$AC,8,FALSE)),""))</f>
        <v>Three-way horn-loaded line array system (Weather Protection Treatment)</v>
      </c>
      <c r="H659" s="8" t="str">
        <f>(IF((VLOOKUP(Table6[[#This Row],[SKU]],'All Skus'!$A:$AC,2,FALSE))="JBL",(VLOOKUP(Table6[[#This Row],[SKU]],'All Skus'!$A:$AC,9,FALSE)),""))</f>
        <v>High Output Three-Way Full-Range Horn-Loaded Line Array Loudspeaker System. 90° Horizontal Horn Coverage Pattern.  2x15” LF, 4x8” MF, 6x1.5” Exit HF.  With Weather Protection Treatment. Refer to WEATHER RESISTANT Configurations for AE, PD &amp; VLA Series document for details regarding WRC/WRX models. Standard color is GRAY. Available in Black (-BK) &amp; White (-WH).8-10 weeks ship time for orders of 1-10, larger needs to be reviewed8-10 weeks ship time for orders of 1-10, larger needs to be reviewed</v>
      </c>
      <c r="I659" s="101" t="str">
        <f>(IF((VLOOKUP(Table6[[#This Row],[SKU]],'All Skus'!$A:$AC,2,FALSE))="JBL",(VLOOKUP(Table6[[#This Row],[SKU]],'All Skus'!$A:$AC,10,FALSE)),""))</f>
        <v>Please email CustomAudio@harman.com for quote</v>
      </c>
      <c r="J659" s="101">
        <f>(IF((VLOOKUP(Table6[[#This Row],[SKU]],'All Skus'!$A:$AC,2,FALSE))="JBL",(VLOOKUP(Table6[[#This Row],[SKU]],'All Skus'!$A:$AC,11,FALSE)),""))</f>
        <v>0</v>
      </c>
      <c r="K659" s="102">
        <f>(IF((VLOOKUP(Table6[[#This Row],[SKU]],'All Skus'!$A:$AC,2,FALSE))="JBL",(VLOOKUP(Table6[[#This Row],[SKU]],'All Skus'!$A:$AC,13,FALSE)),""))</f>
        <v>0</v>
      </c>
      <c r="L659" s="102">
        <f>(IF((VLOOKUP(Table6[[#This Row],[SKU]],'All Skus'!$A:$AC,2,FALSE))="JBL",(VLOOKUP(Table6[[#This Row],[SKU]],'All Skus'!$A:$AC,14,FALSE)),""))</f>
        <v>0</v>
      </c>
      <c r="M659" s="143">
        <f>(IF((VLOOKUP(Table6[[#This Row],[SKU]],'All Skus'!$A:$AC,2,FALSE))="JBL",(VLOOKUP(Table6[[#This Row],[SKU]],'All Skus'!$A:$AC,15,FALSE)),""))</f>
        <v>0</v>
      </c>
      <c r="N659" s="137">
        <f>(IF((VLOOKUP(Table6[[#This Row],[SKU]],'All Skus'!$A:$AC,2,FALSE))="JBL",(VLOOKUP(Table6[[#This Row],[SKU]],'All Skus'!$A:$AC,16,FALSE)),""))</f>
        <v>691991032424</v>
      </c>
      <c r="O659" s="61">
        <f>(IF((VLOOKUP(Table6[[#This Row],[SKU]],'All Skus'!$A:$AC,2,FALSE))="JBL",(VLOOKUP(Table6[[#This Row],[SKU]],'All Skus'!$A:$AC,17,FALSE)),""))</f>
        <v>0</v>
      </c>
      <c r="P659" s="136">
        <f>(IF((VLOOKUP(Table6[[#This Row],[SKU]],'All Skus'!$A:$AC,2,FALSE))="JBL",(VLOOKUP(Table6[[#This Row],[SKU]],'All Skus'!$A:$AC,18,FALSE)),""))</f>
        <v>180</v>
      </c>
      <c r="Q659" s="136">
        <f>(IF((VLOOKUP(Table6[[#This Row],[SKU]],'All Skus'!$A:$AC,2,FALSE))="JBL",(VLOOKUP(Table6[[#This Row],[SKU]],'All Skus'!$A:$AC,19,FALSE)),""))</f>
        <v>22</v>
      </c>
      <c r="R659" s="136">
        <f>(IF((VLOOKUP(Table6[[#This Row],[SKU]],'All Skus'!$A:$AC,2,FALSE))="JBL",(VLOOKUP(Table6[[#This Row],[SKU]],'All Skus'!$A:$AC,20,FALSE)),""))</f>
        <v>54</v>
      </c>
      <c r="S659" s="61">
        <f>(IF((VLOOKUP(Table6[[#This Row],[SKU]],'All Skus'!$A:$AC,2,FALSE))="JBL",(VLOOKUP(Table6[[#This Row],[SKU]],'All Skus'!$A:$AC,21,FALSE)),""))</f>
        <v>30</v>
      </c>
      <c r="T659" s="61" t="str">
        <f>(IF((VLOOKUP(Table6[[#This Row],[SKU]],'All Skus'!$A:$AC,2,FALSE))="JBL",(VLOOKUP(Table6[[#This Row],[SKU]],'All Skus'!$A:$AC,22,FALSE)),""))</f>
        <v>MX</v>
      </c>
      <c r="U659">
        <f>(IF((VLOOKUP(Table6[[#This Row],[SKU]],'All Skus'!$A:$AC,2,FALSE))="JBL",(VLOOKUP(Table6[[#This Row],[SKU]],'All Skus'!$A:$AC,23,FALSE)),""))</f>
        <v>0</v>
      </c>
      <c r="V659" s="284" t="str">
        <f>HYPERLINK((IF((VLOOKUP(Table6[[#This Row],[SKU]],'All Skus'!$A:$AC,2,FALSE))="JBL",(VLOOKUP(Table6[[#This Row],[SKU]],'All Skus'!$A:$AC,24,FALSE)),"")))</f>
        <v/>
      </c>
      <c r="W659" s="151">
        <v>657</v>
      </c>
    </row>
    <row r="660" spans="1:23" ht="15" hidden="1" customHeight="1">
      <c r="A660" s="13" t="s">
        <v>1666</v>
      </c>
      <c r="B660" s="12" t="str">
        <f>(IF((VLOOKUP(Table6[[#This Row],[SKU]],'All Skus'!$A:$AC,2,FALSE))="JBL",(VLOOKUP(Table6[[#This Row],[SKU]],'All Skus'!$A:$AC,3,FALSE)),""))</f>
        <v>VLA Compact</v>
      </c>
      <c r="C660" s="12" t="str">
        <f>(IF((VLOOKUP(Table6[[#This Row],[SKU]],'All Skus'!$A:$AC,2,FALSE))="JBL",(VLOOKUP(Table6[[#This Row],[SKU]],'All Skus'!$A:$AC,4,FALSE)),""))</f>
        <v xml:space="preserve">VLA-C2100-GR   </v>
      </c>
      <c r="D660" s="61" t="str">
        <f>(IF((VLOOKUP(Table6[[#This Row],[SKU]],'All Skus'!$A:$AC,2,FALSE))="JBL",(VLOOKUP(Table6[[#This Row],[SKU]],'All Skus'!$A:$AC,5,FALSE)),""))</f>
        <v>JBL051</v>
      </c>
      <c r="E660" s="137">
        <f>(IF((VLOOKUP(Table6[[#This Row],[SKU]],'All Skus'!$A:$AC,2,FALSE))="JBL",(VLOOKUP(Table6[[#This Row],[SKU]],'All Skus'!$A:$AC,6,FALSE)),""))</f>
        <v>0</v>
      </c>
      <c r="F660" s="61">
        <f>(IF((VLOOKUP(Table6[[#This Row],[SKU]],'All Skus'!$A:$AC,2,FALSE))="JBL",(VLOOKUP(Table6[[#This Row],[SKU]],'All Skus'!$A:$AC,7,FALSE)),""))</f>
        <v>0</v>
      </c>
      <c r="G660" t="str">
        <f>(IF((VLOOKUP(Table6[[#This Row],[SKU]],'All Skus'!$A:$AC,2,FALSE))="JBL",(VLOOKUP(Table6[[#This Row],[SKU]],'All Skus'!$A:$AC,8,FALSE)),""))</f>
        <v>Two-way horn-loaded line array system.  100° horizontal coverage. Gray.</v>
      </c>
      <c r="H660" s="8" t="str">
        <f>(IF((VLOOKUP(Table6[[#This Row],[SKU]],'All Skus'!$A:$AC,2,FALSE))="JBL",(VLOOKUP(Table6[[#This Row],[SKU]],'All Skus'!$A:$AC,9,FALSE)),""))</f>
        <v>Same as VLA-C2100-BK, but in Gray.</v>
      </c>
      <c r="I660" s="101">
        <f>(IF((VLOOKUP(Table6[[#This Row],[SKU]],'All Skus'!$A:$AC,2,FALSE))="JBL",(VLOOKUP(Table6[[#This Row],[SKU]],'All Skus'!$A:$AC,10,FALSE)),""))</f>
        <v>7440</v>
      </c>
      <c r="J660" s="101">
        <f>(IF((VLOOKUP(Table6[[#This Row],[SKU]],'All Skus'!$A:$AC,2,FALSE))="JBL",(VLOOKUP(Table6[[#This Row],[SKU]],'All Skus'!$A:$AC,11,FALSE)),""))</f>
        <v>7440</v>
      </c>
      <c r="K660" s="102">
        <f>(IF((VLOOKUP(Table6[[#This Row],[SKU]],'All Skus'!$A:$AC,2,FALSE))="JBL",(VLOOKUP(Table6[[#This Row],[SKU]],'All Skus'!$A:$AC,13,FALSE)),""))</f>
        <v>0</v>
      </c>
      <c r="L660" s="102">
        <f>(IF((VLOOKUP(Table6[[#This Row],[SKU]],'All Skus'!$A:$AC,2,FALSE))="JBL",(VLOOKUP(Table6[[#This Row],[SKU]],'All Skus'!$A:$AC,14,FALSE)),""))</f>
        <v>0</v>
      </c>
      <c r="M660" s="143">
        <f>(IF((VLOOKUP(Table6[[#This Row],[SKU]],'All Skus'!$A:$AC,2,FALSE))="JBL",(VLOOKUP(Table6[[#This Row],[SKU]],'All Skus'!$A:$AC,15,FALSE)),""))</f>
        <v>0</v>
      </c>
      <c r="N660" s="137">
        <f>(IF((VLOOKUP(Table6[[#This Row],[SKU]],'All Skus'!$A:$AC,2,FALSE))="JBL",(VLOOKUP(Table6[[#This Row],[SKU]],'All Skus'!$A:$AC,16,FALSE)),""))</f>
        <v>691991010354</v>
      </c>
      <c r="O660" s="61">
        <f>(IF((VLOOKUP(Table6[[#This Row],[SKU]],'All Skus'!$A:$AC,2,FALSE))="JBL",(VLOOKUP(Table6[[#This Row],[SKU]],'All Skus'!$A:$AC,17,FALSE)),""))</f>
        <v>0</v>
      </c>
      <c r="P660" s="136">
        <f>(IF((VLOOKUP(Table6[[#This Row],[SKU]],'All Skus'!$A:$AC,2,FALSE))="JBL",(VLOOKUP(Table6[[#This Row],[SKU]],'All Skus'!$A:$AC,18,FALSE)),""))</f>
        <v>0</v>
      </c>
      <c r="Q660" s="136">
        <f>(IF((VLOOKUP(Table6[[#This Row],[SKU]],'All Skus'!$A:$AC,2,FALSE))="JBL",(VLOOKUP(Table6[[#This Row],[SKU]],'All Skus'!$A:$AC,19,FALSE)),""))</f>
        <v>0</v>
      </c>
      <c r="R660" s="136">
        <f>(IF((VLOOKUP(Table6[[#This Row],[SKU]],'All Skus'!$A:$AC,2,FALSE))="JBL",(VLOOKUP(Table6[[#This Row],[SKU]],'All Skus'!$A:$AC,20,FALSE)),""))</f>
        <v>0</v>
      </c>
      <c r="S660" s="61">
        <f>(IF((VLOOKUP(Table6[[#This Row],[SKU]],'All Skus'!$A:$AC,2,FALSE))="JBL",(VLOOKUP(Table6[[#This Row],[SKU]],'All Skus'!$A:$AC,21,FALSE)),""))</f>
        <v>0</v>
      </c>
      <c r="T660" s="61" t="str">
        <f>(IF((VLOOKUP(Table6[[#This Row],[SKU]],'All Skus'!$A:$AC,2,FALSE))="JBL",(VLOOKUP(Table6[[#This Row],[SKU]],'All Skus'!$A:$AC,22,FALSE)),""))</f>
        <v>MX</v>
      </c>
      <c r="U660">
        <f>(IF((VLOOKUP(Table6[[#This Row],[SKU]],'All Skus'!$A:$AC,2,FALSE))="JBL",(VLOOKUP(Table6[[#This Row],[SKU]],'All Skus'!$A:$AC,23,FALSE)),""))</f>
        <v>0</v>
      </c>
      <c r="V660" s="284" t="str">
        <f>HYPERLINK((IF((VLOOKUP(Table6[[#This Row],[SKU]],'All Skus'!$A:$AC,2,FALSE))="JBL",(VLOOKUP(Table6[[#This Row],[SKU]],'All Skus'!$A:$AC,24,FALSE)),"")))</f>
        <v/>
      </c>
      <c r="W660" s="151">
        <v>658</v>
      </c>
    </row>
    <row r="661" spans="1:23" ht="15" hidden="1" customHeight="1">
      <c r="A661" s="13" t="s">
        <v>1667</v>
      </c>
      <c r="B661" s="12" t="str">
        <f>(IF((VLOOKUP(Table6[[#This Row],[SKU]],'All Skus'!$A:$AC,2,FALSE))="JBL",(VLOOKUP(Table6[[#This Row],[SKU]],'All Skus'!$A:$AC,3,FALSE)),""))</f>
        <v>VLA Compact</v>
      </c>
      <c r="C661" s="12" t="str">
        <f>(IF((VLOOKUP(Table6[[#This Row],[SKU]],'All Skus'!$A:$AC,2,FALSE))="JBL",(VLOOKUP(Table6[[#This Row],[SKU]],'All Skus'!$A:$AC,4,FALSE)),""))</f>
        <v>VLA-C2100-BK</v>
      </c>
      <c r="D661" s="61" t="str">
        <f>(IF((VLOOKUP(Table6[[#This Row],[SKU]],'All Skus'!$A:$AC,2,FALSE))="JBL",(VLOOKUP(Table6[[#This Row],[SKU]],'All Skus'!$A:$AC,5,FALSE)),""))</f>
        <v>JBL051</v>
      </c>
      <c r="E661" s="137" t="str">
        <f>(IF((VLOOKUP(Table6[[#This Row],[SKU]],'All Skus'!$A:$AC,2,FALSE))="JBL",(VLOOKUP(Table6[[#This Row],[SKU]],'All Skus'!$A:$AC,6,FALSE)),""))</f>
        <v>YES</v>
      </c>
      <c r="F661" s="61">
        <f>(IF((VLOOKUP(Table6[[#This Row],[SKU]],'All Skus'!$A:$AC,2,FALSE))="JBL",(VLOOKUP(Table6[[#This Row],[SKU]],'All Skus'!$A:$AC,7,FALSE)),""))</f>
        <v>0</v>
      </c>
      <c r="G661" t="str">
        <f>(IF((VLOOKUP(Table6[[#This Row],[SKU]],'All Skus'!$A:$AC,2,FALSE))="JBL",(VLOOKUP(Table6[[#This Row],[SKU]],'All Skus'!$A:$AC,8,FALSE)),""))</f>
        <v>Two-way horn-loaded line array system.  100° horizontal coverage. Black.</v>
      </c>
      <c r="H661" s="8" t="str">
        <f>(IF((VLOOKUP(Table6[[#This Row],[SKU]],'All Skus'!$A:$AC,2,FALSE))="JBL",(VLOOKUP(Table6[[#This Row],[SKU]],'All Skus'!$A:$AC,9,FALSE)),""))</f>
        <v>Two-way horn-loaded line array loudspeaker system.  100° horizontal horn coverage pattern.  2x10"LF, 3x0.8" Exit HF.  Comes standard with IP55 weather protection, with fiberglass enclosure and stainless steel components.  Bi-amp or passive (field switchable).  Black.</v>
      </c>
      <c r="I661" s="101">
        <f>(IF((VLOOKUP(Table6[[#This Row],[SKU]],'All Skus'!$A:$AC,2,FALSE))="JBL",(VLOOKUP(Table6[[#This Row],[SKU]],'All Skus'!$A:$AC,10,FALSE)),""))</f>
        <v>7440</v>
      </c>
      <c r="J661" s="101">
        <f>(IF((VLOOKUP(Table6[[#This Row],[SKU]],'All Skus'!$A:$AC,2,FALSE))="JBL",(VLOOKUP(Table6[[#This Row],[SKU]],'All Skus'!$A:$AC,11,FALSE)),""))</f>
        <v>7440</v>
      </c>
      <c r="K661" s="102">
        <f>(IF((VLOOKUP(Table6[[#This Row],[SKU]],'All Skus'!$A:$AC,2,FALSE))="JBL",(VLOOKUP(Table6[[#This Row],[SKU]],'All Skus'!$A:$AC,13,FALSE)),""))</f>
        <v>0</v>
      </c>
      <c r="L661" s="102">
        <f>(IF((VLOOKUP(Table6[[#This Row],[SKU]],'All Skus'!$A:$AC,2,FALSE))="JBL",(VLOOKUP(Table6[[#This Row],[SKU]],'All Skus'!$A:$AC,14,FALSE)),""))</f>
        <v>0</v>
      </c>
      <c r="M661" s="143">
        <f>(IF((VLOOKUP(Table6[[#This Row],[SKU]],'All Skus'!$A:$AC,2,FALSE))="JBL",(VLOOKUP(Table6[[#This Row],[SKU]],'All Skus'!$A:$AC,15,FALSE)),""))</f>
        <v>0</v>
      </c>
      <c r="N661" s="137">
        <f>(IF((VLOOKUP(Table6[[#This Row],[SKU]],'All Skus'!$A:$AC,2,FALSE))="JBL",(VLOOKUP(Table6[[#This Row],[SKU]],'All Skus'!$A:$AC,16,FALSE)),""))</f>
        <v>691991010361</v>
      </c>
      <c r="O661" s="61">
        <f>(IF((VLOOKUP(Table6[[#This Row],[SKU]],'All Skus'!$A:$AC,2,FALSE))="JBL",(VLOOKUP(Table6[[#This Row],[SKU]],'All Skus'!$A:$AC,17,FALSE)),""))</f>
        <v>0</v>
      </c>
      <c r="P661" s="136">
        <f>(IF((VLOOKUP(Table6[[#This Row],[SKU]],'All Skus'!$A:$AC,2,FALSE))="JBL",(VLOOKUP(Table6[[#This Row],[SKU]],'All Skus'!$A:$AC,18,FALSE)),""))</f>
        <v>0</v>
      </c>
      <c r="Q661" s="136">
        <f>(IF((VLOOKUP(Table6[[#This Row],[SKU]],'All Skus'!$A:$AC,2,FALSE))="JBL",(VLOOKUP(Table6[[#This Row],[SKU]],'All Skus'!$A:$AC,19,FALSE)),""))</f>
        <v>0</v>
      </c>
      <c r="R661" s="136">
        <f>(IF((VLOOKUP(Table6[[#This Row],[SKU]],'All Skus'!$A:$AC,2,FALSE))="JBL",(VLOOKUP(Table6[[#This Row],[SKU]],'All Skus'!$A:$AC,20,FALSE)),""))</f>
        <v>0</v>
      </c>
      <c r="S661" s="61">
        <f>(IF((VLOOKUP(Table6[[#This Row],[SKU]],'All Skus'!$A:$AC,2,FALSE))="JBL",(VLOOKUP(Table6[[#This Row],[SKU]],'All Skus'!$A:$AC,21,FALSE)),""))</f>
        <v>0</v>
      </c>
      <c r="T661" s="61" t="str">
        <f>(IF((VLOOKUP(Table6[[#This Row],[SKU]],'All Skus'!$A:$AC,2,FALSE))="JBL",(VLOOKUP(Table6[[#This Row],[SKU]],'All Skus'!$A:$AC,22,FALSE)),""))</f>
        <v>MX</v>
      </c>
      <c r="U661">
        <f>(IF((VLOOKUP(Table6[[#This Row],[SKU]],'All Skus'!$A:$AC,2,FALSE))="JBL",(VLOOKUP(Table6[[#This Row],[SKU]],'All Skus'!$A:$AC,23,FALSE)),""))</f>
        <v>0</v>
      </c>
      <c r="V661" s="284" t="str">
        <f>HYPERLINK((IF((VLOOKUP(Table6[[#This Row],[SKU]],'All Skus'!$A:$AC,2,FALSE))="JBL",(VLOOKUP(Table6[[#This Row],[SKU]],'All Skus'!$A:$AC,24,FALSE)),"")))</f>
        <v/>
      </c>
      <c r="W661" s="151">
        <v>659</v>
      </c>
    </row>
    <row r="662" spans="1:23" ht="15" hidden="1" customHeight="1">
      <c r="A662" s="13" t="s">
        <v>1668</v>
      </c>
      <c r="B662" s="12" t="str">
        <f>(IF((VLOOKUP(Table6[[#This Row],[SKU]],'All Skus'!$A:$AC,2,FALSE))="JBL",(VLOOKUP(Table6[[#This Row],[SKU]],'All Skus'!$A:$AC,3,FALSE)),""))</f>
        <v>VLA Compact</v>
      </c>
      <c r="C662" s="12" t="str">
        <f>(IF((VLOOKUP(Table6[[#This Row],[SKU]],'All Skus'!$A:$AC,2,FALSE))="JBL",(VLOOKUP(Table6[[#This Row],[SKU]],'All Skus'!$A:$AC,4,FALSE)),""))</f>
        <v>VLA-C265-GR</v>
      </c>
      <c r="D662" s="61" t="str">
        <f>(IF((VLOOKUP(Table6[[#This Row],[SKU]],'All Skus'!$A:$AC,2,FALSE))="JBL",(VLOOKUP(Table6[[#This Row],[SKU]],'All Skus'!$A:$AC,5,FALSE)),""))</f>
        <v>JBL051</v>
      </c>
      <c r="E662" s="137" t="str">
        <f>(IF((VLOOKUP(Table6[[#This Row],[SKU]],'All Skus'!$A:$AC,2,FALSE))="JBL",(VLOOKUP(Table6[[#This Row],[SKU]],'All Skus'!$A:$AC,6,FALSE)),""))</f>
        <v>YES</v>
      </c>
      <c r="F662" s="61">
        <f>(IF((VLOOKUP(Table6[[#This Row],[SKU]],'All Skus'!$A:$AC,2,FALSE))="JBL",(VLOOKUP(Table6[[#This Row],[SKU]],'All Skus'!$A:$AC,7,FALSE)),""))</f>
        <v>0</v>
      </c>
      <c r="G662" t="str">
        <f>(IF((VLOOKUP(Table6[[#This Row],[SKU]],'All Skus'!$A:$AC,2,FALSE))="JBL",(VLOOKUP(Table6[[#This Row],[SKU]],'All Skus'!$A:$AC,8,FALSE)),""))</f>
        <v>Two-way horn-loaded line array system.  65° horizontal coverage. Gray.</v>
      </c>
      <c r="H662" s="8" t="str">
        <f>(IF((VLOOKUP(Table6[[#This Row],[SKU]],'All Skus'!$A:$AC,2,FALSE))="JBL",(VLOOKUP(Table6[[#This Row],[SKU]],'All Skus'!$A:$AC,9,FALSE)),""))</f>
        <v>Same as VLA-C265-BK, but in Gray.</v>
      </c>
      <c r="I662" s="101">
        <f>(IF((VLOOKUP(Table6[[#This Row],[SKU]],'All Skus'!$A:$AC,2,FALSE))="JBL",(VLOOKUP(Table6[[#This Row],[SKU]],'All Skus'!$A:$AC,10,FALSE)),""))</f>
        <v>7440</v>
      </c>
      <c r="J662" s="101">
        <f>(IF((VLOOKUP(Table6[[#This Row],[SKU]],'All Skus'!$A:$AC,2,FALSE))="JBL",(VLOOKUP(Table6[[#This Row],[SKU]],'All Skus'!$A:$AC,11,FALSE)),""))</f>
        <v>7440</v>
      </c>
      <c r="K662" s="102">
        <f>(IF((VLOOKUP(Table6[[#This Row],[SKU]],'All Skus'!$A:$AC,2,FALSE))="JBL",(VLOOKUP(Table6[[#This Row],[SKU]],'All Skus'!$A:$AC,13,FALSE)),""))</f>
        <v>0</v>
      </c>
      <c r="L662" s="102">
        <f>(IF((VLOOKUP(Table6[[#This Row],[SKU]],'All Skus'!$A:$AC,2,FALSE))="JBL",(VLOOKUP(Table6[[#This Row],[SKU]],'All Skus'!$A:$AC,14,FALSE)),""))</f>
        <v>0</v>
      </c>
      <c r="M662" s="143">
        <f>(IF((VLOOKUP(Table6[[#This Row],[SKU]],'All Skus'!$A:$AC,2,FALSE))="JBL",(VLOOKUP(Table6[[#This Row],[SKU]],'All Skus'!$A:$AC,15,FALSE)),""))</f>
        <v>0</v>
      </c>
      <c r="N662" s="137">
        <f>(IF((VLOOKUP(Table6[[#This Row],[SKU]],'All Skus'!$A:$AC,2,FALSE))="JBL",(VLOOKUP(Table6[[#This Row],[SKU]],'All Skus'!$A:$AC,16,FALSE)),""))</f>
        <v>691991013348</v>
      </c>
      <c r="O662" s="61">
        <f>(IF((VLOOKUP(Table6[[#This Row],[SKU]],'All Skus'!$A:$AC,2,FALSE))="JBL",(VLOOKUP(Table6[[#This Row],[SKU]],'All Skus'!$A:$AC,17,FALSE)),""))</f>
        <v>0</v>
      </c>
      <c r="P662" s="136">
        <f>(IF((VLOOKUP(Table6[[#This Row],[SKU]],'All Skus'!$A:$AC,2,FALSE))="JBL",(VLOOKUP(Table6[[#This Row],[SKU]],'All Skus'!$A:$AC,18,FALSE)),""))</f>
        <v>0</v>
      </c>
      <c r="Q662" s="136">
        <f>(IF((VLOOKUP(Table6[[#This Row],[SKU]],'All Skus'!$A:$AC,2,FALSE))="JBL",(VLOOKUP(Table6[[#This Row],[SKU]],'All Skus'!$A:$AC,19,FALSE)),""))</f>
        <v>0</v>
      </c>
      <c r="R662" s="136">
        <f>(IF((VLOOKUP(Table6[[#This Row],[SKU]],'All Skus'!$A:$AC,2,FALSE))="JBL",(VLOOKUP(Table6[[#This Row],[SKU]],'All Skus'!$A:$AC,20,FALSE)),""))</f>
        <v>0</v>
      </c>
      <c r="S662" s="61">
        <f>(IF((VLOOKUP(Table6[[#This Row],[SKU]],'All Skus'!$A:$AC,2,FALSE))="JBL",(VLOOKUP(Table6[[#This Row],[SKU]],'All Skus'!$A:$AC,21,FALSE)),""))</f>
        <v>0</v>
      </c>
      <c r="T662" s="61" t="str">
        <f>(IF((VLOOKUP(Table6[[#This Row],[SKU]],'All Skus'!$A:$AC,2,FALSE))="JBL",(VLOOKUP(Table6[[#This Row],[SKU]],'All Skus'!$A:$AC,22,FALSE)),""))</f>
        <v>MX</v>
      </c>
      <c r="U662">
        <f>(IF((VLOOKUP(Table6[[#This Row],[SKU]],'All Skus'!$A:$AC,2,FALSE))="JBL",(VLOOKUP(Table6[[#This Row],[SKU]],'All Skus'!$A:$AC,23,FALSE)),""))</f>
        <v>0</v>
      </c>
      <c r="V662" s="284" t="str">
        <f>HYPERLINK((IF((VLOOKUP(Table6[[#This Row],[SKU]],'All Skus'!$A:$AC,2,FALSE))="JBL",(VLOOKUP(Table6[[#This Row],[SKU]],'All Skus'!$A:$AC,24,FALSE)),"")))</f>
        <v/>
      </c>
      <c r="W662" s="151">
        <v>660</v>
      </c>
    </row>
    <row r="663" spans="1:23" ht="15" hidden="1" customHeight="1">
      <c r="A663" s="13" t="s">
        <v>1669</v>
      </c>
      <c r="B663" s="12" t="str">
        <f>(IF((VLOOKUP(Table6[[#This Row],[SKU]],'All Skus'!$A:$AC,2,FALSE))="JBL",(VLOOKUP(Table6[[#This Row],[SKU]],'All Skus'!$A:$AC,3,FALSE)),""))</f>
        <v>VLA Compact</v>
      </c>
      <c r="C663" s="12" t="str">
        <f>(IF((VLOOKUP(Table6[[#This Row],[SKU]],'All Skus'!$A:$AC,2,FALSE))="JBL",(VLOOKUP(Table6[[#This Row],[SKU]],'All Skus'!$A:$AC,4,FALSE)),""))</f>
        <v>VLA-C265-BK</v>
      </c>
      <c r="D663" s="61" t="str">
        <f>(IF((VLOOKUP(Table6[[#This Row],[SKU]],'All Skus'!$A:$AC,2,FALSE))="JBL",(VLOOKUP(Table6[[#This Row],[SKU]],'All Skus'!$A:$AC,5,FALSE)),""))</f>
        <v>JBL051</v>
      </c>
      <c r="E663" s="137" t="str">
        <f>(IF((VLOOKUP(Table6[[#This Row],[SKU]],'All Skus'!$A:$AC,2,FALSE))="JBL",(VLOOKUP(Table6[[#This Row],[SKU]],'All Skus'!$A:$AC,6,FALSE)),""))</f>
        <v>YES</v>
      </c>
      <c r="F663" s="61">
        <f>(IF((VLOOKUP(Table6[[#This Row],[SKU]],'All Skus'!$A:$AC,2,FALSE))="JBL",(VLOOKUP(Table6[[#This Row],[SKU]],'All Skus'!$A:$AC,7,FALSE)),""))</f>
        <v>0</v>
      </c>
      <c r="G663" t="str">
        <f>(IF((VLOOKUP(Table6[[#This Row],[SKU]],'All Skus'!$A:$AC,2,FALSE))="JBL",(VLOOKUP(Table6[[#This Row],[SKU]],'All Skus'!$A:$AC,8,FALSE)),""))</f>
        <v>Two-way horn-loaded line array system.  65° horizontal coverage. Black</v>
      </c>
      <c r="H663" s="8" t="str">
        <f>(IF((VLOOKUP(Table6[[#This Row],[SKU]],'All Skus'!$A:$AC,2,FALSE))="JBL",(VLOOKUP(Table6[[#This Row],[SKU]],'All Skus'!$A:$AC,9,FALSE)),""))</f>
        <v>Two-way horn-loaded line array loudspeaker system.  65° horizontal horn coverage pattern.  2x10"LF, 3x0.8" Exit HF.  Comes standard with IP55 weather protection, with fiberglass enclosure and stainless steel components.  Bi-amp or passive (field switchable).  Black.</v>
      </c>
      <c r="I663" s="101">
        <f>(IF((VLOOKUP(Table6[[#This Row],[SKU]],'All Skus'!$A:$AC,2,FALSE))="JBL",(VLOOKUP(Table6[[#This Row],[SKU]],'All Skus'!$A:$AC,10,FALSE)),""))</f>
        <v>7440</v>
      </c>
      <c r="J663" s="101">
        <f>(IF((VLOOKUP(Table6[[#This Row],[SKU]],'All Skus'!$A:$AC,2,FALSE))="JBL",(VLOOKUP(Table6[[#This Row],[SKU]],'All Skus'!$A:$AC,11,FALSE)),""))</f>
        <v>7440</v>
      </c>
      <c r="K663" s="102">
        <f>(IF((VLOOKUP(Table6[[#This Row],[SKU]],'All Skus'!$A:$AC,2,FALSE))="JBL",(VLOOKUP(Table6[[#This Row],[SKU]],'All Skus'!$A:$AC,13,FALSE)),""))</f>
        <v>0</v>
      </c>
      <c r="L663" s="102">
        <f>(IF((VLOOKUP(Table6[[#This Row],[SKU]],'All Skus'!$A:$AC,2,FALSE))="JBL",(VLOOKUP(Table6[[#This Row],[SKU]],'All Skus'!$A:$AC,14,FALSE)),""))</f>
        <v>0</v>
      </c>
      <c r="M663" s="143">
        <f>(IF((VLOOKUP(Table6[[#This Row],[SKU]],'All Skus'!$A:$AC,2,FALSE))="JBL",(VLOOKUP(Table6[[#This Row],[SKU]],'All Skus'!$A:$AC,15,FALSE)),""))</f>
        <v>0</v>
      </c>
      <c r="N663" s="137">
        <f>(IF((VLOOKUP(Table6[[#This Row],[SKU]],'All Skus'!$A:$AC,2,FALSE))="JBL",(VLOOKUP(Table6[[#This Row],[SKU]],'All Skus'!$A:$AC,16,FALSE)),""))</f>
        <v>691991032479</v>
      </c>
      <c r="O663" s="61">
        <f>(IF((VLOOKUP(Table6[[#This Row],[SKU]],'All Skus'!$A:$AC,2,FALSE))="JBL",(VLOOKUP(Table6[[#This Row],[SKU]],'All Skus'!$A:$AC,17,FALSE)),""))</f>
        <v>0</v>
      </c>
      <c r="P663" s="136">
        <f>(IF((VLOOKUP(Table6[[#This Row],[SKU]],'All Skus'!$A:$AC,2,FALSE))="JBL",(VLOOKUP(Table6[[#This Row],[SKU]],'All Skus'!$A:$AC,18,FALSE)),""))</f>
        <v>0</v>
      </c>
      <c r="Q663" s="136">
        <f>(IF((VLOOKUP(Table6[[#This Row],[SKU]],'All Skus'!$A:$AC,2,FALSE))="JBL",(VLOOKUP(Table6[[#This Row],[SKU]],'All Skus'!$A:$AC,19,FALSE)),""))</f>
        <v>0</v>
      </c>
      <c r="R663" s="136">
        <f>(IF((VLOOKUP(Table6[[#This Row],[SKU]],'All Skus'!$A:$AC,2,FALSE))="JBL",(VLOOKUP(Table6[[#This Row],[SKU]],'All Skus'!$A:$AC,20,FALSE)),""))</f>
        <v>0</v>
      </c>
      <c r="S663" s="61">
        <f>(IF((VLOOKUP(Table6[[#This Row],[SKU]],'All Skus'!$A:$AC,2,FALSE))="JBL",(VLOOKUP(Table6[[#This Row],[SKU]],'All Skus'!$A:$AC,21,FALSE)),""))</f>
        <v>0</v>
      </c>
      <c r="T663" s="61" t="str">
        <f>(IF((VLOOKUP(Table6[[#This Row],[SKU]],'All Skus'!$A:$AC,2,FALSE))="JBL",(VLOOKUP(Table6[[#This Row],[SKU]],'All Skus'!$A:$AC,22,FALSE)),""))</f>
        <v>MX</v>
      </c>
      <c r="U663">
        <f>(IF((VLOOKUP(Table6[[#This Row],[SKU]],'All Skus'!$A:$AC,2,FALSE))="JBL",(VLOOKUP(Table6[[#This Row],[SKU]],'All Skus'!$A:$AC,23,FALSE)),""))</f>
        <v>0</v>
      </c>
      <c r="V663" s="284" t="str">
        <f>HYPERLINK((IF((VLOOKUP(Table6[[#This Row],[SKU]],'All Skus'!$A:$AC,2,FALSE))="JBL",(VLOOKUP(Table6[[#This Row],[SKU]],'All Skus'!$A:$AC,24,FALSE)),"")))</f>
        <v/>
      </c>
      <c r="W663" s="151">
        <v>661</v>
      </c>
    </row>
    <row r="664" spans="1:23" ht="15" hidden="1" customHeight="1">
      <c r="A664" s="13" t="s">
        <v>1670</v>
      </c>
      <c r="B664" s="12" t="str">
        <f>(IF((VLOOKUP(Table6[[#This Row],[SKU]],'All Skus'!$A:$AC,2,FALSE))="JBL",(VLOOKUP(Table6[[#This Row],[SKU]],'All Skus'!$A:$AC,3,FALSE)),""))</f>
        <v>VLA Compact</v>
      </c>
      <c r="C664" s="12" t="str">
        <f>(IF((VLOOKUP(Table6[[#This Row],[SKU]],'All Skus'!$A:$AC,2,FALSE))="JBL",(VLOOKUP(Table6[[#This Row],[SKU]],'All Skus'!$A:$AC,4,FALSE)),""))</f>
        <v xml:space="preserve">VLA-C125S-GR   </v>
      </c>
      <c r="D664" s="61" t="str">
        <f>(IF((VLOOKUP(Table6[[#This Row],[SKU]],'All Skus'!$A:$AC,2,FALSE))="JBL",(VLOOKUP(Table6[[#This Row],[SKU]],'All Skus'!$A:$AC,5,FALSE)),""))</f>
        <v>JBL051</v>
      </c>
      <c r="E664" s="137">
        <f>(IF((VLOOKUP(Table6[[#This Row],[SKU]],'All Skus'!$A:$AC,2,FALSE))="JBL",(VLOOKUP(Table6[[#This Row],[SKU]],'All Skus'!$A:$AC,6,FALSE)),""))</f>
        <v>0</v>
      </c>
      <c r="F664" s="61">
        <f>(IF((VLOOKUP(Table6[[#This Row],[SKU]],'All Skus'!$A:$AC,2,FALSE))="JBL",(VLOOKUP(Table6[[#This Row],[SKU]],'All Skus'!$A:$AC,7,FALSE)),""))</f>
        <v>0</v>
      </c>
      <c r="G664" t="str">
        <f>(IF((VLOOKUP(Table6[[#This Row],[SKU]],'All Skus'!$A:$AC,2,FALSE))="JBL",(VLOOKUP(Table6[[#This Row],[SKU]],'All Skus'!$A:$AC,8,FALSE)),""))</f>
        <v>Subwoofer for VLA Compact line array system.  Gray.</v>
      </c>
      <c r="H664" s="8" t="str">
        <f>(IF((VLOOKUP(Table6[[#This Row],[SKU]],'All Skus'!$A:$AC,2,FALSE))="JBL",(VLOOKUP(Table6[[#This Row],[SKU]],'All Skus'!$A:$AC,9,FALSE)),""))</f>
        <v>Same as VLA-C125S-BK, but in Gray.</v>
      </c>
      <c r="I664" s="101">
        <f>(IF((VLOOKUP(Table6[[#This Row],[SKU]],'All Skus'!$A:$AC,2,FALSE))="JBL",(VLOOKUP(Table6[[#This Row],[SKU]],'All Skus'!$A:$AC,10,FALSE)),""))</f>
        <v>6052</v>
      </c>
      <c r="J664" s="101">
        <f>(IF((VLOOKUP(Table6[[#This Row],[SKU]],'All Skus'!$A:$AC,2,FALSE))="JBL",(VLOOKUP(Table6[[#This Row],[SKU]],'All Skus'!$A:$AC,11,FALSE)),""))</f>
        <v>6052</v>
      </c>
      <c r="K664" s="102">
        <f>(IF((VLOOKUP(Table6[[#This Row],[SKU]],'All Skus'!$A:$AC,2,FALSE))="JBL",(VLOOKUP(Table6[[#This Row],[SKU]],'All Skus'!$A:$AC,13,FALSE)),""))</f>
        <v>0</v>
      </c>
      <c r="L664" s="102">
        <f>(IF((VLOOKUP(Table6[[#This Row],[SKU]],'All Skus'!$A:$AC,2,FALSE))="JBL",(VLOOKUP(Table6[[#This Row],[SKU]],'All Skus'!$A:$AC,14,FALSE)),""))</f>
        <v>0</v>
      </c>
      <c r="M664" s="143">
        <f>(IF((VLOOKUP(Table6[[#This Row],[SKU]],'All Skus'!$A:$AC,2,FALSE))="JBL",(VLOOKUP(Table6[[#This Row],[SKU]],'All Skus'!$A:$AC,15,FALSE)),""))</f>
        <v>0</v>
      </c>
      <c r="N664" s="137">
        <f>(IF((VLOOKUP(Table6[[#This Row],[SKU]],'All Skus'!$A:$AC,2,FALSE))="JBL",(VLOOKUP(Table6[[#This Row],[SKU]],'All Skus'!$A:$AC,16,FALSE)),""))</f>
        <v>691991010378</v>
      </c>
      <c r="O664" s="61">
        <f>(IF((VLOOKUP(Table6[[#This Row],[SKU]],'All Skus'!$A:$AC,2,FALSE))="JBL",(VLOOKUP(Table6[[#This Row],[SKU]],'All Skus'!$A:$AC,17,FALSE)),""))</f>
        <v>0</v>
      </c>
      <c r="P664" s="136">
        <f>(IF((VLOOKUP(Table6[[#This Row],[SKU]],'All Skus'!$A:$AC,2,FALSE))="JBL",(VLOOKUP(Table6[[#This Row],[SKU]],'All Skus'!$A:$AC,18,FALSE)),""))</f>
        <v>0</v>
      </c>
      <c r="Q664" s="136">
        <f>(IF((VLOOKUP(Table6[[#This Row],[SKU]],'All Skus'!$A:$AC,2,FALSE))="JBL",(VLOOKUP(Table6[[#This Row],[SKU]],'All Skus'!$A:$AC,19,FALSE)),""))</f>
        <v>0</v>
      </c>
      <c r="R664" s="136">
        <f>(IF((VLOOKUP(Table6[[#This Row],[SKU]],'All Skus'!$A:$AC,2,FALSE))="JBL",(VLOOKUP(Table6[[#This Row],[SKU]],'All Skus'!$A:$AC,20,FALSE)),""))</f>
        <v>0</v>
      </c>
      <c r="S664" s="61">
        <f>(IF((VLOOKUP(Table6[[#This Row],[SKU]],'All Skus'!$A:$AC,2,FALSE))="JBL",(VLOOKUP(Table6[[#This Row],[SKU]],'All Skus'!$A:$AC,21,FALSE)),""))</f>
        <v>0</v>
      </c>
      <c r="T664" s="61" t="str">
        <f>(IF((VLOOKUP(Table6[[#This Row],[SKU]],'All Skus'!$A:$AC,2,FALSE))="JBL",(VLOOKUP(Table6[[#This Row],[SKU]],'All Skus'!$A:$AC,22,FALSE)),""))</f>
        <v>MX</v>
      </c>
      <c r="U664">
        <f>(IF((VLOOKUP(Table6[[#This Row],[SKU]],'All Skus'!$A:$AC,2,FALSE))="JBL",(VLOOKUP(Table6[[#This Row],[SKU]],'All Skus'!$A:$AC,23,FALSE)),""))</f>
        <v>0</v>
      </c>
      <c r="V664" s="284" t="str">
        <f>HYPERLINK((IF((VLOOKUP(Table6[[#This Row],[SKU]],'All Skus'!$A:$AC,2,FALSE))="JBL",(VLOOKUP(Table6[[#This Row],[SKU]],'All Skus'!$A:$AC,24,FALSE)),"")))</f>
        <v/>
      </c>
      <c r="W664" s="151">
        <v>662</v>
      </c>
    </row>
    <row r="665" spans="1:23" ht="15" hidden="1" customHeight="1">
      <c r="A665" s="13" t="s">
        <v>1671</v>
      </c>
      <c r="B665" s="12" t="str">
        <f>(IF((VLOOKUP(Table6[[#This Row],[SKU]],'All Skus'!$A:$AC,2,FALSE))="JBL",(VLOOKUP(Table6[[#This Row],[SKU]],'All Skus'!$A:$AC,3,FALSE)),""))</f>
        <v>VLA Compact</v>
      </c>
      <c r="C665" s="12" t="str">
        <f>(IF((VLOOKUP(Table6[[#This Row],[SKU]],'All Skus'!$A:$AC,2,FALSE))="JBL",(VLOOKUP(Table6[[#This Row],[SKU]],'All Skus'!$A:$AC,4,FALSE)),""))</f>
        <v>VLA-C125S-BK</v>
      </c>
      <c r="D665" s="61" t="str">
        <f>(IF((VLOOKUP(Table6[[#This Row],[SKU]],'All Skus'!$A:$AC,2,FALSE))="JBL",(VLOOKUP(Table6[[#This Row],[SKU]],'All Skus'!$A:$AC,5,FALSE)),""))</f>
        <v>JBL051</v>
      </c>
      <c r="E665" s="137" t="str">
        <f>(IF((VLOOKUP(Table6[[#This Row],[SKU]],'All Skus'!$A:$AC,2,FALSE))="JBL",(VLOOKUP(Table6[[#This Row],[SKU]],'All Skus'!$A:$AC,6,FALSE)),""))</f>
        <v>YES</v>
      </c>
      <c r="F665" s="61">
        <f>(IF((VLOOKUP(Table6[[#This Row],[SKU]],'All Skus'!$A:$AC,2,FALSE))="JBL",(VLOOKUP(Table6[[#This Row],[SKU]],'All Skus'!$A:$AC,7,FALSE)),""))</f>
        <v>0</v>
      </c>
      <c r="G665" t="str">
        <f>(IF((VLOOKUP(Table6[[#This Row],[SKU]],'All Skus'!$A:$AC,2,FALSE))="JBL",(VLOOKUP(Table6[[#This Row],[SKU]],'All Skus'!$A:$AC,8,FALSE)),""))</f>
        <v>Subwoofer for VLA Compact line array system.  Black.</v>
      </c>
      <c r="H665" s="8" t="str">
        <f>(IF((VLOOKUP(Table6[[#This Row],[SKU]],'All Skus'!$A:$AC,2,FALSE))="JBL",(VLOOKUP(Table6[[#This Row],[SKU]],'All Skus'!$A:$AC,9,FALSE)),""))</f>
        <v>Subwoofer for VLA Compact line array system.  Dual 15" Differential Drive® transducers.  Comes standard with IP55 weather protection, with fiberglass enclosure and stainless steel components.  Black.</v>
      </c>
      <c r="I665" s="101">
        <f>(IF((VLOOKUP(Table6[[#This Row],[SKU]],'All Skus'!$A:$AC,2,FALSE))="JBL",(VLOOKUP(Table6[[#This Row],[SKU]],'All Skus'!$A:$AC,10,FALSE)),""))</f>
        <v>6156</v>
      </c>
      <c r="J665" s="101">
        <f>(IF((VLOOKUP(Table6[[#This Row],[SKU]],'All Skus'!$A:$AC,2,FALSE))="JBL",(VLOOKUP(Table6[[#This Row],[SKU]],'All Skus'!$A:$AC,11,FALSE)),""))</f>
        <v>6156</v>
      </c>
      <c r="K665" s="102">
        <f>(IF((VLOOKUP(Table6[[#This Row],[SKU]],'All Skus'!$A:$AC,2,FALSE))="JBL",(VLOOKUP(Table6[[#This Row],[SKU]],'All Skus'!$A:$AC,13,FALSE)),""))</f>
        <v>0</v>
      </c>
      <c r="L665" s="102">
        <f>(IF((VLOOKUP(Table6[[#This Row],[SKU]],'All Skus'!$A:$AC,2,FALSE))="JBL",(VLOOKUP(Table6[[#This Row],[SKU]],'All Skus'!$A:$AC,14,FALSE)),""))</f>
        <v>0</v>
      </c>
      <c r="M665" s="143">
        <f>(IF((VLOOKUP(Table6[[#This Row],[SKU]],'All Skus'!$A:$AC,2,FALSE))="JBL",(VLOOKUP(Table6[[#This Row],[SKU]],'All Skus'!$A:$AC,15,FALSE)),""))</f>
        <v>0</v>
      </c>
      <c r="N665" s="137">
        <f>(IF((VLOOKUP(Table6[[#This Row],[SKU]],'All Skus'!$A:$AC,2,FALSE))="JBL",(VLOOKUP(Table6[[#This Row],[SKU]],'All Skus'!$A:$AC,16,FALSE)),""))</f>
        <v>691991010385</v>
      </c>
      <c r="O665" s="61">
        <f>(IF((VLOOKUP(Table6[[#This Row],[SKU]],'All Skus'!$A:$AC,2,FALSE))="JBL",(VLOOKUP(Table6[[#This Row],[SKU]],'All Skus'!$A:$AC,17,FALSE)),""))</f>
        <v>0</v>
      </c>
      <c r="P665" s="136">
        <f>(IF((VLOOKUP(Table6[[#This Row],[SKU]],'All Skus'!$A:$AC,2,FALSE))="JBL",(VLOOKUP(Table6[[#This Row],[SKU]],'All Skus'!$A:$AC,18,FALSE)),""))</f>
        <v>0</v>
      </c>
      <c r="Q665" s="136">
        <f>(IF((VLOOKUP(Table6[[#This Row],[SKU]],'All Skus'!$A:$AC,2,FALSE))="JBL",(VLOOKUP(Table6[[#This Row],[SKU]],'All Skus'!$A:$AC,19,FALSE)),""))</f>
        <v>0</v>
      </c>
      <c r="R665" s="136">
        <f>(IF((VLOOKUP(Table6[[#This Row],[SKU]],'All Skus'!$A:$AC,2,FALSE))="JBL",(VLOOKUP(Table6[[#This Row],[SKU]],'All Skus'!$A:$AC,20,FALSE)),""))</f>
        <v>0</v>
      </c>
      <c r="S665" s="61">
        <f>(IF((VLOOKUP(Table6[[#This Row],[SKU]],'All Skus'!$A:$AC,2,FALSE))="JBL",(VLOOKUP(Table6[[#This Row],[SKU]],'All Skus'!$A:$AC,21,FALSE)),""))</f>
        <v>0</v>
      </c>
      <c r="T665" s="61" t="str">
        <f>(IF((VLOOKUP(Table6[[#This Row],[SKU]],'All Skus'!$A:$AC,2,FALSE))="JBL",(VLOOKUP(Table6[[#This Row],[SKU]],'All Skus'!$A:$AC,22,FALSE)),""))</f>
        <v>MX</v>
      </c>
      <c r="U665">
        <f>(IF((VLOOKUP(Table6[[#This Row],[SKU]],'All Skus'!$A:$AC,2,FALSE))="JBL",(VLOOKUP(Table6[[#This Row],[SKU]],'All Skus'!$A:$AC,23,FALSE)),""))</f>
        <v>0</v>
      </c>
      <c r="V665" s="284" t="str">
        <f>HYPERLINK((IF((VLOOKUP(Table6[[#This Row],[SKU]],'All Skus'!$A:$AC,2,FALSE))="JBL",(VLOOKUP(Table6[[#This Row],[SKU]],'All Skus'!$A:$AC,24,FALSE)),"")))</f>
        <v/>
      </c>
      <c r="W665" s="151">
        <v>663</v>
      </c>
    </row>
    <row r="666" spans="1:23" ht="15" hidden="1" customHeight="1">
      <c r="A666" s="13" t="s">
        <v>1672</v>
      </c>
      <c r="B666" s="12" t="str">
        <f>(IF((VLOOKUP(Table6[[#This Row],[SKU]],'All Skus'!$A:$AC,2,FALSE))="JBL",(VLOOKUP(Table6[[#This Row],[SKU]],'All Skus'!$A:$AC,3,FALSE)),""))</f>
        <v>VLA Compact</v>
      </c>
      <c r="C666" s="12" t="str">
        <f>(IF((VLOOKUP(Table6[[#This Row],[SKU]],'All Skus'!$A:$AC,2,FALSE))="JBL",(VLOOKUP(Table6[[#This Row],[SKU]],'All Skus'!$A:$AC,4,FALSE)),""))</f>
        <v>VLA-C125S-ACC</v>
      </c>
      <c r="D666" s="61" t="str">
        <f>(IF((VLOOKUP(Table6[[#This Row],[SKU]],'All Skus'!$A:$AC,2,FALSE))="JBL",(VLOOKUP(Table6[[#This Row],[SKU]],'All Skus'!$A:$AC,5,FALSE)),""))</f>
        <v>JBL051</v>
      </c>
      <c r="E666" s="137" t="str">
        <f>(IF((VLOOKUP(Table6[[#This Row],[SKU]],'All Skus'!$A:$AC,2,FALSE))="JBL",(VLOOKUP(Table6[[#This Row],[SKU]],'All Skus'!$A:$AC,6,FALSE)),""))</f>
        <v>YES</v>
      </c>
      <c r="F666" s="61">
        <f>(IF((VLOOKUP(Table6[[#This Row],[SKU]],'All Skus'!$A:$AC,2,FALSE))="JBL",(VLOOKUP(Table6[[#This Row],[SKU]],'All Skus'!$A:$AC,7,FALSE)),""))</f>
        <v>0</v>
      </c>
      <c r="G666" t="str">
        <f>(IF((VLOOKUP(Table6[[#This Row],[SKU]],'All Skus'!$A:$AC,2,FALSE))="JBL",(VLOOKUP(Table6[[#This Row],[SKU]],'All Skus'!$A:$AC,8,FALSE)),""))</f>
        <v>Accessory cardioid kit for VLA-C125S subwoofer.</v>
      </c>
      <c r="H666" s="8" t="str">
        <f>(IF((VLOOKUP(Table6[[#This Row],[SKU]],'All Skus'!$A:$AC,2,FALSE))="JBL",(VLOOKUP(Table6[[#This Row],[SKU]],'All Skus'!$A:$AC,9,FALSE)),""))</f>
        <v>Kit for wiring of 3 VLA-C-125S subwoofers in cardioid configuration (2 front-facing and 1 rear-facing).  Allows for neat, unexposed inter-cabinet wiring via the tops and bottoms of cabinets.</v>
      </c>
      <c r="I666" s="101">
        <f>(IF((VLOOKUP(Table6[[#This Row],[SKU]],'All Skus'!$A:$AC,2,FALSE))="JBL",(VLOOKUP(Table6[[#This Row],[SKU]],'All Skus'!$A:$AC,10,FALSE)),""))</f>
        <v>386</v>
      </c>
      <c r="J666" s="101">
        <f>(IF((VLOOKUP(Table6[[#This Row],[SKU]],'All Skus'!$A:$AC,2,FALSE))="JBL",(VLOOKUP(Table6[[#This Row],[SKU]],'All Skus'!$A:$AC,11,FALSE)),""))</f>
        <v>386</v>
      </c>
      <c r="K666" s="102">
        <f>(IF((VLOOKUP(Table6[[#This Row],[SKU]],'All Skus'!$A:$AC,2,FALSE))="JBL",(VLOOKUP(Table6[[#This Row],[SKU]],'All Skus'!$A:$AC,13,FALSE)),""))</f>
        <v>0</v>
      </c>
      <c r="L666" s="102">
        <f>(IF((VLOOKUP(Table6[[#This Row],[SKU]],'All Skus'!$A:$AC,2,FALSE))="JBL",(VLOOKUP(Table6[[#This Row],[SKU]],'All Skus'!$A:$AC,14,FALSE)),""))</f>
        <v>0</v>
      </c>
      <c r="M666" s="143">
        <f>(IF((VLOOKUP(Table6[[#This Row],[SKU]],'All Skus'!$A:$AC,2,FALSE))="JBL",(VLOOKUP(Table6[[#This Row],[SKU]],'All Skus'!$A:$AC,15,FALSE)),""))</f>
        <v>0</v>
      </c>
      <c r="N666" s="137">
        <f>(IF((VLOOKUP(Table6[[#This Row],[SKU]],'All Skus'!$A:$AC,2,FALSE))="JBL",(VLOOKUP(Table6[[#This Row],[SKU]],'All Skus'!$A:$AC,16,FALSE)),""))</f>
        <v>691991007620</v>
      </c>
      <c r="O666" s="61">
        <f>(IF((VLOOKUP(Table6[[#This Row],[SKU]],'All Skus'!$A:$AC,2,FALSE))="JBL",(VLOOKUP(Table6[[#This Row],[SKU]],'All Skus'!$A:$AC,17,FALSE)),""))</f>
        <v>0</v>
      </c>
      <c r="P666" s="136">
        <f>(IF((VLOOKUP(Table6[[#This Row],[SKU]],'All Skus'!$A:$AC,2,FALSE))="JBL",(VLOOKUP(Table6[[#This Row],[SKU]],'All Skus'!$A:$AC,18,FALSE)),""))</f>
        <v>0</v>
      </c>
      <c r="Q666" s="136">
        <f>(IF((VLOOKUP(Table6[[#This Row],[SKU]],'All Skus'!$A:$AC,2,FALSE))="JBL",(VLOOKUP(Table6[[#This Row],[SKU]],'All Skus'!$A:$AC,19,FALSE)),""))</f>
        <v>0</v>
      </c>
      <c r="R666" s="136">
        <f>(IF((VLOOKUP(Table6[[#This Row],[SKU]],'All Skus'!$A:$AC,2,FALSE))="JBL",(VLOOKUP(Table6[[#This Row],[SKU]],'All Skus'!$A:$AC,20,FALSE)),""))</f>
        <v>0</v>
      </c>
      <c r="S666" s="61">
        <f>(IF((VLOOKUP(Table6[[#This Row],[SKU]],'All Skus'!$A:$AC,2,FALSE))="JBL",(VLOOKUP(Table6[[#This Row],[SKU]],'All Skus'!$A:$AC,21,FALSE)),""))</f>
        <v>0</v>
      </c>
      <c r="T666" s="61" t="str">
        <f>(IF((VLOOKUP(Table6[[#This Row],[SKU]],'All Skus'!$A:$AC,2,FALSE))="JBL",(VLOOKUP(Table6[[#This Row],[SKU]],'All Skus'!$A:$AC,22,FALSE)),""))</f>
        <v>MX</v>
      </c>
      <c r="U666">
        <f>(IF((VLOOKUP(Table6[[#This Row],[SKU]],'All Skus'!$A:$AC,2,FALSE))="JBL",(VLOOKUP(Table6[[#This Row],[SKU]],'All Skus'!$A:$AC,23,FALSE)),""))</f>
        <v>0</v>
      </c>
      <c r="V666" s="284" t="str">
        <f>HYPERLINK((IF((VLOOKUP(Table6[[#This Row],[SKU]],'All Skus'!$A:$AC,2,FALSE))="JBL",(VLOOKUP(Table6[[#This Row],[SKU]],'All Skus'!$A:$AC,24,FALSE)),"")))</f>
        <v/>
      </c>
      <c r="W666" s="151">
        <v>664</v>
      </c>
    </row>
    <row r="667" spans="1:23" ht="15" hidden="1" customHeight="1">
      <c r="A667" s="13" t="s">
        <v>1673</v>
      </c>
      <c r="B667" s="12" t="str">
        <f>(IF((VLOOKUP(Table6[[#This Row],[SKU]],'All Skus'!$A:$AC,2,FALSE))="JBL",(VLOOKUP(Table6[[#This Row],[SKU]],'All Skus'!$A:$AC,3,FALSE)),""))</f>
        <v>VLA Compact</v>
      </c>
      <c r="C667" s="12" t="str">
        <f>(IF((VLOOKUP(Table6[[#This Row],[SKU]],'All Skus'!$A:$AC,2,FALSE))="JBL",(VLOOKUP(Table6[[#This Row],[SKU]],'All Skus'!$A:$AC,4,FALSE)),""))</f>
        <v>VLA-C-SB2</v>
      </c>
      <c r="D667" s="61" t="str">
        <f>(IF((VLOOKUP(Table6[[#This Row],[SKU]],'All Skus'!$A:$AC,2,FALSE))="JBL",(VLOOKUP(Table6[[#This Row],[SKU]],'All Skus'!$A:$AC,5,FALSE)),""))</f>
        <v>JBL051</v>
      </c>
      <c r="E667" s="137">
        <f>(IF((VLOOKUP(Table6[[#This Row],[SKU]],'All Skus'!$A:$AC,2,FALSE))="JBL",(VLOOKUP(Table6[[#This Row],[SKU]],'All Skus'!$A:$AC,6,FALSE)),""))</f>
        <v>0</v>
      </c>
      <c r="F667" s="61">
        <f>(IF((VLOOKUP(Table6[[#This Row],[SKU]],'All Skus'!$A:$AC,2,FALSE))="JBL",(VLOOKUP(Table6[[#This Row],[SKU]],'All Skus'!$A:$AC,7,FALSE)),""))</f>
        <v>0</v>
      </c>
      <c r="G667" t="str">
        <f>(IF((VLOOKUP(Table6[[#This Row],[SKU]],'All Skus'!$A:$AC,2,FALSE))="JBL",(VLOOKUP(Table6[[#This Row],[SKU]],'All Skus'!$A:$AC,8,FALSE)),""))</f>
        <v>Suspension Kit for VLA-C Arrays</v>
      </c>
      <c r="H667" s="8" t="str">
        <f>(IF((VLOOKUP(Table6[[#This Row],[SKU]],'All Skus'!$A:$AC,2,FALSE))="JBL",(VLOOKUP(Table6[[#This Row],[SKU]],'All Skus'!$A:$AC,9,FALSE)),""))</f>
        <v xml:space="preserve"> Suspension Kit for VLA-C Arrays with 2 pcs VLA-C-SB2 Suspension Bars (for top and bottom of array) and 3 pcs Forged-Shoulder Eye Bolts.   See user’s guide for instructions and limitations.  Black only.</v>
      </c>
      <c r="I667" s="101">
        <f>(IF((VLOOKUP(Table6[[#This Row],[SKU]],'All Skus'!$A:$AC,2,FALSE))="JBL",(VLOOKUP(Table6[[#This Row],[SKU]],'All Skus'!$A:$AC,10,FALSE)),""))</f>
        <v>2950</v>
      </c>
      <c r="J667" s="101">
        <f>(IF((VLOOKUP(Table6[[#This Row],[SKU]],'All Skus'!$A:$AC,2,FALSE))="JBL",(VLOOKUP(Table6[[#This Row],[SKU]],'All Skus'!$A:$AC,11,FALSE)),""))</f>
        <v>2950</v>
      </c>
      <c r="K667" s="102">
        <f>(IF((VLOOKUP(Table6[[#This Row],[SKU]],'All Skus'!$A:$AC,2,FALSE))="JBL",(VLOOKUP(Table6[[#This Row],[SKU]],'All Skus'!$A:$AC,13,FALSE)),""))</f>
        <v>0</v>
      </c>
      <c r="L667" s="102">
        <f>(IF((VLOOKUP(Table6[[#This Row],[SKU]],'All Skus'!$A:$AC,2,FALSE))="JBL",(VLOOKUP(Table6[[#This Row],[SKU]],'All Skus'!$A:$AC,14,FALSE)),""))</f>
        <v>0</v>
      </c>
      <c r="M667" s="143">
        <f>(IF((VLOOKUP(Table6[[#This Row],[SKU]],'All Skus'!$A:$AC,2,FALSE))="JBL",(VLOOKUP(Table6[[#This Row],[SKU]],'All Skus'!$A:$AC,15,FALSE)),""))</f>
        <v>0</v>
      </c>
      <c r="N667" s="137">
        <f>(IF((VLOOKUP(Table6[[#This Row],[SKU]],'All Skus'!$A:$AC,2,FALSE))="JBL",(VLOOKUP(Table6[[#This Row],[SKU]],'All Skus'!$A:$AC,16,FALSE)),""))</f>
        <v>691991034374</v>
      </c>
      <c r="O667" s="61">
        <f>(IF((VLOOKUP(Table6[[#This Row],[SKU]],'All Skus'!$A:$AC,2,FALSE))="JBL",(VLOOKUP(Table6[[#This Row],[SKU]],'All Skus'!$A:$AC,17,FALSE)),""))</f>
        <v>0</v>
      </c>
      <c r="P667" s="136">
        <f>(IF((VLOOKUP(Table6[[#This Row],[SKU]],'All Skus'!$A:$AC,2,FALSE))="JBL",(VLOOKUP(Table6[[#This Row],[SKU]],'All Skus'!$A:$AC,18,FALSE)),""))</f>
        <v>0</v>
      </c>
      <c r="Q667" s="136">
        <f>(IF((VLOOKUP(Table6[[#This Row],[SKU]],'All Skus'!$A:$AC,2,FALSE))="JBL",(VLOOKUP(Table6[[#This Row],[SKU]],'All Skus'!$A:$AC,19,FALSE)),""))</f>
        <v>0</v>
      </c>
      <c r="R667" s="136">
        <f>(IF((VLOOKUP(Table6[[#This Row],[SKU]],'All Skus'!$A:$AC,2,FALSE))="JBL",(VLOOKUP(Table6[[#This Row],[SKU]],'All Skus'!$A:$AC,20,FALSE)),""))</f>
        <v>0</v>
      </c>
      <c r="S667" s="61">
        <f>(IF((VLOOKUP(Table6[[#This Row],[SKU]],'All Skus'!$A:$AC,2,FALSE))="JBL",(VLOOKUP(Table6[[#This Row],[SKU]],'All Skus'!$A:$AC,21,FALSE)),""))</f>
        <v>0</v>
      </c>
      <c r="T667" s="61" t="str">
        <f>(IF((VLOOKUP(Table6[[#This Row],[SKU]],'All Skus'!$A:$AC,2,FALSE))="JBL",(VLOOKUP(Table6[[#This Row],[SKU]],'All Skus'!$A:$AC,22,FALSE)),""))</f>
        <v>MX</v>
      </c>
      <c r="U667">
        <f>(IF((VLOOKUP(Table6[[#This Row],[SKU]],'All Skus'!$A:$AC,2,FALSE))="JBL",(VLOOKUP(Table6[[#This Row],[SKU]],'All Skus'!$A:$AC,23,FALSE)),""))</f>
        <v>0</v>
      </c>
      <c r="V667" s="284" t="str">
        <f>HYPERLINK((IF((VLOOKUP(Table6[[#This Row],[SKU]],'All Skus'!$A:$AC,2,FALSE))="JBL",(VLOOKUP(Table6[[#This Row],[SKU]],'All Skus'!$A:$AC,24,FALSE)),"")))</f>
        <v/>
      </c>
      <c r="W667" s="151">
        <v>665</v>
      </c>
    </row>
    <row r="668" spans="1:23" ht="15" hidden="1" customHeight="1">
      <c r="A668" s="104" t="s">
        <v>1674</v>
      </c>
      <c r="B668" s="12">
        <f>(IF((VLOOKUP(Table6[[#This Row],[SKU]],'All Skus'!$A:$AC,2,FALSE))="JBL",(VLOOKUP(Table6[[#This Row],[SKU]],'All Skus'!$A:$AC,3,FALSE)),""))</f>
        <v>0</v>
      </c>
      <c r="C668" s="12">
        <f>(IF((VLOOKUP(Table6[[#This Row],[SKU]],'All Skus'!$A:$AC,2,FALSE))="JBL",(VLOOKUP(Table6[[#This Row],[SKU]],'All Skus'!$A:$AC,4,FALSE)),""))</f>
        <v>0</v>
      </c>
      <c r="D668" s="61">
        <f>(IF((VLOOKUP(Table6[[#This Row],[SKU]],'All Skus'!$A:$AC,2,FALSE))="JBL",(VLOOKUP(Table6[[#This Row],[SKU]],'All Skus'!$A:$AC,5,FALSE)),""))</f>
        <v>0</v>
      </c>
      <c r="E668" s="137">
        <f>(IF((VLOOKUP(Table6[[#This Row],[SKU]],'All Skus'!$A:$AC,2,FALSE))="JBL",(VLOOKUP(Table6[[#This Row],[SKU]],'All Skus'!$A:$AC,6,FALSE)),""))</f>
        <v>0</v>
      </c>
      <c r="F668" s="61">
        <f>(IF((VLOOKUP(Table6[[#This Row],[SKU]],'All Skus'!$A:$AC,2,FALSE))="JBL",(VLOOKUP(Table6[[#This Row],[SKU]],'All Skus'!$A:$AC,7,FALSE)),""))</f>
        <v>0</v>
      </c>
      <c r="G668">
        <f>(IF((VLOOKUP(Table6[[#This Row],[SKU]],'All Skus'!$A:$AC,2,FALSE))="JBL",(VLOOKUP(Table6[[#This Row],[SKU]],'All Skus'!$A:$AC,8,FALSE)),""))</f>
        <v>0</v>
      </c>
      <c r="H668" s="8">
        <f>(IF((VLOOKUP(Table6[[#This Row],[SKU]],'All Skus'!$A:$AC,2,FALSE))="JBL",(VLOOKUP(Table6[[#This Row],[SKU]],'All Skus'!$A:$AC,9,FALSE)),""))</f>
        <v>0</v>
      </c>
      <c r="I668" s="101">
        <f>(IF((VLOOKUP(Table6[[#This Row],[SKU]],'All Skus'!$A:$AC,2,FALSE))="JBL",(VLOOKUP(Table6[[#This Row],[SKU]],'All Skus'!$A:$AC,10,FALSE)),""))</f>
        <v>0</v>
      </c>
      <c r="J668" s="101">
        <f>(IF((VLOOKUP(Table6[[#This Row],[SKU]],'All Skus'!$A:$AC,2,FALSE))="JBL",(VLOOKUP(Table6[[#This Row],[SKU]],'All Skus'!$A:$AC,11,FALSE)),""))</f>
        <v>0</v>
      </c>
      <c r="K668" s="102">
        <f>(IF((VLOOKUP(Table6[[#This Row],[SKU]],'All Skus'!$A:$AC,2,FALSE))="JBL",(VLOOKUP(Table6[[#This Row],[SKU]],'All Skus'!$A:$AC,13,FALSE)),""))</f>
        <v>0</v>
      </c>
      <c r="L668" s="102">
        <f>(IF((VLOOKUP(Table6[[#This Row],[SKU]],'All Skus'!$A:$AC,2,FALSE))="JBL",(VLOOKUP(Table6[[#This Row],[SKU]],'All Skus'!$A:$AC,14,FALSE)),""))</f>
        <v>0</v>
      </c>
      <c r="M668" s="143">
        <f>(IF((VLOOKUP(Table6[[#This Row],[SKU]],'All Skus'!$A:$AC,2,FALSE))="JBL",(VLOOKUP(Table6[[#This Row],[SKU]],'All Skus'!$A:$AC,15,FALSE)),""))</f>
        <v>0</v>
      </c>
      <c r="N668" s="137">
        <f>(IF((VLOOKUP(Table6[[#This Row],[SKU]],'All Skus'!$A:$AC,2,FALSE))="JBL",(VLOOKUP(Table6[[#This Row],[SKU]],'All Skus'!$A:$AC,16,FALSE)),""))</f>
        <v>0</v>
      </c>
      <c r="O668" s="61">
        <f>(IF((VLOOKUP(Table6[[#This Row],[SKU]],'All Skus'!$A:$AC,2,FALSE))="JBL",(VLOOKUP(Table6[[#This Row],[SKU]],'All Skus'!$A:$AC,17,FALSE)),""))</f>
        <v>0</v>
      </c>
      <c r="P668" s="136">
        <f>(IF((VLOOKUP(Table6[[#This Row],[SKU]],'All Skus'!$A:$AC,2,FALSE))="JBL",(VLOOKUP(Table6[[#This Row],[SKU]],'All Skus'!$A:$AC,18,FALSE)),""))</f>
        <v>0</v>
      </c>
      <c r="Q668" s="136">
        <f>(IF((VLOOKUP(Table6[[#This Row],[SKU]],'All Skus'!$A:$AC,2,FALSE))="JBL",(VLOOKUP(Table6[[#This Row],[SKU]],'All Skus'!$A:$AC,19,FALSE)),""))</f>
        <v>0</v>
      </c>
      <c r="R668" s="136">
        <f>(IF((VLOOKUP(Table6[[#This Row],[SKU]],'All Skus'!$A:$AC,2,FALSE))="JBL",(VLOOKUP(Table6[[#This Row],[SKU]],'All Skus'!$A:$AC,20,FALSE)),""))</f>
        <v>0</v>
      </c>
      <c r="S668" s="61">
        <f>(IF((VLOOKUP(Table6[[#This Row],[SKU]],'All Skus'!$A:$AC,2,FALSE))="JBL",(VLOOKUP(Table6[[#This Row],[SKU]],'All Skus'!$A:$AC,21,FALSE)),""))</f>
        <v>0</v>
      </c>
      <c r="T668" s="61">
        <f>(IF((VLOOKUP(Table6[[#This Row],[SKU]],'All Skus'!$A:$AC,2,FALSE))="JBL",(VLOOKUP(Table6[[#This Row],[SKU]],'All Skus'!$A:$AC,22,FALSE)),""))</f>
        <v>0</v>
      </c>
      <c r="U668">
        <f>(IF((VLOOKUP(Table6[[#This Row],[SKU]],'All Skus'!$A:$AC,2,FALSE))="JBL",(VLOOKUP(Table6[[#This Row],[SKU]],'All Skus'!$A:$AC,23,FALSE)),""))</f>
        <v>0</v>
      </c>
      <c r="V668" s="284" t="str">
        <f>HYPERLINK((IF((VLOOKUP(Table6[[#This Row],[SKU]],'All Skus'!$A:$AC,2,FALSE))="JBL",(VLOOKUP(Table6[[#This Row],[SKU]],'All Skus'!$A:$AC,24,FALSE)),"")))</f>
        <v/>
      </c>
      <c r="W668" s="151">
        <v>666</v>
      </c>
    </row>
    <row r="669" spans="1:23" ht="15" hidden="1" customHeight="1">
      <c r="A669" s="104" t="s">
        <v>1679</v>
      </c>
      <c r="B669" s="12">
        <f>(IF((VLOOKUP(Table6[[#This Row],[SKU]],'All Skus'!$A:$AC,2,FALSE))="JBL",(VLOOKUP(Table6[[#This Row],[SKU]],'All Skus'!$A:$AC,3,FALSE)),""))</f>
        <v>0</v>
      </c>
      <c r="C669" s="12">
        <f>(IF((VLOOKUP(Table6[[#This Row],[SKU]],'All Skus'!$A:$AC,2,FALSE))="JBL",(VLOOKUP(Table6[[#This Row],[SKU]],'All Skus'!$A:$AC,4,FALSE)),""))</f>
        <v>0</v>
      </c>
      <c r="D669" s="61">
        <f>(IF((VLOOKUP(Table6[[#This Row],[SKU]],'All Skus'!$A:$AC,2,FALSE))="JBL",(VLOOKUP(Table6[[#This Row],[SKU]],'All Skus'!$A:$AC,5,FALSE)),""))</f>
        <v>0</v>
      </c>
      <c r="E669" s="137">
        <f>(IF((VLOOKUP(Table6[[#This Row],[SKU]],'All Skus'!$A:$AC,2,FALSE))="JBL",(VLOOKUP(Table6[[#This Row],[SKU]],'All Skus'!$A:$AC,6,FALSE)),""))</f>
        <v>0</v>
      </c>
      <c r="F669" s="61">
        <f>(IF((VLOOKUP(Table6[[#This Row],[SKU]],'All Skus'!$A:$AC,2,FALSE))="JBL",(VLOOKUP(Table6[[#This Row],[SKU]],'All Skus'!$A:$AC,7,FALSE)),""))</f>
        <v>0</v>
      </c>
      <c r="G669">
        <f>(IF((VLOOKUP(Table6[[#This Row],[SKU]],'All Skus'!$A:$AC,2,FALSE))="JBL",(VLOOKUP(Table6[[#This Row],[SKU]],'All Skus'!$A:$AC,8,FALSE)),""))</f>
        <v>0</v>
      </c>
      <c r="H669" s="8">
        <f>(IF((VLOOKUP(Table6[[#This Row],[SKU]],'All Skus'!$A:$AC,2,FALSE))="JBL",(VLOOKUP(Table6[[#This Row],[SKU]],'All Skus'!$A:$AC,9,FALSE)),""))</f>
        <v>0</v>
      </c>
      <c r="I669" s="101">
        <f>(IF((VLOOKUP(Table6[[#This Row],[SKU]],'All Skus'!$A:$AC,2,FALSE))="JBL",(VLOOKUP(Table6[[#This Row],[SKU]],'All Skus'!$A:$AC,10,FALSE)),""))</f>
        <v>0</v>
      </c>
      <c r="J669" s="101">
        <f>(IF((VLOOKUP(Table6[[#This Row],[SKU]],'All Skus'!$A:$AC,2,FALSE))="JBL",(VLOOKUP(Table6[[#This Row],[SKU]],'All Skus'!$A:$AC,11,FALSE)),""))</f>
        <v>0</v>
      </c>
      <c r="K669" s="102">
        <f>(IF((VLOOKUP(Table6[[#This Row],[SKU]],'All Skus'!$A:$AC,2,FALSE))="JBL",(VLOOKUP(Table6[[#This Row],[SKU]],'All Skus'!$A:$AC,13,FALSE)),""))</f>
        <v>0</v>
      </c>
      <c r="L669" s="102">
        <f>(IF((VLOOKUP(Table6[[#This Row],[SKU]],'All Skus'!$A:$AC,2,FALSE))="JBL",(VLOOKUP(Table6[[#This Row],[SKU]],'All Skus'!$A:$AC,14,FALSE)),""))</f>
        <v>0</v>
      </c>
      <c r="M669" s="143">
        <f>(IF((VLOOKUP(Table6[[#This Row],[SKU]],'All Skus'!$A:$AC,2,FALSE))="JBL",(VLOOKUP(Table6[[#This Row],[SKU]],'All Skus'!$A:$AC,15,FALSE)),""))</f>
        <v>0</v>
      </c>
      <c r="N669" s="137">
        <f>(IF((VLOOKUP(Table6[[#This Row],[SKU]],'All Skus'!$A:$AC,2,FALSE))="JBL",(VLOOKUP(Table6[[#This Row],[SKU]],'All Skus'!$A:$AC,16,FALSE)),""))</f>
        <v>0</v>
      </c>
      <c r="O669" s="61">
        <f>(IF((VLOOKUP(Table6[[#This Row],[SKU]],'All Skus'!$A:$AC,2,FALSE))="JBL",(VLOOKUP(Table6[[#This Row],[SKU]],'All Skus'!$A:$AC,17,FALSE)),""))</f>
        <v>0</v>
      </c>
      <c r="P669" s="136">
        <f>(IF((VLOOKUP(Table6[[#This Row],[SKU]],'All Skus'!$A:$AC,2,FALSE))="JBL",(VLOOKUP(Table6[[#This Row],[SKU]],'All Skus'!$A:$AC,18,FALSE)),""))</f>
        <v>0</v>
      </c>
      <c r="Q669" s="136">
        <f>(IF((VLOOKUP(Table6[[#This Row],[SKU]],'All Skus'!$A:$AC,2,FALSE))="JBL",(VLOOKUP(Table6[[#This Row],[SKU]],'All Skus'!$A:$AC,19,FALSE)),""))</f>
        <v>0</v>
      </c>
      <c r="R669" s="136">
        <f>(IF((VLOOKUP(Table6[[#This Row],[SKU]],'All Skus'!$A:$AC,2,FALSE))="JBL",(VLOOKUP(Table6[[#This Row],[SKU]],'All Skus'!$A:$AC,20,FALSE)),""))</f>
        <v>0</v>
      </c>
      <c r="S669" s="61">
        <f>(IF((VLOOKUP(Table6[[#This Row],[SKU]],'All Skus'!$A:$AC,2,FALSE))="JBL",(VLOOKUP(Table6[[#This Row],[SKU]],'All Skus'!$A:$AC,21,FALSE)),""))</f>
        <v>0</v>
      </c>
      <c r="T669" s="61">
        <f>(IF((VLOOKUP(Table6[[#This Row],[SKU]],'All Skus'!$A:$AC,2,FALSE))="JBL",(VLOOKUP(Table6[[#This Row],[SKU]],'All Skus'!$A:$AC,22,FALSE)),""))</f>
        <v>0</v>
      </c>
      <c r="U669">
        <f>(IF((VLOOKUP(Table6[[#This Row],[SKU]],'All Skus'!$A:$AC,2,FALSE))="JBL",(VLOOKUP(Table6[[#This Row],[SKU]],'All Skus'!$A:$AC,23,FALSE)),""))</f>
        <v>0</v>
      </c>
      <c r="V669" s="284" t="str">
        <f>HYPERLINK((IF((VLOOKUP(Table6[[#This Row],[SKU]],'All Skus'!$A:$AC,2,FALSE))="JBL",(VLOOKUP(Table6[[#This Row],[SKU]],'All Skus'!$A:$AC,24,FALSE)),"")))</f>
        <v/>
      </c>
      <c r="W669" s="151">
        <v>667</v>
      </c>
    </row>
    <row r="670" spans="1:23" ht="15" hidden="1" customHeight="1">
      <c r="A670" s="13" t="s">
        <v>1680</v>
      </c>
      <c r="B670" s="12" t="str">
        <f>(IF((VLOOKUP(Table6[[#This Row],[SKU]],'All Skus'!$A:$AC,2,FALSE))="JBL",(VLOOKUP(Table6[[#This Row],[SKU]],'All Skus'!$A:$AC,3,FALSE)),""))</f>
        <v>VTX SERIES</v>
      </c>
      <c r="C670" s="12" t="str">
        <f>(IF((VLOOKUP(Table6[[#This Row],[SKU]],'All Skus'!$A:$AC,2,FALSE))="JBL",(VLOOKUP(Table6[[#This Row],[SKU]],'All Skus'!$A:$AC,4,FALSE)),""))</f>
        <v>VTX A6</v>
      </c>
      <c r="D670" s="61" t="str">
        <f>(IF((VLOOKUP(Table6[[#This Row],[SKU]],'All Skus'!$A:$AC,2,FALSE))="JBL",(VLOOKUP(Table6[[#This Row],[SKU]],'All Skus'!$A:$AC,5,FALSE)),""))</f>
        <v>JBL046</v>
      </c>
      <c r="E670" s="137" t="str">
        <f>(IF((VLOOKUP(Table6[[#This Row],[SKU]],'All Skus'!$A:$AC,2,FALSE))="JBL",(VLOOKUP(Table6[[#This Row],[SKU]],'All Skus'!$A:$AC,6,FALSE)),""))</f>
        <v>YES</v>
      </c>
      <c r="F670" s="61" t="str">
        <f>(IF((VLOOKUP(Table6[[#This Row],[SKU]],'All Skus'!$A:$AC,2,FALSE))="JBL",(VLOOKUP(Table6[[#This Row],[SKU]],'All Skus'!$A:$AC,7,FALSE)),""))</f>
        <v>NEW</v>
      </c>
      <c r="G670" t="str">
        <f>(IF((VLOOKUP(Table6[[#This Row],[SKU]],'All Skus'!$A:$AC,2,FALSE))="JBL",(VLOOKUP(Table6[[#This Row],[SKU]],'All Skus'!$A:$AC,8,FALSE)),""))</f>
        <v>Sub-compact Line Array Speaker</v>
      </c>
      <c r="H670" s="8" t="str">
        <f>(IF((VLOOKUP(Table6[[#This Row],[SKU]],'All Skus'!$A:$AC,2,FALSE))="JBL",(VLOOKUP(Table6[[#This Row],[SKU]],'All Skus'!$A:$AC,9,FALSE)),""))</f>
        <v>Sub-compact dual 6.5-inch line array speaker, 2-Way, 110-degree</v>
      </c>
      <c r="I670" s="101" t="str">
        <f>(IF((VLOOKUP(Table6[[#This Row],[SKU]],'All Skus'!$A:$AC,2,FALSE))="JBL",(VLOOKUP(Table6[[#This Row],[SKU]],'All Skus'!$A:$AC,10,FALSE)),""))</f>
        <v>“Price On Application (POA) Contact your Representative"</v>
      </c>
      <c r="J670" s="101" t="str">
        <f>(IF((VLOOKUP(Table6[[#This Row],[SKU]],'All Skus'!$A:$AC,2,FALSE))="JBL",(VLOOKUP(Table6[[#This Row],[SKU]],'All Skus'!$A:$AC,11,FALSE)),""))</f>
        <v>“Price On Application (POA) Contact your Representative"</v>
      </c>
      <c r="K670" s="102">
        <f>(IF((VLOOKUP(Table6[[#This Row],[SKU]],'All Skus'!$A:$AC,2,FALSE))="JBL",(VLOOKUP(Table6[[#This Row],[SKU]],'All Skus'!$A:$AC,13,FALSE)),""))</f>
        <v>0</v>
      </c>
      <c r="L670" s="102">
        <f>(IF((VLOOKUP(Table6[[#This Row],[SKU]],'All Skus'!$A:$AC,2,FALSE))="JBL",(VLOOKUP(Table6[[#This Row],[SKU]],'All Skus'!$A:$AC,14,FALSE)),""))</f>
        <v>0</v>
      </c>
      <c r="M670" s="143">
        <f>(IF((VLOOKUP(Table6[[#This Row],[SKU]],'All Skus'!$A:$AC,2,FALSE))="JBL",(VLOOKUP(Table6[[#This Row],[SKU]],'All Skus'!$A:$AC,15,FALSE)),""))</f>
        <v>0</v>
      </c>
      <c r="N670" s="137">
        <f>(IF((VLOOKUP(Table6[[#This Row],[SKU]],'All Skus'!$A:$AC,2,FALSE))="JBL",(VLOOKUP(Table6[[#This Row],[SKU]],'All Skus'!$A:$AC,16,FALSE)),""))</f>
        <v>691991035876</v>
      </c>
      <c r="O670" s="61">
        <f>(IF((VLOOKUP(Table6[[#This Row],[SKU]],'All Skus'!$A:$AC,2,FALSE))="JBL",(VLOOKUP(Table6[[#This Row],[SKU]],'All Skus'!$A:$AC,17,FALSE)),""))</f>
        <v>0</v>
      </c>
      <c r="P670" s="136">
        <f>(IF((VLOOKUP(Table6[[#This Row],[SKU]],'All Skus'!$A:$AC,2,FALSE))="JBL",(VLOOKUP(Table6[[#This Row],[SKU]],'All Skus'!$A:$AC,18,FALSE)),""))</f>
        <v>7.5</v>
      </c>
      <c r="Q670" s="136">
        <f>(IF((VLOOKUP(Table6[[#This Row],[SKU]],'All Skus'!$A:$AC,2,FALSE))="JBL",(VLOOKUP(Table6[[#This Row],[SKU]],'All Skus'!$A:$AC,19,FALSE)),""))</f>
        <v>21.1</v>
      </c>
      <c r="R670" s="136">
        <f>(IF((VLOOKUP(Table6[[#This Row],[SKU]],'All Skus'!$A:$AC,2,FALSE))="JBL",(VLOOKUP(Table6[[#This Row],[SKU]],'All Skus'!$A:$AC,20,FALSE)),""))</f>
        <v>11.8</v>
      </c>
      <c r="S670" s="61">
        <f>(IF((VLOOKUP(Table6[[#This Row],[SKU]],'All Skus'!$A:$AC,2,FALSE))="JBL",(VLOOKUP(Table6[[#This Row],[SKU]],'All Skus'!$A:$AC,21,FALSE)),""))</f>
        <v>40.299999999999997</v>
      </c>
      <c r="T670" s="61" t="str">
        <f>(IF((VLOOKUP(Table6[[#This Row],[SKU]],'All Skus'!$A:$AC,2,FALSE))="JBL",(VLOOKUP(Table6[[#This Row],[SKU]],'All Skus'!$A:$AC,22,FALSE)),""))</f>
        <v>MX</v>
      </c>
      <c r="U670">
        <f>(IF((VLOOKUP(Table6[[#This Row],[SKU]],'All Skus'!$A:$AC,2,FALSE))="JBL",(VLOOKUP(Table6[[#This Row],[SKU]],'All Skus'!$A:$AC,23,FALSE)),""))</f>
        <v>0</v>
      </c>
      <c r="V670" s="284" t="str">
        <f>HYPERLINK((IF((VLOOKUP(Table6[[#This Row],[SKU]],'All Skus'!$A:$AC,2,FALSE))="JBL",(VLOOKUP(Table6[[#This Row],[SKU]],'All Skus'!$A:$AC,24,FALSE)),"")))</f>
        <v/>
      </c>
      <c r="W670" s="151">
        <v>668</v>
      </c>
    </row>
    <row r="671" spans="1:23" ht="15" hidden="1" customHeight="1">
      <c r="A671" s="13" t="s">
        <v>1681</v>
      </c>
      <c r="B671" s="12" t="str">
        <f>(IF((VLOOKUP(Table6[[#This Row],[SKU]],'All Skus'!$A:$AC,2,FALSE))="JBL",(VLOOKUP(Table6[[#This Row],[SKU]],'All Skus'!$A:$AC,3,FALSE)),""))</f>
        <v>VTX SERIES</v>
      </c>
      <c r="C671" s="12" t="str">
        <f>(IF((VLOOKUP(Table6[[#This Row],[SKU]],'All Skus'!$A:$AC,2,FALSE))="JBL",(VLOOKUP(Table6[[#This Row],[SKU]],'All Skus'!$A:$AC,4,FALSE)),""))</f>
        <v>VTX B15</v>
      </c>
      <c r="D671" s="61" t="str">
        <f>(IF((VLOOKUP(Table6[[#This Row],[SKU]],'All Skus'!$A:$AC,2,FALSE))="JBL",(VLOOKUP(Table6[[#This Row],[SKU]],'All Skus'!$A:$AC,5,FALSE)),""))</f>
        <v>JBL046</v>
      </c>
      <c r="E671" s="137" t="str">
        <f>(IF((VLOOKUP(Table6[[#This Row],[SKU]],'All Skus'!$A:$AC,2,FALSE))="JBL",(VLOOKUP(Table6[[#This Row],[SKU]],'All Skus'!$A:$AC,6,FALSE)),""))</f>
        <v>YES</v>
      </c>
      <c r="F671" s="61" t="str">
        <f>(IF((VLOOKUP(Table6[[#This Row],[SKU]],'All Skus'!$A:$AC,2,FALSE))="JBL",(VLOOKUP(Table6[[#This Row],[SKU]],'All Skus'!$A:$AC,7,FALSE)),""))</f>
        <v>NEW</v>
      </c>
      <c r="G671" t="str">
        <f>(IF((VLOOKUP(Table6[[#This Row],[SKU]],'All Skus'!$A:$AC,2,FALSE))="JBL",(VLOOKUP(Table6[[#This Row],[SKU]],'All Skus'!$A:$AC,8,FALSE)),""))</f>
        <v>Compact Subwoofer</v>
      </c>
      <c r="H671" s="8" t="str">
        <f>(IF((VLOOKUP(Table6[[#This Row],[SKU]],'All Skus'!$A:$AC,2,FALSE))="JBL",(VLOOKUP(Table6[[#This Row],[SKU]],'All Skus'!$A:$AC,9,FALSE)),""))</f>
        <v>Sub-compact Arrayable 15-inch Subwoofer</v>
      </c>
      <c r="I671" s="101" t="str">
        <f>(IF((VLOOKUP(Table6[[#This Row],[SKU]],'All Skus'!$A:$AC,2,FALSE))="JBL",(VLOOKUP(Table6[[#This Row],[SKU]],'All Skus'!$A:$AC,10,FALSE)),""))</f>
        <v>“Price On Application (POA) Contact your Representative"</v>
      </c>
      <c r="J671" s="101" t="str">
        <f>(IF((VLOOKUP(Table6[[#This Row],[SKU]],'All Skus'!$A:$AC,2,FALSE))="JBL",(VLOOKUP(Table6[[#This Row],[SKU]],'All Skus'!$A:$AC,11,FALSE)),""))</f>
        <v>“Price On Application (POA) Contact your Representative"</v>
      </c>
      <c r="K671" s="102">
        <f>(IF((VLOOKUP(Table6[[#This Row],[SKU]],'All Skus'!$A:$AC,2,FALSE))="JBL",(VLOOKUP(Table6[[#This Row],[SKU]],'All Skus'!$A:$AC,13,FALSE)),""))</f>
        <v>0</v>
      </c>
      <c r="L671" s="102">
        <f>(IF((VLOOKUP(Table6[[#This Row],[SKU]],'All Skus'!$A:$AC,2,FALSE))="JBL",(VLOOKUP(Table6[[#This Row],[SKU]],'All Skus'!$A:$AC,14,FALSE)),""))</f>
        <v>0</v>
      </c>
      <c r="M671" s="143">
        <f>(IF((VLOOKUP(Table6[[#This Row],[SKU]],'All Skus'!$A:$AC,2,FALSE))="JBL",(VLOOKUP(Table6[[#This Row],[SKU]],'All Skus'!$A:$AC,15,FALSE)),""))</f>
        <v>0</v>
      </c>
      <c r="N671" s="137">
        <f>(IF((VLOOKUP(Table6[[#This Row],[SKU]],'All Skus'!$A:$AC,2,FALSE))="JBL",(VLOOKUP(Table6[[#This Row],[SKU]],'All Skus'!$A:$AC,16,FALSE)),""))</f>
        <v>691991035869</v>
      </c>
      <c r="O671" s="61">
        <f>(IF((VLOOKUP(Table6[[#This Row],[SKU]],'All Skus'!$A:$AC,2,FALSE))="JBL",(VLOOKUP(Table6[[#This Row],[SKU]],'All Skus'!$A:$AC,17,FALSE)),""))</f>
        <v>0</v>
      </c>
      <c r="P671" s="136">
        <f>(IF((VLOOKUP(Table6[[#This Row],[SKU]],'All Skus'!$A:$AC,2,FALSE))="JBL",(VLOOKUP(Table6[[#This Row],[SKU]],'All Skus'!$A:$AC,18,FALSE)),""))</f>
        <v>18.3</v>
      </c>
      <c r="Q671" s="136">
        <f>(IF((VLOOKUP(Table6[[#This Row],[SKU]],'All Skus'!$A:$AC,2,FALSE))="JBL",(VLOOKUP(Table6[[#This Row],[SKU]],'All Skus'!$A:$AC,19,FALSE)),""))</f>
        <v>21.1</v>
      </c>
      <c r="R671" s="136">
        <f>(IF((VLOOKUP(Table6[[#This Row],[SKU]],'All Skus'!$A:$AC,2,FALSE))="JBL",(VLOOKUP(Table6[[#This Row],[SKU]],'All Skus'!$A:$AC,20,FALSE)),""))</f>
        <v>23.1</v>
      </c>
      <c r="S671" s="61">
        <f>(IF((VLOOKUP(Table6[[#This Row],[SKU]],'All Skus'!$A:$AC,2,FALSE))="JBL",(VLOOKUP(Table6[[#This Row],[SKU]],'All Skus'!$A:$AC,21,FALSE)),""))</f>
        <v>91.5</v>
      </c>
      <c r="T671" s="61" t="str">
        <f>(IF((VLOOKUP(Table6[[#This Row],[SKU]],'All Skus'!$A:$AC,2,FALSE))="JBL",(VLOOKUP(Table6[[#This Row],[SKU]],'All Skus'!$A:$AC,22,FALSE)),""))</f>
        <v>MX</v>
      </c>
      <c r="U671">
        <f>(IF((VLOOKUP(Table6[[#This Row],[SKU]],'All Skus'!$A:$AC,2,FALSE))="JBL",(VLOOKUP(Table6[[#This Row],[SKU]],'All Skus'!$A:$AC,23,FALSE)),""))</f>
        <v>0</v>
      </c>
      <c r="V671" s="284" t="str">
        <f>HYPERLINK((IF((VLOOKUP(Table6[[#This Row],[SKU]],'All Skus'!$A:$AC,2,FALSE))="JBL",(VLOOKUP(Table6[[#This Row],[SKU]],'All Skus'!$A:$AC,24,FALSE)),"")))</f>
        <v/>
      </c>
      <c r="W671" s="151">
        <v>669</v>
      </c>
    </row>
    <row r="672" spans="1:23" ht="15" hidden="1" customHeight="1">
      <c r="A672" s="13" t="s">
        <v>1682</v>
      </c>
      <c r="B672" s="12" t="str">
        <f>(IF((VLOOKUP(Table6[[#This Row],[SKU]],'All Skus'!$A:$AC,2,FALSE))="JBL",(VLOOKUP(Table6[[#This Row],[SKU]],'All Skus'!$A:$AC,3,FALSE)),""))</f>
        <v>VTX SERIES</v>
      </c>
      <c r="C672" s="12" t="str">
        <f>(IF((VLOOKUP(Table6[[#This Row],[SKU]],'All Skus'!$A:$AC,2,FALSE))="JBL",(VLOOKUP(Table6[[#This Row],[SKU]],'All Skus'!$A:$AC,4,FALSE)),""))</f>
        <v>VTX B15G</v>
      </c>
      <c r="D672" s="61" t="str">
        <f>(IF((VLOOKUP(Table6[[#This Row],[SKU]],'All Skus'!$A:$AC,2,FALSE))="JBL",(VLOOKUP(Table6[[#This Row],[SKU]],'All Skus'!$A:$AC,5,FALSE)),""))</f>
        <v>JBL046</v>
      </c>
      <c r="E672" s="137" t="str">
        <f>(IF((VLOOKUP(Table6[[#This Row],[SKU]],'All Skus'!$A:$AC,2,FALSE))="JBL",(VLOOKUP(Table6[[#This Row],[SKU]],'All Skus'!$A:$AC,6,FALSE)),""))</f>
        <v>YES</v>
      </c>
      <c r="F672" s="61" t="str">
        <f>(IF((VLOOKUP(Table6[[#This Row],[SKU]],'All Skus'!$A:$AC,2,FALSE))="JBL",(VLOOKUP(Table6[[#This Row],[SKU]],'All Skus'!$A:$AC,7,FALSE)),""))</f>
        <v>NEW</v>
      </c>
      <c r="G672" t="str">
        <f>(IF((VLOOKUP(Table6[[#This Row],[SKU]],'All Skus'!$A:$AC,2,FALSE))="JBL",(VLOOKUP(Table6[[#This Row],[SKU]],'All Skus'!$A:$AC,8,FALSE)),""))</f>
        <v>Compact Subwoofer</v>
      </c>
      <c r="H672" s="8" t="str">
        <f>(IF((VLOOKUP(Table6[[#This Row],[SKU]],'All Skus'!$A:$AC,2,FALSE))="JBL",(VLOOKUP(Table6[[#This Row],[SKU]],'All Skus'!$A:$AC,9,FALSE)),""))</f>
        <v>Sub-compact 15-inch Subwoofer</v>
      </c>
      <c r="I672" s="101" t="str">
        <f>(IF((VLOOKUP(Table6[[#This Row],[SKU]],'All Skus'!$A:$AC,2,FALSE))="JBL",(VLOOKUP(Table6[[#This Row],[SKU]],'All Skus'!$A:$AC,10,FALSE)),""))</f>
        <v>“Price On Application (POA) Contact your Representative"</v>
      </c>
      <c r="J672" s="101" t="str">
        <f>(IF((VLOOKUP(Table6[[#This Row],[SKU]],'All Skus'!$A:$AC,2,FALSE))="JBL",(VLOOKUP(Table6[[#This Row],[SKU]],'All Skus'!$A:$AC,11,FALSE)),""))</f>
        <v>“Price On Application (POA) Contact your Representative"</v>
      </c>
      <c r="K672" s="102">
        <f>(IF((VLOOKUP(Table6[[#This Row],[SKU]],'All Skus'!$A:$AC,2,FALSE))="JBL",(VLOOKUP(Table6[[#This Row],[SKU]],'All Skus'!$A:$AC,13,FALSE)),""))</f>
        <v>0</v>
      </c>
      <c r="L672" s="102">
        <f>(IF((VLOOKUP(Table6[[#This Row],[SKU]],'All Skus'!$A:$AC,2,FALSE))="JBL",(VLOOKUP(Table6[[#This Row],[SKU]],'All Skus'!$A:$AC,14,FALSE)),""))</f>
        <v>0</v>
      </c>
      <c r="M672" s="143">
        <f>(IF((VLOOKUP(Table6[[#This Row],[SKU]],'All Skus'!$A:$AC,2,FALSE))="JBL",(VLOOKUP(Table6[[#This Row],[SKU]],'All Skus'!$A:$AC,15,FALSE)),""))</f>
        <v>0</v>
      </c>
      <c r="N672" s="137">
        <f>(IF((VLOOKUP(Table6[[#This Row],[SKU]],'All Skus'!$A:$AC,2,FALSE))="JBL",(VLOOKUP(Table6[[#This Row],[SKU]],'All Skus'!$A:$AC,16,FALSE)),""))</f>
        <v>691991035852</v>
      </c>
      <c r="O672" s="61">
        <f>(IF((VLOOKUP(Table6[[#This Row],[SKU]],'All Skus'!$A:$AC,2,FALSE))="JBL",(VLOOKUP(Table6[[#This Row],[SKU]],'All Skus'!$A:$AC,17,FALSE)),""))</f>
        <v>0</v>
      </c>
      <c r="P672" s="136">
        <f>(IF((VLOOKUP(Table6[[#This Row],[SKU]],'All Skus'!$A:$AC,2,FALSE))="JBL",(VLOOKUP(Table6[[#This Row],[SKU]],'All Skus'!$A:$AC,18,FALSE)),""))</f>
        <v>18.63</v>
      </c>
      <c r="Q672" s="136">
        <f>(IF((VLOOKUP(Table6[[#This Row],[SKU]],'All Skus'!$A:$AC,2,FALSE))="JBL",(VLOOKUP(Table6[[#This Row],[SKU]],'All Skus'!$A:$AC,19,FALSE)),""))</f>
        <v>21.1</v>
      </c>
      <c r="R672" s="136">
        <f>(IF((VLOOKUP(Table6[[#This Row],[SKU]],'All Skus'!$A:$AC,2,FALSE))="JBL",(VLOOKUP(Table6[[#This Row],[SKU]],'All Skus'!$A:$AC,20,FALSE)),""))</f>
        <v>23.1</v>
      </c>
      <c r="S672" s="61">
        <f>(IF((VLOOKUP(Table6[[#This Row],[SKU]],'All Skus'!$A:$AC,2,FALSE))="JBL",(VLOOKUP(Table6[[#This Row],[SKU]],'All Skus'!$A:$AC,21,FALSE)),""))</f>
        <v>74.8</v>
      </c>
      <c r="T672" s="61" t="str">
        <f>(IF((VLOOKUP(Table6[[#This Row],[SKU]],'All Skus'!$A:$AC,2,FALSE))="JBL",(VLOOKUP(Table6[[#This Row],[SKU]],'All Skus'!$A:$AC,22,FALSE)),""))</f>
        <v>MX</v>
      </c>
      <c r="U672">
        <f>(IF((VLOOKUP(Table6[[#This Row],[SKU]],'All Skus'!$A:$AC,2,FALSE))="JBL",(VLOOKUP(Table6[[#This Row],[SKU]],'All Skus'!$A:$AC,23,FALSE)),""))</f>
        <v>0</v>
      </c>
      <c r="V672" s="284" t="str">
        <f>HYPERLINK((IF((VLOOKUP(Table6[[#This Row],[SKU]],'All Skus'!$A:$AC,2,FALSE))="JBL",(VLOOKUP(Table6[[#This Row],[SKU]],'All Skus'!$A:$AC,24,FALSE)),"")))</f>
        <v/>
      </c>
      <c r="W672" s="151">
        <v>670</v>
      </c>
    </row>
    <row r="673" spans="1:23" ht="15" hidden="1" customHeight="1">
      <c r="A673" s="13" t="s">
        <v>1683</v>
      </c>
      <c r="B673" s="12" t="str">
        <f>(IF((VLOOKUP(Table6[[#This Row],[SKU]],'All Skus'!$A:$AC,2,FALSE))="JBL",(VLOOKUP(Table6[[#This Row],[SKU]],'All Skus'!$A:$AC,3,FALSE)),""))</f>
        <v>VTX SERIES</v>
      </c>
      <c r="C673" s="12" t="str">
        <f>(IF((VLOOKUP(Table6[[#This Row],[SKU]],'All Skus'!$A:$AC,2,FALSE))="JBL",(VLOOKUP(Table6[[#This Row],[SKU]],'All Skus'!$A:$AC,4,FALSE)),""))</f>
        <v>VTX A6 MF</v>
      </c>
      <c r="D673" s="61">
        <f>(IF((VLOOKUP(Table6[[#This Row],[SKU]],'All Skus'!$A:$AC,2,FALSE))="JBL",(VLOOKUP(Table6[[#This Row],[SKU]],'All Skus'!$A:$AC,5,FALSE)),""))</f>
        <v>0</v>
      </c>
      <c r="E673" s="137" t="str">
        <f>(IF((VLOOKUP(Table6[[#This Row],[SKU]],'All Skus'!$A:$AC,2,FALSE))="JBL",(VLOOKUP(Table6[[#This Row],[SKU]],'All Skus'!$A:$AC,6,FALSE)),""))</f>
        <v>YES</v>
      </c>
      <c r="F673" s="61" t="str">
        <f>(IF((VLOOKUP(Table6[[#This Row],[SKU]],'All Skus'!$A:$AC,2,FALSE))="JBL",(VLOOKUP(Table6[[#This Row],[SKU]],'All Skus'!$A:$AC,7,FALSE)),""))</f>
        <v>NEW</v>
      </c>
      <c r="G673" t="str">
        <f>(IF((VLOOKUP(Table6[[#This Row],[SKU]],'All Skus'!$A:$AC,2,FALSE))="JBL",(VLOOKUP(Table6[[#This Row],[SKU]],'All Skus'!$A:$AC,8,FALSE)),""))</f>
        <v>Mini Frame</v>
      </c>
      <c r="H673" s="8" t="str">
        <f>(IF((VLOOKUP(Table6[[#This Row],[SKU]],'All Skus'!$A:$AC,2,FALSE))="JBL",(VLOOKUP(Table6[[#This Row],[SKU]],'All Skus'!$A:$AC,9,FALSE)),""))</f>
        <v>Mini Frame for A6 and B15</v>
      </c>
      <c r="I673" s="101" t="str">
        <f>(IF((VLOOKUP(Table6[[#This Row],[SKU]],'All Skus'!$A:$AC,2,FALSE))="JBL",(VLOOKUP(Table6[[#This Row],[SKU]],'All Skus'!$A:$AC,10,FALSE)),""))</f>
        <v>“Price On Application (POA) Contact your Representative"</v>
      </c>
      <c r="J673" s="101" t="str">
        <f>(IF((VLOOKUP(Table6[[#This Row],[SKU]],'All Skus'!$A:$AC,2,FALSE))="JBL",(VLOOKUP(Table6[[#This Row],[SKU]],'All Skus'!$A:$AC,11,FALSE)),""))</f>
        <v>“Price On Application (POA) Contact your Representative"</v>
      </c>
      <c r="K673" s="102">
        <f>(IF((VLOOKUP(Table6[[#This Row],[SKU]],'All Skus'!$A:$AC,2,FALSE))="JBL",(VLOOKUP(Table6[[#This Row],[SKU]],'All Skus'!$A:$AC,13,FALSE)),""))</f>
        <v>0</v>
      </c>
      <c r="L673" s="102">
        <f>(IF((VLOOKUP(Table6[[#This Row],[SKU]],'All Skus'!$A:$AC,2,FALSE))="JBL",(VLOOKUP(Table6[[#This Row],[SKU]],'All Skus'!$A:$AC,14,FALSE)),""))</f>
        <v>0</v>
      </c>
      <c r="M673" s="143">
        <f>(IF((VLOOKUP(Table6[[#This Row],[SKU]],'All Skus'!$A:$AC,2,FALSE))="JBL",(VLOOKUP(Table6[[#This Row],[SKU]],'All Skus'!$A:$AC,15,FALSE)),""))</f>
        <v>0</v>
      </c>
      <c r="N673" s="137">
        <f>(IF((VLOOKUP(Table6[[#This Row],[SKU]],'All Skus'!$A:$AC,2,FALSE))="JBL",(VLOOKUP(Table6[[#This Row],[SKU]],'All Skus'!$A:$AC,16,FALSE)),""))</f>
        <v>691991035845</v>
      </c>
      <c r="O673" s="61">
        <f>(IF((VLOOKUP(Table6[[#This Row],[SKU]],'All Skus'!$A:$AC,2,FALSE))="JBL",(VLOOKUP(Table6[[#This Row],[SKU]],'All Skus'!$A:$AC,17,FALSE)),""))</f>
        <v>0</v>
      </c>
      <c r="P673" s="136">
        <f>(IF((VLOOKUP(Table6[[#This Row],[SKU]],'All Skus'!$A:$AC,2,FALSE))="JBL",(VLOOKUP(Table6[[#This Row],[SKU]],'All Skus'!$A:$AC,18,FALSE)),""))</f>
        <v>3.4</v>
      </c>
      <c r="Q673" s="136">
        <f>(IF((VLOOKUP(Table6[[#This Row],[SKU]],'All Skus'!$A:$AC,2,FALSE))="JBL",(VLOOKUP(Table6[[#This Row],[SKU]],'All Skus'!$A:$AC,19,FALSE)),""))</f>
        <v>20</v>
      </c>
      <c r="R673" s="136">
        <f>(IF((VLOOKUP(Table6[[#This Row],[SKU]],'All Skus'!$A:$AC,2,FALSE))="JBL",(VLOOKUP(Table6[[#This Row],[SKU]],'All Skus'!$A:$AC,20,FALSE)),""))</f>
        <v>20.399999999999999</v>
      </c>
      <c r="S673" s="61">
        <f>(IF((VLOOKUP(Table6[[#This Row],[SKU]],'All Skus'!$A:$AC,2,FALSE))="JBL",(VLOOKUP(Table6[[#This Row],[SKU]],'All Skus'!$A:$AC,21,FALSE)),""))</f>
        <v>13.6</v>
      </c>
      <c r="T673" s="61" t="str">
        <f>(IF((VLOOKUP(Table6[[#This Row],[SKU]],'All Skus'!$A:$AC,2,FALSE))="JBL",(VLOOKUP(Table6[[#This Row],[SKU]],'All Skus'!$A:$AC,22,FALSE)),""))</f>
        <v>MX</v>
      </c>
      <c r="U673">
        <f>(IF((VLOOKUP(Table6[[#This Row],[SKU]],'All Skus'!$A:$AC,2,FALSE))="JBL",(VLOOKUP(Table6[[#This Row],[SKU]],'All Skus'!$A:$AC,23,FALSE)),""))</f>
        <v>0</v>
      </c>
      <c r="V673" s="284" t="str">
        <f>HYPERLINK((IF((VLOOKUP(Table6[[#This Row],[SKU]],'All Skus'!$A:$AC,2,FALSE))="JBL",(VLOOKUP(Table6[[#This Row],[SKU]],'All Skus'!$A:$AC,24,FALSE)),"")))</f>
        <v/>
      </c>
      <c r="W673" s="151">
        <v>671</v>
      </c>
    </row>
    <row r="674" spans="1:23" ht="15" hidden="1" customHeight="1">
      <c r="A674" s="13" t="s">
        <v>1684</v>
      </c>
      <c r="B674" s="12" t="str">
        <f>(IF((VLOOKUP(Table6[[#This Row],[SKU]],'All Skus'!$A:$AC,2,FALSE))="JBL",(VLOOKUP(Table6[[#This Row],[SKU]],'All Skus'!$A:$AC,3,FALSE)),""))</f>
        <v>VTX SERIES</v>
      </c>
      <c r="C674" s="12" t="str">
        <f>(IF((VLOOKUP(Table6[[#This Row],[SKU]],'All Skus'!$A:$AC,2,FALSE))="JBL",(VLOOKUP(Table6[[#This Row],[SKU]],'All Skus'!$A:$AC,4,FALSE)),""))</f>
        <v>VTX A6 SB</v>
      </c>
      <c r="D674" s="61" t="str">
        <f>(IF((VLOOKUP(Table6[[#This Row],[SKU]],'All Skus'!$A:$AC,2,FALSE))="JBL",(VLOOKUP(Table6[[#This Row],[SKU]],'All Skus'!$A:$AC,5,FALSE)),""))</f>
        <v>JBL046</v>
      </c>
      <c r="E674" s="137" t="str">
        <f>(IF((VLOOKUP(Table6[[#This Row],[SKU]],'All Skus'!$A:$AC,2,FALSE))="JBL",(VLOOKUP(Table6[[#This Row],[SKU]],'All Skus'!$A:$AC,6,FALSE)),""))</f>
        <v>YES</v>
      </c>
      <c r="F674" s="61" t="str">
        <f>(IF((VLOOKUP(Table6[[#This Row],[SKU]],'All Skus'!$A:$AC,2,FALSE))="JBL",(VLOOKUP(Table6[[#This Row],[SKU]],'All Skus'!$A:$AC,7,FALSE)),""))</f>
        <v>NEW</v>
      </c>
      <c r="G674" t="str">
        <f>(IF((VLOOKUP(Table6[[#This Row],[SKU]],'All Skus'!$A:$AC,2,FALSE))="JBL",(VLOOKUP(Table6[[#This Row],[SKU]],'All Skus'!$A:$AC,8,FALSE)),""))</f>
        <v>Suspension Bar</v>
      </c>
      <c r="H674" s="8" t="str">
        <f>(IF((VLOOKUP(Table6[[#This Row],[SKU]],'All Skus'!$A:$AC,2,FALSE))="JBL",(VLOOKUP(Table6[[#This Row],[SKU]],'All Skus'!$A:$AC,9,FALSE)),""))</f>
        <v>Suspension Bar for A6 and B15</v>
      </c>
      <c r="I674" s="101" t="str">
        <f>(IF((VLOOKUP(Table6[[#This Row],[SKU]],'All Skus'!$A:$AC,2,FALSE))="JBL",(VLOOKUP(Table6[[#This Row],[SKU]],'All Skus'!$A:$AC,10,FALSE)),""))</f>
        <v>“Price On Application (POA) Contact your Representative"</v>
      </c>
      <c r="J674" s="101" t="str">
        <f>(IF((VLOOKUP(Table6[[#This Row],[SKU]],'All Skus'!$A:$AC,2,FALSE))="JBL",(VLOOKUP(Table6[[#This Row],[SKU]],'All Skus'!$A:$AC,11,FALSE)),""))</f>
        <v>“Price On Application (POA) Contact your Representative"</v>
      </c>
      <c r="K674" s="102">
        <f>(IF((VLOOKUP(Table6[[#This Row],[SKU]],'All Skus'!$A:$AC,2,FALSE))="JBL",(VLOOKUP(Table6[[#This Row],[SKU]],'All Skus'!$A:$AC,13,FALSE)),""))</f>
        <v>0</v>
      </c>
      <c r="L674" s="102">
        <f>(IF((VLOOKUP(Table6[[#This Row],[SKU]],'All Skus'!$A:$AC,2,FALSE))="JBL",(VLOOKUP(Table6[[#This Row],[SKU]],'All Skus'!$A:$AC,14,FALSE)),""))</f>
        <v>0</v>
      </c>
      <c r="M674" s="143">
        <f>(IF((VLOOKUP(Table6[[#This Row],[SKU]],'All Skus'!$A:$AC,2,FALSE))="JBL",(VLOOKUP(Table6[[#This Row],[SKU]],'All Skus'!$A:$AC,15,FALSE)),""))</f>
        <v>0</v>
      </c>
      <c r="N674" s="137">
        <f>(IF((VLOOKUP(Table6[[#This Row],[SKU]],'All Skus'!$A:$AC,2,FALSE))="JBL",(VLOOKUP(Table6[[#This Row],[SKU]],'All Skus'!$A:$AC,16,FALSE)),""))</f>
        <v>691991035838</v>
      </c>
      <c r="O674" s="61">
        <f>(IF((VLOOKUP(Table6[[#This Row],[SKU]],'All Skus'!$A:$AC,2,FALSE))="JBL",(VLOOKUP(Table6[[#This Row],[SKU]],'All Skus'!$A:$AC,17,FALSE)),""))</f>
        <v>0</v>
      </c>
      <c r="P674" s="136">
        <f>(IF((VLOOKUP(Table6[[#This Row],[SKU]],'All Skus'!$A:$AC,2,FALSE))="JBL",(VLOOKUP(Table6[[#This Row],[SKU]],'All Skus'!$A:$AC,18,FALSE)),""))</f>
        <v>2.4</v>
      </c>
      <c r="Q674" s="136">
        <f>(IF((VLOOKUP(Table6[[#This Row],[SKU]],'All Skus'!$A:$AC,2,FALSE))="JBL",(VLOOKUP(Table6[[#This Row],[SKU]],'All Skus'!$A:$AC,19,FALSE)),""))</f>
        <v>20.399999999999999</v>
      </c>
      <c r="R674" s="136">
        <f>(IF((VLOOKUP(Table6[[#This Row],[SKU]],'All Skus'!$A:$AC,2,FALSE))="JBL",(VLOOKUP(Table6[[#This Row],[SKU]],'All Skus'!$A:$AC,20,FALSE)),""))</f>
        <v>2.6</v>
      </c>
      <c r="S674" s="61">
        <f>(IF((VLOOKUP(Table6[[#This Row],[SKU]],'All Skus'!$A:$AC,2,FALSE))="JBL",(VLOOKUP(Table6[[#This Row],[SKU]],'All Skus'!$A:$AC,21,FALSE)),""))</f>
        <v>3.9</v>
      </c>
      <c r="T674" s="61" t="str">
        <f>(IF((VLOOKUP(Table6[[#This Row],[SKU]],'All Skus'!$A:$AC,2,FALSE))="JBL",(VLOOKUP(Table6[[#This Row],[SKU]],'All Skus'!$A:$AC,22,FALSE)),""))</f>
        <v>MX</v>
      </c>
      <c r="U674">
        <f>(IF((VLOOKUP(Table6[[#This Row],[SKU]],'All Skus'!$A:$AC,2,FALSE))="JBL",(VLOOKUP(Table6[[#This Row],[SKU]],'All Skus'!$A:$AC,23,FALSE)),""))</f>
        <v>0</v>
      </c>
      <c r="V674" s="284" t="str">
        <f>HYPERLINK((IF((VLOOKUP(Table6[[#This Row],[SKU]],'All Skus'!$A:$AC,2,FALSE))="JBL",(VLOOKUP(Table6[[#This Row],[SKU]],'All Skus'!$A:$AC,24,FALSE)),"")))</f>
        <v/>
      </c>
      <c r="W674" s="151">
        <v>672</v>
      </c>
    </row>
    <row r="675" spans="1:23" ht="15" hidden="1" customHeight="1">
      <c r="A675" s="13" t="s">
        <v>1685</v>
      </c>
      <c r="B675" s="12" t="str">
        <f>(IF((VLOOKUP(Table6[[#This Row],[SKU]],'All Skus'!$A:$AC,2,FALSE))="JBL",(VLOOKUP(Table6[[#This Row],[SKU]],'All Skus'!$A:$AC,3,FALSE)),""))</f>
        <v>VTX SERIES</v>
      </c>
      <c r="C675" s="12" t="str">
        <f>(IF((VLOOKUP(Table6[[#This Row],[SKU]],'All Skus'!$A:$AC,2,FALSE))="JBL",(VLOOKUP(Table6[[#This Row],[SKU]],'All Skus'!$A:$AC,4,FALSE)),""))</f>
        <v>VTX PM</v>
      </c>
      <c r="D675" s="61" t="str">
        <f>(IF((VLOOKUP(Table6[[#This Row],[SKU]],'All Skus'!$A:$AC,2,FALSE))="JBL",(VLOOKUP(Table6[[#This Row],[SKU]],'All Skus'!$A:$AC,5,FALSE)),""))</f>
        <v>JBL020</v>
      </c>
      <c r="E675" s="137">
        <f>(IF((VLOOKUP(Table6[[#This Row],[SKU]],'All Skus'!$A:$AC,2,FALSE))="JBL",(VLOOKUP(Table6[[#This Row],[SKU]],'All Skus'!$A:$AC,6,FALSE)),""))</f>
        <v>0</v>
      </c>
      <c r="F675" s="61" t="str">
        <f>(IF((VLOOKUP(Table6[[#This Row],[SKU]],'All Skus'!$A:$AC,2,FALSE))="JBL",(VLOOKUP(Table6[[#This Row],[SKU]],'All Skus'!$A:$AC,7,FALSE)),""))</f>
        <v>NEW</v>
      </c>
      <c r="G675">
        <f>(IF((VLOOKUP(Table6[[#This Row],[SKU]],'All Skus'!$A:$AC,2,FALSE))="JBL",(VLOOKUP(Table6[[#This Row],[SKU]],'All Skus'!$A:$AC,8,FALSE)),""))</f>
        <v>0</v>
      </c>
      <c r="H675" s="8" t="str">
        <f>(IF((VLOOKUP(Table6[[#This Row],[SKU]],'All Skus'!$A:$AC,2,FALSE))="JBL",(VLOOKUP(Table6[[#This Row],[SKU]],'All Skus'!$A:$AC,9,FALSE)),""))</f>
        <v>Universal 35mm Ple Mount Adapter, T-Bar Style</v>
      </c>
      <c r="I675" s="101" t="str">
        <f>(IF((VLOOKUP(Table6[[#This Row],[SKU]],'All Skus'!$A:$AC,2,FALSE))="JBL",(VLOOKUP(Table6[[#This Row],[SKU]],'All Skus'!$A:$AC,10,FALSE)),""))</f>
        <v>“Price On Application (POA) Contact your Representative"</v>
      </c>
      <c r="J675" s="101" t="str">
        <f>(IF((VLOOKUP(Table6[[#This Row],[SKU]],'All Skus'!$A:$AC,2,FALSE))="JBL",(VLOOKUP(Table6[[#This Row],[SKU]],'All Skus'!$A:$AC,11,FALSE)),""))</f>
        <v>“Price On Application (POA) Contact your Representative"</v>
      </c>
      <c r="K675" s="102">
        <f>(IF((VLOOKUP(Table6[[#This Row],[SKU]],'All Skus'!$A:$AC,2,FALSE))="JBL",(VLOOKUP(Table6[[#This Row],[SKU]],'All Skus'!$A:$AC,13,FALSE)),""))</f>
        <v>0</v>
      </c>
      <c r="L675" s="102">
        <f>(IF((VLOOKUP(Table6[[#This Row],[SKU]],'All Skus'!$A:$AC,2,FALSE))="JBL",(VLOOKUP(Table6[[#This Row],[SKU]],'All Skus'!$A:$AC,14,FALSE)),""))</f>
        <v>0</v>
      </c>
      <c r="M675" s="143">
        <f>(IF((VLOOKUP(Table6[[#This Row],[SKU]],'All Skus'!$A:$AC,2,FALSE))="JBL",(VLOOKUP(Table6[[#This Row],[SKU]],'All Skus'!$A:$AC,15,FALSE)),""))</f>
        <v>0</v>
      </c>
      <c r="N675" s="137">
        <f>(IF((VLOOKUP(Table6[[#This Row],[SKU]],'All Skus'!$A:$AC,2,FALSE))="JBL",(VLOOKUP(Table6[[#This Row],[SKU]],'All Skus'!$A:$AC,16,FALSE)),""))</f>
        <v>691991038471</v>
      </c>
      <c r="O675" s="61">
        <f>(IF((VLOOKUP(Table6[[#This Row],[SKU]],'All Skus'!$A:$AC,2,FALSE))="JBL",(VLOOKUP(Table6[[#This Row],[SKU]],'All Skus'!$A:$AC,17,FALSE)),""))</f>
        <v>0</v>
      </c>
      <c r="P675" s="136">
        <f>(IF((VLOOKUP(Table6[[#This Row],[SKU]],'All Skus'!$A:$AC,2,FALSE))="JBL",(VLOOKUP(Table6[[#This Row],[SKU]],'All Skus'!$A:$AC,18,FALSE)),""))</f>
        <v>0</v>
      </c>
      <c r="Q675" s="136">
        <f>(IF((VLOOKUP(Table6[[#This Row],[SKU]],'All Skus'!$A:$AC,2,FALSE))="JBL",(VLOOKUP(Table6[[#This Row],[SKU]],'All Skus'!$A:$AC,19,FALSE)),""))</f>
        <v>0</v>
      </c>
      <c r="R675" s="136">
        <f>(IF((VLOOKUP(Table6[[#This Row],[SKU]],'All Skus'!$A:$AC,2,FALSE))="JBL",(VLOOKUP(Table6[[#This Row],[SKU]],'All Skus'!$A:$AC,20,FALSE)),""))</f>
        <v>0</v>
      </c>
      <c r="S675" s="61">
        <f>(IF((VLOOKUP(Table6[[#This Row],[SKU]],'All Skus'!$A:$AC,2,FALSE))="JBL",(VLOOKUP(Table6[[#This Row],[SKU]],'All Skus'!$A:$AC,21,FALSE)),""))</f>
        <v>0</v>
      </c>
      <c r="T675" s="61" t="str">
        <f>(IF((VLOOKUP(Table6[[#This Row],[SKU]],'All Skus'!$A:$AC,2,FALSE))="JBL",(VLOOKUP(Table6[[#This Row],[SKU]],'All Skus'!$A:$AC,22,FALSE)),""))</f>
        <v>ZZ</v>
      </c>
      <c r="U675">
        <f>(IF((VLOOKUP(Table6[[#This Row],[SKU]],'All Skus'!$A:$AC,2,FALSE))="JBL",(VLOOKUP(Table6[[#This Row],[SKU]],'All Skus'!$A:$AC,23,FALSE)),""))</f>
        <v>0</v>
      </c>
      <c r="V675" s="284" t="str">
        <f>HYPERLINK((IF((VLOOKUP(Table6[[#This Row],[SKU]],'All Skus'!$A:$AC,2,FALSE))="JBL",(VLOOKUP(Table6[[#This Row],[SKU]],'All Skus'!$A:$AC,24,FALSE)),"")))</f>
        <v/>
      </c>
      <c r="W675" s="151">
        <v>673</v>
      </c>
    </row>
    <row r="676" spans="1:23" ht="15" hidden="1" customHeight="1">
      <c r="A676" s="13" t="s">
        <v>1843</v>
      </c>
      <c r="B676" s="12" t="str">
        <f>(IF((VLOOKUP(Table6[[#This Row],[SKU]],'All Skus'!$A:$AC,2,FALSE))="JBL",(VLOOKUP(Table6[[#This Row],[SKU]],'All Skus'!$A:$AC,3,FALSE)),""))</f>
        <v>VTX SERIES</v>
      </c>
      <c r="C676" s="12" t="str">
        <f>(IF((VLOOKUP(Table6[[#This Row],[SKU]],'All Skus'!$A:$AC,2,FALSE))="JBL",(VLOOKUP(Table6[[#This Row],[SKU]],'All Skus'!$A:$AC,4,FALSE)),""))</f>
        <v>VTX PM</v>
      </c>
      <c r="D676" s="61" t="str">
        <f>(IF((VLOOKUP(Table6[[#This Row],[SKU]],'All Skus'!$A:$AC,2,FALSE))="JBL",(VLOOKUP(Table6[[#This Row],[SKU]],'All Skus'!$A:$AC,5,FALSE)),""))</f>
        <v>JBL020</v>
      </c>
      <c r="E676" s="137">
        <f>(IF((VLOOKUP(Table6[[#This Row],[SKU]],'All Skus'!$A:$AC,2,FALSE))="JBL",(VLOOKUP(Table6[[#This Row],[SKU]],'All Skus'!$A:$AC,6,FALSE)),""))</f>
        <v>0</v>
      </c>
      <c r="F676" s="61" t="str">
        <f>(IF((VLOOKUP(Table6[[#This Row],[SKU]],'All Skus'!$A:$AC,2,FALSE))="JBL",(VLOOKUP(Table6[[#This Row],[SKU]],'All Skus'!$A:$AC,7,FALSE)),""))</f>
        <v>NEW</v>
      </c>
      <c r="G676">
        <f>(IF((VLOOKUP(Table6[[#This Row],[SKU]],'All Skus'!$A:$AC,2,FALSE))="JBL",(VLOOKUP(Table6[[#This Row],[SKU]],'All Skus'!$A:$AC,8,FALSE)),""))</f>
        <v>0</v>
      </c>
      <c r="H676" s="8" t="str">
        <f>(IF((VLOOKUP(Table6[[#This Row],[SKU]],'All Skus'!$A:$AC,2,FALSE))="JBL",(VLOOKUP(Table6[[#This Row],[SKU]],'All Skus'!$A:$AC,9,FALSE)),""))</f>
        <v>Universal 35mm Ple Mount Adapter, T-Bar Style</v>
      </c>
      <c r="I676" s="101" t="str">
        <f>(IF((VLOOKUP(Table6[[#This Row],[SKU]],'All Skus'!$A:$AC,2,FALSE))="JBL",(VLOOKUP(Table6[[#This Row],[SKU]],'All Skus'!$A:$AC,10,FALSE)),""))</f>
        <v>“Price On Application (POA) Contact your Representative"</v>
      </c>
      <c r="J676" s="101" t="str">
        <f>(IF((VLOOKUP(Table6[[#This Row],[SKU]],'All Skus'!$A:$AC,2,FALSE))="JBL",(VLOOKUP(Table6[[#This Row],[SKU]],'All Skus'!$A:$AC,11,FALSE)),""))</f>
        <v>“Price On Application (POA) Contact your Representative"</v>
      </c>
      <c r="K676" s="102">
        <f>(IF((VLOOKUP(Table6[[#This Row],[SKU]],'All Skus'!$A:$AC,2,FALSE))="JBL",(VLOOKUP(Table6[[#This Row],[SKU]],'All Skus'!$A:$AC,13,FALSE)),""))</f>
        <v>0</v>
      </c>
      <c r="L676" s="102">
        <f>(IF((VLOOKUP(Table6[[#This Row],[SKU]],'All Skus'!$A:$AC,2,FALSE))="JBL",(VLOOKUP(Table6[[#This Row],[SKU]],'All Skus'!$A:$AC,14,FALSE)),""))</f>
        <v>0</v>
      </c>
      <c r="M676" s="143">
        <f>(IF((VLOOKUP(Table6[[#This Row],[SKU]],'All Skus'!$A:$AC,2,FALSE))="JBL",(VLOOKUP(Table6[[#This Row],[SKU]],'All Skus'!$A:$AC,15,FALSE)),""))</f>
        <v>0</v>
      </c>
      <c r="N676" s="137">
        <f>(IF((VLOOKUP(Table6[[#This Row],[SKU]],'All Skus'!$A:$AC,2,FALSE))="JBL",(VLOOKUP(Table6[[#This Row],[SKU]],'All Skus'!$A:$AC,16,FALSE)),""))</f>
        <v>691991038471</v>
      </c>
      <c r="O676" s="61">
        <f>(IF((VLOOKUP(Table6[[#This Row],[SKU]],'All Skus'!$A:$AC,2,FALSE))="JBL",(VLOOKUP(Table6[[#This Row],[SKU]],'All Skus'!$A:$AC,17,FALSE)),""))</f>
        <v>0</v>
      </c>
      <c r="P676" s="136">
        <f>(IF((VLOOKUP(Table6[[#This Row],[SKU]],'All Skus'!$A:$AC,2,FALSE))="JBL",(VLOOKUP(Table6[[#This Row],[SKU]],'All Skus'!$A:$AC,18,FALSE)),""))</f>
        <v>0</v>
      </c>
      <c r="Q676" s="136">
        <f>(IF((VLOOKUP(Table6[[#This Row],[SKU]],'All Skus'!$A:$AC,2,FALSE))="JBL",(VLOOKUP(Table6[[#This Row],[SKU]],'All Skus'!$A:$AC,19,FALSE)),""))</f>
        <v>0</v>
      </c>
      <c r="R676" s="136">
        <f>(IF((VLOOKUP(Table6[[#This Row],[SKU]],'All Skus'!$A:$AC,2,FALSE))="JBL",(VLOOKUP(Table6[[#This Row],[SKU]],'All Skus'!$A:$AC,20,FALSE)),""))</f>
        <v>0</v>
      </c>
      <c r="S676" s="61">
        <f>(IF((VLOOKUP(Table6[[#This Row],[SKU]],'All Skus'!$A:$AC,2,FALSE))="JBL",(VLOOKUP(Table6[[#This Row],[SKU]],'All Skus'!$A:$AC,21,FALSE)),""))</f>
        <v>0</v>
      </c>
      <c r="T676" s="61" t="str">
        <f>(IF((VLOOKUP(Table6[[#This Row],[SKU]],'All Skus'!$A:$AC,2,FALSE))="JBL",(VLOOKUP(Table6[[#This Row],[SKU]],'All Skus'!$A:$AC,22,FALSE)),""))</f>
        <v>ZZ</v>
      </c>
      <c r="U676">
        <f>(IF((VLOOKUP(Table6[[#This Row],[SKU]],'All Skus'!$A:$AC,2,FALSE))="JBL",(VLOOKUP(Table6[[#This Row],[SKU]],'All Skus'!$A:$AC,23,FALSE)),""))</f>
        <v>0</v>
      </c>
      <c r="V676" s="284" t="str">
        <f>HYPERLINK((IF((VLOOKUP(Table6[[#This Row],[SKU]],'All Skus'!$A:$AC,2,FALSE))="JBL",(VLOOKUP(Table6[[#This Row],[SKU]],'All Skus'!$A:$AC,24,FALSE)),"")))</f>
        <v/>
      </c>
      <c r="W676" s="151">
        <v>673</v>
      </c>
    </row>
    <row r="677" spans="1:23" ht="15" hidden="1" customHeight="1">
      <c r="A677" s="13" t="s">
        <v>1686</v>
      </c>
      <c r="B677" s="12" t="str">
        <f>(IF((VLOOKUP(Table6[[#This Row],[SKU]],'All Skus'!$A:$AC,2,FALSE))="JBL",(VLOOKUP(Table6[[#This Row],[SKU]],'All Skus'!$A:$AC,3,FALSE)),""))</f>
        <v>VTX SERIES</v>
      </c>
      <c r="C677" s="12" t="str">
        <f>(IF((VLOOKUP(Table6[[#This Row],[SKU]],'All Skus'!$A:$AC,2,FALSE))="JBL",(VLOOKUP(Table6[[#This Row],[SKU]],'All Skus'!$A:$AC,4,FALSE)),""))</f>
        <v>VTX A6 BP</v>
      </c>
      <c r="D677" s="61" t="str">
        <f>(IF((VLOOKUP(Table6[[#This Row],[SKU]],'All Skus'!$A:$AC,2,FALSE))="JBL",(VLOOKUP(Table6[[#This Row],[SKU]],'All Skus'!$A:$AC,5,FALSE)),""))</f>
        <v>JBL046</v>
      </c>
      <c r="E677" s="137" t="str">
        <f>(IF((VLOOKUP(Table6[[#This Row],[SKU]],'All Skus'!$A:$AC,2,FALSE))="JBL",(VLOOKUP(Table6[[#This Row],[SKU]],'All Skus'!$A:$AC,6,FALSE)),""))</f>
        <v>YES</v>
      </c>
      <c r="F677" s="61" t="str">
        <f>(IF((VLOOKUP(Table6[[#This Row],[SKU]],'All Skus'!$A:$AC,2,FALSE))="JBL",(VLOOKUP(Table6[[#This Row],[SKU]],'All Skus'!$A:$AC,7,FALSE)),""))</f>
        <v>NEW</v>
      </c>
      <c r="G677" t="str">
        <f>(IF((VLOOKUP(Table6[[#This Row],[SKU]],'All Skus'!$A:$AC,2,FALSE))="JBL",(VLOOKUP(Table6[[#This Row],[SKU]],'All Skus'!$A:$AC,8,FALSE)),""))</f>
        <v>Base Plate</v>
      </c>
      <c r="H677" s="8" t="str">
        <f>(IF((VLOOKUP(Table6[[#This Row],[SKU]],'All Skus'!$A:$AC,2,FALSE))="JBL",(VLOOKUP(Table6[[#This Row],[SKU]],'All Skus'!$A:$AC,9,FALSE)),""))</f>
        <v>Base Plate for A6</v>
      </c>
      <c r="I677" s="101" t="str">
        <f>(IF((VLOOKUP(Table6[[#This Row],[SKU]],'All Skus'!$A:$AC,2,FALSE))="JBL",(VLOOKUP(Table6[[#This Row],[SKU]],'All Skus'!$A:$AC,10,FALSE)),""))</f>
        <v>“Price On Application (POA) Contact your Representative"</v>
      </c>
      <c r="J677" s="101" t="str">
        <f>(IF((VLOOKUP(Table6[[#This Row],[SKU]],'All Skus'!$A:$AC,2,FALSE))="JBL",(VLOOKUP(Table6[[#This Row],[SKU]],'All Skus'!$A:$AC,11,FALSE)),""))</f>
        <v>“Price On Application (POA) Contact your Representative"</v>
      </c>
      <c r="K677" s="102">
        <f>(IF((VLOOKUP(Table6[[#This Row],[SKU]],'All Skus'!$A:$AC,2,FALSE))="JBL",(VLOOKUP(Table6[[#This Row],[SKU]],'All Skus'!$A:$AC,13,FALSE)),""))</f>
        <v>0</v>
      </c>
      <c r="L677" s="102">
        <f>(IF((VLOOKUP(Table6[[#This Row],[SKU]],'All Skus'!$A:$AC,2,FALSE))="JBL",(VLOOKUP(Table6[[#This Row],[SKU]],'All Skus'!$A:$AC,14,FALSE)),""))</f>
        <v>0</v>
      </c>
      <c r="M677" s="143">
        <f>(IF((VLOOKUP(Table6[[#This Row],[SKU]],'All Skus'!$A:$AC,2,FALSE))="JBL",(VLOOKUP(Table6[[#This Row],[SKU]],'All Skus'!$A:$AC,15,FALSE)),""))</f>
        <v>0</v>
      </c>
      <c r="N677" s="137">
        <f>(IF((VLOOKUP(Table6[[#This Row],[SKU]],'All Skus'!$A:$AC,2,FALSE))="JBL",(VLOOKUP(Table6[[#This Row],[SKU]],'All Skus'!$A:$AC,16,FALSE)),""))</f>
        <v>691991035821</v>
      </c>
      <c r="O677" s="61">
        <f>(IF((VLOOKUP(Table6[[#This Row],[SKU]],'All Skus'!$A:$AC,2,FALSE))="JBL",(VLOOKUP(Table6[[#This Row],[SKU]],'All Skus'!$A:$AC,17,FALSE)),""))</f>
        <v>0</v>
      </c>
      <c r="P677" s="136">
        <f>(IF((VLOOKUP(Table6[[#This Row],[SKU]],'All Skus'!$A:$AC,2,FALSE))="JBL",(VLOOKUP(Table6[[#This Row],[SKU]],'All Skus'!$A:$AC,18,FALSE)),""))</f>
        <v>2.2000000000000002</v>
      </c>
      <c r="Q677" s="136">
        <f>(IF((VLOOKUP(Table6[[#This Row],[SKU]],'All Skus'!$A:$AC,2,FALSE))="JBL",(VLOOKUP(Table6[[#This Row],[SKU]],'All Skus'!$A:$AC,19,FALSE)),""))</f>
        <v>20</v>
      </c>
      <c r="R677" s="136">
        <f>(IF((VLOOKUP(Table6[[#This Row],[SKU]],'All Skus'!$A:$AC,2,FALSE))="JBL",(VLOOKUP(Table6[[#This Row],[SKU]],'All Skus'!$A:$AC,20,FALSE)),""))</f>
        <v>11.9</v>
      </c>
      <c r="S677" s="61">
        <f>(IF((VLOOKUP(Table6[[#This Row],[SKU]],'All Skus'!$A:$AC,2,FALSE))="JBL",(VLOOKUP(Table6[[#This Row],[SKU]],'All Skus'!$A:$AC,21,FALSE)),""))</f>
        <v>11.6</v>
      </c>
      <c r="T677" s="61" t="str">
        <f>(IF((VLOOKUP(Table6[[#This Row],[SKU]],'All Skus'!$A:$AC,2,FALSE))="JBL",(VLOOKUP(Table6[[#This Row],[SKU]],'All Skus'!$A:$AC,22,FALSE)),""))</f>
        <v>MX</v>
      </c>
      <c r="U677">
        <f>(IF((VLOOKUP(Table6[[#This Row],[SKU]],'All Skus'!$A:$AC,2,FALSE))="JBL",(VLOOKUP(Table6[[#This Row],[SKU]],'All Skus'!$A:$AC,23,FALSE)),""))</f>
        <v>0</v>
      </c>
      <c r="V677" s="284" t="str">
        <f>HYPERLINK((IF((VLOOKUP(Table6[[#This Row],[SKU]],'All Skus'!$A:$AC,2,FALSE))="JBL",(VLOOKUP(Table6[[#This Row],[SKU]],'All Skus'!$A:$AC,24,FALSE)),"")))</f>
        <v/>
      </c>
      <c r="W677" s="151">
        <v>674</v>
      </c>
    </row>
    <row r="678" spans="1:23" ht="15" hidden="1" customHeight="1">
      <c r="A678" s="13" t="s">
        <v>1687</v>
      </c>
      <c r="B678" s="12" t="str">
        <f>(IF((VLOOKUP(Table6[[#This Row],[SKU]],'All Skus'!$A:$AC,2,FALSE))="JBL",(VLOOKUP(Table6[[#This Row],[SKU]],'All Skus'!$A:$AC,3,FALSE)),""))</f>
        <v>VTX SERIES</v>
      </c>
      <c r="C678" s="12" t="str">
        <f>(IF((VLOOKUP(Table6[[#This Row],[SKU]],'All Skus'!$A:$AC,2,FALSE))="JBL",(VLOOKUP(Table6[[#This Row],[SKU]],'All Skus'!$A:$AC,4,FALSE)),""))</f>
        <v>VTX A6 CASE</v>
      </c>
      <c r="D678" s="61">
        <f>(IF((VLOOKUP(Table6[[#This Row],[SKU]],'All Skus'!$A:$AC,2,FALSE))="JBL",(VLOOKUP(Table6[[#This Row],[SKU]],'All Skus'!$A:$AC,5,FALSE)),""))</f>
        <v>0</v>
      </c>
      <c r="E678" s="137" t="str">
        <f>(IF((VLOOKUP(Table6[[#This Row],[SKU]],'All Skus'!$A:$AC,2,FALSE))="JBL",(VLOOKUP(Table6[[#This Row],[SKU]],'All Skus'!$A:$AC,6,FALSE)),""))</f>
        <v>YES</v>
      </c>
      <c r="F678" s="61" t="str">
        <f>(IF((VLOOKUP(Table6[[#This Row],[SKU]],'All Skus'!$A:$AC,2,FALSE))="JBL",(VLOOKUP(Table6[[#This Row],[SKU]],'All Skus'!$A:$AC,7,FALSE)),""))</f>
        <v>NEW</v>
      </c>
      <c r="G678" t="str">
        <f>(IF((VLOOKUP(Table6[[#This Row],[SKU]],'All Skus'!$A:$AC,2,FALSE))="JBL",(VLOOKUP(Table6[[#This Row],[SKU]],'All Skus'!$A:$AC,8,FALSE)),""))</f>
        <v>Road Case</v>
      </c>
      <c r="H678" s="8" t="str">
        <f>(IF((VLOOKUP(Table6[[#This Row],[SKU]],'All Skus'!$A:$AC,2,FALSE))="JBL",(VLOOKUP(Table6[[#This Row],[SKU]],'All Skus'!$A:$AC,9,FALSE)),""))</f>
        <v xml:space="preserve">Road case for (4) VTX A6 and accessories </v>
      </c>
      <c r="I678" s="101" t="str">
        <f>(IF((VLOOKUP(Table6[[#This Row],[SKU]],'All Skus'!$A:$AC,2,FALSE))="JBL",(VLOOKUP(Table6[[#This Row],[SKU]],'All Skus'!$A:$AC,10,FALSE)),""))</f>
        <v>“Price On Application (POA) Contact your Representative"</v>
      </c>
      <c r="J678" s="101" t="str">
        <f>(IF((VLOOKUP(Table6[[#This Row],[SKU]],'All Skus'!$A:$AC,2,FALSE))="JBL",(VLOOKUP(Table6[[#This Row],[SKU]],'All Skus'!$A:$AC,11,FALSE)),""))</f>
        <v>“Price On Application (POA) Contact your Representative"</v>
      </c>
      <c r="K678" s="102">
        <f>(IF((VLOOKUP(Table6[[#This Row],[SKU]],'All Skus'!$A:$AC,2,FALSE))="JBL",(VLOOKUP(Table6[[#This Row],[SKU]],'All Skus'!$A:$AC,13,FALSE)),""))</f>
        <v>0</v>
      </c>
      <c r="L678" s="102">
        <f>(IF((VLOOKUP(Table6[[#This Row],[SKU]],'All Skus'!$A:$AC,2,FALSE))="JBL",(VLOOKUP(Table6[[#This Row],[SKU]],'All Skus'!$A:$AC,14,FALSE)),""))</f>
        <v>0</v>
      </c>
      <c r="M678" s="143">
        <f>(IF((VLOOKUP(Table6[[#This Row],[SKU]],'All Skus'!$A:$AC,2,FALSE))="JBL",(VLOOKUP(Table6[[#This Row],[SKU]],'All Skus'!$A:$AC,15,FALSE)),""))</f>
        <v>0</v>
      </c>
      <c r="N678" s="137">
        <f>(IF((VLOOKUP(Table6[[#This Row],[SKU]],'All Skus'!$A:$AC,2,FALSE))="JBL",(VLOOKUP(Table6[[#This Row],[SKU]],'All Skus'!$A:$AC,16,FALSE)),""))</f>
        <v>691991035814</v>
      </c>
      <c r="O678" s="61">
        <f>(IF((VLOOKUP(Table6[[#This Row],[SKU]],'All Skus'!$A:$AC,2,FALSE))="JBL",(VLOOKUP(Table6[[#This Row],[SKU]],'All Skus'!$A:$AC,17,FALSE)),""))</f>
        <v>0</v>
      </c>
      <c r="P678" s="136">
        <f>(IF((VLOOKUP(Table6[[#This Row],[SKU]],'All Skus'!$A:$AC,2,FALSE))="JBL",(VLOOKUP(Table6[[#This Row],[SKU]],'All Skus'!$A:$AC,18,FALSE)),""))</f>
        <v>43.5</v>
      </c>
      <c r="Q678" s="136">
        <f>(IF((VLOOKUP(Table6[[#This Row],[SKU]],'All Skus'!$A:$AC,2,FALSE))="JBL",(VLOOKUP(Table6[[#This Row],[SKU]],'All Skus'!$A:$AC,19,FALSE)),""))</f>
        <v>24.2</v>
      </c>
      <c r="R678" s="136">
        <f>(IF((VLOOKUP(Table6[[#This Row],[SKU]],'All Skus'!$A:$AC,2,FALSE))="JBL",(VLOOKUP(Table6[[#This Row],[SKU]],'All Skus'!$A:$AC,20,FALSE)),""))</f>
        <v>22.2</v>
      </c>
      <c r="S678" s="61">
        <f>(IF((VLOOKUP(Table6[[#This Row],[SKU]],'All Skus'!$A:$AC,2,FALSE))="JBL",(VLOOKUP(Table6[[#This Row],[SKU]],'All Skus'!$A:$AC,21,FALSE)),""))</f>
        <v>103</v>
      </c>
      <c r="T678" s="61" t="str">
        <f>(IF((VLOOKUP(Table6[[#This Row],[SKU]],'All Skus'!$A:$AC,2,FALSE))="JBL",(VLOOKUP(Table6[[#This Row],[SKU]],'All Skus'!$A:$AC,22,FALSE)),""))</f>
        <v>MX</v>
      </c>
      <c r="U678">
        <f>(IF((VLOOKUP(Table6[[#This Row],[SKU]],'All Skus'!$A:$AC,2,FALSE))="JBL",(VLOOKUP(Table6[[#This Row],[SKU]],'All Skus'!$A:$AC,23,FALSE)),""))</f>
        <v>0</v>
      </c>
      <c r="V678" s="284" t="str">
        <f>HYPERLINK((IF((VLOOKUP(Table6[[#This Row],[SKU]],'All Skus'!$A:$AC,2,FALSE))="JBL",(VLOOKUP(Table6[[#This Row],[SKU]],'All Skus'!$A:$AC,24,FALSE)),"")))</f>
        <v/>
      </c>
      <c r="W678" s="151">
        <v>675</v>
      </c>
    </row>
    <row r="679" spans="1:23" ht="15" hidden="1" customHeight="1">
      <c r="A679" s="13" t="s">
        <v>1688</v>
      </c>
      <c r="B679" s="12" t="str">
        <f>(IF((VLOOKUP(Table6[[#This Row],[SKU]],'All Skus'!$A:$AC,2,FALSE))="JBL",(VLOOKUP(Table6[[#This Row],[SKU]],'All Skus'!$A:$AC,3,FALSE)),""))</f>
        <v>VTX SERIES</v>
      </c>
      <c r="C679" s="12" t="str">
        <f>(IF((VLOOKUP(Table6[[#This Row],[SKU]],'All Skus'!$A:$AC,2,FALSE))="JBL",(VLOOKUP(Table6[[#This Row],[SKU]],'All Skus'!$A:$AC,4,FALSE)),""))</f>
        <v>VTX B15 ACC</v>
      </c>
      <c r="D679" s="61" t="str">
        <f>(IF((VLOOKUP(Table6[[#This Row],[SKU]],'All Skus'!$A:$AC,2,FALSE))="JBL",(VLOOKUP(Table6[[#This Row],[SKU]],'All Skus'!$A:$AC,5,FALSE)),""))</f>
        <v>JBL046</v>
      </c>
      <c r="E679" s="137" t="str">
        <f>(IF((VLOOKUP(Table6[[#This Row],[SKU]],'All Skus'!$A:$AC,2,FALSE))="JBL",(VLOOKUP(Table6[[#This Row],[SKU]],'All Skus'!$A:$AC,6,FALSE)),""))</f>
        <v>YES</v>
      </c>
      <c r="F679" s="61" t="str">
        <f>(IF((VLOOKUP(Table6[[#This Row],[SKU]],'All Skus'!$A:$AC,2,FALSE))="JBL",(VLOOKUP(Table6[[#This Row],[SKU]],'All Skus'!$A:$AC,7,FALSE)),""))</f>
        <v>NEW</v>
      </c>
      <c r="G679" t="str">
        <f>(IF((VLOOKUP(Table6[[#This Row],[SKU]],'All Skus'!$A:$AC,2,FALSE))="JBL",(VLOOKUP(Table6[[#This Row],[SKU]],'All Skus'!$A:$AC,8,FALSE)),""))</f>
        <v>Transportation Accessory</v>
      </c>
      <c r="H679" s="8" t="str">
        <f>(IF((VLOOKUP(Table6[[#This Row],[SKU]],'All Skus'!$A:$AC,2,FALSE))="JBL",(VLOOKUP(Table6[[#This Row],[SKU]],'All Skus'!$A:$AC,9,FALSE)),""))</f>
        <v>Accessory Cover &amp; Caster board for B15 and B15G</v>
      </c>
      <c r="I679" s="101" t="str">
        <f>(IF((VLOOKUP(Table6[[#This Row],[SKU]],'All Skus'!$A:$AC,2,FALSE))="JBL",(VLOOKUP(Table6[[#This Row],[SKU]],'All Skus'!$A:$AC,10,FALSE)),""))</f>
        <v>“Price On Application (POA) Contact your Representative"</v>
      </c>
      <c r="J679" s="101" t="str">
        <f>(IF((VLOOKUP(Table6[[#This Row],[SKU]],'All Skus'!$A:$AC,2,FALSE))="JBL",(VLOOKUP(Table6[[#This Row],[SKU]],'All Skus'!$A:$AC,11,FALSE)),""))</f>
        <v>“Price On Application (POA) Contact your Representative"</v>
      </c>
      <c r="K679" s="102">
        <f>(IF((VLOOKUP(Table6[[#This Row],[SKU]],'All Skus'!$A:$AC,2,FALSE))="JBL",(VLOOKUP(Table6[[#This Row],[SKU]],'All Skus'!$A:$AC,13,FALSE)),""))</f>
        <v>0</v>
      </c>
      <c r="L679" s="102">
        <f>(IF((VLOOKUP(Table6[[#This Row],[SKU]],'All Skus'!$A:$AC,2,FALSE))="JBL",(VLOOKUP(Table6[[#This Row],[SKU]],'All Skus'!$A:$AC,14,FALSE)),""))</f>
        <v>0</v>
      </c>
      <c r="M679" s="143">
        <f>(IF((VLOOKUP(Table6[[#This Row],[SKU]],'All Skus'!$A:$AC,2,FALSE))="JBL",(VLOOKUP(Table6[[#This Row],[SKU]],'All Skus'!$A:$AC,15,FALSE)),""))</f>
        <v>0</v>
      </c>
      <c r="N679" s="137">
        <f>(IF((VLOOKUP(Table6[[#This Row],[SKU]],'All Skus'!$A:$AC,2,FALSE))="JBL",(VLOOKUP(Table6[[#This Row],[SKU]],'All Skus'!$A:$AC,16,FALSE)),""))</f>
        <v>691991035807</v>
      </c>
      <c r="O679" s="61">
        <f>(IF((VLOOKUP(Table6[[#This Row],[SKU]],'All Skus'!$A:$AC,2,FALSE))="JBL",(VLOOKUP(Table6[[#This Row],[SKU]],'All Skus'!$A:$AC,17,FALSE)),""))</f>
        <v>0</v>
      </c>
      <c r="P679" s="136">
        <f>(IF((VLOOKUP(Table6[[#This Row],[SKU]],'All Skus'!$A:$AC,2,FALSE))="JBL",(VLOOKUP(Table6[[#This Row],[SKU]],'All Skus'!$A:$AC,18,FALSE)),""))</f>
        <v>4.9000000000000004</v>
      </c>
      <c r="Q679" s="136">
        <f>(IF((VLOOKUP(Table6[[#This Row],[SKU]],'All Skus'!$A:$AC,2,FALSE))="JBL",(VLOOKUP(Table6[[#This Row],[SKU]],'All Skus'!$A:$AC,19,FALSE)),""))</f>
        <v>21.1</v>
      </c>
      <c r="R679" s="136">
        <f>(IF((VLOOKUP(Table6[[#This Row],[SKU]],'All Skus'!$A:$AC,2,FALSE))="JBL",(VLOOKUP(Table6[[#This Row],[SKU]],'All Skus'!$A:$AC,20,FALSE)),""))</f>
        <v>18</v>
      </c>
      <c r="S679" s="61">
        <f>(IF((VLOOKUP(Table6[[#This Row],[SKU]],'All Skus'!$A:$AC,2,FALSE))="JBL",(VLOOKUP(Table6[[#This Row],[SKU]],'All Skus'!$A:$AC,21,FALSE)),""))</f>
        <v>15.4</v>
      </c>
      <c r="T679" s="61" t="str">
        <f>(IF((VLOOKUP(Table6[[#This Row],[SKU]],'All Skus'!$A:$AC,2,FALSE))="JBL",(VLOOKUP(Table6[[#This Row],[SKU]],'All Skus'!$A:$AC,22,FALSE)),""))</f>
        <v>MX</v>
      </c>
      <c r="U679">
        <f>(IF((VLOOKUP(Table6[[#This Row],[SKU]],'All Skus'!$A:$AC,2,FALSE))="JBL",(VLOOKUP(Table6[[#This Row],[SKU]],'All Skus'!$A:$AC,23,FALSE)),""))</f>
        <v>0</v>
      </c>
      <c r="V679" s="284" t="str">
        <f>HYPERLINK((IF((VLOOKUP(Table6[[#This Row],[SKU]],'All Skus'!$A:$AC,2,FALSE))="JBL",(VLOOKUP(Table6[[#This Row],[SKU]],'All Skus'!$A:$AC,24,FALSE)),"")))</f>
        <v/>
      </c>
      <c r="W679" s="151">
        <v>676</v>
      </c>
    </row>
    <row r="680" spans="1:23" ht="15" hidden="1" customHeight="1">
      <c r="A680" s="13" t="s">
        <v>1689</v>
      </c>
      <c r="B680" s="12" t="str">
        <f>(IF((VLOOKUP(Table6[[#This Row],[SKU]],'All Skus'!$A:$AC,2,FALSE))="JBL",(VLOOKUP(Table6[[#This Row],[SKU]],'All Skus'!$A:$AC,3,FALSE)),""))</f>
        <v>VTX SERIES</v>
      </c>
      <c r="C680" s="12" t="str">
        <f>(IF((VLOOKUP(Table6[[#This Row],[SKU]],'All Skus'!$A:$AC,2,FALSE))="JBL",(VLOOKUP(Table6[[#This Row],[SKU]],'All Skus'!$A:$AC,4,FALSE)),""))</f>
        <v>VTX B1 GND</v>
      </c>
      <c r="D680" s="61" t="str">
        <f>(IF((VLOOKUP(Table6[[#This Row],[SKU]],'All Skus'!$A:$AC,2,FALSE))="JBL",(VLOOKUP(Table6[[#This Row],[SKU]],'All Skus'!$A:$AC,5,FALSE)),""))</f>
        <v>JBL046</v>
      </c>
      <c r="E680" s="137" t="str">
        <f>(IF((VLOOKUP(Table6[[#This Row],[SKU]],'All Skus'!$A:$AC,2,FALSE))="JBL",(VLOOKUP(Table6[[#This Row],[SKU]],'All Skus'!$A:$AC,6,FALSE)),""))</f>
        <v>YES</v>
      </c>
      <c r="F680" s="61" t="str">
        <f>(IF((VLOOKUP(Table6[[#This Row],[SKU]],'All Skus'!$A:$AC,2,FALSE))="JBL",(VLOOKUP(Table6[[#This Row],[SKU]],'All Skus'!$A:$AC,7,FALSE)),""))</f>
        <v>NEW</v>
      </c>
      <c r="G680" t="str">
        <f>(IF((VLOOKUP(Table6[[#This Row],[SKU]],'All Skus'!$A:$AC,2,FALSE))="JBL",(VLOOKUP(Table6[[#This Row],[SKU]],'All Skus'!$A:$AC,8,FALSE)),""))</f>
        <v>Ground Stack Accessory</v>
      </c>
      <c r="H680" s="8" t="str">
        <f>(IF((VLOOKUP(Table6[[#This Row],[SKU]],'All Skus'!$A:$AC,2,FALSE))="JBL",(VLOOKUP(Table6[[#This Row],[SKU]],'All Skus'!$A:$AC,9,FALSE)),""))</f>
        <v>Universal Ground Stack Accessory, compatible with B15 and B18</v>
      </c>
      <c r="I680" s="101" t="str">
        <f>(IF((VLOOKUP(Table6[[#This Row],[SKU]],'All Skus'!$A:$AC,2,FALSE))="JBL",(VLOOKUP(Table6[[#This Row],[SKU]],'All Skus'!$A:$AC,10,FALSE)),""))</f>
        <v>“Price On Application (POA) Contact your Representative"</v>
      </c>
      <c r="J680" s="101" t="str">
        <f>(IF((VLOOKUP(Table6[[#This Row],[SKU]],'All Skus'!$A:$AC,2,FALSE))="JBL",(VLOOKUP(Table6[[#This Row],[SKU]],'All Skus'!$A:$AC,11,FALSE)),""))</f>
        <v>“Price On Application (POA) Contact your Representative"</v>
      </c>
      <c r="K680" s="102">
        <f>(IF((VLOOKUP(Table6[[#This Row],[SKU]],'All Skus'!$A:$AC,2,FALSE))="JBL",(VLOOKUP(Table6[[#This Row],[SKU]],'All Skus'!$A:$AC,13,FALSE)),""))</f>
        <v>0</v>
      </c>
      <c r="L680" s="102">
        <f>(IF((VLOOKUP(Table6[[#This Row],[SKU]],'All Skus'!$A:$AC,2,FALSE))="JBL",(VLOOKUP(Table6[[#This Row],[SKU]],'All Skus'!$A:$AC,14,FALSE)),""))</f>
        <v>0</v>
      </c>
      <c r="M680" s="143">
        <f>(IF((VLOOKUP(Table6[[#This Row],[SKU]],'All Skus'!$A:$AC,2,FALSE))="JBL",(VLOOKUP(Table6[[#This Row],[SKU]],'All Skus'!$A:$AC,15,FALSE)),""))</f>
        <v>0</v>
      </c>
      <c r="N680" s="137">
        <f>(IF((VLOOKUP(Table6[[#This Row],[SKU]],'All Skus'!$A:$AC,2,FALSE))="JBL",(VLOOKUP(Table6[[#This Row],[SKU]],'All Skus'!$A:$AC,16,FALSE)),""))</f>
        <v>691991035791</v>
      </c>
      <c r="O680" s="61">
        <f>(IF((VLOOKUP(Table6[[#This Row],[SKU]],'All Skus'!$A:$AC,2,FALSE))="JBL",(VLOOKUP(Table6[[#This Row],[SKU]],'All Skus'!$A:$AC,17,FALSE)),""))</f>
        <v>0</v>
      </c>
      <c r="P680" s="136">
        <f>(IF((VLOOKUP(Table6[[#This Row],[SKU]],'All Skus'!$A:$AC,2,FALSE))="JBL",(VLOOKUP(Table6[[#This Row],[SKU]],'All Skus'!$A:$AC,18,FALSE)),""))</f>
        <v>1.5</v>
      </c>
      <c r="Q680" s="136">
        <f>(IF((VLOOKUP(Table6[[#This Row],[SKU]],'All Skus'!$A:$AC,2,FALSE))="JBL",(VLOOKUP(Table6[[#This Row],[SKU]],'All Skus'!$A:$AC,19,FALSE)),""))</f>
        <v>4</v>
      </c>
      <c r="R680" s="136">
        <f>(IF((VLOOKUP(Table6[[#This Row],[SKU]],'All Skus'!$A:$AC,2,FALSE))="JBL",(VLOOKUP(Table6[[#This Row],[SKU]],'All Skus'!$A:$AC,20,FALSE)),""))</f>
        <v>5</v>
      </c>
      <c r="S680" s="61">
        <f>(IF((VLOOKUP(Table6[[#This Row],[SKU]],'All Skus'!$A:$AC,2,FALSE))="JBL",(VLOOKUP(Table6[[#This Row],[SKU]],'All Skus'!$A:$AC,21,FALSE)),""))</f>
        <v>4.8</v>
      </c>
      <c r="T680" s="61" t="str">
        <f>(IF((VLOOKUP(Table6[[#This Row],[SKU]],'All Skus'!$A:$AC,2,FALSE))="JBL",(VLOOKUP(Table6[[#This Row],[SKU]],'All Skus'!$A:$AC,22,FALSE)),""))</f>
        <v>MX</v>
      </c>
      <c r="U680">
        <f>(IF((VLOOKUP(Table6[[#This Row],[SKU]],'All Skus'!$A:$AC,2,FALSE))="JBL",(VLOOKUP(Table6[[#This Row],[SKU]],'All Skus'!$A:$AC,23,FALSE)),""))</f>
        <v>0</v>
      </c>
      <c r="V680" s="284" t="str">
        <f>HYPERLINK((IF((VLOOKUP(Table6[[#This Row],[SKU]],'All Skus'!$A:$AC,2,FALSE))="JBL",(VLOOKUP(Table6[[#This Row],[SKU]],'All Skus'!$A:$AC,24,FALSE)),"")))</f>
        <v/>
      </c>
      <c r="W680" s="151">
        <v>677</v>
      </c>
    </row>
    <row r="681" spans="1:23" ht="15" hidden="1" customHeight="1">
      <c r="A681" s="13" t="s">
        <v>1690</v>
      </c>
      <c r="B681" s="12" t="str">
        <f>(IF((VLOOKUP(Table6[[#This Row],[SKU]],'All Skus'!$A:$AC,2,FALSE))="JBL",(VLOOKUP(Table6[[#This Row],[SKU]],'All Skus'!$A:$AC,3,FALSE)),""))</f>
        <v>VTX SERIES</v>
      </c>
      <c r="C681" s="12" t="str">
        <f>(IF((VLOOKUP(Table6[[#This Row],[SKU]],'All Skus'!$A:$AC,2,FALSE))="JBL",(VLOOKUP(Table6[[#This Row],[SKU]],'All Skus'!$A:$AC,4,FALSE)),""))</f>
        <v>VTX A6 CM</v>
      </c>
      <c r="D681" s="61" t="str">
        <f>(IF((VLOOKUP(Table6[[#This Row],[SKU]],'All Skus'!$A:$AC,2,FALSE))="JBL",(VLOOKUP(Table6[[#This Row],[SKU]],'All Skus'!$A:$AC,5,FALSE)),""))</f>
        <v>JBL046</v>
      </c>
      <c r="E681" s="137" t="str">
        <f>(IF((VLOOKUP(Table6[[#This Row],[SKU]],'All Skus'!$A:$AC,2,FALSE))="JBL",(VLOOKUP(Table6[[#This Row],[SKU]],'All Skus'!$A:$AC,6,FALSE)),""))</f>
        <v>YES</v>
      </c>
      <c r="F681" s="61" t="str">
        <f>(IF((VLOOKUP(Table6[[#This Row],[SKU]],'All Skus'!$A:$AC,2,FALSE))="JBL",(VLOOKUP(Table6[[#This Row],[SKU]],'All Skus'!$A:$AC,7,FALSE)),""))</f>
        <v>NEW</v>
      </c>
      <c r="G681" t="str">
        <f>(IF((VLOOKUP(Table6[[#This Row],[SKU]],'All Skus'!$A:$AC,2,FALSE))="JBL",(VLOOKUP(Table6[[#This Row],[SKU]],'All Skus'!$A:$AC,8,FALSE)),""))</f>
        <v>Ceiling Mount</v>
      </c>
      <c r="H681" s="8" t="str">
        <f>(IF((VLOOKUP(Table6[[#This Row],[SKU]],'All Skus'!$A:$AC,2,FALSE))="JBL",(VLOOKUP(Table6[[#This Row],[SKU]],'All Skus'!$A:$AC,9,FALSE)),""))</f>
        <v>Ceiling Mount accessory for A6 and B15</v>
      </c>
      <c r="I681" s="101" t="str">
        <f>(IF((VLOOKUP(Table6[[#This Row],[SKU]],'All Skus'!$A:$AC,2,FALSE))="JBL",(VLOOKUP(Table6[[#This Row],[SKU]],'All Skus'!$A:$AC,10,FALSE)),""))</f>
        <v>“Price On Application (POA) Contact your Representative"</v>
      </c>
      <c r="J681" s="101" t="str">
        <f>(IF((VLOOKUP(Table6[[#This Row],[SKU]],'All Skus'!$A:$AC,2,FALSE))="JBL",(VLOOKUP(Table6[[#This Row],[SKU]],'All Skus'!$A:$AC,11,FALSE)),""))</f>
        <v>“Price On Application (POA) Contact your Representative"</v>
      </c>
      <c r="K681" s="102">
        <f>(IF((VLOOKUP(Table6[[#This Row],[SKU]],'All Skus'!$A:$AC,2,FALSE))="JBL",(VLOOKUP(Table6[[#This Row],[SKU]],'All Skus'!$A:$AC,13,FALSE)),""))</f>
        <v>0</v>
      </c>
      <c r="L681" s="102">
        <f>(IF((VLOOKUP(Table6[[#This Row],[SKU]],'All Skus'!$A:$AC,2,FALSE))="JBL",(VLOOKUP(Table6[[#This Row],[SKU]],'All Skus'!$A:$AC,14,FALSE)),""))</f>
        <v>0</v>
      </c>
      <c r="M681" s="143">
        <f>(IF((VLOOKUP(Table6[[#This Row],[SKU]],'All Skus'!$A:$AC,2,FALSE))="JBL",(VLOOKUP(Table6[[#This Row],[SKU]],'All Skus'!$A:$AC,15,FALSE)),""))</f>
        <v>0</v>
      </c>
      <c r="N681" s="137">
        <f>(IF((VLOOKUP(Table6[[#This Row],[SKU]],'All Skus'!$A:$AC,2,FALSE))="JBL",(VLOOKUP(Table6[[#This Row],[SKU]],'All Skus'!$A:$AC,16,FALSE)),""))</f>
        <v>691991037535</v>
      </c>
      <c r="O681" s="61">
        <f>(IF((VLOOKUP(Table6[[#This Row],[SKU]],'All Skus'!$A:$AC,2,FALSE))="JBL",(VLOOKUP(Table6[[#This Row],[SKU]],'All Skus'!$A:$AC,17,FALSE)),""))</f>
        <v>0</v>
      </c>
      <c r="P681" s="136">
        <f>(IF((VLOOKUP(Table6[[#This Row],[SKU]],'All Skus'!$A:$AC,2,FALSE))="JBL",(VLOOKUP(Table6[[#This Row],[SKU]],'All Skus'!$A:$AC,18,FALSE)),""))</f>
        <v>1.2</v>
      </c>
      <c r="Q681" s="136">
        <f>(IF((VLOOKUP(Table6[[#This Row],[SKU]],'All Skus'!$A:$AC,2,FALSE))="JBL",(VLOOKUP(Table6[[#This Row],[SKU]],'All Skus'!$A:$AC,19,FALSE)),""))</f>
        <v>20.399999999999999</v>
      </c>
      <c r="R681" s="136">
        <f>(IF((VLOOKUP(Table6[[#This Row],[SKU]],'All Skus'!$A:$AC,2,FALSE))="JBL",(VLOOKUP(Table6[[#This Row],[SKU]],'All Skus'!$A:$AC,20,FALSE)),""))</f>
        <v>11.9</v>
      </c>
      <c r="S681" s="61">
        <f>(IF((VLOOKUP(Table6[[#This Row],[SKU]],'All Skus'!$A:$AC,2,FALSE))="JBL",(VLOOKUP(Table6[[#This Row],[SKU]],'All Skus'!$A:$AC,21,FALSE)),""))</f>
        <v>2.2999999999999998</v>
      </c>
      <c r="T681" s="61" t="str">
        <f>(IF((VLOOKUP(Table6[[#This Row],[SKU]],'All Skus'!$A:$AC,2,FALSE))="JBL",(VLOOKUP(Table6[[#This Row],[SKU]],'All Skus'!$A:$AC,22,FALSE)),""))</f>
        <v>MX</v>
      </c>
      <c r="U681">
        <f>(IF((VLOOKUP(Table6[[#This Row],[SKU]],'All Skus'!$A:$AC,2,FALSE))="JBL",(VLOOKUP(Table6[[#This Row],[SKU]],'All Skus'!$A:$AC,23,FALSE)),""))</f>
        <v>0</v>
      </c>
      <c r="V681" s="284" t="str">
        <f>HYPERLINK((IF((VLOOKUP(Table6[[#This Row],[SKU]],'All Skus'!$A:$AC,2,FALSE))="JBL",(VLOOKUP(Table6[[#This Row],[SKU]],'All Skus'!$A:$AC,24,FALSE)),"")))</f>
        <v/>
      </c>
      <c r="W681" s="151">
        <v>678</v>
      </c>
    </row>
    <row r="682" spans="1:23" ht="15" hidden="1" customHeight="1">
      <c r="A682" s="13" t="s">
        <v>1691</v>
      </c>
      <c r="B682" s="12" t="str">
        <f>(IF((VLOOKUP(Table6[[#This Row],[SKU]],'All Skus'!$A:$AC,2,FALSE))="JBL",(VLOOKUP(Table6[[#This Row],[SKU]],'All Skus'!$A:$AC,3,FALSE)),""))</f>
        <v>VTX SERIES</v>
      </c>
      <c r="C682" s="12" t="str">
        <f>(IF((VLOOKUP(Table6[[#This Row],[SKU]],'All Skus'!$A:$AC,2,FALSE))="JBL",(VLOOKUP(Table6[[#This Row],[SKU]],'All Skus'!$A:$AC,4,FALSE)),""))</f>
        <v>VTX A6 CASE COMPLETE</v>
      </c>
      <c r="D682" s="61" t="str">
        <f>(IF((VLOOKUP(Table6[[#This Row],[SKU]],'All Skus'!$A:$AC,2,FALSE))="JBL",(VLOOKUP(Table6[[#This Row],[SKU]],'All Skus'!$A:$AC,5,FALSE)),""))</f>
        <v>JBL046</v>
      </c>
      <c r="E682" s="137" t="str">
        <f>(IF((VLOOKUP(Table6[[#This Row],[SKU]],'All Skus'!$A:$AC,2,FALSE))="JBL",(VLOOKUP(Table6[[#This Row],[SKU]],'All Skus'!$A:$AC,6,FALSE)),""))</f>
        <v>YES</v>
      </c>
      <c r="F682" s="61" t="str">
        <f>(IF((VLOOKUP(Table6[[#This Row],[SKU]],'All Skus'!$A:$AC,2,FALSE))="JBL",(VLOOKUP(Table6[[#This Row],[SKU]],'All Skus'!$A:$AC,7,FALSE)),""))</f>
        <v>NEW</v>
      </c>
      <c r="G682" t="str">
        <f>(IF((VLOOKUP(Table6[[#This Row],[SKU]],'All Skus'!$A:$AC,2,FALSE))="JBL",(VLOOKUP(Table6[[#This Row],[SKU]],'All Skus'!$A:$AC,8,FALSE)),""))</f>
        <v>VTX A6 CASE COMPLETE</v>
      </c>
      <c r="H682" s="8" t="str">
        <f>(IF((VLOOKUP(Table6[[#This Row],[SKU]],'All Skus'!$A:$AC,2,FALSE))="JBL",(VLOOKUP(Table6[[#This Row],[SKU]],'All Skus'!$A:$AC,9,FALSE)),""))</f>
        <v>VTX A6 CASE complete, includes (4) VTX A6 speakers</v>
      </c>
      <c r="I682" s="101" t="str">
        <f>(IF((VLOOKUP(Table6[[#This Row],[SKU]],'All Skus'!$A:$AC,2,FALSE))="JBL",(VLOOKUP(Table6[[#This Row],[SKU]],'All Skus'!$A:$AC,10,FALSE)),""))</f>
        <v>“Price On Application (POA) Contact your Representative"</v>
      </c>
      <c r="J682" s="101" t="str">
        <f>(IF((VLOOKUP(Table6[[#This Row],[SKU]],'All Skus'!$A:$AC,2,FALSE))="JBL",(VLOOKUP(Table6[[#This Row],[SKU]],'All Skus'!$A:$AC,11,FALSE)),""))</f>
        <v>“Price On Application (POA) Contact your Representative"</v>
      </c>
      <c r="K682" s="102">
        <f>(IF((VLOOKUP(Table6[[#This Row],[SKU]],'All Skus'!$A:$AC,2,FALSE))="JBL",(VLOOKUP(Table6[[#This Row],[SKU]],'All Skus'!$A:$AC,13,FALSE)),""))</f>
        <v>0</v>
      </c>
      <c r="L682" s="102">
        <f>(IF((VLOOKUP(Table6[[#This Row],[SKU]],'All Skus'!$A:$AC,2,FALSE))="JBL",(VLOOKUP(Table6[[#This Row],[SKU]],'All Skus'!$A:$AC,14,FALSE)),""))</f>
        <v>0</v>
      </c>
      <c r="M682" s="143">
        <f>(IF((VLOOKUP(Table6[[#This Row],[SKU]],'All Skus'!$A:$AC,2,FALSE))="JBL",(VLOOKUP(Table6[[#This Row],[SKU]],'All Skus'!$A:$AC,15,FALSE)),""))</f>
        <v>0</v>
      </c>
      <c r="N682" s="137">
        <f>(IF((VLOOKUP(Table6[[#This Row],[SKU]],'All Skus'!$A:$AC,2,FALSE))="JBL",(VLOOKUP(Table6[[#This Row],[SKU]],'All Skus'!$A:$AC,16,FALSE)),""))</f>
        <v>691991038570</v>
      </c>
      <c r="O682" s="61">
        <f>(IF((VLOOKUP(Table6[[#This Row],[SKU]],'All Skus'!$A:$AC,2,FALSE))="JBL",(VLOOKUP(Table6[[#This Row],[SKU]],'All Skus'!$A:$AC,17,FALSE)),""))</f>
        <v>0</v>
      </c>
      <c r="P682" s="136">
        <f>(IF((VLOOKUP(Table6[[#This Row],[SKU]],'All Skus'!$A:$AC,2,FALSE))="JBL",(VLOOKUP(Table6[[#This Row],[SKU]],'All Skus'!$A:$AC,18,FALSE)),""))</f>
        <v>0</v>
      </c>
      <c r="Q682" s="136">
        <f>(IF((VLOOKUP(Table6[[#This Row],[SKU]],'All Skus'!$A:$AC,2,FALSE))="JBL",(VLOOKUP(Table6[[#This Row],[SKU]],'All Skus'!$A:$AC,19,FALSE)),""))</f>
        <v>0</v>
      </c>
      <c r="R682" s="136">
        <f>(IF((VLOOKUP(Table6[[#This Row],[SKU]],'All Skus'!$A:$AC,2,FALSE))="JBL",(VLOOKUP(Table6[[#This Row],[SKU]],'All Skus'!$A:$AC,20,FALSE)),""))</f>
        <v>0</v>
      </c>
      <c r="S682" s="61">
        <f>(IF((VLOOKUP(Table6[[#This Row],[SKU]],'All Skus'!$A:$AC,2,FALSE))="JBL",(VLOOKUP(Table6[[#This Row],[SKU]],'All Skus'!$A:$AC,21,FALSE)),""))</f>
        <v>0</v>
      </c>
      <c r="T682" s="61" t="str">
        <f>(IF((VLOOKUP(Table6[[#This Row],[SKU]],'All Skus'!$A:$AC,2,FALSE))="JBL",(VLOOKUP(Table6[[#This Row],[SKU]],'All Skus'!$A:$AC,22,FALSE)),""))</f>
        <v>MX</v>
      </c>
      <c r="U682">
        <f>(IF((VLOOKUP(Table6[[#This Row],[SKU]],'All Skus'!$A:$AC,2,FALSE))="JBL",(VLOOKUP(Table6[[#This Row],[SKU]],'All Skus'!$A:$AC,23,FALSE)),""))</f>
        <v>0</v>
      </c>
      <c r="V682" s="284" t="str">
        <f>HYPERLINK((IF((VLOOKUP(Table6[[#This Row],[SKU]],'All Skus'!$A:$AC,2,FALSE))="JBL",(VLOOKUP(Table6[[#This Row],[SKU]],'All Skus'!$A:$AC,24,FALSE)),"")))</f>
        <v/>
      </c>
      <c r="W682" s="151">
        <v>679</v>
      </c>
    </row>
    <row r="683" spans="1:23" ht="15" hidden="1" customHeight="1">
      <c r="A683" s="13" t="s">
        <v>1692</v>
      </c>
      <c r="B683" s="12" t="str">
        <f>(IF((VLOOKUP(Table6[[#This Row],[SKU]],'All Skus'!$A:$AC,2,FALSE))="JBL",(VLOOKUP(Table6[[#This Row],[SKU]],'All Skus'!$A:$AC,3,FALSE)),""))</f>
        <v>VTX SERIES</v>
      </c>
      <c r="C683" s="12" t="str">
        <f>(IF((VLOOKUP(Table6[[#This Row],[SKU]],'All Skus'!$A:$AC,2,FALSE))="JBL",(VLOOKUP(Table6[[#This Row],[SKU]],'All Skus'!$A:$AC,4,FALSE)),""))</f>
        <v>VTX A8</v>
      </c>
      <c r="D683" s="61" t="str">
        <f>(IF((VLOOKUP(Table6[[#This Row],[SKU]],'All Skus'!$A:$AC,2,FALSE))="JBL",(VLOOKUP(Table6[[#This Row],[SKU]],'All Skus'!$A:$AC,5,FALSE)),""))</f>
        <v>JBL046</v>
      </c>
      <c r="E683" s="137" t="str">
        <f>(IF((VLOOKUP(Table6[[#This Row],[SKU]],'All Skus'!$A:$AC,2,FALSE))="JBL",(VLOOKUP(Table6[[#This Row],[SKU]],'All Skus'!$A:$AC,6,FALSE)),""))</f>
        <v>YES</v>
      </c>
      <c r="F683" s="61">
        <f>(IF((VLOOKUP(Table6[[#This Row],[SKU]],'All Skus'!$A:$AC,2,FALSE))="JBL",(VLOOKUP(Table6[[#This Row],[SKU]],'All Skus'!$A:$AC,7,FALSE)),""))</f>
        <v>0</v>
      </c>
      <c r="G683" t="str">
        <f>(IF((VLOOKUP(Table6[[#This Row],[SKU]],'All Skus'!$A:$AC,2,FALSE))="JBL",(VLOOKUP(Table6[[#This Row],[SKU]],'All Skus'!$A:$AC,8,FALSE)),""))</f>
        <v>VTX A8</v>
      </c>
      <c r="H683" s="8" t="str">
        <f>(IF((VLOOKUP(Table6[[#This Row],[SKU]],'All Skus'!$A:$AC,2,FALSE))="JBL",(VLOOKUP(Table6[[#This Row],[SKU]],'All Skus'!$A:$AC,9,FALSE)),""))</f>
        <v xml:space="preserve"> Compact Dual 8" Line Array</v>
      </c>
      <c r="I683" s="101" t="str">
        <f>(IF((VLOOKUP(Table6[[#This Row],[SKU]],'All Skus'!$A:$AC,2,FALSE))="JBL",(VLOOKUP(Table6[[#This Row],[SKU]],'All Skus'!$A:$AC,10,FALSE)),""))</f>
        <v>“Price On Application (POA) Contact your Representative"</v>
      </c>
      <c r="J683" s="101" t="str">
        <f>(IF((VLOOKUP(Table6[[#This Row],[SKU]],'All Skus'!$A:$AC,2,FALSE))="JBL",(VLOOKUP(Table6[[#This Row],[SKU]],'All Skus'!$A:$AC,11,FALSE)),""))</f>
        <v>“Price On Application (POA) Contact your Representative"</v>
      </c>
      <c r="K683" s="102">
        <f>(IF((VLOOKUP(Table6[[#This Row],[SKU]],'All Skus'!$A:$AC,2,FALSE))="JBL",(VLOOKUP(Table6[[#This Row],[SKU]],'All Skus'!$A:$AC,13,FALSE)),""))</f>
        <v>0</v>
      </c>
      <c r="L683" s="102">
        <f>(IF((VLOOKUP(Table6[[#This Row],[SKU]],'All Skus'!$A:$AC,2,FALSE))="JBL",(VLOOKUP(Table6[[#This Row],[SKU]],'All Skus'!$A:$AC,14,FALSE)),""))</f>
        <v>0</v>
      </c>
      <c r="M683" s="143">
        <f>(IF((VLOOKUP(Table6[[#This Row],[SKU]],'All Skus'!$A:$AC,2,FALSE))="JBL",(VLOOKUP(Table6[[#This Row],[SKU]],'All Skus'!$A:$AC,15,FALSE)),""))</f>
        <v>0</v>
      </c>
      <c r="N683" s="137">
        <f>(IF((VLOOKUP(Table6[[#This Row],[SKU]],'All Skus'!$A:$AC,2,FALSE))="JBL",(VLOOKUP(Table6[[#This Row],[SKU]],'All Skus'!$A:$AC,16,FALSE)),""))</f>
        <v>691991015618</v>
      </c>
      <c r="O683" s="61">
        <f>(IF((VLOOKUP(Table6[[#This Row],[SKU]],'All Skus'!$A:$AC,2,FALSE))="JBL",(VLOOKUP(Table6[[#This Row],[SKU]],'All Skus'!$A:$AC,17,FALSE)),""))</f>
        <v>0</v>
      </c>
      <c r="P683" s="136">
        <f>(IF((VLOOKUP(Table6[[#This Row],[SKU]],'All Skus'!$A:$AC,2,FALSE))="JBL",(VLOOKUP(Table6[[#This Row],[SKU]],'All Skus'!$A:$AC,18,FALSE)),""))</f>
        <v>0</v>
      </c>
      <c r="Q683" s="136">
        <f>(IF((VLOOKUP(Table6[[#This Row],[SKU]],'All Skus'!$A:$AC,2,FALSE))="JBL",(VLOOKUP(Table6[[#This Row],[SKU]],'All Skus'!$A:$AC,19,FALSE)),""))</f>
        <v>0</v>
      </c>
      <c r="R683" s="136">
        <f>(IF((VLOOKUP(Table6[[#This Row],[SKU]],'All Skus'!$A:$AC,2,FALSE))="JBL",(VLOOKUP(Table6[[#This Row],[SKU]],'All Skus'!$A:$AC,20,FALSE)),""))</f>
        <v>0</v>
      </c>
      <c r="S683" s="61">
        <f>(IF((VLOOKUP(Table6[[#This Row],[SKU]],'All Skus'!$A:$AC,2,FALSE))="JBL",(VLOOKUP(Table6[[#This Row],[SKU]],'All Skus'!$A:$AC,21,FALSE)),""))</f>
        <v>0</v>
      </c>
      <c r="T683" s="61" t="str">
        <f>(IF((VLOOKUP(Table6[[#This Row],[SKU]],'All Skus'!$A:$AC,2,FALSE))="JBL",(VLOOKUP(Table6[[#This Row],[SKU]],'All Skus'!$A:$AC,22,FALSE)),""))</f>
        <v>MX</v>
      </c>
      <c r="U683">
        <f>(IF((VLOOKUP(Table6[[#This Row],[SKU]],'All Skus'!$A:$AC,2,FALSE))="JBL",(VLOOKUP(Table6[[#This Row],[SKU]],'All Skus'!$A:$AC,23,FALSE)),""))</f>
        <v>0</v>
      </c>
      <c r="V683" s="284" t="str">
        <f>HYPERLINK((IF((VLOOKUP(Table6[[#This Row],[SKU]],'All Skus'!$A:$AC,2,FALSE))="JBL",(VLOOKUP(Table6[[#This Row],[SKU]],'All Skus'!$A:$AC,24,FALSE)),"")))</f>
        <v/>
      </c>
      <c r="W683" s="151">
        <v>680</v>
      </c>
    </row>
    <row r="684" spans="1:23" ht="15" hidden="1" customHeight="1">
      <c r="A684" s="13" t="s">
        <v>1693</v>
      </c>
      <c r="B684" s="12" t="str">
        <f>(IF((VLOOKUP(Table6[[#This Row],[SKU]],'All Skus'!$A:$AC,2,FALSE))="JBL",(VLOOKUP(Table6[[#This Row],[SKU]],'All Skus'!$A:$AC,3,FALSE)),""))</f>
        <v>VTX SERIES</v>
      </c>
      <c r="C684" s="12" t="str">
        <f>(IF((VLOOKUP(Table6[[#This Row],[SKU]],'All Skus'!$A:$AC,2,FALSE))="JBL",(VLOOKUP(Table6[[#This Row],[SKU]],'All Skus'!$A:$AC,4,FALSE)),""))</f>
        <v>VTX B18</v>
      </c>
      <c r="D684" s="61" t="str">
        <f>(IF((VLOOKUP(Table6[[#This Row],[SKU]],'All Skus'!$A:$AC,2,FALSE))="JBL",(VLOOKUP(Table6[[#This Row],[SKU]],'All Skus'!$A:$AC,5,FALSE)),""))</f>
        <v>JBL046</v>
      </c>
      <c r="E684" s="137" t="str">
        <f>(IF((VLOOKUP(Table6[[#This Row],[SKU]],'All Skus'!$A:$AC,2,FALSE))="JBL",(VLOOKUP(Table6[[#This Row],[SKU]],'All Skus'!$A:$AC,6,FALSE)),""))</f>
        <v>YES</v>
      </c>
      <c r="F684" s="61">
        <f>(IF((VLOOKUP(Table6[[#This Row],[SKU]],'All Skus'!$A:$AC,2,FALSE))="JBL",(VLOOKUP(Table6[[#This Row],[SKU]],'All Skus'!$A:$AC,7,FALSE)),""))</f>
        <v>0</v>
      </c>
      <c r="G684" t="str">
        <f>(IF((VLOOKUP(Table6[[#This Row],[SKU]],'All Skus'!$A:$AC,2,FALSE))="JBL",(VLOOKUP(Table6[[#This Row],[SKU]],'All Skus'!$A:$AC,8,FALSE)),""))</f>
        <v>VTX B18</v>
      </c>
      <c r="H684" s="8" t="str">
        <f>(IF((VLOOKUP(Table6[[#This Row],[SKU]],'All Skus'!$A:$AC,2,FALSE))="JBL",(VLOOKUP(Table6[[#This Row],[SKU]],'All Skus'!$A:$AC,9,FALSE)),""))</f>
        <v xml:space="preserve"> Single 18" High Performance Subwoofer</v>
      </c>
      <c r="I684" s="101" t="str">
        <f>(IF((VLOOKUP(Table6[[#This Row],[SKU]],'All Skus'!$A:$AC,2,FALSE))="JBL",(VLOOKUP(Table6[[#This Row],[SKU]],'All Skus'!$A:$AC,10,FALSE)),""))</f>
        <v>“Price On Application (POA) Contact your Representative"</v>
      </c>
      <c r="J684" s="101" t="str">
        <f>(IF((VLOOKUP(Table6[[#This Row],[SKU]],'All Skus'!$A:$AC,2,FALSE))="JBL",(VLOOKUP(Table6[[#This Row],[SKU]],'All Skus'!$A:$AC,11,FALSE)),""))</f>
        <v>“Price On Application (POA) Contact your Representative"</v>
      </c>
      <c r="K684" s="102">
        <f>(IF((VLOOKUP(Table6[[#This Row],[SKU]],'All Skus'!$A:$AC,2,FALSE))="JBL",(VLOOKUP(Table6[[#This Row],[SKU]],'All Skus'!$A:$AC,13,FALSE)),""))</f>
        <v>0</v>
      </c>
      <c r="L684" s="102">
        <f>(IF((VLOOKUP(Table6[[#This Row],[SKU]],'All Skus'!$A:$AC,2,FALSE))="JBL",(VLOOKUP(Table6[[#This Row],[SKU]],'All Skus'!$A:$AC,14,FALSE)),""))</f>
        <v>0</v>
      </c>
      <c r="M684" s="143">
        <f>(IF((VLOOKUP(Table6[[#This Row],[SKU]],'All Skus'!$A:$AC,2,FALSE))="JBL",(VLOOKUP(Table6[[#This Row],[SKU]],'All Skus'!$A:$AC,15,FALSE)),""))</f>
        <v>0</v>
      </c>
      <c r="N684" s="137">
        <f>(IF((VLOOKUP(Table6[[#This Row],[SKU]],'All Skus'!$A:$AC,2,FALSE))="JBL",(VLOOKUP(Table6[[#This Row],[SKU]],'All Skus'!$A:$AC,16,FALSE)),""))</f>
        <v>691991013409</v>
      </c>
      <c r="O684" s="61">
        <f>(IF((VLOOKUP(Table6[[#This Row],[SKU]],'All Skus'!$A:$AC,2,FALSE))="JBL",(VLOOKUP(Table6[[#This Row],[SKU]],'All Skus'!$A:$AC,17,FALSE)),""))</f>
        <v>0</v>
      </c>
      <c r="P684" s="136">
        <f>(IF((VLOOKUP(Table6[[#This Row],[SKU]],'All Skus'!$A:$AC,2,FALSE))="JBL",(VLOOKUP(Table6[[#This Row],[SKU]],'All Skus'!$A:$AC,18,FALSE)),""))</f>
        <v>0</v>
      </c>
      <c r="Q684" s="136">
        <f>(IF((VLOOKUP(Table6[[#This Row],[SKU]],'All Skus'!$A:$AC,2,FALSE))="JBL",(VLOOKUP(Table6[[#This Row],[SKU]],'All Skus'!$A:$AC,19,FALSE)),""))</f>
        <v>0</v>
      </c>
      <c r="R684" s="136">
        <f>(IF((VLOOKUP(Table6[[#This Row],[SKU]],'All Skus'!$A:$AC,2,FALSE))="JBL",(VLOOKUP(Table6[[#This Row],[SKU]],'All Skus'!$A:$AC,20,FALSE)),""))</f>
        <v>0</v>
      </c>
      <c r="S684" s="61">
        <f>(IF((VLOOKUP(Table6[[#This Row],[SKU]],'All Skus'!$A:$AC,2,FALSE))="JBL",(VLOOKUP(Table6[[#This Row],[SKU]],'All Skus'!$A:$AC,21,FALSE)),""))</f>
        <v>0</v>
      </c>
      <c r="T684" s="61" t="str">
        <f>(IF((VLOOKUP(Table6[[#This Row],[SKU]],'All Skus'!$A:$AC,2,FALSE))="JBL",(VLOOKUP(Table6[[#This Row],[SKU]],'All Skus'!$A:$AC,22,FALSE)),""))</f>
        <v>MX</v>
      </c>
      <c r="U684">
        <f>(IF((VLOOKUP(Table6[[#This Row],[SKU]],'All Skus'!$A:$AC,2,FALSE))="JBL",(VLOOKUP(Table6[[#This Row],[SKU]],'All Skus'!$A:$AC,23,FALSE)),""))</f>
        <v>0</v>
      </c>
      <c r="V684" s="284" t="str">
        <f>HYPERLINK((IF((VLOOKUP(Table6[[#This Row],[SKU]],'All Skus'!$A:$AC,2,FALSE))="JBL",(VLOOKUP(Table6[[#This Row],[SKU]],'All Skus'!$A:$AC,24,FALSE)),"")))</f>
        <v/>
      </c>
      <c r="W684" s="151">
        <v>681</v>
      </c>
    </row>
    <row r="685" spans="1:23" ht="15" hidden="1" customHeight="1">
      <c r="A685" s="13" t="s">
        <v>1694</v>
      </c>
      <c r="B685" s="12" t="str">
        <f>(IF((VLOOKUP(Table6[[#This Row],[SKU]],'All Skus'!$A:$AC,2,FALSE))="JBL",(VLOOKUP(Table6[[#This Row],[SKU]],'All Skus'!$A:$AC,3,FALSE)),""))</f>
        <v>VTX SERIES</v>
      </c>
      <c r="C685" s="12" t="str">
        <f>(IF((VLOOKUP(Table6[[#This Row],[SKU]],'All Skus'!$A:$AC,2,FALSE))="JBL",(VLOOKUP(Table6[[#This Row],[SKU]],'All Skus'!$A:$AC,4,FALSE)),""))</f>
        <v>VTX A8 AF</v>
      </c>
      <c r="D685" s="61" t="str">
        <f>(IF((VLOOKUP(Table6[[#This Row],[SKU]],'All Skus'!$A:$AC,2,FALSE))="JBL",(VLOOKUP(Table6[[#This Row],[SKU]],'All Skus'!$A:$AC,5,FALSE)),""))</f>
        <v>JBL046</v>
      </c>
      <c r="E685" s="137" t="str">
        <f>(IF((VLOOKUP(Table6[[#This Row],[SKU]],'All Skus'!$A:$AC,2,FALSE))="JBL",(VLOOKUP(Table6[[#This Row],[SKU]],'All Skus'!$A:$AC,6,FALSE)),""))</f>
        <v>YES</v>
      </c>
      <c r="F685" s="61">
        <f>(IF((VLOOKUP(Table6[[#This Row],[SKU]],'All Skus'!$A:$AC,2,FALSE))="JBL",(VLOOKUP(Table6[[#This Row],[SKU]],'All Skus'!$A:$AC,7,FALSE)),""))</f>
        <v>0</v>
      </c>
      <c r="G685" t="str">
        <f>(IF((VLOOKUP(Table6[[#This Row],[SKU]],'All Skus'!$A:$AC,2,FALSE))="JBL",(VLOOKUP(Table6[[#This Row],[SKU]],'All Skus'!$A:$AC,8,FALSE)),""))</f>
        <v>VTX A8 AF</v>
      </c>
      <c r="H685" s="8" t="str">
        <f>(IF((VLOOKUP(Table6[[#This Row],[SKU]],'All Skus'!$A:$AC,2,FALSE))="JBL",(VLOOKUP(Table6[[#This Row],[SKU]],'All Skus'!$A:$AC,9,FALSE)),""))</f>
        <v xml:space="preserve"> VTX A8/B18 Array Frame</v>
      </c>
      <c r="I685" s="101" t="str">
        <f>(IF((VLOOKUP(Table6[[#This Row],[SKU]],'All Skus'!$A:$AC,2,FALSE))="JBL",(VLOOKUP(Table6[[#This Row],[SKU]],'All Skus'!$A:$AC,10,FALSE)),""))</f>
        <v>“Price On Application (POA) Contact your Representative"</v>
      </c>
      <c r="J685" s="101" t="str">
        <f>(IF((VLOOKUP(Table6[[#This Row],[SKU]],'All Skus'!$A:$AC,2,FALSE))="JBL",(VLOOKUP(Table6[[#This Row],[SKU]],'All Skus'!$A:$AC,11,FALSE)),""))</f>
        <v>“Price On Application (POA) Contact your Representative"</v>
      </c>
      <c r="K685" s="102">
        <f>(IF((VLOOKUP(Table6[[#This Row],[SKU]],'All Skus'!$A:$AC,2,FALSE))="JBL",(VLOOKUP(Table6[[#This Row],[SKU]],'All Skus'!$A:$AC,13,FALSE)),""))</f>
        <v>0</v>
      </c>
      <c r="L685" s="102">
        <f>(IF((VLOOKUP(Table6[[#This Row],[SKU]],'All Skus'!$A:$AC,2,FALSE))="JBL",(VLOOKUP(Table6[[#This Row],[SKU]],'All Skus'!$A:$AC,14,FALSE)),""))</f>
        <v>0</v>
      </c>
      <c r="M685" s="143">
        <f>(IF((VLOOKUP(Table6[[#This Row],[SKU]],'All Skus'!$A:$AC,2,FALSE))="JBL",(VLOOKUP(Table6[[#This Row],[SKU]],'All Skus'!$A:$AC,15,FALSE)),""))</f>
        <v>0</v>
      </c>
      <c r="N685" s="137">
        <f>(IF((VLOOKUP(Table6[[#This Row],[SKU]],'All Skus'!$A:$AC,2,FALSE))="JBL",(VLOOKUP(Table6[[#This Row],[SKU]],'All Skus'!$A:$AC,16,FALSE)),""))</f>
        <v>691991015564</v>
      </c>
      <c r="O685" s="61">
        <f>(IF((VLOOKUP(Table6[[#This Row],[SKU]],'All Skus'!$A:$AC,2,FALSE))="JBL",(VLOOKUP(Table6[[#This Row],[SKU]],'All Skus'!$A:$AC,17,FALSE)),""))</f>
        <v>0</v>
      </c>
      <c r="P685" s="136">
        <f>(IF((VLOOKUP(Table6[[#This Row],[SKU]],'All Skus'!$A:$AC,2,FALSE))="JBL",(VLOOKUP(Table6[[#This Row],[SKU]],'All Skus'!$A:$AC,18,FALSE)),""))</f>
        <v>0</v>
      </c>
      <c r="Q685" s="136">
        <f>(IF((VLOOKUP(Table6[[#This Row],[SKU]],'All Skus'!$A:$AC,2,FALSE))="JBL",(VLOOKUP(Table6[[#This Row],[SKU]],'All Skus'!$A:$AC,19,FALSE)),""))</f>
        <v>0</v>
      </c>
      <c r="R685" s="136">
        <f>(IF((VLOOKUP(Table6[[#This Row],[SKU]],'All Skus'!$A:$AC,2,FALSE))="JBL",(VLOOKUP(Table6[[#This Row],[SKU]],'All Skus'!$A:$AC,20,FALSE)),""))</f>
        <v>0</v>
      </c>
      <c r="S685" s="61">
        <f>(IF((VLOOKUP(Table6[[#This Row],[SKU]],'All Skus'!$A:$AC,2,FALSE))="JBL",(VLOOKUP(Table6[[#This Row],[SKU]],'All Skus'!$A:$AC,21,FALSE)),""))</f>
        <v>0</v>
      </c>
      <c r="T685" s="61" t="str">
        <f>(IF((VLOOKUP(Table6[[#This Row],[SKU]],'All Skus'!$A:$AC,2,FALSE))="JBL",(VLOOKUP(Table6[[#This Row],[SKU]],'All Skus'!$A:$AC,22,FALSE)),""))</f>
        <v>MX</v>
      </c>
      <c r="U685">
        <f>(IF((VLOOKUP(Table6[[#This Row],[SKU]],'All Skus'!$A:$AC,2,FALSE))="JBL",(VLOOKUP(Table6[[#This Row],[SKU]],'All Skus'!$A:$AC,23,FALSE)),""))</f>
        <v>0</v>
      </c>
      <c r="V685" s="284" t="str">
        <f>HYPERLINK((IF((VLOOKUP(Table6[[#This Row],[SKU]],'All Skus'!$A:$AC,2,FALSE))="JBL",(VLOOKUP(Table6[[#This Row],[SKU]],'All Skus'!$A:$AC,24,FALSE)),"")))</f>
        <v/>
      </c>
      <c r="W685" s="151">
        <v>682</v>
      </c>
    </row>
    <row r="686" spans="1:23" ht="15" hidden="1" customHeight="1">
      <c r="A686" s="13" t="s">
        <v>1695</v>
      </c>
      <c r="B686" s="12" t="str">
        <f>(IF((VLOOKUP(Table6[[#This Row],[SKU]],'All Skus'!$A:$AC,2,FALSE))="JBL",(VLOOKUP(Table6[[#This Row],[SKU]],'All Skus'!$A:$AC,3,FALSE)),""))</f>
        <v>VTX SERIES</v>
      </c>
      <c r="C686" s="12" t="str">
        <f>(IF((VLOOKUP(Table6[[#This Row],[SKU]],'All Skus'!$A:$AC,2,FALSE))="JBL",(VLOOKUP(Table6[[#This Row],[SKU]],'All Skus'!$A:$AC,4,FALSE)),""))</f>
        <v>VTX A8 AF EB</v>
      </c>
      <c r="D686" s="61" t="str">
        <f>(IF((VLOOKUP(Table6[[#This Row],[SKU]],'All Skus'!$A:$AC,2,FALSE))="JBL",(VLOOKUP(Table6[[#This Row],[SKU]],'All Skus'!$A:$AC,5,FALSE)),""))</f>
        <v>JBL046</v>
      </c>
      <c r="E686" s="137" t="str">
        <f>(IF((VLOOKUP(Table6[[#This Row],[SKU]],'All Skus'!$A:$AC,2,FALSE))="JBL",(VLOOKUP(Table6[[#This Row],[SKU]],'All Skus'!$A:$AC,6,FALSE)),""))</f>
        <v>YES</v>
      </c>
      <c r="F686" s="61">
        <f>(IF((VLOOKUP(Table6[[#This Row],[SKU]],'All Skus'!$A:$AC,2,FALSE))="JBL",(VLOOKUP(Table6[[#This Row],[SKU]],'All Skus'!$A:$AC,7,FALSE)),""))</f>
        <v>0</v>
      </c>
      <c r="G686" t="str">
        <f>(IF((VLOOKUP(Table6[[#This Row],[SKU]],'All Skus'!$A:$AC,2,FALSE))="JBL",(VLOOKUP(Table6[[#This Row],[SKU]],'All Skus'!$A:$AC,8,FALSE)),""))</f>
        <v>VTX A8 AF EB</v>
      </c>
      <c r="H686" s="8" t="str">
        <f>(IF((VLOOKUP(Table6[[#This Row],[SKU]],'All Skus'!$A:$AC,2,FALSE))="JBL",(VLOOKUP(Table6[[#This Row],[SKU]],'All Skus'!$A:$AC,9,FALSE)),""))</f>
        <v xml:space="preserve"> VTX A8/B18 Array Frame Extension Bar</v>
      </c>
      <c r="I686" s="101" t="str">
        <f>(IF((VLOOKUP(Table6[[#This Row],[SKU]],'All Skus'!$A:$AC,2,FALSE))="JBL",(VLOOKUP(Table6[[#This Row],[SKU]],'All Skus'!$A:$AC,10,FALSE)),""))</f>
        <v>“Price On Application (POA) Contact your Representative"</v>
      </c>
      <c r="J686" s="101" t="str">
        <f>(IF((VLOOKUP(Table6[[#This Row],[SKU]],'All Skus'!$A:$AC,2,FALSE))="JBL",(VLOOKUP(Table6[[#This Row],[SKU]],'All Skus'!$A:$AC,11,FALSE)),""))</f>
        <v>“Price On Application (POA) Contact your Representative"</v>
      </c>
      <c r="K686" s="102">
        <f>(IF((VLOOKUP(Table6[[#This Row],[SKU]],'All Skus'!$A:$AC,2,FALSE))="JBL",(VLOOKUP(Table6[[#This Row],[SKU]],'All Skus'!$A:$AC,13,FALSE)),""))</f>
        <v>0</v>
      </c>
      <c r="L686" s="102">
        <f>(IF((VLOOKUP(Table6[[#This Row],[SKU]],'All Skus'!$A:$AC,2,FALSE))="JBL",(VLOOKUP(Table6[[#This Row],[SKU]],'All Skus'!$A:$AC,14,FALSE)),""))</f>
        <v>0</v>
      </c>
      <c r="M686" s="143">
        <f>(IF((VLOOKUP(Table6[[#This Row],[SKU]],'All Skus'!$A:$AC,2,FALSE))="JBL",(VLOOKUP(Table6[[#This Row],[SKU]],'All Skus'!$A:$AC,15,FALSE)),""))</f>
        <v>0</v>
      </c>
      <c r="N686" s="137">
        <f>(IF((VLOOKUP(Table6[[#This Row],[SKU]],'All Skus'!$A:$AC,2,FALSE))="JBL",(VLOOKUP(Table6[[#This Row],[SKU]],'All Skus'!$A:$AC,16,FALSE)),""))</f>
        <v>691991015502</v>
      </c>
      <c r="O686" s="61">
        <f>(IF((VLOOKUP(Table6[[#This Row],[SKU]],'All Skus'!$A:$AC,2,FALSE))="JBL",(VLOOKUP(Table6[[#This Row],[SKU]],'All Skus'!$A:$AC,17,FALSE)),""))</f>
        <v>0</v>
      </c>
      <c r="P686" s="136">
        <f>(IF((VLOOKUP(Table6[[#This Row],[SKU]],'All Skus'!$A:$AC,2,FALSE))="JBL",(VLOOKUP(Table6[[#This Row],[SKU]],'All Skus'!$A:$AC,18,FALSE)),""))</f>
        <v>0</v>
      </c>
      <c r="Q686" s="136">
        <f>(IF((VLOOKUP(Table6[[#This Row],[SKU]],'All Skus'!$A:$AC,2,FALSE))="JBL",(VLOOKUP(Table6[[#This Row],[SKU]],'All Skus'!$A:$AC,19,FALSE)),""))</f>
        <v>0</v>
      </c>
      <c r="R686" s="136">
        <f>(IF((VLOOKUP(Table6[[#This Row],[SKU]],'All Skus'!$A:$AC,2,FALSE))="JBL",(VLOOKUP(Table6[[#This Row],[SKU]],'All Skus'!$A:$AC,20,FALSE)),""))</f>
        <v>0</v>
      </c>
      <c r="S686" s="61">
        <f>(IF((VLOOKUP(Table6[[#This Row],[SKU]],'All Skus'!$A:$AC,2,FALSE))="JBL",(VLOOKUP(Table6[[#This Row],[SKU]],'All Skus'!$A:$AC,21,FALSE)),""))</f>
        <v>0</v>
      </c>
      <c r="T686" s="61" t="str">
        <f>(IF((VLOOKUP(Table6[[#This Row],[SKU]],'All Skus'!$A:$AC,2,FALSE))="JBL",(VLOOKUP(Table6[[#This Row],[SKU]],'All Skus'!$A:$AC,22,FALSE)),""))</f>
        <v>MX</v>
      </c>
      <c r="U686">
        <f>(IF((VLOOKUP(Table6[[#This Row],[SKU]],'All Skus'!$A:$AC,2,FALSE))="JBL",(VLOOKUP(Table6[[#This Row],[SKU]],'All Skus'!$A:$AC,23,FALSE)),""))</f>
        <v>0</v>
      </c>
      <c r="V686" s="284" t="str">
        <f>HYPERLINK((IF((VLOOKUP(Table6[[#This Row],[SKU]],'All Skus'!$A:$AC,2,FALSE))="JBL",(VLOOKUP(Table6[[#This Row],[SKU]],'All Skus'!$A:$AC,24,FALSE)),"")))</f>
        <v/>
      </c>
      <c r="W686" s="151">
        <v>683</v>
      </c>
    </row>
    <row r="687" spans="1:23" ht="15" hidden="1" customHeight="1">
      <c r="A687" s="13" t="s">
        <v>1696</v>
      </c>
      <c r="B687" s="12" t="str">
        <f>(IF((VLOOKUP(Table6[[#This Row],[SKU]],'All Skus'!$A:$AC,2,FALSE))="JBL",(VLOOKUP(Table6[[#This Row],[SKU]],'All Skus'!$A:$AC,3,FALSE)),""))</f>
        <v>VTX SERIES</v>
      </c>
      <c r="C687" s="12" t="str">
        <f>(IF((VLOOKUP(Table6[[#This Row],[SKU]],'All Skus'!$A:$AC,2,FALSE))="JBL",(VLOOKUP(Table6[[#This Row],[SKU]],'All Skus'!$A:$AC,4,FALSE)),""))</f>
        <v>VTX A8 SB</v>
      </c>
      <c r="D687" s="61" t="str">
        <f>(IF((VLOOKUP(Table6[[#This Row],[SKU]],'All Skus'!$A:$AC,2,FALSE))="JBL",(VLOOKUP(Table6[[#This Row],[SKU]],'All Skus'!$A:$AC,5,FALSE)),""))</f>
        <v>JBL046</v>
      </c>
      <c r="E687" s="137" t="str">
        <f>(IF((VLOOKUP(Table6[[#This Row],[SKU]],'All Skus'!$A:$AC,2,FALSE))="JBL",(VLOOKUP(Table6[[#This Row],[SKU]],'All Skus'!$A:$AC,6,FALSE)),""))</f>
        <v>YES</v>
      </c>
      <c r="F687" s="61">
        <f>(IF((VLOOKUP(Table6[[#This Row],[SKU]],'All Skus'!$A:$AC,2,FALSE))="JBL",(VLOOKUP(Table6[[#This Row],[SKU]],'All Skus'!$A:$AC,7,FALSE)),""))</f>
        <v>0</v>
      </c>
      <c r="G687" t="str">
        <f>(IF((VLOOKUP(Table6[[#This Row],[SKU]],'All Skus'!$A:$AC,2,FALSE))="JBL",(VLOOKUP(Table6[[#This Row],[SKU]],'All Skus'!$A:$AC,8,FALSE)),""))</f>
        <v>VTX A8 SB</v>
      </c>
      <c r="H687" s="8" t="str">
        <f>(IF((VLOOKUP(Table6[[#This Row],[SKU]],'All Skus'!$A:$AC,2,FALSE))="JBL",(VLOOKUP(Table6[[#This Row],[SKU]],'All Skus'!$A:$AC,9,FALSE)),""))</f>
        <v xml:space="preserve"> VTX A8/B18 Suspension Bar</v>
      </c>
      <c r="I687" s="101" t="str">
        <f>(IF((VLOOKUP(Table6[[#This Row],[SKU]],'All Skus'!$A:$AC,2,FALSE))="JBL",(VLOOKUP(Table6[[#This Row],[SKU]],'All Skus'!$A:$AC,10,FALSE)),""))</f>
        <v>“Price On Application (POA) Contact your Representative"</v>
      </c>
      <c r="J687" s="101" t="str">
        <f>(IF((VLOOKUP(Table6[[#This Row],[SKU]],'All Skus'!$A:$AC,2,FALSE))="JBL",(VLOOKUP(Table6[[#This Row],[SKU]],'All Skus'!$A:$AC,11,FALSE)),""))</f>
        <v>“Price On Application (POA) Contact your Representative"</v>
      </c>
      <c r="K687" s="102">
        <f>(IF((VLOOKUP(Table6[[#This Row],[SKU]],'All Skus'!$A:$AC,2,FALSE))="JBL",(VLOOKUP(Table6[[#This Row],[SKU]],'All Skus'!$A:$AC,13,FALSE)),""))</f>
        <v>0</v>
      </c>
      <c r="L687" s="102">
        <f>(IF((VLOOKUP(Table6[[#This Row],[SKU]],'All Skus'!$A:$AC,2,FALSE))="JBL",(VLOOKUP(Table6[[#This Row],[SKU]],'All Skus'!$A:$AC,14,FALSE)),""))</f>
        <v>0</v>
      </c>
      <c r="M687" s="143">
        <f>(IF((VLOOKUP(Table6[[#This Row],[SKU]],'All Skus'!$A:$AC,2,FALSE))="JBL",(VLOOKUP(Table6[[#This Row],[SKU]],'All Skus'!$A:$AC,15,FALSE)),""))</f>
        <v>0</v>
      </c>
      <c r="N687" s="137">
        <f>(IF((VLOOKUP(Table6[[#This Row],[SKU]],'All Skus'!$A:$AC,2,FALSE))="JBL",(VLOOKUP(Table6[[#This Row],[SKU]],'All Skus'!$A:$AC,16,FALSE)),""))</f>
        <v>691991015632</v>
      </c>
      <c r="O687" s="61">
        <f>(IF((VLOOKUP(Table6[[#This Row],[SKU]],'All Skus'!$A:$AC,2,FALSE))="JBL",(VLOOKUP(Table6[[#This Row],[SKU]],'All Skus'!$A:$AC,17,FALSE)),""))</f>
        <v>0</v>
      </c>
      <c r="P687" s="136">
        <f>(IF((VLOOKUP(Table6[[#This Row],[SKU]],'All Skus'!$A:$AC,2,FALSE))="JBL",(VLOOKUP(Table6[[#This Row],[SKU]],'All Skus'!$A:$AC,18,FALSE)),""))</f>
        <v>0</v>
      </c>
      <c r="Q687" s="136">
        <f>(IF((VLOOKUP(Table6[[#This Row],[SKU]],'All Skus'!$A:$AC,2,FALSE))="JBL",(VLOOKUP(Table6[[#This Row],[SKU]],'All Skus'!$A:$AC,19,FALSE)),""))</f>
        <v>0</v>
      </c>
      <c r="R687" s="136">
        <f>(IF((VLOOKUP(Table6[[#This Row],[SKU]],'All Skus'!$A:$AC,2,FALSE))="JBL",(VLOOKUP(Table6[[#This Row],[SKU]],'All Skus'!$A:$AC,20,FALSE)),""))</f>
        <v>0</v>
      </c>
      <c r="S687" s="61">
        <f>(IF((VLOOKUP(Table6[[#This Row],[SKU]],'All Skus'!$A:$AC,2,FALSE))="JBL",(VLOOKUP(Table6[[#This Row],[SKU]],'All Skus'!$A:$AC,21,FALSE)),""))</f>
        <v>0</v>
      </c>
      <c r="T687" s="61" t="str">
        <f>(IF((VLOOKUP(Table6[[#This Row],[SKU]],'All Skus'!$A:$AC,2,FALSE))="JBL",(VLOOKUP(Table6[[#This Row],[SKU]],'All Skus'!$A:$AC,22,FALSE)),""))</f>
        <v>MX</v>
      </c>
      <c r="U687">
        <f>(IF((VLOOKUP(Table6[[#This Row],[SKU]],'All Skus'!$A:$AC,2,FALSE))="JBL",(VLOOKUP(Table6[[#This Row],[SKU]],'All Skus'!$A:$AC,23,FALSE)),""))</f>
        <v>0</v>
      </c>
      <c r="V687" s="284" t="str">
        <f>HYPERLINK((IF((VLOOKUP(Table6[[#This Row],[SKU]],'All Skus'!$A:$AC,2,FALSE))="JBL",(VLOOKUP(Table6[[#This Row],[SKU]],'All Skus'!$A:$AC,24,FALSE)),"")))</f>
        <v/>
      </c>
      <c r="W687" s="151">
        <v>684</v>
      </c>
    </row>
    <row r="688" spans="1:23" ht="15" hidden="1" customHeight="1">
      <c r="A688" s="13" t="s">
        <v>1697</v>
      </c>
      <c r="B688" s="12" t="str">
        <f>(IF((VLOOKUP(Table6[[#This Row],[SKU]],'All Skus'!$A:$AC,2,FALSE))="JBL",(VLOOKUP(Table6[[#This Row],[SKU]],'All Skus'!$A:$AC,3,FALSE)),""))</f>
        <v>VTX SERIES</v>
      </c>
      <c r="C688" s="12" t="str">
        <f>(IF((VLOOKUP(Table6[[#This Row],[SKU]],'All Skus'!$A:$AC,2,FALSE))="JBL",(VLOOKUP(Table6[[#This Row],[SKU]],'All Skus'!$A:$AC,4,FALSE)),""))</f>
        <v>VTX A8 MF</v>
      </c>
      <c r="D688" s="61" t="str">
        <f>(IF((VLOOKUP(Table6[[#This Row],[SKU]],'All Skus'!$A:$AC,2,FALSE))="JBL",(VLOOKUP(Table6[[#This Row],[SKU]],'All Skus'!$A:$AC,5,FALSE)),""))</f>
        <v>JBL046</v>
      </c>
      <c r="E688" s="137" t="str">
        <f>(IF((VLOOKUP(Table6[[#This Row],[SKU]],'All Skus'!$A:$AC,2,FALSE))="JBL",(VLOOKUP(Table6[[#This Row],[SKU]],'All Skus'!$A:$AC,6,FALSE)),""))</f>
        <v>YES</v>
      </c>
      <c r="F688" s="61">
        <f>(IF((VLOOKUP(Table6[[#This Row],[SKU]],'All Skus'!$A:$AC,2,FALSE))="JBL",(VLOOKUP(Table6[[#This Row],[SKU]],'All Skus'!$A:$AC,7,FALSE)),""))</f>
        <v>0</v>
      </c>
      <c r="G688" t="str">
        <f>(IF((VLOOKUP(Table6[[#This Row],[SKU]],'All Skus'!$A:$AC,2,FALSE))="JBL",(VLOOKUP(Table6[[#This Row],[SKU]],'All Skus'!$A:$AC,8,FALSE)),""))</f>
        <v>VTX A8 MF</v>
      </c>
      <c r="H688" s="8" t="str">
        <f>(IF((VLOOKUP(Table6[[#This Row],[SKU]],'All Skus'!$A:$AC,2,FALSE))="JBL",(VLOOKUP(Table6[[#This Row],[SKU]],'All Skus'!$A:$AC,9,FALSE)),""))</f>
        <v xml:space="preserve"> VTX A8/B18 Mini Frame</v>
      </c>
      <c r="I688" s="101" t="str">
        <f>(IF((VLOOKUP(Table6[[#This Row],[SKU]],'All Skus'!$A:$AC,2,FALSE))="JBL",(VLOOKUP(Table6[[#This Row],[SKU]],'All Skus'!$A:$AC,10,FALSE)),""))</f>
        <v>“Price On Application (POA) Contact your Representative"</v>
      </c>
      <c r="J688" s="101" t="str">
        <f>(IF((VLOOKUP(Table6[[#This Row],[SKU]],'All Skus'!$A:$AC,2,FALSE))="JBL",(VLOOKUP(Table6[[#This Row],[SKU]],'All Skus'!$A:$AC,11,FALSE)),""))</f>
        <v>“Price On Application (POA) Contact your Representative"</v>
      </c>
      <c r="K688" s="102">
        <f>(IF((VLOOKUP(Table6[[#This Row],[SKU]],'All Skus'!$A:$AC,2,FALSE))="JBL",(VLOOKUP(Table6[[#This Row],[SKU]],'All Skus'!$A:$AC,13,FALSE)),""))</f>
        <v>0</v>
      </c>
      <c r="L688" s="102">
        <f>(IF((VLOOKUP(Table6[[#This Row],[SKU]],'All Skus'!$A:$AC,2,FALSE))="JBL",(VLOOKUP(Table6[[#This Row],[SKU]],'All Skus'!$A:$AC,14,FALSE)),""))</f>
        <v>0</v>
      </c>
      <c r="M688" s="143">
        <f>(IF((VLOOKUP(Table6[[#This Row],[SKU]],'All Skus'!$A:$AC,2,FALSE))="JBL",(VLOOKUP(Table6[[#This Row],[SKU]],'All Skus'!$A:$AC,15,FALSE)),""))</f>
        <v>0</v>
      </c>
      <c r="N688" s="137">
        <f>(IF((VLOOKUP(Table6[[#This Row],[SKU]],'All Skus'!$A:$AC,2,FALSE))="JBL",(VLOOKUP(Table6[[#This Row],[SKU]],'All Skus'!$A:$AC,16,FALSE)),""))</f>
        <v>691991013782</v>
      </c>
      <c r="O688" s="61">
        <f>(IF((VLOOKUP(Table6[[#This Row],[SKU]],'All Skus'!$A:$AC,2,FALSE))="JBL",(VLOOKUP(Table6[[#This Row],[SKU]],'All Skus'!$A:$AC,17,FALSE)),""))</f>
        <v>0</v>
      </c>
      <c r="P688" s="136">
        <f>(IF((VLOOKUP(Table6[[#This Row],[SKU]],'All Skus'!$A:$AC,2,FALSE))="JBL",(VLOOKUP(Table6[[#This Row],[SKU]],'All Skus'!$A:$AC,18,FALSE)),""))</f>
        <v>0</v>
      </c>
      <c r="Q688" s="136">
        <f>(IF((VLOOKUP(Table6[[#This Row],[SKU]],'All Skus'!$A:$AC,2,FALSE))="JBL",(VLOOKUP(Table6[[#This Row],[SKU]],'All Skus'!$A:$AC,19,FALSE)),""))</f>
        <v>0</v>
      </c>
      <c r="R688" s="136">
        <f>(IF((VLOOKUP(Table6[[#This Row],[SKU]],'All Skus'!$A:$AC,2,FALSE))="JBL",(VLOOKUP(Table6[[#This Row],[SKU]],'All Skus'!$A:$AC,20,FALSE)),""))</f>
        <v>0</v>
      </c>
      <c r="S688" s="61">
        <f>(IF((VLOOKUP(Table6[[#This Row],[SKU]],'All Skus'!$A:$AC,2,FALSE))="JBL",(VLOOKUP(Table6[[#This Row],[SKU]],'All Skus'!$A:$AC,21,FALSE)),""))</f>
        <v>0</v>
      </c>
      <c r="T688" s="61" t="str">
        <f>(IF((VLOOKUP(Table6[[#This Row],[SKU]],'All Skus'!$A:$AC,2,FALSE))="JBL",(VLOOKUP(Table6[[#This Row],[SKU]],'All Skus'!$A:$AC,22,FALSE)),""))</f>
        <v>MX</v>
      </c>
      <c r="U688">
        <f>(IF((VLOOKUP(Table6[[#This Row],[SKU]],'All Skus'!$A:$AC,2,FALSE))="JBL",(VLOOKUP(Table6[[#This Row],[SKU]],'All Skus'!$A:$AC,23,FALSE)),""))</f>
        <v>0</v>
      </c>
      <c r="V688" s="284" t="str">
        <f>HYPERLINK((IF((VLOOKUP(Table6[[#This Row],[SKU]],'All Skus'!$A:$AC,2,FALSE))="JBL",(VLOOKUP(Table6[[#This Row],[SKU]],'All Skus'!$A:$AC,24,FALSE)),"")))</f>
        <v/>
      </c>
      <c r="W688" s="151">
        <v>685</v>
      </c>
    </row>
    <row r="689" spans="1:23" ht="15" hidden="1" customHeight="1">
      <c r="A689" s="13" t="s">
        <v>1698</v>
      </c>
      <c r="B689" s="12" t="str">
        <f>(IF((VLOOKUP(Table6[[#This Row],[SKU]],'All Skus'!$A:$AC,2,FALSE))="JBL",(VLOOKUP(Table6[[#This Row],[SKU]],'All Skus'!$A:$AC,3,FALSE)),""))</f>
        <v>VTX SERIES</v>
      </c>
      <c r="C689" s="12" t="str">
        <f>(IF((VLOOKUP(Table6[[#This Row],[SKU]],'All Skus'!$A:$AC,2,FALSE))="JBL",(VLOOKUP(Table6[[#This Row],[SKU]],'All Skus'!$A:$AC,4,FALSE)),""))</f>
        <v xml:space="preserve">VTX RC500 </v>
      </c>
      <c r="D689" s="61" t="str">
        <f>(IF((VLOOKUP(Table6[[#This Row],[SKU]],'All Skus'!$A:$AC,2,FALSE))="JBL",(VLOOKUP(Table6[[#This Row],[SKU]],'All Skus'!$A:$AC,5,FALSE)),""))</f>
        <v>JBL046</v>
      </c>
      <c r="E689" s="137" t="str">
        <f>(IF((VLOOKUP(Table6[[#This Row],[SKU]],'All Skus'!$A:$AC,2,FALSE))="JBL",(VLOOKUP(Table6[[#This Row],[SKU]],'All Skus'!$A:$AC,6,FALSE)),""))</f>
        <v>YES</v>
      </c>
      <c r="F689" s="61">
        <f>(IF((VLOOKUP(Table6[[#This Row],[SKU]],'All Skus'!$A:$AC,2,FALSE))="JBL",(VLOOKUP(Table6[[#This Row],[SKU]],'All Skus'!$A:$AC,7,FALSE)),""))</f>
        <v>0</v>
      </c>
      <c r="G689" t="str">
        <f>(IF((VLOOKUP(Table6[[#This Row],[SKU]],'All Skus'!$A:$AC,2,FALSE))="JBL",(VLOOKUP(Table6[[#This Row],[SKU]],'All Skus'!$A:$AC,8,FALSE)),""))</f>
        <v xml:space="preserve">VTX RC500 </v>
      </c>
      <c r="H689" s="8" t="str">
        <f>(IF((VLOOKUP(Table6[[#This Row],[SKU]],'All Skus'!$A:$AC,2,FALSE))="JBL",(VLOOKUP(Table6[[#This Row],[SKU]],'All Skus'!$A:$AC,9,FALSE)),""))</f>
        <v>Rotating Truss/Pipe Clamp, MAX Capacity: 500kg (1100lbs)</v>
      </c>
      <c r="I689" s="101" t="str">
        <f>(IF((VLOOKUP(Table6[[#This Row],[SKU]],'All Skus'!$A:$AC,2,FALSE))="JBL",(VLOOKUP(Table6[[#This Row],[SKU]],'All Skus'!$A:$AC,10,FALSE)),""))</f>
        <v>“Price On Application (POA) Contact your Representative"</v>
      </c>
      <c r="J689" s="101" t="str">
        <f>(IF((VLOOKUP(Table6[[#This Row],[SKU]],'All Skus'!$A:$AC,2,FALSE))="JBL",(VLOOKUP(Table6[[#This Row],[SKU]],'All Skus'!$A:$AC,11,FALSE)),""))</f>
        <v>“Price On Application (POA) Contact your Representative"</v>
      </c>
      <c r="K689" s="102">
        <f>(IF((VLOOKUP(Table6[[#This Row],[SKU]],'All Skus'!$A:$AC,2,FALSE))="JBL",(VLOOKUP(Table6[[#This Row],[SKU]],'All Skus'!$A:$AC,13,FALSE)),""))</f>
        <v>0</v>
      </c>
      <c r="L689" s="102">
        <f>(IF((VLOOKUP(Table6[[#This Row],[SKU]],'All Skus'!$A:$AC,2,FALSE))="JBL",(VLOOKUP(Table6[[#This Row],[SKU]],'All Skus'!$A:$AC,14,FALSE)),""))</f>
        <v>0</v>
      </c>
      <c r="M689" s="143">
        <f>(IF((VLOOKUP(Table6[[#This Row],[SKU]],'All Skus'!$A:$AC,2,FALSE))="JBL",(VLOOKUP(Table6[[#This Row],[SKU]],'All Skus'!$A:$AC,15,FALSE)),""))</f>
        <v>0</v>
      </c>
      <c r="N689" s="137">
        <f>(IF((VLOOKUP(Table6[[#This Row],[SKU]],'All Skus'!$A:$AC,2,FALSE))="JBL",(VLOOKUP(Table6[[#This Row],[SKU]],'All Skus'!$A:$AC,16,FALSE)),""))</f>
        <v>691991033803</v>
      </c>
      <c r="O689" s="61">
        <f>(IF((VLOOKUP(Table6[[#This Row],[SKU]],'All Skus'!$A:$AC,2,FALSE))="JBL",(VLOOKUP(Table6[[#This Row],[SKU]],'All Skus'!$A:$AC,17,FALSE)),""))</f>
        <v>0</v>
      </c>
      <c r="P689" s="136">
        <f>(IF((VLOOKUP(Table6[[#This Row],[SKU]],'All Skus'!$A:$AC,2,FALSE))="JBL",(VLOOKUP(Table6[[#This Row],[SKU]],'All Skus'!$A:$AC,18,FALSE)),""))</f>
        <v>0</v>
      </c>
      <c r="Q689" s="136">
        <f>(IF((VLOOKUP(Table6[[#This Row],[SKU]],'All Skus'!$A:$AC,2,FALSE))="JBL",(VLOOKUP(Table6[[#This Row],[SKU]],'All Skus'!$A:$AC,19,FALSE)),""))</f>
        <v>0</v>
      </c>
      <c r="R689" s="136">
        <f>(IF((VLOOKUP(Table6[[#This Row],[SKU]],'All Skus'!$A:$AC,2,FALSE))="JBL",(VLOOKUP(Table6[[#This Row],[SKU]],'All Skus'!$A:$AC,20,FALSE)),""))</f>
        <v>0</v>
      </c>
      <c r="S689" s="61">
        <f>(IF((VLOOKUP(Table6[[#This Row],[SKU]],'All Skus'!$A:$AC,2,FALSE))="JBL",(VLOOKUP(Table6[[#This Row],[SKU]],'All Skus'!$A:$AC,21,FALSE)),""))</f>
        <v>0</v>
      </c>
      <c r="T689" s="61" t="str">
        <f>(IF((VLOOKUP(Table6[[#This Row],[SKU]],'All Skus'!$A:$AC,2,FALSE))="JBL",(VLOOKUP(Table6[[#This Row],[SKU]],'All Skus'!$A:$AC,22,FALSE)),""))</f>
        <v>MX</v>
      </c>
      <c r="U689">
        <f>(IF((VLOOKUP(Table6[[#This Row],[SKU]],'All Skus'!$A:$AC,2,FALSE))="JBL",(VLOOKUP(Table6[[#This Row],[SKU]],'All Skus'!$A:$AC,23,FALSE)),""))</f>
        <v>0</v>
      </c>
      <c r="V689" s="284" t="str">
        <f>HYPERLINK((IF((VLOOKUP(Table6[[#This Row],[SKU]],'All Skus'!$A:$AC,2,FALSE))="JBL",(VLOOKUP(Table6[[#This Row],[SKU]],'All Skus'!$A:$AC,24,FALSE)),"")))</f>
        <v/>
      </c>
      <c r="W689" s="151">
        <v>686</v>
      </c>
    </row>
    <row r="690" spans="1:23" ht="15" hidden="1" customHeight="1">
      <c r="A690" s="13" t="s">
        <v>1699</v>
      </c>
      <c r="B690" s="12" t="str">
        <f>(IF((VLOOKUP(Table6[[#This Row],[SKU]],'All Skus'!$A:$AC,2,FALSE))="JBL",(VLOOKUP(Table6[[#This Row],[SKU]],'All Skus'!$A:$AC,3,FALSE)),""))</f>
        <v>VTX SERIES</v>
      </c>
      <c r="C690" s="12" t="str">
        <f>(IF((VLOOKUP(Table6[[#This Row],[SKU]],'All Skus'!$A:$AC,2,FALSE))="JBL",(VLOOKUP(Table6[[#This Row],[SKU]],'All Skus'!$A:$AC,4,FALSE)),""))</f>
        <v>VTX A8 VT</v>
      </c>
      <c r="D690" s="61" t="str">
        <f>(IF((VLOOKUP(Table6[[#This Row],[SKU]],'All Skus'!$A:$AC,2,FALSE))="JBL",(VLOOKUP(Table6[[#This Row],[SKU]],'All Skus'!$A:$AC,5,FALSE)),""))</f>
        <v>JBL046</v>
      </c>
      <c r="E690" s="137" t="str">
        <f>(IF((VLOOKUP(Table6[[#This Row],[SKU]],'All Skus'!$A:$AC,2,FALSE))="JBL",(VLOOKUP(Table6[[#This Row],[SKU]],'All Skus'!$A:$AC,6,FALSE)),""))</f>
        <v>YES</v>
      </c>
      <c r="F690" s="61">
        <f>(IF((VLOOKUP(Table6[[#This Row],[SKU]],'All Skus'!$A:$AC,2,FALSE))="JBL",(VLOOKUP(Table6[[#This Row],[SKU]],'All Skus'!$A:$AC,7,FALSE)),""))</f>
        <v>0</v>
      </c>
      <c r="G690" t="str">
        <f>(IF((VLOOKUP(Table6[[#This Row],[SKU]],'All Skus'!$A:$AC,2,FALSE))="JBL",(VLOOKUP(Table6[[#This Row],[SKU]],'All Skus'!$A:$AC,8,FALSE)),""))</f>
        <v>VTX A8 VT</v>
      </c>
      <c r="H690" s="8" t="str">
        <f>(IF((VLOOKUP(Table6[[#This Row],[SKU]],'All Skus'!$A:$AC,2,FALSE))="JBL",(VLOOKUP(Table6[[#This Row],[SKU]],'All Skus'!$A:$AC,9,FALSE)),""))</f>
        <v xml:space="preserve"> VTX A8 Vertical Transportation Cart (works with 4 x A8)</v>
      </c>
      <c r="I690" s="101" t="str">
        <f>(IF((VLOOKUP(Table6[[#This Row],[SKU]],'All Skus'!$A:$AC,2,FALSE))="JBL",(VLOOKUP(Table6[[#This Row],[SKU]],'All Skus'!$A:$AC,10,FALSE)),""))</f>
        <v>“Price On Application (POA) Contact your Representative"</v>
      </c>
      <c r="J690" s="101" t="str">
        <f>(IF((VLOOKUP(Table6[[#This Row],[SKU]],'All Skus'!$A:$AC,2,FALSE))="JBL",(VLOOKUP(Table6[[#This Row],[SKU]],'All Skus'!$A:$AC,11,FALSE)),""))</f>
        <v>“Price On Application (POA) Contact your Representative"</v>
      </c>
      <c r="K690" s="102">
        <f>(IF((VLOOKUP(Table6[[#This Row],[SKU]],'All Skus'!$A:$AC,2,FALSE))="JBL",(VLOOKUP(Table6[[#This Row],[SKU]],'All Skus'!$A:$AC,13,FALSE)),""))</f>
        <v>0</v>
      </c>
      <c r="L690" s="102">
        <f>(IF((VLOOKUP(Table6[[#This Row],[SKU]],'All Skus'!$A:$AC,2,FALSE))="JBL",(VLOOKUP(Table6[[#This Row],[SKU]],'All Skus'!$A:$AC,14,FALSE)),""))</f>
        <v>0</v>
      </c>
      <c r="M690" s="143">
        <f>(IF((VLOOKUP(Table6[[#This Row],[SKU]],'All Skus'!$A:$AC,2,FALSE))="JBL",(VLOOKUP(Table6[[#This Row],[SKU]],'All Skus'!$A:$AC,15,FALSE)),""))</f>
        <v>0</v>
      </c>
      <c r="N690" s="137">
        <f>(IF((VLOOKUP(Table6[[#This Row],[SKU]],'All Skus'!$A:$AC,2,FALSE))="JBL",(VLOOKUP(Table6[[#This Row],[SKU]],'All Skus'!$A:$AC,16,FALSE)),""))</f>
        <v>691991013430</v>
      </c>
      <c r="O690" s="61">
        <f>(IF((VLOOKUP(Table6[[#This Row],[SKU]],'All Skus'!$A:$AC,2,FALSE))="JBL",(VLOOKUP(Table6[[#This Row],[SKU]],'All Skus'!$A:$AC,17,FALSE)),""))</f>
        <v>0</v>
      </c>
      <c r="P690" s="136">
        <f>(IF((VLOOKUP(Table6[[#This Row],[SKU]],'All Skus'!$A:$AC,2,FALSE))="JBL",(VLOOKUP(Table6[[#This Row],[SKU]],'All Skus'!$A:$AC,18,FALSE)),""))</f>
        <v>0</v>
      </c>
      <c r="Q690" s="136">
        <f>(IF((VLOOKUP(Table6[[#This Row],[SKU]],'All Skus'!$A:$AC,2,FALSE))="JBL",(VLOOKUP(Table6[[#This Row],[SKU]],'All Skus'!$A:$AC,19,FALSE)),""))</f>
        <v>0</v>
      </c>
      <c r="R690" s="136">
        <f>(IF((VLOOKUP(Table6[[#This Row],[SKU]],'All Skus'!$A:$AC,2,FALSE))="JBL",(VLOOKUP(Table6[[#This Row],[SKU]],'All Skus'!$A:$AC,20,FALSE)),""))</f>
        <v>0</v>
      </c>
      <c r="S690" s="61">
        <f>(IF((VLOOKUP(Table6[[#This Row],[SKU]],'All Skus'!$A:$AC,2,FALSE))="JBL",(VLOOKUP(Table6[[#This Row],[SKU]],'All Skus'!$A:$AC,21,FALSE)),""))</f>
        <v>0</v>
      </c>
      <c r="T690" s="61" t="str">
        <f>(IF((VLOOKUP(Table6[[#This Row],[SKU]],'All Skus'!$A:$AC,2,FALSE))="JBL",(VLOOKUP(Table6[[#This Row],[SKU]],'All Skus'!$A:$AC,22,FALSE)),""))</f>
        <v>MX</v>
      </c>
      <c r="U690">
        <f>(IF((VLOOKUP(Table6[[#This Row],[SKU]],'All Skus'!$A:$AC,2,FALSE))="JBL",(VLOOKUP(Table6[[#This Row],[SKU]],'All Skus'!$A:$AC,23,FALSE)),""))</f>
        <v>0</v>
      </c>
      <c r="V690" s="284" t="str">
        <f>HYPERLINK((IF((VLOOKUP(Table6[[#This Row],[SKU]],'All Skus'!$A:$AC,2,FALSE))="JBL",(VLOOKUP(Table6[[#This Row],[SKU]],'All Skus'!$A:$AC,24,FALSE)),"")))</f>
        <v/>
      </c>
      <c r="W690" s="151">
        <v>687</v>
      </c>
    </row>
    <row r="691" spans="1:23" ht="15" hidden="1" customHeight="1">
      <c r="A691" s="13" t="s">
        <v>1700</v>
      </c>
      <c r="B691" s="12" t="str">
        <f>(IF((VLOOKUP(Table6[[#This Row],[SKU]],'All Skus'!$A:$AC,2,FALSE))="JBL",(VLOOKUP(Table6[[#This Row],[SKU]],'All Skus'!$A:$AC,3,FALSE)),""))</f>
        <v>VTX SERIES</v>
      </c>
      <c r="C691" s="12" t="str">
        <f>(IF((VLOOKUP(Table6[[#This Row],[SKU]],'All Skus'!$A:$AC,2,FALSE))="JBL",(VLOOKUP(Table6[[#This Row],[SKU]],'All Skus'!$A:$AC,4,FALSE)),""))</f>
        <v>VTX A8 VT CVR</v>
      </c>
      <c r="D691" s="61" t="str">
        <f>(IF((VLOOKUP(Table6[[#This Row],[SKU]],'All Skus'!$A:$AC,2,FALSE))="JBL",(VLOOKUP(Table6[[#This Row],[SKU]],'All Skus'!$A:$AC,5,FALSE)),""))</f>
        <v>JBL046</v>
      </c>
      <c r="E691" s="137" t="str">
        <f>(IF((VLOOKUP(Table6[[#This Row],[SKU]],'All Skus'!$A:$AC,2,FALSE))="JBL",(VLOOKUP(Table6[[#This Row],[SKU]],'All Skus'!$A:$AC,6,FALSE)),""))</f>
        <v>YES</v>
      </c>
      <c r="F691" s="61">
        <f>(IF((VLOOKUP(Table6[[#This Row],[SKU]],'All Skus'!$A:$AC,2,FALSE))="JBL",(VLOOKUP(Table6[[#This Row],[SKU]],'All Skus'!$A:$AC,7,FALSE)),""))</f>
        <v>0</v>
      </c>
      <c r="G691" t="str">
        <f>(IF((VLOOKUP(Table6[[#This Row],[SKU]],'All Skus'!$A:$AC,2,FALSE))="JBL",(VLOOKUP(Table6[[#This Row],[SKU]],'All Skus'!$A:$AC,8,FALSE)),""))</f>
        <v>VTX A8 VT CVR</v>
      </c>
      <c r="H691" s="8" t="str">
        <f>(IF((VLOOKUP(Table6[[#This Row],[SKU]],'All Skus'!$A:$AC,2,FALSE))="JBL",(VLOOKUP(Table6[[#This Row],[SKU]],'All Skus'!$A:$AC,9,FALSE)),""))</f>
        <v xml:space="preserve"> VTX A8 VT Soft Cover (works with 4 x A8)</v>
      </c>
      <c r="I691" s="101" t="str">
        <f>(IF((VLOOKUP(Table6[[#This Row],[SKU]],'All Skus'!$A:$AC,2,FALSE))="JBL",(VLOOKUP(Table6[[#This Row],[SKU]],'All Skus'!$A:$AC,10,FALSE)),""))</f>
        <v>“Price On Application (POA) Contact your Representative"</v>
      </c>
      <c r="J691" s="101" t="str">
        <f>(IF((VLOOKUP(Table6[[#This Row],[SKU]],'All Skus'!$A:$AC,2,FALSE))="JBL",(VLOOKUP(Table6[[#This Row],[SKU]],'All Skus'!$A:$AC,11,FALSE)),""))</f>
        <v>“Price On Application (POA) Contact your Representative"</v>
      </c>
      <c r="K691" s="102">
        <f>(IF((VLOOKUP(Table6[[#This Row],[SKU]],'All Skus'!$A:$AC,2,FALSE))="JBL",(VLOOKUP(Table6[[#This Row],[SKU]],'All Skus'!$A:$AC,13,FALSE)),""))</f>
        <v>0</v>
      </c>
      <c r="L691" s="102">
        <f>(IF((VLOOKUP(Table6[[#This Row],[SKU]],'All Skus'!$A:$AC,2,FALSE))="JBL",(VLOOKUP(Table6[[#This Row],[SKU]],'All Skus'!$A:$AC,14,FALSE)),""))</f>
        <v>0</v>
      </c>
      <c r="M691" s="143">
        <f>(IF((VLOOKUP(Table6[[#This Row],[SKU]],'All Skus'!$A:$AC,2,FALSE))="JBL",(VLOOKUP(Table6[[#This Row],[SKU]],'All Skus'!$A:$AC,15,FALSE)),""))</f>
        <v>0</v>
      </c>
      <c r="N691" s="137">
        <f>(IF((VLOOKUP(Table6[[#This Row],[SKU]],'All Skus'!$A:$AC,2,FALSE))="JBL",(VLOOKUP(Table6[[#This Row],[SKU]],'All Skus'!$A:$AC,16,FALSE)),""))</f>
        <v>691991013423</v>
      </c>
      <c r="O691" s="61">
        <f>(IF((VLOOKUP(Table6[[#This Row],[SKU]],'All Skus'!$A:$AC,2,FALSE))="JBL",(VLOOKUP(Table6[[#This Row],[SKU]],'All Skus'!$A:$AC,17,FALSE)),""))</f>
        <v>0</v>
      </c>
      <c r="P691" s="136">
        <f>(IF((VLOOKUP(Table6[[#This Row],[SKU]],'All Skus'!$A:$AC,2,FALSE))="JBL",(VLOOKUP(Table6[[#This Row],[SKU]],'All Skus'!$A:$AC,18,FALSE)),""))</f>
        <v>0</v>
      </c>
      <c r="Q691" s="136">
        <f>(IF((VLOOKUP(Table6[[#This Row],[SKU]],'All Skus'!$A:$AC,2,FALSE))="JBL",(VLOOKUP(Table6[[#This Row],[SKU]],'All Skus'!$A:$AC,19,FALSE)),""))</f>
        <v>0</v>
      </c>
      <c r="R691" s="136">
        <f>(IF((VLOOKUP(Table6[[#This Row],[SKU]],'All Skus'!$A:$AC,2,FALSE))="JBL",(VLOOKUP(Table6[[#This Row],[SKU]],'All Skus'!$A:$AC,20,FALSE)),""))</f>
        <v>0</v>
      </c>
      <c r="S691" s="61">
        <f>(IF((VLOOKUP(Table6[[#This Row],[SKU]],'All Skus'!$A:$AC,2,FALSE))="JBL",(VLOOKUP(Table6[[#This Row],[SKU]],'All Skus'!$A:$AC,21,FALSE)),""))</f>
        <v>0</v>
      </c>
      <c r="T691" s="61" t="str">
        <f>(IF((VLOOKUP(Table6[[#This Row],[SKU]],'All Skus'!$A:$AC,2,FALSE))="JBL",(VLOOKUP(Table6[[#This Row],[SKU]],'All Skus'!$A:$AC,22,FALSE)),""))</f>
        <v>CN</v>
      </c>
      <c r="U691">
        <f>(IF((VLOOKUP(Table6[[#This Row],[SKU]],'All Skus'!$A:$AC,2,FALSE))="JBL",(VLOOKUP(Table6[[#This Row],[SKU]],'All Skus'!$A:$AC,23,FALSE)),""))</f>
        <v>0</v>
      </c>
      <c r="V691" s="284" t="str">
        <f>HYPERLINK((IF((VLOOKUP(Table6[[#This Row],[SKU]],'All Skus'!$A:$AC,2,FALSE))="JBL",(VLOOKUP(Table6[[#This Row],[SKU]],'All Skus'!$A:$AC,24,FALSE)),"")))</f>
        <v/>
      </c>
      <c r="W691" s="151">
        <v>688</v>
      </c>
    </row>
    <row r="692" spans="1:23" ht="15" hidden="1" customHeight="1">
      <c r="A692" s="13" t="s">
        <v>1701</v>
      </c>
      <c r="B692" s="12" t="str">
        <f>(IF((VLOOKUP(Table6[[#This Row],[SKU]],'All Skus'!$A:$AC,2,FALSE))="JBL",(VLOOKUP(Table6[[#This Row],[SKU]],'All Skus'!$A:$AC,3,FALSE)),""))</f>
        <v>VTX SERIES</v>
      </c>
      <c r="C692" s="12" t="str">
        <f>(IF((VLOOKUP(Table6[[#This Row],[SKU]],'All Skus'!$A:$AC,2,FALSE))="JBL",(VLOOKUP(Table6[[#This Row],[SKU]],'All Skus'!$A:$AC,4,FALSE)),""))</f>
        <v>VTX A8 BP</v>
      </c>
      <c r="D692" s="61" t="str">
        <f>(IF((VLOOKUP(Table6[[#This Row],[SKU]],'All Skus'!$A:$AC,2,FALSE))="JBL",(VLOOKUP(Table6[[#This Row],[SKU]],'All Skus'!$A:$AC,5,FALSE)),""))</f>
        <v>JBL046</v>
      </c>
      <c r="E692" s="137" t="str">
        <f>(IF((VLOOKUP(Table6[[#This Row],[SKU]],'All Skus'!$A:$AC,2,FALSE))="JBL",(VLOOKUP(Table6[[#This Row],[SKU]],'All Skus'!$A:$AC,6,FALSE)),""))</f>
        <v>YES</v>
      </c>
      <c r="F692" s="61">
        <f>(IF((VLOOKUP(Table6[[#This Row],[SKU]],'All Skus'!$A:$AC,2,FALSE))="JBL",(VLOOKUP(Table6[[#This Row],[SKU]],'All Skus'!$A:$AC,7,FALSE)),""))</f>
        <v>0</v>
      </c>
      <c r="G692" t="str">
        <f>(IF((VLOOKUP(Table6[[#This Row],[SKU]],'All Skus'!$A:$AC,2,FALSE))="JBL",(VLOOKUP(Table6[[#This Row],[SKU]],'All Skus'!$A:$AC,8,FALSE)),""))</f>
        <v>VTX A8 BP</v>
      </c>
      <c r="H692" s="8" t="str">
        <f>(IF((VLOOKUP(Table6[[#This Row],[SKU]],'All Skus'!$A:$AC,2,FALSE))="JBL",(VLOOKUP(Table6[[#This Row],[SKU]],'All Skus'!$A:$AC,9,FALSE)),""))</f>
        <v>Universal Base Plate for VTX A8</v>
      </c>
      <c r="I692" s="101" t="str">
        <f>(IF((VLOOKUP(Table6[[#This Row],[SKU]],'All Skus'!$A:$AC,2,FALSE))="JBL",(VLOOKUP(Table6[[#This Row],[SKU]],'All Skus'!$A:$AC,10,FALSE)),""))</f>
        <v>“Price On Application (POA) Contact your Representative"</v>
      </c>
      <c r="J692" s="101" t="str">
        <f>(IF((VLOOKUP(Table6[[#This Row],[SKU]],'All Skus'!$A:$AC,2,FALSE))="JBL",(VLOOKUP(Table6[[#This Row],[SKU]],'All Skus'!$A:$AC,11,FALSE)),""))</f>
        <v>“Price On Application (POA) Contact your Representative"</v>
      </c>
      <c r="K692" s="102">
        <f>(IF((VLOOKUP(Table6[[#This Row],[SKU]],'All Skus'!$A:$AC,2,FALSE))="JBL",(VLOOKUP(Table6[[#This Row],[SKU]],'All Skus'!$A:$AC,13,FALSE)),""))</f>
        <v>0</v>
      </c>
      <c r="L692" s="102">
        <f>(IF((VLOOKUP(Table6[[#This Row],[SKU]],'All Skus'!$A:$AC,2,FALSE))="JBL",(VLOOKUP(Table6[[#This Row],[SKU]],'All Skus'!$A:$AC,14,FALSE)),""))</f>
        <v>0</v>
      </c>
      <c r="M692" s="143">
        <f>(IF((VLOOKUP(Table6[[#This Row],[SKU]],'All Skus'!$A:$AC,2,FALSE))="JBL",(VLOOKUP(Table6[[#This Row],[SKU]],'All Skus'!$A:$AC,15,FALSE)),""))</f>
        <v>0</v>
      </c>
      <c r="N692" s="137">
        <f>(IF((VLOOKUP(Table6[[#This Row],[SKU]],'All Skus'!$A:$AC,2,FALSE))="JBL",(VLOOKUP(Table6[[#This Row],[SKU]],'All Skus'!$A:$AC,16,FALSE)),""))</f>
        <v>691991015748</v>
      </c>
      <c r="O692" s="61">
        <f>(IF((VLOOKUP(Table6[[#This Row],[SKU]],'All Skus'!$A:$AC,2,FALSE))="JBL",(VLOOKUP(Table6[[#This Row],[SKU]],'All Skus'!$A:$AC,17,FALSE)),""))</f>
        <v>0</v>
      </c>
      <c r="P692" s="136">
        <f>(IF((VLOOKUP(Table6[[#This Row],[SKU]],'All Skus'!$A:$AC,2,FALSE))="JBL",(VLOOKUP(Table6[[#This Row],[SKU]],'All Skus'!$A:$AC,18,FALSE)),""))</f>
        <v>0</v>
      </c>
      <c r="Q692" s="136">
        <f>(IF((VLOOKUP(Table6[[#This Row],[SKU]],'All Skus'!$A:$AC,2,FALSE))="JBL",(VLOOKUP(Table6[[#This Row],[SKU]],'All Skus'!$A:$AC,19,FALSE)),""))</f>
        <v>0</v>
      </c>
      <c r="R692" s="136">
        <f>(IF((VLOOKUP(Table6[[#This Row],[SKU]],'All Skus'!$A:$AC,2,FALSE))="JBL",(VLOOKUP(Table6[[#This Row],[SKU]],'All Skus'!$A:$AC,20,FALSE)),""))</f>
        <v>0</v>
      </c>
      <c r="S692" s="61">
        <f>(IF((VLOOKUP(Table6[[#This Row],[SKU]],'All Skus'!$A:$AC,2,FALSE))="JBL",(VLOOKUP(Table6[[#This Row],[SKU]],'All Skus'!$A:$AC,21,FALSE)),""))</f>
        <v>0</v>
      </c>
      <c r="T692" s="61" t="str">
        <f>(IF((VLOOKUP(Table6[[#This Row],[SKU]],'All Skus'!$A:$AC,2,FALSE))="JBL",(VLOOKUP(Table6[[#This Row],[SKU]],'All Skus'!$A:$AC,22,FALSE)),""))</f>
        <v>MX</v>
      </c>
      <c r="U692">
        <f>(IF((VLOOKUP(Table6[[#This Row],[SKU]],'All Skus'!$A:$AC,2,FALSE))="JBL",(VLOOKUP(Table6[[#This Row],[SKU]],'All Skus'!$A:$AC,23,FALSE)),""))</f>
        <v>0</v>
      </c>
      <c r="V692" s="284" t="str">
        <f>HYPERLINK((IF((VLOOKUP(Table6[[#This Row],[SKU]],'All Skus'!$A:$AC,2,FALSE))="JBL",(VLOOKUP(Table6[[#This Row],[SKU]],'All Skus'!$A:$AC,24,FALSE)),"")))</f>
        <v/>
      </c>
      <c r="W692" s="151">
        <v>689</v>
      </c>
    </row>
    <row r="693" spans="1:23" ht="15" hidden="1" customHeight="1">
      <c r="A693" s="13" t="s">
        <v>1702</v>
      </c>
      <c r="B693" s="12" t="str">
        <f>(IF((VLOOKUP(Table6[[#This Row],[SKU]],'All Skus'!$A:$AC,2,FALSE))="JBL",(VLOOKUP(Table6[[#This Row],[SKU]],'All Skus'!$A:$AC,3,FALSE)),""))</f>
        <v>VTX SERIES</v>
      </c>
      <c r="C693" s="12" t="str">
        <f>(IF((VLOOKUP(Table6[[#This Row],[SKU]],'All Skus'!$A:$AC,2,FALSE))="JBL",(VLOOKUP(Table6[[#This Row],[SKU]],'All Skus'!$A:$AC,4,FALSE)),""))</f>
        <v>VTX B18 ACC</v>
      </c>
      <c r="D693" s="61" t="str">
        <f>(IF((VLOOKUP(Table6[[#This Row],[SKU]],'All Skus'!$A:$AC,2,FALSE))="JBL",(VLOOKUP(Table6[[#This Row],[SKU]],'All Skus'!$A:$AC,5,FALSE)),""))</f>
        <v>JBL046</v>
      </c>
      <c r="E693" s="137" t="str">
        <f>(IF((VLOOKUP(Table6[[#This Row],[SKU]],'All Skus'!$A:$AC,2,FALSE))="JBL",(VLOOKUP(Table6[[#This Row],[SKU]],'All Skus'!$A:$AC,6,FALSE)),""))</f>
        <v>YES</v>
      </c>
      <c r="F693" s="61">
        <f>(IF((VLOOKUP(Table6[[#This Row],[SKU]],'All Skus'!$A:$AC,2,FALSE))="JBL",(VLOOKUP(Table6[[#This Row],[SKU]],'All Skus'!$A:$AC,7,FALSE)),""))</f>
        <v>0</v>
      </c>
      <c r="G693" t="str">
        <f>(IF((VLOOKUP(Table6[[#This Row],[SKU]],'All Skus'!$A:$AC,2,FALSE))="JBL",(VLOOKUP(Table6[[#This Row],[SKU]],'All Skus'!$A:$AC,8,FALSE)),""))</f>
        <v>VTX B18 ACC</v>
      </c>
      <c r="H693" s="8" t="str">
        <f>(IF((VLOOKUP(Table6[[#This Row],[SKU]],'All Skus'!$A:$AC,2,FALSE))="JBL",(VLOOKUP(Table6[[#This Row],[SKU]],'All Skus'!$A:$AC,9,FALSE)),""))</f>
        <v xml:space="preserve"> VTX B18 Accessory Cover and Casterboard</v>
      </c>
      <c r="I693" s="101" t="str">
        <f>(IF((VLOOKUP(Table6[[#This Row],[SKU]],'All Skus'!$A:$AC,2,FALSE))="JBL",(VLOOKUP(Table6[[#This Row],[SKU]],'All Skus'!$A:$AC,10,FALSE)),""))</f>
        <v>“Price On Application (POA) Contact your Representative"</v>
      </c>
      <c r="J693" s="101" t="str">
        <f>(IF((VLOOKUP(Table6[[#This Row],[SKU]],'All Skus'!$A:$AC,2,FALSE))="JBL",(VLOOKUP(Table6[[#This Row],[SKU]],'All Skus'!$A:$AC,11,FALSE)),""))</f>
        <v>“Price On Application (POA) Contact your Representative"</v>
      </c>
      <c r="K693" s="102">
        <f>(IF((VLOOKUP(Table6[[#This Row],[SKU]],'All Skus'!$A:$AC,2,FALSE))="JBL",(VLOOKUP(Table6[[#This Row],[SKU]],'All Skus'!$A:$AC,13,FALSE)),""))</f>
        <v>0</v>
      </c>
      <c r="L693" s="102">
        <f>(IF((VLOOKUP(Table6[[#This Row],[SKU]],'All Skus'!$A:$AC,2,FALSE))="JBL",(VLOOKUP(Table6[[#This Row],[SKU]],'All Skus'!$A:$AC,14,FALSE)),""))</f>
        <v>0</v>
      </c>
      <c r="M693" s="143">
        <f>(IF((VLOOKUP(Table6[[#This Row],[SKU]],'All Skus'!$A:$AC,2,FALSE))="JBL",(VLOOKUP(Table6[[#This Row],[SKU]],'All Skus'!$A:$AC,15,FALSE)),""))</f>
        <v>0</v>
      </c>
      <c r="N693" s="137">
        <f>(IF((VLOOKUP(Table6[[#This Row],[SKU]],'All Skus'!$A:$AC,2,FALSE))="JBL",(VLOOKUP(Table6[[#This Row],[SKU]],'All Skus'!$A:$AC,16,FALSE)),""))</f>
        <v>691991013447</v>
      </c>
      <c r="O693" s="61">
        <f>(IF((VLOOKUP(Table6[[#This Row],[SKU]],'All Skus'!$A:$AC,2,FALSE))="JBL",(VLOOKUP(Table6[[#This Row],[SKU]],'All Skus'!$A:$AC,17,FALSE)),""))</f>
        <v>0</v>
      </c>
      <c r="P693" s="136">
        <f>(IF((VLOOKUP(Table6[[#This Row],[SKU]],'All Skus'!$A:$AC,2,FALSE))="JBL",(VLOOKUP(Table6[[#This Row],[SKU]],'All Skus'!$A:$AC,18,FALSE)),""))</f>
        <v>0</v>
      </c>
      <c r="Q693" s="136">
        <f>(IF((VLOOKUP(Table6[[#This Row],[SKU]],'All Skus'!$A:$AC,2,FALSE))="JBL",(VLOOKUP(Table6[[#This Row],[SKU]],'All Skus'!$A:$AC,19,FALSE)),""))</f>
        <v>0</v>
      </c>
      <c r="R693" s="136">
        <f>(IF((VLOOKUP(Table6[[#This Row],[SKU]],'All Skus'!$A:$AC,2,FALSE))="JBL",(VLOOKUP(Table6[[#This Row],[SKU]],'All Skus'!$A:$AC,20,FALSE)),""))</f>
        <v>0</v>
      </c>
      <c r="S693" s="61">
        <f>(IF((VLOOKUP(Table6[[#This Row],[SKU]],'All Skus'!$A:$AC,2,FALSE))="JBL",(VLOOKUP(Table6[[#This Row],[SKU]],'All Skus'!$A:$AC,21,FALSE)),""))</f>
        <v>0</v>
      </c>
      <c r="T693" s="61" t="str">
        <f>(IF((VLOOKUP(Table6[[#This Row],[SKU]],'All Skus'!$A:$AC,2,FALSE))="JBL",(VLOOKUP(Table6[[#This Row],[SKU]],'All Skus'!$A:$AC,22,FALSE)),""))</f>
        <v>MX</v>
      </c>
      <c r="U693">
        <f>(IF((VLOOKUP(Table6[[#This Row],[SKU]],'All Skus'!$A:$AC,2,FALSE))="JBL",(VLOOKUP(Table6[[#This Row],[SKU]],'All Skus'!$A:$AC,23,FALSE)),""))</f>
        <v>0</v>
      </c>
      <c r="V693" s="284" t="str">
        <f>HYPERLINK((IF((VLOOKUP(Table6[[#This Row],[SKU]],'All Skus'!$A:$AC,2,FALSE))="JBL",(VLOOKUP(Table6[[#This Row],[SKU]],'All Skus'!$A:$AC,24,FALSE)),"")))</f>
        <v/>
      </c>
      <c r="W693" s="151">
        <v>690</v>
      </c>
    </row>
    <row r="694" spans="1:23" ht="15" hidden="1" customHeight="1">
      <c r="A694" s="13" t="s">
        <v>1703</v>
      </c>
      <c r="B694" s="12" t="str">
        <f>(IF((VLOOKUP(Table6[[#This Row],[SKU]],'All Skus'!$A:$AC,2,FALSE))="JBL",(VLOOKUP(Table6[[#This Row],[SKU]],'All Skus'!$A:$AC,3,FALSE)),""))</f>
        <v>VTX SERIES</v>
      </c>
      <c r="C694" s="12" t="str">
        <f>(IF((VLOOKUP(Table6[[#This Row],[SKU]],'All Skus'!$A:$AC,2,FALSE))="JBL",(VLOOKUP(Table6[[#This Row],[SKU]],'All Skus'!$A:$AC,4,FALSE)),""))</f>
        <v>VTX B18 VT</v>
      </c>
      <c r="D694" s="61" t="str">
        <f>(IF((VLOOKUP(Table6[[#This Row],[SKU]],'All Skus'!$A:$AC,2,FALSE))="JBL",(VLOOKUP(Table6[[#This Row],[SKU]],'All Skus'!$A:$AC,5,FALSE)),""))</f>
        <v>JBL046</v>
      </c>
      <c r="E694" s="137" t="str">
        <f>(IF((VLOOKUP(Table6[[#This Row],[SKU]],'All Skus'!$A:$AC,2,FALSE))="JBL",(VLOOKUP(Table6[[#This Row],[SKU]],'All Skus'!$A:$AC,6,FALSE)),""))</f>
        <v>YES</v>
      </c>
      <c r="F694" s="61">
        <f>(IF((VLOOKUP(Table6[[#This Row],[SKU]],'All Skus'!$A:$AC,2,FALSE))="JBL",(VLOOKUP(Table6[[#This Row],[SKU]],'All Skus'!$A:$AC,7,FALSE)),""))</f>
        <v>0</v>
      </c>
      <c r="G694" t="str">
        <f>(IF((VLOOKUP(Table6[[#This Row],[SKU]],'All Skus'!$A:$AC,2,FALSE))="JBL",(VLOOKUP(Table6[[#This Row],[SKU]],'All Skus'!$A:$AC,8,FALSE)),""))</f>
        <v>VTX B18 VT</v>
      </c>
      <c r="H694" s="8" t="str">
        <f>(IF((VLOOKUP(Table6[[#This Row],[SKU]],'All Skus'!$A:$AC,2,FALSE))="JBL",(VLOOKUP(Table6[[#This Row],[SKU]],'All Skus'!$A:$AC,9,FALSE)),""))</f>
        <v xml:space="preserve"> VTX B18 Vertical Transportation Cart (up to 4 x B18)</v>
      </c>
      <c r="I694" s="101" t="str">
        <f>(IF((VLOOKUP(Table6[[#This Row],[SKU]],'All Skus'!$A:$AC,2,FALSE))="JBL",(VLOOKUP(Table6[[#This Row],[SKU]],'All Skus'!$A:$AC,10,FALSE)),""))</f>
        <v>“Price On Application (POA) Contact your Representative"</v>
      </c>
      <c r="J694" s="101" t="str">
        <f>(IF((VLOOKUP(Table6[[#This Row],[SKU]],'All Skus'!$A:$AC,2,FALSE))="JBL",(VLOOKUP(Table6[[#This Row],[SKU]],'All Skus'!$A:$AC,11,FALSE)),""))</f>
        <v>“Price On Application (POA) Contact your Representative"</v>
      </c>
      <c r="K694" s="102">
        <f>(IF((VLOOKUP(Table6[[#This Row],[SKU]],'All Skus'!$A:$AC,2,FALSE))="JBL",(VLOOKUP(Table6[[#This Row],[SKU]],'All Skus'!$A:$AC,13,FALSE)),""))</f>
        <v>0</v>
      </c>
      <c r="L694" s="102">
        <f>(IF((VLOOKUP(Table6[[#This Row],[SKU]],'All Skus'!$A:$AC,2,FALSE))="JBL",(VLOOKUP(Table6[[#This Row],[SKU]],'All Skus'!$A:$AC,14,FALSE)),""))</f>
        <v>0</v>
      </c>
      <c r="M694" s="143">
        <f>(IF((VLOOKUP(Table6[[#This Row],[SKU]],'All Skus'!$A:$AC,2,FALSE))="JBL",(VLOOKUP(Table6[[#This Row],[SKU]],'All Skus'!$A:$AC,15,FALSE)),""))</f>
        <v>0</v>
      </c>
      <c r="N694" s="137">
        <f>(IF((VLOOKUP(Table6[[#This Row],[SKU]],'All Skus'!$A:$AC,2,FALSE))="JBL",(VLOOKUP(Table6[[#This Row],[SKU]],'All Skus'!$A:$AC,16,FALSE)),""))</f>
        <v>691991013416</v>
      </c>
      <c r="O694" s="61">
        <f>(IF((VLOOKUP(Table6[[#This Row],[SKU]],'All Skus'!$A:$AC,2,FALSE))="JBL",(VLOOKUP(Table6[[#This Row],[SKU]],'All Skus'!$A:$AC,17,FALSE)),""))</f>
        <v>0</v>
      </c>
      <c r="P694" s="136">
        <f>(IF((VLOOKUP(Table6[[#This Row],[SKU]],'All Skus'!$A:$AC,2,FALSE))="JBL",(VLOOKUP(Table6[[#This Row],[SKU]],'All Skus'!$A:$AC,18,FALSE)),""))</f>
        <v>0</v>
      </c>
      <c r="Q694" s="136">
        <f>(IF((VLOOKUP(Table6[[#This Row],[SKU]],'All Skus'!$A:$AC,2,FALSE))="JBL",(VLOOKUP(Table6[[#This Row],[SKU]],'All Skus'!$A:$AC,19,FALSE)),""))</f>
        <v>0</v>
      </c>
      <c r="R694" s="136">
        <f>(IF((VLOOKUP(Table6[[#This Row],[SKU]],'All Skus'!$A:$AC,2,FALSE))="JBL",(VLOOKUP(Table6[[#This Row],[SKU]],'All Skus'!$A:$AC,20,FALSE)),""))</f>
        <v>0</v>
      </c>
      <c r="S694" s="61">
        <f>(IF((VLOOKUP(Table6[[#This Row],[SKU]],'All Skus'!$A:$AC,2,FALSE))="JBL",(VLOOKUP(Table6[[#This Row],[SKU]],'All Skus'!$A:$AC,21,FALSE)),""))</f>
        <v>0</v>
      </c>
      <c r="T694" s="61" t="str">
        <f>(IF((VLOOKUP(Table6[[#This Row],[SKU]],'All Skus'!$A:$AC,2,FALSE))="JBL",(VLOOKUP(Table6[[#This Row],[SKU]],'All Skus'!$A:$AC,22,FALSE)),""))</f>
        <v>MX</v>
      </c>
      <c r="U694">
        <f>(IF((VLOOKUP(Table6[[#This Row],[SKU]],'All Skus'!$A:$AC,2,FALSE))="JBL",(VLOOKUP(Table6[[#This Row],[SKU]],'All Skus'!$A:$AC,23,FALSE)),""))</f>
        <v>0</v>
      </c>
      <c r="V694" s="284" t="str">
        <f>HYPERLINK((IF((VLOOKUP(Table6[[#This Row],[SKU]],'All Skus'!$A:$AC,2,FALSE))="JBL",(VLOOKUP(Table6[[#This Row],[SKU]],'All Skus'!$A:$AC,24,FALSE)),"")))</f>
        <v/>
      </c>
      <c r="W694" s="151">
        <v>691</v>
      </c>
    </row>
    <row r="695" spans="1:23" ht="15" hidden="1" customHeight="1">
      <c r="A695" s="13" t="s">
        <v>1704</v>
      </c>
      <c r="B695" s="12" t="str">
        <f>(IF((VLOOKUP(Table6[[#This Row],[SKU]],'All Skus'!$A:$AC,2,FALSE))="JBL",(VLOOKUP(Table6[[#This Row],[SKU]],'All Skus'!$A:$AC,3,FALSE)),""))</f>
        <v>VTX SERIES</v>
      </c>
      <c r="C695" s="12" t="str">
        <f>(IF((VLOOKUP(Table6[[#This Row],[SKU]],'All Skus'!$A:$AC,2,FALSE))="JBL",(VLOOKUP(Table6[[#This Row],[SKU]],'All Skus'!$A:$AC,4,FALSE)),""))</f>
        <v>VTX B18 VT CVR</v>
      </c>
      <c r="D695" s="61" t="str">
        <f>(IF((VLOOKUP(Table6[[#This Row],[SKU]],'All Skus'!$A:$AC,2,FALSE))="JBL",(VLOOKUP(Table6[[#This Row],[SKU]],'All Skus'!$A:$AC,5,FALSE)),""))</f>
        <v>JBL046</v>
      </c>
      <c r="E695" s="137" t="str">
        <f>(IF((VLOOKUP(Table6[[#This Row],[SKU]],'All Skus'!$A:$AC,2,FALSE))="JBL",(VLOOKUP(Table6[[#This Row],[SKU]],'All Skus'!$A:$AC,6,FALSE)),""))</f>
        <v>YES</v>
      </c>
      <c r="F695" s="61">
        <f>(IF((VLOOKUP(Table6[[#This Row],[SKU]],'All Skus'!$A:$AC,2,FALSE))="JBL",(VLOOKUP(Table6[[#This Row],[SKU]],'All Skus'!$A:$AC,7,FALSE)),""))</f>
        <v>0</v>
      </c>
      <c r="G695" t="str">
        <f>(IF((VLOOKUP(Table6[[#This Row],[SKU]],'All Skus'!$A:$AC,2,FALSE))="JBL",(VLOOKUP(Table6[[#This Row],[SKU]],'All Skus'!$A:$AC,8,FALSE)),""))</f>
        <v>VTX B18 VT CVR</v>
      </c>
      <c r="H695" s="8" t="str">
        <f>(IF((VLOOKUP(Table6[[#This Row],[SKU]],'All Skus'!$A:$AC,2,FALSE))="JBL",(VLOOKUP(Table6[[#This Row],[SKU]],'All Skus'!$A:$AC,9,FALSE)),""))</f>
        <v xml:space="preserve"> VTX B18 VT Soft Cover</v>
      </c>
      <c r="I695" s="101" t="str">
        <f>(IF((VLOOKUP(Table6[[#This Row],[SKU]],'All Skus'!$A:$AC,2,FALSE))="JBL",(VLOOKUP(Table6[[#This Row],[SKU]],'All Skus'!$A:$AC,10,FALSE)),""))</f>
        <v>“Price On Application (POA) Contact your Representative"</v>
      </c>
      <c r="J695" s="101" t="str">
        <f>(IF((VLOOKUP(Table6[[#This Row],[SKU]],'All Skus'!$A:$AC,2,FALSE))="JBL",(VLOOKUP(Table6[[#This Row],[SKU]],'All Skus'!$A:$AC,11,FALSE)),""))</f>
        <v>“Price On Application (POA) Contact your Representative"</v>
      </c>
      <c r="K695" s="102">
        <f>(IF((VLOOKUP(Table6[[#This Row],[SKU]],'All Skus'!$A:$AC,2,FALSE))="JBL",(VLOOKUP(Table6[[#This Row],[SKU]],'All Skus'!$A:$AC,13,FALSE)),""))</f>
        <v>0</v>
      </c>
      <c r="L695" s="102">
        <f>(IF((VLOOKUP(Table6[[#This Row],[SKU]],'All Skus'!$A:$AC,2,FALSE))="JBL",(VLOOKUP(Table6[[#This Row],[SKU]],'All Skus'!$A:$AC,14,FALSE)),""))</f>
        <v>0</v>
      </c>
      <c r="M695" s="143">
        <f>(IF((VLOOKUP(Table6[[#This Row],[SKU]],'All Skus'!$A:$AC,2,FALSE))="JBL",(VLOOKUP(Table6[[#This Row],[SKU]],'All Skus'!$A:$AC,15,FALSE)),""))</f>
        <v>0</v>
      </c>
      <c r="N695" s="137">
        <f>(IF((VLOOKUP(Table6[[#This Row],[SKU]],'All Skus'!$A:$AC,2,FALSE))="JBL",(VLOOKUP(Table6[[#This Row],[SKU]],'All Skus'!$A:$AC,16,FALSE)),""))</f>
        <v>691991013768</v>
      </c>
      <c r="O695" s="61">
        <f>(IF((VLOOKUP(Table6[[#This Row],[SKU]],'All Skus'!$A:$AC,2,FALSE))="JBL",(VLOOKUP(Table6[[#This Row],[SKU]],'All Skus'!$A:$AC,17,FALSE)),""))</f>
        <v>0</v>
      </c>
      <c r="P695" s="136">
        <f>(IF((VLOOKUP(Table6[[#This Row],[SKU]],'All Skus'!$A:$AC,2,FALSE))="JBL",(VLOOKUP(Table6[[#This Row],[SKU]],'All Skus'!$A:$AC,18,FALSE)),""))</f>
        <v>0</v>
      </c>
      <c r="Q695" s="136">
        <f>(IF((VLOOKUP(Table6[[#This Row],[SKU]],'All Skus'!$A:$AC,2,FALSE))="JBL",(VLOOKUP(Table6[[#This Row],[SKU]],'All Skus'!$A:$AC,19,FALSE)),""))</f>
        <v>0</v>
      </c>
      <c r="R695" s="136">
        <f>(IF((VLOOKUP(Table6[[#This Row],[SKU]],'All Skus'!$A:$AC,2,FALSE))="JBL",(VLOOKUP(Table6[[#This Row],[SKU]],'All Skus'!$A:$AC,20,FALSE)),""))</f>
        <v>0</v>
      </c>
      <c r="S695" s="61">
        <f>(IF((VLOOKUP(Table6[[#This Row],[SKU]],'All Skus'!$A:$AC,2,FALSE))="JBL",(VLOOKUP(Table6[[#This Row],[SKU]],'All Skus'!$A:$AC,21,FALSE)),""))</f>
        <v>0</v>
      </c>
      <c r="T695" s="61" t="str">
        <f>(IF((VLOOKUP(Table6[[#This Row],[SKU]],'All Skus'!$A:$AC,2,FALSE))="JBL",(VLOOKUP(Table6[[#This Row],[SKU]],'All Skus'!$A:$AC,22,FALSE)),""))</f>
        <v>CN</v>
      </c>
      <c r="U695">
        <f>(IF((VLOOKUP(Table6[[#This Row],[SKU]],'All Skus'!$A:$AC,2,FALSE))="JBL",(VLOOKUP(Table6[[#This Row],[SKU]],'All Skus'!$A:$AC,23,FALSE)),""))</f>
        <v>0</v>
      </c>
      <c r="V695" s="284" t="str">
        <f>HYPERLINK((IF((VLOOKUP(Table6[[#This Row],[SKU]],'All Skus'!$A:$AC,2,FALSE))="JBL",(VLOOKUP(Table6[[#This Row],[SKU]],'All Skus'!$A:$AC,24,FALSE)),"")))</f>
        <v/>
      </c>
      <c r="W695" s="151">
        <v>692</v>
      </c>
    </row>
    <row r="696" spans="1:23" ht="15" hidden="1" customHeight="1">
      <c r="A696" s="13" t="s">
        <v>1705</v>
      </c>
      <c r="B696" s="12" t="str">
        <f>(IF((VLOOKUP(Table6[[#This Row],[SKU]],'All Skus'!$A:$AC,2,FALSE))="JBL",(VLOOKUP(Table6[[#This Row],[SKU]],'All Skus'!$A:$AC,3,FALSE)),""))</f>
        <v>VTX SERIES</v>
      </c>
      <c r="C696" s="12" t="str">
        <f>(IF((VLOOKUP(Table6[[#This Row],[SKU]],'All Skus'!$A:$AC,2,FALSE))="JBL",(VLOOKUP(Table6[[#This Row],[SKU]],'All Skus'!$A:$AC,4,FALSE)),""))</f>
        <v>VTX A12</v>
      </c>
      <c r="D696" s="61" t="str">
        <f>(IF((VLOOKUP(Table6[[#This Row],[SKU]],'All Skus'!$A:$AC,2,FALSE))="JBL",(VLOOKUP(Table6[[#This Row],[SKU]],'All Skus'!$A:$AC,5,FALSE)),""))</f>
        <v>JBL046</v>
      </c>
      <c r="E696" s="137" t="str">
        <f>(IF((VLOOKUP(Table6[[#This Row],[SKU]],'All Skus'!$A:$AC,2,FALSE))="JBL",(VLOOKUP(Table6[[#This Row],[SKU]],'All Skus'!$A:$AC,6,FALSE)),""))</f>
        <v>YES</v>
      </c>
      <c r="F696" s="61">
        <f>(IF((VLOOKUP(Table6[[#This Row],[SKU]],'All Skus'!$A:$AC,2,FALSE))="JBL",(VLOOKUP(Table6[[#This Row],[SKU]],'All Skus'!$A:$AC,7,FALSE)),""))</f>
        <v>0</v>
      </c>
      <c r="G696" t="str">
        <f>(IF((VLOOKUP(Table6[[#This Row],[SKU]],'All Skus'!$A:$AC,2,FALSE))="JBL",(VLOOKUP(Table6[[#This Row],[SKU]],'All Skus'!$A:$AC,8,FALSE)),""))</f>
        <v>VTX A12</v>
      </c>
      <c r="H696" s="8" t="str">
        <f>(IF((VLOOKUP(Table6[[#This Row],[SKU]],'All Skus'!$A:$AC,2,FALSE))="JBL",(VLOOKUP(Table6[[#This Row],[SKU]],'All Skus'!$A:$AC,9,FALSE)),""))</f>
        <v>Compact Dual 12' Line Array Element</v>
      </c>
      <c r="I696" s="101" t="str">
        <f>(IF((VLOOKUP(Table6[[#This Row],[SKU]],'All Skus'!$A:$AC,2,FALSE))="JBL",(VLOOKUP(Table6[[#This Row],[SKU]],'All Skus'!$A:$AC,10,FALSE)),""))</f>
        <v>“Price On Application (POA) Contact your Representative"</v>
      </c>
      <c r="J696" s="101" t="str">
        <f>(IF((VLOOKUP(Table6[[#This Row],[SKU]],'All Skus'!$A:$AC,2,FALSE))="JBL",(VLOOKUP(Table6[[#This Row],[SKU]],'All Skus'!$A:$AC,11,FALSE)),""))</f>
        <v>“Price On Application (POA) Contact your Representative"</v>
      </c>
      <c r="K696" s="102">
        <f>(IF((VLOOKUP(Table6[[#This Row],[SKU]],'All Skus'!$A:$AC,2,FALSE))="JBL",(VLOOKUP(Table6[[#This Row],[SKU]],'All Skus'!$A:$AC,13,FALSE)),""))</f>
        <v>0</v>
      </c>
      <c r="L696" s="102">
        <f>(IF((VLOOKUP(Table6[[#This Row],[SKU]],'All Skus'!$A:$AC,2,FALSE))="JBL",(VLOOKUP(Table6[[#This Row],[SKU]],'All Skus'!$A:$AC,14,FALSE)),""))</f>
        <v>0</v>
      </c>
      <c r="M696" s="143">
        <f>(IF((VLOOKUP(Table6[[#This Row],[SKU]],'All Skus'!$A:$AC,2,FALSE))="JBL",(VLOOKUP(Table6[[#This Row],[SKU]],'All Skus'!$A:$AC,15,FALSE)),""))</f>
        <v>0</v>
      </c>
      <c r="N696" s="137">
        <f>(IF((VLOOKUP(Table6[[#This Row],[SKU]],'All Skus'!$A:$AC,2,FALSE))="JBL",(VLOOKUP(Table6[[#This Row],[SKU]],'All Skus'!$A:$AC,16,FALSE)),""))</f>
        <v>691991032776</v>
      </c>
      <c r="O696" s="61">
        <f>(IF((VLOOKUP(Table6[[#This Row],[SKU]],'All Skus'!$A:$AC,2,FALSE))="JBL",(VLOOKUP(Table6[[#This Row],[SKU]],'All Skus'!$A:$AC,17,FALSE)),""))</f>
        <v>0</v>
      </c>
      <c r="P696" s="136">
        <f>(IF((VLOOKUP(Table6[[#This Row],[SKU]],'All Skus'!$A:$AC,2,FALSE))="JBL",(VLOOKUP(Table6[[#This Row],[SKU]],'All Skus'!$A:$AC,18,FALSE)),""))</f>
        <v>149</v>
      </c>
      <c r="Q696" s="136">
        <f>(IF((VLOOKUP(Table6[[#This Row],[SKU]],'All Skus'!$A:$AC,2,FALSE))="JBL",(VLOOKUP(Table6[[#This Row],[SKU]],'All Skus'!$A:$AC,19,FALSE)),""))</f>
        <v>19.5</v>
      </c>
      <c r="R696" s="136">
        <f>(IF((VLOOKUP(Table6[[#This Row],[SKU]],'All Skus'!$A:$AC,2,FALSE))="JBL",(VLOOKUP(Table6[[#This Row],[SKU]],'All Skus'!$A:$AC,20,FALSE)),""))</f>
        <v>24.5</v>
      </c>
      <c r="S696" s="61">
        <f>(IF((VLOOKUP(Table6[[#This Row],[SKU]],'All Skus'!$A:$AC,2,FALSE))="JBL",(VLOOKUP(Table6[[#This Row],[SKU]],'All Skus'!$A:$AC,21,FALSE)),""))</f>
        <v>45.5</v>
      </c>
      <c r="T696" s="61" t="str">
        <f>(IF((VLOOKUP(Table6[[#This Row],[SKU]],'All Skus'!$A:$AC,2,FALSE))="JBL",(VLOOKUP(Table6[[#This Row],[SKU]],'All Skus'!$A:$AC,22,FALSE)),""))</f>
        <v>MX</v>
      </c>
      <c r="U696">
        <f>(IF((VLOOKUP(Table6[[#This Row],[SKU]],'All Skus'!$A:$AC,2,FALSE))="JBL",(VLOOKUP(Table6[[#This Row],[SKU]],'All Skus'!$A:$AC,23,FALSE)),""))</f>
        <v>0</v>
      </c>
      <c r="V696" s="284" t="str">
        <f>HYPERLINK((IF((VLOOKUP(Table6[[#This Row],[SKU]],'All Skus'!$A:$AC,2,FALSE))="JBL",(VLOOKUP(Table6[[#This Row],[SKU]],'All Skus'!$A:$AC,24,FALSE)),"")))</f>
        <v xml:space="preserve">http://www.jblpro.com/www/products/tour-sound/vtx-a12#Overview </v>
      </c>
      <c r="W696" s="151">
        <v>693</v>
      </c>
    </row>
    <row r="697" spans="1:23" ht="15" hidden="1" customHeight="1">
      <c r="A697" s="13" t="s">
        <v>1706</v>
      </c>
      <c r="B697" s="12" t="str">
        <f>(IF((VLOOKUP(Table6[[#This Row],[SKU]],'All Skus'!$A:$AC,2,FALSE))="JBL",(VLOOKUP(Table6[[#This Row],[SKU]],'All Skus'!$A:$AC,3,FALSE)),""))</f>
        <v>VTX SERIES</v>
      </c>
      <c r="C697" s="12" t="str">
        <f>(IF((VLOOKUP(Table6[[#This Row],[SKU]],'All Skus'!$A:$AC,2,FALSE))="JBL",(VLOOKUP(Table6[[#This Row],[SKU]],'All Skus'!$A:$AC,4,FALSE)),""))</f>
        <v>VTX A12W</v>
      </c>
      <c r="D697" s="61" t="str">
        <f>(IF((VLOOKUP(Table6[[#This Row],[SKU]],'All Skus'!$A:$AC,2,FALSE))="JBL",(VLOOKUP(Table6[[#This Row],[SKU]],'All Skus'!$A:$AC,5,FALSE)),""))</f>
        <v>JBL046</v>
      </c>
      <c r="E697" s="137" t="str">
        <f>(IF((VLOOKUP(Table6[[#This Row],[SKU]],'All Skus'!$A:$AC,2,FALSE))="JBL",(VLOOKUP(Table6[[#This Row],[SKU]],'All Skus'!$A:$AC,6,FALSE)),""))</f>
        <v>YES</v>
      </c>
      <c r="F697" s="61">
        <f>(IF((VLOOKUP(Table6[[#This Row],[SKU]],'All Skus'!$A:$AC,2,FALSE))="JBL",(VLOOKUP(Table6[[#This Row],[SKU]],'All Skus'!$A:$AC,7,FALSE)),""))</f>
        <v>0</v>
      </c>
      <c r="G697" t="str">
        <f>(IF((VLOOKUP(Table6[[#This Row],[SKU]],'All Skus'!$A:$AC,2,FALSE))="JBL",(VLOOKUP(Table6[[#This Row],[SKU]],'All Skus'!$A:$AC,8,FALSE)),""))</f>
        <v>VTX A12</v>
      </c>
      <c r="H697" s="8" t="str">
        <f>(IF((VLOOKUP(Table6[[#This Row],[SKU]],'All Skus'!$A:$AC,2,FALSE))="JBL",(VLOOKUP(Table6[[#This Row],[SKU]],'All Skus'!$A:$AC,9,FALSE)),""))</f>
        <v>Compact Dual 12' Line Array Element</v>
      </c>
      <c r="I697" s="101" t="str">
        <f>(IF((VLOOKUP(Table6[[#This Row],[SKU]],'All Skus'!$A:$AC,2,FALSE))="JBL",(VLOOKUP(Table6[[#This Row],[SKU]],'All Skus'!$A:$AC,10,FALSE)),""))</f>
        <v>“Price On Application (POA) Contact your Representative"</v>
      </c>
      <c r="J697" s="101" t="str">
        <f>(IF((VLOOKUP(Table6[[#This Row],[SKU]],'All Skus'!$A:$AC,2,FALSE))="JBL",(VLOOKUP(Table6[[#This Row],[SKU]],'All Skus'!$A:$AC,11,FALSE)),""))</f>
        <v>“Price On Application (POA) Contact your Representative"</v>
      </c>
      <c r="K697" s="102">
        <f>(IF((VLOOKUP(Table6[[#This Row],[SKU]],'All Skus'!$A:$AC,2,FALSE))="JBL",(VLOOKUP(Table6[[#This Row],[SKU]],'All Skus'!$A:$AC,13,FALSE)),""))</f>
        <v>0</v>
      </c>
      <c r="L697" s="102">
        <f>(IF((VLOOKUP(Table6[[#This Row],[SKU]],'All Skus'!$A:$AC,2,FALSE))="JBL",(VLOOKUP(Table6[[#This Row],[SKU]],'All Skus'!$A:$AC,14,FALSE)),""))</f>
        <v>0</v>
      </c>
      <c r="M697" s="143">
        <f>(IF((VLOOKUP(Table6[[#This Row],[SKU]],'All Skus'!$A:$AC,2,FALSE))="JBL",(VLOOKUP(Table6[[#This Row],[SKU]],'All Skus'!$A:$AC,15,FALSE)),""))</f>
        <v>0</v>
      </c>
      <c r="N697" s="137">
        <f>(IF((VLOOKUP(Table6[[#This Row],[SKU]],'All Skus'!$A:$AC,2,FALSE))="JBL",(VLOOKUP(Table6[[#This Row],[SKU]],'All Skus'!$A:$AC,16,FALSE)),""))</f>
        <v>691991007880</v>
      </c>
      <c r="O697" s="61">
        <f>(IF((VLOOKUP(Table6[[#This Row],[SKU]],'All Skus'!$A:$AC,2,FALSE))="JBL",(VLOOKUP(Table6[[#This Row],[SKU]],'All Skus'!$A:$AC,17,FALSE)),""))</f>
        <v>0</v>
      </c>
      <c r="P697" s="136">
        <f>(IF((VLOOKUP(Table6[[#This Row],[SKU]],'All Skus'!$A:$AC,2,FALSE))="JBL",(VLOOKUP(Table6[[#This Row],[SKU]],'All Skus'!$A:$AC,18,FALSE)),""))</f>
        <v>0</v>
      </c>
      <c r="Q697" s="136">
        <f>(IF((VLOOKUP(Table6[[#This Row],[SKU]],'All Skus'!$A:$AC,2,FALSE))="JBL",(VLOOKUP(Table6[[#This Row],[SKU]],'All Skus'!$A:$AC,19,FALSE)),""))</f>
        <v>0</v>
      </c>
      <c r="R697" s="136">
        <f>(IF((VLOOKUP(Table6[[#This Row],[SKU]],'All Skus'!$A:$AC,2,FALSE))="JBL",(VLOOKUP(Table6[[#This Row],[SKU]],'All Skus'!$A:$AC,20,FALSE)),""))</f>
        <v>0</v>
      </c>
      <c r="S697" s="61">
        <f>(IF((VLOOKUP(Table6[[#This Row],[SKU]],'All Skus'!$A:$AC,2,FALSE))="JBL",(VLOOKUP(Table6[[#This Row],[SKU]],'All Skus'!$A:$AC,21,FALSE)),""))</f>
        <v>0</v>
      </c>
      <c r="T697" s="61" t="str">
        <f>(IF((VLOOKUP(Table6[[#This Row],[SKU]],'All Skus'!$A:$AC,2,FALSE))="JBL",(VLOOKUP(Table6[[#This Row],[SKU]],'All Skus'!$A:$AC,22,FALSE)),""))</f>
        <v>MX</v>
      </c>
      <c r="U697">
        <f>(IF((VLOOKUP(Table6[[#This Row],[SKU]],'All Skus'!$A:$AC,2,FALSE))="JBL",(VLOOKUP(Table6[[#This Row],[SKU]],'All Skus'!$A:$AC,23,FALSE)),""))</f>
        <v>0</v>
      </c>
      <c r="V697" s="284" t="str">
        <f>HYPERLINK((IF((VLOOKUP(Table6[[#This Row],[SKU]],'All Skus'!$A:$AC,2,FALSE))="JBL",(VLOOKUP(Table6[[#This Row],[SKU]],'All Skus'!$A:$AC,24,FALSE)),"")))</f>
        <v/>
      </c>
      <c r="W697" s="151">
        <v>694</v>
      </c>
    </row>
    <row r="698" spans="1:23" ht="15" hidden="1" customHeight="1">
      <c r="A698" s="13" t="s">
        <v>1707</v>
      </c>
      <c r="B698" s="12" t="str">
        <f>(IF((VLOOKUP(Table6[[#This Row],[SKU]],'All Skus'!$A:$AC,2,FALSE))="JBL",(VLOOKUP(Table6[[#This Row],[SKU]],'All Skus'!$A:$AC,3,FALSE)),""))</f>
        <v>VTX SERIES</v>
      </c>
      <c r="C698" s="12" t="str">
        <f>(IF((VLOOKUP(Table6[[#This Row],[SKU]],'All Skus'!$A:$AC,2,FALSE))="JBL",(VLOOKUP(Table6[[#This Row],[SKU]],'All Skus'!$A:$AC,4,FALSE)),""))</f>
        <v>VTX A12 VT CVR</v>
      </c>
      <c r="D698" s="61" t="str">
        <f>(IF((VLOOKUP(Table6[[#This Row],[SKU]],'All Skus'!$A:$AC,2,FALSE))="JBL",(VLOOKUP(Table6[[#This Row],[SKU]],'All Skus'!$A:$AC,5,FALSE)),""))</f>
        <v>JBL046</v>
      </c>
      <c r="E698" s="137" t="str">
        <f>(IF((VLOOKUP(Table6[[#This Row],[SKU]],'All Skus'!$A:$AC,2,FALSE))="JBL",(VLOOKUP(Table6[[#This Row],[SKU]],'All Skus'!$A:$AC,6,FALSE)),""))</f>
        <v>YES</v>
      </c>
      <c r="F698" s="61">
        <f>(IF((VLOOKUP(Table6[[#This Row],[SKU]],'All Skus'!$A:$AC,2,FALSE))="JBL",(VLOOKUP(Table6[[#This Row],[SKU]],'All Skus'!$A:$AC,7,FALSE)),""))</f>
        <v>0</v>
      </c>
      <c r="G698" t="str">
        <f>(IF((VLOOKUP(Table6[[#This Row],[SKU]],'All Skus'!$A:$AC,2,FALSE))="JBL",(VLOOKUP(Table6[[#This Row],[SKU]],'All Skus'!$A:$AC,8,FALSE)),""))</f>
        <v>VTX A12 VT CVR</v>
      </c>
      <c r="H698" s="8" t="str">
        <f>(IF((VLOOKUP(Table6[[#This Row],[SKU]],'All Skus'!$A:$AC,2,FALSE))="JBL",(VLOOKUP(Table6[[#This Row],[SKU]],'All Skus'!$A:$AC,9,FALSE)),""))</f>
        <v>Vertical transport Cover for VTX A12 VT</v>
      </c>
      <c r="I698" s="101" t="str">
        <f>(IF((VLOOKUP(Table6[[#This Row],[SKU]],'All Skus'!$A:$AC,2,FALSE))="JBL",(VLOOKUP(Table6[[#This Row],[SKU]],'All Skus'!$A:$AC,10,FALSE)),""))</f>
        <v>“Price On Application (POA) Contact your Representative"</v>
      </c>
      <c r="J698" s="101" t="str">
        <f>(IF((VLOOKUP(Table6[[#This Row],[SKU]],'All Skus'!$A:$AC,2,FALSE))="JBL",(VLOOKUP(Table6[[#This Row],[SKU]],'All Skus'!$A:$AC,11,FALSE)),""))</f>
        <v>“Price On Application (POA) Contact your Representative"</v>
      </c>
      <c r="K698" s="102">
        <f>(IF((VLOOKUP(Table6[[#This Row],[SKU]],'All Skus'!$A:$AC,2,FALSE))="JBL",(VLOOKUP(Table6[[#This Row],[SKU]],'All Skus'!$A:$AC,13,FALSE)),""))</f>
        <v>0</v>
      </c>
      <c r="L698" s="102">
        <f>(IF((VLOOKUP(Table6[[#This Row],[SKU]],'All Skus'!$A:$AC,2,FALSE))="JBL",(VLOOKUP(Table6[[#This Row],[SKU]],'All Skus'!$A:$AC,14,FALSE)),""))</f>
        <v>0</v>
      </c>
      <c r="M698" s="143">
        <f>(IF((VLOOKUP(Table6[[#This Row],[SKU]],'All Skus'!$A:$AC,2,FALSE))="JBL",(VLOOKUP(Table6[[#This Row],[SKU]],'All Skus'!$A:$AC,15,FALSE)),""))</f>
        <v>0</v>
      </c>
      <c r="N698" s="137">
        <f>(IF((VLOOKUP(Table6[[#This Row],[SKU]],'All Skus'!$A:$AC,2,FALSE))="JBL",(VLOOKUP(Table6[[#This Row],[SKU]],'All Skus'!$A:$AC,16,FALSE)),""))</f>
        <v>691991006685</v>
      </c>
      <c r="O698" s="61">
        <f>(IF((VLOOKUP(Table6[[#This Row],[SKU]],'All Skus'!$A:$AC,2,FALSE))="JBL",(VLOOKUP(Table6[[#This Row],[SKU]],'All Skus'!$A:$AC,17,FALSE)),""))</f>
        <v>0</v>
      </c>
      <c r="P698" s="136">
        <f>(IF((VLOOKUP(Table6[[#This Row],[SKU]],'All Skus'!$A:$AC,2,FALSE))="JBL",(VLOOKUP(Table6[[#This Row],[SKU]],'All Skus'!$A:$AC,18,FALSE)),""))</f>
        <v>19</v>
      </c>
      <c r="Q698" s="136">
        <f>(IF((VLOOKUP(Table6[[#This Row],[SKU]],'All Skus'!$A:$AC,2,FALSE))="JBL",(VLOOKUP(Table6[[#This Row],[SKU]],'All Skus'!$A:$AC,19,FALSE)),""))</f>
        <v>45.5</v>
      </c>
      <c r="R698" s="136">
        <f>(IF((VLOOKUP(Table6[[#This Row],[SKU]],'All Skus'!$A:$AC,2,FALSE))="JBL",(VLOOKUP(Table6[[#This Row],[SKU]],'All Skus'!$A:$AC,20,FALSE)),""))</f>
        <v>26</v>
      </c>
      <c r="S698" s="61">
        <f>(IF((VLOOKUP(Table6[[#This Row],[SKU]],'All Skus'!$A:$AC,2,FALSE))="JBL",(VLOOKUP(Table6[[#This Row],[SKU]],'All Skus'!$A:$AC,21,FALSE)),""))</f>
        <v>5.5</v>
      </c>
      <c r="T698" s="61" t="str">
        <f>(IF((VLOOKUP(Table6[[#This Row],[SKU]],'All Skus'!$A:$AC,2,FALSE))="JBL",(VLOOKUP(Table6[[#This Row],[SKU]],'All Skus'!$A:$AC,22,FALSE)),""))</f>
        <v>CN</v>
      </c>
      <c r="U698">
        <f>(IF((VLOOKUP(Table6[[#This Row],[SKU]],'All Skus'!$A:$AC,2,FALSE))="JBL",(VLOOKUP(Table6[[#This Row],[SKU]],'All Skus'!$A:$AC,23,FALSE)),""))</f>
        <v>0</v>
      </c>
      <c r="V698" s="284" t="str">
        <f>HYPERLINK((IF((VLOOKUP(Table6[[#This Row],[SKU]],'All Skus'!$A:$AC,2,FALSE))="JBL",(VLOOKUP(Table6[[#This Row],[SKU]],'All Skus'!$A:$AC,24,FALSE)),"")))</f>
        <v xml:space="preserve">http://www.jblpro.com/www/products/tour-sound/vtx-a12#Accessories </v>
      </c>
      <c r="W698" s="151">
        <v>695</v>
      </c>
    </row>
    <row r="699" spans="1:23" ht="15" hidden="1" customHeight="1">
      <c r="A699" s="13" t="s">
        <v>1708</v>
      </c>
      <c r="B699" s="12" t="str">
        <f>(IF((VLOOKUP(Table6[[#This Row],[SKU]],'All Skus'!$A:$AC,2,FALSE))="JBL",(VLOOKUP(Table6[[#This Row],[SKU]],'All Skus'!$A:$AC,3,FALSE)),""))</f>
        <v>VTX SERIES</v>
      </c>
      <c r="C699" s="12" t="str">
        <f>(IF((VLOOKUP(Table6[[#This Row],[SKU]],'All Skus'!$A:$AC,2,FALSE))="JBL",(VLOOKUP(Table6[[#This Row],[SKU]],'All Skus'!$A:$AC,4,FALSE)),""))</f>
        <v>VTX A12 VT</v>
      </c>
      <c r="D699" s="61" t="str">
        <f>(IF((VLOOKUP(Table6[[#This Row],[SKU]],'All Skus'!$A:$AC,2,FALSE))="JBL",(VLOOKUP(Table6[[#This Row],[SKU]],'All Skus'!$A:$AC,5,FALSE)),""))</f>
        <v>JBL046</v>
      </c>
      <c r="E699" s="137" t="str">
        <f>(IF((VLOOKUP(Table6[[#This Row],[SKU]],'All Skus'!$A:$AC,2,FALSE))="JBL",(VLOOKUP(Table6[[#This Row],[SKU]],'All Skus'!$A:$AC,6,FALSE)),""))</f>
        <v>YES</v>
      </c>
      <c r="F699" s="61">
        <f>(IF((VLOOKUP(Table6[[#This Row],[SKU]],'All Skus'!$A:$AC,2,FALSE))="JBL",(VLOOKUP(Table6[[#This Row],[SKU]],'All Skus'!$A:$AC,7,FALSE)),""))</f>
        <v>0</v>
      </c>
      <c r="G699" t="str">
        <f>(IF((VLOOKUP(Table6[[#This Row],[SKU]],'All Skus'!$A:$AC,2,FALSE))="JBL",(VLOOKUP(Table6[[#This Row],[SKU]],'All Skus'!$A:$AC,8,FALSE)),""))</f>
        <v>VTX A12 VT</v>
      </c>
      <c r="H699" s="8" t="str">
        <f>(IF((VLOOKUP(Table6[[#This Row],[SKU]],'All Skus'!$A:$AC,2,FALSE))="JBL",(VLOOKUP(Table6[[#This Row],[SKU]],'All Skus'!$A:$AC,9,FALSE)),""))</f>
        <v>Vertical Transport Cart for the 4 VTX A12 enclosures</v>
      </c>
      <c r="I699" s="101" t="str">
        <f>(IF((VLOOKUP(Table6[[#This Row],[SKU]],'All Skus'!$A:$AC,2,FALSE))="JBL",(VLOOKUP(Table6[[#This Row],[SKU]],'All Skus'!$A:$AC,10,FALSE)),""))</f>
        <v>“Price On Application (POA) Contact your Representative"</v>
      </c>
      <c r="J699" s="101" t="str">
        <f>(IF((VLOOKUP(Table6[[#This Row],[SKU]],'All Skus'!$A:$AC,2,FALSE))="JBL",(VLOOKUP(Table6[[#This Row],[SKU]],'All Skus'!$A:$AC,11,FALSE)),""))</f>
        <v>“Price On Application (POA) Contact your Representative"</v>
      </c>
      <c r="K699" s="102">
        <f>(IF((VLOOKUP(Table6[[#This Row],[SKU]],'All Skus'!$A:$AC,2,FALSE))="JBL",(VLOOKUP(Table6[[#This Row],[SKU]],'All Skus'!$A:$AC,13,FALSE)),""))</f>
        <v>0</v>
      </c>
      <c r="L699" s="102">
        <f>(IF((VLOOKUP(Table6[[#This Row],[SKU]],'All Skus'!$A:$AC,2,FALSE))="JBL",(VLOOKUP(Table6[[#This Row],[SKU]],'All Skus'!$A:$AC,14,FALSE)),""))</f>
        <v>0</v>
      </c>
      <c r="M699" s="143">
        <f>(IF((VLOOKUP(Table6[[#This Row],[SKU]],'All Skus'!$A:$AC,2,FALSE))="JBL",(VLOOKUP(Table6[[#This Row],[SKU]],'All Skus'!$A:$AC,15,FALSE)),""))</f>
        <v>0</v>
      </c>
      <c r="N699" s="137">
        <f>(IF((VLOOKUP(Table6[[#This Row],[SKU]],'All Skus'!$A:$AC,2,FALSE))="JBL",(VLOOKUP(Table6[[#This Row],[SKU]],'All Skus'!$A:$AC,16,FALSE)),""))</f>
        <v>691991032783</v>
      </c>
      <c r="O699" s="61">
        <f>(IF((VLOOKUP(Table6[[#This Row],[SKU]],'All Skus'!$A:$AC,2,FALSE))="JBL",(VLOOKUP(Table6[[#This Row],[SKU]],'All Skus'!$A:$AC,17,FALSE)),""))</f>
        <v>0</v>
      </c>
      <c r="P699" s="136">
        <f>(IF((VLOOKUP(Table6[[#This Row],[SKU]],'All Skus'!$A:$AC,2,FALSE))="JBL",(VLOOKUP(Table6[[#This Row],[SKU]],'All Skus'!$A:$AC,18,FALSE)),""))</f>
        <v>117.5</v>
      </c>
      <c r="Q699" s="136">
        <f>(IF((VLOOKUP(Table6[[#This Row],[SKU]],'All Skus'!$A:$AC,2,FALSE))="JBL",(VLOOKUP(Table6[[#This Row],[SKU]],'All Skus'!$A:$AC,19,FALSE)),""))</f>
        <v>24</v>
      </c>
      <c r="R699" s="136">
        <f>(IF((VLOOKUP(Table6[[#This Row],[SKU]],'All Skus'!$A:$AC,2,FALSE))="JBL",(VLOOKUP(Table6[[#This Row],[SKU]],'All Skus'!$A:$AC,20,FALSE)),""))</f>
        <v>28</v>
      </c>
      <c r="S699" s="61">
        <f>(IF((VLOOKUP(Table6[[#This Row],[SKU]],'All Skus'!$A:$AC,2,FALSE))="JBL",(VLOOKUP(Table6[[#This Row],[SKU]],'All Skus'!$A:$AC,21,FALSE)),""))</f>
        <v>47</v>
      </c>
      <c r="T699" s="61" t="str">
        <f>(IF((VLOOKUP(Table6[[#This Row],[SKU]],'All Skus'!$A:$AC,2,FALSE))="JBL",(VLOOKUP(Table6[[#This Row],[SKU]],'All Skus'!$A:$AC,22,FALSE)),""))</f>
        <v>MX</v>
      </c>
      <c r="U699">
        <f>(IF((VLOOKUP(Table6[[#This Row],[SKU]],'All Skus'!$A:$AC,2,FALSE))="JBL",(VLOOKUP(Table6[[#This Row],[SKU]],'All Skus'!$A:$AC,23,FALSE)),""))</f>
        <v>0</v>
      </c>
      <c r="V699" s="284" t="str">
        <f>HYPERLINK((IF((VLOOKUP(Table6[[#This Row],[SKU]],'All Skus'!$A:$AC,2,FALSE))="JBL",(VLOOKUP(Table6[[#This Row],[SKU]],'All Skus'!$A:$AC,24,FALSE)),"")))</f>
        <v xml:space="preserve">http://www.jblpro.com/www/products/tour-sound/vtx-a12#Accessories </v>
      </c>
      <c r="W699" s="151">
        <v>696</v>
      </c>
    </row>
    <row r="700" spans="1:23" ht="15" hidden="1" customHeight="1">
      <c r="A700" s="13" t="s">
        <v>1709</v>
      </c>
      <c r="B700" s="12" t="str">
        <f>(IF((VLOOKUP(Table6[[#This Row],[SKU]],'All Skus'!$A:$AC,2,FALSE))="JBL",(VLOOKUP(Table6[[#This Row],[SKU]],'All Skus'!$A:$AC,3,FALSE)),""))</f>
        <v>VTX SERIES</v>
      </c>
      <c r="C700" s="12" t="str">
        <f>(IF((VLOOKUP(Table6[[#This Row],[SKU]],'All Skus'!$A:$AC,2,FALSE))="JBL",(VLOOKUP(Table6[[#This Row],[SKU]],'All Skus'!$A:$AC,4,FALSE)),""))</f>
        <v>VTX A12 AF</v>
      </c>
      <c r="D700" s="61" t="str">
        <f>(IF((VLOOKUP(Table6[[#This Row],[SKU]],'All Skus'!$A:$AC,2,FALSE))="JBL",(VLOOKUP(Table6[[#This Row],[SKU]],'All Skus'!$A:$AC,5,FALSE)),""))</f>
        <v>JBL046</v>
      </c>
      <c r="E700" s="137" t="str">
        <f>(IF((VLOOKUP(Table6[[#This Row],[SKU]],'All Skus'!$A:$AC,2,FALSE))="JBL",(VLOOKUP(Table6[[#This Row],[SKU]],'All Skus'!$A:$AC,6,FALSE)),""))</f>
        <v>YES</v>
      </c>
      <c r="F700" s="61">
        <f>(IF((VLOOKUP(Table6[[#This Row],[SKU]],'All Skus'!$A:$AC,2,FALSE))="JBL",(VLOOKUP(Table6[[#This Row],[SKU]],'All Skus'!$A:$AC,7,FALSE)),""))</f>
        <v>0</v>
      </c>
      <c r="G700" t="str">
        <f>(IF((VLOOKUP(Table6[[#This Row],[SKU]],'All Skus'!$A:$AC,2,FALSE))="JBL",(VLOOKUP(Table6[[#This Row],[SKU]],'All Skus'!$A:$AC,8,FALSE)),""))</f>
        <v>VTX A12 AF</v>
      </c>
      <c r="H700" s="8" t="str">
        <f>(IF((VLOOKUP(Table6[[#This Row],[SKU]],'All Skus'!$A:$AC,2,FALSE))="JBL",(VLOOKUP(Table6[[#This Row],[SKU]],'All Skus'!$A:$AC,9,FALSE)),""))</f>
        <v>VTX A12 Array Frame</v>
      </c>
      <c r="I700" s="101" t="str">
        <f>(IF((VLOOKUP(Table6[[#This Row],[SKU]],'All Skus'!$A:$AC,2,FALSE))="JBL",(VLOOKUP(Table6[[#This Row],[SKU]],'All Skus'!$A:$AC,10,FALSE)),""))</f>
        <v>“Price On Application (POA) Contact your Representative"</v>
      </c>
      <c r="J700" s="101" t="str">
        <f>(IF((VLOOKUP(Table6[[#This Row],[SKU]],'All Skus'!$A:$AC,2,FALSE))="JBL",(VLOOKUP(Table6[[#This Row],[SKU]],'All Skus'!$A:$AC,11,FALSE)),""))</f>
        <v>“Price On Application (POA) Contact your Representative"</v>
      </c>
      <c r="K700" s="102">
        <f>(IF((VLOOKUP(Table6[[#This Row],[SKU]],'All Skus'!$A:$AC,2,FALSE))="JBL",(VLOOKUP(Table6[[#This Row],[SKU]],'All Skus'!$A:$AC,13,FALSE)),""))</f>
        <v>0</v>
      </c>
      <c r="L700" s="102">
        <f>(IF((VLOOKUP(Table6[[#This Row],[SKU]],'All Skus'!$A:$AC,2,FALSE))="JBL",(VLOOKUP(Table6[[#This Row],[SKU]],'All Skus'!$A:$AC,14,FALSE)),""))</f>
        <v>0</v>
      </c>
      <c r="M700" s="143">
        <f>(IF((VLOOKUP(Table6[[#This Row],[SKU]],'All Skus'!$A:$AC,2,FALSE))="JBL",(VLOOKUP(Table6[[#This Row],[SKU]],'All Skus'!$A:$AC,15,FALSE)),""))</f>
        <v>0</v>
      </c>
      <c r="N700" s="137">
        <f>(IF((VLOOKUP(Table6[[#This Row],[SKU]],'All Skus'!$A:$AC,2,FALSE))="JBL",(VLOOKUP(Table6[[#This Row],[SKU]],'All Skus'!$A:$AC,16,FALSE)),""))</f>
        <v>691991007514</v>
      </c>
      <c r="O700" s="61">
        <f>(IF((VLOOKUP(Table6[[#This Row],[SKU]],'All Skus'!$A:$AC,2,FALSE))="JBL",(VLOOKUP(Table6[[#This Row],[SKU]],'All Skus'!$A:$AC,17,FALSE)),""))</f>
        <v>0</v>
      </c>
      <c r="P700" s="136">
        <f>(IF((VLOOKUP(Table6[[#This Row],[SKU]],'All Skus'!$A:$AC,2,FALSE))="JBL",(VLOOKUP(Table6[[#This Row],[SKU]],'All Skus'!$A:$AC,18,FALSE)),""))</f>
        <v>119</v>
      </c>
      <c r="Q700" s="136">
        <f>(IF((VLOOKUP(Table6[[#This Row],[SKU]],'All Skus'!$A:$AC,2,FALSE))="JBL",(VLOOKUP(Table6[[#This Row],[SKU]],'All Skus'!$A:$AC,19,FALSE)),""))</f>
        <v>47</v>
      </c>
      <c r="R700" s="136">
        <f>(IF((VLOOKUP(Table6[[#This Row],[SKU]],'All Skus'!$A:$AC,2,FALSE))="JBL",(VLOOKUP(Table6[[#This Row],[SKU]],'All Skus'!$A:$AC,20,FALSE)),""))</f>
        <v>25.5</v>
      </c>
      <c r="S700" s="61">
        <f>(IF((VLOOKUP(Table6[[#This Row],[SKU]],'All Skus'!$A:$AC,2,FALSE))="JBL",(VLOOKUP(Table6[[#This Row],[SKU]],'All Skus'!$A:$AC,21,FALSE)),""))</f>
        <v>13</v>
      </c>
      <c r="T700" s="61" t="str">
        <f>(IF((VLOOKUP(Table6[[#This Row],[SKU]],'All Skus'!$A:$AC,2,FALSE))="JBL",(VLOOKUP(Table6[[#This Row],[SKU]],'All Skus'!$A:$AC,22,FALSE)),""))</f>
        <v>MX</v>
      </c>
      <c r="U700">
        <f>(IF((VLOOKUP(Table6[[#This Row],[SKU]],'All Skus'!$A:$AC,2,FALSE))="JBL",(VLOOKUP(Table6[[#This Row],[SKU]],'All Skus'!$A:$AC,23,FALSE)),""))</f>
        <v>0</v>
      </c>
      <c r="V700" s="284" t="str">
        <f>HYPERLINK((IF((VLOOKUP(Table6[[#This Row],[SKU]],'All Skus'!$A:$AC,2,FALSE))="JBL",(VLOOKUP(Table6[[#This Row],[SKU]],'All Skus'!$A:$AC,24,FALSE)),"")))</f>
        <v xml:space="preserve">http://www.jblpro.com/www/products/tour-sound/vtx-a12#Accessories </v>
      </c>
      <c r="W700" s="151">
        <v>697</v>
      </c>
    </row>
    <row r="701" spans="1:23" ht="15" hidden="1" customHeight="1">
      <c r="A701" s="13" t="s">
        <v>1710</v>
      </c>
      <c r="B701" s="12" t="str">
        <f>(IF((VLOOKUP(Table6[[#This Row],[SKU]],'All Skus'!$A:$AC,2,FALSE))="JBL",(VLOOKUP(Table6[[#This Row],[SKU]],'All Skus'!$A:$AC,3,FALSE)),""))</f>
        <v>VTX SERIES</v>
      </c>
      <c r="C701" s="12" t="str">
        <f>(IF((VLOOKUP(Table6[[#This Row],[SKU]],'All Skus'!$A:$AC,2,FALSE))="JBL",(VLOOKUP(Table6[[#This Row],[SKU]],'All Skus'!$A:$AC,4,FALSE)),""))</f>
        <v>VTX A12 AF EB</v>
      </c>
      <c r="D701" s="61" t="str">
        <f>(IF((VLOOKUP(Table6[[#This Row],[SKU]],'All Skus'!$A:$AC,2,FALSE))="JBL",(VLOOKUP(Table6[[#This Row],[SKU]],'All Skus'!$A:$AC,5,FALSE)),""))</f>
        <v>JBL046</v>
      </c>
      <c r="E701" s="137" t="str">
        <f>(IF((VLOOKUP(Table6[[#This Row],[SKU]],'All Skus'!$A:$AC,2,FALSE))="JBL",(VLOOKUP(Table6[[#This Row],[SKU]],'All Skus'!$A:$AC,6,FALSE)),""))</f>
        <v>YES</v>
      </c>
      <c r="F701" s="61">
        <f>(IF((VLOOKUP(Table6[[#This Row],[SKU]],'All Skus'!$A:$AC,2,FALSE))="JBL",(VLOOKUP(Table6[[#This Row],[SKU]],'All Skus'!$A:$AC,7,FALSE)),""))</f>
        <v>0</v>
      </c>
      <c r="G701" t="str">
        <f>(IF((VLOOKUP(Table6[[#This Row],[SKU]],'All Skus'!$A:$AC,2,FALSE))="JBL",(VLOOKUP(Table6[[#This Row],[SKU]],'All Skus'!$A:$AC,8,FALSE)),""))</f>
        <v>VTX A12 AF EB</v>
      </c>
      <c r="H701" s="8" t="str">
        <f>(IF((VLOOKUP(Table6[[#This Row],[SKU]],'All Skus'!$A:$AC,2,FALSE))="JBL",(VLOOKUP(Table6[[#This Row],[SKU]],'All Skus'!$A:$AC,9,FALSE)),""))</f>
        <v>Extension Bar to be used with the VTX A12 AF</v>
      </c>
      <c r="I701" s="101" t="str">
        <f>(IF((VLOOKUP(Table6[[#This Row],[SKU]],'All Skus'!$A:$AC,2,FALSE))="JBL",(VLOOKUP(Table6[[#This Row],[SKU]],'All Skus'!$A:$AC,10,FALSE)),""))</f>
        <v>“Price On Application (POA) Contact your Representative"</v>
      </c>
      <c r="J701" s="101" t="str">
        <f>(IF((VLOOKUP(Table6[[#This Row],[SKU]],'All Skus'!$A:$AC,2,FALSE))="JBL",(VLOOKUP(Table6[[#This Row],[SKU]],'All Skus'!$A:$AC,11,FALSE)),""))</f>
        <v>“Price On Application (POA) Contact your Representative"</v>
      </c>
      <c r="K701" s="102">
        <f>(IF((VLOOKUP(Table6[[#This Row],[SKU]],'All Skus'!$A:$AC,2,FALSE))="JBL",(VLOOKUP(Table6[[#This Row],[SKU]],'All Skus'!$A:$AC,13,FALSE)),""))</f>
        <v>0</v>
      </c>
      <c r="L701" s="102">
        <f>(IF((VLOOKUP(Table6[[#This Row],[SKU]],'All Skus'!$A:$AC,2,FALSE))="JBL",(VLOOKUP(Table6[[#This Row],[SKU]],'All Skus'!$A:$AC,14,FALSE)),""))</f>
        <v>0</v>
      </c>
      <c r="M701" s="143">
        <f>(IF((VLOOKUP(Table6[[#This Row],[SKU]],'All Skus'!$A:$AC,2,FALSE))="JBL",(VLOOKUP(Table6[[#This Row],[SKU]],'All Skus'!$A:$AC,15,FALSE)),""))</f>
        <v>0</v>
      </c>
      <c r="N701" s="137">
        <f>(IF((VLOOKUP(Table6[[#This Row],[SKU]],'All Skus'!$A:$AC,2,FALSE))="JBL",(VLOOKUP(Table6[[#This Row],[SKU]],'All Skus'!$A:$AC,16,FALSE)),""))</f>
        <v>691991007521</v>
      </c>
      <c r="O701" s="61">
        <f>(IF((VLOOKUP(Table6[[#This Row],[SKU]],'All Skus'!$A:$AC,2,FALSE))="JBL",(VLOOKUP(Table6[[#This Row],[SKU]],'All Skus'!$A:$AC,17,FALSE)),""))</f>
        <v>0</v>
      </c>
      <c r="P701" s="136">
        <f>(IF((VLOOKUP(Table6[[#This Row],[SKU]],'All Skus'!$A:$AC,2,FALSE))="JBL",(VLOOKUP(Table6[[#This Row],[SKU]],'All Skus'!$A:$AC,18,FALSE)),""))</f>
        <v>43</v>
      </c>
      <c r="Q701" s="136">
        <f>(IF((VLOOKUP(Table6[[#This Row],[SKU]],'All Skus'!$A:$AC,2,FALSE))="JBL",(VLOOKUP(Table6[[#This Row],[SKU]],'All Skus'!$A:$AC,19,FALSE)),""))</f>
        <v>42</v>
      </c>
      <c r="R701" s="136">
        <f>(IF((VLOOKUP(Table6[[#This Row],[SKU]],'All Skus'!$A:$AC,2,FALSE))="JBL",(VLOOKUP(Table6[[#This Row],[SKU]],'All Skus'!$A:$AC,20,FALSE)),""))</f>
        <v>11</v>
      </c>
      <c r="S701" s="61">
        <f>(IF((VLOOKUP(Table6[[#This Row],[SKU]],'All Skus'!$A:$AC,2,FALSE))="JBL",(VLOOKUP(Table6[[#This Row],[SKU]],'All Skus'!$A:$AC,21,FALSE)),""))</f>
        <v>6</v>
      </c>
      <c r="T701" s="61" t="str">
        <f>(IF((VLOOKUP(Table6[[#This Row],[SKU]],'All Skus'!$A:$AC,2,FALSE))="JBL",(VLOOKUP(Table6[[#This Row],[SKU]],'All Skus'!$A:$AC,22,FALSE)),""))</f>
        <v>MX</v>
      </c>
      <c r="U701">
        <f>(IF((VLOOKUP(Table6[[#This Row],[SKU]],'All Skus'!$A:$AC,2,FALSE))="JBL",(VLOOKUP(Table6[[#This Row],[SKU]],'All Skus'!$A:$AC,23,FALSE)),""))</f>
        <v>0</v>
      </c>
      <c r="V701" s="284" t="str">
        <f>HYPERLINK((IF((VLOOKUP(Table6[[#This Row],[SKU]],'All Skus'!$A:$AC,2,FALSE))="JBL",(VLOOKUP(Table6[[#This Row],[SKU]],'All Skus'!$A:$AC,24,FALSE)),"")))</f>
        <v/>
      </c>
      <c r="W701" s="151">
        <v>698</v>
      </c>
    </row>
    <row r="702" spans="1:23" ht="15" hidden="1" customHeight="1">
      <c r="A702" s="13" t="s">
        <v>1711</v>
      </c>
      <c r="B702" s="12" t="str">
        <f>(IF((VLOOKUP(Table6[[#This Row],[SKU]],'All Skus'!$A:$AC,2,FALSE))="JBL",(VLOOKUP(Table6[[#This Row],[SKU]],'All Skus'!$A:$AC,3,FALSE)),""))</f>
        <v>VTX SERIES</v>
      </c>
      <c r="C702" s="12" t="str">
        <f>(IF((VLOOKUP(Table6[[#This Row],[SKU]],'All Skus'!$A:$AC,2,FALSE))="JBL",(VLOOKUP(Table6[[#This Row],[SKU]],'All Skus'!$A:$AC,4,FALSE)),""))</f>
        <v>VTX A12 SB</v>
      </c>
      <c r="D702" s="61" t="str">
        <f>(IF((VLOOKUP(Table6[[#This Row],[SKU]],'All Skus'!$A:$AC,2,FALSE))="JBL",(VLOOKUP(Table6[[#This Row],[SKU]],'All Skus'!$A:$AC,5,FALSE)),""))</f>
        <v>JBL046</v>
      </c>
      <c r="E702" s="137" t="str">
        <f>(IF((VLOOKUP(Table6[[#This Row],[SKU]],'All Skus'!$A:$AC,2,FALSE))="JBL",(VLOOKUP(Table6[[#This Row],[SKU]],'All Skus'!$A:$AC,6,FALSE)),""))</f>
        <v>YES</v>
      </c>
      <c r="F702" s="61">
        <f>(IF((VLOOKUP(Table6[[#This Row],[SKU]],'All Skus'!$A:$AC,2,FALSE))="JBL",(VLOOKUP(Table6[[#This Row],[SKU]],'All Skus'!$A:$AC,7,FALSE)),""))</f>
        <v>0</v>
      </c>
      <c r="G702" t="str">
        <f>(IF((VLOOKUP(Table6[[#This Row],[SKU]],'All Skus'!$A:$AC,2,FALSE))="JBL",(VLOOKUP(Table6[[#This Row],[SKU]],'All Skus'!$A:$AC,8,FALSE)),""))</f>
        <v>VTX A12 SB</v>
      </c>
      <c r="H702" s="8" t="str">
        <f>(IF((VLOOKUP(Table6[[#This Row],[SKU]],'All Skus'!$A:$AC,2,FALSE))="JBL",(VLOOKUP(Table6[[#This Row],[SKU]],'All Skus'!$A:$AC,9,FALSE)),""))</f>
        <v>Suspension Bar accessory for VTX A12, Used for pull-back applications, Support for suspending VTX A12, Support for up to 18 x VTX A12 enclosures</v>
      </c>
      <c r="I702" s="101" t="str">
        <f>(IF((VLOOKUP(Table6[[#This Row],[SKU]],'All Skus'!$A:$AC,2,FALSE))="JBL",(VLOOKUP(Table6[[#This Row],[SKU]],'All Skus'!$A:$AC,10,FALSE)),""))</f>
        <v>“Price On Application (POA) Contact your Representative"</v>
      </c>
      <c r="J702" s="101" t="str">
        <f>(IF((VLOOKUP(Table6[[#This Row],[SKU]],'All Skus'!$A:$AC,2,FALSE))="JBL",(VLOOKUP(Table6[[#This Row],[SKU]],'All Skus'!$A:$AC,11,FALSE)),""))</f>
        <v>“Price On Application (POA) Contact your Representative"</v>
      </c>
      <c r="K702" s="102">
        <f>(IF((VLOOKUP(Table6[[#This Row],[SKU]],'All Skus'!$A:$AC,2,FALSE))="JBL",(VLOOKUP(Table6[[#This Row],[SKU]],'All Skus'!$A:$AC,13,FALSE)),""))</f>
        <v>0</v>
      </c>
      <c r="L702" s="102">
        <f>(IF((VLOOKUP(Table6[[#This Row],[SKU]],'All Skus'!$A:$AC,2,FALSE))="JBL",(VLOOKUP(Table6[[#This Row],[SKU]],'All Skus'!$A:$AC,14,FALSE)),""))</f>
        <v>0</v>
      </c>
      <c r="M702" s="143">
        <f>(IF((VLOOKUP(Table6[[#This Row],[SKU]],'All Skus'!$A:$AC,2,FALSE))="JBL",(VLOOKUP(Table6[[#This Row],[SKU]],'All Skus'!$A:$AC,15,FALSE)),""))</f>
        <v>0</v>
      </c>
      <c r="N702" s="137">
        <f>(IF((VLOOKUP(Table6[[#This Row],[SKU]],'All Skus'!$A:$AC,2,FALSE))="JBL",(VLOOKUP(Table6[[#This Row],[SKU]],'All Skus'!$A:$AC,16,FALSE)),""))</f>
        <v>691991007552</v>
      </c>
      <c r="O702" s="61">
        <f>(IF((VLOOKUP(Table6[[#This Row],[SKU]],'All Skus'!$A:$AC,2,FALSE))="JBL",(VLOOKUP(Table6[[#This Row],[SKU]],'All Skus'!$A:$AC,17,FALSE)),""))</f>
        <v>0</v>
      </c>
      <c r="P702" s="136">
        <f>(IF((VLOOKUP(Table6[[#This Row],[SKU]],'All Skus'!$A:$AC,2,FALSE))="JBL",(VLOOKUP(Table6[[#This Row],[SKU]],'All Skus'!$A:$AC,18,FALSE)),""))</f>
        <v>20</v>
      </c>
      <c r="Q702" s="136">
        <f>(IF((VLOOKUP(Table6[[#This Row],[SKU]],'All Skus'!$A:$AC,2,FALSE))="JBL",(VLOOKUP(Table6[[#This Row],[SKU]],'All Skus'!$A:$AC,19,FALSE)),""))</f>
        <v>47</v>
      </c>
      <c r="R702" s="136">
        <f>(IF((VLOOKUP(Table6[[#This Row],[SKU]],'All Skus'!$A:$AC,2,FALSE))="JBL",(VLOOKUP(Table6[[#This Row],[SKU]],'All Skus'!$A:$AC,20,FALSE)),""))</f>
        <v>8.75</v>
      </c>
      <c r="S702" s="61">
        <f>(IF((VLOOKUP(Table6[[#This Row],[SKU]],'All Skus'!$A:$AC,2,FALSE))="JBL",(VLOOKUP(Table6[[#This Row],[SKU]],'All Skus'!$A:$AC,21,FALSE)),""))</f>
        <v>7.5</v>
      </c>
      <c r="T702" s="61" t="str">
        <f>(IF((VLOOKUP(Table6[[#This Row],[SKU]],'All Skus'!$A:$AC,2,FALSE))="JBL",(VLOOKUP(Table6[[#This Row],[SKU]],'All Skus'!$A:$AC,22,FALSE)),""))</f>
        <v>MX</v>
      </c>
      <c r="U702">
        <f>(IF((VLOOKUP(Table6[[#This Row],[SKU]],'All Skus'!$A:$AC,2,FALSE))="JBL",(VLOOKUP(Table6[[#This Row],[SKU]],'All Skus'!$A:$AC,23,FALSE)),""))</f>
        <v>0</v>
      </c>
      <c r="V702" s="284" t="str">
        <f>HYPERLINK((IF((VLOOKUP(Table6[[#This Row],[SKU]],'All Skus'!$A:$AC,2,FALSE))="JBL",(VLOOKUP(Table6[[#This Row],[SKU]],'All Skus'!$A:$AC,24,FALSE)),"")))</f>
        <v/>
      </c>
      <c r="W702" s="151">
        <v>699</v>
      </c>
    </row>
    <row r="703" spans="1:23" ht="15" hidden="1" customHeight="1">
      <c r="A703" s="13" t="s">
        <v>1712</v>
      </c>
      <c r="B703" s="12" t="str">
        <f>(IF((VLOOKUP(Table6[[#This Row],[SKU]],'All Skus'!$A:$AC,2,FALSE))="JBL",(VLOOKUP(Table6[[#This Row],[SKU]],'All Skus'!$A:$AC,3,FALSE)),""))</f>
        <v>VTX SERIES</v>
      </c>
      <c r="C703" s="12" t="str">
        <f>(IF((VLOOKUP(Table6[[#This Row],[SKU]],'All Skus'!$A:$AC,2,FALSE))="JBL",(VLOOKUP(Table6[[#This Row],[SKU]],'All Skus'!$A:$AC,4,FALSE)),""))</f>
        <v>VTX DELTA</v>
      </c>
      <c r="D703" s="61" t="str">
        <f>(IF((VLOOKUP(Table6[[#This Row],[SKU]],'All Skus'!$A:$AC,2,FALSE))="JBL",(VLOOKUP(Table6[[#This Row],[SKU]],'All Skus'!$A:$AC,5,FALSE)),""))</f>
        <v>JBL046</v>
      </c>
      <c r="E703" s="137" t="str">
        <f>(IF((VLOOKUP(Table6[[#This Row],[SKU]],'All Skus'!$A:$AC,2,FALSE))="JBL",(VLOOKUP(Table6[[#This Row],[SKU]],'All Skus'!$A:$AC,6,FALSE)),""))</f>
        <v>YES</v>
      </c>
      <c r="F703" s="61">
        <f>(IF((VLOOKUP(Table6[[#This Row],[SKU]],'All Skus'!$A:$AC,2,FALSE))="JBL",(VLOOKUP(Table6[[#This Row],[SKU]],'All Skus'!$A:$AC,7,FALSE)),""))</f>
        <v>0</v>
      </c>
      <c r="G703" t="str">
        <f>(IF((VLOOKUP(Table6[[#This Row],[SKU]],'All Skus'!$A:$AC,2,FALSE))="JBL",(VLOOKUP(Table6[[#This Row],[SKU]],'All Skus'!$A:$AC,8,FALSE)),""))</f>
        <v>VTX DELTA</v>
      </c>
      <c r="H703" s="8" t="str">
        <f>(IF((VLOOKUP(Table6[[#This Row],[SKU]],'All Skus'!$A:$AC,2,FALSE))="JBL",(VLOOKUP(Table6[[#This Row],[SKU]],'All Skus'!$A:$AC,9,FALSE)),""))</f>
        <v>High-quality universal delta plate accessory</v>
      </c>
      <c r="I703" s="101" t="str">
        <f>(IF((VLOOKUP(Table6[[#This Row],[SKU]],'All Skus'!$A:$AC,2,FALSE))="JBL",(VLOOKUP(Table6[[#This Row],[SKU]],'All Skus'!$A:$AC,10,FALSE)),""))</f>
        <v>“Price On Application (POA) Contact your Representative"</v>
      </c>
      <c r="J703" s="101" t="str">
        <f>(IF((VLOOKUP(Table6[[#This Row],[SKU]],'All Skus'!$A:$AC,2,FALSE))="JBL",(VLOOKUP(Table6[[#This Row],[SKU]],'All Skus'!$A:$AC,11,FALSE)),""))</f>
        <v>“Price On Application (POA) Contact your Representative"</v>
      </c>
      <c r="K703" s="102">
        <f>(IF((VLOOKUP(Table6[[#This Row],[SKU]],'All Skus'!$A:$AC,2,FALSE))="JBL",(VLOOKUP(Table6[[#This Row],[SKU]],'All Skus'!$A:$AC,13,FALSE)),""))</f>
        <v>0</v>
      </c>
      <c r="L703" s="102">
        <f>(IF((VLOOKUP(Table6[[#This Row],[SKU]],'All Skus'!$A:$AC,2,FALSE))="JBL",(VLOOKUP(Table6[[#This Row],[SKU]],'All Skus'!$A:$AC,14,FALSE)),""))</f>
        <v>0</v>
      </c>
      <c r="M703" s="143">
        <f>(IF((VLOOKUP(Table6[[#This Row],[SKU]],'All Skus'!$A:$AC,2,FALSE))="JBL",(VLOOKUP(Table6[[#This Row],[SKU]],'All Skus'!$A:$AC,15,FALSE)),""))</f>
        <v>0</v>
      </c>
      <c r="N703" s="137">
        <f>(IF((VLOOKUP(Table6[[#This Row],[SKU]],'All Skus'!$A:$AC,2,FALSE))="JBL",(VLOOKUP(Table6[[#This Row],[SKU]],'All Skus'!$A:$AC,16,FALSE)),""))</f>
        <v>691991007637</v>
      </c>
      <c r="O703" s="61">
        <f>(IF((VLOOKUP(Table6[[#This Row],[SKU]],'All Skus'!$A:$AC,2,FALSE))="JBL",(VLOOKUP(Table6[[#This Row],[SKU]],'All Skus'!$A:$AC,17,FALSE)),""))</f>
        <v>0</v>
      </c>
      <c r="P703" s="136">
        <f>(IF((VLOOKUP(Table6[[#This Row],[SKU]],'All Skus'!$A:$AC,2,FALSE))="JBL",(VLOOKUP(Table6[[#This Row],[SKU]],'All Skus'!$A:$AC,18,FALSE)),""))</f>
        <v>27</v>
      </c>
      <c r="Q703" s="136">
        <f>(IF((VLOOKUP(Table6[[#This Row],[SKU]],'All Skus'!$A:$AC,2,FALSE))="JBL",(VLOOKUP(Table6[[#This Row],[SKU]],'All Skus'!$A:$AC,19,FALSE)),""))</f>
        <v>26.5</v>
      </c>
      <c r="R703" s="136">
        <f>(IF((VLOOKUP(Table6[[#This Row],[SKU]],'All Skus'!$A:$AC,2,FALSE))="JBL",(VLOOKUP(Table6[[#This Row],[SKU]],'All Skus'!$A:$AC,20,FALSE)),""))</f>
        <v>4</v>
      </c>
      <c r="S703" s="61">
        <f>(IF((VLOOKUP(Table6[[#This Row],[SKU]],'All Skus'!$A:$AC,2,FALSE))="JBL",(VLOOKUP(Table6[[#This Row],[SKU]],'All Skus'!$A:$AC,21,FALSE)),""))</f>
        <v>2</v>
      </c>
      <c r="T703" s="61" t="str">
        <f>(IF((VLOOKUP(Table6[[#This Row],[SKU]],'All Skus'!$A:$AC,2,FALSE))="JBL",(VLOOKUP(Table6[[#This Row],[SKU]],'All Skus'!$A:$AC,22,FALSE)),""))</f>
        <v>MX</v>
      </c>
      <c r="U703">
        <f>(IF((VLOOKUP(Table6[[#This Row],[SKU]],'All Skus'!$A:$AC,2,FALSE))="JBL",(VLOOKUP(Table6[[#This Row],[SKU]],'All Skus'!$A:$AC,23,FALSE)),""))</f>
        <v>0</v>
      </c>
      <c r="V703" s="284" t="str">
        <f>HYPERLINK((IF((VLOOKUP(Table6[[#This Row],[SKU]],'All Skus'!$A:$AC,2,FALSE))="JBL",(VLOOKUP(Table6[[#This Row],[SKU]],'All Skus'!$A:$AC,24,FALSE)),"")))</f>
        <v/>
      </c>
      <c r="W703" s="151">
        <v>700</v>
      </c>
    </row>
    <row r="704" spans="1:23" ht="15" hidden="1" customHeight="1">
      <c r="A704" s="13" t="s">
        <v>1713</v>
      </c>
      <c r="B704" s="12" t="str">
        <f>(IF((VLOOKUP(Table6[[#This Row],[SKU]],'All Skus'!$A:$AC,2,FALSE))="JBL",(VLOOKUP(Table6[[#This Row],[SKU]],'All Skus'!$A:$AC,3,FALSE)),""))</f>
        <v>VTX SERIES</v>
      </c>
      <c r="C704" s="12" t="str">
        <f>(IF((VLOOKUP(Table6[[#This Row],[SKU]],'All Skus'!$A:$AC,2,FALSE))="JBL",(VLOOKUP(Table6[[#This Row],[SKU]],'All Skus'!$A:$AC,4,FALSE)),""))</f>
        <v xml:space="preserve">VTX B28 </v>
      </c>
      <c r="D704" s="61" t="str">
        <f>(IF((VLOOKUP(Table6[[#This Row],[SKU]],'All Skus'!$A:$AC,2,FALSE))="JBL",(VLOOKUP(Table6[[#This Row],[SKU]],'All Skus'!$A:$AC,5,FALSE)),""))</f>
        <v>JBL046</v>
      </c>
      <c r="E704" s="137" t="str">
        <f>(IF((VLOOKUP(Table6[[#This Row],[SKU]],'All Skus'!$A:$AC,2,FALSE))="JBL",(VLOOKUP(Table6[[#This Row],[SKU]],'All Skus'!$A:$AC,6,FALSE)),""))</f>
        <v>YES</v>
      </c>
      <c r="F704" s="61">
        <f>(IF((VLOOKUP(Table6[[#This Row],[SKU]],'All Skus'!$A:$AC,2,FALSE))="JBL",(VLOOKUP(Table6[[#This Row],[SKU]],'All Skus'!$A:$AC,7,FALSE)),""))</f>
        <v>0</v>
      </c>
      <c r="G704" t="str">
        <f>(IF((VLOOKUP(Table6[[#This Row],[SKU]],'All Skus'!$A:$AC,2,FALSE))="JBL",(VLOOKUP(Table6[[#This Row],[SKU]],'All Skus'!$A:$AC,8,FALSE)),""))</f>
        <v xml:space="preserve">VTX B28 </v>
      </c>
      <c r="H704" s="8" t="str">
        <f>(IF((VLOOKUP(Table6[[#This Row],[SKU]],'All Skus'!$A:$AC,2,FALSE))="JBL",(VLOOKUP(Table6[[#This Row],[SKU]],'All Skus'!$A:$AC,9,FALSE)),""))</f>
        <v>VTX B28 Dual 18” Subwoofer</v>
      </c>
      <c r="I704" s="101" t="str">
        <f>(IF((VLOOKUP(Table6[[#This Row],[SKU]],'All Skus'!$A:$AC,2,FALSE))="JBL",(VLOOKUP(Table6[[#This Row],[SKU]],'All Skus'!$A:$AC,10,FALSE)),""))</f>
        <v>“Price On Application (POA) Contact your Representative"</v>
      </c>
      <c r="J704" s="101" t="str">
        <f>(IF((VLOOKUP(Table6[[#This Row],[SKU]],'All Skus'!$A:$AC,2,FALSE))="JBL",(VLOOKUP(Table6[[#This Row],[SKU]],'All Skus'!$A:$AC,11,FALSE)),""))</f>
        <v>“Price On Application (POA) Contact your Representative"</v>
      </c>
      <c r="K704" s="102">
        <f>(IF((VLOOKUP(Table6[[#This Row],[SKU]],'All Skus'!$A:$AC,2,FALSE))="JBL",(VLOOKUP(Table6[[#This Row],[SKU]],'All Skus'!$A:$AC,13,FALSE)),""))</f>
        <v>0</v>
      </c>
      <c r="L704" s="102">
        <f>(IF((VLOOKUP(Table6[[#This Row],[SKU]],'All Skus'!$A:$AC,2,FALSE))="JBL",(VLOOKUP(Table6[[#This Row],[SKU]],'All Skus'!$A:$AC,14,FALSE)),""))</f>
        <v>0</v>
      </c>
      <c r="M704" s="143">
        <f>(IF((VLOOKUP(Table6[[#This Row],[SKU]],'All Skus'!$A:$AC,2,FALSE))="JBL",(VLOOKUP(Table6[[#This Row],[SKU]],'All Skus'!$A:$AC,15,FALSE)),""))</f>
        <v>0</v>
      </c>
      <c r="N704" s="137">
        <f>(IF((VLOOKUP(Table6[[#This Row],[SKU]],'All Skus'!$A:$AC,2,FALSE))="JBL",(VLOOKUP(Table6[[#This Row],[SKU]],'All Skus'!$A:$AC,16,FALSE)),""))</f>
        <v>691991034176</v>
      </c>
      <c r="O704" s="61">
        <f>(IF((VLOOKUP(Table6[[#This Row],[SKU]],'All Skus'!$A:$AC,2,FALSE))="JBL",(VLOOKUP(Table6[[#This Row],[SKU]],'All Skus'!$A:$AC,17,FALSE)),""))</f>
        <v>0</v>
      </c>
      <c r="P704" s="136">
        <f>(IF((VLOOKUP(Table6[[#This Row],[SKU]],'All Skus'!$A:$AC,2,FALSE))="JBL",(VLOOKUP(Table6[[#This Row],[SKU]],'All Skus'!$A:$AC,18,FALSE)),""))</f>
        <v>0</v>
      </c>
      <c r="Q704" s="136">
        <f>(IF((VLOOKUP(Table6[[#This Row],[SKU]],'All Skus'!$A:$AC,2,FALSE))="JBL",(VLOOKUP(Table6[[#This Row],[SKU]],'All Skus'!$A:$AC,19,FALSE)),""))</f>
        <v>0</v>
      </c>
      <c r="R704" s="136">
        <f>(IF((VLOOKUP(Table6[[#This Row],[SKU]],'All Skus'!$A:$AC,2,FALSE))="JBL",(VLOOKUP(Table6[[#This Row],[SKU]],'All Skus'!$A:$AC,20,FALSE)),""))</f>
        <v>0</v>
      </c>
      <c r="S704" s="61">
        <f>(IF((VLOOKUP(Table6[[#This Row],[SKU]],'All Skus'!$A:$AC,2,FALSE))="JBL",(VLOOKUP(Table6[[#This Row],[SKU]],'All Skus'!$A:$AC,21,FALSE)),""))</f>
        <v>0</v>
      </c>
      <c r="T704" s="61" t="str">
        <f>(IF((VLOOKUP(Table6[[#This Row],[SKU]],'All Skus'!$A:$AC,2,FALSE))="JBL",(VLOOKUP(Table6[[#This Row],[SKU]],'All Skus'!$A:$AC,22,FALSE)),""))</f>
        <v>MX</v>
      </c>
      <c r="U704">
        <f>(IF((VLOOKUP(Table6[[#This Row],[SKU]],'All Skus'!$A:$AC,2,FALSE))="JBL",(VLOOKUP(Table6[[#This Row],[SKU]],'All Skus'!$A:$AC,23,FALSE)),""))</f>
        <v>0</v>
      </c>
      <c r="V704" s="284" t="str">
        <f>HYPERLINK((IF((VLOOKUP(Table6[[#This Row],[SKU]],'All Skus'!$A:$AC,2,FALSE))="JBL",(VLOOKUP(Table6[[#This Row],[SKU]],'All Skus'!$A:$AC,24,FALSE)),"")))</f>
        <v/>
      </c>
      <c r="W704" s="151">
        <v>701</v>
      </c>
    </row>
    <row r="705" spans="1:23" ht="15" hidden="1" customHeight="1">
      <c r="A705" s="13" t="s">
        <v>1714</v>
      </c>
      <c r="B705" s="12" t="str">
        <f>(IF((VLOOKUP(Table6[[#This Row],[SKU]],'All Skus'!$A:$AC,2,FALSE))="JBL",(VLOOKUP(Table6[[#This Row],[SKU]],'All Skus'!$A:$AC,3,FALSE)),""))</f>
        <v>VTX SERIES</v>
      </c>
      <c r="C705" s="12" t="str">
        <f>(IF((VLOOKUP(Table6[[#This Row],[SKU]],'All Skus'!$A:$AC,2,FALSE))="JBL",(VLOOKUP(Table6[[#This Row],[SKU]],'All Skus'!$A:$AC,4,FALSE)),""))</f>
        <v xml:space="preserve">VTX B28 SB </v>
      </c>
      <c r="D705" s="61" t="str">
        <f>(IF((VLOOKUP(Table6[[#This Row],[SKU]],'All Skus'!$A:$AC,2,FALSE))="JBL",(VLOOKUP(Table6[[#This Row],[SKU]],'All Skus'!$A:$AC,5,FALSE)),""))</f>
        <v>JBL046</v>
      </c>
      <c r="E705" s="137" t="str">
        <f>(IF((VLOOKUP(Table6[[#This Row],[SKU]],'All Skus'!$A:$AC,2,FALSE))="JBL",(VLOOKUP(Table6[[#This Row],[SKU]],'All Skus'!$A:$AC,6,FALSE)),""))</f>
        <v>YES</v>
      </c>
      <c r="F705" s="61">
        <f>(IF((VLOOKUP(Table6[[#This Row],[SKU]],'All Skus'!$A:$AC,2,FALSE))="JBL",(VLOOKUP(Table6[[#This Row],[SKU]],'All Skus'!$A:$AC,7,FALSE)),""))</f>
        <v>0</v>
      </c>
      <c r="G705" t="str">
        <f>(IF((VLOOKUP(Table6[[#This Row],[SKU]],'All Skus'!$A:$AC,2,FALSE))="JBL",(VLOOKUP(Table6[[#This Row],[SKU]],'All Skus'!$A:$AC,8,FALSE)),""))</f>
        <v xml:space="preserve">VTX B28 SB </v>
      </c>
      <c r="H705" s="8" t="str">
        <f>(IF((VLOOKUP(Table6[[#This Row],[SKU]],'All Skus'!$A:$AC,2,FALSE))="JBL",(VLOOKUP(Table6[[#This Row],[SKU]],'All Skus'!$A:$AC,9,FALSE)),""))</f>
        <v xml:space="preserve">VTX B28 SB Suspension Bar for VTX B28 </v>
      </c>
      <c r="I705" s="101" t="str">
        <f>(IF((VLOOKUP(Table6[[#This Row],[SKU]],'All Skus'!$A:$AC,2,FALSE))="JBL",(VLOOKUP(Table6[[#This Row],[SKU]],'All Skus'!$A:$AC,10,FALSE)),""))</f>
        <v>“Price On Application (POA) Contact your Representative"</v>
      </c>
      <c r="J705" s="101" t="str">
        <f>(IF((VLOOKUP(Table6[[#This Row],[SKU]],'All Skus'!$A:$AC,2,FALSE))="JBL",(VLOOKUP(Table6[[#This Row],[SKU]],'All Skus'!$A:$AC,11,FALSE)),""))</f>
        <v>“Price On Application (POA) Contact your Representative"</v>
      </c>
      <c r="K705" s="102">
        <f>(IF((VLOOKUP(Table6[[#This Row],[SKU]],'All Skus'!$A:$AC,2,FALSE))="JBL",(VLOOKUP(Table6[[#This Row],[SKU]],'All Skus'!$A:$AC,13,FALSE)),""))</f>
        <v>0</v>
      </c>
      <c r="L705" s="102">
        <f>(IF((VLOOKUP(Table6[[#This Row],[SKU]],'All Skus'!$A:$AC,2,FALSE))="JBL",(VLOOKUP(Table6[[#This Row],[SKU]],'All Skus'!$A:$AC,14,FALSE)),""))</f>
        <v>0</v>
      </c>
      <c r="M705" s="143">
        <f>(IF((VLOOKUP(Table6[[#This Row],[SKU]],'All Skus'!$A:$AC,2,FALSE))="JBL",(VLOOKUP(Table6[[#This Row],[SKU]],'All Skus'!$A:$AC,15,FALSE)),""))</f>
        <v>0</v>
      </c>
      <c r="N705" s="137">
        <f>(IF((VLOOKUP(Table6[[#This Row],[SKU]],'All Skus'!$A:$AC,2,FALSE))="JBL",(VLOOKUP(Table6[[#This Row],[SKU]],'All Skus'!$A:$AC,16,FALSE)),""))</f>
        <v>691991034275</v>
      </c>
      <c r="O705" s="61">
        <f>(IF((VLOOKUP(Table6[[#This Row],[SKU]],'All Skus'!$A:$AC,2,FALSE))="JBL",(VLOOKUP(Table6[[#This Row],[SKU]],'All Skus'!$A:$AC,17,FALSE)),""))</f>
        <v>0</v>
      </c>
      <c r="P705" s="136">
        <f>(IF((VLOOKUP(Table6[[#This Row],[SKU]],'All Skus'!$A:$AC,2,FALSE))="JBL",(VLOOKUP(Table6[[#This Row],[SKU]],'All Skus'!$A:$AC,18,FALSE)),""))</f>
        <v>0</v>
      </c>
      <c r="Q705" s="136">
        <f>(IF((VLOOKUP(Table6[[#This Row],[SKU]],'All Skus'!$A:$AC,2,FALSE))="JBL",(VLOOKUP(Table6[[#This Row],[SKU]],'All Skus'!$A:$AC,19,FALSE)),""))</f>
        <v>0</v>
      </c>
      <c r="R705" s="136">
        <f>(IF((VLOOKUP(Table6[[#This Row],[SKU]],'All Skus'!$A:$AC,2,FALSE))="JBL",(VLOOKUP(Table6[[#This Row],[SKU]],'All Skus'!$A:$AC,20,FALSE)),""))</f>
        <v>0</v>
      </c>
      <c r="S705" s="61">
        <f>(IF((VLOOKUP(Table6[[#This Row],[SKU]],'All Skus'!$A:$AC,2,FALSE))="JBL",(VLOOKUP(Table6[[#This Row],[SKU]],'All Skus'!$A:$AC,21,FALSE)),""))</f>
        <v>0</v>
      </c>
      <c r="T705" s="61" t="str">
        <f>(IF((VLOOKUP(Table6[[#This Row],[SKU]],'All Skus'!$A:$AC,2,FALSE))="JBL",(VLOOKUP(Table6[[#This Row],[SKU]],'All Skus'!$A:$AC,22,FALSE)),""))</f>
        <v>MX</v>
      </c>
      <c r="U705">
        <f>(IF((VLOOKUP(Table6[[#This Row],[SKU]],'All Skus'!$A:$AC,2,FALSE))="JBL",(VLOOKUP(Table6[[#This Row],[SKU]],'All Skus'!$A:$AC,23,FALSE)),""))</f>
        <v>0</v>
      </c>
      <c r="V705" s="284" t="str">
        <f>HYPERLINK((IF((VLOOKUP(Table6[[#This Row],[SKU]],'All Skus'!$A:$AC,2,FALSE))="JBL",(VLOOKUP(Table6[[#This Row],[SKU]],'All Skus'!$A:$AC,24,FALSE)),"")))</f>
        <v/>
      </c>
      <c r="W705" s="151">
        <v>702</v>
      </c>
    </row>
    <row r="706" spans="1:23" ht="15" hidden="1" customHeight="1">
      <c r="A706" s="13" t="s">
        <v>1715</v>
      </c>
      <c r="B706" s="12" t="str">
        <f>(IF((VLOOKUP(Table6[[#This Row],[SKU]],'All Skus'!$A:$AC,2,FALSE))="JBL",(VLOOKUP(Table6[[#This Row],[SKU]],'All Skus'!$A:$AC,3,FALSE)),""))</f>
        <v>VTX SERIES</v>
      </c>
      <c r="C706" s="12" t="str">
        <f>(IF((VLOOKUP(Table6[[#This Row],[SKU]],'All Skus'!$A:$AC,2,FALSE))="JBL",(VLOOKUP(Table6[[#This Row],[SKU]],'All Skus'!$A:$AC,4,FALSE)),""))</f>
        <v xml:space="preserve">VTX B28 ACC </v>
      </c>
      <c r="D706" s="61" t="str">
        <f>(IF((VLOOKUP(Table6[[#This Row],[SKU]],'All Skus'!$A:$AC,2,FALSE))="JBL",(VLOOKUP(Table6[[#This Row],[SKU]],'All Skus'!$A:$AC,5,FALSE)),""))</f>
        <v>JBL046</v>
      </c>
      <c r="E706" s="137" t="str">
        <f>(IF((VLOOKUP(Table6[[#This Row],[SKU]],'All Skus'!$A:$AC,2,FALSE))="JBL",(VLOOKUP(Table6[[#This Row],[SKU]],'All Skus'!$A:$AC,6,FALSE)),""))</f>
        <v>YES</v>
      </c>
      <c r="F706" s="61">
        <f>(IF((VLOOKUP(Table6[[#This Row],[SKU]],'All Skus'!$A:$AC,2,FALSE))="JBL",(VLOOKUP(Table6[[#This Row],[SKU]],'All Skus'!$A:$AC,7,FALSE)),""))</f>
        <v>0</v>
      </c>
      <c r="G706" t="str">
        <f>(IF((VLOOKUP(Table6[[#This Row],[SKU]],'All Skus'!$A:$AC,2,FALSE))="JBL",(VLOOKUP(Table6[[#This Row],[SKU]],'All Skus'!$A:$AC,8,FALSE)),""))</f>
        <v xml:space="preserve">VTX B28 ACC </v>
      </c>
      <c r="H706" s="8" t="str">
        <f>(IF((VLOOKUP(Table6[[#This Row],[SKU]],'All Skus'!$A:$AC,2,FALSE))="JBL",(VLOOKUP(Table6[[#This Row],[SKU]],'All Skus'!$A:$AC,9,FALSE)),""))</f>
        <v>VTX B28 ACC Accessory Cover &amp; Casterboard for a single VTX B28 (includes both)</v>
      </c>
      <c r="I706" s="101" t="str">
        <f>(IF((VLOOKUP(Table6[[#This Row],[SKU]],'All Skus'!$A:$AC,2,FALSE))="JBL",(VLOOKUP(Table6[[#This Row],[SKU]],'All Skus'!$A:$AC,10,FALSE)),""))</f>
        <v>“Price On Application (POA) Contact your Representative"</v>
      </c>
      <c r="J706" s="101" t="str">
        <f>(IF((VLOOKUP(Table6[[#This Row],[SKU]],'All Skus'!$A:$AC,2,FALSE))="JBL",(VLOOKUP(Table6[[#This Row],[SKU]],'All Skus'!$A:$AC,11,FALSE)),""))</f>
        <v>“Price On Application (POA) Contact your Representative"</v>
      </c>
      <c r="K706" s="102">
        <f>(IF((VLOOKUP(Table6[[#This Row],[SKU]],'All Skus'!$A:$AC,2,FALSE))="JBL",(VLOOKUP(Table6[[#This Row],[SKU]],'All Skus'!$A:$AC,13,FALSE)),""))</f>
        <v>0</v>
      </c>
      <c r="L706" s="102">
        <f>(IF((VLOOKUP(Table6[[#This Row],[SKU]],'All Skus'!$A:$AC,2,FALSE))="JBL",(VLOOKUP(Table6[[#This Row],[SKU]],'All Skus'!$A:$AC,14,FALSE)),""))</f>
        <v>0</v>
      </c>
      <c r="M706" s="143">
        <f>(IF((VLOOKUP(Table6[[#This Row],[SKU]],'All Skus'!$A:$AC,2,FALSE))="JBL",(VLOOKUP(Table6[[#This Row],[SKU]],'All Skus'!$A:$AC,15,FALSE)),""))</f>
        <v>0</v>
      </c>
      <c r="N706" s="137">
        <f>(IF((VLOOKUP(Table6[[#This Row],[SKU]],'All Skus'!$A:$AC,2,FALSE))="JBL",(VLOOKUP(Table6[[#This Row],[SKU]],'All Skus'!$A:$AC,16,FALSE)),""))</f>
        <v>691991034268</v>
      </c>
      <c r="O706" s="61">
        <f>(IF((VLOOKUP(Table6[[#This Row],[SKU]],'All Skus'!$A:$AC,2,FALSE))="JBL",(VLOOKUP(Table6[[#This Row],[SKU]],'All Skus'!$A:$AC,17,FALSE)),""))</f>
        <v>0</v>
      </c>
      <c r="P706" s="136">
        <f>(IF((VLOOKUP(Table6[[#This Row],[SKU]],'All Skus'!$A:$AC,2,FALSE))="JBL",(VLOOKUP(Table6[[#This Row],[SKU]],'All Skus'!$A:$AC,18,FALSE)),""))</f>
        <v>0</v>
      </c>
      <c r="Q706" s="136">
        <f>(IF((VLOOKUP(Table6[[#This Row],[SKU]],'All Skus'!$A:$AC,2,FALSE))="JBL",(VLOOKUP(Table6[[#This Row],[SKU]],'All Skus'!$A:$AC,19,FALSE)),""))</f>
        <v>0</v>
      </c>
      <c r="R706" s="136">
        <f>(IF((VLOOKUP(Table6[[#This Row],[SKU]],'All Skus'!$A:$AC,2,FALSE))="JBL",(VLOOKUP(Table6[[#This Row],[SKU]],'All Skus'!$A:$AC,20,FALSE)),""))</f>
        <v>0</v>
      </c>
      <c r="S706" s="61">
        <f>(IF((VLOOKUP(Table6[[#This Row],[SKU]],'All Skus'!$A:$AC,2,FALSE))="JBL",(VLOOKUP(Table6[[#This Row],[SKU]],'All Skus'!$A:$AC,21,FALSE)),""))</f>
        <v>0</v>
      </c>
      <c r="T706" s="61" t="str">
        <f>(IF((VLOOKUP(Table6[[#This Row],[SKU]],'All Skus'!$A:$AC,2,FALSE))="JBL",(VLOOKUP(Table6[[#This Row],[SKU]],'All Skus'!$A:$AC,22,FALSE)),""))</f>
        <v>MX</v>
      </c>
      <c r="U706">
        <f>(IF((VLOOKUP(Table6[[#This Row],[SKU]],'All Skus'!$A:$AC,2,FALSE))="JBL",(VLOOKUP(Table6[[#This Row],[SKU]],'All Skus'!$A:$AC,23,FALSE)),""))</f>
        <v>0</v>
      </c>
      <c r="V706" s="284" t="str">
        <f>HYPERLINK((IF((VLOOKUP(Table6[[#This Row],[SKU]],'All Skus'!$A:$AC,2,FALSE))="JBL",(VLOOKUP(Table6[[#This Row],[SKU]],'All Skus'!$A:$AC,24,FALSE)),"")))</f>
        <v/>
      </c>
      <c r="W706" s="151">
        <v>703</v>
      </c>
    </row>
    <row r="707" spans="1:23" ht="15" hidden="1" customHeight="1">
      <c r="A707" s="13" t="s">
        <v>1716</v>
      </c>
      <c r="B707" s="12" t="str">
        <f>(IF((VLOOKUP(Table6[[#This Row],[SKU]],'All Skus'!$A:$AC,2,FALSE))="JBL",(VLOOKUP(Table6[[#This Row],[SKU]],'All Skus'!$A:$AC,3,FALSE)),""))</f>
        <v>VTX SERIES</v>
      </c>
      <c r="C707" s="12" t="str">
        <f>(IF((VLOOKUP(Table6[[#This Row],[SKU]],'All Skus'!$A:$AC,2,FALSE))="JBL",(VLOOKUP(Table6[[#This Row],[SKU]],'All Skus'!$A:$AC,4,FALSE)),""))</f>
        <v xml:space="preserve">VTX B28 VT </v>
      </c>
      <c r="D707" s="61" t="str">
        <f>(IF((VLOOKUP(Table6[[#This Row],[SKU]],'All Skus'!$A:$AC,2,FALSE))="JBL",(VLOOKUP(Table6[[#This Row],[SKU]],'All Skus'!$A:$AC,5,FALSE)),""))</f>
        <v>JBL046</v>
      </c>
      <c r="E707" s="137" t="str">
        <f>(IF((VLOOKUP(Table6[[#This Row],[SKU]],'All Skus'!$A:$AC,2,FALSE))="JBL",(VLOOKUP(Table6[[#This Row],[SKU]],'All Skus'!$A:$AC,6,FALSE)),""))</f>
        <v>YES</v>
      </c>
      <c r="F707" s="61">
        <f>(IF((VLOOKUP(Table6[[#This Row],[SKU]],'All Skus'!$A:$AC,2,FALSE))="JBL",(VLOOKUP(Table6[[#This Row],[SKU]],'All Skus'!$A:$AC,7,FALSE)),""))</f>
        <v>0</v>
      </c>
      <c r="G707" t="str">
        <f>(IF((VLOOKUP(Table6[[#This Row],[SKU]],'All Skus'!$A:$AC,2,FALSE))="JBL",(VLOOKUP(Table6[[#This Row],[SKU]],'All Skus'!$A:$AC,8,FALSE)),""))</f>
        <v xml:space="preserve">VTX B28 VT </v>
      </c>
      <c r="H707" s="8" t="str">
        <f>(IF((VLOOKUP(Table6[[#This Row],[SKU]],'All Skus'!$A:$AC,2,FALSE))="JBL",(VLOOKUP(Table6[[#This Row],[SKU]],'All Skus'!$A:$AC,9,FALSE)),""))</f>
        <v xml:space="preserve">VTX B28 VT Vertical Transportation cart for up to 4x VTX B28 </v>
      </c>
      <c r="I707" s="101" t="str">
        <f>(IF((VLOOKUP(Table6[[#This Row],[SKU]],'All Skus'!$A:$AC,2,FALSE))="JBL",(VLOOKUP(Table6[[#This Row],[SKU]],'All Skus'!$A:$AC,10,FALSE)),""))</f>
        <v>“Price On Application (POA) Contact your Representative"</v>
      </c>
      <c r="J707" s="101" t="str">
        <f>(IF((VLOOKUP(Table6[[#This Row],[SKU]],'All Skus'!$A:$AC,2,FALSE))="JBL",(VLOOKUP(Table6[[#This Row],[SKU]],'All Skus'!$A:$AC,11,FALSE)),""))</f>
        <v>“Price On Application (POA) Contact your Representative"</v>
      </c>
      <c r="K707" s="102">
        <f>(IF((VLOOKUP(Table6[[#This Row],[SKU]],'All Skus'!$A:$AC,2,FALSE))="JBL",(VLOOKUP(Table6[[#This Row],[SKU]],'All Skus'!$A:$AC,13,FALSE)),""))</f>
        <v>0</v>
      </c>
      <c r="L707" s="102">
        <f>(IF((VLOOKUP(Table6[[#This Row],[SKU]],'All Skus'!$A:$AC,2,FALSE))="JBL",(VLOOKUP(Table6[[#This Row],[SKU]],'All Skus'!$A:$AC,14,FALSE)),""))</f>
        <v>0</v>
      </c>
      <c r="M707" s="143">
        <f>(IF((VLOOKUP(Table6[[#This Row],[SKU]],'All Skus'!$A:$AC,2,FALSE))="JBL",(VLOOKUP(Table6[[#This Row],[SKU]],'All Skus'!$A:$AC,15,FALSE)),""))</f>
        <v>0</v>
      </c>
      <c r="N707" s="137">
        <f>(IF((VLOOKUP(Table6[[#This Row],[SKU]],'All Skus'!$A:$AC,2,FALSE))="JBL",(VLOOKUP(Table6[[#This Row],[SKU]],'All Skus'!$A:$AC,16,FALSE)),""))</f>
        <v>691991034282</v>
      </c>
      <c r="O707" s="61">
        <f>(IF((VLOOKUP(Table6[[#This Row],[SKU]],'All Skus'!$A:$AC,2,FALSE))="JBL",(VLOOKUP(Table6[[#This Row],[SKU]],'All Skus'!$A:$AC,17,FALSE)),""))</f>
        <v>0</v>
      </c>
      <c r="P707" s="136">
        <f>(IF((VLOOKUP(Table6[[#This Row],[SKU]],'All Skus'!$A:$AC,2,FALSE))="JBL",(VLOOKUP(Table6[[#This Row],[SKU]],'All Skus'!$A:$AC,18,FALSE)),""))</f>
        <v>0</v>
      </c>
      <c r="Q707" s="136">
        <f>(IF((VLOOKUP(Table6[[#This Row],[SKU]],'All Skus'!$A:$AC,2,FALSE))="JBL",(VLOOKUP(Table6[[#This Row],[SKU]],'All Skus'!$A:$AC,19,FALSE)),""))</f>
        <v>0</v>
      </c>
      <c r="R707" s="136">
        <f>(IF((VLOOKUP(Table6[[#This Row],[SKU]],'All Skus'!$A:$AC,2,FALSE))="JBL",(VLOOKUP(Table6[[#This Row],[SKU]],'All Skus'!$A:$AC,20,FALSE)),""))</f>
        <v>0</v>
      </c>
      <c r="S707" s="61">
        <f>(IF((VLOOKUP(Table6[[#This Row],[SKU]],'All Skus'!$A:$AC,2,FALSE))="JBL",(VLOOKUP(Table6[[#This Row],[SKU]],'All Skus'!$A:$AC,21,FALSE)),""))</f>
        <v>0</v>
      </c>
      <c r="T707" s="61" t="str">
        <f>(IF((VLOOKUP(Table6[[#This Row],[SKU]],'All Skus'!$A:$AC,2,FALSE))="JBL",(VLOOKUP(Table6[[#This Row],[SKU]],'All Skus'!$A:$AC,22,FALSE)),""))</f>
        <v>MX</v>
      </c>
      <c r="U707">
        <f>(IF((VLOOKUP(Table6[[#This Row],[SKU]],'All Skus'!$A:$AC,2,FALSE))="JBL",(VLOOKUP(Table6[[#This Row],[SKU]],'All Skus'!$A:$AC,23,FALSE)),""))</f>
        <v>0</v>
      </c>
      <c r="V707" s="284" t="str">
        <f>HYPERLINK((IF((VLOOKUP(Table6[[#This Row],[SKU]],'All Skus'!$A:$AC,2,FALSE))="JBL",(VLOOKUP(Table6[[#This Row],[SKU]],'All Skus'!$A:$AC,24,FALSE)),"")))</f>
        <v/>
      </c>
      <c r="W707" s="151">
        <v>704</v>
      </c>
    </row>
    <row r="708" spans="1:23" ht="15" hidden="1" customHeight="1">
      <c r="A708" s="13" t="s">
        <v>1717</v>
      </c>
      <c r="B708" s="12" t="str">
        <f>(IF((VLOOKUP(Table6[[#This Row],[SKU]],'All Skus'!$A:$AC,2,FALSE))="JBL",(VLOOKUP(Table6[[#This Row],[SKU]],'All Skus'!$A:$AC,3,FALSE)),""))</f>
        <v>VTX SERIES</v>
      </c>
      <c r="C708" s="12" t="str">
        <f>(IF((VLOOKUP(Table6[[#This Row],[SKU]],'All Skus'!$A:$AC,2,FALSE))="JBL",(VLOOKUP(Table6[[#This Row],[SKU]],'All Skus'!$A:$AC,4,FALSE)),""))</f>
        <v>VTX B28 VT CVR</v>
      </c>
      <c r="D708" s="61" t="str">
        <f>(IF((VLOOKUP(Table6[[#This Row],[SKU]],'All Skus'!$A:$AC,2,FALSE))="JBL",(VLOOKUP(Table6[[#This Row],[SKU]],'All Skus'!$A:$AC,5,FALSE)),""))</f>
        <v>JBL046</v>
      </c>
      <c r="E708" s="137" t="str">
        <f>(IF((VLOOKUP(Table6[[#This Row],[SKU]],'All Skus'!$A:$AC,2,FALSE))="JBL",(VLOOKUP(Table6[[#This Row],[SKU]],'All Skus'!$A:$AC,6,FALSE)),""))</f>
        <v>YES</v>
      </c>
      <c r="F708" s="61">
        <f>(IF((VLOOKUP(Table6[[#This Row],[SKU]],'All Skus'!$A:$AC,2,FALSE))="JBL",(VLOOKUP(Table6[[#This Row],[SKU]],'All Skus'!$A:$AC,7,FALSE)),""))</f>
        <v>0</v>
      </c>
      <c r="G708" t="str">
        <f>(IF((VLOOKUP(Table6[[#This Row],[SKU]],'All Skus'!$A:$AC,2,FALSE))="JBL",(VLOOKUP(Table6[[#This Row],[SKU]],'All Skus'!$A:$AC,8,FALSE)),""))</f>
        <v>VTX B28 VT CVR</v>
      </c>
      <c r="H708" s="8" t="str">
        <f>(IF((VLOOKUP(Table6[[#This Row],[SKU]],'All Skus'!$A:$AC,2,FALSE))="JBL",(VLOOKUP(Table6[[#This Row],[SKU]],'All Skus'!$A:$AC,9,FALSE)),""))</f>
        <v xml:space="preserve">VTX B28 VT CVR Soft cover for 3 or 4 VTX B28 subwoofers </v>
      </c>
      <c r="I708" s="101" t="str">
        <f>(IF((VLOOKUP(Table6[[#This Row],[SKU]],'All Skus'!$A:$AC,2,FALSE))="JBL",(VLOOKUP(Table6[[#This Row],[SKU]],'All Skus'!$A:$AC,10,FALSE)),""))</f>
        <v>“Price On Application (POA) Contact your Representative"</v>
      </c>
      <c r="J708" s="101" t="str">
        <f>(IF((VLOOKUP(Table6[[#This Row],[SKU]],'All Skus'!$A:$AC,2,FALSE))="JBL",(VLOOKUP(Table6[[#This Row],[SKU]],'All Skus'!$A:$AC,11,FALSE)),""))</f>
        <v>“Price On Application (POA) Contact your Representative"</v>
      </c>
      <c r="K708" s="102">
        <f>(IF((VLOOKUP(Table6[[#This Row],[SKU]],'All Skus'!$A:$AC,2,FALSE))="JBL",(VLOOKUP(Table6[[#This Row],[SKU]],'All Skus'!$A:$AC,13,FALSE)),""))</f>
        <v>0</v>
      </c>
      <c r="L708" s="102">
        <f>(IF((VLOOKUP(Table6[[#This Row],[SKU]],'All Skus'!$A:$AC,2,FALSE))="JBL",(VLOOKUP(Table6[[#This Row],[SKU]],'All Skus'!$A:$AC,14,FALSE)),""))</f>
        <v>0</v>
      </c>
      <c r="M708" s="143">
        <f>(IF((VLOOKUP(Table6[[#This Row],[SKU]],'All Skus'!$A:$AC,2,FALSE))="JBL",(VLOOKUP(Table6[[#This Row],[SKU]],'All Skus'!$A:$AC,15,FALSE)),""))</f>
        <v>0</v>
      </c>
      <c r="N708" s="137">
        <f>(IF((VLOOKUP(Table6[[#This Row],[SKU]],'All Skus'!$A:$AC,2,FALSE))="JBL",(VLOOKUP(Table6[[#This Row],[SKU]],'All Skus'!$A:$AC,16,FALSE)),""))</f>
        <v>691991034305</v>
      </c>
      <c r="O708" s="61">
        <f>(IF((VLOOKUP(Table6[[#This Row],[SKU]],'All Skus'!$A:$AC,2,FALSE))="JBL",(VLOOKUP(Table6[[#This Row],[SKU]],'All Skus'!$A:$AC,17,FALSE)),""))</f>
        <v>0</v>
      </c>
      <c r="P708" s="136">
        <f>(IF((VLOOKUP(Table6[[#This Row],[SKU]],'All Skus'!$A:$AC,2,FALSE))="JBL",(VLOOKUP(Table6[[#This Row],[SKU]],'All Skus'!$A:$AC,18,FALSE)),""))</f>
        <v>0</v>
      </c>
      <c r="Q708" s="136">
        <f>(IF((VLOOKUP(Table6[[#This Row],[SKU]],'All Skus'!$A:$AC,2,FALSE))="JBL",(VLOOKUP(Table6[[#This Row],[SKU]],'All Skus'!$A:$AC,19,FALSE)),""))</f>
        <v>0</v>
      </c>
      <c r="R708" s="136">
        <f>(IF((VLOOKUP(Table6[[#This Row],[SKU]],'All Skus'!$A:$AC,2,FALSE))="JBL",(VLOOKUP(Table6[[#This Row],[SKU]],'All Skus'!$A:$AC,20,FALSE)),""))</f>
        <v>0</v>
      </c>
      <c r="S708" s="61">
        <f>(IF((VLOOKUP(Table6[[#This Row],[SKU]],'All Skus'!$A:$AC,2,FALSE))="JBL",(VLOOKUP(Table6[[#This Row],[SKU]],'All Skus'!$A:$AC,21,FALSE)),""))</f>
        <v>0</v>
      </c>
      <c r="T708" s="61" t="str">
        <f>(IF((VLOOKUP(Table6[[#This Row],[SKU]],'All Skus'!$A:$AC,2,FALSE))="JBL",(VLOOKUP(Table6[[#This Row],[SKU]],'All Skus'!$A:$AC,22,FALSE)),""))</f>
        <v>CN</v>
      </c>
      <c r="U708">
        <f>(IF((VLOOKUP(Table6[[#This Row],[SKU]],'All Skus'!$A:$AC,2,FALSE))="JBL",(VLOOKUP(Table6[[#This Row],[SKU]],'All Skus'!$A:$AC,23,FALSE)),""))</f>
        <v>0</v>
      </c>
      <c r="V708" s="284" t="str">
        <f>HYPERLINK((IF((VLOOKUP(Table6[[#This Row],[SKU]],'All Skus'!$A:$AC,2,FALSE))="JBL",(VLOOKUP(Table6[[#This Row],[SKU]],'All Skus'!$A:$AC,24,FALSE)),"")))</f>
        <v/>
      </c>
      <c r="W708" s="151">
        <v>705</v>
      </c>
    </row>
    <row r="709" spans="1:23" ht="15" hidden="1" customHeight="1">
      <c r="A709" s="13" t="s">
        <v>1718</v>
      </c>
      <c r="B709" s="12" t="str">
        <f>(IF((VLOOKUP(Table6[[#This Row],[SKU]],'All Skus'!$A:$AC,2,FALSE))="JBL",(VLOOKUP(Table6[[#This Row],[SKU]],'All Skus'!$A:$AC,3,FALSE)),""))</f>
        <v>VTX SERIES</v>
      </c>
      <c r="C709" s="12" t="str">
        <f>(IF((VLOOKUP(Table6[[#This Row],[SKU]],'All Skus'!$A:$AC,2,FALSE))="JBL",(VLOOKUP(Table6[[#This Row],[SKU]],'All Skus'!$A:$AC,4,FALSE)),""))</f>
        <v>VTX B28 GND</v>
      </c>
      <c r="D709" s="61" t="str">
        <f>(IF((VLOOKUP(Table6[[#This Row],[SKU]],'All Skus'!$A:$AC,2,FALSE))="JBL",(VLOOKUP(Table6[[#This Row],[SKU]],'All Skus'!$A:$AC,5,FALSE)),""))</f>
        <v>JBL046</v>
      </c>
      <c r="E709" s="137" t="str">
        <f>(IF((VLOOKUP(Table6[[#This Row],[SKU]],'All Skus'!$A:$AC,2,FALSE))="JBL",(VLOOKUP(Table6[[#This Row],[SKU]],'All Skus'!$A:$AC,6,FALSE)),""))</f>
        <v>YES</v>
      </c>
      <c r="F709" s="61">
        <f>(IF((VLOOKUP(Table6[[#This Row],[SKU]],'All Skus'!$A:$AC,2,FALSE))="JBL",(VLOOKUP(Table6[[#This Row],[SKU]],'All Skus'!$A:$AC,7,FALSE)),""))</f>
        <v>0</v>
      </c>
      <c r="G709" t="str">
        <f>(IF((VLOOKUP(Table6[[#This Row],[SKU]],'All Skus'!$A:$AC,2,FALSE))="JBL",(VLOOKUP(Table6[[#This Row],[SKU]],'All Skus'!$A:$AC,8,FALSE)),""))</f>
        <v>VTX B28 GND</v>
      </c>
      <c r="H709" s="8" t="str">
        <f>(IF((VLOOKUP(Table6[[#This Row],[SKU]],'All Skus'!$A:$AC,2,FALSE))="JBL",(VLOOKUP(Table6[[#This Row],[SKU]],'All Skus'!$A:$AC,9,FALSE)),""))</f>
        <v>VTX B28 GND</v>
      </c>
      <c r="I709" s="101" t="str">
        <f>(IF((VLOOKUP(Table6[[#This Row],[SKU]],'All Skus'!$A:$AC,2,FALSE))="JBL",(VLOOKUP(Table6[[#This Row],[SKU]],'All Skus'!$A:$AC,10,FALSE)),""))</f>
        <v>“Price On Application (POA) Contact your Representative"</v>
      </c>
      <c r="J709" s="101" t="str">
        <f>(IF((VLOOKUP(Table6[[#This Row],[SKU]],'All Skus'!$A:$AC,2,FALSE))="JBL",(VLOOKUP(Table6[[#This Row],[SKU]],'All Skus'!$A:$AC,11,FALSE)),""))</f>
        <v>“Price On Application (POA) Contact your Representative"</v>
      </c>
      <c r="K709" s="102">
        <f>(IF((VLOOKUP(Table6[[#This Row],[SKU]],'All Skus'!$A:$AC,2,FALSE))="JBL",(VLOOKUP(Table6[[#This Row],[SKU]],'All Skus'!$A:$AC,13,FALSE)),""))</f>
        <v>0</v>
      </c>
      <c r="L709" s="102">
        <f>(IF((VLOOKUP(Table6[[#This Row],[SKU]],'All Skus'!$A:$AC,2,FALSE))="JBL",(VLOOKUP(Table6[[#This Row],[SKU]],'All Skus'!$A:$AC,14,FALSE)),""))</f>
        <v>0</v>
      </c>
      <c r="M709" s="143">
        <f>(IF((VLOOKUP(Table6[[#This Row],[SKU]],'All Skus'!$A:$AC,2,FALSE))="JBL",(VLOOKUP(Table6[[#This Row],[SKU]],'All Skus'!$A:$AC,15,FALSE)),""))</f>
        <v>0</v>
      </c>
      <c r="N709" s="137">
        <f>(IF((VLOOKUP(Table6[[#This Row],[SKU]],'All Skus'!$A:$AC,2,FALSE))="JBL",(VLOOKUP(Table6[[#This Row],[SKU]],'All Skus'!$A:$AC,16,FALSE)),""))</f>
        <v>691991034442</v>
      </c>
      <c r="O709" s="61">
        <f>(IF((VLOOKUP(Table6[[#This Row],[SKU]],'All Skus'!$A:$AC,2,FALSE))="JBL",(VLOOKUP(Table6[[#This Row],[SKU]],'All Skus'!$A:$AC,17,FALSE)),""))</f>
        <v>0</v>
      </c>
      <c r="P709" s="136">
        <f>(IF((VLOOKUP(Table6[[#This Row],[SKU]],'All Skus'!$A:$AC,2,FALSE))="JBL",(VLOOKUP(Table6[[#This Row],[SKU]],'All Skus'!$A:$AC,18,FALSE)),""))</f>
        <v>0</v>
      </c>
      <c r="Q709" s="136">
        <f>(IF((VLOOKUP(Table6[[#This Row],[SKU]],'All Skus'!$A:$AC,2,FALSE))="JBL",(VLOOKUP(Table6[[#This Row],[SKU]],'All Skus'!$A:$AC,19,FALSE)),""))</f>
        <v>0</v>
      </c>
      <c r="R709" s="136">
        <f>(IF((VLOOKUP(Table6[[#This Row],[SKU]],'All Skus'!$A:$AC,2,FALSE))="JBL",(VLOOKUP(Table6[[#This Row],[SKU]],'All Skus'!$A:$AC,20,FALSE)),""))</f>
        <v>0</v>
      </c>
      <c r="S709" s="61">
        <f>(IF((VLOOKUP(Table6[[#This Row],[SKU]],'All Skus'!$A:$AC,2,FALSE))="JBL",(VLOOKUP(Table6[[#This Row],[SKU]],'All Skus'!$A:$AC,21,FALSE)),""))</f>
        <v>0</v>
      </c>
      <c r="T709" s="61" t="str">
        <f>(IF((VLOOKUP(Table6[[#This Row],[SKU]],'All Skus'!$A:$AC,2,FALSE))="JBL",(VLOOKUP(Table6[[#This Row],[SKU]],'All Skus'!$A:$AC,22,FALSE)),""))</f>
        <v>MX</v>
      </c>
      <c r="U709">
        <f>(IF((VLOOKUP(Table6[[#This Row],[SKU]],'All Skus'!$A:$AC,2,FALSE))="JBL",(VLOOKUP(Table6[[#This Row],[SKU]],'All Skus'!$A:$AC,23,FALSE)),""))</f>
        <v>0</v>
      </c>
      <c r="V709" s="284" t="str">
        <f>HYPERLINK((IF((VLOOKUP(Table6[[#This Row],[SKU]],'All Skus'!$A:$AC,2,FALSE))="JBL",(VLOOKUP(Table6[[#This Row],[SKU]],'All Skus'!$A:$AC,24,FALSE)),"")))</f>
        <v/>
      </c>
      <c r="W709" s="151">
        <v>706</v>
      </c>
    </row>
    <row r="710" spans="1:23" ht="15" hidden="1" customHeight="1">
      <c r="A710" s="13" t="s">
        <v>1719</v>
      </c>
      <c r="B710" s="12" t="str">
        <f>(IF((VLOOKUP(Table6[[#This Row],[SKU]],'All Skus'!$A:$AC,2,FALSE))="JBL",(VLOOKUP(Table6[[#This Row],[SKU]],'All Skus'!$A:$AC,3,FALSE)),""))</f>
        <v>VTX SERIES</v>
      </c>
      <c r="C710" s="12" t="str">
        <f>(IF((VLOOKUP(Table6[[#This Row],[SKU]],'All Skus'!$A:$AC,2,FALSE))="JBL",(VLOOKUP(Table6[[#This Row],[SKU]],'All Skus'!$A:$AC,4,FALSE)),""))</f>
        <v xml:space="preserve">VTX A12 BP </v>
      </c>
      <c r="D710" s="61" t="str">
        <f>(IF((VLOOKUP(Table6[[#This Row],[SKU]],'All Skus'!$A:$AC,2,FALSE))="JBL",(VLOOKUP(Table6[[#This Row],[SKU]],'All Skus'!$A:$AC,5,FALSE)),""))</f>
        <v>JBL046</v>
      </c>
      <c r="E710" s="137" t="str">
        <f>(IF((VLOOKUP(Table6[[#This Row],[SKU]],'All Skus'!$A:$AC,2,FALSE))="JBL",(VLOOKUP(Table6[[#This Row],[SKU]],'All Skus'!$A:$AC,6,FALSE)),""))</f>
        <v>YES</v>
      </c>
      <c r="F710" s="61">
        <f>(IF((VLOOKUP(Table6[[#This Row],[SKU]],'All Skus'!$A:$AC,2,FALSE))="JBL",(VLOOKUP(Table6[[#This Row],[SKU]],'All Skus'!$A:$AC,7,FALSE)),""))</f>
        <v>0</v>
      </c>
      <c r="G710" t="str">
        <f>(IF((VLOOKUP(Table6[[#This Row],[SKU]],'All Skus'!$A:$AC,2,FALSE))="JBL",(VLOOKUP(Table6[[#This Row],[SKU]],'All Skus'!$A:$AC,8,FALSE)),""))</f>
        <v xml:space="preserve">VTX A12 BP </v>
      </c>
      <c r="H710" s="8" t="str">
        <f>(IF((VLOOKUP(Table6[[#This Row],[SKU]],'All Skus'!$A:$AC,2,FALSE))="JBL",(VLOOKUP(Table6[[#This Row],[SKU]],'All Skus'!$A:$AC,9,FALSE)),""))</f>
        <v>Base Plate for ground stacking VTX A12 on top of VTX B28</v>
      </c>
      <c r="I710" s="101" t="str">
        <f>(IF((VLOOKUP(Table6[[#This Row],[SKU]],'All Skus'!$A:$AC,2,FALSE))="JBL",(VLOOKUP(Table6[[#This Row],[SKU]],'All Skus'!$A:$AC,10,FALSE)),""))</f>
        <v>“Price On Application (POA) Contact your Representative"</v>
      </c>
      <c r="J710" s="101" t="str">
        <f>(IF((VLOOKUP(Table6[[#This Row],[SKU]],'All Skus'!$A:$AC,2,FALSE))="JBL",(VLOOKUP(Table6[[#This Row],[SKU]],'All Skus'!$A:$AC,11,FALSE)),""))</f>
        <v>“Price On Application (POA) Contact your Representative"</v>
      </c>
      <c r="K710" s="102">
        <f>(IF((VLOOKUP(Table6[[#This Row],[SKU]],'All Skus'!$A:$AC,2,FALSE))="JBL",(VLOOKUP(Table6[[#This Row],[SKU]],'All Skus'!$A:$AC,13,FALSE)),""))</f>
        <v>0</v>
      </c>
      <c r="L710" s="102">
        <f>(IF((VLOOKUP(Table6[[#This Row],[SKU]],'All Skus'!$A:$AC,2,FALSE))="JBL",(VLOOKUP(Table6[[#This Row],[SKU]],'All Skus'!$A:$AC,14,FALSE)),""))</f>
        <v>0</v>
      </c>
      <c r="M710" s="143">
        <f>(IF((VLOOKUP(Table6[[#This Row],[SKU]],'All Skus'!$A:$AC,2,FALSE))="JBL",(VLOOKUP(Table6[[#This Row],[SKU]],'All Skus'!$A:$AC,15,FALSE)),""))</f>
        <v>0</v>
      </c>
      <c r="N710" s="137">
        <f>(IF((VLOOKUP(Table6[[#This Row],[SKU]],'All Skus'!$A:$AC,2,FALSE))="JBL",(VLOOKUP(Table6[[#This Row],[SKU]],'All Skus'!$A:$AC,16,FALSE)),""))</f>
        <v>691991034251</v>
      </c>
      <c r="O710" s="61">
        <f>(IF((VLOOKUP(Table6[[#This Row],[SKU]],'All Skus'!$A:$AC,2,FALSE))="JBL",(VLOOKUP(Table6[[#This Row],[SKU]],'All Skus'!$A:$AC,17,FALSE)),""))</f>
        <v>0</v>
      </c>
      <c r="P710" s="136">
        <f>(IF((VLOOKUP(Table6[[#This Row],[SKU]],'All Skus'!$A:$AC,2,FALSE))="JBL",(VLOOKUP(Table6[[#This Row],[SKU]],'All Skus'!$A:$AC,18,FALSE)),""))</f>
        <v>0</v>
      </c>
      <c r="Q710" s="136">
        <f>(IF((VLOOKUP(Table6[[#This Row],[SKU]],'All Skus'!$A:$AC,2,FALSE))="JBL",(VLOOKUP(Table6[[#This Row],[SKU]],'All Skus'!$A:$AC,19,FALSE)),""))</f>
        <v>0</v>
      </c>
      <c r="R710" s="136">
        <f>(IF((VLOOKUP(Table6[[#This Row],[SKU]],'All Skus'!$A:$AC,2,FALSE))="JBL",(VLOOKUP(Table6[[#This Row],[SKU]],'All Skus'!$A:$AC,20,FALSE)),""))</f>
        <v>0</v>
      </c>
      <c r="S710" s="61">
        <f>(IF((VLOOKUP(Table6[[#This Row],[SKU]],'All Skus'!$A:$AC,2,FALSE))="JBL",(VLOOKUP(Table6[[#This Row],[SKU]],'All Skus'!$A:$AC,21,FALSE)),""))</f>
        <v>0</v>
      </c>
      <c r="T710" s="61" t="str">
        <f>(IF((VLOOKUP(Table6[[#This Row],[SKU]],'All Skus'!$A:$AC,2,FALSE))="JBL",(VLOOKUP(Table6[[#This Row],[SKU]],'All Skus'!$A:$AC,22,FALSE)),""))</f>
        <v>MX</v>
      </c>
      <c r="U710">
        <f>(IF((VLOOKUP(Table6[[#This Row],[SKU]],'All Skus'!$A:$AC,2,FALSE))="JBL",(VLOOKUP(Table6[[#This Row],[SKU]],'All Skus'!$A:$AC,23,FALSE)),""))</f>
        <v>0</v>
      </c>
      <c r="V710" s="284" t="str">
        <f>HYPERLINK((IF((VLOOKUP(Table6[[#This Row],[SKU]],'All Skus'!$A:$AC,2,FALSE))="JBL",(VLOOKUP(Table6[[#This Row],[SKU]],'All Skus'!$A:$AC,24,FALSE)),"")))</f>
        <v/>
      </c>
      <c r="W710" s="151">
        <v>707</v>
      </c>
    </row>
    <row r="711" spans="1:23" ht="15" hidden="1" customHeight="1">
      <c r="A711" s="13" t="s">
        <v>1720</v>
      </c>
      <c r="B711" s="12" t="str">
        <f>(IF((VLOOKUP(Table6[[#This Row],[SKU]],'All Skus'!$A:$AC,2,FALSE))="JBL",(VLOOKUP(Table6[[#This Row],[SKU]],'All Skus'!$A:$AC,3,FALSE)),""))</f>
        <v>VTX SERIES</v>
      </c>
      <c r="C711" s="12" t="str">
        <f>(IF((VLOOKUP(Table6[[#This Row],[SKU]],'All Skus'!$A:$AC,2,FALSE))="JBL",(VLOOKUP(Table6[[#This Row],[SKU]],'All Skus'!$A:$AC,4,FALSE)),""))</f>
        <v>VTX A12 VT GND</v>
      </c>
      <c r="D711" s="61" t="str">
        <f>(IF((VLOOKUP(Table6[[#This Row],[SKU]],'All Skus'!$A:$AC,2,FALSE))="JBL",(VLOOKUP(Table6[[#This Row],[SKU]],'All Skus'!$A:$AC,5,FALSE)),""))</f>
        <v>JBL046</v>
      </c>
      <c r="E711" s="137" t="str">
        <f>(IF((VLOOKUP(Table6[[#This Row],[SKU]],'All Skus'!$A:$AC,2,FALSE))="JBL",(VLOOKUP(Table6[[#This Row],[SKU]],'All Skus'!$A:$AC,6,FALSE)),""))</f>
        <v>YES</v>
      </c>
      <c r="F711" s="61">
        <f>(IF((VLOOKUP(Table6[[#This Row],[SKU]],'All Skus'!$A:$AC,2,FALSE))="JBL",(VLOOKUP(Table6[[#This Row],[SKU]],'All Skus'!$A:$AC,7,FALSE)),""))</f>
        <v>0</v>
      </c>
      <c r="G711" t="str">
        <f>(IF((VLOOKUP(Table6[[#This Row],[SKU]],'All Skus'!$A:$AC,2,FALSE))="JBL",(VLOOKUP(Table6[[#This Row],[SKU]],'All Skus'!$A:$AC,8,FALSE)),""))</f>
        <v>VTX A12 VT GND</v>
      </c>
      <c r="H711" s="8" t="str">
        <f>(IF((VLOOKUP(Table6[[#This Row],[SKU]],'All Skus'!$A:$AC,2,FALSE))="JBL",(VLOOKUP(Table6[[#This Row],[SKU]],'All Skus'!$A:$AC,9,FALSE)),""))</f>
        <v>Outrigger system for ground stacking VTX A12. Also compatible with B28 VT.</v>
      </c>
      <c r="I711" s="101" t="str">
        <f>(IF((VLOOKUP(Table6[[#This Row],[SKU]],'All Skus'!$A:$AC,2,FALSE))="JBL",(VLOOKUP(Table6[[#This Row],[SKU]],'All Skus'!$A:$AC,10,FALSE)),""))</f>
        <v>“Price On Application (POA) Contact your Representative"</v>
      </c>
      <c r="J711" s="101" t="str">
        <f>(IF((VLOOKUP(Table6[[#This Row],[SKU]],'All Skus'!$A:$AC,2,FALSE))="JBL",(VLOOKUP(Table6[[#This Row],[SKU]],'All Skus'!$A:$AC,11,FALSE)),""))</f>
        <v>“Price On Application (POA) Contact your Representative"</v>
      </c>
      <c r="K711" s="102">
        <f>(IF((VLOOKUP(Table6[[#This Row],[SKU]],'All Skus'!$A:$AC,2,FALSE))="JBL",(VLOOKUP(Table6[[#This Row],[SKU]],'All Skus'!$A:$AC,13,FALSE)),""))</f>
        <v>0</v>
      </c>
      <c r="L711" s="102">
        <f>(IF((VLOOKUP(Table6[[#This Row],[SKU]],'All Skus'!$A:$AC,2,FALSE))="JBL",(VLOOKUP(Table6[[#This Row],[SKU]],'All Skus'!$A:$AC,14,FALSE)),""))</f>
        <v>0</v>
      </c>
      <c r="M711" s="143">
        <f>(IF((VLOOKUP(Table6[[#This Row],[SKU]],'All Skus'!$A:$AC,2,FALSE))="JBL",(VLOOKUP(Table6[[#This Row],[SKU]],'All Skus'!$A:$AC,15,FALSE)),""))</f>
        <v>0</v>
      </c>
      <c r="N711" s="137">
        <f>(IF((VLOOKUP(Table6[[#This Row],[SKU]],'All Skus'!$A:$AC,2,FALSE))="JBL",(VLOOKUP(Table6[[#This Row],[SKU]],'All Skus'!$A:$AC,16,FALSE)),""))</f>
        <v>691991007958</v>
      </c>
      <c r="O711" s="61">
        <f>(IF((VLOOKUP(Table6[[#This Row],[SKU]],'All Skus'!$A:$AC,2,FALSE))="JBL",(VLOOKUP(Table6[[#This Row],[SKU]],'All Skus'!$A:$AC,17,FALSE)),""))</f>
        <v>0</v>
      </c>
      <c r="P711" s="136">
        <f>(IF((VLOOKUP(Table6[[#This Row],[SKU]],'All Skus'!$A:$AC,2,FALSE))="JBL",(VLOOKUP(Table6[[#This Row],[SKU]],'All Skus'!$A:$AC,18,FALSE)),""))</f>
        <v>0</v>
      </c>
      <c r="Q711" s="136">
        <f>(IF((VLOOKUP(Table6[[#This Row],[SKU]],'All Skus'!$A:$AC,2,FALSE))="JBL",(VLOOKUP(Table6[[#This Row],[SKU]],'All Skus'!$A:$AC,19,FALSE)),""))</f>
        <v>0</v>
      </c>
      <c r="R711" s="136">
        <f>(IF((VLOOKUP(Table6[[#This Row],[SKU]],'All Skus'!$A:$AC,2,FALSE))="JBL",(VLOOKUP(Table6[[#This Row],[SKU]],'All Skus'!$A:$AC,20,FALSE)),""))</f>
        <v>0</v>
      </c>
      <c r="S711" s="61">
        <f>(IF((VLOOKUP(Table6[[#This Row],[SKU]],'All Skus'!$A:$AC,2,FALSE))="JBL",(VLOOKUP(Table6[[#This Row],[SKU]],'All Skus'!$A:$AC,21,FALSE)),""))</f>
        <v>0</v>
      </c>
      <c r="T711" s="61" t="str">
        <f>(IF((VLOOKUP(Table6[[#This Row],[SKU]],'All Skus'!$A:$AC,2,FALSE))="JBL",(VLOOKUP(Table6[[#This Row],[SKU]],'All Skus'!$A:$AC,22,FALSE)),""))</f>
        <v>MX</v>
      </c>
      <c r="U711">
        <f>(IF((VLOOKUP(Table6[[#This Row],[SKU]],'All Skus'!$A:$AC,2,FALSE))="JBL",(VLOOKUP(Table6[[#This Row],[SKU]],'All Skus'!$A:$AC,23,FALSE)),""))</f>
        <v>0</v>
      </c>
      <c r="V711" s="284" t="str">
        <f>HYPERLINK((IF((VLOOKUP(Table6[[#This Row],[SKU]],'All Skus'!$A:$AC,2,FALSE))="JBL",(VLOOKUP(Table6[[#This Row],[SKU]],'All Skus'!$A:$AC,24,FALSE)),"")))</f>
        <v/>
      </c>
      <c r="W711" s="151">
        <v>708</v>
      </c>
    </row>
    <row r="712" spans="1:23" ht="15" hidden="1" customHeight="1">
      <c r="A712" s="13" t="s">
        <v>1721</v>
      </c>
      <c r="B712" s="12" t="str">
        <f>(IF((VLOOKUP(Table6[[#This Row],[SKU]],'All Skus'!$A:$AC,2,FALSE))="JBL",(VLOOKUP(Table6[[#This Row],[SKU]],'All Skus'!$A:$AC,3,FALSE)),""))</f>
        <v>VTX SERIES</v>
      </c>
      <c r="C712" s="12" t="str">
        <f>(IF((VLOOKUP(Table6[[#This Row],[SKU]],'All Skus'!$A:$AC,2,FALSE))="JBL",(VLOOKUP(Table6[[#This Row],[SKU]],'All Skus'!$A:$AC,4,FALSE)),""))</f>
        <v>VTX-V20 BP</v>
      </c>
      <c r="D712" s="61">
        <f>(IF((VLOOKUP(Table6[[#This Row],[SKU]],'All Skus'!$A:$AC,2,FALSE))="JBL",(VLOOKUP(Table6[[#This Row],[SKU]],'All Skus'!$A:$AC,5,FALSE)),""))</f>
        <v>0</v>
      </c>
      <c r="E712" s="137" t="str">
        <f>(IF((VLOOKUP(Table6[[#This Row],[SKU]],'All Skus'!$A:$AC,2,FALSE))="JBL",(VLOOKUP(Table6[[#This Row],[SKU]],'All Skus'!$A:$AC,6,FALSE)),""))</f>
        <v>YES</v>
      </c>
      <c r="F712" s="61">
        <f>(IF((VLOOKUP(Table6[[#This Row],[SKU]],'All Skus'!$A:$AC,2,FALSE))="JBL",(VLOOKUP(Table6[[#This Row],[SKU]],'All Skus'!$A:$AC,7,FALSE)),""))</f>
        <v>0</v>
      </c>
      <c r="G712" t="str">
        <f>(IF((VLOOKUP(Table6[[#This Row],[SKU]],'All Skus'!$A:$AC,2,FALSE))="JBL",(VLOOKUP(Table6[[#This Row],[SKU]],'All Skus'!$A:$AC,8,FALSE)),""))</f>
        <v>VTX V20 BP</v>
      </c>
      <c r="H712" s="8" t="str">
        <f>(IF((VLOOKUP(Table6[[#This Row],[SKU]],'All Skus'!$A:$AC,2,FALSE))="JBL",(VLOOKUP(Table6[[#This Row],[SKU]],'All Skus'!$A:$AC,9,FALSE)),""))</f>
        <v>Universal Base Plate for VTX V20</v>
      </c>
      <c r="I712" s="101" t="str">
        <f>(IF((VLOOKUP(Table6[[#This Row],[SKU]],'All Skus'!$A:$AC,2,FALSE))="JBL",(VLOOKUP(Table6[[#This Row],[SKU]],'All Skus'!$A:$AC,10,FALSE)),""))</f>
        <v>“Price On Application (POA) Contact your Representative"</v>
      </c>
      <c r="J712" s="101" t="str">
        <f>(IF((VLOOKUP(Table6[[#This Row],[SKU]],'All Skus'!$A:$AC,2,FALSE))="JBL",(VLOOKUP(Table6[[#This Row],[SKU]],'All Skus'!$A:$AC,11,FALSE)),""))</f>
        <v>“Price On Application (POA) Contact your Representative"</v>
      </c>
      <c r="K712" s="102">
        <f>(IF((VLOOKUP(Table6[[#This Row],[SKU]],'All Skus'!$A:$AC,2,FALSE))="JBL",(VLOOKUP(Table6[[#This Row],[SKU]],'All Skus'!$A:$AC,13,FALSE)),""))</f>
        <v>0</v>
      </c>
      <c r="L712" s="102">
        <f>(IF((VLOOKUP(Table6[[#This Row],[SKU]],'All Skus'!$A:$AC,2,FALSE))="JBL",(VLOOKUP(Table6[[#This Row],[SKU]],'All Skus'!$A:$AC,14,FALSE)),""))</f>
        <v>0</v>
      </c>
      <c r="M712" s="143">
        <f>(IF((VLOOKUP(Table6[[#This Row],[SKU]],'All Skus'!$A:$AC,2,FALSE))="JBL",(VLOOKUP(Table6[[#This Row],[SKU]],'All Skus'!$A:$AC,15,FALSE)),""))</f>
        <v>0</v>
      </c>
      <c r="N712" s="137">
        <f>(IF((VLOOKUP(Table6[[#This Row],[SKU]],'All Skus'!$A:$AC,2,FALSE))="JBL",(VLOOKUP(Table6[[#This Row],[SKU]],'All Skus'!$A:$AC,16,FALSE)),""))</f>
        <v>691991034299</v>
      </c>
      <c r="O712" s="61">
        <f>(IF((VLOOKUP(Table6[[#This Row],[SKU]],'All Skus'!$A:$AC,2,FALSE))="JBL",(VLOOKUP(Table6[[#This Row],[SKU]],'All Skus'!$A:$AC,17,FALSE)),""))</f>
        <v>0</v>
      </c>
      <c r="P712" s="136">
        <f>(IF((VLOOKUP(Table6[[#This Row],[SKU]],'All Skus'!$A:$AC,2,FALSE))="JBL",(VLOOKUP(Table6[[#This Row],[SKU]],'All Skus'!$A:$AC,18,FALSE)),""))</f>
        <v>0</v>
      </c>
      <c r="Q712" s="136">
        <f>(IF((VLOOKUP(Table6[[#This Row],[SKU]],'All Skus'!$A:$AC,2,FALSE))="JBL",(VLOOKUP(Table6[[#This Row],[SKU]],'All Skus'!$A:$AC,19,FALSE)),""))</f>
        <v>0</v>
      </c>
      <c r="R712" s="136">
        <f>(IF((VLOOKUP(Table6[[#This Row],[SKU]],'All Skus'!$A:$AC,2,FALSE))="JBL",(VLOOKUP(Table6[[#This Row],[SKU]],'All Skus'!$A:$AC,20,FALSE)),""))</f>
        <v>0</v>
      </c>
      <c r="S712" s="61">
        <f>(IF((VLOOKUP(Table6[[#This Row],[SKU]],'All Skus'!$A:$AC,2,FALSE))="JBL",(VLOOKUP(Table6[[#This Row],[SKU]],'All Skus'!$A:$AC,21,FALSE)),""))</f>
        <v>0</v>
      </c>
      <c r="T712" s="61">
        <f>(IF((VLOOKUP(Table6[[#This Row],[SKU]],'All Skus'!$A:$AC,2,FALSE))="JBL",(VLOOKUP(Table6[[#This Row],[SKU]],'All Skus'!$A:$AC,22,FALSE)),""))</f>
        <v>0</v>
      </c>
      <c r="U712">
        <f>(IF((VLOOKUP(Table6[[#This Row],[SKU]],'All Skus'!$A:$AC,2,FALSE))="JBL",(VLOOKUP(Table6[[#This Row],[SKU]],'All Skus'!$A:$AC,23,FALSE)),""))</f>
        <v>0</v>
      </c>
      <c r="V712" s="284" t="str">
        <f>HYPERLINK((IF((VLOOKUP(Table6[[#This Row],[SKU]],'All Skus'!$A:$AC,2,FALSE))="JBL",(VLOOKUP(Table6[[#This Row],[SKU]],'All Skus'!$A:$AC,24,FALSE)),"")))</f>
        <v/>
      </c>
      <c r="W712" s="151">
        <v>709</v>
      </c>
    </row>
    <row r="713" spans="1:23" ht="15" hidden="1" customHeight="1">
      <c r="A713" s="13" t="s">
        <v>1722</v>
      </c>
      <c r="B713" s="12" t="str">
        <f>(IF((VLOOKUP(Table6[[#This Row],[SKU]],'All Skus'!$A:$AC,2,FALSE))="JBL",(VLOOKUP(Table6[[#This Row],[SKU]],'All Skus'!$A:$AC,3,FALSE)),""))</f>
        <v>VTX SERIES</v>
      </c>
      <c r="C713" s="12" t="str">
        <f>(IF((VLOOKUP(Table6[[#This Row],[SKU]],'All Skus'!$A:$AC,2,FALSE))="JBL",(VLOOKUP(Table6[[#This Row],[SKU]],'All Skus'!$A:$AC,4,FALSE)),""))</f>
        <v>VTX-V20</v>
      </c>
      <c r="D713" s="61" t="str">
        <f>(IF((VLOOKUP(Table6[[#This Row],[SKU]],'All Skus'!$A:$AC,2,FALSE))="JBL",(VLOOKUP(Table6[[#This Row],[SKU]],'All Skus'!$A:$AC,5,FALSE)),""))</f>
        <v>JBL046</v>
      </c>
      <c r="E713" s="137" t="str">
        <f>(IF((VLOOKUP(Table6[[#This Row],[SKU]],'All Skus'!$A:$AC,2,FALSE))="JBL",(VLOOKUP(Table6[[#This Row],[SKU]],'All Skus'!$A:$AC,6,FALSE)),""))</f>
        <v>YES</v>
      </c>
      <c r="F713" s="61">
        <f>(IF((VLOOKUP(Table6[[#This Row],[SKU]],'All Skus'!$A:$AC,2,FALSE))="JBL",(VLOOKUP(Table6[[#This Row],[SKU]],'All Skus'!$A:$AC,7,FALSE)),""))</f>
        <v>0</v>
      </c>
      <c r="G713" t="str">
        <f>(IF((VLOOKUP(Table6[[#This Row],[SKU]],'All Skus'!$A:$AC,2,FALSE))="JBL",(VLOOKUP(Table6[[#This Row],[SKU]],'All Skus'!$A:$AC,8,FALSE)),""))</f>
        <v>VTX-V20</v>
      </c>
      <c r="H713" s="8" t="str">
        <f>(IF((VLOOKUP(Table6[[#This Row],[SKU]],'All Skus'!$A:$AC,2,FALSE))="JBL",(VLOOKUP(Table6[[#This Row],[SKU]],'All Skus'!$A:$AC,9,FALSE)),""))</f>
        <v>VTX V Series V20 Midsize 3-Way Line Array Element featuring patented D2 dual diaphragm dual driver technology, Differential Drive® LF transducers and ultra linear MF transducers. Includes: (3x) D2415K D2 compression drivers; (2x) 2261H dual 3-inch voice coil, dual magnet 10" transducers; (4x) 2164H 4" midrange transducers. Includes captive suspension hardware. Transportation and handling accessories supplied separately. Weight 40 kg (88 lb). Black.</v>
      </c>
      <c r="I713" s="101" t="str">
        <f>(IF((VLOOKUP(Table6[[#This Row],[SKU]],'All Skus'!$A:$AC,2,FALSE))="JBL",(VLOOKUP(Table6[[#This Row],[SKU]],'All Skus'!$A:$AC,10,FALSE)),""))</f>
        <v>“Price On Application (POA) Contact your Representative"</v>
      </c>
      <c r="J713" s="101" t="str">
        <f>(IF((VLOOKUP(Table6[[#This Row],[SKU]],'All Skus'!$A:$AC,2,FALSE))="JBL",(VLOOKUP(Table6[[#This Row],[SKU]],'All Skus'!$A:$AC,11,FALSE)),""))</f>
        <v>“Price On Application (POA) Contact your Representative"</v>
      </c>
      <c r="K713" s="102">
        <f>(IF((VLOOKUP(Table6[[#This Row],[SKU]],'All Skus'!$A:$AC,2,FALSE))="JBL",(VLOOKUP(Table6[[#This Row],[SKU]],'All Skus'!$A:$AC,13,FALSE)),""))</f>
        <v>0</v>
      </c>
      <c r="L713" s="102">
        <f>(IF((VLOOKUP(Table6[[#This Row],[SKU]],'All Skus'!$A:$AC,2,FALSE))="JBL",(VLOOKUP(Table6[[#This Row],[SKU]],'All Skus'!$A:$AC,14,FALSE)),""))</f>
        <v>0</v>
      </c>
      <c r="M713" s="143">
        <f>(IF((VLOOKUP(Table6[[#This Row],[SKU]],'All Skus'!$A:$AC,2,FALSE))="JBL",(VLOOKUP(Table6[[#This Row],[SKU]],'All Skus'!$A:$AC,15,FALSE)),""))</f>
        <v>0</v>
      </c>
      <c r="N713" s="137">
        <f>(IF((VLOOKUP(Table6[[#This Row],[SKU]],'All Skus'!$A:$AC,2,FALSE))="JBL",(VLOOKUP(Table6[[#This Row],[SKU]],'All Skus'!$A:$AC,16,FALSE)),""))</f>
        <v>691991013034</v>
      </c>
      <c r="O713" s="61">
        <f>(IF((VLOOKUP(Table6[[#This Row],[SKU]],'All Skus'!$A:$AC,2,FALSE))="JBL",(VLOOKUP(Table6[[#This Row],[SKU]],'All Skus'!$A:$AC,17,FALSE)),""))</f>
        <v>0</v>
      </c>
      <c r="P713" s="136">
        <f>(IF((VLOOKUP(Table6[[#This Row],[SKU]],'All Skus'!$A:$AC,2,FALSE))="JBL",(VLOOKUP(Table6[[#This Row],[SKU]],'All Skus'!$A:$AC,18,FALSE)),""))</f>
        <v>96</v>
      </c>
      <c r="Q713" s="136">
        <f>(IF((VLOOKUP(Table6[[#This Row],[SKU]],'All Skus'!$A:$AC,2,FALSE))="JBL",(VLOOKUP(Table6[[#This Row],[SKU]],'All Skus'!$A:$AC,19,FALSE)),""))</f>
        <v>21</v>
      </c>
      <c r="R713" s="136">
        <f>(IF((VLOOKUP(Table6[[#This Row],[SKU]],'All Skus'!$A:$AC,2,FALSE))="JBL",(VLOOKUP(Table6[[#This Row],[SKU]],'All Skus'!$A:$AC,20,FALSE)),""))</f>
        <v>16</v>
      </c>
      <c r="S713" s="61">
        <f>(IF((VLOOKUP(Table6[[#This Row],[SKU]],'All Skus'!$A:$AC,2,FALSE))="JBL",(VLOOKUP(Table6[[#This Row],[SKU]],'All Skus'!$A:$AC,21,FALSE)),""))</f>
        <v>38</v>
      </c>
      <c r="T713" s="61" t="str">
        <f>(IF((VLOOKUP(Table6[[#This Row],[SKU]],'All Skus'!$A:$AC,2,FALSE))="JBL",(VLOOKUP(Table6[[#This Row],[SKU]],'All Skus'!$A:$AC,22,FALSE)),""))</f>
        <v>MX</v>
      </c>
      <c r="U713">
        <f>(IF((VLOOKUP(Table6[[#This Row],[SKU]],'All Skus'!$A:$AC,2,FALSE))="JBL",(VLOOKUP(Table6[[#This Row],[SKU]],'All Skus'!$A:$AC,23,FALSE)),""))</f>
        <v>0</v>
      </c>
      <c r="V713" s="284" t="str">
        <f>HYPERLINK((IF((VLOOKUP(Table6[[#This Row],[SKU]],'All Skus'!$A:$AC,2,FALSE))="JBL",(VLOOKUP(Table6[[#This Row],[SKU]],'All Skus'!$A:$AC,24,FALSE)),"")))</f>
        <v/>
      </c>
      <c r="W713" s="151">
        <v>710</v>
      </c>
    </row>
    <row r="714" spans="1:23" ht="15" hidden="1" customHeight="1">
      <c r="A714" s="13" t="s">
        <v>1723</v>
      </c>
      <c r="B714" s="12" t="str">
        <f>(IF((VLOOKUP(Table6[[#This Row],[SKU]],'All Skus'!$A:$AC,2,FALSE))="JBL",(VLOOKUP(Table6[[#This Row],[SKU]],'All Skus'!$A:$AC,3,FALSE)),""))</f>
        <v>VTX SERIES</v>
      </c>
      <c r="C714" s="12" t="str">
        <f>(IF((VLOOKUP(Table6[[#This Row],[SKU]],'All Skus'!$A:$AC,2,FALSE))="JBL",(VLOOKUP(Table6[[#This Row],[SKU]],'All Skus'!$A:$AC,4,FALSE)),""))</f>
        <v>VTX-V25-II</v>
      </c>
      <c r="D714" s="61" t="str">
        <f>(IF((VLOOKUP(Table6[[#This Row],[SKU]],'All Skus'!$A:$AC,2,FALSE))="JBL",(VLOOKUP(Table6[[#This Row],[SKU]],'All Skus'!$A:$AC,5,FALSE)),""))</f>
        <v>JBL046</v>
      </c>
      <c r="E714" s="137" t="str">
        <f>(IF((VLOOKUP(Table6[[#This Row],[SKU]],'All Skus'!$A:$AC,2,FALSE))="JBL",(VLOOKUP(Table6[[#This Row],[SKU]],'All Skus'!$A:$AC,6,FALSE)),""))</f>
        <v>YES</v>
      </c>
      <c r="F714" s="61">
        <f>(IF((VLOOKUP(Table6[[#This Row],[SKU]],'All Skus'!$A:$AC,2,FALSE))="JBL",(VLOOKUP(Table6[[#This Row],[SKU]],'All Skus'!$A:$AC,7,FALSE)),""))</f>
        <v>0</v>
      </c>
      <c r="G714" t="str">
        <f>(IF((VLOOKUP(Table6[[#This Row],[SKU]],'All Skus'!$A:$AC,2,FALSE))="JBL",(VLOOKUP(Table6[[#This Row],[SKU]],'All Skus'!$A:$AC,8,FALSE)),""))</f>
        <v>VTX-V25-II</v>
      </c>
      <c r="H714" s="8" t="str">
        <f>(IF((VLOOKUP(Table6[[#This Row],[SKU]],'All Skus'!$A:$AC,2,FALSE))="JBL",(VLOOKUP(Table6[[#This Row],[SKU]],'All Skus'!$A:$AC,9,FALSE)),""))</f>
        <v>VTX V Series V25-II Fullsize 3-Way Line Array Element (Fixed Angle / Tension Suspension) featuring patented D2 dual diaphragm dual driver technology and Differential Drive® LF and MF cone transducers. Includes: (3x) D2430K D2 compression drivers; (2x) 2267H dual 4-inch voice coil, dual magnet 15" transducers; (4x) 2169H Differential Drive® 8" transducers; captive fixed angle/tension suspension hardware. Transportation and handling accessories supplied separately. Weight 82.5 kg (182 lb). Black.</v>
      </c>
      <c r="I714" s="101" t="str">
        <f>(IF((VLOOKUP(Table6[[#This Row],[SKU]],'All Skus'!$A:$AC,2,FALSE))="JBL",(VLOOKUP(Table6[[#This Row],[SKU]],'All Skus'!$A:$AC,10,FALSE)),""))</f>
        <v>“Price On Application (POA) Contact your Representative"</v>
      </c>
      <c r="J714" s="101" t="str">
        <f>(IF((VLOOKUP(Table6[[#This Row],[SKU]],'All Skus'!$A:$AC,2,FALSE))="JBL",(VLOOKUP(Table6[[#This Row],[SKU]],'All Skus'!$A:$AC,11,FALSE)),""))</f>
        <v>“Price On Application (POA) Contact your Representative"</v>
      </c>
      <c r="K714" s="102">
        <f>(IF((VLOOKUP(Table6[[#This Row],[SKU]],'All Skus'!$A:$AC,2,FALSE))="JBL",(VLOOKUP(Table6[[#This Row],[SKU]],'All Skus'!$A:$AC,13,FALSE)),""))</f>
        <v>0</v>
      </c>
      <c r="L714" s="102">
        <f>(IF((VLOOKUP(Table6[[#This Row],[SKU]],'All Skus'!$A:$AC,2,FALSE))="JBL",(VLOOKUP(Table6[[#This Row],[SKU]],'All Skus'!$A:$AC,14,FALSE)),""))</f>
        <v>0</v>
      </c>
      <c r="M714" s="143">
        <f>(IF((VLOOKUP(Table6[[#This Row],[SKU]],'All Skus'!$A:$AC,2,FALSE))="JBL",(VLOOKUP(Table6[[#This Row],[SKU]],'All Skus'!$A:$AC,15,FALSE)),""))</f>
        <v>0</v>
      </c>
      <c r="N714" s="137">
        <f>(IF((VLOOKUP(Table6[[#This Row],[SKU]],'All Skus'!$A:$AC,2,FALSE))="JBL",(VLOOKUP(Table6[[#This Row],[SKU]],'All Skus'!$A:$AC,16,FALSE)),""))</f>
        <v>691991013102</v>
      </c>
      <c r="O714" s="61">
        <f>(IF((VLOOKUP(Table6[[#This Row],[SKU]],'All Skus'!$A:$AC,2,FALSE))="JBL",(VLOOKUP(Table6[[#This Row],[SKU]],'All Skus'!$A:$AC,17,FALSE)),""))</f>
        <v>0</v>
      </c>
      <c r="P714" s="136">
        <f>(IF((VLOOKUP(Table6[[#This Row],[SKU]],'All Skus'!$A:$AC,2,FALSE))="JBL",(VLOOKUP(Table6[[#This Row],[SKU]],'All Skus'!$A:$AC,18,FALSE)),""))</f>
        <v>200</v>
      </c>
      <c r="Q714" s="136">
        <f>(IF((VLOOKUP(Table6[[#This Row],[SKU]],'All Skus'!$A:$AC,2,FALSE))="JBL",(VLOOKUP(Table6[[#This Row],[SKU]],'All Skus'!$A:$AC,19,FALSE)),""))</f>
        <v>31</v>
      </c>
      <c r="R714" s="136">
        <f>(IF((VLOOKUP(Table6[[#This Row],[SKU]],'All Skus'!$A:$AC,2,FALSE))="JBL",(VLOOKUP(Table6[[#This Row],[SKU]],'All Skus'!$A:$AC,20,FALSE)),""))</f>
        <v>22</v>
      </c>
      <c r="S714" s="61">
        <f>(IF((VLOOKUP(Table6[[#This Row],[SKU]],'All Skus'!$A:$AC,2,FALSE))="JBL",(VLOOKUP(Table6[[#This Row],[SKU]],'All Skus'!$A:$AC,21,FALSE)),""))</f>
        <v>50</v>
      </c>
      <c r="T714" s="61" t="str">
        <f>(IF((VLOOKUP(Table6[[#This Row],[SKU]],'All Skus'!$A:$AC,2,FALSE))="JBL",(VLOOKUP(Table6[[#This Row],[SKU]],'All Skus'!$A:$AC,22,FALSE)),""))</f>
        <v>MX</v>
      </c>
      <c r="U714">
        <f>(IF((VLOOKUP(Table6[[#This Row],[SKU]],'All Skus'!$A:$AC,2,FALSE))="JBL",(VLOOKUP(Table6[[#This Row],[SKU]],'All Skus'!$A:$AC,23,FALSE)),""))</f>
        <v>0</v>
      </c>
      <c r="V714" s="284" t="str">
        <f>HYPERLINK((IF((VLOOKUP(Table6[[#This Row],[SKU]],'All Skus'!$A:$AC,2,FALSE))="JBL",(VLOOKUP(Table6[[#This Row],[SKU]],'All Skus'!$A:$AC,24,FALSE)),"")))</f>
        <v/>
      </c>
      <c r="W714" s="151">
        <v>711</v>
      </c>
    </row>
    <row r="715" spans="1:23" ht="15" hidden="1" customHeight="1">
      <c r="A715" s="13" t="s">
        <v>1724</v>
      </c>
      <c r="B715" s="12" t="str">
        <f>(IF((VLOOKUP(Table6[[#This Row],[SKU]],'All Skus'!$A:$AC,2,FALSE))="JBL",(VLOOKUP(Table6[[#This Row],[SKU]],'All Skus'!$A:$AC,3,FALSE)),""))</f>
        <v>VTX SERIES</v>
      </c>
      <c r="C715" s="12" t="str">
        <f>(IF((VLOOKUP(Table6[[#This Row],[SKU]],'All Skus'!$A:$AC,2,FALSE))="JBL",(VLOOKUP(Table6[[#This Row],[SKU]],'All Skus'!$A:$AC,4,FALSE)),""))</f>
        <v>VTX-V25-II-CS</v>
      </c>
      <c r="D715" s="61" t="str">
        <f>(IF((VLOOKUP(Table6[[#This Row],[SKU]],'All Skus'!$A:$AC,2,FALSE))="JBL",(VLOOKUP(Table6[[#This Row],[SKU]],'All Skus'!$A:$AC,5,FALSE)),""))</f>
        <v>JBL046</v>
      </c>
      <c r="E715" s="137" t="str">
        <f>(IF((VLOOKUP(Table6[[#This Row],[SKU]],'All Skus'!$A:$AC,2,FALSE))="JBL",(VLOOKUP(Table6[[#This Row],[SKU]],'All Skus'!$A:$AC,6,FALSE)),""))</f>
        <v>YES</v>
      </c>
      <c r="F715" s="61">
        <f>(IF((VLOOKUP(Table6[[#This Row],[SKU]],'All Skus'!$A:$AC,2,FALSE))="JBL",(VLOOKUP(Table6[[#This Row],[SKU]],'All Skus'!$A:$AC,7,FALSE)),""))</f>
        <v>0</v>
      </c>
      <c r="G715" t="str">
        <f>(IF((VLOOKUP(Table6[[#This Row],[SKU]],'All Skus'!$A:$AC,2,FALSE))="JBL",(VLOOKUP(Table6[[#This Row],[SKU]],'All Skus'!$A:$AC,8,FALSE)),""))</f>
        <v>VTX-V25-II-CS</v>
      </c>
      <c r="H715" s="8" t="str">
        <f>(IF((VLOOKUP(Table6[[#This Row],[SKU]],'All Skus'!$A:$AC,2,FALSE))="JBL",(VLOOKUP(Table6[[#This Row],[SKU]],'All Skus'!$A:$AC,9,FALSE)),""))</f>
        <v>VTX V Series V25-II-CS Fullsize 3-Way Line Array Element (Compression Suspension) featuring patented D2 dual diaphragm dual driver technology and Differential Drive® LF and MF cone transducers. Includes: (3x) D2430K D2 compression drivers; (2x) 2267H dual 4-inch voice coil, dual magnet 15" transducers; (4x) 2169H Differential Drive® 8" transducers; captive compression suspension hardware. Transportation and handling accessories supplied separately. Weight 82.5 kg (182 lb). Black.</v>
      </c>
      <c r="I715" s="101" t="str">
        <f>(IF((VLOOKUP(Table6[[#This Row],[SKU]],'All Skus'!$A:$AC,2,FALSE))="JBL",(VLOOKUP(Table6[[#This Row],[SKU]],'All Skus'!$A:$AC,10,FALSE)),""))</f>
        <v>“Price On Application (POA) Contact your Representative"</v>
      </c>
      <c r="J715" s="101" t="str">
        <f>(IF((VLOOKUP(Table6[[#This Row],[SKU]],'All Skus'!$A:$AC,2,FALSE))="JBL",(VLOOKUP(Table6[[#This Row],[SKU]],'All Skus'!$A:$AC,11,FALSE)),""))</f>
        <v>“Price On Application (POA) Contact your Representative"</v>
      </c>
      <c r="K715" s="102">
        <f>(IF((VLOOKUP(Table6[[#This Row],[SKU]],'All Skus'!$A:$AC,2,FALSE))="JBL",(VLOOKUP(Table6[[#This Row],[SKU]],'All Skus'!$A:$AC,13,FALSE)),""))</f>
        <v>0</v>
      </c>
      <c r="L715" s="102">
        <f>(IF((VLOOKUP(Table6[[#This Row],[SKU]],'All Skus'!$A:$AC,2,FALSE))="JBL",(VLOOKUP(Table6[[#This Row],[SKU]],'All Skus'!$A:$AC,14,FALSE)),""))</f>
        <v>0</v>
      </c>
      <c r="M715" s="143">
        <f>(IF((VLOOKUP(Table6[[#This Row],[SKU]],'All Skus'!$A:$AC,2,FALSE))="JBL",(VLOOKUP(Table6[[#This Row],[SKU]],'All Skus'!$A:$AC,15,FALSE)),""))</f>
        <v>0</v>
      </c>
      <c r="N715" s="137">
        <f>(IF((VLOOKUP(Table6[[#This Row],[SKU]],'All Skus'!$A:$AC,2,FALSE))="JBL",(VLOOKUP(Table6[[#This Row],[SKU]],'All Skus'!$A:$AC,16,FALSE)),""))</f>
        <v>691991013119</v>
      </c>
      <c r="O715" s="61">
        <f>(IF((VLOOKUP(Table6[[#This Row],[SKU]],'All Skus'!$A:$AC,2,FALSE))="JBL",(VLOOKUP(Table6[[#This Row],[SKU]],'All Skus'!$A:$AC,17,FALSE)),""))</f>
        <v>0</v>
      </c>
      <c r="P715" s="136">
        <f>(IF((VLOOKUP(Table6[[#This Row],[SKU]],'All Skus'!$A:$AC,2,FALSE))="JBL",(VLOOKUP(Table6[[#This Row],[SKU]],'All Skus'!$A:$AC,18,FALSE)),""))</f>
        <v>200</v>
      </c>
      <c r="Q715" s="136">
        <f>(IF((VLOOKUP(Table6[[#This Row],[SKU]],'All Skus'!$A:$AC,2,FALSE))="JBL",(VLOOKUP(Table6[[#This Row],[SKU]],'All Skus'!$A:$AC,19,FALSE)),""))</f>
        <v>31</v>
      </c>
      <c r="R715" s="136">
        <f>(IF((VLOOKUP(Table6[[#This Row],[SKU]],'All Skus'!$A:$AC,2,FALSE))="JBL",(VLOOKUP(Table6[[#This Row],[SKU]],'All Skus'!$A:$AC,20,FALSE)),""))</f>
        <v>22</v>
      </c>
      <c r="S715" s="61">
        <f>(IF((VLOOKUP(Table6[[#This Row],[SKU]],'All Skus'!$A:$AC,2,FALSE))="JBL",(VLOOKUP(Table6[[#This Row],[SKU]],'All Skus'!$A:$AC,21,FALSE)),""))</f>
        <v>50</v>
      </c>
      <c r="T715" s="61" t="str">
        <f>(IF((VLOOKUP(Table6[[#This Row],[SKU]],'All Skus'!$A:$AC,2,FALSE))="JBL",(VLOOKUP(Table6[[#This Row],[SKU]],'All Skus'!$A:$AC,22,FALSE)),""))</f>
        <v>MX</v>
      </c>
      <c r="U715">
        <f>(IF((VLOOKUP(Table6[[#This Row],[SKU]],'All Skus'!$A:$AC,2,FALSE))="JBL",(VLOOKUP(Table6[[#This Row],[SKU]],'All Skus'!$A:$AC,23,FALSE)),""))</f>
        <v>0</v>
      </c>
      <c r="V715" s="284" t="str">
        <f>HYPERLINK((IF((VLOOKUP(Table6[[#This Row],[SKU]],'All Skus'!$A:$AC,2,FALSE))="JBL",(VLOOKUP(Table6[[#This Row],[SKU]],'All Skus'!$A:$AC,24,FALSE)),"")))</f>
        <v/>
      </c>
      <c r="W715" s="151">
        <v>712</v>
      </c>
    </row>
    <row r="716" spans="1:23" ht="15" hidden="1" customHeight="1">
      <c r="A716" s="13" t="s">
        <v>1725</v>
      </c>
      <c r="B716" s="12" t="str">
        <f>(IF((VLOOKUP(Table6[[#This Row],[SKU]],'All Skus'!$A:$AC,2,FALSE))="JBL",(VLOOKUP(Table6[[#This Row],[SKU]],'All Skus'!$A:$AC,3,FALSE)),""))</f>
        <v>VTX SERIES</v>
      </c>
      <c r="C716" s="12" t="str">
        <f>(IF((VLOOKUP(Table6[[#This Row],[SKU]],'All Skus'!$A:$AC,2,FALSE))="JBL",(VLOOKUP(Table6[[#This Row],[SKU]],'All Skus'!$A:$AC,4,FALSE)),""))</f>
        <v>VTX-S25</v>
      </c>
      <c r="D716" s="61" t="str">
        <f>(IF((VLOOKUP(Table6[[#This Row],[SKU]],'All Skus'!$A:$AC,2,FALSE))="JBL",(VLOOKUP(Table6[[#This Row],[SKU]],'All Skus'!$A:$AC,5,FALSE)),""))</f>
        <v>JBL046</v>
      </c>
      <c r="E716" s="137" t="str">
        <f>(IF((VLOOKUP(Table6[[#This Row],[SKU]],'All Skus'!$A:$AC,2,FALSE))="JBL",(VLOOKUP(Table6[[#This Row],[SKU]],'All Skus'!$A:$AC,6,FALSE)),""))</f>
        <v>YES</v>
      </c>
      <c r="F716" s="61">
        <f>(IF((VLOOKUP(Table6[[#This Row],[SKU]],'All Skus'!$A:$AC,2,FALSE))="JBL",(VLOOKUP(Table6[[#This Row],[SKU]],'All Skus'!$A:$AC,7,FALSE)),""))</f>
        <v>0</v>
      </c>
      <c r="G716" t="str">
        <f>(IF((VLOOKUP(Table6[[#This Row],[SKU]],'All Skus'!$A:$AC,2,FALSE))="JBL",(VLOOKUP(Table6[[#This Row],[SKU]],'All Skus'!$A:$AC,8,FALSE)),""))</f>
        <v>VTX-S25</v>
      </c>
      <c r="H716" s="8" t="str">
        <f>(IF((VLOOKUP(Table6[[#This Row],[SKU]],'All Skus'!$A:$AC,2,FALSE))="JBL",(VLOOKUP(Table6[[#This Row],[SKU]],'All Skus'!$A:$AC,9,FALSE)),""))</f>
        <v>VTX Series S25 Suspendable Dual 15" Subwoofer. Companion subwoofer for VTX V20 featuring ultra long throw, patented Differential Drive® LF transducers configured in a front-loaded alignment with large area, laminar-flow, low-turbulence central ports. Includes: (2x) 2267H dual 4-inch voice coil, dual magnet 15" transducers; captive suspension hardware; front NL4 connector for use when S25 enclosures are configured in rear-firing mode to create reverse-cardioid subwoofer arrays. Rectangular form factor facilitates cardioid configurations (ground stacked or suspended). Transportation and handling accessories supplied separately. Weight 65 kg (143 lb). Black.</v>
      </c>
      <c r="I716" s="101" t="str">
        <f>(IF((VLOOKUP(Table6[[#This Row],[SKU]],'All Skus'!$A:$AC,2,FALSE))="JBL",(VLOOKUP(Table6[[#This Row],[SKU]],'All Skus'!$A:$AC,10,FALSE)),""))</f>
        <v>“Price On Application (POA) Contact your Representative"</v>
      </c>
      <c r="J716" s="101" t="str">
        <f>(IF((VLOOKUP(Table6[[#This Row],[SKU]],'All Skus'!$A:$AC,2,FALSE))="JBL",(VLOOKUP(Table6[[#This Row],[SKU]],'All Skus'!$A:$AC,11,FALSE)),""))</f>
        <v>“Price On Application (POA) Contact your Representative"</v>
      </c>
      <c r="K716" s="102">
        <f>(IF((VLOOKUP(Table6[[#This Row],[SKU]],'All Skus'!$A:$AC,2,FALSE))="JBL",(VLOOKUP(Table6[[#This Row],[SKU]],'All Skus'!$A:$AC,13,FALSE)),""))</f>
        <v>0</v>
      </c>
      <c r="L716" s="102">
        <f>(IF((VLOOKUP(Table6[[#This Row],[SKU]],'All Skus'!$A:$AC,2,FALSE))="JBL",(VLOOKUP(Table6[[#This Row],[SKU]],'All Skus'!$A:$AC,14,FALSE)),""))</f>
        <v>0</v>
      </c>
      <c r="M716" s="143">
        <f>(IF((VLOOKUP(Table6[[#This Row],[SKU]],'All Skus'!$A:$AC,2,FALSE))="JBL",(VLOOKUP(Table6[[#This Row],[SKU]],'All Skus'!$A:$AC,15,FALSE)),""))</f>
        <v>0</v>
      </c>
      <c r="N716" s="137">
        <f>(IF((VLOOKUP(Table6[[#This Row],[SKU]],'All Skus'!$A:$AC,2,FALSE))="JBL",(VLOOKUP(Table6[[#This Row],[SKU]],'All Skus'!$A:$AC,16,FALSE)),""))</f>
        <v>691991012976</v>
      </c>
      <c r="O716" s="61">
        <f>(IF((VLOOKUP(Table6[[#This Row],[SKU]],'All Skus'!$A:$AC,2,FALSE))="JBL",(VLOOKUP(Table6[[#This Row],[SKU]],'All Skus'!$A:$AC,17,FALSE)),""))</f>
        <v>0</v>
      </c>
      <c r="P716" s="136">
        <f>(IF((VLOOKUP(Table6[[#This Row],[SKU]],'All Skus'!$A:$AC,2,FALSE))="JBL",(VLOOKUP(Table6[[#This Row],[SKU]],'All Skus'!$A:$AC,18,FALSE)),""))</f>
        <v>200</v>
      </c>
      <c r="Q716" s="136">
        <f>(IF((VLOOKUP(Table6[[#This Row],[SKU]],'All Skus'!$A:$AC,2,FALSE))="JBL",(VLOOKUP(Table6[[#This Row],[SKU]],'All Skus'!$A:$AC,19,FALSE)),""))</f>
        <v>29</v>
      </c>
      <c r="R716" s="136">
        <f>(IF((VLOOKUP(Table6[[#This Row],[SKU]],'All Skus'!$A:$AC,2,FALSE))="JBL",(VLOOKUP(Table6[[#This Row],[SKU]],'All Skus'!$A:$AC,20,FALSE)),""))</f>
        <v>40</v>
      </c>
      <c r="S716" s="61">
        <f>(IF((VLOOKUP(Table6[[#This Row],[SKU]],'All Skus'!$A:$AC,2,FALSE))="JBL",(VLOOKUP(Table6[[#This Row],[SKU]],'All Skus'!$A:$AC,21,FALSE)),""))</f>
        <v>24</v>
      </c>
      <c r="T716" s="61" t="str">
        <f>(IF((VLOOKUP(Table6[[#This Row],[SKU]],'All Skus'!$A:$AC,2,FALSE))="JBL",(VLOOKUP(Table6[[#This Row],[SKU]],'All Skus'!$A:$AC,22,FALSE)),""))</f>
        <v>MX</v>
      </c>
      <c r="U716">
        <f>(IF((VLOOKUP(Table6[[#This Row],[SKU]],'All Skus'!$A:$AC,2,FALSE))="JBL",(VLOOKUP(Table6[[#This Row],[SKU]],'All Skus'!$A:$AC,23,FALSE)),""))</f>
        <v>0</v>
      </c>
      <c r="V716" s="284" t="str">
        <f>HYPERLINK((IF((VLOOKUP(Table6[[#This Row],[SKU]],'All Skus'!$A:$AC,2,FALSE))="JBL",(VLOOKUP(Table6[[#This Row],[SKU]],'All Skus'!$A:$AC,24,FALSE)),"")))</f>
        <v/>
      </c>
      <c r="W716" s="151">
        <v>713</v>
      </c>
    </row>
    <row r="717" spans="1:23" ht="15" hidden="1" customHeight="1">
      <c r="A717" s="13" t="s">
        <v>1726</v>
      </c>
      <c r="B717" s="12" t="str">
        <f>(IF((VLOOKUP(Table6[[#This Row],[SKU]],'All Skus'!$A:$AC,2,FALSE))="JBL",(VLOOKUP(Table6[[#This Row],[SKU]],'All Skus'!$A:$AC,3,FALSE)),""))</f>
        <v>VTX SERIES</v>
      </c>
      <c r="C717" s="12" t="str">
        <f>(IF((VLOOKUP(Table6[[#This Row],[SKU]],'All Skus'!$A:$AC,2,FALSE))="JBL",(VLOOKUP(Table6[[#This Row],[SKU]],'All Skus'!$A:$AC,4,FALSE)),""))</f>
        <v>VTX-S28</v>
      </c>
      <c r="D717" s="61" t="str">
        <f>(IF((VLOOKUP(Table6[[#This Row],[SKU]],'All Skus'!$A:$AC,2,FALSE))="JBL",(VLOOKUP(Table6[[#This Row],[SKU]],'All Skus'!$A:$AC,5,FALSE)),""))</f>
        <v>JBL046</v>
      </c>
      <c r="E717" s="137" t="str">
        <f>(IF((VLOOKUP(Table6[[#This Row],[SKU]],'All Skus'!$A:$AC,2,FALSE))="JBL",(VLOOKUP(Table6[[#This Row],[SKU]],'All Skus'!$A:$AC,6,FALSE)),""))</f>
        <v>YES</v>
      </c>
      <c r="F717" s="61">
        <f>(IF((VLOOKUP(Table6[[#This Row],[SKU]],'All Skus'!$A:$AC,2,FALSE))="JBL",(VLOOKUP(Table6[[#This Row],[SKU]],'All Skus'!$A:$AC,7,FALSE)),""))</f>
        <v>0</v>
      </c>
      <c r="G717" t="str">
        <f>(IF((VLOOKUP(Table6[[#This Row],[SKU]],'All Skus'!$A:$AC,2,FALSE))="JBL",(VLOOKUP(Table6[[#This Row],[SKU]],'All Skus'!$A:$AC,8,FALSE)),""))</f>
        <v>VTX-S28</v>
      </c>
      <c r="H717" s="8" t="str">
        <f>(IF((VLOOKUP(Table6[[#This Row],[SKU]],'All Skus'!$A:$AC,2,FALSE))="JBL",(VLOOKUP(Table6[[#This Row],[SKU]],'All Skus'!$A:$AC,9,FALSE)),""))</f>
        <v>VTX Series S28 Suspendable Dual 18” Subwoofer featuring ultra long throw, patented Differential Drive® VLF transducers configured in a front-loaded alignment with large area, laminar-flow, low-turbulence central port. Includes: (2x) 2269H dual 4-inch voice coil, dual magnet 18” transducers; captive suspension hardware; front NL4 connector for use when S28 enclosures are configured in rear-firing mode to create reverse-cardioid subwoofer arrays. Trapezoidal form factor facilitates tightly-packed cardioid configurations (ground stacked or suspended). Transportation and handling accessories supplied separately. Weight 81.6 kg (180 lb). Black.</v>
      </c>
      <c r="I717" s="101" t="str">
        <f>(IF((VLOOKUP(Table6[[#This Row],[SKU]],'All Skus'!$A:$AC,2,FALSE))="JBL",(VLOOKUP(Table6[[#This Row],[SKU]],'All Skus'!$A:$AC,10,FALSE)),""))</f>
        <v>“Price On Application (POA) Contact your Representative"</v>
      </c>
      <c r="J717" s="101" t="str">
        <f>(IF((VLOOKUP(Table6[[#This Row],[SKU]],'All Skus'!$A:$AC,2,FALSE))="JBL",(VLOOKUP(Table6[[#This Row],[SKU]],'All Skus'!$A:$AC,11,FALSE)),""))</f>
        <v>“Price On Application (POA) Contact your Representative"</v>
      </c>
      <c r="K717" s="102">
        <f>(IF((VLOOKUP(Table6[[#This Row],[SKU]],'All Skus'!$A:$AC,2,FALSE))="JBL",(VLOOKUP(Table6[[#This Row],[SKU]],'All Skus'!$A:$AC,13,FALSE)),""))</f>
        <v>0</v>
      </c>
      <c r="L717" s="102">
        <f>(IF((VLOOKUP(Table6[[#This Row],[SKU]],'All Skus'!$A:$AC,2,FALSE))="JBL",(VLOOKUP(Table6[[#This Row],[SKU]],'All Skus'!$A:$AC,14,FALSE)),""))</f>
        <v>0</v>
      </c>
      <c r="M717" s="143">
        <f>(IF((VLOOKUP(Table6[[#This Row],[SKU]],'All Skus'!$A:$AC,2,FALSE))="JBL",(VLOOKUP(Table6[[#This Row],[SKU]],'All Skus'!$A:$AC,15,FALSE)),""))</f>
        <v>0</v>
      </c>
      <c r="N717" s="137">
        <f>(IF((VLOOKUP(Table6[[#This Row],[SKU]],'All Skus'!$A:$AC,2,FALSE))="JBL",(VLOOKUP(Table6[[#This Row],[SKU]],'All Skus'!$A:$AC,16,FALSE)),""))</f>
        <v>691991013003</v>
      </c>
      <c r="O717" s="61">
        <f>(IF((VLOOKUP(Table6[[#This Row],[SKU]],'All Skus'!$A:$AC,2,FALSE))="JBL",(VLOOKUP(Table6[[#This Row],[SKU]],'All Skus'!$A:$AC,17,FALSE)),""))</f>
        <v>0</v>
      </c>
      <c r="P717" s="136">
        <f>(IF((VLOOKUP(Table6[[#This Row],[SKU]],'All Skus'!$A:$AC,2,FALSE))="JBL",(VLOOKUP(Table6[[#This Row],[SKU]],'All Skus'!$A:$AC,18,FALSE)),""))</f>
        <v>200</v>
      </c>
      <c r="Q717" s="136">
        <f>(IF((VLOOKUP(Table6[[#This Row],[SKU]],'All Skus'!$A:$AC,2,FALSE))="JBL",(VLOOKUP(Table6[[#This Row],[SKU]],'All Skus'!$A:$AC,19,FALSE)),""))</f>
        <v>45</v>
      </c>
      <c r="R717" s="136">
        <f>(IF((VLOOKUP(Table6[[#This Row],[SKU]],'All Skus'!$A:$AC,2,FALSE))="JBL",(VLOOKUP(Table6[[#This Row],[SKU]],'All Skus'!$A:$AC,20,FALSE)),""))</f>
        <v>30</v>
      </c>
      <c r="S717" s="61">
        <f>(IF((VLOOKUP(Table6[[#This Row],[SKU]],'All Skus'!$A:$AC,2,FALSE))="JBL",(VLOOKUP(Table6[[#This Row],[SKU]],'All Skus'!$A:$AC,21,FALSE)),""))</f>
        <v>50</v>
      </c>
      <c r="T717" s="61" t="str">
        <f>(IF((VLOOKUP(Table6[[#This Row],[SKU]],'All Skus'!$A:$AC,2,FALSE))="JBL",(VLOOKUP(Table6[[#This Row],[SKU]],'All Skus'!$A:$AC,22,FALSE)),""))</f>
        <v>MX</v>
      </c>
      <c r="U717">
        <f>(IF((VLOOKUP(Table6[[#This Row],[SKU]],'All Skus'!$A:$AC,2,FALSE))="JBL",(VLOOKUP(Table6[[#This Row],[SKU]],'All Skus'!$A:$AC,23,FALSE)),""))</f>
        <v>0</v>
      </c>
      <c r="V717" s="284" t="str">
        <f>HYPERLINK((IF((VLOOKUP(Table6[[#This Row],[SKU]],'All Skus'!$A:$AC,2,FALSE))="JBL",(VLOOKUP(Table6[[#This Row],[SKU]],'All Skus'!$A:$AC,24,FALSE)),"")))</f>
        <v/>
      </c>
      <c r="W717" s="151">
        <v>714</v>
      </c>
    </row>
    <row r="718" spans="1:23" ht="15" hidden="1" customHeight="1">
      <c r="A718" s="13" t="s">
        <v>1727</v>
      </c>
      <c r="B718" s="12" t="str">
        <f>(IF((VLOOKUP(Table6[[#This Row],[SKU]],'All Skus'!$A:$AC,2,FALSE))="JBL",(VLOOKUP(Table6[[#This Row],[SKU]],'All Skus'!$A:$AC,3,FALSE)),""))</f>
        <v>VTX Series</v>
      </c>
      <c r="C718" s="12" t="str">
        <f>(IF((VLOOKUP(Table6[[#This Row],[SKU]],'All Skus'!$A:$AC,2,FALSE))="JBL",(VLOOKUP(Table6[[#This Row],[SKU]],'All Skus'!$A:$AC,4,FALSE)),""))</f>
        <v xml:space="preserve">JBL-P3396 </v>
      </c>
      <c r="D718" s="61">
        <f>(IF((VLOOKUP(Table6[[#This Row],[SKU]],'All Skus'!$A:$AC,2,FALSE))="JBL",(VLOOKUP(Table6[[#This Row],[SKU]],'All Skus'!$A:$AC,5,FALSE)),""))</f>
        <v>0</v>
      </c>
      <c r="E718" s="137" t="str">
        <f>(IF((VLOOKUP(Table6[[#This Row],[SKU]],'All Skus'!$A:$AC,2,FALSE))="JBL",(VLOOKUP(Table6[[#This Row],[SKU]],'All Skus'!$A:$AC,6,FALSE)),""))</f>
        <v>YES</v>
      </c>
      <c r="F718" s="61">
        <f>(IF((VLOOKUP(Table6[[#This Row],[SKU]],'All Skus'!$A:$AC,2,FALSE))="JBL",(VLOOKUP(Table6[[#This Row],[SKU]],'All Skus'!$A:$AC,7,FALSE)),""))</f>
        <v>0</v>
      </c>
      <c r="G718" t="str">
        <f>(IF((VLOOKUP(Table6[[#This Row],[SKU]],'All Skus'!$A:$AC,2,FALSE))="JBL",(VLOOKUP(Table6[[#This Row],[SKU]],'All Skus'!$A:$AC,8,FALSE)),""))</f>
        <v>VTX Commissioning - North America  - North America</v>
      </c>
      <c r="H718" s="8" t="str">
        <f>(IF((VLOOKUP(Table6[[#This Row],[SKU]],'All Skus'!$A:$AC,2,FALSE))="JBL",(VLOOKUP(Table6[[#This Row],[SKU]],'All Skus'!$A:$AC,9,FALSE)),""))</f>
        <v>VTX Commissioning - North America  - North America</v>
      </c>
      <c r="I718" s="101" t="str">
        <f>(IF((VLOOKUP(Table6[[#This Row],[SKU]],'All Skus'!$A:$AC,2,FALSE))="JBL",(VLOOKUP(Table6[[#This Row],[SKU]],'All Skus'!$A:$AC,10,FALSE)),""))</f>
        <v>“Price On Application (POA) Contact your Representative"</v>
      </c>
      <c r="J718" s="101" t="str">
        <f>(IF((VLOOKUP(Table6[[#This Row],[SKU]],'All Skus'!$A:$AC,2,FALSE))="JBL",(VLOOKUP(Table6[[#This Row],[SKU]],'All Skus'!$A:$AC,11,FALSE)),""))</f>
        <v>“Price On Application (POA) Contact your Representative"</v>
      </c>
      <c r="K718" s="102">
        <f>(IF((VLOOKUP(Table6[[#This Row],[SKU]],'All Skus'!$A:$AC,2,FALSE))="JBL",(VLOOKUP(Table6[[#This Row],[SKU]],'All Skus'!$A:$AC,13,FALSE)),""))</f>
        <v>0</v>
      </c>
      <c r="L718" s="102">
        <f>(IF((VLOOKUP(Table6[[#This Row],[SKU]],'All Skus'!$A:$AC,2,FALSE))="JBL",(VLOOKUP(Table6[[#This Row],[SKU]],'All Skus'!$A:$AC,14,FALSE)),""))</f>
        <v>0</v>
      </c>
      <c r="M718" s="143">
        <f>(IF((VLOOKUP(Table6[[#This Row],[SKU]],'All Skus'!$A:$AC,2,FALSE))="JBL",(VLOOKUP(Table6[[#This Row],[SKU]],'All Skus'!$A:$AC,15,FALSE)),""))</f>
        <v>0</v>
      </c>
      <c r="N718" s="137">
        <f>(IF((VLOOKUP(Table6[[#This Row],[SKU]],'All Skus'!$A:$AC,2,FALSE))="JBL",(VLOOKUP(Table6[[#This Row],[SKU]],'All Skus'!$A:$AC,16,FALSE)),""))</f>
        <v>0</v>
      </c>
      <c r="O718" s="61">
        <f>(IF((VLOOKUP(Table6[[#This Row],[SKU]],'All Skus'!$A:$AC,2,FALSE))="JBL",(VLOOKUP(Table6[[#This Row],[SKU]],'All Skus'!$A:$AC,17,FALSE)),""))</f>
        <v>0</v>
      </c>
      <c r="P718" s="136">
        <f>(IF((VLOOKUP(Table6[[#This Row],[SKU]],'All Skus'!$A:$AC,2,FALSE))="JBL",(VLOOKUP(Table6[[#This Row],[SKU]],'All Skus'!$A:$AC,18,FALSE)),""))</f>
        <v>0</v>
      </c>
      <c r="Q718" s="136">
        <f>(IF((VLOOKUP(Table6[[#This Row],[SKU]],'All Skus'!$A:$AC,2,FALSE))="JBL",(VLOOKUP(Table6[[#This Row],[SKU]],'All Skus'!$A:$AC,19,FALSE)),""))</f>
        <v>0</v>
      </c>
      <c r="R718" s="136">
        <f>(IF((VLOOKUP(Table6[[#This Row],[SKU]],'All Skus'!$A:$AC,2,FALSE))="JBL",(VLOOKUP(Table6[[#This Row],[SKU]],'All Skus'!$A:$AC,20,FALSE)),""))</f>
        <v>0</v>
      </c>
      <c r="S718" s="61">
        <f>(IF((VLOOKUP(Table6[[#This Row],[SKU]],'All Skus'!$A:$AC,2,FALSE))="JBL",(VLOOKUP(Table6[[#This Row],[SKU]],'All Skus'!$A:$AC,21,FALSE)),""))</f>
        <v>0</v>
      </c>
      <c r="T718" s="61">
        <f>(IF((VLOOKUP(Table6[[#This Row],[SKU]],'All Skus'!$A:$AC,2,FALSE))="JBL",(VLOOKUP(Table6[[#This Row],[SKU]],'All Skus'!$A:$AC,22,FALSE)),""))</f>
        <v>0</v>
      </c>
      <c r="U718">
        <f>(IF((VLOOKUP(Table6[[#This Row],[SKU]],'All Skus'!$A:$AC,2,FALSE))="JBL",(VLOOKUP(Table6[[#This Row],[SKU]],'All Skus'!$A:$AC,23,FALSE)),""))</f>
        <v>0</v>
      </c>
      <c r="V718" s="284" t="str">
        <f>HYPERLINK((IF((VLOOKUP(Table6[[#This Row],[SKU]],'All Skus'!$A:$AC,2,FALSE))="JBL",(VLOOKUP(Table6[[#This Row],[SKU]],'All Skus'!$A:$AC,24,FALSE)),"")))</f>
        <v/>
      </c>
      <c r="W718" s="151">
        <v>715</v>
      </c>
    </row>
    <row r="719" spans="1:23" ht="15" hidden="1" customHeight="1">
      <c r="A719" s="91" t="s">
        <v>1728</v>
      </c>
      <c r="B719" s="12">
        <f>(IF((VLOOKUP(Table6[[#This Row],[SKU]],'All Skus'!$A:$AC,2,FALSE))="JBL",(VLOOKUP(Table6[[#This Row],[SKU]],'All Skus'!$A:$AC,3,FALSE)),""))</f>
        <v>0</v>
      </c>
      <c r="C719" s="12">
        <f>(IF((VLOOKUP(Table6[[#This Row],[SKU]],'All Skus'!$A:$AC,2,FALSE))="JBL",(VLOOKUP(Table6[[#This Row],[SKU]],'All Skus'!$A:$AC,4,FALSE)),""))</f>
        <v>0</v>
      </c>
      <c r="D719" s="61">
        <f>(IF((VLOOKUP(Table6[[#This Row],[SKU]],'All Skus'!$A:$AC,2,FALSE))="JBL",(VLOOKUP(Table6[[#This Row],[SKU]],'All Skus'!$A:$AC,5,FALSE)),""))</f>
        <v>0</v>
      </c>
      <c r="E719" s="137">
        <f>(IF((VLOOKUP(Table6[[#This Row],[SKU]],'All Skus'!$A:$AC,2,FALSE))="JBL",(VLOOKUP(Table6[[#This Row],[SKU]],'All Skus'!$A:$AC,6,FALSE)),""))</f>
        <v>0</v>
      </c>
      <c r="F719" s="61">
        <f>(IF((VLOOKUP(Table6[[#This Row],[SKU]],'All Skus'!$A:$AC,2,FALSE))="JBL",(VLOOKUP(Table6[[#This Row],[SKU]],'All Skus'!$A:$AC,7,FALSE)),""))</f>
        <v>0</v>
      </c>
      <c r="G719">
        <f>(IF((VLOOKUP(Table6[[#This Row],[SKU]],'All Skus'!$A:$AC,2,FALSE))="JBL",(VLOOKUP(Table6[[#This Row],[SKU]],'All Skus'!$A:$AC,8,FALSE)),""))</f>
        <v>0</v>
      </c>
      <c r="H719" s="8">
        <f>(IF((VLOOKUP(Table6[[#This Row],[SKU]],'All Skus'!$A:$AC,2,FALSE))="JBL",(VLOOKUP(Table6[[#This Row],[SKU]],'All Skus'!$A:$AC,9,FALSE)),""))</f>
        <v>0</v>
      </c>
      <c r="I719" s="101">
        <f>(IF((VLOOKUP(Table6[[#This Row],[SKU]],'All Skus'!$A:$AC,2,FALSE))="JBL",(VLOOKUP(Table6[[#This Row],[SKU]],'All Skus'!$A:$AC,10,FALSE)),""))</f>
        <v>0</v>
      </c>
      <c r="J719" s="101">
        <f>(IF((VLOOKUP(Table6[[#This Row],[SKU]],'All Skus'!$A:$AC,2,FALSE))="JBL",(VLOOKUP(Table6[[#This Row],[SKU]],'All Skus'!$A:$AC,11,FALSE)),""))</f>
        <v>0</v>
      </c>
      <c r="K719" s="102">
        <f>(IF((VLOOKUP(Table6[[#This Row],[SKU]],'All Skus'!$A:$AC,2,FALSE))="JBL",(VLOOKUP(Table6[[#This Row],[SKU]],'All Skus'!$A:$AC,13,FALSE)),""))</f>
        <v>0</v>
      </c>
      <c r="L719" s="102">
        <f>(IF((VLOOKUP(Table6[[#This Row],[SKU]],'All Skus'!$A:$AC,2,FALSE))="JBL",(VLOOKUP(Table6[[#This Row],[SKU]],'All Skus'!$A:$AC,14,FALSE)),""))</f>
        <v>0</v>
      </c>
      <c r="M719" s="143">
        <f>(IF((VLOOKUP(Table6[[#This Row],[SKU]],'All Skus'!$A:$AC,2,FALSE))="JBL",(VLOOKUP(Table6[[#This Row],[SKU]],'All Skus'!$A:$AC,15,FALSE)),""))</f>
        <v>0</v>
      </c>
      <c r="N719" s="137">
        <f>(IF((VLOOKUP(Table6[[#This Row],[SKU]],'All Skus'!$A:$AC,2,FALSE))="JBL",(VLOOKUP(Table6[[#This Row],[SKU]],'All Skus'!$A:$AC,16,FALSE)),""))</f>
        <v>0</v>
      </c>
      <c r="O719" s="61">
        <f>(IF((VLOOKUP(Table6[[#This Row],[SKU]],'All Skus'!$A:$AC,2,FALSE))="JBL",(VLOOKUP(Table6[[#This Row],[SKU]],'All Skus'!$A:$AC,17,FALSE)),""))</f>
        <v>0</v>
      </c>
      <c r="P719" s="136">
        <f>(IF((VLOOKUP(Table6[[#This Row],[SKU]],'All Skus'!$A:$AC,2,FALSE))="JBL",(VLOOKUP(Table6[[#This Row],[SKU]],'All Skus'!$A:$AC,18,FALSE)),""))</f>
        <v>0</v>
      </c>
      <c r="Q719" s="136">
        <f>(IF((VLOOKUP(Table6[[#This Row],[SKU]],'All Skus'!$A:$AC,2,FALSE))="JBL",(VLOOKUP(Table6[[#This Row],[SKU]],'All Skus'!$A:$AC,19,FALSE)),""))</f>
        <v>0</v>
      </c>
      <c r="R719" s="136">
        <f>(IF((VLOOKUP(Table6[[#This Row],[SKU]],'All Skus'!$A:$AC,2,FALSE))="JBL",(VLOOKUP(Table6[[#This Row],[SKU]],'All Skus'!$A:$AC,20,FALSE)),""))</f>
        <v>0</v>
      </c>
      <c r="S719" s="61">
        <f>(IF((VLOOKUP(Table6[[#This Row],[SKU]],'All Skus'!$A:$AC,2,FALSE))="JBL",(VLOOKUP(Table6[[#This Row],[SKU]],'All Skus'!$A:$AC,21,FALSE)),""))</f>
        <v>0</v>
      </c>
      <c r="T719" s="61">
        <f>(IF((VLOOKUP(Table6[[#This Row],[SKU]],'All Skus'!$A:$AC,2,FALSE))="JBL",(VLOOKUP(Table6[[#This Row],[SKU]],'All Skus'!$A:$AC,22,FALSE)),""))</f>
        <v>0</v>
      </c>
      <c r="U719">
        <f>(IF((VLOOKUP(Table6[[#This Row],[SKU]],'All Skus'!$A:$AC,2,FALSE))="JBL",(VLOOKUP(Table6[[#This Row],[SKU]],'All Skus'!$A:$AC,23,FALSE)),""))</f>
        <v>0</v>
      </c>
      <c r="V719" s="284" t="str">
        <f>HYPERLINK((IF((VLOOKUP(Table6[[#This Row],[SKU]],'All Skus'!$A:$AC,2,FALSE))="JBL",(VLOOKUP(Table6[[#This Row],[SKU]],'All Skus'!$A:$AC,24,FALSE)),"")))</f>
        <v/>
      </c>
      <c r="W719" s="151">
        <v>716</v>
      </c>
    </row>
    <row r="720" spans="1:23" ht="15" hidden="1" customHeight="1">
      <c r="A720" s="13" t="s">
        <v>1729</v>
      </c>
      <c r="B720" s="12" t="str">
        <f>(IF((VLOOKUP(Table6[[#This Row],[SKU]],'All Skus'!$A:$AC,2,FALSE))="JBL",(VLOOKUP(Table6[[#This Row],[SKU]],'All Skus'!$A:$AC,3,FALSE)),""))</f>
        <v>VTX SERIES</v>
      </c>
      <c r="C720" s="12" t="str">
        <f>(IF((VLOOKUP(Table6[[#This Row],[SKU]],'All Skus'!$A:$AC,2,FALSE))="JBL",(VLOOKUP(Table6[[#This Row],[SKU]],'All Skus'!$A:$AC,4,FALSE)),""))</f>
        <v>VTX-F12</v>
      </c>
      <c r="D720" s="61" t="str">
        <f>(IF((VLOOKUP(Table6[[#This Row],[SKU]],'All Skus'!$A:$AC,2,FALSE))="JBL",(VLOOKUP(Table6[[#This Row],[SKU]],'All Skus'!$A:$AC,5,FALSE)),""))</f>
        <v>JBL046</v>
      </c>
      <c r="E720" s="137" t="str">
        <f>(IF((VLOOKUP(Table6[[#This Row],[SKU]],'All Skus'!$A:$AC,2,FALSE))="JBL",(VLOOKUP(Table6[[#This Row],[SKU]],'All Skus'!$A:$AC,6,FALSE)),""))</f>
        <v>YES</v>
      </c>
      <c r="F720" s="61">
        <f>(IF((VLOOKUP(Table6[[#This Row],[SKU]],'All Skus'!$A:$AC,2,FALSE))="JBL",(VLOOKUP(Table6[[#This Row],[SKU]],'All Skus'!$A:$AC,7,FALSE)),""))</f>
        <v>0</v>
      </c>
      <c r="G720" t="str">
        <f>(IF((VLOOKUP(Table6[[#This Row],[SKU]],'All Skus'!$A:$AC,2,FALSE))="JBL",(VLOOKUP(Table6[[#This Row],[SKU]],'All Skus'!$A:$AC,8,FALSE)),""))</f>
        <v>VTX-F12</v>
      </c>
      <c r="H720" s="8" t="str">
        <f>(IF((VLOOKUP(Table6[[#This Row],[SKU]],'All Skus'!$A:$AC,2,FALSE))="JBL",(VLOOKUP(Table6[[#This Row],[SKU]],'All Skus'!$A:$AC,9,FALSE)),""))</f>
        <v>VTX F Series F12 2-Way Fill Enclosure featuring patented D2 compression driver technology and Differential Drive® LF cone transducer. Includes: (1x) D2430K D2 compression driver mounted on 90x50 degree Progressive Transition waveguide; (1x) 2262H dual 3-inch voice coil, dual magnet 12" transducer. Integral pole mount socket and M10 mount points. Optional VTX F12-UB universal bracket available. Weight 18.6 kg (41 lb). Black.</v>
      </c>
      <c r="I720" s="101" t="str">
        <f>(IF((VLOOKUP(Table6[[#This Row],[SKU]],'All Skus'!$A:$AC,2,FALSE))="JBL",(VLOOKUP(Table6[[#This Row],[SKU]],'All Skus'!$A:$AC,10,FALSE)),""))</f>
        <v>“Price On Application (POA) Contact your Representative"</v>
      </c>
      <c r="J720" s="101" t="str">
        <f>(IF((VLOOKUP(Table6[[#This Row],[SKU]],'All Skus'!$A:$AC,2,FALSE))="JBL",(VLOOKUP(Table6[[#This Row],[SKU]],'All Skus'!$A:$AC,11,FALSE)),""))</f>
        <v>“Price On Application (POA) Contact your Representative"</v>
      </c>
      <c r="K720" s="102">
        <f>(IF((VLOOKUP(Table6[[#This Row],[SKU]],'All Skus'!$A:$AC,2,FALSE))="JBL",(VLOOKUP(Table6[[#This Row],[SKU]],'All Skus'!$A:$AC,13,FALSE)),""))</f>
        <v>0</v>
      </c>
      <c r="L720" s="102">
        <f>(IF((VLOOKUP(Table6[[#This Row],[SKU]],'All Skus'!$A:$AC,2,FALSE))="JBL",(VLOOKUP(Table6[[#This Row],[SKU]],'All Skus'!$A:$AC,14,FALSE)),""))</f>
        <v>0</v>
      </c>
      <c r="M720" s="143">
        <f>(IF((VLOOKUP(Table6[[#This Row],[SKU]],'All Skus'!$A:$AC,2,FALSE))="JBL",(VLOOKUP(Table6[[#This Row],[SKU]],'All Skus'!$A:$AC,15,FALSE)),""))</f>
        <v>0</v>
      </c>
      <c r="N720" s="137">
        <f>(IF((VLOOKUP(Table6[[#This Row],[SKU]],'All Skus'!$A:$AC,2,FALSE))="JBL",(VLOOKUP(Table6[[#This Row],[SKU]],'All Skus'!$A:$AC,16,FALSE)),""))</f>
        <v>691991012907</v>
      </c>
      <c r="O720" s="61">
        <f>(IF((VLOOKUP(Table6[[#This Row],[SKU]],'All Skus'!$A:$AC,2,FALSE))="JBL",(VLOOKUP(Table6[[#This Row],[SKU]],'All Skus'!$A:$AC,17,FALSE)),""))</f>
        <v>0</v>
      </c>
      <c r="P720" s="136">
        <f>(IF((VLOOKUP(Table6[[#This Row],[SKU]],'All Skus'!$A:$AC,2,FALSE))="JBL",(VLOOKUP(Table6[[#This Row],[SKU]],'All Skus'!$A:$AC,18,FALSE)),""))</f>
        <v>40</v>
      </c>
      <c r="Q720" s="136">
        <f>(IF((VLOOKUP(Table6[[#This Row],[SKU]],'All Skus'!$A:$AC,2,FALSE))="JBL",(VLOOKUP(Table6[[#This Row],[SKU]],'All Skus'!$A:$AC,19,FALSE)),""))</f>
        <v>17</v>
      </c>
      <c r="R720" s="136">
        <f>(IF((VLOOKUP(Table6[[#This Row],[SKU]],'All Skus'!$A:$AC,2,FALSE))="JBL",(VLOOKUP(Table6[[#This Row],[SKU]],'All Skus'!$A:$AC,20,FALSE)),""))</f>
        <v>20</v>
      </c>
      <c r="S720" s="61">
        <f>(IF((VLOOKUP(Table6[[#This Row],[SKU]],'All Skus'!$A:$AC,2,FALSE))="JBL",(VLOOKUP(Table6[[#This Row],[SKU]],'All Skus'!$A:$AC,21,FALSE)),""))</f>
        <v>24</v>
      </c>
      <c r="T720" s="61" t="str">
        <f>(IF((VLOOKUP(Table6[[#This Row],[SKU]],'All Skus'!$A:$AC,2,FALSE))="JBL",(VLOOKUP(Table6[[#This Row],[SKU]],'All Skus'!$A:$AC,22,FALSE)),""))</f>
        <v>MX</v>
      </c>
      <c r="U720">
        <f>(IF((VLOOKUP(Table6[[#This Row],[SKU]],'All Skus'!$A:$AC,2,FALSE))="JBL",(VLOOKUP(Table6[[#This Row],[SKU]],'All Skus'!$A:$AC,23,FALSE)),""))</f>
        <v>0</v>
      </c>
      <c r="V720" s="284" t="str">
        <f>HYPERLINK((IF((VLOOKUP(Table6[[#This Row],[SKU]],'All Skus'!$A:$AC,2,FALSE))="JBL",(VLOOKUP(Table6[[#This Row],[SKU]],'All Skus'!$A:$AC,24,FALSE)),"")))</f>
        <v/>
      </c>
      <c r="W720" s="151">
        <v>717</v>
      </c>
    </row>
    <row r="721" spans="1:23" ht="15" hidden="1" customHeight="1">
      <c r="A721" s="13" t="s">
        <v>1730</v>
      </c>
      <c r="B721" s="12" t="str">
        <f>(IF((VLOOKUP(Table6[[#This Row],[SKU]],'All Skus'!$A:$AC,2,FALSE))="JBL",(VLOOKUP(Table6[[#This Row],[SKU]],'All Skus'!$A:$AC,3,FALSE)),""))</f>
        <v>VTX SERIES</v>
      </c>
      <c r="C721" s="12" t="str">
        <f>(IF((VLOOKUP(Table6[[#This Row],[SKU]],'All Skus'!$A:$AC,2,FALSE))="JBL",(VLOOKUP(Table6[[#This Row],[SKU]],'All Skus'!$A:$AC,4,FALSE)),""))</f>
        <v>VTX-F15</v>
      </c>
      <c r="D721" s="61" t="str">
        <f>(IF((VLOOKUP(Table6[[#This Row],[SKU]],'All Skus'!$A:$AC,2,FALSE))="JBL",(VLOOKUP(Table6[[#This Row],[SKU]],'All Skus'!$A:$AC,5,FALSE)),""))</f>
        <v>JBL046</v>
      </c>
      <c r="E721" s="137" t="str">
        <f>(IF((VLOOKUP(Table6[[#This Row],[SKU]],'All Skus'!$A:$AC,2,FALSE))="JBL",(VLOOKUP(Table6[[#This Row],[SKU]],'All Skus'!$A:$AC,6,FALSE)),""))</f>
        <v>YES</v>
      </c>
      <c r="F721" s="61">
        <f>(IF((VLOOKUP(Table6[[#This Row],[SKU]],'All Skus'!$A:$AC,2,FALSE))="JBL",(VLOOKUP(Table6[[#This Row],[SKU]],'All Skus'!$A:$AC,7,FALSE)),""))</f>
        <v>0</v>
      </c>
      <c r="G721" t="str">
        <f>(IF((VLOOKUP(Table6[[#This Row],[SKU]],'All Skus'!$A:$AC,2,FALSE))="JBL",(VLOOKUP(Table6[[#This Row],[SKU]],'All Skus'!$A:$AC,8,FALSE)),""))</f>
        <v>VTX-F15</v>
      </c>
      <c r="H721" s="8" t="str">
        <f>(IF((VLOOKUP(Table6[[#This Row],[SKU]],'All Skus'!$A:$AC,2,FALSE))="JBL",(VLOOKUP(Table6[[#This Row],[SKU]],'All Skus'!$A:$AC,9,FALSE)),""))</f>
        <v>VTX F Series F15 2-Way Fill Enclosure featuring patented D2 compression driver technology and Differential Drive® LF cone transducer. Includes: (1x) D2430K D2 compression driver mounted on 90x50 degree Progressive Transition waveguide; (1x) 2265H dual 3-inch voice coil, dual magnet 15" transducer. Integral pole mount socket and M10 mount points. Optional VTX F15-UB universal bracket available. Weight 22.9 kg (50.5 lb). Black.</v>
      </c>
      <c r="I721" s="101" t="str">
        <f>(IF((VLOOKUP(Table6[[#This Row],[SKU]],'All Skus'!$A:$AC,2,FALSE))="JBL",(VLOOKUP(Table6[[#This Row],[SKU]],'All Skus'!$A:$AC,10,FALSE)),""))</f>
        <v>“Price On Application (POA) Contact your Representative"</v>
      </c>
      <c r="J721" s="101" t="str">
        <f>(IF((VLOOKUP(Table6[[#This Row],[SKU]],'All Skus'!$A:$AC,2,FALSE))="JBL",(VLOOKUP(Table6[[#This Row],[SKU]],'All Skus'!$A:$AC,11,FALSE)),""))</f>
        <v>“Price On Application (POA) Contact your Representative"</v>
      </c>
      <c r="K721" s="102">
        <f>(IF((VLOOKUP(Table6[[#This Row],[SKU]],'All Skus'!$A:$AC,2,FALSE))="JBL",(VLOOKUP(Table6[[#This Row],[SKU]],'All Skus'!$A:$AC,13,FALSE)),""))</f>
        <v>0</v>
      </c>
      <c r="L721" s="102">
        <f>(IF((VLOOKUP(Table6[[#This Row],[SKU]],'All Skus'!$A:$AC,2,FALSE))="JBL",(VLOOKUP(Table6[[#This Row],[SKU]],'All Skus'!$A:$AC,14,FALSE)),""))</f>
        <v>0</v>
      </c>
      <c r="M721" s="143">
        <f>(IF((VLOOKUP(Table6[[#This Row],[SKU]],'All Skus'!$A:$AC,2,FALSE))="JBL",(VLOOKUP(Table6[[#This Row],[SKU]],'All Skus'!$A:$AC,15,FALSE)),""))</f>
        <v>0</v>
      </c>
      <c r="N721" s="137">
        <f>(IF((VLOOKUP(Table6[[#This Row],[SKU]],'All Skus'!$A:$AC,2,FALSE))="JBL",(VLOOKUP(Table6[[#This Row],[SKU]],'All Skus'!$A:$AC,16,FALSE)),""))</f>
        <v>691991012914</v>
      </c>
      <c r="O721" s="61">
        <f>(IF((VLOOKUP(Table6[[#This Row],[SKU]],'All Skus'!$A:$AC,2,FALSE))="JBL",(VLOOKUP(Table6[[#This Row],[SKU]],'All Skus'!$A:$AC,17,FALSE)),""))</f>
        <v>0</v>
      </c>
      <c r="P721" s="136">
        <f>(IF((VLOOKUP(Table6[[#This Row],[SKU]],'All Skus'!$A:$AC,2,FALSE))="JBL",(VLOOKUP(Table6[[#This Row],[SKU]],'All Skus'!$A:$AC,18,FALSE)),""))</f>
        <v>50</v>
      </c>
      <c r="Q721" s="136">
        <f>(IF((VLOOKUP(Table6[[#This Row],[SKU]],'All Skus'!$A:$AC,2,FALSE))="JBL",(VLOOKUP(Table6[[#This Row],[SKU]],'All Skus'!$A:$AC,19,FALSE)),""))</f>
        <v>23</v>
      </c>
      <c r="R721" s="136">
        <f>(IF((VLOOKUP(Table6[[#This Row],[SKU]],'All Skus'!$A:$AC,2,FALSE))="JBL",(VLOOKUP(Table6[[#This Row],[SKU]],'All Skus'!$A:$AC,20,FALSE)),""))</f>
        <v>17.5</v>
      </c>
      <c r="S721" s="61">
        <f>(IF((VLOOKUP(Table6[[#This Row],[SKU]],'All Skus'!$A:$AC,2,FALSE))="JBL",(VLOOKUP(Table6[[#This Row],[SKU]],'All Skus'!$A:$AC,21,FALSE)),""))</f>
        <v>27.5</v>
      </c>
      <c r="T721" s="61" t="str">
        <f>(IF((VLOOKUP(Table6[[#This Row],[SKU]],'All Skus'!$A:$AC,2,FALSE))="JBL",(VLOOKUP(Table6[[#This Row],[SKU]],'All Skus'!$A:$AC,22,FALSE)),""))</f>
        <v>MX</v>
      </c>
      <c r="U721">
        <f>(IF((VLOOKUP(Table6[[#This Row],[SKU]],'All Skus'!$A:$AC,2,FALSE))="JBL",(VLOOKUP(Table6[[#This Row],[SKU]],'All Skus'!$A:$AC,23,FALSE)),""))</f>
        <v>0</v>
      </c>
      <c r="V721" s="284" t="str">
        <f>HYPERLINK((IF((VLOOKUP(Table6[[#This Row],[SKU]],'All Skus'!$A:$AC,2,FALSE))="JBL",(VLOOKUP(Table6[[#This Row],[SKU]],'All Skus'!$A:$AC,24,FALSE)),"")))</f>
        <v/>
      </c>
      <c r="W721" s="151">
        <v>718</v>
      </c>
    </row>
    <row r="722" spans="1:23" ht="15" hidden="1" customHeight="1">
      <c r="A722" s="13" t="s">
        <v>1731</v>
      </c>
      <c r="B722" s="12" t="str">
        <f>(IF((VLOOKUP(Table6[[#This Row],[SKU]],'All Skus'!$A:$AC,2,FALSE))="JBL",(VLOOKUP(Table6[[#This Row],[SKU]],'All Skus'!$A:$AC,3,FALSE)),""))</f>
        <v>VTX SERIES</v>
      </c>
      <c r="C722" s="12" t="str">
        <f>(IF((VLOOKUP(Table6[[#This Row],[SKU]],'All Skus'!$A:$AC,2,FALSE))="JBL",(VLOOKUP(Table6[[#This Row],[SKU]],'All Skus'!$A:$AC,4,FALSE)),""))</f>
        <v>VTX-F18S</v>
      </c>
      <c r="D722" s="61" t="str">
        <f>(IF((VLOOKUP(Table6[[#This Row],[SKU]],'All Skus'!$A:$AC,2,FALSE))="JBL",(VLOOKUP(Table6[[#This Row],[SKU]],'All Skus'!$A:$AC,5,FALSE)),""))</f>
        <v>JBL046</v>
      </c>
      <c r="E722" s="137" t="str">
        <f>(IF((VLOOKUP(Table6[[#This Row],[SKU]],'All Skus'!$A:$AC,2,FALSE))="JBL",(VLOOKUP(Table6[[#This Row],[SKU]],'All Skus'!$A:$AC,6,FALSE)),""))</f>
        <v>YES</v>
      </c>
      <c r="F722" s="61">
        <f>(IF((VLOOKUP(Table6[[#This Row],[SKU]],'All Skus'!$A:$AC,2,FALSE))="JBL",(VLOOKUP(Table6[[#This Row],[SKU]],'All Skus'!$A:$AC,7,FALSE)),""))</f>
        <v>0</v>
      </c>
      <c r="G722" t="str">
        <f>(IF((VLOOKUP(Table6[[#This Row],[SKU]],'All Skus'!$A:$AC,2,FALSE))="JBL",(VLOOKUP(Table6[[#This Row],[SKU]],'All Skus'!$A:$AC,8,FALSE)),""))</f>
        <v>VTX-F18S</v>
      </c>
      <c r="H722" s="8" t="str">
        <f>(IF((VLOOKUP(Table6[[#This Row],[SKU]],'All Skus'!$A:$AC,2,FALSE))="JBL",(VLOOKUP(Table6[[#This Row],[SKU]],'All Skus'!$A:$AC,9,FALSE)),""))</f>
        <v>VTX F Series F18S Compact Subwoofer Enclosure featuring ultra long throw, patented Differential Drive® LF transducer configured in a front-loaded alignment with large area, laminar-flow, low-turbulence ports. Includes: (1x) 2269H dual 4-inch voice coil, dual magnet 18" transducer; front NL4 connector for use when F18S enclosures are configured in rear-firing mode to create reverse-cardioid subwoofer arrays. Compact rectangular form factor. Weight 45.4 kg (100 lb). Black.</v>
      </c>
      <c r="I722" s="101" t="str">
        <f>(IF((VLOOKUP(Table6[[#This Row],[SKU]],'All Skus'!$A:$AC,2,FALSE))="JBL",(VLOOKUP(Table6[[#This Row],[SKU]],'All Skus'!$A:$AC,10,FALSE)),""))</f>
        <v>“Price On Application (POA) Contact your Representative"</v>
      </c>
      <c r="J722" s="101" t="str">
        <f>(IF((VLOOKUP(Table6[[#This Row],[SKU]],'All Skus'!$A:$AC,2,FALSE))="JBL",(VLOOKUP(Table6[[#This Row],[SKU]],'All Skus'!$A:$AC,11,FALSE)),""))</f>
        <v>“Price On Application (POA) Contact your Representative"</v>
      </c>
      <c r="K722" s="102">
        <f>(IF((VLOOKUP(Table6[[#This Row],[SKU]],'All Skus'!$A:$AC,2,FALSE))="JBL",(VLOOKUP(Table6[[#This Row],[SKU]],'All Skus'!$A:$AC,13,FALSE)),""))</f>
        <v>0</v>
      </c>
      <c r="L722" s="102">
        <f>(IF((VLOOKUP(Table6[[#This Row],[SKU]],'All Skus'!$A:$AC,2,FALSE))="JBL",(VLOOKUP(Table6[[#This Row],[SKU]],'All Skus'!$A:$AC,14,FALSE)),""))</f>
        <v>0</v>
      </c>
      <c r="M722" s="143">
        <f>(IF((VLOOKUP(Table6[[#This Row],[SKU]],'All Skus'!$A:$AC,2,FALSE))="JBL",(VLOOKUP(Table6[[#This Row],[SKU]],'All Skus'!$A:$AC,15,FALSE)),""))</f>
        <v>0</v>
      </c>
      <c r="N722" s="137">
        <f>(IF((VLOOKUP(Table6[[#This Row],[SKU]],'All Skus'!$A:$AC,2,FALSE))="JBL",(VLOOKUP(Table6[[#This Row],[SKU]],'All Skus'!$A:$AC,16,FALSE)),""))</f>
        <v>691991012921</v>
      </c>
      <c r="O722" s="61">
        <f>(IF((VLOOKUP(Table6[[#This Row],[SKU]],'All Skus'!$A:$AC,2,FALSE))="JBL",(VLOOKUP(Table6[[#This Row],[SKU]],'All Skus'!$A:$AC,17,FALSE)),""))</f>
        <v>0</v>
      </c>
      <c r="P722" s="136">
        <f>(IF((VLOOKUP(Table6[[#This Row],[SKU]],'All Skus'!$A:$AC,2,FALSE))="JBL",(VLOOKUP(Table6[[#This Row],[SKU]],'All Skus'!$A:$AC,18,FALSE)),""))</f>
        <v>80</v>
      </c>
      <c r="Q722" s="136">
        <f>(IF((VLOOKUP(Table6[[#This Row],[SKU]],'All Skus'!$A:$AC,2,FALSE))="JBL",(VLOOKUP(Table6[[#This Row],[SKU]],'All Skus'!$A:$AC,19,FALSE)),""))</f>
        <v>27</v>
      </c>
      <c r="R722" s="136">
        <f>(IF((VLOOKUP(Table6[[#This Row],[SKU]],'All Skus'!$A:$AC,2,FALSE))="JBL",(VLOOKUP(Table6[[#This Row],[SKU]],'All Skus'!$A:$AC,20,FALSE)),""))</f>
        <v>33</v>
      </c>
      <c r="S722" s="61">
        <f>(IF((VLOOKUP(Table6[[#This Row],[SKU]],'All Skus'!$A:$AC,2,FALSE))="JBL",(VLOOKUP(Table6[[#This Row],[SKU]],'All Skus'!$A:$AC,21,FALSE)),""))</f>
        <v>27</v>
      </c>
      <c r="T722" s="61" t="str">
        <f>(IF((VLOOKUP(Table6[[#This Row],[SKU]],'All Skus'!$A:$AC,2,FALSE))="JBL",(VLOOKUP(Table6[[#This Row],[SKU]],'All Skus'!$A:$AC,22,FALSE)),""))</f>
        <v>MX</v>
      </c>
      <c r="U722">
        <f>(IF((VLOOKUP(Table6[[#This Row],[SKU]],'All Skus'!$A:$AC,2,FALSE))="JBL",(VLOOKUP(Table6[[#This Row],[SKU]],'All Skus'!$A:$AC,23,FALSE)),""))</f>
        <v>0</v>
      </c>
      <c r="V722" s="284" t="str">
        <f>HYPERLINK((IF((VLOOKUP(Table6[[#This Row],[SKU]],'All Skus'!$A:$AC,2,FALSE))="JBL",(VLOOKUP(Table6[[#This Row],[SKU]],'All Skus'!$A:$AC,24,FALSE)),"")))</f>
        <v/>
      </c>
      <c r="W722" s="151">
        <v>719</v>
      </c>
    </row>
    <row r="723" spans="1:23" ht="15" hidden="1" customHeight="1">
      <c r="A723" s="13" t="s">
        <v>1732</v>
      </c>
      <c r="B723" s="12" t="str">
        <f>(IF((VLOOKUP(Table6[[#This Row],[SKU]],'All Skus'!$A:$AC,2,FALSE))="JBL",(VLOOKUP(Table6[[#This Row],[SKU]],'All Skus'!$A:$AC,3,FALSE)),""))</f>
        <v>VTX Series</v>
      </c>
      <c r="C723" s="12" t="str">
        <f>(IF((VLOOKUP(Table6[[#This Row],[SKU]],'All Skus'!$A:$AC,2,FALSE))="JBL",(VLOOKUP(Table6[[#This Row],[SKU]],'All Skus'!$A:$AC,4,FALSE)),""))</f>
        <v>VTX-F35/95</v>
      </c>
      <c r="D723" s="61" t="str">
        <f>(IF((VLOOKUP(Table6[[#This Row],[SKU]],'All Skus'!$A:$AC,2,FALSE))="JBL",(VLOOKUP(Table6[[#This Row],[SKU]],'All Skus'!$A:$AC,5,FALSE)),""))</f>
        <v>JBL046</v>
      </c>
      <c r="E723" s="137" t="str">
        <f>(IF((VLOOKUP(Table6[[#This Row],[SKU]],'All Skus'!$A:$AC,2,FALSE))="JBL",(VLOOKUP(Table6[[#This Row],[SKU]],'All Skus'!$A:$AC,6,FALSE)),""))</f>
        <v>YES</v>
      </c>
      <c r="F723" s="61">
        <f>(IF((VLOOKUP(Table6[[#This Row],[SKU]],'All Skus'!$A:$AC,2,FALSE))="JBL",(VLOOKUP(Table6[[#This Row],[SKU]],'All Skus'!$A:$AC,7,FALSE)),""))</f>
        <v>0</v>
      </c>
      <c r="G723" t="str">
        <f>(IF((VLOOKUP(Table6[[#This Row],[SKU]],'All Skus'!$A:$AC,2,FALSE))="JBL",(VLOOKUP(Table6[[#This Row],[SKU]],'All Skus'!$A:$AC,8,FALSE)),""))</f>
        <v>CSX-F35 Three-way High Output Speaker</v>
      </c>
      <c r="H723" s="8" t="str">
        <f>(IF((VLOOKUP(Table6[[#This Row],[SKU]],'All Skus'!$A:$AC,2,FALSE))="JBL",(VLOOKUP(Table6[[#This Row],[SKU]],'All Skus'!$A:$AC,9,FALSE)),""))</f>
        <v>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v>
      </c>
      <c r="I723" s="101" t="str">
        <f>(IF((VLOOKUP(Table6[[#This Row],[SKU]],'All Skus'!$A:$AC,2,FALSE))="JBL",(VLOOKUP(Table6[[#This Row],[SKU]],'All Skus'!$A:$AC,10,FALSE)),""))</f>
        <v>“Price On Application (POA) Contact your Representative"</v>
      </c>
      <c r="J723" s="101" t="str">
        <f>(IF((VLOOKUP(Table6[[#This Row],[SKU]],'All Skus'!$A:$AC,2,FALSE))="JBL",(VLOOKUP(Table6[[#This Row],[SKU]],'All Skus'!$A:$AC,11,FALSE)),""))</f>
        <v>“Price On Application (POA) Contact your Representative"</v>
      </c>
      <c r="K723" s="102">
        <f>(IF((VLOOKUP(Table6[[#This Row],[SKU]],'All Skus'!$A:$AC,2,FALSE))="JBL",(VLOOKUP(Table6[[#This Row],[SKU]],'All Skus'!$A:$AC,13,FALSE)),""))</f>
        <v>0</v>
      </c>
      <c r="L723" s="102">
        <f>(IF((VLOOKUP(Table6[[#This Row],[SKU]],'All Skus'!$A:$AC,2,FALSE))="JBL",(VLOOKUP(Table6[[#This Row],[SKU]],'All Skus'!$A:$AC,14,FALSE)),""))</f>
        <v>0</v>
      </c>
      <c r="M723" s="143">
        <f>(IF((VLOOKUP(Table6[[#This Row],[SKU]],'All Skus'!$A:$AC,2,FALSE))="JBL",(VLOOKUP(Table6[[#This Row],[SKU]],'All Skus'!$A:$AC,15,FALSE)),""))</f>
        <v>0</v>
      </c>
      <c r="N723" s="137">
        <f>(IF((VLOOKUP(Table6[[#This Row],[SKU]],'All Skus'!$A:$AC,2,FALSE))="JBL",(VLOOKUP(Table6[[#This Row],[SKU]],'All Skus'!$A:$AC,16,FALSE)),""))</f>
        <v>5706681000814</v>
      </c>
      <c r="O723" s="61">
        <f>(IF((VLOOKUP(Table6[[#This Row],[SKU]],'All Skus'!$A:$AC,2,FALSE))="JBL",(VLOOKUP(Table6[[#This Row],[SKU]],'All Skus'!$A:$AC,17,FALSE)),""))</f>
        <v>0</v>
      </c>
      <c r="P723" s="136">
        <f>(IF((VLOOKUP(Table6[[#This Row],[SKU]],'All Skus'!$A:$AC,2,FALSE))="JBL",(VLOOKUP(Table6[[#This Row],[SKU]],'All Skus'!$A:$AC,18,FALSE)),""))</f>
        <v>0</v>
      </c>
      <c r="Q723" s="136">
        <f>(IF((VLOOKUP(Table6[[#This Row],[SKU]],'All Skus'!$A:$AC,2,FALSE))="JBL",(VLOOKUP(Table6[[#This Row],[SKU]],'All Skus'!$A:$AC,19,FALSE)),""))</f>
        <v>0</v>
      </c>
      <c r="R723" s="136">
        <f>(IF((VLOOKUP(Table6[[#This Row],[SKU]],'All Skus'!$A:$AC,2,FALSE))="JBL",(VLOOKUP(Table6[[#This Row],[SKU]],'All Skus'!$A:$AC,20,FALSE)),""))</f>
        <v>0</v>
      </c>
      <c r="S723" s="61">
        <f>(IF((VLOOKUP(Table6[[#This Row],[SKU]],'All Skus'!$A:$AC,2,FALSE))="JBL",(VLOOKUP(Table6[[#This Row],[SKU]],'All Skus'!$A:$AC,21,FALSE)),""))</f>
        <v>0</v>
      </c>
      <c r="T723" s="61" t="str">
        <f>(IF((VLOOKUP(Table6[[#This Row],[SKU]],'All Skus'!$A:$AC,2,FALSE))="JBL",(VLOOKUP(Table6[[#This Row],[SKU]],'All Skus'!$A:$AC,22,FALSE)),""))</f>
        <v>MX</v>
      </c>
      <c r="U723">
        <f>(IF((VLOOKUP(Table6[[#This Row],[SKU]],'All Skus'!$A:$AC,2,FALSE))="JBL",(VLOOKUP(Table6[[#This Row],[SKU]],'All Skus'!$A:$AC,23,FALSE)),""))</f>
        <v>0</v>
      </c>
      <c r="V723" s="284" t="str">
        <f>HYPERLINK((IF((VLOOKUP(Table6[[#This Row],[SKU]],'All Skus'!$A:$AC,2,FALSE))="JBL",(VLOOKUP(Table6[[#This Row],[SKU]],'All Skus'!$A:$AC,24,FALSE)),"")))</f>
        <v/>
      </c>
      <c r="W723" s="151">
        <v>720</v>
      </c>
    </row>
    <row r="724" spans="1:23" ht="15" hidden="1" customHeight="1">
      <c r="A724" s="13" t="s">
        <v>1733</v>
      </c>
      <c r="B724" s="12" t="str">
        <f>(IF((VLOOKUP(Table6[[#This Row],[SKU]],'All Skus'!$A:$AC,2,FALSE))="JBL",(VLOOKUP(Table6[[#This Row],[SKU]],'All Skus'!$A:$AC,3,FALSE)),""))</f>
        <v>VTX Series</v>
      </c>
      <c r="C724" s="12" t="str">
        <f>(IF((VLOOKUP(Table6[[#This Row],[SKU]],'All Skus'!$A:$AC,2,FALSE))="JBL",(VLOOKUP(Table6[[#This Row],[SKU]],'All Skus'!$A:$AC,4,FALSE)),""))</f>
        <v>VTX-F35/64</v>
      </c>
      <c r="D724" s="61" t="str">
        <f>(IF((VLOOKUP(Table6[[#This Row],[SKU]],'All Skus'!$A:$AC,2,FALSE))="JBL",(VLOOKUP(Table6[[#This Row],[SKU]],'All Skus'!$A:$AC,5,FALSE)),""))</f>
        <v>JBL046</v>
      </c>
      <c r="E724" s="137" t="str">
        <f>(IF((VLOOKUP(Table6[[#This Row],[SKU]],'All Skus'!$A:$AC,2,FALSE))="JBL",(VLOOKUP(Table6[[#This Row],[SKU]],'All Skus'!$A:$AC,6,FALSE)),""))</f>
        <v>YES</v>
      </c>
      <c r="F724" s="61">
        <f>(IF((VLOOKUP(Table6[[#This Row],[SKU]],'All Skus'!$A:$AC,2,FALSE))="JBL",(VLOOKUP(Table6[[#This Row],[SKU]],'All Skus'!$A:$AC,7,FALSE)),""))</f>
        <v>0</v>
      </c>
      <c r="G724" t="str">
        <f>(IF((VLOOKUP(Table6[[#This Row],[SKU]],'All Skus'!$A:$AC,2,FALSE))="JBL",(VLOOKUP(Table6[[#This Row],[SKU]],'All Skus'!$A:$AC,8,FALSE)),""))</f>
        <v>CSX-F35 Three-way High Output Speaker</v>
      </c>
      <c r="H724" s="8" t="str">
        <f>(IF((VLOOKUP(Table6[[#This Row],[SKU]],'All Skus'!$A:$AC,2,FALSE))="JBL",(VLOOKUP(Table6[[#This Row],[SKU]],'All Skus'!$A:$AC,9,FALSE)),""))</f>
        <v>CSX: F35, high output three-way full range system. Designed to address a wide range of applications, where high-impact, high-fidelity audio, needs to be delivered. The trapezoidal full-range, CSX F35 will be the go-to choice for customers needing high-power side-fills, mains speakers, or a V5-compliant high-performance compliment to a larger VTX system. The CSX-F35 has exceptional power-to-weight ratio thanks to its lightweight, Differential Drive 2265H- 15" and 2169H-8" transducers. High Frequency is delivered from a D2 driver coupled to a multi-band Progressive Transition Waveguide and available in 60x40 or 90x50 coverage patterns. The CSX F-35 is Stackable and includes M10 mounting points.</v>
      </c>
      <c r="I724" s="101" t="str">
        <f>(IF((VLOOKUP(Table6[[#This Row],[SKU]],'All Skus'!$A:$AC,2,FALSE))="JBL",(VLOOKUP(Table6[[#This Row],[SKU]],'All Skus'!$A:$AC,10,FALSE)),""))</f>
        <v>“Price On Application (POA) Contact your Representative"</v>
      </c>
      <c r="J724" s="101" t="str">
        <f>(IF((VLOOKUP(Table6[[#This Row],[SKU]],'All Skus'!$A:$AC,2,FALSE))="JBL",(VLOOKUP(Table6[[#This Row],[SKU]],'All Skus'!$A:$AC,11,FALSE)),""))</f>
        <v>“Price On Application (POA) Contact your Representative"</v>
      </c>
      <c r="K724" s="102">
        <f>(IF((VLOOKUP(Table6[[#This Row],[SKU]],'All Skus'!$A:$AC,2,FALSE))="JBL",(VLOOKUP(Table6[[#This Row],[SKU]],'All Skus'!$A:$AC,13,FALSE)),""))</f>
        <v>0</v>
      </c>
      <c r="L724" s="102">
        <f>(IF((VLOOKUP(Table6[[#This Row],[SKU]],'All Skus'!$A:$AC,2,FALSE))="JBL",(VLOOKUP(Table6[[#This Row],[SKU]],'All Skus'!$A:$AC,14,FALSE)),""))</f>
        <v>0</v>
      </c>
      <c r="M724" s="143">
        <f>(IF((VLOOKUP(Table6[[#This Row],[SKU]],'All Skus'!$A:$AC,2,FALSE))="JBL",(VLOOKUP(Table6[[#This Row],[SKU]],'All Skus'!$A:$AC,15,FALSE)),""))</f>
        <v>0</v>
      </c>
      <c r="N724" s="137">
        <f>(IF((VLOOKUP(Table6[[#This Row],[SKU]],'All Skus'!$A:$AC,2,FALSE))="JBL",(VLOOKUP(Table6[[#This Row],[SKU]],'All Skus'!$A:$AC,16,FALSE)),""))</f>
        <v>5706681000821</v>
      </c>
      <c r="O724" s="61">
        <f>(IF((VLOOKUP(Table6[[#This Row],[SKU]],'All Skus'!$A:$AC,2,FALSE))="JBL",(VLOOKUP(Table6[[#This Row],[SKU]],'All Skus'!$A:$AC,17,FALSE)),""))</f>
        <v>0</v>
      </c>
      <c r="P724" s="136">
        <f>(IF((VLOOKUP(Table6[[#This Row],[SKU]],'All Skus'!$A:$AC,2,FALSE))="JBL",(VLOOKUP(Table6[[#This Row],[SKU]],'All Skus'!$A:$AC,18,FALSE)),""))</f>
        <v>0</v>
      </c>
      <c r="Q724" s="136">
        <f>(IF((VLOOKUP(Table6[[#This Row],[SKU]],'All Skus'!$A:$AC,2,FALSE))="JBL",(VLOOKUP(Table6[[#This Row],[SKU]],'All Skus'!$A:$AC,19,FALSE)),""))</f>
        <v>0</v>
      </c>
      <c r="R724" s="136">
        <f>(IF((VLOOKUP(Table6[[#This Row],[SKU]],'All Skus'!$A:$AC,2,FALSE))="JBL",(VLOOKUP(Table6[[#This Row],[SKU]],'All Skus'!$A:$AC,20,FALSE)),""))</f>
        <v>0</v>
      </c>
      <c r="S724" s="61">
        <f>(IF((VLOOKUP(Table6[[#This Row],[SKU]],'All Skus'!$A:$AC,2,FALSE))="JBL",(VLOOKUP(Table6[[#This Row],[SKU]],'All Skus'!$A:$AC,21,FALSE)),""))</f>
        <v>0</v>
      </c>
      <c r="T724" s="61" t="str">
        <f>(IF((VLOOKUP(Table6[[#This Row],[SKU]],'All Skus'!$A:$AC,2,FALSE))="JBL",(VLOOKUP(Table6[[#This Row],[SKU]],'All Skus'!$A:$AC,22,FALSE)),""))</f>
        <v>MX</v>
      </c>
      <c r="U724">
        <f>(IF((VLOOKUP(Table6[[#This Row],[SKU]],'All Skus'!$A:$AC,2,FALSE))="JBL",(VLOOKUP(Table6[[#This Row],[SKU]],'All Skus'!$A:$AC,23,FALSE)),""))</f>
        <v>0</v>
      </c>
      <c r="V724" s="284" t="str">
        <f>HYPERLINK((IF((VLOOKUP(Table6[[#This Row],[SKU]],'All Skus'!$A:$AC,2,FALSE))="JBL",(VLOOKUP(Table6[[#This Row],[SKU]],'All Skus'!$A:$AC,24,FALSE)),"")))</f>
        <v/>
      </c>
      <c r="W724" s="151">
        <v>721</v>
      </c>
    </row>
    <row r="725" spans="1:23" ht="15" hidden="1" customHeight="1">
      <c r="A725" s="91" t="s">
        <v>1734</v>
      </c>
      <c r="B725" s="12">
        <f>(IF((VLOOKUP(Table6[[#This Row],[SKU]],'All Skus'!$A:$AC,2,FALSE))="JBL",(VLOOKUP(Table6[[#This Row],[SKU]],'All Skus'!$A:$AC,3,FALSE)),""))</f>
        <v>0</v>
      </c>
      <c r="C725" s="12">
        <f>(IF((VLOOKUP(Table6[[#This Row],[SKU]],'All Skus'!$A:$AC,2,FALSE))="JBL",(VLOOKUP(Table6[[#This Row],[SKU]],'All Skus'!$A:$AC,4,FALSE)),""))</f>
        <v>0</v>
      </c>
      <c r="D725" s="61">
        <f>(IF((VLOOKUP(Table6[[#This Row],[SKU]],'All Skus'!$A:$AC,2,FALSE))="JBL",(VLOOKUP(Table6[[#This Row],[SKU]],'All Skus'!$A:$AC,5,FALSE)),""))</f>
        <v>0</v>
      </c>
      <c r="E725" s="137">
        <f>(IF((VLOOKUP(Table6[[#This Row],[SKU]],'All Skus'!$A:$AC,2,FALSE))="JBL",(VLOOKUP(Table6[[#This Row],[SKU]],'All Skus'!$A:$AC,6,FALSE)),""))</f>
        <v>0</v>
      </c>
      <c r="F725" s="61">
        <f>(IF((VLOOKUP(Table6[[#This Row],[SKU]],'All Skus'!$A:$AC,2,FALSE))="JBL",(VLOOKUP(Table6[[#This Row],[SKU]],'All Skus'!$A:$AC,7,FALSE)),""))</f>
        <v>0</v>
      </c>
      <c r="G725">
        <f>(IF((VLOOKUP(Table6[[#This Row],[SKU]],'All Skus'!$A:$AC,2,FALSE))="JBL",(VLOOKUP(Table6[[#This Row],[SKU]],'All Skus'!$A:$AC,8,FALSE)),""))</f>
        <v>0</v>
      </c>
      <c r="H725" s="8">
        <f>(IF((VLOOKUP(Table6[[#This Row],[SKU]],'All Skus'!$A:$AC,2,FALSE))="JBL",(VLOOKUP(Table6[[#This Row],[SKU]],'All Skus'!$A:$AC,9,FALSE)),""))</f>
        <v>0</v>
      </c>
      <c r="I725" s="101">
        <f>(IF((VLOOKUP(Table6[[#This Row],[SKU]],'All Skus'!$A:$AC,2,FALSE))="JBL",(VLOOKUP(Table6[[#This Row],[SKU]],'All Skus'!$A:$AC,10,FALSE)),""))</f>
        <v>0</v>
      </c>
      <c r="J725" s="101">
        <f>(IF((VLOOKUP(Table6[[#This Row],[SKU]],'All Skus'!$A:$AC,2,FALSE))="JBL",(VLOOKUP(Table6[[#This Row],[SKU]],'All Skus'!$A:$AC,11,FALSE)),""))</f>
        <v>0</v>
      </c>
      <c r="K725" s="102">
        <f>(IF((VLOOKUP(Table6[[#This Row],[SKU]],'All Skus'!$A:$AC,2,FALSE))="JBL",(VLOOKUP(Table6[[#This Row],[SKU]],'All Skus'!$A:$AC,13,FALSE)),""))</f>
        <v>0</v>
      </c>
      <c r="L725" s="102">
        <f>(IF((VLOOKUP(Table6[[#This Row],[SKU]],'All Skus'!$A:$AC,2,FALSE))="JBL",(VLOOKUP(Table6[[#This Row],[SKU]],'All Skus'!$A:$AC,14,FALSE)),""))</f>
        <v>0</v>
      </c>
      <c r="M725" s="143">
        <f>(IF((VLOOKUP(Table6[[#This Row],[SKU]],'All Skus'!$A:$AC,2,FALSE))="JBL",(VLOOKUP(Table6[[#This Row],[SKU]],'All Skus'!$A:$AC,15,FALSE)),""))</f>
        <v>0</v>
      </c>
      <c r="N725" s="137">
        <f>(IF((VLOOKUP(Table6[[#This Row],[SKU]],'All Skus'!$A:$AC,2,FALSE))="JBL",(VLOOKUP(Table6[[#This Row],[SKU]],'All Skus'!$A:$AC,16,FALSE)),""))</f>
        <v>0</v>
      </c>
      <c r="O725" s="61">
        <f>(IF((VLOOKUP(Table6[[#This Row],[SKU]],'All Skus'!$A:$AC,2,FALSE))="JBL",(VLOOKUP(Table6[[#This Row],[SKU]],'All Skus'!$A:$AC,17,FALSE)),""))</f>
        <v>0</v>
      </c>
      <c r="P725" s="136">
        <f>(IF((VLOOKUP(Table6[[#This Row],[SKU]],'All Skus'!$A:$AC,2,FALSE))="JBL",(VLOOKUP(Table6[[#This Row],[SKU]],'All Skus'!$A:$AC,18,FALSE)),""))</f>
        <v>0</v>
      </c>
      <c r="Q725" s="136">
        <f>(IF((VLOOKUP(Table6[[#This Row],[SKU]],'All Skus'!$A:$AC,2,FALSE))="JBL",(VLOOKUP(Table6[[#This Row],[SKU]],'All Skus'!$A:$AC,19,FALSE)),""))</f>
        <v>0</v>
      </c>
      <c r="R725" s="136">
        <f>(IF((VLOOKUP(Table6[[#This Row],[SKU]],'All Skus'!$A:$AC,2,FALSE))="JBL",(VLOOKUP(Table6[[#This Row],[SKU]],'All Skus'!$A:$AC,20,FALSE)),""))</f>
        <v>0</v>
      </c>
      <c r="S725" s="61">
        <f>(IF((VLOOKUP(Table6[[#This Row],[SKU]],'All Skus'!$A:$AC,2,FALSE))="JBL",(VLOOKUP(Table6[[#This Row],[SKU]],'All Skus'!$A:$AC,21,FALSE)),""))</f>
        <v>0</v>
      </c>
      <c r="T725" s="61">
        <f>(IF((VLOOKUP(Table6[[#This Row],[SKU]],'All Skus'!$A:$AC,2,FALSE))="JBL",(VLOOKUP(Table6[[#This Row],[SKU]],'All Skus'!$A:$AC,22,FALSE)),""))</f>
        <v>0</v>
      </c>
      <c r="U725">
        <f>(IF((VLOOKUP(Table6[[#This Row],[SKU]],'All Skus'!$A:$AC,2,FALSE))="JBL",(VLOOKUP(Table6[[#This Row],[SKU]],'All Skus'!$A:$AC,23,FALSE)),""))</f>
        <v>0</v>
      </c>
      <c r="V725" s="284" t="str">
        <f>HYPERLINK((IF((VLOOKUP(Table6[[#This Row],[SKU]],'All Skus'!$A:$AC,2,FALSE))="JBL",(VLOOKUP(Table6[[#This Row],[SKU]],'All Skus'!$A:$AC,24,FALSE)),"")))</f>
        <v/>
      </c>
      <c r="W725" s="151">
        <v>722</v>
      </c>
    </row>
    <row r="726" spans="1:23" ht="15" hidden="1" customHeight="1">
      <c r="A726" s="13" t="s">
        <v>1735</v>
      </c>
      <c r="B726" s="12" t="str">
        <f>(IF((VLOOKUP(Table6[[#This Row],[SKU]],'All Skus'!$A:$AC,2,FALSE))="JBL",(VLOOKUP(Table6[[#This Row],[SKU]],'All Skus'!$A:$AC,3,FALSE)),""))</f>
        <v>VTX -M Series</v>
      </c>
      <c r="C726" s="12" t="str">
        <f>(IF((VLOOKUP(Table6[[#This Row],[SKU]],'All Skus'!$A:$AC,2,FALSE))="JBL",(VLOOKUP(Table6[[#This Row],[SKU]],'All Skus'!$A:$AC,4,FALSE)),""))</f>
        <v>VTX-M20</v>
      </c>
      <c r="D726" s="61" t="str">
        <f>(IF((VLOOKUP(Table6[[#This Row],[SKU]],'All Skus'!$A:$AC,2,FALSE))="JBL",(VLOOKUP(Table6[[#This Row],[SKU]],'All Skus'!$A:$AC,5,FALSE)),""))</f>
        <v>JBL046</v>
      </c>
      <c r="E726" s="137" t="str">
        <f>(IF((VLOOKUP(Table6[[#This Row],[SKU]],'All Skus'!$A:$AC,2,FALSE))="JBL",(VLOOKUP(Table6[[#This Row],[SKU]],'All Skus'!$A:$AC,6,FALSE)),""))</f>
        <v>YES</v>
      </c>
      <c r="F726" s="61">
        <f>(IF((VLOOKUP(Table6[[#This Row],[SKU]],'All Skus'!$A:$AC,2,FALSE))="JBL",(VLOOKUP(Table6[[#This Row],[SKU]],'All Skus'!$A:$AC,7,FALSE)),""))</f>
        <v>0</v>
      </c>
      <c r="G726" t="str">
        <f>(IF((VLOOKUP(Table6[[#This Row],[SKU]],'All Skus'!$A:$AC,2,FALSE))="JBL",(VLOOKUP(Table6[[#This Row],[SKU]],'All Skus'!$A:$AC,8,FALSE)),""))</f>
        <v>VTX-M20</v>
      </c>
      <c r="H726" s="8" t="str">
        <f>(IF((VLOOKUP(Table6[[#This Row],[SKU]],'All Skus'!$A:$AC,2,FALSE))="JBL",(VLOOKUP(Table6[[#This Row],[SKU]],'All Skus'!$A:$AC,9,FALSE)),""))</f>
        <v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v>
      </c>
      <c r="I726" s="101" t="str">
        <f>(IF((VLOOKUP(Table6[[#This Row],[SKU]],'All Skus'!$A:$AC,2,FALSE))="JBL",(VLOOKUP(Table6[[#This Row],[SKU]],'All Skus'!$A:$AC,10,FALSE)),""))</f>
        <v>“Price On Application (POA) Contact your Representative"</v>
      </c>
      <c r="J726" s="101" t="str">
        <f>(IF((VLOOKUP(Table6[[#This Row],[SKU]],'All Skus'!$A:$AC,2,FALSE))="JBL",(VLOOKUP(Table6[[#This Row],[SKU]],'All Skus'!$A:$AC,11,FALSE)),""))</f>
        <v>“Price On Application (POA) Contact your Representative"</v>
      </c>
      <c r="K726" s="102">
        <f>(IF((VLOOKUP(Table6[[#This Row],[SKU]],'All Skus'!$A:$AC,2,FALSE))="JBL",(VLOOKUP(Table6[[#This Row],[SKU]],'All Skus'!$A:$AC,13,FALSE)),""))</f>
        <v>0</v>
      </c>
      <c r="L726" s="102">
        <f>(IF((VLOOKUP(Table6[[#This Row],[SKU]],'All Skus'!$A:$AC,2,FALSE))="JBL",(VLOOKUP(Table6[[#This Row],[SKU]],'All Skus'!$A:$AC,14,FALSE)),""))</f>
        <v>0</v>
      </c>
      <c r="M726" s="143">
        <f>(IF((VLOOKUP(Table6[[#This Row],[SKU]],'All Skus'!$A:$AC,2,FALSE))="JBL",(VLOOKUP(Table6[[#This Row],[SKU]],'All Skus'!$A:$AC,15,FALSE)),""))</f>
        <v>0</v>
      </c>
      <c r="N726" s="137">
        <f>(IF((VLOOKUP(Table6[[#This Row],[SKU]],'All Skus'!$A:$AC,2,FALSE))="JBL",(VLOOKUP(Table6[[#This Row],[SKU]],'All Skus'!$A:$AC,16,FALSE)),""))</f>
        <v>691991012952</v>
      </c>
      <c r="O726" s="61">
        <f>(IF((VLOOKUP(Table6[[#This Row],[SKU]],'All Skus'!$A:$AC,2,FALSE))="JBL",(VLOOKUP(Table6[[#This Row],[SKU]],'All Skus'!$A:$AC,17,FALSE)),""))</f>
        <v>0</v>
      </c>
      <c r="P726" s="136">
        <f>(IF((VLOOKUP(Table6[[#This Row],[SKU]],'All Skus'!$A:$AC,2,FALSE))="JBL",(VLOOKUP(Table6[[#This Row],[SKU]],'All Skus'!$A:$AC,18,FALSE)),""))</f>
        <v>62</v>
      </c>
      <c r="Q726" s="136">
        <f>(IF((VLOOKUP(Table6[[#This Row],[SKU]],'All Skus'!$A:$AC,2,FALSE))="JBL",(VLOOKUP(Table6[[#This Row],[SKU]],'All Skus'!$A:$AC,19,FALSE)),""))</f>
        <v>24</v>
      </c>
      <c r="R726" s="136">
        <f>(IF((VLOOKUP(Table6[[#This Row],[SKU]],'All Skus'!$A:$AC,2,FALSE))="JBL",(VLOOKUP(Table6[[#This Row],[SKU]],'All Skus'!$A:$AC,20,FALSE)),""))</f>
        <v>20</v>
      </c>
      <c r="S726" s="61">
        <f>(IF((VLOOKUP(Table6[[#This Row],[SKU]],'All Skus'!$A:$AC,2,FALSE))="JBL",(VLOOKUP(Table6[[#This Row],[SKU]],'All Skus'!$A:$AC,21,FALSE)),""))</f>
        <v>25</v>
      </c>
      <c r="T726" s="61" t="str">
        <f>(IF((VLOOKUP(Table6[[#This Row],[SKU]],'All Skus'!$A:$AC,2,FALSE))="JBL",(VLOOKUP(Table6[[#This Row],[SKU]],'All Skus'!$A:$AC,22,FALSE)),""))</f>
        <v>MX</v>
      </c>
      <c r="U726">
        <f>(IF((VLOOKUP(Table6[[#This Row],[SKU]],'All Skus'!$A:$AC,2,FALSE))="JBL",(VLOOKUP(Table6[[#This Row],[SKU]],'All Skus'!$A:$AC,23,FALSE)),""))</f>
        <v>0</v>
      </c>
      <c r="V726" s="284" t="str">
        <f>HYPERLINK((IF((VLOOKUP(Table6[[#This Row],[SKU]],'All Skus'!$A:$AC,2,FALSE))="JBL",(VLOOKUP(Table6[[#This Row],[SKU]],'All Skus'!$A:$AC,24,FALSE)),"")))</f>
        <v/>
      </c>
      <c r="W726" s="151">
        <v>723</v>
      </c>
    </row>
    <row r="727" spans="1:23" ht="15" hidden="1" customHeight="1">
      <c r="A727" s="13" t="s">
        <v>1736</v>
      </c>
      <c r="B727" s="12" t="str">
        <f>(IF((VLOOKUP(Table6[[#This Row],[SKU]],'All Skus'!$A:$AC,2,FALSE))="JBL",(VLOOKUP(Table6[[#This Row],[SKU]],'All Skus'!$A:$AC,3,FALSE)),""))</f>
        <v>VTX -M Series</v>
      </c>
      <c r="C727" s="12" t="str">
        <f>(IF((VLOOKUP(Table6[[#This Row],[SKU]],'All Skus'!$A:$AC,2,FALSE))="JBL",(VLOOKUP(Table6[[#This Row],[SKU]],'All Skus'!$A:$AC,4,FALSE)),""))</f>
        <v>VTX-M22</v>
      </c>
      <c r="D727" s="61" t="str">
        <f>(IF((VLOOKUP(Table6[[#This Row],[SKU]],'All Skus'!$A:$AC,2,FALSE))="JBL",(VLOOKUP(Table6[[#This Row],[SKU]],'All Skus'!$A:$AC,5,FALSE)),""))</f>
        <v>JBL046</v>
      </c>
      <c r="E727" s="137" t="str">
        <f>(IF((VLOOKUP(Table6[[#This Row],[SKU]],'All Skus'!$A:$AC,2,FALSE))="JBL",(VLOOKUP(Table6[[#This Row],[SKU]],'All Skus'!$A:$AC,6,FALSE)),""))</f>
        <v>YES</v>
      </c>
      <c r="F727" s="61">
        <f>(IF((VLOOKUP(Table6[[#This Row],[SKU]],'All Skus'!$A:$AC,2,FALSE))="JBL",(VLOOKUP(Table6[[#This Row],[SKU]],'All Skus'!$A:$AC,7,FALSE)),""))</f>
        <v>0</v>
      </c>
      <c r="G727" t="str">
        <f>(IF((VLOOKUP(Table6[[#This Row],[SKU]],'All Skus'!$A:$AC,2,FALSE))="JBL",(VLOOKUP(Table6[[#This Row],[SKU]],'All Skus'!$A:$AC,8,FALSE)),""))</f>
        <v>VTX-M22</v>
      </c>
      <c r="H727" s="8" t="str">
        <f>(IF((VLOOKUP(Table6[[#This Row],[SKU]],'All Skus'!$A:$AC,2,FALSE))="JBL",(VLOOKUP(Table6[[#This Row],[SKU]],'All Skus'!$A:$AC,9,FALSE)),""))</f>
        <v xml:space="preserve">VTX M Series is JBL’s latest in premium stage monitoring products designed for the most demanding, highest output stage monitoring applications, including high profile concerts, broadcast events or fixed installations. The line is comprised of the dual-10” VTX M20 and the dual-12” VTX M22 both featuring  neodymium Differential Drive woofers making the two products some of the lightest monitors in their class. The high frequency section features a unique newly developed, diamond shaped waveguide that is based on JBL’s Image Control technology - a technology originally developed for the M2 Master Reference studio monitor. The new waveguide coupled with a D2 Dual Diaphragm high frequency delivers a symmetrical 60H x 60V coverage pattern that is spatially consistent, allowing M-Series to reach excellent gain before feedback performance. Both the M20 and M22 can be configured to operate in Single Channel or Dual Channel (Bi-Amp) modes via the easily accessible mode selection switches. </v>
      </c>
      <c r="I727" s="101" t="str">
        <f>(IF((VLOOKUP(Table6[[#This Row],[SKU]],'All Skus'!$A:$AC,2,FALSE))="JBL",(VLOOKUP(Table6[[#This Row],[SKU]],'All Skus'!$A:$AC,10,FALSE)),""))</f>
        <v>“Price On Application (POA) Contact your Representative"</v>
      </c>
      <c r="J727" s="101" t="str">
        <f>(IF((VLOOKUP(Table6[[#This Row],[SKU]],'All Skus'!$A:$AC,2,FALSE))="JBL",(VLOOKUP(Table6[[#This Row],[SKU]],'All Skus'!$A:$AC,11,FALSE)),""))</f>
        <v>“Price On Application (POA) Contact your Representative"</v>
      </c>
      <c r="K727" s="102">
        <f>(IF((VLOOKUP(Table6[[#This Row],[SKU]],'All Skus'!$A:$AC,2,FALSE))="JBL",(VLOOKUP(Table6[[#This Row],[SKU]],'All Skus'!$A:$AC,13,FALSE)),""))</f>
        <v>0</v>
      </c>
      <c r="L727" s="102">
        <f>(IF((VLOOKUP(Table6[[#This Row],[SKU]],'All Skus'!$A:$AC,2,FALSE))="JBL",(VLOOKUP(Table6[[#This Row],[SKU]],'All Skus'!$A:$AC,14,FALSE)),""))</f>
        <v>0</v>
      </c>
      <c r="M727" s="143">
        <f>(IF((VLOOKUP(Table6[[#This Row],[SKU]],'All Skus'!$A:$AC,2,FALSE))="JBL",(VLOOKUP(Table6[[#This Row],[SKU]],'All Skus'!$A:$AC,15,FALSE)),""))</f>
        <v>0</v>
      </c>
      <c r="N727" s="137">
        <f>(IF((VLOOKUP(Table6[[#This Row],[SKU]],'All Skus'!$A:$AC,2,FALSE))="JBL",(VLOOKUP(Table6[[#This Row],[SKU]],'All Skus'!$A:$AC,16,FALSE)),""))</f>
        <v>691991012969</v>
      </c>
      <c r="O727" s="61">
        <f>(IF((VLOOKUP(Table6[[#This Row],[SKU]],'All Skus'!$A:$AC,2,FALSE))="JBL",(VLOOKUP(Table6[[#This Row],[SKU]],'All Skus'!$A:$AC,17,FALSE)),""))</f>
        <v>0</v>
      </c>
      <c r="P727" s="136">
        <f>(IF((VLOOKUP(Table6[[#This Row],[SKU]],'All Skus'!$A:$AC,2,FALSE))="JBL",(VLOOKUP(Table6[[#This Row],[SKU]],'All Skus'!$A:$AC,18,FALSE)),""))</f>
        <v>75</v>
      </c>
      <c r="Q727" s="136">
        <f>(IF((VLOOKUP(Table6[[#This Row],[SKU]],'All Skus'!$A:$AC,2,FALSE))="JBL",(VLOOKUP(Table6[[#This Row],[SKU]],'All Skus'!$A:$AC,19,FALSE)),""))</f>
        <v>29</v>
      </c>
      <c r="R727" s="136">
        <f>(IF((VLOOKUP(Table6[[#This Row],[SKU]],'All Skus'!$A:$AC,2,FALSE))="JBL",(VLOOKUP(Table6[[#This Row],[SKU]],'All Skus'!$A:$AC,20,FALSE)),""))</f>
        <v>21.5</v>
      </c>
      <c r="S727" s="61">
        <f>(IF((VLOOKUP(Table6[[#This Row],[SKU]],'All Skus'!$A:$AC,2,FALSE))="JBL",(VLOOKUP(Table6[[#This Row],[SKU]],'All Skus'!$A:$AC,21,FALSE)),""))</f>
        <v>26</v>
      </c>
      <c r="T727" s="61" t="str">
        <f>(IF((VLOOKUP(Table6[[#This Row],[SKU]],'All Skus'!$A:$AC,2,FALSE))="JBL",(VLOOKUP(Table6[[#This Row],[SKU]],'All Skus'!$A:$AC,22,FALSE)),""))</f>
        <v>MX</v>
      </c>
      <c r="U727">
        <f>(IF((VLOOKUP(Table6[[#This Row],[SKU]],'All Skus'!$A:$AC,2,FALSE))="JBL",(VLOOKUP(Table6[[#This Row],[SKU]],'All Skus'!$A:$AC,23,FALSE)),""))</f>
        <v>0</v>
      </c>
      <c r="V727" s="284" t="str">
        <f>HYPERLINK((IF((VLOOKUP(Table6[[#This Row],[SKU]],'All Skus'!$A:$AC,2,FALSE))="JBL",(VLOOKUP(Table6[[#This Row],[SKU]],'All Skus'!$A:$AC,24,FALSE)),"")))</f>
        <v/>
      </c>
      <c r="W727" s="151">
        <v>724</v>
      </c>
    </row>
    <row r="728" spans="1:23" ht="15" hidden="1" customHeight="1">
      <c r="A728" s="13" t="s">
        <v>1737</v>
      </c>
      <c r="B728" s="12" t="str">
        <f>(IF((VLOOKUP(Table6[[#This Row],[SKU]],'All Skus'!$A:$AC,2,FALSE))="JBL",(VLOOKUP(Table6[[#This Row],[SKU]],'All Skus'!$A:$AC,3,FALSE)),""))</f>
        <v>VTX SERIES</v>
      </c>
      <c r="C728" s="12" t="str">
        <f>(IF((VLOOKUP(Table6[[#This Row],[SKU]],'All Skus'!$A:$AC,2,FALSE))="JBL",(VLOOKUP(Table6[[#This Row],[SKU]],'All Skus'!$A:$AC,4,FALSE)),""))</f>
        <v>VTX-S25-VT</v>
      </c>
      <c r="D728" s="61" t="str">
        <f>(IF((VLOOKUP(Table6[[#This Row],[SKU]],'All Skus'!$A:$AC,2,FALSE))="JBL",(VLOOKUP(Table6[[#This Row],[SKU]],'All Skus'!$A:$AC,5,FALSE)),""))</f>
        <v>JBL046</v>
      </c>
      <c r="E728" s="137" t="str">
        <f>(IF((VLOOKUP(Table6[[#This Row],[SKU]],'All Skus'!$A:$AC,2,FALSE))="JBL",(VLOOKUP(Table6[[#This Row],[SKU]],'All Skus'!$A:$AC,6,FALSE)),""))</f>
        <v>YES</v>
      </c>
      <c r="F728" s="61">
        <f>(IF((VLOOKUP(Table6[[#This Row],[SKU]],'All Skus'!$A:$AC,2,FALSE))="JBL",(VLOOKUP(Table6[[#This Row],[SKU]],'All Skus'!$A:$AC,7,FALSE)),""))</f>
        <v>0</v>
      </c>
      <c r="G728" t="str">
        <f>(IF((VLOOKUP(Table6[[#This Row],[SKU]],'All Skus'!$A:$AC,2,FALSE))="JBL",(VLOOKUP(Table6[[#This Row],[SKU]],'All Skus'!$A:$AC,8,FALSE)),""))</f>
        <v>VTX-S25-VT</v>
      </c>
      <c r="H728" s="8" t="str">
        <f>(IF((VLOOKUP(Table6[[#This Row],[SKU]],'All Skus'!$A:$AC,2,FALSE))="JBL",(VLOOKUP(Table6[[#This Row],[SKU]],'All Skus'!$A:$AC,9,FALSE)),""))</f>
        <v>VTX S25 Vertical Transporter for transportation of up to three VTX S25 enclosures in a vertical column in either front-firing or cardioid mode. Includes: dolley board with four tour grade casters (2 locking casters per dolley board). Reinforced protective cover (VTX-S25-VT-CVR) supplied separately.</v>
      </c>
      <c r="I728" s="101" t="str">
        <f>(IF((VLOOKUP(Table6[[#This Row],[SKU]],'All Skus'!$A:$AC,2,FALSE))="JBL",(VLOOKUP(Table6[[#This Row],[SKU]],'All Skus'!$A:$AC,10,FALSE)),""))</f>
        <v>“Price On Application (POA) Contact your Representative"</v>
      </c>
      <c r="J728" s="101" t="str">
        <f>(IF((VLOOKUP(Table6[[#This Row],[SKU]],'All Skus'!$A:$AC,2,FALSE))="JBL",(VLOOKUP(Table6[[#This Row],[SKU]],'All Skus'!$A:$AC,11,FALSE)),""))</f>
        <v>“Price On Application (POA) Contact your Representative"</v>
      </c>
      <c r="K728" s="102">
        <f>(IF((VLOOKUP(Table6[[#This Row],[SKU]],'All Skus'!$A:$AC,2,FALSE))="JBL",(VLOOKUP(Table6[[#This Row],[SKU]],'All Skus'!$A:$AC,13,FALSE)),""))</f>
        <v>0</v>
      </c>
      <c r="L728" s="102">
        <f>(IF((VLOOKUP(Table6[[#This Row],[SKU]],'All Skus'!$A:$AC,2,FALSE))="JBL",(VLOOKUP(Table6[[#This Row],[SKU]],'All Skus'!$A:$AC,14,FALSE)),""))</f>
        <v>0</v>
      </c>
      <c r="M728" s="143">
        <f>(IF((VLOOKUP(Table6[[#This Row],[SKU]],'All Skus'!$A:$AC,2,FALSE))="JBL",(VLOOKUP(Table6[[#This Row],[SKU]],'All Skus'!$A:$AC,15,FALSE)),""))</f>
        <v>0</v>
      </c>
      <c r="N728" s="137">
        <f>(IF((VLOOKUP(Table6[[#This Row],[SKU]],'All Skus'!$A:$AC,2,FALSE))="JBL",(VLOOKUP(Table6[[#This Row],[SKU]],'All Skus'!$A:$AC,16,FALSE)),""))</f>
        <v>691991012983</v>
      </c>
      <c r="O728" s="61">
        <f>(IF((VLOOKUP(Table6[[#This Row],[SKU]],'All Skus'!$A:$AC,2,FALSE))="JBL",(VLOOKUP(Table6[[#This Row],[SKU]],'All Skus'!$A:$AC,17,FALSE)),""))</f>
        <v>0</v>
      </c>
      <c r="P728" s="136">
        <f>(IF((VLOOKUP(Table6[[#This Row],[SKU]],'All Skus'!$A:$AC,2,FALSE))="JBL",(VLOOKUP(Table6[[#This Row],[SKU]],'All Skus'!$A:$AC,18,FALSE)),""))</f>
        <v>47</v>
      </c>
      <c r="Q728" s="136">
        <f>(IF((VLOOKUP(Table6[[#This Row],[SKU]],'All Skus'!$A:$AC,2,FALSE))="JBL",(VLOOKUP(Table6[[#This Row],[SKU]],'All Skus'!$A:$AC,19,FALSE)),""))</f>
        <v>38.5</v>
      </c>
      <c r="R728" s="136">
        <f>(IF((VLOOKUP(Table6[[#This Row],[SKU]],'All Skus'!$A:$AC,2,FALSE))="JBL",(VLOOKUP(Table6[[#This Row],[SKU]],'All Skus'!$A:$AC,20,FALSE)),""))</f>
        <v>10.5</v>
      </c>
      <c r="S728" s="61">
        <f>(IF((VLOOKUP(Table6[[#This Row],[SKU]],'All Skus'!$A:$AC,2,FALSE))="JBL",(VLOOKUP(Table6[[#This Row],[SKU]],'All Skus'!$A:$AC,21,FALSE)),""))</f>
        <v>27</v>
      </c>
      <c r="T728" s="61" t="str">
        <f>(IF((VLOOKUP(Table6[[#This Row],[SKU]],'All Skus'!$A:$AC,2,FALSE))="JBL",(VLOOKUP(Table6[[#This Row],[SKU]],'All Skus'!$A:$AC,22,FALSE)),""))</f>
        <v>MX</v>
      </c>
      <c r="U728">
        <f>(IF((VLOOKUP(Table6[[#This Row],[SKU]],'All Skus'!$A:$AC,2,FALSE))="JBL",(VLOOKUP(Table6[[#This Row],[SKU]],'All Skus'!$A:$AC,23,FALSE)),""))</f>
        <v>0</v>
      </c>
      <c r="V728" s="284" t="str">
        <f>HYPERLINK((IF((VLOOKUP(Table6[[#This Row],[SKU]],'All Skus'!$A:$AC,2,FALSE))="JBL",(VLOOKUP(Table6[[#This Row],[SKU]],'All Skus'!$A:$AC,24,FALSE)),"")))</f>
        <v/>
      </c>
      <c r="W728" s="151">
        <v>725</v>
      </c>
    </row>
    <row r="729" spans="1:23" ht="15" hidden="1" customHeight="1">
      <c r="A729" s="13" t="s">
        <v>1738</v>
      </c>
      <c r="B729" s="12" t="str">
        <f>(IF((VLOOKUP(Table6[[#This Row],[SKU]],'All Skus'!$A:$AC,2,FALSE))="JBL",(VLOOKUP(Table6[[#This Row],[SKU]],'All Skus'!$A:$AC,3,FALSE)),""))</f>
        <v>VTX SERIES</v>
      </c>
      <c r="C729" s="12" t="str">
        <f>(IF((VLOOKUP(Table6[[#This Row],[SKU]],'All Skus'!$A:$AC,2,FALSE))="JBL",(VLOOKUP(Table6[[#This Row],[SKU]],'All Skus'!$A:$AC,4,FALSE)),""))</f>
        <v>VTX-S25-VT-CVR</v>
      </c>
      <c r="D729" s="61" t="str">
        <f>(IF((VLOOKUP(Table6[[#This Row],[SKU]],'All Skus'!$A:$AC,2,FALSE))="JBL",(VLOOKUP(Table6[[#This Row],[SKU]],'All Skus'!$A:$AC,5,FALSE)),""))</f>
        <v>JBL046</v>
      </c>
      <c r="E729" s="137" t="str">
        <f>(IF((VLOOKUP(Table6[[#This Row],[SKU]],'All Skus'!$A:$AC,2,FALSE))="JBL",(VLOOKUP(Table6[[#This Row],[SKU]],'All Skus'!$A:$AC,6,FALSE)),""))</f>
        <v>YES</v>
      </c>
      <c r="F729" s="61">
        <f>(IF((VLOOKUP(Table6[[#This Row],[SKU]],'All Skus'!$A:$AC,2,FALSE))="JBL",(VLOOKUP(Table6[[#This Row],[SKU]],'All Skus'!$A:$AC,7,FALSE)),""))</f>
        <v>0</v>
      </c>
      <c r="G729" t="str">
        <f>(IF((VLOOKUP(Table6[[#This Row],[SKU]],'All Skus'!$A:$AC,2,FALSE))="JBL",(VLOOKUP(Table6[[#This Row],[SKU]],'All Skus'!$A:$AC,8,FALSE)),""))</f>
        <v>VTX-S25-VT-CVR</v>
      </c>
      <c r="H729" s="8" t="str">
        <f>(IF((VLOOKUP(Table6[[#This Row],[SKU]],'All Skus'!$A:$AC,2,FALSE))="JBL",(VLOOKUP(Table6[[#This Row],[SKU]],'All Skus'!$A:$AC,9,FALSE)),""))</f>
        <v>VTX S25 Vertical Transporter Cover for use with VTX-S25-VT. Modular, reconfigurable design allows for protection of two or three VTX S25 enclosures in either front-firing or cardioid mode.</v>
      </c>
      <c r="I729" s="101" t="str">
        <f>(IF((VLOOKUP(Table6[[#This Row],[SKU]],'All Skus'!$A:$AC,2,FALSE))="JBL",(VLOOKUP(Table6[[#This Row],[SKU]],'All Skus'!$A:$AC,10,FALSE)),""))</f>
        <v>“Price On Application (POA) Contact your Representative"</v>
      </c>
      <c r="J729" s="101" t="str">
        <f>(IF((VLOOKUP(Table6[[#This Row],[SKU]],'All Skus'!$A:$AC,2,FALSE))="JBL",(VLOOKUP(Table6[[#This Row],[SKU]],'All Skus'!$A:$AC,11,FALSE)),""))</f>
        <v>“Price On Application (POA) Contact your Representative"</v>
      </c>
      <c r="K729" s="102">
        <f>(IF((VLOOKUP(Table6[[#This Row],[SKU]],'All Skus'!$A:$AC,2,FALSE))="JBL",(VLOOKUP(Table6[[#This Row],[SKU]],'All Skus'!$A:$AC,13,FALSE)),""))</f>
        <v>0</v>
      </c>
      <c r="L729" s="102">
        <f>(IF((VLOOKUP(Table6[[#This Row],[SKU]],'All Skus'!$A:$AC,2,FALSE))="JBL",(VLOOKUP(Table6[[#This Row],[SKU]],'All Skus'!$A:$AC,14,FALSE)),""))</f>
        <v>0</v>
      </c>
      <c r="M729" s="143">
        <f>(IF((VLOOKUP(Table6[[#This Row],[SKU]],'All Skus'!$A:$AC,2,FALSE))="JBL",(VLOOKUP(Table6[[#This Row],[SKU]],'All Skus'!$A:$AC,15,FALSE)),""))</f>
        <v>0</v>
      </c>
      <c r="N729" s="137">
        <f>(IF((VLOOKUP(Table6[[#This Row],[SKU]],'All Skus'!$A:$AC,2,FALSE))="JBL",(VLOOKUP(Table6[[#This Row],[SKU]],'All Skus'!$A:$AC,16,FALSE)),""))</f>
        <v>691991012990</v>
      </c>
      <c r="O729" s="61">
        <f>(IF((VLOOKUP(Table6[[#This Row],[SKU]],'All Skus'!$A:$AC,2,FALSE))="JBL",(VLOOKUP(Table6[[#This Row],[SKU]],'All Skus'!$A:$AC,17,FALSE)),""))</f>
        <v>0</v>
      </c>
      <c r="P729" s="136">
        <f>(IF((VLOOKUP(Table6[[#This Row],[SKU]],'All Skus'!$A:$AC,2,FALSE))="JBL",(VLOOKUP(Table6[[#This Row],[SKU]],'All Skus'!$A:$AC,18,FALSE)),""))</f>
        <v>20</v>
      </c>
      <c r="Q729" s="136">
        <f>(IF((VLOOKUP(Table6[[#This Row],[SKU]],'All Skus'!$A:$AC,2,FALSE))="JBL",(VLOOKUP(Table6[[#This Row],[SKU]],'All Skus'!$A:$AC,19,FALSE)),""))</f>
        <v>37</v>
      </c>
      <c r="R729" s="136">
        <f>(IF((VLOOKUP(Table6[[#This Row],[SKU]],'All Skus'!$A:$AC,2,FALSE))="JBL",(VLOOKUP(Table6[[#This Row],[SKU]],'All Skus'!$A:$AC,20,FALSE)),""))</f>
        <v>25</v>
      </c>
      <c r="S729" s="61">
        <f>(IF((VLOOKUP(Table6[[#This Row],[SKU]],'All Skus'!$A:$AC,2,FALSE))="JBL",(VLOOKUP(Table6[[#This Row],[SKU]],'All Skus'!$A:$AC,21,FALSE)),""))</f>
        <v>5</v>
      </c>
      <c r="T729" s="61" t="str">
        <f>(IF((VLOOKUP(Table6[[#This Row],[SKU]],'All Skus'!$A:$AC,2,FALSE))="JBL",(VLOOKUP(Table6[[#This Row],[SKU]],'All Skus'!$A:$AC,22,FALSE)),""))</f>
        <v>CN</v>
      </c>
      <c r="U729">
        <f>(IF((VLOOKUP(Table6[[#This Row],[SKU]],'All Skus'!$A:$AC,2,FALSE))="JBL",(VLOOKUP(Table6[[#This Row],[SKU]],'All Skus'!$A:$AC,23,FALSE)),""))</f>
        <v>0</v>
      </c>
      <c r="V729" s="284" t="str">
        <f>HYPERLINK((IF((VLOOKUP(Table6[[#This Row],[SKU]],'All Skus'!$A:$AC,2,FALSE))="JBL",(VLOOKUP(Table6[[#This Row],[SKU]],'All Skus'!$A:$AC,24,FALSE)),"")))</f>
        <v/>
      </c>
      <c r="W729" s="151">
        <v>726</v>
      </c>
    </row>
    <row r="730" spans="1:23" ht="15" hidden="1" customHeight="1">
      <c r="A730" s="13" t="s">
        <v>1739</v>
      </c>
      <c r="B730" s="12" t="str">
        <f>(IF((VLOOKUP(Table6[[#This Row],[SKU]],'All Skus'!$A:$AC,2,FALSE))="JBL",(VLOOKUP(Table6[[#This Row],[SKU]],'All Skus'!$A:$AC,3,FALSE)),""))</f>
        <v>VTX SERIES</v>
      </c>
      <c r="C730" s="12" t="str">
        <f>(IF((VLOOKUP(Table6[[#This Row],[SKU]],'All Skus'!$A:$AC,2,FALSE))="JBL",(VLOOKUP(Table6[[#This Row],[SKU]],'All Skus'!$A:$AC,4,FALSE)),""))</f>
        <v>VTX-S28-ACC</v>
      </c>
      <c r="D730" s="61" t="str">
        <f>(IF((VLOOKUP(Table6[[#This Row],[SKU]],'All Skus'!$A:$AC,2,FALSE))="JBL",(VLOOKUP(Table6[[#This Row],[SKU]],'All Skus'!$A:$AC,5,FALSE)),""))</f>
        <v>JBL046</v>
      </c>
      <c r="E730" s="137" t="str">
        <f>(IF((VLOOKUP(Table6[[#This Row],[SKU]],'All Skus'!$A:$AC,2,FALSE))="JBL",(VLOOKUP(Table6[[#This Row],[SKU]],'All Skus'!$A:$AC,6,FALSE)),""))</f>
        <v>YES</v>
      </c>
      <c r="F730" s="61">
        <f>(IF((VLOOKUP(Table6[[#This Row],[SKU]],'All Skus'!$A:$AC,2,FALSE))="JBL",(VLOOKUP(Table6[[#This Row],[SKU]],'All Skus'!$A:$AC,7,FALSE)),""))</f>
        <v>0</v>
      </c>
      <c r="G730" t="str">
        <f>(IF((VLOOKUP(Table6[[#This Row],[SKU]],'All Skus'!$A:$AC,2,FALSE))="JBL",(VLOOKUP(Table6[[#This Row],[SKU]],'All Skus'!$A:$AC,8,FALSE)),""))</f>
        <v>VTX-S28-ACC</v>
      </c>
      <c r="H730" s="8" t="str">
        <f>(IF((VLOOKUP(Table6[[#This Row],[SKU]],'All Skus'!$A:$AC,2,FALSE))="JBL",(VLOOKUP(Table6[[#This Row],[SKU]],'All Skus'!$A:$AC,9,FALSE)),""))</f>
        <v>VTX S28 Accessory Cover Caster-Board for transportation and protection of one S28 enclosure. Includes: padded, reinforced protective cover with handle cutouts and rear panel access flap; dolly wheel-board with rugged, tour grade casters and rotating cam mechanism for secure attachment.</v>
      </c>
      <c r="I730" s="101" t="str">
        <f>(IF((VLOOKUP(Table6[[#This Row],[SKU]],'All Skus'!$A:$AC,2,FALSE))="JBL",(VLOOKUP(Table6[[#This Row],[SKU]],'All Skus'!$A:$AC,10,FALSE)),""))</f>
        <v>“Price On Application (POA) Contact your Representative"</v>
      </c>
      <c r="J730" s="101" t="str">
        <f>(IF((VLOOKUP(Table6[[#This Row],[SKU]],'All Skus'!$A:$AC,2,FALSE))="JBL",(VLOOKUP(Table6[[#This Row],[SKU]],'All Skus'!$A:$AC,11,FALSE)),""))</f>
        <v>“Price On Application (POA) Contact your Representative"</v>
      </c>
      <c r="K730" s="102">
        <f>(IF((VLOOKUP(Table6[[#This Row],[SKU]],'All Skus'!$A:$AC,2,FALSE))="JBL",(VLOOKUP(Table6[[#This Row],[SKU]],'All Skus'!$A:$AC,13,FALSE)),""))</f>
        <v>0</v>
      </c>
      <c r="L730" s="102">
        <f>(IF((VLOOKUP(Table6[[#This Row],[SKU]],'All Skus'!$A:$AC,2,FALSE))="JBL",(VLOOKUP(Table6[[#This Row],[SKU]],'All Skus'!$A:$AC,14,FALSE)),""))</f>
        <v>0</v>
      </c>
      <c r="M730" s="143">
        <f>(IF((VLOOKUP(Table6[[#This Row],[SKU]],'All Skus'!$A:$AC,2,FALSE))="JBL",(VLOOKUP(Table6[[#This Row],[SKU]],'All Skus'!$A:$AC,15,FALSE)),""))</f>
        <v>0</v>
      </c>
      <c r="N730" s="137">
        <f>(IF((VLOOKUP(Table6[[#This Row],[SKU]],'All Skus'!$A:$AC,2,FALSE))="JBL",(VLOOKUP(Table6[[#This Row],[SKU]],'All Skus'!$A:$AC,16,FALSE)),""))</f>
        <v>691991013010</v>
      </c>
      <c r="O730" s="61">
        <f>(IF((VLOOKUP(Table6[[#This Row],[SKU]],'All Skus'!$A:$AC,2,FALSE))="JBL",(VLOOKUP(Table6[[#This Row],[SKU]],'All Skus'!$A:$AC,17,FALSE)),""))</f>
        <v>0</v>
      </c>
      <c r="P730" s="136">
        <f>(IF((VLOOKUP(Table6[[#This Row],[SKU]],'All Skus'!$A:$AC,2,FALSE))="JBL",(VLOOKUP(Table6[[#This Row],[SKU]],'All Skus'!$A:$AC,18,FALSE)),""))</f>
        <v>42</v>
      </c>
      <c r="Q730" s="136">
        <f>(IF((VLOOKUP(Table6[[#This Row],[SKU]],'All Skus'!$A:$AC,2,FALSE))="JBL",(VLOOKUP(Table6[[#This Row],[SKU]],'All Skus'!$A:$AC,19,FALSE)),""))</f>
        <v>49</v>
      </c>
      <c r="R730" s="136">
        <f>(IF((VLOOKUP(Table6[[#This Row],[SKU]],'All Skus'!$A:$AC,2,FALSE))="JBL",(VLOOKUP(Table6[[#This Row],[SKU]],'All Skus'!$A:$AC,20,FALSE)),""))</f>
        <v>20</v>
      </c>
      <c r="S730" s="61">
        <f>(IF((VLOOKUP(Table6[[#This Row],[SKU]],'All Skus'!$A:$AC,2,FALSE))="JBL",(VLOOKUP(Table6[[#This Row],[SKU]],'All Skus'!$A:$AC,21,FALSE)),""))</f>
        <v>5.3</v>
      </c>
      <c r="T730" s="61" t="str">
        <f>(IF((VLOOKUP(Table6[[#This Row],[SKU]],'All Skus'!$A:$AC,2,FALSE))="JBL",(VLOOKUP(Table6[[#This Row],[SKU]],'All Skus'!$A:$AC,22,FALSE)),""))</f>
        <v>MX</v>
      </c>
      <c r="U730">
        <f>(IF((VLOOKUP(Table6[[#This Row],[SKU]],'All Skus'!$A:$AC,2,FALSE))="JBL",(VLOOKUP(Table6[[#This Row],[SKU]],'All Skus'!$A:$AC,23,FALSE)),""))</f>
        <v>0</v>
      </c>
      <c r="V730" s="284" t="str">
        <f>HYPERLINK((IF((VLOOKUP(Table6[[#This Row],[SKU]],'All Skus'!$A:$AC,2,FALSE))="JBL",(VLOOKUP(Table6[[#This Row],[SKU]],'All Skus'!$A:$AC,24,FALSE)),"")))</f>
        <v/>
      </c>
      <c r="W730" s="151">
        <v>727</v>
      </c>
    </row>
    <row r="731" spans="1:23" ht="15" hidden="1" customHeight="1">
      <c r="A731" s="13" t="s">
        <v>1740</v>
      </c>
      <c r="B731" s="12" t="str">
        <f>(IF((VLOOKUP(Table6[[#This Row],[SKU]],'All Skus'!$A:$AC,2,FALSE))="JBL",(VLOOKUP(Table6[[#This Row],[SKU]],'All Skus'!$A:$AC,3,FALSE)),""))</f>
        <v>VTX SERIES</v>
      </c>
      <c r="C731" s="12" t="str">
        <f>(IF((VLOOKUP(Table6[[#This Row],[SKU]],'All Skus'!$A:$AC,2,FALSE))="JBL",(VLOOKUP(Table6[[#This Row],[SKU]],'All Skus'!$A:$AC,4,FALSE)),""))</f>
        <v>VTX-S28-VTC</v>
      </c>
      <c r="D731" s="61" t="str">
        <f>(IF((VLOOKUP(Table6[[#This Row],[SKU]],'All Skus'!$A:$AC,2,FALSE))="JBL",(VLOOKUP(Table6[[#This Row],[SKU]],'All Skus'!$A:$AC,5,FALSE)),""))</f>
        <v>JBL046</v>
      </c>
      <c r="E731" s="137" t="str">
        <f>(IF((VLOOKUP(Table6[[#This Row],[SKU]],'All Skus'!$A:$AC,2,FALSE))="JBL",(VLOOKUP(Table6[[#This Row],[SKU]],'All Skus'!$A:$AC,6,FALSE)),""))</f>
        <v>YES</v>
      </c>
      <c r="F731" s="61">
        <f>(IF((VLOOKUP(Table6[[#This Row],[SKU]],'All Skus'!$A:$AC,2,FALSE))="JBL",(VLOOKUP(Table6[[#This Row],[SKU]],'All Skus'!$A:$AC,7,FALSE)),""))</f>
        <v>0</v>
      </c>
      <c r="G731" t="str">
        <f>(IF((VLOOKUP(Table6[[#This Row],[SKU]],'All Skus'!$A:$AC,2,FALSE))="JBL",(VLOOKUP(Table6[[#This Row],[SKU]],'All Skus'!$A:$AC,8,FALSE)),""))</f>
        <v>VTX-S28-VTC</v>
      </c>
      <c r="H731" s="8" t="str">
        <f>(IF((VLOOKUP(Table6[[#This Row],[SKU]],'All Skus'!$A:$AC,2,FALSE))="JBL",(VLOOKUP(Table6[[#This Row],[SKU]],'All Skus'!$A:$AC,9,FALSE)),""))</f>
        <v>VTX S28 Vertical Transporter for transportation of up to three VTX S28 enclosures in a vertical column in either front-firing or cardioid mode. Includes: dolley board with four tour grade casters (2 locking casters per dolley board). Reinforced protective cover (VTX-S28-VT-CVR) supplied separately.</v>
      </c>
      <c r="I731" s="101" t="str">
        <f>(IF((VLOOKUP(Table6[[#This Row],[SKU]],'All Skus'!$A:$AC,2,FALSE))="JBL",(VLOOKUP(Table6[[#This Row],[SKU]],'All Skus'!$A:$AC,10,FALSE)),""))</f>
        <v>“Price On Application (POA) Contact your Representative"</v>
      </c>
      <c r="J731" s="101" t="str">
        <f>(IF((VLOOKUP(Table6[[#This Row],[SKU]],'All Skus'!$A:$AC,2,FALSE))="JBL",(VLOOKUP(Table6[[#This Row],[SKU]],'All Skus'!$A:$AC,11,FALSE)),""))</f>
        <v>“Price On Application (POA) Contact your Representative"</v>
      </c>
      <c r="K731" s="102">
        <f>(IF((VLOOKUP(Table6[[#This Row],[SKU]],'All Skus'!$A:$AC,2,FALSE))="JBL",(VLOOKUP(Table6[[#This Row],[SKU]],'All Skus'!$A:$AC,13,FALSE)),""))</f>
        <v>0</v>
      </c>
      <c r="L731" s="102">
        <f>(IF((VLOOKUP(Table6[[#This Row],[SKU]],'All Skus'!$A:$AC,2,FALSE))="JBL",(VLOOKUP(Table6[[#This Row],[SKU]],'All Skus'!$A:$AC,14,FALSE)),""))</f>
        <v>0</v>
      </c>
      <c r="M731" s="143">
        <f>(IF((VLOOKUP(Table6[[#This Row],[SKU]],'All Skus'!$A:$AC,2,FALSE))="JBL",(VLOOKUP(Table6[[#This Row],[SKU]],'All Skus'!$A:$AC,15,FALSE)),""))</f>
        <v>0</v>
      </c>
      <c r="N731" s="137">
        <f>(IF((VLOOKUP(Table6[[#This Row],[SKU]],'All Skus'!$A:$AC,2,FALSE))="JBL",(VLOOKUP(Table6[[#This Row],[SKU]],'All Skus'!$A:$AC,16,FALSE)),""))</f>
        <v>0</v>
      </c>
      <c r="O731" s="61">
        <f>(IF((VLOOKUP(Table6[[#This Row],[SKU]],'All Skus'!$A:$AC,2,FALSE))="JBL",(VLOOKUP(Table6[[#This Row],[SKU]],'All Skus'!$A:$AC,17,FALSE)),""))</f>
        <v>0</v>
      </c>
      <c r="P731" s="136">
        <f>(IF((VLOOKUP(Table6[[#This Row],[SKU]],'All Skus'!$A:$AC,2,FALSE))="JBL",(VLOOKUP(Table6[[#This Row],[SKU]],'All Skus'!$A:$AC,18,FALSE)),""))</f>
        <v>87</v>
      </c>
      <c r="Q731" s="136">
        <f>(IF((VLOOKUP(Table6[[#This Row],[SKU]],'All Skus'!$A:$AC,2,FALSE))="JBL",(VLOOKUP(Table6[[#This Row],[SKU]],'All Skus'!$A:$AC,19,FALSE)),""))</f>
        <v>49.25</v>
      </c>
      <c r="R731" s="136">
        <f>(IF((VLOOKUP(Table6[[#This Row],[SKU]],'All Skus'!$A:$AC,2,FALSE))="JBL",(VLOOKUP(Table6[[#This Row],[SKU]],'All Skus'!$A:$AC,20,FALSE)),""))</f>
        <v>39.25</v>
      </c>
      <c r="S731" s="61">
        <f>(IF((VLOOKUP(Table6[[#This Row],[SKU]],'All Skus'!$A:$AC,2,FALSE))="JBL",(VLOOKUP(Table6[[#This Row],[SKU]],'All Skus'!$A:$AC,21,FALSE)),""))</f>
        <v>14.25</v>
      </c>
      <c r="T731" s="61" t="str">
        <f>(IF((VLOOKUP(Table6[[#This Row],[SKU]],'All Skus'!$A:$AC,2,FALSE))="JBL",(VLOOKUP(Table6[[#This Row],[SKU]],'All Skus'!$A:$AC,22,FALSE)),""))</f>
        <v>MX</v>
      </c>
      <c r="U731">
        <f>(IF((VLOOKUP(Table6[[#This Row],[SKU]],'All Skus'!$A:$AC,2,FALSE))="JBL",(VLOOKUP(Table6[[#This Row],[SKU]],'All Skus'!$A:$AC,23,FALSE)),""))</f>
        <v>0</v>
      </c>
      <c r="V731" s="284" t="str">
        <f>HYPERLINK((IF((VLOOKUP(Table6[[#This Row],[SKU]],'All Skus'!$A:$AC,2,FALSE))="JBL",(VLOOKUP(Table6[[#This Row],[SKU]],'All Skus'!$A:$AC,24,FALSE)),"")))</f>
        <v/>
      </c>
      <c r="W731" s="151">
        <v>728</v>
      </c>
    </row>
    <row r="732" spans="1:23" ht="15" hidden="1" customHeight="1">
      <c r="A732" s="13" t="s">
        <v>1741</v>
      </c>
      <c r="B732" s="12" t="str">
        <f>(IF((VLOOKUP(Table6[[#This Row],[SKU]],'All Skus'!$A:$AC,2,FALSE))="JBL",(VLOOKUP(Table6[[#This Row],[SKU]],'All Skus'!$A:$AC,3,FALSE)),""))</f>
        <v>VTX SERIES</v>
      </c>
      <c r="C732" s="12" t="str">
        <f>(IF((VLOOKUP(Table6[[#This Row],[SKU]],'All Skus'!$A:$AC,2,FALSE))="JBL",(VLOOKUP(Table6[[#This Row],[SKU]],'All Skus'!$A:$AC,4,FALSE)),""))</f>
        <v>VTX-S28-VT-CVR</v>
      </c>
      <c r="D732" s="61" t="str">
        <f>(IF((VLOOKUP(Table6[[#This Row],[SKU]],'All Skus'!$A:$AC,2,FALSE))="JBL",(VLOOKUP(Table6[[#This Row],[SKU]],'All Skus'!$A:$AC,5,FALSE)),""))</f>
        <v>JBL046</v>
      </c>
      <c r="E732" s="137" t="str">
        <f>(IF((VLOOKUP(Table6[[#This Row],[SKU]],'All Skus'!$A:$AC,2,FALSE))="JBL",(VLOOKUP(Table6[[#This Row],[SKU]],'All Skus'!$A:$AC,6,FALSE)),""))</f>
        <v>YES</v>
      </c>
      <c r="F732" s="61">
        <f>(IF((VLOOKUP(Table6[[#This Row],[SKU]],'All Skus'!$A:$AC,2,FALSE))="JBL",(VLOOKUP(Table6[[#This Row],[SKU]],'All Skus'!$A:$AC,7,FALSE)),""))</f>
        <v>0</v>
      </c>
      <c r="G732" t="str">
        <f>(IF((VLOOKUP(Table6[[#This Row],[SKU]],'All Skus'!$A:$AC,2,FALSE))="JBL",(VLOOKUP(Table6[[#This Row],[SKU]],'All Skus'!$A:$AC,8,FALSE)),""))</f>
        <v>VTX-S28-VT-CVR</v>
      </c>
      <c r="H732" s="8" t="str">
        <f>(IF((VLOOKUP(Table6[[#This Row],[SKU]],'All Skus'!$A:$AC,2,FALSE))="JBL",(VLOOKUP(Table6[[#This Row],[SKU]],'All Skus'!$A:$AC,9,FALSE)),""))</f>
        <v>VTX S28 Vertical Transporter Cover for use with VTX-S28-VT. Modular, reconfigurable design allows for protection of three VTX S28 enclosures in either front-firing or cardioid mode.</v>
      </c>
      <c r="I732" s="101" t="str">
        <f>(IF((VLOOKUP(Table6[[#This Row],[SKU]],'All Skus'!$A:$AC,2,FALSE))="JBL",(VLOOKUP(Table6[[#This Row],[SKU]],'All Skus'!$A:$AC,10,FALSE)),""))</f>
        <v>“Price On Application (POA) Contact your Representative"</v>
      </c>
      <c r="J732" s="101" t="str">
        <f>(IF((VLOOKUP(Table6[[#This Row],[SKU]],'All Skus'!$A:$AC,2,FALSE))="JBL",(VLOOKUP(Table6[[#This Row],[SKU]],'All Skus'!$A:$AC,11,FALSE)),""))</f>
        <v>“Price On Application (POA) Contact your Representative"</v>
      </c>
      <c r="K732" s="102">
        <f>(IF((VLOOKUP(Table6[[#This Row],[SKU]],'All Skus'!$A:$AC,2,FALSE))="JBL",(VLOOKUP(Table6[[#This Row],[SKU]],'All Skus'!$A:$AC,13,FALSE)),""))</f>
        <v>0</v>
      </c>
      <c r="L732" s="102">
        <f>(IF((VLOOKUP(Table6[[#This Row],[SKU]],'All Skus'!$A:$AC,2,FALSE))="JBL",(VLOOKUP(Table6[[#This Row],[SKU]],'All Skus'!$A:$AC,14,FALSE)),""))</f>
        <v>0</v>
      </c>
      <c r="M732" s="143">
        <f>(IF((VLOOKUP(Table6[[#This Row],[SKU]],'All Skus'!$A:$AC,2,FALSE))="JBL",(VLOOKUP(Table6[[#This Row],[SKU]],'All Skus'!$A:$AC,15,FALSE)),""))</f>
        <v>0</v>
      </c>
      <c r="N732" s="137">
        <f>(IF((VLOOKUP(Table6[[#This Row],[SKU]],'All Skus'!$A:$AC,2,FALSE))="JBL",(VLOOKUP(Table6[[#This Row],[SKU]],'All Skus'!$A:$AC,16,FALSE)),""))</f>
        <v>691991013027</v>
      </c>
      <c r="O732" s="61">
        <f>(IF((VLOOKUP(Table6[[#This Row],[SKU]],'All Skus'!$A:$AC,2,FALSE))="JBL",(VLOOKUP(Table6[[#This Row],[SKU]],'All Skus'!$A:$AC,17,FALSE)),""))</f>
        <v>0</v>
      </c>
      <c r="P732" s="136">
        <f>(IF((VLOOKUP(Table6[[#This Row],[SKU]],'All Skus'!$A:$AC,2,FALSE))="JBL",(VLOOKUP(Table6[[#This Row],[SKU]],'All Skus'!$A:$AC,18,FALSE)),""))</f>
        <v>42</v>
      </c>
      <c r="Q732" s="136">
        <f>(IF((VLOOKUP(Table6[[#This Row],[SKU]],'All Skus'!$A:$AC,2,FALSE))="JBL",(VLOOKUP(Table6[[#This Row],[SKU]],'All Skus'!$A:$AC,19,FALSE)),""))</f>
        <v>52</v>
      </c>
      <c r="R732" s="136">
        <f>(IF((VLOOKUP(Table6[[#This Row],[SKU]],'All Skus'!$A:$AC,2,FALSE))="JBL",(VLOOKUP(Table6[[#This Row],[SKU]],'All Skus'!$A:$AC,20,FALSE)),""))</f>
        <v>41</v>
      </c>
      <c r="S732" s="61">
        <f>(IF((VLOOKUP(Table6[[#This Row],[SKU]],'All Skus'!$A:$AC,2,FALSE))="JBL",(VLOOKUP(Table6[[#This Row],[SKU]],'All Skus'!$A:$AC,21,FALSE)),""))</f>
        <v>6</v>
      </c>
      <c r="T732" s="61" t="str">
        <f>(IF((VLOOKUP(Table6[[#This Row],[SKU]],'All Skus'!$A:$AC,2,FALSE))="JBL",(VLOOKUP(Table6[[#This Row],[SKU]],'All Skus'!$A:$AC,22,FALSE)),""))</f>
        <v>CN</v>
      </c>
      <c r="U732">
        <f>(IF((VLOOKUP(Table6[[#This Row],[SKU]],'All Skus'!$A:$AC,2,FALSE))="JBL",(VLOOKUP(Table6[[#This Row],[SKU]],'All Skus'!$A:$AC,23,FALSE)),""))</f>
        <v>0</v>
      </c>
      <c r="V732" s="284" t="str">
        <f>HYPERLINK((IF((VLOOKUP(Table6[[#This Row],[SKU]],'All Skus'!$A:$AC,2,FALSE))="JBL",(VLOOKUP(Table6[[#This Row],[SKU]],'All Skus'!$A:$AC,24,FALSE)),"")))</f>
        <v/>
      </c>
      <c r="W732" s="151">
        <v>729</v>
      </c>
    </row>
    <row r="733" spans="1:23" ht="15" hidden="1" customHeight="1">
      <c r="A733" s="13" t="s">
        <v>1742</v>
      </c>
      <c r="B733" s="12" t="str">
        <f>(IF((VLOOKUP(Table6[[#This Row],[SKU]],'All Skus'!$A:$AC,2,FALSE))="JBL",(VLOOKUP(Table6[[#This Row],[SKU]],'All Skus'!$A:$AC,3,FALSE)),""))</f>
        <v>VTX SERIES</v>
      </c>
      <c r="C733" s="12" t="str">
        <f>(IF((VLOOKUP(Table6[[#This Row],[SKU]],'All Skus'!$A:$AC,2,FALSE))="JBL",(VLOOKUP(Table6[[#This Row],[SKU]],'All Skus'!$A:$AC,4,FALSE)),""))</f>
        <v>VTX-V20-AF</v>
      </c>
      <c r="D733" s="61" t="str">
        <f>(IF((VLOOKUP(Table6[[#This Row],[SKU]],'All Skus'!$A:$AC,2,FALSE))="JBL",(VLOOKUP(Table6[[#This Row],[SKU]],'All Skus'!$A:$AC,5,FALSE)),""))</f>
        <v>JBL046</v>
      </c>
      <c r="E733" s="137" t="str">
        <f>(IF((VLOOKUP(Table6[[#This Row],[SKU]],'All Skus'!$A:$AC,2,FALSE))="JBL",(VLOOKUP(Table6[[#This Row],[SKU]],'All Skus'!$A:$AC,6,FALSE)),""))</f>
        <v>YES</v>
      </c>
      <c r="F733" s="61">
        <f>(IF((VLOOKUP(Table6[[#This Row],[SKU]],'All Skus'!$A:$AC,2,FALSE))="JBL",(VLOOKUP(Table6[[#This Row],[SKU]],'All Skus'!$A:$AC,7,FALSE)),""))</f>
        <v>0</v>
      </c>
      <c r="G733" t="str">
        <f>(IF((VLOOKUP(Table6[[#This Row],[SKU]],'All Skus'!$A:$AC,2,FALSE))="JBL",(VLOOKUP(Table6[[#This Row],[SKU]],'All Skus'!$A:$AC,8,FALSE)),""))</f>
        <v>VTX-V20-AF</v>
      </c>
      <c r="H733" s="8" t="str">
        <f>(IF((VLOOKUP(Table6[[#This Row],[SKU]],'All Skus'!$A:$AC,2,FALSE))="JBL",(VLOOKUP(Table6[[#This Row],[SKU]],'All Skus'!$A:$AC,9,FALSE)),""))</f>
        <v xml:space="preserve">VTX V20 ARRAY FRAME for suspending or ground stacking VTX V20 or VTX S25 enclosures.  Includes leveling screw jacks; optional extension bar available. Weight 46.3 kg (102 lb). Steel, black. </v>
      </c>
      <c r="I733" s="101" t="str">
        <f>(IF((VLOOKUP(Table6[[#This Row],[SKU]],'All Skus'!$A:$AC,2,FALSE))="JBL",(VLOOKUP(Table6[[#This Row],[SKU]],'All Skus'!$A:$AC,10,FALSE)),""))</f>
        <v>“Price On Application (POA) Contact your Representative"</v>
      </c>
      <c r="J733" s="101" t="str">
        <f>(IF((VLOOKUP(Table6[[#This Row],[SKU]],'All Skus'!$A:$AC,2,FALSE))="JBL",(VLOOKUP(Table6[[#This Row],[SKU]],'All Skus'!$A:$AC,11,FALSE)),""))</f>
        <v>“Price On Application (POA) Contact your Representative"</v>
      </c>
      <c r="K733" s="102">
        <f>(IF((VLOOKUP(Table6[[#This Row],[SKU]],'All Skus'!$A:$AC,2,FALSE))="JBL",(VLOOKUP(Table6[[#This Row],[SKU]],'All Skus'!$A:$AC,13,FALSE)),""))</f>
        <v>0</v>
      </c>
      <c r="L733" s="102">
        <f>(IF((VLOOKUP(Table6[[#This Row],[SKU]],'All Skus'!$A:$AC,2,FALSE))="JBL",(VLOOKUP(Table6[[#This Row],[SKU]],'All Skus'!$A:$AC,14,FALSE)),""))</f>
        <v>0</v>
      </c>
      <c r="M733" s="143">
        <f>(IF((VLOOKUP(Table6[[#This Row],[SKU]],'All Skus'!$A:$AC,2,FALSE))="JBL",(VLOOKUP(Table6[[#This Row],[SKU]],'All Skus'!$A:$AC,15,FALSE)),""))</f>
        <v>0</v>
      </c>
      <c r="N733" s="137">
        <f>(IF((VLOOKUP(Table6[[#This Row],[SKU]],'All Skus'!$A:$AC,2,FALSE))="JBL",(VLOOKUP(Table6[[#This Row],[SKU]],'All Skus'!$A:$AC,16,FALSE)),""))</f>
        <v>691991013041</v>
      </c>
      <c r="O733" s="61">
        <f>(IF((VLOOKUP(Table6[[#This Row],[SKU]],'All Skus'!$A:$AC,2,FALSE))="JBL",(VLOOKUP(Table6[[#This Row],[SKU]],'All Skus'!$A:$AC,17,FALSE)),""))</f>
        <v>0</v>
      </c>
      <c r="P733" s="136">
        <f>(IF((VLOOKUP(Table6[[#This Row],[SKU]],'All Skus'!$A:$AC,2,FALSE))="JBL",(VLOOKUP(Table6[[#This Row],[SKU]],'All Skus'!$A:$AC,18,FALSE)),""))</f>
        <v>120</v>
      </c>
      <c r="Q733" s="136">
        <f>(IF((VLOOKUP(Table6[[#This Row],[SKU]],'All Skus'!$A:$AC,2,FALSE))="JBL",(VLOOKUP(Table6[[#This Row],[SKU]],'All Skus'!$A:$AC,19,FALSE)),""))</f>
        <v>37</v>
      </c>
      <c r="R733" s="136">
        <f>(IF((VLOOKUP(Table6[[#This Row],[SKU]],'All Skus'!$A:$AC,2,FALSE))="JBL",(VLOOKUP(Table6[[#This Row],[SKU]],'All Skus'!$A:$AC,20,FALSE)),""))</f>
        <v>22</v>
      </c>
      <c r="S733" s="61">
        <f>(IF((VLOOKUP(Table6[[#This Row],[SKU]],'All Skus'!$A:$AC,2,FALSE))="JBL",(VLOOKUP(Table6[[#This Row],[SKU]],'All Skus'!$A:$AC,21,FALSE)),""))</f>
        <v>7</v>
      </c>
      <c r="T733" s="61" t="str">
        <f>(IF((VLOOKUP(Table6[[#This Row],[SKU]],'All Skus'!$A:$AC,2,FALSE))="JBL",(VLOOKUP(Table6[[#This Row],[SKU]],'All Skus'!$A:$AC,22,FALSE)),""))</f>
        <v>MX</v>
      </c>
      <c r="U733">
        <f>(IF((VLOOKUP(Table6[[#This Row],[SKU]],'All Skus'!$A:$AC,2,FALSE))="JBL",(VLOOKUP(Table6[[#This Row],[SKU]],'All Skus'!$A:$AC,23,FALSE)),""))</f>
        <v>0</v>
      </c>
      <c r="V733" s="284" t="str">
        <f>HYPERLINK((IF((VLOOKUP(Table6[[#This Row],[SKU]],'All Skus'!$A:$AC,2,FALSE))="JBL",(VLOOKUP(Table6[[#This Row],[SKU]],'All Skus'!$A:$AC,24,FALSE)),"")))</f>
        <v/>
      </c>
      <c r="W733" s="151">
        <v>730</v>
      </c>
    </row>
    <row r="734" spans="1:23" ht="15" hidden="1" customHeight="1">
      <c r="A734" s="13" t="s">
        <v>1743</v>
      </c>
      <c r="B734" s="12" t="str">
        <f>(IF((VLOOKUP(Table6[[#This Row],[SKU]],'All Skus'!$A:$AC,2,FALSE))="JBL",(VLOOKUP(Table6[[#This Row],[SKU]],'All Skus'!$A:$AC,3,FALSE)),""))</f>
        <v>VTX SERIES</v>
      </c>
      <c r="C734" s="12" t="str">
        <f>(IF((VLOOKUP(Table6[[#This Row],[SKU]],'All Skus'!$A:$AC,2,FALSE))="JBL",(VLOOKUP(Table6[[#This Row],[SKU]],'All Skus'!$A:$AC,4,FALSE)),""))</f>
        <v>VTX-V20-AF-EB</v>
      </c>
      <c r="D734" s="61" t="str">
        <f>(IF((VLOOKUP(Table6[[#This Row],[SKU]],'All Skus'!$A:$AC,2,FALSE))="JBL",(VLOOKUP(Table6[[#This Row],[SKU]],'All Skus'!$A:$AC,5,FALSE)),""))</f>
        <v>JBL046</v>
      </c>
      <c r="E734" s="137" t="str">
        <f>(IF((VLOOKUP(Table6[[#This Row],[SKU]],'All Skus'!$A:$AC,2,FALSE))="JBL",(VLOOKUP(Table6[[#This Row],[SKU]],'All Skus'!$A:$AC,6,FALSE)),""))</f>
        <v>YES</v>
      </c>
      <c r="F734" s="61">
        <f>(IF((VLOOKUP(Table6[[#This Row],[SKU]],'All Skus'!$A:$AC,2,FALSE))="JBL",(VLOOKUP(Table6[[#This Row],[SKU]],'All Skus'!$A:$AC,7,FALSE)),""))</f>
        <v>0</v>
      </c>
      <c r="G734" t="str">
        <f>(IF((VLOOKUP(Table6[[#This Row],[SKU]],'All Skus'!$A:$AC,2,FALSE))="JBL",(VLOOKUP(Table6[[#This Row],[SKU]],'All Skus'!$A:$AC,8,FALSE)),""))</f>
        <v>VTX-V20-AF-EB</v>
      </c>
      <c r="H734" s="8" t="str">
        <f>(IF((VLOOKUP(Table6[[#This Row],[SKU]],'All Skus'!$A:$AC,2,FALSE))="JBL",(VLOOKUP(Table6[[#This Row],[SKU]],'All Skus'!$A:$AC,9,FALSE)),""))</f>
        <v xml:space="preserve">VTX V20 ARRAY FRAME EXTENSION BAR for use with VTX-V20-AF, front- or rear-mounted. Single (central) or dual (side-mounted) extension bars can be used for added stability and tilt adjustment to facilitate ground stacked systems. Weight 22.7 kg (50 lb). Steel, black. </v>
      </c>
      <c r="I734" s="101" t="str">
        <f>(IF((VLOOKUP(Table6[[#This Row],[SKU]],'All Skus'!$A:$AC,2,FALSE))="JBL",(VLOOKUP(Table6[[#This Row],[SKU]],'All Skus'!$A:$AC,10,FALSE)),""))</f>
        <v>“Price On Application (POA) Contact your Representative"</v>
      </c>
      <c r="J734" s="101" t="str">
        <f>(IF((VLOOKUP(Table6[[#This Row],[SKU]],'All Skus'!$A:$AC,2,FALSE))="JBL",(VLOOKUP(Table6[[#This Row],[SKU]],'All Skus'!$A:$AC,11,FALSE)),""))</f>
        <v>“Price On Application (POA) Contact your Representative"</v>
      </c>
      <c r="K734" s="102">
        <f>(IF((VLOOKUP(Table6[[#This Row],[SKU]],'All Skus'!$A:$AC,2,FALSE))="JBL",(VLOOKUP(Table6[[#This Row],[SKU]],'All Skus'!$A:$AC,13,FALSE)),""))</f>
        <v>0</v>
      </c>
      <c r="L734" s="102">
        <f>(IF((VLOOKUP(Table6[[#This Row],[SKU]],'All Skus'!$A:$AC,2,FALSE))="JBL",(VLOOKUP(Table6[[#This Row],[SKU]],'All Skus'!$A:$AC,14,FALSE)),""))</f>
        <v>0</v>
      </c>
      <c r="M734" s="143">
        <f>(IF((VLOOKUP(Table6[[#This Row],[SKU]],'All Skus'!$A:$AC,2,FALSE))="JBL",(VLOOKUP(Table6[[#This Row],[SKU]],'All Skus'!$A:$AC,15,FALSE)),""))</f>
        <v>0</v>
      </c>
      <c r="N734" s="137">
        <f>(IF((VLOOKUP(Table6[[#This Row],[SKU]],'All Skus'!$A:$AC,2,FALSE))="JBL",(VLOOKUP(Table6[[#This Row],[SKU]],'All Skus'!$A:$AC,16,FALSE)),""))</f>
        <v>691991013058</v>
      </c>
      <c r="O734" s="61">
        <f>(IF((VLOOKUP(Table6[[#This Row],[SKU]],'All Skus'!$A:$AC,2,FALSE))="JBL",(VLOOKUP(Table6[[#This Row],[SKU]],'All Skus'!$A:$AC,17,FALSE)),""))</f>
        <v>0</v>
      </c>
      <c r="P734" s="136">
        <f>(IF((VLOOKUP(Table6[[#This Row],[SKU]],'All Skus'!$A:$AC,2,FALSE))="JBL",(VLOOKUP(Table6[[#This Row],[SKU]],'All Skus'!$A:$AC,18,FALSE)),""))</f>
        <v>52</v>
      </c>
      <c r="Q734" s="136">
        <f>(IF((VLOOKUP(Table6[[#This Row],[SKU]],'All Skus'!$A:$AC,2,FALSE))="JBL",(VLOOKUP(Table6[[#This Row],[SKU]],'All Skus'!$A:$AC,19,FALSE)),""))</f>
        <v>7</v>
      </c>
      <c r="R734" s="136">
        <f>(IF((VLOOKUP(Table6[[#This Row],[SKU]],'All Skus'!$A:$AC,2,FALSE))="JBL",(VLOOKUP(Table6[[#This Row],[SKU]],'All Skus'!$A:$AC,20,FALSE)),""))</f>
        <v>32</v>
      </c>
      <c r="S734" s="61">
        <f>(IF((VLOOKUP(Table6[[#This Row],[SKU]],'All Skus'!$A:$AC,2,FALSE))="JBL",(VLOOKUP(Table6[[#This Row],[SKU]],'All Skus'!$A:$AC,21,FALSE)),""))</f>
        <v>4</v>
      </c>
      <c r="T734" s="61" t="str">
        <f>(IF((VLOOKUP(Table6[[#This Row],[SKU]],'All Skus'!$A:$AC,2,FALSE))="JBL",(VLOOKUP(Table6[[#This Row],[SKU]],'All Skus'!$A:$AC,22,FALSE)),""))</f>
        <v>US</v>
      </c>
      <c r="U734">
        <f>(IF((VLOOKUP(Table6[[#This Row],[SKU]],'All Skus'!$A:$AC,2,FALSE))="JBL",(VLOOKUP(Table6[[#This Row],[SKU]],'All Skus'!$A:$AC,23,FALSE)),""))</f>
        <v>0</v>
      </c>
      <c r="V734" s="284" t="str">
        <f>HYPERLINK((IF((VLOOKUP(Table6[[#This Row],[SKU]],'All Skus'!$A:$AC,2,FALSE))="JBL",(VLOOKUP(Table6[[#This Row],[SKU]],'All Skus'!$A:$AC,24,FALSE)),"")))</f>
        <v/>
      </c>
      <c r="W734" s="151">
        <v>731</v>
      </c>
    </row>
    <row r="735" spans="1:23" ht="15" hidden="1" customHeight="1">
      <c r="A735" s="13" t="s">
        <v>1744</v>
      </c>
      <c r="B735" s="12" t="str">
        <f>(IF((VLOOKUP(Table6[[#This Row],[SKU]],'All Skus'!$A:$AC,2,FALSE))="JBL",(VLOOKUP(Table6[[#This Row],[SKU]],'All Skus'!$A:$AC,3,FALSE)),""))</f>
        <v>VTX SERIES</v>
      </c>
      <c r="C735" s="12" t="str">
        <f>(IF((VLOOKUP(Table6[[#This Row],[SKU]],'All Skus'!$A:$AC,2,FALSE))="JBL",(VLOOKUP(Table6[[#This Row],[SKU]],'All Skus'!$A:$AC,4,FALSE)),""))</f>
        <v>VTX-V20-LH</v>
      </c>
      <c r="D735" s="61" t="str">
        <f>(IF((VLOOKUP(Table6[[#This Row],[SKU]],'All Skus'!$A:$AC,2,FALSE))="JBL",(VLOOKUP(Table6[[#This Row],[SKU]],'All Skus'!$A:$AC,5,FALSE)),""))</f>
        <v>JBL046</v>
      </c>
      <c r="E735" s="137" t="str">
        <f>(IF((VLOOKUP(Table6[[#This Row],[SKU]],'All Skus'!$A:$AC,2,FALSE))="JBL",(VLOOKUP(Table6[[#This Row],[SKU]],'All Skus'!$A:$AC,6,FALSE)),""))</f>
        <v>YES</v>
      </c>
      <c r="F735" s="61">
        <f>(IF((VLOOKUP(Table6[[#This Row],[SKU]],'All Skus'!$A:$AC,2,FALSE))="JBL",(VLOOKUP(Table6[[#This Row],[SKU]],'All Skus'!$A:$AC,7,FALSE)),""))</f>
        <v>0</v>
      </c>
      <c r="G735" t="str">
        <f>(IF((VLOOKUP(Table6[[#This Row],[SKU]],'All Skus'!$A:$AC,2,FALSE))="JBL",(VLOOKUP(Table6[[#This Row],[SKU]],'All Skus'!$A:$AC,8,FALSE)),""))</f>
        <v>VTX-V20-LH</v>
      </c>
      <c r="H735" s="8" t="str">
        <f>(IF((VLOOKUP(Table6[[#This Row],[SKU]],'All Skus'!$A:$AC,2,FALSE))="JBL",(VLOOKUP(Table6[[#This Row],[SKU]],'All Skus'!$A:$AC,9,FALSE)),""))</f>
        <v>Columbus McKinnon (CM) Series 653 ¾ ton manual lever hoist</v>
      </c>
      <c r="I735" s="101" t="str">
        <f>(IF((VLOOKUP(Table6[[#This Row],[SKU]],'All Skus'!$A:$AC,2,FALSE))="JBL",(VLOOKUP(Table6[[#This Row],[SKU]],'All Skus'!$A:$AC,10,FALSE)),""))</f>
        <v>“Price On Application (POA) Contact your Representative"</v>
      </c>
      <c r="J735" s="101" t="str">
        <f>(IF((VLOOKUP(Table6[[#This Row],[SKU]],'All Skus'!$A:$AC,2,FALSE))="JBL",(VLOOKUP(Table6[[#This Row],[SKU]],'All Skus'!$A:$AC,11,FALSE)),""))</f>
        <v>“Price On Application (POA) Contact your Representative"</v>
      </c>
      <c r="K735" s="102">
        <f>(IF((VLOOKUP(Table6[[#This Row],[SKU]],'All Skus'!$A:$AC,2,FALSE))="JBL",(VLOOKUP(Table6[[#This Row],[SKU]],'All Skus'!$A:$AC,13,FALSE)),""))</f>
        <v>0</v>
      </c>
      <c r="L735" s="102">
        <f>(IF((VLOOKUP(Table6[[#This Row],[SKU]],'All Skus'!$A:$AC,2,FALSE))="JBL",(VLOOKUP(Table6[[#This Row],[SKU]],'All Skus'!$A:$AC,14,FALSE)),""))</f>
        <v>0</v>
      </c>
      <c r="M735" s="143">
        <f>(IF((VLOOKUP(Table6[[#This Row],[SKU]],'All Skus'!$A:$AC,2,FALSE))="JBL",(VLOOKUP(Table6[[#This Row],[SKU]],'All Skus'!$A:$AC,15,FALSE)),""))</f>
        <v>0</v>
      </c>
      <c r="N735" s="137">
        <f>(IF((VLOOKUP(Table6[[#This Row],[SKU]],'All Skus'!$A:$AC,2,FALSE))="JBL",(VLOOKUP(Table6[[#This Row],[SKU]],'All Skus'!$A:$AC,16,FALSE)),""))</f>
        <v>50036904315</v>
      </c>
      <c r="O735" s="61">
        <f>(IF((VLOOKUP(Table6[[#This Row],[SKU]],'All Skus'!$A:$AC,2,FALSE))="JBL",(VLOOKUP(Table6[[#This Row],[SKU]],'All Skus'!$A:$AC,17,FALSE)),""))</f>
        <v>0</v>
      </c>
      <c r="P735" s="136">
        <f>(IF((VLOOKUP(Table6[[#This Row],[SKU]],'All Skus'!$A:$AC,2,FALSE))="JBL",(VLOOKUP(Table6[[#This Row],[SKU]],'All Skus'!$A:$AC,18,FALSE)),""))</f>
        <v>25</v>
      </c>
      <c r="Q735" s="136">
        <f>(IF((VLOOKUP(Table6[[#This Row],[SKU]],'All Skus'!$A:$AC,2,FALSE))="JBL",(VLOOKUP(Table6[[#This Row],[SKU]],'All Skus'!$A:$AC,19,FALSE)),""))</f>
        <v>15</v>
      </c>
      <c r="R735" s="136">
        <f>(IF((VLOOKUP(Table6[[#This Row],[SKU]],'All Skus'!$A:$AC,2,FALSE))="JBL",(VLOOKUP(Table6[[#This Row],[SKU]],'All Skus'!$A:$AC,20,FALSE)),""))</f>
        <v>6.5</v>
      </c>
      <c r="S735" s="61">
        <f>(IF((VLOOKUP(Table6[[#This Row],[SKU]],'All Skus'!$A:$AC,2,FALSE))="JBL",(VLOOKUP(Table6[[#This Row],[SKU]],'All Skus'!$A:$AC,21,FALSE)),""))</f>
        <v>9</v>
      </c>
      <c r="T735" s="61" t="str">
        <f>(IF((VLOOKUP(Table6[[#This Row],[SKU]],'All Skus'!$A:$AC,2,FALSE))="JBL",(VLOOKUP(Table6[[#This Row],[SKU]],'All Skus'!$A:$AC,22,FALSE)),""))</f>
        <v>CN</v>
      </c>
      <c r="U735">
        <f>(IF((VLOOKUP(Table6[[#This Row],[SKU]],'All Skus'!$A:$AC,2,FALSE))="JBL",(VLOOKUP(Table6[[#This Row],[SKU]],'All Skus'!$A:$AC,23,FALSE)),""))</f>
        <v>0</v>
      </c>
      <c r="V735" s="284" t="str">
        <f>HYPERLINK((IF((VLOOKUP(Table6[[#This Row],[SKU]],'All Skus'!$A:$AC,2,FALSE))="JBL",(VLOOKUP(Table6[[#This Row],[SKU]],'All Skus'!$A:$AC,24,FALSE)),"")))</f>
        <v/>
      </c>
      <c r="W735" s="151">
        <v>732</v>
      </c>
    </row>
    <row r="736" spans="1:23" ht="15" hidden="1" customHeight="1">
      <c r="A736" s="13" t="s">
        <v>1745</v>
      </c>
      <c r="B736" s="12" t="str">
        <f>(IF((VLOOKUP(Table6[[#This Row],[SKU]],'All Skus'!$A:$AC,2,FALSE))="JBL",(VLOOKUP(Table6[[#This Row],[SKU]],'All Skus'!$A:$AC,3,FALSE)),""))</f>
        <v>VTX SERIES</v>
      </c>
      <c r="C736" s="12" t="str">
        <f>(IF((VLOOKUP(Table6[[#This Row],[SKU]],'All Skus'!$A:$AC,2,FALSE))="JBL",(VLOOKUP(Table6[[#This Row],[SKU]],'All Skus'!$A:$AC,4,FALSE)),""))</f>
        <v>VTX-V20-PB</v>
      </c>
      <c r="D736" s="61" t="str">
        <f>(IF((VLOOKUP(Table6[[#This Row],[SKU]],'All Skus'!$A:$AC,2,FALSE))="JBL",(VLOOKUP(Table6[[#This Row],[SKU]],'All Skus'!$A:$AC,5,FALSE)),""))</f>
        <v>JBL046</v>
      </c>
      <c r="E736" s="137" t="str">
        <f>(IF((VLOOKUP(Table6[[#This Row],[SKU]],'All Skus'!$A:$AC,2,FALSE))="JBL",(VLOOKUP(Table6[[#This Row],[SKU]],'All Skus'!$A:$AC,6,FALSE)),""))</f>
        <v>YES</v>
      </c>
      <c r="F736" s="61">
        <f>(IF((VLOOKUP(Table6[[#This Row],[SKU]],'All Skus'!$A:$AC,2,FALSE))="JBL",(VLOOKUP(Table6[[#This Row],[SKU]],'All Skus'!$A:$AC,7,FALSE)),""))</f>
        <v>0</v>
      </c>
      <c r="G736" t="str">
        <f>(IF((VLOOKUP(Table6[[#This Row],[SKU]],'All Skus'!$A:$AC,2,FALSE))="JBL",(VLOOKUP(Table6[[#This Row],[SKU]],'All Skus'!$A:$AC,8,FALSE)),""))</f>
        <v>VTX-V20-PB</v>
      </c>
      <c r="H736" s="8" t="str">
        <f>(IF((VLOOKUP(Table6[[#This Row],[SKU]],'All Skus'!$A:$AC,2,FALSE))="JBL",(VLOOKUP(Table6[[#This Row],[SKU]],'All Skus'!$A:$AC,9,FALSE)),""))</f>
        <v xml:space="preserve">VTX V20 PULL BACK ADAPTER for attachment to bottom V20 enclosure to facilitate rear pull back (compression-style) suspension. Weight TBD kg (TBD lb). Steel, black. </v>
      </c>
      <c r="I736" s="101" t="str">
        <f>(IF((VLOOKUP(Table6[[#This Row],[SKU]],'All Skus'!$A:$AC,2,FALSE))="JBL",(VLOOKUP(Table6[[#This Row],[SKU]],'All Skus'!$A:$AC,10,FALSE)),""))</f>
        <v>“Price On Application (POA) Contact your Representative"</v>
      </c>
      <c r="J736" s="101" t="str">
        <f>(IF((VLOOKUP(Table6[[#This Row],[SKU]],'All Skus'!$A:$AC,2,FALSE))="JBL",(VLOOKUP(Table6[[#This Row],[SKU]],'All Skus'!$A:$AC,11,FALSE)),""))</f>
        <v>“Price On Application (POA) Contact your Representative"</v>
      </c>
      <c r="K736" s="102">
        <f>(IF((VLOOKUP(Table6[[#This Row],[SKU]],'All Skus'!$A:$AC,2,FALSE))="JBL",(VLOOKUP(Table6[[#This Row],[SKU]],'All Skus'!$A:$AC,13,FALSE)),""))</f>
        <v>0</v>
      </c>
      <c r="L736" s="102">
        <f>(IF((VLOOKUP(Table6[[#This Row],[SKU]],'All Skus'!$A:$AC,2,FALSE))="JBL",(VLOOKUP(Table6[[#This Row],[SKU]],'All Skus'!$A:$AC,14,FALSE)),""))</f>
        <v>0</v>
      </c>
      <c r="M736" s="143">
        <f>(IF((VLOOKUP(Table6[[#This Row],[SKU]],'All Skus'!$A:$AC,2,FALSE))="JBL",(VLOOKUP(Table6[[#This Row],[SKU]],'All Skus'!$A:$AC,15,FALSE)),""))</f>
        <v>0</v>
      </c>
      <c r="N736" s="137">
        <f>(IF((VLOOKUP(Table6[[#This Row],[SKU]],'All Skus'!$A:$AC,2,FALSE))="JBL",(VLOOKUP(Table6[[#This Row],[SKU]],'All Skus'!$A:$AC,16,FALSE)),""))</f>
        <v>691991015717</v>
      </c>
      <c r="O736" s="61">
        <f>(IF((VLOOKUP(Table6[[#This Row],[SKU]],'All Skus'!$A:$AC,2,FALSE))="JBL",(VLOOKUP(Table6[[#This Row],[SKU]],'All Skus'!$A:$AC,17,FALSE)),""))</f>
        <v>0</v>
      </c>
      <c r="P736" s="136">
        <f>(IF((VLOOKUP(Table6[[#This Row],[SKU]],'All Skus'!$A:$AC,2,FALSE))="JBL",(VLOOKUP(Table6[[#This Row],[SKU]],'All Skus'!$A:$AC,18,FALSE)),""))</f>
        <v>30</v>
      </c>
      <c r="Q736" s="136">
        <f>(IF((VLOOKUP(Table6[[#This Row],[SKU]],'All Skus'!$A:$AC,2,FALSE))="JBL",(VLOOKUP(Table6[[#This Row],[SKU]],'All Skus'!$A:$AC,19,FALSE)),""))</f>
        <v>36</v>
      </c>
      <c r="R736" s="136">
        <f>(IF((VLOOKUP(Table6[[#This Row],[SKU]],'All Skus'!$A:$AC,2,FALSE))="JBL",(VLOOKUP(Table6[[#This Row],[SKU]],'All Skus'!$A:$AC,20,FALSE)),""))</f>
        <v>10</v>
      </c>
      <c r="S736" s="61">
        <f>(IF((VLOOKUP(Table6[[#This Row],[SKU]],'All Skus'!$A:$AC,2,FALSE))="JBL",(VLOOKUP(Table6[[#This Row],[SKU]],'All Skus'!$A:$AC,21,FALSE)),""))</f>
        <v>4</v>
      </c>
      <c r="T736" s="61" t="str">
        <f>(IF((VLOOKUP(Table6[[#This Row],[SKU]],'All Skus'!$A:$AC,2,FALSE))="JBL",(VLOOKUP(Table6[[#This Row],[SKU]],'All Skus'!$A:$AC,22,FALSE)),""))</f>
        <v>MX</v>
      </c>
      <c r="U736">
        <f>(IF((VLOOKUP(Table6[[#This Row],[SKU]],'All Skus'!$A:$AC,2,FALSE))="JBL",(VLOOKUP(Table6[[#This Row],[SKU]],'All Skus'!$A:$AC,23,FALSE)),""))</f>
        <v>0</v>
      </c>
      <c r="V736" s="284" t="str">
        <f>HYPERLINK((IF((VLOOKUP(Table6[[#This Row],[SKU]],'All Skus'!$A:$AC,2,FALSE))="JBL",(VLOOKUP(Table6[[#This Row],[SKU]],'All Skus'!$A:$AC,24,FALSE)),"")))</f>
        <v/>
      </c>
      <c r="W736" s="151">
        <v>733</v>
      </c>
    </row>
    <row r="737" spans="1:23" ht="15" hidden="1" customHeight="1">
      <c r="A737" s="13" t="s">
        <v>1746</v>
      </c>
      <c r="B737" s="12" t="str">
        <f>(IF((VLOOKUP(Table6[[#This Row],[SKU]],'All Skus'!$A:$AC,2,FALSE))="JBL",(VLOOKUP(Table6[[#This Row],[SKU]],'All Skus'!$A:$AC,3,FALSE)),""))</f>
        <v>VTX SERIES</v>
      </c>
      <c r="C737" s="12" t="str">
        <f>(IF((VLOOKUP(Table6[[#This Row],[SKU]],'All Skus'!$A:$AC,2,FALSE))="JBL",(VLOOKUP(Table6[[#This Row],[SKU]],'All Skus'!$A:$AC,4,FALSE)),""))</f>
        <v>VTX-V20-VT</v>
      </c>
      <c r="D737" s="61" t="str">
        <f>(IF((VLOOKUP(Table6[[#This Row],[SKU]],'All Skus'!$A:$AC,2,FALSE))="JBL",(VLOOKUP(Table6[[#This Row],[SKU]],'All Skus'!$A:$AC,5,FALSE)),""))</f>
        <v>JBL046</v>
      </c>
      <c r="E737" s="137" t="str">
        <f>(IF((VLOOKUP(Table6[[#This Row],[SKU]],'All Skus'!$A:$AC,2,FALSE))="JBL",(VLOOKUP(Table6[[#This Row],[SKU]],'All Skus'!$A:$AC,6,FALSE)),""))</f>
        <v>YES</v>
      </c>
      <c r="F737" s="61">
        <f>(IF((VLOOKUP(Table6[[#This Row],[SKU]],'All Skus'!$A:$AC,2,FALSE))="JBL",(VLOOKUP(Table6[[#This Row],[SKU]],'All Skus'!$A:$AC,7,FALSE)),""))</f>
        <v>0</v>
      </c>
      <c r="G737" t="str">
        <f>(IF((VLOOKUP(Table6[[#This Row],[SKU]],'All Skus'!$A:$AC,2,FALSE))="JBL",(VLOOKUP(Table6[[#This Row],[SKU]],'All Skus'!$A:$AC,8,FALSE)),""))</f>
        <v>VTX-V20-VT</v>
      </c>
      <c r="H737" s="8" t="str">
        <f>(IF((VLOOKUP(Table6[[#This Row],[SKU]],'All Skus'!$A:$AC,2,FALSE))="JBL",(VLOOKUP(Table6[[#This Row],[SKU]],'All Skus'!$A:$AC,9,FALSE)),""))</f>
        <v>VTX V20 Vertical Transporter for transportation of up to four VTX V20 enclosures in a vertical column. Includes: dolley board with four tour grade casters (2 locking casters per dolley board). Reinforced protective cover (VTX-V20-VT-CVR) supplied separately.</v>
      </c>
      <c r="I737" s="101" t="str">
        <f>(IF((VLOOKUP(Table6[[#This Row],[SKU]],'All Skus'!$A:$AC,2,FALSE))="JBL",(VLOOKUP(Table6[[#This Row],[SKU]],'All Skus'!$A:$AC,10,FALSE)),""))</f>
        <v>“Price On Application (POA) Contact your Representative"</v>
      </c>
      <c r="J737" s="101" t="str">
        <f>(IF((VLOOKUP(Table6[[#This Row],[SKU]],'All Skus'!$A:$AC,2,FALSE))="JBL",(VLOOKUP(Table6[[#This Row],[SKU]],'All Skus'!$A:$AC,11,FALSE)),""))</f>
        <v>“Price On Application (POA) Contact your Representative"</v>
      </c>
      <c r="K737" s="102">
        <f>(IF((VLOOKUP(Table6[[#This Row],[SKU]],'All Skus'!$A:$AC,2,FALSE))="JBL",(VLOOKUP(Table6[[#This Row],[SKU]],'All Skus'!$A:$AC,13,FALSE)),""))</f>
        <v>0</v>
      </c>
      <c r="L737" s="102">
        <f>(IF((VLOOKUP(Table6[[#This Row],[SKU]],'All Skus'!$A:$AC,2,FALSE))="JBL",(VLOOKUP(Table6[[#This Row],[SKU]],'All Skus'!$A:$AC,14,FALSE)),""))</f>
        <v>0</v>
      </c>
      <c r="M737" s="143">
        <f>(IF((VLOOKUP(Table6[[#This Row],[SKU]],'All Skus'!$A:$AC,2,FALSE))="JBL",(VLOOKUP(Table6[[#This Row],[SKU]],'All Skus'!$A:$AC,15,FALSE)),""))</f>
        <v>0</v>
      </c>
      <c r="N737" s="137">
        <f>(IF((VLOOKUP(Table6[[#This Row],[SKU]],'All Skus'!$A:$AC,2,FALSE))="JBL",(VLOOKUP(Table6[[#This Row],[SKU]],'All Skus'!$A:$AC,16,FALSE)),""))</f>
        <v>691991013072</v>
      </c>
      <c r="O737" s="61">
        <f>(IF((VLOOKUP(Table6[[#This Row],[SKU]],'All Skus'!$A:$AC,2,FALSE))="JBL",(VLOOKUP(Table6[[#This Row],[SKU]],'All Skus'!$A:$AC,17,FALSE)),""))</f>
        <v>0</v>
      </c>
      <c r="P737" s="136">
        <f>(IF((VLOOKUP(Table6[[#This Row],[SKU]],'All Skus'!$A:$AC,2,FALSE))="JBL",(VLOOKUP(Table6[[#This Row],[SKU]],'All Skus'!$A:$AC,18,FALSE)),""))</f>
        <v>30</v>
      </c>
      <c r="Q737" s="136">
        <f>(IF((VLOOKUP(Table6[[#This Row],[SKU]],'All Skus'!$A:$AC,2,FALSE))="JBL",(VLOOKUP(Table6[[#This Row],[SKU]],'All Skus'!$A:$AC,19,FALSE)),""))</f>
        <v>39</v>
      </c>
      <c r="R737" s="136">
        <f>(IF((VLOOKUP(Table6[[#This Row],[SKU]],'All Skus'!$A:$AC,2,FALSE))="JBL",(VLOOKUP(Table6[[#This Row],[SKU]],'All Skus'!$A:$AC,20,FALSE)),""))</f>
        <v>11</v>
      </c>
      <c r="S737" s="61">
        <f>(IF((VLOOKUP(Table6[[#This Row],[SKU]],'All Skus'!$A:$AC,2,FALSE))="JBL",(VLOOKUP(Table6[[#This Row],[SKU]],'All Skus'!$A:$AC,21,FALSE)),""))</f>
        <v>10</v>
      </c>
      <c r="T737" s="61" t="str">
        <f>(IF((VLOOKUP(Table6[[#This Row],[SKU]],'All Skus'!$A:$AC,2,FALSE))="JBL",(VLOOKUP(Table6[[#This Row],[SKU]],'All Skus'!$A:$AC,22,FALSE)),""))</f>
        <v>MX</v>
      </c>
      <c r="U737">
        <f>(IF((VLOOKUP(Table6[[#This Row],[SKU]],'All Skus'!$A:$AC,2,FALSE))="JBL",(VLOOKUP(Table6[[#This Row],[SKU]],'All Skus'!$A:$AC,23,FALSE)),""))</f>
        <v>0</v>
      </c>
      <c r="V737" s="284" t="str">
        <f>HYPERLINK((IF((VLOOKUP(Table6[[#This Row],[SKU]],'All Skus'!$A:$AC,2,FALSE))="JBL",(VLOOKUP(Table6[[#This Row],[SKU]],'All Skus'!$A:$AC,24,FALSE)),"")))</f>
        <v/>
      </c>
      <c r="W737" s="151">
        <v>734</v>
      </c>
    </row>
    <row r="738" spans="1:23" ht="15" hidden="1" customHeight="1">
      <c r="A738" s="13" t="s">
        <v>1747</v>
      </c>
      <c r="B738" s="12" t="str">
        <f>(IF((VLOOKUP(Table6[[#This Row],[SKU]],'All Skus'!$A:$AC,2,FALSE))="JBL",(VLOOKUP(Table6[[#This Row],[SKU]],'All Skus'!$A:$AC,3,FALSE)),""))</f>
        <v>VTX SERIES</v>
      </c>
      <c r="C738" s="12" t="str">
        <f>(IF((VLOOKUP(Table6[[#This Row],[SKU]],'All Skus'!$A:$AC,2,FALSE))="JBL",(VLOOKUP(Table6[[#This Row],[SKU]],'All Skus'!$A:$AC,4,FALSE)),""))</f>
        <v>VTX-V20-VT-CVR</v>
      </c>
      <c r="D738" s="61" t="str">
        <f>(IF((VLOOKUP(Table6[[#This Row],[SKU]],'All Skus'!$A:$AC,2,FALSE))="JBL",(VLOOKUP(Table6[[#This Row],[SKU]],'All Skus'!$A:$AC,5,FALSE)),""))</f>
        <v>JBL046</v>
      </c>
      <c r="E738" s="137" t="str">
        <f>(IF((VLOOKUP(Table6[[#This Row],[SKU]],'All Skus'!$A:$AC,2,FALSE))="JBL",(VLOOKUP(Table6[[#This Row],[SKU]],'All Skus'!$A:$AC,6,FALSE)),""))</f>
        <v>YES</v>
      </c>
      <c r="F738" s="61">
        <f>(IF((VLOOKUP(Table6[[#This Row],[SKU]],'All Skus'!$A:$AC,2,FALSE))="JBL",(VLOOKUP(Table6[[#This Row],[SKU]],'All Skus'!$A:$AC,7,FALSE)),""))</f>
        <v>0</v>
      </c>
      <c r="G738" t="str">
        <f>(IF((VLOOKUP(Table6[[#This Row],[SKU]],'All Skus'!$A:$AC,2,FALSE))="JBL",(VLOOKUP(Table6[[#This Row],[SKU]],'All Skus'!$A:$AC,8,FALSE)),""))</f>
        <v>VTX-V20-VT-CVR</v>
      </c>
      <c r="H738" s="8" t="str">
        <f>(IF((VLOOKUP(Table6[[#This Row],[SKU]],'All Skus'!$A:$AC,2,FALSE))="JBL",(VLOOKUP(Table6[[#This Row],[SKU]],'All Skus'!$A:$AC,9,FALSE)),""))</f>
        <v>VTX V20 Vertical Transporter Cover for use with VTX-V20-VT. Modular, reconfigurable design allows for protection of three to four VTX V20 enclosures.</v>
      </c>
      <c r="I738" s="101" t="str">
        <f>(IF((VLOOKUP(Table6[[#This Row],[SKU]],'All Skus'!$A:$AC,2,FALSE))="JBL",(VLOOKUP(Table6[[#This Row],[SKU]],'All Skus'!$A:$AC,10,FALSE)),""))</f>
        <v>“Price On Application (POA) Contact your Representative"</v>
      </c>
      <c r="J738" s="101" t="str">
        <f>(IF((VLOOKUP(Table6[[#This Row],[SKU]],'All Skus'!$A:$AC,2,FALSE))="JBL",(VLOOKUP(Table6[[#This Row],[SKU]],'All Skus'!$A:$AC,11,FALSE)),""))</f>
        <v>“Price On Application (POA) Contact your Representative"</v>
      </c>
      <c r="K738" s="102">
        <f>(IF((VLOOKUP(Table6[[#This Row],[SKU]],'All Skus'!$A:$AC,2,FALSE))="JBL",(VLOOKUP(Table6[[#This Row],[SKU]],'All Skus'!$A:$AC,13,FALSE)),""))</f>
        <v>0</v>
      </c>
      <c r="L738" s="102">
        <f>(IF((VLOOKUP(Table6[[#This Row],[SKU]],'All Skus'!$A:$AC,2,FALSE))="JBL",(VLOOKUP(Table6[[#This Row],[SKU]],'All Skus'!$A:$AC,14,FALSE)),""))</f>
        <v>0</v>
      </c>
      <c r="M738" s="143">
        <f>(IF((VLOOKUP(Table6[[#This Row],[SKU]],'All Skus'!$A:$AC,2,FALSE))="JBL",(VLOOKUP(Table6[[#This Row],[SKU]],'All Skus'!$A:$AC,15,FALSE)),""))</f>
        <v>0</v>
      </c>
      <c r="N738" s="137">
        <f>(IF((VLOOKUP(Table6[[#This Row],[SKU]],'All Skus'!$A:$AC,2,FALSE))="JBL",(VLOOKUP(Table6[[#This Row],[SKU]],'All Skus'!$A:$AC,16,FALSE)),""))</f>
        <v>691991013089</v>
      </c>
      <c r="O738" s="61">
        <f>(IF((VLOOKUP(Table6[[#This Row],[SKU]],'All Skus'!$A:$AC,2,FALSE))="JBL",(VLOOKUP(Table6[[#This Row],[SKU]],'All Skus'!$A:$AC,17,FALSE)),""))</f>
        <v>0</v>
      </c>
      <c r="P738" s="136">
        <f>(IF((VLOOKUP(Table6[[#This Row],[SKU]],'All Skus'!$A:$AC,2,FALSE))="JBL",(VLOOKUP(Table6[[#This Row],[SKU]],'All Skus'!$A:$AC,18,FALSE)),""))</f>
        <v>30</v>
      </c>
      <c r="Q738" s="136">
        <f>(IF((VLOOKUP(Table6[[#This Row],[SKU]],'All Skus'!$A:$AC,2,FALSE))="JBL",(VLOOKUP(Table6[[#This Row],[SKU]],'All Skus'!$A:$AC,19,FALSE)),""))</f>
        <v>37</v>
      </c>
      <c r="R738" s="136">
        <f>(IF((VLOOKUP(Table6[[#This Row],[SKU]],'All Skus'!$A:$AC,2,FALSE))="JBL",(VLOOKUP(Table6[[#This Row],[SKU]],'All Skus'!$A:$AC,20,FALSE)),""))</f>
        <v>25</v>
      </c>
      <c r="S738" s="61">
        <f>(IF((VLOOKUP(Table6[[#This Row],[SKU]],'All Skus'!$A:$AC,2,FALSE))="JBL",(VLOOKUP(Table6[[#This Row],[SKU]],'All Skus'!$A:$AC,21,FALSE)),""))</f>
        <v>5</v>
      </c>
      <c r="T738" s="61" t="str">
        <f>(IF((VLOOKUP(Table6[[#This Row],[SKU]],'All Skus'!$A:$AC,2,FALSE))="JBL",(VLOOKUP(Table6[[#This Row],[SKU]],'All Skus'!$A:$AC,22,FALSE)),""))</f>
        <v>CN</v>
      </c>
      <c r="U738">
        <f>(IF((VLOOKUP(Table6[[#This Row],[SKU]],'All Skus'!$A:$AC,2,FALSE))="JBL",(VLOOKUP(Table6[[#This Row],[SKU]],'All Skus'!$A:$AC,23,FALSE)),""))</f>
        <v>0</v>
      </c>
      <c r="V738" s="284" t="str">
        <f>HYPERLINK((IF((VLOOKUP(Table6[[#This Row],[SKU]],'All Skus'!$A:$AC,2,FALSE))="JBL",(VLOOKUP(Table6[[#This Row],[SKU]],'All Skus'!$A:$AC,24,FALSE)),"")))</f>
        <v/>
      </c>
      <c r="W738" s="151">
        <v>735</v>
      </c>
    </row>
    <row r="739" spans="1:23" ht="15" hidden="1" customHeight="1">
      <c r="A739" s="13" t="s">
        <v>1748</v>
      </c>
      <c r="B739" s="12" t="str">
        <f>(IF((VLOOKUP(Table6[[#This Row],[SKU]],'All Skus'!$A:$AC,2,FALSE))="JBL",(VLOOKUP(Table6[[#This Row],[SKU]],'All Skus'!$A:$AC,3,FALSE)),""))</f>
        <v>VTX SERIES</v>
      </c>
      <c r="C739" s="12" t="str">
        <f>(IF((VLOOKUP(Table6[[#This Row],[SKU]],'All Skus'!$A:$AC,2,FALSE))="JBL",(VLOOKUP(Table6[[#This Row],[SKU]],'All Skus'!$A:$AC,4,FALSE)),""))</f>
        <v>VTX-V20-VT-CVRW</v>
      </c>
      <c r="D739" s="61" t="str">
        <f>(IF((VLOOKUP(Table6[[#This Row],[SKU]],'All Skus'!$A:$AC,2,FALSE))="JBL",(VLOOKUP(Table6[[#This Row],[SKU]],'All Skus'!$A:$AC,5,FALSE)),""))</f>
        <v>JBL046</v>
      </c>
      <c r="E739" s="137" t="str">
        <f>(IF((VLOOKUP(Table6[[#This Row],[SKU]],'All Skus'!$A:$AC,2,FALSE))="JBL",(VLOOKUP(Table6[[#This Row],[SKU]],'All Skus'!$A:$AC,6,FALSE)),""))</f>
        <v>YES</v>
      </c>
      <c r="F739" s="61">
        <f>(IF((VLOOKUP(Table6[[#This Row],[SKU]],'All Skus'!$A:$AC,2,FALSE))="JBL",(VLOOKUP(Table6[[#This Row],[SKU]],'All Skus'!$A:$AC,7,FALSE)),""))</f>
        <v>0</v>
      </c>
      <c r="G739" t="str">
        <f>(IF((VLOOKUP(Table6[[#This Row],[SKU]],'All Skus'!$A:$AC,2,FALSE))="JBL",(VLOOKUP(Table6[[#This Row],[SKU]],'All Skus'!$A:$AC,8,FALSE)),""))</f>
        <v>VTX-V20-VT-CVRW</v>
      </c>
      <c r="H739" s="8" t="str">
        <f>(IF((VLOOKUP(Table6[[#This Row],[SKU]],'All Skus'!$A:$AC,2,FALSE))="JBL",(VLOOKUP(Table6[[#This Row],[SKU]],'All Skus'!$A:$AC,9,FALSE)),""))</f>
        <v xml:space="preserve">VTX V20 Vertical Transporter Wrap Cover for use with VTX-V20-VT. Allows for protection of three to four VTX V20 enclosures without the need to remove the VTX-V20-AF from the top of a stack of VTX V20 enclosures. </v>
      </c>
      <c r="I739" s="101" t="str">
        <f>(IF((VLOOKUP(Table6[[#This Row],[SKU]],'All Skus'!$A:$AC,2,FALSE))="JBL",(VLOOKUP(Table6[[#This Row],[SKU]],'All Skus'!$A:$AC,10,FALSE)),""))</f>
        <v>“Price On Application (POA) Contact your Representative"</v>
      </c>
      <c r="J739" s="101" t="str">
        <f>(IF((VLOOKUP(Table6[[#This Row],[SKU]],'All Skus'!$A:$AC,2,FALSE))="JBL",(VLOOKUP(Table6[[#This Row],[SKU]],'All Skus'!$A:$AC,11,FALSE)),""))</f>
        <v>“Price On Application (POA) Contact your Representative"</v>
      </c>
      <c r="K739" s="102">
        <f>(IF((VLOOKUP(Table6[[#This Row],[SKU]],'All Skus'!$A:$AC,2,FALSE))="JBL",(VLOOKUP(Table6[[#This Row],[SKU]],'All Skus'!$A:$AC,13,FALSE)),""))</f>
        <v>0</v>
      </c>
      <c r="L739" s="102">
        <f>(IF((VLOOKUP(Table6[[#This Row],[SKU]],'All Skus'!$A:$AC,2,FALSE))="JBL",(VLOOKUP(Table6[[#This Row],[SKU]],'All Skus'!$A:$AC,14,FALSE)),""))</f>
        <v>0</v>
      </c>
      <c r="M739" s="143">
        <f>(IF((VLOOKUP(Table6[[#This Row],[SKU]],'All Skus'!$A:$AC,2,FALSE))="JBL",(VLOOKUP(Table6[[#This Row],[SKU]],'All Skus'!$A:$AC,15,FALSE)),""))</f>
        <v>0</v>
      </c>
      <c r="N739" s="137">
        <f>(IF((VLOOKUP(Table6[[#This Row],[SKU]],'All Skus'!$A:$AC,2,FALSE))="JBL",(VLOOKUP(Table6[[#This Row],[SKU]],'All Skus'!$A:$AC,16,FALSE)),""))</f>
        <v>0</v>
      </c>
      <c r="O739" s="61">
        <f>(IF((VLOOKUP(Table6[[#This Row],[SKU]],'All Skus'!$A:$AC,2,FALSE))="JBL",(VLOOKUP(Table6[[#This Row],[SKU]],'All Skus'!$A:$AC,17,FALSE)),""))</f>
        <v>0</v>
      </c>
      <c r="P739" s="136">
        <f>(IF((VLOOKUP(Table6[[#This Row],[SKU]],'All Skus'!$A:$AC,2,FALSE))="JBL",(VLOOKUP(Table6[[#This Row],[SKU]],'All Skus'!$A:$AC,18,FALSE)),""))</f>
        <v>22</v>
      </c>
      <c r="Q739" s="136">
        <f>(IF((VLOOKUP(Table6[[#This Row],[SKU]],'All Skus'!$A:$AC,2,FALSE))="JBL",(VLOOKUP(Table6[[#This Row],[SKU]],'All Skus'!$A:$AC,19,FALSE)),""))</f>
        <v>42</v>
      </c>
      <c r="R739" s="136">
        <f>(IF((VLOOKUP(Table6[[#This Row],[SKU]],'All Skus'!$A:$AC,2,FALSE))="JBL",(VLOOKUP(Table6[[#This Row],[SKU]],'All Skus'!$A:$AC,20,FALSE)),""))</f>
        <v>12</v>
      </c>
      <c r="S739" s="61">
        <f>(IF((VLOOKUP(Table6[[#This Row],[SKU]],'All Skus'!$A:$AC,2,FALSE))="JBL",(VLOOKUP(Table6[[#This Row],[SKU]],'All Skus'!$A:$AC,21,FALSE)),""))</f>
        <v>5</v>
      </c>
      <c r="T739" s="61" t="str">
        <f>(IF((VLOOKUP(Table6[[#This Row],[SKU]],'All Skus'!$A:$AC,2,FALSE))="JBL",(VLOOKUP(Table6[[#This Row],[SKU]],'All Skus'!$A:$AC,22,FALSE)),""))</f>
        <v>US</v>
      </c>
      <c r="U739">
        <f>(IF((VLOOKUP(Table6[[#This Row],[SKU]],'All Skus'!$A:$AC,2,FALSE))="JBL",(VLOOKUP(Table6[[#This Row],[SKU]],'All Skus'!$A:$AC,23,FALSE)),""))</f>
        <v>0</v>
      </c>
      <c r="V739" s="284" t="str">
        <f>HYPERLINK((IF((VLOOKUP(Table6[[#This Row],[SKU]],'All Skus'!$A:$AC,2,FALSE))="JBL",(VLOOKUP(Table6[[#This Row],[SKU]],'All Skus'!$A:$AC,24,FALSE)),"")))</f>
        <v/>
      </c>
      <c r="W739" s="151">
        <v>736</v>
      </c>
    </row>
    <row r="740" spans="1:23" ht="15" hidden="1" customHeight="1">
      <c r="A740" s="13" t="s">
        <v>1749</v>
      </c>
      <c r="B740" s="12" t="str">
        <f>(IF((VLOOKUP(Table6[[#This Row],[SKU]],'All Skus'!$A:$AC,2,FALSE))="JBL",(VLOOKUP(Table6[[#This Row],[SKU]],'All Skus'!$A:$AC,3,FALSE)),""))</f>
        <v>VTX SERIES</v>
      </c>
      <c r="C740" s="12" t="str">
        <f>(IF((VLOOKUP(Table6[[#This Row],[SKU]],'All Skus'!$A:$AC,2,FALSE))="JBL",(VLOOKUP(Table6[[#This Row],[SKU]],'All Skus'!$A:$AC,4,FALSE)),""))</f>
        <v>VTX-V25-ACC</v>
      </c>
      <c r="D740" s="61" t="str">
        <f>(IF((VLOOKUP(Table6[[#This Row],[SKU]],'All Skus'!$A:$AC,2,FALSE))="JBL",(VLOOKUP(Table6[[#This Row],[SKU]],'All Skus'!$A:$AC,5,FALSE)),""))</f>
        <v>JBL046</v>
      </c>
      <c r="E740" s="137" t="str">
        <f>(IF((VLOOKUP(Table6[[#This Row],[SKU]],'All Skus'!$A:$AC,2,FALSE))="JBL",(VLOOKUP(Table6[[#This Row],[SKU]],'All Skus'!$A:$AC,6,FALSE)),""))</f>
        <v>YES</v>
      </c>
      <c r="F740" s="61">
        <f>(IF((VLOOKUP(Table6[[#This Row],[SKU]],'All Skus'!$A:$AC,2,FALSE))="JBL",(VLOOKUP(Table6[[#This Row],[SKU]],'All Skus'!$A:$AC,7,FALSE)),""))</f>
        <v>0</v>
      </c>
      <c r="G740" t="str">
        <f>(IF((VLOOKUP(Table6[[#This Row],[SKU]],'All Skus'!$A:$AC,2,FALSE))="JBL",(VLOOKUP(Table6[[#This Row],[SKU]],'All Skus'!$A:$AC,8,FALSE)),""))</f>
        <v>VTX-V25-ACC</v>
      </c>
      <c r="H740" s="8" t="str">
        <f>(IF((VLOOKUP(Table6[[#This Row],[SKU]],'All Skus'!$A:$AC,2,FALSE))="JBL",(VLOOKUP(Table6[[#This Row],[SKU]],'All Skus'!$A:$AC,9,FALSE)),""))</f>
        <v>VTX V25 Accessory Cover Caster-Board for transportation and protection of one V25 enclosure. Includes: padded, reinforced protective cover with handle cutouts and rear panel access flap; dolly wheel-board with rugged, tour grade casters and rotating cam mechanism for secure attachment.</v>
      </c>
      <c r="I740" s="101" t="str">
        <f>(IF((VLOOKUP(Table6[[#This Row],[SKU]],'All Skus'!$A:$AC,2,FALSE))="JBL",(VLOOKUP(Table6[[#This Row],[SKU]],'All Skus'!$A:$AC,10,FALSE)),""))</f>
        <v>“Price On Application (POA) Contact your Representative"</v>
      </c>
      <c r="J740" s="101" t="str">
        <f>(IF((VLOOKUP(Table6[[#This Row],[SKU]],'All Skus'!$A:$AC,2,FALSE))="JBL",(VLOOKUP(Table6[[#This Row],[SKU]],'All Skus'!$A:$AC,11,FALSE)),""))</f>
        <v>“Price On Application (POA) Contact your Representative"</v>
      </c>
      <c r="K740" s="102">
        <f>(IF((VLOOKUP(Table6[[#This Row],[SKU]],'All Skus'!$A:$AC,2,FALSE))="JBL",(VLOOKUP(Table6[[#This Row],[SKU]],'All Skus'!$A:$AC,13,FALSE)),""))</f>
        <v>0</v>
      </c>
      <c r="L740" s="102">
        <f>(IF((VLOOKUP(Table6[[#This Row],[SKU]],'All Skus'!$A:$AC,2,FALSE))="JBL",(VLOOKUP(Table6[[#This Row],[SKU]],'All Skus'!$A:$AC,14,FALSE)),""))</f>
        <v>0</v>
      </c>
      <c r="M740" s="143">
        <f>(IF((VLOOKUP(Table6[[#This Row],[SKU]],'All Skus'!$A:$AC,2,FALSE))="JBL",(VLOOKUP(Table6[[#This Row],[SKU]],'All Skus'!$A:$AC,15,FALSE)),""))</f>
        <v>0</v>
      </c>
      <c r="N740" s="137">
        <f>(IF((VLOOKUP(Table6[[#This Row],[SKU]],'All Skus'!$A:$AC,2,FALSE))="JBL",(VLOOKUP(Table6[[#This Row],[SKU]],'All Skus'!$A:$AC,16,FALSE)),""))</f>
        <v>691991013096</v>
      </c>
      <c r="O740" s="61">
        <f>(IF((VLOOKUP(Table6[[#This Row],[SKU]],'All Skus'!$A:$AC,2,FALSE))="JBL",(VLOOKUP(Table6[[#This Row],[SKU]],'All Skus'!$A:$AC,17,FALSE)),""))</f>
        <v>0</v>
      </c>
      <c r="P740" s="136">
        <f>(IF((VLOOKUP(Table6[[#This Row],[SKU]],'All Skus'!$A:$AC,2,FALSE))="JBL",(VLOOKUP(Table6[[#This Row],[SKU]],'All Skus'!$A:$AC,18,FALSE)),""))</f>
        <v>36.26</v>
      </c>
      <c r="Q740" s="136">
        <f>(IF((VLOOKUP(Table6[[#This Row],[SKU]],'All Skus'!$A:$AC,2,FALSE))="JBL",(VLOOKUP(Table6[[#This Row],[SKU]],'All Skus'!$A:$AC,19,FALSE)),""))</f>
        <v>51</v>
      </c>
      <c r="R740" s="136">
        <f>(IF((VLOOKUP(Table6[[#This Row],[SKU]],'All Skus'!$A:$AC,2,FALSE))="JBL",(VLOOKUP(Table6[[#This Row],[SKU]],'All Skus'!$A:$AC,20,FALSE)),""))</f>
        <v>18</v>
      </c>
      <c r="S740" s="61">
        <f>(IF((VLOOKUP(Table6[[#This Row],[SKU]],'All Skus'!$A:$AC,2,FALSE))="JBL",(VLOOKUP(Table6[[#This Row],[SKU]],'All Skus'!$A:$AC,21,FALSE)),""))</f>
        <v>6</v>
      </c>
      <c r="T740" s="61" t="str">
        <f>(IF((VLOOKUP(Table6[[#This Row],[SKU]],'All Skus'!$A:$AC,2,FALSE))="JBL",(VLOOKUP(Table6[[#This Row],[SKU]],'All Skus'!$A:$AC,22,FALSE)),""))</f>
        <v>MX</v>
      </c>
      <c r="U740">
        <f>(IF((VLOOKUP(Table6[[#This Row],[SKU]],'All Skus'!$A:$AC,2,FALSE))="JBL",(VLOOKUP(Table6[[#This Row],[SKU]],'All Skus'!$A:$AC,23,FALSE)),""))</f>
        <v>0</v>
      </c>
      <c r="V740" s="284" t="str">
        <f>HYPERLINK((IF((VLOOKUP(Table6[[#This Row],[SKU]],'All Skus'!$A:$AC,2,FALSE))="JBL",(VLOOKUP(Table6[[#This Row],[SKU]],'All Skus'!$A:$AC,24,FALSE)),"")))</f>
        <v/>
      </c>
      <c r="W740" s="151">
        <v>737</v>
      </c>
    </row>
    <row r="741" spans="1:23" ht="15" hidden="1" customHeight="1">
      <c r="A741" s="13" t="s">
        <v>1750</v>
      </c>
      <c r="B741" s="12" t="str">
        <f>(IF((VLOOKUP(Table6[[#This Row],[SKU]],'All Skus'!$A:$AC,2,FALSE))="JBL",(VLOOKUP(Table6[[#This Row],[SKU]],'All Skus'!$A:$AC,3,FALSE)),""))</f>
        <v>VTX SERIES</v>
      </c>
      <c r="C741" s="12" t="str">
        <f>(IF((VLOOKUP(Table6[[#This Row],[SKU]],'All Skus'!$A:$AC,2,FALSE))="JBL",(VLOOKUP(Table6[[#This Row],[SKU]],'All Skus'!$A:$AC,4,FALSE)),""))</f>
        <v>VTX-V25-AF</v>
      </c>
      <c r="D741" s="61" t="str">
        <f>(IF((VLOOKUP(Table6[[#This Row],[SKU]],'All Skus'!$A:$AC,2,FALSE))="JBL",(VLOOKUP(Table6[[#This Row],[SKU]],'All Skus'!$A:$AC,5,FALSE)),""))</f>
        <v>JBL046</v>
      </c>
      <c r="E741" s="137" t="str">
        <f>(IF((VLOOKUP(Table6[[#This Row],[SKU]],'All Skus'!$A:$AC,2,FALSE))="JBL",(VLOOKUP(Table6[[#This Row],[SKU]],'All Skus'!$A:$AC,6,FALSE)),""))</f>
        <v>YES</v>
      </c>
      <c r="F741" s="61">
        <f>(IF((VLOOKUP(Table6[[#This Row],[SKU]],'All Skus'!$A:$AC,2,FALSE))="JBL",(VLOOKUP(Table6[[#This Row],[SKU]],'All Skus'!$A:$AC,7,FALSE)),""))</f>
        <v>0</v>
      </c>
      <c r="G741" t="str">
        <f>(IF((VLOOKUP(Table6[[#This Row],[SKU]],'All Skus'!$A:$AC,2,FALSE))="JBL",(VLOOKUP(Table6[[#This Row],[SKU]],'All Skus'!$A:$AC,8,FALSE)),""))</f>
        <v>VTX-V25-AF</v>
      </c>
      <c r="H741" s="8" t="str">
        <f>(IF((VLOOKUP(Table6[[#This Row],[SKU]],'All Skus'!$A:$AC,2,FALSE))="JBL",(VLOOKUP(Table6[[#This Row],[SKU]],'All Skus'!$A:$AC,9,FALSE)),""))</f>
        <v xml:space="preserve">VTX V25 ARRAY FRAME - TOURING for suspending or ground stacking VTX V25 or VTX S28 enclosures. Includes leveling screw jacks; optional extension bar available. Weight 80.3 kg (176.9 lb). Steel, black. </v>
      </c>
      <c r="I741" s="101" t="str">
        <f>(IF((VLOOKUP(Table6[[#This Row],[SKU]],'All Skus'!$A:$AC,2,FALSE))="JBL",(VLOOKUP(Table6[[#This Row],[SKU]],'All Skus'!$A:$AC,10,FALSE)),""))</f>
        <v>“Price On Application (POA) Contact your Representative"</v>
      </c>
      <c r="J741" s="101" t="str">
        <f>(IF((VLOOKUP(Table6[[#This Row],[SKU]],'All Skus'!$A:$AC,2,FALSE))="JBL",(VLOOKUP(Table6[[#This Row],[SKU]],'All Skus'!$A:$AC,11,FALSE)),""))</f>
        <v>“Price On Application (POA) Contact your Representative"</v>
      </c>
      <c r="K741" s="102">
        <f>(IF((VLOOKUP(Table6[[#This Row],[SKU]],'All Skus'!$A:$AC,2,FALSE))="JBL",(VLOOKUP(Table6[[#This Row],[SKU]],'All Skus'!$A:$AC,13,FALSE)),""))</f>
        <v>0</v>
      </c>
      <c r="L741" s="102">
        <f>(IF((VLOOKUP(Table6[[#This Row],[SKU]],'All Skus'!$A:$AC,2,FALSE))="JBL",(VLOOKUP(Table6[[#This Row],[SKU]],'All Skus'!$A:$AC,14,FALSE)),""))</f>
        <v>0</v>
      </c>
      <c r="M741" s="143">
        <f>(IF((VLOOKUP(Table6[[#This Row],[SKU]],'All Skus'!$A:$AC,2,FALSE))="JBL",(VLOOKUP(Table6[[#This Row],[SKU]],'All Skus'!$A:$AC,15,FALSE)),""))</f>
        <v>0</v>
      </c>
      <c r="N741" s="137">
        <f>(IF((VLOOKUP(Table6[[#This Row],[SKU]],'All Skus'!$A:$AC,2,FALSE))="JBL",(VLOOKUP(Table6[[#This Row],[SKU]],'All Skus'!$A:$AC,16,FALSE)),""))</f>
        <v>691991006487</v>
      </c>
      <c r="O741" s="61">
        <f>(IF((VLOOKUP(Table6[[#This Row],[SKU]],'All Skus'!$A:$AC,2,FALSE))="JBL",(VLOOKUP(Table6[[#This Row],[SKU]],'All Skus'!$A:$AC,17,FALSE)),""))</f>
        <v>0</v>
      </c>
      <c r="P741" s="136">
        <f>(IF((VLOOKUP(Table6[[#This Row],[SKU]],'All Skus'!$A:$AC,2,FALSE))="JBL",(VLOOKUP(Table6[[#This Row],[SKU]],'All Skus'!$A:$AC,18,FALSE)),""))</f>
        <v>182</v>
      </c>
      <c r="Q741" s="136">
        <f>(IF((VLOOKUP(Table6[[#This Row],[SKU]],'All Skus'!$A:$AC,2,FALSE))="JBL",(VLOOKUP(Table6[[#This Row],[SKU]],'All Skus'!$A:$AC,19,FALSE)),""))</f>
        <v>24.2</v>
      </c>
      <c r="R741" s="136">
        <f>(IF((VLOOKUP(Table6[[#This Row],[SKU]],'All Skus'!$A:$AC,2,FALSE))="JBL",(VLOOKUP(Table6[[#This Row],[SKU]],'All Skus'!$A:$AC,20,FALSE)),""))</f>
        <v>16.3</v>
      </c>
      <c r="S741" s="61">
        <f>(IF((VLOOKUP(Table6[[#This Row],[SKU]],'All Skus'!$A:$AC,2,FALSE))="JBL",(VLOOKUP(Table6[[#This Row],[SKU]],'All Skus'!$A:$AC,21,FALSE)),""))</f>
        <v>48.2</v>
      </c>
      <c r="T741" s="61" t="str">
        <f>(IF((VLOOKUP(Table6[[#This Row],[SKU]],'All Skus'!$A:$AC,2,FALSE))="JBL",(VLOOKUP(Table6[[#This Row],[SKU]],'All Skus'!$A:$AC,22,FALSE)),""))</f>
        <v>MX</v>
      </c>
      <c r="U741">
        <f>(IF((VLOOKUP(Table6[[#This Row],[SKU]],'All Skus'!$A:$AC,2,FALSE))="JBL",(VLOOKUP(Table6[[#This Row],[SKU]],'All Skus'!$A:$AC,23,FALSE)),""))</f>
        <v>0</v>
      </c>
      <c r="V741" s="284" t="str">
        <f>HYPERLINK((IF((VLOOKUP(Table6[[#This Row],[SKU]],'All Skus'!$A:$AC,2,FALSE))="JBL",(VLOOKUP(Table6[[#This Row],[SKU]],'All Skus'!$A:$AC,24,FALSE)),"")))</f>
        <v/>
      </c>
      <c r="W741" s="151">
        <v>738</v>
      </c>
    </row>
    <row r="742" spans="1:23" ht="15" hidden="1" customHeight="1">
      <c r="A742" s="13" t="s">
        <v>1751</v>
      </c>
      <c r="B742" s="12" t="str">
        <f>(IF((VLOOKUP(Table6[[#This Row],[SKU]],'All Skus'!$A:$AC,2,FALSE))="JBL",(VLOOKUP(Table6[[#This Row],[SKU]],'All Skus'!$A:$AC,3,FALSE)),""))</f>
        <v>VTX SERIES</v>
      </c>
      <c r="C742" s="12" t="str">
        <f>(IF((VLOOKUP(Table6[[#This Row],[SKU]],'All Skus'!$A:$AC,2,FALSE))="JBL",(VLOOKUP(Table6[[#This Row],[SKU]],'All Skus'!$A:$AC,4,FALSE)),""))</f>
        <v>VTX-V25-AF-EB</v>
      </c>
      <c r="D742" s="61" t="str">
        <f>(IF((VLOOKUP(Table6[[#This Row],[SKU]],'All Skus'!$A:$AC,2,FALSE))="JBL",(VLOOKUP(Table6[[#This Row],[SKU]],'All Skus'!$A:$AC,5,FALSE)),""))</f>
        <v>JBL046</v>
      </c>
      <c r="E742" s="137" t="str">
        <f>(IF((VLOOKUP(Table6[[#This Row],[SKU]],'All Skus'!$A:$AC,2,FALSE))="JBL",(VLOOKUP(Table6[[#This Row],[SKU]],'All Skus'!$A:$AC,6,FALSE)),""))</f>
        <v>YES</v>
      </c>
      <c r="F742" s="61">
        <f>(IF((VLOOKUP(Table6[[#This Row],[SKU]],'All Skus'!$A:$AC,2,FALSE))="JBL",(VLOOKUP(Table6[[#This Row],[SKU]],'All Skus'!$A:$AC,7,FALSE)),""))</f>
        <v>0</v>
      </c>
      <c r="G742" t="str">
        <f>(IF((VLOOKUP(Table6[[#This Row],[SKU]],'All Skus'!$A:$AC,2,FALSE))="JBL",(VLOOKUP(Table6[[#This Row],[SKU]],'All Skus'!$A:$AC,8,FALSE)),""))</f>
        <v>VTX-V25-AF-EB</v>
      </c>
      <c r="H742" s="8" t="str">
        <f>(IF((VLOOKUP(Table6[[#This Row],[SKU]],'All Skus'!$A:$AC,2,FALSE))="JBL",(VLOOKUP(Table6[[#This Row],[SKU]],'All Skus'!$A:$AC,9,FALSE)),""))</f>
        <v xml:space="preserve">VTX V25 ARRAY FRAME EXTENSION BAR for use with VTX-V25-AF, front- or rear-mounted. Single (central) or dual (side-mounted) extension bars can be used for added stability and tilt adjustment to facilitate ground stacked systems. Weight 32.3 kg (71.1 lb). Steel, black. </v>
      </c>
      <c r="I742" s="101" t="str">
        <f>(IF((VLOOKUP(Table6[[#This Row],[SKU]],'All Skus'!$A:$AC,2,FALSE))="JBL",(VLOOKUP(Table6[[#This Row],[SKU]],'All Skus'!$A:$AC,10,FALSE)),""))</f>
        <v>“Price On Application (POA) Contact your Representative"</v>
      </c>
      <c r="J742" s="101" t="str">
        <f>(IF((VLOOKUP(Table6[[#This Row],[SKU]],'All Skus'!$A:$AC,2,FALSE))="JBL",(VLOOKUP(Table6[[#This Row],[SKU]],'All Skus'!$A:$AC,11,FALSE)),""))</f>
        <v>“Price On Application (POA) Contact your Representative"</v>
      </c>
      <c r="K742" s="102">
        <f>(IF((VLOOKUP(Table6[[#This Row],[SKU]],'All Skus'!$A:$AC,2,FALSE))="JBL",(VLOOKUP(Table6[[#This Row],[SKU]],'All Skus'!$A:$AC,13,FALSE)),""))</f>
        <v>0</v>
      </c>
      <c r="L742" s="102">
        <f>(IF((VLOOKUP(Table6[[#This Row],[SKU]],'All Skus'!$A:$AC,2,FALSE))="JBL",(VLOOKUP(Table6[[#This Row],[SKU]],'All Skus'!$A:$AC,14,FALSE)),""))</f>
        <v>0</v>
      </c>
      <c r="M742" s="143">
        <f>(IF((VLOOKUP(Table6[[#This Row],[SKU]],'All Skus'!$A:$AC,2,FALSE))="JBL",(VLOOKUP(Table6[[#This Row],[SKU]],'All Skus'!$A:$AC,15,FALSE)),""))</f>
        <v>0</v>
      </c>
      <c r="N742" s="137">
        <f>(IF((VLOOKUP(Table6[[#This Row],[SKU]],'All Skus'!$A:$AC,2,FALSE))="JBL",(VLOOKUP(Table6[[#This Row],[SKU]],'All Skus'!$A:$AC,16,FALSE)),""))</f>
        <v>691991006494</v>
      </c>
      <c r="O742" s="61">
        <f>(IF((VLOOKUP(Table6[[#This Row],[SKU]],'All Skus'!$A:$AC,2,FALSE))="JBL",(VLOOKUP(Table6[[#This Row],[SKU]],'All Skus'!$A:$AC,17,FALSE)),""))</f>
        <v>0</v>
      </c>
      <c r="P742" s="136">
        <f>(IF((VLOOKUP(Table6[[#This Row],[SKU]],'All Skus'!$A:$AC,2,FALSE))="JBL",(VLOOKUP(Table6[[#This Row],[SKU]],'All Skus'!$A:$AC,18,FALSE)),""))</f>
        <v>78</v>
      </c>
      <c r="Q742" s="136">
        <f>(IF((VLOOKUP(Table6[[#This Row],[SKU]],'All Skus'!$A:$AC,2,FALSE))="JBL",(VLOOKUP(Table6[[#This Row],[SKU]],'All Skus'!$A:$AC,19,FALSE)),""))</f>
        <v>51</v>
      </c>
      <c r="R742" s="136">
        <f>(IF((VLOOKUP(Table6[[#This Row],[SKU]],'All Skus'!$A:$AC,2,FALSE))="JBL",(VLOOKUP(Table6[[#This Row],[SKU]],'All Skus'!$A:$AC,20,FALSE)),""))</f>
        <v>8</v>
      </c>
      <c r="S742" s="61">
        <f>(IF((VLOOKUP(Table6[[#This Row],[SKU]],'All Skus'!$A:$AC,2,FALSE))="JBL",(VLOOKUP(Table6[[#This Row],[SKU]],'All Skus'!$A:$AC,21,FALSE)),""))</f>
        <v>5</v>
      </c>
      <c r="T742" s="61" t="str">
        <f>(IF((VLOOKUP(Table6[[#This Row],[SKU]],'All Skus'!$A:$AC,2,FALSE))="JBL",(VLOOKUP(Table6[[#This Row],[SKU]],'All Skus'!$A:$AC,22,FALSE)),""))</f>
        <v>US</v>
      </c>
      <c r="U742">
        <f>(IF((VLOOKUP(Table6[[#This Row],[SKU]],'All Skus'!$A:$AC,2,FALSE))="JBL",(VLOOKUP(Table6[[#This Row],[SKU]],'All Skus'!$A:$AC,23,FALSE)),""))</f>
        <v>0</v>
      </c>
      <c r="V742" s="284" t="str">
        <f>HYPERLINK((IF((VLOOKUP(Table6[[#This Row],[SKU]],'All Skus'!$A:$AC,2,FALSE))="JBL",(VLOOKUP(Table6[[#This Row],[SKU]],'All Skus'!$A:$AC,24,FALSE)),"")))</f>
        <v/>
      </c>
      <c r="W742" s="151">
        <v>739</v>
      </c>
    </row>
    <row r="743" spans="1:23" ht="15" hidden="1" customHeight="1">
      <c r="A743" s="13" t="s">
        <v>1752</v>
      </c>
      <c r="B743" s="12" t="str">
        <f>(IF((VLOOKUP(Table6[[#This Row],[SKU]],'All Skus'!$A:$AC,2,FALSE))="JBL",(VLOOKUP(Table6[[#This Row],[SKU]],'All Skus'!$A:$AC,3,FALSE)),""))</f>
        <v>VTX SERIES</v>
      </c>
      <c r="C743" s="12" t="str">
        <f>(IF((VLOOKUP(Table6[[#This Row],[SKU]],'All Skus'!$A:$AC,2,FALSE))="JBL",(VLOOKUP(Table6[[#This Row],[SKU]],'All Skus'!$A:$AC,4,FALSE)),""))</f>
        <v>VTX-V25-CS-K</v>
      </c>
      <c r="D743" s="61" t="str">
        <f>(IF((VLOOKUP(Table6[[#This Row],[SKU]],'All Skus'!$A:$AC,2,FALSE))="JBL",(VLOOKUP(Table6[[#This Row],[SKU]],'All Skus'!$A:$AC,5,FALSE)),""))</f>
        <v>JBL046</v>
      </c>
      <c r="E743" s="137" t="str">
        <f>(IF((VLOOKUP(Table6[[#This Row],[SKU]],'All Skus'!$A:$AC,2,FALSE))="JBL",(VLOOKUP(Table6[[#This Row],[SKU]],'All Skus'!$A:$AC,6,FALSE)),""))</f>
        <v>YES</v>
      </c>
      <c r="F743" s="61">
        <f>(IF((VLOOKUP(Table6[[#This Row],[SKU]],'All Skus'!$A:$AC,2,FALSE))="JBL",(VLOOKUP(Table6[[#This Row],[SKU]],'All Skus'!$A:$AC,7,FALSE)),""))</f>
        <v>0</v>
      </c>
      <c r="G743" t="str">
        <f>(IF((VLOOKUP(Table6[[#This Row],[SKU]],'All Skus'!$A:$AC,2,FALSE))="JBL",(VLOOKUP(Table6[[#This Row],[SKU]],'All Skus'!$A:$AC,8,FALSE)),""))</f>
        <v>VTX-V25-CS-K</v>
      </c>
      <c r="H743" s="8" t="str">
        <f>(IF((VLOOKUP(Table6[[#This Row],[SKU]],'All Skus'!$A:$AC,2,FALSE))="JBL",(VLOOKUP(Table6[[#This Row],[SKU]],'All Skus'!$A:$AC,9,FALSE)),""))</f>
        <v xml:space="preserve">VTX V25 COMPRESSION SUSPENSION KIT for converting 1x VTX V25 enclosure to compression-style suspension. Includes: 2x labels, 2x slot hinge bars, 2x ASM bars, 2x QRP lanyard assemblies and mount hardware. Label application jig supplied separately with order. Weight TBD kg (TBD lb). Steel, black. </v>
      </c>
      <c r="I743" s="101" t="str">
        <f>(IF((VLOOKUP(Table6[[#This Row],[SKU]],'All Skus'!$A:$AC,2,FALSE))="JBL",(VLOOKUP(Table6[[#This Row],[SKU]],'All Skus'!$A:$AC,10,FALSE)),""))</f>
        <v>“Price On Application (POA) Contact your Representative"</v>
      </c>
      <c r="J743" s="101" t="str">
        <f>(IF((VLOOKUP(Table6[[#This Row],[SKU]],'All Skus'!$A:$AC,2,FALSE))="JBL",(VLOOKUP(Table6[[#This Row],[SKU]],'All Skus'!$A:$AC,11,FALSE)),""))</f>
        <v>“Price On Application (POA) Contact your Representative"</v>
      </c>
      <c r="K743" s="102">
        <f>(IF((VLOOKUP(Table6[[#This Row],[SKU]],'All Skus'!$A:$AC,2,FALSE))="JBL",(VLOOKUP(Table6[[#This Row],[SKU]],'All Skus'!$A:$AC,13,FALSE)),""))</f>
        <v>0</v>
      </c>
      <c r="L743" s="102">
        <f>(IF((VLOOKUP(Table6[[#This Row],[SKU]],'All Skus'!$A:$AC,2,FALSE))="JBL",(VLOOKUP(Table6[[#This Row],[SKU]],'All Skus'!$A:$AC,14,FALSE)),""))</f>
        <v>0</v>
      </c>
      <c r="M743" s="143">
        <f>(IF((VLOOKUP(Table6[[#This Row],[SKU]],'All Skus'!$A:$AC,2,FALSE))="JBL",(VLOOKUP(Table6[[#This Row],[SKU]],'All Skus'!$A:$AC,15,FALSE)),""))</f>
        <v>0</v>
      </c>
      <c r="N743" s="137">
        <f>(IF((VLOOKUP(Table6[[#This Row],[SKU]],'All Skus'!$A:$AC,2,FALSE))="JBL",(VLOOKUP(Table6[[#This Row],[SKU]],'All Skus'!$A:$AC,16,FALSE)),""))</f>
        <v>0</v>
      </c>
      <c r="O743" s="61">
        <f>(IF((VLOOKUP(Table6[[#This Row],[SKU]],'All Skus'!$A:$AC,2,FALSE))="JBL",(VLOOKUP(Table6[[#This Row],[SKU]],'All Skus'!$A:$AC,17,FALSE)),""))</f>
        <v>0</v>
      </c>
      <c r="P743" s="136">
        <f>(IF((VLOOKUP(Table6[[#This Row],[SKU]],'All Skus'!$A:$AC,2,FALSE))="JBL",(VLOOKUP(Table6[[#This Row],[SKU]],'All Skus'!$A:$AC,18,FALSE)),""))</f>
        <v>5.2</v>
      </c>
      <c r="Q743" s="136">
        <f>(IF((VLOOKUP(Table6[[#This Row],[SKU]],'All Skus'!$A:$AC,2,FALSE))="JBL",(VLOOKUP(Table6[[#This Row],[SKU]],'All Skus'!$A:$AC,19,FALSE)),""))</f>
        <v>16</v>
      </c>
      <c r="R743" s="136">
        <f>(IF((VLOOKUP(Table6[[#This Row],[SKU]],'All Skus'!$A:$AC,2,FALSE))="JBL",(VLOOKUP(Table6[[#This Row],[SKU]],'All Skus'!$A:$AC,20,FALSE)),""))</f>
        <v>5</v>
      </c>
      <c r="S743" s="61">
        <f>(IF((VLOOKUP(Table6[[#This Row],[SKU]],'All Skus'!$A:$AC,2,FALSE))="JBL",(VLOOKUP(Table6[[#This Row],[SKU]],'All Skus'!$A:$AC,21,FALSE)),""))</f>
        <v>2</v>
      </c>
      <c r="T743" s="61" t="str">
        <f>(IF((VLOOKUP(Table6[[#This Row],[SKU]],'All Skus'!$A:$AC,2,FALSE))="JBL",(VLOOKUP(Table6[[#This Row],[SKU]],'All Skus'!$A:$AC,22,FALSE)),""))</f>
        <v>MX</v>
      </c>
      <c r="U743">
        <f>(IF((VLOOKUP(Table6[[#This Row],[SKU]],'All Skus'!$A:$AC,2,FALSE))="JBL",(VLOOKUP(Table6[[#This Row],[SKU]],'All Skus'!$A:$AC,23,FALSE)),""))</f>
        <v>0</v>
      </c>
      <c r="V743" s="284" t="str">
        <f>HYPERLINK((IF((VLOOKUP(Table6[[#This Row],[SKU]],'All Skus'!$A:$AC,2,FALSE))="JBL",(VLOOKUP(Table6[[#This Row],[SKU]],'All Skus'!$A:$AC,24,FALSE)),"")))</f>
        <v/>
      </c>
      <c r="W743" s="151">
        <v>740</v>
      </c>
    </row>
    <row r="744" spans="1:23" ht="15" hidden="1" customHeight="1">
      <c r="A744" s="13" t="s">
        <v>1753</v>
      </c>
      <c r="B744" s="12" t="str">
        <f>(IF((VLOOKUP(Table6[[#This Row],[SKU]],'All Skus'!$A:$AC,2,FALSE))="JBL",(VLOOKUP(Table6[[#This Row],[SKU]],'All Skus'!$A:$AC,3,FALSE)),""))</f>
        <v>VTX SERIES</v>
      </c>
      <c r="C744" s="12" t="str">
        <f>(IF((VLOOKUP(Table6[[#This Row],[SKU]],'All Skus'!$A:$AC,2,FALSE))="JBL",(VLOOKUP(Table6[[#This Row],[SKU]],'All Skus'!$A:$AC,4,FALSE)),""))</f>
        <v>VTX-V25-CS-K-LJ</v>
      </c>
      <c r="D744" s="61" t="str">
        <f>(IF((VLOOKUP(Table6[[#This Row],[SKU]],'All Skus'!$A:$AC,2,FALSE))="JBL",(VLOOKUP(Table6[[#This Row],[SKU]],'All Skus'!$A:$AC,5,FALSE)),""))</f>
        <v>JBL046</v>
      </c>
      <c r="E744" s="137" t="str">
        <f>(IF((VLOOKUP(Table6[[#This Row],[SKU]],'All Skus'!$A:$AC,2,FALSE))="JBL",(VLOOKUP(Table6[[#This Row],[SKU]],'All Skus'!$A:$AC,6,FALSE)),""))</f>
        <v>YES</v>
      </c>
      <c r="F744" s="61">
        <f>(IF((VLOOKUP(Table6[[#This Row],[SKU]],'All Skus'!$A:$AC,2,FALSE))="JBL",(VLOOKUP(Table6[[#This Row],[SKU]],'All Skus'!$A:$AC,7,FALSE)),""))</f>
        <v>0</v>
      </c>
      <c r="G744" t="str">
        <f>(IF((VLOOKUP(Table6[[#This Row],[SKU]],'All Skus'!$A:$AC,2,FALSE))="JBL",(VLOOKUP(Table6[[#This Row],[SKU]],'All Skus'!$A:$AC,8,FALSE)),""))</f>
        <v>VTX-V25-CS-K-LJ</v>
      </c>
      <c r="H744" s="8" t="str">
        <f>(IF((VLOOKUP(Table6[[#This Row],[SKU]],'All Skus'!$A:$AC,2,FALSE))="JBL",(VLOOKUP(Table6[[#This Row],[SKU]],'All Skus'!$A:$AC,9,FALSE)),""))</f>
        <v>VTX V25 COMPRESSION SUSPENSION KIT LABEL JIG INSTALLATION FIXTURE (1X LABEL JIG PER CS-K ORDER)</v>
      </c>
      <c r="I744" s="101" t="str">
        <f>(IF((VLOOKUP(Table6[[#This Row],[SKU]],'All Skus'!$A:$AC,2,FALSE))="JBL",(VLOOKUP(Table6[[#This Row],[SKU]],'All Skus'!$A:$AC,10,FALSE)),""))</f>
        <v>“Price On Application (POA) Contact your Representative"</v>
      </c>
      <c r="J744" s="101" t="str">
        <f>(IF((VLOOKUP(Table6[[#This Row],[SKU]],'All Skus'!$A:$AC,2,FALSE))="JBL",(VLOOKUP(Table6[[#This Row],[SKU]],'All Skus'!$A:$AC,11,FALSE)),""))</f>
        <v>“Price On Application (POA) Contact your Representative"</v>
      </c>
      <c r="K744" s="102">
        <f>(IF((VLOOKUP(Table6[[#This Row],[SKU]],'All Skus'!$A:$AC,2,FALSE))="JBL",(VLOOKUP(Table6[[#This Row],[SKU]],'All Skus'!$A:$AC,13,FALSE)),""))</f>
        <v>0</v>
      </c>
      <c r="L744" s="102">
        <f>(IF((VLOOKUP(Table6[[#This Row],[SKU]],'All Skus'!$A:$AC,2,FALSE))="JBL",(VLOOKUP(Table6[[#This Row],[SKU]],'All Skus'!$A:$AC,14,FALSE)),""))</f>
        <v>0</v>
      </c>
      <c r="M744" s="143">
        <f>(IF((VLOOKUP(Table6[[#This Row],[SKU]],'All Skus'!$A:$AC,2,FALSE))="JBL",(VLOOKUP(Table6[[#This Row],[SKU]],'All Skus'!$A:$AC,15,FALSE)),""))</f>
        <v>0</v>
      </c>
      <c r="N744" s="137">
        <f>(IF((VLOOKUP(Table6[[#This Row],[SKU]],'All Skus'!$A:$AC,2,FALSE))="JBL",(VLOOKUP(Table6[[#This Row],[SKU]],'All Skus'!$A:$AC,16,FALSE)),""))</f>
        <v>0</v>
      </c>
      <c r="O744" s="61">
        <f>(IF((VLOOKUP(Table6[[#This Row],[SKU]],'All Skus'!$A:$AC,2,FALSE))="JBL",(VLOOKUP(Table6[[#This Row],[SKU]],'All Skus'!$A:$AC,17,FALSE)),""))</f>
        <v>0</v>
      </c>
      <c r="P744" s="136">
        <f>(IF((VLOOKUP(Table6[[#This Row],[SKU]],'All Skus'!$A:$AC,2,FALSE))="JBL",(VLOOKUP(Table6[[#This Row],[SKU]],'All Skus'!$A:$AC,18,FALSE)),""))</f>
        <v>0.8</v>
      </c>
      <c r="Q744" s="136">
        <f>(IF((VLOOKUP(Table6[[#This Row],[SKU]],'All Skus'!$A:$AC,2,FALSE))="JBL",(VLOOKUP(Table6[[#This Row],[SKU]],'All Skus'!$A:$AC,19,FALSE)),""))</f>
        <v>16</v>
      </c>
      <c r="R744" s="136">
        <f>(IF((VLOOKUP(Table6[[#This Row],[SKU]],'All Skus'!$A:$AC,2,FALSE))="JBL",(VLOOKUP(Table6[[#This Row],[SKU]],'All Skus'!$A:$AC,20,FALSE)),""))</f>
        <v>5</v>
      </c>
      <c r="S744" s="61">
        <f>(IF((VLOOKUP(Table6[[#This Row],[SKU]],'All Skus'!$A:$AC,2,FALSE))="JBL",(VLOOKUP(Table6[[#This Row],[SKU]],'All Skus'!$A:$AC,21,FALSE)),""))</f>
        <v>2</v>
      </c>
      <c r="T744" s="61" t="str">
        <f>(IF((VLOOKUP(Table6[[#This Row],[SKU]],'All Skus'!$A:$AC,2,FALSE))="JBL",(VLOOKUP(Table6[[#This Row],[SKU]],'All Skus'!$A:$AC,22,FALSE)),""))</f>
        <v>MX</v>
      </c>
      <c r="U744">
        <f>(IF((VLOOKUP(Table6[[#This Row],[SKU]],'All Skus'!$A:$AC,2,FALSE))="JBL",(VLOOKUP(Table6[[#This Row],[SKU]],'All Skus'!$A:$AC,23,FALSE)),""))</f>
        <v>0</v>
      </c>
      <c r="V744" s="284" t="str">
        <f>HYPERLINK((IF((VLOOKUP(Table6[[#This Row],[SKU]],'All Skus'!$A:$AC,2,FALSE))="JBL",(VLOOKUP(Table6[[#This Row],[SKU]],'All Skus'!$A:$AC,24,FALSE)),"")))</f>
        <v/>
      </c>
      <c r="W744" s="151">
        <v>741</v>
      </c>
    </row>
    <row r="745" spans="1:23" ht="15" hidden="1" customHeight="1">
      <c r="A745" s="13" t="s">
        <v>1754</v>
      </c>
      <c r="B745" s="12" t="str">
        <f>(IF((VLOOKUP(Table6[[#This Row],[SKU]],'All Skus'!$A:$AC,2,FALSE))="JBL",(VLOOKUP(Table6[[#This Row],[SKU]],'All Skus'!$A:$AC,3,FALSE)),""))</f>
        <v>VTX SERIES</v>
      </c>
      <c r="C745" s="12" t="str">
        <f>(IF((VLOOKUP(Table6[[#This Row],[SKU]],'All Skus'!$A:$AC,2,FALSE))="JBL",(VLOOKUP(Table6[[#This Row],[SKU]],'All Skus'!$A:$AC,4,FALSE)),""))</f>
        <v>VTX-V25-LH</v>
      </c>
      <c r="D745" s="61" t="str">
        <f>(IF((VLOOKUP(Table6[[#This Row],[SKU]],'All Skus'!$A:$AC,2,FALSE))="JBL",(VLOOKUP(Table6[[#This Row],[SKU]],'All Skus'!$A:$AC,5,FALSE)),""))</f>
        <v>JBL046</v>
      </c>
      <c r="E745" s="137" t="str">
        <f>(IF((VLOOKUP(Table6[[#This Row],[SKU]],'All Skus'!$A:$AC,2,FALSE))="JBL",(VLOOKUP(Table6[[#This Row],[SKU]],'All Skus'!$A:$AC,6,FALSE)),""))</f>
        <v>YES</v>
      </c>
      <c r="F745" s="61">
        <f>(IF((VLOOKUP(Table6[[#This Row],[SKU]],'All Skus'!$A:$AC,2,FALSE))="JBL",(VLOOKUP(Table6[[#This Row],[SKU]],'All Skus'!$A:$AC,7,FALSE)),""))</f>
        <v>0</v>
      </c>
      <c r="G745" t="str">
        <f>(IF((VLOOKUP(Table6[[#This Row],[SKU]],'All Skus'!$A:$AC,2,FALSE))="JBL",(VLOOKUP(Table6[[#This Row],[SKU]],'All Skus'!$A:$AC,8,FALSE)),""))</f>
        <v>VTX-V25-LH</v>
      </c>
      <c r="H745" s="8" t="str">
        <f>(IF((VLOOKUP(Table6[[#This Row],[SKU]],'All Skus'!$A:$AC,2,FALSE))="JBL",(VLOOKUP(Table6[[#This Row],[SKU]],'All Skus'!$A:$AC,9,FALSE)),""))</f>
        <v xml:space="preserve">VTX V25 LEVER HOIST for attachment to VTX-V25-PB pull back adapter to facilitate rear pull back (compression-style) suspension. Weight TBD kg (TBD lb). Steel, black. </v>
      </c>
      <c r="I745" s="101" t="str">
        <f>(IF((VLOOKUP(Table6[[#This Row],[SKU]],'All Skus'!$A:$AC,2,FALSE))="JBL",(VLOOKUP(Table6[[#This Row],[SKU]],'All Skus'!$A:$AC,10,FALSE)),""))</f>
        <v>“Price On Application (POA) Contact your Representative"</v>
      </c>
      <c r="J745" s="101" t="str">
        <f>(IF((VLOOKUP(Table6[[#This Row],[SKU]],'All Skus'!$A:$AC,2,FALSE))="JBL",(VLOOKUP(Table6[[#This Row],[SKU]],'All Skus'!$A:$AC,11,FALSE)),""))</f>
        <v>“Price On Application (POA) Contact your Representative"</v>
      </c>
      <c r="K745" s="102">
        <f>(IF((VLOOKUP(Table6[[#This Row],[SKU]],'All Skus'!$A:$AC,2,FALSE))="JBL",(VLOOKUP(Table6[[#This Row],[SKU]],'All Skus'!$A:$AC,13,FALSE)),""))</f>
        <v>0</v>
      </c>
      <c r="L745" s="102">
        <f>(IF((VLOOKUP(Table6[[#This Row],[SKU]],'All Skus'!$A:$AC,2,FALSE))="JBL",(VLOOKUP(Table6[[#This Row],[SKU]],'All Skus'!$A:$AC,14,FALSE)),""))</f>
        <v>0</v>
      </c>
      <c r="M745" s="143">
        <f>(IF((VLOOKUP(Table6[[#This Row],[SKU]],'All Skus'!$A:$AC,2,FALSE))="JBL",(VLOOKUP(Table6[[#This Row],[SKU]],'All Skus'!$A:$AC,15,FALSE)),""))</f>
        <v>0</v>
      </c>
      <c r="N745" s="137">
        <f>(IF((VLOOKUP(Table6[[#This Row],[SKU]],'All Skus'!$A:$AC,2,FALSE))="JBL",(VLOOKUP(Table6[[#This Row],[SKU]],'All Skus'!$A:$AC,16,FALSE)),""))</f>
        <v>691991000256</v>
      </c>
      <c r="O745" s="61">
        <f>(IF((VLOOKUP(Table6[[#This Row],[SKU]],'All Skus'!$A:$AC,2,FALSE))="JBL",(VLOOKUP(Table6[[#This Row],[SKU]],'All Skus'!$A:$AC,17,FALSE)),""))</f>
        <v>0</v>
      </c>
      <c r="P745" s="136">
        <f>(IF((VLOOKUP(Table6[[#This Row],[SKU]],'All Skus'!$A:$AC,2,FALSE))="JBL",(VLOOKUP(Table6[[#This Row],[SKU]],'All Skus'!$A:$AC,18,FALSE)),""))</f>
        <v>30</v>
      </c>
      <c r="Q745" s="136">
        <f>(IF((VLOOKUP(Table6[[#This Row],[SKU]],'All Skus'!$A:$AC,2,FALSE))="JBL",(VLOOKUP(Table6[[#This Row],[SKU]],'All Skus'!$A:$AC,19,FALSE)),""))</f>
        <v>20</v>
      </c>
      <c r="R745" s="136">
        <f>(IF((VLOOKUP(Table6[[#This Row],[SKU]],'All Skus'!$A:$AC,2,FALSE))="JBL",(VLOOKUP(Table6[[#This Row],[SKU]],'All Skus'!$A:$AC,20,FALSE)),""))</f>
        <v>8</v>
      </c>
      <c r="S745" s="61">
        <f>(IF((VLOOKUP(Table6[[#This Row],[SKU]],'All Skus'!$A:$AC,2,FALSE))="JBL",(VLOOKUP(Table6[[#This Row],[SKU]],'All Skus'!$A:$AC,21,FALSE)),""))</f>
        <v>9</v>
      </c>
      <c r="T745" s="61" t="str">
        <f>(IF((VLOOKUP(Table6[[#This Row],[SKU]],'All Skus'!$A:$AC,2,FALSE))="JBL",(VLOOKUP(Table6[[#This Row],[SKU]],'All Skus'!$A:$AC,22,FALSE)),""))</f>
        <v>CN</v>
      </c>
      <c r="U745">
        <f>(IF((VLOOKUP(Table6[[#This Row],[SKU]],'All Skus'!$A:$AC,2,FALSE))="JBL",(VLOOKUP(Table6[[#This Row],[SKU]],'All Skus'!$A:$AC,23,FALSE)),""))</f>
        <v>0</v>
      </c>
      <c r="V745" s="284" t="str">
        <f>HYPERLINK((IF((VLOOKUP(Table6[[#This Row],[SKU]],'All Skus'!$A:$AC,2,FALSE))="JBL",(VLOOKUP(Table6[[#This Row],[SKU]],'All Skus'!$A:$AC,24,FALSE)),"")))</f>
        <v/>
      </c>
      <c r="W745" s="151">
        <v>742</v>
      </c>
    </row>
    <row r="746" spans="1:23" ht="15" hidden="1" customHeight="1">
      <c r="A746" s="13" t="s">
        <v>1755</v>
      </c>
      <c r="B746" s="12" t="str">
        <f>(IF((VLOOKUP(Table6[[#This Row],[SKU]],'All Skus'!$A:$AC,2,FALSE))="JBL",(VLOOKUP(Table6[[#This Row],[SKU]],'All Skus'!$A:$AC,3,FALSE)),""))</f>
        <v>VTX SERIES</v>
      </c>
      <c r="C746" s="12" t="str">
        <f>(IF((VLOOKUP(Table6[[#This Row],[SKU]],'All Skus'!$A:$AC,2,FALSE))="JBL",(VLOOKUP(Table6[[#This Row],[SKU]],'All Skus'!$A:$AC,4,FALSE)),""))</f>
        <v>VTX-V25-PB</v>
      </c>
      <c r="D746" s="61" t="str">
        <f>(IF((VLOOKUP(Table6[[#This Row],[SKU]],'All Skus'!$A:$AC,2,FALSE))="JBL",(VLOOKUP(Table6[[#This Row],[SKU]],'All Skus'!$A:$AC,5,FALSE)),""))</f>
        <v>JBL046</v>
      </c>
      <c r="E746" s="137" t="str">
        <f>(IF((VLOOKUP(Table6[[#This Row],[SKU]],'All Skus'!$A:$AC,2,FALSE))="JBL",(VLOOKUP(Table6[[#This Row],[SKU]],'All Skus'!$A:$AC,6,FALSE)),""))</f>
        <v>YES</v>
      </c>
      <c r="F746" s="61">
        <f>(IF((VLOOKUP(Table6[[#This Row],[SKU]],'All Skus'!$A:$AC,2,FALSE))="JBL",(VLOOKUP(Table6[[#This Row],[SKU]],'All Skus'!$A:$AC,7,FALSE)),""))</f>
        <v>0</v>
      </c>
      <c r="G746" t="str">
        <f>(IF((VLOOKUP(Table6[[#This Row],[SKU]],'All Skus'!$A:$AC,2,FALSE))="JBL",(VLOOKUP(Table6[[#This Row],[SKU]],'All Skus'!$A:$AC,8,FALSE)),""))</f>
        <v>VTX-V25-PB</v>
      </c>
      <c r="H746" s="8" t="str">
        <f>(IF((VLOOKUP(Table6[[#This Row],[SKU]],'All Skus'!$A:$AC,2,FALSE))="JBL",(VLOOKUP(Table6[[#This Row],[SKU]],'All Skus'!$A:$AC,9,FALSE)),""))</f>
        <v xml:space="preserve">VTX V25 PULL BACK ADAPTER for attachment to bottom V25 enclosure to facilitate rear pull back (compression-style) suspension. Weight TBD kg (TBD lb). Steel, black. </v>
      </c>
      <c r="I746" s="101" t="str">
        <f>(IF((VLOOKUP(Table6[[#This Row],[SKU]],'All Skus'!$A:$AC,2,FALSE))="JBL",(VLOOKUP(Table6[[#This Row],[SKU]],'All Skus'!$A:$AC,10,FALSE)),""))</f>
        <v>“Price On Application (POA) Contact your Representative"</v>
      </c>
      <c r="J746" s="101" t="str">
        <f>(IF((VLOOKUP(Table6[[#This Row],[SKU]],'All Skus'!$A:$AC,2,FALSE))="JBL",(VLOOKUP(Table6[[#This Row],[SKU]],'All Skus'!$A:$AC,11,FALSE)),""))</f>
        <v>“Price On Application (POA) Contact your Representative"</v>
      </c>
      <c r="K746" s="102">
        <f>(IF((VLOOKUP(Table6[[#This Row],[SKU]],'All Skus'!$A:$AC,2,FALSE))="JBL",(VLOOKUP(Table6[[#This Row],[SKU]],'All Skus'!$A:$AC,13,FALSE)),""))</f>
        <v>0</v>
      </c>
      <c r="L746" s="102">
        <f>(IF((VLOOKUP(Table6[[#This Row],[SKU]],'All Skus'!$A:$AC,2,FALSE))="JBL",(VLOOKUP(Table6[[#This Row],[SKU]],'All Skus'!$A:$AC,14,FALSE)),""))</f>
        <v>0</v>
      </c>
      <c r="M746" s="143">
        <f>(IF((VLOOKUP(Table6[[#This Row],[SKU]],'All Skus'!$A:$AC,2,FALSE))="JBL",(VLOOKUP(Table6[[#This Row],[SKU]],'All Skus'!$A:$AC,15,FALSE)),""))</f>
        <v>0</v>
      </c>
      <c r="N746" s="137">
        <f>(IF((VLOOKUP(Table6[[#This Row],[SKU]],'All Skus'!$A:$AC,2,FALSE))="JBL",(VLOOKUP(Table6[[#This Row],[SKU]],'All Skus'!$A:$AC,16,FALSE)),""))</f>
        <v>691991006500</v>
      </c>
      <c r="O746" s="61">
        <f>(IF((VLOOKUP(Table6[[#This Row],[SKU]],'All Skus'!$A:$AC,2,FALSE))="JBL",(VLOOKUP(Table6[[#This Row],[SKU]],'All Skus'!$A:$AC,17,FALSE)),""))</f>
        <v>0</v>
      </c>
      <c r="P746" s="136">
        <f>(IF((VLOOKUP(Table6[[#This Row],[SKU]],'All Skus'!$A:$AC,2,FALSE))="JBL",(VLOOKUP(Table6[[#This Row],[SKU]],'All Skus'!$A:$AC,18,FALSE)),""))</f>
        <v>40</v>
      </c>
      <c r="Q746" s="136">
        <f>(IF((VLOOKUP(Table6[[#This Row],[SKU]],'All Skus'!$A:$AC,2,FALSE))="JBL",(VLOOKUP(Table6[[#This Row],[SKU]],'All Skus'!$A:$AC,19,FALSE)),""))</f>
        <v>51</v>
      </c>
      <c r="R746" s="136">
        <f>(IF((VLOOKUP(Table6[[#This Row],[SKU]],'All Skus'!$A:$AC,2,FALSE))="JBL",(VLOOKUP(Table6[[#This Row],[SKU]],'All Skus'!$A:$AC,20,FALSE)),""))</f>
        <v>21</v>
      </c>
      <c r="S746" s="61">
        <f>(IF((VLOOKUP(Table6[[#This Row],[SKU]],'All Skus'!$A:$AC,2,FALSE))="JBL",(VLOOKUP(Table6[[#This Row],[SKU]],'All Skus'!$A:$AC,21,FALSE)),""))</f>
        <v>8</v>
      </c>
      <c r="T746" s="61" t="str">
        <f>(IF((VLOOKUP(Table6[[#This Row],[SKU]],'All Skus'!$A:$AC,2,FALSE))="JBL",(VLOOKUP(Table6[[#This Row],[SKU]],'All Skus'!$A:$AC,22,FALSE)),""))</f>
        <v>MX</v>
      </c>
      <c r="U746">
        <f>(IF((VLOOKUP(Table6[[#This Row],[SKU]],'All Skus'!$A:$AC,2,FALSE))="JBL",(VLOOKUP(Table6[[#This Row],[SKU]],'All Skus'!$A:$AC,23,FALSE)),""))</f>
        <v>0</v>
      </c>
      <c r="V746" s="284" t="str">
        <f>HYPERLINK((IF((VLOOKUP(Table6[[#This Row],[SKU]],'All Skus'!$A:$AC,2,FALSE))="JBL",(VLOOKUP(Table6[[#This Row],[SKU]],'All Skus'!$A:$AC,24,FALSE)),"")))</f>
        <v/>
      </c>
      <c r="W746" s="151">
        <v>743</v>
      </c>
    </row>
    <row r="747" spans="1:23" ht="15" hidden="1" customHeight="1">
      <c r="A747" s="13" t="s">
        <v>1756</v>
      </c>
      <c r="B747" s="12" t="str">
        <f>(IF((VLOOKUP(Table6[[#This Row],[SKU]],'All Skus'!$A:$AC,2,FALSE))="JBL",(VLOOKUP(Table6[[#This Row],[SKU]],'All Skus'!$A:$AC,3,FALSE)),""))</f>
        <v>VTX SERIES</v>
      </c>
      <c r="C747" s="12" t="str">
        <f>(IF((VLOOKUP(Table6[[#This Row],[SKU]],'All Skus'!$A:$AC,2,FALSE))="JBL",(VLOOKUP(Table6[[#This Row],[SKU]],'All Skus'!$A:$AC,4,FALSE)),""))</f>
        <v>VTX-V25-VTC</v>
      </c>
      <c r="D747" s="61" t="str">
        <f>(IF((VLOOKUP(Table6[[#This Row],[SKU]],'All Skus'!$A:$AC,2,FALSE))="JBL",(VLOOKUP(Table6[[#This Row],[SKU]],'All Skus'!$A:$AC,5,FALSE)),""))</f>
        <v>JBL046</v>
      </c>
      <c r="E747" s="137" t="str">
        <f>(IF((VLOOKUP(Table6[[#This Row],[SKU]],'All Skus'!$A:$AC,2,FALSE))="JBL",(VLOOKUP(Table6[[#This Row],[SKU]],'All Skus'!$A:$AC,6,FALSE)),""))</f>
        <v>YES</v>
      </c>
      <c r="F747" s="61">
        <f>(IF((VLOOKUP(Table6[[#This Row],[SKU]],'All Skus'!$A:$AC,2,FALSE))="JBL",(VLOOKUP(Table6[[#This Row],[SKU]],'All Skus'!$A:$AC,7,FALSE)),""))</f>
        <v>0</v>
      </c>
      <c r="G747" t="str">
        <f>(IF((VLOOKUP(Table6[[#This Row],[SKU]],'All Skus'!$A:$AC,2,FALSE))="JBL",(VLOOKUP(Table6[[#This Row],[SKU]],'All Skus'!$A:$AC,8,FALSE)),""))</f>
        <v>VTX-V25-VTC</v>
      </c>
      <c r="H747" s="8" t="str">
        <f>(IF((VLOOKUP(Table6[[#This Row],[SKU]],'All Skus'!$A:$AC,2,FALSE))="JBL",(VLOOKUP(Table6[[#This Row],[SKU]],'All Skus'!$A:$AC,9,FALSE)),""))</f>
        <v>VTX V25 Vertical Transporter for transportation of up to four VTX V25 enclosures in a vertical column. Includes: dolley board with four tour grade casters (2 locking casters per dolley board). Reinforced protective cover (VTX-V25-VT-CVR) supplied separately.</v>
      </c>
      <c r="I747" s="101" t="str">
        <f>(IF((VLOOKUP(Table6[[#This Row],[SKU]],'All Skus'!$A:$AC,2,FALSE))="JBL",(VLOOKUP(Table6[[#This Row],[SKU]],'All Skus'!$A:$AC,10,FALSE)),""))</f>
        <v>“Price On Application (POA) Contact your Representative"</v>
      </c>
      <c r="J747" s="101" t="str">
        <f>(IF((VLOOKUP(Table6[[#This Row],[SKU]],'All Skus'!$A:$AC,2,FALSE))="JBL",(VLOOKUP(Table6[[#This Row],[SKU]],'All Skus'!$A:$AC,11,FALSE)),""))</f>
        <v>“Price On Application (POA) Contact your Representative"</v>
      </c>
      <c r="K747" s="102">
        <f>(IF((VLOOKUP(Table6[[#This Row],[SKU]],'All Skus'!$A:$AC,2,FALSE))="JBL",(VLOOKUP(Table6[[#This Row],[SKU]],'All Skus'!$A:$AC,13,FALSE)),""))</f>
        <v>0</v>
      </c>
      <c r="L747" s="102">
        <f>(IF((VLOOKUP(Table6[[#This Row],[SKU]],'All Skus'!$A:$AC,2,FALSE))="JBL",(VLOOKUP(Table6[[#This Row],[SKU]],'All Skus'!$A:$AC,14,FALSE)),""))</f>
        <v>0</v>
      </c>
      <c r="M747" s="143">
        <f>(IF((VLOOKUP(Table6[[#This Row],[SKU]],'All Skus'!$A:$AC,2,FALSE))="JBL",(VLOOKUP(Table6[[#This Row],[SKU]],'All Skus'!$A:$AC,15,FALSE)),""))</f>
        <v>0</v>
      </c>
      <c r="N747" s="137">
        <f>(IF((VLOOKUP(Table6[[#This Row],[SKU]],'All Skus'!$A:$AC,2,FALSE))="JBL",(VLOOKUP(Table6[[#This Row],[SKU]],'All Skus'!$A:$AC,16,FALSE)),""))</f>
        <v>691991006517</v>
      </c>
      <c r="O747" s="61">
        <f>(IF((VLOOKUP(Table6[[#This Row],[SKU]],'All Skus'!$A:$AC,2,FALSE))="JBL",(VLOOKUP(Table6[[#This Row],[SKU]],'All Skus'!$A:$AC,17,FALSE)),""))</f>
        <v>0</v>
      </c>
      <c r="P747" s="136">
        <f>(IF((VLOOKUP(Table6[[#This Row],[SKU]],'All Skus'!$A:$AC,2,FALSE))="JBL",(VLOOKUP(Table6[[#This Row],[SKU]],'All Skus'!$A:$AC,18,FALSE)),""))</f>
        <v>61</v>
      </c>
      <c r="Q747" s="136">
        <f>(IF((VLOOKUP(Table6[[#This Row],[SKU]],'All Skus'!$A:$AC,2,FALSE))="JBL",(VLOOKUP(Table6[[#This Row],[SKU]],'All Skus'!$A:$AC,19,FALSE)),""))</f>
        <v>11.5</v>
      </c>
      <c r="R747" s="136">
        <f>(IF((VLOOKUP(Table6[[#This Row],[SKU]],'All Skus'!$A:$AC,2,FALSE))="JBL",(VLOOKUP(Table6[[#This Row],[SKU]],'All Skus'!$A:$AC,20,FALSE)),""))</f>
        <v>27</v>
      </c>
      <c r="S747" s="61">
        <f>(IF((VLOOKUP(Table6[[#This Row],[SKU]],'All Skus'!$A:$AC,2,FALSE))="JBL",(VLOOKUP(Table6[[#This Row],[SKU]],'All Skus'!$A:$AC,21,FALSE)),""))</f>
        <v>49.5</v>
      </c>
      <c r="T747" s="61" t="str">
        <f>(IF((VLOOKUP(Table6[[#This Row],[SKU]],'All Skus'!$A:$AC,2,FALSE))="JBL",(VLOOKUP(Table6[[#This Row],[SKU]],'All Skus'!$A:$AC,22,FALSE)),""))</f>
        <v>MX</v>
      </c>
      <c r="U747">
        <f>(IF((VLOOKUP(Table6[[#This Row],[SKU]],'All Skus'!$A:$AC,2,FALSE))="JBL",(VLOOKUP(Table6[[#This Row],[SKU]],'All Skus'!$A:$AC,23,FALSE)),""))</f>
        <v>0</v>
      </c>
      <c r="V747" s="284" t="str">
        <f>HYPERLINK((IF((VLOOKUP(Table6[[#This Row],[SKU]],'All Skus'!$A:$AC,2,FALSE))="JBL",(VLOOKUP(Table6[[#This Row],[SKU]],'All Skus'!$A:$AC,24,FALSE)),"")))</f>
        <v/>
      </c>
      <c r="W747" s="151">
        <v>744</v>
      </c>
    </row>
    <row r="748" spans="1:23" ht="15" hidden="1" customHeight="1">
      <c r="A748" s="13" t="s">
        <v>1757</v>
      </c>
      <c r="B748" s="12" t="str">
        <f>(IF((VLOOKUP(Table6[[#This Row],[SKU]],'All Skus'!$A:$AC,2,FALSE))="JBL",(VLOOKUP(Table6[[#This Row],[SKU]],'All Skus'!$A:$AC,3,FALSE)),""))</f>
        <v>VTX SERIES</v>
      </c>
      <c r="C748" s="12" t="str">
        <f>(IF((VLOOKUP(Table6[[#This Row],[SKU]],'All Skus'!$A:$AC,2,FALSE))="JBL",(VLOOKUP(Table6[[#This Row],[SKU]],'All Skus'!$A:$AC,4,FALSE)),""))</f>
        <v>VTX-V25-VT-CVR</v>
      </c>
      <c r="D748" s="61" t="str">
        <f>(IF((VLOOKUP(Table6[[#This Row],[SKU]],'All Skus'!$A:$AC,2,FALSE))="JBL",(VLOOKUP(Table6[[#This Row],[SKU]],'All Skus'!$A:$AC,5,FALSE)),""))</f>
        <v>JBL046</v>
      </c>
      <c r="E748" s="137" t="str">
        <f>(IF((VLOOKUP(Table6[[#This Row],[SKU]],'All Skus'!$A:$AC,2,FALSE))="JBL",(VLOOKUP(Table6[[#This Row],[SKU]],'All Skus'!$A:$AC,6,FALSE)),""))</f>
        <v>YES</v>
      </c>
      <c r="F748" s="61">
        <f>(IF((VLOOKUP(Table6[[#This Row],[SKU]],'All Skus'!$A:$AC,2,FALSE))="JBL",(VLOOKUP(Table6[[#This Row],[SKU]],'All Skus'!$A:$AC,7,FALSE)),""))</f>
        <v>0</v>
      </c>
      <c r="G748" t="str">
        <f>(IF((VLOOKUP(Table6[[#This Row],[SKU]],'All Skus'!$A:$AC,2,FALSE))="JBL",(VLOOKUP(Table6[[#This Row],[SKU]],'All Skus'!$A:$AC,8,FALSE)),""))</f>
        <v>VTX-V25-VT-CVR</v>
      </c>
      <c r="H748" s="8" t="str">
        <f>(IF((VLOOKUP(Table6[[#This Row],[SKU]],'All Skus'!$A:$AC,2,FALSE))="JBL",(VLOOKUP(Table6[[#This Row],[SKU]],'All Skus'!$A:$AC,9,FALSE)),""))</f>
        <v>VTX V25 Vertical Transporter Cover for use with VTX-V25-VT. Modular, reconfigurable design allows for protection of three to four VTX V25 enclosures.</v>
      </c>
      <c r="I748" s="101" t="str">
        <f>(IF((VLOOKUP(Table6[[#This Row],[SKU]],'All Skus'!$A:$AC,2,FALSE))="JBL",(VLOOKUP(Table6[[#This Row],[SKU]],'All Skus'!$A:$AC,10,FALSE)),""))</f>
        <v>“Price On Application (POA) Contact your Representative"</v>
      </c>
      <c r="J748" s="101" t="str">
        <f>(IF((VLOOKUP(Table6[[#This Row],[SKU]],'All Skus'!$A:$AC,2,FALSE))="JBL",(VLOOKUP(Table6[[#This Row],[SKU]],'All Skus'!$A:$AC,11,FALSE)),""))</f>
        <v>“Price On Application (POA) Contact your Representative"</v>
      </c>
      <c r="K748" s="102">
        <f>(IF((VLOOKUP(Table6[[#This Row],[SKU]],'All Skus'!$A:$AC,2,FALSE))="JBL",(VLOOKUP(Table6[[#This Row],[SKU]],'All Skus'!$A:$AC,13,FALSE)),""))</f>
        <v>0</v>
      </c>
      <c r="L748" s="102">
        <f>(IF((VLOOKUP(Table6[[#This Row],[SKU]],'All Skus'!$A:$AC,2,FALSE))="JBL",(VLOOKUP(Table6[[#This Row],[SKU]],'All Skus'!$A:$AC,14,FALSE)),""))</f>
        <v>0</v>
      </c>
      <c r="M748" s="143">
        <f>(IF((VLOOKUP(Table6[[#This Row],[SKU]],'All Skus'!$A:$AC,2,FALSE))="JBL",(VLOOKUP(Table6[[#This Row],[SKU]],'All Skus'!$A:$AC,15,FALSE)),""))</f>
        <v>0</v>
      </c>
      <c r="N748" s="137">
        <f>(IF((VLOOKUP(Table6[[#This Row],[SKU]],'All Skus'!$A:$AC,2,FALSE))="JBL",(VLOOKUP(Table6[[#This Row],[SKU]],'All Skus'!$A:$AC,16,FALSE)),""))</f>
        <v>691991013126</v>
      </c>
      <c r="O748" s="61">
        <f>(IF((VLOOKUP(Table6[[#This Row],[SKU]],'All Skus'!$A:$AC,2,FALSE))="JBL",(VLOOKUP(Table6[[#This Row],[SKU]],'All Skus'!$A:$AC,17,FALSE)),""))</f>
        <v>0</v>
      </c>
      <c r="P748" s="136">
        <f>(IF((VLOOKUP(Table6[[#This Row],[SKU]],'All Skus'!$A:$AC,2,FALSE))="JBL",(VLOOKUP(Table6[[#This Row],[SKU]],'All Skus'!$A:$AC,18,FALSE)),""))</f>
        <v>37.75</v>
      </c>
      <c r="Q748" s="136">
        <f>(IF((VLOOKUP(Table6[[#This Row],[SKU]],'All Skus'!$A:$AC,2,FALSE))="JBL",(VLOOKUP(Table6[[#This Row],[SKU]],'All Skus'!$A:$AC,19,FALSE)),""))</f>
        <v>52</v>
      </c>
      <c r="R748" s="136">
        <f>(IF((VLOOKUP(Table6[[#This Row],[SKU]],'All Skus'!$A:$AC,2,FALSE))="JBL",(VLOOKUP(Table6[[#This Row],[SKU]],'All Skus'!$A:$AC,20,FALSE)),""))</f>
        <v>27</v>
      </c>
      <c r="S748" s="61">
        <f>(IF((VLOOKUP(Table6[[#This Row],[SKU]],'All Skus'!$A:$AC,2,FALSE))="JBL",(VLOOKUP(Table6[[#This Row],[SKU]],'All Skus'!$A:$AC,21,FALSE)),""))</f>
        <v>7</v>
      </c>
      <c r="T748" s="61" t="str">
        <f>(IF((VLOOKUP(Table6[[#This Row],[SKU]],'All Skus'!$A:$AC,2,FALSE))="JBL",(VLOOKUP(Table6[[#This Row],[SKU]],'All Skus'!$A:$AC,22,FALSE)),""))</f>
        <v>CN</v>
      </c>
      <c r="U748">
        <f>(IF((VLOOKUP(Table6[[#This Row],[SKU]],'All Skus'!$A:$AC,2,FALSE))="JBL",(VLOOKUP(Table6[[#This Row],[SKU]],'All Skus'!$A:$AC,23,FALSE)),""))</f>
        <v>0</v>
      </c>
      <c r="V748" s="284" t="str">
        <f>HYPERLINK((IF((VLOOKUP(Table6[[#This Row],[SKU]],'All Skus'!$A:$AC,2,FALSE))="JBL",(VLOOKUP(Table6[[#This Row],[SKU]],'All Skus'!$A:$AC,24,FALSE)),"")))</f>
        <v/>
      </c>
      <c r="W748" s="151">
        <v>745</v>
      </c>
    </row>
    <row r="749" spans="1:23" ht="15" hidden="1" customHeight="1">
      <c r="A749" s="13" t="s">
        <v>1758</v>
      </c>
      <c r="B749" s="12" t="str">
        <f>(IF((VLOOKUP(Table6[[#This Row],[SKU]],'All Skus'!$A:$AC,2,FALSE))="JBL",(VLOOKUP(Table6[[#This Row],[SKU]],'All Skus'!$A:$AC,3,FALSE)),""))</f>
        <v>VTX SERIES</v>
      </c>
      <c r="C749" s="12" t="str">
        <f>(IF((VLOOKUP(Table6[[#This Row],[SKU]],'All Skus'!$A:$AC,2,FALSE))="JBL",(VLOOKUP(Table6[[#This Row],[SKU]],'All Skus'!$A:$AC,4,FALSE)),""))</f>
        <v>VTX-V25-VT-CVRW</v>
      </c>
      <c r="D749" s="61" t="str">
        <f>(IF((VLOOKUP(Table6[[#This Row],[SKU]],'All Skus'!$A:$AC,2,FALSE))="JBL",(VLOOKUP(Table6[[#This Row],[SKU]],'All Skus'!$A:$AC,5,FALSE)),""))</f>
        <v>JBL046</v>
      </c>
      <c r="E749" s="137" t="str">
        <f>(IF((VLOOKUP(Table6[[#This Row],[SKU]],'All Skus'!$A:$AC,2,FALSE))="JBL",(VLOOKUP(Table6[[#This Row],[SKU]],'All Skus'!$A:$AC,6,FALSE)),""))</f>
        <v>YES</v>
      </c>
      <c r="F749" s="61">
        <f>(IF((VLOOKUP(Table6[[#This Row],[SKU]],'All Skus'!$A:$AC,2,FALSE))="JBL",(VLOOKUP(Table6[[#This Row],[SKU]],'All Skus'!$A:$AC,7,FALSE)),""))</f>
        <v>0</v>
      </c>
      <c r="G749" t="str">
        <f>(IF((VLOOKUP(Table6[[#This Row],[SKU]],'All Skus'!$A:$AC,2,FALSE))="JBL",(VLOOKUP(Table6[[#This Row],[SKU]],'All Skus'!$A:$AC,8,FALSE)),""))</f>
        <v>VTX-V25-VT-CVRW</v>
      </c>
      <c r="H749" s="8" t="str">
        <f>(IF((VLOOKUP(Table6[[#This Row],[SKU]],'All Skus'!$A:$AC,2,FALSE))="JBL",(VLOOKUP(Table6[[#This Row],[SKU]],'All Skus'!$A:$AC,9,FALSE)),""))</f>
        <v>VTX V25 Vertical Transporter Wrap Cover for use with VTX-V25-VTC. Allows for protection of three to four VTX V25 enclosures without the need to remove the VTX-V25-AF from the top of a stack of VTX V25 enclosures.</v>
      </c>
      <c r="I749" s="101" t="str">
        <f>(IF((VLOOKUP(Table6[[#This Row],[SKU]],'All Skus'!$A:$AC,2,FALSE))="JBL",(VLOOKUP(Table6[[#This Row],[SKU]],'All Skus'!$A:$AC,10,FALSE)),""))</f>
        <v>“Price On Application (POA) Contact your Representative"</v>
      </c>
      <c r="J749" s="101" t="str">
        <f>(IF((VLOOKUP(Table6[[#This Row],[SKU]],'All Skus'!$A:$AC,2,FALSE))="JBL",(VLOOKUP(Table6[[#This Row],[SKU]],'All Skus'!$A:$AC,11,FALSE)),""))</f>
        <v>“Price On Application (POA) Contact your Representative"</v>
      </c>
      <c r="K749" s="102">
        <f>(IF((VLOOKUP(Table6[[#This Row],[SKU]],'All Skus'!$A:$AC,2,FALSE))="JBL",(VLOOKUP(Table6[[#This Row],[SKU]],'All Skus'!$A:$AC,13,FALSE)),""))</f>
        <v>0</v>
      </c>
      <c r="L749" s="102">
        <f>(IF((VLOOKUP(Table6[[#This Row],[SKU]],'All Skus'!$A:$AC,2,FALSE))="JBL",(VLOOKUP(Table6[[#This Row],[SKU]],'All Skus'!$A:$AC,14,FALSE)),""))</f>
        <v>0</v>
      </c>
      <c r="M749" s="143">
        <f>(IF((VLOOKUP(Table6[[#This Row],[SKU]],'All Skus'!$A:$AC,2,FALSE))="JBL",(VLOOKUP(Table6[[#This Row],[SKU]],'All Skus'!$A:$AC,15,FALSE)),""))</f>
        <v>0</v>
      </c>
      <c r="N749" s="137">
        <f>(IF((VLOOKUP(Table6[[#This Row],[SKU]],'All Skus'!$A:$AC,2,FALSE))="JBL",(VLOOKUP(Table6[[#This Row],[SKU]],'All Skus'!$A:$AC,16,FALSE)),""))</f>
        <v>0</v>
      </c>
      <c r="O749" s="61">
        <f>(IF((VLOOKUP(Table6[[#This Row],[SKU]],'All Skus'!$A:$AC,2,FALSE))="JBL",(VLOOKUP(Table6[[#This Row],[SKU]],'All Skus'!$A:$AC,17,FALSE)),""))</f>
        <v>0</v>
      </c>
      <c r="P749" s="136">
        <f>(IF((VLOOKUP(Table6[[#This Row],[SKU]],'All Skus'!$A:$AC,2,FALSE))="JBL",(VLOOKUP(Table6[[#This Row],[SKU]],'All Skus'!$A:$AC,18,FALSE)),""))</f>
        <v>22</v>
      </c>
      <c r="Q749" s="136">
        <f>(IF((VLOOKUP(Table6[[#This Row],[SKU]],'All Skus'!$A:$AC,2,FALSE))="JBL",(VLOOKUP(Table6[[#This Row],[SKU]],'All Skus'!$A:$AC,19,FALSE)),""))</f>
        <v>41</v>
      </c>
      <c r="R749" s="136">
        <f>(IF((VLOOKUP(Table6[[#This Row],[SKU]],'All Skus'!$A:$AC,2,FALSE))="JBL",(VLOOKUP(Table6[[#This Row],[SKU]],'All Skus'!$A:$AC,20,FALSE)),""))</f>
        <v>16</v>
      </c>
      <c r="S749" s="61">
        <f>(IF((VLOOKUP(Table6[[#This Row],[SKU]],'All Skus'!$A:$AC,2,FALSE))="JBL",(VLOOKUP(Table6[[#This Row],[SKU]],'All Skus'!$A:$AC,21,FALSE)),""))</f>
        <v>5</v>
      </c>
      <c r="T749" s="61" t="str">
        <f>(IF((VLOOKUP(Table6[[#This Row],[SKU]],'All Skus'!$A:$AC,2,FALSE))="JBL",(VLOOKUP(Table6[[#This Row],[SKU]],'All Skus'!$A:$AC,22,FALSE)),""))</f>
        <v>CN</v>
      </c>
      <c r="U749">
        <f>(IF((VLOOKUP(Table6[[#This Row],[SKU]],'All Skus'!$A:$AC,2,FALSE))="JBL",(VLOOKUP(Table6[[#This Row],[SKU]],'All Skus'!$A:$AC,23,FALSE)),""))</f>
        <v>0</v>
      </c>
      <c r="V749" s="284" t="str">
        <f>HYPERLINK((IF((VLOOKUP(Table6[[#This Row],[SKU]],'All Skus'!$A:$AC,2,FALSE))="JBL",(VLOOKUP(Table6[[#This Row],[SKU]],'All Skus'!$A:$AC,24,FALSE)),"")))</f>
        <v/>
      </c>
      <c r="W749" s="151">
        <v>746</v>
      </c>
    </row>
    <row r="750" spans="1:23" ht="15" hidden="1" customHeight="1">
      <c r="A750" s="13" t="s">
        <v>1759</v>
      </c>
      <c r="B750" s="12" t="str">
        <f>(IF((VLOOKUP(Table6[[#This Row],[SKU]],'All Skus'!$A:$AC,2,FALSE))="JBL",(VLOOKUP(Table6[[#This Row],[SKU]],'All Skus'!$A:$AC,3,FALSE)),""))</f>
        <v>VTX SERIES</v>
      </c>
      <c r="C750" s="12" t="str">
        <f>(IF((VLOOKUP(Table6[[#This Row],[SKU]],'All Skus'!$A:$AC,2,FALSE))="JBL",(VLOOKUP(Table6[[#This Row],[SKU]],'All Skus'!$A:$AC,4,FALSE)),""))</f>
        <v>VTX-V25-WG-UK</v>
      </c>
      <c r="D750" s="61" t="str">
        <f>(IF((VLOOKUP(Table6[[#This Row],[SKU]],'All Skus'!$A:$AC,2,FALSE))="JBL",(VLOOKUP(Table6[[#This Row],[SKU]],'All Skus'!$A:$AC,5,FALSE)),""))</f>
        <v>JBL046</v>
      </c>
      <c r="E750" s="137" t="str">
        <f>(IF((VLOOKUP(Table6[[#This Row],[SKU]],'All Skus'!$A:$AC,2,FALSE))="JBL",(VLOOKUP(Table6[[#This Row],[SKU]],'All Skus'!$A:$AC,6,FALSE)),""))</f>
        <v>YES</v>
      </c>
      <c r="F750" s="61" t="str">
        <f>(IF((VLOOKUP(Table6[[#This Row],[SKU]],'All Skus'!$A:$AC,2,FALSE))="JBL",(VLOOKUP(Table6[[#This Row],[SKU]],'All Skus'!$A:$AC,7,FALSE)),""))</f>
        <v>Limited Quantity</v>
      </c>
      <c r="G750" t="str">
        <f>(IF((VLOOKUP(Table6[[#This Row],[SKU]],'All Skus'!$A:$AC,2,FALSE))="JBL",(VLOOKUP(Table6[[#This Row],[SKU]],'All Skus'!$A:$AC,8,FALSE)),""))</f>
        <v>VTX-V25-WG-UK</v>
      </c>
      <c r="H750" s="8" t="str">
        <f>(IF((VLOOKUP(Table6[[#This Row],[SKU]],'All Skus'!$A:$AC,2,FALSE))="JBL",(VLOOKUP(Table6[[#This Row],[SKU]],'All Skus'!$A:$AC,9,FALSE)),""))</f>
        <v>WAVEGUIDE UPGRADE KIT</v>
      </c>
      <c r="I750" s="101" t="str">
        <f>(IF((VLOOKUP(Table6[[#This Row],[SKU]],'All Skus'!$A:$AC,2,FALSE))="JBL",(VLOOKUP(Table6[[#This Row],[SKU]],'All Skus'!$A:$AC,10,FALSE)),""))</f>
        <v>“Price On Application (POA) Contact your Representative"</v>
      </c>
      <c r="J750" s="101" t="str">
        <f>(IF((VLOOKUP(Table6[[#This Row],[SKU]],'All Skus'!$A:$AC,2,FALSE))="JBL",(VLOOKUP(Table6[[#This Row],[SKU]],'All Skus'!$A:$AC,11,FALSE)),""))</f>
        <v>“Price On Application (POA) Contact your Representative"</v>
      </c>
      <c r="K750" s="102">
        <f>(IF((VLOOKUP(Table6[[#This Row],[SKU]],'All Skus'!$A:$AC,2,FALSE))="JBL",(VLOOKUP(Table6[[#This Row],[SKU]],'All Skus'!$A:$AC,13,FALSE)),""))</f>
        <v>0</v>
      </c>
      <c r="L750" s="102">
        <f>(IF((VLOOKUP(Table6[[#This Row],[SKU]],'All Skus'!$A:$AC,2,FALSE))="JBL",(VLOOKUP(Table6[[#This Row],[SKU]],'All Skus'!$A:$AC,14,FALSE)),""))</f>
        <v>0</v>
      </c>
      <c r="M750" s="143">
        <f>(IF((VLOOKUP(Table6[[#This Row],[SKU]],'All Skus'!$A:$AC,2,FALSE))="JBL",(VLOOKUP(Table6[[#This Row],[SKU]],'All Skus'!$A:$AC,15,FALSE)),""))</f>
        <v>0</v>
      </c>
      <c r="N750" s="137">
        <f>(IF((VLOOKUP(Table6[[#This Row],[SKU]],'All Skus'!$A:$AC,2,FALSE))="JBL",(VLOOKUP(Table6[[#This Row],[SKU]],'All Skus'!$A:$AC,16,FALSE)),""))</f>
        <v>691991032837</v>
      </c>
      <c r="O750" s="61">
        <f>(IF((VLOOKUP(Table6[[#This Row],[SKU]],'All Skus'!$A:$AC,2,FALSE))="JBL",(VLOOKUP(Table6[[#This Row],[SKU]],'All Skus'!$A:$AC,17,FALSE)),""))</f>
        <v>0</v>
      </c>
      <c r="P750" s="136">
        <f>(IF((VLOOKUP(Table6[[#This Row],[SKU]],'All Skus'!$A:$AC,2,FALSE))="JBL",(VLOOKUP(Table6[[#This Row],[SKU]],'All Skus'!$A:$AC,18,FALSE)),""))</f>
        <v>11</v>
      </c>
      <c r="Q750" s="136">
        <f>(IF((VLOOKUP(Table6[[#This Row],[SKU]],'All Skus'!$A:$AC,2,FALSE))="JBL",(VLOOKUP(Table6[[#This Row],[SKU]],'All Skus'!$A:$AC,19,FALSE)),""))</f>
        <v>11</v>
      </c>
      <c r="R750" s="136">
        <f>(IF((VLOOKUP(Table6[[#This Row],[SKU]],'All Skus'!$A:$AC,2,FALSE))="JBL",(VLOOKUP(Table6[[#This Row],[SKU]],'All Skus'!$A:$AC,20,FALSE)),""))</f>
        <v>17</v>
      </c>
      <c r="S750" s="61">
        <f>(IF((VLOOKUP(Table6[[#This Row],[SKU]],'All Skus'!$A:$AC,2,FALSE))="JBL",(VLOOKUP(Table6[[#This Row],[SKU]],'All Skus'!$A:$AC,21,FALSE)),""))</f>
        <v>10</v>
      </c>
      <c r="T750" s="61" t="str">
        <f>(IF((VLOOKUP(Table6[[#This Row],[SKU]],'All Skus'!$A:$AC,2,FALSE))="JBL",(VLOOKUP(Table6[[#This Row],[SKU]],'All Skus'!$A:$AC,22,FALSE)),""))</f>
        <v>MX</v>
      </c>
      <c r="U750">
        <f>(IF((VLOOKUP(Table6[[#This Row],[SKU]],'All Skus'!$A:$AC,2,FALSE))="JBL",(VLOOKUP(Table6[[#This Row],[SKU]],'All Skus'!$A:$AC,23,FALSE)),""))</f>
        <v>0</v>
      </c>
      <c r="V750" s="284" t="str">
        <f>HYPERLINK((IF((VLOOKUP(Table6[[#This Row],[SKU]],'All Skus'!$A:$AC,2,FALSE))="JBL",(VLOOKUP(Table6[[#This Row],[SKU]],'All Skus'!$A:$AC,24,FALSE)),"")))</f>
        <v/>
      </c>
      <c r="W750" s="151">
        <v>747</v>
      </c>
    </row>
    <row r="751" spans="1:23" ht="15" hidden="1" customHeight="1">
      <c r="A751" s="104" t="s">
        <v>1760</v>
      </c>
      <c r="B751" s="12">
        <f>(IF((VLOOKUP(Table6[[#This Row],[SKU]],'All Skus'!$A:$AC,2,FALSE))="JBL",(VLOOKUP(Table6[[#This Row],[SKU]],'All Skus'!$A:$AC,3,FALSE)),""))</f>
        <v>0</v>
      </c>
      <c r="C751" s="12">
        <f>(IF((VLOOKUP(Table6[[#This Row],[SKU]],'All Skus'!$A:$AC,2,FALSE))="JBL",(VLOOKUP(Table6[[#This Row],[SKU]],'All Skus'!$A:$AC,4,FALSE)),""))</f>
        <v>0</v>
      </c>
      <c r="D751" s="61">
        <f>(IF((VLOOKUP(Table6[[#This Row],[SKU]],'All Skus'!$A:$AC,2,FALSE))="JBL",(VLOOKUP(Table6[[#This Row],[SKU]],'All Skus'!$A:$AC,5,FALSE)),""))</f>
        <v>0</v>
      </c>
      <c r="E751" s="137">
        <f>(IF((VLOOKUP(Table6[[#This Row],[SKU]],'All Skus'!$A:$AC,2,FALSE))="JBL",(VLOOKUP(Table6[[#This Row],[SKU]],'All Skus'!$A:$AC,6,FALSE)),""))</f>
        <v>0</v>
      </c>
      <c r="F751" s="61">
        <f>(IF((VLOOKUP(Table6[[#This Row],[SKU]],'All Skus'!$A:$AC,2,FALSE))="JBL",(VLOOKUP(Table6[[#This Row],[SKU]],'All Skus'!$A:$AC,7,FALSE)),""))</f>
        <v>0</v>
      </c>
      <c r="G751">
        <f>(IF((VLOOKUP(Table6[[#This Row],[SKU]],'All Skus'!$A:$AC,2,FALSE))="JBL",(VLOOKUP(Table6[[#This Row],[SKU]],'All Skus'!$A:$AC,8,FALSE)),""))</f>
        <v>0</v>
      </c>
      <c r="H751" s="8">
        <f>(IF((VLOOKUP(Table6[[#This Row],[SKU]],'All Skus'!$A:$AC,2,FALSE))="JBL",(VLOOKUP(Table6[[#This Row],[SKU]],'All Skus'!$A:$AC,9,FALSE)),""))</f>
        <v>0</v>
      </c>
      <c r="I751" s="101">
        <f>(IF((VLOOKUP(Table6[[#This Row],[SKU]],'All Skus'!$A:$AC,2,FALSE))="JBL",(VLOOKUP(Table6[[#This Row],[SKU]],'All Skus'!$A:$AC,10,FALSE)),""))</f>
        <v>0</v>
      </c>
      <c r="J751" s="101">
        <f>(IF((VLOOKUP(Table6[[#This Row],[SKU]],'All Skus'!$A:$AC,2,FALSE))="JBL",(VLOOKUP(Table6[[#This Row],[SKU]],'All Skus'!$A:$AC,11,FALSE)),""))</f>
        <v>0</v>
      </c>
      <c r="K751" s="102">
        <f>(IF((VLOOKUP(Table6[[#This Row],[SKU]],'All Skus'!$A:$AC,2,FALSE))="JBL",(VLOOKUP(Table6[[#This Row],[SKU]],'All Skus'!$A:$AC,13,FALSE)),""))</f>
        <v>0</v>
      </c>
      <c r="L751" s="102">
        <f>(IF((VLOOKUP(Table6[[#This Row],[SKU]],'All Skus'!$A:$AC,2,FALSE))="JBL",(VLOOKUP(Table6[[#This Row],[SKU]],'All Skus'!$A:$AC,14,FALSE)),""))</f>
        <v>0</v>
      </c>
      <c r="M751" s="143">
        <f>(IF((VLOOKUP(Table6[[#This Row],[SKU]],'All Skus'!$A:$AC,2,FALSE))="JBL",(VLOOKUP(Table6[[#This Row],[SKU]],'All Skus'!$A:$AC,15,FALSE)),""))</f>
        <v>0</v>
      </c>
      <c r="N751" s="137">
        <f>(IF((VLOOKUP(Table6[[#This Row],[SKU]],'All Skus'!$A:$AC,2,FALSE))="JBL",(VLOOKUP(Table6[[#This Row],[SKU]],'All Skus'!$A:$AC,16,FALSE)),""))</f>
        <v>0</v>
      </c>
      <c r="O751" s="61">
        <f>(IF((VLOOKUP(Table6[[#This Row],[SKU]],'All Skus'!$A:$AC,2,FALSE))="JBL",(VLOOKUP(Table6[[#This Row],[SKU]],'All Skus'!$A:$AC,17,FALSE)),""))</f>
        <v>0</v>
      </c>
      <c r="P751" s="136">
        <f>(IF((VLOOKUP(Table6[[#This Row],[SKU]],'All Skus'!$A:$AC,2,FALSE))="JBL",(VLOOKUP(Table6[[#This Row],[SKU]],'All Skus'!$A:$AC,18,FALSE)),""))</f>
        <v>0</v>
      </c>
      <c r="Q751" s="136">
        <f>(IF((VLOOKUP(Table6[[#This Row],[SKU]],'All Skus'!$A:$AC,2,FALSE))="JBL",(VLOOKUP(Table6[[#This Row],[SKU]],'All Skus'!$A:$AC,19,FALSE)),""))</f>
        <v>0</v>
      </c>
      <c r="R751" s="136">
        <f>(IF((VLOOKUP(Table6[[#This Row],[SKU]],'All Skus'!$A:$AC,2,FALSE))="JBL",(VLOOKUP(Table6[[#This Row],[SKU]],'All Skus'!$A:$AC,20,FALSE)),""))</f>
        <v>0</v>
      </c>
      <c r="S751" s="61">
        <f>(IF((VLOOKUP(Table6[[#This Row],[SKU]],'All Skus'!$A:$AC,2,FALSE))="JBL",(VLOOKUP(Table6[[#This Row],[SKU]],'All Skus'!$A:$AC,21,FALSE)),""))</f>
        <v>0</v>
      </c>
      <c r="T751" s="61" t="str">
        <f>(IF((VLOOKUP(Table6[[#This Row],[SKU]],'All Skus'!$A:$AC,2,FALSE))="JBL",(VLOOKUP(Table6[[#This Row],[SKU]],'All Skus'!$A:$AC,22,FALSE)),""))</f>
        <v>MX</v>
      </c>
      <c r="U751" t="str">
        <f>(IF((VLOOKUP(Table6[[#This Row],[SKU]],'All Skus'!$A:$AC,2,FALSE))="JBL",(VLOOKUP(Table6[[#This Row],[SKU]],'All Skus'!$A:$AC,23,FALSE)),""))</f>
        <v>Compliant</v>
      </c>
      <c r="V751" s="284" t="str">
        <f>HYPERLINK((IF((VLOOKUP(Table6[[#This Row],[SKU]],'All Skus'!$A:$AC,2,FALSE))="JBL",(VLOOKUP(Table6[[#This Row],[SKU]],'All Skus'!$A:$AC,24,FALSE)),"")))</f>
        <v/>
      </c>
      <c r="W751" s="151">
        <v>748</v>
      </c>
    </row>
    <row r="752" spans="1:23" ht="15" hidden="1" customHeight="1">
      <c r="A752" s="13" t="s">
        <v>1761</v>
      </c>
      <c r="B752" s="12" t="str">
        <f>(IF((VLOOKUP(Table6[[#This Row],[SKU]],'All Skus'!$A:$AC,2,FALSE))="JBL",(VLOOKUP(Table6[[#This Row],[SKU]],'All Skus'!$A:$AC,3,FALSE)),""))</f>
        <v>VRX SERIES</v>
      </c>
      <c r="C752" s="12" t="str">
        <f>(IF((VLOOKUP(Table6[[#This Row],[SKU]],'All Skus'!$A:$AC,2,FALSE))="JBL",(VLOOKUP(Table6[[#This Row],[SKU]],'All Skus'!$A:$AC,4,FALSE)),""))</f>
        <v>VRX928LA</v>
      </c>
      <c r="D752" s="61" t="str">
        <f>(IF((VLOOKUP(Table6[[#This Row],[SKU]],'All Skus'!$A:$AC,2,FALSE))="JBL",(VLOOKUP(Table6[[#This Row],[SKU]],'All Skus'!$A:$AC,5,FALSE)),""))</f>
        <v>JBL009</v>
      </c>
      <c r="E752" s="137">
        <f>(IF((VLOOKUP(Table6[[#This Row],[SKU]],'All Skus'!$A:$AC,2,FALSE))="JBL",(VLOOKUP(Table6[[#This Row],[SKU]],'All Skus'!$A:$AC,6,FALSE)),""))</f>
        <v>0</v>
      </c>
      <c r="F752" s="61">
        <f>(IF((VLOOKUP(Table6[[#This Row],[SKU]],'All Skus'!$A:$AC,2,FALSE))="JBL",(VLOOKUP(Table6[[#This Row],[SKU]],'All Skus'!$A:$AC,7,FALSE)),""))</f>
        <v>0</v>
      </c>
      <c r="G752" t="str">
        <f>(IF((VLOOKUP(Table6[[#This Row],[SKU]],'All Skus'!$A:$AC,2,FALSE))="JBL",(VLOOKUP(Table6[[#This Row],[SKU]],'All Skus'!$A:$AC,8,FALSE)),""))</f>
        <v>S/M, VRX928LA</v>
      </c>
      <c r="H752" s="8" t="str">
        <f>(IF((VLOOKUP(Table6[[#This Row],[SKU]],'All Skus'!$A:$AC,2,FALSE))="JBL",(VLOOKUP(Table6[[#This Row],[SKU]],'All Skus'!$A:$AC,9,FALSE)),""))</f>
        <v>8" two-way line-array system with 1 x 2168H-1 Differential Drive® 400 W LF; 2 x 2414H 1 inch compression driver HF on Constant Curvature waveguide; dual angle pole socket and integral rigging hardware; passive or bi-amplified operation. Black DuraFlex™ finish.</v>
      </c>
      <c r="I752" s="101">
        <f>(IF((VLOOKUP(Table6[[#This Row],[SKU]],'All Skus'!$A:$AC,2,FALSE))="JBL",(VLOOKUP(Table6[[#This Row],[SKU]],'All Skus'!$A:$AC,10,FALSE)),""))</f>
        <v>2570</v>
      </c>
      <c r="J752" s="101">
        <f>(IF((VLOOKUP(Table6[[#This Row],[SKU]],'All Skus'!$A:$AC,2,FALSE))="JBL",(VLOOKUP(Table6[[#This Row],[SKU]],'All Skus'!$A:$AC,11,FALSE)),""))</f>
        <v>1740</v>
      </c>
      <c r="K752" s="102">
        <f>(IF((VLOOKUP(Table6[[#This Row],[SKU]],'All Skus'!$A:$AC,2,FALSE))="JBL",(VLOOKUP(Table6[[#This Row],[SKU]],'All Skus'!$A:$AC,13,FALSE)),""))</f>
        <v>0</v>
      </c>
      <c r="L752" s="102">
        <f>(IF((VLOOKUP(Table6[[#This Row],[SKU]],'All Skus'!$A:$AC,2,FALSE))="JBL",(VLOOKUP(Table6[[#This Row],[SKU]],'All Skus'!$A:$AC,14,FALSE)),""))</f>
        <v>0</v>
      </c>
      <c r="M752" s="143">
        <f>(IF((VLOOKUP(Table6[[#This Row],[SKU]],'All Skus'!$A:$AC,2,FALSE))="JBL",(VLOOKUP(Table6[[#This Row],[SKU]],'All Skus'!$A:$AC,15,FALSE)),""))</f>
        <v>0</v>
      </c>
      <c r="N752" s="137">
        <f>(IF((VLOOKUP(Table6[[#This Row],[SKU]],'All Skus'!$A:$AC,2,FALSE))="JBL",(VLOOKUP(Table6[[#This Row],[SKU]],'All Skus'!$A:$AC,16,FALSE)),""))</f>
        <v>50036903196</v>
      </c>
      <c r="O752" s="61">
        <f>(IF((VLOOKUP(Table6[[#This Row],[SKU]],'All Skus'!$A:$AC,2,FALSE))="JBL",(VLOOKUP(Table6[[#This Row],[SKU]],'All Skus'!$A:$AC,17,FALSE)),""))</f>
        <v>0</v>
      </c>
      <c r="P752" s="136">
        <f>(IF((VLOOKUP(Table6[[#This Row],[SKU]],'All Skus'!$A:$AC,2,FALSE))="JBL",(VLOOKUP(Table6[[#This Row],[SKU]],'All Skus'!$A:$AC,18,FALSE)),""))</f>
        <v>30</v>
      </c>
      <c r="Q752" s="136">
        <f>(IF((VLOOKUP(Table6[[#This Row],[SKU]],'All Skus'!$A:$AC,2,FALSE))="JBL",(VLOOKUP(Table6[[#This Row],[SKU]],'All Skus'!$A:$AC,19,FALSE)),""))</f>
        <v>14</v>
      </c>
      <c r="R752" s="136">
        <f>(IF((VLOOKUP(Table6[[#This Row],[SKU]],'All Skus'!$A:$AC,2,FALSE))="JBL",(VLOOKUP(Table6[[#This Row],[SKU]],'All Skus'!$A:$AC,20,FALSE)),""))</f>
        <v>12</v>
      </c>
      <c r="S752" s="61">
        <f>(IF((VLOOKUP(Table6[[#This Row],[SKU]],'All Skus'!$A:$AC,2,FALSE))="JBL",(VLOOKUP(Table6[[#This Row],[SKU]],'All Skus'!$A:$AC,21,FALSE)),""))</f>
        <v>18</v>
      </c>
      <c r="T752" s="61" t="str">
        <f>(IF((VLOOKUP(Table6[[#This Row],[SKU]],'All Skus'!$A:$AC,2,FALSE))="JBL",(VLOOKUP(Table6[[#This Row],[SKU]],'All Skus'!$A:$AC,22,FALSE)),""))</f>
        <v>MX</v>
      </c>
      <c r="U752" t="str">
        <f>(IF((VLOOKUP(Table6[[#This Row],[SKU]],'All Skus'!$A:$AC,2,FALSE))="JBL",(VLOOKUP(Table6[[#This Row],[SKU]],'All Skus'!$A:$AC,23,FALSE)),""))</f>
        <v>Compliant</v>
      </c>
      <c r="V752" s="284" t="str">
        <f>HYPERLINK((IF((VLOOKUP(Table6[[#This Row],[SKU]],'All Skus'!$A:$AC,2,FALSE))="JBL",(VLOOKUP(Table6[[#This Row],[SKU]],'All Skus'!$A:$AC,24,FALSE)),"")))</f>
        <v>http://www.jblpro.com/www/products/tour-sound/vrx900-series/vrx928la#.Vkxty4RqBJo</v>
      </c>
      <c r="W752" s="151">
        <v>749</v>
      </c>
    </row>
    <row r="753" spans="1:23" ht="15" hidden="1" customHeight="1">
      <c r="A753" s="13" t="s">
        <v>1762</v>
      </c>
      <c r="B753" s="12" t="str">
        <f>(IF((VLOOKUP(Table6[[#This Row],[SKU]],'All Skus'!$A:$AC,2,FALSE))="JBL",(VLOOKUP(Table6[[#This Row],[SKU]],'All Skus'!$A:$AC,3,FALSE)),""))</f>
        <v>VRX SERIES</v>
      </c>
      <c r="C753" s="12" t="str">
        <f>(IF((VLOOKUP(Table6[[#This Row],[SKU]],'All Skus'!$A:$AC,2,FALSE))="JBL",(VLOOKUP(Table6[[#This Row],[SKU]],'All Skus'!$A:$AC,4,FALSE)),""))</f>
        <v>VRX928LA-WH</v>
      </c>
      <c r="D753" s="61" t="str">
        <f>(IF((VLOOKUP(Table6[[#This Row],[SKU]],'All Skus'!$A:$AC,2,FALSE))="JBL",(VLOOKUP(Table6[[#This Row],[SKU]],'All Skus'!$A:$AC,5,FALSE)),""))</f>
        <v>JBL009</v>
      </c>
      <c r="E753" s="137">
        <f>(IF((VLOOKUP(Table6[[#This Row],[SKU]],'All Skus'!$A:$AC,2,FALSE))="JBL",(VLOOKUP(Table6[[#This Row],[SKU]],'All Skus'!$A:$AC,6,FALSE)),""))</f>
        <v>0</v>
      </c>
      <c r="F753" s="61">
        <f>(IF((VLOOKUP(Table6[[#This Row],[SKU]],'All Skus'!$A:$AC,2,FALSE))="JBL",(VLOOKUP(Table6[[#This Row],[SKU]],'All Skus'!$A:$AC,7,FALSE)),""))</f>
        <v>0</v>
      </c>
      <c r="G753" t="str">
        <f>(IF((VLOOKUP(Table6[[#This Row],[SKU]],'All Skus'!$A:$AC,2,FALSE))="JBL",(VLOOKUP(Table6[[#This Row],[SKU]],'All Skus'!$A:$AC,8,FALSE)),""))</f>
        <v>S/M, VRX928LA-WH</v>
      </c>
      <c r="H753" s="8" t="str">
        <f>(IF((VLOOKUP(Table6[[#This Row],[SKU]],'All Skus'!$A:$AC,2,FALSE))="JBL",(VLOOKUP(Table6[[#This Row],[SKU]],'All Skus'!$A:$AC,9,FALSE)),""))</f>
        <v>8" Two-Way Line-Array System with 1 x 2168H-1 Differential Drive® 400W LF; 2 x 2414H 1 inch Compression Driver HF on Constant Curvature Waveguide; Dual Angle Pole Socket and Integral Rigging Hardware; Passive or Bi-Amplified Operation. White DuraFlex™ Finish.</v>
      </c>
      <c r="I753" s="101">
        <f>(IF((VLOOKUP(Table6[[#This Row],[SKU]],'All Skus'!$A:$AC,2,FALSE))="JBL",(VLOOKUP(Table6[[#This Row],[SKU]],'All Skus'!$A:$AC,10,FALSE)),""))</f>
        <v>2640</v>
      </c>
      <c r="J753" s="101">
        <f>(IF((VLOOKUP(Table6[[#This Row],[SKU]],'All Skus'!$A:$AC,2,FALSE))="JBL",(VLOOKUP(Table6[[#This Row],[SKU]],'All Skus'!$A:$AC,11,FALSE)),""))</f>
        <v>1789</v>
      </c>
      <c r="K753" s="102">
        <f>(IF((VLOOKUP(Table6[[#This Row],[SKU]],'All Skus'!$A:$AC,2,FALSE))="JBL",(VLOOKUP(Table6[[#This Row],[SKU]],'All Skus'!$A:$AC,13,FALSE)),""))</f>
        <v>0</v>
      </c>
      <c r="L753" s="102">
        <f>(IF((VLOOKUP(Table6[[#This Row],[SKU]],'All Skus'!$A:$AC,2,FALSE))="JBL",(VLOOKUP(Table6[[#This Row],[SKU]],'All Skus'!$A:$AC,14,FALSE)),""))</f>
        <v>0</v>
      </c>
      <c r="M753" s="143">
        <f>(IF((VLOOKUP(Table6[[#This Row],[SKU]],'All Skus'!$A:$AC,2,FALSE))="JBL",(VLOOKUP(Table6[[#This Row],[SKU]],'All Skus'!$A:$AC,15,FALSE)),""))</f>
        <v>0</v>
      </c>
      <c r="N753" s="137">
        <f>(IF((VLOOKUP(Table6[[#This Row],[SKU]],'All Skus'!$A:$AC,2,FALSE))="JBL",(VLOOKUP(Table6[[#This Row],[SKU]],'All Skus'!$A:$AC,16,FALSE)),""))</f>
        <v>50036903660</v>
      </c>
      <c r="O753" s="61">
        <f>(IF((VLOOKUP(Table6[[#This Row],[SKU]],'All Skus'!$A:$AC,2,FALSE))="JBL",(VLOOKUP(Table6[[#This Row],[SKU]],'All Skus'!$A:$AC,17,FALSE)),""))</f>
        <v>0</v>
      </c>
      <c r="P753" s="136">
        <f>(IF((VLOOKUP(Table6[[#This Row],[SKU]],'All Skus'!$A:$AC,2,FALSE))="JBL",(VLOOKUP(Table6[[#This Row],[SKU]],'All Skus'!$A:$AC,18,FALSE)),""))</f>
        <v>30</v>
      </c>
      <c r="Q753" s="136">
        <f>(IF((VLOOKUP(Table6[[#This Row],[SKU]],'All Skus'!$A:$AC,2,FALSE))="JBL",(VLOOKUP(Table6[[#This Row],[SKU]],'All Skus'!$A:$AC,19,FALSE)),""))</f>
        <v>14</v>
      </c>
      <c r="R753" s="136">
        <f>(IF((VLOOKUP(Table6[[#This Row],[SKU]],'All Skus'!$A:$AC,2,FALSE))="JBL",(VLOOKUP(Table6[[#This Row],[SKU]],'All Skus'!$A:$AC,20,FALSE)),""))</f>
        <v>12</v>
      </c>
      <c r="S753" s="61">
        <f>(IF((VLOOKUP(Table6[[#This Row],[SKU]],'All Skus'!$A:$AC,2,FALSE))="JBL",(VLOOKUP(Table6[[#This Row],[SKU]],'All Skus'!$A:$AC,21,FALSE)),""))</f>
        <v>18</v>
      </c>
      <c r="T753" s="61" t="str">
        <f>(IF((VLOOKUP(Table6[[#This Row],[SKU]],'All Skus'!$A:$AC,2,FALSE))="JBL",(VLOOKUP(Table6[[#This Row],[SKU]],'All Skus'!$A:$AC,22,FALSE)),""))</f>
        <v>MX</v>
      </c>
      <c r="U753" t="str">
        <f>(IF((VLOOKUP(Table6[[#This Row],[SKU]],'All Skus'!$A:$AC,2,FALSE))="JBL",(VLOOKUP(Table6[[#This Row],[SKU]],'All Skus'!$A:$AC,23,FALSE)),""))</f>
        <v>Compliant</v>
      </c>
      <c r="V753" s="284" t="str">
        <f>HYPERLINK((IF((VLOOKUP(Table6[[#This Row],[SKU]],'All Skus'!$A:$AC,2,FALSE))="JBL",(VLOOKUP(Table6[[#This Row],[SKU]],'All Skus'!$A:$AC,24,FALSE)),"")))</f>
        <v>http://www.jblpro.com/www/products/tour-sound/vrx900-series/vrx928la#.Vkxty4RqBJo</v>
      </c>
      <c r="W753" s="151">
        <v>750</v>
      </c>
    </row>
    <row r="754" spans="1:23" ht="15" hidden="1" customHeight="1">
      <c r="A754" s="13" t="s">
        <v>1763</v>
      </c>
      <c r="B754" s="12" t="str">
        <f>(IF((VLOOKUP(Table6[[#This Row],[SKU]],'All Skus'!$A:$AC,2,FALSE))="JBL",(VLOOKUP(Table6[[#This Row],[SKU]],'All Skus'!$A:$AC,3,FALSE)),""))</f>
        <v>VRX SERIES</v>
      </c>
      <c r="C754" s="12" t="str">
        <f>(IF((VLOOKUP(Table6[[#This Row],[SKU]],'All Skus'!$A:$AC,2,FALSE))="JBL",(VLOOKUP(Table6[[#This Row],[SKU]],'All Skus'!$A:$AC,4,FALSE)),""))</f>
        <v>VRX932LA-1</v>
      </c>
      <c r="D754" s="61" t="str">
        <f>(IF((VLOOKUP(Table6[[#This Row],[SKU]],'All Skus'!$A:$AC,2,FALSE))="JBL",(VLOOKUP(Table6[[#This Row],[SKU]],'All Skus'!$A:$AC,5,FALSE)),""))</f>
        <v>JBL009</v>
      </c>
      <c r="E754" s="137">
        <f>(IF((VLOOKUP(Table6[[#This Row],[SKU]],'All Skus'!$A:$AC,2,FALSE))="JBL",(VLOOKUP(Table6[[#This Row],[SKU]],'All Skus'!$A:$AC,6,FALSE)),""))</f>
        <v>0</v>
      </c>
      <c r="F754" s="61">
        <f>(IF((VLOOKUP(Table6[[#This Row],[SKU]],'All Skus'!$A:$AC,2,FALSE))="JBL",(VLOOKUP(Table6[[#This Row],[SKU]],'All Skus'!$A:$AC,7,FALSE)),""))</f>
        <v>0</v>
      </c>
      <c r="G754" t="str">
        <f>(IF((VLOOKUP(Table6[[#This Row],[SKU]],'All Skus'!$A:$AC,2,FALSE))="JBL",(VLOOKUP(Table6[[#This Row],[SKU]],'All Skus'!$A:$AC,8,FALSE)),""))</f>
        <v>SALES MODEL, VRX932LA-1</v>
      </c>
      <c r="H754" s="8" t="str">
        <f>(IF((VLOOKUP(Table6[[#This Row],[SKU]],'All Skus'!$A:$AC,2,FALSE))="JBL",(VLOOKUP(Table6[[#This Row],[SKU]],'All Skus'!$A:$AC,9,FALSE)),""))</f>
        <v>12" two-way line-array system with 1 x 2262H Differential Drive® LF; 3 x 2408J Annular Ring Diaphragm HF on Constant Curvature waveguide; dual angle pole socket and integral rigging hardware; passive or bi-amplified operation. Black DuraFlex™ finish.</v>
      </c>
      <c r="I754" s="101">
        <f>(IF((VLOOKUP(Table6[[#This Row],[SKU]],'All Skus'!$A:$AC,2,FALSE))="JBL",(VLOOKUP(Table6[[#This Row],[SKU]],'All Skus'!$A:$AC,10,FALSE)),""))</f>
        <v>4140</v>
      </c>
      <c r="J754" s="101">
        <f>(IF((VLOOKUP(Table6[[#This Row],[SKU]],'All Skus'!$A:$AC,2,FALSE))="JBL",(VLOOKUP(Table6[[#This Row],[SKU]],'All Skus'!$A:$AC,11,FALSE)),""))</f>
        <v>2719</v>
      </c>
      <c r="K754" s="102">
        <f>(IF((VLOOKUP(Table6[[#This Row],[SKU]],'All Skus'!$A:$AC,2,FALSE))="JBL",(VLOOKUP(Table6[[#This Row],[SKU]],'All Skus'!$A:$AC,13,FALSE)),""))</f>
        <v>0</v>
      </c>
      <c r="L754" s="102">
        <f>(IF((VLOOKUP(Table6[[#This Row],[SKU]],'All Skus'!$A:$AC,2,FALSE))="JBL",(VLOOKUP(Table6[[#This Row],[SKU]],'All Skus'!$A:$AC,14,FALSE)),""))</f>
        <v>0</v>
      </c>
      <c r="M754" s="143">
        <f>(IF((VLOOKUP(Table6[[#This Row],[SKU]],'All Skus'!$A:$AC,2,FALSE))="JBL",(VLOOKUP(Table6[[#This Row],[SKU]],'All Skus'!$A:$AC,15,FALSE)),""))</f>
        <v>0</v>
      </c>
      <c r="N754" s="137">
        <f>(IF((VLOOKUP(Table6[[#This Row],[SKU]],'All Skus'!$A:$AC,2,FALSE))="JBL",(VLOOKUP(Table6[[#This Row],[SKU]],'All Skus'!$A:$AC,16,FALSE)),""))</f>
        <v>50036902939</v>
      </c>
      <c r="O754" s="61">
        <f>(IF((VLOOKUP(Table6[[#This Row],[SKU]],'All Skus'!$A:$AC,2,FALSE))="JBL",(VLOOKUP(Table6[[#This Row],[SKU]],'All Skus'!$A:$AC,17,FALSE)),""))</f>
        <v>0</v>
      </c>
      <c r="P754" s="136">
        <f>(IF((VLOOKUP(Table6[[#This Row],[SKU]],'All Skus'!$A:$AC,2,FALSE))="JBL",(VLOOKUP(Table6[[#This Row],[SKU]],'All Skus'!$A:$AC,18,FALSE)),""))</f>
        <v>55</v>
      </c>
      <c r="Q754" s="136">
        <f>(IF((VLOOKUP(Table6[[#This Row],[SKU]],'All Skus'!$A:$AC,2,FALSE))="JBL",(VLOOKUP(Table6[[#This Row],[SKU]],'All Skus'!$A:$AC,19,FALSE)),""))</f>
        <v>19</v>
      </c>
      <c r="R754" s="136">
        <f>(IF((VLOOKUP(Table6[[#This Row],[SKU]],'All Skus'!$A:$AC,2,FALSE))="JBL",(VLOOKUP(Table6[[#This Row],[SKU]],'All Skus'!$A:$AC,20,FALSE)),""))</f>
        <v>18</v>
      </c>
      <c r="S754" s="61">
        <f>(IF((VLOOKUP(Table6[[#This Row],[SKU]],'All Skus'!$A:$AC,2,FALSE))="JBL",(VLOOKUP(Table6[[#This Row],[SKU]],'All Skus'!$A:$AC,21,FALSE)),""))</f>
        <v>26</v>
      </c>
      <c r="T754" s="61" t="str">
        <f>(IF((VLOOKUP(Table6[[#This Row],[SKU]],'All Skus'!$A:$AC,2,FALSE))="JBL",(VLOOKUP(Table6[[#This Row],[SKU]],'All Skus'!$A:$AC,22,FALSE)),""))</f>
        <v>MX</v>
      </c>
      <c r="U754" t="str">
        <f>(IF((VLOOKUP(Table6[[#This Row],[SKU]],'All Skus'!$A:$AC,2,FALSE))="JBL",(VLOOKUP(Table6[[#This Row],[SKU]],'All Skus'!$A:$AC,23,FALSE)),""))</f>
        <v>Compliant</v>
      </c>
      <c r="V754" s="284" t="str">
        <f>HYPERLINK((IF((VLOOKUP(Table6[[#This Row],[SKU]],'All Skus'!$A:$AC,2,FALSE))="JBL",(VLOOKUP(Table6[[#This Row],[SKU]],'All Skus'!$A:$AC,24,FALSE)),"")))</f>
        <v>http://www.jblpro.com/www/products/tour-sound/vrx900-series/vrx932la-1#.Vkxt3YRqBJo</v>
      </c>
      <c r="W754" s="151">
        <v>751</v>
      </c>
    </row>
    <row r="755" spans="1:23" ht="15" hidden="1" customHeight="1">
      <c r="A755" s="13" t="s">
        <v>1764</v>
      </c>
      <c r="B755" s="12" t="str">
        <f>(IF((VLOOKUP(Table6[[#This Row],[SKU]],'All Skus'!$A:$AC,2,FALSE))="JBL",(VLOOKUP(Table6[[#This Row],[SKU]],'All Skus'!$A:$AC,3,FALSE)),""))</f>
        <v>VRX SERIES</v>
      </c>
      <c r="C755" s="12" t="str">
        <f>(IF((VLOOKUP(Table6[[#This Row],[SKU]],'All Skus'!$A:$AC,2,FALSE))="JBL",(VLOOKUP(Table6[[#This Row],[SKU]],'All Skus'!$A:$AC,4,FALSE)),""))</f>
        <v>VRX932LA-1WH</v>
      </c>
      <c r="D755" s="61" t="str">
        <f>(IF((VLOOKUP(Table6[[#This Row],[SKU]],'All Skus'!$A:$AC,2,FALSE))="JBL",(VLOOKUP(Table6[[#This Row],[SKU]],'All Skus'!$A:$AC,5,FALSE)),""))</f>
        <v>JBL009</v>
      </c>
      <c r="E755" s="137">
        <f>(IF((VLOOKUP(Table6[[#This Row],[SKU]],'All Skus'!$A:$AC,2,FALSE))="JBL",(VLOOKUP(Table6[[#This Row],[SKU]],'All Skus'!$A:$AC,6,FALSE)),""))</f>
        <v>0</v>
      </c>
      <c r="F755" s="61">
        <f>(IF((VLOOKUP(Table6[[#This Row],[SKU]],'All Skus'!$A:$AC,2,FALSE))="JBL",(VLOOKUP(Table6[[#This Row],[SKU]],'All Skus'!$A:$AC,7,FALSE)),""))</f>
        <v>0</v>
      </c>
      <c r="G755" t="str">
        <f>(IF((VLOOKUP(Table6[[#This Row],[SKU]],'All Skus'!$A:$AC,2,FALSE))="JBL",(VLOOKUP(Table6[[#This Row],[SKU]],'All Skus'!$A:$AC,8,FALSE)),""))</f>
        <v>S/M, VRX932LA-1WH</v>
      </c>
      <c r="H755" s="8" t="str">
        <f>(IF((VLOOKUP(Table6[[#This Row],[SKU]],'All Skus'!$A:$AC,2,FALSE))="JBL",(VLOOKUP(Table6[[#This Row],[SKU]],'All Skus'!$A:$AC,9,FALSE)),""))</f>
        <v>12" two-way line-array system with 1 x 2262H Differential Drive® LF; 3 x 2408J Annular Ring Diaphragm HF on Constant Curvature waveguide; dual angle pole socket and integral rigging hardware; passive or bi-amplified operation. White DuraFlex™ finish.</v>
      </c>
      <c r="I755" s="101">
        <f>(IF((VLOOKUP(Table6[[#This Row],[SKU]],'All Skus'!$A:$AC,2,FALSE))="JBL",(VLOOKUP(Table6[[#This Row],[SKU]],'All Skus'!$A:$AC,10,FALSE)),""))</f>
        <v>4140</v>
      </c>
      <c r="J755" s="101">
        <f>(IF((VLOOKUP(Table6[[#This Row],[SKU]],'All Skus'!$A:$AC,2,FALSE))="JBL",(VLOOKUP(Table6[[#This Row],[SKU]],'All Skus'!$A:$AC,11,FALSE)),""))</f>
        <v>2719</v>
      </c>
      <c r="K755" s="102">
        <f>(IF((VLOOKUP(Table6[[#This Row],[SKU]],'All Skus'!$A:$AC,2,FALSE))="JBL",(VLOOKUP(Table6[[#This Row],[SKU]],'All Skus'!$A:$AC,13,FALSE)),""))</f>
        <v>0</v>
      </c>
      <c r="L755" s="102">
        <f>(IF((VLOOKUP(Table6[[#This Row],[SKU]],'All Skus'!$A:$AC,2,FALSE))="JBL",(VLOOKUP(Table6[[#This Row],[SKU]],'All Skus'!$A:$AC,14,FALSE)),""))</f>
        <v>0</v>
      </c>
      <c r="M755" s="143">
        <f>(IF((VLOOKUP(Table6[[#This Row],[SKU]],'All Skus'!$A:$AC,2,FALSE))="JBL",(VLOOKUP(Table6[[#This Row],[SKU]],'All Skus'!$A:$AC,15,FALSE)),""))</f>
        <v>0</v>
      </c>
      <c r="N755" s="137">
        <f>(IF((VLOOKUP(Table6[[#This Row],[SKU]],'All Skus'!$A:$AC,2,FALSE))="JBL",(VLOOKUP(Table6[[#This Row],[SKU]],'All Skus'!$A:$AC,16,FALSE)),""))</f>
        <v>691991003776</v>
      </c>
      <c r="O755" s="61">
        <f>(IF((VLOOKUP(Table6[[#This Row],[SKU]],'All Skus'!$A:$AC,2,FALSE))="JBL",(VLOOKUP(Table6[[#This Row],[SKU]],'All Skus'!$A:$AC,17,FALSE)),""))</f>
        <v>0</v>
      </c>
      <c r="P755" s="136">
        <f>(IF((VLOOKUP(Table6[[#This Row],[SKU]],'All Skus'!$A:$AC,2,FALSE))="JBL",(VLOOKUP(Table6[[#This Row],[SKU]],'All Skus'!$A:$AC,18,FALSE)),""))</f>
        <v>55.4</v>
      </c>
      <c r="Q755" s="136">
        <f>(IF((VLOOKUP(Table6[[#This Row],[SKU]],'All Skus'!$A:$AC,2,FALSE))="JBL",(VLOOKUP(Table6[[#This Row],[SKU]],'All Skus'!$A:$AC,19,FALSE)),""))</f>
        <v>18</v>
      </c>
      <c r="R755" s="136">
        <f>(IF((VLOOKUP(Table6[[#This Row],[SKU]],'All Skus'!$A:$AC,2,FALSE))="JBL",(VLOOKUP(Table6[[#This Row],[SKU]],'All Skus'!$A:$AC,20,FALSE)),""))</f>
        <v>18.5</v>
      </c>
      <c r="S755" s="61">
        <f>(IF((VLOOKUP(Table6[[#This Row],[SKU]],'All Skus'!$A:$AC,2,FALSE))="JBL",(VLOOKUP(Table6[[#This Row],[SKU]],'All Skus'!$A:$AC,21,FALSE)),""))</f>
        <v>26</v>
      </c>
      <c r="T755" s="61" t="str">
        <f>(IF((VLOOKUP(Table6[[#This Row],[SKU]],'All Skus'!$A:$AC,2,FALSE))="JBL",(VLOOKUP(Table6[[#This Row],[SKU]],'All Skus'!$A:$AC,22,FALSE)),""))</f>
        <v>MX</v>
      </c>
      <c r="U755" t="str">
        <f>(IF((VLOOKUP(Table6[[#This Row],[SKU]],'All Skus'!$A:$AC,2,FALSE))="JBL",(VLOOKUP(Table6[[#This Row],[SKU]],'All Skus'!$A:$AC,23,FALSE)),""))</f>
        <v>Compliant</v>
      </c>
      <c r="V755" s="284" t="str">
        <f>HYPERLINK((IF((VLOOKUP(Table6[[#This Row],[SKU]],'All Skus'!$A:$AC,2,FALSE))="JBL",(VLOOKUP(Table6[[#This Row],[SKU]],'All Skus'!$A:$AC,24,FALSE)),"")))</f>
        <v>http://www.jblpro.com/www/products/tour-sound/vrx900-series/vrx932la-1#.Vkxt3YRqBJo</v>
      </c>
      <c r="W755" s="151">
        <v>752</v>
      </c>
    </row>
    <row r="756" spans="1:23" ht="15" hidden="1" customHeight="1">
      <c r="A756" s="13" t="s">
        <v>1765</v>
      </c>
      <c r="B756" s="12" t="str">
        <f>(IF((VLOOKUP(Table6[[#This Row],[SKU]],'All Skus'!$A:$AC,2,FALSE))="JBL",(VLOOKUP(Table6[[#This Row],[SKU]],'All Skus'!$A:$AC,3,FALSE)),""))</f>
        <v>VRX SERIES</v>
      </c>
      <c r="C756" s="12" t="str">
        <f>(IF((VLOOKUP(Table6[[#This Row],[SKU]],'All Skus'!$A:$AC,2,FALSE))="JBL",(VLOOKUP(Table6[[#This Row],[SKU]],'All Skus'!$A:$AC,4,FALSE)),""))</f>
        <v>VRX932LAP</v>
      </c>
      <c r="D756" s="61" t="str">
        <f>(IF((VLOOKUP(Table6[[#This Row],[SKU]],'All Skus'!$A:$AC,2,FALSE))="JBL",(VLOOKUP(Table6[[#This Row],[SKU]],'All Skus'!$A:$AC,5,FALSE)),""))</f>
        <v>JBL009</v>
      </c>
      <c r="E756" s="137">
        <f>(IF((VLOOKUP(Table6[[#This Row],[SKU]],'All Skus'!$A:$AC,2,FALSE))="JBL",(VLOOKUP(Table6[[#This Row],[SKU]],'All Skus'!$A:$AC,6,FALSE)),""))</f>
        <v>0</v>
      </c>
      <c r="F756" s="61">
        <f>(IF((VLOOKUP(Table6[[#This Row],[SKU]],'All Skus'!$A:$AC,2,FALSE))="JBL",(VLOOKUP(Table6[[#This Row],[SKU]],'All Skus'!$A:$AC,7,FALSE)),""))</f>
        <v>0</v>
      </c>
      <c r="G756" t="str">
        <f>(IF((VLOOKUP(Table6[[#This Row],[SKU]],'All Skus'!$A:$AC,2,FALSE))="JBL",(VLOOKUP(Table6[[#This Row],[SKU]],'All Skus'!$A:$AC,8,FALSE)),""))</f>
        <v>SALES MODEL, VRX932LAP</v>
      </c>
      <c r="H756" s="8" t="str">
        <f>(IF((VLOOKUP(Table6[[#This Row],[SKU]],'All Skus'!$A:$AC,2,FALSE))="JBL",(VLOOKUP(Table6[[#This Row],[SKU]],'All Skus'!$A:$AC,9,FALSE)),""))</f>
        <v>Powered 12" two-way line-array system with 1 x 2262H Differential Drive® LF, 3 x 2408J HF on Constant Curvature waveguide; Crown DPC-2 amplifier module with system DSP; dual angle pole socket and integral rigging hardware; black DuraFlex™ finish.</v>
      </c>
      <c r="I756" s="101">
        <f>(IF((VLOOKUP(Table6[[#This Row],[SKU]],'All Skus'!$A:$AC,2,FALSE))="JBL",(VLOOKUP(Table6[[#This Row],[SKU]],'All Skus'!$A:$AC,10,FALSE)),""))</f>
        <v>5186.01</v>
      </c>
      <c r="J756" s="101">
        <f>(IF((VLOOKUP(Table6[[#This Row],[SKU]],'All Skus'!$A:$AC,2,FALSE))="JBL",(VLOOKUP(Table6[[#This Row],[SKU]],'All Skus'!$A:$AC,11,FALSE)),""))</f>
        <v>3339</v>
      </c>
      <c r="K756" s="102">
        <f>(IF((VLOOKUP(Table6[[#This Row],[SKU]],'All Skus'!$A:$AC,2,FALSE))="JBL",(VLOOKUP(Table6[[#This Row],[SKU]],'All Skus'!$A:$AC,13,FALSE)),""))</f>
        <v>0</v>
      </c>
      <c r="L756" s="102">
        <f>(IF((VLOOKUP(Table6[[#This Row],[SKU]],'All Skus'!$A:$AC,2,FALSE))="JBL",(VLOOKUP(Table6[[#This Row],[SKU]],'All Skus'!$A:$AC,14,FALSE)),""))</f>
        <v>0</v>
      </c>
      <c r="M756" s="143">
        <f>(IF((VLOOKUP(Table6[[#This Row],[SKU]],'All Skus'!$A:$AC,2,FALSE))="JBL",(VLOOKUP(Table6[[#This Row],[SKU]],'All Skus'!$A:$AC,15,FALSE)),""))</f>
        <v>0</v>
      </c>
      <c r="N756" s="137">
        <f>(IF((VLOOKUP(Table6[[#This Row],[SKU]],'All Skus'!$A:$AC,2,FALSE))="JBL",(VLOOKUP(Table6[[#This Row],[SKU]],'All Skus'!$A:$AC,16,FALSE)),""))</f>
        <v>50036903493</v>
      </c>
      <c r="O756" s="61">
        <f>(IF((VLOOKUP(Table6[[#This Row],[SKU]],'All Skus'!$A:$AC,2,FALSE))="JBL",(VLOOKUP(Table6[[#This Row],[SKU]],'All Skus'!$A:$AC,17,FALSE)),""))</f>
        <v>0</v>
      </c>
      <c r="P756" s="136">
        <f>(IF((VLOOKUP(Table6[[#This Row],[SKU]],'All Skus'!$A:$AC,2,FALSE))="JBL",(VLOOKUP(Table6[[#This Row],[SKU]],'All Skus'!$A:$AC,18,FALSE)),""))</f>
        <v>55</v>
      </c>
      <c r="Q756" s="136">
        <f>(IF((VLOOKUP(Table6[[#This Row],[SKU]],'All Skus'!$A:$AC,2,FALSE))="JBL",(VLOOKUP(Table6[[#This Row],[SKU]],'All Skus'!$A:$AC,19,FALSE)),""))</f>
        <v>19</v>
      </c>
      <c r="R756" s="136">
        <f>(IF((VLOOKUP(Table6[[#This Row],[SKU]],'All Skus'!$A:$AC,2,FALSE))="JBL",(VLOOKUP(Table6[[#This Row],[SKU]],'All Skus'!$A:$AC,20,FALSE)),""))</f>
        <v>18</v>
      </c>
      <c r="S756" s="61">
        <f>(IF((VLOOKUP(Table6[[#This Row],[SKU]],'All Skus'!$A:$AC,2,FALSE))="JBL",(VLOOKUP(Table6[[#This Row],[SKU]],'All Skus'!$A:$AC,21,FALSE)),""))</f>
        <v>26</v>
      </c>
      <c r="T756" s="61" t="str">
        <f>(IF((VLOOKUP(Table6[[#This Row],[SKU]],'All Skus'!$A:$AC,2,FALSE))="JBL",(VLOOKUP(Table6[[#This Row],[SKU]],'All Skus'!$A:$AC,22,FALSE)),""))</f>
        <v>MX</v>
      </c>
      <c r="U756" t="str">
        <f>(IF((VLOOKUP(Table6[[#This Row],[SKU]],'All Skus'!$A:$AC,2,FALSE))="JBL",(VLOOKUP(Table6[[#This Row],[SKU]],'All Skus'!$A:$AC,23,FALSE)),""))</f>
        <v>Compliant</v>
      </c>
      <c r="V756" s="284" t="str">
        <f>HYPERLINK((IF((VLOOKUP(Table6[[#This Row],[SKU]],'All Skus'!$A:$AC,2,FALSE))="JBL",(VLOOKUP(Table6[[#This Row],[SKU]],'All Skus'!$A:$AC,24,FALSE)),"")))</f>
        <v>http://www.jblpro.com/www/products/tour-sound/vrx900-series/vrx932lap#.Vkxt7oRqBJo</v>
      </c>
      <c r="W756" s="151">
        <v>753</v>
      </c>
    </row>
    <row r="757" spans="1:23" ht="15" hidden="1" customHeight="1">
      <c r="A757" s="13" t="s">
        <v>1766</v>
      </c>
      <c r="B757" s="12" t="str">
        <f>(IF((VLOOKUP(Table6[[#This Row],[SKU]],'All Skus'!$A:$AC,2,FALSE))="JBL",(VLOOKUP(Table6[[#This Row],[SKU]],'All Skus'!$A:$AC,3,FALSE)),""))</f>
        <v>VRX SERIES</v>
      </c>
      <c r="C757" s="12" t="str">
        <f>(IF((VLOOKUP(Table6[[#This Row],[SKU]],'All Skus'!$A:$AC,2,FALSE))="JBL",(VLOOKUP(Table6[[#This Row],[SKU]],'All Skus'!$A:$AC,4,FALSE)),""))</f>
        <v>VRX915M</v>
      </c>
      <c r="D757" s="61" t="str">
        <f>(IF((VLOOKUP(Table6[[#This Row],[SKU]],'All Skus'!$A:$AC,2,FALSE))="JBL",(VLOOKUP(Table6[[#This Row],[SKU]],'All Skus'!$A:$AC,5,FALSE)),""))</f>
        <v>JBL009</v>
      </c>
      <c r="E757" s="137">
        <f>(IF((VLOOKUP(Table6[[#This Row],[SKU]],'All Skus'!$A:$AC,2,FALSE))="JBL",(VLOOKUP(Table6[[#This Row],[SKU]],'All Skus'!$A:$AC,6,FALSE)),""))</f>
        <v>0</v>
      </c>
      <c r="F757" s="61">
        <f>(IF((VLOOKUP(Table6[[#This Row],[SKU]],'All Skus'!$A:$AC,2,FALSE))="JBL",(VLOOKUP(Table6[[#This Row],[SKU]],'All Skus'!$A:$AC,7,FALSE)),""))</f>
        <v>0</v>
      </c>
      <c r="G757" t="str">
        <f>(IF((VLOOKUP(Table6[[#This Row],[SKU]],'All Skus'!$A:$AC,2,FALSE))="JBL",(VLOOKUP(Table6[[#This Row],[SKU]],'All Skus'!$A:$AC,8,FALSE)),""))</f>
        <v>S/M, VRX915M</v>
      </c>
      <c r="H757" s="8" t="str">
        <f>(IF((VLOOKUP(Table6[[#This Row],[SKU]],'All Skus'!$A:$AC,2,FALSE))="JBL",(VLOOKUP(Table6[[#This Row],[SKU]],'All Skus'!$A:$AC,9,FALSE)),""))</f>
        <v>15" two-way dedicated floor monitor system with an 800 watt 2265H Differential Drive® LF; 2452H, 4” voice coil compression driver, 50 x 90 waveguide; passive or bi-amplified operation; compact 30º symmetrical wedge enclosure; Black DuraFlex™ finish; heavy duty 16 gauge foam backed steel grille.</v>
      </c>
      <c r="I757" s="101">
        <f>(IF((VLOOKUP(Table6[[#This Row],[SKU]],'All Skus'!$A:$AC,2,FALSE))="JBL",(VLOOKUP(Table6[[#This Row],[SKU]],'All Skus'!$A:$AC,10,FALSE)),""))</f>
        <v>3050</v>
      </c>
      <c r="J757" s="101">
        <f>(IF((VLOOKUP(Table6[[#This Row],[SKU]],'All Skus'!$A:$AC,2,FALSE))="JBL",(VLOOKUP(Table6[[#This Row],[SKU]],'All Skus'!$A:$AC,11,FALSE)),""))</f>
        <v>2099</v>
      </c>
      <c r="K757" s="102">
        <f>(IF((VLOOKUP(Table6[[#This Row],[SKU]],'All Skus'!$A:$AC,2,FALSE))="JBL",(VLOOKUP(Table6[[#This Row],[SKU]],'All Skus'!$A:$AC,13,FALSE)),""))</f>
        <v>0</v>
      </c>
      <c r="L757" s="102">
        <f>(IF((VLOOKUP(Table6[[#This Row],[SKU]],'All Skus'!$A:$AC,2,FALSE))="JBL",(VLOOKUP(Table6[[#This Row],[SKU]],'All Skus'!$A:$AC,14,FALSE)),""))</f>
        <v>0</v>
      </c>
      <c r="M757" s="143">
        <f>(IF((VLOOKUP(Table6[[#This Row],[SKU]],'All Skus'!$A:$AC,2,FALSE))="JBL",(VLOOKUP(Table6[[#This Row],[SKU]],'All Skus'!$A:$AC,15,FALSE)),""))</f>
        <v>0</v>
      </c>
      <c r="N757" s="137">
        <f>(IF((VLOOKUP(Table6[[#This Row],[SKU]],'All Skus'!$A:$AC,2,FALSE))="JBL",(VLOOKUP(Table6[[#This Row],[SKU]],'All Skus'!$A:$AC,16,FALSE)),""))</f>
        <v>50036903233</v>
      </c>
      <c r="O757" s="61">
        <f>(IF((VLOOKUP(Table6[[#This Row],[SKU]],'All Skus'!$A:$AC,2,FALSE))="JBL",(VLOOKUP(Table6[[#This Row],[SKU]],'All Skus'!$A:$AC,17,FALSE)),""))</f>
        <v>0</v>
      </c>
      <c r="P757" s="136">
        <f>(IF((VLOOKUP(Table6[[#This Row],[SKU]],'All Skus'!$A:$AC,2,FALSE))="JBL",(VLOOKUP(Table6[[#This Row],[SKU]],'All Skus'!$A:$AC,18,FALSE)),""))</f>
        <v>51</v>
      </c>
      <c r="Q757" s="136">
        <f>(IF((VLOOKUP(Table6[[#This Row],[SKU]],'All Skus'!$A:$AC,2,FALSE))="JBL",(VLOOKUP(Table6[[#This Row],[SKU]],'All Skus'!$A:$AC,19,FALSE)),""))</f>
        <v>21</v>
      </c>
      <c r="R757" s="136">
        <f>(IF((VLOOKUP(Table6[[#This Row],[SKU]],'All Skus'!$A:$AC,2,FALSE))="JBL",(VLOOKUP(Table6[[#This Row],[SKU]],'All Skus'!$A:$AC,20,FALSE)),""))</f>
        <v>17</v>
      </c>
      <c r="S757" s="61">
        <f>(IF((VLOOKUP(Table6[[#This Row],[SKU]],'All Skus'!$A:$AC,2,FALSE))="JBL",(VLOOKUP(Table6[[#This Row],[SKU]],'All Skus'!$A:$AC,21,FALSE)),""))</f>
        <v>27</v>
      </c>
      <c r="T757" s="61" t="str">
        <f>(IF((VLOOKUP(Table6[[#This Row],[SKU]],'All Skus'!$A:$AC,2,FALSE))="JBL",(VLOOKUP(Table6[[#This Row],[SKU]],'All Skus'!$A:$AC,22,FALSE)),""))</f>
        <v>MX</v>
      </c>
      <c r="U757" t="str">
        <f>(IF((VLOOKUP(Table6[[#This Row],[SKU]],'All Skus'!$A:$AC,2,FALSE))="JBL",(VLOOKUP(Table6[[#This Row],[SKU]],'All Skus'!$A:$AC,23,FALSE)),""))</f>
        <v>Compliant</v>
      </c>
      <c r="V757" s="284" t="str">
        <f>HYPERLINK((IF((VLOOKUP(Table6[[#This Row],[SKU]],'All Skus'!$A:$AC,2,FALSE))="JBL",(VLOOKUP(Table6[[#This Row],[SKU]],'All Skus'!$A:$AC,24,FALSE)),"")))</f>
        <v>http://www.jblpro.com/www/products/tour-sound/vrx900-series/vrx915m#.Vkxs-4RqBJo</v>
      </c>
      <c r="W757" s="151">
        <v>754</v>
      </c>
    </row>
    <row r="758" spans="1:23" ht="15" hidden="1" customHeight="1">
      <c r="A758" s="13" t="s">
        <v>1767</v>
      </c>
      <c r="B758" s="12" t="str">
        <f>(IF((VLOOKUP(Table6[[#This Row],[SKU]],'All Skus'!$A:$AC,2,FALSE))="JBL",(VLOOKUP(Table6[[#This Row],[SKU]],'All Skus'!$A:$AC,3,FALSE)),""))</f>
        <v>VRX SERIES</v>
      </c>
      <c r="C758" s="12" t="str">
        <f>(IF((VLOOKUP(Table6[[#This Row],[SKU]],'All Skus'!$A:$AC,2,FALSE))="JBL",(VLOOKUP(Table6[[#This Row],[SKU]],'All Skus'!$A:$AC,4,FALSE)),""))</f>
        <v>VRX915S</v>
      </c>
      <c r="D758" s="61" t="str">
        <f>(IF((VLOOKUP(Table6[[#This Row],[SKU]],'All Skus'!$A:$AC,2,FALSE))="JBL",(VLOOKUP(Table6[[#This Row],[SKU]],'All Skus'!$A:$AC,5,FALSE)),""))</f>
        <v>JBL009</v>
      </c>
      <c r="E758" s="137">
        <f>(IF((VLOOKUP(Table6[[#This Row],[SKU]],'All Skus'!$A:$AC,2,FALSE))="JBL",(VLOOKUP(Table6[[#This Row],[SKU]],'All Skus'!$A:$AC,6,FALSE)),""))</f>
        <v>0</v>
      </c>
      <c r="F758" s="61">
        <f>(IF((VLOOKUP(Table6[[#This Row],[SKU]],'All Skus'!$A:$AC,2,FALSE))="JBL",(VLOOKUP(Table6[[#This Row],[SKU]],'All Skus'!$A:$AC,7,FALSE)),""))</f>
        <v>0</v>
      </c>
      <c r="G758" t="str">
        <f>(IF((VLOOKUP(Table6[[#This Row],[SKU]],'All Skus'!$A:$AC,2,FALSE))="JBL",(VLOOKUP(Table6[[#This Row],[SKU]],'All Skus'!$A:$AC,8,FALSE)),""))</f>
        <v>S/M, VRX915S</v>
      </c>
      <c r="H758" s="8" t="str">
        <f>(IF((VLOOKUP(Table6[[#This Row],[SKU]],'All Skus'!$A:$AC,2,FALSE))="JBL",(VLOOKUP(Table6[[#This Row],[SKU]],'All Skus'!$A:$AC,9,FALSE)),""))</f>
        <v>15” Bass Reflex Subwoofer</v>
      </c>
      <c r="I758" s="101">
        <f>(IF((VLOOKUP(Table6[[#This Row],[SKU]],'All Skus'!$A:$AC,2,FALSE))="JBL",(VLOOKUP(Table6[[#This Row],[SKU]],'All Skus'!$A:$AC,10,FALSE)),""))</f>
        <v>2280</v>
      </c>
      <c r="J758" s="101">
        <f>(IF((VLOOKUP(Table6[[#This Row],[SKU]],'All Skus'!$A:$AC,2,FALSE))="JBL",(VLOOKUP(Table6[[#This Row],[SKU]],'All Skus'!$A:$AC,11,FALSE)),""))</f>
        <v>1549</v>
      </c>
      <c r="K758" s="102">
        <f>(IF((VLOOKUP(Table6[[#This Row],[SKU]],'All Skus'!$A:$AC,2,FALSE))="JBL",(VLOOKUP(Table6[[#This Row],[SKU]],'All Skus'!$A:$AC,13,FALSE)),""))</f>
        <v>0</v>
      </c>
      <c r="L758" s="102">
        <f>(IF((VLOOKUP(Table6[[#This Row],[SKU]],'All Skus'!$A:$AC,2,FALSE))="JBL",(VLOOKUP(Table6[[#This Row],[SKU]],'All Skus'!$A:$AC,14,FALSE)),""))</f>
        <v>0</v>
      </c>
      <c r="M758" s="143">
        <f>(IF((VLOOKUP(Table6[[#This Row],[SKU]],'All Skus'!$A:$AC,2,FALSE))="JBL",(VLOOKUP(Table6[[#This Row],[SKU]],'All Skus'!$A:$AC,15,FALSE)),""))</f>
        <v>0</v>
      </c>
      <c r="N758" s="137">
        <f>(IF((VLOOKUP(Table6[[#This Row],[SKU]],'All Skus'!$A:$AC,2,FALSE))="JBL",(VLOOKUP(Table6[[#This Row],[SKU]],'All Skus'!$A:$AC,16,FALSE)),""))</f>
        <v>50036903219</v>
      </c>
      <c r="O758" s="61">
        <f>(IF((VLOOKUP(Table6[[#This Row],[SKU]],'All Skus'!$A:$AC,2,FALSE))="JBL",(VLOOKUP(Table6[[#This Row],[SKU]],'All Skus'!$A:$AC,17,FALSE)),""))</f>
        <v>0</v>
      </c>
      <c r="P758" s="136">
        <f>(IF((VLOOKUP(Table6[[#This Row],[SKU]],'All Skus'!$A:$AC,2,FALSE))="JBL",(VLOOKUP(Table6[[#This Row],[SKU]],'All Skus'!$A:$AC,18,FALSE)),""))</f>
        <v>63</v>
      </c>
      <c r="Q758" s="136">
        <f>(IF((VLOOKUP(Table6[[#This Row],[SKU]],'All Skus'!$A:$AC,2,FALSE))="JBL",(VLOOKUP(Table6[[#This Row],[SKU]],'All Skus'!$A:$AC,19,FALSE)),""))</f>
        <v>20</v>
      </c>
      <c r="R758" s="136">
        <f>(IF((VLOOKUP(Table6[[#This Row],[SKU]],'All Skus'!$A:$AC,2,FALSE))="JBL",(VLOOKUP(Table6[[#This Row],[SKU]],'All Skus'!$A:$AC,20,FALSE)),""))</f>
        <v>27</v>
      </c>
      <c r="S758" s="61">
        <f>(IF((VLOOKUP(Table6[[#This Row],[SKU]],'All Skus'!$A:$AC,2,FALSE))="JBL",(VLOOKUP(Table6[[#This Row],[SKU]],'All Skus'!$A:$AC,21,FALSE)),""))</f>
        <v>21</v>
      </c>
      <c r="T758" s="61" t="str">
        <f>(IF((VLOOKUP(Table6[[#This Row],[SKU]],'All Skus'!$A:$AC,2,FALSE))="JBL",(VLOOKUP(Table6[[#This Row],[SKU]],'All Skus'!$A:$AC,22,FALSE)),""))</f>
        <v>MX</v>
      </c>
      <c r="U758" t="str">
        <f>(IF((VLOOKUP(Table6[[#This Row],[SKU]],'All Skus'!$A:$AC,2,FALSE))="JBL",(VLOOKUP(Table6[[#This Row],[SKU]],'All Skus'!$A:$AC,23,FALSE)),""))</f>
        <v>Compliant</v>
      </c>
      <c r="V758" s="284" t="str">
        <f>HYPERLINK((IF((VLOOKUP(Table6[[#This Row],[SKU]],'All Skus'!$A:$AC,2,FALSE))="JBL",(VLOOKUP(Table6[[#This Row],[SKU]],'All Skus'!$A:$AC,24,FALSE)),"")))</f>
        <v>http://www.jblpro.com/www/products/tour-sound/vrx900-series/vrx915s#.VkxtMIRqBJo</v>
      </c>
      <c r="W758" s="151">
        <v>755</v>
      </c>
    </row>
    <row r="759" spans="1:23" ht="15" hidden="1" customHeight="1">
      <c r="A759" s="13" t="s">
        <v>1768</v>
      </c>
      <c r="B759" s="12" t="str">
        <f>(IF((VLOOKUP(Table6[[#This Row],[SKU]],'All Skus'!$A:$AC,2,FALSE))="JBL",(VLOOKUP(Table6[[#This Row],[SKU]],'All Skus'!$A:$AC,3,FALSE)),""))</f>
        <v>VRX SERIES</v>
      </c>
      <c r="C759" s="12" t="str">
        <f>(IF((VLOOKUP(Table6[[#This Row],[SKU]],'All Skus'!$A:$AC,2,FALSE))="JBL",(VLOOKUP(Table6[[#This Row],[SKU]],'All Skus'!$A:$AC,4,FALSE)),""))</f>
        <v>VRX915S-WH</v>
      </c>
      <c r="D759" s="61" t="str">
        <f>(IF((VLOOKUP(Table6[[#This Row],[SKU]],'All Skus'!$A:$AC,2,FALSE))="JBL",(VLOOKUP(Table6[[#This Row],[SKU]],'All Skus'!$A:$AC,5,FALSE)),""))</f>
        <v>JBL009</v>
      </c>
      <c r="E759" s="137">
        <f>(IF((VLOOKUP(Table6[[#This Row],[SKU]],'All Skus'!$A:$AC,2,FALSE))="JBL",(VLOOKUP(Table6[[#This Row],[SKU]],'All Skus'!$A:$AC,6,FALSE)),""))</f>
        <v>0</v>
      </c>
      <c r="F759" s="61">
        <f>(IF((VLOOKUP(Table6[[#This Row],[SKU]],'All Skus'!$A:$AC,2,FALSE))="JBL",(VLOOKUP(Table6[[#This Row],[SKU]],'All Skus'!$A:$AC,7,FALSE)),""))</f>
        <v>0</v>
      </c>
      <c r="G759" t="str">
        <f>(IF((VLOOKUP(Table6[[#This Row],[SKU]],'All Skus'!$A:$AC,2,FALSE))="JBL",(VLOOKUP(Table6[[#This Row],[SKU]],'All Skus'!$A:$AC,8,FALSE)),""))</f>
        <v>S/M, VRX915S-WH</v>
      </c>
      <c r="H759" s="8" t="str">
        <f>(IF((VLOOKUP(Table6[[#This Row],[SKU]],'All Skus'!$A:$AC,2,FALSE))="JBL",(VLOOKUP(Table6[[#This Row],[SKU]],'All Skus'!$A:$AC,9,FALSE)),""))</f>
        <v>15” Bass Reflex Subwoofer - white</v>
      </c>
      <c r="I759" s="101">
        <f>(IF((VLOOKUP(Table6[[#This Row],[SKU]],'All Skus'!$A:$AC,2,FALSE))="JBL",(VLOOKUP(Table6[[#This Row],[SKU]],'All Skus'!$A:$AC,10,FALSE)),""))</f>
        <v>2280</v>
      </c>
      <c r="J759" s="101">
        <f>(IF((VLOOKUP(Table6[[#This Row],[SKU]],'All Skus'!$A:$AC,2,FALSE))="JBL",(VLOOKUP(Table6[[#This Row],[SKU]],'All Skus'!$A:$AC,11,FALSE)),""))</f>
        <v>1549</v>
      </c>
      <c r="K759" s="102">
        <f>(IF((VLOOKUP(Table6[[#This Row],[SKU]],'All Skus'!$A:$AC,2,FALSE))="JBL",(VLOOKUP(Table6[[#This Row],[SKU]],'All Skus'!$A:$AC,13,FALSE)),""))</f>
        <v>0</v>
      </c>
      <c r="L759" s="102">
        <f>(IF((VLOOKUP(Table6[[#This Row],[SKU]],'All Skus'!$A:$AC,2,FALSE))="JBL",(VLOOKUP(Table6[[#This Row],[SKU]],'All Skus'!$A:$AC,14,FALSE)),""))</f>
        <v>0</v>
      </c>
      <c r="M759" s="143">
        <f>(IF((VLOOKUP(Table6[[#This Row],[SKU]],'All Skus'!$A:$AC,2,FALSE))="JBL",(VLOOKUP(Table6[[#This Row],[SKU]],'All Skus'!$A:$AC,15,FALSE)),""))</f>
        <v>0</v>
      </c>
      <c r="N759" s="137">
        <f>(IF((VLOOKUP(Table6[[#This Row],[SKU]],'All Skus'!$A:$AC,2,FALSE))="JBL",(VLOOKUP(Table6[[#This Row],[SKU]],'All Skus'!$A:$AC,16,FALSE)),""))</f>
        <v>50036903677</v>
      </c>
      <c r="O759" s="61">
        <f>(IF((VLOOKUP(Table6[[#This Row],[SKU]],'All Skus'!$A:$AC,2,FALSE))="JBL",(VLOOKUP(Table6[[#This Row],[SKU]],'All Skus'!$A:$AC,17,FALSE)),""))</f>
        <v>0</v>
      </c>
      <c r="P759" s="136">
        <f>(IF((VLOOKUP(Table6[[#This Row],[SKU]],'All Skus'!$A:$AC,2,FALSE))="JBL",(VLOOKUP(Table6[[#This Row],[SKU]],'All Skus'!$A:$AC,18,FALSE)),""))</f>
        <v>63</v>
      </c>
      <c r="Q759" s="136">
        <f>(IF((VLOOKUP(Table6[[#This Row],[SKU]],'All Skus'!$A:$AC,2,FALSE))="JBL",(VLOOKUP(Table6[[#This Row],[SKU]],'All Skus'!$A:$AC,19,FALSE)),""))</f>
        <v>20</v>
      </c>
      <c r="R759" s="136">
        <f>(IF((VLOOKUP(Table6[[#This Row],[SKU]],'All Skus'!$A:$AC,2,FALSE))="JBL",(VLOOKUP(Table6[[#This Row],[SKU]],'All Skus'!$A:$AC,20,FALSE)),""))</f>
        <v>27</v>
      </c>
      <c r="S759" s="61">
        <f>(IF((VLOOKUP(Table6[[#This Row],[SKU]],'All Skus'!$A:$AC,2,FALSE))="JBL",(VLOOKUP(Table6[[#This Row],[SKU]],'All Skus'!$A:$AC,21,FALSE)),""))</f>
        <v>21</v>
      </c>
      <c r="T759" s="61" t="str">
        <f>(IF((VLOOKUP(Table6[[#This Row],[SKU]],'All Skus'!$A:$AC,2,FALSE))="JBL",(VLOOKUP(Table6[[#This Row],[SKU]],'All Skus'!$A:$AC,22,FALSE)),""))</f>
        <v>MX</v>
      </c>
      <c r="U759" t="str">
        <f>(IF((VLOOKUP(Table6[[#This Row],[SKU]],'All Skus'!$A:$AC,2,FALSE))="JBL",(VLOOKUP(Table6[[#This Row],[SKU]],'All Skus'!$A:$AC,23,FALSE)),""))</f>
        <v>Compliant</v>
      </c>
      <c r="V759" s="284" t="str">
        <f>HYPERLINK((IF((VLOOKUP(Table6[[#This Row],[SKU]],'All Skus'!$A:$AC,2,FALSE))="JBL",(VLOOKUP(Table6[[#This Row],[SKU]],'All Skus'!$A:$AC,24,FALSE)),"")))</f>
        <v>http://www.jblpro.com/www/products/tour-sound/vrx900-series/vrx915s#.VkxtMIRqBJo</v>
      </c>
      <c r="W759" s="151">
        <v>756</v>
      </c>
    </row>
    <row r="760" spans="1:23" ht="15" hidden="1" customHeight="1">
      <c r="A760" s="13" t="s">
        <v>1769</v>
      </c>
      <c r="B760" s="12" t="str">
        <f>(IF((VLOOKUP(Table6[[#This Row],[SKU]],'All Skus'!$A:$AC,2,FALSE))="JBL",(VLOOKUP(Table6[[#This Row],[SKU]],'All Skus'!$A:$AC,3,FALSE)),""))</f>
        <v>VRX SERIES</v>
      </c>
      <c r="C760" s="12" t="str">
        <f>(IF((VLOOKUP(Table6[[#This Row],[SKU]],'All Skus'!$A:$AC,2,FALSE))="JBL",(VLOOKUP(Table6[[#This Row],[SKU]],'All Skus'!$A:$AC,4,FALSE)),""))</f>
        <v>VRX918S</v>
      </c>
      <c r="D760" s="61" t="str">
        <f>(IF((VLOOKUP(Table6[[#This Row],[SKU]],'All Skus'!$A:$AC,2,FALSE))="JBL",(VLOOKUP(Table6[[#This Row],[SKU]],'All Skus'!$A:$AC,5,FALSE)),""))</f>
        <v>JBL009</v>
      </c>
      <c r="E760" s="137">
        <f>(IF((VLOOKUP(Table6[[#This Row],[SKU]],'All Skus'!$A:$AC,2,FALSE))="JBL",(VLOOKUP(Table6[[#This Row],[SKU]],'All Skus'!$A:$AC,6,FALSE)),""))</f>
        <v>0</v>
      </c>
      <c r="F760" s="61">
        <f>(IF((VLOOKUP(Table6[[#This Row],[SKU]],'All Skus'!$A:$AC,2,FALSE))="JBL",(VLOOKUP(Table6[[#This Row],[SKU]],'All Skus'!$A:$AC,7,FALSE)),""))</f>
        <v>0</v>
      </c>
      <c r="G760" t="str">
        <f>(IF((VLOOKUP(Table6[[#This Row],[SKU]],'All Skus'!$A:$AC,2,FALSE))="JBL",(VLOOKUP(Table6[[#This Row],[SKU]],'All Skus'!$A:$AC,8,FALSE)),""))</f>
        <v>S/M, VRX918S</v>
      </c>
      <c r="H760" s="8" t="str">
        <f>(IF((VLOOKUP(Table6[[#This Row],[SKU]],'All Skus'!$A:$AC,2,FALSE))="JBL",(VLOOKUP(Table6[[#This Row],[SKU]],'All Skus'!$A:$AC,9,FALSE)),""))</f>
        <v>18" compact, flying subwoofer; 2268H Differential Drive® LF; integral flying hardware compatible with VRX932LA-1 and accessories; handles and pole mount deleted.  Black DuraFlex™ finish.</v>
      </c>
      <c r="I760" s="101">
        <f>(IF((VLOOKUP(Table6[[#This Row],[SKU]],'All Skus'!$A:$AC,2,FALSE))="JBL",(VLOOKUP(Table6[[#This Row],[SKU]],'All Skus'!$A:$AC,10,FALSE)),""))</f>
        <v>2500</v>
      </c>
      <c r="J760" s="101">
        <f>(IF((VLOOKUP(Table6[[#This Row],[SKU]],'All Skus'!$A:$AC,2,FALSE))="JBL",(VLOOKUP(Table6[[#This Row],[SKU]],'All Skus'!$A:$AC,11,FALSE)),""))</f>
        <v>1730</v>
      </c>
      <c r="K760" s="102">
        <f>(IF((VLOOKUP(Table6[[#This Row],[SKU]],'All Skus'!$A:$AC,2,FALSE))="JBL",(VLOOKUP(Table6[[#This Row],[SKU]],'All Skus'!$A:$AC,13,FALSE)),""))</f>
        <v>0</v>
      </c>
      <c r="L760" s="102">
        <f>(IF((VLOOKUP(Table6[[#This Row],[SKU]],'All Skus'!$A:$AC,2,FALSE))="JBL",(VLOOKUP(Table6[[#This Row],[SKU]],'All Skus'!$A:$AC,14,FALSE)),""))</f>
        <v>0</v>
      </c>
      <c r="M760" s="143">
        <f>(IF((VLOOKUP(Table6[[#This Row],[SKU]],'All Skus'!$A:$AC,2,FALSE))="JBL",(VLOOKUP(Table6[[#This Row],[SKU]],'All Skus'!$A:$AC,15,FALSE)),""))</f>
        <v>0</v>
      </c>
      <c r="N760" s="137">
        <f>(IF((VLOOKUP(Table6[[#This Row],[SKU]],'All Skus'!$A:$AC,2,FALSE))="JBL",(VLOOKUP(Table6[[#This Row],[SKU]],'All Skus'!$A:$AC,16,FALSE)),""))</f>
        <v>50036903226</v>
      </c>
      <c r="O760" s="61">
        <f>(IF((VLOOKUP(Table6[[#This Row],[SKU]],'All Skus'!$A:$AC,2,FALSE))="JBL",(VLOOKUP(Table6[[#This Row],[SKU]],'All Skus'!$A:$AC,17,FALSE)),""))</f>
        <v>0</v>
      </c>
      <c r="P760" s="136">
        <f>(IF((VLOOKUP(Table6[[#This Row],[SKU]],'All Skus'!$A:$AC,2,FALSE))="JBL",(VLOOKUP(Table6[[#This Row],[SKU]],'All Skus'!$A:$AC,18,FALSE)),""))</f>
        <v>90</v>
      </c>
      <c r="Q760" s="136">
        <f>(IF((VLOOKUP(Table6[[#This Row],[SKU]],'All Skus'!$A:$AC,2,FALSE))="JBL",(VLOOKUP(Table6[[#This Row],[SKU]],'All Skus'!$A:$AC,19,FALSE)),""))</f>
        <v>31</v>
      </c>
      <c r="R760" s="136">
        <f>(IF((VLOOKUP(Table6[[#This Row],[SKU]],'All Skus'!$A:$AC,2,FALSE))="JBL",(VLOOKUP(Table6[[#This Row],[SKU]],'All Skus'!$A:$AC,20,FALSE)),""))</f>
        <v>25</v>
      </c>
      <c r="S760" s="61">
        <f>(IF((VLOOKUP(Table6[[#This Row],[SKU]],'All Skus'!$A:$AC,2,FALSE))="JBL",(VLOOKUP(Table6[[#This Row],[SKU]],'All Skus'!$A:$AC,21,FALSE)),""))</f>
        <v>22</v>
      </c>
      <c r="T760" s="61" t="str">
        <f>(IF((VLOOKUP(Table6[[#This Row],[SKU]],'All Skus'!$A:$AC,2,FALSE))="JBL",(VLOOKUP(Table6[[#This Row],[SKU]],'All Skus'!$A:$AC,22,FALSE)),""))</f>
        <v>MX</v>
      </c>
      <c r="U760" t="str">
        <f>(IF((VLOOKUP(Table6[[#This Row],[SKU]],'All Skus'!$A:$AC,2,FALSE))="JBL",(VLOOKUP(Table6[[#This Row],[SKU]],'All Skus'!$A:$AC,23,FALSE)),""))</f>
        <v>Compliant</v>
      </c>
      <c r="V760" s="284" t="str">
        <f>HYPERLINK((IF((VLOOKUP(Table6[[#This Row],[SKU]],'All Skus'!$A:$AC,2,FALSE))="JBL",(VLOOKUP(Table6[[#This Row],[SKU]],'All Skus'!$A:$AC,24,FALSE)),"")))</f>
        <v>http://www.jblpro.com/www/products/tour-sound/vrx900-series/vrx918s#.Vkxtq4RqBJo</v>
      </c>
      <c r="W760" s="151">
        <v>757</v>
      </c>
    </row>
    <row r="761" spans="1:23" ht="15" hidden="1" customHeight="1">
      <c r="A761" s="13" t="s">
        <v>1770</v>
      </c>
      <c r="B761" s="12" t="str">
        <f>(IF((VLOOKUP(Table6[[#This Row],[SKU]],'All Skus'!$A:$AC,2,FALSE))="JBL",(VLOOKUP(Table6[[#This Row],[SKU]],'All Skus'!$A:$AC,3,FALSE)),""))</f>
        <v>VRX SERIES</v>
      </c>
      <c r="C761" s="12" t="str">
        <f>(IF((VLOOKUP(Table6[[#This Row],[SKU]],'All Skus'!$A:$AC,2,FALSE))="JBL",(VLOOKUP(Table6[[#This Row],[SKU]],'All Skus'!$A:$AC,4,FALSE)),""))</f>
        <v>VRX918SP</v>
      </c>
      <c r="D761" s="61" t="str">
        <f>(IF((VLOOKUP(Table6[[#This Row],[SKU]],'All Skus'!$A:$AC,2,FALSE))="JBL",(VLOOKUP(Table6[[#This Row],[SKU]],'All Skus'!$A:$AC,5,FALSE)),""))</f>
        <v>JBL009</v>
      </c>
      <c r="E761" s="137">
        <f>(IF((VLOOKUP(Table6[[#This Row],[SKU]],'All Skus'!$A:$AC,2,FALSE))="JBL",(VLOOKUP(Table6[[#This Row],[SKU]],'All Skus'!$A:$AC,6,FALSE)),""))</f>
        <v>0</v>
      </c>
      <c r="F761" s="61">
        <f>(IF((VLOOKUP(Table6[[#This Row],[SKU]],'All Skus'!$A:$AC,2,FALSE))="JBL",(VLOOKUP(Table6[[#This Row],[SKU]],'All Skus'!$A:$AC,7,FALSE)),""))</f>
        <v>0</v>
      </c>
      <c r="G761" t="str">
        <f>(IF((VLOOKUP(Table6[[#This Row],[SKU]],'All Skus'!$A:$AC,2,FALSE))="JBL",(VLOOKUP(Table6[[#This Row],[SKU]],'All Skus'!$A:$AC,8,FALSE)),""))</f>
        <v>S/M, VRX918SP</v>
      </c>
      <c r="H761" s="8" t="str">
        <f>(IF((VLOOKUP(Table6[[#This Row],[SKU]],'All Skus'!$A:$AC,2,FALSE))="JBL",(VLOOKUP(Table6[[#This Row],[SKU]],'All Skus'!$A:$AC,9,FALSE)),""))</f>
        <v>Powered 18" flying subwoofer; 2268H Differential Drive® LF, Crown DPC-2 Amplifier Module with system DSP; Integral Rigging Hardware Compatible with VRX932LAP; Top Mounted M20 Threaded Pole Socket; Black DuraFlex™ finish.</v>
      </c>
      <c r="I761" s="101">
        <f>(IF((VLOOKUP(Table6[[#This Row],[SKU]],'All Skus'!$A:$AC,2,FALSE))="JBL",(VLOOKUP(Table6[[#This Row],[SKU]],'All Skus'!$A:$AC,10,FALSE)),""))</f>
        <v>3590</v>
      </c>
      <c r="J761" s="101">
        <f>(IF((VLOOKUP(Table6[[#This Row],[SKU]],'All Skus'!$A:$AC,2,FALSE))="JBL",(VLOOKUP(Table6[[#This Row],[SKU]],'All Skus'!$A:$AC,11,FALSE)),""))</f>
        <v>2479</v>
      </c>
      <c r="K761" s="102">
        <f>(IF((VLOOKUP(Table6[[#This Row],[SKU]],'All Skus'!$A:$AC,2,FALSE))="JBL",(VLOOKUP(Table6[[#This Row],[SKU]],'All Skus'!$A:$AC,13,FALSE)),""))</f>
        <v>0</v>
      </c>
      <c r="L761" s="102">
        <f>(IF((VLOOKUP(Table6[[#This Row],[SKU]],'All Skus'!$A:$AC,2,FALSE))="JBL",(VLOOKUP(Table6[[#This Row],[SKU]],'All Skus'!$A:$AC,14,FALSE)),""))</f>
        <v>0</v>
      </c>
      <c r="M761" s="143">
        <f>(IF((VLOOKUP(Table6[[#This Row],[SKU]],'All Skus'!$A:$AC,2,FALSE))="JBL",(VLOOKUP(Table6[[#This Row],[SKU]],'All Skus'!$A:$AC,15,FALSE)),""))</f>
        <v>0</v>
      </c>
      <c r="N761" s="137">
        <f>(IF((VLOOKUP(Table6[[#This Row],[SKU]],'All Skus'!$A:$AC,2,FALSE))="JBL",(VLOOKUP(Table6[[#This Row],[SKU]],'All Skus'!$A:$AC,16,FALSE)),""))</f>
        <v>50036903509</v>
      </c>
      <c r="O761" s="61">
        <f>(IF((VLOOKUP(Table6[[#This Row],[SKU]],'All Skus'!$A:$AC,2,FALSE))="JBL",(VLOOKUP(Table6[[#This Row],[SKU]],'All Skus'!$A:$AC,17,FALSE)),""))</f>
        <v>0</v>
      </c>
      <c r="P761" s="136">
        <f>(IF((VLOOKUP(Table6[[#This Row],[SKU]],'All Skus'!$A:$AC,2,FALSE))="JBL",(VLOOKUP(Table6[[#This Row],[SKU]],'All Skus'!$A:$AC,18,FALSE)),""))</f>
        <v>85</v>
      </c>
      <c r="Q761" s="136">
        <f>(IF((VLOOKUP(Table6[[#This Row],[SKU]],'All Skus'!$A:$AC,2,FALSE))="JBL",(VLOOKUP(Table6[[#This Row],[SKU]],'All Skus'!$A:$AC,19,FALSE)),""))</f>
        <v>33</v>
      </c>
      <c r="R761" s="136">
        <f>(IF((VLOOKUP(Table6[[#This Row],[SKU]],'All Skus'!$A:$AC,2,FALSE))="JBL",(VLOOKUP(Table6[[#This Row],[SKU]],'All Skus'!$A:$AC,20,FALSE)),""))</f>
        <v>25</v>
      </c>
      <c r="S761" s="61">
        <f>(IF((VLOOKUP(Table6[[#This Row],[SKU]],'All Skus'!$A:$AC,2,FALSE))="JBL",(VLOOKUP(Table6[[#This Row],[SKU]],'All Skus'!$A:$AC,21,FALSE)),""))</f>
        <v>22</v>
      </c>
      <c r="T761" s="61" t="str">
        <f>(IF((VLOOKUP(Table6[[#This Row],[SKU]],'All Skus'!$A:$AC,2,FALSE))="JBL",(VLOOKUP(Table6[[#This Row],[SKU]],'All Skus'!$A:$AC,22,FALSE)),""))</f>
        <v>MX</v>
      </c>
      <c r="U761" t="str">
        <f>(IF((VLOOKUP(Table6[[#This Row],[SKU]],'All Skus'!$A:$AC,2,FALSE))="JBL",(VLOOKUP(Table6[[#This Row],[SKU]],'All Skus'!$A:$AC,23,FALSE)),""))</f>
        <v>Compliant</v>
      </c>
      <c r="V761" s="284" t="str">
        <f>HYPERLINK((IF((VLOOKUP(Table6[[#This Row],[SKU]],'All Skus'!$A:$AC,2,FALSE))="JBL",(VLOOKUP(Table6[[#This Row],[SKU]],'All Skus'!$A:$AC,24,FALSE)),"")))</f>
        <v>http://www.jblpro.com/www/products/tour-sound/vrx900-series/vrx918sp#.VkxtnYRqBJo</v>
      </c>
      <c r="W761" s="151">
        <v>758</v>
      </c>
    </row>
    <row r="762" spans="1:23" ht="15" hidden="1" customHeight="1">
      <c r="A762" s="13" t="s">
        <v>1771</v>
      </c>
      <c r="B762" s="12" t="str">
        <f>(IF((VLOOKUP(Table6[[#This Row],[SKU]],'All Skus'!$A:$AC,2,FALSE))="JBL",(VLOOKUP(Table6[[#This Row],[SKU]],'All Skus'!$A:$AC,3,FALSE)),""))</f>
        <v>VRX SERIES</v>
      </c>
      <c r="C762" s="12" t="str">
        <f>(IF((VLOOKUP(Table6[[#This Row],[SKU]],'All Skus'!$A:$AC,2,FALSE))="JBL",(VLOOKUP(Table6[[#This Row],[SKU]],'All Skus'!$A:$AC,4,FALSE)),""))</f>
        <v>VRX918S-WH</v>
      </c>
      <c r="D762" s="61" t="str">
        <f>(IF((VLOOKUP(Table6[[#This Row],[SKU]],'All Skus'!$A:$AC,2,FALSE))="JBL",(VLOOKUP(Table6[[#This Row],[SKU]],'All Skus'!$A:$AC,5,FALSE)),""))</f>
        <v>JBL009</v>
      </c>
      <c r="E762" s="137">
        <f>(IF((VLOOKUP(Table6[[#This Row],[SKU]],'All Skus'!$A:$AC,2,FALSE))="JBL",(VLOOKUP(Table6[[#This Row],[SKU]],'All Skus'!$A:$AC,6,FALSE)),""))</f>
        <v>0</v>
      </c>
      <c r="F762" s="61">
        <f>(IF((VLOOKUP(Table6[[#This Row],[SKU]],'All Skus'!$A:$AC,2,FALSE))="JBL",(VLOOKUP(Table6[[#This Row],[SKU]],'All Skus'!$A:$AC,7,FALSE)),""))</f>
        <v>0</v>
      </c>
      <c r="G762" t="str">
        <f>(IF((VLOOKUP(Table6[[#This Row],[SKU]],'All Skus'!$A:$AC,2,FALSE))="JBL",(VLOOKUP(Table6[[#This Row],[SKU]],'All Skus'!$A:$AC,8,FALSE)),""))</f>
        <v>S/M, VRX918S-WH</v>
      </c>
      <c r="H762" s="8" t="str">
        <f>(IF((VLOOKUP(Table6[[#This Row],[SKU]],'All Skus'!$A:$AC,2,FALSE))="JBL",(VLOOKUP(Table6[[#This Row],[SKU]],'All Skus'!$A:$AC,9,FALSE)),""))</f>
        <v>18” Compact, Flying Subwoofer; 2268H Differential Drive® LF; Integral Flying Hardware Compatible with VRX932LA and Accessories; Designed for Fixed Installations with JBL’s White Duraflex™; No Pole Mount or Handles Included.</v>
      </c>
      <c r="I762" s="101">
        <f>(IF((VLOOKUP(Table6[[#This Row],[SKU]],'All Skus'!$A:$AC,2,FALSE))="JBL",(VLOOKUP(Table6[[#This Row],[SKU]],'All Skus'!$A:$AC,10,FALSE)),""))</f>
        <v>2500</v>
      </c>
      <c r="J762" s="101">
        <f>(IF((VLOOKUP(Table6[[#This Row],[SKU]],'All Skus'!$A:$AC,2,FALSE))="JBL",(VLOOKUP(Table6[[#This Row],[SKU]],'All Skus'!$A:$AC,11,FALSE)),""))</f>
        <v>1730</v>
      </c>
      <c r="K762" s="102">
        <f>(IF((VLOOKUP(Table6[[#This Row],[SKU]],'All Skus'!$A:$AC,2,FALSE))="JBL",(VLOOKUP(Table6[[#This Row],[SKU]],'All Skus'!$A:$AC,13,FALSE)),""))</f>
        <v>0</v>
      </c>
      <c r="L762" s="102">
        <f>(IF((VLOOKUP(Table6[[#This Row],[SKU]],'All Skus'!$A:$AC,2,FALSE))="JBL",(VLOOKUP(Table6[[#This Row],[SKU]],'All Skus'!$A:$AC,14,FALSE)),""))</f>
        <v>0</v>
      </c>
      <c r="M762" s="143">
        <f>(IF((VLOOKUP(Table6[[#This Row],[SKU]],'All Skus'!$A:$AC,2,FALSE))="JBL",(VLOOKUP(Table6[[#This Row],[SKU]],'All Skus'!$A:$AC,15,FALSE)),""))</f>
        <v>0</v>
      </c>
      <c r="N762" s="137">
        <f>(IF((VLOOKUP(Table6[[#This Row],[SKU]],'All Skus'!$A:$AC,2,FALSE))="JBL",(VLOOKUP(Table6[[#This Row],[SKU]],'All Skus'!$A:$AC,16,FALSE)),""))</f>
        <v>50036903523</v>
      </c>
      <c r="O762" s="61">
        <f>(IF((VLOOKUP(Table6[[#This Row],[SKU]],'All Skus'!$A:$AC,2,FALSE))="JBL",(VLOOKUP(Table6[[#This Row],[SKU]],'All Skus'!$A:$AC,17,FALSE)),""))</f>
        <v>0</v>
      </c>
      <c r="P762" s="136">
        <f>(IF((VLOOKUP(Table6[[#This Row],[SKU]],'All Skus'!$A:$AC,2,FALSE))="JBL",(VLOOKUP(Table6[[#This Row],[SKU]],'All Skus'!$A:$AC,18,FALSE)),""))</f>
        <v>79</v>
      </c>
      <c r="Q762" s="136">
        <f>(IF((VLOOKUP(Table6[[#This Row],[SKU]],'All Skus'!$A:$AC,2,FALSE))="JBL",(VLOOKUP(Table6[[#This Row],[SKU]],'All Skus'!$A:$AC,19,FALSE)),""))</f>
        <v>30</v>
      </c>
      <c r="R762" s="136">
        <f>(IF((VLOOKUP(Table6[[#This Row],[SKU]],'All Skus'!$A:$AC,2,FALSE))="JBL",(VLOOKUP(Table6[[#This Row],[SKU]],'All Skus'!$A:$AC,20,FALSE)),""))</f>
        <v>25</v>
      </c>
      <c r="S762" s="61">
        <f>(IF((VLOOKUP(Table6[[#This Row],[SKU]],'All Skus'!$A:$AC,2,FALSE))="JBL",(VLOOKUP(Table6[[#This Row],[SKU]],'All Skus'!$A:$AC,21,FALSE)),""))</f>
        <v>22</v>
      </c>
      <c r="T762" s="61" t="str">
        <f>(IF((VLOOKUP(Table6[[#This Row],[SKU]],'All Skus'!$A:$AC,2,FALSE))="JBL",(VLOOKUP(Table6[[#This Row],[SKU]],'All Skus'!$A:$AC,22,FALSE)),""))</f>
        <v>MX</v>
      </c>
      <c r="U762">
        <f>(IF((VLOOKUP(Table6[[#This Row],[SKU]],'All Skus'!$A:$AC,2,FALSE))="JBL",(VLOOKUP(Table6[[#This Row],[SKU]],'All Skus'!$A:$AC,23,FALSE)),""))</f>
        <v>0</v>
      </c>
      <c r="V762" s="284" t="str">
        <f>HYPERLINK((IF((VLOOKUP(Table6[[#This Row],[SKU]],'All Skus'!$A:$AC,2,FALSE))="JBL",(VLOOKUP(Table6[[#This Row],[SKU]],'All Skus'!$A:$AC,24,FALSE)),"")))</f>
        <v>http://www.jblpro.com/www/products/tour-sound/vrx900-series/vrx918s#.Vkxtq4RqBJo</v>
      </c>
      <c r="W762" s="151">
        <v>759</v>
      </c>
    </row>
    <row r="763" spans="1:23" ht="15" hidden="1" customHeight="1">
      <c r="A763" s="13" t="s">
        <v>1772</v>
      </c>
      <c r="B763" s="12" t="str">
        <f>(IF((VLOOKUP(Table6[[#This Row],[SKU]],'All Skus'!$A:$AC,2,FALSE))="JBL",(VLOOKUP(Table6[[#This Row],[SKU]],'All Skus'!$A:$AC,3,FALSE)),""))</f>
        <v>VRX SERIES</v>
      </c>
      <c r="C763" s="12" t="str">
        <f>(IF((VLOOKUP(Table6[[#This Row],[SKU]],'All Skus'!$A:$AC,2,FALSE))="JBL",(VLOOKUP(Table6[[#This Row],[SKU]],'All Skus'!$A:$AC,4,FALSE)),""))</f>
        <v>VRX-AF</v>
      </c>
      <c r="D763" s="61" t="str">
        <f>(IF((VLOOKUP(Table6[[#This Row],[SKU]],'All Skus'!$A:$AC,2,FALSE))="JBL",(VLOOKUP(Table6[[#This Row],[SKU]],'All Skus'!$A:$AC,5,FALSE)),""))</f>
        <v>JBL009</v>
      </c>
      <c r="E763" s="137">
        <f>(IF((VLOOKUP(Table6[[#This Row],[SKU]],'All Skus'!$A:$AC,2,FALSE))="JBL",(VLOOKUP(Table6[[#This Row],[SKU]],'All Skus'!$A:$AC,6,FALSE)),""))</f>
        <v>0</v>
      </c>
      <c r="F763" s="61">
        <f>(IF((VLOOKUP(Table6[[#This Row],[SKU]],'All Skus'!$A:$AC,2,FALSE))="JBL",(VLOOKUP(Table6[[#This Row],[SKU]],'All Skus'!$A:$AC,7,FALSE)),""))</f>
        <v>0</v>
      </c>
      <c r="G763" t="str">
        <f>(IF((VLOOKUP(Table6[[#This Row],[SKU]],'All Skus'!$A:$AC,2,FALSE))="JBL",(VLOOKUP(Table6[[#This Row],[SKU]],'All Skus'!$A:$AC,8,FALSE)),""))</f>
        <v>S/M, VRX-AF</v>
      </c>
      <c r="H763" s="8" t="str">
        <f>(IF((VLOOKUP(Table6[[#This Row],[SKU]],'All Skus'!$A:$AC,2,FALSE))="JBL",(VLOOKUP(Table6[[#This Row],[SKU]],'All Skus'!$A:$AC,9,FALSE)),""))</f>
        <v>Array Frame for suspending VRX932LA-1/P, VRX918S/P enclosures. Includes 4 x Quick Release Pins, 2 x Shackles, 2 x Drop Levers</v>
      </c>
      <c r="I763" s="101">
        <f>(IF((VLOOKUP(Table6[[#This Row],[SKU]],'All Skus'!$A:$AC,2,FALSE))="JBL",(VLOOKUP(Table6[[#This Row],[SKU]],'All Skus'!$A:$AC,10,FALSE)),""))</f>
        <v>1580</v>
      </c>
      <c r="J763" s="101">
        <f>(IF((VLOOKUP(Table6[[#This Row],[SKU]],'All Skus'!$A:$AC,2,FALSE))="JBL",(VLOOKUP(Table6[[#This Row],[SKU]],'All Skus'!$A:$AC,11,FALSE)),""))</f>
        <v>1259</v>
      </c>
      <c r="K763" s="102">
        <f>(IF((VLOOKUP(Table6[[#This Row],[SKU]],'All Skus'!$A:$AC,2,FALSE))="JBL",(VLOOKUP(Table6[[#This Row],[SKU]],'All Skus'!$A:$AC,13,FALSE)),""))</f>
        <v>0</v>
      </c>
      <c r="L763" s="102">
        <f>(IF((VLOOKUP(Table6[[#This Row],[SKU]],'All Skus'!$A:$AC,2,FALSE))="JBL",(VLOOKUP(Table6[[#This Row],[SKU]],'All Skus'!$A:$AC,14,FALSE)),""))</f>
        <v>0</v>
      </c>
      <c r="M763" s="143">
        <f>(IF((VLOOKUP(Table6[[#This Row],[SKU]],'All Skus'!$A:$AC,2,FALSE))="JBL",(VLOOKUP(Table6[[#This Row],[SKU]],'All Skus'!$A:$AC,15,FALSE)),""))</f>
        <v>0</v>
      </c>
      <c r="N763" s="137">
        <f>(IF((VLOOKUP(Table6[[#This Row],[SKU]],'All Skus'!$A:$AC,2,FALSE))="JBL",(VLOOKUP(Table6[[#This Row],[SKU]],'All Skus'!$A:$AC,16,FALSE)),""))</f>
        <v>691991033452</v>
      </c>
      <c r="O763" s="61">
        <f>(IF((VLOOKUP(Table6[[#This Row],[SKU]],'All Skus'!$A:$AC,2,FALSE))="JBL",(VLOOKUP(Table6[[#This Row],[SKU]],'All Skus'!$A:$AC,17,FALSE)),""))</f>
        <v>0</v>
      </c>
      <c r="P763" s="136">
        <f>(IF((VLOOKUP(Table6[[#This Row],[SKU]],'All Skus'!$A:$AC,2,FALSE))="JBL",(VLOOKUP(Table6[[#This Row],[SKU]],'All Skus'!$A:$AC,18,FALSE)),""))</f>
        <v>14.1</v>
      </c>
      <c r="Q763" s="136">
        <f>(IF((VLOOKUP(Table6[[#This Row],[SKU]],'All Skus'!$A:$AC,2,FALSE))="JBL",(VLOOKUP(Table6[[#This Row],[SKU]],'All Skus'!$A:$AC,19,FALSE)),""))</f>
        <v>28</v>
      </c>
      <c r="R763" s="136">
        <f>(IF((VLOOKUP(Table6[[#This Row],[SKU]],'All Skus'!$A:$AC,2,FALSE))="JBL",(VLOOKUP(Table6[[#This Row],[SKU]],'All Skus'!$A:$AC,20,FALSE)),""))</f>
        <v>11</v>
      </c>
      <c r="S763" s="61">
        <f>(IF((VLOOKUP(Table6[[#This Row],[SKU]],'All Skus'!$A:$AC,2,FALSE))="JBL",(VLOOKUP(Table6[[#This Row],[SKU]],'All Skus'!$A:$AC,21,FALSE)),""))</f>
        <v>3</v>
      </c>
      <c r="T763" s="61" t="str">
        <f>(IF((VLOOKUP(Table6[[#This Row],[SKU]],'All Skus'!$A:$AC,2,FALSE))="JBL",(VLOOKUP(Table6[[#This Row],[SKU]],'All Skus'!$A:$AC,22,FALSE)),""))</f>
        <v>MX</v>
      </c>
      <c r="U763" t="str">
        <f>(IF((VLOOKUP(Table6[[#This Row],[SKU]],'All Skus'!$A:$AC,2,FALSE))="JBL",(VLOOKUP(Table6[[#This Row],[SKU]],'All Skus'!$A:$AC,23,FALSE)),""))</f>
        <v>Compliant</v>
      </c>
      <c r="V763" s="284" t="str">
        <f>HYPERLINK((IF((VLOOKUP(Table6[[#This Row],[SKU]],'All Skus'!$A:$AC,2,FALSE))="JBL",(VLOOKUP(Table6[[#This Row],[SKU]],'All Skus'!$A:$AC,24,FALSE)),"")))</f>
        <v/>
      </c>
      <c r="W763" s="151">
        <v>760</v>
      </c>
    </row>
    <row r="764" spans="1:23" ht="15" hidden="1" customHeight="1">
      <c r="A764" s="13" t="s">
        <v>1773</v>
      </c>
      <c r="B764" s="12" t="str">
        <f>(IF((VLOOKUP(Table6[[#This Row],[SKU]],'All Skus'!$A:$AC,2,FALSE))="JBL",(VLOOKUP(Table6[[#This Row],[SKU]],'All Skus'!$A:$AC,3,FALSE)),""))</f>
        <v>VRX SERIES</v>
      </c>
      <c r="C764" s="12" t="str">
        <f>(IF((VLOOKUP(Table6[[#This Row],[SKU]],'All Skus'!$A:$AC,2,FALSE))="JBL",(VLOOKUP(Table6[[#This Row],[SKU]],'All Skus'!$A:$AC,4,FALSE)),""))</f>
        <v>VRX-SMAF</v>
      </c>
      <c r="D764" s="61" t="str">
        <f>(IF((VLOOKUP(Table6[[#This Row],[SKU]],'All Skus'!$A:$AC,2,FALSE))="JBL",(VLOOKUP(Table6[[#This Row],[SKU]],'All Skus'!$A:$AC,5,FALSE)),""))</f>
        <v>JBL009</v>
      </c>
      <c r="E764" s="137">
        <f>(IF((VLOOKUP(Table6[[#This Row],[SKU]],'All Skus'!$A:$AC,2,FALSE))="JBL",(VLOOKUP(Table6[[#This Row],[SKU]],'All Skus'!$A:$AC,6,FALSE)),""))</f>
        <v>0</v>
      </c>
      <c r="F764" s="61">
        <f>(IF((VLOOKUP(Table6[[#This Row],[SKU]],'All Skus'!$A:$AC,2,FALSE))="JBL",(VLOOKUP(Table6[[#This Row],[SKU]],'All Skus'!$A:$AC,7,FALSE)),""))</f>
        <v>0</v>
      </c>
      <c r="G764" t="str">
        <f>(IF((VLOOKUP(Table6[[#This Row],[SKU]],'All Skus'!$A:$AC,2,FALSE))="JBL",(VLOOKUP(Table6[[#This Row],[SKU]],'All Skus'!$A:$AC,8,FALSE)),""))</f>
        <v>S/M, VRX-SMAF</v>
      </c>
      <c r="H764" s="8" t="str">
        <f>(IF((VLOOKUP(Table6[[#This Row],[SKU]],'All Skus'!$A:$AC,2,FALSE))="JBL",(VLOOKUP(Table6[[#This Row],[SKU]],'All Skus'!$A:$AC,9,FALSE)),""))</f>
        <v>Small Array Frame for suspending VRX928LA and VRX915S arrays. Includes 2 x quick release pins, 2 x shackles, 2 x drop levers..</v>
      </c>
      <c r="I764" s="101">
        <f>(IF((VLOOKUP(Table6[[#This Row],[SKU]],'All Skus'!$A:$AC,2,FALSE))="JBL",(VLOOKUP(Table6[[#This Row],[SKU]],'All Skus'!$A:$AC,10,FALSE)),""))</f>
        <v>936</v>
      </c>
      <c r="J764" s="101">
        <f>(IF((VLOOKUP(Table6[[#This Row],[SKU]],'All Skus'!$A:$AC,2,FALSE))="JBL",(VLOOKUP(Table6[[#This Row],[SKU]],'All Skus'!$A:$AC,11,FALSE)),""))</f>
        <v>779</v>
      </c>
      <c r="K764" s="102">
        <f>(IF((VLOOKUP(Table6[[#This Row],[SKU]],'All Skus'!$A:$AC,2,FALSE))="JBL",(VLOOKUP(Table6[[#This Row],[SKU]],'All Skus'!$A:$AC,13,FALSE)),""))</f>
        <v>0</v>
      </c>
      <c r="L764" s="102">
        <f>(IF((VLOOKUP(Table6[[#This Row],[SKU]],'All Skus'!$A:$AC,2,FALSE))="JBL",(VLOOKUP(Table6[[#This Row],[SKU]],'All Skus'!$A:$AC,14,FALSE)),""))</f>
        <v>0</v>
      </c>
      <c r="M764" s="143">
        <f>(IF((VLOOKUP(Table6[[#This Row],[SKU]],'All Skus'!$A:$AC,2,FALSE))="JBL",(VLOOKUP(Table6[[#This Row],[SKU]],'All Skus'!$A:$AC,15,FALSE)),""))</f>
        <v>0</v>
      </c>
      <c r="N764" s="137">
        <f>(IF((VLOOKUP(Table6[[#This Row],[SKU]],'All Skus'!$A:$AC,2,FALSE))="JBL",(VLOOKUP(Table6[[#This Row],[SKU]],'All Skus'!$A:$AC,16,FALSE)),""))</f>
        <v>50036903202</v>
      </c>
      <c r="O764" s="61">
        <f>(IF((VLOOKUP(Table6[[#This Row],[SKU]],'All Skus'!$A:$AC,2,FALSE))="JBL",(VLOOKUP(Table6[[#This Row],[SKU]],'All Skus'!$A:$AC,17,FALSE)),""))</f>
        <v>0</v>
      </c>
      <c r="P764" s="136">
        <f>(IF((VLOOKUP(Table6[[#This Row],[SKU]],'All Skus'!$A:$AC,2,FALSE))="JBL",(VLOOKUP(Table6[[#This Row],[SKU]],'All Skus'!$A:$AC,18,FALSE)),""))</f>
        <v>6.8</v>
      </c>
      <c r="Q764" s="136">
        <f>(IF((VLOOKUP(Table6[[#This Row],[SKU]],'All Skus'!$A:$AC,2,FALSE))="JBL",(VLOOKUP(Table6[[#This Row],[SKU]],'All Skus'!$A:$AC,19,FALSE)),""))</f>
        <v>3</v>
      </c>
      <c r="R764" s="136">
        <f>(IF((VLOOKUP(Table6[[#This Row],[SKU]],'All Skus'!$A:$AC,2,FALSE))="JBL",(VLOOKUP(Table6[[#This Row],[SKU]],'All Skus'!$A:$AC,20,FALSE)),""))</f>
        <v>22</v>
      </c>
      <c r="S764" s="61">
        <f>(IF((VLOOKUP(Table6[[#This Row],[SKU]],'All Skus'!$A:$AC,2,FALSE))="JBL",(VLOOKUP(Table6[[#This Row],[SKU]],'All Skus'!$A:$AC,21,FALSE)),""))</f>
        <v>3</v>
      </c>
      <c r="T764" s="61" t="str">
        <f>(IF((VLOOKUP(Table6[[#This Row],[SKU]],'All Skus'!$A:$AC,2,FALSE))="JBL",(VLOOKUP(Table6[[#This Row],[SKU]],'All Skus'!$A:$AC,22,FALSE)),""))</f>
        <v>MX</v>
      </c>
      <c r="U764">
        <f>(IF((VLOOKUP(Table6[[#This Row],[SKU]],'All Skus'!$A:$AC,2,FALSE))="JBL",(VLOOKUP(Table6[[#This Row],[SKU]],'All Skus'!$A:$AC,23,FALSE)),""))</f>
        <v>0</v>
      </c>
      <c r="V764" s="284" t="str">
        <f>HYPERLINK((IF((VLOOKUP(Table6[[#This Row],[SKU]],'All Skus'!$A:$AC,2,FALSE))="JBL",(VLOOKUP(Table6[[#This Row],[SKU]],'All Skus'!$A:$AC,24,FALSE)),"")))</f>
        <v/>
      </c>
      <c r="W764" s="151">
        <v>761</v>
      </c>
    </row>
    <row r="765" spans="1:23" ht="15" hidden="1" customHeight="1">
      <c r="A765" s="104" t="s">
        <v>1774</v>
      </c>
      <c r="B765" s="12">
        <f>(IF((VLOOKUP(Table6[[#This Row],[SKU]],'All Skus'!$A:$AC,2,FALSE))="JBL",(VLOOKUP(Table6[[#This Row],[SKU]],'All Skus'!$A:$AC,3,FALSE)),""))</f>
        <v>0</v>
      </c>
      <c r="C765" s="12">
        <f>(IF((VLOOKUP(Table6[[#This Row],[SKU]],'All Skus'!$A:$AC,2,FALSE))="JBL",(VLOOKUP(Table6[[#This Row],[SKU]],'All Skus'!$A:$AC,4,FALSE)),""))</f>
        <v>0</v>
      </c>
      <c r="D765" s="61">
        <f>(IF((VLOOKUP(Table6[[#This Row],[SKU]],'All Skus'!$A:$AC,2,FALSE))="JBL",(VLOOKUP(Table6[[#This Row],[SKU]],'All Skus'!$A:$AC,5,FALSE)),""))</f>
        <v>0</v>
      </c>
      <c r="E765" s="137">
        <f>(IF((VLOOKUP(Table6[[#This Row],[SKU]],'All Skus'!$A:$AC,2,FALSE))="JBL",(VLOOKUP(Table6[[#This Row],[SKU]],'All Skus'!$A:$AC,6,FALSE)),""))</f>
        <v>0</v>
      </c>
      <c r="F765" s="61">
        <f>(IF((VLOOKUP(Table6[[#This Row],[SKU]],'All Skus'!$A:$AC,2,FALSE))="JBL",(VLOOKUP(Table6[[#This Row],[SKU]],'All Skus'!$A:$AC,7,FALSE)),""))</f>
        <v>0</v>
      </c>
      <c r="G765">
        <f>(IF((VLOOKUP(Table6[[#This Row],[SKU]],'All Skus'!$A:$AC,2,FALSE))="JBL",(VLOOKUP(Table6[[#This Row],[SKU]],'All Skus'!$A:$AC,8,FALSE)),""))</f>
        <v>0</v>
      </c>
      <c r="H765" s="8">
        <f>(IF((VLOOKUP(Table6[[#This Row],[SKU]],'All Skus'!$A:$AC,2,FALSE))="JBL",(VLOOKUP(Table6[[#This Row],[SKU]],'All Skus'!$A:$AC,9,FALSE)),""))</f>
        <v>0</v>
      </c>
      <c r="I765" s="101">
        <f>(IF((VLOOKUP(Table6[[#This Row],[SKU]],'All Skus'!$A:$AC,2,FALSE))="JBL",(VLOOKUP(Table6[[#This Row],[SKU]],'All Skus'!$A:$AC,10,FALSE)),""))</f>
        <v>0</v>
      </c>
      <c r="J765" s="101">
        <f>(IF((VLOOKUP(Table6[[#This Row],[SKU]],'All Skus'!$A:$AC,2,FALSE))="JBL",(VLOOKUP(Table6[[#This Row],[SKU]],'All Skus'!$A:$AC,11,FALSE)),""))</f>
        <v>0</v>
      </c>
      <c r="K765" s="102">
        <f>(IF((VLOOKUP(Table6[[#This Row],[SKU]],'All Skus'!$A:$AC,2,FALSE))="JBL",(VLOOKUP(Table6[[#This Row],[SKU]],'All Skus'!$A:$AC,13,FALSE)),""))</f>
        <v>0</v>
      </c>
      <c r="L765" s="102">
        <f>(IF((VLOOKUP(Table6[[#This Row],[SKU]],'All Skus'!$A:$AC,2,FALSE))="JBL",(VLOOKUP(Table6[[#This Row],[SKU]],'All Skus'!$A:$AC,14,FALSE)),""))</f>
        <v>0</v>
      </c>
      <c r="M765" s="143">
        <f>(IF((VLOOKUP(Table6[[#This Row],[SKU]],'All Skus'!$A:$AC,2,FALSE))="JBL",(VLOOKUP(Table6[[#This Row],[SKU]],'All Skus'!$A:$AC,15,FALSE)),""))</f>
        <v>0</v>
      </c>
      <c r="N765" s="137">
        <f>(IF((VLOOKUP(Table6[[#This Row],[SKU]],'All Skus'!$A:$AC,2,FALSE))="JBL",(VLOOKUP(Table6[[#This Row],[SKU]],'All Skus'!$A:$AC,16,FALSE)),""))</f>
        <v>0</v>
      </c>
      <c r="O765" s="61">
        <f>(IF((VLOOKUP(Table6[[#This Row],[SKU]],'All Skus'!$A:$AC,2,FALSE))="JBL",(VLOOKUP(Table6[[#This Row],[SKU]],'All Skus'!$A:$AC,17,FALSE)),""))</f>
        <v>0</v>
      </c>
      <c r="P765" s="136">
        <f>(IF((VLOOKUP(Table6[[#This Row],[SKU]],'All Skus'!$A:$AC,2,FALSE))="JBL",(VLOOKUP(Table6[[#This Row],[SKU]],'All Skus'!$A:$AC,18,FALSE)),""))</f>
        <v>0</v>
      </c>
      <c r="Q765" s="136">
        <f>(IF((VLOOKUP(Table6[[#This Row],[SKU]],'All Skus'!$A:$AC,2,FALSE))="JBL",(VLOOKUP(Table6[[#This Row],[SKU]],'All Skus'!$A:$AC,19,FALSE)),""))</f>
        <v>0</v>
      </c>
      <c r="R765" s="136">
        <f>(IF((VLOOKUP(Table6[[#This Row],[SKU]],'All Skus'!$A:$AC,2,FALSE))="JBL",(VLOOKUP(Table6[[#This Row],[SKU]],'All Skus'!$A:$AC,20,FALSE)),""))</f>
        <v>0</v>
      </c>
      <c r="S765" s="61">
        <f>(IF((VLOOKUP(Table6[[#This Row],[SKU]],'All Skus'!$A:$AC,2,FALSE))="JBL",(VLOOKUP(Table6[[#This Row],[SKU]],'All Skus'!$A:$AC,21,FALSE)),""))</f>
        <v>0</v>
      </c>
      <c r="T765" s="61" t="str">
        <f>(IF((VLOOKUP(Table6[[#This Row],[SKU]],'All Skus'!$A:$AC,2,FALSE))="JBL",(VLOOKUP(Table6[[#This Row],[SKU]],'All Skus'!$A:$AC,22,FALSE)),""))</f>
        <v>CN</v>
      </c>
      <c r="U765" t="str">
        <f>(IF((VLOOKUP(Table6[[#This Row],[SKU]],'All Skus'!$A:$AC,2,FALSE))="JBL",(VLOOKUP(Table6[[#This Row],[SKU]],'All Skus'!$A:$AC,23,FALSE)),""))</f>
        <v>Non Compliant</v>
      </c>
      <c r="V765" s="284" t="str">
        <f>HYPERLINK((IF((VLOOKUP(Table6[[#This Row],[SKU]],'All Skus'!$A:$AC,2,FALSE))="JBL",(VLOOKUP(Table6[[#This Row],[SKU]],'All Skus'!$A:$AC,24,FALSE)),"")))</f>
        <v/>
      </c>
      <c r="W765" s="151">
        <v>762</v>
      </c>
    </row>
    <row r="766" spans="1:23" ht="15" hidden="1" customHeight="1">
      <c r="A766" s="13" t="s">
        <v>1775</v>
      </c>
      <c r="B766" s="12" t="str">
        <f>(IF((VLOOKUP(Table6[[#This Row],[SKU]],'All Skus'!$A:$AC,2,FALSE))="JBL",(VLOOKUP(Table6[[#This Row],[SKU]],'All Skus'!$A:$AC,3,FALSE)),""))</f>
        <v>EON</v>
      </c>
      <c r="C766" s="12" t="str">
        <f>(IF((VLOOKUP(Table6[[#This Row],[SKU]],'All Skus'!$A:$AC,2,FALSE))="JBL",(VLOOKUP(Table6[[#This Row],[SKU]],'All Skus'!$A:$AC,4,FALSE)),""))</f>
        <v>JBL-EONONEMK2-NA</v>
      </c>
      <c r="D766" s="61" t="str">
        <f>(IF((VLOOKUP(Table6[[#This Row],[SKU]],'All Skus'!$A:$AC,2,FALSE))="JBL",(VLOOKUP(Table6[[#This Row],[SKU]],'All Skus'!$A:$AC,5,FALSE)),""))</f>
        <v>JBL01002</v>
      </c>
      <c r="E766" s="137">
        <f>(IF((VLOOKUP(Table6[[#This Row],[SKU]],'All Skus'!$A:$AC,2,FALSE))="JBL",(VLOOKUP(Table6[[#This Row],[SKU]],'All Skus'!$A:$AC,6,FALSE)),""))</f>
        <v>0</v>
      </c>
      <c r="F766" s="61" t="str">
        <f>(IF((VLOOKUP(Table6[[#This Row],[SKU]],'All Skus'!$A:$AC,2,FALSE))="JBL",(VLOOKUP(Table6[[#This Row],[SKU]],'All Skus'!$A:$AC,7,FALSE)),""))</f>
        <v>NEW</v>
      </c>
      <c r="G766" t="str">
        <f>(IF((VLOOKUP(Table6[[#This Row],[SKU]],'All Skus'!$A:$AC,2,FALSE))="JBL",(VLOOKUP(Table6[[#This Row],[SKU]],'All Skus'!$A:$AC,8,FALSE)),""))</f>
        <v>JBL EON ONE MK2 BATTERY POWERED COLUMN SPEAKER</v>
      </c>
      <c r="H766" s="8" t="str">
        <f>(IF((VLOOKUP(Table6[[#This Row],[SKU]],'All Skus'!$A:$AC,2,FALSE))="JBL",(VLOOKUP(Table6[[#This Row],[SKU]],'All Skus'!$A:$AC,9,FALSE)),""))</f>
        <v>JBL EON ONE MK2 BATTERY POWERED COLUMN SPEAKER</v>
      </c>
      <c r="I766" s="101">
        <f>(IF((VLOOKUP(Table6[[#This Row],[SKU]],'All Skus'!$A:$AC,2,FALSE))="JBL",(VLOOKUP(Table6[[#This Row],[SKU]],'All Skus'!$A:$AC,10,FALSE)),""))</f>
        <v>1825.22</v>
      </c>
      <c r="J766" s="101">
        <f>(IF((VLOOKUP(Table6[[#This Row],[SKU]],'All Skus'!$A:$AC,2,FALSE))="JBL",(VLOOKUP(Table6[[#This Row],[SKU]],'All Skus'!$A:$AC,11,FALSE)),""))</f>
        <v>1289</v>
      </c>
      <c r="K766" s="102">
        <f>(IF((VLOOKUP(Table6[[#This Row],[SKU]],'All Skus'!$A:$AC,2,FALSE))="JBL",(VLOOKUP(Table6[[#This Row],[SKU]],'All Skus'!$A:$AC,13,FALSE)),""))</f>
        <v>0</v>
      </c>
      <c r="L766" s="102">
        <f>(IF((VLOOKUP(Table6[[#This Row],[SKU]],'All Skus'!$A:$AC,2,FALSE))="JBL",(VLOOKUP(Table6[[#This Row],[SKU]],'All Skus'!$A:$AC,14,FALSE)),""))</f>
        <v>0</v>
      </c>
      <c r="M766" s="143">
        <f>(IF((VLOOKUP(Table6[[#This Row],[SKU]],'All Skus'!$A:$AC,2,FALSE))="JBL",(VLOOKUP(Table6[[#This Row],[SKU]],'All Skus'!$A:$AC,15,FALSE)),""))</f>
        <v>0</v>
      </c>
      <c r="N766" s="137">
        <f>(IF((VLOOKUP(Table6[[#This Row],[SKU]],'All Skus'!$A:$AC,2,FALSE))="JBL",(VLOOKUP(Table6[[#This Row],[SKU]],'All Skus'!$A:$AC,16,FALSE)),""))</f>
        <v>691991034879</v>
      </c>
      <c r="O766" s="61">
        <f>(IF((VLOOKUP(Table6[[#This Row],[SKU]],'All Skus'!$A:$AC,2,FALSE))="JBL",(VLOOKUP(Table6[[#This Row],[SKU]],'All Skus'!$A:$AC,17,FALSE)),""))</f>
        <v>0</v>
      </c>
      <c r="P766" s="136">
        <f>(IF((VLOOKUP(Table6[[#This Row],[SKU]],'All Skus'!$A:$AC,2,FALSE))="JBL",(VLOOKUP(Table6[[#This Row],[SKU]],'All Skus'!$A:$AC,18,FALSE)),""))</f>
        <v>42.55</v>
      </c>
      <c r="Q766" s="136">
        <f>(IF((VLOOKUP(Table6[[#This Row],[SKU]],'All Skus'!$A:$AC,2,FALSE))="JBL",(VLOOKUP(Table6[[#This Row],[SKU]],'All Skus'!$A:$AC,19,FALSE)),""))</f>
        <v>19.3</v>
      </c>
      <c r="R766" s="136">
        <f>(IF((VLOOKUP(Table6[[#This Row],[SKU]],'All Skus'!$A:$AC,2,FALSE))="JBL",(VLOOKUP(Table6[[#This Row],[SKU]],'All Skus'!$A:$AC,20,FALSE)),""))</f>
        <v>12.6</v>
      </c>
      <c r="S766" s="61">
        <f>(IF((VLOOKUP(Table6[[#This Row],[SKU]],'All Skus'!$A:$AC,2,FALSE))="JBL",(VLOOKUP(Table6[[#This Row],[SKU]],'All Skus'!$A:$AC,21,FALSE)),""))</f>
        <v>79</v>
      </c>
      <c r="T766" s="61" t="str">
        <f>(IF((VLOOKUP(Table6[[#This Row],[SKU]],'All Skus'!$A:$AC,2,FALSE))="JBL",(VLOOKUP(Table6[[#This Row],[SKU]],'All Skus'!$A:$AC,22,FALSE)),""))</f>
        <v>CN</v>
      </c>
      <c r="U766" t="str">
        <f>(IF((VLOOKUP(Table6[[#This Row],[SKU]],'All Skus'!$A:$AC,2,FALSE))="JBL",(VLOOKUP(Table6[[#This Row],[SKU]],'All Skus'!$A:$AC,23,FALSE)),""))</f>
        <v>Non Compliant</v>
      </c>
      <c r="V766" s="284" t="str">
        <f>HYPERLINK((IF((VLOOKUP(Table6[[#This Row],[SKU]],'All Skus'!$A:$AC,2,FALSE))="JBL",(VLOOKUP(Table6[[#This Row],[SKU]],'All Skus'!$A:$AC,24,FALSE)),"")))</f>
        <v/>
      </c>
      <c r="W766" s="151">
        <v>763</v>
      </c>
    </row>
    <row r="767" spans="1:23" ht="15" hidden="1" customHeight="1">
      <c r="A767" s="13" t="s">
        <v>1776</v>
      </c>
      <c r="B767" s="12" t="str">
        <f>(IF((VLOOKUP(Table6[[#This Row],[SKU]],'All Skus'!$A:$AC,2,FALSE))="JBL",(VLOOKUP(Table6[[#This Row],[SKU]],'All Skus'!$A:$AC,3,FALSE)),""))</f>
        <v>EON</v>
      </c>
      <c r="C767" s="12" t="str">
        <f>(IF((VLOOKUP(Table6[[#This Row],[SKU]],'All Skus'!$A:$AC,2,FALSE))="JBL",(VLOOKUP(Table6[[#This Row],[SKU]],'All Skus'!$A:$AC,4,FALSE)),""))</f>
        <v>JBL-EONONECHGR-NA</v>
      </c>
      <c r="D767" s="61" t="str">
        <f>(IF((VLOOKUP(Table6[[#This Row],[SKU]],'All Skus'!$A:$AC,2,FALSE))="JBL",(VLOOKUP(Table6[[#This Row],[SKU]],'All Skus'!$A:$AC,5,FALSE)),""))</f>
        <v>JBL010</v>
      </c>
      <c r="E767" s="137">
        <f>(IF((VLOOKUP(Table6[[#This Row],[SKU]],'All Skus'!$A:$AC,2,FALSE))="JBL",(VLOOKUP(Table6[[#This Row],[SKU]],'All Skus'!$A:$AC,6,FALSE)),""))</f>
        <v>0</v>
      </c>
      <c r="F767" s="61" t="str">
        <f>(IF((VLOOKUP(Table6[[#This Row],[SKU]],'All Skus'!$A:$AC,2,FALSE))="JBL",(VLOOKUP(Table6[[#This Row],[SKU]],'All Skus'!$A:$AC,7,FALSE)),""))</f>
        <v>NEW</v>
      </c>
      <c r="G767" t="str">
        <f>(IF((VLOOKUP(Table6[[#This Row],[SKU]],'All Skus'!$A:$AC,2,FALSE))="JBL",(VLOOKUP(Table6[[#This Row],[SKU]],'All Skus'!$A:$AC,8,FALSE)),""))</f>
        <v>JBL EON ONE MK2 DUAL BATTERY CHARGER</v>
      </c>
      <c r="H767" s="8" t="str">
        <f>(IF((VLOOKUP(Table6[[#This Row],[SKU]],'All Skus'!$A:$AC,2,FALSE))="JBL",(VLOOKUP(Table6[[#This Row],[SKU]],'All Skus'!$A:$AC,9,FALSE)),""))</f>
        <v>JBL EON ONE MK2 DUAL BATTERY CHARGER</v>
      </c>
      <c r="I767" s="101">
        <f>(IF((VLOOKUP(Table6[[#This Row],[SKU]],'All Skus'!$A:$AC,2,FALSE))="JBL",(VLOOKUP(Table6[[#This Row],[SKU]],'All Skus'!$A:$AC,10,FALSE)),""))</f>
        <v>356.55</v>
      </c>
      <c r="J767" s="101">
        <f>(IF((VLOOKUP(Table6[[#This Row],[SKU]],'All Skus'!$A:$AC,2,FALSE))="JBL",(VLOOKUP(Table6[[#This Row],[SKU]],'All Skus'!$A:$AC,11,FALSE)),""))</f>
        <v>216</v>
      </c>
      <c r="K767" s="102">
        <f>(IF((VLOOKUP(Table6[[#This Row],[SKU]],'All Skus'!$A:$AC,2,FALSE))="JBL",(VLOOKUP(Table6[[#This Row],[SKU]],'All Skus'!$A:$AC,13,FALSE)),""))</f>
        <v>0</v>
      </c>
      <c r="L767" s="102">
        <f>(IF((VLOOKUP(Table6[[#This Row],[SKU]],'All Skus'!$A:$AC,2,FALSE))="JBL",(VLOOKUP(Table6[[#This Row],[SKU]],'All Skus'!$A:$AC,14,FALSE)),""))</f>
        <v>0</v>
      </c>
      <c r="M767" s="143">
        <f>(IF((VLOOKUP(Table6[[#This Row],[SKU]],'All Skus'!$A:$AC,2,FALSE))="JBL",(VLOOKUP(Table6[[#This Row],[SKU]],'All Skus'!$A:$AC,15,FALSE)),""))</f>
        <v>0</v>
      </c>
      <c r="N767" s="137">
        <f>(IF((VLOOKUP(Table6[[#This Row],[SKU]],'All Skus'!$A:$AC,2,FALSE))="JBL",(VLOOKUP(Table6[[#This Row],[SKU]],'All Skus'!$A:$AC,16,FALSE)),""))</f>
        <v>691991035456</v>
      </c>
      <c r="O767" s="61">
        <f>(IF((VLOOKUP(Table6[[#This Row],[SKU]],'All Skus'!$A:$AC,2,FALSE))="JBL",(VLOOKUP(Table6[[#This Row],[SKU]],'All Skus'!$A:$AC,17,FALSE)),""))</f>
        <v>0</v>
      </c>
      <c r="P767" s="136">
        <f>(IF((VLOOKUP(Table6[[#This Row],[SKU]],'All Skus'!$A:$AC,2,FALSE))="JBL",(VLOOKUP(Table6[[#This Row],[SKU]],'All Skus'!$A:$AC,18,FALSE)),""))</f>
        <v>0</v>
      </c>
      <c r="Q767" s="136">
        <f>(IF((VLOOKUP(Table6[[#This Row],[SKU]],'All Skus'!$A:$AC,2,FALSE))="JBL",(VLOOKUP(Table6[[#This Row],[SKU]],'All Skus'!$A:$AC,19,FALSE)),""))</f>
        <v>11.81</v>
      </c>
      <c r="R767" s="136">
        <f>(IF((VLOOKUP(Table6[[#This Row],[SKU]],'All Skus'!$A:$AC,2,FALSE))="JBL",(VLOOKUP(Table6[[#This Row],[SKU]],'All Skus'!$A:$AC,20,FALSE)),""))</f>
        <v>7.87</v>
      </c>
      <c r="S767" s="61">
        <f>(IF((VLOOKUP(Table6[[#This Row],[SKU]],'All Skus'!$A:$AC,2,FALSE))="JBL",(VLOOKUP(Table6[[#This Row],[SKU]],'All Skus'!$A:$AC,21,FALSE)),""))</f>
        <v>7.87</v>
      </c>
      <c r="T767" s="61" t="str">
        <f>(IF((VLOOKUP(Table6[[#This Row],[SKU]],'All Skus'!$A:$AC,2,FALSE))="JBL",(VLOOKUP(Table6[[#This Row],[SKU]],'All Skus'!$A:$AC,22,FALSE)),""))</f>
        <v>CN</v>
      </c>
      <c r="U767" t="str">
        <f>(IF((VLOOKUP(Table6[[#This Row],[SKU]],'All Skus'!$A:$AC,2,FALSE))="JBL",(VLOOKUP(Table6[[#This Row],[SKU]],'All Skus'!$A:$AC,23,FALSE)),""))</f>
        <v>Non Compliant</v>
      </c>
      <c r="V767" s="284" t="str">
        <f>HYPERLINK((IF((VLOOKUP(Table6[[#This Row],[SKU]],'All Skus'!$A:$AC,2,FALSE))="JBL",(VLOOKUP(Table6[[#This Row],[SKU]],'All Skus'!$A:$AC,24,FALSE)),"")))</f>
        <v/>
      </c>
      <c r="W767" s="151">
        <v>764</v>
      </c>
    </row>
    <row r="768" spans="1:23" ht="15" hidden="1" customHeight="1">
      <c r="A768" s="13" t="s">
        <v>1777</v>
      </c>
      <c r="B768" s="12" t="str">
        <f>(IF((VLOOKUP(Table6[[#This Row],[SKU]],'All Skus'!$A:$AC,2,FALSE))="JBL",(VLOOKUP(Table6[[#This Row],[SKU]],'All Skus'!$A:$AC,3,FALSE)),""))</f>
        <v>EON</v>
      </c>
      <c r="C768" s="12" t="str">
        <f>(IF((VLOOKUP(Table6[[#This Row],[SKU]],'All Skus'!$A:$AC,2,FALSE))="JBL",(VLOOKUP(Table6[[#This Row],[SKU]],'All Skus'!$A:$AC,4,FALSE)),""))</f>
        <v>JBL-EONONE-BATT</v>
      </c>
      <c r="D768" s="61" t="str">
        <f>(IF((VLOOKUP(Table6[[#This Row],[SKU]],'All Skus'!$A:$AC,2,FALSE))="JBL",(VLOOKUP(Table6[[#This Row],[SKU]],'All Skus'!$A:$AC,5,FALSE)),""))</f>
        <v>JBL010</v>
      </c>
      <c r="E768" s="137">
        <f>(IF((VLOOKUP(Table6[[#This Row],[SKU]],'All Skus'!$A:$AC,2,FALSE))="JBL",(VLOOKUP(Table6[[#This Row],[SKU]],'All Skus'!$A:$AC,6,FALSE)),""))</f>
        <v>0</v>
      </c>
      <c r="F768" s="61" t="str">
        <f>(IF((VLOOKUP(Table6[[#This Row],[SKU]],'All Skus'!$A:$AC,2,FALSE))="JBL",(VLOOKUP(Table6[[#This Row],[SKU]],'All Skus'!$A:$AC,7,FALSE)),""))</f>
        <v>NEW</v>
      </c>
      <c r="G768" t="str">
        <f>(IF((VLOOKUP(Table6[[#This Row],[SKU]],'All Skus'!$A:$AC,2,FALSE))="JBL",(VLOOKUP(Table6[[#This Row],[SKU]],'All Skus'!$A:$AC,8,FALSE)),""))</f>
        <v>JBL EON ONE MK2 SPARE BATTERY</v>
      </c>
      <c r="H768" s="8" t="str">
        <f>(IF((VLOOKUP(Table6[[#This Row],[SKU]],'All Skus'!$A:$AC,2,FALSE))="JBL",(VLOOKUP(Table6[[#This Row],[SKU]],'All Skus'!$A:$AC,9,FALSE)),""))</f>
        <v>JBL EON ONE MK2 SPARE BATTERY</v>
      </c>
      <c r="I768" s="101">
        <f>(IF((VLOOKUP(Table6[[#This Row],[SKU]],'All Skus'!$A:$AC,2,FALSE))="JBL",(VLOOKUP(Table6[[#This Row],[SKU]],'All Skus'!$A:$AC,10,FALSE)),""))</f>
        <v>356.55</v>
      </c>
      <c r="J768" s="101">
        <f>(IF((VLOOKUP(Table6[[#This Row],[SKU]],'All Skus'!$A:$AC,2,FALSE))="JBL",(VLOOKUP(Table6[[#This Row],[SKU]],'All Skus'!$A:$AC,11,FALSE)),""))</f>
        <v>216</v>
      </c>
      <c r="K768" s="102">
        <f>(IF((VLOOKUP(Table6[[#This Row],[SKU]],'All Skus'!$A:$AC,2,FALSE))="JBL",(VLOOKUP(Table6[[#This Row],[SKU]],'All Skus'!$A:$AC,13,FALSE)),""))</f>
        <v>0</v>
      </c>
      <c r="L768" s="102">
        <f>(IF((VLOOKUP(Table6[[#This Row],[SKU]],'All Skus'!$A:$AC,2,FALSE))="JBL",(VLOOKUP(Table6[[#This Row],[SKU]],'All Skus'!$A:$AC,14,FALSE)),""))</f>
        <v>0</v>
      </c>
      <c r="M768" s="143">
        <f>(IF((VLOOKUP(Table6[[#This Row],[SKU]],'All Skus'!$A:$AC,2,FALSE))="JBL",(VLOOKUP(Table6[[#This Row],[SKU]],'All Skus'!$A:$AC,15,FALSE)),""))</f>
        <v>0</v>
      </c>
      <c r="N768" s="137">
        <f>(IF((VLOOKUP(Table6[[#This Row],[SKU]],'All Skus'!$A:$AC,2,FALSE))="JBL",(VLOOKUP(Table6[[#This Row],[SKU]],'All Skus'!$A:$AC,16,FALSE)),""))</f>
        <v>691991035401</v>
      </c>
      <c r="O768" s="61">
        <f>(IF((VLOOKUP(Table6[[#This Row],[SKU]],'All Skus'!$A:$AC,2,FALSE))="JBL",(VLOOKUP(Table6[[#This Row],[SKU]],'All Skus'!$A:$AC,17,FALSE)),""))</f>
        <v>0</v>
      </c>
      <c r="P768" s="136">
        <f>(IF((VLOOKUP(Table6[[#This Row],[SKU]],'All Skus'!$A:$AC,2,FALSE))="JBL",(VLOOKUP(Table6[[#This Row],[SKU]],'All Skus'!$A:$AC,18,FALSE)),""))</f>
        <v>0</v>
      </c>
      <c r="Q768" s="136">
        <f>(IF((VLOOKUP(Table6[[#This Row],[SKU]],'All Skus'!$A:$AC,2,FALSE))="JBL",(VLOOKUP(Table6[[#This Row],[SKU]],'All Skus'!$A:$AC,19,FALSE)),""))</f>
        <v>0</v>
      </c>
      <c r="R768" s="136">
        <f>(IF((VLOOKUP(Table6[[#This Row],[SKU]],'All Skus'!$A:$AC,2,FALSE))="JBL",(VLOOKUP(Table6[[#This Row],[SKU]],'All Skus'!$A:$AC,20,FALSE)),""))</f>
        <v>0</v>
      </c>
      <c r="S768" s="61">
        <f>(IF((VLOOKUP(Table6[[#This Row],[SKU]],'All Skus'!$A:$AC,2,FALSE))="JBL",(VLOOKUP(Table6[[#This Row],[SKU]],'All Skus'!$A:$AC,21,FALSE)),""))</f>
        <v>0</v>
      </c>
      <c r="T768" s="61" t="str">
        <f>(IF((VLOOKUP(Table6[[#This Row],[SKU]],'All Skus'!$A:$AC,2,FALSE))="JBL",(VLOOKUP(Table6[[#This Row],[SKU]],'All Skus'!$A:$AC,22,FALSE)),""))</f>
        <v>CN</v>
      </c>
      <c r="U768" t="str">
        <f>(IF((VLOOKUP(Table6[[#This Row],[SKU]],'All Skus'!$A:$AC,2,FALSE))="JBL",(VLOOKUP(Table6[[#This Row],[SKU]],'All Skus'!$A:$AC,23,FALSE)),""))</f>
        <v>Non Compliant</v>
      </c>
      <c r="V768" s="284" t="str">
        <f>HYPERLINK((IF((VLOOKUP(Table6[[#This Row],[SKU]],'All Skus'!$A:$AC,2,FALSE))="JBL",(VLOOKUP(Table6[[#This Row],[SKU]],'All Skus'!$A:$AC,24,FALSE)),"")))</f>
        <v/>
      </c>
      <c r="W768" s="151">
        <v>765</v>
      </c>
    </row>
    <row r="769" spans="1:23" ht="15" hidden="1" customHeight="1">
      <c r="A769" s="13" t="s">
        <v>1778</v>
      </c>
      <c r="B769" s="12" t="str">
        <f>(IF((VLOOKUP(Table6[[#This Row],[SKU]],'All Skus'!$A:$AC,2,FALSE))="JBL",(VLOOKUP(Table6[[#This Row],[SKU]],'All Skus'!$A:$AC,3,FALSE)),""))</f>
        <v>EON</v>
      </c>
      <c r="C769" s="12" t="str">
        <f>(IF((VLOOKUP(Table6[[#This Row],[SKU]],'All Skus'!$A:$AC,2,FALSE))="JBL",(VLOOKUP(Table6[[#This Row],[SKU]],'All Skus'!$A:$AC,4,FALSE)),""))</f>
        <v>EON One Compact</v>
      </c>
      <c r="D769" s="61" t="str">
        <f>(IF((VLOOKUP(Table6[[#This Row],[SKU]],'All Skus'!$A:$AC,2,FALSE))="JBL",(VLOOKUP(Table6[[#This Row],[SKU]],'All Skus'!$A:$AC,5,FALSE)),""))</f>
        <v>JBL01001</v>
      </c>
      <c r="E769" s="137">
        <f>(IF((VLOOKUP(Table6[[#This Row],[SKU]],'All Skus'!$A:$AC,2,FALSE))="JBL",(VLOOKUP(Table6[[#This Row],[SKU]],'All Skus'!$A:$AC,6,FALSE)),""))</f>
        <v>0</v>
      </c>
      <c r="F769" s="61">
        <f>(IF((VLOOKUP(Table6[[#This Row],[SKU]],'All Skus'!$A:$AC,2,FALSE))="JBL",(VLOOKUP(Table6[[#This Row],[SKU]],'All Skus'!$A:$AC,7,FALSE)),""))</f>
        <v>0</v>
      </c>
      <c r="G769" t="str">
        <f>(IF((VLOOKUP(Table6[[#This Row],[SKU]],'All Skus'!$A:$AC,2,FALSE))="JBL",(VLOOKUP(Table6[[#This Row],[SKU]],'All Skus'!$A:$AC,8,FALSE)),""))</f>
        <v>All-in-one Rechargeable Personal PA with Bluetooth</v>
      </c>
      <c r="H769" s="8" t="str">
        <f>(IF((VLOOKUP(Table6[[#This Row],[SKU]],'All Skus'!$A:$AC,2,FALSE))="JBL",(VLOOKUP(Table6[[#This Row],[SKU]],'All Skus'!$A:$AC,9,FALSE)),""))</f>
        <v>JBL EON ONE Compact is all-in-one rechargeable personal PA with an 8-inch woofer, a 4-channel digital mixer, Bluetooth audio and control, EQ, delay, reverb, chorus, and phantom power.</v>
      </c>
      <c r="I769" s="101">
        <f>(IF((VLOOKUP(Table6[[#This Row],[SKU]],'All Skus'!$A:$AC,2,FALSE))="JBL",(VLOOKUP(Table6[[#This Row],[SKU]],'All Skus'!$A:$AC,10,FALSE)),""))</f>
        <v>823.82</v>
      </c>
      <c r="J769" s="101">
        <f>(IF((VLOOKUP(Table6[[#This Row],[SKU]],'All Skus'!$A:$AC,2,FALSE))="JBL",(VLOOKUP(Table6[[#This Row],[SKU]],'All Skus'!$A:$AC,11,FALSE)),""))</f>
        <v>649</v>
      </c>
      <c r="K769" s="102">
        <f>(IF((VLOOKUP(Table6[[#This Row],[SKU]],'All Skus'!$A:$AC,2,FALSE))="JBL",(VLOOKUP(Table6[[#This Row],[SKU]],'All Skus'!$A:$AC,13,FALSE)),""))</f>
        <v>0</v>
      </c>
      <c r="L769" s="102">
        <f>(IF((VLOOKUP(Table6[[#This Row],[SKU]],'All Skus'!$A:$AC,2,FALSE))="JBL",(VLOOKUP(Table6[[#This Row],[SKU]],'All Skus'!$A:$AC,14,FALSE)),""))</f>
        <v>0</v>
      </c>
      <c r="M769" s="143">
        <f>(IF((VLOOKUP(Table6[[#This Row],[SKU]],'All Skus'!$A:$AC,2,FALSE))="JBL",(VLOOKUP(Table6[[#This Row],[SKU]],'All Skus'!$A:$AC,15,FALSE)),""))</f>
        <v>0</v>
      </c>
      <c r="N769" s="137">
        <f>(IF((VLOOKUP(Table6[[#This Row],[SKU]],'All Skus'!$A:$AC,2,FALSE))="JBL",(VLOOKUP(Table6[[#This Row],[SKU]],'All Skus'!$A:$AC,16,FALSE)),""))</f>
        <v>691991016288</v>
      </c>
      <c r="O769" s="61">
        <f>(IF((VLOOKUP(Table6[[#This Row],[SKU]],'All Skus'!$A:$AC,2,FALSE))="JBL",(VLOOKUP(Table6[[#This Row],[SKU]],'All Skus'!$A:$AC,17,FALSE)),""))</f>
        <v>0</v>
      </c>
      <c r="P769" s="136">
        <f>(IF((VLOOKUP(Table6[[#This Row],[SKU]],'All Skus'!$A:$AC,2,FALSE))="JBL",(VLOOKUP(Table6[[#This Row],[SKU]],'All Skus'!$A:$AC,18,FALSE)),""))</f>
        <v>23.5</v>
      </c>
      <c r="Q769" s="136">
        <f>(IF((VLOOKUP(Table6[[#This Row],[SKU]],'All Skus'!$A:$AC,2,FALSE))="JBL",(VLOOKUP(Table6[[#This Row],[SKU]],'All Skus'!$A:$AC,19,FALSE)),""))</f>
        <v>15.4331</v>
      </c>
      <c r="R769" s="136">
        <f>(IF((VLOOKUP(Table6[[#This Row],[SKU]],'All Skus'!$A:$AC,2,FALSE))="JBL",(VLOOKUP(Table6[[#This Row],[SKU]],'All Skus'!$A:$AC,20,FALSE)),""))</f>
        <v>13.8583</v>
      </c>
      <c r="S769" s="61">
        <f>(IF((VLOOKUP(Table6[[#This Row],[SKU]],'All Skus'!$A:$AC,2,FALSE))="JBL",(VLOOKUP(Table6[[#This Row],[SKU]],'All Skus'!$A:$AC,21,FALSE)),""))</f>
        <v>19.2913</v>
      </c>
      <c r="T769" s="61" t="str">
        <f>(IF((VLOOKUP(Table6[[#This Row],[SKU]],'All Skus'!$A:$AC,2,FALSE))="JBL",(VLOOKUP(Table6[[#This Row],[SKU]],'All Skus'!$A:$AC,22,FALSE)),""))</f>
        <v>CN</v>
      </c>
      <c r="U769" t="str">
        <f>(IF((VLOOKUP(Table6[[#This Row],[SKU]],'All Skus'!$A:$AC,2,FALSE))="JBL",(VLOOKUP(Table6[[#This Row],[SKU]],'All Skus'!$A:$AC,23,FALSE)),""))</f>
        <v>Non Compliant</v>
      </c>
      <c r="V769" s="284" t="str">
        <f>HYPERLINK((IF((VLOOKUP(Table6[[#This Row],[SKU]],'All Skus'!$A:$AC,2,FALSE))="JBL",(VLOOKUP(Table6[[#This Row],[SKU]],'All Skus'!$A:$AC,24,FALSE)),"")))</f>
        <v/>
      </c>
      <c r="W769" s="151">
        <v>766</v>
      </c>
    </row>
    <row r="770" spans="1:23" ht="15" hidden="1" customHeight="1">
      <c r="A770" s="13" t="s">
        <v>1779</v>
      </c>
      <c r="B770" s="12" t="str">
        <f>(IF((VLOOKUP(Table6[[#This Row],[SKU]],'All Skus'!$A:$AC,2,FALSE))="JBL",(VLOOKUP(Table6[[#This Row],[SKU]],'All Skus'!$A:$AC,3,FALSE)),""))</f>
        <v>EON</v>
      </c>
      <c r="C770" s="12" t="str">
        <f>(IF((VLOOKUP(Table6[[#This Row],[SKU]],'All Skus'!$A:$AC,2,FALSE))="JBL",(VLOOKUP(Table6[[#This Row],[SKU]],'All Skus'!$A:$AC,4,FALSE)),""))</f>
        <v>EONONECOMP-BATT</v>
      </c>
      <c r="D770" s="61" t="str">
        <f>(IF((VLOOKUP(Table6[[#This Row],[SKU]],'All Skus'!$A:$AC,2,FALSE))="JBL",(VLOOKUP(Table6[[#This Row],[SKU]],'All Skus'!$A:$AC,5,FALSE)),""))</f>
        <v>JBL010</v>
      </c>
      <c r="E770" s="137">
        <f>(IF((VLOOKUP(Table6[[#This Row],[SKU]],'All Skus'!$A:$AC,2,FALSE))="JBL",(VLOOKUP(Table6[[#This Row],[SKU]],'All Skus'!$A:$AC,6,FALSE)),""))</f>
        <v>0</v>
      </c>
      <c r="F770" s="61">
        <f>(IF((VLOOKUP(Table6[[#This Row],[SKU]],'All Skus'!$A:$AC,2,FALSE))="JBL",(VLOOKUP(Table6[[#This Row],[SKU]],'All Skus'!$A:$AC,7,FALSE)),""))</f>
        <v>0</v>
      </c>
      <c r="G770" t="str">
        <f>(IF((VLOOKUP(Table6[[#This Row],[SKU]],'All Skus'!$A:$AC,2,FALSE))="JBL",(VLOOKUP(Table6[[#This Row],[SKU]],'All Skus'!$A:$AC,8,FALSE)),""))</f>
        <v>EONONECOMP-BATT</v>
      </c>
      <c r="H770" s="8" t="str">
        <f>(IF((VLOOKUP(Table6[[#This Row],[SKU]],'All Skus'!$A:$AC,2,FALSE))="JBL",(VLOOKUP(Table6[[#This Row],[SKU]],'All Skus'!$A:$AC,9,FALSE)),""))</f>
        <v>EONONECOMP-BATT priced and sold as singles</v>
      </c>
      <c r="I770" s="101">
        <f>(IF((VLOOKUP(Table6[[#This Row],[SKU]],'All Skus'!$A:$AC,2,FALSE))="JBL",(VLOOKUP(Table6[[#This Row],[SKU]],'All Skus'!$A:$AC,10,FALSE)),""))</f>
        <v>148.55000000000001</v>
      </c>
      <c r="J770" s="101">
        <f>(IF((VLOOKUP(Table6[[#This Row],[SKU]],'All Skus'!$A:$AC,2,FALSE))="JBL",(VLOOKUP(Table6[[#This Row],[SKU]],'All Skus'!$A:$AC,11,FALSE)),""))</f>
        <v>119</v>
      </c>
      <c r="K770" s="102">
        <f>(IF((VLOOKUP(Table6[[#This Row],[SKU]],'All Skus'!$A:$AC,2,FALSE))="JBL",(VLOOKUP(Table6[[#This Row],[SKU]],'All Skus'!$A:$AC,13,FALSE)),""))</f>
        <v>0</v>
      </c>
      <c r="L770" s="102">
        <f>(IF((VLOOKUP(Table6[[#This Row],[SKU]],'All Skus'!$A:$AC,2,FALSE))="JBL",(VLOOKUP(Table6[[#This Row],[SKU]],'All Skus'!$A:$AC,14,FALSE)),""))</f>
        <v>0</v>
      </c>
      <c r="M770" s="143">
        <f>(IF((VLOOKUP(Table6[[#This Row],[SKU]],'All Skus'!$A:$AC,2,FALSE))="JBL",(VLOOKUP(Table6[[#This Row],[SKU]],'All Skus'!$A:$AC,15,FALSE)),""))</f>
        <v>16</v>
      </c>
      <c r="N770" s="137">
        <f>(IF((VLOOKUP(Table6[[#This Row],[SKU]],'All Skus'!$A:$AC,2,FALSE))="JBL",(VLOOKUP(Table6[[#This Row],[SKU]],'All Skus'!$A:$AC,16,FALSE)),""))</f>
        <v>691991033834</v>
      </c>
      <c r="O770" s="61">
        <f>(IF((VLOOKUP(Table6[[#This Row],[SKU]],'All Skus'!$A:$AC,2,FALSE))="JBL",(VLOOKUP(Table6[[#This Row],[SKU]],'All Skus'!$A:$AC,17,FALSE)),""))</f>
        <v>0</v>
      </c>
      <c r="P770" s="136">
        <f>(IF((VLOOKUP(Table6[[#This Row],[SKU]],'All Skus'!$A:$AC,2,FALSE))="JBL",(VLOOKUP(Table6[[#This Row],[SKU]],'All Skus'!$A:$AC,18,FALSE)),""))</f>
        <v>0</v>
      </c>
      <c r="Q770" s="136">
        <f>(IF((VLOOKUP(Table6[[#This Row],[SKU]],'All Skus'!$A:$AC,2,FALSE))="JBL",(VLOOKUP(Table6[[#This Row],[SKU]],'All Skus'!$A:$AC,19,FALSE)),""))</f>
        <v>6.6535399999999996</v>
      </c>
      <c r="R770" s="136">
        <f>(IF((VLOOKUP(Table6[[#This Row],[SKU]],'All Skus'!$A:$AC,2,FALSE))="JBL",(VLOOKUP(Table6[[#This Row],[SKU]],'All Skus'!$A:$AC,20,FALSE)),""))</f>
        <v>3.22</v>
      </c>
      <c r="S770" s="61">
        <f>(IF((VLOOKUP(Table6[[#This Row],[SKU]],'All Skus'!$A:$AC,2,FALSE))="JBL",(VLOOKUP(Table6[[#This Row],[SKU]],'All Skus'!$A:$AC,21,FALSE)),""))</f>
        <v>1.870079</v>
      </c>
      <c r="T770" s="61" t="str">
        <f>(IF((VLOOKUP(Table6[[#This Row],[SKU]],'All Skus'!$A:$AC,2,FALSE))="JBL",(VLOOKUP(Table6[[#This Row],[SKU]],'All Skus'!$A:$AC,22,FALSE)),""))</f>
        <v>CN</v>
      </c>
      <c r="U770" t="str">
        <f>(IF((VLOOKUP(Table6[[#This Row],[SKU]],'All Skus'!$A:$AC,2,FALSE))="JBL",(VLOOKUP(Table6[[#This Row],[SKU]],'All Skus'!$A:$AC,23,FALSE)),""))</f>
        <v>Non Compliant</v>
      </c>
      <c r="V770" s="284" t="str">
        <f>HYPERLINK((IF((VLOOKUP(Table6[[#This Row],[SKU]],'All Skus'!$A:$AC,2,FALSE))="JBL",(VLOOKUP(Table6[[#This Row],[SKU]],'All Skus'!$A:$AC,24,FALSE)),"")))</f>
        <v/>
      </c>
      <c r="W770" s="151">
        <v>767</v>
      </c>
    </row>
    <row r="771" spans="1:23" ht="15" hidden="1" customHeight="1">
      <c r="A771" s="13" t="s">
        <v>1780</v>
      </c>
      <c r="B771" s="12" t="str">
        <f>(IF((VLOOKUP(Table6[[#This Row],[SKU]],'All Skus'!$A:$AC,2,FALSE))="JBL",(VLOOKUP(Table6[[#This Row],[SKU]],'All Skus'!$A:$AC,3,FALSE)),""))</f>
        <v>EON</v>
      </c>
      <c r="C771" s="12" t="str">
        <f>(IF((VLOOKUP(Table6[[#This Row],[SKU]],'All Skus'!$A:$AC,2,FALSE))="JBL",(VLOOKUP(Table6[[#This Row],[SKU]],'All Skus'!$A:$AC,4,FALSE)),""))</f>
        <v>EONONECOMP-CHGR-NA</v>
      </c>
      <c r="D771" s="61" t="str">
        <f>(IF((VLOOKUP(Table6[[#This Row],[SKU]],'All Skus'!$A:$AC,2,FALSE))="JBL",(VLOOKUP(Table6[[#This Row],[SKU]],'All Skus'!$A:$AC,5,FALSE)),""))</f>
        <v>JBL010</v>
      </c>
      <c r="E771" s="137">
        <f>(IF((VLOOKUP(Table6[[#This Row],[SKU]],'All Skus'!$A:$AC,2,FALSE))="JBL",(VLOOKUP(Table6[[#This Row],[SKU]],'All Skus'!$A:$AC,6,FALSE)),""))</f>
        <v>0</v>
      </c>
      <c r="F771" s="61">
        <f>(IF((VLOOKUP(Table6[[#This Row],[SKU]],'All Skus'!$A:$AC,2,FALSE))="JBL",(VLOOKUP(Table6[[#This Row],[SKU]],'All Skus'!$A:$AC,7,FALSE)),""))</f>
        <v>0</v>
      </c>
      <c r="G771">
        <f>(IF((VLOOKUP(Table6[[#This Row],[SKU]],'All Skus'!$A:$AC,2,FALSE))="JBL",(VLOOKUP(Table6[[#This Row],[SKU]],'All Skus'!$A:$AC,8,FALSE)),""))</f>
        <v>0</v>
      </c>
      <c r="H771" s="8">
        <f>(IF((VLOOKUP(Table6[[#This Row],[SKU]],'All Skus'!$A:$AC,2,FALSE))="JBL",(VLOOKUP(Table6[[#This Row],[SKU]],'All Skus'!$A:$AC,9,FALSE)),""))</f>
        <v>0</v>
      </c>
      <c r="I771" s="101">
        <f>(IF((VLOOKUP(Table6[[#This Row],[SKU]],'All Skus'!$A:$AC,2,FALSE))="JBL",(VLOOKUP(Table6[[#This Row],[SKU]],'All Skus'!$A:$AC,10,FALSE)),""))</f>
        <v>147.66</v>
      </c>
      <c r="J771" s="101">
        <f>(IF((VLOOKUP(Table6[[#This Row],[SKU]],'All Skus'!$A:$AC,2,FALSE))="JBL",(VLOOKUP(Table6[[#This Row],[SKU]],'All Skus'!$A:$AC,11,FALSE)),""))</f>
        <v>119</v>
      </c>
      <c r="K771" s="102">
        <f>(IF((VLOOKUP(Table6[[#This Row],[SKU]],'All Skus'!$A:$AC,2,FALSE))="JBL",(VLOOKUP(Table6[[#This Row],[SKU]],'All Skus'!$A:$AC,13,FALSE)),""))</f>
        <v>0</v>
      </c>
      <c r="L771" s="102">
        <f>(IF((VLOOKUP(Table6[[#This Row],[SKU]],'All Skus'!$A:$AC,2,FALSE))="JBL",(VLOOKUP(Table6[[#This Row],[SKU]],'All Skus'!$A:$AC,14,FALSE)),""))</f>
        <v>0</v>
      </c>
      <c r="M771" s="143">
        <f>(IF((VLOOKUP(Table6[[#This Row],[SKU]],'All Skus'!$A:$AC,2,FALSE))="JBL",(VLOOKUP(Table6[[#This Row],[SKU]],'All Skus'!$A:$AC,15,FALSE)),""))</f>
        <v>0</v>
      </c>
      <c r="N771" s="137">
        <f>(IF((VLOOKUP(Table6[[#This Row],[SKU]],'All Skus'!$A:$AC,2,FALSE))="JBL",(VLOOKUP(Table6[[#This Row],[SKU]],'All Skus'!$A:$AC,16,FALSE)),""))</f>
        <v>691991034558</v>
      </c>
      <c r="O771" s="61">
        <f>(IF((VLOOKUP(Table6[[#This Row],[SKU]],'All Skus'!$A:$AC,2,FALSE))="JBL",(VLOOKUP(Table6[[#This Row],[SKU]],'All Skus'!$A:$AC,17,FALSE)),""))</f>
        <v>0</v>
      </c>
      <c r="P771" s="136">
        <f>(IF((VLOOKUP(Table6[[#This Row],[SKU]],'All Skus'!$A:$AC,2,FALSE))="JBL",(VLOOKUP(Table6[[#This Row],[SKU]],'All Skus'!$A:$AC,18,FALSE)),""))</f>
        <v>76.058999999999997</v>
      </c>
      <c r="Q771" s="136">
        <f>(IF((VLOOKUP(Table6[[#This Row],[SKU]],'All Skus'!$A:$AC,2,FALSE))="JBL",(VLOOKUP(Table6[[#This Row],[SKU]],'All Skus'!$A:$AC,19,FALSE)),""))</f>
        <v>18.89</v>
      </c>
      <c r="R771" s="136">
        <f>(IF((VLOOKUP(Table6[[#This Row],[SKU]],'All Skus'!$A:$AC,2,FALSE))="JBL",(VLOOKUP(Table6[[#This Row],[SKU]],'All Skus'!$A:$AC,20,FALSE)),""))</f>
        <v>18.897649999999999</v>
      </c>
      <c r="S771" s="61">
        <f>(IF((VLOOKUP(Table6[[#This Row],[SKU]],'All Skus'!$A:$AC,2,FALSE))="JBL",(VLOOKUP(Table6[[#This Row],[SKU]],'All Skus'!$A:$AC,21,FALSE)),""))</f>
        <v>23.622</v>
      </c>
      <c r="T771" s="61" t="str">
        <f>(IF((VLOOKUP(Table6[[#This Row],[SKU]],'All Skus'!$A:$AC,2,FALSE))="JBL",(VLOOKUP(Table6[[#This Row],[SKU]],'All Skus'!$A:$AC,22,FALSE)),""))</f>
        <v>CN</v>
      </c>
      <c r="U771" t="str">
        <f>(IF((VLOOKUP(Table6[[#This Row],[SKU]],'All Skus'!$A:$AC,2,FALSE))="JBL",(VLOOKUP(Table6[[#This Row],[SKU]],'All Skus'!$A:$AC,23,FALSE)),""))</f>
        <v>Non Compliant</v>
      </c>
      <c r="V771" s="284" t="str">
        <f>HYPERLINK((IF((VLOOKUP(Table6[[#This Row],[SKU]],'All Skus'!$A:$AC,2,FALSE))="JBL",(VLOOKUP(Table6[[#This Row],[SKU]],'All Skus'!$A:$AC,24,FALSE)),"")))</f>
        <v/>
      </c>
      <c r="W771" s="151">
        <v>768</v>
      </c>
    </row>
    <row r="772" spans="1:23" ht="15" hidden="1" customHeight="1">
      <c r="A772" s="13" t="s">
        <v>1781</v>
      </c>
      <c r="B772" s="12" t="str">
        <f>(IF((VLOOKUP(Table6[[#This Row],[SKU]],'All Skus'!$A:$AC,2,FALSE))="JBL",(VLOOKUP(Table6[[#This Row],[SKU]],'All Skus'!$A:$AC,3,FALSE)),""))</f>
        <v>EON</v>
      </c>
      <c r="C772" s="12" t="str">
        <f>(IF((VLOOKUP(Table6[[#This Row],[SKU]],'All Skus'!$A:$AC,2,FALSE))="JBL",(VLOOKUP(Table6[[#This Row],[SKU]],'All Skus'!$A:$AC,4,FALSE)),""))</f>
        <v>EONONECOMPACT-5V9V</v>
      </c>
      <c r="D772" s="61" t="str">
        <f>(IF((VLOOKUP(Table6[[#This Row],[SKU]],'All Skus'!$A:$AC,2,FALSE))="JBL",(VLOOKUP(Table6[[#This Row],[SKU]],'All Skus'!$A:$AC,5,FALSE)),""))</f>
        <v>JBL010</v>
      </c>
      <c r="E772" s="137">
        <f>(IF((VLOOKUP(Table6[[#This Row],[SKU]],'All Skus'!$A:$AC,2,FALSE))="JBL",(VLOOKUP(Table6[[#This Row],[SKU]],'All Skus'!$A:$AC,6,FALSE)),""))</f>
        <v>0</v>
      </c>
      <c r="F772" s="61">
        <f>(IF((VLOOKUP(Table6[[#This Row],[SKU]],'All Skus'!$A:$AC,2,FALSE))="JBL",(VLOOKUP(Table6[[#This Row],[SKU]],'All Skus'!$A:$AC,7,FALSE)),""))</f>
        <v>0</v>
      </c>
      <c r="G772" t="str">
        <f>(IF((VLOOKUP(Table6[[#This Row],[SKU]],'All Skus'!$A:$AC,2,FALSE))="JBL",(VLOOKUP(Table6[[#This Row],[SKU]],'All Skus'!$A:$AC,8,FALSE)),""))</f>
        <v>EON ONE Compact - AKG DMS100/300 USB Power Cable</v>
      </c>
      <c r="H772" s="8" t="str">
        <f>(IF((VLOOKUP(Table6[[#This Row],[SKU]],'All Skus'!$A:$AC,2,FALSE))="JBL",(VLOOKUP(Table6[[#This Row],[SKU]],'All Skus'!$A:$AC,9,FALSE)),""))</f>
        <v>EON ONE Compact - AKG DMS100/300 USB Power Cable</v>
      </c>
      <c r="I772" s="101">
        <f>(IF((VLOOKUP(Table6[[#This Row],[SKU]],'All Skus'!$A:$AC,2,FALSE))="JBL",(VLOOKUP(Table6[[#This Row],[SKU]],'All Skus'!$A:$AC,10,FALSE)),""))</f>
        <v>30.01</v>
      </c>
      <c r="J772" s="101">
        <f>(IF((VLOOKUP(Table6[[#This Row],[SKU]],'All Skus'!$A:$AC,2,FALSE))="JBL",(VLOOKUP(Table6[[#This Row],[SKU]],'All Skus'!$A:$AC,11,FALSE)),""))</f>
        <v>20</v>
      </c>
      <c r="K772" s="102">
        <f>(IF((VLOOKUP(Table6[[#This Row],[SKU]],'All Skus'!$A:$AC,2,FALSE))="JBL",(VLOOKUP(Table6[[#This Row],[SKU]],'All Skus'!$A:$AC,13,FALSE)),""))</f>
        <v>0</v>
      </c>
      <c r="L772" s="102">
        <f>(IF((VLOOKUP(Table6[[#This Row],[SKU]],'All Skus'!$A:$AC,2,FALSE))="JBL",(VLOOKUP(Table6[[#This Row],[SKU]],'All Skus'!$A:$AC,14,FALSE)),""))</f>
        <v>0</v>
      </c>
      <c r="M772" s="143">
        <f>(IF((VLOOKUP(Table6[[#This Row],[SKU]],'All Skus'!$A:$AC,2,FALSE))="JBL",(VLOOKUP(Table6[[#This Row],[SKU]],'All Skus'!$A:$AC,15,FALSE)),""))</f>
        <v>0</v>
      </c>
      <c r="N772" s="137">
        <f>(IF((VLOOKUP(Table6[[#This Row],[SKU]],'All Skus'!$A:$AC,2,FALSE))="JBL",(VLOOKUP(Table6[[#This Row],[SKU]],'All Skus'!$A:$AC,16,FALSE)),""))</f>
        <v>691991033865</v>
      </c>
      <c r="O772" s="61">
        <f>(IF((VLOOKUP(Table6[[#This Row],[SKU]],'All Skus'!$A:$AC,2,FALSE))="JBL",(VLOOKUP(Table6[[#This Row],[SKU]],'All Skus'!$A:$AC,17,FALSE)),""))</f>
        <v>0</v>
      </c>
      <c r="P772" s="136">
        <f>(IF((VLOOKUP(Table6[[#This Row],[SKU]],'All Skus'!$A:$AC,2,FALSE))="JBL",(VLOOKUP(Table6[[#This Row],[SKU]],'All Skus'!$A:$AC,18,FALSE)),""))</f>
        <v>0</v>
      </c>
      <c r="Q772" s="136">
        <f>(IF((VLOOKUP(Table6[[#This Row],[SKU]],'All Skus'!$A:$AC,2,FALSE))="JBL",(VLOOKUP(Table6[[#This Row],[SKU]],'All Skus'!$A:$AC,19,FALSE)),""))</f>
        <v>0</v>
      </c>
      <c r="R772" s="136">
        <f>(IF((VLOOKUP(Table6[[#This Row],[SKU]],'All Skus'!$A:$AC,2,FALSE))="JBL",(VLOOKUP(Table6[[#This Row],[SKU]],'All Skus'!$A:$AC,20,FALSE)),""))</f>
        <v>0</v>
      </c>
      <c r="S772" s="61">
        <f>(IF((VLOOKUP(Table6[[#This Row],[SKU]],'All Skus'!$A:$AC,2,FALSE))="JBL",(VLOOKUP(Table6[[#This Row],[SKU]],'All Skus'!$A:$AC,21,FALSE)),""))</f>
        <v>0</v>
      </c>
      <c r="T772" s="61" t="str">
        <f>(IF((VLOOKUP(Table6[[#This Row],[SKU]],'All Skus'!$A:$AC,2,FALSE))="JBL",(VLOOKUP(Table6[[#This Row],[SKU]],'All Skus'!$A:$AC,22,FALSE)),""))</f>
        <v>CN</v>
      </c>
      <c r="U772" t="str">
        <f>(IF((VLOOKUP(Table6[[#This Row],[SKU]],'All Skus'!$A:$AC,2,FALSE))="JBL",(VLOOKUP(Table6[[#This Row],[SKU]],'All Skus'!$A:$AC,23,FALSE)),""))</f>
        <v>Non Compliant</v>
      </c>
      <c r="V772" s="284" t="str">
        <f>HYPERLINK((IF((VLOOKUP(Table6[[#This Row],[SKU]],'All Skus'!$A:$AC,2,FALSE))="JBL",(VLOOKUP(Table6[[#This Row],[SKU]],'All Skus'!$A:$AC,24,FALSE)),"")))</f>
        <v/>
      </c>
      <c r="W772" s="151">
        <v>769</v>
      </c>
    </row>
    <row r="773" spans="1:23" ht="15" hidden="1" customHeight="1">
      <c r="A773" s="13" t="s">
        <v>1782</v>
      </c>
      <c r="B773" s="12" t="str">
        <f>(IF((VLOOKUP(Table6[[#This Row],[SKU]],'All Skus'!$A:$AC,2,FALSE))="JBL",(VLOOKUP(Table6[[#This Row],[SKU]],'All Skus'!$A:$AC,3,FALSE)),""))</f>
        <v>EON</v>
      </c>
      <c r="C773" s="12" t="str">
        <f>(IF((VLOOKUP(Table6[[#This Row],[SKU]],'All Skus'!$A:$AC,2,FALSE))="JBL",(VLOOKUP(Table6[[#This Row],[SKU]],'All Skus'!$A:$AC,4,FALSE)),""))</f>
        <v>EONONECOMPACT-512V</v>
      </c>
      <c r="D773" s="61" t="str">
        <f>(IF((VLOOKUP(Table6[[#This Row],[SKU]],'All Skus'!$A:$AC,2,FALSE))="JBL",(VLOOKUP(Table6[[#This Row],[SKU]],'All Skus'!$A:$AC,5,FALSE)),""))</f>
        <v>JBL010</v>
      </c>
      <c r="E773" s="137">
        <f>(IF((VLOOKUP(Table6[[#This Row],[SKU]],'All Skus'!$A:$AC,2,FALSE))="JBL",(VLOOKUP(Table6[[#This Row],[SKU]],'All Skus'!$A:$AC,6,FALSE)),""))</f>
        <v>0</v>
      </c>
      <c r="F773" s="61">
        <f>(IF((VLOOKUP(Table6[[#This Row],[SKU]],'All Skus'!$A:$AC,2,FALSE))="JBL",(VLOOKUP(Table6[[#This Row],[SKU]],'All Skus'!$A:$AC,7,FALSE)),""))</f>
        <v>0</v>
      </c>
      <c r="G773" t="str">
        <f>(IF((VLOOKUP(Table6[[#This Row],[SKU]],'All Skus'!$A:$AC,2,FALSE))="JBL",(VLOOKUP(Table6[[#This Row],[SKU]],'All Skus'!$A:$AC,8,FALSE)),""))</f>
        <v>JBL EON ONE Compact 5v to 12v USB Power Supply</v>
      </c>
      <c r="H773" s="8" t="str">
        <f>(IF((VLOOKUP(Table6[[#This Row],[SKU]],'All Skus'!$A:$AC,2,FALSE))="JBL",(VLOOKUP(Table6[[#This Row],[SKU]],'All Skus'!$A:$AC,9,FALSE)),""))</f>
        <v>JBL EON ONE Compact 5v to 12v USB Power Supply</v>
      </c>
      <c r="I773" s="101">
        <f>(IF((VLOOKUP(Table6[[#This Row],[SKU]],'All Skus'!$A:$AC,2,FALSE))="JBL",(VLOOKUP(Table6[[#This Row],[SKU]],'All Skus'!$A:$AC,10,FALSE)),""))</f>
        <v>30.01</v>
      </c>
      <c r="J773" s="101">
        <f>(IF((VLOOKUP(Table6[[#This Row],[SKU]],'All Skus'!$A:$AC,2,FALSE))="JBL",(VLOOKUP(Table6[[#This Row],[SKU]],'All Skus'!$A:$AC,11,FALSE)),""))</f>
        <v>20</v>
      </c>
      <c r="K773" s="102">
        <f>(IF((VLOOKUP(Table6[[#This Row],[SKU]],'All Skus'!$A:$AC,2,FALSE))="JBL",(VLOOKUP(Table6[[#This Row],[SKU]],'All Skus'!$A:$AC,13,FALSE)),""))</f>
        <v>0</v>
      </c>
      <c r="L773" s="102">
        <f>(IF((VLOOKUP(Table6[[#This Row],[SKU]],'All Skus'!$A:$AC,2,FALSE))="JBL",(VLOOKUP(Table6[[#This Row],[SKU]],'All Skus'!$A:$AC,14,FALSE)),""))</f>
        <v>0</v>
      </c>
      <c r="M773" s="143">
        <f>(IF((VLOOKUP(Table6[[#This Row],[SKU]],'All Skus'!$A:$AC,2,FALSE))="JBL",(VLOOKUP(Table6[[#This Row],[SKU]],'All Skus'!$A:$AC,15,FALSE)),""))</f>
        <v>0</v>
      </c>
      <c r="N773" s="137">
        <f>(IF((VLOOKUP(Table6[[#This Row],[SKU]],'All Skus'!$A:$AC,2,FALSE))="JBL",(VLOOKUP(Table6[[#This Row],[SKU]],'All Skus'!$A:$AC,16,FALSE)),""))</f>
        <v>691991033858</v>
      </c>
      <c r="O773" s="61">
        <f>(IF((VLOOKUP(Table6[[#This Row],[SKU]],'All Skus'!$A:$AC,2,FALSE))="JBL",(VLOOKUP(Table6[[#This Row],[SKU]],'All Skus'!$A:$AC,17,FALSE)),""))</f>
        <v>0</v>
      </c>
      <c r="P773" s="136">
        <f>(IF((VLOOKUP(Table6[[#This Row],[SKU]],'All Skus'!$A:$AC,2,FALSE))="JBL",(VLOOKUP(Table6[[#This Row],[SKU]],'All Skus'!$A:$AC,18,FALSE)),""))</f>
        <v>0</v>
      </c>
      <c r="Q773" s="136">
        <f>(IF((VLOOKUP(Table6[[#This Row],[SKU]],'All Skus'!$A:$AC,2,FALSE))="JBL",(VLOOKUP(Table6[[#This Row],[SKU]],'All Skus'!$A:$AC,19,FALSE)),""))</f>
        <v>0</v>
      </c>
      <c r="R773" s="136">
        <f>(IF((VLOOKUP(Table6[[#This Row],[SKU]],'All Skus'!$A:$AC,2,FALSE))="JBL",(VLOOKUP(Table6[[#This Row],[SKU]],'All Skus'!$A:$AC,20,FALSE)),""))</f>
        <v>0</v>
      </c>
      <c r="S773" s="61">
        <f>(IF((VLOOKUP(Table6[[#This Row],[SKU]],'All Skus'!$A:$AC,2,FALSE))="JBL",(VLOOKUP(Table6[[#This Row],[SKU]],'All Skus'!$A:$AC,21,FALSE)),""))</f>
        <v>0</v>
      </c>
      <c r="T773" s="61" t="str">
        <f>(IF((VLOOKUP(Table6[[#This Row],[SKU]],'All Skus'!$A:$AC,2,FALSE))="JBL",(VLOOKUP(Table6[[#This Row],[SKU]],'All Skus'!$A:$AC,22,FALSE)),""))</f>
        <v>CN</v>
      </c>
      <c r="U773" t="str">
        <f>(IF((VLOOKUP(Table6[[#This Row],[SKU]],'All Skus'!$A:$AC,2,FALSE))="JBL",(VLOOKUP(Table6[[#This Row],[SKU]],'All Skus'!$A:$AC,23,FALSE)),""))</f>
        <v>Non Compliant</v>
      </c>
      <c r="V773" s="284" t="str">
        <f>HYPERLINK((IF((VLOOKUP(Table6[[#This Row],[SKU]],'All Skus'!$A:$AC,2,FALSE))="JBL",(VLOOKUP(Table6[[#This Row],[SKU]],'All Skus'!$A:$AC,24,FALSE)),"")))</f>
        <v/>
      </c>
      <c r="W773" s="151">
        <v>770</v>
      </c>
    </row>
    <row r="774" spans="1:23" ht="15" hidden="1" customHeight="1">
      <c r="A774" s="13" t="s">
        <v>1783</v>
      </c>
      <c r="B774" s="12" t="str">
        <f>(IF((VLOOKUP(Table6[[#This Row],[SKU]],'All Skus'!$A:$AC,2,FALSE))="JBL",(VLOOKUP(Table6[[#This Row],[SKU]],'All Skus'!$A:$AC,3,FALSE)),""))</f>
        <v>EON</v>
      </c>
      <c r="C774" s="12" t="str">
        <f>(IF((VLOOKUP(Table6[[#This Row],[SKU]],'All Skus'!$A:$AC,2,FALSE))="JBL",(VLOOKUP(Table6[[#This Row],[SKU]],'All Skus'!$A:$AC,4,FALSE)),""))</f>
        <v>EON208P</v>
      </c>
      <c r="D774" s="61" t="str">
        <f>(IF((VLOOKUP(Table6[[#This Row],[SKU]],'All Skus'!$A:$AC,2,FALSE))="JBL",(VLOOKUP(Table6[[#This Row],[SKU]],'All Skus'!$A:$AC,5,FALSE)),""))</f>
        <v>JBL010</v>
      </c>
      <c r="E774" s="137">
        <f>(IF((VLOOKUP(Table6[[#This Row],[SKU]],'All Skus'!$A:$AC,2,FALSE))="JBL",(VLOOKUP(Table6[[#This Row],[SKU]],'All Skus'!$A:$AC,6,FALSE)),""))</f>
        <v>0</v>
      </c>
      <c r="F774" s="61">
        <f>(IF((VLOOKUP(Table6[[#This Row],[SKU]],'All Skus'!$A:$AC,2,FALSE))="JBL",(VLOOKUP(Table6[[#This Row],[SKU]],'All Skus'!$A:$AC,7,FALSE)),""))</f>
        <v>0</v>
      </c>
      <c r="G774" t="str">
        <f>(IF((VLOOKUP(Table6[[#This Row],[SKU]],'All Skus'!$A:$AC,2,FALSE))="JBL",(VLOOKUP(Table6[[#This Row],[SKU]],'All Skus'!$A:$AC,8,FALSE)),""))</f>
        <v>Portable 8” 2-Way PA with 8-Channel Powered Mixer and Bluetooth</v>
      </c>
      <c r="H774" s="8" t="str">
        <f>(IF((VLOOKUP(Table6[[#This Row],[SKU]],'All Skus'!$A:$AC,2,FALSE))="JBL",(VLOOKUP(Table6[[#This Row],[SKU]],'All Skus'!$A:$AC,9,FALSE)),""))</f>
        <v>JBL Packaged PA System with integrated 300 Watt powered mixer; 8-channel mixer  with user selectable Reverb on Ch1-4, 2 x 8" JBL two-way speakers, durable plastic enclosure. Weight 38.8lbs.</v>
      </c>
      <c r="I774" s="101">
        <f>(IF((VLOOKUP(Table6[[#This Row],[SKU]],'All Skus'!$A:$AC,2,FALSE))="JBL",(VLOOKUP(Table6[[#This Row],[SKU]],'All Skus'!$A:$AC,10,FALSE)),""))</f>
        <v>1079.22</v>
      </c>
      <c r="J774" s="101">
        <f>(IF((VLOOKUP(Table6[[#This Row],[SKU]],'All Skus'!$A:$AC,2,FALSE))="JBL",(VLOOKUP(Table6[[#This Row],[SKU]],'All Skus'!$A:$AC,11,FALSE)),""))</f>
        <v>840</v>
      </c>
      <c r="K774" s="102">
        <f>(IF((VLOOKUP(Table6[[#This Row],[SKU]],'All Skus'!$A:$AC,2,FALSE))="JBL",(VLOOKUP(Table6[[#This Row],[SKU]],'All Skus'!$A:$AC,13,FALSE)),""))</f>
        <v>0</v>
      </c>
      <c r="L774" s="102">
        <f>(IF((VLOOKUP(Table6[[#This Row],[SKU]],'All Skus'!$A:$AC,2,FALSE))="JBL",(VLOOKUP(Table6[[#This Row],[SKU]],'All Skus'!$A:$AC,14,FALSE)),""))</f>
        <v>0</v>
      </c>
      <c r="M774" s="143">
        <f>(IF((VLOOKUP(Table6[[#This Row],[SKU]],'All Skus'!$A:$AC,2,FALSE))="JBL",(VLOOKUP(Table6[[#This Row],[SKU]],'All Skus'!$A:$AC,15,FALSE)),""))</f>
        <v>0</v>
      </c>
      <c r="N774" s="137">
        <f>(IF((VLOOKUP(Table6[[#This Row],[SKU]],'All Skus'!$A:$AC,2,FALSE))="JBL",(VLOOKUP(Table6[[#This Row],[SKU]],'All Skus'!$A:$AC,16,FALSE)),""))</f>
        <v>691991004896</v>
      </c>
      <c r="O774" s="61">
        <f>(IF((VLOOKUP(Table6[[#This Row],[SKU]],'All Skus'!$A:$AC,2,FALSE))="JBL",(VLOOKUP(Table6[[#This Row],[SKU]],'All Skus'!$A:$AC,17,FALSE)),""))</f>
        <v>0</v>
      </c>
      <c r="P774" s="136">
        <f>(IF((VLOOKUP(Table6[[#This Row],[SKU]],'All Skus'!$A:$AC,2,FALSE))="JBL",(VLOOKUP(Table6[[#This Row],[SKU]],'All Skus'!$A:$AC,18,FALSE)),""))</f>
        <v>50</v>
      </c>
      <c r="Q774" s="136">
        <f>(IF((VLOOKUP(Table6[[#This Row],[SKU]],'All Skus'!$A:$AC,2,FALSE))="JBL",(VLOOKUP(Table6[[#This Row],[SKU]],'All Skus'!$A:$AC,19,FALSE)),""))</f>
        <v>16</v>
      </c>
      <c r="R774" s="136">
        <f>(IF((VLOOKUP(Table6[[#This Row],[SKU]],'All Skus'!$A:$AC,2,FALSE))="JBL",(VLOOKUP(Table6[[#This Row],[SKU]],'All Skus'!$A:$AC,20,FALSE)),""))</f>
        <v>30</v>
      </c>
      <c r="S774" s="61">
        <f>(IF((VLOOKUP(Table6[[#This Row],[SKU]],'All Skus'!$A:$AC,2,FALSE))="JBL",(VLOOKUP(Table6[[#This Row],[SKU]],'All Skus'!$A:$AC,21,FALSE)),""))</f>
        <v>22.5</v>
      </c>
      <c r="T774" s="61" t="str">
        <f>(IF((VLOOKUP(Table6[[#This Row],[SKU]],'All Skus'!$A:$AC,2,FALSE))="JBL",(VLOOKUP(Table6[[#This Row],[SKU]],'All Skus'!$A:$AC,22,FALSE)),""))</f>
        <v>CN</v>
      </c>
      <c r="U774" t="str">
        <f>(IF((VLOOKUP(Table6[[#This Row],[SKU]],'All Skus'!$A:$AC,2,FALSE))="JBL",(VLOOKUP(Table6[[#This Row],[SKU]],'All Skus'!$A:$AC,23,FALSE)),""))</f>
        <v>Non Compliant</v>
      </c>
      <c r="V774" s="284" t="str">
        <f>HYPERLINK((IF((VLOOKUP(Table6[[#This Row],[SKU]],'All Skus'!$A:$AC,2,FALSE))="JBL",(VLOOKUP(Table6[[#This Row],[SKU]],'All Skus'!$A:$AC,24,FALSE)),"")))</f>
        <v/>
      </c>
      <c r="W774" s="151">
        <v>771</v>
      </c>
    </row>
    <row r="775" spans="1:23" ht="15" hidden="1" customHeight="1">
      <c r="A775" s="13" t="s">
        <v>1784</v>
      </c>
      <c r="B775" s="12" t="str">
        <f>(IF((VLOOKUP(Table6[[#This Row],[SKU]],'All Skus'!$A:$AC,2,FALSE))="JBL",(VLOOKUP(Table6[[#This Row],[SKU]],'All Skus'!$A:$AC,3,FALSE)),""))</f>
        <v>EON</v>
      </c>
      <c r="C775" s="12" t="str">
        <f>(IF((VLOOKUP(Table6[[#This Row],[SKU]],'All Skus'!$A:$AC,2,FALSE))="JBL",(VLOOKUP(Table6[[#This Row],[SKU]],'All Skus'!$A:$AC,4,FALSE)),""))</f>
        <v>EON700 Yoke</v>
      </c>
      <c r="D775" s="61" t="str">
        <f>(IF((VLOOKUP(Table6[[#This Row],[SKU]],'All Skus'!$A:$AC,2,FALSE))="JBL",(VLOOKUP(Table6[[#This Row],[SKU]],'All Skus'!$A:$AC,5,FALSE)),""))</f>
        <v>JBL010</v>
      </c>
      <c r="E775" s="137">
        <f>(IF((VLOOKUP(Table6[[#This Row],[SKU]],'All Skus'!$A:$AC,2,FALSE))="JBL",(VLOOKUP(Table6[[#This Row],[SKU]],'All Skus'!$A:$AC,6,FALSE)),""))</f>
        <v>0</v>
      </c>
      <c r="F775" s="61" t="str">
        <f>(IF((VLOOKUP(Table6[[#This Row],[SKU]],'All Skus'!$A:$AC,2,FALSE))="JBL",(VLOOKUP(Table6[[#This Row],[SKU]],'All Skus'!$A:$AC,7,FALSE)),""))</f>
        <v>NEW</v>
      </c>
      <c r="G775" t="str">
        <f>(IF((VLOOKUP(Table6[[#This Row],[SKU]],'All Skus'!$A:$AC,2,FALSE))="JBL",(VLOOKUP(Table6[[#This Row],[SKU]],'All Skus'!$A:$AC,8,FALSE)),""))</f>
        <v>JBL EON700 UNIVERSAL YOKE MOUNT</v>
      </c>
      <c r="H775" s="8" t="str">
        <f>(IF((VLOOKUP(Table6[[#This Row],[SKU]],'All Skus'!$A:$AC,2,FALSE))="JBL",(VLOOKUP(Table6[[#This Row],[SKU]],'All Skus'!$A:$AC,9,FALSE)),""))</f>
        <v>JBL EON700 UNIVERSAL YOKE MOUNT</v>
      </c>
      <c r="I775" s="101">
        <f>(IF((VLOOKUP(Table6[[#This Row],[SKU]],'All Skus'!$A:$AC,2,FALSE))="JBL",(VLOOKUP(Table6[[#This Row],[SKU]],'All Skus'!$A:$AC,10,FALSE)),""))</f>
        <v>161.13999999999999</v>
      </c>
      <c r="J775" s="101">
        <f>(IF((VLOOKUP(Table6[[#This Row],[SKU]],'All Skus'!$A:$AC,2,FALSE))="JBL",(VLOOKUP(Table6[[#This Row],[SKU]],'All Skus'!$A:$AC,11,FALSE)),""))</f>
        <v>109</v>
      </c>
      <c r="K775" s="102">
        <f>(IF((VLOOKUP(Table6[[#This Row],[SKU]],'All Skus'!$A:$AC,2,FALSE))="JBL",(VLOOKUP(Table6[[#This Row],[SKU]],'All Skus'!$A:$AC,13,FALSE)),""))</f>
        <v>0</v>
      </c>
      <c r="L775" s="102">
        <f>(IF((VLOOKUP(Table6[[#This Row],[SKU]],'All Skus'!$A:$AC,2,FALSE))="JBL",(VLOOKUP(Table6[[#This Row],[SKU]],'All Skus'!$A:$AC,14,FALSE)),""))</f>
        <v>0</v>
      </c>
      <c r="M775" s="143">
        <f>(IF((VLOOKUP(Table6[[#This Row],[SKU]],'All Skus'!$A:$AC,2,FALSE))="JBL",(VLOOKUP(Table6[[#This Row],[SKU]],'All Skus'!$A:$AC,15,FALSE)),""))</f>
        <v>1</v>
      </c>
      <c r="N775" s="137">
        <f>(IF((VLOOKUP(Table6[[#This Row],[SKU]],'All Skus'!$A:$AC,2,FALSE))="JBL",(VLOOKUP(Table6[[#This Row],[SKU]],'All Skus'!$A:$AC,16,FALSE)),""))</f>
        <v>691991035463</v>
      </c>
      <c r="O775" s="61">
        <f>(IF((VLOOKUP(Table6[[#This Row],[SKU]],'All Skus'!$A:$AC,2,FALSE))="JBL",(VLOOKUP(Table6[[#This Row],[SKU]],'All Skus'!$A:$AC,17,FALSE)),""))</f>
        <v>0</v>
      </c>
      <c r="P775" s="136">
        <f>(IF((VLOOKUP(Table6[[#This Row],[SKU]],'All Skus'!$A:$AC,2,FALSE))="JBL",(VLOOKUP(Table6[[#This Row],[SKU]],'All Skus'!$A:$AC,18,FALSE)),""))</f>
        <v>2</v>
      </c>
      <c r="Q775" s="136">
        <f>(IF((VLOOKUP(Table6[[#This Row],[SKU]],'All Skus'!$A:$AC,2,FALSE))="JBL",(VLOOKUP(Table6[[#This Row],[SKU]],'All Skus'!$A:$AC,19,FALSE)),""))</f>
        <v>465</v>
      </c>
      <c r="R775" s="136">
        <f>(IF((VLOOKUP(Table6[[#This Row],[SKU]],'All Skus'!$A:$AC,2,FALSE))="JBL",(VLOOKUP(Table6[[#This Row],[SKU]],'All Skus'!$A:$AC,20,FALSE)),""))</f>
        <v>133</v>
      </c>
      <c r="S775" s="61">
        <f>(IF((VLOOKUP(Table6[[#This Row],[SKU]],'All Skus'!$A:$AC,2,FALSE))="JBL",(VLOOKUP(Table6[[#This Row],[SKU]],'All Skus'!$A:$AC,21,FALSE)),""))</f>
        <v>130</v>
      </c>
      <c r="T775" s="61" t="str">
        <f>(IF((VLOOKUP(Table6[[#This Row],[SKU]],'All Skus'!$A:$AC,2,FALSE))="JBL",(VLOOKUP(Table6[[#This Row],[SKU]],'All Skus'!$A:$AC,22,FALSE)),""))</f>
        <v>MX</v>
      </c>
      <c r="U775" t="str">
        <f>(IF((VLOOKUP(Table6[[#This Row],[SKU]],'All Skus'!$A:$AC,2,FALSE))="JBL",(VLOOKUP(Table6[[#This Row],[SKU]],'All Skus'!$A:$AC,23,FALSE)),""))</f>
        <v>Compliant</v>
      </c>
      <c r="V775" s="284" t="str">
        <f>HYPERLINK((IF((VLOOKUP(Table6[[#This Row],[SKU]],'All Skus'!$A:$AC,2,FALSE))="JBL",(VLOOKUP(Table6[[#This Row],[SKU]],'All Skus'!$A:$AC,24,FALSE)),"")))</f>
        <v/>
      </c>
      <c r="W775" s="151">
        <v>772</v>
      </c>
    </row>
    <row r="776" spans="1:23" ht="15" hidden="1" customHeight="1">
      <c r="A776" s="13" t="s">
        <v>1785</v>
      </c>
      <c r="B776" s="12" t="str">
        <f>(IF((VLOOKUP(Table6[[#This Row],[SKU]],'All Skus'!$A:$AC,2,FALSE))="JBL",(VLOOKUP(Table6[[#This Row],[SKU]],'All Skus'!$A:$AC,3,FALSE)),""))</f>
        <v>EON</v>
      </c>
      <c r="C776" s="12" t="str">
        <f>(IF((VLOOKUP(Table6[[#This Row],[SKU]],'All Skus'!$A:$AC,2,FALSE))="JBL",(VLOOKUP(Table6[[#This Row],[SKU]],'All Skus'!$A:$AC,4,FALSE)),""))</f>
        <v>EON710</v>
      </c>
      <c r="D776" s="61" t="str">
        <f>(IF((VLOOKUP(Table6[[#This Row],[SKU]],'All Skus'!$A:$AC,2,FALSE))="JBL",(VLOOKUP(Table6[[#This Row],[SKU]],'All Skus'!$A:$AC,5,FALSE)),""))</f>
        <v>JBL01003</v>
      </c>
      <c r="E776" s="137">
        <f>(IF((VLOOKUP(Table6[[#This Row],[SKU]],'All Skus'!$A:$AC,2,FALSE))="JBL",(VLOOKUP(Table6[[#This Row],[SKU]],'All Skus'!$A:$AC,6,FALSE)),""))</f>
        <v>0</v>
      </c>
      <c r="F776" s="61" t="str">
        <f>(IF((VLOOKUP(Table6[[#This Row],[SKU]],'All Skus'!$A:$AC,2,FALSE))="JBL",(VLOOKUP(Table6[[#This Row],[SKU]],'All Skus'!$A:$AC,7,FALSE)),""))</f>
        <v>NEW</v>
      </c>
      <c r="G776" t="str">
        <f>(IF((VLOOKUP(Table6[[#This Row],[SKU]],'All Skus'!$A:$AC,2,FALSE))="JBL",(VLOOKUP(Table6[[#This Row],[SKU]],'All Skus'!$A:$AC,8,FALSE)),""))</f>
        <v>JBL EON710 10" POWERED LOUDSPEAKER</v>
      </c>
      <c r="H776" s="8" t="str">
        <f>(IF((VLOOKUP(Table6[[#This Row],[SKU]],'All Skus'!$A:$AC,2,FALSE))="JBL",(VLOOKUP(Table6[[#This Row],[SKU]],'All Skus'!$A:$AC,9,FALSE)),""))</f>
        <v>JBL EON710 10" POWERED LOUDSPEAKER</v>
      </c>
      <c r="I776" s="101">
        <f>(IF((VLOOKUP(Table6[[#This Row],[SKU]],'All Skus'!$A:$AC,2,FALSE))="JBL",(VLOOKUP(Table6[[#This Row],[SKU]],'All Skus'!$A:$AC,10,FALSE)),""))</f>
        <v>817.17</v>
      </c>
      <c r="J776" s="101">
        <f>(IF((VLOOKUP(Table6[[#This Row],[SKU]],'All Skus'!$A:$AC,2,FALSE))="JBL",(VLOOKUP(Table6[[#This Row],[SKU]],'All Skus'!$A:$AC,11,FALSE)),""))</f>
        <v>519</v>
      </c>
      <c r="K776" s="102">
        <f>(IF((VLOOKUP(Table6[[#This Row],[SKU]],'All Skus'!$A:$AC,2,FALSE))="JBL",(VLOOKUP(Table6[[#This Row],[SKU]],'All Skus'!$A:$AC,13,FALSE)),""))</f>
        <v>0</v>
      </c>
      <c r="L776" s="102">
        <f>(IF((VLOOKUP(Table6[[#This Row],[SKU]],'All Skus'!$A:$AC,2,FALSE))="JBL",(VLOOKUP(Table6[[#This Row],[SKU]],'All Skus'!$A:$AC,14,FALSE)),""))</f>
        <v>0</v>
      </c>
      <c r="M776" s="143">
        <f>(IF((VLOOKUP(Table6[[#This Row],[SKU]],'All Skus'!$A:$AC,2,FALSE))="JBL",(VLOOKUP(Table6[[#This Row],[SKU]],'All Skus'!$A:$AC,15,FALSE)),""))</f>
        <v>1</v>
      </c>
      <c r="N776" s="137">
        <f>(IF((VLOOKUP(Table6[[#This Row],[SKU]],'All Skus'!$A:$AC,2,FALSE))="JBL",(VLOOKUP(Table6[[#This Row],[SKU]],'All Skus'!$A:$AC,16,FALSE)),""))</f>
        <v>691991035180</v>
      </c>
      <c r="O776" s="61">
        <f>(IF((VLOOKUP(Table6[[#This Row],[SKU]],'All Skus'!$A:$AC,2,FALSE))="JBL",(VLOOKUP(Table6[[#This Row],[SKU]],'All Skus'!$A:$AC,17,FALSE)),""))</f>
        <v>0</v>
      </c>
      <c r="P776" s="136">
        <f>(IF((VLOOKUP(Table6[[#This Row],[SKU]],'All Skus'!$A:$AC,2,FALSE))="JBL",(VLOOKUP(Table6[[#This Row],[SKU]],'All Skus'!$A:$AC,18,FALSE)),""))</f>
        <v>26.455439999999999</v>
      </c>
      <c r="Q776" s="136">
        <f>(IF((VLOOKUP(Table6[[#This Row],[SKU]],'All Skus'!$A:$AC,2,FALSE))="JBL",(VLOOKUP(Table6[[#This Row],[SKU]],'All Skus'!$A:$AC,19,FALSE)),""))</f>
        <v>13.070873199999999</v>
      </c>
      <c r="R776" s="136">
        <f>(IF((VLOOKUP(Table6[[#This Row],[SKU]],'All Skus'!$A:$AC,2,FALSE))="JBL",(VLOOKUP(Table6[[#This Row],[SKU]],'All Skus'!$A:$AC,20,FALSE)),""))</f>
        <v>12.007880500000001</v>
      </c>
      <c r="S776" s="61">
        <f>(IF((VLOOKUP(Table6[[#This Row],[SKU]],'All Skus'!$A:$AC,2,FALSE))="JBL",(VLOOKUP(Table6[[#This Row],[SKU]],'All Skus'!$A:$AC,21,FALSE)),""))</f>
        <v>23.1102487</v>
      </c>
      <c r="T776" s="61" t="str">
        <f>(IF((VLOOKUP(Table6[[#This Row],[SKU]],'All Skus'!$A:$AC,2,FALSE))="JBL",(VLOOKUP(Table6[[#This Row],[SKU]],'All Skus'!$A:$AC,22,FALSE)),""))</f>
        <v>MX</v>
      </c>
      <c r="U776" t="str">
        <f>(IF((VLOOKUP(Table6[[#This Row],[SKU]],'All Skus'!$A:$AC,2,FALSE))="JBL",(VLOOKUP(Table6[[#This Row],[SKU]],'All Skus'!$A:$AC,23,FALSE)),""))</f>
        <v>Compliant</v>
      </c>
      <c r="V776" s="284" t="str">
        <f>HYPERLINK((IF((VLOOKUP(Table6[[#This Row],[SKU]],'All Skus'!$A:$AC,2,FALSE))="JBL",(VLOOKUP(Table6[[#This Row],[SKU]],'All Skus'!$A:$AC,24,FALSE)),"")))</f>
        <v/>
      </c>
      <c r="W776" s="151">
        <v>773</v>
      </c>
    </row>
    <row r="777" spans="1:23" ht="15" hidden="1" customHeight="1">
      <c r="A777" s="13" t="s">
        <v>1786</v>
      </c>
      <c r="B777" s="12" t="str">
        <f>(IF((VLOOKUP(Table6[[#This Row],[SKU]],'All Skus'!$A:$AC,2,FALSE))="JBL",(VLOOKUP(Table6[[#This Row],[SKU]],'All Skus'!$A:$AC,3,FALSE)),""))</f>
        <v>EON</v>
      </c>
      <c r="C777" s="12" t="str">
        <f>(IF((VLOOKUP(Table6[[#This Row],[SKU]],'All Skus'!$A:$AC,2,FALSE))="JBL",(VLOOKUP(Table6[[#This Row],[SKU]],'All Skus'!$A:$AC,4,FALSE)),""))</f>
        <v>EON712</v>
      </c>
      <c r="D777" s="61" t="str">
        <f>(IF((VLOOKUP(Table6[[#This Row],[SKU]],'All Skus'!$A:$AC,2,FALSE))="JBL",(VLOOKUP(Table6[[#This Row],[SKU]],'All Skus'!$A:$AC,5,FALSE)),""))</f>
        <v>JBL01003</v>
      </c>
      <c r="E777" s="137">
        <f>(IF((VLOOKUP(Table6[[#This Row],[SKU]],'All Skus'!$A:$AC,2,FALSE))="JBL",(VLOOKUP(Table6[[#This Row],[SKU]],'All Skus'!$A:$AC,6,FALSE)),""))</f>
        <v>0</v>
      </c>
      <c r="F777" s="61" t="str">
        <f>(IF((VLOOKUP(Table6[[#This Row],[SKU]],'All Skus'!$A:$AC,2,FALSE))="JBL",(VLOOKUP(Table6[[#This Row],[SKU]],'All Skus'!$A:$AC,7,FALSE)),""))</f>
        <v>NEW</v>
      </c>
      <c r="G777" t="str">
        <f>(IF((VLOOKUP(Table6[[#This Row],[SKU]],'All Skus'!$A:$AC,2,FALSE))="JBL",(VLOOKUP(Table6[[#This Row],[SKU]],'All Skus'!$A:$AC,8,FALSE)),""))</f>
        <v>JBL EON712 12" POWERED LOUDSPEAKER</v>
      </c>
      <c r="H777" s="8" t="str">
        <f>(IF((VLOOKUP(Table6[[#This Row],[SKU]],'All Skus'!$A:$AC,2,FALSE))="JBL",(VLOOKUP(Table6[[#This Row],[SKU]],'All Skus'!$A:$AC,9,FALSE)),""))</f>
        <v>JBL EON712 12" POWERED LOUDSPEAKER</v>
      </c>
      <c r="I777" s="101">
        <f>(IF((VLOOKUP(Table6[[#This Row],[SKU]],'All Skus'!$A:$AC,2,FALSE))="JBL",(VLOOKUP(Table6[[#This Row],[SKU]],'All Skus'!$A:$AC,10,FALSE)),""))</f>
        <v>848.62</v>
      </c>
      <c r="J777" s="101">
        <f>(IF((VLOOKUP(Table6[[#This Row],[SKU]],'All Skus'!$A:$AC,2,FALSE))="JBL",(VLOOKUP(Table6[[#This Row],[SKU]],'All Skus'!$A:$AC,11,FALSE)),""))</f>
        <v>569</v>
      </c>
      <c r="K777" s="102">
        <f>(IF((VLOOKUP(Table6[[#This Row],[SKU]],'All Skus'!$A:$AC,2,FALSE))="JBL",(VLOOKUP(Table6[[#This Row],[SKU]],'All Skus'!$A:$AC,13,FALSE)),""))</f>
        <v>0</v>
      </c>
      <c r="L777" s="102">
        <f>(IF((VLOOKUP(Table6[[#This Row],[SKU]],'All Skus'!$A:$AC,2,FALSE))="JBL",(VLOOKUP(Table6[[#This Row],[SKU]],'All Skus'!$A:$AC,14,FALSE)),""))</f>
        <v>0</v>
      </c>
      <c r="M777" s="143">
        <f>(IF((VLOOKUP(Table6[[#This Row],[SKU]],'All Skus'!$A:$AC,2,FALSE))="JBL",(VLOOKUP(Table6[[#This Row],[SKU]],'All Skus'!$A:$AC,15,FALSE)),""))</f>
        <v>1</v>
      </c>
      <c r="N777" s="137">
        <f>(IF((VLOOKUP(Table6[[#This Row],[SKU]],'All Skus'!$A:$AC,2,FALSE))="JBL",(VLOOKUP(Table6[[#This Row],[SKU]],'All Skus'!$A:$AC,16,FALSE)),""))</f>
        <v>691991035135</v>
      </c>
      <c r="O777" s="61">
        <f>(IF((VLOOKUP(Table6[[#This Row],[SKU]],'All Skus'!$A:$AC,2,FALSE))="JBL",(VLOOKUP(Table6[[#This Row],[SKU]],'All Skus'!$A:$AC,17,FALSE)),""))</f>
        <v>0</v>
      </c>
      <c r="P777" s="136">
        <f>(IF((VLOOKUP(Table6[[#This Row],[SKU]],'All Skus'!$A:$AC,2,FALSE))="JBL",(VLOOKUP(Table6[[#This Row],[SKU]],'All Skus'!$A:$AC,18,FALSE)),""))</f>
        <v>32.187452</v>
      </c>
      <c r="Q777" s="136">
        <f>(IF((VLOOKUP(Table6[[#This Row],[SKU]],'All Skus'!$A:$AC,2,FALSE))="JBL",(VLOOKUP(Table6[[#This Row],[SKU]],'All Skus'!$A:$AC,19,FALSE)),""))</f>
        <v>15.000008100000001</v>
      </c>
      <c r="R777" s="136">
        <f>(IF((VLOOKUP(Table6[[#This Row],[SKU]],'All Skus'!$A:$AC,2,FALSE))="JBL",(VLOOKUP(Table6[[#This Row],[SKU]],'All Skus'!$A:$AC,20,FALSE)),""))</f>
        <v>12.9133928</v>
      </c>
      <c r="S777" s="61">
        <f>(IF((VLOOKUP(Table6[[#This Row],[SKU]],'All Skus'!$A:$AC,2,FALSE))="JBL",(VLOOKUP(Table6[[#This Row],[SKU]],'All Skus'!$A:$AC,21,FALSE)),""))</f>
        <v>26.377967000000002</v>
      </c>
      <c r="T777" s="61" t="str">
        <f>(IF((VLOOKUP(Table6[[#This Row],[SKU]],'All Skus'!$A:$AC,2,FALSE))="JBL",(VLOOKUP(Table6[[#This Row],[SKU]],'All Skus'!$A:$AC,22,FALSE)),""))</f>
        <v>MX</v>
      </c>
      <c r="U777" t="str">
        <f>(IF((VLOOKUP(Table6[[#This Row],[SKU]],'All Skus'!$A:$AC,2,FALSE))="JBL",(VLOOKUP(Table6[[#This Row],[SKU]],'All Skus'!$A:$AC,23,FALSE)),""))</f>
        <v>Compliant</v>
      </c>
      <c r="V777" s="284" t="str">
        <f>HYPERLINK((IF((VLOOKUP(Table6[[#This Row],[SKU]],'All Skus'!$A:$AC,2,FALSE))="JBL",(VLOOKUP(Table6[[#This Row],[SKU]],'All Skus'!$A:$AC,24,FALSE)),"")))</f>
        <v/>
      </c>
      <c r="W777" s="151">
        <v>774</v>
      </c>
    </row>
    <row r="778" spans="1:23" ht="15" hidden="1" customHeight="1">
      <c r="A778" s="13" t="s">
        <v>1787</v>
      </c>
      <c r="B778" s="12" t="str">
        <f>(IF((VLOOKUP(Table6[[#This Row],[SKU]],'All Skus'!$A:$AC,2,FALSE))="JBL",(VLOOKUP(Table6[[#This Row],[SKU]],'All Skus'!$A:$AC,3,FALSE)),""))</f>
        <v>EON</v>
      </c>
      <c r="C778" s="12" t="str">
        <f>(IF((VLOOKUP(Table6[[#This Row],[SKU]],'All Skus'!$A:$AC,2,FALSE))="JBL",(VLOOKUP(Table6[[#This Row],[SKU]],'All Skus'!$A:$AC,4,FALSE)),""))</f>
        <v>EON715</v>
      </c>
      <c r="D778" s="61" t="str">
        <f>(IF((VLOOKUP(Table6[[#This Row],[SKU]],'All Skus'!$A:$AC,2,FALSE))="JBL",(VLOOKUP(Table6[[#This Row],[SKU]],'All Skus'!$A:$AC,5,FALSE)),""))</f>
        <v>JBL01003</v>
      </c>
      <c r="E778" s="137">
        <f>(IF((VLOOKUP(Table6[[#This Row],[SKU]],'All Skus'!$A:$AC,2,FALSE))="JBL",(VLOOKUP(Table6[[#This Row],[SKU]],'All Skus'!$A:$AC,6,FALSE)),""))</f>
        <v>0</v>
      </c>
      <c r="F778" s="61" t="str">
        <f>(IF((VLOOKUP(Table6[[#This Row],[SKU]],'All Skus'!$A:$AC,2,FALSE))="JBL",(VLOOKUP(Table6[[#This Row],[SKU]],'All Skus'!$A:$AC,7,FALSE)),""))</f>
        <v>NEW</v>
      </c>
      <c r="G778" t="str">
        <f>(IF((VLOOKUP(Table6[[#This Row],[SKU]],'All Skus'!$A:$AC,2,FALSE))="JBL",(VLOOKUP(Table6[[#This Row],[SKU]],'All Skus'!$A:$AC,8,FALSE)),""))</f>
        <v>JBL EON715 15" POWERED LOUDSPEAKER</v>
      </c>
      <c r="H778" s="8" t="str">
        <f>(IF((VLOOKUP(Table6[[#This Row],[SKU]],'All Skus'!$A:$AC,2,FALSE))="JBL",(VLOOKUP(Table6[[#This Row],[SKU]],'All Skus'!$A:$AC,9,FALSE)),""))</f>
        <v>JBL EON715 15" POWERED LOUDSPEAKER</v>
      </c>
      <c r="I778" s="101">
        <f>(IF((VLOOKUP(Table6[[#This Row],[SKU]],'All Skus'!$A:$AC,2,FALSE))="JBL",(VLOOKUP(Table6[[#This Row],[SKU]],'All Skus'!$A:$AC,10,FALSE)),""))</f>
        <v>897.04</v>
      </c>
      <c r="J778" s="101">
        <f>(IF((VLOOKUP(Table6[[#This Row],[SKU]],'All Skus'!$A:$AC,2,FALSE))="JBL",(VLOOKUP(Table6[[#This Row],[SKU]],'All Skus'!$A:$AC,11,FALSE)),""))</f>
        <v>619</v>
      </c>
      <c r="K778" s="102">
        <f>(IF((VLOOKUP(Table6[[#This Row],[SKU]],'All Skus'!$A:$AC,2,FALSE))="JBL",(VLOOKUP(Table6[[#This Row],[SKU]],'All Skus'!$A:$AC,13,FALSE)),""))</f>
        <v>0</v>
      </c>
      <c r="L778" s="102">
        <f>(IF((VLOOKUP(Table6[[#This Row],[SKU]],'All Skus'!$A:$AC,2,FALSE))="JBL",(VLOOKUP(Table6[[#This Row],[SKU]],'All Skus'!$A:$AC,14,FALSE)),""))</f>
        <v>0</v>
      </c>
      <c r="M778" s="143">
        <f>(IF((VLOOKUP(Table6[[#This Row],[SKU]],'All Skus'!$A:$AC,2,FALSE))="JBL",(VLOOKUP(Table6[[#This Row],[SKU]],'All Skus'!$A:$AC,15,FALSE)),""))</f>
        <v>1</v>
      </c>
      <c r="N778" s="137">
        <f>(IF((VLOOKUP(Table6[[#This Row],[SKU]],'All Skus'!$A:$AC,2,FALSE))="JBL",(VLOOKUP(Table6[[#This Row],[SKU]],'All Skus'!$A:$AC,16,FALSE)),""))</f>
        <v>691991035081</v>
      </c>
      <c r="O778" s="61">
        <f>(IF((VLOOKUP(Table6[[#This Row],[SKU]],'All Skus'!$A:$AC,2,FALSE))="JBL",(VLOOKUP(Table6[[#This Row],[SKU]],'All Skus'!$A:$AC,17,FALSE)),""))</f>
        <v>0</v>
      </c>
      <c r="P778" s="136">
        <f>(IF((VLOOKUP(Table6[[#This Row],[SKU]],'All Skus'!$A:$AC,2,FALSE))="JBL",(VLOOKUP(Table6[[#This Row],[SKU]],'All Skus'!$A:$AC,18,FALSE)),""))</f>
        <v>37.478540000000002</v>
      </c>
      <c r="Q778" s="136">
        <f>(IF((VLOOKUP(Table6[[#This Row],[SKU]],'All Skus'!$A:$AC,2,FALSE))="JBL",(VLOOKUP(Table6[[#This Row],[SKU]],'All Skus'!$A:$AC,19,FALSE)),""))</f>
        <v>17.244103800000001</v>
      </c>
      <c r="R778" s="136">
        <f>(IF((VLOOKUP(Table6[[#This Row],[SKU]],'All Skus'!$A:$AC,2,FALSE))="JBL",(VLOOKUP(Table6[[#This Row],[SKU]],'All Skus'!$A:$AC,20,FALSE)),""))</f>
        <v>14.094495800000001</v>
      </c>
      <c r="S778" s="61">
        <f>(IF((VLOOKUP(Table6[[#This Row],[SKU]],'All Skus'!$A:$AC,2,FALSE))="JBL",(VLOOKUP(Table6[[#This Row],[SKU]],'All Skus'!$A:$AC,21,FALSE)),""))</f>
        <v>28.188991600000001</v>
      </c>
      <c r="T778" s="61" t="str">
        <f>(IF((VLOOKUP(Table6[[#This Row],[SKU]],'All Skus'!$A:$AC,2,FALSE))="JBL",(VLOOKUP(Table6[[#This Row],[SKU]],'All Skus'!$A:$AC,22,FALSE)),""))</f>
        <v>MX</v>
      </c>
      <c r="U778" t="str">
        <f>(IF((VLOOKUP(Table6[[#This Row],[SKU]],'All Skus'!$A:$AC,2,FALSE))="JBL",(VLOOKUP(Table6[[#This Row],[SKU]],'All Skus'!$A:$AC,23,FALSE)),""))</f>
        <v>Compliant</v>
      </c>
      <c r="V778" s="284" t="str">
        <f>HYPERLINK((IF((VLOOKUP(Table6[[#This Row],[SKU]],'All Skus'!$A:$AC,2,FALSE))="JBL",(VLOOKUP(Table6[[#This Row],[SKU]],'All Skus'!$A:$AC,24,FALSE)),"")))</f>
        <v/>
      </c>
      <c r="W778" s="151">
        <v>775</v>
      </c>
    </row>
    <row r="779" spans="1:23" ht="15" hidden="1" customHeight="1">
      <c r="A779" s="13" t="s">
        <v>1788</v>
      </c>
      <c r="B779" s="12" t="str">
        <f>(IF((VLOOKUP(Table6[[#This Row],[SKU]],'All Skus'!$A:$AC,2,FALSE))="JBL",(VLOOKUP(Table6[[#This Row],[SKU]],'All Skus'!$A:$AC,3,FALSE)),""))</f>
        <v>EON</v>
      </c>
      <c r="C779" s="12" t="str">
        <f>(IF((VLOOKUP(Table6[[#This Row],[SKU]],'All Skus'!$A:$AC,2,FALSE))="JBL",(VLOOKUP(Table6[[#This Row],[SKU]],'All Skus'!$A:$AC,4,FALSE)),""))</f>
        <v>EON718S</v>
      </c>
      <c r="D779" s="61" t="str">
        <f>(IF((VLOOKUP(Table6[[#This Row],[SKU]],'All Skus'!$A:$AC,2,FALSE))="JBL",(VLOOKUP(Table6[[#This Row],[SKU]],'All Skus'!$A:$AC,5,FALSE)),""))</f>
        <v>JBL01003</v>
      </c>
      <c r="E779" s="137">
        <f>(IF((VLOOKUP(Table6[[#This Row],[SKU]],'All Skus'!$A:$AC,2,FALSE))="JBL",(VLOOKUP(Table6[[#This Row],[SKU]],'All Skus'!$A:$AC,6,FALSE)),""))</f>
        <v>0</v>
      </c>
      <c r="F779" s="61" t="str">
        <f>(IF((VLOOKUP(Table6[[#This Row],[SKU]],'All Skus'!$A:$AC,2,FALSE))="JBL",(VLOOKUP(Table6[[#This Row],[SKU]],'All Skus'!$A:$AC,7,FALSE)),""))</f>
        <v>NEW</v>
      </c>
      <c r="G779" t="str">
        <f>(IF((VLOOKUP(Table6[[#This Row],[SKU]],'All Skus'!$A:$AC,2,FALSE))="JBL",(VLOOKUP(Table6[[#This Row],[SKU]],'All Skus'!$A:$AC,8,FALSE)),""))</f>
        <v>JBL EON718S 18" POWERED SUBWOOFER</v>
      </c>
      <c r="H779" s="8" t="str">
        <f>(IF((VLOOKUP(Table6[[#This Row],[SKU]],'All Skus'!$A:$AC,2,FALSE))="JBL",(VLOOKUP(Table6[[#This Row],[SKU]],'All Skus'!$A:$AC,9,FALSE)),""))</f>
        <v>JBL EON718S 18" POWERED SUBWOOFER</v>
      </c>
      <c r="I779" s="101">
        <f>(IF((VLOOKUP(Table6[[#This Row],[SKU]],'All Skus'!$A:$AC,2,FALSE))="JBL",(VLOOKUP(Table6[[#This Row],[SKU]],'All Skus'!$A:$AC,10,FALSE)),""))</f>
        <v>1741.31</v>
      </c>
      <c r="J779" s="101">
        <f>(IF((VLOOKUP(Table6[[#This Row],[SKU]],'All Skus'!$A:$AC,2,FALSE))="JBL",(VLOOKUP(Table6[[#This Row],[SKU]],'All Skus'!$A:$AC,11,FALSE)),""))</f>
        <v>1239</v>
      </c>
      <c r="K779" s="102">
        <f>(IF((VLOOKUP(Table6[[#This Row],[SKU]],'All Skus'!$A:$AC,2,FALSE))="JBL",(VLOOKUP(Table6[[#This Row],[SKU]],'All Skus'!$A:$AC,13,FALSE)),""))</f>
        <v>0</v>
      </c>
      <c r="L779" s="102">
        <f>(IF((VLOOKUP(Table6[[#This Row],[SKU]],'All Skus'!$A:$AC,2,FALSE))="JBL",(VLOOKUP(Table6[[#This Row],[SKU]],'All Skus'!$A:$AC,14,FALSE)),""))</f>
        <v>0</v>
      </c>
      <c r="M779" s="143">
        <f>(IF((VLOOKUP(Table6[[#This Row],[SKU]],'All Skus'!$A:$AC,2,FALSE))="JBL",(VLOOKUP(Table6[[#This Row],[SKU]],'All Skus'!$A:$AC,15,FALSE)),""))</f>
        <v>1</v>
      </c>
      <c r="N779" s="137">
        <f>(IF((VLOOKUP(Table6[[#This Row],[SKU]],'All Skus'!$A:$AC,2,FALSE))="JBL",(VLOOKUP(Table6[[#This Row],[SKU]],'All Skus'!$A:$AC,16,FALSE)),""))</f>
        <v>691991035036</v>
      </c>
      <c r="O779" s="61">
        <f>(IF((VLOOKUP(Table6[[#This Row],[SKU]],'All Skus'!$A:$AC,2,FALSE))="JBL",(VLOOKUP(Table6[[#This Row],[SKU]],'All Skus'!$A:$AC,17,FALSE)),""))</f>
        <v>0</v>
      </c>
      <c r="P779" s="136">
        <f>(IF((VLOOKUP(Table6[[#This Row],[SKU]],'All Skus'!$A:$AC,2,FALSE))="JBL",(VLOOKUP(Table6[[#This Row],[SKU]],'All Skus'!$A:$AC,18,FALSE)),""))</f>
        <v>78.264009999999999</v>
      </c>
      <c r="Q779" s="136">
        <f>(IF((VLOOKUP(Table6[[#This Row],[SKU]],'All Skus'!$A:$AC,2,FALSE))="JBL",(VLOOKUP(Table6[[#This Row],[SKU]],'All Skus'!$A:$AC,19,FALSE)),""))</f>
        <v>23.976390899999998</v>
      </c>
      <c r="R779" s="136">
        <f>(IF((VLOOKUP(Table6[[#This Row],[SKU]],'All Skus'!$A:$AC,2,FALSE))="JBL",(VLOOKUP(Table6[[#This Row],[SKU]],'All Skus'!$A:$AC,20,FALSE)),""))</f>
        <v>25.0787537</v>
      </c>
      <c r="S779" s="61">
        <f>(IF((VLOOKUP(Table6[[#This Row],[SKU]],'All Skus'!$A:$AC,2,FALSE))="JBL",(VLOOKUP(Table6[[#This Row],[SKU]],'All Skus'!$A:$AC,21,FALSE)),""))</f>
        <v>26.535447399999999</v>
      </c>
      <c r="T779" s="61" t="str">
        <f>(IF((VLOOKUP(Table6[[#This Row],[SKU]],'All Skus'!$A:$AC,2,FALSE))="JBL",(VLOOKUP(Table6[[#This Row],[SKU]],'All Skus'!$A:$AC,22,FALSE)),""))</f>
        <v>MX</v>
      </c>
      <c r="U779" t="str">
        <f>(IF((VLOOKUP(Table6[[#This Row],[SKU]],'All Skus'!$A:$AC,2,FALSE))="JBL",(VLOOKUP(Table6[[#This Row],[SKU]],'All Skus'!$A:$AC,23,FALSE)),""))</f>
        <v>Compliant</v>
      </c>
      <c r="V779" s="284" t="str">
        <f>HYPERLINK((IF((VLOOKUP(Table6[[#This Row],[SKU]],'All Skus'!$A:$AC,2,FALSE))="JBL",(VLOOKUP(Table6[[#This Row],[SKU]],'All Skus'!$A:$AC,24,FALSE)),"")))</f>
        <v/>
      </c>
      <c r="W779" s="151">
        <v>776</v>
      </c>
    </row>
    <row r="780" spans="1:23" ht="15" hidden="1" customHeight="1">
      <c r="A780" s="104" t="s">
        <v>1789</v>
      </c>
      <c r="B780" s="12">
        <f>(IF((VLOOKUP(Table6[[#This Row],[SKU]],'All Skus'!$A:$AC,2,FALSE))="JBL",(VLOOKUP(Table6[[#This Row],[SKU]],'All Skus'!$A:$AC,3,FALSE)),""))</f>
        <v>0</v>
      </c>
      <c r="C780" s="12">
        <f>(IF((VLOOKUP(Table6[[#This Row],[SKU]],'All Skus'!$A:$AC,2,FALSE))="JBL",(VLOOKUP(Table6[[#This Row],[SKU]],'All Skus'!$A:$AC,4,FALSE)),""))</f>
        <v>0</v>
      </c>
      <c r="D780" s="61">
        <f>(IF((VLOOKUP(Table6[[#This Row],[SKU]],'All Skus'!$A:$AC,2,FALSE))="JBL",(VLOOKUP(Table6[[#This Row],[SKU]],'All Skus'!$A:$AC,5,FALSE)),""))</f>
        <v>0</v>
      </c>
      <c r="E780" s="137">
        <f>(IF((VLOOKUP(Table6[[#This Row],[SKU]],'All Skus'!$A:$AC,2,FALSE))="JBL",(VLOOKUP(Table6[[#This Row],[SKU]],'All Skus'!$A:$AC,6,FALSE)),""))</f>
        <v>0</v>
      </c>
      <c r="F780" s="61">
        <f>(IF((VLOOKUP(Table6[[#This Row],[SKU]],'All Skus'!$A:$AC,2,FALSE))="JBL",(VLOOKUP(Table6[[#This Row],[SKU]],'All Skus'!$A:$AC,7,FALSE)),""))</f>
        <v>0</v>
      </c>
      <c r="G780">
        <f>(IF((VLOOKUP(Table6[[#This Row],[SKU]],'All Skus'!$A:$AC,2,FALSE))="JBL",(VLOOKUP(Table6[[#This Row],[SKU]],'All Skus'!$A:$AC,8,FALSE)),""))</f>
        <v>0</v>
      </c>
      <c r="H780" s="8">
        <f>(IF((VLOOKUP(Table6[[#This Row],[SKU]],'All Skus'!$A:$AC,2,FALSE))="JBL",(VLOOKUP(Table6[[#This Row],[SKU]],'All Skus'!$A:$AC,9,FALSE)),""))</f>
        <v>0</v>
      </c>
      <c r="I780" s="101">
        <f>(IF((VLOOKUP(Table6[[#This Row],[SKU]],'All Skus'!$A:$AC,2,FALSE))="JBL",(VLOOKUP(Table6[[#This Row],[SKU]],'All Skus'!$A:$AC,10,FALSE)),""))</f>
        <v>0</v>
      </c>
      <c r="J780" s="101">
        <f>(IF((VLOOKUP(Table6[[#This Row],[SKU]],'All Skus'!$A:$AC,2,FALSE))="JBL",(VLOOKUP(Table6[[#This Row],[SKU]],'All Skus'!$A:$AC,11,FALSE)),""))</f>
        <v>0</v>
      </c>
      <c r="K780" s="102">
        <f>(IF((VLOOKUP(Table6[[#This Row],[SKU]],'All Skus'!$A:$AC,2,FALSE))="JBL",(VLOOKUP(Table6[[#This Row],[SKU]],'All Skus'!$A:$AC,13,FALSE)),""))</f>
        <v>0</v>
      </c>
      <c r="L780" s="102">
        <f>(IF((VLOOKUP(Table6[[#This Row],[SKU]],'All Skus'!$A:$AC,2,FALSE))="JBL",(VLOOKUP(Table6[[#This Row],[SKU]],'All Skus'!$A:$AC,14,FALSE)),""))</f>
        <v>0</v>
      </c>
      <c r="M780" s="143">
        <f>(IF((VLOOKUP(Table6[[#This Row],[SKU]],'All Skus'!$A:$AC,2,FALSE))="JBL",(VLOOKUP(Table6[[#This Row],[SKU]],'All Skus'!$A:$AC,15,FALSE)),""))</f>
        <v>0</v>
      </c>
      <c r="N780" s="137">
        <f>(IF((VLOOKUP(Table6[[#This Row],[SKU]],'All Skus'!$A:$AC,2,FALSE))="JBL",(VLOOKUP(Table6[[#This Row],[SKU]],'All Skus'!$A:$AC,16,FALSE)),""))</f>
        <v>0</v>
      </c>
      <c r="O780" s="61">
        <f>(IF((VLOOKUP(Table6[[#This Row],[SKU]],'All Skus'!$A:$AC,2,FALSE))="JBL",(VLOOKUP(Table6[[#This Row],[SKU]],'All Skus'!$A:$AC,17,FALSE)),""))</f>
        <v>0</v>
      </c>
      <c r="P780" s="136">
        <f>(IF((VLOOKUP(Table6[[#This Row],[SKU]],'All Skus'!$A:$AC,2,FALSE))="JBL",(VLOOKUP(Table6[[#This Row],[SKU]],'All Skus'!$A:$AC,18,FALSE)),""))</f>
        <v>0</v>
      </c>
      <c r="Q780" s="136">
        <f>(IF((VLOOKUP(Table6[[#This Row],[SKU]],'All Skus'!$A:$AC,2,FALSE))="JBL",(VLOOKUP(Table6[[#This Row],[SKU]],'All Skus'!$A:$AC,19,FALSE)),""))</f>
        <v>0</v>
      </c>
      <c r="R780" s="136">
        <f>(IF((VLOOKUP(Table6[[#This Row],[SKU]],'All Skus'!$A:$AC,2,FALSE))="JBL",(VLOOKUP(Table6[[#This Row],[SKU]],'All Skus'!$A:$AC,20,FALSE)),""))</f>
        <v>0</v>
      </c>
      <c r="S780" s="61">
        <f>(IF((VLOOKUP(Table6[[#This Row],[SKU]],'All Skus'!$A:$AC,2,FALSE))="JBL",(VLOOKUP(Table6[[#This Row],[SKU]],'All Skus'!$A:$AC,21,FALSE)),""))</f>
        <v>0</v>
      </c>
      <c r="T780" s="61" t="str">
        <f>(IF((VLOOKUP(Table6[[#This Row],[SKU]],'All Skus'!$A:$AC,2,FALSE))="JBL",(VLOOKUP(Table6[[#This Row],[SKU]],'All Skus'!$A:$AC,22,FALSE)),""))</f>
        <v>MX</v>
      </c>
      <c r="U780" t="str">
        <f>(IF((VLOOKUP(Table6[[#This Row],[SKU]],'All Skus'!$A:$AC,2,FALSE))="JBL",(VLOOKUP(Table6[[#This Row],[SKU]],'All Skus'!$A:$AC,23,FALSE)),""))</f>
        <v>Compliant</v>
      </c>
      <c r="V780" s="284" t="str">
        <f>HYPERLINK((IF((VLOOKUP(Table6[[#This Row],[SKU]],'All Skus'!$A:$AC,2,FALSE))="JBL",(VLOOKUP(Table6[[#This Row],[SKU]],'All Skus'!$A:$AC,24,FALSE)),"")))</f>
        <v/>
      </c>
      <c r="W780" s="151">
        <v>777</v>
      </c>
    </row>
    <row r="781" spans="1:23" ht="15" hidden="1" customHeight="1">
      <c r="A781" s="104" t="s">
        <v>1790</v>
      </c>
      <c r="B781" s="12" t="str">
        <f>(IF((VLOOKUP(Table6[[#This Row],[SKU]],'All Skus'!$A:$AC,2,FALSE))="JBL",(VLOOKUP(Table6[[#This Row],[SKU]],'All Skus'!$A:$AC,3,FALSE)),""))</f>
        <v>IRX Series</v>
      </c>
      <c r="C781" s="12" t="str">
        <f>(IF((VLOOKUP(Table6[[#This Row],[SKU]],'All Skus'!$A:$AC,2,FALSE))="JBL",(VLOOKUP(Table6[[#This Row],[SKU]],'All Skus'!$A:$AC,4,FALSE)),""))</f>
        <v>IRX108BT</v>
      </c>
      <c r="D781" s="61" t="str">
        <f>(IF((VLOOKUP(Table6[[#This Row],[SKU]],'All Skus'!$A:$AC,2,FALSE))="JBL",(VLOOKUP(Table6[[#This Row],[SKU]],'All Skus'!$A:$AC,5,FALSE)),""))</f>
        <v>JBL056</v>
      </c>
      <c r="E781" s="137">
        <f>(IF((VLOOKUP(Table6[[#This Row],[SKU]],'All Skus'!$A:$AC,2,FALSE))="JBL",(VLOOKUP(Table6[[#This Row],[SKU]],'All Skus'!$A:$AC,6,FALSE)),""))</f>
        <v>0</v>
      </c>
      <c r="F781" s="61">
        <f>(IF((VLOOKUP(Table6[[#This Row],[SKU]],'All Skus'!$A:$AC,2,FALSE))="JBL",(VLOOKUP(Table6[[#This Row],[SKU]],'All Skus'!$A:$AC,7,FALSE)),""))</f>
        <v>0</v>
      </c>
      <c r="G781" t="str">
        <f>(IF((VLOOKUP(Table6[[#This Row],[SKU]],'All Skus'!$A:$AC,2,FALSE))="JBL",(VLOOKUP(Table6[[#This Row],[SKU]],'All Skus'!$A:$AC,8,FALSE)),""))</f>
        <v>Powered 8" Portable Speaker with Bluetooth</v>
      </c>
      <c r="H781" s="8" t="str">
        <f>(IF((VLOOKUP(Table6[[#This Row],[SKU]],'All Skus'!$A:$AC,2,FALSE))="JBL",(VLOOKUP(Table6[[#This Row],[SKU]],'All Skus'!$A:$AC,9,FALSE)),""))</f>
        <v>Powered 8" Portable Speaker with Bluetooth</v>
      </c>
      <c r="I781" s="101">
        <f>(IF((VLOOKUP(Table6[[#This Row],[SKU]],'All Skus'!$A:$AC,2,FALSE))="JBL",(VLOOKUP(Table6[[#This Row],[SKU]],'All Skus'!$A:$AC,10,FALSE)),""))</f>
        <v>521.91999999999996</v>
      </c>
      <c r="J781" s="101">
        <f>(IF((VLOOKUP(Table6[[#This Row],[SKU]],'All Skus'!$A:$AC,2,FALSE))="JBL",(VLOOKUP(Table6[[#This Row],[SKU]],'All Skus'!$A:$AC,11,FALSE)),""))</f>
        <v>415</v>
      </c>
      <c r="K781" s="102">
        <f>(IF((VLOOKUP(Table6[[#This Row],[SKU]],'All Skus'!$A:$AC,2,FALSE))="JBL",(VLOOKUP(Table6[[#This Row],[SKU]],'All Skus'!$A:$AC,13,FALSE)),""))</f>
        <v>0</v>
      </c>
      <c r="L781" s="102">
        <f>(IF((VLOOKUP(Table6[[#This Row],[SKU]],'All Skus'!$A:$AC,2,FALSE))="JBL",(VLOOKUP(Table6[[#This Row],[SKU]],'All Skus'!$A:$AC,14,FALSE)),""))</f>
        <v>0</v>
      </c>
      <c r="M781" s="143">
        <f>(IF((VLOOKUP(Table6[[#This Row],[SKU]],'All Skus'!$A:$AC,2,FALSE))="JBL",(VLOOKUP(Table6[[#This Row],[SKU]],'All Skus'!$A:$AC,15,FALSE)),""))</f>
        <v>0</v>
      </c>
      <c r="N781" s="137">
        <f>(IF((VLOOKUP(Table6[[#This Row],[SKU]],'All Skus'!$A:$AC,2,FALSE))="JBL",(VLOOKUP(Table6[[#This Row],[SKU]],'All Skus'!$A:$AC,16,FALSE)),""))</f>
        <v>691991033506</v>
      </c>
      <c r="O781" s="61">
        <f>(IF((VLOOKUP(Table6[[#This Row],[SKU]],'All Skus'!$A:$AC,2,FALSE))="JBL",(VLOOKUP(Table6[[#This Row],[SKU]],'All Skus'!$A:$AC,17,FALSE)),""))</f>
        <v>0</v>
      </c>
      <c r="P781" s="136">
        <f>(IF((VLOOKUP(Table6[[#This Row],[SKU]],'All Skus'!$A:$AC,2,FALSE))="JBL",(VLOOKUP(Table6[[#This Row],[SKU]],'All Skus'!$A:$AC,18,FALSE)),""))</f>
        <v>20.5</v>
      </c>
      <c r="Q781" s="136">
        <f>(IF((VLOOKUP(Table6[[#This Row],[SKU]],'All Skus'!$A:$AC,2,FALSE))="JBL",(VLOOKUP(Table6[[#This Row],[SKU]],'All Skus'!$A:$AC,19,FALSE)),""))</f>
        <v>10.87</v>
      </c>
      <c r="R781" s="136">
        <f>(IF((VLOOKUP(Table6[[#This Row],[SKU]],'All Skus'!$A:$AC,2,FALSE))="JBL",(VLOOKUP(Table6[[#This Row],[SKU]],'All Skus'!$A:$AC,20,FALSE)),""))</f>
        <v>13.35</v>
      </c>
      <c r="S781" s="61">
        <f>(IF((VLOOKUP(Table6[[#This Row],[SKU]],'All Skus'!$A:$AC,2,FALSE))="JBL",(VLOOKUP(Table6[[#This Row],[SKU]],'All Skus'!$A:$AC,21,FALSE)),""))</f>
        <v>20.350000000000001</v>
      </c>
      <c r="T781" s="61" t="str">
        <f>(IF((VLOOKUP(Table6[[#This Row],[SKU]],'All Skus'!$A:$AC,2,FALSE))="JBL",(VLOOKUP(Table6[[#This Row],[SKU]],'All Skus'!$A:$AC,22,FALSE)),""))</f>
        <v>CN</v>
      </c>
      <c r="U781" t="str">
        <f>(IF((VLOOKUP(Table6[[#This Row],[SKU]],'All Skus'!$A:$AC,2,FALSE))="JBL",(VLOOKUP(Table6[[#This Row],[SKU]],'All Skus'!$A:$AC,23,FALSE)),""))</f>
        <v>Non Compliant</v>
      </c>
      <c r="V781" s="284" t="str">
        <f>HYPERLINK((IF((VLOOKUP(Table6[[#This Row],[SKU]],'All Skus'!$A:$AC,2,FALSE))="JBL",(VLOOKUP(Table6[[#This Row],[SKU]],'All Skus'!$A:$AC,24,FALSE)),"")))</f>
        <v/>
      </c>
      <c r="W781" s="151">
        <v>778</v>
      </c>
    </row>
    <row r="782" spans="1:23" ht="15" hidden="1" customHeight="1">
      <c r="A782" s="104" t="s">
        <v>1791</v>
      </c>
      <c r="B782" s="12" t="str">
        <f>(IF((VLOOKUP(Table6[[#This Row],[SKU]],'All Skus'!$A:$AC,2,FALSE))="JBL",(VLOOKUP(Table6[[#This Row],[SKU]],'All Skus'!$A:$AC,3,FALSE)),""))</f>
        <v>IRX Series</v>
      </c>
      <c r="C782" s="12" t="str">
        <f>(IF((VLOOKUP(Table6[[#This Row],[SKU]],'All Skus'!$A:$AC,2,FALSE))="JBL",(VLOOKUP(Table6[[#This Row],[SKU]],'All Skus'!$A:$AC,4,FALSE)),""))</f>
        <v>IRX112BT</v>
      </c>
      <c r="D782" s="61" t="str">
        <f>(IF((VLOOKUP(Table6[[#This Row],[SKU]],'All Skus'!$A:$AC,2,FALSE))="JBL",(VLOOKUP(Table6[[#This Row],[SKU]],'All Skus'!$A:$AC,5,FALSE)),""))</f>
        <v>JBL056</v>
      </c>
      <c r="E782" s="137">
        <f>(IF((VLOOKUP(Table6[[#This Row],[SKU]],'All Skus'!$A:$AC,2,FALSE))="JBL",(VLOOKUP(Table6[[#This Row],[SKU]],'All Skus'!$A:$AC,6,FALSE)),""))</f>
        <v>0</v>
      </c>
      <c r="F782" s="61">
        <f>(IF((VLOOKUP(Table6[[#This Row],[SKU]],'All Skus'!$A:$AC,2,FALSE))="JBL",(VLOOKUP(Table6[[#This Row],[SKU]],'All Skus'!$A:$AC,7,FALSE)),""))</f>
        <v>0</v>
      </c>
      <c r="G782" t="str">
        <f>(IF((VLOOKUP(Table6[[#This Row],[SKU]],'All Skus'!$A:$AC,2,FALSE))="JBL",(VLOOKUP(Table6[[#This Row],[SKU]],'All Skus'!$A:$AC,8,FALSE)),""))</f>
        <v>Powered 12" Portable Speaker with Bluetooth</v>
      </c>
      <c r="H782" s="8" t="str">
        <f>(IF((VLOOKUP(Table6[[#This Row],[SKU]],'All Skus'!$A:$AC,2,FALSE))="JBL",(VLOOKUP(Table6[[#This Row],[SKU]],'All Skus'!$A:$AC,9,FALSE)),""))</f>
        <v>Powered 12" Portable Speaker with Bluetooth</v>
      </c>
      <c r="I782" s="101">
        <f>(IF((VLOOKUP(Table6[[#This Row],[SKU]],'All Skus'!$A:$AC,2,FALSE))="JBL",(VLOOKUP(Table6[[#This Row],[SKU]],'All Skus'!$A:$AC,10,FALSE)),""))</f>
        <v>583.79999999999995</v>
      </c>
      <c r="J782" s="101">
        <f>(IF((VLOOKUP(Table6[[#This Row],[SKU]],'All Skus'!$A:$AC,2,FALSE))="JBL",(VLOOKUP(Table6[[#This Row],[SKU]],'All Skus'!$A:$AC,11,FALSE)),""))</f>
        <v>465</v>
      </c>
      <c r="K782" s="102">
        <f>(IF((VLOOKUP(Table6[[#This Row],[SKU]],'All Skus'!$A:$AC,2,FALSE))="JBL",(VLOOKUP(Table6[[#This Row],[SKU]],'All Skus'!$A:$AC,13,FALSE)),""))</f>
        <v>0</v>
      </c>
      <c r="L782" s="102">
        <f>(IF((VLOOKUP(Table6[[#This Row],[SKU]],'All Skus'!$A:$AC,2,FALSE))="JBL",(VLOOKUP(Table6[[#This Row],[SKU]],'All Skus'!$A:$AC,14,FALSE)),""))</f>
        <v>0</v>
      </c>
      <c r="M782" s="143">
        <f>(IF((VLOOKUP(Table6[[#This Row],[SKU]],'All Skus'!$A:$AC,2,FALSE))="JBL",(VLOOKUP(Table6[[#This Row],[SKU]],'All Skus'!$A:$AC,15,FALSE)),""))</f>
        <v>0</v>
      </c>
      <c r="N782" s="137">
        <f>(IF((VLOOKUP(Table6[[#This Row],[SKU]],'All Skus'!$A:$AC,2,FALSE))="JBL",(VLOOKUP(Table6[[#This Row],[SKU]],'All Skus'!$A:$AC,16,FALSE)),""))</f>
        <v>691991033544</v>
      </c>
      <c r="O782" s="61">
        <f>(IF((VLOOKUP(Table6[[#This Row],[SKU]],'All Skus'!$A:$AC,2,FALSE))="JBL",(VLOOKUP(Table6[[#This Row],[SKU]],'All Skus'!$A:$AC,17,FALSE)),""))</f>
        <v>0</v>
      </c>
      <c r="P782" s="136">
        <f>(IF((VLOOKUP(Table6[[#This Row],[SKU]],'All Skus'!$A:$AC,2,FALSE))="JBL",(VLOOKUP(Table6[[#This Row],[SKU]],'All Skus'!$A:$AC,18,FALSE)),""))</f>
        <v>32</v>
      </c>
      <c r="Q782" s="136">
        <f>(IF((VLOOKUP(Table6[[#This Row],[SKU]],'All Skus'!$A:$AC,2,FALSE))="JBL",(VLOOKUP(Table6[[#This Row],[SKU]],'All Skus'!$A:$AC,19,FALSE)),""))</f>
        <v>12.64</v>
      </c>
      <c r="R782" s="136">
        <f>(IF((VLOOKUP(Table6[[#This Row],[SKU]],'All Skus'!$A:$AC,2,FALSE))="JBL",(VLOOKUP(Table6[[#This Row],[SKU]],'All Skus'!$A:$AC,20,FALSE)),""))</f>
        <v>16.61</v>
      </c>
      <c r="S782" s="61">
        <f>(IF((VLOOKUP(Table6[[#This Row],[SKU]],'All Skus'!$A:$AC,2,FALSE))="JBL",(VLOOKUP(Table6[[#This Row],[SKU]],'All Skus'!$A:$AC,21,FALSE)),""))</f>
        <v>25.59</v>
      </c>
      <c r="T782" s="61" t="str">
        <f>(IF((VLOOKUP(Table6[[#This Row],[SKU]],'All Skus'!$A:$AC,2,FALSE))="JBL",(VLOOKUP(Table6[[#This Row],[SKU]],'All Skus'!$A:$AC,22,FALSE)),""))</f>
        <v>CN</v>
      </c>
      <c r="U782" t="str">
        <f>(IF((VLOOKUP(Table6[[#This Row],[SKU]],'All Skus'!$A:$AC,2,FALSE))="JBL",(VLOOKUP(Table6[[#This Row],[SKU]],'All Skus'!$A:$AC,23,FALSE)),""))</f>
        <v>Non Compliant</v>
      </c>
      <c r="V782" s="284" t="str">
        <f>HYPERLINK((IF((VLOOKUP(Table6[[#This Row],[SKU]],'All Skus'!$A:$AC,2,FALSE))="JBL",(VLOOKUP(Table6[[#This Row],[SKU]],'All Skus'!$A:$AC,24,FALSE)),"")))</f>
        <v/>
      </c>
      <c r="W782" s="151">
        <v>779</v>
      </c>
    </row>
    <row r="783" spans="1:23" ht="15" hidden="1" customHeight="1">
      <c r="A783" s="104" t="s">
        <v>1792</v>
      </c>
      <c r="B783" s="12" t="str">
        <f>(IF((VLOOKUP(Table6[[#This Row],[SKU]],'All Skus'!$A:$AC,2,FALSE))="JBL",(VLOOKUP(Table6[[#This Row],[SKU]],'All Skus'!$A:$AC,3,FALSE)),""))</f>
        <v>IRX Series</v>
      </c>
      <c r="C783" s="12" t="str">
        <f>(IF((VLOOKUP(Table6[[#This Row],[SKU]],'All Skus'!$A:$AC,2,FALSE))="JBL",(VLOOKUP(Table6[[#This Row],[SKU]],'All Skus'!$A:$AC,4,FALSE)),""))</f>
        <v>IRX115BT</v>
      </c>
      <c r="D783" s="61" t="str">
        <f>(IF((VLOOKUP(Table6[[#This Row],[SKU]],'All Skus'!$A:$AC,2,FALSE))="JBL",(VLOOKUP(Table6[[#This Row],[SKU]],'All Skus'!$A:$AC,5,FALSE)),""))</f>
        <v>JBL056</v>
      </c>
      <c r="E783" s="137">
        <f>(IF((VLOOKUP(Table6[[#This Row],[SKU]],'All Skus'!$A:$AC,2,FALSE))="JBL",(VLOOKUP(Table6[[#This Row],[SKU]],'All Skus'!$A:$AC,6,FALSE)),""))</f>
        <v>0</v>
      </c>
      <c r="F783" s="61">
        <f>(IF((VLOOKUP(Table6[[#This Row],[SKU]],'All Skus'!$A:$AC,2,FALSE))="JBL",(VLOOKUP(Table6[[#This Row],[SKU]],'All Skus'!$A:$AC,7,FALSE)),""))</f>
        <v>0</v>
      </c>
      <c r="G783" t="str">
        <f>(IF((VLOOKUP(Table6[[#This Row],[SKU]],'All Skus'!$A:$AC,2,FALSE))="JBL",(VLOOKUP(Table6[[#This Row],[SKU]],'All Skus'!$A:$AC,8,FALSE)),""))</f>
        <v>JBL IRX115S 15" Powered Subwoofer</v>
      </c>
      <c r="H783" s="8" t="str">
        <f>(IF((VLOOKUP(Table6[[#This Row],[SKU]],'All Skus'!$A:$AC,2,FALSE))="JBL",(VLOOKUP(Table6[[#This Row],[SKU]],'All Skus'!$A:$AC,9,FALSE)),""))</f>
        <v>JBL IRX115S 15" Powered Subwoofer</v>
      </c>
      <c r="I783" s="101">
        <f>(IF((VLOOKUP(Table6[[#This Row],[SKU]],'All Skus'!$A:$AC,2,FALSE))="JBL",(VLOOKUP(Table6[[#This Row],[SKU]],'All Skus'!$A:$AC,10,FALSE)),""))</f>
        <v>1030.48</v>
      </c>
      <c r="J783" s="101">
        <f>(IF((VLOOKUP(Table6[[#This Row],[SKU]],'All Skus'!$A:$AC,2,FALSE))="JBL",(VLOOKUP(Table6[[#This Row],[SKU]],'All Skus'!$A:$AC,11,FALSE)),""))</f>
        <v>825</v>
      </c>
      <c r="K783" s="102">
        <f>(IF((VLOOKUP(Table6[[#This Row],[SKU]],'All Skus'!$A:$AC,2,FALSE))="JBL",(VLOOKUP(Table6[[#This Row],[SKU]],'All Skus'!$A:$AC,13,FALSE)),""))</f>
        <v>0</v>
      </c>
      <c r="L783" s="102">
        <f>(IF((VLOOKUP(Table6[[#This Row],[SKU]],'All Skus'!$A:$AC,2,FALSE))="JBL",(VLOOKUP(Table6[[#This Row],[SKU]],'All Skus'!$A:$AC,14,FALSE)),""))</f>
        <v>0</v>
      </c>
      <c r="M783" s="143">
        <f>(IF((VLOOKUP(Table6[[#This Row],[SKU]],'All Skus'!$A:$AC,2,FALSE))="JBL",(VLOOKUP(Table6[[#This Row],[SKU]],'All Skus'!$A:$AC,15,FALSE)),""))</f>
        <v>0</v>
      </c>
      <c r="N783" s="137">
        <f>(IF((VLOOKUP(Table6[[#This Row],[SKU]],'All Skus'!$A:$AC,2,FALSE))="JBL",(VLOOKUP(Table6[[#This Row],[SKU]],'All Skus'!$A:$AC,16,FALSE)),""))</f>
        <v>691991034220</v>
      </c>
      <c r="O783" s="61">
        <f>(IF((VLOOKUP(Table6[[#This Row],[SKU]],'All Skus'!$A:$AC,2,FALSE))="JBL",(VLOOKUP(Table6[[#This Row],[SKU]],'All Skus'!$A:$AC,17,FALSE)),""))</f>
        <v>0</v>
      </c>
      <c r="P783" s="136">
        <f>(IF((VLOOKUP(Table6[[#This Row],[SKU]],'All Skus'!$A:$AC,2,FALSE))="JBL",(VLOOKUP(Table6[[#This Row],[SKU]],'All Skus'!$A:$AC,18,FALSE)),""))</f>
        <v>76</v>
      </c>
      <c r="Q783" s="136">
        <f>(IF((VLOOKUP(Table6[[#This Row],[SKU]],'All Skus'!$A:$AC,2,FALSE))="JBL",(VLOOKUP(Table6[[#This Row],[SKU]],'All Skus'!$A:$AC,19,FALSE)),""))</f>
        <v>18.897600000000001</v>
      </c>
      <c r="R783" s="136">
        <f>(IF((VLOOKUP(Table6[[#This Row],[SKU]],'All Skus'!$A:$AC,2,FALSE))="JBL",(VLOOKUP(Table6[[#This Row],[SKU]],'All Skus'!$A:$AC,20,FALSE)),""))</f>
        <v>18.897600000000001</v>
      </c>
      <c r="S783" s="61">
        <f>(IF((VLOOKUP(Table6[[#This Row],[SKU]],'All Skus'!$A:$AC,2,FALSE))="JBL",(VLOOKUP(Table6[[#This Row],[SKU]],'All Skus'!$A:$AC,21,FALSE)),""))</f>
        <v>23.622</v>
      </c>
      <c r="T783" s="61" t="str">
        <f>(IF((VLOOKUP(Table6[[#This Row],[SKU]],'All Skus'!$A:$AC,2,FALSE))="JBL",(VLOOKUP(Table6[[#This Row],[SKU]],'All Skus'!$A:$AC,22,FALSE)),""))</f>
        <v>CN</v>
      </c>
      <c r="U783" t="str">
        <f>(IF((VLOOKUP(Table6[[#This Row],[SKU]],'All Skus'!$A:$AC,2,FALSE))="JBL",(VLOOKUP(Table6[[#This Row],[SKU]],'All Skus'!$A:$AC,23,FALSE)),""))</f>
        <v>Non Compliant</v>
      </c>
      <c r="V783" s="284" t="str">
        <f>HYPERLINK((IF((VLOOKUP(Table6[[#This Row],[SKU]],'All Skus'!$A:$AC,2,FALSE))="JBL",(VLOOKUP(Table6[[#This Row],[SKU]],'All Skus'!$A:$AC,24,FALSE)),"")))</f>
        <v/>
      </c>
      <c r="W783" s="151">
        <v>780</v>
      </c>
    </row>
    <row r="784" spans="1:23" ht="15" hidden="1" customHeight="1">
      <c r="A784" s="13" t="s">
        <v>8389</v>
      </c>
      <c r="B784" t="s">
        <v>8390</v>
      </c>
      <c r="C784" s="12" t="s">
        <v>8391</v>
      </c>
      <c r="D784" s="61" t="s">
        <v>6988</v>
      </c>
      <c r="E784" s="61" t="s">
        <v>8372</v>
      </c>
      <c r="F784" s="61" t="s">
        <v>4048</v>
      </c>
      <c r="G784" t="s">
        <v>8392</v>
      </c>
      <c r="H784" s="8" t="s">
        <v>8393</v>
      </c>
      <c r="I784" s="288">
        <v>1299</v>
      </c>
      <c r="J784" s="288">
        <v>949</v>
      </c>
      <c r="K784" s="289">
        <v>0</v>
      </c>
      <c r="L784" s="289">
        <v>0</v>
      </c>
      <c r="M784" s="143">
        <v>1</v>
      </c>
      <c r="N784" s="137">
        <v>691991039898</v>
      </c>
      <c r="O784" s="61">
        <v>0</v>
      </c>
      <c r="P784" s="136">
        <v>40.545540000000003</v>
      </c>
      <c r="Q784" s="136">
        <v>15.551181102362206</v>
      </c>
      <c r="R784" s="136">
        <v>20.433070866141733</v>
      </c>
      <c r="S784" s="61">
        <v>28.543307086614174</v>
      </c>
      <c r="T784" t="s">
        <v>3028</v>
      </c>
      <c r="U784">
        <v>0</v>
      </c>
      <c r="V784" s="290" t="s">
        <v>8394</v>
      </c>
      <c r="W784" s="61">
        <v>781</v>
      </c>
    </row>
    <row r="785" spans="1:23" ht="15" hidden="1" customHeight="1">
      <c r="A785" s="104" t="s">
        <v>1793</v>
      </c>
      <c r="B785" s="12">
        <f>(IF((VLOOKUP(Table6[[#This Row],[SKU]],'All Skus'!$A:$AC,2,FALSE))="JBL",(VLOOKUP(Table6[[#This Row],[SKU]],'All Skus'!$A:$AC,3,FALSE)),""))</f>
        <v>0</v>
      </c>
      <c r="C785" s="12">
        <f>(IF((VLOOKUP(Table6[[#This Row],[SKU]],'All Skus'!$A:$AC,2,FALSE))="JBL",(VLOOKUP(Table6[[#This Row],[SKU]],'All Skus'!$A:$AC,4,FALSE)),""))</f>
        <v>0</v>
      </c>
      <c r="D785" s="61">
        <f>(IF((VLOOKUP(Table6[[#This Row],[SKU]],'All Skus'!$A:$AC,2,FALSE))="JBL",(VLOOKUP(Table6[[#This Row],[SKU]],'All Skus'!$A:$AC,5,FALSE)),""))</f>
        <v>0</v>
      </c>
      <c r="E785" s="137">
        <f>(IF((VLOOKUP(Table6[[#This Row],[SKU]],'All Skus'!$A:$AC,2,FALSE))="JBL",(VLOOKUP(Table6[[#This Row],[SKU]],'All Skus'!$A:$AC,6,FALSE)),""))</f>
        <v>0</v>
      </c>
      <c r="F785" s="61">
        <f>(IF((VLOOKUP(Table6[[#This Row],[SKU]],'All Skus'!$A:$AC,2,FALSE))="JBL",(VLOOKUP(Table6[[#This Row],[SKU]],'All Skus'!$A:$AC,7,FALSE)),""))</f>
        <v>0</v>
      </c>
      <c r="G785">
        <f>(IF((VLOOKUP(Table6[[#This Row],[SKU]],'All Skus'!$A:$AC,2,FALSE))="JBL",(VLOOKUP(Table6[[#This Row],[SKU]],'All Skus'!$A:$AC,8,FALSE)),""))</f>
        <v>0</v>
      </c>
      <c r="H785" s="8">
        <f>(IF((VLOOKUP(Table6[[#This Row],[SKU]],'All Skus'!$A:$AC,2,FALSE))="JBL",(VLOOKUP(Table6[[#This Row],[SKU]],'All Skus'!$A:$AC,9,FALSE)),""))</f>
        <v>0</v>
      </c>
      <c r="I785" s="101">
        <f>(IF((VLOOKUP(Table6[[#This Row],[SKU]],'All Skus'!$A:$AC,2,FALSE))="JBL",(VLOOKUP(Table6[[#This Row],[SKU]],'All Skus'!$A:$AC,10,FALSE)),""))</f>
        <v>0</v>
      </c>
      <c r="J785" s="101">
        <f>(IF((VLOOKUP(Table6[[#This Row],[SKU]],'All Skus'!$A:$AC,2,FALSE))="JBL",(VLOOKUP(Table6[[#This Row],[SKU]],'All Skus'!$A:$AC,11,FALSE)),""))</f>
        <v>0</v>
      </c>
      <c r="K785" s="102">
        <f>(IF((VLOOKUP(Table6[[#This Row],[SKU]],'All Skus'!$A:$AC,2,FALSE))="JBL",(VLOOKUP(Table6[[#This Row],[SKU]],'All Skus'!$A:$AC,13,FALSE)),""))</f>
        <v>0</v>
      </c>
      <c r="L785" s="102">
        <f>(IF((VLOOKUP(Table6[[#This Row],[SKU]],'All Skus'!$A:$AC,2,FALSE))="JBL",(VLOOKUP(Table6[[#This Row],[SKU]],'All Skus'!$A:$AC,14,FALSE)),""))</f>
        <v>0</v>
      </c>
      <c r="M785" s="143">
        <f>(IF((VLOOKUP(Table6[[#This Row],[SKU]],'All Skus'!$A:$AC,2,FALSE))="JBL",(VLOOKUP(Table6[[#This Row],[SKU]],'All Skus'!$A:$AC,15,FALSE)),""))</f>
        <v>0</v>
      </c>
      <c r="N785" s="137">
        <f>(IF((VLOOKUP(Table6[[#This Row],[SKU]],'All Skus'!$A:$AC,2,FALSE))="JBL",(VLOOKUP(Table6[[#This Row],[SKU]],'All Skus'!$A:$AC,16,FALSE)),""))</f>
        <v>0</v>
      </c>
      <c r="O785" s="61">
        <f>(IF((VLOOKUP(Table6[[#This Row],[SKU]],'All Skus'!$A:$AC,2,FALSE))="JBL",(VLOOKUP(Table6[[#This Row],[SKU]],'All Skus'!$A:$AC,17,FALSE)),""))</f>
        <v>0</v>
      </c>
      <c r="P785" s="136">
        <f>(IF((VLOOKUP(Table6[[#This Row],[SKU]],'All Skus'!$A:$AC,2,FALSE))="JBL",(VLOOKUP(Table6[[#This Row],[SKU]],'All Skus'!$A:$AC,18,FALSE)),""))</f>
        <v>0</v>
      </c>
      <c r="Q785" s="136">
        <f>(IF((VLOOKUP(Table6[[#This Row],[SKU]],'All Skus'!$A:$AC,2,FALSE))="JBL",(VLOOKUP(Table6[[#This Row],[SKU]],'All Skus'!$A:$AC,19,FALSE)),""))</f>
        <v>0</v>
      </c>
      <c r="R785" s="136">
        <f>(IF((VLOOKUP(Table6[[#This Row],[SKU]],'All Skus'!$A:$AC,2,FALSE))="JBL",(VLOOKUP(Table6[[#This Row],[SKU]],'All Skus'!$A:$AC,20,FALSE)),""))</f>
        <v>0</v>
      </c>
      <c r="S785" s="61">
        <f>(IF((VLOOKUP(Table6[[#This Row],[SKU]],'All Skus'!$A:$AC,2,FALSE))="JBL",(VLOOKUP(Table6[[#This Row],[SKU]],'All Skus'!$A:$AC,21,FALSE)),""))</f>
        <v>0</v>
      </c>
      <c r="T785" s="61" t="str">
        <f>(IF((VLOOKUP(Table6[[#This Row],[SKU]],'All Skus'!$A:$AC,2,FALSE))="JBL",(VLOOKUP(Table6[[#This Row],[SKU]],'All Skus'!$A:$AC,22,FALSE)),""))</f>
        <v>MX</v>
      </c>
      <c r="U785" t="str">
        <f>(IF((VLOOKUP(Table6[[#This Row],[SKU]],'All Skus'!$A:$AC,2,FALSE))="JBL",(VLOOKUP(Table6[[#This Row],[SKU]],'All Skus'!$A:$AC,23,FALSE)),""))</f>
        <v>Compliant</v>
      </c>
      <c r="V785" s="284" t="str">
        <f>HYPERLINK((IF((VLOOKUP(Table6[[#This Row],[SKU]],'All Skus'!$A:$AC,2,FALSE))="JBL",(VLOOKUP(Table6[[#This Row],[SKU]],'All Skus'!$A:$AC,24,FALSE)),"")))</f>
        <v/>
      </c>
      <c r="W785" s="151">
        <v>782</v>
      </c>
    </row>
    <row r="786" spans="1:23" ht="15" hidden="1" customHeight="1">
      <c r="A786" s="13" t="s">
        <v>1795</v>
      </c>
      <c r="B786" s="12" t="str">
        <f>(IF((VLOOKUP(Table6[[#This Row],[SKU]],'All Skus'!$A:$AC,2,FALSE))="JBL",(VLOOKUP(Table6[[#This Row],[SKU]],'All Skus'!$A:$AC,3,FALSE)),""))</f>
        <v>JRX SERIES</v>
      </c>
      <c r="C786" s="12" t="str">
        <f>(IF((VLOOKUP(Table6[[#This Row],[SKU]],'All Skus'!$A:$AC,2,FALSE))="JBL",(VLOOKUP(Table6[[#This Row],[SKU]],'All Skus'!$A:$AC,4,FALSE)),""))</f>
        <v>JRX215</v>
      </c>
      <c r="D786" s="61" t="str">
        <f>(IF((VLOOKUP(Table6[[#This Row],[SKU]],'All Skus'!$A:$AC,2,FALSE))="JBL",(VLOOKUP(Table6[[#This Row],[SKU]],'All Skus'!$A:$AC,5,FALSE)),""))</f>
        <v>JBL012</v>
      </c>
      <c r="E786" s="137">
        <f>(IF((VLOOKUP(Table6[[#This Row],[SKU]],'All Skus'!$A:$AC,2,FALSE))="JBL",(VLOOKUP(Table6[[#This Row],[SKU]],'All Skus'!$A:$AC,6,FALSE)),""))</f>
        <v>0</v>
      </c>
      <c r="F786" s="61">
        <f>(IF((VLOOKUP(Table6[[#This Row],[SKU]],'All Skus'!$A:$AC,2,FALSE))="JBL",(VLOOKUP(Table6[[#This Row],[SKU]],'All Skus'!$A:$AC,7,FALSE)),""))</f>
        <v>0</v>
      </c>
      <c r="G786" t="str">
        <f>(IF((VLOOKUP(Table6[[#This Row],[SKU]],'All Skus'!$A:$AC,2,FALSE))="JBL",(VLOOKUP(Table6[[#This Row],[SKU]],'All Skus'!$A:$AC,8,FALSE)),""))</f>
        <v xml:space="preserve">15" Two-Way Front of House Passive Speaker </v>
      </c>
      <c r="H786" s="8" t="str">
        <f>(IF((VLOOKUP(Table6[[#This Row],[SKU]],'All Skus'!$A:$AC,2,FALSE))="JBL",(VLOOKUP(Table6[[#This Row],[SKU]],'All Skus'!$A:$AC,9,FALSE)),""))</f>
        <v>15" two-way front of house passive speaker system; 1000 Watt peak power handling, 128dB Maximum SPL, 8 ohms. 19mm MDF enclosure, 18-gauge hexagon perforated steel grille. Net Weight 27.4kg (60.5 lbs).</v>
      </c>
      <c r="I786" s="101">
        <f>(IF((VLOOKUP(Table6[[#This Row],[SKU]],'All Skus'!$A:$AC,2,FALSE))="JBL",(VLOOKUP(Table6[[#This Row],[SKU]],'All Skus'!$A:$AC,10,FALSE)),""))</f>
        <v>471.43</v>
      </c>
      <c r="J786" s="101">
        <f>(IF((VLOOKUP(Table6[[#This Row],[SKU]],'All Skus'!$A:$AC,2,FALSE))="JBL",(VLOOKUP(Table6[[#This Row],[SKU]],'All Skus'!$A:$AC,11,FALSE)),""))</f>
        <v>370</v>
      </c>
      <c r="K786" s="102">
        <f>(IF((VLOOKUP(Table6[[#This Row],[SKU]],'All Skus'!$A:$AC,2,FALSE))="JBL",(VLOOKUP(Table6[[#This Row],[SKU]],'All Skus'!$A:$AC,13,FALSE)),""))</f>
        <v>0</v>
      </c>
      <c r="L786" s="102">
        <f>(IF((VLOOKUP(Table6[[#This Row],[SKU]],'All Skus'!$A:$AC,2,FALSE))="JBL",(VLOOKUP(Table6[[#This Row],[SKU]],'All Skus'!$A:$AC,14,FALSE)),""))</f>
        <v>0</v>
      </c>
      <c r="M786" s="143">
        <f>(IF((VLOOKUP(Table6[[#This Row],[SKU]],'All Skus'!$A:$AC,2,FALSE))="JBL",(VLOOKUP(Table6[[#This Row],[SKU]],'All Skus'!$A:$AC,15,FALSE)),""))</f>
        <v>0</v>
      </c>
      <c r="N786" s="137">
        <f>(IF((VLOOKUP(Table6[[#This Row],[SKU]],'All Skus'!$A:$AC,2,FALSE))="JBL",(VLOOKUP(Table6[[#This Row],[SKU]],'All Skus'!$A:$AC,16,FALSE)),""))</f>
        <v>50036904506</v>
      </c>
      <c r="O786" s="61">
        <f>(IF((VLOOKUP(Table6[[#This Row],[SKU]],'All Skus'!$A:$AC,2,FALSE))="JBL",(VLOOKUP(Table6[[#This Row],[SKU]],'All Skus'!$A:$AC,17,FALSE)),""))</f>
        <v>0</v>
      </c>
      <c r="P786" s="136">
        <f>(IF((VLOOKUP(Table6[[#This Row],[SKU]],'All Skus'!$A:$AC,2,FALSE))="JBL",(VLOOKUP(Table6[[#This Row],[SKU]],'All Skus'!$A:$AC,18,FALSE)),""))</f>
        <v>66.5</v>
      </c>
      <c r="Q786" s="136">
        <f>(IF((VLOOKUP(Table6[[#This Row],[SKU]],'All Skus'!$A:$AC,2,FALSE))="JBL",(VLOOKUP(Table6[[#This Row],[SKU]],'All Skus'!$A:$AC,19,FALSE)),""))</f>
        <v>19.5</v>
      </c>
      <c r="R786" s="136">
        <f>(IF((VLOOKUP(Table6[[#This Row],[SKU]],'All Skus'!$A:$AC,2,FALSE))="JBL",(VLOOKUP(Table6[[#This Row],[SKU]],'All Skus'!$A:$AC,20,FALSE)),""))</f>
        <v>18.5</v>
      </c>
      <c r="S786" s="61">
        <f>(IF((VLOOKUP(Table6[[#This Row],[SKU]],'All Skus'!$A:$AC,2,FALSE))="JBL",(VLOOKUP(Table6[[#This Row],[SKU]],'All Skus'!$A:$AC,21,FALSE)),""))</f>
        <v>29</v>
      </c>
      <c r="T786" s="61" t="str">
        <f>(IF((VLOOKUP(Table6[[#This Row],[SKU]],'All Skus'!$A:$AC,2,FALSE))="JBL",(VLOOKUP(Table6[[#This Row],[SKU]],'All Skus'!$A:$AC,22,FALSE)),""))</f>
        <v>MX</v>
      </c>
      <c r="U786" t="str">
        <f>(IF((VLOOKUP(Table6[[#This Row],[SKU]],'All Skus'!$A:$AC,2,FALSE))="JBL",(VLOOKUP(Table6[[#This Row],[SKU]],'All Skus'!$A:$AC,23,FALSE)),""))</f>
        <v>Compliant</v>
      </c>
      <c r="V786" s="284" t="str">
        <f>HYPERLINK((IF((VLOOKUP(Table6[[#This Row],[SKU]],'All Skus'!$A:$AC,2,FALSE))="JBL",(VLOOKUP(Table6[[#This Row],[SKU]],'All Skus'!$A:$AC,24,FALSE)),"")))</f>
        <v>http://www.jblpro.com/www/products/portable-market/jrx200-series/jrx215#.VkxRs4RqBJo</v>
      </c>
      <c r="W786" s="151">
        <v>783</v>
      </c>
    </row>
    <row r="787" spans="1:23" ht="15" hidden="1" customHeight="1">
      <c r="A787" s="13" t="s">
        <v>1794</v>
      </c>
      <c r="B787" s="12" t="str">
        <f>(IF((VLOOKUP(Table6[[#This Row],[SKU]],'All Skus'!$A:$AC,2,FALSE))="JBL",(VLOOKUP(Table6[[#This Row],[SKU]],'All Skus'!$A:$AC,3,FALSE)),""))</f>
        <v>JRX SERIES</v>
      </c>
      <c r="C787" s="12" t="str">
        <f>(IF((VLOOKUP(Table6[[#This Row],[SKU]],'All Skus'!$A:$AC,2,FALSE))="JBL",(VLOOKUP(Table6[[#This Row],[SKU]],'All Skus'!$A:$AC,4,FALSE)),""))</f>
        <v>JRX212</v>
      </c>
      <c r="D787" s="61" t="str">
        <f>(IF((VLOOKUP(Table6[[#This Row],[SKU]],'All Skus'!$A:$AC,2,FALSE))="JBL",(VLOOKUP(Table6[[#This Row],[SKU]],'All Skus'!$A:$AC,5,FALSE)),""))</f>
        <v>JBL012</v>
      </c>
      <c r="E787" s="137">
        <f>(IF((VLOOKUP(Table6[[#This Row],[SKU]],'All Skus'!$A:$AC,2,FALSE))="JBL",(VLOOKUP(Table6[[#This Row],[SKU]],'All Skus'!$A:$AC,6,FALSE)),""))</f>
        <v>0</v>
      </c>
      <c r="F787" s="61">
        <f>(IF((VLOOKUP(Table6[[#This Row],[SKU]],'All Skus'!$A:$AC,2,FALSE))="JBL",(VLOOKUP(Table6[[#This Row],[SKU]],'All Skus'!$A:$AC,7,FALSE)),""))</f>
        <v>0</v>
      </c>
      <c r="G787" t="str">
        <f>(IF((VLOOKUP(Table6[[#This Row],[SKU]],'All Skus'!$A:$AC,2,FALSE))="JBL",(VLOOKUP(Table6[[#This Row],[SKU]],'All Skus'!$A:$AC,8,FALSE)),""))</f>
        <v>12" Two-Way Stage Monitor Speaker</v>
      </c>
      <c r="H787" s="8" t="str">
        <f>(IF((VLOOKUP(Table6[[#This Row],[SKU]],'All Skus'!$A:$AC,2,FALSE))="JBL",(VLOOKUP(Table6[[#This Row],[SKU]],'All Skus'!$A:$AC,9,FALSE)),""))</f>
        <v>12" two-way stage monitor or front of house passive speaker system; 1000 Watt peak power handling, 129dB Maximum SPL, 8 ohms. 19mm MDF enclosure, 18-gauge hexagon perforated steel grille. Net Weight 19.5kg (43 lbs).</v>
      </c>
      <c r="I787" s="101">
        <f>(IF((VLOOKUP(Table6[[#This Row],[SKU]],'All Skus'!$A:$AC,2,FALSE))="JBL",(VLOOKUP(Table6[[#This Row],[SKU]],'All Skus'!$A:$AC,10,FALSE)),""))</f>
        <v>393.28</v>
      </c>
      <c r="J787" s="101">
        <f>(IF((VLOOKUP(Table6[[#This Row],[SKU]],'All Skus'!$A:$AC,2,FALSE))="JBL",(VLOOKUP(Table6[[#This Row],[SKU]],'All Skus'!$A:$AC,11,FALSE)),""))</f>
        <v>309</v>
      </c>
      <c r="K787" s="102">
        <f>(IF((VLOOKUP(Table6[[#This Row],[SKU]],'All Skus'!$A:$AC,2,FALSE))="JBL",(VLOOKUP(Table6[[#This Row],[SKU]],'All Skus'!$A:$AC,13,FALSE)),""))</f>
        <v>0</v>
      </c>
      <c r="L787" s="102">
        <f>(IF((VLOOKUP(Table6[[#This Row],[SKU]],'All Skus'!$A:$AC,2,FALSE))="JBL",(VLOOKUP(Table6[[#This Row],[SKU]],'All Skus'!$A:$AC,14,FALSE)),""))</f>
        <v>0</v>
      </c>
      <c r="M787" s="143">
        <f>(IF((VLOOKUP(Table6[[#This Row],[SKU]],'All Skus'!$A:$AC,2,FALSE))="JBL",(VLOOKUP(Table6[[#This Row],[SKU]],'All Skus'!$A:$AC,15,FALSE)),""))</f>
        <v>0</v>
      </c>
      <c r="N787" s="137">
        <f>(IF((VLOOKUP(Table6[[#This Row],[SKU]],'All Skus'!$A:$AC,2,FALSE))="JBL",(VLOOKUP(Table6[[#This Row],[SKU]],'All Skus'!$A:$AC,16,FALSE)),""))</f>
        <v>50036904490</v>
      </c>
      <c r="O787" s="61">
        <f>(IF((VLOOKUP(Table6[[#This Row],[SKU]],'All Skus'!$A:$AC,2,FALSE))="JBL",(VLOOKUP(Table6[[#This Row],[SKU]],'All Skus'!$A:$AC,17,FALSE)),""))</f>
        <v>0</v>
      </c>
      <c r="P787" s="136">
        <f>(IF((VLOOKUP(Table6[[#This Row],[SKU]],'All Skus'!$A:$AC,2,FALSE))="JBL",(VLOOKUP(Table6[[#This Row],[SKU]],'All Skus'!$A:$AC,18,FALSE)),""))</f>
        <v>46</v>
      </c>
      <c r="Q787" s="136">
        <f>(IF((VLOOKUP(Table6[[#This Row],[SKU]],'All Skus'!$A:$AC,2,FALSE))="JBL",(VLOOKUP(Table6[[#This Row],[SKU]],'All Skus'!$A:$AC,19,FALSE)),""))</f>
        <v>17</v>
      </c>
      <c r="R787" s="136">
        <f>(IF((VLOOKUP(Table6[[#This Row],[SKU]],'All Skus'!$A:$AC,2,FALSE))="JBL",(VLOOKUP(Table6[[#This Row],[SKU]],'All Skus'!$A:$AC,20,FALSE)),""))</f>
        <v>14.25</v>
      </c>
      <c r="S787" s="61">
        <f>(IF((VLOOKUP(Table6[[#This Row],[SKU]],'All Skus'!$A:$AC,2,FALSE))="JBL",(VLOOKUP(Table6[[#This Row],[SKU]],'All Skus'!$A:$AC,21,FALSE)),""))</f>
        <v>24.75</v>
      </c>
      <c r="T787" s="61" t="str">
        <f>(IF((VLOOKUP(Table6[[#This Row],[SKU]],'All Skus'!$A:$AC,2,FALSE))="JBL",(VLOOKUP(Table6[[#This Row],[SKU]],'All Skus'!$A:$AC,22,FALSE)),""))</f>
        <v>MX</v>
      </c>
      <c r="U787" t="str">
        <f>(IF((VLOOKUP(Table6[[#This Row],[SKU]],'All Skus'!$A:$AC,2,FALSE))="JBL",(VLOOKUP(Table6[[#This Row],[SKU]],'All Skus'!$A:$AC,23,FALSE)),""))</f>
        <v>Compliant</v>
      </c>
      <c r="V787" s="284" t="str">
        <f>HYPERLINK((IF((VLOOKUP(Table6[[#This Row],[SKU]],'All Skus'!$A:$AC,2,FALSE))="JBL",(VLOOKUP(Table6[[#This Row],[SKU]],'All Skus'!$A:$AC,24,FALSE)),"")))</f>
        <v>http://www.jblpro.com/www/products/portable-market/jrx200-series/jrx212#.VkxRk4RqBJo</v>
      </c>
      <c r="W787" s="151">
        <v>784</v>
      </c>
    </row>
    <row r="788" spans="1:23" ht="15" hidden="1" customHeight="1">
      <c r="A788" s="13" t="s">
        <v>1797</v>
      </c>
      <c r="B788" s="12" t="str">
        <f>(IF((VLOOKUP(Table6[[#This Row],[SKU]],'All Skus'!$A:$AC,2,FALSE))="JBL",(VLOOKUP(Table6[[#This Row],[SKU]],'All Skus'!$A:$AC,3,FALSE)),""))</f>
        <v>JRX SERIES</v>
      </c>
      <c r="C788" s="12" t="str">
        <f>(IF((VLOOKUP(Table6[[#This Row],[SKU]],'All Skus'!$A:$AC,2,FALSE))="JBL",(VLOOKUP(Table6[[#This Row],[SKU]],'All Skus'!$A:$AC,4,FALSE)),""))</f>
        <v>JRX225</v>
      </c>
      <c r="D788" s="61" t="str">
        <f>(IF((VLOOKUP(Table6[[#This Row],[SKU]],'All Skus'!$A:$AC,2,FALSE))="JBL",(VLOOKUP(Table6[[#This Row],[SKU]],'All Skus'!$A:$AC,5,FALSE)),""))</f>
        <v>JBL012</v>
      </c>
      <c r="E788" s="137">
        <f>(IF((VLOOKUP(Table6[[#This Row],[SKU]],'All Skus'!$A:$AC,2,FALSE))="JBL",(VLOOKUP(Table6[[#This Row],[SKU]],'All Skus'!$A:$AC,6,FALSE)),""))</f>
        <v>0</v>
      </c>
      <c r="F788" s="61">
        <f>(IF((VLOOKUP(Table6[[#This Row],[SKU]],'All Skus'!$A:$AC,2,FALSE))="JBL",(VLOOKUP(Table6[[#This Row],[SKU]],'All Skus'!$A:$AC,7,FALSE)),""))</f>
        <v>0</v>
      </c>
      <c r="G788" t="str">
        <f>(IF((VLOOKUP(Table6[[#This Row],[SKU]],'All Skus'!$A:$AC,2,FALSE))="JBL",(VLOOKUP(Table6[[#This Row],[SKU]],'All Skus'!$A:$AC,8,FALSE)),""))</f>
        <v xml:space="preserve">Dual 15" Two-Way Front of House Passive Speaker </v>
      </c>
      <c r="H788" s="8" t="str">
        <f>(IF((VLOOKUP(Table6[[#This Row],[SKU]],'All Skus'!$A:$AC,2,FALSE))="JBL",(VLOOKUP(Table6[[#This Row],[SKU]],'All Skus'!$A:$AC,9,FALSE)),""))</f>
        <v>Dual 15" two-way front of house passive speaker system; 2000 Watt peak power handling, 133dB Maximum SPL, 4 ohms. 19mm MDF enclosure, 18-gauge hexagon perforated steel grille. Net Weight 42.6kg (94 lbs).</v>
      </c>
      <c r="I788" s="101">
        <f>(IF((VLOOKUP(Table6[[#This Row],[SKU]],'All Skus'!$A:$AC,2,FALSE))="JBL",(VLOOKUP(Table6[[#This Row],[SKU]],'All Skus'!$A:$AC,10,FALSE)),""))</f>
        <v>708.39</v>
      </c>
      <c r="J788" s="101">
        <f>(IF((VLOOKUP(Table6[[#This Row],[SKU]],'All Skus'!$A:$AC,2,FALSE))="JBL",(VLOOKUP(Table6[[#This Row],[SKU]],'All Skus'!$A:$AC,11,FALSE)),""))</f>
        <v>569</v>
      </c>
      <c r="K788" s="102">
        <f>(IF((VLOOKUP(Table6[[#This Row],[SKU]],'All Skus'!$A:$AC,2,FALSE))="JBL",(VLOOKUP(Table6[[#This Row],[SKU]],'All Skus'!$A:$AC,13,FALSE)),""))</f>
        <v>0</v>
      </c>
      <c r="L788" s="102">
        <f>(IF((VLOOKUP(Table6[[#This Row],[SKU]],'All Skus'!$A:$AC,2,FALSE))="JBL",(VLOOKUP(Table6[[#This Row],[SKU]],'All Skus'!$A:$AC,14,FALSE)),""))</f>
        <v>0</v>
      </c>
      <c r="M788" s="143">
        <f>(IF((VLOOKUP(Table6[[#This Row],[SKU]],'All Skus'!$A:$AC,2,FALSE))="JBL",(VLOOKUP(Table6[[#This Row],[SKU]],'All Skus'!$A:$AC,15,FALSE)),""))</f>
        <v>0</v>
      </c>
      <c r="N788" s="137">
        <f>(IF((VLOOKUP(Table6[[#This Row],[SKU]],'All Skus'!$A:$AC,2,FALSE))="JBL",(VLOOKUP(Table6[[#This Row],[SKU]],'All Skus'!$A:$AC,16,FALSE)),""))</f>
        <v>50036904513</v>
      </c>
      <c r="O788" s="61">
        <f>(IF((VLOOKUP(Table6[[#This Row],[SKU]],'All Skus'!$A:$AC,2,FALSE))="JBL",(VLOOKUP(Table6[[#This Row],[SKU]],'All Skus'!$A:$AC,17,FALSE)),""))</f>
        <v>0</v>
      </c>
      <c r="P788" s="136">
        <f>(IF((VLOOKUP(Table6[[#This Row],[SKU]],'All Skus'!$A:$AC,2,FALSE))="JBL",(VLOOKUP(Table6[[#This Row],[SKU]],'All Skus'!$A:$AC,18,FALSE)),""))</f>
        <v>101</v>
      </c>
      <c r="Q788" s="136">
        <f>(IF((VLOOKUP(Table6[[#This Row],[SKU]],'All Skus'!$A:$AC,2,FALSE))="JBL",(VLOOKUP(Table6[[#This Row],[SKU]],'All Skus'!$A:$AC,19,FALSE)),""))</f>
        <v>19.75</v>
      </c>
      <c r="R788" s="136">
        <f>(IF((VLOOKUP(Table6[[#This Row],[SKU]],'All Skus'!$A:$AC,2,FALSE))="JBL",(VLOOKUP(Table6[[#This Row],[SKU]],'All Skus'!$A:$AC,20,FALSE)),""))</f>
        <v>18.5</v>
      </c>
      <c r="S788" s="61">
        <f>(IF((VLOOKUP(Table6[[#This Row],[SKU]],'All Skus'!$A:$AC,2,FALSE))="JBL",(VLOOKUP(Table6[[#This Row],[SKU]],'All Skus'!$A:$AC,21,FALSE)),""))</f>
        <v>44.5</v>
      </c>
      <c r="T788" s="61" t="str">
        <f>(IF((VLOOKUP(Table6[[#This Row],[SKU]],'All Skus'!$A:$AC,2,FALSE))="JBL",(VLOOKUP(Table6[[#This Row],[SKU]],'All Skus'!$A:$AC,22,FALSE)),""))</f>
        <v>MX</v>
      </c>
      <c r="U788">
        <f>(IF((VLOOKUP(Table6[[#This Row],[SKU]],'All Skus'!$A:$AC,2,FALSE))="JBL",(VLOOKUP(Table6[[#This Row],[SKU]],'All Skus'!$A:$AC,23,FALSE)),""))</f>
        <v>0</v>
      </c>
      <c r="V788" s="284" t="str">
        <f>HYPERLINK((IF((VLOOKUP(Table6[[#This Row],[SKU]],'All Skus'!$A:$AC,2,FALSE))="JBL",(VLOOKUP(Table6[[#This Row],[SKU]],'All Skus'!$A:$AC,24,FALSE)),"")))</f>
        <v>http://www.jblpro.com/www/products/portable-market/jrx200-series/jrx225#.VkxR3oRqBJo</v>
      </c>
      <c r="W788" s="151">
        <v>785</v>
      </c>
    </row>
    <row r="789" spans="1:23" ht="15" hidden="1" customHeight="1">
      <c r="A789" s="13" t="s">
        <v>1796</v>
      </c>
      <c r="B789" s="12" t="str">
        <f>(IF((VLOOKUP(Table6[[#This Row],[SKU]],'All Skus'!$A:$AC,2,FALSE))="JBL",(VLOOKUP(Table6[[#This Row],[SKU]],'All Skus'!$A:$AC,3,FALSE)),""))</f>
        <v>JRX SERIES</v>
      </c>
      <c r="C789" s="12" t="str">
        <f>(IF((VLOOKUP(Table6[[#This Row],[SKU]],'All Skus'!$A:$AC,2,FALSE))="JBL",(VLOOKUP(Table6[[#This Row],[SKU]],'All Skus'!$A:$AC,4,FALSE)),""))</f>
        <v>JRX218S</v>
      </c>
      <c r="D789" s="61" t="str">
        <f>(IF((VLOOKUP(Table6[[#This Row],[SKU]],'All Skus'!$A:$AC,2,FALSE))="JBL",(VLOOKUP(Table6[[#This Row],[SKU]],'All Skus'!$A:$AC,5,FALSE)),""))</f>
        <v>JBL012</v>
      </c>
      <c r="E789" s="137">
        <f>(IF((VLOOKUP(Table6[[#This Row],[SKU]],'All Skus'!$A:$AC,2,FALSE))="JBL",(VLOOKUP(Table6[[#This Row],[SKU]],'All Skus'!$A:$AC,6,FALSE)),""))</f>
        <v>0</v>
      </c>
      <c r="F789" s="61">
        <f>(IF((VLOOKUP(Table6[[#This Row],[SKU]],'All Skus'!$A:$AC,2,FALSE))="JBL",(VLOOKUP(Table6[[#This Row],[SKU]],'All Skus'!$A:$AC,7,FALSE)),""))</f>
        <v>0</v>
      </c>
      <c r="G789" t="str">
        <f>(IF((VLOOKUP(Table6[[#This Row],[SKU]],'All Skus'!$A:$AC,2,FALSE))="JBL",(VLOOKUP(Table6[[#This Row],[SKU]],'All Skus'!$A:$AC,8,FALSE)),""))</f>
        <v xml:space="preserve">18" Passive Compact Subwoofer </v>
      </c>
      <c r="H789" s="8" t="str">
        <f>(IF((VLOOKUP(Table6[[#This Row],[SKU]],'All Skus'!$A:$AC,2,FALSE))="JBL",(VLOOKUP(Table6[[#This Row],[SKU]],'All Skus'!$A:$AC,9,FALSE)),""))</f>
        <v>18" passive compact subwoofer; 1400 Watt peak power handling, 127dB Maximum SPL, 4 ohms. 19mm MDF enclosure, 18-gauge hexagon perforated steel grille. Net Weight 40.4kg (89 lbs).</v>
      </c>
      <c r="I789" s="101">
        <f>(IF((VLOOKUP(Table6[[#This Row],[SKU]],'All Skus'!$A:$AC,2,FALSE))="JBL",(VLOOKUP(Table6[[#This Row],[SKU]],'All Skus'!$A:$AC,10,FALSE)),""))</f>
        <v>786.54</v>
      </c>
      <c r="J789" s="101">
        <f>(IF((VLOOKUP(Table6[[#This Row],[SKU]],'All Skus'!$A:$AC,2,FALSE))="JBL",(VLOOKUP(Table6[[#This Row],[SKU]],'All Skus'!$A:$AC,11,FALSE)),""))</f>
        <v>639</v>
      </c>
      <c r="K789" s="102">
        <f>(IF((VLOOKUP(Table6[[#This Row],[SKU]],'All Skus'!$A:$AC,2,FALSE))="JBL",(VLOOKUP(Table6[[#This Row],[SKU]],'All Skus'!$A:$AC,13,FALSE)),""))</f>
        <v>0</v>
      </c>
      <c r="L789" s="102">
        <f>(IF((VLOOKUP(Table6[[#This Row],[SKU]],'All Skus'!$A:$AC,2,FALSE))="JBL",(VLOOKUP(Table6[[#This Row],[SKU]],'All Skus'!$A:$AC,14,FALSE)),""))</f>
        <v>0</v>
      </c>
      <c r="M789" s="143">
        <f>(IF((VLOOKUP(Table6[[#This Row],[SKU]],'All Skus'!$A:$AC,2,FALSE))="JBL",(VLOOKUP(Table6[[#This Row],[SKU]],'All Skus'!$A:$AC,15,FALSE)),""))</f>
        <v>0</v>
      </c>
      <c r="N789" s="137">
        <f>(IF((VLOOKUP(Table6[[#This Row],[SKU]],'All Skus'!$A:$AC,2,FALSE))="JBL",(VLOOKUP(Table6[[#This Row],[SKU]],'All Skus'!$A:$AC,16,FALSE)),""))</f>
        <v>50036904520</v>
      </c>
      <c r="O789" s="61">
        <f>(IF((VLOOKUP(Table6[[#This Row],[SKU]],'All Skus'!$A:$AC,2,FALSE))="JBL",(VLOOKUP(Table6[[#This Row],[SKU]],'All Skus'!$A:$AC,17,FALSE)),""))</f>
        <v>0</v>
      </c>
      <c r="P789" s="136">
        <f>(IF((VLOOKUP(Table6[[#This Row],[SKU]],'All Skus'!$A:$AC,2,FALSE))="JBL",(VLOOKUP(Table6[[#This Row],[SKU]],'All Skus'!$A:$AC,18,FALSE)),""))</f>
        <v>85</v>
      </c>
      <c r="Q789" s="136">
        <f>(IF((VLOOKUP(Table6[[#This Row],[SKU]],'All Skus'!$A:$AC,2,FALSE))="JBL",(VLOOKUP(Table6[[#This Row],[SKU]],'All Skus'!$A:$AC,19,FALSE)),""))</f>
        <v>23</v>
      </c>
      <c r="R789" s="136">
        <f>(IF((VLOOKUP(Table6[[#This Row],[SKU]],'All Skus'!$A:$AC,2,FALSE))="JBL",(VLOOKUP(Table6[[#This Row],[SKU]],'All Skus'!$A:$AC,20,FALSE)),""))</f>
        <v>21.5</v>
      </c>
      <c r="S789" s="61">
        <f>(IF((VLOOKUP(Table6[[#This Row],[SKU]],'All Skus'!$A:$AC,2,FALSE))="JBL",(VLOOKUP(Table6[[#This Row],[SKU]],'All Skus'!$A:$AC,21,FALSE)),""))</f>
        <v>26</v>
      </c>
      <c r="T789" s="61" t="str">
        <f>(IF((VLOOKUP(Table6[[#This Row],[SKU]],'All Skus'!$A:$AC,2,FALSE))="JBL",(VLOOKUP(Table6[[#This Row],[SKU]],'All Skus'!$A:$AC,22,FALSE)),""))</f>
        <v>MX</v>
      </c>
      <c r="U789" t="str">
        <f>(IF((VLOOKUP(Table6[[#This Row],[SKU]],'All Skus'!$A:$AC,2,FALSE))="JBL",(VLOOKUP(Table6[[#This Row],[SKU]],'All Skus'!$A:$AC,23,FALSE)),""))</f>
        <v>Compliant</v>
      </c>
      <c r="V789" s="284" t="str">
        <f>HYPERLINK((IF((VLOOKUP(Table6[[#This Row],[SKU]],'All Skus'!$A:$AC,2,FALSE))="JBL",(VLOOKUP(Table6[[#This Row],[SKU]],'All Skus'!$A:$AC,24,FALSE)),"")))</f>
        <v>http://www.jblpro.com/www/products/portable-market/jrx200-series/jrx218s#.VkxR0YRqBJo</v>
      </c>
      <c r="W789" s="151">
        <v>786</v>
      </c>
    </row>
    <row r="790" spans="1:23" ht="15" hidden="1" customHeight="1">
      <c r="A790" s="91" t="s">
        <v>1799</v>
      </c>
      <c r="B790" s="12">
        <f>(IF((VLOOKUP(Table6[[#This Row],[SKU]],'All Skus'!$A:$AC,2,FALSE))="JBL",(VLOOKUP(Table6[[#This Row],[SKU]],'All Skus'!$A:$AC,3,FALSE)),""))</f>
        <v>0</v>
      </c>
      <c r="C790" s="12">
        <f>(IF((VLOOKUP(Table6[[#This Row],[SKU]],'All Skus'!$A:$AC,2,FALSE))="JBL",(VLOOKUP(Table6[[#This Row],[SKU]],'All Skus'!$A:$AC,4,FALSE)),""))</f>
        <v>0</v>
      </c>
      <c r="D790" s="61">
        <f>(IF((VLOOKUP(Table6[[#This Row],[SKU]],'All Skus'!$A:$AC,2,FALSE))="JBL",(VLOOKUP(Table6[[#This Row],[SKU]],'All Skus'!$A:$AC,5,FALSE)),""))</f>
        <v>0</v>
      </c>
      <c r="E790" s="137">
        <f>(IF((VLOOKUP(Table6[[#This Row],[SKU]],'All Skus'!$A:$AC,2,FALSE))="JBL",(VLOOKUP(Table6[[#This Row],[SKU]],'All Skus'!$A:$AC,6,FALSE)),""))</f>
        <v>0</v>
      </c>
      <c r="F790" s="61">
        <f>(IF((VLOOKUP(Table6[[#This Row],[SKU]],'All Skus'!$A:$AC,2,FALSE))="JBL",(VLOOKUP(Table6[[#This Row],[SKU]],'All Skus'!$A:$AC,7,FALSE)),""))</f>
        <v>0</v>
      </c>
      <c r="G790">
        <f>(IF((VLOOKUP(Table6[[#This Row],[SKU]],'All Skus'!$A:$AC,2,FALSE))="JBL",(VLOOKUP(Table6[[#This Row],[SKU]],'All Skus'!$A:$AC,8,FALSE)),""))</f>
        <v>0</v>
      </c>
      <c r="H790" s="8">
        <f>(IF((VLOOKUP(Table6[[#This Row],[SKU]],'All Skus'!$A:$AC,2,FALSE))="JBL",(VLOOKUP(Table6[[#This Row],[SKU]],'All Skus'!$A:$AC,9,FALSE)),""))</f>
        <v>0</v>
      </c>
      <c r="I790" s="101">
        <f>(IF((VLOOKUP(Table6[[#This Row],[SKU]],'All Skus'!$A:$AC,2,FALSE))="JBL",(VLOOKUP(Table6[[#This Row],[SKU]],'All Skus'!$A:$AC,10,FALSE)),""))</f>
        <v>0</v>
      </c>
      <c r="J790" s="101">
        <f>(IF((VLOOKUP(Table6[[#This Row],[SKU]],'All Skus'!$A:$AC,2,FALSE))="JBL",(VLOOKUP(Table6[[#This Row],[SKU]],'All Skus'!$A:$AC,11,FALSE)),""))</f>
        <v>0</v>
      </c>
      <c r="K790" s="102">
        <f>(IF((VLOOKUP(Table6[[#This Row],[SKU]],'All Skus'!$A:$AC,2,FALSE))="JBL",(VLOOKUP(Table6[[#This Row],[SKU]],'All Skus'!$A:$AC,13,FALSE)),""))</f>
        <v>0</v>
      </c>
      <c r="L790" s="102">
        <f>(IF((VLOOKUP(Table6[[#This Row],[SKU]],'All Skus'!$A:$AC,2,FALSE))="JBL",(VLOOKUP(Table6[[#This Row],[SKU]],'All Skus'!$A:$AC,14,FALSE)),""))</f>
        <v>0</v>
      </c>
      <c r="M790" s="143">
        <f>(IF((VLOOKUP(Table6[[#This Row],[SKU]],'All Skus'!$A:$AC,2,FALSE))="JBL",(VLOOKUP(Table6[[#This Row],[SKU]],'All Skus'!$A:$AC,15,FALSE)),""))</f>
        <v>0</v>
      </c>
      <c r="N790" s="137">
        <f>(IF((VLOOKUP(Table6[[#This Row],[SKU]],'All Skus'!$A:$AC,2,FALSE))="JBL",(VLOOKUP(Table6[[#This Row],[SKU]],'All Skus'!$A:$AC,16,FALSE)),""))</f>
        <v>0</v>
      </c>
      <c r="O790" s="61">
        <f>(IF((VLOOKUP(Table6[[#This Row],[SKU]],'All Skus'!$A:$AC,2,FALSE))="JBL",(VLOOKUP(Table6[[#This Row],[SKU]],'All Skus'!$A:$AC,17,FALSE)),""))</f>
        <v>0</v>
      </c>
      <c r="P790" s="136">
        <f>(IF((VLOOKUP(Table6[[#This Row],[SKU]],'All Skus'!$A:$AC,2,FALSE))="JBL",(VLOOKUP(Table6[[#This Row],[SKU]],'All Skus'!$A:$AC,18,FALSE)),""))</f>
        <v>0</v>
      </c>
      <c r="Q790" s="136">
        <f>(IF((VLOOKUP(Table6[[#This Row],[SKU]],'All Skus'!$A:$AC,2,FALSE))="JBL",(VLOOKUP(Table6[[#This Row],[SKU]],'All Skus'!$A:$AC,19,FALSE)),""))</f>
        <v>0</v>
      </c>
      <c r="R790" s="136">
        <f>(IF((VLOOKUP(Table6[[#This Row],[SKU]],'All Skus'!$A:$AC,2,FALSE))="JBL",(VLOOKUP(Table6[[#This Row],[SKU]],'All Skus'!$A:$AC,20,FALSE)),""))</f>
        <v>0</v>
      </c>
      <c r="S790" s="61">
        <f>(IF((VLOOKUP(Table6[[#This Row],[SKU]],'All Skus'!$A:$AC,2,FALSE))="JBL",(VLOOKUP(Table6[[#This Row],[SKU]],'All Skus'!$A:$AC,21,FALSE)),""))</f>
        <v>0</v>
      </c>
      <c r="T790" s="61" t="str">
        <f>(IF((VLOOKUP(Table6[[#This Row],[SKU]],'All Skus'!$A:$AC,2,FALSE))="JBL",(VLOOKUP(Table6[[#This Row],[SKU]],'All Skus'!$A:$AC,22,FALSE)),""))</f>
        <v>MX</v>
      </c>
      <c r="U790" t="str">
        <f>(IF((VLOOKUP(Table6[[#This Row],[SKU]],'All Skus'!$A:$AC,2,FALSE))="JBL",(VLOOKUP(Table6[[#This Row],[SKU]],'All Skus'!$A:$AC,23,FALSE)),""))</f>
        <v>Compliant</v>
      </c>
      <c r="V790" s="284" t="str">
        <f>HYPERLINK((IF((VLOOKUP(Table6[[#This Row],[SKU]],'All Skus'!$A:$AC,2,FALSE))="JBL",(VLOOKUP(Table6[[#This Row],[SKU]],'All Skus'!$A:$AC,24,FALSE)),"")))</f>
        <v/>
      </c>
      <c r="W790" s="151">
        <v>787</v>
      </c>
    </row>
    <row r="791" spans="1:23" ht="15" hidden="1" customHeight="1">
      <c r="A791" s="104" t="s">
        <v>1798</v>
      </c>
      <c r="B791" s="12">
        <f>(IF((VLOOKUP(Table6[[#This Row],[SKU]],'All Skus'!$A:$AC,2,FALSE))="JBL",(VLOOKUP(Table6[[#This Row],[SKU]],'All Skus'!$A:$AC,3,FALSE)),""))</f>
        <v>0</v>
      </c>
      <c r="C791" s="12">
        <f>(IF((VLOOKUP(Table6[[#This Row],[SKU]],'All Skus'!$A:$AC,2,FALSE))="JBL",(VLOOKUP(Table6[[#This Row],[SKU]],'All Skus'!$A:$AC,4,FALSE)),""))</f>
        <v>0</v>
      </c>
      <c r="D791" s="61">
        <f>(IF((VLOOKUP(Table6[[#This Row],[SKU]],'All Skus'!$A:$AC,2,FALSE))="JBL",(VLOOKUP(Table6[[#This Row],[SKU]],'All Skus'!$A:$AC,5,FALSE)),""))</f>
        <v>0</v>
      </c>
      <c r="E791" s="137">
        <f>(IF((VLOOKUP(Table6[[#This Row],[SKU]],'All Skus'!$A:$AC,2,FALSE))="JBL",(VLOOKUP(Table6[[#This Row],[SKU]],'All Skus'!$A:$AC,6,FALSE)),""))</f>
        <v>0</v>
      </c>
      <c r="F791" s="61">
        <f>(IF((VLOOKUP(Table6[[#This Row],[SKU]],'All Skus'!$A:$AC,2,FALSE))="JBL",(VLOOKUP(Table6[[#This Row],[SKU]],'All Skus'!$A:$AC,7,FALSE)),""))</f>
        <v>0</v>
      </c>
      <c r="G791">
        <f>(IF((VLOOKUP(Table6[[#This Row],[SKU]],'All Skus'!$A:$AC,2,FALSE))="JBL",(VLOOKUP(Table6[[#This Row],[SKU]],'All Skus'!$A:$AC,8,FALSE)),""))</f>
        <v>0</v>
      </c>
      <c r="H791" s="8">
        <f>(IF((VLOOKUP(Table6[[#This Row],[SKU]],'All Skus'!$A:$AC,2,FALSE))="JBL",(VLOOKUP(Table6[[#This Row],[SKU]],'All Skus'!$A:$AC,9,FALSE)),""))</f>
        <v>0</v>
      </c>
      <c r="I791" s="101">
        <f>(IF((VLOOKUP(Table6[[#This Row],[SKU]],'All Skus'!$A:$AC,2,FALSE))="JBL",(VLOOKUP(Table6[[#This Row],[SKU]],'All Skus'!$A:$AC,10,FALSE)),""))</f>
        <v>0</v>
      </c>
      <c r="J791" s="101">
        <f>(IF((VLOOKUP(Table6[[#This Row],[SKU]],'All Skus'!$A:$AC,2,FALSE))="JBL",(VLOOKUP(Table6[[#This Row],[SKU]],'All Skus'!$A:$AC,11,FALSE)),""))</f>
        <v>0</v>
      </c>
      <c r="K791" s="102">
        <f>(IF((VLOOKUP(Table6[[#This Row],[SKU]],'All Skus'!$A:$AC,2,FALSE))="JBL",(VLOOKUP(Table6[[#This Row],[SKU]],'All Skus'!$A:$AC,13,FALSE)),""))</f>
        <v>0</v>
      </c>
      <c r="L791" s="102">
        <f>(IF((VLOOKUP(Table6[[#This Row],[SKU]],'All Skus'!$A:$AC,2,FALSE))="JBL",(VLOOKUP(Table6[[#This Row],[SKU]],'All Skus'!$A:$AC,14,FALSE)),""))</f>
        <v>0</v>
      </c>
      <c r="M791" s="143">
        <f>(IF((VLOOKUP(Table6[[#This Row],[SKU]],'All Skus'!$A:$AC,2,FALSE))="JBL",(VLOOKUP(Table6[[#This Row],[SKU]],'All Skus'!$A:$AC,15,FALSE)),""))</f>
        <v>0</v>
      </c>
      <c r="N791" s="137">
        <f>(IF((VLOOKUP(Table6[[#This Row],[SKU]],'All Skus'!$A:$AC,2,FALSE))="JBL",(VLOOKUP(Table6[[#This Row],[SKU]],'All Skus'!$A:$AC,16,FALSE)),""))</f>
        <v>0</v>
      </c>
      <c r="O791" s="61">
        <f>(IF((VLOOKUP(Table6[[#This Row],[SKU]],'All Skus'!$A:$AC,2,FALSE))="JBL",(VLOOKUP(Table6[[#This Row],[SKU]],'All Skus'!$A:$AC,17,FALSE)),""))</f>
        <v>0</v>
      </c>
      <c r="P791" s="136">
        <f>(IF((VLOOKUP(Table6[[#This Row],[SKU]],'All Skus'!$A:$AC,2,FALSE))="JBL",(VLOOKUP(Table6[[#This Row],[SKU]],'All Skus'!$A:$AC,18,FALSE)),""))</f>
        <v>0</v>
      </c>
      <c r="Q791" s="136">
        <f>(IF((VLOOKUP(Table6[[#This Row],[SKU]],'All Skus'!$A:$AC,2,FALSE))="JBL",(VLOOKUP(Table6[[#This Row],[SKU]],'All Skus'!$A:$AC,19,FALSE)),""))</f>
        <v>0</v>
      </c>
      <c r="R791" s="136">
        <f>(IF((VLOOKUP(Table6[[#This Row],[SKU]],'All Skus'!$A:$AC,2,FALSE))="JBL",(VLOOKUP(Table6[[#This Row],[SKU]],'All Skus'!$A:$AC,20,FALSE)),""))</f>
        <v>0</v>
      </c>
      <c r="S791" s="61">
        <f>(IF((VLOOKUP(Table6[[#This Row],[SKU]],'All Skus'!$A:$AC,2,FALSE))="JBL",(VLOOKUP(Table6[[#This Row],[SKU]],'All Skus'!$A:$AC,21,FALSE)),""))</f>
        <v>0</v>
      </c>
      <c r="T791" s="61">
        <f>(IF((VLOOKUP(Table6[[#This Row],[SKU]],'All Skus'!$A:$AC,2,FALSE))="JBL",(VLOOKUP(Table6[[#This Row],[SKU]],'All Skus'!$A:$AC,22,FALSE)),""))</f>
        <v>0</v>
      </c>
      <c r="U791">
        <f>(IF((VLOOKUP(Table6[[#This Row],[SKU]],'All Skus'!$A:$AC,2,FALSE))="JBL",(VLOOKUP(Table6[[#This Row],[SKU]],'All Skus'!$A:$AC,23,FALSE)),""))</f>
        <v>0</v>
      </c>
      <c r="V791" s="284" t="str">
        <f>HYPERLINK((IF((VLOOKUP(Table6[[#This Row],[SKU]],'All Skus'!$A:$AC,2,FALSE))="JBL",(VLOOKUP(Table6[[#This Row],[SKU]],'All Skus'!$A:$AC,24,FALSE)),"")))</f>
        <v/>
      </c>
      <c r="W791" s="151">
        <v>788</v>
      </c>
    </row>
    <row r="792" spans="1:23" ht="15" hidden="1" customHeight="1">
      <c r="A792" s="13" t="s">
        <v>1801</v>
      </c>
      <c r="B792" s="12" t="str">
        <f>(IF((VLOOKUP(Table6[[#This Row],[SKU]],'All Skus'!$A:$AC,2,FALSE))="JBL",(VLOOKUP(Table6[[#This Row],[SKU]],'All Skus'!$A:$AC,3,FALSE)),""))</f>
        <v>PRX PASSIVE</v>
      </c>
      <c r="C792" s="12" t="str">
        <f>(IF((VLOOKUP(Table6[[#This Row],[SKU]],'All Skus'!$A:$AC,2,FALSE))="JBL",(VLOOKUP(Table6[[#This Row],[SKU]],'All Skus'!$A:$AC,4,FALSE)),""))</f>
        <v>PRX412M-WH</v>
      </c>
      <c r="D792" s="61" t="str">
        <f>(IF((VLOOKUP(Table6[[#This Row],[SKU]],'All Skus'!$A:$AC,2,FALSE))="JBL",(VLOOKUP(Table6[[#This Row],[SKU]],'All Skus'!$A:$AC,5,FALSE)),""))</f>
        <v>JBL023</v>
      </c>
      <c r="E792" s="137">
        <f>(IF((VLOOKUP(Table6[[#This Row],[SKU]],'All Skus'!$A:$AC,2,FALSE))="JBL",(VLOOKUP(Table6[[#This Row],[SKU]],'All Skus'!$A:$AC,6,FALSE)),""))</f>
        <v>0</v>
      </c>
      <c r="F792" s="61">
        <f>(IF((VLOOKUP(Table6[[#This Row],[SKU]],'All Skus'!$A:$AC,2,FALSE))="JBL",(VLOOKUP(Table6[[#This Row],[SKU]],'All Skus'!$A:$AC,7,FALSE)),""))</f>
        <v>0</v>
      </c>
      <c r="G792" t="str">
        <f>(IF((VLOOKUP(Table6[[#This Row],[SKU]],'All Skus'!$A:$AC,2,FALSE))="JBL",(VLOOKUP(Table6[[#This Row],[SKU]],'All Skus'!$A:$AC,8,FALSE)),""))</f>
        <v>12" 2-WAY WHITE UTILITY SPEAKER</v>
      </c>
      <c r="H792" s="8" t="str">
        <f>(IF((VLOOKUP(Table6[[#This Row],[SKU]],'All Skus'!$A:$AC,2,FALSE))="JBL",(VLOOKUP(Table6[[#This Row],[SKU]],'All Skus'!$A:$AC,9,FALSE)),""))</f>
        <v>12" two-way stage monitor or front of house passive speaker system; 1200 Watt peak power handling , 126dB Maximum SPL , 8 ohms. White DuraFlex™-covered 18mm plywood enclosure, 16 gauge cloth-backed steel grille. 12 M10 suspension points. Net Weight 17.5kg (38 lbs.)</v>
      </c>
      <c r="I792" s="101">
        <f>(IF((VLOOKUP(Table6[[#This Row],[SKU]],'All Skus'!$A:$AC,2,FALSE))="JBL",(VLOOKUP(Table6[[#This Row],[SKU]],'All Skus'!$A:$AC,10,FALSE)),""))</f>
        <v>973.09</v>
      </c>
      <c r="J792" s="101">
        <f>(IF((VLOOKUP(Table6[[#This Row],[SKU]],'All Skus'!$A:$AC,2,FALSE))="JBL",(VLOOKUP(Table6[[#This Row],[SKU]],'All Skus'!$A:$AC,11,FALSE)),""))</f>
        <v>779</v>
      </c>
      <c r="K792" s="102">
        <f>(IF((VLOOKUP(Table6[[#This Row],[SKU]],'All Skus'!$A:$AC,2,FALSE))="JBL",(VLOOKUP(Table6[[#This Row],[SKU]],'All Skus'!$A:$AC,13,FALSE)),""))</f>
        <v>0</v>
      </c>
      <c r="L792" s="102">
        <f>(IF((VLOOKUP(Table6[[#This Row],[SKU]],'All Skus'!$A:$AC,2,FALSE))="JBL",(VLOOKUP(Table6[[#This Row],[SKU]],'All Skus'!$A:$AC,14,FALSE)),""))</f>
        <v>0</v>
      </c>
      <c r="M792" s="143">
        <f>(IF((VLOOKUP(Table6[[#This Row],[SKU]],'All Skus'!$A:$AC,2,FALSE))="JBL",(VLOOKUP(Table6[[#This Row],[SKU]],'All Skus'!$A:$AC,15,FALSE)),""))</f>
        <v>0</v>
      </c>
      <c r="N792" s="137">
        <f>(IF((VLOOKUP(Table6[[#This Row],[SKU]],'All Skus'!$A:$AC,2,FALSE))="JBL",(VLOOKUP(Table6[[#This Row],[SKU]],'All Skus'!$A:$AC,16,FALSE)),""))</f>
        <v>50036904391</v>
      </c>
      <c r="O792" s="61">
        <f>(IF((VLOOKUP(Table6[[#This Row],[SKU]],'All Skus'!$A:$AC,2,FALSE))="JBL",(VLOOKUP(Table6[[#This Row],[SKU]],'All Skus'!$A:$AC,17,FALSE)),""))</f>
        <v>0</v>
      </c>
      <c r="P792" s="136">
        <f>(IF((VLOOKUP(Table6[[#This Row],[SKU]],'All Skus'!$A:$AC,2,FALSE))="JBL",(VLOOKUP(Table6[[#This Row],[SKU]],'All Skus'!$A:$AC,18,FALSE)),""))</f>
        <v>43</v>
      </c>
      <c r="Q792" s="136">
        <f>(IF((VLOOKUP(Table6[[#This Row],[SKU]],'All Skus'!$A:$AC,2,FALSE))="JBL",(VLOOKUP(Table6[[#This Row],[SKU]],'All Skus'!$A:$AC,19,FALSE)),""))</f>
        <v>21</v>
      </c>
      <c r="R792" s="136">
        <f>(IF((VLOOKUP(Table6[[#This Row],[SKU]],'All Skus'!$A:$AC,2,FALSE))="JBL",(VLOOKUP(Table6[[#This Row],[SKU]],'All Skus'!$A:$AC,20,FALSE)),""))</f>
        <v>21</v>
      </c>
      <c r="S792" s="61">
        <f>(IF((VLOOKUP(Table6[[#This Row],[SKU]],'All Skus'!$A:$AC,2,FALSE))="JBL",(VLOOKUP(Table6[[#This Row],[SKU]],'All Skus'!$A:$AC,21,FALSE)),""))</f>
        <v>25</v>
      </c>
      <c r="T792" s="61" t="str">
        <f>(IF((VLOOKUP(Table6[[#This Row],[SKU]],'All Skus'!$A:$AC,2,FALSE))="JBL",(VLOOKUP(Table6[[#This Row],[SKU]],'All Skus'!$A:$AC,22,FALSE)),""))</f>
        <v>MX</v>
      </c>
      <c r="U792" t="str">
        <f>(IF((VLOOKUP(Table6[[#This Row],[SKU]],'All Skus'!$A:$AC,2,FALSE))="JBL",(VLOOKUP(Table6[[#This Row],[SKU]],'All Skus'!$A:$AC,23,FALSE)),""))</f>
        <v>Compliant</v>
      </c>
      <c r="V792" s="284" t="str">
        <f>HYPERLINK((IF((VLOOKUP(Table6[[#This Row],[SKU]],'All Skus'!$A:$AC,2,FALSE))="JBL",(VLOOKUP(Table6[[#This Row],[SKU]],'All Skus'!$A:$AC,24,FALSE)),"")))</f>
        <v>http://www.jblpro.com/www/products/portable-market/prx400-series/prx412m-wh#.VkxUVoRqBJo</v>
      </c>
      <c r="W792" s="151">
        <v>789</v>
      </c>
    </row>
    <row r="793" spans="1:23" ht="15" hidden="1" customHeight="1">
      <c r="A793" s="13" t="s">
        <v>1800</v>
      </c>
      <c r="B793" s="12" t="str">
        <f>(IF((VLOOKUP(Table6[[#This Row],[SKU]],'All Skus'!$A:$AC,2,FALSE))="JBL",(VLOOKUP(Table6[[#This Row],[SKU]],'All Skus'!$A:$AC,3,FALSE)),""))</f>
        <v>PRX PASSIVE</v>
      </c>
      <c r="C793" s="12" t="str">
        <f>(IF((VLOOKUP(Table6[[#This Row],[SKU]],'All Skus'!$A:$AC,2,FALSE))="JBL",(VLOOKUP(Table6[[#This Row],[SKU]],'All Skus'!$A:$AC,4,FALSE)),""))</f>
        <v>PRX412M</v>
      </c>
      <c r="D793" s="61" t="str">
        <f>(IF((VLOOKUP(Table6[[#This Row],[SKU]],'All Skus'!$A:$AC,2,FALSE))="JBL",(VLOOKUP(Table6[[#This Row],[SKU]],'All Skus'!$A:$AC,5,FALSE)),""))</f>
        <v>JBL023</v>
      </c>
      <c r="E793" s="137">
        <f>(IF((VLOOKUP(Table6[[#This Row],[SKU]],'All Skus'!$A:$AC,2,FALSE))="JBL",(VLOOKUP(Table6[[#This Row],[SKU]],'All Skus'!$A:$AC,6,FALSE)),""))</f>
        <v>0</v>
      </c>
      <c r="F793" s="61">
        <f>(IF((VLOOKUP(Table6[[#This Row],[SKU]],'All Skus'!$A:$AC,2,FALSE))="JBL",(VLOOKUP(Table6[[#This Row],[SKU]],'All Skus'!$A:$AC,7,FALSE)),""))</f>
        <v>0</v>
      </c>
      <c r="G793" t="str">
        <f>(IF((VLOOKUP(Table6[[#This Row],[SKU]],'All Skus'!$A:$AC,2,FALSE))="JBL",(VLOOKUP(Table6[[#This Row],[SKU]],'All Skus'!$A:$AC,8,FALSE)),""))</f>
        <v>12" Two-Way Stage Monitor</v>
      </c>
      <c r="H793" s="8" t="str">
        <f>(IF((VLOOKUP(Table6[[#This Row],[SKU]],'All Skus'!$A:$AC,2,FALSE))="JBL",(VLOOKUP(Table6[[#This Row],[SKU]],'All Skus'!$A:$AC,9,FALSE)),""))</f>
        <v xml:space="preserve">12" two-way stage monitor or front of house passive speaker system; 1200 Watt peak power handling , 126dB Maximum SPL , 8 ohms.  DuraFlex™-covered 18mm plywood enclosure, 16 gauge cloth-backed steel grille, dual 36 mm pole sockets, non-skid rubber feet. 12 M10 suspension points. Net Weight 17.5kg (38 lbs.) </v>
      </c>
      <c r="I793" s="101">
        <f>(IF((VLOOKUP(Table6[[#This Row],[SKU]],'All Skus'!$A:$AC,2,FALSE))="JBL",(VLOOKUP(Table6[[#This Row],[SKU]],'All Skus'!$A:$AC,10,FALSE)),""))</f>
        <v>831.61</v>
      </c>
      <c r="J793" s="101">
        <f>(IF((VLOOKUP(Table6[[#This Row],[SKU]],'All Skus'!$A:$AC,2,FALSE))="JBL",(VLOOKUP(Table6[[#This Row],[SKU]],'All Skus'!$A:$AC,11,FALSE)),""))</f>
        <v>669</v>
      </c>
      <c r="K793" s="102">
        <f>(IF((VLOOKUP(Table6[[#This Row],[SKU]],'All Skus'!$A:$AC,2,FALSE))="JBL",(VLOOKUP(Table6[[#This Row],[SKU]],'All Skus'!$A:$AC,13,FALSE)),""))</f>
        <v>0</v>
      </c>
      <c r="L793" s="102">
        <f>(IF((VLOOKUP(Table6[[#This Row],[SKU]],'All Skus'!$A:$AC,2,FALSE))="JBL",(VLOOKUP(Table6[[#This Row],[SKU]],'All Skus'!$A:$AC,14,FALSE)),""))</f>
        <v>0</v>
      </c>
      <c r="M793" s="143">
        <f>(IF((VLOOKUP(Table6[[#This Row],[SKU]],'All Skus'!$A:$AC,2,FALSE))="JBL",(VLOOKUP(Table6[[#This Row],[SKU]],'All Skus'!$A:$AC,15,FALSE)),""))</f>
        <v>0</v>
      </c>
      <c r="N793" s="137">
        <f>(IF((VLOOKUP(Table6[[#This Row],[SKU]],'All Skus'!$A:$AC,2,FALSE))="JBL",(VLOOKUP(Table6[[#This Row],[SKU]],'All Skus'!$A:$AC,16,FALSE)),""))</f>
        <v>50036904032</v>
      </c>
      <c r="O793" s="61">
        <f>(IF((VLOOKUP(Table6[[#This Row],[SKU]],'All Skus'!$A:$AC,2,FALSE))="JBL",(VLOOKUP(Table6[[#This Row],[SKU]],'All Skus'!$A:$AC,17,FALSE)),""))</f>
        <v>0</v>
      </c>
      <c r="P793" s="136">
        <f>(IF((VLOOKUP(Table6[[#This Row],[SKU]],'All Skus'!$A:$AC,2,FALSE))="JBL",(VLOOKUP(Table6[[#This Row],[SKU]],'All Skus'!$A:$AC,18,FALSE)),""))</f>
        <v>36</v>
      </c>
      <c r="Q793" s="136">
        <f>(IF((VLOOKUP(Table6[[#This Row],[SKU]],'All Skus'!$A:$AC,2,FALSE))="JBL",(VLOOKUP(Table6[[#This Row],[SKU]],'All Skus'!$A:$AC,19,FALSE)),""))</f>
        <v>20</v>
      </c>
      <c r="R793" s="136">
        <f>(IF((VLOOKUP(Table6[[#This Row],[SKU]],'All Skus'!$A:$AC,2,FALSE))="JBL",(VLOOKUP(Table6[[#This Row],[SKU]],'All Skus'!$A:$AC,20,FALSE)),""))</f>
        <v>19</v>
      </c>
      <c r="S793" s="61">
        <f>(IF((VLOOKUP(Table6[[#This Row],[SKU]],'All Skus'!$A:$AC,2,FALSE))="JBL",(VLOOKUP(Table6[[#This Row],[SKU]],'All Skus'!$A:$AC,21,FALSE)),""))</f>
        <v>24</v>
      </c>
      <c r="T793" s="61" t="str">
        <f>(IF((VLOOKUP(Table6[[#This Row],[SKU]],'All Skus'!$A:$AC,2,FALSE))="JBL",(VLOOKUP(Table6[[#This Row],[SKU]],'All Skus'!$A:$AC,22,FALSE)),""))</f>
        <v>MX</v>
      </c>
      <c r="U793" t="str">
        <f>(IF((VLOOKUP(Table6[[#This Row],[SKU]],'All Skus'!$A:$AC,2,FALSE))="JBL",(VLOOKUP(Table6[[#This Row],[SKU]],'All Skus'!$A:$AC,23,FALSE)),""))</f>
        <v>Compliant</v>
      </c>
      <c r="V793" s="284" t="str">
        <f>HYPERLINK((IF((VLOOKUP(Table6[[#This Row],[SKU]],'All Skus'!$A:$AC,2,FALSE))="JBL",(VLOOKUP(Table6[[#This Row],[SKU]],'All Skus'!$A:$AC,24,FALSE)),"")))</f>
        <v>http://www.jblpro.com/www/products/portable-market/prx400-series/prx412m#.VkxUOIRqBJo</v>
      </c>
      <c r="W793" s="151">
        <v>790</v>
      </c>
    </row>
    <row r="794" spans="1:23" ht="15" hidden="1" customHeight="1">
      <c r="A794" s="13" t="s">
        <v>1803</v>
      </c>
      <c r="B794" s="12" t="str">
        <f>(IF((VLOOKUP(Table6[[#This Row],[SKU]],'All Skus'!$A:$AC,2,FALSE))="JBL",(VLOOKUP(Table6[[#This Row],[SKU]],'All Skus'!$A:$AC,3,FALSE)),""))</f>
        <v>PRX PASSIVE</v>
      </c>
      <c r="C794" s="12" t="str">
        <f>(IF((VLOOKUP(Table6[[#This Row],[SKU]],'All Skus'!$A:$AC,2,FALSE))="JBL",(VLOOKUP(Table6[[#This Row],[SKU]],'All Skus'!$A:$AC,4,FALSE)),""))</f>
        <v>PRX415M-WH</v>
      </c>
      <c r="D794" s="61" t="str">
        <f>(IF((VLOOKUP(Table6[[#This Row],[SKU]],'All Skus'!$A:$AC,2,FALSE))="JBL",(VLOOKUP(Table6[[#This Row],[SKU]],'All Skus'!$A:$AC,5,FALSE)),""))</f>
        <v>JBL023</v>
      </c>
      <c r="E794" s="137">
        <f>(IF((VLOOKUP(Table6[[#This Row],[SKU]],'All Skus'!$A:$AC,2,FALSE))="JBL",(VLOOKUP(Table6[[#This Row],[SKU]],'All Skus'!$A:$AC,6,FALSE)),""))</f>
        <v>0</v>
      </c>
      <c r="F794" s="61">
        <f>(IF((VLOOKUP(Table6[[#This Row],[SKU]],'All Skus'!$A:$AC,2,FALSE))="JBL",(VLOOKUP(Table6[[#This Row],[SKU]],'All Skus'!$A:$AC,7,FALSE)),""))</f>
        <v>0</v>
      </c>
      <c r="G794" t="str">
        <f>(IF((VLOOKUP(Table6[[#This Row],[SKU]],'All Skus'!$A:$AC,2,FALSE))="JBL",(VLOOKUP(Table6[[#This Row],[SKU]],'All Skus'!$A:$AC,8,FALSE)),""))</f>
        <v>15" 2-WAY WHITE UTILITY SPEAKER</v>
      </c>
      <c r="H794" s="8" t="str">
        <f>(IF((VLOOKUP(Table6[[#This Row],[SKU]],'All Skus'!$A:$AC,2,FALSE))="JBL",(VLOOKUP(Table6[[#This Row],[SKU]],'All Skus'!$A:$AC,9,FALSE)),""))</f>
        <v>15" two-way stage monitor or front- of- house passive speaker system; 1200 Watt peak power handling , 129dB Maximum SPL , 8 ohms. White DuraFlex™-covered 18mm plywood enclosure, 16 gauge cloth-backed steel grille. 12 M10 suspension points. Net Weight 21kg (46 lbs.)</v>
      </c>
      <c r="I794" s="101">
        <f>(IF((VLOOKUP(Table6[[#This Row],[SKU]],'All Skus'!$A:$AC,2,FALSE))="JBL",(VLOOKUP(Table6[[#This Row],[SKU]],'All Skus'!$A:$AC,10,FALSE)),""))</f>
        <v>1067.4100000000001</v>
      </c>
      <c r="J794" s="101">
        <f>(IF((VLOOKUP(Table6[[#This Row],[SKU]],'All Skus'!$A:$AC,2,FALSE))="JBL",(VLOOKUP(Table6[[#This Row],[SKU]],'All Skus'!$A:$AC,11,FALSE)),""))</f>
        <v>859</v>
      </c>
      <c r="K794" s="102">
        <f>(IF((VLOOKUP(Table6[[#This Row],[SKU]],'All Skus'!$A:$AC,2,FALSE))="JBL",(VLOOKUP(Table6[[#This Row],[SKU]],'All Skus'!$A:$AC,13,FALSE)),""))</f>
        <v>0</v>
      </c>
      <c r="L794" s="102">
        <f>(IF((VLOOKUP(Table6[[#This Row],[SKU]],'All Skus'!$A:$AC,2,FALSE))="JBL",(VLOOKUP(Table6[[#This Row],[SKU]],'All Skus'!$A:$AC,14,FALSE)),""))</f>
        <v>0</v>
      </c>
      <c r="M794" s="143">
        <f>(IF((VLOOKUP(Table6[[#This Row],[SKU]],'All Skus'!$A:$AC,2,FALSE))="JBL",(VLOOKUP(Table6[[#This Row],[SKU]],'All Skus'!$A:$AC,15,FALSE)),""))</f>
        <v>0</v>
      </c>
      <c r="N794" s="137">
        <f>(IF((VLOOKUP(Table6[[#This Row],[SKU]],'All Skus'!$A:$AC,2,FALSE))="JBL",(VLOOKUP(Table6[[#This Row],[SKU]],'All Skus'!$A:$AC,16,FALSE)),""))</f>
        <v>50036904407</v>
      </c>
      <c r="O794" s="61">
        <f>(IF((VLOOKUP(Table6[[#This Row],[SKU]],'All Skus'!$A:$AC,2,FALSE))="JBL",(VLOOKUP(Table6[[#This Row],[SKU]],'All Skus'!$A:$AC,17,FALSE)),""))</f>
        <v>0</v>
      </c>
      <c r="P794" s="136">
        <f>(IF((VLOOKUP(Table6[[#This Row],[SKU]],'All Skus'!$A:$AC,2,FALSE))="JBL",(VLOOKUP(Table6[[#This Row],[SKU]],'All Skus'!$A:$AC,18,FALSE)),""))</f>
        <v>56.8</v>
      </c>
      <c r="Q794" s="136">
        <f>(IF((VLOOKUP(Table6[[#This Row],[SKU]],'All Skus'!$A:$AC,2,FALSE))="JBL",(VLOOKUP(Table6[[#This Row],[SKU]],'All Skus'!$A:$AC,19,FALSE)),""))</f>
        <v>23</v>
      </c>
      <c r="R794" s="136">
        <f>(IF((VLOOKUP(Table6[[#This Row],[SKU]],'All Skus'!$A:$AC,2,FALSE))="JBL",(VLOOKUP(Table6[[#This Row],[SKU]],'All Skus'!$A:$AC,20,FALSE)),""))</f>
        <v>22</v>
      </c>
      <c r="S794" s="61">
        <f>(IF((VLOOKUP(Table6[[#This Row],[SKU]],'All Skus'!$A:$AC,2,FALSE))="JBL",(VLOOKUP(Table6[[#This Row],[SKU]],'All Skus'!$A:$AC,21,FALSE)),""))</f>
        <v>29</v>
      </c>
      <c r="T794" s="61" t="str">
        <f>(IF((VLOOKUP(Table6[[#This Row],[SKU]],'All Skus'!$A:$AC,2,FALSE))="JBL",(VLOOKUP(Table6[[#This Row],[SKU]],'All Skus'!$A:$AC,22,FALSE)),""))</f>
        <v>MX</v>
      </c>
      <c r="U794" t="str">
        <f>(IF((VLOOKUP(Table6[[#This Row],[SKU]],'All Skus'!$A:$AC,2,FALSE))="JBL",(VLOOKUP(Table6[[#This Row],[SKU]],'All Skus'!$A:$AC,23,FALSE)),""))</f>
        <v>Compliant</v>
      </c>
      <c r="V794" s="284" t="str">
        <f>HYPERLINK((IF((VLOOKUP(Table6[[#This Row],[SKU]],'All Skus'!$A:$AC,2,FALSE))="JBL",(VLOOKUP(Table6[[#This Row],[SKU]],'All Skus'!$A:$AC,24,FALSE)),"")))</f>
        <v>http://www.jblpro.com/www/products/portable-market/prx400-series/prx415m-wh#.VkxUd4RqBJo</v>
      </c>
      <c r="W794" s="151">
        <v>791</v>
      </c>
    </row>
    <row r="795" spans="1:23" ht="15" hidden="1" customHeight="1">
      <c r="A795" s="13" t="s">
        <v>1802</v>
      </c>
      <c r="B795" s="12" t="str">
        <f>(IF((VLOOKUP(Table6[[#This Row],[SKU]],'All Skus'!$A:$AC,2,FALSE))="JBL",(VLOOKUP(Table6[[#This Row],[SKU]],'All Skus'!$A:$AC,3,FALSE)),""))</f>
        <v>PRX PASSIVE</v>
      </c>
      <c r="C795" s="12" t="str">
        <f>(IF((VLOOKUP(Table6[[#This Row],[SKU]],'All Skus'!$A:$AC,2,FALSE))="JBL",(VLOOKUP(Table6[[#This Row],[SKU]],'All Skus'!$A:$AC,4,FALSE)),""))</f>
        <v>PRX415M</v>
      </c>
      <c r="D795" s="61" t="str">
        <f>(IF((VLOOKUP(Table6[[#This Row],[SKU]],'All Skus'!$A:$AC,2,FALSE))="JBL",(VLOOKUP(Table6[[#This Row],[SKU]],'All Skus'!$A:$AC,5,FALSE)),""))</f>
        <v>JBL023</v>
      </c>
      <c r="E795" s="137">
        <f>(IF((VLOOKUP(Table6[[#This Row],[SKU]],'All Skus'!$A:$AC,2,FALSE))="JBL",(VLOOKUP(Table6[[#This Row],[SKU]],'All Skus'!$A:$AC,6,FALSE)),""))</f>
        <v>0</v>
      </c>
      <c r="F795" s="61">
        <f>(IF((VLOOKUP(Table6[[#This Row],[SKU]],'All Skus'!$A:$AC,2,FALSE))="JBL",(VLOOKUP(Table6[[#This Row],[SKU]],'All Skus'!$A:$AC,7,FALSE)),""))</f>
        <v>0</v>
      </c>
      <c r="G795" t="str">
        <f>(IF((VLOOKUP(Table6[[#This Row],[SKU]],'All Skus'!$A:$AC,2,FALSE))="JBL",(VLOOKUP(Table6[[#This Row],[SKU]],'All Skus'!$A:$AC,8,FALSE)),""))</f>
        <v>Two-Way 15" Stage Monitor</v>
      </c>
      <c r="H795" s="8" t="str">
        <f>(IF((VLOOKUP(Table6[[#This Row],[SKU]],'All Skus'!$A:$AC,2,FALSE))="JBL",(VLOOKUP(Table6[[#This Row],[SKU]],'All Skus'!$A:$AC,9,FALSE)),""))</f>
        <v xml:space="preserve">15" two-way stage monitor or front- of- house passive speaker system; 1200 Watt peak power handling , 129dB Maximum SPL , 8 ohms.  DuraFlex™-covered 18mm plywood enclosure, 16 gauge cloth-backed steel grille, dual 36 mm pole sockets, non-skid rubber feet. 12 M10 suspension points. Net Weight 21kg (46 lbs.) </v>
      </c>
      <c r="I795" s="101">
        <f>(IF((VLOOKUP(Table6[[#This Row],[SKU]],'All Skus'!$A:$AC,2,FALSE))="JBL",(VLOOKUP(Table6[[#This Row],[SKU]],'All Skus'!$A:$AC,10,FALSE)),""))</f>
        <v>910.21</v>
      </c>
      <c r="J795" s="101">
        <f>(IF((VLOOKUP(Table6[[#This Row],[SKU]],'All Skus'!$A:$AC,2,FALSE))="JBL",(VLOOKUP(Table6[[#This Row],[SKU]],'All Skus'!$A:$AC,11,FALSE)),""))</f>
        <v>739</v>
      </c>
      <c r="K795" s="102">
        <f>(IF((VLOOKUP(Table6[[#This Row],[SKU]],'All Skus'!$A:$AC,2,FALSE))="JBL",(VLOOKUP(Table6[[#This Row],[SKU]],'All Skus'!$A:$AC,13,FALSE)),""))</f>
        <v>0</v>
      </c>
      <c r="L795" s="102">
        <f>(IF((VLOOKUP(Table6[[#This Row],[SKU]],'All Skus'!$A:$AC,2,FALSE))="JBL",(VLOOKUP(Table6[[#This Row],[SKU]],'All Skus'!$A:$AC,14,FALSE)),""))</f>
        <v>0</v>
      </c>
      <c r="M795" s="143">
        <f>(IF((VLOOKUP(Table6[[#This Row],[SKU]],'All Skus'!$A:$AC,2,FALSE))="JBL",(VLOOKUP(Table6[[#This Row],[SKU]],'All Skus'!$A:$AC,15,FALSE)),""))</f>
        <v>0</v>
      </c>
      <c r="N795" s="137">
        <f>(IF((VLOOKUP(Table6[[#This Row],[SKU]],'All Skus'!$A:$AC,2,FALSE))="JBL",(VLOOKUP(Table6[[#This Row],[SKU]],'All Skus'!$A:$AC,16,FALSE)),""))</f>
        <v>50036904049</v>
      </c>
      <c r="O795" s="61">
        <f>(IF((VLOOKUP(Table6[[#This Row],[SKU]],'All Skus'!$A:$AC,2,FALSE))="JBL",(VLOOKUP(Table6[[#This Row],[SKU]],'All Skus'!$A:$AC,17,FALSE)),""))</f>
        <v>0</v>
      </c>
      <c r="P795" s="136">
        <f>(IF((VLOOKUP(Table6[[#This Row],[SKU]],'All Skus'!$A:$AC,2,FALSE))="JBL",(VLOOKUP(Table6[[#This Row],[SKU]],'All Skus'!$A:$AC,18,FALSE)),""))</f>
        <v>50</v>
      </c>
      <c r="Q795" s="136">
        <f>(IF((VLOOKUP(Table6[[#This Row],[SKU]],'All Skus'!$A:$AC,2,FALSE))="JBL",(VLOOKUP(Table6[[#This Row],[SKU]],'All Skus'!$A:$AC,19,FALSE)),""))</f>
        <v>23</v>
      </c>
      <c r="R795" s="136">
        <f>(IF((VLOOKUP(Table6[[#This Row],[SKU]],'All Skus'!$A:$AC,2,FALSE))="JBL",(VLOOKUP(Table6[[#This Row],[SKU]],'All Skus'!$A:$AC,20,FALSE)),""))</f>
        <v>19</v>
      </c>
      <c r="S795" s="61">
        <f>(IF((VLOOKUP(Table6[[#This Row],[SKU]],'All Skus'!$A:$AC,2,FALSE))="JBL",(VLOOKUP(Table6[[#This Row],[SKU]],'All Skus'!$A:$AC,21,FALSE)),""))</f>
        <v>28</v>
      </c>
      <c r="T795" s="61" t="str">
        <f>(IF((VLOOKUP(Table6[[#This Row],[SKU]],'All Skus'!$A:$AC,2,FALSE))="JBL",(VLOOKUP(Table6[[#This Row],[SKU]],'All Skus'!$A:$AC,22,FALSE)),""))</f>
        <v>MX</v>
      </c>
      <c r="U795" t="str">
        <f>(IF((VLOOKUP(Table6[[#This Row],[SKU]],'All Skus'!$A:$AC,2,FALSE))="JBL",(VLOOKUP(Table6[[#This Row],[SKU]],'All Skus'!$A:$AC,23,FALSE)),""))</f>
        <v>Compliant</v>
      </c>
      <c r="V795" s="284" t="str">
        <f>HYPERLINK((IF((VLOOKUP(Table6[[#This Row],[SKU]],'All Skus'!$A:$AC,2,FALSE))="JBL",(VLOOKUP(Table6[[#This Row],[SKU]],'All Skus'!$A:$AC,24,FALSE)),"")))</f>
        <v>http://www.jblpro.com/www/products/portable-market/prx400-series/prx415m#.VkxUZ4RqBJo</v>
      </c>
      <c r="W795" s="151">
        <v>792</v>
      </c>
    </row>
    <row r="796" spans="1:23" ht="15" hidden="1" customHeight="1">
      <c r="A796" s="13" t="s">
        <v>1805</v>
      </c>
      <c r="B796" s="12" t="str">
        <f>(IF((VLOOKUP(Table6[[#This Row],[SKU]],'All Skus'!$A:$AC,2,FALSE))="JBL",(VLOOKUP(Table6[[#This Row],[SKU]],'All Skus'!$A:$AC,3,FALSE)),""))</f>
        <v>PRX PASSIVE</v>
      </c>
      <c r="C796" s="12" t="str">
        <f>(IF((VLOOKUP(Table6[[#This Row],[SKU]],'All Skus'!$A:$AC,2,FALSE))="JBL",(VLOOKUP(Table6[[#This Row],[SKU]],'All Skus'!$A:$AC,4,FALSE)),""))</f>
        <v>PRX425</v>
      </c>
      <c r="D796" s="61" t="str">
        <f>(IF((VLOOKUP(Table6[[#This Row],[SKU]],'All Skus'!$A:$AC,2,FALSE))="JBL",(VLOOKUP(Table6[[#This Row],[SKU]],'All Skus'!$A:$AC,5,FALSE)),""))</f>
        <v>JBL023</v>
      </c>
      <c r="E796" s="137">
        <f>(IF((VLOOKUP(Table6[[#This Row],[SKU]],'All Skus'!$A:$AC,2,FALSE))="JBL",(VLOOKUP(Table6[[#This Row],[SKU]],'All Skus'!$A:$AC,6,FALSE)),""))</f>
        <v>0</v>
      </c>
      <c r="F796" s="61">
        <f>(IF((VLOOKUP(Table6[[#This Row],[SKU]],'All Skus'!$A:$AC,2,FALSE))="JBL",(VLOOKUP(Table6[[#This Row],[SKU]],'All Skus'!$A:$AC,7,FALSE)),""))</f>
        <v>0</v>
      </c>
      <c r="G796" t="str">
        <f>(IF((VLOOKUP(Table6[[#This Row],[SKU]],'All Skus'!$A:$AC,2,FALSE))="JBL",(VLOOKUP(Table6[[#This Row],[SKU]],'All Skus'!$A:$AC,8,FALSE)),""))</f>
        <v>Dual 15" Two-Way Loudspeaker System</v>
      </c>
      <c r="H796" s="8" t="str">
        <f>(IF((VLOOKUP(Table6[[#This Row],[SKU]],'All Skus'!$A:$AC,2,FALSE))="JBL",(VLOOKUP(Table6[[#This Row],[SKU]],'All Skus'!$A:$AC,9,FALSE)),""))</f>
        <v xml:space="preserve">Dual 15" two-way passive speaker system; 2400 Watt peak power handling , 134dB Maximum SPL , 4 ohms.  DuraFlex™-covered 18mm plywood enclosure, 16 gauge cloth-backed steel grille, dual 36 mm pole sockets, non-skid rubber feet. 12 M10 suspension points. Net Weight 33.5kg (74 lbs.) </v>
      </c>
      <c r="I796" s="101">
        <f>(IF((VLOOKUP(Table6[[#This Row],[SKU]],'All Skus'!$A:$AC,2,FALSE))="JBL",(VLOOKUP(Table6[[#This Row],[SKU]],'All Skus'!$A:$AC,10,FALSE)),""))</f>
        <v>1240.3399999999999</v>
      </c>
      <c r="J796" s="101">
        <f>(IF((VLOOKUP(Table6[[#This Row],[SKU]],'All Skus'!$A:$AC,2,FALSE))="JBL",(VLOOKUP(Table6[[#This Row],[SKU]],'All Skus'!$A:$AC,11,FALSE)),""))</f>
        <v>989</v>
      </c>
      <c r="K796" s="102">
        <f>(IF((VLOOKUP(Table6[[#This Row],[SKU]],'All Skus'!$A:$AC,2,FALSE))="JBL",(VLOOKUP(Table6[[#This Row],[SKU]],'All Skus'!$A:$AC,13,FALSE)),""))</f>
        <v>0</v>
      </c>
      <c r="L796" s="102">
        <f>(IF((VLOOKUP(Table6[[#This Row],[SKU]],'All Skus'!$A:$AC,2,FALSE))="JBL",(VLOOKUP(Table6[[#This Row],[SKU]],'All Skus'!$A:$AC,14,FALSE)),""))</f>
        <v>0</v>
      </c>
      <c r="M796" s="143">
        <f>(IF((VLOOKUP(Table6[[#This Row],[SKU]],'All Skus'!$A:$AC,2,FALSE))="JBL",(VLOOKUP(Table6[[#This Row],[SKU]],'All Skus'!$A:$AC,15,FALSE)),""))</f>
        <v>0</v>
      </c>
      <c r="N796" s="137">
        <f>(IF((VLOOKUP(Table6[[#This Row],[SKU]],'All Skus'!$A:$AC,2,FALSE))="JBL",(VLOOKUP(Table6[[#This Row],[SKU]],'All Skus'!$A:$AC,16,FALSE)),""))</f>
        <v>50036904056</v>
      </c>
      <c r="O796" s="61">
        <f>(IF((VLOOKUP(Table6[[#This Row],[SKU]],'All Skus'!$A:$AC,2,FALSE))="JBL",(VLOOKUP(Table6[[#This Row],[SKU]],'All Skus'!$A:$AC,17,FALSE)),""))</f>
        <v>0</v>
      </c>
      <c r="P796" s="136">
        <f>(IF((VLOOKUP(Table6[[#This Row],[SKU]],'All Skus'!$A:$AC,2,FALSE))="JBL",(VLOOKUP(Table6[[#This Row],[SKU]],'All Skus'!$A:$AC,18,FALSE)),""))</f>
        <v>88.8</v>
      </c>
      <c r="Q796" s="136">
        <f>(IF((VLOOKUP(Table6[[#This Row],[SKU]],'All Skus'!$A:$AC,2,FALSE))="JBL",(VLOOKUP(Table6[[#This Row],[SKU]],'All Skus'!$A:$AC,19,FALSE)),""))</f>
        <v>22</v>
      </c>
      <c r="R796" s="136">
        <f>(IF((VLOOKUP(Table6[[#This Row],[SKU]],'All Skus'!$A:$AC,2,FALSE))="JBL",(VLOOKUP(Table6[[#This Row],[SKU]],'All Skus'!$A:$AC,20,FALSE)),""))</f>
        <v>25</v>
      </c>
      <c r="S796" s="61">
        <f>(IF((VLOOKUP(Table6[[#This Row],[SKU]],'All Skus'!$A:$AC,2,FALSE))="JBL",(VLOOKUP(Table6[[#This Row],[SKU]],'All Skus'!$A:$AC,21,FALSE)),""))</f>
        <v>43</v>
      </c>
      <c r="T796" s="61" t="str">
        <f>(IF((VLOOKUP(Table6[[#This Row],[SKU]],'All Skus'!$A:$AC,2,FALSE))="JBL",(VLOOKUP(Table6[[#This Row],[SKU]],'All Skus'!$A:$AC,22,FALSE)),""))</f>
        <v>MX</v>
      </c>
      <c r="U796">
        <f>(IF((VLOOKUP(Table6[[#This Row],[SKU]],'All Skus'!$A:$AC,2,FALSE))="JBL",(VLOOKUP(Table6[[#This Row],[SKU]],'All Skus'!$A:$AC,23,FALSE)),""))</f>
        <v>0</v>
      </c>
      <c r="V796" s="284" t="str">
        <f>HYPERLINK((IF((VLOOKUP(Table6[[#This Row],[SKU]],'All Skus'!$A:$AC,2,FALSE))="JBL",(VLOOKUP(Table6[[#This Row],[SKU]],'All Skus'!$A:$AC,24,FALSE)),"")))</f>
        <v>http://www.jblpro.com/www/products/portable-market/prx400-series/prx425#.VkxUnIRqBJo</v>
      </c>
      <c r="W796" s="151">
        <v>793</v>
      </c>
    </row>
    <row r="797" spans="1:23" ht="15" hidden="1" customHeight="1">
      <c r="A797" s="13" t="s">
        <v>1804</v>
      </c>
      <c r="B797" s="12" t="str">
        <f>(IF((VLOOKUP(Table6[[#This Row],[SKU]],'All Skus'!$A:$AC,2,FALSE))="JBL",(VLOOKUP(Table6[[#This Row],[SKU]],'All Skus'!$A:$AC,3,FALSE)),""))</f>
        <v>PRX PASSIVE</v>
      </c>
      <c r="C797" s="12" t="str">
        <f>(IF((VLOOKUP(Table6[[#This Row],[SKU]],'All Skus'!$A:$AC,2,FALSE))="JBL",(VLOOKUP(Table6[[#This Row],[SKU]],'All Skus'!$A:$AC,4,FALSE)),""))</f>
        <v>PRX418S</v>
      </c>
      <c r="D797" s="61" t="str">
        <f>(IF((VLOOKUP(Table6[[#This Row],[SKU]],'All Skus'!$A:$AC,2,FALSE))="JBL",(VLOOKUP(Table6[[#This Row],[SKU]],'All Skus'!$A:$AC,5,FALSE)),""))</f>
        <v>JBL023</v>
      </c>
      <c r="E797" s="137">
        <f>(IF((VLOOKUP(Table6[[#This Row],[SKU]],'All Skus'!$A:$AC,2,FALSE))="JBL",(VLOOKUP(Table6[[#This Row],[SKU]],'All Skus'!$A:$AC,6,FALSE)),""))</f>
        <v>0</v>
      </c>
      <c r="F797" s="61">
        <f>(IF((VLOOKUP(Table6[[#This Row],[SKU]],'All Skus'!$A:$AC,2,FALSE))="JBL",(VLOOKUP(Table6[[#This Row],[SKU]],'All Skus'!$A:$AC,7,FALSE)),""))</f>
        <v>0</v>
      </c>
      <c r="G797" t="str">
        <f>(IF((VLOOKUP(Table6[[#This Row],[SKU]],'All Skus'!$A:$AC,2,FALSE))="JBL",(VLOOKUP(Table6[[#This Row],[SKU]],'All Skus'!$A:$AC,8,FALSE)),""))</f>
        <v>18" Subwoofer</v>
      </c>
      <c r="H797" s="8" t="str">
        <f>(IF((VLOOKUP(Table6[[#This Row],[SKU]],'All Skus'!$A:$AC,2,FALSE))="JBL",(VLOOKUP(Table6[[#This Row],[SKU]],'All Skus'!$A:$AC,9,FALSE)),""))</f>
        <v>Compact 18" portable subwoofer system; 35Hz Frequency Range, 2400 watt peak power handling, 130dB Max SPL, cloth-backed steel grille M20 pole socket, non-skid rubber feet, Net Weight 33.5kg (74 lbs.)</v>
      </c>
      <c r="I797" s="101">
        <f>(IF((VLOOKUP(Table6[[#This Row],[SKU]],'All Skus'!$A:$AC,2,FALSE))="JBL",(VLOOKUP(Table6[[#This Row],[SKU]],'All Skus'!$A:$AC,10,FALSE)),""))</f>
        <v>1240.3399999999999</v>
      </c>
      <c r="J797" s="101">
        <f>(IF((VLOOKUP(Table6[[#This Row],[SKU]],'All Skus'!$A:$AC,2,FALSE))="JBL",(VLOOKUP(Table6[[#This Row],[SKU]],'All Skus'!$A:$AC,11,FALSE)),""))</f>
        <v>989</v>
      </c>
      <c r="K797" s="102">
        <f>(IF((VLOOKUP(Table6[[#This Row],[SKU]],'All Skus'!$A:$AC,2,FALSE))="JBL",(VLOOKUP(Table6[[#This Row],[SKU]],'All Skus'!$A:$AC,13,FALSE)),""))</f>
        <v>0</v>
      </c>
      <c r="L797" s="102">
        <f>(IF((VLOOKUP(Table6[[#This Row],[SKU]],'All Skus'!$A:$AC,2,FALSE))="JBL",(VLOOKUP(Table6[[#This Row],[SKU]],'All Skus'!$A:$AC,14,FALSE)),""))</f>
        <v>0</v>
      </c>
      <c r="M797" s="143">
        <f>(IF((VLOOKUP(Table6[[#This Row],[SKU]],'All Skus'!$A:$AC,2,FALSE))="JBL",(VLOOKUP(Table6[[#This Row],[SKU]],'All Skus'!$A:$AC,15,FALSE)),""))</f>
        <v>0</v>
      </c>
      <c r="N797" s="137">
        <f>(IF((VLOOKUP(Table6[[#This Row],[SKU]],'All Skus'!$A:$AC,2,FALSE))="JBL",(VLOOKUP(Table6[[#This Row],[SKU]],'All Skus'!$A:$AC,16,FALSE)),""))</f>
        <v>50036904063</v>
      </c>
      <c r="O797" s="61">
        <f>(IF((VLOOKUP(Table6[[#This Row],[SKU]],'All Skus'!$A:$AC,2,FALSE))="JBL",(VLOOKUP(Table6[[#This Row],[SKU]],'All Skus'!$A:$AC,17,FALSE)),""))</f>
        <v>0</v>
      </c>
      <c r="P797" s="136">
        <f>(IF((VLOOKUP(Table6[[#This Row],[SKU]],'All Skus'!$A:$AC,2,FALSE))="JBL",(VLOOKUP(Table6[[#This Row],[SKU]],'All Skus'!$A:$AC,18,FALSE)),""))</f>
        <v>90.9</v>
      </c>
      <c r="Q797" s="136">
        <f>(IF((VLOOKUP(Table6[[#This Row],[SKU]],'All Skus'!$A:$AC,2,FALSE))="JBL",(VLOOKUP(Table6[[#This Row],[SKU]],'All Skus'!$A:$AC,19,FALSE)),""))</f>
        <v>29</v>
      </c>
      <c r="R797" s="136">
        <f>(IF((VLOOKUP(Table6[[#This Row],[SKU]],'All Skus'!$A:$AC,2,FALSE))="JBL",(VLOOKUP(Table6[[#This Row],[SKU]],'All Skus'!$A:$AC,20,FALSE)),""))</f>
        <v>26</v>
      </c>
      <c r="S797" s="61">
        <f>(IF((VLOOKUP(Table6[[#This Row],[SKU]],'All Skus'!$A:$AC,2,FALSE))="JBL",(VLOOKUP(Table6[[#This Row],[SKU]],'All Skus'!$A:$AC,21,FALSE)),""))</f>
        <v>29</v>
      </c>
      <c r="T797" s="61" t="str">
        <f>(IF((VLOOKUP(Table6[[#This Row],[SKU]],'All Skus'!$A:$AC,2,FALSE))="JBL",(VLOOKUP(Table6[[#This Row],[SKU]],'All Skus'!$A:$AC,22,FALSE)),""))</f>
        <v>MX</v>
      </c>
      <c r="U797" t="str">
        <f>(IF((VLOOKUP(Table6[[#This Row],[SKU]],'All Skus'!$A:$AC,2,FALSE))="JBL",(VLOOKUP(Table6[[#This Row],[SKU]],'All Skus'!$A:$AC,23,FALSE)),""))</f>
        <v>Compliant</v>
      </c>
      <c r="V797" s="284" t="str">
        <f>HYPERLINK((IF((VLOOKUP(Table6[[#This Row],[SKU]],'All Skus'!$A:$AC,2,FALSE))="JBL",(VLOOKUP(Table6[[#This Row],[SKU]],'All Skus'!$A:$AC,24,FALSE)),"")))</f>
        <v>http://www.jblpro.com/www/products/portable-market/prx400-series/prx418s#.VkxUjIRqBJo</v>
      </c>
      <c r="W797" s="151">
        <v>794</v>
      </c>
    </row>
    <row r="798" spans="1:23" ht="15" hidden="1" customHeight="1">
      <c r="A798" s="13" t="s">
        <v>1807</v>
      </c>
      <c r="B798" s="12">
        <f>(IF((VLOOKUP(Table6[[#This Row],[SKU]],'All Skus'!$A:$AC,2,FALSE))="JBL",(VLOOKUP(Table6[[#This Row],[SKU]],'All Skus'!$A:$AC,3,FALSE)),""))</f>
        <v>0</v>
      </c>
      <c r="C798" s="12">
        <f>(IF((VLOOKUP(Table6[[#This Row],[SKU]],'All Skus'!$A:$AC,2,FALSE))="JBL",(VLOOKUP(Table6[[#This Row],[SKU]],'All Skus'!$A:$AC,4,FALSE)),""))</f>
        <v>0</v>
      </c>
      <c r="D798" s="61">
        <f>(IF((VLOOKUP(Table6[[#This Row],[SKU]],'All Skus'!$A:$AC,2,FALSE))="JBL",(VLOOKUP(Table6[[#This Row],[SKU]],'All Skus'!$A:$AC,5,FALSE)),""))</f>
        <v>0</v>
      </c>
      <c r="E798" s="137">
        <f>(IF((VLOOKUP(Table6[[#This Row],[SKU]],'All Skus'!$A:$AC,2,FALSE))="JBL",(VLOOKUP(Table6[[#This Row],[SKU]],'All Skus'!$A:$AC,6,FALSE)),""))</f>
        <v>0</v>
      </c>
      <c r="F798" s="61">
        <f>(IF((VLOOKUP(Table6[[#This Row],[SKU]],'All Skus'!$A:$AC,2,FALSE))="JBL",(VLOOKUP(Table6[[#This Row],[SKU]],'All Skus'!$A:$AC,7,FALSE)),""))</f>
        <v>0</v>
      </c>
      <c r="G798">
        <f>(IF((VLOOKUP(Table6[[#This Row],[SKU]],'All Skus'!$A:$AC,2,FALSE))="JBL",(VLOOKUP(Table6[[#This Row],[SKU]],'All Skus'!$A:$AC,8,FALSE)),""))</f>
        <v>0</v>
      </c>
      <c r="H798" s="8">
        <f>(IF((VLOOKUP(Table6[[#This Row],[SKU]],'All Skus'!$A:$AC,2,FALSE))="JBL",(VLOOKUP(Table6[[#This Row],[SKU]],'All Skus'!$A:$AC,9,FALSE)),""))</f>
        <v>0</v>
      </c>
      <c r="I798" s="101">
        <f>(IF((VLOOKUP(Table6[[#This Row],[SKU]],'All Skus'!$A:$AC,2,FALSE))="JBL",(VLOOKUP(Table6[[#This Row],[SKU]],'All Skus'!$A:$AC,10,FALSE)),""))</f>
        <v>0</v>
      </c>
      <c r="J798" s="101">
        <f>(IF((VLOOKUP(Table6[[#This Row],[SKU]],'All Skus'!$A:$AC,2,FALSE))="JBL",(VLOOKUP(Table6[[#This Row],[SKU]],'All Skus'!$A:$AC,11,FALSE)),""))</f>
        <v>0</v>
      </c>
      <c r="K798" s="102">
        <f>(IF((VLOOKUP(Table6[[#This Row],[SKU]],'All Skus'!$A:$AC,2,FALSE))="JBL",(VLOOKUP(Table6[[#This Row],[SKU]],'All Skus'!$A:$AC,13,FALSE)),""))</f>
        <v>0</v>
      </c>
      <c r="L798" s="102">
        <f>(IF((VLOOKUP(Table6[[#This Row],[SKU]],'All Skus'!$A:$AC,2,FALSE))="JBL",(VLOOKUP(Table6[[#This Row],[SKU]],'All Skus'!$A:$AC,14,FALSE)),""))</f>
        <v>0</v>
      </c>
      <c r="M798" s="143">
        <f>(IF((VLOOKUP(Table6[[#This Row],[SKU]],'All Skus'!$A:$AC,2,FALSE))="JBL",(VLOOKUP(Table6[[#This Row],[SKU]],'All Skus'!$A:$AC,15,FALSE)),""))</f>
        <v>0</v>
      </c>
      <c r="N798" s="137">
        <f>(IF((VLOOKUP(Table6[[#This Row],[SKU]],'All Skus'!$A:$AC,2,FALSE))="JBL",(VLOOKUP(Table6[[#This Row],[SKU]],'All Skus'!$A:$AC,16,FALSE)),""))</f>
        <v>0</v>
      </c>
      <c r="O798" s="61">
        <f>(IF((VLOOKUP(Table6[[#This Row],[SKU]],'All Skus'!$A:$AC,2,FALSE))="JBL",(VLOOKUP(Table6[[#This Row],[SKU]],'All Skus'!$A:$AC,17,FALSE)),""))</f>
        <v>0</v>
      </c>
      <c r="P798" s="136">
        <f>(IF((VLOOKUP(Table6[[#This Row],[SKU]],'All Skus'!$A:$AC,2,FALSE))="JBL",(VLOOKUP(Table6[[#This Row],[SKU]],'All Skus'!$A:$AC,18,FALSE)),""))</f>
        <v>0</v>
      </c>
      <c r="Q798" s="136">
        <f>(IF((VLOOKUP(Table6[[#This Row],[SKU]],'All Skus'!$A:$AC,2,FALSE))="JBL",(VLOOKUP(Table6[[#This Row],[SKU]],'All Skus'!$A:$AC,19,FALSE)),""))</f>
        <v>0</v>
      </c>
      <c r="R798" s="136">
        <f>(IF((VLOOKUP(Table6[[#This Row],[SKU]],'All Skus'!$A:$AC,2,FALSE))="JBL",(VLOOKUP(Table6[[#This Row],[SKU]],'All Skus'!$A:$AC,20,FALSE)),""))</f>
        <v>0</v>
      </c>
      <c r="S798" s="61">
        <f>(IF((VLOOKUP(Table6[[#This Row],[SKU]],'All Skus'!$A:$AC,2,FALSE))="JBL",(VLOOKUP(Table6[[#This Row],[SKU]],'All Skus'!$A:$AC,21,FALSE)),""))</f>
        <v>0</v>
      </c>
      <c r="T798" s="61">
        <f>(IF((VLOOKUP(Table6[[#This Row],[SKU]],'All Skus'!$A:$AC,2,FALSE))="JBL",(VLOOKUP(Table6[[#This Row],[SKU]],'All Skus'!$A:$AC,22,FALSE)),""))</f>
        <v>0</v>
      </c>
      <c r="U798">
        <f>(IF((VLOOKUP(Table6[[#This Row],[SKU]],'All Skus'!$A:$AC,2,FALSE))="JBL",(VLOOKUP(Table6[[#This Row],[SKU]],'All Skus'!$A:$AC,23,FALSE)),""))</f>
        <v>0</v>
      </c>
      <c r="V798" s="284" t="str">
        <f>HYPERLINK((IF((VLOOKUP(Table6[[#This Row],[SKU]],'All Skus'!$A:$AC,2,FALSE))="JBL",(VLOOKUP(Table6[[#This Row],[SKU]],'All Skus'!$A:$AC,24,FALSE)),"")))</f>
        <v/>
      </c>
      <c r="W798" s="151">
        <v>795</v>
      </c>
    </row>
    <row r="799" spans="1:23" ht="15" hidden="1" customHeight="1">
      <c r="A799" s="91" t="s">
        <v>1806</v>
      </c>
      <c r="B799" s="12">
        <f>(IF((VLOOKUP(Table6[[#This Row],[SKU]],'All Skus'!$A:$AC,2,FALSE))="JBL",(VLOOKUP(Table6[[#This Row],[SKU]],'All Skus'!$A:$AC,3,FALSE)),""))</f>
        <v>0</v>
      </c>
      <c r="C799" s="12">
        <f>(IF((VLOOKUP(Table6[[#This Row],[SKU]],'All Skus'!$A:$AC,2,FALSE))="JBL",(VLOOKUP(Table6[[#This Row],[SKU]],'All Skus'!$A:$AC,4,FALSE)),""))</f>
        <v>0</v>
      </c>
      <c r="D799" s="61">
        <f>(IF((VLOOKUP(Table6[[#This Row],[SKU]],'All Skus'!$A:$AC,2,FALSE))="JBL",(VLOOKUP(Table6[[#This Row],[SKU]],'All Skus'!$A:$AC,5,FALSE)),""))</f>
        <v>0</v>
      </c>
      <c r="E799" s="137">
        <f>(IF((VLOOKUP(Table6[[#This Row],[SKU]],'All Skus'!$A:$AC,2,FALSE))="JBL",(VLOOKUP(Table6[[#This Row],[SKU]],'All Skus'!$A:$AC,6,FALSE)),""))</f>
        <v>0</v>
      </c>
      <c r="F799" s="61">
        <f>(IF((VLOOKUP(Table6[[#This Row],[SKU]],'All Skus'!$A:$AC,2,FALSE))="JBL",(VLOOKUP(Table6[[#This Row],[SKU]],'All Skus'!$A:$AC,7,FALSE)),""))</f>
        <v>0</v>
      </c>
      <c r="G799">
        <f>(IF((VLOOKUP(Table6[[#This Row],[SKU]],'All Skus'!$A:$AC,2,FALSE))="JBL",(VLOOKUP(Table6[[#This Row],[SKU]],'All Skus'!$A:$AC,8,FALSE)),""))</f>
        <v>0</v>
      </c>
      <c r="H799" s="8">
        <f>(IF((VLOOKUP(Table6[[#This Row],[SKU]],'All Skus'!$A:$AC,2,FALSE))="JBL",(VLOOKUP(Table6[[#This Row],[SKU]],'All Skus'!$A:$AC,9,FALSE)),""))</f>
        <v>0</v>
      </c>
      <c r="I799" s="101">
        <f>(IF((VLOOKUP(Table6[[#This Row],[SKU]],'All Skus'!$A:$AC,2,FALSE))="JBL",(VLOOKUP(Table6[[#This Row],[SKU]],'All Skus'!$A:$AC,10,FALSE)),""))</f>
        <v>0</v>
      </c>
      <c r="J799" s="101">
        <f>(IF((VLOOKUP(Table6[[#This Row],[SKU]],'All Skus'!$A:$AC,2,FALSE))="JBL",(VLOOKUP(Table6[[#This Row],[SKU]],'All Skus'!$A:$AC,11,FALSE)),""))</f>
        <v>0</v>
      </c>
      <c r="K799" s="102">
        <f>(IF((VLOOKUP(Table6[[#This Row],[SKU]],'All Skus'!$A:$AC,2,FALSE))="JBL",(VLOOKUP(Table6[[#This Row],[SKU]],'All Skus'!$A:$AC,13,FALSE)),""))</f>
        <v>0</v>
      </c>
      <c r="L799" s="102">
        <f>(IF((VLOOKUP(Table6[[#This Row],[SKU]],'All Skus'!$A:$AC,2,FALSE))="JBL",(VLOOKUP(Table6[[#This Row],[SKU]],'All Skus'!$A:$AC,14,FALSE)),""))</f>
        <v>0</v>
      </c>
      <c r="M799" s="143">
        <f>(IF((VLOOKUP(Table6[[#This Row],[SKU]],'All Skus'!$A:$AC,2,FALSE))="JBL",(VLOOKUP(Table6[[#This Row],[SKU]],'All Skus'!$A:$AC,15,FALSE)),""))</f>
        <v>0</v>
      </c>
      <c r="N799" s="137">
        <f>(IF((VLOOKUP(Table6[[#This Row],[SKU]],'All Skus'!$A:$AC,2,FALSE))="JBL",(VLOOKUP(Table6[[#This Row],[SKU]],'All Skus'!$A:$AC,16,FALSE)),""))</f>
        <v>0</v>
      </c>
      <c r="O799" s="61">
        <f>(IF((VLOOKUP(Table6[[#This Row],[SKU]],'All Skus'!$A:$AC,2,FALSE))="JBL",(VLOOKUP(Table6[[#This Row],[SKU]],'All Skus'!$A:$AC,17,FALSE)),""))</f>
        <v>0</v>
      </c>
      <c r="P799" s="136">
        <f>(IF((VLOOKUP(Table6[[#This Row],[SKU]],'All Skus'!$A:$AC,2,FALSE))="JBL",(VLOOKUP(Table6[[#This Row],[SKU]],'All Skus'!$A:$AC,18,FALSE)),""))</f>
        <v>0</v>
      </c>
      <c r="Q799" s="136">
        <f>(IF((VLOOKUP(Table6[[#This Row],[SKU]],'All Skus'!$A:$AC,2,FALSE))="JBL",(VLOOKUP(Table6[[#This Row],[SKU]],'All Skus'!$A:$AC,19,FALSE)),""))</f>
        <v>0</v>
      </c>
      <c r="R799" s="136">
        <f>(IF((VLOOKUP(Table6[[#This Row],[SKU]],'All Skus'!$A:$AC,2,FALSE))="JBL",(VLOOKUP(Table6[[#This Row],[SKU]],'All Skus'!$A:$AC,20,FALSE)),""))</f>
        <v>0</v>
      </c>
      <c r="S799" s="61">
        <f>(IF((VLOOKUP(Table6[[#This Row],[SKU]],'All Skus'!$A:$AC,2,FALSE))="JBL",(VLOOKUP(Table6[[#This Row],[SKU]],'All Skus'!$A:$AC,21,FALSE)),""))</f>
        <v>0</v>
      </c>
      <c r="T799" s="61" t="str">
        <f>(IF((VLOOKUP(Table6[[#This Row],[SKU]],'All Skus'!$A:$AC,2,FALSE))="JBL",(VLOOKUP(Table6[[#This Row],[SKU]],'All Skus'!$A:$AC,22,FALSE)),""))</f>
        <v>MX</v>
      </c>
      <c r="U799" t="str">
        <f>(IF((VLOOKUP(Table6[[#This Row],[SKU]],'All Skus'!$A:$AC,2,FALSE))="JBL",(VLOOKUP(Table6[[#This Row],[SKU]],'All Skus'!$A:$AC,23,FALSE)),""))</f>
        <v>Compliant</v>
      </c>
      <c r="V799" s="284" t="str">
        <f>HYPERLINK((IF((VLOOKUP(Table6[[#This Row],[SKU]],'All Skus'!$A:$AC,2,FALSE))="JBL",(VLOOKUP(Table6[[#This Row],[SKU]],'All Skus'!$A:$AC,24,FALSE)),"")))</f>
        <v/>
      </c>
      <c r="W799" s="151">
        <v>796</v>
      </c>
    </row>
    <row r="800" spans="1:23" ht="15" hidden="1" customHeight="1">
      <c r="A800" s="13" t="s">
        <v>1809</v>
      </c>
      <c r="B800" s="12" t="str">
        <f>(IF((VLOOKUP(Table6[[#This Row],[SKU]],'All Skus'!$A:$AC,2,FALSE))="JBL",(VLOOKUP(Table6[[#This Row],[SKU]],'All Skus'!$A:$AC,3,FALSE)),""))</f>
        <v>PRX SERIES</v>
      </c>
      <c r="C800" s="12" t="str">
        <f>(IF((VLOOKUP(Table6[[#This Row],[SKU]],'All Skus'!$A:$AC,2,FALSE))="JBL",(VLOOKUP(Table6[[#This Row],[SKU]],'All Skus'!$A:$AC,4,FALSE)),""))</f>
        <v>JBL-PRX ONE-NA</v>
      </c>
      <c r="D800" s="61" t="str">
        <f>(IF((VLOOKUP(Table6[[#This Row],[SKU]],'All Skus'!$A:$AC,2,FALSE))="JBL",(VLOOKUP(Table6[[#This Row],[SKU]],'All Skus'!$A:$AC,5,FALSE)),""))</f>
        <v>JBL00601</v>
      </c>
      <c r="E800" s="137">
        <f>(IF((VLOOKUP(Table6[[#This Row],[SKU]],'All Skus'!$A:$AC,2,FALSE))="JBL",(VLOOKUP(Table6[[#This Row],[SKU]],'All Skus'!$A:$AC,6,FALSE)),""))</f>
        <v>0</v>
      </c>
      <c r="F800" s="61">
        <f>(IF((VLOOKUP(Table6[[#This Row],[SKU]],'All Skus'!$A:$AC,2,FALSE))="JBL",(VLOOKUP(Table6[[#This Row],[SKU]],'All Skus'!$A:$AC,7,FALSE)),""))</f>
        <v>0</v>
      </c>
      <c r="G800" t="str">
        <f>(IF((VLOOKUP(Table6[[#This Row],[SKU]],'All Skus'!$A:$AC,2,FALSE))="JBL",(VLOOKUP(Table6[[#This Row],[SKU]],'All Skus'!$A:$AC,8,FALSE)),""))</f>
        <v>JBL PRX ONE Powered Column PA Speaker</v>
      </c>
      <c r="H800" s="8" t="str">
        <f>(IF((VLOOKUP(Table6[[#This Row],[SKU]],'All Skus'!$A:$AC,2,FALSE))="JBL",(VLOOKUP(Table6[[#This Row],[SKU]],'All Skus'!$A:$AC,9,FALSE)),""))</f>
        <v>JBL PRX ONE Powered Column PA Speaker</v>
      </c>
      <c r="I800" s="101">
        <f>(IF((VLOOKUP(Table6[[#This Row],[SKU]],'All Skus'!$A:$AC,2,FALSE))="JBL",(VLOOKUP(Table6[[#This Row],[SKU]],'All Skus'!$A:$AC,10,FALSE)),""))</f>
        <v>2561.91</v>
      </c>
      <c r="J800" s="101">
        <f>(IF((VLOOKUP(Table6[[#This Row],[SKU]],'All Skus'!$A:$AC,2,FALSE))="JBL",(VLOOKUP(Table6[[#This Row],[SKU]],'All Skus'!$A:$AC,11,FALSE)),""))</f>
        <v>1750</v>
      </c>
      <c r="K800" s="102">
        <f>(IF((VLOOKUP(Table6[[#This Row],[SKU]],'All Skus'!$A:$AC,2,FALSE))="JBL",(VLOOKUP(Table6[[#This Row],[SKU]],'All Skus'!$A:$AC,13,FALSE)),""))</f>
        <v>0</v>
      </c>
      <c r="L800" s="102">
        <f>(IF((VLOOKUP(Table6[[#This Row],[SKU]],'All Skus'!$A:$AC,2,FALSE))="JBL",(VLOOKUP(Table6[[#This Row],[SKU]],'All Skus'!$A:$AC,14,FALSE)),""))</f>
        <v>0</v>
      </c>
      <c r="M800" s="143">
        <f>(IF((VLOOKUP(Table6[[#This Row],[SKU]],'All Skus'!$A:$AC,2,FALSE))="JBL",(VLOOKUP(Table6[[#This Row],[SKU]],'All Skus'!$A:$AC,15,FALSE)),""))</f>
        <v>0</v>
      </c>
      <c r="N800" s="137">
        <f>(IF((VLOOKUP(Table6[[#This Row],[SKU]],'All Skus'!$A:$AC,2,FALSE))="JBL",(VLOOKUP(Table6[[#This Row],[SKU]],'All Skus'!$A:$AC,16,FALSE)),""))</f>
        <v>691991034800</v>
      </c>
      <c r="O800" s="61">
        <f>(IF((VLOOKUP(Table6[[#This Row],[SKU]],'All Skus'!$A:$AC,2,FALSE))="JBL",(VLOOKUP(Table6[[#This Row],[SKU]],'All Skus'!$A:$AC,17,FALSE)),""))</f>
        <v>0</v>
      </c>
      <c r="P800" s="136" t="str">
        <f>(IF((VLOOKUP(Table6[[#This Row],[SKU]],'All Skus'!$A:$AC,2,FALSE))="JBL",(VLOOKUP(Table6[[#This Row],[SKU]],'All Skus'!$A:$AC,18,FALSE)),""))</f>
        <v>31.75KG</v>
      </c>
      <c r="Q800" s="136" t="str">
        <f>(IF((VLOOKUP(Table6[[#This Row],[SKU]],'All Skus'!$A:$AC,2,FALSE))="JBL",(VLOOKUP(Table6[[#This Row],[SKU]],'All Skus'!$A:$AC,19,FALSE)),""))</f>
        <v>647 MM</v>
      </c>
      <c r="R800" s="136" t="str">
        <f>(IF((VLOOKUP(Table6[[#This Row],[SKU]],'All Skus'!$A:$AC,2,FALSE))="JBL",(VLOOKUP(Table6[[#This Row],[SKU]],'All Skus'!$A:$AC,20,FALSE)),""))</f>
        <v>482MM</v>
      </c>
      <c r="S800" s="61">
        <f>(IF((VLOOKUP(Table6[[#This Row],[SKU]],'All Skus'!$A:$AC,2,FALSE))="JBL",(VLOOKUP(Table6[[#This Row],[SKU]],'All Skus'!$A:$AC,21,FALSE)),""))</f>
        <v>0</v>
      </c>
      <c r="T800" s="61" t="str">
        <f>(IF((VLOOKUP(Table6[[#This Row],[SKU]],'All Skus'!$A:$AC,2,FALSE))="JBL",(VLOOKUP(Table6[[#This Row],[SKU]],'All Skus'!$A:$AC,22,FALSE)),""))</f>
        <v>CN</v>
      </c>
      <c r="U800" t="str">
        <f>(IF((VLOOKUP(Table6[[#This Row],[SKU]],'All Skus'!$A:$AC,2,FALSE))="JBL",(VLOOKUP(Table6[[#This Row],[SKU]],'All Skus'!$A:$AC,23,FALSE)),""))</f>
        <v>Non Compliant</v>
      </c>
      <c r="V800" s="284" t="str">
        <f>HYPERLINK((IF((VLOOKUP(Table6[[#This Row],[SKU]],'All Skus'!$A:$AC,2,FALSE))="JBL",(VLOOKUP(Table6[[#This Row],[SKU]],'All Skus'!$A:$AC,24,FALSE)),"")))</f>
        <v/>
      </c>
      <c r="W800" s="151">
        <v>797</v>
      </c>
    </row>
    <row r="801" spans="1:23" ht="15" hidden="1" customHeight="1">
      <c r="A801" s="13" t="s">
        <v>1808</v>
      </c>
      <c r="B801" s="12" t="str">
        <f>(IF((VLOOKUP(Table6[[#This Row],[SKU]],'All Skus'!$A:$AC,2,FALSE))="JBL",(VLOOKUP(Table6[[#This Row],[SKU]],'All Skus'!$A:$AC,3,FALSE)),""))</f>
        <v>PRX SERIES</v>
      </c>
      <c r="C801" s="12" t="str">
        <f>(IF((VLOOKUP(Table6[[#This Row],[SKU]],'All Skus'!$A:$AC,2,FALSE))="JBL",(VLOOKUP(Table6[[#This Row],[SKU]],'All Skus'!$A:$AC,4,FALSE)),""))</f>
        <v>JBL PRX ONE INSTALL ADAPTER BRACKET KIT</v>
      </c>
      <c r="D801" s="61" t="str">
        <f>(IF((VLOOKUP(Table6[[#This Row],[SKU]],'All Skus'!$A:$AC,2,FALSE))="JBL",(VLOOKUP(Table6[[#This Row],[SKU]],'All Skus'!$A:$AC,5,FALSE)),""))</f>
        <v>JBL006</v>
      </c>
      <c r="E801" s="137">
        <f>(IF((VLOOKUP(Table6[[#This Row],[SKU]],'All Skus'!$A:$AC,2,FALSE))="JBL",(VLOOKUP(Table6[[#This Row],[SKU]],'All Skus'!$A:$AC,6,FALSE)),""))</f>
        <v>0</v>
      </c>
      <c r="F801" s="61" t="str">
        <f>(IF((VLOOKUP(Table6[[#This Row],[SKU]],'All Skus'!$A:$AC,2,FALSE))="JBL",(VLOOKUP(Table6[[#This Row],[SKU]],'All Skus'!$A:$AC,7,FALSE)),""))</f>
        <v>NEW</v>
      </c>
      <c r="G801" t="str">
        <f>(IF((VLOOKUP(Table6[[#This Row],[SKU]],'All Skus'!$A:$AC,2,FALSE))="JBL",(VLOOKUP(Table6[[#This Row],[SKU]],'All Skus'!$A:$AC,8,FALSE)),""))</f>
        <v>JBL PRX ONE Install Bracket and Adapter Kit</v>
      </c>
      <c r="H801" s="8" t="str">
        <f>(IF((VLOOKUP(Table6[[#This Row],[SKU]],'All Skus'!$A:$AC,2,FALSE))="JBL",(VLOOKUP(Table6[[#This Row],[SKU]],'All Skus'!$A:$AC,9,FALSE)),""))</f>
        <v>JBL PRX ONE Install Bracket and Adapter Kit</v>
      </c>
      <c r="I801" s="101">
        <f>(IF((VLOOKUP(Table6[[#This Row],[SKU]],'All Skus'!$A:$AC,2,FALSE))="JBL",(VLOOKUP(Table6[[#This Row],[SKU]],'All Skus'!$A:$AC,10,FALSE)),""))</f>
        <v>545.67999999999995</v>
      </c>
      <c r="J801" s="101">
        <f>(IF((VLOOKUP(Table6[[#This Row],[SKU]],'All Skus'!$A:$AC,2,FALSE))="JBL",(VLOOKUP(Table6[[#This Row],[SKU]],'All Skus'!$A:$AC,11,FALSE)),""))</f>
        <v>329</v>
      </c>
      <c r="K801" s="102">
        <f>(IF((VLOOKUP(Table6[[#This Row],[SKU]],'All Skus'!$A:$AC,2,FALSE))="JBL",(VLOOKUP(Table6[[#This Row],[SKU]],'All Skus'!$A:$AC,13,FALSE)),""))</f>
        <v>0</v>
      </c>
      <c r="L801" s="102">
        <f>(IF((VLOOKUP(Table6[[#This Row],[SKU]],'All Skus'!$A:$AC,2,FALSE))="JBL",(VLOOKUP(Table6[[#This Row],[SKU]],'All Skus'!$A:$AC,14,FALSE)),""))</f>
        <v>0</v>
      </c>
      <c r="M801" s="143">
        <f>(IF((VLOOKUP(Table6[[#This Row],[SKU]],'All Skus'!$A:$AC,2,FALSE))="JBL",(VLOOKUP(Table6[[#This Row],[SKU]],'All Skus'!$A:$AC,15,FALSE)),""))</f>
        <v>0</v>
      </c>
      <c r="N801" s="137">
        <f>(IF((VLOOKUP(Table6[[#This Row],[SKU]],'All Skus'!$A:$AC,2,FALSE))="JBL",(VLOOKUP(Table6[[#This Row],[SKU]],'All Skus'!$A:$AC,16,FALSE)),""))</f>
        <v>691991035418</v>
      </c>
      <c r="O801" s="61">
        <f>(IF((VLOOKUP(Table6[[#This Row],[SKU]],'All Skus'!$A:$AC,2,FALSE))="JBL",(VLOOKUP(Table6[[#This Row],[SKU]],'All Skus'!$A:$AC,17,FALSE)),""))</f>
        <v>0</v>
      </c>
      <c r="P801" s="136" t="str">
        <f>(IF((VLOOKUP(Table6[[#This Row],[SKU]],'All Skus'!$A:$AC,2,FALSE))="JBL",(VLOOKUP(Table6[[#This Row],[SKU]],'All Skus'!$A:$AC,18,FALSE)),""))</f>
        <v>10.5 LB</v>
      </c>
      <c r="Q801" s="136" t="str">
        <f>(IF((VLOOKUP(Table6[[#This Row],[SKU]],'All Skus'!$A:$AC,2,FALSE))="JBL",(VLOOKUP(Table6[[#This Row],[SKU]],'All Skus'!$A:$AC,19,FALSE)),""))</f>
        <v>647 MM</v>
      </c>
      <c r="R801" s="136" t="str">
        <f>(IF((VLOOKUP(Table6[[#This Row],[SKU]],'All Skus'!$A:$AC,2,FALSE))="JBL",(VLOOKUP(Table6[[#This Row],[SKU]],'All Skus'!$A:$AC,20,FALSE)),""))</f>
        <v>482MM</v>
      </c>
      <c r="S801" s="61">
        <f>(IF((VLOOKUP(Table6[[#This Row],[SKU]],'All Skus'!$A:$AC,2,FALSE))="JBL",(VLOOKUP(Table6[[#This Row],[SKU]],'All Skus'!$A:$AC,21,FALSE)),""))</f>
        <v>0</v>
      </c>
      <c r="T801" s="61" t="str">
        <f>(IF((VLOOKUP(Table6[[#This Row],[SKU]],'All Skus'!$A:$AC,2,FALSE))="JBL",(VLOOKUP(Table6[[#This Row],[SKU]],'All Skus'!$A:$AC,22,FALSE)),""))</f>
        <v>CN</v>
      </c>
      <c r="U801" t="str">
        <f>(IF((VLOOKUP(Table6[[#This Row],[SKU]],'All Skus'!$A:$AC,2,FALSE))="JBL",(VLOOKUP(Table6[[#This Row],[SKU]],'All Skus'!$A:$AC,23,FALSE)),""))</f>
        <v>Non Compliant</v>
      </c>
      <c r="V801" s="284" t="str">
        <f>HYPERLINK((IF((VLOOKUP(Table6[[#This Row],[SKU]],'All Skus'!$A:$AC,2,FALSE))="JBL",(VLOOKUP(Table6[[#This Row],[SKU]],'All Skus'!$A:$AC,24,FALSE)),"")))</f>
        <v/>
      </c>
      <c r="W801" s="151">
        <v>798</v>
      </c>
    </row>
    <row r="802" spans="1:23" ht="15" hidden="1" customHeight="1">
      <c r="A802" s="13" t="s">
        <v>1811</v>
      </c>
      <c r="B802" s="12" t="str">
        <f>(IF((VLOOKUP(Table6[[#This Row],[SKU]],'All Skus'!$A:$AC,2,FALSE))="JBL",(VLOOKUP(Table6[[#This Row],[SKU]],'All Skus'!$A:$AC,3,FALSE)),""))</f>
        <v>PRX SERIES</v>
      </c>
      <c r="C802" s="12" t="str">
        <f>(IF((VLOOKUP(Table6[[#This Row],[SKU]],'All Skus'!$A:$AC,2,FALSE))="JBL",(VLOOKUP(Table6[[#This Row],[SKU]],'All Skus'!$A:$AC,4,FALSE)),""))</f>
        <v>PRX835W</v>
      </c>
      <c r="D802" s="61" t="str">
        <f>(IF((VLOOKUP(Table6[[#This Row],[SKU]],'All Skus'!$A:$AC,2,FALSE))="JBL",(VLOOKUP(Table6[[#This Row],[SKU]],'All Skus'!$A:$AC,5,FALSE)),""))</f>
        <v>JBL006</v>
      </c>
      <c r="E802" s="137">
        <f>(IF((VLOOKUP(Table6[[#This Row],[SKU]],'All Skus'!$A:$AC,2,FALSE))="JBL",(VLOOKUP(Table6[[#This Row],[SKU]],'All Skus'!$A:$AC,6,FALSE)),""))</f>
        <v>0</v>
      </c>
      <c r="F802" s="61">
        <f>(IF((VLOOKUP(Table6[[#This Row],[SKU]],'All Skus'!$A:$AC,2,FALSE))="JBL",(VLOOKUP(Table6[[#This Row],[SKU]],'All Skus'!$A:$AC,7,FALSE)),""))</f>
        <v>0</v>
      </c>
      <c r="G802" t="str">
        <f>(IF((VLOOKUP(Table6[[#This Row],[SKU]],'All Skus'!$A:$AC,2,FALSE))="JBL",(VLOOKUP(Table6[[#This Row],[SKU]],'All Skus'!$A:$AC,8,FALSE)),""))</f>
        <v>Powered 15" three-way system, wood cabinet, pole mount, M10 suspension points</v>
      </c>
      <c r="H802" s="8" t="str">
        <f>(IF((VLOOKUP(Table6[[#This Row],[SKU]],'All Skus'!$A:$AC,2,FALSE))="JBL",(VLOOKUP(Table6[[#This Row],[SKU]],'All Skus'!$A:$AC,9,FALSE)),""))</f>
        <v>Powered, 1500W, 15" three-way, full-range system with WiFi capabilility in a wood cabinet, dual pole mount, M10 suspension points. 138db SPL peak with a 90° x 50° nominal coverage pattern, user-selectable DSP that includes EQ.</v>
      </c>
      <c r="I802" s="101">
        <f>(IF((VLOOKUP(Table6[[#This Row],[SKU]],'All Skus'!$A:$AC,2,FALSE))="JBL",(VLOOKUP(Table6[[#This Row],[SKU]],'All Skus'!$A:$AC,10,FALSE)),""))</f>
        <v>1995.66</v>
      </c>
      <c r="J802" s="101">
        <f>(IF((VLOOKUP(Table6[[#This Row],[SKU]],'All Skus'!$A:$AC,2,FALSE))="JBL",(VLOOKUP(Table6[[#This Row],[SKU]],'All Skus'!$A:$AC,11,FALSE)),""))</f>
        <v>1599</v>
      </c>
      <c r="K802" s="102">
        <f>(IF((VLOOKUP(Table6[[#This Row],[SKU]],'All Skus'!$A:$AC,2,FALSE))="JBL",(VLOOKUP(Table6[[#This Row],[SKU]],'All Skus'!$A:$AC,13,FALSE)),""))</f>
        <v>0</v>
      </c>
      <c r="L802" s="102">
        <f>(IF((VLOOKUP(Table6[[#This Row],[SKU]],'All Skus'!$A:$AC,2,FALSE))="JBL",(VLOOKUP(Table6[[#This Row],[SKU]],'All Skus'!$A:$AC,14,FALSE)),""))</f>
        <v>0</v>
      </c>
      <c r="M802" s="143">
        <f>(IF((VLOOKUP(Table6[[#This Row],[SKU]],'All Skus'!$A:$AC,2,FALSE))="JBL",(VLOOKUP(Table6[[#This Row],[SKU]],'All Skus'!$A:$AC,15,FALSE)),""))</f>
        <v>0</v>
      </c>
      <c r="N802" s="137">
        <f>(IF((VLOOKUP(Table6[[#This Row],[SKU]],'All Skus'!$A:$AC,2,FALSE))="JBL",(VLOOKUP(Table6[[#This Row],[SKU]],'All Skus'!$A:$AC,16,FALSE)),""))</f>
        <v>691991005428</v>
      </c>
      <c r="O802" s="61">
        <f>(IF((VLOOKUP(Table6[[#This Row],[SKU]],'All Skus'!$A:$AC,2,FALSE))="JBL",(VLOOKUP(Table6[[#This Row],[SKU]],'All Skus'!$A:$AC,17,FALSE)),""))</f>
        <v>0</v>
      </c>
      <c r="P802" s="136">
        <f>(IF((VLOOKUP(Table6[[#This Row],[SKU]],'All Skus'!$A:$AC,2,FALSE))="JBL",(VLOOKUP(Table6[[#This Row],[SKU]],'All Skus'!$A:$AC,18,FALSE)),""))</f>
        <v>80</v>
      </c>
      <c r="Q802" s="136">
        <f>(IF((VLOOKUP(Table6[[#This Row],[SKU]],'All Skus'!$A:$AC,2,FALSE))="JBL",(VLOOKUP(Table6[[#This Row],[SKU]],'All Skus'!$A:$AC,19,FALSE)),""))</f>
        <v>25.5</v>
      </c>
      <c r="R802" s="136">
        <f>(IF((VLOOKUP(Table6[[#This Row],[SKU]],'All Skus'!$A:$AC,2,FALSE))="JBL",(VLOOKUP(Table6[[#This Row],[SKU]],'All Skus'!$A:$AC,20,FALSE)),""))</f>
        <v>22</v>
      </c>
      <c r="S802" s="61">
        <f>(IF((VLOOKUP(Table6[[#This Row],[SKU]],'All Skus'!$A:$AC,2,FALSE))="JBL",(VLOOKUP(Table6[[#This Row],[SKU]],'All Skus'!$A:$AC,21,FALSE)),""))</f>
        <v>38.75</v>
      </c>
      <c r="T802" s="61" t="str">
        <f>(IF((VLOOKUP(Table6[[#This Row],[SKU]],'All Skus'!$A:$AC,2,FALSE))="JBL",(VLOOKUP(Table6[[#This Row],[SKU]],'All Skus'!$A:$AC,22,FALSE)),""))</f>
        <v>MX</v>
      </c>
      <c r="U802">
        <f>(IF((VLOOKUP(Table6[[#This Row],[SKU]],'All Skus'!$A:$AC,2,FALSE))="JBL",(VLOOKUP(Table6[[#This Row],[SKU]],'All Skus'!$A:$AC,23,FALSE)),""))</f>
        <v>0</v>
      </c>
      <c r="V802" s="284" t="str">
        <f>HYPERLINK((IF((VLOOKUP(Table6[[#This Row],[SKU]],'All Skus'!$A:$AC,2,FALSE))="JBL",(VLOOKUP(Table6[[#This Row],[SKU]],'All Skus'!$A:$AC,24,FALSE)),"")))</f>
        <v>http://www.jblpro.com/www/products/portable-market/prx800-series/prx835w</v>
      </c>
      <c r="W802" s="151">
        <v>799</v>
      </c>
    </row>
    <row r="803" spans="1:23" ht="15" hidden="1" customHeight="1">
      <c r="A803" s="13" t="s">
        <v>1810</v>
      </c>
      <c r="B803" s="12" t="str">
        <f>(IF((VLOOKUP(Table6[[#This Row],[SKU]],'All Skus'!$A:$AC,2,FALSE))="JBL",(VLOOKUP(Table6[[#This Row],[SKU]],'All Skus'!$A:$AC,3,FALSE)),""))</f>
        <v>PRX SERIES</v>
      </c>
      <c r="C803" s="12" t="str">
        <f>(IF((VLOOKUP(Table6[[#This Row],[SKU]],'All Skus'!$A:$AC,2,FALSE))="JBL",(VLOOKUP(Table6[[#This Row],[SKU]],'All Skus'!$A:$AC,4,FALSE)),""))</f>
        <v>PRX825W</v>
      </c>
      <c r="D803" s="61" t="str">
        <f>(IF((VLOOKUP(Table6[[#This Row],[SKU]],'All Skus'!$A:$AC,2,FALSE))="JBL",(VLOOKUP(Table6[[#This Row],[SKU]],'All Skus'!$A:$AC,5,FALSE)),""))</f>
        <v>JBL006</v>
      </c>
      <c r="E803" s="137">
        <f>(IF((VLOOKUP(Table6[[#This Row],[SKU]],'All Skus'!$A:$AC,2,FALSE))="JBL",(VLOOKUP(Table6[[#This Row],[SKU]],'All Skus'!$A:$AC,6,FALSE)),""))</f>
        <v>0</v>
      </c>
      <c r="F803" s="61">
        <f>(IF((VLOOKUP(Table6[[#This Row],[SKU]],'All Skus'!$A:$AC,2,FALSE))="JBL",(VLOOKUP(Table6[[#This Row],[SKU]],'All Skus'!$A:$AC,7,FALSE)),""))</f>
        <v>0</v>
      </c>
      <c r="G803" t="str">
        <f>(IF((VLOOKUP(Table6[[#This Row],[SKU]],'All Skus'!$A:$AC,2,FALSE))="JBL",(VLOOKUP(Table6[[#This Row],[SKU]],'All Skus'!$A:$AC,8,FALSE)),""))</f>
        <v>Powered dual 15" two-way system, wood cabinet, M10 suspension points</v>
      </c>
      <c r="H803" s="8" t="str">
        <f>(IF((VLOOKUP(Table6[[#This Row],[SKU]],'All Skus'!$A:$AC,2,FALSE))="JBL",(VLOOKUP(Table6[[#This Row],[SKU]],'All Skus'!$A:$AC,9,FALSE)),""))</f>
        <v>Powered, 1500W, dual 15" two-way, bass-reflex system with WiFi capabilility in a wood cabinet, dual pole mount, M10 suspension points. 138db SPL peak with a 90° x 50° nominal coverage pattern, user-selectable DSP that includes EQ.</v>
      </c>
      <c r="I803" s="101">
        <f>(IF((VLOOKUP(Table6[[#This Row],[SKU]],'All Skus'!$A:$AC,2,FALSE))="JBL",(VLOOKUP(Table6[[#This Row],[SKU]],'All Skus'!$A:$AC,10,FALSE)),""))</f>
        <v>2060.64</v>
      </c>
      <c r="J803" s="101">
        <f>(IF((VLOOKUP(Table6[[#This Row],[SKU]],'All Skus'!$A:$AC,2,FALSE))="JBL",(VLOOKUP(Table6[[#This Row],[SKU]],'All Skus'!$A:$AC,11,FALSE)),""))</f>
        <v>1649</v>
      </c>
      <c r="K803" s="102">
        <f>(IF((VLOOKUP(Table6[[#This Row],[SKU]],'All Skus'!$A:$AC,2,FALSE))="JBL",(VLOOKUP(Table6[[#This Row],[SKU]],'All Skus'!$A:$AC,13,FALSE)),""))</f>
        <v>0</v>
      </c>
      <c r="L803" s="102">
        <f>(IF((VLOOKUP(Table6[[#This Row],[SKU]],'All Skus'!$A:$AC,2,FALSE))="JBL",(VLOOKUP(Table6[[#This Row],[SKU]],'All Skus'!$A:$AC,14,FALSE)),""))</f>
        <v>0</v>
      </c>
      <c r="M803" s="143">
        <f>(IF((VLOOKUP(Table6[[#This Row],[SKU]],'All Skus'!$A:$AC,2,FALSE))="JBL",(VLOOKUP(Table6[[#This Row],[SKU]],'All Skus'!$A:$AC,15,FALSE)),""))</f>
        <v>0</v>
      </c>
      <c r="N803" s="137">
        <f>(IF((VLOOKUP(Table6[[#This Row],[SKU]],'All Skus'!$A:$AC,2,FALSE))="JBL",(VLOOKUP(Table6[[#This Row],[SKU]],'All Skus'!$A:$AC,16,FALSE)),""))</f>
        <v>691991005404</v>
      </c>
      <c r="O803" s="61">
        <f>(IF((VLOOKUP(Table6[[#This Row],[SKU]],'All Skus'!$A:$AC,2,FALSE))="JBL",(VLOOKUP(Table6[[#This Row],[SKU]],'All Skus'!$A:$AC,17,FALSE)),""))</f>
        <v>0</v>
      </c>
      <c r="P803" s="136">
        <f>(IF((VLOOKUP(Table6[[#This Row],[SKU]],'All Skus'!$A:$AC,2,FALSE))="JBL",(VLOOKUP(Table6[[#This Row],[SKU]],'All Skus'!$A:$AC,18,FALSE)),""))</f>
        <v>100</v>
      </c>
      <c r="Q803" s="136">
        <f>(IF((VLOOKUP(Table6[[#This Row],[SKU]],'All Skus'!$A:$AC,2,FALSE))="JBL",(VLOOKUP(Table6[[#This Row],[SKU]],'All Skus'!$A:$AC,19,FALSE)),""))</f>
        <v>25.5</v>
      </c>
      <c r="R803" s="136">
        <f>(IF((VLOOKUP(Table6[[#This Row],[SKU]],'All Skus'!$A:$AC,2,FALSE))="JBL",(VLOOKUP(Table6[[#This Row],[SKU]],'All Skus'!$A:$AC,20,FALSE)),""))</f>
        <v>21.5</v>
      </c>
      <c r="S803" s="61">
        <f>(IF((VLOOKUP(Table6[[#This Row],[SKU]],'All Skus'!$A:$AC,2,FALSE))="JBL",(VLOOKUP(Table6[[#This Row],[SKU]],'All Skus'!$A:$AC,21,FALSE)),""))</f>
        <v>44</v>
      </c>
      <c r="T803" s="61" t="str">
        <f>(IF((VLOOKUP(Table6[[#This Row],[SKU]],'All Skus'!$A:$AC,2,FALSE))="JBL",(VLOOKUP(Table6[[#This Row],[SKU]],'All Skus'!$A:$AC,22,FALSE)),""))</f>
        <v>MX</v>
      </c>
      <c r="U803" t="str">
        <f>(IF((VLOOKUP(Table6[[#This Row],[SKU]],'All Skus'!$A:$AC,2,FALSE))="JBL",(VLOOKUP(Table6[[#This Row],[SKU]],'All Skus'!$A:$AC,23,FALSE)),""))</f>
        <v>Compliant</v>
      </c>
      <c r="V803" s="284" t="str">
        <f>HYPERLINK((IF((VLOOKUP(Table6[[#This Row],[SKU]],'All Skus'!$A:$AC,2,FALSE))="JBL",(VLOOKUP(Table6[[#This Row],[SKU]],'All Skus'!$A:$AC,24,FALSE)),"")))</f>
        <v>http://www.jblpro.com/www/products/portable-market/prx800-series/prx825w</v>
      </c>
      <c r="W803" s="151">
        <v>800</v>
      </c>
    </row>
    <row r="804" spans="1:23" ht="15" hidden="1" customHeight="1">
      <c r="A804" s="13" t="s">
        <v>1813</v>
      </c>
      <c r="B804" s="12" t="str">
        <f>(IF((VLOOKUP(Table6[[#This Row],[SKU]],'All Skus'!$A:$AC,2,FALSE))="JBL",(VLOOKUP(Table6[[#This Row],[SKU]],'All Skus'!$A:$AC,3,FALSE)),""))</f>
        <v>PRX SERIES</v>
      </c>
      <c r="C804" s="12" t="str">
        <f>(IF((VLOOKUP(Table6[[#This Row],[SKU]],'All Skus'!$A:$AC,2,FALSE))="JBL",(VLOOKUP(Table6[[#This Row],[SKU]],'All Skus'!$A:$AC,4,FALSE)),""))</f>
        <v>PRX912</v>
      </c>
      <c r="D804" s="61" t="str">
        <f>(IF((VLOOKUP(Table6[[#This Row],[SKU]],'All Skus'!$A:$AC,2,FALSE))="JBL",(VLOOKUP(Table6[[#This Row],[SKU]],'All Skus'!$A:$AC,5,FALSE)),""))</f>
        <v>JBL00601</v>
      </c>
      <c r="E804" s="137">
        <f>(IF((VLOOKUP(Table6[[#This Row],[SKU]],'All Skus'!$A:$AC,2,FALSE))="JBL",(VLOOKUP(Table6[[#This Row],[SKU]],'All Skus'!$A:$AC,6,FALSE)),""))</f>
        <v>0</v>
      </c>
      <c r="F804" s="61" t="str">
        <f>(IF((VLOOKUP(Table6[[#This Row],[SKU]],'All Skus'!$A:$AC,2,FALSE))="JBL",(VLOOKUP(Table6[[#This Row],[SKU]],'All Skus'!$A:$AC,7,FALSE)),""))</f>
        <v>NEW</v>
      </c>
      <c r="G804" t="str">
        <f>(IF((VLOOKUP(Table6[[#This Row],[SKU]],'All Skus'!$A:$AC,2,FALSE))="JBL",(VLOOKUP(Table6[[#This Row],[SKU]],'All Skus'!$A:$AC,8,FALSE)),""))</f>
        <v>PRX912</v>
      </c>
      <c r="H804" s="8" t="str">
        <f>(IF((VLOOKUP(Table6[[#This Row],[SKU]],'All Skus'!$A:$AC,2,FALSE))="JBL",(VLOOKUP(Table6[[#This Row],[SKU]],'All Skus'!$A:$AC,9,FALSE)),""))</f>
        <v>PRX912</v>
      </c>
      <c r="I804" s="101">
        <f>(IF((VLOOKUP(Table6[[#This Row],[SKU]],'All Skus'!$A:$AC,2,FALSE))="JBL",(VLOOKUP(Table6[[#This Row],[SKU]],'All Skus'!$A:$AC,10,FALSE)),""))</f>
        <v>1405</v>
      </c>
      <c r="J804" s="101">
        <f>(IF((VLOOKUP(Table6[[#This Row],[SKU]],'All Skus'!$A:$AC,2,FALSE))="JBL",(VLOOKUP(Table6[[#This Row],[SKU]],'All Skus'!$A:$AC,11,FALSE)),""))</f>
        <v>999</v>
      </c>
      <c r="K804" s="102">
        <f>(IF((VLOOKUP(Table6[[#This Row],[SKU]],'All Skus'!$A:$AC,2,FALSE))="JBL",(VLOOKUP(Table6[[#This Row],[SKU]],'All Skus'!$A:$AC,13,FALSE)),""))</f>
        <v>0</v>
      </c>
      <c r="L804" s="102">
        <f>(IF((VLOOKUP(Table6[[#This Row],[SKU]],'All Skus'!$A:$AC,2,FALSE))="JBL",(VLOOKUP(Table6[[#This Row],[SKU]],'All Skus'!$A:$AC,14,FALSE)),""))</f>
        <v>0</v>
      </c>
      <c r="M804" s="143">
        <f>(IF((VLOOKUP(Table6[[#This Row],[SKU]],'All Skus'!$A:$AC,2,FALSE))="JBL",(VLOOKUP(Table6[[#This Row],[SKU]],'All Skus'!$A:$AC,15,FALSE)),""))</f>
        <v>0</v>
      </c>
      <c r="N804" s="137">
        <f>(IF((VLOOKUP(Table6[[#This Row],[SKU]],'All Skus'!$A:$AC,2,FALSE))="JBL",(VLOOKUP(Table6[[#This Row],[SKU]],'All Skus'!$A:$AC,16,FALSE)),""))</f>
        <v>691991037153</v>
      </c>
      <c r="O804" s="61">
        <f>(IF((VLOOKUP(Table6[[#This Row],[SKU]],'All Skus'!$A:$AC,2,FALSE))="JBL",(VLOOKUP(Table6[[#This Row],[SKU]],'All Skus'!$A:$AC,17,FALSE)),""))</f>
        <v>0</v>
      </c>
      <c r="P804" s="136">
        <f>(IF((VLOOKUP(Table6[[#This Row],[SKU]],'All Skus'!$A:$AC,2,FALSE))="JBL",(VLOOKUP(Table6[[#This Row],[SKU]],'All Skus'!$A:$AC,18,FALSE)),""))</f>
        <v>42.9</v>
      </c>
      <c r="Q804" s="136">
        <f>(IF((VLOOKUP(Table6[[#This Row],[SKU]],'All Skus'!$A:$AC,2,FALSE))="JBL",(VLOOKUP(Table6[[#This Row],[SKU]],'All Skus'!$A:$AC,19,FALSE)),""))</f>
        <v>13.070866141732299</v>
      </c>
      <c r="R804" s="136">
        <f>(IF((VLOOKUP(Table6[[#This Row],[SKU]],'All Skus'!$A:$AC,2,FALSE))="JBL",(VLOOKUP(Table6[[#This Row],[SKU]],'All Skus'!$A:$AC,20,FALSE)),""))</f>
        <v>15.5511811023622</v>
      </c>
      <c r="S804" s="61">
        <f>(IF((VLOOKUP(Table6[[#This Row],[SKU]],'All Skus'!$A:$AC,2,FALSE))="JBL",(VLOOKUP(Table6[[#This Row],[SKU]],'All Skus'!$A:$AC,21,FALSE)),""))</f>
        <v>25.078740157480301</v>
      </c>
      <c r="T804" s="61" t="str">
        <f>(IF((VLOOKUP(Table6[[#This Row],[SKU]],'All Skus'!$A:$AC,2,FALSE))="JBL",(VLOOKUP(Table6[[#This Row],[SKU]],'All Skus'!$A:$AC,22,FALSE)),""))</f>
        <v>MX</v>
      </c>
      <c r="U804">
        <f>(IF((VLOOKUP(Table6[[#This Row],[SKU]],'All Skus'!$A:$AC,2,FALSE))="JBL",(VLOOKUP(Table6[[#This Row],[SKU]],'All Skus'!$A:$AC,23,FALSE)),""))</f>
        <v>0</v>
      </c>
      <c r="V804" s="284" t="str">
        <f>HYPERLINK((IF((VLOOKUP(Table6[[#This Row],[SKU]],'All Skus'!$A:$AC,2,FALSE))="JBL",(VLOOKUP(Table6[[#This Row],[SKU]],'All Skus'!$A:$AC,24,FALSE)),"")))</f>
        <v/>
      </c>
      <c r="W804" s="151">
        <v>801</v>
      </c>
    </row>
    <row r="805" spans="1:23" ht="15" hidden="1" customHeight="1">
      <c r="A805" s="13" t="s">
        <v>1812</v>
      </c>
      <c r="B805" s="12" t="str">
        <f>(IF((VLOOKUP(Table6[[#This Row],[SKU]],'All Skus'!$A:$AC,2,FALSE))="JBL",(VLOOKUP(Table6[[#This Row],[SKU]],'All Skus'!$A:$AC,3,FALSE)),""))</f>
        <v>PRX SERIES</v>
      </c>
      <c r="C805" s="12" t="str">
        <f>(IF((VLOOKUP(Table6[[#This Row],[SKU]],'All Skus'!$A:$AC,2,FALSE))="JBL",(VLOOKUP(Table6[[#This Row],[SKU]],'All Skus'!$A:$AC,4,FALSE)),""))</f>
        <v>PRX908</v>
      </c>
      <c r="D805" s="61" t="str">
        <f>(IF((VLOOKUP(Table6[[#This Row],[SKU]],'All Skus'!$A:$AC,2,FALSE))="JBL",(VLOOKUP(Table6[[#This Row],[SKU]],'All Skus'!$A:$AC,5,FALSE)),""))</f>
        <v>JBL00601</v>
      </c>
      <c r="E805" s="137">
        <f>(IF((VLOOKUP(Table6[[#This Row],[SKU]],'All Skus'!$A:$AC,2,FALSE))="JBL",(VLOOKUP(Table6[[#This Row],[SKU]],'All Skus'!$A:$AC,6,FALSE)),""))</f>
        <v>0</v>
      </c>
      <c r="F805" s="61" t="str">
        <f>(IF((VLOOKUP(Table6[[#This Row],[SKU]],'All Skus'!$A:$AC,2,FALSE))="JBL",(VLOOKUP(Table6[[#This Row],[SKU]],'All Skus'!$A:$AC,7,FALSE)),""))</f>
        <v>NEW</v>
      </c>
      <c r="G805" t="str">
        <f>(IF((VLOOKUP(Table6[[#This Row],[SKU]],'All Skus'!$A:$AC,2,FALSE))="JBL",(VLOOKUP(Table6[[#This Row],[SKU]],'All Skus'!$A:$AC,8,FALSE)),""))</f>
        <v>PRX908</v>
      </c>
      <c r="H805" s="8" t="str">
        <f>(IF((VLOOKUP(Table6[[#This Row],[SKU]],'All Skus'!$A:$AC,2,FALSE))="JBL",(VLOOKUP(Table6[[#This Row],[SKU]],'All Skus'!$A:$AC,9,FALSE)),""))</f>
        <v>PRX908</v>
      </c>
      <c r="I805" s="101">
        <f>(IF((VLOOKUP(Table6[[#This Row],[SKU]],'All Skus'!$A:$AC,2,FALSE))="JBL",(VLOOKUP(Table6[[#This Row],[SKU]],'All Skus'!$A:$AC,10,FALSE)),""))</f>
        <v>1230</v>
      </c>
      <c r="J805" s="101">
        <f>(IF((VLOOKUP(Table6[[#This Row],[SKU]],'All Skus'!$A:$AC,2,FALSE))="JBL",(VLOOKUP(Table6[[#This Row],[SKU]],'All Skus'!$A:$AC,11,FALSE)),""))</f>
        <v>849</v>
      </c>
      <c r="K805" s="102">
        <f>(IF((VLOOKUP(Table6[[#This Row],[SKU]],'All Skus'!$A:$AC,2,FALSE))="JBL",(VLOOKUP(Table6[[#This Row],[SKU]],'All Skus'!$A:$AC,13,FALSE)),""))</f>
        <v>0</v>
      </c>
      <c r="L805" s="102">
        <f>(IF((VLOOKUP(Table6[[#This Row],[SKU]],'All Skus'!$A:$AC,2,FALSE))="JBL",(VLOOKUP(Table6[[#This Row],[SKU]],'All Skus'!$A:$AC,14,FALSE)),""))</f>
        <v>0</v>
      </c>
      <c r="M805" s="143">
        <f>(IF((VLOOKUP(Table6[[#This Row],[SKU]],'All Skus'!$A:$AC,2,FALSE))="JBL",(VLOOKUP(Table6[[#This Row],[SKU]],'All Skus'!$A:$AC,15,FALSE)),""))</f>
        <v>0</v>
      </c>
      <c r="N805" s="137">
        <f>(IF((VLOOKUP(Table6[[#This Row],[SKU]],'All Skus'!$A:$AC,2,FALSE))="JBL",(VLOOKUP(Table6[[#This Row],[SKU]],'All Skus'!$A:$AC,16,FALSE)),""))</f>
        <v>691991036910</v>
      </c>
      <c r="O805" s="61">
        <f>(IF((VLOOKUP(Table6[[#This Row],[SKU]],'All Skus'!$A:$AC,2,FALSE))="JBL",(VLOOKUP(Table6[[#This Row],[SKU]],'All Skus'!$A:$AC,17,FALSE)),""))</f>
        <v>0</v>
      </c>
      <c r="P805" s="136">
        <f>(IF((VLOOKUP(Table6[[#This Row],[SKU]],'All Skus'!$A:$AC,2,FALSE))="JBL",(VLOOKUP(Table6[[#This Row],[SKU]],'All Skus'!$A:$AC,18,FALSE)),""))</f>
        <v>30.14</v>
      </c>
      <c r="Q805" s="136">
        <f>(IF((VLOOKUP(Table6[[#This Row],[SKU]],'All Skus'!$A:$AC,2,FALSE))="JBL",(VLOOKUP(Table6[[#This Row],[SKU]],'All Skus'!$A:$AC,19,FALSE)),""))</f>
        <v>11.220472440944899</v>
      </c>
      <c r="R805" s="136">
        <f>(IF((VLOOKUP(Table6[[#This Row],[SKU]],'All Skus'!$A:$AC,2,FALSE))="JBL",(VLOOKUP(Table6[[#This Row],[SKU]],'All Skus'!$A:$AC,20,FALSE)),""))</f>
        <v>12.2834645669291</v>
      </c>
      <c r="S805" s="61">
        <f>(IF((VLOOKUP(Table6[[#This Row],[SKU]],'All Skus'!$A:$AC,2,FALSE))="JBL",(VLOOKUP(Table6[[#This Row],[SKU]],'All Skus'!$A:$AC,21,FALSE)),""))</f>
        <v>18.8976377952756</v>
      </c>
      <c r="T805" s="61" t="str">
        <f>(IF((VLOOKUP(Table6[[#This Row],[SKU]],'All Skus'!$A:$AC,2,FALSE))="JBL",(VLOOKUP(Table6[[#This Row],[SKU]],'All Skus'!$A:$AC,22,FALSE)),""))</f>
        <v>MX</v>
      </c>
      <c r="U805" t="str">
        <f>(IF((VLOOKUP(Table6[[#This Row],[SKU]],'All Skus'!$A:$AC,2,FALSE))="JBL",(VLOOKUP(Table6[[#This Row],[SKU]],'All Skus'!$A:$AC,23,FALSE)),""))</f>
        <v>Compliant</v>
      </c>
      <c r="V805" s="284" t="str">
        <f>HYPERLINK((IF((VLOOKUP(Table6[[#This Row],[SKU]],'All Skus'!$A:$AC,2,FALSE))="JBL",(VLOOKUP(Table6[[#This Row],[SKU]],'All Skus'!$A:$AC,24,FALSE)),"")))</f>
        <v/>
      </c>
      <c r="W805" s="151">
        <v>802</v>
      </c>
    </row>
    <row r="806" spans="1:23" ht="15" hidden="1" customHeight="1">
      <c r="A806" s="13" t="s">
        <v>1815</v>
      </c>
      <c r="B806" s="12" t="str">
        <f>(IF((VLOOKUP(Table6[[#This Row],[SKU]],'All Skus'!$A:$AC,2,FALSE))="JBL",(VLOOKUP(Table6[[#This Row],[SKU]],'All Skus'!$A:$AC,3,FALSE)),""))</f>
        <v>PRX SERIES</v>
      </c>
      <c r="C806" s="12" t="str">
        <f>(IF((VLOOKUP(Table6[[#This Row],[SKU]],'All Skus'!$A:$AC,2,FALSE))="JBL",(VLOOKUP(Table6[[#This Row],[SKU]],'All Skus'!$A:$AC,4,FALSE)),""))</f>
        <v>PRX915XLF</v>
      </c>
      <c r="D806" s="61" t="str">
        <f>(IF((VLOOKUP(Table6[[#This Row],[SKU]],'All Skus'!$A:$AC,2,FALSE))="JBL",(VLOOKUP(Table6[[#This Row],[SKU]],'All Skus'!$A:$AC,5,FALSE)),""))</f>
        <v>JBL00601</v>
      </c>
      <c r="E806" s="137">
        <f>(IF((VLOOKUP(Table6[[#This Row],[SKU]],'All Skus'!$A:$AC,2,FALSE))="JBL",(VLOOKUP(Table6[[#This Row],[SKU]],'All Skus'!$A:$AC,6,FALSE)),""))</f>
        <v>0</v>
      </c>
      <c r="F806" s="61" t="str">
        <f>(IF((VLOOKUP(Table6[[#This Row],[SKU]],'All Skus'!$A:$AC,2,FALSE))="JBL",(VLOOKUP(Table6[[#This Row],[SKU]],'All Skus'!$A:$AC,7,FALSE)),""))</f>
        <v>NEW</v>
      </c>
      <c r="G806" t="str">
        <f>(IF((VLOOKUP(Table6[[#This Row],[SKU]],'All Skus'!$A:$AC,2,FALSE))="JBL",(VLOOKUP(Table6[[#This Row],[SKU]],'All Skus'!$A:$AC,8,FALSE)),""))</f>
        <v>PRX915XLF</v>
      </c>
      <c r="H806" s="8" t="str">
        <f>(IF((VLOOKUP(Table6[[#This Row],[SKU]],'All Skus'!$A:$AC,2,FALSE))="JBL",(VLOOKUP(Table6[[#This Row],[SKU]],'All Skus'!$A:$AC,9,FALSE)),""))</f>
        <v>PRX915XLF</v>
      </c>
      <c r="I806" s="101">
        <f>(IF((VLOOKUP(Table6[[#This Row],[SKU]],'All Skus'!$A:$AC,2,FALSE))="JBL",(VLOOKUP(Table6[[#This Row],[SKU]],'All Skus'!$A:$AC,10,FALSE)),""))</f>
        <v>1718</v>
      </c>
      <c r="J806" s="101">
        <f>(IF((VLOOKUP(Table6[[#This Row],[SKU]],'All Skus'!$A:$AC,2,FALSE))="JBL",(VLOOKUP(Table6[[#This Row],[SKU]],'All Skus'!$A:$AC,11,FALSE)),""))</f>
        <v>1299</v>
      </c>
      <c r="K806" s="102">
        <f>(IF((VLOOKUP(Table6[[#This Row],[SKU]],'All Skus'!$A:$AC,2,FALSE))="JBL",(VLOOKUP(Table6[[#This Row],[SKU]],'All Skus'!$A:$AC,13,FALSE)),""))</f>
        <v>0</v>
      </c>
      <c r="L806" s="102">
        <f>(IF((VLOOKUP(Table6[[#This Row],[SKU]],'All Skus'!$A:$AC,2,FALSE))="JBL",(VLOOKUP(Table6[[#This Row],[SKU]],'All Skus'!$A:$AC,14,FALSE)),""))</f>
        <v>0</v>
      </c>
      <c r="M806" s="143">
        <f>(IF((VLOOKUP(Table6[[#This Row],[SKU]],'All Skus'!$A:$AC,2,FALSE))="JBL",(VLOOKUP(Table6[[#This Row],[SKU]],'All Skus'!$A:$AC,15,FALSE)),""))</f>
        <v>0</v>
      </c>
      <c r="N806" s="137" t="str">
        <f>(IF((VLOOKUP(Table6[[#This Row],[SKU]],'All Skus'!$A:$AC,2,FALSE))="JBL",(VLOOKUP(Table6[[#This Row],[SKU]],'All Skus'!$A:$AC,16,FALSE)),""))</f>
        <v xml:space="preserve">	691991037139</v>
      </c>
      <c r="O806" s="61">
        <f>(IF((VLOOKUP(Table6[[#This Row],[SKU]],'All Skus'!$A:$AC,2,FALSE))="JBL",(VLOOKUP(Table6[[#This Row],[SKU]],'All Skus'!$A:$AC,17,FALSE)),""))</f>
        <v>0</v>
      </c>
      <c r="P806" s="136">
        <f>(IF((VLOOKUP(Table6[[#This Row],[SKU]],'All Skus'!$A:$AC,2,FALSE))="JBL",(VLOOKUP(Table6[[#This Row],[SKU]],'All Skus'!$A:$AC,18,FALSE)),""))</f>
        <v>63.68</v>
      </c>
      <c r="Q806" s="136">
        <f>(IF((VLOOKUP(Table6[[#This Row],[SKU]],'All Skus'!$A:$AC,2,FALSE))="JBL",(VLOOKUP(Table6[[#This Row],[SKU]],'All Skus'!$A:$AC,19,FALSE)),""))</f>
        <v>22.87</v>
      </c>
      <c r="R806" s="136">
        <f>(IF((VLOOKUP(Table6[[#This Row],[SKU]],'All Skus'!$A:$AC,2,FALSE))="JBL",(VLOOKUP(Table6[[#This Row],[SKU]],'All Skus'!$A:$AC,20,FALSE)),""))</f>
        <v>18.899999999999999</v>
      </c>
      <c r="S806" s="61">
        <f>(IF((VLOOKUP(Table6[[#This Row],[SKU]],'All Skus'!$A:$AC,2,FALSE))="JBL",(VLOOKUP(Table6[[#This Row],[SKU]],'All Skus'!$A:$AC,21,FALSE)),""))</f>
        <v>21.6</v>
      </c>
      <c r="T806" s="61" t="str">
        <f>(IF((VLOOKUP(Table6[[#This Row],[SKU]],'All Skus'!$A:$AC,2,FALSE))="JBL",(VLOOKUP(Table6[[#This Row],[SKU]],'All Skus'!$A:$AC,22,FALSE)),""))</f>
        <v>MX</v>
      </c>
      <c r="U806">
        <f>(IF((VLOOKUP(Table6[[#This Row],[SKU]],'All Skus'!$A:$AC,2,FALSE))="JBL",(VLOOKUP(Table6[[#This Row],[SKU]],'All Skus'!$A:$AC,23,FALSE)),""))</f>
        <v>0</v>
      </c>
      <c r="V806" s="284" t="str">
        <f>HYPERLINK((IF((VLOOKUP(Table6[[#This Row],[SKU]],'All Skus'!$A:$AC,2,FALSE))="JBL",(VLOOKUP(Table6[[#This Row],[SKU]],'All Skus'!$A:$AC,24,FALSE)),"")))</f>
        <v/>
      </c>
      <c r="W806" s="151">
        <v>803</v>
      </c>
    </row>
    <row r="807" spans="1:23" ht="15" hidden="1" customHeight="1">
      <c r="A807" s="13" t="s">
        <v>1814</v>
      </c>
      <c r="B807" s="12" t="str">
        <f>(IF((VLOOKUP(Table6[[#This Row],[SKU]],'All Skus'!$A:$AC,2,FALSE))="JBL",(VLOOKUP(Table6[[#This Row],[SKU]],'All Skus'!$A:$AC,3,FALSE)),""))</f>
        <v>PRX SERIES</v>
      </c>
      <c r="C807" s="12" t="str">
        <f>(IF((VLOOKUP(Table6[[#This Row],[SKU]],'All Skus'!$A:$AC,2,FALSE))="JBL",(VLOOKUP(Table6[[#This Row],[SKU]],'All Skus'!$A:$AC,4,FALSE)),""))</f>
        <v>PRX915</v>
      </c>
      <c r="D807" s="61" t="str">
        <f>(IF((VLOOKUP(Table6[[#This Row],[SKU]],'All Skus'!$A:$AC,2,FALSE))="JBL",(VLOOKUP(Table6[[#This Row],[SKU]],'All Skus'!$A:$AC,5,FALSE)),""))</f>
        <v>JBL00601</v>
      </c>
      <c r="E807" s="137">
        <f>(IF((VLOOKUP(Table6[[#This Row],[SKU]],'All Skus'!$A:$AC,2,FALSE))="JBL",(VLOOKUP(Table6[[#This Row],[SKU]],'All Skus'!$A:$AC,6,FALSE)),""))</f>
        <v>0</v>
      </c>
      <c r="F807" s="61" t="str">
        <f>(IF((VLOOKUP(Table6[[#This Row],[SKU]],'All Skus'!$A:$AC,2,FALSE))="JBL",(VLOOKUP(Table6[[#This Row],[SKU]],'All Skus'!$A:$AC,7,FALSE)),""))</f>
        <v>NEW</v>
      </c>
      <c r="G807" t="str">
        <f>(IF((VLOOKUP(Table6[[#This Row],[SKU]],'All Skus'!$A:$AC,2,FALSE))="JBL",(VLOOKUP(Table6[[#This Row],[SKU]],'All Skus'!$A:$AC,8,FALSE)),""))</f>
        <v>PRX915</v>
      </c>
      <c r="H807" s="8" t="str">
        <f>(IF((VLOOKUP(Table6[[#This Row],[SKU]],'All Skus'!$A:$AC,2,FALSE))="JBL",(VLOOKUP(Table6[[#This Row],[SKU]],'All Skus'!$A:$AC,9,FALSE)),""))</f>
        <v>PRX915</v>
      </c>
      <c r="I807" s="101">
        <f>(IF((VLOOKUP(Table6[[#This Row],[SKU]],'All Skus'!$A:$AC,2,FALSE))="JBL",(VLOOKUP(Table6[[#This Row],[SKU]],'All Skus'!$A:$AC,10,FALSE)),""))</f>
        <v>1562</v>
      </c>
      <c r="J807" s="101">
        <f>(IF((VLOOKUP(Table6[[#This Row],[SKU]],'All Skus'!$A:$AC,2,FALSE))="JBL",(VLOOKUP(Table6[[#This Row],[SKU]],'All Skus'!$A:$AC,11,FALSE)),""))</f>
        <v>1099</v>
      </c>
      <c r="K807" s="102">
        <f>(IF((VLOOKUP(Table6[[#This Row],[SKU]],'All Skus'!$A:$AC,2,FALSE))="JBL",(VLOOKUP(Table6[[#This Row],[SKU]],'All Skus'!$A:$AC,13,FALSE)),""))</f>
        <v>0</v>
      </c>
      <c r="L807" s="102">
        <f>(IF((VLOOKUP(Table6[[#This Row],[SKU]],'All Skus'!$A:$AC,2,FALSE))="JBL",(VLOOKUP(Table6[[#This Row],[SKU]],'All Skus'!$A:$AC,14,FALSE)),""))</f>
        <v>0</v>
      </c>
      <c r="M807" s="143">
        <f>(IF((VLOOKUP(Table6[[#This Row],[SKU]],'All Skus'!$A:$AC,2,FALSE))="JBL",(VLOOKUP(Table6[[#This Row],[SKU]],'All Skus'!$A:$AC,15,FALSE)),""))</f>
        <v>0</v>
      </c>
      <c r="N807" s="137" t="str">
        <f>(IF((VLOOKUP(Table6[[#This Row],[SKU]],'All Skus'!$A:$AC,2,FALSE))="JBL",(VLOOKUP(Table6[[#This Row],[SKU]],'All Skus'!$A:$AC,16,FALSE)),""))</f>
        <v xml:space="preserve">	691991037146</v>
      </c>
      <c r="O807" s="61">
        <f>(IF((VLOOKUP(Table6[[#This Row],[SKU]],'All Skus'!$A:$AC,2,FALSE))="JBL",(VLOOKUP(Table6[[#This Row],[SKU]],'All Skus'!$A:$AC,17,FALSE)),""))</f>
        <v>0</v>
      </c>
      <c r="P807" s="136">
        <f>(IF((VLOOKUP(Table6[[#This Row],[SKU]],'All Skus'!$A:$AC,2,FALSE))="JBL",(VLOOKUP(Table6[[#This Row],[SKU]],'All Skus'!$A:$AC,18,FALSE)),""))</f>
        <v>53.02</v>
      </c>
      <c r="Q807" s="136">
        <f>(IF((VLOOKUP(Table6[[#This Row],[SKU]],'All Skus'!$A:$AC,2,FALSE))="JBL",(VLOOKUP(Table6[[#This Row],[SKU]],'All Skus'!$A:$AC,19,FALSE)),""))</f>
        <v>15.078740157480301</v>
      </c>
      <c r="R807" s="136">
        <f>(IF((VLOOKUP(Table6[[#This Row],[SKU]],'All Skus'!$A:$AC,2,FALSE))="JBL",(VLOOKUP(Table6[[#This Row],[SKU]],'All Skus'!$A:$AC,20,FALSE)),""))</f>
        <v>18.346456692913399</v>
      </c>
      <c r="S807" s="61">
        <f>(IF((VLOOKUP(Table6[[#This Row],[SKU]],'All Skus'!$A:$AC,2,FALSE))="JBL",(VLOOKUP(Table6[[#This Row],[SKU]],'All Skus'!$A:$AC,21,FALSE)),""))</f>
        <v>28.228346456692901</v>
      </c>
      <c r="T807" s="61" t="str">
        <f>(IF((VLOOKUP(Table6[[#This Row],[SKU]],'All Skus'!$A:$AC,2,FALSE))="JBL",(VLOOKUP(Table6[[#This Row],[SKU]],'All Skus'!$A:$AC,22,FALSE)),""))</f>
        <v>MX</v>
      </c>
      <c r="U807">
        <f>(IF((VLOOKUP(Table6[[#This Row],[SKU]],'All Skus'!$A:$AC,2,FALSE))="JBL",(VLOOKUP(Table6[[#This Row],[SKU]],'All Skus'!$A:$AC,23,FALSE)),""))</f>
        <v>0</v>
      </c>
      <c r="V807" s="284" t="str">
        <f>HYPERLINK((IF((VLOOKUP(Table6[[#This Row],[SKU]],'All Skus'!$A:$AC,2,FALSE))="JBL",(VLOOKUP(Table6[[#This Row],[SKU]],'All Skus'!$A:$AC,24,FALSE)),"")))</f>
        <v/>
      </c>
      <c r="W807" s="151">
        <v>804</v>
      </c>
    </row>
    <row r="808" spans="1:23" ht="15" hidden="1" customHeight="1">
      <c r="A808" s="104" t="s">
        <v>1817</v>
      </c>
      <c r="B808" s="12">
        <f>(IF((VLOOKUP(Table6[[#This Row],[SKU]],'All Skus'!$A:$AC,2,FALSE))="JBL",(VLOOKUP(Table6[[#This Row],[SKU]],'All Skus'!$A:$AC,3,FALSE)),""))</f>
        <v>0</v>
      </c>
      <c r="C808" s="12" t="str">
        <f>(IF((VLOOKUP(Table6[[#This Row],[SKU]],'All Skus'!$A:$AC,2,FALSE))="JBL",(VLOOKUP(Table6[[#This Row],[SKU]],'All Skus'!$A:$AC,4,FALSE)),""))</f>
        <v>Portable</v>
      </c>
      <c r="D808" s="61">
        <f>(IF((VLOOKUP(Table6[[#This Row],[SKU]],'All Skus'!$A:$AC,2,FALSE))="JBL",(VLOOKUP(Table6[[#This Row],[SKU]],'All Skus'!$A:$AC,5,FALSE)),""))</f>
        <v>0</v>
      </c>
      <c r="E808" s="137">
        <f>(IF((VLOOKUP(Table6[[#This Row],[SKU]],'All Skus'!$A:$AC,2,FALSE))="JBL",(VLOOKUP(Table6[[#This Row],[SKU]],'All Skus'!$A:$AC,6,FALSE)),""))</f>
        <v>0</v>
      </c>
      <c r="F808" s="61">
        <f>(IF((VLOOKUP(Table6[[#This Row],[SKU]],'All Skus'!$A:$AC,2,FALSE))="JBL",(VLOOKUP(Table6[[#This Row],[SKU]],'All Skus'!$A:$AC,7,FALSE)),""))</f>
        <v>0</v>
      </c>
      <c r="G808">
        <f>(IF((VLOOKUP(Table6[[#This Row],[SKU]],'All Skus'!$A:$AC,2,FALSE))="JBL",(VLOOKUP(Table6[[#This Row],[SKU]],'All Skus'!$A:$AC,8,FALSE)),""))</f>
        <v>0</v>
      </c>
      <c r="H808" s="8">
        <f>(IF((VLOOKUP(Table6[[#This Row],[SKU]],'All Skus'!$A:$AC,2,FALSE))="JBL",(VLOOKUP(Table6[[#This Row],[SKU]],'All Skus'!$A:$AC,9,FALSE)),""))</f>
        <v>0</v>
      </c>
      <c r="I808" s="101">
        <f>(IF((VLOOKUP(Table6[[#This Row],[SKU]],'All Skus'!$A:$AC,2,FALSE))="JBL",(VLOOKUP(Table6[[#This Row],[SKU]],'All Skus'!$A:$AC,10,FALSE)),""))</f>
        <v>0</v>
      </c>
      <c r="J808" s="101">
        <f>(IF((VLOOKUP(Table6[[#This Row],[SKU]],'All Skus'!$A:$AC,2,FALSE))="JBL",(VLOOKUP(Table6[[#This Row],[SKU]],'All Skus'!$A:$AC,11,FALSE)),""))</f>
        <v>0</v>
      </c>
      <c r="K808" s="102">
        <f>(IF((VLOOKUP(Table6[[#This Row],[SKU]],'All Skus'!$A:$AC,2,FALSE))="JBL",(VLOOKUP(Table6[[#This Row],[SKU]],'All Skus'!$A:$AC,13,FALSE)),""))</f>
        <v>0</v>
      </c>
      <c r="L808" s="102">
        <f>(IF((VLOOKUP(Table6[[#This Row],[SKU]],'All Skus'!$A:$AC,2,FALSE))="JBL",(VLOOKUP(Table6[[#This Row],[SKU]],'All Skus'!$A:$AC,14,FALSE)),""))</f>
        <v>0</v>
      </c>
      <c r="M808" s="143">
        <f>(IF((VLOOKUP(Table6[[#This Row],[SKU]],'All Skus'!$A:$AC,2,FALSE))="JBL",(VLOOKUP(Table6[[#This Row],[SKU]],'All Skus'!$A:$AC,15,FALSE)),""))</f>
        <v>0</v>
      </c>
      <c r="N808" s="137">
        <f>(IF((VLOOKUP(Table6[[#This Row],[SKU]],'All Skus'!$A:$AC,2,FALSE))="JBL",(VLOOKUP(Table6[[#This Row],[SKU]],'All Skus'!$A:$AC,16,FALSE)),""))</f>
        <v>0</v>
      </c>
      <c r="O808" s="61">
        <f>(IF((VLOOKUP(Table6[[#This Row],[SKU]],'All Skus'!$A:$AC,2,FALSE))="JBL",(VLOOKUP(Table6[[#This Row],[SKU]],'All Skus'!$A:$AC,17,FALSE)),""))</f>
        <v>0</v>
      </c>
      <c r="P808" s="136">
        <f>(IF((VLOOKUP(Table6[[#This Row],[SKU]],'All Skus'!$A:$AC,2,FALSE))="JBL",(VLOOKUP(Table6[[#This Row],[SKU]],'All Skus'!$A:$AC,18,FALSE)),""))</f>
        <v>0</v>
      </c>
      <c r="Q808" s="136">
        <f>(IF((VLOOKUP(Table6[[#This Row],[SKU]],'All Skus'!$A:$AC,2,FALSE))="JBL",(VLOOKUP(Table6[[#This Row],[SKU]],'All Skus'!$A:$AC,19,FALSE)),""))</f>
        <v>0</v>
      </c>
      <c r="R808" s="136">
        <f>(IF((VLOOKUP(Table6[[#This Row],[SKU]],'All Skus'!$A:$AC,2,FALSE))="JBL",(VLOOKUP(Table6[[#This Row],[SKU]],'All Skus'!$A:$AC,20,FALSE)),""))</f>
        <v>0</v>
      </c>
      <c r="S808" s="61">
        <f>(IF((VLOOKUP(Table6[[#This Row],[SKU]],'All Skus'!$A:$AC,2,FALSE))="JBL",(VLOOKUP(Table6[[#This Row],[SKU]],'All Skus'!$A:$AC,21,FALSE)),""))</f>
        <v>0</v>
      </c>
      <c r="T808" s="61">
        <f>(IF((VLOOKUP(Table6[[#This Row],[SKU]],'All Skus'!$A:$AC,2,FALSE))="JBL",(VLOOKUP(Table6[[#This Row],[SKU]],'All Skus'!$A:$AC,22,FALSE)),""))</f>
        <v>0</v>
      </c>
      <c r="U808">
        <f>(IF((VLOOKUP(Table6[[#This Row],[SKU]],'All Skus'!$A:$AC,2,FALSE))="JBL",(VLOOKUP(Table6[[#This Row],[SKU]],'All Skus'!$A:$AC,23,FALSE)),""))</f>
        <v>0</v>
      </c>
      <c r="V808" s="284" t="str">
        <f>HYPERLINK((IF((VLOOKUP(Table6[[#This Row],[SKU]],'All Skus'!$A:$AC,2,FALSE))="JBL",(VLOOKUP(Table6[[#This Row],[SKU]],'All Skus'!$A:$AC,24,FALSE)),"")))</f>
        <v/>
      </c>
      <c r="W808" s="151">
        <v>805</v>
      </c>
    </row>
    <row r="809" spans="1:23" ht="15" hidden="1" customHeight="1">
      <c r="A809" s="13" t="s">
        <v>1816</v>
      </c>
      <c r="B809" s="12" t="str">
        <f>(IF((VLOOKUP(Table6[[#This Row],[SKU]],'All Skus'!$A:$AC,2,FALSE))="JBL",(VLOOKUP(Table6[[#This Row],[SKU]],'All Skus'!$A:$AC,3,FALSE)),""))</f>
        <v>PRX SERIES</v>
      </c>
      <c r="C809" s="12" t="str">
        <f>(IF((VLOOKUP(Table6[[#This Row],[SKU]],'All Skus'!$A:$AC,2,FALSE))="JBL",(VLOOKUP(Table6[[#This Row],[SKU]],'All Skus'!$A:$AC,4,FALSE)),""))</f>
        <v>PRX918XLF</v>
      </c>
      <c r="D809" s="61" t="str">
        <f>(IF((VLOOKUP(Table6[[#This Row],[SKU]],'All Skus'!$A:$AC,2,FALSE))="JBL",(VLOOKUP(Table6[[#This Row],[SKU]],'All Skus'!$A:$AC,5,FALSE)),""))</f>
        <v>JBL00601</v>
      </c>
      <c r="E809" s="137">
        <f>(IF((VLOOKUP(Table6[[#This Row],[SKU]],'All Skus'!$A:$AC,2,FALSE))="JBL",(VLOOKUP(Table6[[#This Row],[SKU]],'All Skus'!$A:$AC,6,FALSE)),""))</f>
        <v>0</v>
      </c>
      <c r="F809" s="61" t="str">
        <f>(IF((VLOOKUP(Table6[[#This Row],[SKU]],'All Skus'!$A:$AC,2,FALSE))="JBL",(VLOOKUP(Table6[[#This Row],[SKU]],'All Skus'!$A:$AC,7,FALSE)),""))</f>
        <v>NEW</v>
      </c>
      <c r="G809" t="str">
        <f>(IF((VLOOKUP(Table6[[#This Row],[SKU]],'All Skus'!$A:$AC,2,FALSE))="JBL",(VLOOKUP(Table6[[#This Row],[SKU]],'All Skus'!$A:$AC,8,FALSE)),""))</f>
        <v>PRX918XLF</v>
      </c>
      <c r="H809" s="8" t="str">
        <f>(IF((VLOOKUP(Table6[[#This Row],[SKU]],'All Skus'!$A:$AC,2,FALSE))="JBL",(VLOOKUP(Table6[[#This Row],[SKU]],'All Skus'!$A:$AC,9,FALSE)),""))</f>
        <v>PRX918XLF</v>
      </c>
      <c r="I809" s="101">
        <f>(IF((VLOOKUP(Table6[[#This Row],[SKU]],'All Skus'!$A:$AC,2,FALSE))="JBL",(VLOOKUP(Table6[[#This Row],[SKU]],'All Skus'!$A:$AC,10,FALSE)),""))</f>
        <v>1874</v>
      </c>
      <c r="J809" s="101">
        <f>(IF((VLOOKUP(Table6[[#This Row],[SKU]],'All Skus'!$A:$AC,2,FALSE))="JBL",(VLOOKUP(Table6[[#This Row],[SKU]],'All Skus'!$A:$AC,11,FALSE)),""))</f>
        <v>1499</v>
      </c>
      <c r="K809" s="102">
        <f>(IF((VLOOKUP(Table6[[#This Row],[SKU]],'All Skus'!$A:$AC,2,FALSE))="JBL",(VLOOKUP(Table6[[#This Row],[SKU]],'All Skus'!$A:$AC,13,FALSE)),""))</f>
        <v>0</v>
      </c>
      <c r="L809" s="102">
        <f>(IF((VLOOKUP(Table6[[#This Row],[SKU]],'All Skus'!$A:$AC,2,FALSE))="JBL",(VLOOKUP(Table6[[#This Row],[SKU]],'All Skus'!$A:$AC,14,FALSE)),""))</f>
        <v>0</v>
      </c>
      <c r="M809" s="143">
        <f>(IF((VLOOKUP(Table6[[#This Row],[SKU]],'All Skus'!$A:$AC,2,FALSE))="JBL",(VLOOKUP(Table6[[#This Row],[SKU]],'All Skus'!$A:$AC,15,FALSE)),""))</f>
        <v>0</v>
      </c>
      <c r="N809" s="137">
        <f>(IF((VLOOKUP(Table6[[#This Row],[SKU]],'All Skus'!$A:$AC,2,FALSE))="JBL",(VLOOKUP(Table6[[#This Row],[SKU]],'All Skus'!$A:$AC,16,FALSE)),""))</f>
        <v>691991037122</v>
      </c>
      <c r="O809" s="61">
        <f>(IF((VLOOKUP(Table6[[#This Row],[SKU]],'All Skus'!$A:$AC,2,FALSE))="JBL",(VLOOKUP(Table6[[#This Row],[SKU]],'All Skus'!$A:$AC,17,FALSE)),""))</f>
        <v>0</v>
      </c>
      <c r="P809" s="136">
        <f>(IF((VLOOKUP(Table6[[#This Row],[SKU]],'All Skus'!$A:$AC,2,FALSE))="JBL",(VLOOKUP(Table6[[#This Row],[SKU]],'All Skus'!$A:$AC,18,FALSE)),""))</f>
        <v>88.63</v>
      </c>
      <c r="Q809" s="136">
        <f>(IF((VLOOKUP(Table6[[#This Row],[SKU]],'All Skus'!$A:$AC,2,FALSE))="JBL",(VLOOKUP(Table6[[#This Row],[SKU]],'All Skus'!$A:$AC,19,FALSE)),""))</f>
        <v>25.8</v>
      </c>
      <c r="R809" s="136">
        <f>(IF((VLOOKUP(Table6[[#This Row],[SKU]],'All Skus'!$A:$AC,2,FALSE))="JBL",(VLOOKUP(Table6[[#This Row],[SKU]],'All Skus'!$A:$AC,20,FALSE)),""))</f>
        <v>23.3</v>
      </c>
      <c r="S809" s="61">
        <f>(IF((VLOOKUP(Table6[[#This Row],[SKU]],'All Skus'!$A:$AC,2,FALSE))="JBL",(VLOOKUP(Table6[[#This Row],[SKU]],'All Skus'!$A:$AC,21,FALSE)),""))</f>
        <v>27.3</v>
      </c>
      <c r="T809" s="61" t="str">
        <f>(IF((VLOOKUP(Table6[[#This Row],[SKU]],'All Skus'!$A:$AC,2,FALSE))="JBL",(VLOOKUP(Table6[[#This Row],[SKU]],'All Skus'!$A:$AC,22,FALSE)),""))</f>
        <v>MX</v>
      </c>
      <c r="U809">
        <f>(IF((VLOOKUP(Table6[[#This Row],[SKU]],'All Skus'!$A:$AC,2,FALSE))="JBL",(VLOOKUP(Table6[[#This Row],[SKU]],'All Skus'!$A:$AC,23,FALSE)),""))</f>
        <v>0</v>
      </c>
      <c r="V809" s="284" t="str">
        <f>HYPERLINK((IF((VLOOKUP(Table6[[#This Row],[SKU]],'All Skus'!$A:$AC,2,FALSE))="JBL",(VLOOKUP(Table6[[#This Row],[SKU]],'All Skus'!$A:$AC,24,FALSE)),"")))</f>
        <v/>
      </c>
      <c r="W809" s="151">
        <v>806</v>
      </c>
    </row>
    <row r="810" spans="1:23" ht="15" hidden="1" customHeight="1">
      <c r="A810" s="13" t="s">
        <v>1819</v>
      </c>
      <c r="B810" s="12" t="str">
        <f>(IF((VLOOKUP(Table6[[#This Row],[SKU]],'All Skus'!$A:$AC,2,FALSE))="JBL",(VLOOKUP(Table6[[#This Row],[SKU]],'All Skus'!$A:$AC,3,FALSE)),""))</f>
        <v>SRX SERIES</v>
      </c>
      <c r="C810" s="12" t="str">
        <f>(IF((VLOOKUP(Table6[[#This Row],[SKU]],'All Skus'!$A:$AC,2,FALSE))="JBL",(VLOOKUP(Table6[[#This Row],[SKU]],'All Skus'!$A:$AC,4,FALSE)),""))</f>
        <v>SRX815</v>
      </c>
      <c r="D810" s="61" t="str">
        <f>(IF((VLOOKUP(Table6[[#This Row],[SKU]],'All Skus'!$A:$AC,2,FALSE))="JBL",(VLOOKUP(Table6[[#This Row],[SKU]],'All Skus'!$A:$AC,5,FALSE)),""))</f>
        <v>JBL022</v>
      </c>
      <c r="E810" s="137">
        <f>(IF((VLOOKUP(Table6[[#This Row],[SKU]],'All Skus'!$A:$AC,2,FALSE))="JBL",(VLOOKUP(Table6[[#This Row],[SKU]],'All Skus'!$A:$AC,6,FALSE)),""))</f>
        <v>0</v>
      </c>
      <c r="F810" s="61">
        <f>(IF((VLOOKUP(Table6[[#This Row],[SKU]],'All Skus'!$A:$AC,2,FALSE))="JBL",(VLOOKUP(Table6[[#This Row],[SKU]],'All Skus'!$A:$AC,7,FALSE)),""))</f>
        <v>0</v>
      </c>
      <c r="G810" t="str">
        <f>(IF((VLOOKUP(Table6[[#This Row],[SKU]],'All Skus'!$A:$AC,2,FALSE))="JBL",(VLOOKUP(Table6[[#This Row],[SKU]],'All Skus'!$A:$AC,8,FALSE)),""))</f>
        <v>SRX815 is a two-way full range speaker with a 15”</v>
      </c>
      <c r="H810" s="8" t="str">
        <f>(IF((VLOOKUP(Table6[[#This Row],[SKU]],'All Skus'!$A:$AC,2,FALSE))="JBL",(VLOOKUP(Table6[[#This Row],[SKU]],'All Skus'!$A:$AC,9,FALSE)),""))</f>
        <v>SRX815 is a two-way full range speaker with a 15” woofer made for use as a light to medium duty main PA, monitor, or rear or side fill. Premium utility hardware makes SRX815 an ideal solution for sound reinforcement. Tunings for Crown amps and dbx processors are available at jblpro.com</v>
      </c>
      <c r="I810" s="101">
        <f>(IF((VLOOKUP(Table6[[#This Row],[SKU]],'All Skus'!$A:$AC,2,FALSE))="JBL",(VLOOKUP(Table6[[#This Row],[SKU]],'All Skus'!$A:$AC,10,FALSE)),""))</f>
        <v>1649.07</v>
      </c>
      <c r="J810" s="101">
        <f>(IF((VLOOKUP(Table6[[#This Row],[SKU]],'All Skus'!$A:$AC,2,FALSE))="JBL",(VLOOKUP(Table6[[#This Row],[SKU]],'All Skus'!$A:$AC,11,FALSE)),""))</f>
        <v>1379</v>
      </c>
      <c r="K810" s="102">
        <f>(IF((VLOOKUP(Table6[[#This Row],[SKU]],'All Skus'!$A:$AC,2,FALSE))="JBL",(VLOOKUP(Table6[[#This Row],[SKU]],'All Skus'!$A:$AC,13,FALSE)),""))</f>
        <v>0</v>
      </c>
      <c r="L810" s="102">
        <f>(IF((VLOOKUP(Table6[[#This Row],[SKU]],'All Skus'!$A:$AC,2,FALSE))="JBL",(VLOOKUP(Table6[[#This Row],[SKU]],'All Skus'!$A:$AC,14,FALSE)),""))</f>
        <v>0</v>
      </c>
      <c r="M810" s="143">
        <f>(IF((VLOOKUP(Table6[[#This Row],[SKU]],'All Skus'!$A:$AC,2,FALSE))="JBL",(VLOOKUP(Table6[[#This Row],[SKU]],'All Skus'!$A:$AC,15,FALSE)),""))</f>
        <v>0</v>
      </c>
      <c r="N810" s="137">
        <f>(IF((VLOOKUP(Table6[[#This Row],[SKU]],'All Skus'!$A:$AC,2,FALSE))="JBL",(VLOOKUP(Table6[[#This Row],[SKU]],'All Skus'!$A:$AC,16,FALSE)),""))</f>
        <v>691991001635</v>
      </c>
      <c r="O810" s="61">
        <f>(IF((VLOOKUP(Table6[[#This Row],[SKU]],'All Skus'!$A:$AC,2,FALSE))="JBL",(VLOOKUP(Table6[[#This Row],[SKU]],'All Skus'!$A:$AC,17,FALSE)),""))</f>
        <v>0</v>
      </c>
      <c r="P810" s="136">
        <f>(IF((VLOOKUP(Table6[[#This Row],[SKU]],'All Skus'!$A:$AC,2,FALSE))="JBL",(VLOOKUP(Table6[[#This Row],[SKU]],'All Skus'!$A:$AC,18,FALSE)),""))</f>
        <v>74</v>
      </c>
      <c r="Q810" s="136">
        <f>(IF((VLOOKUP(Table6[[#This Row],[SKU]],'All Skus'!$A:$AC,2,FALSE))="JBL",(VLOOKUP(Table6[[#This Row],[SKU]],'All Skus'!$A:$AC,19,FALSE)),""))</f>
        <v>21</v>
      </c>
      <c r="R810" s="136">
        <f>(IF((VLOOKUP(Table6[[#This Row],[SKU]],'All Skus'!$A:$AC,2,FALSE))="JBL",(VLOOKUP(Table6[[#This Row],[SKU]],'All Skus'!$A:$AC,20,FALSE)),""))</f>
        <v>21</v>
      </c>
      <c r="S810" s="61">
        <f>(IF((VLOOKUP(Table6[[#This Row],[SKU]],'All Skus'!$A:$AC,2,FALSE))="JBL",(VLOOKUP(Table6[[#This Row],[SKU]],'All Skus'!$A:$AC,21,FALSE)),""))</f>
        <v>27</v>
      </c>
      <c r="T810" s="61" t="str">
        <f>(IF((VLOOKUP(Table6[[#This Row],[SKU]],'All Skus'!$A:$AC,2,FALSE))="JBL",(VLOOKUP(Table6[[#This Row],[SKU]],'All Skus'!$A:$AC,22,FALSE)),""))</f>
        <v>MX</v>
      </c>
      <c r="U810" t="str">
        <f>(IF((VLOOKUP(Table6[[#This Row],[SKU]],'All Skus'!$A:$AC,2,FALSE))="JBL",(VLOOKUP(Table6[[#This Row],[SKU]],'All Skus'!$A:$AC,23,FALSE)),""))</f>
        <v>Compliant</v>
      </c>
      <c r="V810" s="284" t="str">
        <f>HYPERLINK((IF((VLOOKUP(Table6[[#This Row],[SKU]],'All Skus'!$A:$AC,2,FALSE))="JBL",(VLOOKUP(Table6[[#This Row],[SKU]],'All Skus'!$A:$AC,24,FALSE)),"")))</f>
        <v>http://www.jblpro.com/www/products/portable-market/srx800-passive-series/srx815#.Vkxlp4RqBJo</v>
      </c>
      <c r="W810" s="151">
        <v>807</v>
      </c>
    </row>
    <row r="811" spans="1:23" ht="15" hidden="1" customHeight="1">
      <c r="A811" s="13" t="s">
        <v>1818</v>
      </c>
      <c r="B811" s="12" t="str">
        <f>(IF((VLOOKUP(Table6[[#This Row],[SKU]],'All Skus'!$A:$AC,2,FALSE))="JBL",(VLOOKUP(Table6[[#This Row],[SKU]],'All Skus'!$A:$AC,3,FALSE)),""))</f>
        <v>SRX SERIES</v>
      </c>
      <c r="C811" s="12" t="str">
        <f>(IF((VLOOKUP(Table6[[#This Row],[SKU]],'All Skus'!$A:$AC,2,FALSE))="JBL",(VLOOKUP(Table6[[#This Row],[SKU]],'All Skus'!$A:$AC,4,FALSE)),""))</f>
        <v>SRX812</v>
      </c>
      <c r="D811" s="61" t="str">
        <f>(IF((VLOOKUP(Table6[[#This Row],[SKU]],'All Skus'!$A:$AC,2,FALSE))="JBL",(VLOOKUP(Table6[[#This Row],[SKU]],'All Skus'!$A:$AC,5,FALSE)),""))</f>
        <v>JBL022</v>
      </c>
      <c r="E811" s="137">
        <f>(IF((VLOOKUP(Table6[[#This Row],[SKU]],'All Skus'!$A:$AC,2,FALSE))="JBL",(VLOOKUP(Table6[[#This Row],[SKU]],'All Skus'!$A:$AC,6,FALSE)),""))</f>
        <v>0</v>
      </c>
      <c r="F811" s="61">
        <f>(IF((VLOOKUP(Table6[[#This Row],[SKU]],'All Skus'!$A:$AC,2,FALSE))="JBL",(VLOOKUP(Table6[[#This Row],[SKU]],'All Skus'!$A:$AC,7,FALSE)),""))</f>
        <v>0</v>
      </c>
      <c r="G811" t="str">
        <f>(IF((VLOOKUP(Table6[[#This Row],[SKU]],'All Skus'!$A:$AC,2,FALSE))="JBL",(VLOOKUP(Table6[[#This Row],[SKU]],'All Skus'!$A:$AC,8,FALSE)),""))</f>
        <v>SRX812 is a two-way full range speaker with a 12” woofer</v>
      </c>
      <c r="H811" s="8" t="str">
        <f>(IF((VLOOKUP(Table6[[#This Row],[SKU]],'All Skus'!$A:$AC,2,FALSE))="JBL",(VLOOKUP(Table6[[#This Row],[SKU]],'All Skus'!$A:$AC,9,FALSE)),""))</f>
        <v>SRX812 is a two-way full range speaker with a 12” woofer made for use as a light duty main PA, monitor, or rear or side fill. Premium utility hardware makes SRX812 an ideal solution for sound reinforcement. Tunings for Crown amps and dbx processors are available at jblpro.com</v>
      </c>
      <c r="I811" s="101">
        <f>(IF((VLOOKUP(Table6[[#This Row],[SKU]],'All Skus'!$A:$AC,2,FALSE))="JBL",(VLOOKUP(Table6[[#This Row],[SKU]],'All Skus'!$A:$AC,10,FALSE)),""))</f>
        <v>1491.87</v>
      </c>
      <c r="J811" s="101">
        <f>(IF((VLOOKUP(Table6[[#This Row],[SKU]],'All Skus'!$A:$AC,2,FALSE))="JBL",(VLOOKUP(Table6[[#This Row],[SKU]],'All Skus'!$A:$AC,11,FALSE)),""))</f>
        <v>1199</v>
      </c>
      <c r="K811" s="102">
        <f>(IF((VLOOKUP(Table6[[#This Row],[SKU]],'All Skus'!$A:$AC,2,FALSE))="JBL",(VLOOKUP(Table6[[#This Row],[SKU]],'All Skus'!$A:$AC,13,FALSE)),""))</f>
        <v>0</v>
      </c>
      <c r="L811" s="102">
        <f>(IF((VLOOKUP(Table6[[#This Row],[SKU]],'All Skus'!$A:$AC,2,FALSE))="JBL",(VLOOKUP(Table6[[#This Row],[SKU]],'All Skus'!$A:$AC,14,FALSE)),""))</f>
        <v>0</v>
      </c>
      <c r="M811" s="143">
        <f>(IF((VLOOKUP(Table6[[#This Row],[SKU]],'All Skus'!$A:$AC,2,FALSE))="JBL",(VLOOKUP(Table6[[#This Row],[SKU]],'All Skus'!$A:$AC,15,FALSE)),""))</f>
        <v>0</v>
      </c>
      <c r="N811" s="137">
        <f>(IF((VLOOKUP(Table6[[#This Row],[SKU]],'All Skus'!$A:$AC,2,FALSE))="JBL",(VLOOKUP(Table6[[#This Row],[SKU]],'All Skus'!$A:$AC,16,FALSE)),""))</f>
        <v>691991001628</v>
      </c>
      <c r="O811" s="61">
        <f>(IF((VLOOKUP(Table6[[#This Row],[SKU]],'All Skus'!$A:$AC,2,FALSE))="JBL",(VLOOKUP(Table6[[#This Row],[SKU]],'All Skus'!$A:$AC,17,FALSE)),""))</f>
        <v>0</v>
      </c>
      <c r="P811" s="136">
        <f>(IF((VLOOKUP(Table6[[#This Row],[SKU]],'All Skus'!$A:$AC,2,FALSE))="JBL",(VLOOKUP(Table6[[#This Row],[SKU]],'All Skus'!$A:$AC,18,FALSE)),""))</f>
        <v>61</v>
      </c>
      <c r="Q811" s="136">
        <f>(IF((VLOOKUP(Table6[[#This Row],[SKU]],'All Skus'!$A:$AC,2,FALSE))="JBL",(VLOOKUP(Table6[[#This Row],[SKU]],'All Skus'!$A:$AC,19,FALSE)),""))</f>
        <v>21.5</v>
      </c>
      <c r="R811" s="136">
        <f>(IF((VLOOKUP(Table6[[#This Row],[SKU]],'All Skus'!$A:$AC,2,FALSE))="JBL",(VLOOKUP(Table6[[#This Row],[SKU]],'All Skus'!$A:$AC,20,FALSE)),""))</f>
        <v>21.25</v>
      </c>
      <c r="S811" s="61">
        <f>(IF((VLOOKUP(Table6[[#This Row],[SKU]],'All Skus'!$A:$AC,2,FALSE))="JBL",(VLOOKUP(Table6[[#This Row],[SKU]],'All Skus'!$A:$AC,21,FALSE)),""))</f>
        <v>27</v>
      </c>
      <c r="T811" s="61" t="str">
        <f>(IF((VLOOKUP(Table6[[#This Row],[SKU]],'All Skus'!$A:$AC,2,FALSE))="JBL",(VLOOKUP(Table6[[#This Row],[SKU]],'All Skus'!$A:$AC,22,FALSE)),""))</f>
        <v>MX</v>
      </c>
      <c r="U811" t="str">
        <f>(IF((VLOOKUP(Table6[[#This Row],[SKU]],'All Skus'!$A:$AC,2,FALSE))="JBL",(VLOOKUP(Table6[[#This Row],[SKU]],'All Skus'!$A:$AC,23,FALSE)),""))</f>
        <v>Compliant</v>
      </c>
      <c r="V811" s="284" t="str">
        <f>HYPERLINK((IF((VLOOKUP(Table6[[#This Row],[SKU]],'All Skus'!$A:$AC,2,FALSE))="JBL",(VLOOKUP(Table6[[#This Row],[SKU]],'All Skus'!$A:$AC,24,FALSE)),"")))</f>
        <v>http://www.jblpro.com/www/products/portable-market/srx800-passive-series/srx812#.Vkxlz4RqBJo</v>
      </c>
      <c r="W811" s="151">
        <v>808</v>
      </c>
    </row>
    <row r="812" spans="1:23" ht="15" hidden="1" customHeight="1">
      <c r="A812" s="13" t="s">
        <v>1821</v>
      </c>
      <c r="B812" s="12" t="str">
        <f>(IF((VLOOKUP(Table6[[#This Row],[SKU]],'All Skus'!$A:$AC,2,FALSE))="JBL",(VLOOKUP(Table6[[#This Row],[SKU]],'All Skus'!$A:$AC,3,FALSE)),""))</f>
        <v>SRX SERIES</v>
      </c>
      <c r="C812" s="12" t="str">
        <f>(IF((VLOOKUP(Table6[[#This Row],[SKU]],'All Skus'!$A:$AC,2,FALSE))="JBL",(VLOOKUP(Table6[[#This Row],[SKU]],'All Skus'!$A:$AC,4,FALSE)),""))</f>
        <v>SRX818S</v>
      </c>
      <c r="D812" s="61" t="str">
        <f>(IF((VLOOKUP(Table6[[#This Row],[SKU]],'All Skus'!$A:$AC,2,FALSE))="JBL",(VLOOKUP(Table6[[#This Row],[SKU]],'All Skus'!$A:$AC,5,FALSE)),""))</f>
        <v>JBL022</v>
      </c>
      <c r="E812" s="137">
        <f>(IF((VLOOKUP(Table6[[#This Row],[SKU]],'All Skus'!$A:$AC,2,FALSE))="JBL",(VLOOKUP(Table6[[#This Row],[SKU]],'All Skus'!$A:$AC,6,FALSE)),""))</f>
        <v>0</v>
      </c>
      <c r="F812" s="61">
        <f>(IF((VLOOKUP(Table6[[#This Row],[SKU]],'All Skus'!$A:$AC,2,FALSE))="JBL",(VLOOKUP(Table6[[#This Row],[SKU]],'All Skus'!$A:$AC,7,FALSE)),""))</f>
        <v>0</v>
      </c>
      <c r="G812" t="str">
        <f>(IF((VLOOKUP(Table6[[#This Row],[SKU]],'All Skus'!$A:$AC,2,FALSE))="JBL",(VLOOKUP(Table6[[#This Row],[SKU]],'All Skus'!$A:$AC,8,FALSE)),""))</f>
        <v>SRX818S is a single 18” subwoofer for concert, touring, or installed use.</v>
      </c>
      <c r="H812" s="8" t="str">
        <f>(IF((VLOOKUP(Table6[[#This Row],[SKU]],'All Skus'!$A:$AC,2,FALSE))="JBL",(VLOOKUP(Table6[[#This Row],[SKU]],'All Skus'!$A:$AC,9,FALSE)),""))</f>
        <v>SRX818S is a single 18” subwoofer for concert, touring, or installed use, featuring a standard M20 pole cup for use with top boxes, indexing feet for stacking in both standard and cardioid position, and a 136dB max SPL. Tunings for Crown amps and dbx  processors are available at jblpro.com</v>
      </c>
      <c r="I812" s="101">
        <f>(IF((VLOOKUP(Table6[[#This Row],[SKU]],'All Skus'!$A:$AC,2,FALSE))="JBL",(VLOOKUP(Table6[[#This Row],[SKU]],'All Skus'!$A:$AC,10,FALSE)),""))</f>
        <v>1963.48</v>
      </c>
      <c r="J812" s="101">
        <f>(IF((VLOOKUP(Table6[[#This Row],[SKU]],'All Skus'!$A:$AC,2,FALSE))="JBL",(VLOOKUP(Table6[[#This Row],[SKU]],'All Skus'!$A:$AC,11,FALSE)),""))</f>
        <v>1579</v>
      </c>
      <c r="K812" s="102">
        <f>(IF((VLOOKUP(Table6[[#This Row],[SKU]],'All Skus'!$A:$AC,2,FALSE))="JBL",(VLOOKUP(Table6[[#This Row],[SKU]],'All Skus'!$A:$AC,13,FALSE)),""))</f>
        <v>0</v>
      </c>
      <c r="L812" s="102">
        <f>(IF((VLOOKUP(Table6[[#This Row],[SKU]],'All Skus'!$A:$AC,2,FALSE))="JBL",(VLOOKUP(Table6[[#This Row],[SKU]],'All Skus'!$A:$AC,14,FALSE)),""))</f>
        <v>0</v>
      </c>
      <c r="M812" s="143">
        <f>(IF((VLOOKUP(Table6[[#This Row],[SKU]],'All Skus'!$A:$AC,2,FALSE))="JBL",(VLOOKUP(Table6[[#This Row],[SKU]],'All Skus'!$A:$AC,15,FALSE)),""))</f>
        <v>0</v>
      </c>
      <c r="N812" s="137">
        <f>(IF((VLOOKUP(Table6[[#This Row],[SKU]],'All Skus'!$A:$AC,2,FALSE))="JBL",(VLOOKUP(Table6[[#This Row],[SKU]],'All Skus'!$A:$AC,16,FALSE)),""))</f>
        <v>691991001659</v>
      </c>
      <c r="O812" s="61">
        <f>(IF((VLOOKUP(Table6[[#This Row],[SKU]],'All Skus'!$A:$AC,2,FALSE))="JBL",(VLOOKUP(Table6[[#This Row],[SKU]],'All Skus'!$A:$AC,17,FALSE)),""))</f>
        <v>0</v>
      </c>
      <c r="P812" s="136">
        <f>(IF((VLOOKUP(Table6[[#This Row],[SKU]],'All Skus'!$A:$AC,2,FALSE))="JBL",(VLOOKUP(Table6[[#This Row],[SKU]],'All Skus'!$A:$AC,18,FALSE)),""))</f>
        <v>80</v>
      </c>
      <c r="Q812" s="136">
        <f>(IF((VLOOKUP(Table6[[#This Row],[SKU]],'All Skus'!$A:$AC,2,FALSE))="JBL",(VLOOKUP(Table6[[#This Row],[SKU]],'All Skus'!$A:$AC,19,FALSE)),""))</f>
        <v>32</v>
      </c>
      <c r="R812" s="136">
        <f>(IF((VLOOKUP(Table6[[#This Row],[SKU]],'All Skus'!$A:$AC,2,FALSE))="JBL",(VLOOKUP(Table6[[#This Row],[SKU]],'All Skus'!$A:$AC,20,FALSE)),""))</f>
        <v>32</v>
      </c>
      <c r="S812" s="61">
        <f>(IF((VLOOKUP(Table6[[#This Row],[SKU]],'All Skus'!$A:$AC,2,FALSE))="JBL",(VLOOKUP(Table6[[#This Row],[SKU]],'All Skus'!$A:$AC,21,FALSE)),""))</f>
        <v>24</v>
      </c>
      <c r="T812" s="61" t="str">
        <f>(IF((VLOOKUP(Table6[[#This Row],[SKU]],'All Skus'!$A:$AC,2,FALSE))="JBL",(VLOOKUP(Table6[[#This Row],[SKU]],'All Skus'!$A:$AC,22,FALSE)),""))</f>
        <v>MX</v>
      </c>
      <c r="U812" t="str">
        <f>(IF((VLOOKUP(Table6[[#This Row],[SKU]],'All Skus'!$A:$AC,2,FALSE))="JBL",(VLOOKUP(Table6[[#This Row],[SKU]],'All Skus'!$A:$AC,23,FALSE)),""))</f>
        <v>Compliant</v>
      </c>
      <c r="V812" s="284" t="str">
        <f>HYPERLINK((IF((VLOOKUP(Table6[[#This Row],[SKU]],'All Skus'!$A:$AC,2,FALSE))="JBL",(VLOOKUP(Table6[[#This Row],[SKU]],'All Skus'!$A:$AC,24,FALSE)),"")))</f>
        <v>http://www.jblpro.com/www/products/portable-market/srx800-passive-series/srx818s#.Vkxl5oRqBJo</v>
      </c>
      <c r="W812" s="151">
        <v>809</v>
      </c>
    </row>
    <row r="813" spans="1:23" ht="15" hidden="1" customHeight="1">
      <c r="A813" s="13" t="s">
        <v>1820</v>
      </c>
      <c r="B813" s="12" t="str">
        <f>(IF((VLOOKUP(Table6[[#This Row],[SKU]],'All Skus'!$A:$AC,2,FALSE))="JBL",(VLOOKUP(Table6[[#This Row],[SKU]],'All Skus'!$A:$AC,3,FALSE)),""))</f>
        <v>SRX SERIES</v>
      </c>
      <c r="C813" s="12" t="str">
        <f>(IF((VLOOKUP(Table6[[#This Row],[SKU]],'All Skus'!$A:$AC,2,FALSE))="JBL",(VLOOKUP(Table6[[#This Row],[SKU]],'All Skus'!$A:$AC,4,FALSE)),""))</f>
        <v>SRX835</v>
      </c>
      <c r="D813" s="61" t="str">
        <f>(IF((VLOOKUP(Table6[[#This Row],[SKU]],'All Skus'!$A:$AC,2,FALSE))="JBL",(VLOOKUP(Table6[[#This Row],[SKU]],'All Skus'!$A:$AC,5,FALSE)),""))</f>
        <v>JBL022</v>
      </c>
      <c r="E813" s="137">
        <f>(IF((VLOOKUP(Table6[[#This Row],[SKU]],'All Skus'!$A:$AC,2,FALSE))="JBL",(VLOOKUP(Table6[[#This Row],[SKU]],'All Skus'!$A:$AC,6,FALSE)),""))</f>
        <v>0</v>
      </c>
      <c r="F813" s="61">
        <f>(IF((VLOOKUP(Table6[[#This Row],[SKU]],'All Skus'!$A:$AC,2,FALSE))="JBL",(VLOOKUP(Table6[[#This Row],[SKU]],'All Skus'!$A:$AC,7,FALSE)),""))</f>
        <v>0</v>
      </c>
      <c r="G813" t="str">
        <f>(IF((VLOOKUP(Table6[[#This Row],[SKU]],'All Skus'!$A:$AC,2,FALSE))="JBL",(VLOOKUP(Table6[[#This Row],[SKU]],'All Skus'!$A:$AC,8,FALSE)),""))</f>
        <v>SRX835 is a three-way full range speaker with a 15” woofer</v>
      </c>
      <c r="H813" s="8" t="str">
        <f>(IF((VLOOKUP(Table6[[#This Row],[SKU]],'All Skus'!$A:$AC,2,FALSE))="JBL",(VLOOKUP(Table6[[#This Row],[SKU]],'All Skus'!$A:$AC,9,FALSE)),""))</f>
        <v>SRX835 is a three-way full range speaker with a 15” woofer made for use as a medium duty main PA, or rear or side fill. Premium utility hardware makes SRX835 an ideal solution for sound reinforcement. Tunings for Crown amps and dbx processors are available at jblpro.com</v>
      </c>
      <c r="I813" s="101">
        <f>(IF((VLOOKUP(Table6[[#This Row],[SKU]],'All Skus'!$A:$AC,2,FALSE))="JBL",(VLOOKUP(Table6[[#This Row],[SKU]],'All Skus'!$A:$AC,10,FALSE)),""))</f>
        <v>2120.6799999999998</v>
      </c>
      <c r="J813" s="101">
        <f>(IF((VLOOKUP(Table6[[#This Row],[SKU]],'All Skus'!$A:$AC,2,FALSE))="JBL",(VLOOKUP(Table6[[#This Row],[SKU]],'All Skus'!$A:$AC,11,FALSE)),""))</f>
        <v>1699</v>
      </c>
      <c r="K813" s="102">
        <f>(IF((VLOOKUP(Table6[[#This Row],[SKU]],'All Skus'!$A:$AC,2,FALSE))="JBL",(VLOOKUP(Table6[[#This Row],[SKU]],'All Skus'!$A:$AC,13,FALSE)),""))</f>
        <v>0</v>
      </c>
      <c r="L813" s="102">
        <f>(IF((VLOOKUP(Table6[[#This Row],[SKU]],'All Skus'!$A:$AC,2,FALSE))="JBL",(VLOOKUP(Table6[[#This Row],[SKU]],'All Skus'!$A:$AC,14,FALSE)),""))</f>
        <v>0</v>
      </c>
      <c r="M813" s="143">
        <f>(IF((VLOOKUP(Table6[[#This Row],[SKU]],'All Skus'!$A:$AC,2,FALSE))="JBL",(VLOOKUP(Table6[[#This Row],[SKU]],'All Skus'!$A:$AC,15,FALSE)),""))</f>
        <v>0</v>
      </c>
      <c r="N813" s="137">
        <f>(IF((VLOOKUP(Table6[[#This Row],[SKU]],'All Skus'!$A:$AC,2,FALSE))="JBL",(VLOOKUP(Table6[[#This Row],[SKU]],'All Skus'!$A:$AC,16,FALSE)),""))</f>
        <v>691991001642</v>
      </c>
      <c r="O813" s="61">
        <f>(IF((VLOOKUP(Table6[[#This Row],[SKU]],'All Skus'!$A:$AC,2,FALSE))="JBL",(VLOOKUP(Table6[[#This Row],[SKU]],'All Skus'!$A:$AC,17,FALSE)),""))</f>
        <v>0</v>
      </c>
      <c r="P813" s="136">
        <f>(IF((VLOOKUP(Table6[[#This Row],[SKU]],'All Skus'!$A:$AC,2,FALSE))="JBL",(VLOOKUP(Table6[[#This Row],[SKU]],'All Skus'!$A:$AC,18,FALSE)),""))</f>
        <v>106</v>
      </c>
      <c r="Q813" s="136">
        <f>(IF((VLOOKUP(Table6[[#This Row],[SKU]],'All Skus'!$A:$AC,2,FALSE))="JBL",(VLOOKUP(Table6[[#This Row],[SKU]],'All Skus'!$A:$AC,19,FALSE)),""))</f>
        <v>26.25</v>
      </c>
      <c r="R813" s="136">
        <f>(IF((VLOOKUP(Table6[[#This Row],[SKU]],'All Skus'!$A:$AC,2,FALSE))="JBL",(VLOOKUP(Table6[[#This Row],[SKU]],'All Skus'!$A:$AC,20,FALSE)),""))</f>
        <v>23.5</v>
      </c>
      <c r="S813" s="61">
        <f>(IF((VLOOKUP(Table6[[#This Row],[SKU]],'All Skus'!$A:$AC,2,FALSE))="JBL",(VLOOKUP(Table6[[#This Row],[SKU]],'All Skus'!$A:$AC,21,FALSE)),""))</f>
        <v>41.25</v>
      </c>
      <c r="T813" s="61" t="str">
        <f>(IF((VLOOKUP(Table6[[#This Row],[SKU]],'All Skus'!$A:$AC,2,FALSE))="JBL",(VLOOKUP(Table6[[#This Row],[SKU]],'All Skus'!$A:$AC,22,FALSE)),""))</f>
        <v>MX</v>
      </c>
      <c r="U813" t="str">
        <f>(IF((VLOOKUP(Table6[[#This Row],[SKU]],'All Skus'!$A:$AC,2,FALSE))="JBL",(VLOOKUP(Table6[[#This Row],[SKU]],'All Skus'!$A:$AC,23,FALSE)),""))</f>
        <v>Compliant</v>
      </c>
      <c r="V813" s="284" t="str">
        <f>HYPERLINK((IF((VLOOKUP(Table6[[#This Row],[SKU]],'All Skus'!$A:$AC,2,FALSE))="JBL",(VLOOKUP(Table6[[#This Row],[SKU]],'All Skus'!$A:$AC,24,FALSE)),"")))</f>
        <v>http://www.jblpro.com/www/products/portable-market/srx800-passive-series/#</v>
      </c>
      <c r="W813" s="151">
        <v>810</v>
      </c>
    </row>
    <row r="814" spans="1:23" ht="15" hidden="1" customHeight="1">
      <c r="A814" s="13" t="s">
        <v>1823</v>
      </c>
      <c r="B814" s="12" t="str">
        <f>(IF((VLOOKUP(Table6[[#This Row],[SKU]],'All Skus'!$A:$AC,2,FALSE))="JBL",(VLOOKUP(Table6[[#This Row],[SKU]],'All Skus'!$A:$AC,3,FALSE)),""))</f>
        <v>SRX SERIES</v>
      </c>
      <c r="C814" s="12" t="str">
        <f>(IF((VLOOKUP(Table6[[#This Row],[SKU]],'All Skus'!$A:$AC,2,FALSE))="JBL",(VLOOKUP(Table6[[#This Row],[SKU]],'All Skus'!$A:$AC,4,FALSE)),""))</f>
        <v>SRX812P</v>
      </c>
      <c r="D814" s="61" t="str">
        <f>(IF((VLOOKUP(Table6[[#This Row],[SKU]],'All Skus'!$A:$AC,2,FALSE))="JBL",(VLOOKUP(Table6[[#This Row],[SKU]],'All Skus'!$A:$AC,5,FALSE)),""))</f>
        <v>JBL020</v>
      </c>
      <c r="E814" s="137">
        <f>(IF((VLOOKUP(Table6[[#This Row],[SKU]],'All Skus'!$A:$AC,2,FALSE))="JBL",(VLOOKUP(Table6[[#This Row],[SKU]],'All Skus'!$A:$AC,6,FALSE)),""))</f>
        <v>0</v>
      </c>
      <c r="F814" s="61">
        <f>(IF((VLOOKUP(Table6[[#This Row],[SKU]],'All Skus'!$A:$AC,2,FALSE))="JBL",(VLOOKUP(Table6[[#This Row],[SKU]],'All Skus'!$A:$AC,7,FALSE)),""))</f>
        <v>0</v>
      </c>
      <c r="G814" t="str">
        <f>(IF((VLOOKUP(Table6[[#This Row],[SKU]],'All Skus'!$A:$AC,2,FALSE))="JBL",(VLOOKUP(Table6[[#This Row],[SKU]],'All Skus'!$A:$AC,8,FALSE)),""))</f>
        <v>2000 Watt Powered 2-way system featuring Crown Amplification</v>
      </c>
      <c r="H814" s="8" t="str">
        <f>(IF((VLOOKUP(Table6[[#This Row],[SKU]],'All Skus'!$A:$AC,2,FALSE))="JBL",(VLOOKUP(Table6[[#This Row],[SKU]],'All Skus'!$A:$AC,9,FALSE)),""))</f>
        <v>2000 Watt Powered 2-way system featuring Crown Amplification, network control, and full user configurable DSP. The SRX812P can be used as either a monitor or a main system and features M10 suspension points for easy rigging. Full suite of onboard DSP includes 20 PEQs, 96kHz FIR filters, signal generators, and 2 seconds of delay.</v>
      </c>
      <c r="I814" s="101">
        <f>(IF((VLOOKUP(Table6[[#This Row],[SKU]],'All Skus'!$A:$AC,2,FALSE))="JBL",(VLOOKUP(Table6[[#This Row],[SKU]],'All Skus'!$A:$AC,10,FALSE)),""))</f>
        <v>2073.5100000000002</v>
      </c>
      <c r="J814" s="101">
        <f>(IF((VLOOKUP(Table6[[#This Row],[SKU]],'All Skus'!$A:$AC,2,FALSE))="JBL",(VLOOKUP(Table6[[#This Row],[SKU]],'All Skus'!$A:$AC,11,FALSE)),""))</f>
        <v>1659</v>
      </c>
      <c r="K814" s="102">
        <f>(IF((VLOOKUP(Table6[[#This Row],[SKU]],'All Skus'!$A:$AC,2,FALSE))="JBL",(VLOOKUP(Table6[[#This Row],[SKU]],'All Skus'!$A:$AC,13,FALSE)),""))</f>
        <v>0</v>
      </c>
      <c r="L814" s="102">
        <f>(IF((VLOOKUP(Table6[[#This Row],[SKU]],'All Skus'!$A:$AC,2,FALSE))="JBL",(VLOOKUP(Table6[[#This Row],[SKU]],'All Skus'!$A:$AC,14,FALSE)),""))</f>
        <v>0</v>
      </c>
      <c r="M814" s="143">
        <f>(IF((VLOOKUP(Table6[[#This Row],[SKU]],'All Skus'!$A:$AC,2,FALSE))="JBL",(VLOOKUP(Table6[[#This Row],[SKU]],'All Skus'!$A:$AC,15,FALSE)),""))</f>
        <v>0</v>
      </c>
      <c r="N814" s="137">
        <f>(IF((VLOOKUP(Table6[[#This Row],[SKU]],'All Skus'!$A:$AC,2,FALSE))="JBL",(VLOOKUP(Table6[[#This Row],[SKU]],'All Skus'!$A:$AC,16,FALSE)),""))</f>
        <v>691991000676</v>
      </c>
      <c r="O814" s="61">
        <f>(IF((VLOOKUP(Table6[[#This Row],[SKU]],'All Skus'!$A:$AC,2,FALSE))="JBL",(VLOOKUP(Table6[[#This Row],[SKU]],'All Skus'!$A:$AC,17,FALSE)),""))</f>
        <v>0</v>
      </c>
      <c r="P814" s="136">
        <f>(IF((VLOOKUP(Table6[[#This Row],[SKU]],'All Skus'!$A:$AC,2,FALSE))="JBL",(VLOOKUP(Table6[[#This Row],[SKU]],'All Skus'!$A:$AC,18,FALSE)),""))</f>
        <v>66</v>
      </c>
      <c r="Q814" s="136">
        <f>(IF((VLOOKUP(Table6[[#This Row],[SKU]],'All Skus'!$A:$AC,2,FALSE))="JBL",(VLOOKUP(Table6[[#This Row],[SKU]],'All Skus'!$A:$AC,19,FALSE)),""))</f>
        <v>21</v>
      </c>
      <c r="R814" s="136">
        <f>(IF((VLOOKUP(Table6[[#This Row],[SKU]],'All Skus'!$A:$AC,2,FALSE))="JBL",(VLOOKUP(Table6[[#This Row],[SKU]],'All Skus'!$A:$AC,20,FALSE)),""))</f>
        <v>21</v>
      </c>
      <c r="S814" s="61">
        <f>(IF((VLOOKUP(Table6[[#This Row],[SKU]],'All Skus'!$A:$AC,2,FALSE))="JBL",(VLOOKUP(Table6[[#This Row],[SKU]],'All Skus'!$A:$AC,21,FALSE)),""))</f>
        <v>27</v>
      </c>
      <c r="T814" s="61" t="str">
        <f>(IF((VLOOKUP(Table6[[#This Row],[SKU]],'All Skus'!$A:$AC,2,FALSE))="JBL",(VLOOKUP(Table6[[#This Row],[SKU]],'All Skus'!$A:$AC,22,FALSE)),""))</f>
        <v>MX</v>
      </c>
      <c r="U814" t="str">
        <f>(IF((VLOOKUP(Table6[[#This Row],[SKU]],'All Skus'!$A:$AC,2,FALSE))="JBL",(VLOOKUP(Table6[[#This Row],[SKU]],'All Skus'!$A:$AC,23,FALSE)),""))</f>
        <v>Compliant</v>
      </c>
      <c r="V814" s="284" t="str">
        <f>HYPERLINK((IF((VLOOKUP(Table6[[#This Row],[SKU]],'All Skus'!$A:$AC,2,FALSE))="JBL",(VLOOKUP(Table6[[#This Row],[SKU]],'All Skus'!$A:$AC,24,FALSE)),"")))</f>
        <v>http://www.jblpro.com/www/products/portable-market/srx800-series/srx812p#.VkxaiIRqBJo</v>
      </c>
      <c r="W814" s="151">
        <v>811</v>
      </c>
    </row>
    <row r="815" spans="1:23" ht="15" hidden="1" customHeight="1">
      <c r="A815" s="13" t="s">
        <v>1822</v>
      </c>
      <c r="B815" s="12" t="str">
        <f>(IF((VLOOKUP(Table6[[#This Row],[SKU]],'All Skus'!$A:$AC,2,FALSE))="JBL",(VLOOKUP(Table6[[#This Row],[SKU]],'All Skus'!$A:$AC,3,FALSE)),""))</f>
        <v>SRX SERIES</v>
      </c>
      <c r="C815" s="12" t="str">
        <f>(IF((VLOOKUP(Table6[[#This Row],[SKU]],'All Skus'!$A:$AC,2,FALSE))="JBL",(VLOOKUP(Table6[[#This Row],[SKU]],'All Skus'!$A:$AC,4,FALSE)),""))</f>
        <v>SRX828S</v>
      </c>
      <c r="D815" s="61" t="str">
        <f>(IF((VLOOKUP(Table6[[#This Row],[SKU]],'All Skus'!$A:$AC,2,FALSE))="JBL",(VLOOKUP(Table6[[#This Row],[SKU]],'All Skus'!$A:$AC,5,FALSE)),""))</f>
        <v>JBL022</v>
      </c>
      <c r="E815" s="137">
        <f>(IF((VLOOKUP(Table6[[#This Row],[SKU]],'All Skus'!$A:$AC,2,FALSE))="JBL",(VLOOKUP(Table6[[#This Row],[SKU]],'All Skus'!$A:$AC,6,FALSE)),""))</f>
        <v>0</v>
      </c>
      <c r="F815" s="61">
        <f>(IF((VLOOKUP(Table6[[#This Row],[SKU]],'All Skus'!$A:$AC,2,FALSE))="JBL",(VLOOKUP(Table6[[#This Row],[SKU]],'All Skus'!$A:$AC,7,FALSE)),""))</f>
        <v>0</v>
      </c>
      <c r="G815" t="str">
        <f>(IF((VLOOKUP(Table6[[#This Row],[SKU]],'All Skus'!$A:$AC,2,FALSE))="JBL",(VLOOKUP(Table6[[#This Row],[SKU]],'All Skus'!$A:$AC,8,FALSE)),""))</f>
        <v>SRX828S is a dual 18” subwoofer for concert, touring, or installed use.</v>
      </c>
      <c r="H815" s="8" t="str">
        <f>(IF((VLOOKUP(Table6[[#This Row],[SKU]],'All Skus'!$A:$AC,2,FALSE))="JBL",(VLOOKUP(Table6[[#This Row],[SKU]],'All Skus'!$A:$AC,9,FALSE)),""))</f>
        <v>SRX828S is a dual 18” subwoofer for concert, touring, or installed use, featuring a wide stance for splaying top boxes, indexing feet for stacking in both the standard and cardioid position, and a 141dB max SPL. Tunings for Crown amps and dbx  processors are available at jblpro.com</v>
      </c>
      <c r="I815" s="101">
        <f>(IF((VLOOKUP(Table6[[#This Row],[SKU]],'All Skus'!$A:$AC,2,FALSE))="JBL",(VLOOKUP(Table6[[#This Row],[SKU]],'All Skus'!$A:$AC,10,FALSE)),""))</f>
        <v>2639.45</v>
      </c>
      <c r="J815" s="101">
        <f>(IF((VLOOKUP(Table6[[#This Row],[SKU]],'All Skus'!$A:$AC,2,FALSE))="JBL",(VLOOKUP(Table6[[#This Row],[SKU]],'All Skus'!$A:$AC,11,FALSE)),""))</f>
        <v>2119</v>
      </c>
      <c r="K815" s="102">
        <f>(IF((VLOOKUP(Table6[[#This Row],[SKU]],'All Skus'!$A:$AC,2,FALSE))="JBL",(VLOOKUP(Table6[[#This Row],[SKU]],'All Skus'!$A:$AC,13,FALSE)),""))</f>
        <v>0</v>
      </c>
      <c r="L815" s="102">
        <f>(IF((VLOOKUP(Table6[[#This Row],[SKU]],'All Skus'!$A:$AC,2,FALSE))="JBL",(VLOOKUP(Table6[[#This Row],[SKU]],'All Skus'!$A:$AC,14,FALSE)),""))</f>
        <v>0</v>
      </c>
      <c r="M815" s="143">
        <f>(IF((VLOOKUP(Table6[[#This Row],[SKU]],'All Skus'!$A:$AC,2,FALSE))="JBL",(VLOOKUP(Table6[[#This Row],[SKU]],'All Skus'!$A:$AC,15,FALSE)),""))</f>
        <v>0</v>
      </c>
      <c r="N815" s="137">
        <f>(IF((VLOOKUP(Table6[[#This Row],[SKU]],'All Skus'!$A:$AC,2,FALSE))="JBL",(VLOOKUP(Table6[[#This Row],[SKU]],'All Skus'!$A:$AC,16,FALSE)),""))</f>
        <v>691991001666</v>
      </c>
      <c r="O815" s="61">
        <f>(IF((VLOOKUP(Table6[[#This Row],[SKU]],'All Skus'!$A:$AC,2,FALSE))="JBL",(VLOOKUP(Table6[[#This Row],[SKU]],'All Skus'!$A:$AC,17,FALSE)),""))</f>
        <v>0</v>
      </c>
      <c r="P815" s="136">
        <f>(IF((VLOOKUP(Table6[[#This Row],[SKU]],'All Skus'!$A:$AC,2,FALSE))="JBL",(VLOOKUP(Table6[[#This Row],[SKU]],'All Skus'!$A:$AC,18,FALSE)),""))</f>
        <v>164</v>
      </c>
      <c r="Q815" s="136">
        <f>(IF((VLOOKUP(Table6[[#This Row],[SKU]],'All Skus'!$A:$AC,2,FALSE))="JBL",(VLOOKUP(Table6[[#This Row],[SKU]],'All Skus'!$A:$AC,19,FALSE)),""))</f>
        <v>52.25</v>
      </c>
      <c r="R815" s="136">
        <f>(IF((VLOOKUP(Table6[[#This Row],[SKU]],'All Skus'!$A:$AC,2,FALSE))="JBL",(VLOOKUP(Table6[[#This Row],[SKU]],'All Skus'!$A:$AC,20,FALSE)),""))</f>
        <v>32</v>
      </c>
      <c r="S815" s="61">
        <f>(IF((VLOOKUP(Table6[[#This Row],[SKU]],'All Skus'!$A:$AC,2,FALSE))="JBL",(VLOOKUP(Table6[[#This Row],[SKU]],'All Skus'!$A:$AC,21,FALSE)),""))</f>
        <v>25</v>
      </c>
      <c r="T815" s="61" t="str">
        <f>(IF((VLOOKUP(Table6[[#This Row],[SKU]],'All Skus'!$A:$AC,2,FALSE))="JBL",(VLOOKUP(Table6[[#This Row],[SKU]],'All Skus'!$A:$AC,22,FALSE)),""))</f>
        <v>MX</v>
      </c>
      <c r="U815">
        <f>(IF((VLOOKUP(Table6[[#This Row],[SKU]],'All Skus'!$A:$AC,2,FALSE))="JBL",(VLOOKUP(Table6[[#This Row],[SKU]],'All Skus'!$A:$AC,23,FALSE)),""))</f>
        <v>0</v>
      </c>
      <c r="V815" s="284" t="str">
        <f>HYPERLINK((IF((VLOOKUP(Table6[[#This Row],[SKU]],'All Skus'!$A:$AC,2,FALSE))="JBL",(VLOOKUP(Table6[[#This Row],[SKU]],'All Skus'!$A:$AC,24,FALSE)),"")))</f>
        <v>http://www.jblpro.com/www/products/portable-market/srx800-passive-series/srx828s</v>
      </c>
      <c r="W815" s="151">
        <v>812</v>
      </c>
    </row>
    <row r="816" spans="1:23" ht="15" hidden="1" customHeight="1">
      <c r="A816" s="13" t="s">
        <v>1825</v>
      </c>
      <c r="B816" s="12" t="str">
        <f>(IF((VLOOKUP(Table6[[#This Row],[SKU]],'All Skus'!$A:$AC,2,FALSE))="JBL",(VLOOKUP(Table6[[#This Row],[SKU]],'All Skus'!$A:$AC,3,FALSE)),""))</f>
        <v>SRX SERIES</v>
      </c>
      <c r="C816" s="12" t="str">
        <f>(IF((VLOOKUP(Table6[[#This Row],[SKU]],'All Skus'!$A:$AC,2,FALSE))="JBL",(VLOOKUP(Table6[[#This Row],[SKU]],'All Skus'!$A:$AC,4,FALSE)),""))</f>
        <v>SRX835P</v>
      </c>
      <c r="D816" s="61" t="str">
        <f>(IF((VLOOKUP(Table6[[#This Row],[SKU]],'All Skus'!$A:$AC,2,FALSE))="JBL",(VLOOKUP(Table6[[#This Row],[SKU]],'All Skus'!$A:$AC,5,FALSE)),""))</f>
        <v>JBL020</v>
      </c>
      <c r="E816" s="137">
        <f>(IF((VLOOKUP(Table6[[#This Row],[SKU]],'All Skus'!$A:$AC,2,FALSE))="JBL",(VLOOKUP(Table6[[#This Row],[SKU]],'All Skus'!$A:$AC,6,FALSE)),""))</f>
        <v>0</v>
      </c>
      <c r="F816" s="61">
        <f>(IF((VLOOKUP(Table6[[#This Row],[SKU]],'All Skus'!$A:$AC,2,FALSE))="JBL",(VLOOKUP(Table6[[#This Row],[SKU]],'All Skus'!$A:$AC,7,FALSE)),""))</f>
        <v>0</v>
      </c>
      <c r="G816" t="str">
        <f>(IF((VLOOKUP(Table6[[#This Row],[SKU]],'All Skus'!$A:$AC,2,FALSE))="JBL",(VLOOKUP(Table6[[#This Row],[SKU]],'All Skus'!$A:$AC,8,FALSE)),""))</f>
        <v>2000 Watt Powered 3-way system featuring Crown Amplification</v>
      </c>
      <c r="H816" s="8" t="str">
        <f>(IF((VLOOKUP(Table6[[#This Row],[SKU]],'All Skus'!$A:$AC,2,FALSE))="JBL",(VLOOKUP(Table6[[#This Row],[SKU]],'All Skus'!$A:$AC,9,FALSE)),""))</f>
        <v>2000 Watt Powered 3-way system featuring Crown Amplification, network control, and full user configurable DSP. The SRX835P can be pole mounted or stacked and splayed atop a subwoofer, and features M10 suspension points for easy rigging. Full suite of onboard DSP includes 20 PEQs, 96kHz FIR filters, signal generators, and 2 seconds of delay.</v>
      </c>
      <c r="I816" s="101">
        <f>(IF((VLOOKUP(Table6[[#This Row],[SKU]],'All Skus'!$A:$AC,2,FALSE))="JBL",(VLOOKUP(Table6[[#This Row],[SKU]],'All Skus'!$A:$AC,10,FALSE)),""))</f>
        <v>2545.13</v>
      </c>
      <c r="J816" s="101">
        <f>(IF((VLOOKUP(Table6[[#This Row],[SKU]],'All Skus'!$A:$AC,2,FALSE))="JBL",(VLOOKUP(Table6[[#This Row],[SKU]],'All Skus'!$A:$AC,11,FALSE)),""))</f>
        <v>2039</v>
      </c>
      <c r="K816" s="102">
        <f>(IF((VLOOKUP(Table6[[#This Row],[SKU]],'All Skus'!$A:$AC,2,FALSE))="JBL",(VLOOKUP(Table6[[#This Row],[SKU]],'All Skus'!$A:$AC,13,FALSE)),""))</f>
        <v>0</v>
      </c>
      <c r="L816" s="102">
        <f>(IF((VLOOKUP(Table6[[#This Row],[SKU]],'All Skus'!$A:$AC,2,FALSE))="JBL",(VLOOKUP(Table6[[#This Row],[SKU]],'All Skus'!$A:$AC,14,FALSE)),""))</f>
        <v>0</v>
      </c>
      <c r="M816" s="143">
        <f>(IF((VLOOKUP(Table6[[#This Row],[SKU]],'All Skus'!$A:$AC,2,FALSE))="JBL",(VLOOKUP(Table6[[#This Row],[SKU]],'All Skus'!$A:$AC,15,FALSE)),""))</f>
        <v>0</v>
      </c>
      <c r="N816" s="137">
        <f>(IF((VLOOKUP(Table6[[#This Row],[SKU]],'All Skus'!$A:$AC,2,FALSE))="JBL",(VLOOKUP(Table6[[#This Row],[SKU]],'All Skus'!$A:$AC,16,FALSE)),""))</f>
        <v>691991000713</v>
      </c>
      <c r="O816" s="61">
        <f>(IF((VLOOKUP(Table6[[#This Row],[SKU]],'All Skus'!$A:$AC,2,FALSE))="JBL",(VLOOKUP(Table6[[#This Row],[SKU]],'All Skus'!$A:$AC,17,FALSE)),""))</f>
        <v>0</v>
      </c>
      <c r="P816" s="136">
        <f>(IF((VLOOKUP(Table6[[#This Row],[SKU]],'All Skus'!$A:$AC,2,FALSE))="JBL",(VLOOKUP(Table6[[#This Row],[SKU]],'All Skus'!$A:$AC,18,FALSE)),""))</f>
        <v>105</v>
      </c>
      <c r="Q816" s="136">
        <f>(IF((VLOOKUP(Table6[[#This Row],[SKU]],'All Skus'!$A:$AC,2,FALSE))="JBL",(VLOOKUP(Table6[[#This Row],[SKU]],'All Skus'!$A:$AC,19,FALSE)),""))</f>
        <v>26.25</v>
      </c>
      <c r="R816" s="136">
        <f>(IF((VLOOKUP(Table6[[#This Row],[SKU]],'All Skus'!$A:$AC,2,FALSE))="JBL",(VLOOKUP(Table6[[#This Row],[SKU]],'All Skus'!$A:$AC,20,FALSE)),""))</f>
        <v>23.5</v>
      </c>
      <c r="S816" s="61">
        <f>(IF((VLOOKUP(Table6[[#This Row],[SKU]],'All Skus'!$A:$AC,2,FALSE))="JBL",(VLOOKUP(Table6[[#This Row],[SKU]],'All Skus'!$A:$AC,21,FALSE)),""))</f>
        <v>41</v>
      </c>
      <c r="T816" s="61" t="str">
        <f>(IF((VLOOKUP(Table6[[#This Row],[SKU]],'All Skus'!$A:$AC,2,FALSE))="JBL",(VLOOKUP(Table6[[#This Row],[SKU]],'All Skus'!$A:$AC,22,FALSE)),""))</f>
        <v>MX</v>
      </c>
      <c r="U816" t="str">
        <f>(IF((VLOOKUP(Table6[[#This Row],[SKU]],'All Skus'!$A:$AC,2,FALSE))="JBL",(VLOOKUP(Table6[[#This Row],[SKU]],'All Skus'!$A:$AC,23,FALSE)),""))</f>
        <v>Compliant</v>
      </c>
      <c r="V816" s="284" t="str">
        <f>HYPERLINK((IF((VLOOKUP(Table6[[#This Row],[SKU]],'All Skus'!$A:$AC,2,FALSE))="JBL",(VLOOKUP(Table6[[#This Row],[SKU]],'All Skus'!$A:$AC,24,FALSE)),"")))</f>
        <v>http://www.jblpro.com/www/products/portable-market/srx800-series/srx835p</v>
      </c>
      <c r="W816" s="151">
        <v>813</v>
      </c>
    </row>
    <row r="817" spans="1:23" ht="15" hidden="1" customHeight="1">
      <c r="A817" s="13" t="s">
        <v>1824</v>
      </c>
      <c r="B817" s="12" t="str">
        <f>(IF((VLOOKUP(Table6[[#This Row],[SKU]],'All Skus'!$A:$AC,2,FALSE))="JBL",(VLOOKUP(Table6[[#This Row],[SKU]],'All Skus'!$A:$AC,3,FALSE)),""))</f>
        <v>SRX SERIES</v>
      </c>
      <c r="C817" s="12" t="str">
        <f>(IF((VLOOKUP(Table6[[#This Row],[SKU]],'All Skus'!$A:$AC,2,FALSE))="JBL",(VLOOKUP(Table6[[#This Row],[SKU]],'All Skus'!$A:$AC,4,FALSE)),""))</f>
        <v>SRX815P</v>
      </c>
      <c r="D817" s="61" t="str">
        <f>(IF((VLOOKUP(Table6[[#This Row],[SKU]],'All Skus'!$A:$AC,2,FALSE))="JBL",(VLOOKUP(Table6[[#This Row],[SKU]],'All Skus'!$A:$AC,5,FALSE)),""))</f>
        <v>JBL020</v>
      </c>
      <c r="E817" s="137">
        <f>(IF((VLOOKUP(Table6[[#This Row],[SKU]],'All Skus'!$A:$AC,2,FALSE))="JBL",(VLOOKUP(Table6[[#This Row],[SKU]],'All Skus'!$A:$AC,6,FALSE)),""))</f>
        <v>0</v>
      </c>
      <c r="F817" s="61">
        <f>(IF((VLOOKUP(Table6[[#This Row],[SKU]],'All Skus'!$A:$AC,2,FALSE))="JBL",(VLOOKUP(Table6[[#This Row],[SKU]],'All Skus'!$A:$AC,7,FALSE)),""))</f>
        <v>0</v>
      </c>
      <c r="G817" t="str">
        <f>(IF((VLOOKUP(Table6[[#This Row],[SKU]],'All Skus'!$A:$AC,2,FALSE))="JBL",(VLOOKUP(Table6[[#This Row],[SKU]],'All Skus'!$A:$AC,8,FALSE)),""))</f>
        <v>2000 Watt Powered 2-way system featuring Crown Amplification</v>
      </c>
      <c r="H817" s="8" t="str">
        <f>(IF((VLOOKUP(Table6[[#This Row],[SKU]],'All Skus'!$A:$AC,2,FALSE))="JBL",(VLOOKUP(Table6[[#This Row],[SKU]],'All Skus'!$A:$AC,9,FALSE)),""))</f>
        <v>2000 Watt Powered 2-way system featuring Crown Amplification, network control, and full user configurable DSP. The SRX815P can be used as either a monitor or a main system and features M10 suspension points for easy rigging. Full suite of onboard DSP includes 20 PEQs, 96kHz FIR filters, signal generators, and 2 seconds of delay.</v>
      </c>
      <c r="I817" s="101">
        <f>(IF((VLOOKUP(Table6[[#This Row],[SKU]],'All Skus'!$A:$AC,2,FALSE))="JBL",(VLOOKUP(Table6[[#This Row],[SKU]],'All Skus'!$A:$AC,10,FALSE)),""))</f>
        <v>2230.7199999999998</v>
      </c>
      <c r="J817" s="101">
        <f>(IF((VLOOKUP(Table6[[#This Row],[SKU]],'All Skus'!$A:$AC,2,FALSE))="JBL",(VLOOKUP(Table6[[#This Row],[SKU]],'All Skus'!$A:$AC,11,FALSE)),""))</f>
        <v>1789</v>
      </c>
      <c r="K817" s="102">
        <f>(IF((VLOOKUP(Table6[[#This Row],[SKU]],'All Skus'!$A:$AC,2,FALSE))="JBL",(VLOOKUP(Table6[[#This Row],[SKU]],'All Skus'!$A:$AC,13,FALSE)),""))</f>
        <v>0</v>
      </c>
      <c r="L817" s="102">
        <f>(IF((VLOOKUP(Table6[[#This Row],[SKU]],'All Skus'!$A:$AC,2,FALSE))="JBL",(VLOOKUP(Table6[[#This Row],[SKU]],'All Skus'!$A:$AC,14,FALSE)),""))</f>
        <v>0</v>
      </c>
      <c r="M817" s="143">
        <f>(IF((VLOOKUP(Table6[[#This Row],[SKU]],'All Skus'!$A:$AC,2,FALSE))="JBL",(VLOOKUP(Table6[[#This Row],[SKU]],'All Skus'!$A:$AC,15,FALSE)),""))</f>
        <v>0</v>
      </c>
      <c r="N817" s="137">
        <f>(IF((VLOOKUP(Table6[[#This Row],[SKU]],'All Skus'!$A:$AC,2,FALSE))="JBL",(VLOOKUP(Table6[[#This Row],[SKU]],'All Skus'!$A:$AC,16,FALSE)),""))</f>
        <v>691991000690</v>
      </c>
      <c r="O817" s="61">
        <f>(IF((VLOOKUP(Table6[[#This Row],[SKU]],'All Skus'!$A:$AC,2,FALSE))="JBL",(VLOOKUP(Table6[[#This Row],[SKU]],'All Skus'!$A:$AC,17,FALSE)),""))</f>
        <v>0</v>
      </c>
      <c r="P817" s="136">
        <f>(IF((VLOOKUP(Table6[[#This Row],[SKU]],'All Skus'!$A:$AC,2,FALSE))="JBL",(VLOOKUP(Table6[[#This Row],[SKU]],'All Skus'!$A:$AC,18,FALSE)),""))</f>
        <v>74</v>
      </c>
      <c r="Q817" s="136">
        <f>(IF((VLOOKUP(Table6[[#This Row],[SKU]],'All Skus'!$A:$AC,2,FALSE))="JBL",(VLOOKUP(Table6[[#This Row],[SKU]],'All Skus'!$A:$AC,19,FALSE)),""))</f>
        <v>21</v>
      </c>
      <c r="R817" s="136">
        <f>(IF((VLOOKUP(Table6[[#This Row],[SKU]],'All Skus'!$A:$AC,2,FALSE))="JBL",(VLOOKUP(Table6[[#This Row],[SKU]],'All Skus'!$A:$AC,20,FALSE)),""))</f>
        <v>21</v>
      </c>
      <c r="S817" s="61">
        <f>(IF((VLOOKUP(Table6[[#This Row],[SKU]],'All Skus'!$A:$AC,2,FALSE))="JBL",(VLOOKUP(Table6[[#This Row],[SKU]],'All Skus'!$A:$AC,21,FALSE)),""))</f>
        <v>27</v>
      </c>
      <c r="T817" s="61" t="str">
        <f>(IF((VLOOKUP(Table6[[#This Row],[SKU]],'All Skus'!$A:$AC,2,FALSE))="JBL",(VLOOKUP(Table6[[#This Row],[SKU]],'All Skus'!$A:$AC,22,FALSE)),""))</f>
        <v>MX</v>
      </c>
      <c r="U817" t="str">
        <f>(IF((VLOOKUP(Table6[[#This Row],[SKU]],'All Skus'!$A:$AC,2,FALSE))="JBL",(VLOOKUP(Table6[[#This Row],[SKU]],'All Skus'!$A:$AC,23,FALSE)),""))</f>
        <v>Compliant</v>
      </c>
      <c r="V817" s="284" t="str">
        <f>HYPERLINK((IF((VLOOKUP(Table6[[#This Row],[SKU]],'All Skus'!$A:$AC,2,FALSE))="JBL",(VLOOKUP(Table6[[#This Row],[SKU]],'All Skus'!$A:$AC,24,FALSE)),"")))</f>
        <v>http://www.jblpro.com/www/products/portable-market/srx800-series/srx815p#.VkxlaIRqBJo</v>
      </c>
      <c r="W817" s="151">
        <v>814</v>
      </c>
    </row>
    <row r="818" spans="1:23" ht="15" hidden="1" customHeight="1">
      <c r="A818" s="13" t="s">
        <v>1827</v>
      </c>
      <c r="B818" s="12" t="str">
        <f>(IF((VLOOKUP(Table6[[#This Row],[SKU]],'All Skus'!$A:$AC,2,FALSE))="JBL",(VLOOKUP(Table6[[#This Row],[SKU]],'All Skus'!$A:$AC,3,FALSE)),""))</f>
        <v>SRX SERIES</v>
      </c>
      <c r="C818" s="12" t="str">
        <f>(IF((VLOOKUP(Table6[[#This Row],[SKU]],'All Skus'!$A:$AC,2,FALSE))="JBL",(VLOOKUP(Table6[[#This Row],[SKU]],'All Skus'!$A:$AC,4,FALSE)),""))</f>
        <v>SRX828SP</v>
      </c>
      <c r="D818" s="61" t="str">
        <f>(IF((VLOOKUP(Table6[[#This Row],[SKU]],'All Skus'!$A:$AC,2,FALSE))="JBL",(VLOOKUP(Table6[[#This Row],[SKU]],'All Skus'!$A:$AC,5,FALSE)),""))</f>
        <v>JBL020</v>
      </c>
      <c r="E818" s="137">
        <f>(IF((VLOOKUP(Table6[[#This Row],[SKU]],'All Skus'!$A:$AC,2,FALSE))="JBL",(VLOOKUP(Table6[[#This Row],[SKU]],'All Skus'!$A:$AC,6,FALSE)),""))</f>
        <v>0</v>
      </c>
      <c r="F818" s="61">
        <f>(IF((VLOOKUP(Table6[[#This Row],[SKU]],'All Skus'!$A:$AC,2,FALSE))="JBL",(VLOOKUP(Table6[[#This Row],[SKU]],'All Skus'!$A:$AC,7,FALSE)),""))</f>
        <v>0</v>
      </c>
      <c r="G818" t="str">
        <f>(IF((VLOOKUP(Table6[[#This Row],[SKU]],'All Skus'!$A:$AC,2,FALSE))="JBL",(VLOOKUP(Table6[[#This Row],[SKU]],'All Skus'!$A:$AC,8,FALSE)),""))</f>
        <v>2000 Watt Powered dual 18" subwoofer featuring Crown Amplification</v>
      </c>
      <c r="H818" s="8" t="str">
        <f>(IF((VLOOKUP(Table6[[#This Row],[SKU]],'All Skus'!$A:$AC,2,FALSE))="JBL",(VLOOKUP(Table6[[#This Row],[SKU]],'All Skus'!$A:$AC,9,FALSE)),""))</f>
        <v>2000 Watt Powered dual 18" subwoofer featuring Crown Amplification, network control, and full user configurable DSP. The SRX828SP provides extended low frequency for any system, and features M10 suspension points for easy rigging. Full suite of onboard DSP includes 20 PEQs, 96kHz FIR filters, signal generators, and 2 seconds of delay.</v>
      </c>
      <c r="I818" s="101">
        <f>(IF((VLOOKUP(Table6[[#This Row],[SKU]],'All Skus'!$A:$AC,2,FALSE))="JBL",(VLOOKUP(Table6[[#This Row],[SKU]],'All Skus'!$A:$AC,10,FALSE)),""))</f>
        <v>3173.94</v>
      </c>
      <c r="J818" s="101">
        <f>(IF((VLOOKUP(Table6[[#This Row],[SKU]],'All Skus'!$A:$AC,2,FALSE))="JBL",(VLOOKUP(Table6[[#This Row],[SKU]],'All Skus'!$A:$AC,11,FALSE)),""))</f>
        <v>2539</v>
      </c>
      <c r="K818" s="102">
        <f>(IF((VLOOKUP(Table6[[#This Row],[SKU]],'All Skus'!$A:$AC,2,FALSE))="JBL",(VLOOKUP(Table6[[#This Row],[SKU]],'All Skus'!$A:$AC,13,FALSE)),""))</f>
        <v>0</v>
      </c>
      <c r="L818" s="102">
        <f>(IF((VLOOKUP(Table6[[#This Row],[SKU]],'All Skus'!$A:$AC,2,FALSE))="JBL",(VLOOKUP(Table6[[#This Row],[SKU]],'All Skus'!$A:$AC,14,FALSE)),""))</f>
        <v>0</v>
      </c>
      <c r="M818" s="143">
        <f>(IF((VLOOKUP(Table6[[#This Row],[SKU]],'All Skus'!$A:$AC,2,FALSE))="JBL",(VLOOKUP(Table6[[#This Row],[SKU]],'All Skus'!$A:$AC,15,FALSE)),""))</f>
        <v>0</v>
      </c>
      <c r="N818" s="137">
        <f>(IF((VLOOKUP(Table6[[#This Row],[SKU]],'All Skus'!$A:$AC,2,FALSE))="JBL",(VLOOKUP(Table6[[#This Row],[SKU]],'All Skus'!$A:$AC,16,FALSE)),""))</f>
        <v>691991000751</v>
      </c>
      <c r="O818" s="61">
        <f>(IF((VLOOKUP(Table6[[#This Row],[SKU]],'All Skus'!$A:$AC,2,FALSE))="JBL",(VLOOKUP(Table6[[#This Row],[SKU]],'All Skus'!$A:$AC,17,FALSE)),""))</f>
        <v>0</v>
      </c>
      <c r="P818" s="136">
        <f>(IF((VLOOKUP(Table6[[#This Row],[SKU]],'All Skus'!$A:$AC,2,FALSE))="JBL",(VLOOKUP(Table6[[#This Row],[SKU]],'All Skus'!$A:$AC,18,FALSE)),""))</f>
        <v>172</v>
      </c>
      <c r="Q818" s="136">
        <f>(IF((VLOOKUP(Table6[[#This Row],[SKU]],'All Skus'!$A:$AC,2,FALSE))="JBL",(VLOOKUP(Table6[[#This Row],[SKU]],'All Skus'!$A:$AC,19,FALSE)),""))</f>
        <v>52</v>
      </c>
      <c r="R818" s="136">
        <f>(IF((VLOOKUP(Table6[[#This Row],[SKU]],'All Skus'!$A:$AC,2,FALSE))="JBL",(VLOOKUP(Table6[[#This Row],[SKU]],'All Skus'!$A:$AC,20,FALSE)),""))</f>
        <v>31.75</v>
      </c>
      <c r="S818" s="61">
        <f>(IF((VLOOKUP(Table6[[#This Row],[SKU]],'All Skus'!$A:$AC,2,FALSE))="JBL",(VLOOKUP(Table6[[#This Row],[SKU]],'All Skus'!$A:$AC,21,FALSE)),""))</f>
        <v>24.75</v>
      </c>
      <c r="T818" s="61" t="str">
        <f>(IF((VLOOKUP(Table6[[#This Row],[SKU]],'All Skus'!$A:$AC,2,FALSE))="JBL",(VLOOKUP(Table6[[#This Row],[SKU]],'All Skus'!$A:$AC,22,FALSE)),""))</f>
        <v>MX</v>
      </c>
      <c r="U818">
        <f>(IF((VLOOKUP(Table6[[#This Row],[SKU]],'All Skus'!$A:$AC,2,FALSE))="JBL",(VLOOKUP(Table6[[#This Row],[SKU]],'All Skus'!$A:$AC,23,FALSE)),""))</f>
        <v>0</v>
      </c>
      <c r="V818" s="284" t="str">
        <f>HYPERLINK((IF((VLOOKUP(Table6[[#This Row],[SKU]],'All Skus'!$A:$AC,2,FALSE))="JBL",(VLOOKUP(Table6[[#This Row],[SKU]],'All Skus'!$A:$AC,24,FALSE)),"")))</f>
        <v>http://www.jblpro.com/www/products/portable-market/srx800-series/srx828sp#.VkxmGoRqBJo</v>
      </c>
      <c r="W818" s="151">
        <v>815</v>
      </c>
    </row>
    <row r="819" spans="1:23" ht="15" hidden="1" customHeight="1">
      <c r="A819" s="13" t="s">
        <v>1826</v>
      </c>
      <c r="B819" s="12" t="str">
        <f>(IF((VLOOKUP(Table6[[#This Row],[SKU]],'All Skus'!$A:$AC,2,FALSE))="JBL",(VLOOKUP(Table6[[#This Row],[SKU]],'All Skus'!$A:$AC,3,FALSE)),""))</f>
        <v>SRX SERIES</v>
      </c>
      <c r="C819" s="12" t="str">
        <f>(IF((VLOOKUP(Table6[[#This Row],[SKU]],'All Skus'!$A:$AC,2,FALSE))="JBL",(VLOOKUP(Table6[[#This Row],[SKU]],'All Skus'!$A:$AC,4,FALSE)),""))</f>
        <v>SRX818SP</v>
      </c>
      <c r="D819" s="61" t="str">
        <f>(IF((VLOOKUP(Table6[[#This Row],[SKU]],'All Skus'!$A:$AC,2,FALSE))="JBL",(VLOOKUP(Table6[[#This Row],[SKU]],'All Skus'!$A:$AC,5,FALSE)),""))</f>
        <v>JBL020</v>
      </c>
      <c r="E819" s="137">
        <f>(IF((VLOOKUP(Table6[[#This Row],[SKU]],'All Skus'!$A:$AC,2,FALSE))="JBL",(VLOOKUP(Table6[[#This Row],[SKU]],'All Skus'!$A:$AC,6,FALSE)),""))</f>
        <v>0</v>
      </c>
      <c r="F819" s="61">
        <f>(IF((VLOOKUP(Table6[[#This Row],[SKU]],'All Skus'!$A:$AC,2,FALSE))="JBL",(VLOOKUP(Table6[[#This Row],[SKU]],'All Skus'!$A:$AC,7,FALSE)),""))</f>
        <v>0</v>
      </c>
      <c r="G819" t="str">
        <f>(IF((VLOOKUP(Table6[[#This Row],[SKU]],'All Skus'!$A:$AC,2,FALSE))="JBL",(VLOOKUP(Table6[[#This Row],[SKU]],'All Skus'!$A:$AC,8,FALSE)),""))</f>
        <v>1000 Watt Powered 18" subwoofer featuring Crown Amplification</v>
      </c>
      <c r="H819" s="8" t="str">
        <f>(IF((VLOOKUP(Table6[[#This Row],[SKU]],'All Skus'!$A:$AC,2,FALSE))="JBL",(VLOOKUP(Table6[[#This Row],[SKU]],'All Skus'!$A:$AC,9,FALSE)),""))</f>
        <v>1000 Watt Powered 18" subwoofer featuring Crown Amplification, network control, and full user configurable DSP. The SRX818SP provides extended low frequency for any system, and features M10 suspension points for easy rigging. Full suite of onboard DSP includes 20 PEQs, 96kHz FIR filters, signal generators, and 2 seconds of delay.</v>
      </c>
      <c r="I819" s="101">
        <f>(IF((VLOOKUP(Table6[[#This Row],[SKU]],'All Skus'!$A:$AC,2,FALSE))="JBL",(VLOOKUP(Table6[[#This Row],[SKU]],'All Skus'!$A:$AC,10,FALSE)),""))</f>
        <v>2545.13</v>
      </c>
      <c r="J819" s="101">
        <f>(IF((VLOOKUP(Table6[[#This Row],[SKU]],'All Skus'!$A:$AC,2,FALSE))="JBL",(VLOOKUP(Table6[[#This Row],[SKU]],'All Skus'!$A:$AC,11,FALSE)),""))</f>
        <v>2039</v>
      </c>
      <c r="K819" s="102">
        <f>(IF((VLOOKUP(Table6[[#This Row],[SKU]],'All Skus'!$A:$AC,2,FALSE))="JBL",(VLOOKUP(Table6[[#This Row],[SKU]],'All Skus'!$A:$AC,13,FALSE)),""))</f>
        <v>0</v>
      </c>
      <c r="L819" s="102">
        <f>(IF((VLOOKUP(Table6[[#This Row],[SKU]],'All Skus'!$A:$AC,2,FALSE))="JBL",(VLOOKUP(Table6[[#This Row],[SKU]],'All Skus'!$A:$AC,14,FALSE)),""))</f>
        <v>0</v>
      </c>
      <c r="M819" s="143">
        <f>(IF((VLOOKUP(Table6[[#This Row],[SKU]],'All Skus'!$A:$AC,2,FALSE))="JBL",(VLOOKUP(Table6[[#This Row],[SKU]],'All Skus'!$A:$AC,15,FALSE)),""))</f>
        <v>0</v>
      </c>
      <c r="N819" s="137">
        <f>(IF((VLOOKUP(Table6[[#This Row],[SKU]],'All Skus'!$A:$AC,2,FALSE))="JBL",(VLOOKUP(Table6[[#This Row],[SKU]],'All Skus'!$A:$AC,16,FALSE)),""))</f>
        <v>691991000737</v>
      </c>
      <c r="O819" s="61">
        <f>(IF((VLOOKUP(Table6[[#This Row],[SKU]],'All Skus'!$A:$AC,2,FALSE))="JBL",(VLOOKUP(Table6[[#This Row],[SKU]],'All Skus'!$A:$AC,17,FALSE)),""))</f>
        <v>0</v>
      </c>
      <c r="P819" s="136">
        <f>(IF((VLOOKUP(Table6[[#This Row],[SKU]],'All Skus'!$A:$AC,2,FALSE))="JBL",(VLOOKUP(Table6[[#This Row],[SKU]],'All Skus'!$A:$AC,18,FALSE)),""))</f>
        <v>103</v>
      </c>
      <c r="Q819" s="136">
        <f>(IF((VLOOKUP(Table6[[#This Row],[SKU]],'All Skus'!$A:$AC,2,FALSE))="JBL",(VLOOKUP(Table6[[#This Row],[SKU]],'All Skus'!$A:$AC,19,FALSE)),""))</f>
        <v>25</v>
      </c>
      <c r="R819" s="136">
        <f>(IF((VLOOKUP(Table6[[#This Row],[SKU]],'All Skus'!$A:$AC,2,FALSE))="JBL",(VLOOKUP(Table6[[#This Row],[SKU]],'All Skus'!$A:$AC,20,FALSE)),""))</f>
        <v>32</v>
      </c>
      <c r="S819" s="61">
        <f>(IF((VLOOKUP(Table6[[#This Row],[SKU]],'All Skus'!$A:$AC,2,FALSE))="JBL",(VLOOKUP(Table6[[#This Row],[SKU]],'All Skus'!$A:$AC,21,FALSE)),""))</f>
        <v>32</v>
      </c>
      <c r="T819" s="61" t="str">
        <f>(IF((VLOOKUP(Table6[[#This Row],[SKU]],'All Skus'!$A:$AC,2,FALSE))="JBL",(VLOOKUP(Table6[[#This Row],[SKU]],'All Skus'!$A:$AC,22,FALSE)),""))</f>
        <v>MX</v>
      </c>
      <c r="U819" t="str">
        <f>(IF((VLOOKUP(Table6[[#This Row],[SKU]],'All Skus'!$A:$AC,2,FALSE))="JBL",(VLOOKUP(Table6[[#This Row],[SKU]],'All Skus'!$A:$AC,23,FALSE)),""))</f>
        <v>Compliant</v>
      </c>
      <c r="V819" s="284" t="str">
        <f>HYPERLINK((IF((VLOOKUP(Table6[[#This Row],[SKU]],'All Skus'!$A:$AC,2,FALSE))="JBL",(VLOOKUP(Table6[[#This Row],[SKU]],'All Skus'!$A:$AC,24,FALSE)),"")))</f>
        <v>http://www.jblpro.com/www/products/portable-market/srx800-series/srx818sp#.Vkxl_YRqBJo</v>
      </c>
      <c r="W819" s="151">
        <v>816</v>
      </c>
    </row>
    <row r="820" spans="1:23" ht="15" hidden="1" customHeight="1">
      <c r="A820" s="13" t="s">
        <v>1829</v>
      </c>
      <c r="B820" s="12" t="str">
        <f>(IF((VLOOKUP(Table6[[#This Row],[SKU]],'All Skus'!$A:$AC,2,FALSE))="JBL",(VLOOKUP(Table6[[#This Row],[SKU]],'All Skus'!$A:$AC,3,FALSE)),""))</f>
        <v>SRX SERIES</v>
      </c>
      <c r="C820" s="12" t="str">
        <f>(IF((VLOOKUP(Table6[[#This Row],[SKU]],'All Skus'!$A:$AC,2,FALSE))="JBL",(VLOOKUP(Table6[[#This Row],[SKU]],'All Skus'!$A:$AC,4,FALSE)),""))</f>
        <v>SRX906LA AF</v>
      </c>
      <c r="D820" s="61" t="str">
        <f>(IF((VLOOKUP(Table6[[#This Row],[SKU]],'All Skus'!$A:$AC,2,FALSE))="JBL",(VLOOKUP(Table6[[#This Row],[SKU]],'All Skus'!$A:$AC,5,FALSE)),""))</f>
        <v>JBL020</v>
      </c>
      <c r="E820" s="137">
        <f>(IF((VLOOKUP(Table6[[#This Row],[SKU]],'All Skus'!$A:$AC,2,FALSE))="JBL",(VLOOKUP(Table6[[#This Row],[SKU]],'All Skus'!$A:$AC,6,FALSE)),""))</f>
        <v>0</v>
      </c>
      <c r="F820" s="61" t="str">
        <f>(IF((VLOOKUP(Table6[[#This Row],[SKU]],'All Skus'!$A:$AC,2,FALSE))="JBL",(VLOOKUP(Table6[[#This Row],[SKU]],'All Skus'!$A:$AC,7,FALSE)),""))</f>
        <v>NEW</v>
      </c>
      <c r="G820" t="str">
        <f>(IF((VLOOKUP(Table6[[#This Row],[SKU]],'All Skus'!$A:$AC,2,FALSE))="JBL",(VLOOKUP(Table6[[#This Row],[SKU]],'All Skus'!$A:$AC,8,FALSE)),""))</f>
        <v>Array Frame</v>
      </c>
      <c r="H820" s="8" t="str">
        <f>(IF((VLOOKUP(Table6[[#This Row],[SKU]],'All Skus'!$A:$AC,2,FALSE))="JBL",(VLOOKUP(Table6[[#This Row],[SKU]],'All Skus'!$A:$AC,9,FALSE)),""))</f>
        <v>Array Frame for SRX906LA, support for up to (16) cabinets</v>
      </c>
      <c r="I820" s="101">
        <f>(IF((VLOOKUP(Table6[[#This Row],[SKU]],'All Skus'!$A:$AC,2,FALSE))="JBL",(VLOOKUP(Table6[[#This Row],[SKU]],'All Skus'!$A:$AC,10,FALSE)),""))</f>
        <v>1200</v>
      </c>
      <c r="J820" s="101">
        <f>(IF((VLOOKUP(Table6[[#This Row],[SKU]],'All Skus'!$A:$AC,2,FALSE))="JBL",(VLOOKUP(Table6[[#This Row],[SKU]],'All Skus'!$A:$AC,11,FALSE)),""))</f>
        <v>800</v>
      </c>
      <c r="K820" s="102">
        <f>(IF((VLOOKUP(Table6[[#This Row],[SKU]],'All Skus'!$A:$AC,2,FALSE))="JBL",(VLOOKUP(Table6[[#This Row],[SKU]],'All Skus'!$A:$AC,13,FALSE)),""))</f>
        <v>0</v>
      </c>
      <c r="L820" s="102">
        <f>(IF((VLOOKUP(Table6[[#This Row],[SKU]],'All Skus'!$A:$AC,2,FALSE))="JBL",(VLOOKUP(Table6[[#This Row],[SKU]],'All Skus'!$A:$AC,14,FALSE)),""))</f>
        <v>0</v>
      </c>
      <c r="M820" s="143">
        <f>(IF((VLOOKUP(Table6[[#This Row],[SKU]],'All Skus'!$A:$AC,2,FALSE))="JBL",(VLOOKUP(Table6[[#This Row],[SKU]],'All Skus'!$A:$AC,15,FALSE)),""))</f>
        <v>0</v>
      </c>
      <c r="N820" s="137">
        <f>(IF((VLOOKUP(Table6[[#This Row],[SKU]],'All Skus'!$A:$AC,2,FALSE))="JBL",(VLOOKUP(Table6[[#This Row],[SKU]],'All Skus'!$A:$AC,16,FALSE)),""))</f>
        <v>691991035708</v>
      </c>
      <c r="O820" s="61">
        <f>(IF((VLOOKUP(Table6[[#This Row],[SKU]],'All Skus'!$A:$AC,2,FALSE))="JBL",(VLOOKUP(Table6[[#This Row],[SKU]],'All Skus'!$A:$AC,17,FALSE)),""))</f>
        <v>0</v>
      </c>
      <c r="P820" s="136">
        <f>(IF((VLOOKUP(Table6[[#This Row],[SKU]],'All Skus'!$A:$AC,2,FALSE))="JBL",(VLOOKUP(Table6[[#This Row],[SKU]],'All Skus'!$A:$AC,18,FALSE)),""))</f>
        <v>0</v>
      </c>
      <c r="Q820" s="136">
        <f>(IF((VLOOKUP(Table6[[#This Row],[SKU]],'All Skus'!$A:$AC,2,FALSE))="JBL",(VLOOKUP(Table6[[#This Row],[SKU]],'All Skus'!$A:$AC,19,FALSE)),""))</f>
        <v>0</v>
      </c>
      <c r="R820" s="136">
        <f>(IF((VLOOKUP(Table6[[#This Row],[SKU]],'All Skus'!$A:$AC,2,FALSE))="JBL",(VLOOKUP(Table6[[#This Row],[SKU]],'All Skus'!$A:$AC,20,FALSE)),""))</f>
        <v>0</v>
      </c>
      <c r="S820" s="61">
        <f>(IF((VLOOKUP(Table6[[#This Row],[SKU]],'All Skus'!$A:$AC,2,FALSE))="JBL",(VLOOKUP(Table6[[#This Row],[SKU]],'All Skus'!$A:$AC,21,FALSE)),""))</f>
        <v>0</v>
      </c>
      <c r="T820" s="61" t="str">
        <f>(IF((VLOOKUP(Table6[[#This Row],[SKU]],'All Skus'!$A:$AC,2,FALSE))="JBL",(VLOOKUP(Table6[[#This Row],[SKU]],'All Skus'!$A:$AC,22,FALSE)),""))</f>
        <v>MX</v>
      </c>
      <c r="U820">
        <f>(IF((VLOOKUP(Table6[[#This Row],[SKU]],'All Skus'!$A:$AC,2,FALSE))="JBL",(VLOOKUP(Table6[[#This Row],[SKU]],'All Skus'!$A:$AC,23,FALSE)),""))</f>
        <v>0</v>
      </c>
      <c r="V820" s="284" t="str">
        <f>HYPERLINK((IF((VLOOKUP(Table6[[#This Row],[SKU]],'All Skus'!$A:$AC,2,FALSE))="JBL",(VLOOKUP(Table6[[#This Row],[SKU]],'All Skus'!$A:$AC,24,FALSE)),"")))</f>
        <v/>
      </c>
      <c r="W820" s="151">
        <v>817</v>
      </c>
    </row>
    <row r="821" spans="1:23" ht="15" hidden="1" customHeight="1">
      <c r="A821" s="13" t="s">
        <v>1828</v>
      </c>
      <c r="B821" s="12" t="str">
        <f>(IF((VLOOKUP(Table6[[#This Row],[SKU]],'All Skus'!$A:$AC,2,FALSE))="JBL",(VLOOKUP(Table6[[#This Row],[SKU]],'All Skus'!$A:$AC,3,FALSE)),""))</f>
        <v>SRX SERIES</v>
      </c>
      <c r="C821" s="12" t="str">
        <f>(IF((VLOOKUP(Table6[[#This Row],[SKU]],'All Skus'!$A:$AC,2,FALSE))="JBL",(VLOOKUP(Table6[[#This Row],[SKU]],'All Skus'!$A:$AC,4,FALSE)),""))</f>
        <v>SRX906LA</v>
      </c>
      <c r="D821" s="61" t="str">
        <f>(IF((VLOOKUP(Table6[[#This Row],[SKU]],'All Skus'!$A:$AC,2,FALSE))="JBL",(VLOOKUP(Table6[[#This Row],[SKU]],'All Skus'!$A:$AC,5,FALSE)),""))</f>
        <v>JBL020</v>
      </c>
      <c r="E821" s="137">
        <f>(IF((VLOOKUP(Table6[[#This Row],[SKU]],'All Skus'!$A:$AC,2,FALSE))="JBL",(VLOOKUP(Table6[[#This Row],[SKU]],'All Skus'!$A:$AC,6,FALSE)),""))</f>
        <v>0</v>
      </c>
      <c r="F821" s="61" t="str">
        <f>(IF((VLOOKUP(Table6[[#This Row],[SKU]],'All Skus'!$A:$AC,2,FALSE))="JBL",(VLOOKUP(Table6[[#This Row],[SKU]],'All Skus'!$A:$AC,7,FALSE)),""))</f>
        <v>NEW</v>
      </c>
      <c r="G821" t="str">
        <f>(IF((VLOOKUP(Table6[[#This Row],[SKU]],'All Skus'!$A:$AC,2,FALSE))="JBL",(VLOOKUP(Table6[[#This Row],[SKU]],'All Skus'!$A:$AC,8,FALSE)),""))</f>
        <v>Powered Line Array Speaker</v>
      </c>
      <c r="H821" s="8" t="str">
        <f>(IF((VLOOKUP(Table6[[#This Row],[SKU]],'All Skus'!$A:$AC,2,FALSE))="JBL",(VLOOKUP(Table6[[#This Row],[SKU]],'All Skus'!$A:$AC,9,FALSE)),""))</f>
        <v>Dual 6.5-inch powered line array speaker, 2-way, 120-degree</v>
      </c>
      <c r="I821" s="101">
        <f>(IF((VLOOKUP(Table6[[#This Row],[SKU]],'All Skus'!$A:$AC,2,FALSE))="JBL",(VLOOKUP(Table6[[#This Row],[SKU]],'All Skus'!$A:$AC,10,FALSE)),""))</f>
        <v>3200</v>
      </c>
      <c r="J821" s="101">
        <f>(IF((VLOOKUP(Table6[[#This Row],[SKU]],'All Skus'!$A:$AC,2,FALSE))="JBL",(VLOOKUP(Table6[[#This Row],[SKU]],'All Skus'!$A:$AC,11,FALSE)),""))</f>
        <v>2199</v>
      </c>
      <c r="K821" s="102">
        <f>(IF((VLOOKUP(Table6[[#This Row],[SKU]],'All Skus'!$A:$AC,2,FALSE))="JBL",(VLOOKUP(Table6[[#This Row],[SKU]],'All Skus'!$A:$AC,13,FALSE)),""))</f>
        <v>0</v>
      </c>
      <c r="L821" s="102">
        <f>(IF((VLOOKUP(Table6[[#This Row],[SKU]],'All Skus'!$A:$AC,2,FALSE))="JBL",(VLOOKUP(Table6[[#This Row],[SKU]],'All Skus'!$A:$AC,14,FALSE)),""))</f>
        <v>0</v>
      </c>
      <c r="M821" s="143">
        <f>(IF((VLOOKUP(Table6[[#This Row],[SKU]],'All Skus'!$A:$AC,2,FALSE))="JBL",(VLOOKUP(Table6[[#This Row],[SKU]],'All Skus'!$A:$AC,15,FALSE)),""))</f>
        <v>0</v>
      </c>
      <c r="N821" s="137">
        <f>(IF((VLOOKUP(Table6[[#This Row],[SKU]],'All Skus'!$A:$AC,2,FALSE))="JBL",(VLOOKUP(Table6[[#This Row],[SKU]],'All Skus'!$A:$AC,16,FALSE)),""))</f>
        <v>691991035524</v>
      </c>
      <c r="O821" s="61">
        <f>(IF((VLOOKUP(Table6[[#This Row],[SKU]],'All Skus'!$A:$AC,2,FALSE))="JBL",(VLOOKUP(Table6[[#This Row],[SKU]],'All Skus'!$A:$AC,17,FALSE)),""))</f>
        <v>0</v>
      </c>
      <c r="P821" s="136">
        <f>(IF((VLOOKUP(Table6[[#This Row],[SKU]],'All Skus'!$A:$AC,2,FALSE))="JBL",(VLOOKUP(Table6[[#This Row],[SKU]],'All Skus'!$A:$AC,18,FALSE)),""))</f>
        <v>0</v>
      </c>
      <c r="Q821" s="136">
        <f>(IF((VLOOKUP(Table6[[#This Row],[SKU]],'All Skus'!$A:$AC,2,FALSE))="JBL",(VLOOKUP(Table6[[#This Row],[SKU]],'All Skus'!$A:$AC,19,FALSE)),""))</f>
        <v>0</v>
      </c>
      <c r="R821" s="136">
        <f>(IF((VLOOKUP(Table6[[#This Row],[SKU]],'All Skus'!$A:$AC,2,FALSE))="JBL",(VLOOKUP(Table6[[#This Row],[SKU]],'All Skus'!$A:$AC,20,FALSE)),""))</f>
        <v>0</v>
      </c>
      <c r="S821" s="61">
        <f>(IF((VLOOKUP(Table6[[#This Row],[SKU]],'All Skus'!$A:$AC,2,FALSE))="JBL",(VLOOKUP(Table6[[#This Row],[SKU]],'All Skus'!$A:$AC,21,FALSE)),""))</f>
        <v>0</v>
      </c>
      <c r="T821" s="61" t="str">
        <f>(IF((VLOOKUP(Table6[[#This Row],[SKU]],'All Skus'!$A:$AC,2,FALSE))="JBL",(VLOOKUP(Table6[[#This Row],[SKU]],'All Skus'!$A:$AC,22,FALSE)),""))</f>
        <v>MX</v>
      </c>
      <c r="U821">
        <f>(IF((VLOOKUP(Table6[[#This Row],[SKU]],'All Skus'!$A:$AC,2,FALSE))="JBL",(VLOOKUP(Table6[[#This Row],[SKU]],'All Skus'!$A:$AC,23,FALSE)),""))</f>
        <v>0</v>
      </c>
      <c r="V821" s="284" t="str">
        <f>HYPERLINK((IF((VLOOKUP(Table6[[#This Row],[SKU]],'All Skus'!$A:$AC,2,FALSE))="JBL",(VLOOKUP(Table6[[#This Row],[SKU]],'All Skus'!$A:$AC,24,FALSE)),"")))</f>
        <v/>
      </c>
      <c r="W821" s="151">
        <v>818</v>
      </c>
    </row>
    <row r="822" spans="1:23" ht="15" hidden="1" customHeight="1">
      <c r="A822" s="13" t="s">
        <v>1831</v>
      </c>
      <c r="B822" s="12" t="str">
        <f>(IF((VLOOKUP(Table6[[#This Row],[SKU]],'All Skus'!$A:$AC,2,FALSE))="JBL",(VLOOKUP(Table6[[#This Row],[SKU]],'All Skus'!$A:$AC,3,FALSE)),""))</f>
        <v>SRX SERIES</v>
      </c>
      <c r="C822" s="12" t="str">
        <f>(IF((VLOOKUP(Table6[[#This Row],[SKU]],'All Skus'!$A:$AC,2,FALSE))="JBL",(VLOOKUP(Table6[[#This Row],[SKU]],'All Skus'!$A:$AC,4,FALSE)),""))</f>
        <v>SRX906LA BP</v>
      </c>
      <c r="D822" s="61" t="str">
        <f>(IF((VLOOKUP(Table6[[#This Row],[SKU]],'All Skus'!$A:$AC,2,FALSE))="JBL",(VLOOKUP(Table6[[#This Row],[SKU]],'All Skus'!$A:$AC,5,FALSE)),""))</f>
        <v>JBL020</v>
      </c>
      <c r="E822" s="137">
        <f>(IF((VLOOKUP(Table6[[#This Row],[SKU]],'All Skus'!$A:$AC,2,FALSE))="JBL",(VLOOKUP(Table6[[#This Row],[SKU]],'All Skus'!$A:$AC,6,FALSE)),""))</f>
        <v>0</v>
      </c>
      <c r="F822" s="61" t="str">
        <f>(IF((VLOOKUP(Table6[[#This Row],[SKU]],'All Skus'!$A:$AC,2,FALSE))="JBL",(VLOOKUP(Table6[[#This Row],[SKU]],'All Skus'!$A:$AC,7,FALSE)),""))</f>
        <v>NEW</v>
      </c>
      <c r="G822" t="str">
        <f>(IF((VLOOKUP(Table6[[#This Row],[SKU]],'All Skus'!$A:$AC,2,FALSE))="JBL",(VLOOKUP(Table6[[#This Row],[SKU]],'All Skus'!$A:$AC,8,FALSE)),""))</f>
        <v>Base Plate</v>
      </c>
      <c r="H822" s="8" t="str">
        <f>(IF((VLOOKUP(Table6[[#This Row],[SKU]],'All Skus'!$A:$AC,2,FALSE))="JBL",(VLOOKUP(Table6[[#This Row],[SKU]],'All Skus'!$A:$AC,9,FALSE)),""))</f>
        <v>Base Plate for SRX906LA</v>
      </c>
      <c r="I822" s="101">
        <f>(IF((VLOOKUP(Table6[[#This Row],[SKU]],'All Skus'!$A:$AC,2,FALSE))="JBL",(VLOOKUP(Table6[[#This Row],[SKU]],'All Skus'!$A:$AC,10,FALSE)),""))</f>
        <v>800</v>
      </c>
      <c r="J822" s="101">
        <f>(IF((VLOOKUP(Table6[[#This Row],[SKU]],'All Skus'!$A:$AC,2,FALSE))="JBL",(VLOOKUP(Table6[[#This Row],[SKU]],'All Skus'!$A:$AC,11,FALSE)),""))</f>
        <v>550</v>
      </c>
      <c r="K822" s="102">
        <f>(IF((VLOOKUP(Table6[[#This Row],[SKU]],'All Skus'!$A:$AC,2,FALSE))="JBL",(VLOOKUP(Table6[[#This Row],[SKU]],'All Skus'!$A:$AC,13,FALSE)),""))</f>
        <v>0</v>
      </c>
      <c r="L822" s="102">
        <f>(IF((VLOOKUP(Table6[[#This Row],[SKU]],'All Skus'!$A:$AC,2,FALSE))="JBL",(VLOOKUP(Table6[[#This Row],[SKU]],'All Skus'!$A:$AC,14,FALSE)),""))</f>
        <v>0</v>
      </c>
      <c r="M822" s="143">
        <f>(IF((VLOOKUP(Table6[[#This Row],[SKU]],'All Skus'!$A:$AC,2,FALSE))="JBL",(VLOOKUP(Table6[[#This Row],[SKU]],'All Skus'!$A:$AC,15,FALSE)),""))</f>
        <v>0</v>
      </c>
      <c r="N822" s="137">
        <f>(IF((VLOOKUP(Table6[[#This Row],[SKU]],'All Skus'!$A:$AC,2,FALSE))="JBL",(VLOOKUP(Table6[[#This Row],[SKU]],'All Skus'!$A:$AC,16,FALSE)),""))</f>
        <v>691991035692</v>
      </c>
      <c r="O822" s="61">
        <f>(IF((VLOOKUP(Table6[[#This Row],[SKU]],'All Skus'!$A:$AC,2,FALSE))="JBL",(VLOOKUP(Table6[[#This Row],[SKU]],'All Skus'!$A:$AC,17,FALSE)),""))</f>
        <v>0</v>
      </c>
      <c r="P822" s="136">
        <f>(IF((VLOOKUP(Table6[[#This Row],[SKU]],'All Skus'!$A:$AC,2,FALSE))="JBL",(VLOOKUP(Table6[[#This Row],[SKU]],'All Skus'!$A:$AC,18,FALSE)),""))</f>
        <v>0</v>
      </c>
      <c r="Q822" s="136">
        <f>(IF((VLOOKUP(Table6[[#This Row],[SKU]],'All Skus'!$A:$AC,2,FALSE))="JBL",(VLOOKUP(Table6[[#This Row],[SKU]],'All Skus'!$A:$AC,19,FALSE)),""))</f>
        <v>0</v>
      </c>
      <c r="R822" s="136">
        <f>(IF((VLOOKUP(Table6[[#This Row],[SKU]],'All Skus'!$A:$AC,2,FALSE))="JBL",(VLOOKUP(Table6[[#This Row],[SKU]],'All Skus'!$A:$AC,20,FALSE)),""))</f>
        <v>0</v>
      </c>
      <c r="S822" s="61">
        <f>(IF((VLOOKUP(Table6[[#This Row],[SKU]],'All Skus'!$A:$AC,2,FALSE))="JBL",(VLOOKUP(Table6[[#This Row],[SKU]],'All Skus'!$A:$AC,21,FALSE)),""))</f>
        <v>0</v>
      </c>
      <c r="T822" s="61" t="str">
        <f>(IF((VLOOKUP(Table6[[#This Row],[SKU]],'All Skus'!$A:$AC,2,FALSE))="JBL",(VLOOKUP(Table6[[#This Row],[SKU]],'All Skus'!$A:$AC,22,FALSE)),""))</f>
        <v>MX</v>
      </c>
      <c r="U822">
        <f>(IF((VLOOKUP(Table6[[#This Row],[SKU]],'All Skus'!$A:$AC,2,FALSE))="JBL",(VLOOKUP(Table6[[#This Row],[SKU]],'All Skus'!$A:$AC,23,FALSE)),""))</f>
        <v>0</v>
      </c>
      <c r="V822" s="284" t="str">
        <f>HYPERLINK((IF((VLOOKUP(Table6[[#This Row],[SKU]],'All Skus'!$A:$AC,2,FALSE))="JBL",(VLOOKUP(Table6[[#This Row],[SKU]],'All Skus'!$A:$AC,24,FALSE)),"")))</f>
        <v/>
      </c>
      <c r="W822" s="151">
        <v>819</v>
      </c>
    </row>
    <row r="823" spans="1:23" ht="15" hidden="1" customHeight="1">
      <c r="A823" s="13" t="s">
        <v>1830</v>
      </c>
      <c r="B823" s="12" t="str">
        <f>(IF((VLOOKUP(Table6[[#This Row],[SKU]],'All Skus'!$A:$AC,2,FALSE))="JBL",(VLOOKUP(Table6[[#This Row],[SKU]],'All Skus'!$A:$AC,3,FALSE)),""))</f>
        <v>SRX SERIES</v>
      </c>
      <c r="C823" s="12" t="str">
        <f>(IF((VLOOKUP(Table6[[#This Row],[SKU]],'All Skus'!$A:$AC,2,FALSE))="JBL",(VLOOKUP(Table6[[#This Row],[SKU]],'All Skus'!$A:$AC,4,FALSE)),""))</f>
        <v>SRX906LA CASE</v>
      </c>
      <c r="D823" s="61">
        <f>(IF((VLOOKUP(Table6[[#This Row],[SKU]],'All Skus'!$A:$AC,2,FALSE))="JBL",(VLOOKUP(Table6[[#This Row],[SKU]],'All Skus'!$A:$AC,5,FALSE)),""))</f>
        <v>0</v>
      </c>
      <c r="E823" s="137">
        <f>(IF((VLOOKUP(Table6[[#This Row],[SKU]],'All Skus'!$A:$AC,2,FALSE))="JBL",(VLOOKUP(Table6[[#This Row],[SKU]],'All Skus'!$A:$AC,6,FALSE)),""))</f>
        <v>0</v>
      </c>
      <c r="F823" s="61" t="str">
        <f>(IF((VLOOKUP(Table6[[#This Row],[SKU]],'All Skus'!$A:$AC,2,FALSE))="JBL",(VLOOKUP(Table6[[#This Row],[SKU]],'All Skus'!$A:$AC,7,FALSE)),""))</f>
        <v>NEW</v>
      </c>
      <c r="G823" t="str">
        <f>(IF((VLOOKUP(Table6[[#This Row],[SKU]],'All Skus'!$A:$AC,2,FALSE))="JBL",(VLOOKUP(Table6[[#This Row],[SKU]],'All Skus'!$A:$AC,8,FALSE)),""))</f>
        <v>Flight Case</v>
      </c>
      <c r="H823" s="8" t="str">
        <f>(IF((VLOOKUP(Table6[[#This Row],[SKU]],'All Skus'!$A:$AC,2,FALSE))="JBL",(VLOOKUP(Table6[[#This Row],[SKU]],'All Skus'!$A:$AC,9,FALSE)),""))</f>
        <v>Flight case for (4) SRX906LA</v>
      </c>
      <c r="I823" s="101">
        <f>(IF((VLOOKUP(Table6[[#This Row],[SKU]],'All Skus'!$A:$AC,2,FALSE))="JBL",(VLOOKUP(Table6[[#This Row],[SKU]],'All Skus'!$A:$AC,10,FALSE)),""))</f>
        <v>1400</v>
      </c>
      <c r="J823" s="101">
        <f>(IF((VLOOKUP(Table6[[#This Row],[SKU]],'All Skus'!$A:$AC,2,FALSE))="JBL",(VLOOKUP(Table6[[#This Row],[SKU]],'All Skus'!$A:$AC,11,FALSE)),""))</f>
        <v>960</v>
      </c>
      <c r="K823" s="102">
        <f>(IF((VLOOKUP(Table6[[#This Row],[SKU]],'All Skus'!$A:$AC,2,FALSE))="JBL",(VLOOKUP(Table6[[#This Row],[SKU]],'All Skus'!$A:$AC,13,FALSE)),""))</f>
        <v>0</v>
      </c>
      <c r="L823" s="102">
        <f>(IF((VLOOKUP(Table6[[#This Row],[SKU]],'All Skus'!$A:$AC,2,FALSE))="JBL",(VLOOKUP(Table6[[#This Row],[SKU]],'All Skus'!$A:$AC,14,FALSE)),""))</f>
        <v>0</v>
      </c>
      <c r="M823" s="143">
        <f>(IF((VLOOKUP(Table6[[#This Row],[SKU]],'All Skus'!$A:$AC,2,FALSE))="JBL",(VLOOKUP(Table6[[#This Row],[SKU]],'All Skus'!$A:$AC,15,FALSE)),""))</f>
        <v>0</v>
      </c>
      <c r="N823" s="137">
        <f>(IF((VLOOKUP(Table6[[#This Row],[SKU]],'All Skus'!$A:$AC,2,FALSE))="JBL",(VLOOKUP(Table6[[#This Row],[SKU]],'All Skus'!$A:$AC,16,FALSE)),""))</f>
        <v>691991038488</v>
      </c>
      <c r="O823" s="61">
        <f>(IF((VLOOKUP(Table6[[#This Row],[SKU]],'All Skus'!$A:$AC,2,FALSE))="JBL",(VLOOKUP(Table6[[#This Row],[SKU]],'All Skus'!$A:$AC,17,FALSE)),""))</f>
        <v>0</v>
      </c>
      <c r="P823" s="136">
        <f>(IF((VLOOKUP(Table6[[#This Row],[SKU]],'All Skus'!$A:$AC,2,FALSE))="JBL",(VLOOKUP(Table6[[#This Row],[SKU]],'All Skus'!$A:$AC,18,FALSE)),""))</f>
        <v>0</v>
      </c>
      <c r="Q823" s="136">
        <f>(IF((VLOOKUP(Table6[[#This Row],[SKU]],'All Skus'!$A:$AC,2,FALSE))="JBL",(VLOOKUP(Table6[[#This Row],[SKU]],'All Skus'!$A:$AC,19,FALSE)),""))</f>
        <v>0</v>
      </c>
      <c r="R823" s="136">
        <f>(IF((VLOOKUP(Table6[[#This Row],[SKU]],'All Skus'!$A:$AC,2,FALSE))="JBL",(VLOOKUP(Table6[[#This Row],[SKU]],'All Skus'!$A:$AC,20,FALSE)),""))</f>
        <v>0</v>
      </c>
      <c r="S823" s="61">
        <f>(IF((VLOOKUP(Table6[[#This Row],[SKU]],'All Skus'!$A:$AC,2,FALSE))="JBL",(VLOOKUP(Table6[[#This Row],[SKU]],'All Skus'!$A:$AC,21,FALSE)),""))</f>
        <v>0</v>
      </c>
      <c r="T823" s="61" t="str">
        <f>(IF((VLOOKUP(Table6[[#This Row],[SKU]],'All Skus'!$A:$AC,2,FALSE))="JBL",(VLOOKUP(Table6[[#This Row],[SKU]],'All Skus'!$A:$AC,22,FALSE)),""))</f>
        <v>MX</v>
      </c>
      <c r="U823">
        <f>(IF((VLOOKUP(Table6[[#This Row],[SKU]],'All Skus'!$A:$AC,2,FALSE))="JBL",(VLOOKUP(Table6[[#This Row],[SKU]],'All Skus'!$A:$AC,23,FALSE)),""))</f>
        <v>0</v>
      </c>
      <c r="V823" s="284" t="str">
        <f>HYPERLINK((IF((VLOOKUP(Table6[[#This Row],[SKU]],'All Skus'!$A:$AC,2,FALSE))="JBL",(VLOOKUP(Table6[[#This Row],[SKU]],'All Skus'!$A:$AC,24,FALSE)),"")))</f>
        <v/>
      </c>
      <c r="W823" s="151">
        <v>820</v>
      </c>
    </row>
    <row r="824" spans="1:23" ht="15" hidden="1" customHeight="1">
      <c r="A824" s="13" t="s">
        <v>1833</v>
      </c>
      <c r="B824" s="12" t="str">
        <f>(IF((VLOOKUP(Table6[[#This Row],[SKU]],'All Skus'!$A:$AC,2,FALSE))="JBL",(VLOOKUP(Table6[[#This Row],[SKU]],'All Skus'!$A:$AC,3,FALSE)),""))</f>
        <v>SRX SERIES</v>
      </c>
      <c r="C824" s="12" t="str">
        <f>(IF((VLOOKUP(Table6[[#This Row],[SKU]],'All Skus'!$A:$AC,2,FALSE))="JBL",(VLOOKUP(Table6[[#This Row],[SKU]],'All Skus'!$A:$AC,4,FALSE)),""))</f>
        <v>SRX910LA AF</v>
      </c>
      <c r="D824" s="61" t="str">
        <f>(IF((VLOOKUP(Table6[[#This Row],[SKU]],'All Skus'!$A:$AC,2,FALSE))="JBL",(VLOOKUP(Table6[[#This Row],[SKU]],'All Skus'!$A:$AC,5,FALSE)),""))</f>
        <v>JBL020</v>
      </c>
      <c r="E824" s="137">
        <f>(IF((VLOOKUP(Table6[[#This Row],[SKU]],'All Skus'!$A:$AC,2,FALSE))="JBL",(VLOOKUP(Table6[[#This Row],[SKU]],'All Skus'!$A:$AC,6,FALSE)),""))</f>
        <v>0</v>
      </c>
      <c r="F824" s="61" t="str">
        <f>(IF((VLOOKUP(Table6[[#This Row],[SKU]],'All Skus'!$A:$AC,2,FALSE))="JBL",(VLOOKUP(Table6[[#This Row],[SKU]],'All Skus'!$A:$AC,7,FALSE)),""))</f>
        <v>NEW</v>
      </c>
      <c r="G824" t="str">
        <f>(IF((VLOOKUP(Table6[[#This Row],[SKU]],'All Skus'!$A:$AC,2,FALSE))="JBL",(VLOOKUP(Table6[[#This Row],[SKU]],'All Skus'!$A:$AC,8,FALSE)),""))</f>
        <v>Array Frame</v>
      </c>
      <c r="H824" s="8" t="str">
        <f>(IF((VLOOKUP(Table6[[#This Row],[SKU]],'All Skus'!$A:$AC,2,FALSE))="JBL",(VLOOKUP(Table6[[#This Row],[SKU]],'All Skus'!$A:$AC,9,FALSE)),""))</f>
        <v>Array Frame for SRX910LA, support for up to (16) cabinets</v>
      </c>
      <c r="I824" s="101">
        <f>(IF((VLOOKUP(Table6[[#This Row],[SKU]],'All Skus'!$A:$AC,2,FALSE))="JBL",(VLOOKUP(Table6[[#This Row],[SKU]],'All Skus'!$A:$AC,10,FALSE)),""))</f>
        <v>1600</v>
      </c>
      <c r="J824" s="101">
        <f>(IF((VLOOKUP(Table6[[#This Row],[SKU]],'All Skus'!$A:$AC,2,FALSE))="JBL",(VLOOKUP(Table6[[#This Row],[SKU]],'All Skus'!$A:$AC,11,FALSE)),""))</f>
        <v>1050</v>
      </c>
      <c r="K824" s="102">
        <f>(IF((VLOOKUP(Table6[[#This Row],[SKU]],'All Skus'!$A:$AC,2,FALSE))="JBL",(VLOOKUP(Table6[[#This Row],[SKU]],'All Skus'!$A:$AC,13,FALSE)),""))</f>
        <v>0</v>
      </c>
      <c r="L824" s="102">
        <f>(IF((VLOOKUP(Table6[[#This Row],[SKU]],'All Skus'!$A:$AC,2,FALSE))="JBL",(VLOOKUP(Table6[[#This Row],[SKU]],'All Skus'!$A:$AC,14,FALSE)),""))</f>
        <v>0</v>
      </c>
      <c r="M824" s="143">
        <f>(IF((VLOOKUP(Table6[[#This Row],[SKU]],'All Skus'!$A:$AC,2,FALSE))="JBL",(VLOOKUP(Table6[[#This Row],[SKU]],'All Skus'!$A:$AC,15,FALSE)),""))</f>
        <v>0</v>
      </c>
      <c r="N824" s="137">
        <f>(IF((VLOOKUP(Table6[[#This Row],[SKU]],'All Skus'!$A:$AC,2,FALSE))="JBL",(VLOOKUP(Table6[[#This Row],[SKU]],'All Skus'!$A:$AC,16,FALSE)),""))</f>
        <v>691991035678</v>
      </c>
      <c r="O824" s="61">
        <f>(IF((VLOOKUP(Table6[[#This Row],[SKU]],'All Skus'!$A:$AC,2,FALSE))="JBL",(VLOOKUP(Table6[[#This Row],[SKU]],'All Skus'!$A:$AC,17,FALSE)),""))</f>
        <v>0</v>
      </c>
      <c r="P824" s="136">
        <f>(IF((VLOOKUP(Table6[[#This Row],[SKU]],'All Skus'!$A:$AC,2,FALSE))="JBL",(VLOOKUP(Table6[[#This Row],[SKU]],'All Skus'!$A:$AC,18,FALSE)),""))</f>
        <v>0</v>
      </c>
      <c r="Q824" s="136">
        <f>(IF((VLOOKUP(Table6[[#This Row],[SKU]],'All Skus'!$A:$AC,2,FALSE))="JBL",(VLOOKUP(Table6[[#This Row],[SKU]],'All Skus'!$A:$AC,19,FALSE)),""))</f>
        <v>0</v>
      </c>
      <c r="R824" s="136">
        <f>(IF((VLOOKUP(Table6[[#This Row],[SKU]],'All Skus'!$A:$AC,2,FALSE))="JBL",(VLOOKUP(Table6[[#This Row],[SKU]],'All Skus'!$A:$AC,20,FALSE)),""))</f>
        <v>0</v>
      </c>
      <c r="S824" s="61">
        <f>(IF((VLOOKUP(Table6[[#This Row],[SKU]],'All Skus'!$A:$AC,2,FALSE))="JBL",(VLOOKUP(Table6[[#This Row],[SKU]],'All Skus'!$A:$AC,21,FALSE)),""))</f>
        <v>0</v>
      </c>
      <c r="T824" s="61" t="str">
        <f>(IF((VLOOKUP(Table6[[#This Row],[SKU]],'All Skus'!$A:$AC,2,FALSE))="JBL",(VLOOKUP(Table6[[#This Row],[SKU]],'All Skus'!$A:$AC,22,FALSE)),""))</f>
        <v>MX</v>
      </c>
      <c r="U824">
        <f>(IF((VLOOKUP(Table6[[#This Row],[SKU]],'All Skus'!$A:$AC,2,FALSE))="JBL",(VLOOKUP(Table6[[#This Row],[SKU]],'All Skus'!$A:$AC,23,FALSE)),""))</f>
        <v>0</v>
      </c>
      <c r="V824" s="284" t="str">
        <f>HYPERLINK((IF((VLOOKUP(Table6[[#This Row],[SKU]],'All Skus'!$A:$AC,2,FALSE))="JBL",(VLOOKUP(Table6[[#This Row],[SKU]],'All Skus'!$A:$AC,24,FALSE)),"")))</f>
        <v/>
      </c>
      <c r="W824" s="151">
        <v>821</v>
      </c>
    </row>
    <row r="825" spans="1:23" ht="15" hidden="1" customHeight="1">
      <c r="A825" s="13" t="s">
        <v>1832</v>
      </c>
      <c r="B825" s="12" t="str">
        <f>(IF((VLOOKUP(Table6[[#This Row],[SKU]],'All Skus'!$A:$AC,2,FALSE))="JBL",(VLOOKUP(Table6[[#This Row],[SKU]],'All Skus'!$A:$AC,3,FALSE)),""))</f>
        <v>SRX SERIES</v>
      </c>
      <c r="C825" s="12" t="str">
        <f>(IF((VLOOKUP(Table6[[#This Row],[SKU]],'All Skus'!$A:$AC,2,FALSE))="JBL",(VLOOKUP(Table6[[#This Row],[SKU]],'All Skus'!$A:$AC,4,FALSE)),""))</f>
        <v>SRX910LA</v>
      </c>
      <c r="D825" s="61" t="str">
        <f>(IF((VLOOKUP(Table6[[#This Row],[SKU]],'All Skus'!$A:$AC,2,FALSE))="JBL",(VLOOKUP(Table6[[#This Row],[SKU]],'All Skus'!$A:$AC,5,FALSE)),""))</f>
        <v>JBL020</v>
      </c>
      <c r="E825" s="137">
        <f>(IF((VLOOKUP(Table6[[#This Row],[SKU]],'All Skus'!$A:$AC,2,FALSE))="JBL",(VLOOKUP(Table6[[#This Row],[SKU]],'All Skus'!$A:$AC,6,FALSE)),""))</f>
        <v>0</v>
      </c>
      <c r="F825" s="61" t="str">
        <f>(IF((VLOOKUP(Table6[[#This Row],[SKU]],'All Skus'!$A:$AC,2,FALSE))="JBL",(VLOOKUP(Table6[[#This Row],[SKU]],'All Skus'!$A:$AC,7,FALSE)),""))</f>
        <v>NEW</v>
      </c>
      <c r="G825" t="str">
        <f>(IF((VLOOKUP(Table6[[#This Row],[SKU]],'All Skus'!$A:$AC,2,FALSE))="JBL",(VLOOKUP(Table6[[#This Row],[SKU]],'All Skus'!$A:$AC,8,FALSE)),""))</f>
        <v>Powered Line Array Speaker</v>
      </c>
      <c r="H825" s="8" t="str">
        <f>(IF((VLOOKUP(Table6[[#This Row],[SKU]],'All Skus'!$A:$AC,2,FALSE))="JBL",(VLOOKUP(Table6[[#This Row],[SKU]],'All Skus'!$A:$AC,9,FALSE)),""))</f>
        <v>Dual 10-inch powered line array speaker, 2-way, 105-degree</v>
      </c>
      <c r="I825" s="101">
        <f>(IF((VLOOKUP(Table6[[#This Row],[SKU]],'All Skus'!$A:$AC,2,FALSE))="JBL",(VLOOKUP(Table6[[#This Row],[SKU]],'All Skus'!$A:$AC,10,FALSE)),""))</f>
        <v>5300</v>
      </c>
      <c r="J825" s="101">
        <f>(IF((VLOOKUP(Table6[[#This Row],[SKU]],'All Skus'!$A:$AC,2,FALSE))="JBL",(VLOOKUP(Table6[[#This Row],[SKU]],'All Skus'!$A:$AC,11,FALSE)),""))</f>
        <v>3699</v>
      </c>
      <c r="K825" s="102">
        <f>(IF((VLOOKUP(Table6[[#This Row],[SKU]],'All Skus'!$A:$AC,2,FALSE))="JBL",(VLOOKUP(Table6[[#This Row],[SKU]],'All Skus'!$A:$AC,13,FALSE)),""))</f>
        <v>0</v>
      </c>
      <c r="L825" s="102">
        <f>(IF((VLOOKUP(Table6[[#This Row],[SKU]],'All Skus'!$A:$AC,2,FALSE))="JBL",(VLOOKUP(Table6[[#This Row],[SKU]],'All Skus'!$A:$AC,14,FALSE)),""))</f>
        <v>0</v>
      </c>
      <c r="M825" s="143">
        <f>(IF((VLOOKUP(Table6[[#This Row],[SKU]],'All Skus'!$A:$AC,2,FALSE))="JBL",(VLOOKUP(Table6[[#This Row],[SKU]],'All Skus'!$A:$AC,15,FALSE)),""))</f>
        <v>0</v>
      </c>
      <c r="N825" s="137">
        <f>(IF((VLOOKUP(Table6[[#This Row],[SKU]],'All Skus'!$A:$AC,2,FALSE))="JBL",(VLOOKUP(Table6[[#This Row],[SKU]],'All Skus'!$A:$AC,16,FALSE)),""))</f>
        <v>691991035685</v>
      </c>
      <c r="O825" s="61">
        <f>(IF((VLOOKUP(Table6[[#This Row],[SKU]],'All Skus'!$A:$AC,2,FALSE))="JBL",(VLOOKUP(Table6[[#This Row],[SKU]],'All Skus'!$A:$AC,17,FALSE)),""))</f>
        <v>0</v>
      </c>
      <c r="P825" s="136">
        <f>(IF((VLOOKUP(Table6[[#This Row],[SKU]],'All Skus'!$A:$AC,2,FALSE))="JBL",(VLOOKUP(Table6[[#This Row],[SKU]],'All Skus'!$A:$AC,18,FALSE)),""))</f>
        <v>0</v>
      </c>
      <c r="Q825" s="136">
        <f>(IF((VLOOKUP(Table6[[#This Row],[SKU]],'All Skus'!$A:$AC,2,FALSE))="JBL",(VLOOKUP(Table6[[#This Row],[SKU]],'All Skus'!$A:$AC,19,FALSE)),""))</f>
        <v>0</v>
      </c>
      <c r="R825" s="136">
        <f>(IF((VLOOKUP(Table6[[#This Row],[SKU]],'All Skus'!$A:$AC,2,FALSE))="JBL",(VLOOKUP(Table6[[#This Row],[SKU]],'All Skus'!$A:$AC,20,FALSE)),""))</f>
        <v>0</v>
      </c>
      <c r="S825" s="61">
        <f>(IF((VLOOKUP(Table6[[#This Row],[SKU]],'All Skus'!$A:$AC,2,FALSE))="JBL",(VLOOKUP(Table6[[#This Row],[SKU]],'All Skus'!$A:$AC,21,FALSE)),""))</f>
        <v>0</v>
      </c>
      <c r="T825" s="61" t="str">
        <f>(IF((VLOOKUP(Table6[[#This Row],[SKU]],'All Skus'!$A:$AC,2,FALSE))="JBL",(VLOOKUP(Table6[[#This Row],[SKU]],'All Skus'!$A:$AC,22,FALSE)),""))</f>
        <v>MX</v>
      </c>
      <c r="U825">
        <f>(IF((VLOOKUP(Table6[[#This Row],[SKU]],'All Skus'!$A:$AC,2,FALSE))="JBL",(VLOOKUP(Table6[[#This Row],[SKU]],'All Skus'!$A:$AC,23,FALSE)),""))</f>
        <v>0</v>
      </c>
      <c r="V825" s="284" t="str">
        <f>HYPERLINK((IF((VLOOKUP(Table6[[#This Row],[SKU]],'All Skus'!$A:$AC,2,FALSE))="JBL",(VLOOKUP(Table6[[#This Row],[SKU]],'All Skus'!$A:$AC,24,FALSE)),"")))</f>
        <v/>
      </c>
      <c r="W825" s="151">
        <v>822</v>
      </c>
    </row>
    <row r="826" spans="1:23" ht="15" hidden="1" customHeight="1">
      <c r="A826" s="13" t="s">
        <v>1835</v>
      </c>
      <c r="B826" s="12" t="str">
        <f>(IF((VLOOKUP(Table6[[#This Row],[SKU]],'All Skus'!$A:$AC,2,FALSE))="JBL",(VLOOKUP(Table6[[#This Row],[SKU]],'All Skus'!$A:$AC,3,FALSE)),""))</f>
        <v>SRX SERIES</v>
      </c>
      <c r="C826" s="12" t="str">
        <f>(IF((VLOOKUP(Table6[[#This Row],[SKU]],'All Skus'!$A:$AC,2,FALSE))="JBL",(VLOOKUP(Table6[[#This Row],[SKU]],'All Skus'!$A:$AC,4,FALSE)),""))</f>
        <v>SRX910LA VT CVR</v>
      </c>
      <c r="D826" s="61" t="str">
        <f>(IF((VLOOKUP(Table6[[#This Row],[SKU]],'All Skus'!$A:$AC,2,FALSE))="JBL",(VLOOKUP(Table6[[#This Row],[SKU]],'All Skus'!$A:$AC,5,FALSE)),""))</f>
        <v>JBL020</v>
      </c>
      <c r="E826" s="137">
        <f>(IF((VLOOKUP(Table6[[#This Row],[SKU]],'All Skus'!$A:$AC,2,FALSE))="JBL",(VLOOKUP(Table6[[#This Row],[SKU]],'All Skus'!$A:$AC,6,FALSE)),""))</f>
        <v>0</v>
      </c>
      <c r="F826" s="61" t="str">
        <f>(IF((VLOOKUP(Table6[[#This Row],[SKU]],'All Skus'!$A:$AC,2,FALSE))="JBL",(VLOOKUP(Table6[[#This Row],[SKU]],'All Skus'!$A:$AC,7,FALSE)),""))</f>
        <v>NEW</v>
      </c>
      <c r="G826" t="str">
        <f>(IF((VLOOKUP(Table6[[#This Row],[SKU]],'All Skus'!$A:$AC,2,FALSE))="JBL",(VLOOKUP(Table6[[#This Row],[SKU]],'All Skus'!$A:$AC,8,FALSE)),""))</f>
        <v>Vertical Transporter Cover</v>
      </c>
      <c r="H826" s="8" t="str">
        <f>(IF((VLOOKUP(Table6[[#This Row],[SKU]],'All Skus'!$A:$AC,2,FALSE))="JBL",(VLOOKUP(Table6[[#This Row],[SKU]],'All Skus'!$A:$AC,9,FALSE)),""))</f>
        <v>Vertical Transporter Cover for (4) SRX910LA</v>
      </c>
      <c r="I826" s="101">
        <f>(IF((VLOOKUP(Table6[[#This Row],[SKU]],'All Skus'!$A:$AC,2,FALSE))="JBL",(VLOOKUP(Table6[[#This Row],[SKU]],'All Skus'!$A:$AC,10,FALSE)),""))</f>
        <v>400</v>
      </c>
      <c r="J826" s="101">
        <f>(IF((VLOOKUP(Table6[[#This Row],[SKU]],'All Skus'!$A:$AC,2,FALSE))="JBL",(VLOOKUP(Table6[[#This Row],[SKU]],'All Skus'!$A:$AC,11,FALSE)),""))</f>
        <v>270</v>
      </c>
      <c r="K826" s="102">
        <f>(IF((VLOOKUP(Table6[[#This Row],[SKU]],'All Skus'!$A:$AC,2,FALSE))="JBL",(VLOOKUP(Table6[[#This Row],[SKU]],'All Skus'!$A:$AC,13,FALSE)),""))</f>
        <v>0</v>
      </c>
      <c r="L826" s="102">
        <f>(IF((VLOOKUP(Table6[[#This Row],[SKU]],'All Skus'!$A:$AC,2,FALSE))="JBL",(VLOOKUP(Table6[[#This Row],[SKU]],'All Skus'!$A:$AC,14,FALSE)),""))</f>
        <v>0</v>
      </c>
      <c r="M826" s="143">
        <f>(IF((VLOOKUP(Table6[[#This Row],[SKU]],'All Skus'!$A:$AC,2,FALSE))="JBL",(VLOOKUP(Table6[[#This Row],[SKU]],'All Skus'!$A:$AC,15,FALSE)),""))</f>
        <v>0</v>
      </c>
      <c r="N826" s="137">
        <f>(IF((VLOOKUP(Table6[[#This Row],[SKU]],'All Skus'!$A:$AC,2,FALSE))="JBL",(VLOOKUP(Table6[[#This Row],[SKU]],'All Skus'!$A:$AC,16,FALSE)),""))</f>
        <v>691991035654</v>
      </c>
      <c r="O826" s="61">
        <f>(IF((VLOOKUP(Table6[[#This Row],[SKU]],'All Skus'!$A:$AC,2,FALSE))="JBL",(VLOOKUP(Table6[[#This Row],[SKU]],'All Skus'!$A:$AC,17,FALSE)),""))</f>
        <v>0</v>
      </c>
      <c r="P826" s="136">
        <f>(IF((VLOOKUP(Table6[[#This Row],[SKU]],'All Skus'!$A:$AC,2,FALSE))="JBL",(VLOOKUP(Table6[[#This Row],[SKU]],'All Skus'!$A:$AC,18,FALSE)),""))</f>
        <v>0</v>
      </c>
      <c r="Q826" s="136">
        <f>(IF((VLOOKUP(Table6[[#This Row],[SKU]],'All Skus'!$A:$AC,2,FALSE))="JBL",(VLOOKUP(Table6[[#This Row],[SKU]],'All Skus'!$A:$AC,19,FALSE)),""))</f>
        <v>0</v>
      </c>
      <c r="R826" s="136">
        <f>(IF((VLOOKUP(Table6[[#This Row],[SKU]],'All Skus'!$A:$AC,2,FALSE))="JBL",(VLOOKUP(Table6[[#This Row],[SKU]],'All Skus'!$A:$AC,20,FALSE)),""))</f>
        <v>0</v>
      </c>
      <c r="S826" s="61">
        <f>(IF((VLOOKUP(Table6[[#This Row],[SKU]],'All Skus'!$A:$AC,2,FALSE))="JBL",(VLOOKUP(Table6[[#This Row],[SKU]],'All Skus'!$A:$AC,21,FALSE)),""))</f>
        <v>0</v>
      </c>
      <c r="T826" s="61" t="str">
        <f>(IF((VLOOKUP(Table6[[#This Row],[SKU]],'All Skus'!$A:$AC,2,FALSE))="JBL",(VLOOKUP(Table6[[#This Row],[SKU]],'All Skus'!$A:$AC,22,FALSE)),""))</f>
        <v>CN</v>
      </c>
      <c r="U826" t="str">
        <f>(IF((VLOOKUP(Table6[[#This Row],[SKU]],'All Skus'!$A:$AC,2,FALSE))="JBL",(VLOOKUP(Table6[[#This Row],[SKU]],'All Skus'!$A:$AC,23,FALSE)),""))</f>
        <v>Non Compliant</v>
      </c>
      <c r="V826" s="284" t="str">
        <f>HYPERLINK((IF((VLOOKUP(Table6[[#This Row],[SKU]],'All Skus'!$A:$AC,2,FALSE))="JBL",(VLOOKUP(Table6[[#This Row],[SKU]],'All Skus'!$A:$AC,24,FALSE)),"")))</f>
        <v/>
      </c>
      <c r="W826" s="151">
        <v>823</v>
      </c>
    </row>
    <row r="827" spans="1:23" ht="15" hidden="1" customHeight="1">
      <c r="A827" s="13" t="s">
        <v>1834</v>
      </c>
      <c r="B827" s="12" t="str">
        <f>(IF((VLOOKUP(Table6[[#This Row],[SKU]],'All Skus'!$A:$AC,2,FALSE))="JBL",(VLOOKUP(Table6[[#This Row],[SKU]],'All Skus'!$A:$AC,3,FALSE)),""))</f>
        <v>SRX SERIES</v>
      </c>
      <c r="C827" s="12" t="str">
        <f>(IF((VLOOKUP(Table6[[#This Row],[SKU]],'All Skus'!$A:$AC,2,FALSE))="JBL",(VLOOKUP(Table6[[#This Row],[SKU]],'All Skus'!$A:$AC,4,FALSE)),""))</f>
        <v>SRX910LA VT</v>
      </c>
      <c r="D827" s="61" t="str">
        <f>(IF((VLOOKUP(Table6[[#This Row],[SKU]],'All Skus'!$A:$AC,2,FALSE))="JBL",(VLOOKUP(Table6[[#This Row],[SKU]],'All Skus'!$A:$AC,5,FALSE)),""))</f>
        <v>JBL020</v>
      </c>
      <c r="E827" s="137">
        <f>(IF((VLOOKUP(Table6[[#This Row],[SKU]],'All Skus'!$A:$AC,2,FALSE))="JBL",(VLOOKUP(Table6[[#This Row],[SKU]],'All Skus'!$A:$AC,6,FALSE)),""))</f>
        <v>0</v>
      </c>
      <c r="F827" s="61" t="str">
        <f>(IF((VLOOKUP(Table6[[#This Row],[SKU]],'All Skus'!$A:$AC,2,FALSE))="JBL",(VLOOKUP(Table6[[#This Row],[SKU]],'All Skus'!$A:$AC,7,FALSE)),""))</f>
        <v>NEW</v>
      </c>
      <c r="G827" t="str">
        <f>(IF((VLOOKUP(Table6[[#This Row],[SKU]],'All Skus'!$A:$AC,2,FALSE))="JBL",(VLOOKUP(Table6[[#This Row],[SKU]],'All Skus'!$A:$AC,8,FALSE)),""))</f>
        <v>Vertical Transporter</v>
      </c>
      <c r="H827" s="8" t="str">
        <f>(IF((VLOOKUP(Table6[[#This Row],[SKU]],'All Skus'!$A:$AC,2,FALSE))="JBL",(VLOOKUP(Table6[[#This Row],[SKU]],'All Skus'!$A:$AC,9,FALSE)),""))</f>
        <v>Vertical Transporter for (4) SRX910LA</v>
      </c>
      <c r="I827" s="101">
        <f>(IF((VLOOKUP(Table6[[#This Row],[SKU]],'All Skus'!$A:$AC,2,FALSE))="JBL",(VLOOKUP(Table6[[#This Row],[SKU]],'All Skus'!$A:$AC,10,FALSE)),""))</f>
        <v>1300</v>
      </c>
      <c r="J827" s="101">
        <f>(IF((VLOOKUP(Table6[[#This Row],[SKU]],'All Skus'!$A:$AC,2,FALSE))="JBL",(VLOOKUP(Table6[[#This Row],[SKU]],'All Skus'!$A:$AC,11,FALSE)),""))</f>
        <v>800</v>
      </c>
      <c r="K827" s="102">
        <f>(IF((VLOOKUP(Table6[[#This Row],[SKU]],'All Skus'!$A:$AC,2,FALSE))="JBL",(VLOOKUP(Table6[[#This Row],[SKU]],'All Skus'!$A:$AC,13,FALSE)),""))</f>
        <v>0</v>
      </c>
      <c r="L827" s="102">
        <f>(IF((VLOOKUP(Table6[[#This Row],[SKU]],'All Skus'!$A:$AC,2,FALSE))="JBL",(VLOOKUP(Table6[[#This Row],[SKU]],'All Skus'!$A:$AC,14,FALSE)),""))</f>
        <v>0</v>
      </c>
      <c r="M827" s="143">
        <f>(IF((VLOOKUP(Table6[[#This Row],[SKU]],'All Skus'!$A:$AC,2,FALSE))="JBL",(VLOOKUP(Table6[[#This Row],[SKU]],'All Skus'!$A:$AC,15,FALSE)),""))</f>
        <v>0</v>
      </c>
      <c r="N827" s="137">
        <f>(IF((VLOOKUP(Table6[[#This Row],[SKU]],'All Skus'!$A:$AC,2,FALSE))="JBL",(VLOOKUP(Table6[[#This Row],[SKU]],'All Skus'!$A:$AC,16,FALSE)),""))</f>
        <v>691991035661</v>
      </c>
      <c r="O827" s="61">
        <f>(IF((VLOOKUP(Table6[[#This Row],[SKU]],'All Skus'!$A:$AC,2,FALSE))="JBL",(VLOOKUP(Table6[[#This Row],[SKU]],'All Skus'!$A:$AC,17,FALSE)),""))</f>
        <v>0</v>
      </c>
      <c r="P827" s="136">
        <f>(IF((VLOOKUP(Table6[[#This Row],[SKU]],'All Skus'!$A:$AC,2,FALSE))="JBL",(VLOOKUP(Table6[[#This Row],[SKU]],'All Skus'!$A:$AC,18,FALSE)),""))</f>
        <v>0</v>
      </c>
      <c r="Q827" s="136">
        <f>(IF((VLOOKUP(Table6[[#This Row],[SKU]],'All Skus'!$A:$AC,2,FALSE))="JBL",(VLOOKUP(Table6[[#This Row],[SKU]],'All Skus'!$A:$AC,19,FALSE)),""))</f>
        <v>0</v>
      </c>
      <c r="R827" s="136">
        <f>(IF((VLOOKUP(Table6[[#This Row],[SKU]],'All Skus'!$A:$AC,2,FALSE))="JBL",(VLOOKUP(Table6[[#This Row],[SKU]],'All Skus'!$A:$AC,20,FALSE)),""))</f>
        <v>0</v>
      </c>
      <c r="S827" s="61">
        <f>(IF((VLOOKUP(Table6[[#This Row],[SKU]],'All Skus'!$A:$AC,2,FALSE))="JBL",(VLOOKUP(Table6[[#This Row],[SKU]],'All Skus'!$A:$AC,21,FALSE)),""))</f>
        <v>0</v>
      </c>
      <c r="T827" s="61" t="str">
        <f>(IF((VLOOKUP(Table6[[#This Row],[SKU]],'All Skus'!$A:$AC,2,FALSE))="JBL",(VLOOKUP(Table6[[#This Row],[SKU]],'All Skus'!$A:$AC,22,FALSE)),""))</f>
        <v>MX</v>
      </c>
      <c r="U827">
        <f>(IF((VLOOKUP(Table6[[#This Row],[SKU]],'All Skus'!$A:$AC,2,FALSE))="JBL",(VLOOKUP(Table6[[#This Row],[SKU]],'All Skus'!$A:$AC,23,FALSE)),""))</f>
        <v>0</v>
      </c>
      <c r="V827" s="284" t="str">
        <f>HYPERLINK((IF((VLOOKUP(Table6[[#This Row],[SKU]],'All Skus'!$A:$AC,2,FALSE))="JBL",(VLOOKUP(Table6[[#This Row],[SKU]],'All Skus'!$A:$AC,24,FALSE)),"")))</f>
        <v/>
      </c>
      <c r="W827" s="151">
        <v>824</v>
      </c>
    </row>
    <row r="828" spans="1:23" ht="14.25" hidden="1" customHeight="1">
      <c r="A828" s="13" t="s">
        <v>1837</v>
      </c>
      <c r="B828" s="12" t="str">
        <f>(IF((VLOOKUP(Table6[[#This Row],[SKU]],'All Skus'!$A:$AC,2,FALSE))="JBL",(VLOOKUP(Table6[[#This Row],[SKU]],'All Skus'!$A:$AC,3,FALSE)),""))</f>
        <v>SRX SERIES</v>
      </c>
      <c r="C828" s="12" t="str">
        <f>(IF((VLOOKUP(Table6[[#This Row],[SKU]],'All Skus'!$A:$AC,2,FALSE))="JBL",(VLOOKUP(Table6[[#This Row],[SKU]],'All Skus'!$A:$AC,4,FALSE)),""))</f>
        <v>SRX900 RC1</v>
      </c>
      <c r="D828" s="61" t="str">
        <f>(IF((VLOOKUP(Table6[[#This Row],[SKU]],'All Skus'!$A:$AC,2,FALSE))="JBL",(VLOOKUP(Table6[[#This Row],[SKU]],'All Skus'!$A:$AC,5,FALSE)),""))</f>
        <v>JBL020</v>
      </c>
      <c r="E828" s="137">
        <f>(IF((VLOOKUP(Table6[[#This Row],[SKU]],'All Skus'!$A:$AC,2,FALSE))="JBL",(VLOOKUP(Table6[[#This Row],[SKU]],'All Skus'!$A:$AC,6,FALSE)),""))</f>
        <v>0</v>
      </c>
      <c r="F828" s="61" t="str">
        <f>(IF((VLOOKUP(Table6[[#This Row],[SKU]],'All Skus'!$A:$AC,2,FALSE))="JBL",(VLOOKUP(Table6[[#This Row],[SKU]],'All Skus'!$A:$AC,7,FALSE)),""))</f>
        <v>NEW</v>
      </c>
      <c r="G828" t="str">
        <f>(IF((VLOOKUP(Table6[[#This Row],[SKU]],'All Skus'!$A:$AC,2,FALSE))="JBL",(VLOOKUP(Table6[[#This Row],[SKU]],'All Skus'!$A:$AC,8,FALSE)),""))</f>
        <v>Rain Cover</v>
      </c>
      <c r="H828" s="8" t="str">
        <f>(IF((VLOOKUP(Table6[[#This Row],[SKU]],'All Skus'!$A:$AC,2,FALSE))="JBL",(VLOOKUP(Table6[[#This Row],[SKU]],'All Skus'!$A:$AC,9,FALSE)),""))</f>
        <v>SRX900 Rain Cover, compatible with all models</v>
      </c>
      <c r="I828" s="101">
        <f>(IF((VLOOKUP(Table6[[#This Row],[SKU]],'All Skus'!$A:$AC,2,FALSE))="JBL",(VLOOKUP(Table6[[#This Row],[SKU]],'All Skus'!$A:$AC,10,FALSE)),""))</f>
        <v>60</v>
      </c>
      <c r="J828" s="101">
        <f>(IF((VLOOKUP(Table6[[#This Row],[SKU]],'All Skus'!$A:$AC,2,FALSE))="JBL",(VLOOKUP(Table6[[#This Row],[SKU]],'All Skus'!$A:$AC,11,FALSE)),""))</f>
        <v>40</v>
      </c>
      <c r="K828" s="102">
        <f>(IF((VLOOKUP(Table6[[#This Row],[SKU]],'All Skus'!$A:$AC,2,FALSE))="JBL",(VLOOKUP(Table6[[#This Row],[SKU]],'All Skus'!$A:$AC,13,FALSE)),""))</f>
        <v>0</v>
      </c>
      <c r="L828" s="102">
        <f>(IF((VLOOKUP(Table6[[#This Row],[SKU]],'All Skus'!$A:$AC,2,FALSE))="JBL",(VLOOKUP(Table6[[#This Row],[SKU]],'All Skus'!$A:$AC,14,FALSE)),""))</f>
        <v>0</v>
      </c>
      <c r="M828" s="143">
        <f>(IF((VLOOKUP(Table6[[#This Row],[SKU]],'All Skus'!$A:$AC,2,FALSE))="JBL",(VLOOKUP(Table6[[#This Row],[SKU]],'All Skus'!$A:$AC,15,FALSE)),""))</f>
        <v>0</v>
      </c>
      <c r="N828" s="137">
        <f>(IF((VLOOKUP(Table6[[#This Row],[SKU]],'All Skus'!$A:$AC,2,FALSE))="JBL",(VLOOKUP(Table6[[#This Row],[SKU]],'All Skus'!$A:$AC,16,FALSE)),""))</f>
        <v>691991035623</v>
      </c>
      <c r="O828" s="61">
        <f>(IF((VLOOKUP(Table6[[#This Row],[SKU]],'All Skus'!$A:$AC,2,FALSE))="JBL",(VLOOKUP(Table6[[#This Row],[SKU]],'All Skus'!$A:$AC,17,FALSE)),""))</f>
        <v>0</v>
      </c>
      <c r="P828" s="136">
        <f>(IF((VLOOKUP(Table6[[#This Row],[SKU]],'All Skus'!$A:$AC,2,FALSE))="JBL",(VLOOKUP(Table6[[#This Row],[SKU]],'All Skus'!$A:$AC,18,FALSE)),""))</f>
        <v>0</v>
      </c>
      <c r="Q828" s="136">
        <f>(IF((VLOOKUP(Table6[[#This Row],[SKU]],'All Skus'!$A:$AC,2,FALSE))="JBL",(VLOOKUP(Table6[[#This Row],[SKU]],'All Skus'!$A:$AC,19,FALSE)),""))</f>
        <v>0</v>
      </c>
      <c r="R828" s="136">
        <f>(IF((VLOOKUP(Table6[[#This Row],[SKU]],'All Skus'!$A:$AC,2,FALSE))="JBL",(VLOOKUP(Table6[[#This Row],[SKU]],'All Skus'!$A:$AC,20,FALSE)),""))</f>
        <v>0</v>
      </c>
      <c r="S828" s="61">
        <f>(IF((VLOOKUP(Table6[[#This Row],[SKU]],'All Skus'!$A:$AC,2,FALSE))="JBL",(VLOOKUP(Table6[[#This Row],[SKU]],'All Skus'!$A:$AC,21,FALSE)),""))</f>
        <v>0</v>
      </c>
      <c r="T828" s="61" t="str">
        <f>(IF((VLOOKUP(Table6[[#This Row],[SKU]],'All Skus'!$A:$AC,2,FALSE))="JBL",(VLOOKUP(Table6[[#This Row],[SKU]],'All Skus'!$A:$AC,22,FALSE)),""))</f>
        <v>CN</v>
      </c>
      <c r="U828" t="str">
        <f>(IF((VLOOKUP(Table6[[#This Row],[SKU]],'All Skus'!$A:$AC,2,FALSE))="JBL",(VLOOKUP(Table6[[#This Row],[SKU]],'All Skus'!$A:$AC,23,FALSE)),""))</f>
        <v>Non Compliant</v>
      </c>
      <c r="V828" s="284" t="str">
        <f>HYPERLINK((IF((VLOOKUP(Table6[[#This Row],[SKU]],'All Skus'!$A:$AC,2,FALSE))="JBL",(VLOOKUP(Table6[[#This Row],[SKU]],'All Skus'!$A:$AC,24,FALSE)),"")))</f>
        <v/>
      </c>
      <c r="W828" s="151">
        <v>825</v>
      </c>
    </row>
    <row r="829" spans="1:23" ht="15" hidden="1" customHeight="1">
      <c r="A829" s="13" t="s">
        <v>1836</v>
      </c>
      <c r="B829" s="12" t="str">
        <f>(IF((VLOOKUP(Table6[[#This Row],[SKU]],'All Skus'!$A:$AC,2,FALSE))="JBL",(VLOOKUP(Table6[[#This Row],[SKU]],'All Skus'!$A:$AC,3,FALSE)),""))</f>
        <v>SRX SERIES</v>
      </c>
      <c r="C829" s="12" t="str">
        <f>(IF((VLOOKUP(Table6[[#This Row],[SKU]],'All Skus'!$A:$AC,2,FALSE))="JBL",(VLOOKUP(Table6[[#This Row],[SKU]],'All Skus'!$A:$AC,4,FALSE)),""))</f>
        <v>SRX910LA BP</v>
      </c>
      <c r="D829" s="61" t="str">
        <f>(IF((VLOOKUP(Table6[[#This Row],[SKU]],'All Skus'!$A:$AC,2,FALSE))="JBL",(VLOOKUP(Table6[[#This Row],[SKU]],'All Skus'!$A:$AC,5,FALSE)),""))</f>
        <v>JBL020</v>
      </c>
      <c r="E829" s="137">
        <f>(IF((VLOOKUP(Table6[[#This Row],[SKU]],'All Skus'!$A:$AC,2,FALSE))="JBL",(VLOOKUP(Table6[[#This Row],[SKU]],'All Skus'!$A:$AC,6,FALSE)),""))</f>
        <v>0</v>
      </c>
      <c r="F829" s="61" t="str">
        <f>(IF((VLOOKUP(Table6[[#This Row],[SKU]],'All Skus'!$A:$AC,2,FALSE))="JBL",(VLOOKUP(Table6[[#This Row],[SKU]],'All Skus'!$A:$AC,7,FALSE)),""))</f>
        <v>NEW</v>
      </c>
      <c r="G829" t="str">
        <f>(IF((VLOOKUP(Table6[[#This Row],[SKU]],'All Skus'!$A:$AC,2,FALSE))="JBL",(VLOOKUP(Table6[[#This Row],[SKU]],'All Skus'!$A:$AC,8,FALSE)),""))</f>
        <v> Base Plate</v>
      </c>
      <c r="H829" s="8" t="str">
        <f>(IF((VLOOKUP(Table6[[#This Row],[SKU]],'All Skus'!$A:$AC,2,FALSE))="JBL",(VLOOKUP(Table6[[#This Row],[SKU]],'All Skus'!$A:$AC,9,FALSE)),""))</f>
        <v>Base Plate for SRX910LA</v>
      </c>
      <c r="I829" s="101">
        <f>(IF((VLOOKUP(Table6[[#This Row],[SKU]],'All Skus'!$A:$AC,2,FALSE))="JBL",(VLOOKUP(Table6[[#This Row],[SKU]],'All Skus'!$A:$AC,10,FALSE)),""))</f>
        <v>1000</v>
      </c>
      <c r="J829" s="101">
        <f>(IF((VLOOKUP(Table6[[#This Row],[SKU]],'All Skus'!$A:$AC,2,FALSE))="JBL",(VLOOKUP(Table6[[#This Row],[SKU]],'All Skus'!$A:$AC,11,FALSE)),""))</f>
        <v>650</v>
      </c>
      <c r="K829" s="102">
        <f>(IF((VLOOKUP(Table6[[#This Row],[SKU]],'All Skus'!$A:$AC,2,FALSE))="JBL",(VLOOKUP(Table6[[#This Row],[SKU]],'All Skus'!$A:$AC,13,FALSE)),""))</f>
        <v>0</v>
      </c>
      <c r="L829" s="102">
        <f>(IF((VLOOKUP(Table6[[#This Row],[SKU]],'All Skus'!$A:$AC,2,FALSE))="JBL",(VLOOKUP(Table6[[#This Row],[SKU]],'All Skus'!$A:$AC,14,FALSE)),""))</f>
        <v>0</v>
      </c>
      <c r="M829" s="143">
        <f>(IF((VLOOKUP(Table6[[#This Row],[SKU]],'All Skus'!$A:$AC,2,FALSE))="JBL",(VLOOKUP(Table6[[#This Row],[SKU]],'All Skus'!$A:$AC,15,FALSE)),""))</f>
        <v>0</v>
      </c>
      <c r="N829" s="137">
        <f>(IF((VLOOKUP(Table6[[#This Row],[SKU]],'All Skus'!$A:$AC,2,FALSE))="JBL",(VLOOKUP(Table6[[#This Row],[SKU]],'All Skus'!$A:$AC,16,FALSE)),""))</f>
        <v>691991035647</v>
      </c>
      <c r="O829" s="61">
        <f>(IF((VLOOKUP(Table6[[#This Row],[SKU]],'All Skus'!$A:$AC,2,FALSE))="JBL",(VLOOKUP(Table6[[#This Row],[SKU]],'All Skus'!$A:$AC,17,FALSE)),""))</f>
        <v>0</v>
      </c>
      <c r="P829" s="136">
        <f>(IF((VLOOKUP(Table6[[#This Row],[SKU]],'All Skus'!$A:$AC,2,FALSE))="JBL",(VLOOKUP(Table6[[#This Row],[SKU]],'All Skus'!$A:$AC,18,FALSE)),""))</f>
        <v>0</v>
      </c>
      <c r="Q829" s="136">
        <f>(IF((VLOOKUP(Table6[[#This Row],[SKU]],'All Skus'!$A:$AC,2,FALSE))="JBL",(VLOOKUP(Table6[[#This Row],[SKU]],'All Skus'!$A:$AC,19,FALSE)),""))</f>
        <v>0</v>
      </c>
      <c r="R829" s="136">
        <f>(IF((VLOOKUP(Table6[[#This Row],[SKU]],'All Skus'!$A:$AC,2,FALSE))="JBL",(VLOOKUP(Table6[[#This Row],[SKU]],'All Skus'!$A:$AC,20,FALSE)),""))</f>
        <v>0</v>
      </c>
      <c r="S829" s="61">
        <f>(IF((VLOOKUP(Table6[[#This Row],[SKU]],'All Skus'!$A:$AC,2,FALSE))="JBL",(VLOOKUP(Table6[[#This Row],[SKU]],'All Skus'!$A:$AC,21,FALSE)),""))</f>
        <v>0</v>
      </c>
      <c r="T829" s="61" t="str">
        <f>(IF((VLOOKUP(Table6[[#This Row],[SKU]],'All Skus'!$A:$AC,2,FALSE))="JBL",(VLOOKUP(Table6[[#This Row],[SKU]],'All Skus'!$A:$AC,22,FALSE)),""))</f>
        <v>MX</v>
      </c>
      <c r="U829">
        <f>(IF((VLOOKUP(Table6[[#This Row],[SKU]],'All Skus'!$A:$AC,2,FALSE))="JBL",(VLOOKUP(Table6[[#This Row],[SKU]],'All Skus'!$A:$AC,23,FALSE)),""))</f>
        <v>0</v>
      </c>
      <c r="V829" s="284" t="str">
        <f>HYPERLINK((IF((VLOOKUP(Table6[[#This Row],[SKU]],'All Skus'!$A:$AC,2,FALSE))="JBL",(VLOOKUP(Table6[[#This Row],[SKU]],'All Skus'!$A:$AC,24,FALSE)),"")))</f>
        <v/>
      </c>
      <c r="W829" s="151">
        <v>826</v>
      </c>
    </row>
    <row r="830" spans="1:23" ht="15" hidden="1" customHeight="1">
      <c r="A830" s="13" t="s">
        <v>1839</v>
      </c>
      <c r="B830" s="12" t="str">
        <f>(IF((VLOOKUP(Table6[[#This Row],[SKU]],'All Skus'!$A:$AC,2,FALSE))="JBL",(VLOOKUP(Table6[[#This Row],[SKU]],'All Skus'!$A:$AC,3,FALSE)),""))</f>
        <v>SRX SERIES</v>
      </c>
      <c r="C830" s="12" t="str">
        <f>(IF((VLOOKUP(Table6[[#This Row],[SKU]],'All Skus'!$A:$AC,2,FALSE))="JBL",(VLOOKUP(Table6[[#This Row],[SKU]],'All Skus'!$A:$AC,4,FALSE)),""))</f>
        <v>SRX918S</v>
      </c>
      <c r="D830" s="61" t="str">
        <f>(IF((VLOOKUP(Table6[[#This Row],[SKU]],'All Skus'!$A:$AC,2,FALSE))="JBL",(VLOOKUP(Table6[[#This Row],[SKU]],'All Skus'!$A:$AC,5,FALSE)),""))</f>
        <v>JBL020</v>
      </c>
      <c r="E830" s="137">
        <f>(IF((VLOOKUP(Table6[[#This Row],[SKU]],'All Skus'!$A:$AC,2,FALSE))="JBL",(VLOOKUP(Table6[[#This Row],[SKU]],'All Skus'!$A:$AC,6,FALSE)),""))</f>
        <v>0</v>
      </c>
      <c r="F830" s="61" t="str">
        <f>(IF((VLOOKUP(Table6[[#This Row],[SKU]],'All Skus'!$A:$AC,2,FALSE))="JBL",(VLOOKUP(Table6[[#This Row],[SKU]],'All Skus'!$A:$AC,7,FALSE)),""))</f>
        <v>NEW</v>
      </c>
      <c r="G830" t="str">
        <f>(IF((VLOOKUP(Table6[[#This Row],[SKU]],'All Skus'!$A:$AC,2,FALSE))="JBL",(VLOOKUP(Table6[[#This Row],[SKU]],'All Skus'!$A:$AC,8,FALSE)),""))</f>
        <v>Powered Subwoofer</v>
      </c>
      <c r="H830" s="8" t="str">
        <f>(IF((VLOOKUP(Table6[[#This Row],[SKU]],'All Skus'!$A:$AC,2,FALSE))="JBL",(VLOOKUP(Table6[[#This Row],[SKU]],'All Skus'!$A:$AC,9,FALSE)),""))</f>
        <v>Single 18-inch powered subwoofer</v>
      </c>
      <c r="I830" s="101">
        <f>(IF((VLOOKUP(Table6[[#This Row],[SKU]],'All Skus'!$A:$AC,2,FALSE))="JBL",(VLOOKUP(Table6[[#This Row],[SKU]],'All Skus'!$A:$AC,10,FALSE)),""))</f>
        <v>3300</v>
      </c>
      <c r="J830" s="101">
        <f>(IF((VLOOKUP(Table6[[#This Row],[SKU]],'All Skus'!$A:$AC,2,FALSE))="JBL",(VLOOKUP(Table6[[#This Row],[SKU]],'All Skus'!$A:$AC,11,FALSE)),""))</f>
        <v>2299</v>
      </c>
      <c r="K830" s="102">
        <f>(IF((VLOOKUP(Table6[[#This Row],[SKU]],'All Skus'!$A:$AC,2,FALSE))="JBL",(VLOOKUP(Table6[[#This Row],[SKU]],'All Skus'!$A:$AC,13,FALSE)),""))</f>
        <v>0</v>
      </c>
      <c r="L830" s="102">
        <f>(IF((VLOOKUP(Table6[[#This Row],[SKU]],'All Skus'!$A:$AC,2,FALSE))="JBL",(VLOOKUP(Table6[[#This Row],[SKU]],'All Skus'!$A:$AC,14,FALSE)),""))</f>
        <v>0</v>
      </c>
      <c r="M830" s="143">
        <f>(IF((VLOOKUP(Table6[[#This Row],[SKU]],'All Skus'!$A:$AC,2,FALSE))="JBL",(VLOOKUP(Table6[[#This Row],[SKU]],'All Skus'!$A:$AC,15,FALSE)),""))</f>
        <v>0</v>
      </c>
      <c r="N830" s="137">
        <f>(IF((VLOOKUP(Table6[[#This Row],[SKU]],'All Skus'!$A:$AC,2,FALSE))="JBL",(VLOOKUP(Table6[[#This Row],[SKU]],'All Skus'!$A:$AC,16,FALSE)),""))</f>
        <v>691991035609</v>
      </c>
      <c r="O830" s="61">
        <f>(IF((VLOOKUP(Table6[[#This Row],[SKU]],'All Skus'!$A:$AC,2,FALSE))="JBL",(VLOOKUP(Table6[[#This Row],[SKU]],'All Skus'!$A:$AC,17,FALSE)),""))</f>
        <v>0</v>
      </c>
      <c r="P830" s="136">
        <f>(IF((VLOOKUP(Table6[[#This Row],[SKU]],'All Skus'!$A:$AC,2,FALSE))="JBL",(VLOOKUP(Table6[[#This Row],[SKU]],'All Skus'!$A:$AC,18,FALSE)),""))</f>
        <v>0</v>
      </c>
      <c r="Q830" s="136">
        <f>(IF((VLOOKUP(Table6[[#This Row],[SKU]],'All Skus'!$A:$AC,2,FALSE))="JBL",(VLOOKUP(Table6[[#This Row],[SKU]],'All Skus'!$A:$AC,19,FALSE)),""))</f>
        <v>0</v>
      </c>
      <c r="R830" s="136">
        <f>(IF((VLOOKUP(Table6[[#This Row],[SKU]],'All Skus'!$A:$AC,2,FALSE))="JBL",(VLOOKUP(Table6[[#This Row],[SKU]],'All Skus'!$A:$AC,20,FALSE)),""))</f>
        <v>0</v>
      </c>
      <c r="S830" s="61">
        <f>(IF((VLOOKUP(Table6[[#This Row],[SKU]],'All Skus'!$A:$AC,2,FALSE))="JBL",(VLOOKUP(Table6[[#This Row],[SKU]],'All Skus'!$A:$AC,21,FALSE)),""))</f>
        <v>0</v>
      </c>
      <c r="T830" s="61" t="str">
        <f>(IF((VLOOKUP(Table6[[#This Row],[SKU]],'All Skus'!$A:$AC,2,FALSE))="JBL",(VLOOKUP(Table6[[#This Row],[SKU]],'All Skus'!$A:$AC,22,FALSE)),""))</f>
        <v>MX</v>
      </c>
      <c r="U830">
        <f>(IF((VLOOKUP(Table6[[#This Row],[SKU]],'All Skus'!$A:$AC,2,FALSE))="JBL",(VLOOKUP(Table6[[#This Row],[SKU]],'All Skus'!$A:$AC,23,FALSE)),""))</f>
        <v>0</v>
      </c>
      <c r="V830" s="284" t="str">
        <f>HYPERLINK((IF((VLOOKUP(Table6[[#This Row],[SKU]],'All Skus'!$A:$AC,2,FALSE))="JBL",(VLOOKUP(Table6[[#This Row],[SKU]],'All Skus'!$A:$AC,24,FALSE)),"")))</f>
        <v/>
      </c>
      <c r="W830" s="151">
        <v>827</v>
      </c>
    </row>
    <row r="831" spans="1:23" ht="15" hidden="1" customHeight="1">
      <c r="A831" s="13" t="s">
        <v>1838</v>
      </c>
      <c r="B831" s="12" t="str">
        <f>(IF((VLOOKUP(Table6[[#This Row],[SKU]],'All Skus'!$A:$AC,2,FALSE))="JBL",(VLOOKUP(Table6[[#This Row],[SKU]],'All Skus'!$A:$AC,3,FALSE)),""))</f>
        <v>SRX SERIES</v>
      </c>
      <c r="C831" s="12" t="str">
        <f>(IF((VLOOKUP(Table6[[#This Row],[SKU]],'All Skus'!$A:$AC,2,FALSE))="JBL",(VLOOKUP(Table6[[#This Row],[SKU]],'All Skus'!$A:$AC,4,FALSE)),""))</f>
        <v>SRX900LA PB</v>
      </c>
      <c r="D831" s="61" t="str">
        <f>(IF((VLOOKUP(Table6[[#This Row],[SKU]],'All Skus'!$A:$AC,2,FALSE))="JBL",(VLOOKUP(Table6[[#This Row],[SKU]],'All Skus'!$A:$AC,5,FALSE)),""))</f>
        <v>JBL020</v>
      </c>
      <c r="E831" s="137">
        <f>(IF((VLOOKUP(Table6[[#This Row],[SKU]],'All Skus'!$A:$AC,2,FALSE))="JBL",(VLOOKUP(Table6[[#This Row],[SKU]],'All Skus'!$A:$AC,6,FALSE)),""))</f>
        <v>0</v>
      </c>
      <c r="F831" s="61" t="str">
        <f>(IF((VLOOKUP(Table6[[#This Row],[SKU]],'All Skus'!$A:$AC,2,FALSE))="JBL",(VLOOKUP(Table6[[#This Row],[SKU]],'All Skus'!$A:$AC,7,FALSE)),""))</f>
        <v>NEW</v>
      </c>
      <c r="G831" t="str">
        <f>(IF((VLOOKUP(Table6[[#This Row],[SKU]],'All Skus'!$A:$AC,2,FALSE))="JBL",(VLOOKUP(Table6[[#This Row],[SKU]],'All Skus'!$A:$AC,8,FALSE)),""))</f>
        <v>Pull Back accessory</v>
      </c>
      <c r="H831" s="8" t="str">
        <f>(IF((VLOOKUP(Table6[[#This Row],[SKU]],'All Skus'!$A:$AC,2,FALSE))="JBL",(VLOOKUP(Table6[[#This Row],[SKU]],'All Skus'!$A:$AC,9,FALSE)),""))</f>
        <v>SRX900 Pull Back accessory, compatible with all LA models</v>
      </c>
      <c r="I831" s="101">
        <f>(IF((VLOOKUP(Table6[[#This Row],[SKU]],'All Skus'!$A:$AC,2,FALSE))="JBL",(VLOOKUP(Table6[[#This Row],[SKU]],'All Skus'!$A:$AC,10,FALSE)),""))</f>
        <v>150</v>
      </c>
      <c r="J831" s="101">
        <f>(IF((VLOOKUP(Table6[[#This Row],[SKU]],'All Skus'!$A:$AC,2,FALSE))="JBL",(VLOOKUP(Table6[[#This Row],[SKU]],'All Skus'!$A:$AC,11,FALSE)),""))</f>
        <v>100</v>
      </c>
      <c r="K831" s="102">
        <f>(IF((VLOOKUP(Table6[[#This Row],[SKU]],'All Skus'!$A:$AC,2,FALSE))="JBL",(VLOOKUP(Table6[[#This Row],[SKU]],'All Skus'!$A:$AC,13,FALSE)),""))</f>
        <v>0</v>
      </c>
      <c r="L831" s="102">
        <f>(IF((VLOOKUP(Table6[[#This Row],[SKU]],'All Skus'!$A:$AC,2,FALSE))="JBL",(VLOOKUP(Table6[[#This Row],[SKU]],'All Skus'!$A:$AC,14,FALSE)),""))</f>
        <v>0</v>
      </c>
      <c r="M831" s="143">
        <f>(IF((VLOOKUP(Table6[[#This Row],[SKU]],'All Skus'!$A:$AC,2,FALSE))="JBL",(VLOOKUP(Table6[[#This Row],[SKU]],'All Skus'!$A:$AC,15,FALSE)),""))</f>
        <v>0</v>
      </c>
      <c r="N831" s="137">
        <f>(IF((VLOOKUP(Table6[[#This Row],[SKU]],'All Skus'!$A:$AC,2,FALSE))="JBL",(VLOOKUP(Table6[[#This Row],[SKU]],'All Skus'!$A:$AC,16,FALSE)),""))</f>
        <v>691991035616</v>
      </c>
      <c r="O831" s="61">
        <f>(IF((VLOOKUP(Table6[[#This Row],[SKU]],'All Skus'!$A:$AC,2,FALSE))="JBL",(VLOOKUP(Table6[[#This Row],[SKU]],'All Skus'!$A:$AC,17,FALSE)),""))</f>
        <v>0</v>
      </c>
      <c r="P831" s="136">
        <f>(IF((VLOOKUP(Table6[[#This Row],[SKU]],'All Skus'!$A:$AC,2,FALSE))="JBL",(VLOOKUP(Table6[[#This Row],[SKU]],'All Skus'!$A:$AC,18,FALSE)),""))</f>
        <v>0</v>
      </c>
      <c r="Q831" s="136">
        <f>(IF((VLOOKUP(Table6[[#This Row],[SKU]],'All Skus'!$A:$AC,2,FALSE))="JBL",(VLOOKUP(Table6[[#This Row],[SKU]],'All Skus'!$A:$AC,19,FALSE)),""))</f>
        <v>0</v>
      </c>
      <c r="R831" s="136">
        <f>(IF((VLOOKUP(Table6[[#This Row],[SKU]],'All Skus'!$A:$AC,2,FALSE))="JBL",(VLOOKUP(Table6[[#This Row],[SKU]],'All Skus'!$A:$AC,20,FALSE)),""))</f>
        <v>0</v>
      </c>
      <c r="S831" s="61">
        <f>(IF((VLOOKUP(Table6[[#This Row],[SKU]],'All Skus'!$A:$AC,2,FALSE))="JBL",(VLOOKUP(Table6[[#This Row],[SKU]],'All Skus'!$A:$AC,21,FALSE)),""))</f>
        <v>0</v>
      </c>
      <c r="T831" s="61" t="str">
        <f>(IF((VLOOKUP(Table6[[#This Row],[SKU]],'All Skus'!$A:$AC,2,FALSE))="JBL",(VLOOKUP(Table6[[#This Row],[SKU]],'All Skus'!$A:$AC,22,FALSE)),""))</f>
        <v>MX</v>
      </c>
      <c r="U831">
        <f>(IF((VLOOKUP(Table6[[#This Row],[SKU]],'All Skus'!$A:$AC,2,FALSE))="JBL",(VLOOKUP(Table6[[#This Row],[SKU]],'All Skus'!$A:$AC,23,FALSE)),""))</f>
        <v>0</v>
      </c>
      <c r="V831" s="284" t="str">
        <f>HYPERLINK((IF((VLOOKUP(Table6[[#This Row],[SKU]],'All Skus'!$A:$AC,2,FALSE))="JBL",(VLOOKUP(Table6[[#This Row],[SKU]],'All Skus'!$A:$AC,24,FALSE)),"")))</f>
        <v/>
      </c>
      <c r="W831" s="151">
        <v>828</v>
      </c>
    </row>
    <row r="832" spans="1:23" ht="15" hidden="1" customHeight="1">
      <c r="A832" s="13" t="s">
        <v>1841</v>
      </c>
      <c r="B832" s="12" t="str">
        <f>(IF((VLOOKUP(Table6[[#This Row],[SKU]],'All Skus'!$A:$AC,2,FALSE))="JBL",(VLOOKUP(Table6[[#This Row],[SKU]],'All Skus'!$A:$AC,3,FALSE)),""))</f>
        <v>SRX SERIES</v>
      </c>
      <c r="C832" s="12" t="str">
        <f>(IF((VLOOKUP(Table6[[#This Row],[SKU]],'All Skus'!$A:$AC,2,FALSE))="JBL",(VLOOKUP(Table6[[#This Row],[SKU]],'All Skus'!$A:$AC,4,FALSE)),""))</f>
        <v>SRX928S</v>
      </c>
      <c r="D832" s="61" t="str">
        <f>(IF((VLOOKUP(Table6[[#This Row],[SKU]],'All Skus'!$A:$AC,2,FALSE))="JBL",(VLOOKUP(Table6[[#This Row],[SKU]],'All Skus'!$A:$AC,5,FALSE)),""))</f>
        <v>JBL020</v>
      </c>
      <c r="E832" s="137">
        <f>(IF((VLOOKUP(Table6[[#This Row],[SKU]],'All Skus'!$A:$AC,2,FALSE))="JBL",(VLOOKUP(Table6[[#This Row],[SKU]],'All Skus'!$A:$AC,6,FALSE)),""))</f>
        <v>0</v>
      </c>
      <c r="F832" s="61" t="str">
        <f>(IF((VLOOKUP(Table6[[#This Row],[SKU]],'All Skus'!$A:$AC,2,FALSE))="JBL",(VLOOKUP(Table6[[#This Row],[SKU]],'All Skus'!$A:$AC,7,FALSE)),""))</f>
        <v>NEW</v>
      </c>
      <c r="G832" t="str">
        <f>(IF((VLOOKUP(Table6[[#This Row],[SKU]],'All Skus'!$A:$AC,2,FALSE))="JBL",(VLOOKUP(Table6[[#This Row],[SKU]],'All Skus'!$A:$AC,8,FALSE)),""))</f>
        <v>Powered Subwoofer</v>
      </c>
      <c r="H832" s="8" t="str">
        <f>(IF((VLOOKUP(Table6[[#This Row],[SKU]],'All Skus'!$A:$AC,2,FALSE))="JBL",(VLOOKUP(Table6[[#This Row],[SKU]],'All Skus'!$A:$AC,9,FALSE)),""))</f>
        <v>Dual 18-inch powered subwoofer</v>
      </c>
      <c r="I832" s="101">
        <f>(IF((VLOOKUP(Table6[[#This Row],[SKU]],'All Skus'!$A:$AC,2,FALSE))="JBL",(VLOOKUP(Table6[[#This Row],[SKU]],'All Skus'!$A:$AC,10,FALSE)),""))</f>
        <v>5900</v>
      </c>
      <c r="J832" s="101">
        <f>(IF((VLOOKUP(Table6[[#This Row],[SKU]],'All Skus'!$A:$AC,2,FALSE))="JBL",(VLOOKUP(Table6[[#This Row],[SKU]],'All Skus'!$A:$AC,11,FALSE)),""))</f>
        <v>4099</v>
      </c>
      <c r="K832" s="102">
        <f>(IF((VLOOKUP(Table6[[#This Row],[SKU]],'All Skus'!$A:$AC,2,FALSE))="JBL",(VLOOKUP(Table6[[#This Row],[SKU]],'All Skus'!$A:$AC,13,FALSE)),""))</f>
        <v>0</v>
      </c>
      <c r="L832" s="102">
        <f>(IF((VLOOKUP(Table6[[#This Row],[SKU]],'All Skus'!$A:$AC,2,FALSE))="JBL",(VLOOKUP(Table6[[#This Row],[SKU]],'All Skus'!$A:$AC,14,FALSE)),""))</f>
        <v>0</v>
      </c>
      <c r="M832" s="143">
        <f>(IF((VLOOKUP(Table6[[#This Row],[SKU]],'All Skus'!$A:$AC,2,FALSE))="JBL",(VLOOKUP(Table6[[#This Row],[SKU]],'All Skus'!$A:$AC,15,FALSE)),""))</f>
        <v>0</v>
      </c>
      <c r="N832" s="137">
        <f>(IF((VLOOKUP(Table6[[#This Row],[SKU]],'All Skus'!$A:$AC,2,FALSE))="JBL",(VLOOKUP(Table6[[#This Row],[SKU]],'All Skus'!$A:$AC,16,FALSE)),""))</f>
        <v>691991035586</v>
      </c>
      <c r="O832" s="61">
        <f>(IF((VLOOKUP(Table6[[#This Row],[SKU]],'All Skus'!$A:$AC,2,FALSE))="JBL",(VLOOKUP(Table6[[#This Row],[SKU]],'All Skus'!$A:$AC,17,FALSE)),""))</f>
        <v>0</v>
      </c>
      <c r="P832" s="136">
        <f>(IF((VLOOKUP(Table6[[#This Row],[SKU]],'All Skus'!$A:$AC,2,FALSE))="JBL",(VLOOKUP(Table6[[#This Row],[SKU]],'All Skus'!$A:$AC,18,FALSE)),""))</f>
        <v>0</v>
      </c>
      <c r="Q832" s="136">
        <f>(IF((VLOOKUP(Table6[[#This Row],[SKU]],'All Skus'!$A:$AC,2,FALSE))="JBL",(VLOOKUP(Table6[[#This Row],[SKU]],'All Skus'!$A:$AC,19,FALSE)),""))</f>
        <v>0</v>
      </c>
      <c r="R832" s="136">
        <f>(IF((VLOOKUP(Table6[[#This Row],[SKU]],'All Skus'!$A:$AC,2,FALSE))="JBL",(VLOOKUP(Table6[[#This Row],[SKU]],'All Skus'!$A:$AC,20,FALSE)),""))</f>
        <v>0</v>
      </c>
      <c r="S832" s="61">
        <f>(IF((VLOOKUP(Table6[[#This Row],[SKU]],'All Skus'!$A:$AC,2,FALSE))="JBL",(VLOOKUP(Table6[[#This Row],[SKU]],'All Skus'!$A:$AC,21,FALSE)),""))</f>
        <v>0</v>
      </c>
      <c r="T832" s="61" t="str">
        <f>(IF((VLOOKUP(Table6[[#This Row],[SKU]],'All Skus'!$A:$AC,2,FALSE))="JBL",(VLOOKUP(Table6[[#This Row],[SKU]],'All Skus'!$A:$AC,22,FALSE)),""))</f>
        <v>MX</v>
      </c>
      <c r="U832">
        <f>(IF((VLOOKUP(Table6[[#This Row],[SKU]],'All Skus'!$A:$AC,2,FALSE))="JBL",(VLOOKUP(Table6[[#This Row],[SKU]],'All Skus'!$A:$AC,23,FALSE)),""))</f>
        <v>0</v>
      </c>
      <c r="V832" s="284" t="str">
        <f>HYPERLINK((IF((VLOOKUP(Table6[[#This Row],[SKU]],'All Skus'!$A:$AC,2,FALSE))="JBL",(VLOOKUP(Table6[[#This Row],[SKU]],'All Skus'!$A:$AC,24,FALSE)),"")))</f>
        <v/>
      </c>
      <c r="W832" s="151">
        <v>829</v>
      </c>
    </row>
    <row r="833" spans="1:23" ht="15" hidden="1" customHeight="1">
      <c r="A833" s="13" t="s">
        <v>1840</v>
      </c>
      <c r="B833" s="12" t="str">
        <f>(IF((VLOOKUP(Table6[[#This Row],[SKU]],'All Skus'!$A:$AC,2,FALSE))="JBL",(VLOOKUP(Table6[[#This Row],[SKU]],'All Skus'!$A:$AC,3,FALSE)),""))</f>
        <v>SRX SERIES</v>
      </c>
      <c r="C833" s="12" t="str">
        <f>(IF((VLOOKUP(Table6[[#This Row],[SKU]],'All Skus'!$A:$AC,2,FALSE))="JBL",(VLOOKUP(Table6[[#This Row],[SKU]],'All Skus'!$A:$AC,4,FALSE)),""))</f>
        <v>SRX918S CVR</v>
      </c>
      <c r="D833" s="61" t="str">
        <f>(IF((VLOOKUP(Table6[[#This Row],[SKU]],'All Skus'!$A:$AC,2,FALSE))="JBL",(VLOOKUP(Table6[[#This Row],[SKU]],'All Skus'!$A:$AC,5,FALSE)),""))</f>
        <v>JBL020</v>
      </c>
      <c r="E833" s="137">
        <f>(IF((VLOOKUP(Table6[[#This Row],[SKU]],'All Skus'!$A:$AC,2,FALSE))="JBL",(VLOOKUP(Table6[[#This Row],[SKU]],'All Skus'!$A:$AC,6,FALSE)),""))</f>
        <v>0</v>
      </c>
      <c r="F833" s="61" t="str">
        <f>(IF((VLOOKUP(Table6[[#This Row],[SKU]],'All Skus'!$A:$AC,2,FALSE))="JBL",(VLOOKUP(Table6[[#This Row],[SKU]],'All Skus'!$A:$AC,7,FALSE)),""))</f>
        <v>NEW</v>
      </c>
      <c r="G833" t="str">
        <f>(IF((VLOOKUP(Table6[[#This Row],[SKU]],'All Skus'!$A:$AC,2,FALSE))="JBL",(VLOOKUP(Table6[[#This Row],[SKU]],'All Skus'!$A:$AC,8,FALSE)),""))</f>
        <v>Cover</v>
      </c>
      <c r="H833" s="8" t="str">
        <f>(IF((VLOOKUP(Table6[[#This Row],[SKU]],'All Skus'!$A:$AC,2,FALSE))="JBL",(VLOOKUP(Table6[[#This Row],[SKU]],'All Skus'!$A:$AC,9,FALSE)),""))</f>
        <v>Soft cover for a single SRX918S</v>
      </c>
      <c r="I833" s="101">
        <f>(IF((VLOOKUP(Table6[[#This Row],[SKU]],'All Skus'!$A:$AC,2,FALSE))="JBL",(VLOOKUP(Table6[[#This Row],[SKU]],'All Skus'!$A:$AC,10,FALSE)),""))</f>
        <v>200</v>
      </c>
      <c r="J833" s="101">
        <f>(IF((VLOOKUP(Table6[[#This Row],[SKU]],'All Skus'!$A:$AC,2,FALSE))="JBL",(VLOOKUP(Table6[[#This Row],[SKU]],'All Skus'!$A:$AC,11,FALSE)),""))</f>
        <v>140</v>
      </c>
      <c r="K833" s="102">
        <f>(IF((VLOOKUP(Table6[[#This Row],[SKU]],'All Skus'!$A:$AC,2,FALSE))="JBL",(VLOOKUP(Table6[[#This Row],[SKU]],'All Skus'!$A:$AC,13,FALSE)),""))</f>
        <v>0</v>
      </c>
      <c r="L833" s="102">
        <f>(IF((VLOOKUP(Table6[[#This Row],[SKU]],'All Skus'!$A:$AC,2,FALSE))="JBL",(VLOOKUP(Table6[[#This Row],[SKU]],'All Skus'!$A:$AC,14,FALSE)),""))</f>
        <v>0</v>
      </c>
      <c r="M833" s="143">
        <f>(IF((VLOOKUP(Table6[[#This Row],[SKU]],'All Skus'!$A:$AC,2,FALSE))="JBL",(VLOOKUP(Table6[[#This Row],[SKU]],'All Skus'!$A:$AC,15,FALSE)),""))</f>
        <v>0</v>
      </c>
      <c r="N833" s="137">
        <f>(IF((VLOOKUP(Table6[[#This Row],[SKU]],'All Skus'!$A:$AC,2,FALSE))="JBL",(VLOOKUP(Table6[[#This Row],[SKU]],'All Skus'!$A:$AC,16,FALSE)),""))</f>
        <v>691991035593</v>
      </c>
      <c r="O833" s="61">
        <f>(IF((VLOOKUP(Table6[[#This Row],[SKU]],'All Skus'!$A:$AC,2,FALSE))="JBL",(VLOOKUP(Table6[[#This Row],[SKU]],'All Skus'!$A:$AC,17,FALSE)),""))</f>
        <v>0</v>
      </c>
      <c r="P833" s="136">
        <f>(IF((VLOOKUP(Table6[[#This Row],[SKU]],'All Skus'!$A:$AC,2,FALSE))="JBL",(VLOOKUP(Table6[[#This Row],[SKU]],'All Skus'!$A:$AC,18,FALSE)),""))</f>
        <v>0</v>
      </c>
      <c r="Q833" s="136">
        <f>(IF((VLOOKUP(Table6[[#This Row],[SKU]],'All Skus'!$A:$AC,2,FALSE))="JBL",(VLOOKUP(Table6[[#This Row],[SKU]],'All Skus'!$A:$AC,19,FALSE)),""))</f>
        <v>0</v>
      </c>
      <c r="R833" s="136">
        <f>(IF((VLOOKUP(Table6[[#This Row],[SKU]],'All Skus'!$A:$AC,2,FALSE))="JBL",(VLOOKUP(Table6[[#This Row],[SKU]],'All Skus'!$A:$AC,20,FALSE)),""))</f>
        <v>0</v>
      </c>
      <c r="S833" s="61">
        <f>(IF((VLOOKUP(Table6[[#This Row],[SKU]],'All Skus'!$A:$AC,2,FALSE))="JBL",(VLOOKUP(Table6[[#This Row],[SKU]],'All Skus'!$A:$AC,21,FALSE)),""))</f>
        <v>0</v>
      </c>
      <c r="T833" s="61" t="str">
        <f>(IF((VLOOKUP(Table6[[#This Row],[SKU]],'All Skus'!$A:$AC,2,FALSE))="JBL",(VLOOKUP(Table6[[#This Row],[SKU]],'All Skus'!$A:$AC,22,FALSE)),""))</f>
        <v>CN</v>
      </c>
      <c r="U833" t="str">
        <f>(IF((VLOOKUP(Table6[[#This Row],[SKU]],'All Skus'!$A:$AC,2,FALSE))="JBL",(VLOOKUP(Table6[[#This Row],[SKU]],'All Skus'!$A:$AC,23,FALSE)),""))</f>
        <v>Non Compliant</v>
      </c>
      <c r="V833" s="284" t="str">
        <f>HYPERLINK((IF((VLOOKUP(Table6[[#This Row],[SKU]],'All Skus'!$A:$AC,2,FALSE))="JBL",(VLOOKUP(Table6[[#This Row],[SKU]],'All Skus'!$A:$AC,24,FALSE)),"")))</f>
        <v/>
      </c>
      <c r="W833" s="151">
        <v>830</v>
      </c>
    </row>
    <row r="834" spans="1:23" ht="15" hidden="1" customHeight="1">
      <c r="A834" s="13" t="s">
        <v>1842</v>
      </c>
      <c r="B834" s="12" t="str">
        <f>(IF((VLOOKUP(Table6[[#This Row],[SKU]],'All Skus'!$A:$AC,2,FALSE))="JBL",(VLOOKUP(Table6[[#This Row],[SKU]],'All Skus'!$A:$AC,3,FALSE)),""))</f>
        <v>SRX SERIES</v>
      </c>
      <c r="C834" s="12" t="str">
        <f>(IF((VLOOKUP(Table6[[#This Row],[SKU]],'All Skus'!$A:$AC,2,FALSE))="JBL",(VLOOKUP(Table6[[#This Row],[SKU]],'All Skus'!$A:$AC,4,FALSE)),""))</f>
        <v>SRX928S CVR</v>
      </c>
      <c r="D834" s="61" t="str">
        <f>(IF((VLOOKUP(Table6[[#This Row],[SKU]],'All Skus'!$A:$AC,2,FALSE))="JBL",(VLOOKUP(Table6[[#This Row],[SKU]],'All Skus'!$A:$AC,5,FALSE)),""))</f>
        <v>JBL020</v>
      </c>
      <c r="E834" s="137">
        <f>(IF((VLOOKUP(Table6[[#This Row],[SKU]],'All Skus'!$A:$AC,2,FALSE))="JBL",(VLOOKUP(Table6[[#This Row],[SKU]],'All Skus'!$A:$AC,6,FALSE)),""))</f>
        <v>0</v>
      </c>
      <c r="F834" s="61" t="str">
        <f>(IF((VLOOKUP(Table6[[#This Row],[SKU]],'All Skus'!$A:$AC,2,FALSE))="JBL",(VLOOKUP(Table6[[#This Row],[SKU]],'All Skus'!$A:$AC,7,FALSE)),""))</f>
        <v>NEW</v>
      </c>
      <c r="G834" t="str">
        <f>(IF((VLOOKUP(Table6[[#This Row],[SKU]],'All Skus'!$A:$AC,2,FALSE))="JBL",(VLOOKUP(Table6[[#This Row],[SKU]],'All Skus'!$A:$AC,8,FALSE)),""))</f>
        <v>Cover</v>
      </c>
      <c r="H834" s="8" t="str">
        <f>(IF((VLOOKUP(Table6[[#This Row],[SKU]],'All Skus'!$A:$AC,2,FALSE))="JBL",(VLOOKUP(Table6[[#This Row],[SKU]],'All Skus'!$A:$AC,9,FALSE)),""))</f>
        <v>Soft cover for a single SRX928S</v>
      </c>
      <c r="I834" s="101">
        <f>(IF((VLOOKUP(Table6[[#This Row],[SKU]],'All Skus'!$A:$AC,2,FALSE))="JBL",(VLOOKUP(Table6[[#This Row],[SKU]],'All Skus'!$A:$AC,10,FALSE)),""))</f>
        <v>350</v>
      </c>
      <c r="J834" s="101">
        <f>(IF((VLOOKUP(Table6[[#This Row],[SKU]],'All Skus'!$A:$AC,2,FALSE))="JBL",(VLOOKUP(Table6[[#This Row],[SKU]],'All Skus'!$A:$AC,11,FALSE)),""))</f>
        <v>240</v>
      </c>
      <c r="K834" s="102">
        <f>(IF((VLOOKUP(Table6[[#This Row],[SKU]],'All Skus'!$A:$AC,2,FALSE))="JBL",(VLOOKUP(Table6[[#This Row],[SKU]],'All Skus'!$A:$AC,13,FALSE)),""))</f>
        <v>0</v>
      </c>
      <c r="L834" s="102">
        <f>(IF((VLOOKUP(Table6[[#This Row],[SKU]],'All Skus'!$A:$AC,2,FALSE))="JBL",(VLOOKUP(Table6[[#This Row],[SKU]],'All Skus'!$A:$AC,14,FALSE)),""))</f>
        <v>0</v>
      </c>
      <c r="M834" s="143">
        <f>(IF((VLOOKUP(Table6[[#This Row],[SKU]],'All Skus'!$A:$AC,2,FALSE))="JBL",(VLOOKUP(Table6[[#This Row],[SKU]],'All Skus'!$A:$AC,15,FALSE)),""))</f>
        <v>0</v>
      </c>
      <c r="N834" s="137">
        <f>(IF((VLOOKUP(Table6[[#This Row],[SKU]],'All Skus'!$A:$AC,2,FALSE))="JBL",(VLOOKUP(Table6[[#This Row],[SKU]],'All Skus'!$A:$AC,16,FALSE)),""))</f>
        <v>691991035531</v>
      </c>
      <c r="O834" s="61">
        <f>(IF((VLOOKUP(Table6[[#This Row],[SKU]],'All Skus'!$A:$AC,2,FALSE))="JBL",(VLOOKUP(Table6[[#This Row],[SKU]],'All Skus'!$A:$AC,17,FALSE)),""))</f>
        <v>0</v>
      </c>
      <c r="P834" s="136">
        <f>(IF((VLOOKUP(Table6[[#This Row],[SKU]],'All Skus'!$A:$AC,2,FALSE))="JBL",(VLOOKUP(Table6[[#This Row],[SKU]],'All Skus'!$A:$AC,18,FALSE)),""))</f>
        <v>0</v>
      </c>
      <c r="Q834" s="136">
        <f>(IF((VLOOKUP(Table6[[#This Row],[SKU]],'All Skus'!$A:$AC,2,FALSE))="JBL",(VLOOKUP(Table6[[#This Row],[SKU]],'All Skus'!$A:$AC,19,FALSE)),""))</f>
        <v>0</v>
      </c>
      <c r="R834" s="136">
        <f>(IF((VLOOKUP(Table6[[#This Row],[SKU]],'All Skus'!$A:$AC,2,FALSE))="JBL",(VLOOKUP(Table6[[#This Row],[SKU]],'All Skus'!$A:$AC,20,FALSE)),""))</f>
        <v>0</v>
      </c>
      <c r="S834" s="61">
        <f>(IF((VLOOKUP(Table6[[#This Row],[SKU]],'All Skus'!$A:$AC,2,FALSE))="JBL",(VLOOKUP(Table6[[#This Row],[SKU]],'All Skus'!$A:$AC,21,FALSE)),""))</f>
        <v>0</v>
      </c>
      <c r="T834" s="61" t="str">
        <f>(IF((VLOOKUP(Table6[[#This Row],[SKU]],'All Skus'!$A:$AC,2,FALSE))="JBL",(VLOOKUP(Table6[[#This Row],[SKU]],'All Skus'!$A:$AC,22,FALSE)),""))</f>
        <v>CN</v>
      </c>
      <c r="U834" t="str">
        <f>(IF((VLOOKUP(Table6[[#This Row],[SKU]],'All Skus'!$A:$AC,2,FALSE))="JBL",(VLOOKUP(Table6[[#This Row],[SKU]],'All Skus'!$A:$AC,23,FALSE)),""))</f>
        <v>Non Compliant</v>
      </c>
      <c r="V834" s="284" t="str">
        <f>HYPERLINK((IF((VLOOKUP(Table6[[#This Row],[SKU]],'All Skus'!$A:$AC,2,FALSE))="JBL",(VLOOKUP(Table6[[#This Row],[SKU]],'All Skus'!$A:$AC,24,FALSE)),"")))</f>
        <v/>
      </c>
      <c r="W834" s="151">
        <v>832</v>
      </c>
    </row>
    <row r="835" spans="1:23" ht="15" hidden="1" customHeight="1">
      <c r="A835" s="104" t="s">
        <v>1845</v>
      </c>
      <c r="B835" s="12">
        <f>(IF((VLOOKUP(Table6[[#This Row],[SKU]],'All Skus'!$A:$AC,2,FALSE))="JBL",(VLOOKUP(Table6[[#This Row],[SKU]],'All Skus'!$A:$AC,3,FALSE)),""))</f>
        <v>0</v>
      </c>
      <c r="C835" s="12" t="str">
        <f>(IF((VLOOKUP(Table6[[#This Row],[SKU]],'All Skus'!$A:$AC,2,FALSE))="JBL",(VLOOKUP(Table6[[#This Row],[SKU]],'All Skus'!$A:$AC,4,FALSE)),""))</f>
        <v>PA</v>
      </c>
      <c r="D835" s="61">
        <f>(IF((VLOOKUP(Table6[[#This Row],[SKU]],'All Skus'!$A:$AC,2,FALSE))="JBL",(VLOOKUP(Table6[[#This Row],[SKU]],'All Skus'!$A:$AC,5,FALSE)),""))</f>
        <v>0</v>
      </c>
      <c r="E835" s="137">
        <f>(IF((VLOOKUP(Table6[[#This Row],[SKU]],'All Skus'!$A:$AC,2,FALSE))="JBL",(VLOOKUP(Table6[[#This Row],[SKU]],'All Skus'!$A:$AC,6,FALSE)),""))</f>
        <v>0</v>
      </c>
      <c r="F835" s="61">
        <f>(IF((VLOOKUP(Table6[[#This Row],[SKU]],'All Skus'!$A:$AC,2,FALSE))="JBL",(VLOOKUP(Table6[[#This Row],[SKU]],'All Skus'!$A:$AC,7,FALSE)),""))</f>
        <v>0</v>
      </c>
      <c r="G835">
        <f>(IF((VLOOKUP(Table6[[#This Row],[SKU]],'All Skus'!$A:$AC,2,FALSE))="JBL",(VLOOKUP(Table6[[#This Row],[SKU]],'All Skus'!$A:$AC,8,FALSE)),""))</f>
        <v>0</v>
      </c>
      <c r="H835" s="8">
        <f>(IF((VLOOKUP(Table6[[#This Row],[SKU]],'All Skus'!$A:$AC,2,FALSE))="JBL",(VLOOKUP(Table6[[#This Row],[SKU]],'All Skus'!$A:$AC,9,FALSE)),""))</f>
        <v>0</v>
      </c>
      <c r="I835" s="101">
        <f>(IF((VLOOKUP(Table6[[#This Row],[SKU]],'All Skus'!$A:$AC,2,FALSE))="JBL",(VLOOKUP(Table6[[#This Row],[SKU]],'All Skus'!$A:$AC,10,FALSE)),""))</f>
        <v>0</v>
      </c>
      <c r="J835" s="101">
        <f>(IF((VLOOKUP(Table6[[#This Row],[SKU]],'All Skus'!$A:$AC,2,FALSE))="JBL",(VLOOKUP(Table6[[#This Row],[SKU]],'All Skus'!$A:$AC,11,FALSE)),""))</f>
        <v>0</v>
      </c>
      <c r="K835" s="102">
        <f>(IF((VLOOKUP(Table6[[#This Row],[SKU]],'All Skus'!$A:$AC,2,FALSE))="JBL",(VLOOKUP(Table6[[#This Row],[SKU]],'All Skus'!$A:$AC,13,FALSE)),""))</f>
        <v>0</v>
      </c>
      <c r="L835" s="102">
        <f>(IF((VLOOKUP(Table6[[#This Row],[SKU]],'All Skus'!$A:$AC,2,FALSE))="JBL",(VLOOKUP(Table6[[#This Row],[SKU]],'All Skus'!$A:$AC,14,FALSE)),""))</f>
        <v>0</v>
      </c>
      <c r="M835" s="143">
        <f>(IF((VLOOKUP(Table6[[#This Row],[SKU]],'All Skus'!$A:$AC,2,FALSE))="JBL",(VLOOKUP(Table6[[#This Row],[SKU]],'All Skus'!$A:$AC,15,FALSE)),""))</f>
        <v>0</v>
      </c>
      <c r="N835" s="137">
        <f>(IF((VLOOKUP(Table6[[#This Row],[SKU]],'All Skus'!$A:$AC,2,FALSE))="JBL",(VLOOKUP(Table6[[#This Row],[SKU]],'All Skus'!$A:$AC,16,FALSE)),""))</f>
        <v>0</v>
      </c>
      <c r="O835" s="61">
        <f>(IF((VLOOKUP(Table6[[#This Row],[SKU]],'All Skus'!$A:$AC,2,FALSE))="JBL",(VLOOKUP(Table6[[#This Row],[SKU]],'All Skus'!$A:$AC,17,FALSE)),""))</f>
        <v>0</v>
      </c>
      <c r="P835" s="136">
        <f>(IF((VLOOKUP(Table6[[#This Row],[SKU]],'All Skus'!$A:$AC,2,FALSE))="JBL",(VLOOKUP(Table6[[#This Row],[SKU]],'All Skus'!$A:$AC,18,FALSE)),""))</f>
        <v>0</v>
      </c>
      <c r="Q835" s="136">
        <f>(IF((VLOOKUP(Table6[[#This Row],[SKU]],'All Skus'!$A:$AC,2,FALSE))="JBL",(VLOOKUP(Table6[[#This Row],[SKU]],'All Skus'!$A:$AC,19,FALSE)),""))</f>
        <v>0</v>
      </c>
      <c r="R835" s="136">
        <f>(IF((VLOOKUP(Table6[[#This Row],[SKU]],'All Skus'!$A:$AC,2,FALSE))="JBL",(VLOOKUP(Table6[[#This Row],[SKU]],'All Skus'!$A:$AC,20,FALSE)),""))</f>
        <v>0</v>
      </c>
      <c r="S835" s="61">
        <f>(IF((VLOOKUP(Table6[[#This Row],[SKU]],'All Skus'!$A:$AC,2,FALSE))="JBL",(VLOOKUP(Table6[[#This Row],[SKU]],'All Skus'!$A:$AC,21,FALSE)),""))</f>
        <v>0</v>
      </c>
      <c r="T835" s="61" t="str">
        <f>(IF((VLOOKUP(Table6[[#This Row],[SKU]],'All Skus'!$A:$AC,2,FALSE))="JBL",(VLOOKUP(Table6[[#This Row],[SKU]],'All Skus'!$A:$AC,22,FALSE)),""))</f>
        <v>CN</v>
      </c>
      <c r="U835" t="str">
        <f>(IF((VLOOKUP(Table6[[#This Row],[SKU]],'All Skus'!$A:$AC,2,FALSE))="JBL",(VLOOKUP(Table6[[#This Row],[SKU]],'All Skus'!$A:$AC,23,FALSE)),""))</f>
        <v>Non Compliant</v>
      </c>
      <c r="V835" s="284" t="str">
        <f>HYPERLINK((IF((VLOOKUP(Table6[[#This Row],[SKU]],'All Skus'!$A:$AC,2,FALSE))="JBL",(VLOOKUP(Table6[[#This Row],[SKU]],'All Skus'!$A:$AC,24,FALSE)),"")))</f>
        <v/>
      </c>
      <c r="W835" s="151">
        <v>833</v>
      </c>
    </row>
    <row r="836" spans="1:23" ht="15" hidden="1" customHeight="1">
      <c r="A836" s="13" t="s">
        <v>1844</v>
      </c>
      <c r="B836" s="12" t="str">
        <f>(IF((VLOOKUP(Table6[[#This Row],[SKU]],'All Skus'!$A:$AC,2,FALSE))="JBL",(VLOOKUP(Table6[[#This Row],[SKU]],'All Skus'!$A:$AC,3,FALSE)),""))</f>
        <v>SRX SERIES</v>
      </c>
      <c r="C836" s="12" t="str">
        <f>(IF((VLOOKUP(Table6[[#This Row],[SKU]],'All Skus'!$A:$AC,2,FALSE))="JBL",(VLOOKUP(Table6[[#This Row],[SKU]],'All Skus'!$A:$AC,4,FALSE)),""))</f>
        <v>ACK1</v>
      </c>
      <c r="D836" s="61" t="str">
        <f>(IF((VLOOKUP(Table6[[#This Row],[SKU]],'All Skus'!$A:$AC,2,FALSE))="JBL",(VLOOKUP(Table6[[#This Row],[SKU]],'All Skus'!$A:$AC,5,FALSE)),""))</f>
        <v>JBL020</v>
      </c>
      <c r="E836" s="137">
        <f>(IF((VLOOKUP(Table6[[#This Row],[SKU]],'All Skus'!$A:$AC,2,FALSE))="JBL",(VLOOKUP(Table6[[#This Row],[SKU]],'All Skus'!$A:$AC,6,FALSE)),""))</f>
        <v>0</v>
      </c>
      <c r="F836" s="61" t="str">
        <f>(IF((VLOOKUP(Table6[[#This Row],[SKU]],'All Skus'!$A:$AC,2,FALSE))="JBL",(VLOOKUP(Table6[[#This Row],[SKU]],'All Skus'!$A:$AC,7,FALSE)),""))</f>
        <v>NEW</v>
      </c>
      <c r="G836" t="str">
        <f>(IF((VLOOKUP(Table6[[#This Row],[SKU]],'All Skus'!$A:$AC,2,FALSE))="JBL",(VLOOKUP(Table6[[#This Row],[SKU]],'All Skus'!$A:$AC,8,FALSE)),""))</f>
        <v>Accessory Caster Kit</v>
      </c>
      <c r="H836" s="8" t="str">
        <f>(IF((VLOOKUP(Table6[[#This Row],[SKU]],'All Skus'!$A:$AC,2,FALSE))="JBL",(VLOOKUP(Table6[[#This Row],[SKU]],'All Skus'!$A:$AC,9,FALSE)),""))</f>
        <v>Universal Accessory Caster Kit</v>
      </c>
      <c r="I836" s="101">
        <f>(IF((VLOOKUP(Table6[[#This Row],[SKU]],'All Skus'!$A:$AC,2,FALSE))="JBL",(VLOOKUP(Table6[[#This Row],[SKU]],'All Skus'!$A:$AC,10,FALSE)),""))</f>
        <v>100</v>
      </c>
      <c r="J836" s="101">
        <f>(IF((VLOOKUP(Table6[[#This Row],[SKU]],'All Skus'!$A:$AC,2,FALSE))="JBL",(VLOOKUP(Table6[[#This Row],[SKU]],'All Skus'!$A:$AC,11,FALSE)),""))</f>
        <v>70</v>
      </c>
      <c r="K836" s="102">
        <f>(IF((VLOOKUP(Table6[[#This Row],[SKU]],'All Skus'!$A:$AC,2,FALSE))="JBL",(VLOOKUP(Table6[[#This Row],[SKU]],'All Skus'!$A:$AC,13,FALSE)),""))</f>
        <v>0</v>
      </c>
      <c r="L836" s="102">
        <f>(IF((VLOOKUP(Table6[[#This Row],[SKU]],'All Skus'!$A:$AC,2,FALSE))="JBL",(VLOOKUP(Table6[[#This Row],[SKU]],'All Skus'!$A:$AC,14,FALSE)),""))</f>
        <v>0</v>
      </c>
      <c r="M836" s="143">
        <f>(IF((VLOOKUP(Table6[[#This Row],[SKU]],'All Skus'!$A:$AC,2,FALSE))="JBL",(VLOOKUP(Table6[[#This Row],[SKU]],'All Skus'!$A:$AC,15,FALSE)),""))</f>
        <v>0</v>
      </c>
      <c r="N836" s="137">
        <f>(IF((VLOOKUP(Table6[[#This Row],[SKU]],'All Skus'!$A:$AC,2,FALSE))="JBL",(VLOOKUP(Table6[[#This Row],[SKU]],'All Skus'!$A:$AC,16,FALSE)),""))</f>
        <v>691991035616</v>
      </c>
      <c r="O836" s="61">
        <f>(IF((VLOOKUP(Table6[[#This Row],[SKU]],'All Skus'!$A:$AC,2,FALSE))="JBL",(VLOOKUP(Table6[[#This Row],[SKU]],'All Skus'!$A:$AC,17,FALSE)),""))</f>
        <v>0</v>
      </c>
      <c r="P836" s="136">
        <f>(IF((VLOOKUP(Table6[[#This Row],[SKU]],'All Skus'!$A:$AC,2,FALSE))="JBL",(VLOOKUP(Table6[[#This Row],[SKU]],'All Skus'!$A:$AC,18,FALSE)),""))</f>
        <v>0</v>
      </c>
      <c r="Q836" s="136">
        <f>(IF((VLOOKUP(Table6[[#This Row],[SKU]],'All Skus'!$A:$AC,2,FALSE))="JBL",(VLOOKUP(Table6[[#This Row],[SKU]],'All Skus'!$A:$AC,19,FALSE)),""))</f>
        <v>0</v>
      </c>
      <c r="R836" s="136">
        <f>(IF((VLOOKUP(Table6[[#This Row],[SKU]],'All Skus'!$A:$AC,2,FALSE))="JBL",(VLOOKUP(Table6[[#This Row],[SKU]],'All Skus'!$A:$AC,20,FALSE)),""))</f>
        <v>0</v>
      </c>
      <c r="S836" s="61">
        <f>(IF((VLOOKUP(Table6[[#This Row],[SKU]],'All Skus'!$A:$AC,2,FALSE))="JBL",(VLOOKUP(Table6[[#This Row],[SKU]],'All Skus'!$A:$AC,21,FALSE)),""))</f>
        <v>0</v>
      </c>
      <c r="T836" s="61" t="str">
        <f>(IF((VLOOKUP(Table6[[#This Row],[SKU]],'All Skus'!$A:$AC,2,FALSE))="JBL",(VLOOKUP(Table6[[#This Row],[SKU]],'All Skus'!$A:$AC,22,FALSE)),""))</f>
        <v>CN</v>
      </c>
      <c r="U836">
        <f>(IF((VLOOKUP(Table6[[#This Row],[SKU]],'All Skus'!$A:$AC,2,FALSE))="JBL",(VLOOKUP(Table6[[#This Row],[SKU]],'All Skus'!$A:$AC,23,FALSE)),""))</f>
        <v>0</v>
      </c>
      <c r="V836" s="285" t="str">
        <f>HYPERLINK((IF((VLOOKUP(Table6[[#This Row],[SKU]],'All Skus'!$A:$AC,2,FALSE))="JBL",(VLOOKUP(Table6[[#This Row],[SKU]],'All Skus'!$A:$AC,24,FALSE)),"")))</f>
        <v/>
      </c>
      <c r="W836" s="151">
        <v>834</v>
      </c>
    </row>
    <row r="837" spans="1:23" ht="15" hidden="1" customHeight="1">
      <c r="A837" s="13" t="s">
        <v>1847</v>
      </c>
      <c r="B837" s="12" t="str">
        <f>(IF((VLOOKUP(Table6[[#This Row],[SKU]],'All Skus'!$A:$AC,2,FALSE))="JBL",(VLOOKUP(Table6[[#This Row],[SKU]],'All Skus'!$A:$AC,3,FALSE)),""))</f>
        <v>PPAACCESSORIES</v>
      </c>
      <c r="C837" s="12" t="str">
        <f>(IF((VLOOKUP(Table6[[#This Row],[SKU]],'All Skus'!$A:$AC,2,FALSE))="JBL",(VLOOKUP(Table6[[#This Row],[SKU]],'All Skus'!$A:$AC,4,FALSE)),""))</f>
        <v>JBLPOLE-MA</v>
      </c>
      <c r="D837" s="61" t="str">
        <f>(IF((VLOOKUP(Table6[[#This Row],[SKU]],'All Skus'!$A:$AC,2,FALSE))="JBL",(VLOOKUP(Table6[[#This Row],[SKU]],'All Skus'!$A:$AC,5,FALSE)),""))</f>
        <v>JBL021</v>
      </c>
      <c r="E837" s="137">
        <f>(IF((VLOOKUP(Table6[[#This Row],[SKU]],'All Skus'!$A:$AC,2,FALSE))="JBL",(VLOOKUP(Table6[[#This Row],[SKU]],'All Skus'!$A:$AC,6,FALSE)),""))</f>
        <v>0</v>
      </c>
      <c r="F837" s="61">
        <f>(IF((VLOOKUP(Table6[[#This Row],[SKU]],'All Skus'!$A:$AC,2,FALSE))="JBL",(VLOOKUP(Table6[[#This Row],[SKU]],'All Skus'!$A:$AC,7,FALSE)),""))</f>
        <v>0</v>
      </c>
      <c r="G837" t="str">
        <f>(IF((VLOOKUP(Table6[[#This Row],[SKU]],'All Skus'!$A:$AC,2,FALSE))="JBL",(VLOOKUP(Table6[[#This Row],[SKU]],'All Skus'!$A:$AC,8,FALSE)),""))</f>
        <v>JBL manual adjust speaker pole.</v>
      </c>
      <c r="H837" s="8" t="str">
        <f>(IF((VLOOKUP(Table6[[#This Row],[SKU]],'All Skus'!$A:$AC,2,FALSE))="JBL",(VLOOKUP(Table6[[#This Row],[SKU]],'All Skus'!$A:$AC,9,FALSE)),""))</f>
        <v>JBL speaker pole with manual adjustment from 36" to 55".</v>
      </c>
      <c r="I837" s="101">
        <f>(IF((VLOOKUP(Table6[[#This Row],[SKU]],'All Skus'!$A:$AC,2,FALSE))="JBL",(VLOOKUP(Table6[[#This Row],[SKU]],'All Skus'!$A:$AC,10,FALSE)),""))</f>
        <v>158.46</v>
      </c>
      <c r="J837" s="101">
        <f>(IF((VLOOKUP(Table6[[#This Row],[SKU]],'All Skus'!$A:$AC,2,FALSE))="JBL",(VLOOKUP(Table6[[#This Row],[SKU]],'All Skus'!$A:$AC,11,FALSE)),""))</f>
        <v>98</v>
      </c>
      <c r="K837" s="102">
        <f>(IF((VLOOKUP(Table6[[#This Row],[SKU]],'All Skus'!$A:$AC,2,FALSE))="JBL",(VLOOKUP(Table6[[#This Row],[SKU]],'All Skus'!$A:$AC,13,FALSE)),""))</f>
        <v>0</v>
      </c>
      <c r="L837" s="102">
        <f>(IF((VLOOKUP(Table6[[#This Row],[SKU]],'All Skus'!$A:$AC,2,FALSE))="JBL",(VLOOKUP(Table6[[#This Row],[SKU]],'All Skus'!$A:$AC,14,FALSE)),""))</f>
        <v>0</v>
      </c>
      <c r="M837" s="143">
        <f>(IF((VLOOKUP(Table6[[#This Row],[SKU]],'All Skus'!$A:$AC,2,FALSE))="JBL",(VLOOKUP(Table6[[#This Row],[SKU]],'All Skus'!$A:$AC,15,FALSE)),""))</f>
        <v>2</v>
      </c>
      <c r="N837" s="137">
        <f>(IF((VLOOKUP(Table6[[#This Row],[SKU]],'All Skus'!$A:$AC,2,FALSE))="JBL",(VLOOKUP(Table6[[#This Row],[SKU]],'All Skus'!$A:$AC,16,FALSE)),""))</f>
        <v>50036904827</v>
      </c>
      <c r="O837" s="61">
        <f>(IF((VLOOKUP(Table6[[#This Row],[SKU]],'All Skus'!$A:$AC,2,FALSE))="JBL",(VLOOKUP(Table6[[#This Row],[SKU]],'All Skus'!$A:$AC,17,FALSE)),""))</f>
        <v>0</v>
      </c>
      <c r="P837" s="136">
        <f>(IF((VLOOKUP(Table6[[#This Row],[SKU]],'All Skus'!$A:$AC,2,FALSE))="JBL",(VLOOKUP(Table6[[#This Row],[SKU]],'All Skus'!$A:$AC,18,FALSE)),""))</f>
        <v>4</v>
      </c>
      <c r="Q837" s="136">
        <f>(IF((VLOOKUP(Table6[[#This Row],[SKU]],'All Skus'!$A:$AC,2,FALSE))="JBL",(VLOOKUP(Table6[[#This Row],[SKU]],'All Skus'!$A:$AC,19,FALSE)),""))</f>
        <v>39</v>
      </c>
      <c r="R837" s="136">
        <f>(IF((VLOOKUP(Table6[[#This Row],[SKU]],'All Skus'!$A:$AC,2,FALSE))="JBL",(VLOOKUP(Table6[[#This Row],[SKU]],'All Skus'!$A:$AC,20,FALSE)),""))</f>
        <v>2.5</v>
      </c>
      <c r="S837" s="61">
        <f>(IF((VLOOKUP(Table6[[#This Row],[SKU]],'All Skus'!$A:$AC,2,FALSE))="JBL",(VLOOKUP(Table6[[#This Row],[SKU]],'All Skus'!$A:$AC,21,FALSE)),""))</f>
        <v>4.5</v>
      </c>
      <c r="T837" s="61" t="str">
        <f>(IF((VLOOKUP(Table6[[#This Row],[SKU]],'All Skus'!$A:$AC,2,FALSE))="JBL",(VLOOKUP(Table6[[#This Row],[SKU]],'All Skus'!$A:$AC,22,FALSE)),""))</f>
        <v>CN</v>
      </c>
      <c r="U837" t="str">
        <f>(IF((VLOOKUP(Table6[[#This Row],[SKU]],'All Skus'!$A:$AC,2,FALSE))="JBL",(VLOOKUP(Table6[[#This Row],[SKU]],'All Skus'!$A:$AC,23,FALSE)),""))</f>
        <v>Non Compliant</v>
      </c>
      <c r="V837" s="284" t="str">
        <f>HYPERLINK((IF((VLOOKUP(Table6[[#This Row],[SKU]],'All Skus'!$A:$AC,2,FALSE))="JBL",(VLOOKUP(Table6[[#This Row],[SKU]],'All Skus'!$A:$AC,24,FALSE)),"")))</f>
        <v>http://www.jblpro.com/ProductAttachments/one-sheeter-jblpole-MA.pdf</v>
      </c>
      <c r="W837" s="151">
        <v>835</v>
      </c>
    </row>
    <row r="838" spans="1:23" ht="15" hidden="1" customHeight="1">
      <c r="A838" s="13" t="s">
        <v>1846</v>
      </c>
      <c r="B838" s="12" t="str">
        <f>(IF((VLOOKUP(Table6[[#This Row],[SKU]],'All Skus'!$A:$AC,2,FALSE))="JBL",(VLOOKUP(Table6[[#This Row],[SKU]],'All Skus'!$A:$AC,3,FALSE)),""))</f>
        <v>PPAACCESSORIES</v>
      </c>
      <c r="C838" s="12" t="str">
        <f>(IF((VLOOKUP(Table6[[#This Row],[SKU]],'All Skus'!$A:$AC,2,FALSE))="JBL",(VLOOKUP(Table6[[#This Row],[SKU]],'All Skus'!$A:$AC,4,FALSE)),""))</f>
        <v>JBLPOLE-GA</v>
      </c>
      <c r="D838" s="61" t="str">
        <f>(IF((VLOOKUP(Table6[[#This Row],[SKU]],'All Skus'!$A:$AC,2,FALSE))="JBL",(VLOOKUP(Table6[[#This Row],[SKU]],'All Skus'!$A:$AC,5,FALSE)),""))</f>
        <v>JBL021</v>
      </c>
      <c r="E838" s="137">
        <f>(IF((VLOOKUP(Table6[[#This Row],[SKU]],'All Skus'!$A:$AC,2,FALSE))="JBL",(VLOOKUP(Table6[[#This Row],[SKU]],'All Skus'!$A:$AC,6,FALSE)),""))</f>
        <v>0</v>
      </c>
      <c r="F838" s="61">
        <f>(IF((VLOOKUP(Table6[[#This Row],[SKU]],'All Skus'!$A:$AC,2,FALSE))="JBL",(VLOOKUP(Table6[[#This Row],[SKU]],'All Skus'!$A:$AC,7,FALSE)),""))</f>
        <v>0</v>
      </c>
      <c r="G838" t="str">
        <f>(IF((VLOOKUP(Table6[[#This Row],[SKU]],'All Skus'!$A:$AC,2,FALSE))="JBL",(VLOOKUP(Table6[[#This Row],[SKU]],'All Skus'!$A:$AC,8,FALSE)),""))</f>
        <v>JBL gas assist speaker pole.</v>
      </c>
      <c r="H838" s="8" t="str">
        <f>(IF((VLOOKUP(Table6[[#This Row],[SKU]],'All Skus'!$A:$AC,2,FALSE))="JBL",(VLOOKUP(Table6[[#This Row],[SKU]],'All Skus'!$A:$AC,9,FALSE)),""))</f>
        <v>JBL speaker pole featuring gass assist adjustment from  36" to 53".</v>
      </c>
      <c r="I838" s="101">
        <f>(IF((VLOOKUP(Table6[[#This Row],[SKU]],'All Skus'!$A:$AC,2,FALSE))="JBL",(VLOOKUP(Table6[[#This Row],[SKU]],'All Skus'!$A:$AC,10,FALSE)),""))</f>
        <v>262.89999999999998</v>
      </c>
      <c r="J838" s="101">
        <f>(IF((VLOOKUP(Table6[[#This Row],[SKU]],'All Skus'!$A:$AC,2,FALSE))="JBL",(VLOOKUP(Table6[[#This Row],[SKU]],'All Skus'!$A:$AC,11,FALSE)),""))</f>
        <v>154</v>
      </c>
      <c r="K838" s="102">
        <f>(IF((VLOOKUP(Table6[[#This Row],[SKU]],'All Skus'!$A:$AC,2,FALSE))="JBL",(VLOOKUP(Table6[[#This Row],[SKU]],'All Skus'!$A:$AC,13,FALSE)),""))</f>
        <v>0</v>
      </c>
      <c r="L838" s="102">
        <f>(IF((VLOOKUP(Table6[[#This Row],[SKU]],'All Skus'!$A:$AC,2,FALSE))="JBL",(VLOOKUP(Table6[[#This Row],[SKU]],'All Skus'!$A:$AC,14,FALSE)),""))</f>
        <v>0</v>
      </c>
      <c r="M838" s="143">
        <f>(IF((VLOOKUP(Table6[[#This Row],[SKU]],'All Skus'!$A:$AC,2,FALSE))="JBL",(VLOOKUP(Table6[[#This Row],[SKU]],'All Skus'!$A:$AC,15,FALSE)),""))</f>
        <v>2</v>
      </c>
      <c r="N838" s="137">
        <f>(IF((VLOOKUP(Table6[[#This Row],[SKU]],'All Skus'!$A:$AC,2,FALSE))="JBL",(VLOOKUP(Table6[[#This Row],[SKU]],'All Skus'!$A:$AC,16,FALSE)),""))</f>
        <v>50036904834</v>
      </c>
      <c r="O838" s="61">
        <f>(IF((VLOOKUP(Table6[[#This Row],[SKU]],'All Skus'!$A:$AC,2,FALSE))="JBL",(VLOOKUP(Table6[[#This Row],[SKU]],'All Skus'!$A:$AC,17,FALSE)),""))</f>
        <v>0</v>
      </c>
      <c r="P838" s="136">
        <f>(IF((VLOOKUP(Table6[[#This Row],[SKU]],'All Skus'!$A:$AC,2,FALSE))="JBL",(VLOOKUP(Table6[[#This Row],[SKU]],'All Skus'!$A:$AC,18,FALSE)),""))</f>
        <v>10</v>
      </c>
      <c r="Q838" s="136">
        <f>(IF((VLOOKUP(Table6[[#This Row],[SKU]],'All Skus'!$A:$AC,2,FALSE))="JBL",(VLOOKUP(Table6[[#This Row],[SKU]],'All Skus'!$A:$AC,19,FALSE)),""))</f>
        <v>40</v>
      </c>
      <c r="R838" s="136">
        <f>(IF((VLOOKUP(Table6[[#This Row],[SKU]],'All Skus'!$A:$AC,2,FALSE))="JBL",(VLOOKUP(Table6[[#This Row],[SKU]],'All Skus'!$A:$AC,20,FALSE)),""))</f>
        <v>8</v>
      </c>
      <c r="S838" s="61">
        <f>(IF((VLOOKUP(Table6[[#This Row],[SKU]],'All Skus'!$A:$AC,2,FALSE))="JBL",(VLOOKUP(Table6[[#This Row],[SKU]],'All Skus'!$A:$AC,21,FALSE)),""))</f>
        <v>5</v>
      </c>
      <c r="T838" s="61" t="str">
        <f>(IF((VLOOKUP(Table6[[#This Row],[SKU]],'All Skus'!$A:$AC,2,FALSE))="JBL",(VLOOKUP(Table6[[#This Row],[SKU]],'All Skus'!$A:$AC,22,FALSE)),""))</f>
        <v>CN</v>
      </c>
      <c r="U838" t="str">
        <f>(IF((VLOOKUP(Table6[[#This Row],[SKU]],'All Skus'!$A:$AC,2,FALSE))="JBL",(VLOOKUP(Table6[[#This Row],[SKU]],'All Skus'!$A:$AC,23,FALSE)),""))</f>
        <v>Non Compliant</v>
      </c>
      <c r="V838" s="284" t="str">
        <f>HYPERLINK((IF((VLOOKUP(Table6[[#This Row],[SKU]],'All Skus'!$A:$AC,2,FALSE))="JBL",(VLOOKUP(Table6[[#This Row],[SKU]],'All Skus'!$A:$AC,24,FALSE)),"")))</f>
        <v>http://www.jblpro.com/ProductAttachments/one-sheeter-jblpole-GA.pdf</v>
      </c>
      <c r="W838" s="151">
        <v>836</v>
      </c>
    </row>
    <row r="839" spans="1:23" ht="15" hidden="1" customHeight="1">
      <c r="A839" s="13" t="s">
        <v>1849</v>
      </c>
      <c r="B839" s="12" t="str">
        <f>(IF((VLOOKUP(Table6[[#This Row],[SKU]],'All Skus'!$A:$AC,2,FALSE))="JBL",(VLOOKUP(Table6[[#This Row],[SKU]],'All Skus'!$A:$AC,3,FALSE)),""))</f>
        <v>PPAACCESSORIES</v>
      </c>
      <c r="C839" s="12" t="str">
        <f>(IF((VLOOKUP(Table6[[#This Row],[SKU]],'All Skus'!$A:$AC,2,FALSE))="JBL",(VLOOKUP(Table6[[#This Row],[SKU]],'All Skus'!$A:$AC,4,FALSE)),""))</f>
        <v>JBLTRIPOD-MA</v>
      </c>
      <c r="D839" s="61" t="str">
        <f>(IF((VLOOKUP(Table6[[#This Row],[SKU]],'All Skus'!$A:$AC,2,FALSE))="JBL",(VLOOKUP(Table6[[#This Row],[SKU]],'All Skus'!$A:$AC,5,FALSE)),""))</f>
        <v>JBL021</v>
      </c>
      <c r="E839" s="137">
        <f>(IF((VLOOKUP(Table6[[#This Row],[SKU]],'All Skus'!$A:$AC,2,FALSE))="JBL",(VLOOKUP(Table6[[#This Row],[SKU]],'All Skus'!$A:$AC,6,FALSE)),""))</f>
        <v>0</v>
      </c>
      <c r="F839" s="61">
        <f>(IF((VLOOKUP(Table6[[#This Row],[SKU]],'All Skus'!$A:$AC,2,FALSE))="JBL",(VLOOKUP(Table6[[#This Row],[SKU]],'All Skus'!$A:$AC,7,FALSE)),""))</f>
        <v>0</v>
      </c>
      <c r="G839" t="str">
        <f>(IF((VLOOKUP(Table6[[#This Row],[SKU]],'All Skus'!$A:$AC,2,FALSE))="JBL",(VLOOKUP(Table6[[#This Row],[SKU]],'All Skus'!$A:$AC,8,FALSE)),""))</f>
        <v>JBL manual adjust speaker tripod.</v>
      </c>
      <c r="H839" s="8" t="str">
        <f>(IF((VLOOKUP(Table6[[#This Row],[SKU]],'All Skus'!$A:$AC,2,FALSE))="JBL",(VLOOKUP(Table6[[#This Row],[SKU]],'All Skus'!$A:$AC,9,FALSE)),""))</f>
        <v>JBL speaker tripod with manual adjustment from  4' 2" to 6' 5".</v>
      </c>
      <c r="I839" s="101">
        <f>(IF((VLOOKUP(Table6[[#This Row],[SKU]],'All Skus'!$A:$AC,2,FALSE))="JBL",(VLOOKUP(Table6[[#This Row],[SKU]],'All Skus'!$A:$AC,10,FALSE)),""))</f>
        <v>170.94</v>
      </c>
      <c r="J839" s="101">
        <f>(IF((VLOOKUP(Table6[[#This Row],[SKU]],'All Skus'!$A:$AC,2,FALSE))="JBL",(VLOOKUP(Table6[[#This Row],[SKU]],'All Skus'!$A:$AC,11,FALSE)),""))</f>
        <v>109</v>
      </c>
      <c r="K839" s="102">
        <f>(IF((VLOOKUP(Table6[[#This Row],[SKU]],'All Skus'!$A:$AC,2,FALSE))="JBL",(VLOOKUP(Table6[[#This Row],[SKU]],'All Skus'!$A:$AC,13,FALSE)),""))</f>
        <v>0</v>
      </c>
      <c r="L839" s="102">
        <f>(IF((VLOOKUP(Table6[[#This Row],[SKU]],'All Skus'!$A:$AC,2,FALSE))="JBL",(VLOOKUP(Table6[[#This Row],[SKU]],'All Skus'!$A:$AC,14,FALSE)),""))</f>
        <v>0</v>
      </c>
      <c r="M839" s="143">
        <f>(IF((VLOOKUP(Table6[[#This Row],[SKU]],'All Skus'!$A:$AC,2,FALSE))="JBL",(VLOOKUP(Table6[[#This Row],[SKU]],'All Skus'!$A:$AC,15,FALSE)),""))</f>
        <v>2</v>
      </c>
      <c r="N839" s="137">
        <f>(IF((VLOOKUP(Table6[[#This Row],[SKU]],'All Skus'!$A:$AC,2,FALSE))="JBL",(VLOOKUP(Table6[[#This Row],[SKU]],'All Skus'!$A:$AC,16,FALSE)),""))</f>
        <v>50036904841</v>
      </c>
      <c r="O839" s="61">
        <f>(IF((VLOOKUP(Table6[[#This Row],[SKU]],'All Skus'!$A:$AC,2,FALSE))="JBL",(VLOOKUP(Table6[[#This Row],[SKU]],'All Skus'!$A:$AC,17,FALSE)),""))</f>
        <v>0</v>
      </c>
      <c r="P839" s="136">
        <f>(IF((VLOOKUP(Table6[[#This Row],[SKU]],'All Skus'!$A:$AC,2,FALSE))="JBL",(VLOOKUP(Table6[[#This Row],[SKU]],'All Skus'!$A:$AC,18,FALSE)),""))</f>
        <v>20</v>
      </c>
      <c r="Q839" s="136">
        <f>(IF((VLOOKUP(Table6[[#This Row],[SKU]],'All Skus'!$A:$AC,2,FALSE))="JBL",(VLOOKUP(Table6[[#This Row],[SKU]],'All Skus'!$A:$AC,19,FALSE)),""))</f>
        <v>43</v>
      </c>
      <c r="R839" s="136">
        <f>(IF((VLOOKUP(Table6[[#This Row],[SKU]],'All Skus'!$A:$AC,2,FALSE))="JBL",(VLOOKUP(Table6[[#This Row],[SKU]],'All Skus'!$A:$AC,20,FALSE)),""))</f>
        <v>10</v>
      </c>
      <c r="S839" s="61">
        <f>(IF((VLOOKUP(Table6[[#This Row],[SKU]],'All Skus'!$A:$AC,2,FALSE))="JBL",(VLOOKUP(Table6[[#This Row],[SKU]],'All Skus'!$A:$AC,21,FALSE)),""))</f>
        <v>5</v>
      </c>
      <c r="T839" s="61" t="str">
        <f>(IF((VLOOKUP(Table6[[#This Row],[SKU]],'All Skus'!$A:$AC,2,FALSE))="JBL",(VLOOKUP(Table6[[#This Row],[SKU]],'All Skus'!$A:$AC,22,FALSE)),""))</f>
        <v>CN</v>
      </c>
      <c r="U839" t="str">
        <f>(IF((VLOOKUP(Table6[[#This Row],[SKU]],'All Skus'!$A:$AC,2,FALSE))="JBL",(VLOOKUP(Table6[[#This Row],[SKU]],'All Skus'!$A:$AC,23,FALSE)),""))</f>
        <v>Non Compliant</v>
      </c>
      <c r="V839" s="284" t="str">
        <f>HYPERLINK((IF((VLOOKUP(Table6[[#This Row],[SKU]],'All Skus'!$A:$AC,2,FALSE))="JBL",(VLOOKUP(Table6[[#This Row],[SKU]],'All Skus'!$A:$AC,24,FALSE)),"")))</f>
        <v>http://www.jblpro.com/ProductAttachments/One-sheeter-JBLTRIPOD-GA.pdf</v>
      </c>
      <c r="W839" s="151">
        <v>837</v>
      </c>
    </row>
    <row r="840" spans="1:23" ht="15" hidden="1" customHeight="1">
      <c r="A840" s="13" t="s">
        <v>1848</v>
      </c>
      <c r="B840" s="12" t="str">
        <f>(IF((VLOOKUP(Table6[[#This Row],[SKU]],'All Skus'!$A:$AC,2,FALSE))="JBL",(VLOOKUP(Table6[[#This Row],[SKU]],'All Skus'!$A:$AC,3,FALSE)),""))</f>
        <v>PPAACCESSORIES</v>
      </c>
      <c r="C840" s="12" t="str">
        <f>(IF((VLOOKUP(Table6[[#This Row],[SKU]],'All Skus'!$A:$AC,2,FALSE))="JBL",(VLOOKUP(Table6[[#This Row],[SKU]],'All Skus'!$A:$AC,4,FALSE)),""))</f>
        <v>JBLTRIPOD-GA</v>
      </c>
      <c r="D840" s="61" t="str">
        <f>(IF((VLOOKUP(Table6[[#This Row],[SKU]],'All Skus'!$A:$AC,2,FALSE))="JBL",(VLOOKUP(Table6[[#This Row],[SKU]],'All Skus'!$A:$AC,5,FALSE)),""))</f>
        <v>JBL021</v>
      </c>
      <c r="E840" s="137">
        <f>(IF((VLOOKUP(Table6[[#This Row],[SKU]],'All Skus'!$A:$AC,2,FALSE))="JBL",(VLOOKUP(Table6[[#This Row],[SKU]],'All Skus'!$A:$AC,6,FALSE)),""))</f>
        <v>0</v>
      </c>
      <c r="F840" s="61">
        <f>(IF((VLOOKUP(Table6[[#This Row],[SKU]],'All Skus'!$A:$AC,2,FALSE))="JBL",(VLOOKUP(Table6[[#This Row],[SKU]],'All Skus'!$A:$AC,7,FALSE)),""))</f>
        <v>0</v>
      </c>
      <c r="G840" t="str">
        <f>(IF((VLOOKUP(Table6[[#This Row],[SKU]],'All Skus'!$A:$AC,2,FALSE))="JBL",(VLOOKUP(Table6[[#This Row],[SKU]],'All Skus'!$A:$AC,8,FALSE)),""))</f>
        <v>JBL lift assist speaker tripod.</v>
      </c>
      <c r="H840" s="8" t="str">
        <f>(IF((VLOOKUP(Table6[[#This Row],[SKU]],'All Skus'!$A:$AC,2,FALSE))="JBL",(VLOOKUP(Table6[[#This Row],[SKU]],'All Skus'!$A:$AC,9,FALSE)),""))</f>
        <v>JBL speaker tripod featuring gass assist adjustment from  3' 8" to 6' 7"</v>
      </c>
      <c r="I840" s="101">
        <f>(IF((VLOOKUP(Table6[[#This Row],[SKU]],'All Skus'!$A:$AC,2,FALSE))="JBL",(VLOOKUP(Table6[[#This Row],[SKU]],'All Skus'!$A:$AC,10,FALSE)),""))</f>
        <v>402.16</v>
      </c>
      <c r="J840" s="101">
        <f>(IF((VLOOKUP(Table6[[#This Row],[SKU]],'All Skus'!$A:$AC,2,FALSE))="JBL",(VLOOKUP(Table6[[#This Row],[SKU]],'All Skus'!$A:$AC,11,FALSE)),""))</f>
        <v>236</v>
      </c>
      <c r="K840" s="102">
        <f>(IF((VLOOKUP(Table6[[#This Row],[SKU]],'All Skus'!$A:$AC,2,FALSE))="JBL",(VLOOKUP(Table6[[#This Row],[SKU]],'All Skus'!$A:$AC,13,FALSE)),""))</f>
        <v>0</v>
      </c>
      <c r="L840" s="102">
        <f>(IF((VLOOKUP(Table6[[#This Row],[SKU]],'All Skus'!$A:$AC,2,FALSE))="JBL",(VLOOKUP(Table6[[#This Row],[SKU]],'All Skus'!$A:$AC,14,FALSE)),""))</f>
        <v>0</v>
      </c>
      <c r="M840" s="143">
        <f>(IF((VLOOKUP(Table6[[#This Row],[SKU]],'All Skus'!$A:$AC,2,FALSE))="JBL",(VLOOKUP(Table6[[#This Row],[SKU]],'All Skus'!$A:$AC,15,FALSE)),""))</f>
        <v>2</v>
      </c>
      <c r="N840" s="137">
        <f>(IF((VLOOKUP(Table6[[#This Row],[SKU]],'All Skus'!$A:$AC,2,FALSE))="JBL",(VLOOKUP(Table6[[#This Row],[SKU]],'All Skus'!$A:$AC,16,FALSE)),""))</f>
        <v>50036904858</v>
      </c>
      <c r="O840" s="61">
        <f>(IF((VLOOKUP(Table6[[#This Row],[SKU]],'All Skus'!$A:$AC,2,FALSE))="JBL",(VLOOKUP(Table6[[#This Row],[SKU]],'All Skus'!$A:$AC,17,FALSE)),""))</f>
        <v>0</v>
      </c>
      <c r="P840" s="136">
        <f>(IF((VLOOKUP(Table6[[#This Row],[SKU]],'All Skus'!$A:$AC,2,FALSE))="JBL",(VLOOKUP(Table6[[#This Row],[SKU]],'All Skus'!$A:$AC,18,FALSE)),""))</f>
        <v>12</v>
      </c>
      <c r="Q840" s="136">
        <f>(IF((VLOOKUP(Table6[[#This Row],[SKU]],'All Skus'!$A:$AC,2,FALSE))="JBL",(VLOOKUP(Table6[[#This Row],[SKU]],'All Skus'!$A:$AC,19,FALSE)),""))</f>
        <v>7</v>
      </c>
      <c r="R840" s="136">
        <f>(IF((VLOOKUP(Table6[[#This Row],[SKU]],'All Skus'!$A:$AC,2,FALSE))="JBL",(VLOOKUP(Table6[[#This Row],[SKU]],'All Skus'!$A:$AC,20,FALSE)),""))</f>
        <v>13</v>
      </c>
      <c r="S840" s="61">
        <f>(IF((VLOOKUP(Table6[[#This Row],[SKU]],'All Skus'!$A:$AC,2,FALSE))="JBL",(VLOOKUP(Table6[[#This Row],[SKU]],'All Skus'!$A:$AC,21,FALSE)),""))</f>
        <v>37</v>
      </c>
      <c r="T840" s="61" t="str">
        <f>(IF((VLOOKUP(Table6[[#This Row],[SKU]],'All Skus'!$A:$AC,2,FALSE))="JBL",(VLOOKUP(Table6[[#This Row],[SKU]],'All Skus'!$A:$AC,22,FALSE)),""))</f>
        <v>CN</v>
      </c>
      <c r="U840" t="str">
        <f>(IF((VLOOKUP(Table6[[#This Row],[SKU]],'All Skus'!$A:$AC,2,FALSE))="JBL",(VLOOKUP(Table6[[#This Row],[SKU]],'All Skus'!$A:$AC,23,FALSE)),""))</f>
        <v>Non Compliant</v>
      </c>
      <c r="V840" s="284" t="str">
        <f>HYPERLINK((IF((VLOOKUP(Table6[[#This Row],[SKU]],'All Skus'!$A:$AC,2,FALSE))="JBL",(VLOOKUP(Table6[[#This Row],[SKU]],'All Skus'!$A:$AC,24,FALSE)),"")))</f>
        <v>http://www.jblpro.com/ProductAttachments/one-sheeter-jblpole-GA.pdf</v>
      </c>
      <c r="W840" s="151">
        <v>838</v>
      </c>
    </row>
    <row r="841" spans="1:23" ht="15" hidden="1" customHeight="1">
      <c r="A841" s="13" t="s">
        <v>1851</v>
      </c>
      <c r="B841" s="12" t="str">
        <f>(IF((VLOOKUP(Table6[[#This Row],[SKU]],'All Skus'!$A:$AC,2,FALSE))="JBL",(VLOOKUP(Table6[[#This Row],[SKU]],'All Skus'!$A:$AC,3,FALSE)),""))</f>
        <v>STUDIO MONITORS</v>
      </c>
      <c r="C841" s="12" t="str">
        <f>(IF((VLOOKUP(Table6[[#This Row],[SKU]],'All Skus'!$A:$AC,2,FALSE))="JBL",(VLOOKUP(Table6[[#This Row],[SKU]],'All Skus'!$A:$AC,4,FALSE)),""))</f>
        <v>104SET-BT-US-WHT</v>
      </c>
      <c r="D841" s="61" t="str">
        <f>(IF((VLOOKUP(Table6[[#This Row],[SKU]],'All Skus'!$A:$AC,2,FALSE))="JBL",(VLOOKUP(Table6[[#This Row],[SKU]],'All Skus'!$A:$AC,5,FALSE)),""))</f>
        <v>JBL025</v>
      </c>
      <c r="E841" s="137">
        <f>(IF((VLOOKUP(Table6[[#This Row],[SKU]],'All Skus'!$A:$AC,2,FALSE))="JBL",(VLOOKUP(Table6[[#This Row],[SKU]],'All Skus'!$A:$AC,6,FALSE)),""))</f>
        <v>0</v>
      </c>
      <c r="F841" s="61">
        <f>(IF((VLOOKUP(Table6[[#This Row],[SKU]],'All Skus'!$A:$AC,2,FALSE))="JBL",(VLOOKUP(Table6[[#This Row],[SKU]],'All Skus'!$A:$AC,7,FALSE)),""))</f>
        <v>0</v>
      </c>
      <c r="G841" t="str">
        <f>(IF((VLOOKUP(Table6[[#This Row],[SKU]],'All Skus'!$A:$AC,2,FALSE))="JBL",(VLOOKUP(Table6[[#This Row],[SKU]],'All Skus'!$A:$AC,8,FALSE)),""))</f>
        <v>JBL 104 Studio Monitors white</v>
      </c>
      <c r="H841" s="8" t="str">
        <f>(IF((VLOOKUP(Table6[[#This Row],[SKU]],'All Skus'!$A:$AC,2,FALSE))="JBL",(VLOOKUP(Table6[[#This Row],[SKU]],'All Skus'!$A:$AC,9,FALSE)),""))</f>
        <v>JBL 104 Studio Monitors Bluetooth</v>
      </c>
      <c r="I841" s="101">
        <f>(IF((VLOOKUP(Table6[[#This Row],[SKU]],'All Skus'!$A:$AC,2,FALSE))="JBL",(VLOOKUP(Table6[[#This Row],[SKU]],'All Skus'!$A:$AC,10,FALSE)),""))</f>
        <v>262.23</v>
      </c>
      <c r="J841" s="101">
        <f>(IF((VLOOKUP(Table6[[#This Row],[SKU]],'All Skus'!$A:$AC,2,FALSE))="JBL",(VLOOKUP(Table6[[#This Row],[SKU]],'All Skus'!$A:$AC,11,FALSE)),""))</f>
        <v>169</v>
      </c>
      <c r="K841" s="102">
        <f>(IF((VLOOKUP(Table6[[#This Row],[SKU]],'All Skus'!$A:$AC,2,FALSE))="JBL",(VLOOKUP(Table6[[#This Row],[SKU]],'All Skus'!$A:$AC,13,FALSE)),""))</f>
        <v>0</v>
      </c>
      <c r="L841" s="102">
        <f>(IF((VLOOKUP(Table6[[#This Row],[SKU]],'All Skus'!$A:$AC,2,FALSE))="JBL",(VLOOKUP(Table6[[#This Row],[SKU]],'All Skus'!$A:$AC,14,FALSE)),""))</f>
        <v>0</v>
      </c>
      <c r="M841" s="143">
        <f>(IF((VLOOKUP(Table6[[#This Row],[SKU]],'All Skus'!$A:$AC,2,FALSE))="JBL",(VLOOKUP(Table6[[#This Row],[SKU]],'All Skus'!$A:$AC,15,FALSE)),""))</f>
        <v>0</v>
      </c>
      <c r="N841" s="137">
        <f>(IF((VLOOKUP(Table6[[#This Row],[SKU]],'All Skus'!$A:$AC,2,FALSE))="JBL",(VLOOKUP(Table6[[#This Row],[SKU]],'All Skus'!$A:$AC,16,FALSE)),""))</f>
        <v>691991033704</v>
      </c>
      <c r="O841" s="61">
        <f>(IF((VLOOKUP(Table6[[#This Row],[SKU]],'All Skus'!$A:$AC,2,FALSE))="JBL",(VLOOKUP(Table6[[#This Row],[SKU]],'All Skus'!$A:$AC,17,FALSE)),""))</f>
        <v>0</v>
      </c>
      <c r="P841" s="136">
        <f>(IF((VLOOKUP(Table6[[#This Row],[SKU]],'All Skus'!$A:$AC,2,FALSE))="JBL",(VLOOKUP(Table6[[#This Row],[SKU]],'All Skus'!$A:$AC,18,FALSE)),""))</f>
        <v>0</v>
      </c>
      <c r="Q841" s="136">
        <f>(IF((VLOOKUP(Table6[[#This Row],[SKU]],'All Skus'!$A:$AC,2,FALSE))="JBL",(VLOOKUP(Table6[[#This Row],[SKU]],'All Skus'!$A:$AC,19,FALSE)),""))</f>
        <v>0</v>
      </c>
      <c r="R841" s="136">
        <f>(IF((VLOOKUP(Table6[[#This Row],[SKU]],'All Skus'!$A:$AC,2,FALSE))="JBL",(VLOOKUP(Table6[[#This Row],[SKU]],'All Skus'!$A:$AC,20,FALSE)),""))</f>
        <v>0</v>
      </c>
      <c r="S841" s="61">
        <f>(IF((VLOOKUP(Table6[[#This Row],[SKU]],'All Skus'!$A:$AC,2,FALSE))="JBL",(VLOOKUP(Table6[[#This Row],[SKU]],'All Skus'!$A:$AC,21,FALSE)),""))</f>
        <v>0</v>
      </c>
      <c r="T841" s="61" t="str">
        <f>(IF((VLOOKUP(Table6[[#This Row],[SKU]],'All Skus'!$A:$AC,2,FALSE))="JBL",(VLOOKUP(Table6[[#This Row],[SKU]],'All Skus'!$A:$AC,22,FALSE)),""))</f>
        <v>CN</v>
      </c>
      <c r="U841">
        <f>(IF((VLOOKUP(Table6[[#This Row],[SKU]],'All Skus'!$A:$AC,2,FALSE))="JBL",(VLOOKUP(Table6[[#This Row],[SKU]],'All Skus'!$A:$AC,23,FALSE)),""))</f>
        <v>0</v>
      </c>
      <c r="V841" s="284" t="str">
        <f>HYPERLINK((IF((VLOOKUP(Table6[[#This Row],[SKU]],'All Skus'!$A:$AC,2,FALSE))="JBL",(VLOOKUP(Table6[[#This Row],[SKU]],'All Skus'!$A:$AC,24,FALSE)),"")))</f>
        <v/>
      </c>
      <c r="W841" s="151">
        <v>839</v>
      </c>
    </row>
    <row r="842" spans="1:23" ht="15" hidden="1" customHeight="1">
      <c r="A842" s="13" t="s">
        <v>1850</v>
      </c>
      <c r="B842" s="12">
        <f>(IF((VLOOKUP(Table6[[#This Row],[SKU]],'All Skus'!$A:$AC,2,FALSE))="JBL",(VLOOKUP(Table6[[#This Row],[SKU]],'All Skus'!$A:$AC,3,FALSE)),""))</f>
        <v>0</v>
      </c>
      <c r="C842" s="12" t="str">
        <f>(IF((VLOOKUP(Table6[[#This Row],[SKU]],'All Skus'!$A:$AC,2,FALSE))="JBL",(VLOOKUP(Table6[[#This Row],[SKU]],'All Skus'!$A:$AC,4,FALSE)),""))</f>
        <v>&amp;</v>
      </c>
      <c r="D842" s="61">
        <f>(IF((VLOOKUP(Table6[[#This Row],[SKU]],'All Skus'!$A:$AC,2,FALSE))="JBL",(VLOOKUP(Table6[[#This Row],[SKU]],'All Skus'!$A:$AC,5,FALSE)),""))</f>
        <v>0</v>
      </c>
      <c r="E842" s="137">
        <f>(IF((VLOOKUP(Table6[[#This Row],[SKU]],'All Skus'!$A:$AC,2,FALSE))="JBL",(VLOOKUP(Table6[[#This Row],[SKU]],'All Skus'!$A:$AC,6,FALSE)),""))</f>
        <v>0</v>
      </c>
      <c r="F842" s="61">
        <f>(IF((VLOOKUP(Table6[[#This Row],[SKU]],'All Skus'!$A:$AC,2,FALSE))="JBL",(VLOOKUP(Table6[[#This Row],[SKU]],'All Skus'!$A:$AC,7,FALSE)),""))</f>
        <v>0</v>
      </c>
      <c r="G842">
        <f>(IF((VLOOKUP(Table6[[#This Row],[SKU]],'All Skus'!$A:$AC,2,FALSE))="JBL",(VLOOKUP(Table6[[#This Row],[SKU]],'All Skus'!$A:$AC,8,FALSE)),""))</f>
        <v>0</v>
      </c>
      <c r="H842" s="8">
        <f>(IF((VLOOKUP(Table6[[#This Row],[SKU]],'All Skus'!$A:$AC,2,FALSE))="JBL",(VLOOKUP(Table6[[#This Row],[SKU]],'All Skus'!$A:$AC,9,FALSE)),""))</f>
        <v>0</v>
      </c>
      <c r="I842" s="101">
        <f>(IF((VLOOKUP(Table6[[#This Row],[SKU]],'All Skus'!$A:$AC,2,FALSE))="JBL",(VLOOKUP(Table6[[#This Row],[SKU]],'All Skus'!$A:$AC,10,FALSE)),""))</f>
        <v>0</v>
      </c>
      <c r="J842" s="101">
        <f>(IF((VLOOKUP(Table6[[#This Row],[SKU]],'All Skus'!$A:$AC,2,FALSE))="JBL",(VLOOKUP(Table6[[#This Row],[SKU]],'All Skus'!$A:$AC,11,FALSE)),""))</f>
        <v>0</v>
      </c>
      <c r="K842" s="102">
        <f>(IF((VLOOKUP(Table6[[#This Row],[SKU]],'All Skus'!$A:$AC,2,FALSE))="JBL",(VLOOKUP(Table6[[#This Row],[SKU]],'All Skus'!$A:$AC,13,FALSE)),""))</f>
        <v>0</v>
      </c>
      <c r="L842" s="102">
        <f>(IF((VLOOKUP(Table6[[#This Row],[SKU]],'All Skus'!$A:$AC,2,FALSE))="JBL",(VLOOKUP(Table6[[#This Row],[SKU]],'All Skus'!$A:$AC,14,FALSE)),""))</f>
        <v>0</v>
      </c>
      <c r="M842" s="143">
        <f>(IF((VLOOKUP(Table6[[#This Row],[SKU]],'All Skus'!$A:$AC,2,FALSE))="JBL",(VLOOKUP(Table6[[#This Row],[SKU]],'All Skus'!$A:$AC,15,FALSE)),""))</f>
        <v>0</v>
      </c>
      <c r="N842" s="137">
        <f>(IF((VLOOKUP(Table6[[#This Row],[SKU]],'All Skus'!$A:$AC,2,FALSE))="JBL",(VLOOKUP(Table6[[#This Row],[SKU]],'All Skus'!$A:$AC,16,FALSE)),""))</f>
        <v>0</v>
      </c>
      <c r="O842" s="61">
        <f>(IF((VLOOKUP(Table6[[#This Row],[SKU]],'All Skus'!$A:$AC,2,FALSE))="JBL",(VLOOKUP(Table6[[#This Row],[SKU]],'All Skus'!$A:$AC,17,FALSE)),""))</f>
        <v>0</v>
      </c>
      <c r="P842" s="136">
        <f>(IF((VLOOKUP(Table6[[#This Row],[SKU]],'All Skus'!$A:$AC,2,FALSE))="JBL",(VLOOKUP(Table6[[#This Row],[SKU]],'All Skus'!$A:$AC,18,FALSE)),""))</f>
        <v>0</v>
      </c>
      <c r="Q842" s="136">
        <f>(IF((VLOOKUP(Table6[[#This Row],[SKU]],'All Skus'!$A:$AC,2,FALSE))="JBL",(VLOOKUP(Table6[[#This Row],[SKU]],'All Skus'!$A:$AC,19,FALSE)),""))</f>
        <v>0</v>
      </c>
      <c r="R842" s="136">
        <f>(IF((VLOOKUP(Table6[[#This Row],[SKU]],'All Skus'!$A:$AC,2,FALSE))="JBL",(VLOOKUP(Table6[[#This Row],[SKU]],'All Skus'!$A:$AC,20,FALSE)),""))</f>
        <v>0</v>
      </c>
      <c r="S842" s="61">
        <f>(IF((VLOOKUP(Table6[[#This Row],[SKU]],'All Skus'!$A:$AC,2,FALSE))="JBL",(VLOOKUP(Table6[[#This Row],[SKU]],'All Skus'!$A:$AC,21,FALSE)),""))</f>
        <v>0</v>
      </c>
      <c r="T842" s="61" t="str">
        <f>(IF((VLOOKUP(Table6[[#This Row],[SKU]],'All Skus'!$A:$AC,2,FALSE))="JBL",(VLOOKUP(Table6[[#This Row],[SKU]],'All Skus'!$A:$AC,22,FALSE)),""))</f>
        <v>CN</v>
      </c>
      <c r="U842" t="str">
        <f>(IF((VLOOKUP(Table6[[#This Row],[SKU]],'All Skus'!$A:$AC,2,FALSE))="JBL",(VLOOKUP(Table6[[#This Row],[SKU]],'All Skus'!$A:$AC,23,FALSE)),""))</f>
        <v>Non Compliant</v>
      </c>
      <c r="V842" s="284" t="str">
        <f>HYPERLINK((IF((VLOOKUP(Table6[[#This Row],[SKU]],'All Skus'!$A:$AC,2,FALSE))="JBL",(VLOOKUP(Table6[[#This Row],[SKU]],'All Skus'!$A:$AC,24,FALSE)),"")))</f>
        <v>http://www.jblpro.com/www/products/recording-broadcast/3-series/lsr305#.VkxqHoRqBJo</v>
      </c>
      <c r="W842" s="151">
        <v>840</v>
      </c>
    </row>
    <row r="843" spans="1:23" ht="15" hidden="1" customHeight="1">
      <c r="A843" s="13" t="s">
        <v>1853</v>
      </c>
      <c r="B843" s="12" t="str">
        <f>(IF((VLOOKUP(Table6[[#This Row],[SKU]],'All Skus'!$A:$AC,2,FALSE))="JBL",(VLOOKUP(Table6[[#This Row],[SKU]],'All Skus'!$A:$AC,3,FALSE)),""))</f>
        <v>STUDIO MONITORS</v>
      </c>
      <c r="C843" s="12" t="str">
        <f>(IF((VLOOKUP(Table6[[#This Row],[SKU]],'All Skus'!$A:$AC,2,FALSE))="JBL",(VLOOKUP(Table6[[#This Row],[SKU]],'All Skus'!$A:$AC,4,FALSE)),""))</f>
        <v>305PMKII</v>
      </c>
      <c r="D843" s="61" t="str">
        <f>(IF((VLOOKUP(Table6[[#This Row],[SKU]],'All Skus'!$A:$AC,2,FALSE))="JBL",(VLOOKUP(Table6[[#This Row],[SKU]],'All Skus'!$A:$AC,5,FALSE)),""))</f>
        <v>JBL025</v>
      </c>
      <c r="E843" s="137">
        <f>(IF((VLOOKUP(Table6[[#This Row],[SKU]],'All Skus'!$A:$AC,2,FALSE))="JBL",(VLOOKUP(Table6[[#This Row],[SKU]],'All Skus'!$A:$AC,6,FALSE)),""))</f>
        <v>0</v>
      </c>
      <c r="F843" s="61">
        <f>(IF((VLOOKUP(Table6[[#This Row],[SKU]],'All Skus'!$A:$AC,2,FALSE))="JBL",(VLOOKUP(Table6[[#This Row],[SKU]],'All Skus'!$A:$AC,7,FALSE)),""))</f>
        <v>0</v>
      </c>
      <c r="G843" t="str">
        <f>(IF((VLOOKUP(Table6[[#This Row],[SKU]],'All Skus'!$A:$AC,2,FALSE))="JBL",(VLOOKUP(Table6[[#This Row],[SKU]],'All Skus'!$A:$AC,8,FALSE)),""))</f>
        <v>S/M, 305PMKII</v>
      </c>
      <c r="H843" s="8" t="str">
        <f>(IF((VLOOKUP(Table6[[#This Row],[SKU]],'All Skus'!$A:$AC,2,FALSE))="JBL",(VLOOKUP(Table6[[#This Row],[SKU]],'All Skus'!$A:$AC,9,FALSE)),""))</f>
        <v>S/M, 305PMKII</v>
      </c>
      <c r="I843" s="101">
        <f>(IF((VLOOKUP(Table6[[#This Row],[SKU]],'All Skus'!$A:$AC,2,FALSE))="JBL",(VLOOKUP(Table6[[#This Row],[SKU]],'All Skus'!$A:$AC,10,FALSE)),""))</f>
        <v>217.08</v>
      </c>
      <c r="J843" s="101">
        <f>(IF((VLOOKUP(Table6[[#This Row],[SKU]],'All Skus'!$A:$AC,2,FALSE))="JBL",(VLOOKUP(Table6[[#This Row],[SKU]],'All Skus'!$A:$AC,11,FALSE)),""))</f>
        <v>149</v>
      </c>
      <c r="K843" s="102">
        <f>(IF((VLOOKUP(Table6[[#This Row],[SKU]],'All Skus'!$A:$AC,2,FALSE))="JBL",(VLOOKUP(Table6[[#This Row],[SKU]],'All Skus'!$A:$AC,13,FALSE)),""))</f>
        <v>0</v>
      </c>
      <c r="L843" s="102">
        <f>(IF((VLOOKUP(Table6[[#This Row],[SKU]],'All Skus'!$A:$AC,2,FALSE))="JBL",(VLOOKUP(Table6[[#This Row],[SKU]],'All Skus'!$A:$AC,14,FALSE)),""))</f>
        <v>0</v>
      </c>
      <c r="M843" s="143">
        <f>(IF((VLOOKUP(Table6[[#This Row],[SKU]],'All Skus'!$A:$AC,2,FALSE))="JBL",(VLOOKUP(Table6[[#This Row],[SKU]],'All Skus'!$A:$AC,15,FALSE)),""))</f>
        <v>0</v>
      </c>
      <c r="N843" s="137">
        <f>(IF((VLOOKUP(Table6[[#This Row],[SKU]],'All Skus'!$A:$AC,2,FALSE))="JBL",(VLOOKUP(Table6[[#This Row],[SKU]],'All Skus'!$A:$AC,16,FALSE)),""))</f>
        <v>691991007705</v>
      </c>
      <c r="O843" s="61">
        <f>(IF((VLOOKUP(Table6[[#This Row],[SKU]],'All Skus'!$A:$AC,2,FALSE))="JBL",(VLOOKUP(Table6[[#This Row],[SKU]],'All Skus'!$A:$AC,17,FALSE)),""))</f>
        <v>0</v>
      </c>
      <c r="P843" s="136">
        <f>(IF((VLOOKUP(Table6[[#This Row],[SKU]],'All Skus'!$A:$AC,2,FALSE))="JBL",(VLOOKUP(Table6[[#This Row],[SKU]],'All Skus'!$A:$AC,18,FALSE)),""))</f>
        <v>0</v>
      </c>
      <c r="Q843" s="136">
        <f>(IF((VLOOKUP(Table6[[#This Row],[SKU]],'All Skus'!$A:$AC,2,FALSE))="JBL",(VLOOKUP(Table6[[#This Row],[SKU]],'All Skus'!$A:$AC,19,FALSE)),""))</f>
        <v>0</v>
      </c>
      <c r="R843" s="136">
        <f>(IF((VLOOKUP(Table6[[#This Row],[SKU]],'All Skus'!$A:$AC,2,FALSE))="JBL",(VLOOKUP(Table6[[#This Row],[SKU]],'All Skus'!$A:$AC,20,FALSE)),""))</f>
        <v>0</v>
      </c>
      <c r="S843" s="61">
        <f>(IF((VLOOKUP(Table6[[#This Row],[SKU]],'All Skus'!$A:$AC,2,FALSE))="JBL",(VLOOKUP(Table6[[#This Row],[SKU]],'All Skus'!$A:$AC,21,FALSE)),""))</f>
        <v>0</v>
      </c>
      <c r="T843" s="61" t="str">
        <f>(IF((VLOOKUP(Table6[[#This Row],[SKU]],'All Skus'!$A:$AC,2,FALSE))="JBL",(VLOOKUP(Table6[[#This Row],[SKU]],'All Skus'!$A:$AC,22,FALSE)),""))</f>
        <v>CN</v>
      </c>
      <c r="U843" t="str">
        <f>(IF((VLOOKUP(Table6[[#This Row],[SKU]],'All Skus'!$A:$AC,2,FALSE))="JBL",(VLOOKUP(Table6[[#This Row],[SKU]],'All Skus'!$A:$AC,23,FALSE)),""))</f>
        <v>Non Compliant</v>
      </c>
      <c r="V843" s="284" t="str">
        <f>HYPERLINK((IF((VLOOKUP(Table6[[#This Row],[SKU]],'All Skus'!$A:$AC,2,FALSE))="JBL",(VLOOKUP(Table6[[#This Row],[SKU]],'All Skus'!$A:$AC,24,FALSE)),"")))</f>
        <v/>
      </c>
      <c r="W843" s="151">
        <v>841</v>
      </c>
    </row>
    <row r="844" spans="1:23" ht="15" hidden="1" customHeight="1">
      <c r="A844" s="13" t="s">
        <v>1852</v>
      </c>
      <c r="B844" s="12" t="str">
        <f>(IF((VLOOKUP(Table6[[#This Row],[SKU]],'All Skus'!$A:$AC,2,FALSE))="JBL",(VLOOKUP(Table6[[#This Row],[SKU]],'All Skus'!$A:$AC,3,FALSE)),""))</f>
        <v>STUDIO MONITORS</v>
      </c>
      <c r="C844" s="12" t="str">
        <f>(IF((VLOOKUP(Table6[[#This Row],[SKU]],'All Skus'!$A:$AC,2,FALSE))="JBL",(VLOOKUP(Table6[[#This Row],[SKU]],'All Skus'!$A:$AC,4,FALSE)),""))</f>
        <v>104SET-BT-US</v>
      </c>
      <c r="D844" s="61" t="str">
        <f>(IF((VLOOKUP(Table6[[#This Row],[SKU]],'All Skus'!$A:$AC,2,FALSE))="JBL",(VLOOKUP(Table6[[#This Row],[SKU]],'All Skus'!$A:$AC,5,FALSE)),""))</f>
        <v>JBL025</v>
      </c>
      <c r="E844" s="137">
        <f>(IF((VLOOKUP(Table6[[#This Row],[SKU]],'All Skus'!$A:$AC,2,FALSE))="JBL",(VLOOKUP(Table6[[#This Row],[SKU]],'All Skus'!$A:$AC,6,FALSE)),""))</f>
        <v>0</v>
      </c>
      <c r="F844" s="61">
        <f>(IF((VLOOKUP(Table6[[#This Row],[SKU]],'All Skus'!$A:$AC,2,FALSE))="JBL",(VLOOKUP(Table6[[#This Row],[SKU]],'All Skus'!$A:$AC,7,FALSE)),""))</f>
        <v>0</v>
      </c>
      <c r="G844" t="str">
        <f>(IF((VLOOKUP(Table6[[#This Row],[SKU]],'All Skus'!$A:$AC,2,FALSE))="JBL",(VLOOKUP(Table6[[#This Row],[SKU]],'All Skus'!$A:$AC,8,FALSE)),""))</f>
        <v>JBL 104 Studio Monitors</v>
      </c>
      <c r="H844" s="8" t="str">
        <f>(IF((VLOOKUP(Table6[[#This Row],[SKU]],'All Skus'!$A:$AC,2,FALSE))="JBL",(VLOOKUP(Table6[[#This Row],[SKU]],'All Skus'!$A:$AC,9,FALSE)),""))</f>
        <v>JBL 104 Studio Monitors Bluetooth</v>
      </c>
      <c r="I844" s="101">
        <f>(IF((VLOOKUP(Table6[[#This Row],[SKU]],'All Skus'!$A:$AC,2,FALSE))="JBL",(VLOOKUP(Table6[[#This Row],[SKU]],'All Skus'!$A:$AC,10,FALSE)),""))</f>
        <v>262.23</v>
      </c>
      <c r="J844" s="101">
        <f>(IF((VLOOKUP(Table6[[#This Row],[SKU]],'All Skus'!$A:$AC,2,FALSE))="JBL",(VLOOKUP(Table6[[#This Row],[SKU]],'All Skus'!$A:$AC,11,FALSE)),""))</f>
        <v>169</v>
      </c>
      <c r="K844" s="102">
        <f>(IF((VLOOKUP(Table6[[#This Row],[SKU]],'All Skus'!$A:$AC,2,FALSE))="JBL",(VLOOKUP(Table6[[#This Row],[SKU]],'All Skus'!$A:$AC,13,FALSE)),""))</f>
        <v>0</v>
      </c>
      <c r="L844" s="102">
        <f>(IF((VLOOKUP(Table6[[#This Row],[SKU]],'All Skus'!$A:$AC,2,FALSE))="JBL",(VLOOKUP(Table6[[#This Row],[SKU]],'All Skus'!$A:$AC,14,FALSE)),""))</f>
        <v>0</v>
      </c>
      <c r="M844" s="143">
        <f>(IF((VLOOKUP(Table6[[#This Row],[SKU]],'All Skus'!$A:$AC,2,FALSE))="JBL",(VLOOKUP(Table6[[#This Row],[SKU]],'All Skus'!$A:$AC,15,FALSE)),""))</f>
        <v>0</v>
      </c>
      <c r="N844" s="137">
        <f>(IF((VLOOKUP(Table6[[#This Row],[SKU]],'All Skus'!$A:$AC,2,FALSE))="JBL",(VLOOKUP(Table6[[#This Row],[SKU]],'All Skus'!$A:$AC,16,FALSE)),""))</f>
        <v>691991016769</v>
      </c>
      <c r="O844" s="61">
        <f>(IF((VLOOKUP(Table6[[#This Row],[SKU]],'All Skus'!$A:$AC,2,FALSE))="JBL",(VLOOKUP(Table6[[#This Row],[SKU]],'All Skus'!$A:$AC,17,FALSE)),""))</f>
        <v>0</v>
      </c>
      <c r="P844" s="136">
        <f>(IF((VLOOKUP(Table6[[#This Row],[SKU]],'All Skus'!$A:$AC,2,FALSE))="JBL",(VLOOKUP(Table6[[#This Row],[SKU]],'All Skus'!$A:$AC,18,FALSE)),""))</f>
        <v>0</v>
      </c>
      <c r="Q844" s="136">
        <f>(IF((VLOOKUP(Table6[[#This Row],[SKU]],'All Skus'!$A:$AC,2,FALSE))="JBL",(VLOOKUP(Table6[[#This Row],[SKU]],'All Skus'!$A:$AC,19,FALSE)),""))</f>
        <v>0</v>
      </c>
      <c r="R844" s="136">
        <f>(IF((VLOOKUP(Table6[[#This Row],[SKU]],'All Skus'!$A:$AC,2,FALSE))="JBL",(VLOOKUP(Table6[[#This Row],[SKU]],'All Skus'!$A:$AC,20,FALSE)),""))</f>
        <v>0</v>
      </c>
      <c r="S844" s="61">
        <f>(IF((VLOOKUP(Table6[[#This Row],[SKU]],'All Skus'!$A:$AC,2,FALSE))="JBL",(VLOOKUP(Table6[[#This Row],[SKU]],'All Skus'!$A:$AC,21,FALSE)),""))</f>
        <v>0</v>
      </c>
      <c r="T844" s="61" t="str">
        <f>(IF((VLOOKUP(Table6[[#This Row],[SKU]],'All Skus'!$A:$AC,2,FALSE))="JBL",(VLOOKUP(Table6[[#This Row],[SKU]],'All Skus'!$A:$AC,22,FALSE)),""))</f>
        <v>CN</v>
      </c>
      <c r="U844" t="str">
        <f>(IF((VLOOKUP(Table6[[#This Row],[SKU]],'All Skus'!$A:$AC,2,FALSE))="JBL",(VLOOKUP(Table6[[#This Row],[SKU]],'All Skus'!$A:$AC,23,FALSE)),""))</f>
        <v>Non Compliant</v>
      </c>
      <c r="V844" s="284" t="str">
        <f>HYPERLINK((IF((VLOOKUP(Table6[[#This Row],[SKU]],'All Skus'!$A:$AC,2,FALSE))="JBL",(VLOOKUP(Table6[[#This Row],[SKU]],'All Skus'!$A:$AC,24,FALSE)),"")))</f>
        <v/>
      </c>
      <c r="W844" s="151">
        <v>842</v>
      </c>
    </row>
    <row r="845" spans="1:23" ht="15" hidden="1" customHeight="1">
      <c r="A845" s="13" t="s">
        <v>1855</v>
      </c>
      <c r="B845" s="12" t="str">
        <f>(IF((VLOOKUP(Table6[[#This Row],[SKU]],'All Skus'!$A:$AC,2,FALSE))="JBL",(VLOOKUP(Table6[[#This Row],[SKU]],'All Skus'!$A:$AC,3,FALSE)),""))</f>
        <v>STUDIO MONITORS</v>
      </c>
      <c r="C845" s="12" t="str">
        <f>(IF((VLOOKUP(Table6[[#This Row],[SKU]],'All Skus'!$A:$AC,2,FALSE))="JBL",(VLOOKUP(Table6[[#This Row],[SKU]],'All Skus'!$A:$AC,4,FALSE)),""))</f>
        <v>308PMKII</v>
      </c>
      <c r="D845" s="61" t="str">
        <f>(IF((VLOOKUP(Table6[[#This Row],[SKU]],'All Skus'!$A:$AC,2,FALSE))="JBL",(VLOOKUP(Table6[[#This Row],[SKU]],'All Skus'!$A:$AC,5,FALSE)),""))</f>
        <v>JBL025</v>
      </c>
      <c r="E845" s="137">
        <f>(IF((VLOOKUP(Table6[[#This Row],[SKU]],'All Skus'!$A:$AC,2,FALSE))="JBL",(VLOOKUP(Table6[[#This Row],[SKU]],'All Skus'!$A:$AC,6,FALSE)),""))</f>
        <v>0</v>
      </c>
      <c r="F845" s="61">
        <f>(IF((VLOOKUP(Table6[[#This Row],[SKU]],'All Skus'!$A:$AC,2,FALSE))="JBL",(VLOOKUP(Table6[[#This Row],[SKU]],'All Skus'!$A:$AC,7,FALSE)),""))</f>
        <v>0</v>
      </c>
      <c r="G845" t="str">
        <f>(IF((VLOOKUP(Table6[[#This Row],[SKU]],'All Skus'!$A:$AC,2,FALSE))="JBL",(VLOOKUP(Table6[[#This Row],[SKU]],'All Skus'!$A:$AC,8,FALSE)),""))</f>
        <v>S/M, 308PMKII</v>
      </c>
      <c r="H845" s="8" t="str">
        <f>(IF((VLOOKUP(Table6[[#This Row],[SKU]],'All Skus'!$A:$AC,2,FALSE))="JBL",(VLOOKUP(Table6[[#This Row],[SKU]],'All Skus'!$A:$AC,9,FALSE)),""))</f>
        <v>S/M, 308PMKII</v>
      </c>
      <c r="I845" s="101">
        <f>(IF((VLOOKUP(Table6[[#This Row],[SKU]],'All Skus'!$A:$AC,2,FALSE))="JBL",(VLOOKUP(Table6[[#This Row],[SKU]],'All Skus'!$A:$AC,10,FALSE)),""))</f>
        <v>362.76</v>
      </c>
      <c r="J845" s="101">
        <f>(IF((VLOOKUP(Table6[[#This Row],[SKU]],'All Skus'!$A:$AC,2,FALSE))="JBL",(VLOOKUP(Table6[[#This Row],[SKU]],'All Skus'!$A:$AC,11,FALSE)),""))</f>
        <v>249</v>
      </c>
      <c r="K845" s="102">
        <f>(IF((VLOOKUP(Table6[[#This Row],[SKU]],'All Skus'!$A:$AC,2,FALSE))="JBL",(VLOOKUP(Table6[[#This Row],[SKU]],'All Skus'!$A:$AC,13,FALSE)),""))</f>
        <v>0</v>
      </c>
      <c r="L845" s="102">
        <f>(IF((VLOOKUP(Table6[[#This Row],[SKU]],'All Skus'!$A:$AC,2,FALSE))="JBL",(VLOOKUP(Table6[[#This Row],[SKU]],'All Skus'!$A:$AC,14,FALSE)),""))</f>
        <v>0</v>
      </c>
      <c r="M845" s="143">
        <f>(IF((VLOOKUP(Table6[[#This Row],[SKU]],'All Skus'!$A:$AC,2,FALSE))="JBL",(VLOOKUP(Table6[[#This Row],[SKU]],'All Skus'!$A:$AC,15,FALSE)),""))</f>
        <v>0</v>
      </c>
      <c r="N845" s="137">
        <f>(IF((VLOOKUP(Table6[[#This Row],[SKU]],'All Skus'!$A:$AC,2,FALSE))="JBL",(VLOOKUP(Table6[[#This Row],[SKU]],'All Skus'!$A:$AC,16,FALSE)),""))</f>
        <v>691991007729</v>
      </c>
      <c r="O845" s="61">
        <f>(IF((VLOOKUP(Table6[[#This Row],[SKU]],'All Skus'!$A:$AC,2,FALSE))="JBL",(VLOOKUP(Table6[[#This Row],[SKU]],'All Skus'!$A:$AC,17,FALSE)),""))</f>
        <v>0</v>
      </c>
      <c r="P845" s="136">
        <f>(IF((VLOOKUP(Table6[[#This Row],[SKU]],'All Skus'!$A:$AC,2,FALSE))="JBL",(VLOOKUP(Table6[[#This Row],[SKU]],'All Skus'!$A:$AC,18,FALSE)),""))</f>
        <v>0</v>
      </c>
      <c r="Q845" s="136">
        <f>(IF((VLOOKUP(Table6[[#This Row],[SKU]],'All Skus'!$A:$AC,2,FALSE))="JBL",(VLOOKUP(Table6[[#This Row],[SKU]],'All Skus'!$A:$AC,19,FALSE)),""))</f>
        <v>0</v>
      </c>
      <c r="R845" s="136">
        <f>(IF((VLOOKUP(Table6[[#This Row],[SKU]],'All Skus'!$A:$AC,2,FALSE))="JBL",(VLOOKUP(Table6[[#This Row],[SKU]],'All Skus'!$A:$AC,20,FALSE)),""))</f>
        <v>0</v>
      </c>
      <c r="S845" s="61">
        <f>(IF((VLOOKUP(Table6[[#This Row],[SKU]],'All Skus'!$A:$AC,2,FALSE))="JBL",(VLOOKUP(Table6[[#This Row],[SKU]],'All Skus'!$A:$AC,21,FALSE)),""))</f>
        <v>0</v>
      </c>
      <c r="T845" s="61" t="str">
        <f>(IF((VLOOKUP(Table6[[#This Row],[SKU]],'All Skus'!$A:$AC,2,FALSE))="JBL",(VLOOKUP(Table6[[#This Row],[SKU]],'All Skus'!$A:$AC,22,FALSE)),""))</f>
        <v>CN</v>
      </c>
      <c r="U845" t="str">
        <f>(IF((VLOOKUP(Table6[[#This Row],[SKU]],'All Skus'!$A:$AC,2,FALSE))="JBL",(VLOOKUP(Table6[[#This Row],[SKU]],'All Skus'!$A:$AC,23,FALSE)),""))</f>
        <v>Non Compliant</v>
      </c>
      <c r="V845" s="284" t="str">
        <f>HYPERLINK((IF((VLOOKUP(Table6[[#This Row],[SKU]],'All Skus'!$A:$AC,2,FALSE))="JBL",(VLOOKUP(Table6[[#This Row],[SKU]],'All Skus'!$A:$AC,24,FALSE)),"")))</f>
        <v/>
      </c>
      <c r="W845" s="151">
        <v>843</v>
      </c>
    </row>
    <row r="846" spans="1:23" ht="15" hidden="1" customHeight="1">
      <c r="A846" s="13" t="s">
        <v>1854</v>
      </c>
      <c r="B846" s="12" t="str">
        <f>(IF((VLOOKUP(Table6[[#This Row],[SKU]],'All Skus'!$A:$AC,2,FALSE))="JBL",(VLOOKUP(Table6[[#This Row],[SKU]],'All Skus'!$A:$AC,3,FALSE)),""))</f>
        <v>STUDIO MONITORS</v>
      </c>
      <c r="C846" s="12" t="str">
        <f>(IF((VLOOKUP(Table6[[#This Row],[SKU]],'All Skus'!$A:$AC,2,FALSE))="JBL",(VLOOKUP(Table6[[#This Row],[SKU]],'All Skus'!$A:$AC,4,FALSE)),""))</f>
        <v>306PMKII</v>
      </c>
      <c r="D846" s="61" t="str">
        <f>(IF((VLOOKUP(Table6[[#This Row],[SKU]],'All Skus'!$A:$AC,2,FALSE))="JBL",(VLOOKUP(Table6[[#This Row],[SKU]],'All Skus'!$A:$AC,5,FALSE)),""))</f>
        <v>JBL025</v>
      </c>
      <c r="E846" s="137">
        <f>(IF((VLOOKUP(Table6[[#This Row],[SKU]],'All Skus'!$A:$AC,2,FALSE))="JBL",(VLOOKUP(Table6[[#This Row],[SKU]],'All Skus'!$A:$AC,6,FALSE)),""))</f>
        <v>0</v>
      </c>
      <c r="F846" s="61">
        <f>(IF((VLOOKUP(Table6[[#This Row],[SKU]],'All Skus'!$A:$AC,2,FALSE))="JBL",(VLOOKUP(Table6[[#This Row],[SKU]],'All Skus'!$A:$AC,7,FALSE)),""))</f>
        <v>0</v>
      </c>
      <c r="G846" t="str">
        <f>(IF((VLOOKUP(Table6[[#This Row],[SKU]],'All Skus'!$A:$AC,2,FALSE))="JBL",(VLOOKUP(Table6[[#This Row],[SKU]],'All Skus'!$A:$AC,8,FALSE)),""))</f>
        <v>S/M, 306PMKII</v>
      </c>
      <c r="H846" s="8" t="str">
        <f>(IF((VLOOKUP(Table6[[#This Row],[SKU]],'All Skus'!$A:$AC,2,FALSE))="JBL",(VLOOKUP(Table6[[#This Row],[SKU]],'All Skus'!$A:$AC,9,FALSE)),""))</f>
        <v>S/M, 306PMKII</v>
      </c>
      <c r="I846" s="101">
        <f>(IF((VLOOKUP(Table6[[#This Row],[SKU]],'All Skus'!$A:$AC,2,FALSE))="JBL",(VLOOKUP(Table6[[#This Row],[SKU]],'All Skus'!$A:$AC,10,FALSE)),""))</f>
        <v>289.92</v>
      </c>
      <c r="J846" s="101">
        <f>(IF((VLOOKUP(Table6[[#This Row],[SKU]],'All Skus'!$A:$AC,2,FALSE))="JBL",(VLOOKUP(Table6[[#This Row],[SKU]],'All Skus'!$A:$AC,11,FALSE)),""))</f>
        <v>199</v>
      </c>
      <c r="K846" s="102">
        <f>(IF((VLOOKUP(Table6[[#This Row],[SKU]],'All Skus'!$A:$AC,2,FALSE))="JBL",(VLOOKUP(Table6[[#This Row],[SKU]],'All Skus'!$A:$AC,13,FALSE)),""))</f>
        <v>0</v>
      </c>
      <c r="L846" s="102">
        <f>(IF((VLOOKUP(Table6[[#This Row],[SKU]],'All Skus'!$A:$AC,2,FALSE))="JBL",(VLOOKUP(Table6[[#This Row],[SKU]],'All Skus'!$A:$AC,14,FALSE)),""))</f>
        <v>0</v>
      </c>
      <c r="M846" s="143">
        <f>(IF((VLOOKUP(Table6[[#This Row],[SKU]],'All Skus'!$A:$AC,2,FALSE))="JBL",(VLOOKUP(Table6[[#This Row],[SKU]],'All Skus'!$A:$AC,15,FALSE)),""))</f>
        <v>0</v>
      </c>
      <c r="N846" s="137">
        <f>(IF((VLOOKUP(Table6[[#This Row],[SKU]],'All Skus'!$A:$AC,2,FALSE))="JBL",(VLOOKUP(Table6[[#This Row],[SKU]],'All Skus'!$A:$AC,16,FALSE)),""))</f>
        <v>691991007712</v>
      </c>
      <c r="O846" s="61">
        <f>(IF((VLOOKUP(Table6[[#This Row],[SKU]],'All Skus'!$A:$AC,2,FALSE))="JBL",(VLOOKUP(Table6[[#This Row],[SKU]],'All Skus'!$A:$AC,17,FALSE)),""))</f>
        <v>0</v>
      </c>
      <c r="P846" s="136">
        <f>(IF((VLOOKUP(Table6[[#This Row],[SKU]],'All Skus'!$A:$AC,2,FALSE))="JBL",(VLOOKUP(Table6[[#This Row],[SKU]],'All Skus'!$A:$AC,18,FALSE)),""))</f>
        <v>0</v>
      </c>
      <c r="Q846" s="136">
        <f>(IF((VLOOKUP(Table6[[#This Row],[SKU]],'All Skus'!$A:$AC,2,FALSE))="JBL",(VLOOKUP(Table6[[#This Row],[SKU]],'All Skus'!$A:$AC,19,FALSE)),""))</f>
        <v>0</v>
      </c>
      <c r="R846" s="136">
        <f>(IF((VLOOKUP(Table6[[#This Row],[SKU]],'All Skus'!$A:$AC,2,FALSE))="JBL",(VLOOKUP(Table6[[#This Row],[SKU]],'All Skus'!$A:$AC,20,FALSE)),""))</f>
        <v>0</v>
      </c>
      <c r="S846" s="61">
        <f>(IF((VLOOKUP(Table6[[#This Row],[SKU]],'All Skus'!$A:$AC,2,FALSE))="JBL",(VLOOKUP(Table6[[#This Row],[SKU]],'All Skus'!$A:$AC,21,FALSE)),""))</f>
        <v>0</v>
      </c>
      <c r="T846" s="61" t="str">
        <f>(IF((VLOOKUP(Table6[[#This Row],[SKU]],'All Skus'!$A:$AC,2,FALSE))="JBL",(VLOOKUP(Table6[[#This Row],[SKU]],'All Skus'!$A:$AC,22,FALSE)),""))</f>
        <v>CN</v>
      </c>
      <c r="U846" t="str">
        <f>(IF((VLOOKUP(Table6[[#This Row],[SKU]],'All Skus'!$A:$AC,2,FALSE))="JBL",(VLOOKUP(Table6[[#This Row],[SKU]],'All Skus'!$A:$AC,23,FALSE)),""))</f>
        <v>Non Compliant</v>
      </c>
      <c r="V846" s="284" t="str">
        <f>HYPERLINK((IF((VLOOKUP(Table6[[#This Row],[SKU]],'All Skus'!$A:$AC,2,FALSE))="JBL",(VLOOKUP(Table6[[#This Row],[SKU]],'All Skus'!$A:$AC,24,FALSE)),"")))</f>
        <v/>
      </c>
      <c r="W846" s="151">
        <v>844</v>
      </c>
    </row>
    <row r="847" spans="1:23" ht="15" hidden="1" customHeight="1">
      <c r="A847" s="13" t="s">
        <v>1857</v>
      </c>
      <c r="B847" s="12" t="str">
        <f>(IF((VLOOKUP(Table6[[#This Row],[SKU]],'All Skus'!$A:$AC,2,FALSE))="JBL",(VLOOKUP(Table6[[#This Row],[SKU]],'All Skus'!$A:$AC,3,FALSE)),""))</f>
        <v>STUDIO MONITORS</v>
      </c>
      <c r="C847" s="12" t="str">
        <f>(IF((VLOOKUP(Table6[[#This Row],[SKU]],'All Skus'!$A:$AC,2,FALSE))="JBL",(VLOOKUP(Table6[[#This Row],[SKU]],'All Skus'!$A:$AC,4,FALSE)),""))</f>
        <v>LSR705i</v>
      </c>
      <c r="D847" s="61" t="str">
        <f>(IF((VLOOKUP(Table6[[#This Row],[SKU]],'All Skus'!$A:$AC,2,FALSE))="JBL",(VLOOKUP(Table6[[#This Row],[SKU]],'All Skus'!$A:$AC,5,FALSE)),""))</f>
        <v>JBL025</v>
      </c>
      <c r="E847" s="137">
        <f>(IF((VLOOKUP(Table6[[#This Row],[SKU]],'All Skus'!$A:$AC,2,FALSE))="JBL",(VLOOKUP(Table6[[#This Row],[SKU]],'All Skus'!$A:$AC,6,FALSE)),""))</f>
        <v>0</v>
      </c>
      <c r="F847" s="61">
        <f>(IF((VLOOKUP(Table6[[#This Row],[SKU]],'All Skus'!$A:$AC,2,FALSE))="JBL",(VLOOKUP(Table6[[#This Row],[SKU]],'All Skus'!$A:$AC,7,FALSE)),""))</f>
        <v>0</v>
      </c>
      <c r="G847" t="str">
        <f>(IF((VLOOKUP(Table6[[#This Row],[SKU]],'All Skus'!$A:$AC,2,FALSE))="JBL",(VLOOKUP(Table6[[#This Row],[SKU]],'All Skus'!$A:$AC,8,FALSE)),""))</f>
        <v>5-Inch 2-Way Master Reference Monitor (Requires outboard processor and amplifier)</v>
      </c>
      <c r="H847" s="8" t="str">
        <f>(IF((VLOOKUP(Table6[[#This Row],[SKU]],'All Skus'!$A:$AC,2,FALSE))="JBL",(VLOOKUP(Table6[[#This Row],[SKU]],'All Skus'!$A:$AC,9,FALSE)),""))</f>
        <v xml:space="preserve">Compact high ouput two-way externally powered studio monitor with 725G five-inch (127 mm) high-excursion low frequency transducer and 2409H high-frequency compression driver; Patent-pending Image Control Waveguide provides a seamless crossover transition and detailed imaging. 39Hz - 36 kHz frequency range; 107dB Maximum Peak SPL; Dividing Network Transition Frequency: 1.9 kHz.  Dividing Network can be bypassed for bi-amplified operation. Birch Plywood enclosure includes rear and bottom mounting points; Not intended for stand-alone use. Complete system requires HARMAN Professional signal processor and external Crown Power Amplifier (not Included.) </v>
      </c>
      <c r="I847" s="101">
        <f>(IF((VLOOKUP(Table6[[#This Row],[SKU]],'All Skus'!$A:$AC,2,FALSE))="JBL",(VLOOKUP(Table6[[#This Row],[SKU]],'All Skus'!$A:$AC,10,FALSE)),""))</f>
        <v>879</v>
      </c>
      <c r="J847" s="101">
        <f>(IF((VLOOKUP(Table6[[#This Row],[SKU]],'All Skus'!$A:$AC,2,FALSE))="JBL",(VLOOKUP(Table6[[#This Row],[SKU]],'All Skus'!$A:$AC,11,FALSE)),""))</f>
        <v>879</v>
      </c>
      <c r="K847" s="102">
        <f>(IF((VLOOKUP(Table6[[#This Row],[SKU]],'All Skus'!$A:$AC,2,FALSE))="JBL",(VLOOKUP(Table6[[#This Row],[SKU]],'All Skus'!$A:$AC,13,FALSE)),""))</f>
        <v>0</v>
      </c>
      <c r="L847" s="102">
        <f>(IF((VLOOKUP(Table6[[#This Row],[SKU]],'All Skus'!$A:$AC,2,FALSE))="JBL",(VLOOKUP(Table6[[#This Row],[SKU]],'All Skus'!$A:$AC,14,FALSE)),""))</f>
        <v>0</v>
      </c>
      <c r="M847" s="143">
        <f>(IF((VLOOKUP(Table6[[#This Row],[SKU]],'All Skus'!$A:$AC,2,FALSE))="JBL",(VLOOKUP(Table6[[#This Row],[SKU]],'All Skus'!$A:$AC,15,FALSE)),""))</f>
        <v>0</v>
      </c>
      <c r="N847" s="137">
        <f>(IF((VLOOKUP(Table6[[#This Row],[SKU]],'All Skus'!$A:$AC,2,FALSE))="JBL",(VLOOKUP(Table6[[#This Row],[SKU]],'All Skus'!$A:$AC,16,FALSE)),""))</f>
        <v>691991000577</v>
      </c>
      <c r="O847" s="61">
        <f>(IF((VLOOKUP(Table6[[#This Row],[SKU]],'All Skus'!$A:$AC,2,FALSE))="JBL",(VLOOKUP(Table6[[#This Row],[SKU]],'All Skus'!$A:$AC,17,FALSE)),""))</f>
        <v>0</v>
      </c>
      <c r="P847" s="136">
        <f>(IF((VLOOKUP(Table6[[#This Row],[SKU]],'All Skus'!$A:$AC,2,FALSE))="JBL",(VLOOKUP(Table6[[#This Row],[SKU]],'All Skus'!$A:$AC,18,FALSE)),""))</f>
        <v>11</v>
      </c>
      <c r="Q847" s="136">
        <f>(IF((VLOOKUP(Table6[[#This Row],[SKU]],'All Skus'!$A:$AC,2,FALSE))="JBL",(VLOOKUP(Table6[[#This Row],[SKU]],'All Skus'!$A:$AC,19,FALSE)),""))</f>
        <v>8.75</v>
      </c>
      <c r="R847" s="136">
        <f>(IF((VLOOKUP(Table6[[#This Row],[SKU]],'All Skus'!$A:$AC,2,FALSE))="JBL",(VLOOKUP(Table6[[#This Row],[SKU]],'All Skus'!$A:$AC,20,FALSE)),""))</f>
        <v>10.5</v>
      </c>
      <c r="S847" s="61">
        <f>(IF((VLOOKUP(Table6[[#This Row],[SKU]],'All Skus'!$A:$AC,2,FALSE))="JBL",(VLOOKUP(Table6[[#This Row],[SKU]],'All Skus'!$A:$AC,21,FALSE)),""))</f>
        <v>14</v>
      </c>
      <c r="T847" s="61" t="str">
        <f>(IF((VLOOKUP(Table6[[#This Row],[SKU]],'All Skus'!$A:$AC,2,FALSE))="JBL",(VLOOKUP(Table6[[#This Row],[SKU]],'All Skus'!$A:$AC,22,FALSE)),""))</f>
        <v>MX</v>
      </c>
      <c r="U847" t="str">
        <f>(IF((VLOOKUP(Table6[[#This Row],[SKU]],'All Skus'!$A:$AC,2,FALSE))="JBL",(VLOOKUP(Table6[[#This Row],[SKU]],'All Skus'!$A:$AC,23,FALSE)),""))</f>
        <v>Compliant</v>
      </c>
      <c r="V847" s="284" t="str">
        <f>HYPERLINK((IF((VLOOKUP(Table6[[#This Row],[SKU]],'All Skus'!$A:$AC,2,FALSE))="JBL",(VLOOKUP(Table6[[#This Row],[SKU]],'All Skus'!$A:$AC,24,FALSE)),"")))</f>
        <v/>
      </c>
      <c r="W847" s="151">
        <v>845</v>
      </c>
    </row>
    <row r="848" spans="1:23" ht="15" hidden="1" customHeight="1">
      <c r="A848" s="13" t="s">
        <v>1856</v>
      </c>
      <c r="B848" s="12" t="str">
        <f>(IF((VLOOKUP(Table6[[#This Row],[SKU]],'All Skus'!$A:$AC,2,FALSE))="JBL",(VLOOKUP(Table6[[#This Row],[SKU]],'All Skus'!$A:$AC,3,FALSE)),""))</f>
        <v>STUDIO MONITORS</v>
      </c>
      <c r="C848" s="12" t="str">
        <f>(IF((VLOOKUP(Table6[[#This Row],[SKU]],'All Skus'!$A:$AC,2,FALSE))="JBL",(VLOOKUP(Table6[[#This Row],[SKU]],'All Skus'!$A:$AC,4,FALSE)),""))</f>
        <v>LSR310S</v>
      </c>
      <c r="D848" s="61" t="str">
        <f>(IF((VLOOKUP(Table6[[#This Row],[SKU]],'All Skus'!$A:$AC,2,FALSE))="JBL",(VLOOKUP(Table6[[#This Row],[SKU]],'All Skus'!$A:$AC,5,FALSE)),""))</f>
        <v>JBL025</v>
      </c>
      <c r="E848" s="137">
        <f>(IF((VLOOKUP(Table6[[#This Row],[SKU]],'All Skus'!$A:$AC,2,FALSE))="JBL",(VLOOKUP(Table6[[#This Row],[SKU]],'All Skus'!$A:$AC,6,FALSE)),""))</f>
        <v>0</v>
      </c>
      <c r="F848" s="61">
        <f>(IF((VLOOKUP(Table6[[#This Row],[SKU]],'All Skus'!$A:$AC,2,FALSE))="JBL",(VLOOKUP(Table6[[#This Row],[SKU]],'All Skus'!$A:$AC,7,FALSE)),""))</f>
        <v>0</v>
      </c>
      <c r="G848" t="str">
        <f>(IF((VLOOKUP(Table6[[#This Row],[SKU]],'All Skus'!$A:$AC,2,FALSE))="JBL",(VLOOKUP(Table6[[#This Row],[SKU]],'All Skus'!$A:$AC,8,FALSE)),""))</f>
        <v>10-inch powered subwoofer.</v>
      </c>
      <c r="H848" s="8" t="str">
        <f>(IF((VLOOKUP(Table6[[#This Row],[SKU]],'All Skus'!$A:$AC,2,FALSE))="JBL",(VLOOKUP(Table6[[#This Row],[SKU]],'All Skus'!$A:$AC,9,FALSE)),""))</f>
        <v>10-inch powered subwoofer.</v>
      </c>
      <c r="I848" s="101">
        <f>(IF((VLOOKUP(Table6[[#This Row],[SKU]],'All Skus'!$A:$AC,2,FALSE))="JBL",(VLOOKUP(Table6[[#This Row],[SKU]],'All Skus'!$A:$AC,10,FALSE)),""))</f>
        <v>581.58000000000004</v>
      </c>
      <c r="J848" s="101">
        <f>(IF((VLOOKUP(Table6[[#This Row],[SKU]],'All Skus'!$A:$AC,2,FALSE))="JBL",(VLOOKUP(Table6[[#This Row],[SKU]],'All Skus'!$A:$AC,11,FALSE)),""))</f>
        <v>399</v>
      </c>
      <c r="K848" s="102">
        <f>(IF((VLOOKUP(Table6[[#This Row],[SKU]],'All Skus'!$A:$AC,2,FALSE))="JBL",(VLOOKUP(Table6[[#This Row],[SKU]],'All Skus'!$A:$AC,13,FALSE)),""))</f>
        <v>0</v>
      </c>
      <c r="L848" s="102">
        <f>(IF((VLOOKUP(Table6[[#This Row],[SKU]],'All Skus'!$A:$AC,2,FALSE))="JBL",(VLOOKUP(Table6[[#This Row],[SKU]],'All Skus'!$A:$AC,14,FALSE)),""))</f>
        <v>0</v>
      </c>
      <c r="M848" s="143">
        <f>(IF((VLOOKUP(Table6[[#This Row],[SKU]],'All Skus'!$A:$AC,2,FALSE))="JBL",(VLOOKUP(Table6[[#This Row],[SKU]],'All Skus'!$A:$AC,15,FALSE)),""))</f>
        <v>0</v>
      </c>
      <c r="N848" s="137">
        <f>(IF((VLOOKUP(Table6[[#This Row],[SKU]],'All Skus'!$A:$AC,2,FALSE))="JBL",(VLOOKUP(Table6[[#This Row],[SKU]],'All Skus'!$A:$AC,16,FALSE)),""))</f>
        <v>50036904636</v>
      </c>
      <c r="O848" s="61">
        <f>(IF((VLOOKUP(Table6[[#This Row],[SKU]],'All Skus'!$A:$AC,2,FALSE))="JBL",(VLOOKUP(Table6[[#This Row],[SKU]],'All Skus'!$A:$AC,17,FALSE)),""))</f>
        <v>0</v>
      </c>
      <c r="P848" s="136">
        <f>(IF((VLOOKUP(Table6[[#This Row],[SKU]],'All Skus'!$A:$AC,2,FALSE))="JBL",(VLOOKUP(Table6[[#This Row],[SKU]],'All Skus'!$A:$AC,18,FALSE)),""))</f>
        <v>41</v>
      </c>
      <c r="Q848" s="136">
        <f>(IF((VLOOKUP(Table6[[#This Row],[SKU]],'All Skus'!$A:$AC,2,FALSE))="JBL",(VLOOKUP(Table6[[#This Row],[SKU]],'All Skus'!$A:$AC,19,FALSE)),""))</f>
        <v>19</v>
      </c>
      <c r="R848" s="136">
        <f>(IF((VLOOKUP(Table6[[#This Row],[SKU]],'All Skus'!$A:$AC,2,FALSE))="JBL",(VLOOKUP(Table6[[#This Row],[SKU]],'All Skus'!$A:$AC,20,FALSE)),""))</f>
        <v>19</v>
      </c>
      <c r="S848" s="61">
        <f>(IF((VLOOKUP(Table6[[#This Row],[SKU]],'All Skus'!$A:$AC,2,FALSE))="JBL",(VLOOKUP(Table6[[#This Row],[SKU]],'All Skus'!$A:$AC,21,FALSE)),""))</f>
        <v>21</v>
      </c>
      <c r="T848" s="61" t="str">
        <f>(IF((VLOOKUP(Table6[[#This Row],[SKU]],'All Skus'!$A:$AC,2,FALSE))="JBL",(VLOOKUP(Table6[[#This Row],[SKU]],'All Skus'!$A:$AC,22,FALSE)),""))</f>
        <v>MX</v>
      </c>
      <c r="U848" t="str">
        <f>(IF((VLOOKUP(Table6[[#This Row],[SKU]],'All Skus'!$A:$AC,2,FALSE))="JBL",(VLOOKUP(Table6[[#This Row],[SKU]],'All Skus'!$A:$AC,23,FALSE)),""))</f>
        <v>Compliant</v>
      </c>
      <c r="V848" s="284" t="str">
        <f>HYPERLINK((IF((VLOOKUP(Table6[[#This Row],[SKU]],'All Skus'!$A:$AC,2,FALSE))="JBL",(VLOOKUP(Table6[[#This Row],[SKU]],'All Skus'!$A:$AC,24,FALSE)),"")))</f>
        <v>http://www.jblpro.com/www/products/recording-broadcast/lsr6300-series/lsr6312sp#.VkxrYIRqBJo</v>
      </c>
      <c r="W848" s="151">
        <v>846</v>
      </c>
    </row>
    <row r="849" spans="1:23" ht="15" hidden="1" customHeight="1">
      <c r="A849" s="13" t="s">
        <v>1859</v>
      </c>
      <c r="B849" s="12" t="str">
        <f>(IF((VLOOKUP(Table6[[#This Row],[SKU]],'All Skus'!$A:$AC,2,FALSE))="JBL",(VLOOKUP(Table6[[#This Row],[SKU]],'All Skus'!$A:$AC,3,FALSE)),""))</f>
        <v>STUDIO MONITORS</v>
      </c>
      <c r="C849" s="12" t="str">
        <f>(IF((VLOOKUP(Table6[[#This Row],[SKU]],'All Skus'!$A:$AC,2,FALSE))="JBL",(VLOOKUP(Table6[[#This Row],[SKU]],'All Skus'!$A:$AC,4,FALSE)),""))</f>
        <v>LSR708i</v>
      </c>
      <c r="D849" s="61" t="str">
        <f>(IF((VLOOKUP(Table6[[#This Row],[SKU]],'All Skus'!$A:$AC,2,FALSE))="JBL",(VLOOKUP(Table6[[#This Row],[SKU]],'All Skus'!$A:$AC,5,FALSE)),""))</f>
        <v>JBL025</v>
      </c>
      <c r="E849" s="137">
        <f>(IF((VLOOKUP(Table6[[#This Row],[SKU]],'All Skus'!$A:$AC,2,FALSE))="JBL",(VLOOKUP(Table6[[#This Row],[SKU]],'All Skus'!$A:$AC,6,FALSE)),""))</f>
        <v>0</v>
      </c>
      <c r="F849" s="61">
        <f>(IF((VLOOKUP(Table6[[#This Row],[SKU]],'All Skus'!$A:$AC,2,FALSE))="JBL",(VLOOKUP(Table6[[#This Row],[SKU]],'All Skus'!$A:$AC,7,FALSE)),""))</f>
        <v>0</v>
      </c>
      <c r="G849" t="str">
        <f>(IF((VLOOKUP(Table6[[#This Row],[SKU]],'All Skus'!$A:$AC,2,FALSE))="JBL",(VLOOKUP(Table6[[#This Row],[SKU]],'All Skus'!$A:$AC,8,FALSE)),""))</f>
        <v>8-Inch 2-Way Master Reference Monitor (Requres external processor and amplifier)</v>
      </c>
      <c r="H849" s="8" t="str">
        <f>(IF((VLOOKUP(Table6[[#This Row],[SKU]],'All Skus'!$A:$AC,2,FALSE))="JBL",(VLOOKUP(Table6[[#This Row],[SKU]],'All Skus'!$A:$AC,9,FALSE)),""))</f>
        <v xml:space="preserve">Compact high ouput two-way externally powered studio monitor with 728G eight-inch (203 mm) high-excursion differential driver low frequency transducer and 2409H high-frequency compression driver; Patent-pending Image Control Waveguide provides a seamless crossover transition and detailed imaging. 35Hz - 36 kHz frequency range; 114dB Maximum Peak SPL; Dividing Network Transition Frequency: 1.7 kHz.  Dividing Network can be bypassed for bi-amplified operation. Birch Plywood enclosure includes rear and bottom mounting points; Not intended for stand-alone use. Complete system requires HARMAN Professional signal processor and external Crown Power Amplifier (not Included.) </v>
      </c>
      <c r="I849" s="101">
        <f>(IF((VLOOKUP(Table6[[#This Row],[SKU]],'All Skus'!$A:$AC,2,FALSE))="JBL",(VLOOKUP(Table6[[#This Row],[SKU]],'All Skus'!$A:$AC,10,FALSE)),""))</f>
        <v>1921.91</v>
      </c>
      <c r="J849" s="101">
        <f>(IF((VLOOKUP(Table6[[#This Row],[SKU]],'All Skus'!$A:$AC,2,FALSE))="JBL",(VLOOKUP(Table6[[#This Row],[SKU]],'All Skus'!$A:$AC,11,FALSE)),""))</f>
        <v>1921.91</v>
      </c>
      <c r="K849" s="102">
        <f>(IF((VLOOKUP(Table6[[#This Row],[SKU]],'All Skus'!$A:$AC,2,FALSE))="JBL",(VLOOKUP(Table6[[#This Row],[SKU]],'All Skus'!$A:$AC,13,FALSE)),""))</f>
        <v>0</v>
      </c>
      <c r="L849" s="102">
        <f>(IF((VLOOKUP(Table6[[#This Row],[SKU]],'All Skus'!$A:$AC,2,FALSE))="JBL",(VLOOKUP(Table6[[#This Row],[SKU]],'All Skus'!$A:$AC,14,FALSE)),""))</f>
        <v>0</v>
      </c>
      <c r="M849" s="143">
        <f>(IF((VLOOKUP(Table6[[#This Row],[SKU]],'All Skus'!$A:$AC,2,FALSE))="JBL",(VLOOKUP(Table6[[#This Row],[SKU]],'All Skus'!$A:$AC,15,FALSE)),""))</f>
        <v>0</v>
      </c>
      <c r="N849" s="137">
        <f>(IF((VLOOKUP(Table6[[#This Row],[SKU]],'All Skus'!$A:$AC,2,FALSE))="JBL",(VLOOKUP(Table6[[#This Row],[SKU]],'All Skus'!$A:$AC,16,FALSE)),""))</f>
        <v>691991000560</v>
      </c>
      <c r="O849" s="61">
        <f>(IF((VLOOKUP(Table6[[#This Row],[SKU]],'All Skus'!$A:$AC,2,FALSE))="JBL",(VLOOKUP(Table6[[#This Row],[SKU]],'All Skus'!$A:$AC,17,FALSE)),""))</f>
        <v>0</v>
      </c>
      <c r="P849" s="136">
        <f>(IF((VLOOKUP(Table6[[#This Row],[SKU]],'All Skus'!$A:$AC,2,FALSE))="JBL",(VLOOKUP(Table6[[#This Row],[SKU]],'All Skus'!$A:$AC,18,FALSE)),""))</f>
        <v>28</v>
      </c>
      <c r="Q849" s="136">
        <f>(IF((VLOOKUP(Table6[[#This Row],[SKU]],'All Skus'!$A:$AC,2,FALSE))="JBL",(VLOOKUP(Table6[[#This Row],[SKU]],'All Skus'!$A:$AC,19,FALSE)),""))</f>
        <v>13</v>
      </c>
      <c r="R849" s="136">
        <f>(IF((VLOOKUP(Table6[[#This Row],[SKU]],'All Skus'!$A:$AC,2,FALSE))="JBL",(VLOOKUP(Table6[[#This Row],[SKU]],'All Skus'!$A:$AC,20,FALSE)),""))</f>
        <v>14</v>
      </c>
      <c r="S849" s="61">
        <f>(IF((VLOOKUP(Table6[[#This Row],[SKU]],'All Skus'!$A:$AC,2,FALSE))="JBL",(VLOOKUP(Table6[[#This Row],[SKU]],'All Skus'!$A:$AC,21,FALSE)),""))</f>
        <v>21</v>
      </c>
      <c r="T849" s="61" t="str">
        <f>(IF((VLOOKUP(Table6[[#This Row],[SKU]],'All Skus'!$A:$AC,2,FALSE))="JBL",(VLOOKUP(Table6[[#This Row],[SKU]],'All Skus'!$A:$AC,22,FALSE)),""))</f>
        <v>MX</v>
      </c>
      <c r="U849" t="str">
        <f>(IF((VLOOKUP(Table6[[#This Row],[SKU]],'All Skus'!$A:$AC,2,FALSE))="JBL",(VLOOKUP(Table6[[#This Row],[SKU]],'All Skus'!$A:$AC,23,FALSE)),""))</f>
        <v>Compliant</v>
      </c>
      <c r="V849" s="284" t="str">
        <f>HYPERLINK((IF((VLOOKUP(Table6[[#This Row],[SKU]],'All Skus'!$A:$AC,2,FALSE))="JBL",(VLOOKUP(Table6[[#This Row],[SKU]],'All Skus'!$A:$AC,24,FALSE)),"")))</f>
        <v/>
      </c>
      <c r="W849" s="151">
        <v>847</v>
      </c>
    </row>
    <row r="850" spans="1:23" ht="15" hidden="1" customHeight="1">
      <c r="A850" s="13" t="s">
        <v>1858</v>
      </c>
      <c r="B850" s="12" t="str">
        <f>(IF((VLOOKUP(Table6[[#This Row],[SKU]],'All Skus'!$A:$AC,2,FALSE))="JBL",(VLOOKUP(Table6[[#This Row],[SKU]],'All Skus'!$A:$AC,3,FALSE)),""))</f>
        <v>STUDIO MONITORS</v>
      </c>
      <c r="C850" s="12" t="str">
        <f>(IF((VLOOKUP(Table6[[#This Row],[SKU]],'All Skus'!$A:$AC,2,FALSE))="JBL",(VLOOKUP(Table6[[#This Row],[SKU]],'All Skus'!$A:$AC,4,FALSE)),""))</f>
        <v>705P</v>
      </c>
      <c r="D850" s="61" t="str">
        <f>(IF((VLOOKUP(Table6[[#This Row],[SKU]],'All Skus'!$A:$AC,2,FALSE))="JBL",(VLOOKUP(Table6[[#This Row],[SKU]],'All Skus'!$A:$AC,5,FALSE)),""))</f>
        <v>JBL025</v>
      </c>
      <c r="E850" s="137">
        <f>(IF((VLOOKUP(Table6[[#This Row],[SKU]],'All Skus'!$A:$AC,2,FALSE))="JBL",(VLOOKUP(Table6[[#This Row],[SKU]],'All Skus'!$A:$AC,6,FALSE)),""))</f>
        <v>0</v>
      </c>
      <c r="F850" s="61">
        <f>(IF((VLOOKUP(Table6[[#This Row],[SKU]],'All Skus'!$A:$AC,2,FALSE))="JBL",(VLOOKUP(Table6[[#This Row],[SKU]],'All Skus'!$A:$AC,7,FALSE)),""))</f>
        <v>0</v>
      </c>
      <c r="G850" t="str">
        <f>(IF((VLOOKUP(Table6[[#This Row],[SKU]],'All Skus'!$A:$AC,2,FALSE))="JBL",(VLOOKUP(Table6[[#This Row],[SKU]],'All Skus'!$A:$AC,8,FALSE)),""))</f>
        <v xml:space="preserve">5-Inch 2-Way Master Reference Monitor </v>
      </c>
      <c r="H850" s="8" t="str">
        <f>(IF((VLOOKUP(Table6[[#This Row],[SKU]],'All Skus'!$A:$AC,2,FALSE))="JBL",(VLOOKUP(Table6[[#This Row],[SKU]],'All Skus'!$A:$AC,9,FALSE)),""))</f>
        <v xml:space="preserve">JBL 7-Series 705P 5-inch Bi-Amplified Master Reference Studio Monitor, with 725G five-inch low frequency transducer, 2409H HF transducer, and patented Image Control Waveguide. Dual Class-D Power Amplifiers with 250 Watts for LF and 250 Watts for HF. Digital and Analog Inputs. Integrated Room and User EQ. </v>
      </c>
      <c r="I850" s="101">
        <f>(IF((VLOOKUP(Table6[[#This Row],[SKU]],'All Skus'!$A:$AC,2,FALSE))="JBL",(VLOOKUP(Table6[[#This Row],[SKU]],'All Skus'!$A:$AC,10,FALSE)),""))</f>
        <v>1455.71</v>
      </c>
      <c r="J850" s="101">
        <f>(IF((VLOOKUP(Table6[[#This Row],[SKU]],'All Skus'!$A:$AC,2,FALSE))="JBL",(VLOOKUP(Table6[[#This Row],[SKU]],'All Skus'!$A:$AC,11,FALSE)),""))</f>
        <v>1169</v>
      </c>
      <c r="K850" s="102">
        <f>(IF((VLOOKUP(Table6[[#This Row],[SKU]],'All Skus'!$A:$AC,2,FALSE))="JBL",(VLOOKUP(Table6[[#This Row],[SKU]],'All Skus'!$A:$AC,13,FALSE)),""))</f>
        <v>0</v>
      </c>
      <c r="L850" s="102">
        <f>(IF((VLOOKUP(Table6[[#This Row],[SKU]],'All Skus'!$A:$AC,2,FALSE))="JBL",(VLOOKUP(Table6[[#This Row],[SKU]],'All Skus'!$A:$AC,14,FALSE)),""))</f>
        <v>0</v>
      </c>
      <c r="M850" s="143">
        <f>(IF((VLOOKUP(Table6[[#This Row],[SKU]],'All Skus'!$A:$AC,2,FALSE))="JBL",(VLOOKUP(Table6[[#This Row],[SKU]],'All Skus'!$A:$AC,15,FALSE)),""))</f>
        <v>0</v>
      </c>
      <c r="N850" s="137">
        <f>(IF((VLOOKUP(Table6[[#This Row],[SKU]],'All Skus'!$A:$AC,2,FALSE))="JBL",(VLOOKUP(Table6[[#This Row],[SKU]],'All Skus'!$A:$AC,16,FALSE)),""))</f>
        <v>691991000577</v>
      </c>
      <c r="O850" s="61">
        <f>(IF((VLOOKUP(Table6[[#This Row],[SKU]],'All Skus'!$A:$AC,2,FALSE))="JBL",(VLOOKUP(Table6[[#This Row],[SKU]],'All Skus'!$A:$AC,17,FALSE)),""))</f>
        <v>0</v>
      </c>
      <c r="P850" s="136">
        <f>(IF((VLOOKUP(Table6[[#This Row],[SKU]],'All Skus'!$A:$AC,2,FALSE))="JBL",(VLOOKUP(Table6[[#This Row],[SKU]],'All Skus'!$A:$AC,18,FALSE)),""))</f>
        <v>18</v>
      </c>
      <c r="Q850" s="136">
        <f>(IF((VLOOKUP(Table6[[#This Row],[SKU]],'All Skus'!$A:$AC,2,FALSE))="JBL",(VLOOKUP(Table6[[#This Row],[SKU]],'All Skus'!$A:$AC,19,FALSE)),""))</f>
        <v>14.5</v>
      </c>
      <c r="R850" s="136">
        <f>(IF((VLOOKUP(Table6[[#This Row],[SKU]],'All Skus'!$A:$AC,2,FALSE))="JBL",(VLOOKUP(Table6[[#This Row],[SKU]],'All Skus'!$A:$AC,20,FALSE)),""))</f>
        <v>10.5</v>
      </c>
      <c r="S850" s="61">
        <f>(IF((VLOOKUP(Table6[[#This Row],[SKU]],'All Skus'!$A:$AC,2,FALSE))="JBL",(VLOOKUP(Table6[[#This Row],[SKU]],'All Skus'!$A:$AC,21,FALSE)),""))</f>
        <v>16</v>
      </c>
      <c r="T850" s="61" t="str">
        <f>(IF((VLOOKUP(Table6[[#This Row],[SKU]],'All Skus'!$A:$AC,2,FALSE))="JBL",(VLOOKUP(Table6[[#This Row],[SKU]],'All Skus'!$A:$AC,22,FALSE)),""))</f>
        <v>MX</v>
      </c>
      <c r="U850" t="str">
        <f>(IF((VLOOKUP(Table6[[#This Row],[SKU]],'All Skus'!$A:$AC,2,FALSE))="JBL",(VLOOKUP(Table6[[#This Row],[SKU]],'All Skus'!$A:$AC,23,FALSE)),""))</f>
        <v>Compliant</v>
      </c>
      <c r="V850" s="284" t="str">
        <f>HYPERLINK((IF((VLOOKUP(Table6[[#This Row],[SKU]],'All Skus'!$A:$AC,2,FALSE))="JBL",(VLOOKUP(Table6[[#This Row],[SKU]],'All Skus'!$A:$AC,24,FALSE)),"")))</f>
        <v>www.jblpro.com/7series</v>
      </c>
      <c r="W850" s="151">
        <v>848</v>
      </c>
    </row>
    <row r="851" spans="1:23" ht="15" hidden="1" customHeight="1">
      <c r="A851" s="13" t="s">
        <v>1861</v>
      </c>
      <c r="B851" s="12" t="str">
        <f>(IF((VLOOKUP(Table6[[#This Row],[SKU]],'All Skus'!$A:$AC,2,FALSE))="JBL",(VLOOKUP(Table6[[#This Row],[SKU]],'All Skus'!$A:$AC,3,FALSE)),""))</f>
        <v xml:space="preserve">Studio Monitor Controller </v>
      </c>
      <c r="C851" s="12" t="str">
        <f>(IF((VLOOKUP(Table6[[#This Row],[SKU]],'All Skus'!$A:$AC,2,FALSE))="JBL",(VLOOKUP(Table6[[#This Row],[SKU]],'All Skus'!$A:$AC,4,FALSE)),""))</f>
        <v>INTONATO24FX</v>
      </c>
      <c r="D851" s="61" t="str">
        <f>(IF((VLOOKUP(Table6[[#This Row],[SKU]],'All Skus'!$A:$AC,2,FALSE))="JBL",(VLOOKUP(Table6[[#This Row],[SKU]],'All Skus'!$A:$AC,5,FALSE)),""))</f>
        <v>JBL024</v>
      </c>
      <c r="E851" s="137">
        <f>(IF((VLOOKUP(Table6[[#This Row],[SKU]],'All Skus'!$A:$AC,2,FALSE))="JBL",(VLOOKUP(Table6[[#This Row],[SKU]],'All Skus'!$A:$AC,6,FALSE)),""))</f>
        <v>0</v>
      </c>
      <c r="F851" s="61">
        <f>(IF((VLOOKUP(Table6[[#This Row],[SKU]],'All Skus'!$A:$AC,2,FALSE))="JBL",(VLOOKUP(Table6[[#This Row],[SKU]],'All Skus'!$A:$AC,7,FALSE)),""))</f>
        <v>0</v>
      </c>
      <c r="G851" t="str">
        <f>(IF((VLOOKUP(Table6[[#This Row],[SKU]],'All Skus'!$A:$AC,2,FALSE))="JBL",(VLOOKUP(Table6[[#This Row],[SKU]],'All Skus'!$A:$AC,8,FALSE)),""))</f>
        <v>Intonato 24 Monitor Management Tuning System</v>
      </c>
      <c r="H851" s="8" t="str">
        <f>(IF((VLOOKUP(Table6[[#This Row],[SKU]],'All Skus'!$A:$AC,2,FALSE))="JBL",(VLOOKUP(Table6[[#This Row],[SKU]],'All Skus'!$A:$AC,9,FALSE)),""))</f>
        <v>Intonato 24 Monitor Management Tuning System. Ideal for use with JBL M2, 7 Series studio monitors. Provides  automated calibration and control of stereo, surround and immersive audio monitoring systems. 24 speaker ouputs, 24 analog and digital inputs. Flexible routing and monitoring configurations, store and recall of custom user profiles. 2-U rack mount ready. Calibration microphone inlcuded. Comprehensive control via supplied Macintosh Windows, and tablet software.  Optional Intonato Desk Top Controller.</v>
      </c>
      <c r="I851" s="101">
        <f>(IF((VLOOKUP(Table6[[#This Row],[SKU]],'All Skus'!$A:$AC,2,FALSE))="JBL",(VLOOKUP(Table6[[#This Row],[SKU]],'All Skus'!$A:$AC,10,FALSE)),""))</f>
        <v>4501.74</v>
      </c>
      <c r="J851" s="101">
        <f>(IF((VLOOKUP(Table6[[#This Row],[SKU]],'All Skus'!$A:$AC,2,FALSE))="JBL",(VLOOKUP(Table6[[#This Row],[SKU]],'All Skus'!$A:$AC,11,FALSE)),""))</f>
        <v>3599</v>
      </c>
      <c r="K851" s="102">
        <f>(IF((VLOOKUP(Table6[[#This Row],[SKU]],'All Skus'!$A:$AC,2,FALSE))="JBL",(VLOOKUP(Table6[[#This Row],[SKU]],'All Skus'!$A:$AC,13,FALSE)),""))</f>
        <v>0</v>
      </c>
      <c r="L851" s="102">
        <f>(IF((VLOOKUP(Table6[[#This Row],[SKU]],'All Skus'!$A:$AC,2,FALSE))="JBL",(VLOOKUP(Table6[[#This Row],[SKU]],'All Skus'!$A:$AC,14,FALSE)),""))</f>
        <v>0</v>
      </c>
      <c r="M851" s="143">
        <f>(IF((VLOOKUP(Table6[[#This Row],[SKU]],'All Skus'!$A:$AC,2,FALSE))="JBL",(VLOOKUP(Table6[[#This Row],[SKU]],'All Skus'!$A:$AC,15,FALSE)),""))</f>
        <v>0</v>
      </c>
      <c r="N851" s="137">
        <f>(IF((VLOOKUP(Table6[[#This Row],[SKU]],'All Skus'!$A:$AC,2,FALSE))="JBL",(VLOOKUP(Table6[[#This Row],[SKU]],'All Skus'!$A:$AC,16,FALSE)),""))</f>
        <v>691991006197</v>
      </c>
      <c r="O851" s="61">
        <f>(IF((VLOOKUP(Table6[[#This Row],[SKU]],'All Skus'!$A:$AC,2,FALSE))="JBL",(VLOOKUP(Table6[[#This Row],[SKU]],'All Skus'!$A:$AC,17,FALSE)),""))</f>
        <v>0</v>
      </c>
      <c r="P851" s="136">
        <f>(IF((VLOOKUP(Table6[[#This Row],[SKU]],'All Skus'!$A:$AC,2,FALSE))="JBL",(VLOOKUP(Table6[[#This Row],[SKU]],'All Skus'!$A:$AC,18,FALSE)),""))</f>
        <v>0</v>
      </c>
      <c r="Q851" s="136">
        <f>(IF((VLOOKUP(Table6[[#This Row],[SKU]],'All Skus'!$A:$AC,2,FALSE))="JBL",(VLOOKUP(Table6[[#This Row],[SKU]],'All Skus'!$A:$AC,19,FALSE)),""))</f>
        <v>0</v>
      </c>
      <c r="R851" s="136">
        <f>(IF((VLOOKUP(Table6[[#This Row],[SKU]],'All Skus'!$A:$AC,2,FALSE))="JBL",(VLOOKUP(Table6[[#This Row],[SKU]],'All Skus'!$A:$AC,20,FALSE)),""))</f>
        <v>0</v>
      </c>
      <c r="S851" s="61">
        <f>(IF((VLOOKUP(Table6[[#This Row],[SKU]],'All Skus'!$A:$AC,2,FALSE))="JBL",(VLOOKUP(Table6[[#This Row],[SKU]],'All Skus'!$A:$AC,21,FALSE)),""))</f>
        <v>0</v>
      </c>
      <c r="T851" s="61" t="str">
        <f>(IF((VLOOKUP(Table6[[#This Row],[SKU]],'All Skus'!$A:$AC,2,FALSE))="JBL",(VLOOKUP(Table6[[#This Row],[SKU]],'All Skus'!$A:$AC,22,FALSE)),""))</f>
        <v>MX</v>
      </c>
      <c r="U851" t="str">
        <f>(IF((VLOOKUP(Table6[[#This Row],[SKU]],'All Skus'!$A:$AC,2,FALSE))="JBL",(VLOOKUP(Table6[[#This Row],[SKU]],'All Skus'!$A:$AC,23,FALSE)),""))</f>
        <v>Compliant</v>
      </c>
      <c r="V851" s="284" t="str">
        <f>HYPERLINK((IF((VLOOKUP(Table6[[#This Row],[SKU]],'All Skus'!$A:$AC,2,FALSE))="JBL",(VLOOKUP(Table6[[#This Row],[SKU]],'All Skus'!$A:$AC,24,FALSE)),"")))</f>
        <v>http://www.jblpro.com/www/products/recording-broadcast/monitor-controllers/intonato-24#.WWDlOVUrLDc</v>
      </c>
      <c r="W851" s="151">
        <v>849</v>
      </c>
    </row>
    <row r="852" spans="1:23" ht="15" hidden="1" customHeight="1">
      <c r="A852" s="13" t="s">
        <v>1860</v>
      </c>
      <c r="B852" s="12" t="str">
        <f>(IF((VLOOKUP(Table6[[#This Row],[SKU]],'All Skus'!$A:$AC,2,FALSE))="JBL",(VLOOKUP(Table6[[#This Row],[SKU]],'All Skus'!$A:$AC,3,FALSE)),""))</f>
        <v>STUDIO MONITORS</v>
      </c>
      <c r="C852" s="12" t="str">
        <f>(IF((VLOOKUP(Table6[[#This Row],[SKU]],'All Skus'!$A:$AC,2,FALSE))="JBL",(VLOOKUP(Table6[[#This Row],[SKU]],'All Skus'!$A:$AC,4,FALSE)),""))</f>
        <v>708P</v>
      </c>
      <c r="D852" s="61" t="str">
        <f>(IF((VLOOKUP(Table6[[#This Row],[SKU]],'All Skus'!$A:$AC,2,FALSE))="JBL",(VLOOKUP(Table6[[#This Row],[SKU]],'All Skus'!$A:$AC,5,FALSE)),""))</f>
        <v>JBL025</v>
      </c>
      <c r="E852" s="137">
        <f>(IF((VLOOKUP(Table6[[#This Row],[SKU]],'All Skus'!$A:$AC,2,FALSE))="JBL",(VLOOKUP(Table6[[#This Row],[SKU]],'All Skus'!$A:$AC,6,FALSE)),""))</f>
        <v>0</v>
      </c>
      <c r="F852" s="61">
        <f>(IF((VLOOKUP(Table6[[#This Row],[SKU]],'All Skus'!$A:$AC,2,FALSE))="JBL",(VLOOKUP(Table6[[#This Row],[SKU]],'All Skus'!$A:$AC,7,FALSE)),""))</f>
        <v>0</v>
      </c>
      <c r="G852" t="str">
        <f>(IF((VLOOKUP(Table6[[#This Row],[SKU]],'All Skus'!$A:$AC,2,FALSE))="JBL",(VLOOKUP(Table6[[#This Row],[SKU]],'All Skus'!$A:$AC,8,FALSE)),""))</f>
        <v>JBL 7 Series 8-inch Bi-amplified Master Reference Studio Monitor</v>
      </c>
      <c r="H852" s="8" t="str">
        <f>(IF((VLOOKUP(Table6[[#This Row],[SKU]],'All Skus'!$A:$AC,2,FALSE))="JBL",(VLOOKUP(Table6[[#This Row],[SKU]],'All Skus'!$A:$AC,9,FALSE)),""))</f>
        <v xml:space="preserve">JBL 7-Series 708P 8-inch Bi-Amplified Master Reference Studio Monitor, with 728G eight-inch Differential Drive (tm) low-frequency transducer, 2409H HF transducer, and patented Image Control Waveguide. Dual Class-D Power Amplifiers with 250 Watts for LF and 250 Watts for HF. Digital and Analog Inputs. Integrated Room and User EQ. </v>
      </c>
      <c r="I852" s="101">
        <f>(IF((VLOOKUP(Table6[[#This Row],[SKU]],'All Skus'!$A:$AC,2,FALSE))="JBL",(VLOOKUP(Table6[[#This Row],[SKU]],'All Skus'!$A:$AC,10,FALSE)),""))</f>
        <v>2621.21</v>
      </c>
      <c r="J852" s="101">
        <f>(IF((VLOOKUP(Table6[[#This Row],[SKU]],'All Skus'!$A:$AC,2,FALSE))="JBL",(VLOOKUP(Table6[[#This Row],[SKU]],'All Skus'!$A:$AC,11,FALSE)),""))</f>
        <v>2099</v>
      </c>
      <c r="K852" s="102">
        <f>(IF((VLOOKUP(Table6[[#This Row],[SKU]],'All Skus'!$A:$AC,2,FALSE))="JBL",(VLOOKUP(Table6[[#This Row],[SKU]],'All Skus'!$A:$AC,13,FALSE)),""))</f>
        <v>0</v>
      </c>
      <c r="L852" s="102">
        <f>(IF((VLOOKUP(Table6[[#This Row],[SKU]],'All Skus'!$A:$AC,2,FALSE))="JBL",(VLOOKUP(Table6[[#This Row],[SKU]],'All Skus'!$A:$AC,14,FALSE)),""))</f>
        <v>0</v>
      </c>
      <c r="M852" s="143">
        <f>(IF((VLOOKUP(Table6[[#This Row],[SKU]],'All Skus'!$A:$AC,2,FALSE))="JBL",(VLOOKUP(Table6[[#This Row],[SKU]],'All Skus'!$A:$AC,15,FALSE)),""))</f>
        <v>0</v>
      </c>
      <c r="N852" s="137">
        <f>(IF((VLOOKUP(Table6[[#This Row],[SKU]],'All Skus'!$A:$AC,2,FALSE))="JBL",(VLOOKUP(Table6[[#This Row],[SKU]],'All Skus'!$A:$AC,16,FALSE)),""))</f>
        <v>691991006333</v>
      </c>
      <c r="O852" s="61">
        <f>(IF((VLOOKUP(Table6[[#This Row],[SKU]],'All Skus'!$A:$AC,2,FALSE))="JBL",(VLOOKUP(Table6[[#This Row],[SKU]],'All Skus'!$A:$AC,17,FALSE)),""))</f>
        <v>0</v>
      </c>
      <c r="P852" s="136">
        <f>(IF((VLOOKUP(Table6[[#This Row],[SKU]],'All Skus'!$A:$AC,2,FALSE))="JBL",(VLOOKUP(Table6[[#This Row],[SKU]],'All Skus'!$A:$AC,18,FALSE)),""))</f>
        <v>40</v>
      </c>
      <c r="Q852" s="136">
        <f>(IF((VLOOKUP(Table6[[#This Row],[SKU]],'All Skus'!$A:$AC,2,FALSE))="JBL",(VLOOKUP(Table6[[#This Row],[SKU]],'All Skus'!$A:$AC,19,FALSE)),""))</f>
        <v>16.5</v>
      </c>
      <c r="R852" s="136">
        <f>(IF((VLOOKUP(Table6[[#This Row],[SKU]],'All Skus'!$A:$AC,2,FALSE))="JBL",(VLOOKUP(Table6[[#This Row],[SKU]],'All Skus'!$A:$AC,20,FALSE)),""))</f>
        <v>14</v>
      </c>
      <c r="S852" s="61">
        <f>(IF((VLOOKUP(Table6[[#This Row],[SKU]],'All Skus'!$A:$AC,2,FALSE))="JBL",(VLOOKUP(Table6[[#This Row],[SKU]],'All Skus'!$A:$AC,21,FALSE)),""))</f>
        <v>22.75</v>
      </c>
      <c r="T852" s="61" t="str">
        <f>(IF((VLOOKUP(Table6[[#This Row],[SKU]],'All Skus'!$A:$AC,2,FALSE))="JBL",(VLOOKUP(Table6[[#This Row],[SKU]],'All Skus'!$A:$AC,22,FALSE)),""))</f>
        <v>MX</v>
      </c>
      <c r="U852">
        <f>(IF((VLOOKUP(Table6[[#This Row],[SKU]],'All Skus'!$A:$AC,2,FALSE))="JBL",(VLOOKUP(Table6[[#This Row],[SKU]],'All Skus'!$A:$AC,23,FALSE)),""))</f>
        <v>0</v>
      </c>
      <c r="V852" s="284" t="str">
        <f>HYPERLINK((IF((VLOOKUP(Table6[[#This Row],[SKU]],'All Skus'!$A:$AC,2,FALSE))="JBL",(VLOOKUP(Table6[[#This Row],[SKU]],'All Skus'!$A:$AC,24,FALSE)),"")))</f>
        <v/>
      </c>
      <c r="W852" s="151">
        <v>850</v>
      </c>
    </row>
    <row r="853" spans="1:23" ht="15" hidden="1" customHeight="1">
      <c r="A853" s="13" t="s">
        <v>1863</v>
      </c>
      <c r="B853" s="12" t="str">
        <f>(IF((VLOOKUP(Table6[[#This Row],[SKU]],'All Skus'!$A:$AC,2,FALSE))="JBL",(VLOOKUP(Table6[[#This Row],[SKU]],'All Skus'!$A:$AC,3,FALSE)),""))</f>
        <v>M2</v>
      </c>
      <c r="C853" s="12" t="str">
        <f>(IF((VLOOKUP(Table6[[#This Row],[SKU]],'All Skus'!$A:$AC,2,FALSE))="JBL",(VLOOKUP(Table6[[#This Row],[SKU]],'All Skus'!$A:$AC,4,FALSE)),""))</f>
        <v>M2</v>
      </c>
      <c r="D853" s="61" t="str">
        <f>(IF((VLOOKUP(Table6[[#This Row],[SKU]],'All Skus'!$A:$AC,2,FALSE))="JBL",(VLOOKUP(Table6[[#This Row],[SKU]],'All Skus'!$A:$AC,5,FALSE)),""))</f>
        <v>JBL024</v>
      </c>
      <c r="E853" s="137" t="str">
        <f>(IF((VLOOKUP(Table6[[#This Row],[SKU]],'All Skus'!$A:$AC,2,FALSE))="JBL",(VLOOKUP(Table6[[#This Row],[SKU]],'All Skus'!$A:$AC,6,FALSE)),""))</f>
        <v>YES</v>
      </c>
      <c r="F853" s="61">
        <f>(IF((VLOOKUP(Table6[[#This Row],[SKU]],'All Skus'!$A:$AC,2,FALSE))="JBL",(VLOOKUP(Table6[[#This Row],[SKU]],'All Skus'!$A:$AC,7,FALSE)),""))</f>
        <v>0</v>
      </c>
      <c r="G853" t="str">
        <f>(IF((VLOOKUP(Table6[[#This Row],[SKU]],'All Skus'!$A:$AC,2,FALSE))="JBL",(VLOOKUP(Table6[[#This Row],[SKU]],'All Skus'!$A:$AC,8,FALSE)),""))</f>
        <v>2-Way Floor Standing or Soffit Mountable Master Reference Monitor</v>
      </c>
      <c r="H853" s="8" t="str">
        <f>(IF((VLOOKUP(Table6[[#This Row],[SKU]],'All Skus'!$A:$AC,2,FALSE))="JBL",(VLOOKUP(Table6[[#This Row],[SKU]],'All Skus'!$A:$AC,9,FALSE)),""))</f>
        <v>M2 Master Reference Monitor: A Free-Standing, 2-Way System that can be placed in any environment to provide an exceptionally accurate monitoring experience. Leveraging a new generation of JBL high-output, ultra-low distortion transducers, the M2 provides in-room frequency response of 20 Hz to 40 kHz, and an extraordinary 123 dB maximum SPL to meet the demanding music, cinema and broadcast production requirements for impactful dynamic range.</v>
      </c>
      <c r="I853" s="101">
        <f>(IF((VLOOKUP(Table6[[#This Row],[SKU]],'All Skus'!$A:$AC,2,FALSE))="JBL",(VLOOKUP(Table6[[#This Row],[SKU]],'All Skus'!$A:$AC,10,FALSE)),""))</f>
        <v>7199</v>
      </c>
      <c r="J853" s="101">
        <f>(IF((VLOOKUP(Table6[[#This Row],[SKU]],'All Skus'!$A:$AC,2,FALSE))="JBL",(VLOOKUP(Table6[[#This Row],[SKU]],'All Skus'!$A:$AC,11,FALSE)),""))</f>
        <v>7199</v>
      </c>
      <c r="K853" s="102">
        <f>(IF((VLOOKUP(Table6[[#This Row],[SKU]],'All Skus'!$A:$AC,2,FALSE))="JBL",(VLOOKUP(Table6[[#This Row],[SKU]],'All Skus'!$A:$AC,13,FALSE)),""))</f>
        <v>0</v>
      </c>
      <c r="L853" s="102">
        <f>(IF((VLOOKUP(Table6[[#This Row],[SKU]],'All Skus'!$A:$AC,2,FALSE))="JBL",(VLOOKUP(Table6[[#This Row],[SKU]],'All Skus'!$A:$AC,14,FALSE)),""))</f>
        <v>0</v>
      </c>
      <c r="M853" s="143">
        <f>(IF((VLOOKUP(Table6[[#This Row],[SKU]],'All Skus'!$A:$AC,2,FALSE))="JBL",(VLOOKUP(Table6[[#This Row],[SKU]],'All Skus'!$A:$AC,15,FALSE)),""))</f>
        <v>0</v>
      </c>
      <c r="N853" s="137">
        <f>(IF((VLOOKUP(Table6[[#This Row],[SKU]],'All Skus'!$A:$AC,2,FALSE))="JBL",(VLOOKUP(Table6[[#This Row],[SKU]],'All Skus'!$A:$AC,16,FALSE)),""))</f>
        <v>50036904483</v>
      </c>
      <c r="O853" s="61">
        <f>(IF((VLOOKUP(Table6[[#This Row],[SKU]],'All Skus'!$A:$AC,2,FALSE))="JBL",(VLOOKUP(Table6[[#This Row],[SKU]],'All Skus'!$A:$AC,17,FALSE)),""))</f>
        <v>0</v>
      </c>
      <c r="P853" s="136">
        <f>(IF((VLOOKUP(Table6[[#This Row],[SKU]],'All Skus'!$A:$AC,2,FALSE))="JBL",(VLOOKUP(Table6[[#This Row],[SKU]],'All Skus'!$A:$AC,18,FALSE)),""))</f>
        <v>150</v>
      </c>
      <c r="Q853" s="136">
        <f>(IF((VLOOKUP(Table6[[#This Row],[SKU]],'All Skus'!$A:$AC,2,FALSE))="JBL",(VLOOKUP(Table6[[#This Row],[SKU]],'All Skus'!$A:$AC,19,FALSE)),""))</f>
        <v>25</v>
      </c>
      <c r="R853" s="136">
        <f>(IF((VLOOKUP(Table6[[#This Row],[SKU]],'All Skus'!$A:$AC,2,FALSE))="JBL",(VLOOKUP(Table6[[#This Row],[SKU]],'All Skus'!$A:$AC,20,FALSE)),""))</f>
        <v>20</v>
      </c>
      <c r="S853" s="61">
        <f>(IF((VLOOKUP(Table6[[#This Row],[SKU]],'All Skus'!$A:$AC,2,FALSE))="JBL",(VLOOKUP(Table6[[#This Row],[SKU]],'All Skus'!$A:$AC,21,FALSE)),""))</f>
        <v>53</v>
      </c>
      <c r="T853" s="61" t="str">
        <f>(IF((VLOOKUP(Table6[[#This Row],[SKU]],'All Skus'!$A:$AC,2,FALSE))="JBL",(VLOOKUP(Table6[[#This Row],[SKU]],'All Skus'!$A:$AC,22,FALSE)),""))</f>
        <v>MX</v>
      </c>
      <c r="U853">
        <f>(IF((VLOOKUP(Table6[[#This Row],[SKU]],'All Skus'!$A:$AC,2,FALSE))="JBL",(VLOOKUP(Table6[[#This Row],[SKU]],'All Skus'!$A:$AC,23,FALSE)),""))</f>
        <v>0</v>
      </c>
      <c r="V853" s="284" t="str">
        <f>HYPERLINK((IF((VLOOKUP(Table6[[#This Row],[SKU]],'All Skus'!$A:$AC,2,FALSE))="JBL",(VLOOKUP(Table6[[#This Row],[SKU]],'All Skus'!$A:$AC,24,FALSE)),"")))</f>
        <v>http://www.jblpro.com/www/products/recording-broadcast/m2/m2-master-reference-monitor#.XC5oHttKhEY</v>
      </c>
      <c r="W853" s="151">
        <v>851</v>
      </c>
    </row>
    <row r="854" spans="1:23" ht="15" hidden="1" customHeight="1">
      <c r="A854" s="13" t="s">
        <v>1862</v>
      </c>
      <c r="B854" s="12" t="str">
        <f>(IF((VLOOKUP(Table6[[#This Row],[SKU]],'All Skus'!$A:$AC,2,FALSE))="JBL",(VLOOKUP(Table6[[#This Row],[SKU]],'All Skus'!$A:$AC,3,FALSE)),""))</f>
        <v xml:space="preserve">Studio Monitor Controller </v>
      </c>
      <c r="C854" s="12" t="str">
        <f>(IF((VLOOKUP(Table6[[#This Row],[SKU]],'All Skus'!$A:$AC,2,FALSE))="JBL",(VLOOKUP(Table6[[#This Row],[SKU]],'All Skus'!$A:$AC,4,FALSE)),""))</f>
        <v>INTONATO-DC-M</v>
      </c>
      <c r="D854" s="61" t="str">
        <f>(IF((VLOOKUP(Table6[[#This Row],[SKU]],'All Skus'!$A:$AC,2,FALSE))="JBL",(VLOOKUP(Table6[[#This Row],[SKU]],'All Skus'!$A:$AC,5,FALSE)),""))</f>
        <v>JBL024</v>
      </c>
      <c r="E854" s="137">
        <f>(IF((VLOOKUP(Table6[[#This Row],[SKU]],'All Skus'!$A:$AC,2,FALSE))="JBL",(VLOOKUP(Table6[[#This Row],[SKU]],'All Skus'!$A:$AC,6,FALSE)),""))</f>
        <v>0</v>
      </c>
      <c r="F854" s="61">
        <f>(IF((VLOOKUP(Table6[[#This Row],[SKU]],'All Skus'!$A:$AC,2,FALSE))="JBL",(VLOOKUP(Table6[[#This Row],[SKU]],'All Skus'!$A:$AC,7,FALSE)),""))</f>
        <v>0</v>
      </c>
      <c r="G854" t="str">
        <f>(IF((VLOOKUP(Table6[[#This Row],[SKU]],'All Skus'!$A:$AC,2,FALSE))="JBL",(VLOOKUP(Table6[[#This Row],[SKU]],'All Skus'!$A:$AC,8,FALSE)),""))</f>
        <v>Intonato Desktop Controller</v>
      </c>
      <c r="H854" s="8" t="str">
        <f>(IF((VLOOKUP(Table6[[#This Row],[SKU]],'All Skus'!$A:$AC,2,FALSE))="JBL",(VLOOKUP(Table6[[#This Row],[SKU]],'All Skus'!$A:$AC,9,FALSE)),""))</f>
        <v xml:space="preserve">Intonato Desktop Controller. Accesssory for use with Intonato 24. Large master Volume Control, MUTE, DIM and Keys that provide instant access to Intonato 24 functions including individual speaker MUTE, SOLO, SCENES, TALKBACK and more. Compact desktop form-factor 2.84” (H) x 6.73” (L) x 4.70” (W)72.0mm (H) 117.0mm (L) x 119.4mm (W). Connections: CAT5,  RJ45 connector. Power Requirements: Power Over Ethernet (POE supply, CAT5 cable  not included). </v>
      </c>
      <c r="I854" s="101">
        <f>(IF((VLOOKUP(Table6[[#This Row],[SKU]],'All Skus'!$A:$AC,2,FALSE))="JBL",(VLOOKUP(Table6[[#This Row],[SKU]],'All Skus'!$A:$AC,10,FALSE)),""))</f>
        <v>1200.47</v>
      </c>
      <c r="J854" s="101">
        <f>(IF((VLOOKUP(Table6[[#This Row],[SKU]],'All Skus'!$A:$AC,2,FALSE))="JBL",(VLOOKUP(Table6[[#This Row],[SKU]],'All Skus'!$A:$AC,11,FALSE)),""))</f>
        <v>959</v>
      </c>
      <c r="K854" s="102">
        <f>(IF((VLOOKUP(Table6[[#This Row],[SKU]],'All Skus'!$A:$AC,2,FALSE))="JBL",(VLOOKUP(Table6[[#This Row],[SKU]],'All Skus'!$A:$AC,13,FALSE)),""))</f>
        <v>0</v>
      </c>
      <c r="L854" s="102">
        <f>(IF((VLOOKUP(Table6[[#This Row],[SKU]],'All Skus'!$A:$AC,2,FALSE))="JBL",(VLOOKUP(Table6[[#This Row],[SKU]],'All Skus'!$A:$AC,14,FALSE)),""))</f>
        <v>0</v>
      </c>
      <c r="M854" s="143">
        <f>(IF((VLOOKUP(Table6[[#This Row],[SKU]],'All Skus'!$A:$AC,2,FALSE))="JBL",(VLOOKUP(Table6[[#This Row],[SKU]],'All Skus'!$A:$AC,15,FALSE)),""))</f>
        <v>0</v>
      </c>
      <c r="N854" s="137">
        <f>(IF((VLOOKUP(Table6[[#This Row],[SKU]],'All Skus'!$A:$AC,2,FALSE))="JBL",(VLOOKUP(Table6[[#This Row],[SKU]],'All Skus'!$A:$AC,16,FALSE)),""))</f>
        <v>691991006203</v>
      </c>
      <c r="O854" s="61">
        <f>(IF((VLOOKUP(Table6[[#This Row],[SKU]],'All Skus'!$A:$AC,2,FALSE))="JBL",(VLOOKUP(Table6[[#This Row],[SKU]],'All Skus'!$A:$AC,17,FALSE)),""))</f>
        <v>0</v>
      </c>
      <c r="P854" s="136">
        <f>(IF((VLOOKUP(Table6[[#This Row],[SKU]],'All Skus'!$A:$AC,2,FALSE))="JBL",(VLOOKUP(Table6[[#This Row],[SKU]],'All Skus'!$A:$AC,18,FALSE)),""))</f>
        <v>19</v>
      </c>
      <c r="Q854" s="136">
        <f>(IF((VLOOKUP(Table6[[#This Row],[SKU]],'All Skus'!$A:$AC,2,FALSE))="JBL",(VLOOKUP(Table6[[#This Row],[SKU]],'All Skus'!$A:$AC,19,FALSE)),""))</f>
        <v>18.5</v>
      </c>
      <c r="R854" s="136">
        <f>(IF((VLOOKUP(Table6[[#This Row],[SKU]],'All Skus'!$A:$AC,2,FALSE))="JBL",(VLOOKUP(Table6[[#This Row],[SKU]],'All Skus'!$A:$AC,20,FALSE)),""))</f>
        <v>21.5</v>
      </c>
      <c r="S854" s="61">
        <f>(IF((VLOOKUP(Table6[[#This Row],[SKU]],'All Skus'!$A:$AC,2,FALSE))="JBL",(VLOOKUP(Table6[[#This Row],[SKU]],'All Skus'!$A:$AC,21,FALSE)),""))</f>
        <v>8</v>
      </c>
      <c r="T854" s="61" t="str">
        <f>(IF((VLOOKUP(Table6[[#This Row],[SKU]],'All Skus'!$A:$AC,2,FALSE))="JBL",(VLOOKUP(Table6[[#This Row],[SKU]],'All Skus'!$A:$AC,22,FALSE)),""))</f>
        <v>MY</v>
      </c>
      <c r="U854" t="str">
        <f>(IF((VLOOKUP(Table6[[#This Row],[SKU]],'All Skus'!$A:$AC,2,FALSE))="JBL",(VLOOKUP(Table6[[#This Row],[SKU]],'All Skus'!$A:$AC,23,FALSE)),""))</f>
        <v>Non Compliant</v>
      </c>
      <c r="V854" s="284" t="str">
        <f>HYPERLINK((IF((VLOOKUP(Table6[[#This Row],[SKU]],'All Skus'!$A:$AC,2,FALSE))="JBL",(VLOOKUP(Table6[[#This Row],[SKU]],'All Skus'!$A:$AC,24,FALSE)),"")))</f>
        <v>http://www.jblpro.com/www/products/recording-broadcast/monitor-controllers/intonato-24#.WWDlOVUrLDc</v>
      </c>
      <c r="W854" s="151">
        <v>852</v>
      </c>
    </row>
    <row r="855" spans="1:23" ht="15" hidden="1" customHeight="1">
      <c r="A855" s="13" t="s">
        <v>1865</v>
      </c>
      <c r="B855" s="12">
        <f>(IF((VLOOKUP(Table6[[#This Row],[SKU]],'All Skus'!$A:$AC,2,FALSE))="JBL",(VLOOKUP(Table6[[#This Row],[SKU]],'All Skus'!$A:$AC,3,FALSE)),""))</f>
        <v>0</v>
      </c>
      <c r="C855" s="12">
        <f>(IF((VLOOKUP(Table6[[#This Row],[SKU]],'All Skus'!$A:$AC,2,FALSE))="JBL",(VLOOKUP(Table6[[#This Row],[SKU]],'All Skus'!$A:$AC,4,FALSE)),""))</f>
        <v>0</v>
      </c>
      <c r="D855" s="61">
        <f>(IF((VLOOKUP(Table6[[#This Row],[SKU]],'All Skus'!$A:$AC,2,FALSE))="JBL",(VLOOKUP(Table6[[#This Row],[SKU]],'All Skus'!$A:$AC,5,FALSE)),""))</f>
        <v>0</v>
      </c>
      <c r="E855" s="137">
        <f>(IF((VLOOKUP(Table6[[#This Row],[SKU]],'All Skus'!$A:$AC,2,FALSE))="JBL",(VLOOKUP(Table6[[#This Row],[SKU]],'All Skus'!$A:$AC,6,FALSE)),""))</f>
        <v>0</v>
      </c>
      <c r="F855" s="61">
        <f>(IF((VLOOKUP(Table6[[#This Row],[SKU]],'All Skus'!$A:$AC,2,FALSE))="JBL",(VLOOKUP(Table6[[#This Row],[SKU]],'All Skus'!$A:$AC,7,FALSE)),""))</f>
        <v>0</v>
      </c>
      <c r="G855">
        <f>(IF((VLOOKUP(Table6[[#This Row],[SKU]],'All Skus'!$A:$AC,2,FALSE))="JBL",(VLOOKUP(Table6[[#This Row],[SKU]],'All Skus'!$A:$AC,8,FALSE)),""))</f>
        <v>0</v>
      </c>
      <c r="H855" s="8">
        <f>(IF((VLOOKUP(Table6[[#This Row],[SKU]],'All Skus'!$A:$AC,2,FALSE))="JBL",(VLOOKUP(Table6[[#This Row],[SKU]],'All Skus'!$A:$AC,9,FALSE)),""))</f>
        <v>0</v>
      </c>
      <c r="I855" s="101">
        <f>(IF((VLOOKUP(Table6[[#This Row],[SKU]],'All Skus'!$A:$AC,2,FALSE))="JBL",(VLOOKUP(Table6[[#This Row],[SKU]],'All Skus'!$A:$AC,10,FALSE)),""))</f>
        <v>0</v>
      </c>
      <c r="J855" s="101">
        <f>(IF((VLOOKUP(Table6[[#This Row],[SKU]],'All Skus'!$A:$AC,2,FALSE))="JBL",(VLOOKUP(Table6[[#This Row],[SKU]],'All Skus'!$A:$AC,11,FALSE)),""))</f>
        <v>0</v>
      </c>
      <c r="K855" s="102">
        <f>(IF((VLOOKUP(Table6[[#This Row],[SKU]],'All Skus'!$A:$AC,2,FALSE))="JBL",(VLOOKUP(Table6[[#This Row],[SKU]],'All Skus'!$A:$AC,13,FALSE)),""))</f>
        <v>0</v>
      </c>
      <c r="L855" s="102">
        <f>(IF((VLOOKUP(Table6[[#This Row],[SKU]],'All Skus'!$A:$AC,2,FALSE))="JBL",(VLOOKUP(Table6[[#This Row],[SKU]],'All Skus'!$A:$AC,14,FALSE)),""))</f>
        <v>0</v>
      </c>
      <c r="M855" s="143">
        <f>(IF((VLOOKUP(Table6[[#This Row],[SKU]],'All Skus'!$A:$AC,2,FALSE))="JBL",(VLOOKUP(Table6[[#This Row],[SKU]],'All Skus'!$A:$AC,15,FALSE)),""))</f>
        <v>0</v>
      </c>
      <c r="N855" s="137">
        <f>(IF((VLOOKUP(Table6[[#This Row],[SKU]],'All Skus'!$A:$AC,2,FALSE))="JBL",(VLOOKUP(Table6[[#This Row],[SKU]],'All Skus'!$A:$AC,16,FALSE)),""))</f>
        <v>0</v>
      </c>
      <c r="O855" s="61">
        <f>(IF((VLOOKUP(Table6[[#This Row],[SKU]],'All Skus'!$A:$AC,2,FALSE))="JBL",(VLOOKUP(Table6[[#This Row],[SKU]],'All Skus'!$A:$AC,17,FALSE)),""))</f>
        <v>0</v>
      </c>
      <c r="P855" s="136">
        <f>(IF((VLOOKUP(Table6[[#This Row],[SKU]],'All Skus'!$A:$AC,2,FALSE))="JBL",(VLOOKUP(Table6[[#This Row],[SKU]],'All Skus'!$A:$AC,18,FALSE)),""))</f>
        <v>0</v>
      </c>
      <c r="Q855" s="136">
        <f>(IF((VLOOKUP(Table6[[#This Row],[SKU]],'All Skus'!$A:$AC,2,FALSE))="JBL",(VLOOKUP(Table6[[#This Row],[SKU]],'All Skus'!$A:$AC,19,FALSE)),""))</f>
        <v>0</v>
      </c>
      <c r="R855" s="136">
        <f>(IF((VLOOKUP(Table6[[#This Row],[SKU]],'All Skus'!$A:$AC,2,FALSE))="JBL",(VLOOKUP(Table6[[#This Row],[SKU]],'All Skus'!$A:$AC,20,FALSE)),""))</f>
        <v>0</v>
      </c>
      <c r="S855" s="61">
        <f>(IF((VLOOKUP(Table6[[#This Row],[SKU]],'All Skus'!$A:$AC,2,FALSE))="JBL",(VLOOKUP(Table6[[#This Row],[SKU]],'All Skus'!$A:$AC,21,FALSE)),""))</f>
        <v>0</v>
      </c>
      <c r="T855" s="61" t="str">
        <f>(IF((VLOOKUP(Table6[[#This Row],[SKU]],'All Skus'!$A:$AC,2,FALSE))="JBL",(VLOOKUP(Table6[[#This Row],[SKU]],'All Skus'!$A:$AC,22,FALSE)),""))</f>
        <v>CN</v>
      </c>
      <c r="U855" t="str">
        <f>(IF((VLOOKUP(Table6[[#This Row],[SKU]],'All Skus'!$A:$AC,2,FALSE))="JBL",(VLOOKUP(Table6[[#This Row],[SKU]],'All Skus'!$A:$AC,23,FALSE)),""))</f>
        <v>Non Compliant</v>
      </c>
      <c r="V855" s="284" t="str">
        <f>HYPERLINK((IF((VLOOKUP(Table6[[#This Row],[SKU]],'All Skus'!$A:$AC,2,FALSE))="JBL",(VLOOKUP(Table6[[#This Row],[SKU]],'All Skus'!$A:$AC,24,FALSE)),"")))</f>
        <v>http://www.jblpro.com/www/products/recording-broadcast/control-1-pro#.VkxQUYRqBJo</v>
      </c>
      <c r="W855" s="151">
        <v>853</v>
      </c>
    </row>
    <row r="856" spans="1:23" ht="15" hidden="1" customHeight="1">
      <c r="A856" s="13" t="s">
        <v>1864</v>
      </c>
      <c r="B856" s="12" t="str">
        <f>(IF((VLOOKUP(Table6[[#This Row],[SKU]],'All Skus'!$A:$AC,2,FALSE))="JBL",(VLOOKUP(Table6[[#This Row],[SKU]],'All Skus'!$A:$AC,3,FALSE)),""))</f>
        <v>Studio Subwoofer</v>
      </c>
      <c r="C856" s="12" t="str">
        <f>(IF((VLOOKUP(Table6[[#This Row],[SKU]],'All Skus'!$A:$AC,2,FALSE))="JBL",(VLOOKUP(Table6[[#This Row],[SKU]],'All Skus'!$A:$AC,4,FALSE)),""))</f>
        <v>SUB18</v>
      </c>
      <c r="D856" s="61" t="str">
        <f>(IF((VLOOKUP(Table6[[#This Row],[SKU]],'All Skus'!$A:$AC,2,FALSE))="JBL",(VLOOKUP(Table6[[#This Row],[SKU]],'All Skus'!$A:$AC,5,FALSE)),""))</f>
        <v>JBL025</v>
      </c>
      <c r="E856" s="137" t="str">
        <f>(IF((VLOOKUP(Table6[[#This Row],[SKU]],'All Skus'!$A:$AC,2,FALSE))="JBL",(VLOOKUP(Table6[[#This Row],[SKU]],'All Skus'!$A:$AC,6,FALSE)),""))</f>
        <v>YES</v>
      </c>
      <c r="F856" s="61">
        <f>(IF((VLOOKUP(Table6[[#This Row],[SKU]],'All Skus'!$A:$AC,2,FALSE))="JBL",(VLOOKUP(Table6[[#This Row],[SKU]],'All Skus'!$A:$AC,7,FALSE)),""))</f>
        <v>0</v>
      </c>
      <c r="G856" t="str">
        <f>(IF((VLOOKUP(Table6[[#This Row],[SKU]],'All Skus'!$A:$AC,2,FALSE))="JBL",(VLOOKUP(Table6[[#This Row],[SKU]],'All Skus'!$A:$AC,8,FALSE)),""))</f>
        <v>SUB18 Studio Subwoofer</v>
      </c>
      <c r="H856" s="8" t="str">
        <f>(IF((VLOOKUP(Table6[[#This Row],[SKU]],'All Skus'!$A:$AC,2,FALSE))="JBL",(VLOOKUP(Table6[[#This Row],[SKU]],'All Skus'!$A:$AC,9,FALSE)),""))</f>
        <v>SUB 18 Studio subwoofer. (Speaker Only. Requires External Power Amplifier) Designed for applications in which very high continuous output and extended low frequency performance are required. Delivers unprecedented performance for demanding dance music production, while providing exceptional accuracy required in cinema post production applications. As an add-on to JBL’s M2 Master Reference Monitor system, the SUB18 allows three times greater output from the system.</v>
      </c>
      <c r="I856" s="101">
        <f>(IF((VLOOKUP(Table6[[#This Row],[SKU]],'All Skus'!$A:$AC,2,FALSE))="JBL",(VLOOKUP(Table6[[#This Row],[SKU]],'All Skus'!$A:$AC,10,FALSE)),""))</f>
        <v>3899</v>
      </c>
      <c r="J856" s="101">
        <f>(IF((VLOOKUP(Table6[[#This Row],[SKU]],'All Skus'!$A:$AC,2,FALSE))="JBL",(VLOOKUP(Table6[[#This Row],[SKU]],'All Skus'!$A:$AC,11,FALSE)),""))</f>
        <v>3899</v>
      </c>
      <c r="K856" s="102">
        <f>(IF((VLOOKUP(Table6[[#This Row],[SKU]],'All Skus'!$A:$AC,2,FALSE))="JBL",(VLOOKUP(Table6[[#This Row],[SKU]],'All Skus'!$A:$AC,13,FALSE)),""))</f>
        <v>0</v>
      </c>
      <c r="L856" s="102">
        <f>(IF((VLOOKUP(Table6[[#This Row],[SKU]],'All Skus'!$A:$AC,2,FALSE))="JBL",(VLOOKUP(Table6[[#This Row],[SKU]],'All Skus'!$A:$AC,14,FALSE)),""))</f>
        <v>0</v>
      </c>
      <c r="M856" s="143">
        <f>(IF((VLOOKUP(Table6[[#This Row],[SKU]],'All Skus'!$A:$AC,2,FALSE))="JBL",(VLOOKUP(Table6[[#This Row],[SKU]],'All Skus'!$A:$AC,15,FALSE)),""))</f>
        <v>0</v>
      </c>
      <c r="N856" s="137">
        <f>(IF((VLOOKUP(Table6[[#This Row],[SKU]],'All Skus'!$A:$AC,2,FALSE))="JBL",(VLOOKUP(Table6[[#This Row],[SKU]],'All Skus'!$A:$AC,16,FALSE)),""))</f>
        <v>691991004698</v>
      </c>
      <c r="O856" s="61">
        <f>(IF((VLOOKUP(Table6[[#This Row],[SKU]],'All Skus'!$A:$AC,2,FALSE))="JBL",(VLOOKUP(Table6[[#This Row],[SKU]],'All Skus'!$A:$AC,17,FALSE)),""))</f>
        <v>0</v>
      </c>
      <c r="P856" s="136">
        <f>(IF((VLOOKUP(Table6[[#This Row],[SKU]],'All Skus'!$A:$AC,2,FALSE))="JBL",(VLOOKUP(Table6[[#This Row],[SKU]],'All Skus'!$A:$AC,18,FALSE)),""))</f>
        <v>138.5</v>
      </c>
      <c r="Q856" s="136">
        <f>(IF((VLOOKUP(Table6[[#This Row],[SKU]],'All Skus'!$A:$AC,2,FALSE))="JBL",(VLOOKUP(Table6[[#This Row],[SKU]],'All Skus'!$A:$AC,19,FALSE)),""))</f>
        <v>31</v>
      </c>
      <c r="R856" s="136">
        <f>(IF((VLOOKUP(Table6[[#This Row],[SKU]],'All Skus'!$A:$AC,2,FALSE))="JBL",(VLOOKUP(Table6[[#This Row],[SKU]],'All Skus'!$A:$AC,20,FALSE)),""))</f>
        <v>31.5</v>
      </c>
      <c r="S856" s="61">
        <f>(IF((VLOOKUP(Table6[[#This Row],[SKU]],'All Skus'!$A:$AC,2,FALSE))="JBL",(VLOOKUP(Table6[[#This Row],[SKU]],'All Skus'!$A:$AC,21,FALSE)),""))</f>
        <v>35</v>
      </c>
      <c r="T856" s="61" t="str">
        <f>(IF((VLOOKUP(Table6[[#This Row],[SKU]],'All Skus'!$A:$AC,2,FALSE))="JBL",(VLOOKUP(Table6[[#This Row],[SKU]],'All Skus'!$A:$AC,22,FALSE)),""))</f>
        <v>MX</v>
      </c>
      <c r="U856">
        <f>(IF((VLOOKUP(Table6[[#This Row],[SKU]],'All Skus'!$A:$AC,2,FALSE))="JBL",(VLOOKUP(Table6[[#This Row],[SKU]],'All Skus'!$A:$AC,23,FALSE)),""))</f>
        <v>0</v>
      </c>
      <c r="V856" s="284" t="str">
        <f>HYPERLINK((IF((VLOOKUP(Table6[[#This Row],[SKU]],'All Skus'!$A:$AC,2,FALSE))="JBL",(VLOOKUP(Table6[[#This Row],[SKU]],'All Skus'!$A:$AC,24,FALSE)),"")))</f>
        <v>www.jblpro.com/sub18</v>
      </c>
      <c r="W856" s="151">
        <v>854</v>
      </c>
    </row>
    <row r="857" spans="1:23" ht="15" hidden="1" customHeight="1">
      <c r="A857" s="13" t="s">
        <v>1867</v>
      </c>
      <c r="B857" s="12" t="str">
        <f>(IF((VLOOKUP(Table6[[#This Row],[SKU]],'All Skus'!$A:$AC,2,FALSE))="JBL",(VLOOKUP(Table6[[#This Row],[SKU]],'All Skus'!$A:$AC,3,FALSE)),""))</f>
        <v>CONTROL SERIES</v>
      </c>
      <c r="C857" s="12" t="str">
        <f>(IF((VLOOKUP(Table6[[#This Row],[SKU]],'All Skus'!$A:$AC,2,FALSE))="JBL",(VLOOKUP(Table6[[#This Row],[SKU]],'All Skus'!$A:$AC,4,FALSE)),""))</f>
        <v>C1PRO-WH</v>
      </c>
      <c r="D857" s="61" t="str">
        <f>(IF((VLOOKUP(Table6[[#This Row],[SKU]],'All Skus'!$A:$AC,2,FALSE))="JBL",(VLOOKUP(Table6[[#This Row],[SKU]],'All Skus'!$A:$AC,5,FALSE)),""))</f>
        <v>JBL029</v>
      </c>
      <c r="E857" s="137">
        <f>(IF((VLOOKUP(Table6[[#This Row],[SKU]],'All Skus'!$A:$AC,2,FALSE))="JBL",(VLOOKUP(Table6[[#This Row],[SKU]],'All Skus'!$A:$AC,6,FALSE)),""))</f>
        <v>0</v>
      </c>
      <c r="F857" s="61">
        <f>(IF((VLOOKUP(Table6[[#This Row],[SKU]],'All Skus'!$A:$AC,2,FALSE))="JBL",(VLOOKUP(Table6[[#This Row],[SKU]],'All Skus'!$A:$AC,7,FALSE)),""))</f>
        <v>0</v>
      </c>
      <c r="G857" t="str">
        <f>(IF((VLOOKUP(Table6[[#This Row],[SKU]],'All Skus'!$A:$AC,2,FALSE))="JBL",(VLOOKUP(Table6[[#This Row],[SKU]],'All Skus'!$A:$AC,8,FALSE)),""))</f>
        <v>CONTROL 1PRO WHITE</v>
      </c>
      <c r="H857" s="8" t="str">
        <f>(IF((VLOOKUP(Table6[[#This Row],[SKU]],'All Skus'!$A:$AC,2,FALSE))="JBL",(VLOOKUP(Table6[[#This Row],[SKU]],'All Skus'!$A:$AC,9,FALSE)),""))</f>
        <v>Compact Size Two-Way, 5.25" Low Frequency, .75" Polycarbonate Dome Tweeter, Molded Enclosure, Shielded Magnet,  White.  Priced as Each.  Packaged and sold in pairs.</v>
      </c>
      <c r="I857" s="101">
        <f>(IF((VLOOKUP(Table6[[#This Row],[SKU]],'All Skus'!$A:$AC,2,FALSE))="JBL",(VLOOKUP(Table6[[#This Row],[SKU]],'All Skus'!$A:$AC,10,FALSE)),""))</f>
        <v>128.53</v>
      </c>
      <c r="J857" s="101">
        <f>(IF((VLOOKUP(Table6[[#This Row],[SKU]],'All Skus'!$A:$AC,2,FALSE))="JBL",(VLOOKUP(Table6[[#This Row],[SKU]],'All Skus'!$A:$AC,11,FALSE)),""))</f>
        <v>99</v>
      </c>
      <c r="K857" s="102">
        <f>(IF((VLOOKUP(Table6[[#This Row],[SKU]],'All Skus'!$A:$AC,2,FALSE))="JBL",(VLOOKUP(Table6[[#This Row],[SKU]],'All Skus'!$A:$AC,13,FALSE)),""))</f>
        <v>0</v>
      </c>
      <c r="L857" s="102">
        <f>(IF((VLOOKUP(Table6[[#This Row],[SKU]],'All Skus'!$A:$AC,2,FALSE))="JBL",(VLOOKUP(Table6[[#This Row],[SKU]],'All Skus'!$A:$AC,14,FALSE)),""))</f>
        <v>0</v>
      </c>
      <c r="M857" s="143">
        <f>(IF((VLOOKUP(Table6[[#This Row],[SKU]],'All Skus'!$A:$AC,2,FALSE))="JBL",(VLOOKUP(Table6[[#This Row],[SKU]],'All Skus'!$A:$AC,15,FALSE)),""))</f>
        <v>2</v>
      </c>
      <c r="N857" s="137">
        <f>(IF((VLOOKUP(Table6[[#This Row],[SKU]],'All Skus'!$A:$AC,2,FALSE))="JBL",(VLOOKUP(Table6[[#This Row],[SKU]],'All Skus'!$A:$AC,16,FALSE)),""))</f>
        <v>50036903486</v>
      </c>
      <c r="O857" s="61">
        <f>(IF((VLOOKUP(Table6[[#This Row],[SKU]],'All Skus'!$A:$AC,2,FALSE))="JBL",(VLOOKUP(Table6[[#This Row],[SKU]],'All Skus'!$A:$AC,17,FALSE)),""))</f>
        <v>0</v>
      </c>
      <c r="P857" s="136">
        <f>(IF((VLOOKUP(Table6[[#This Row],[SKU]],'All Skus'!$A:$AC,2,FALSE))="JBL",(VLOOKUP(Table6[[#This Row],[SKU]],'All Skus'!$A:$AC,18,FALSE)),""))</f>
        <v>5.75</v>
      </c>
      <c r="Q857" s="136">
        <f>(IF((VLOOKUP(Table6[[#This Row],[SKU]],'All Skus'!$A:$AC,2,FALSE))="JBL",(VLOOKUP(Table6[[#This Row],[SKU]],'All Skus'!$A:$AC,19,FALSE)),""))</f>
        <v>6.375</v>
      </c>
      <c r="R857" s="136">
        <f>(IF((VLOOKUP(Table6[[#This Row],[SKU]],'All Skus'!$A:$AC,2,FALSE))="JBL",(VLOOKUP(Table6[[#This Row],[SKU]],'All Skus'!$A:$AC,20,FALSE)),""))</f>
        <v>7.5</v>
      </c>
      <c r="S857" s="61">
        <f>(IF((VLOOKUP(Table6[[#This Row],[SKU]],'All Skus'!$A:$AC,2,FALSE))="JBL",(VLOOKUP(Table6[[#This Row],[SKU]],'All Skus'!$A:$AC,21,FALSE)),""))</f>
        <v>11.75</v>
      </c>
      <c r="T857" s="61" t="str">
        <f>(IF((VLOOKUP(Table6[[#This Row],[SKU]],'All Skus'!$A:$AC,2,FALSE))="JBL",(VLOOKUP(Table6[[#This Row],[SKU]],'All Skus'!$A:$AC,22,FALSE)),""))</f>
        <v>CN</v>
      </c>
      <c r="U857" t="str">
        <f>(IF((VLOOKUP(Table6[[#This Row],[SKU]],'All Skus'!$A:$AC,2,FALSE))="JBL",(VLOOKUP(Table6[[#This Row],[SKU]],'All Skus'!$A:$AC,23,FALSE)),""))</f>
        <v>Non Compliant</v>
      </c>
      <c r="V857" s="284" t="str">
        <f>HYPERLINK((IF((VLOOKUP(Table6[[#This Row],[SKU]],'All Skus'!$A:$AC,2,FALSE))="JBL",(VLOOKUP(Table6[[#This Row],[SKU]],'All Skus'!$A:$AC,24,FALSE)),"")))</f>
        <v>http://www.jblpro.com/www/products/recording-broadcast/control-2p/control-2p---master-only#.VkxQs4RqBJo</v>
      </c>
      <c r="W857" s="151">
        <v>855</v>
      </c>
    </row>
    <row r="858" spans="1:23" ht="15" hidden="1" customHeight="1">
      <c r="A858" s="13" t="s">
        <v>1866</v>
      </c>
      <c r="B858" s="12" t="str">
        <f>(IF((VLOOKUP(Table6[[#This Row],[SKU]],'All Skus'!$A:$AC,2,FALSE))="JBL",(VLOOKUP(Table6[[#This Row],[SKU]],'All Skus'!$A:$AC,3,FALSE)),""))</f>
        <v>CONTROL SERIES</v>
      </c>
      <c r="C858" s="12" t="str">
        <f>(IF((VLOOKUP(Table6[[#This Row],[SKU]],'All Skus'!$A:$AC,2,FALSE))="JBL",(VLOOKUP(Table6[[#This Row],[SKU]],'All Skus'!$A:$AC,4,FALSE)),""))</f>
        <v>C1PRO</v>
      </c>
      <c r="D858" s="61" t="str">
        <f>(IF((VLOOKUP(Table6[[#This Row],[SKU]],'All Skus'!$A:$AC,2,FALSE))="JBL",(VLOOKUP(Table6[[#This Row],[SKU]],'All Skus'!$A:$AC,5,FALSE)),""))</f>
        <v>JBL029</v>
      </c>
      <c r="E858" s="137">
        <f>(IF((VLOOKUP(Table6[[#This Row],[SKU]],'All Skus'!$A:$AC,2,FALSE))="JBL",(VLOOKUP(Table6[[#This Row],[SKU]],'All Skus'!$A:$AC,6,FALSE)),""))</f>
        <v>0</v>
      </c>
      <c r="F858" s="61">
        <f>(IF((VLOOKUP(Table6[[#This Row],[SKU]],'All Skus'!$A:$AC,2,FALSE))="JBL",(VLOOKUP(Table6[[#This Row],[SKU]],'All Skus'!$A:$AC,7,FALSE)),""))</f>
        <v>0</v>
      </c>
      <c r="G858" t="str">
        <f>(IF((VLOOKUP(Table6[[#This Row],[SKU]],'All Skus'!$A:$AC,2,FALSE))="JBL",(VLOOKUP(Table6[[#This Row],[SKU]],'All Skus'!$A:$AC,8,FALSE)),""))</f>
        <v>CONTROL 1PRO</v>
      </c>
      <c r="H858" s="8" t="str">
        <f>(IF((VLOOKUP(Table6[[#This Row],[SKU]],'All Skus'!$A:$AC,2,FALSE))="JBL",(VLOOKUP(Table6[[#This Row],[SKU]],'All Skus'!$A:$AC,9,FALSE)),""))</f>
        <v>Compact Size Two-Way, 5.25" Low Frequency, .75" Polycarbonate Dome Tweeter, Molded Enclosure, Shielded Magnet,  Black. Priced as Each.  Packaged and sold in pairs.</v>
      </c>
      <c r="I858" s="101">
        <f>(IF((VLOOKUP(Table6[[#This Row],[SKU]],'All Skus'!$A:$AC,2,FALSE))="JBL",(VLOOKUP(Table6[[#This Row],[SKU]],'All Skus'!$A:$AC,10,FALSE)),""))</f>
        <v>128.53</v>
      </c>
      <c r="J858" s="101">
        <f>(IF((VLOOKUP(Table6[[#This Row],[SKU]],'All Skus'!$A:$AC,2,FALSE))="JBL",(VLOOKUP(Table6[[#This Row],[SKU]],'All Skus'!$A:$AC,11,FALSE)),""))</f>
        <v>99</v>
      </c>
      <c r="K858" s="102">
        <f>(IF((VLOOKUP(Table6[[#This Row],[SKU]],'All Skus'!$A:$AC,2,FALSE))="JBL",(VLOOKUP(Table6[[#This Row],[SKU]],'All Skus'!$A:$AC,13,FALSE)),""))</f>
        <v>0</v>
      </c>
      <c r="L858" s="102">
        <f>(IF((VLOOKUP(Table6[[#This Row],[SKU]],'All Skus'!$A:$AC,2,FALSE))="JBL",(VLOOKUP(Table6[[#This Row],[SKU]],'All Skus'!$A:$AC,14,FALSE)),""))</f>
        <v>0</v>
      </c>
      <c r="M858" s="143">
        <f>(IF((VLOOKUP(Table6[[#This Row],[SKU]],'All Skus'!$A:$AC,2,FALSE))="JBL",(VLOOKUP(Table6[[#This Row],[SKU]],'All Skus'!$A:$AC,15,FALSE)),""))</f>
        <v>2</v>
      </c>
      <c r="N858" s="137">
        <f>(IF((VLOOKUP(Table6[[#This Row],[SKU]],'All Skus'!$A:$AC,2,FALSE))="JBL",(VLOOKUP(Table6[[#This Row],[SKU]],'All Skus'!$A:$AC,16,FALSE)),""))</f>
        <v>50036903455</v>
      </c>
      <c r="O858" s="61">
        <f>(IF((VLOOKUP(Table6[[#This Row],[SKU]],'All Skus'!$A:$AC,2,FALSE))="JBL",(VLOOKUP(Table6[[#This Row],[SKU]],'All Skus'!$A:$AC,17,FALSE)),""))</f>
        <v>0</v>
      </c>
      <c r="P858" s="136">
        <f>(IF((VLOOKUP(Table6[[#This Row],[SKU]],'All Skus'!$A:$AC,2,FALSE))="JBL",(VLOOKUP(Table6[[#This Row],[SKU]],'All Skus'!$A:$AC,18,FALSE)),""))</f>
        <v>5.75</v>
      </c>
      <c r="Q858" s="136">
        <f>(IF((VLOOKUP(Table6[[#This Row],[SKU]],'All Skus'!$A:$AC,2,FALSE))="JBL",(VLOOKUP(Table6[[#This Row],[SKU]],'All Skus'!$A:$AC,19,FALSE)),""))</f>
        <v>6.375</v>
      </c>
      <c r="R858" s="136">
        <f>(IF((VLOOKUP(Table6[[#This Row],[SKU]],'All Skus'!$A:$AC,2,FALSE))="JBL",(VLOOKUP(Table6[[#This Row],[SKU]],'All Skus'!$A:$AC,20,FALSE)),""))</f>
        <v>7.5</v>
      </c>
      <c r="S858" s="61">
        <f>(IF((VLOOKUP(Table6[[#This Row],[SKU]],'All Skus'!$A:$AC,2,FALSE))="JBL",(VLOOKUP(Table6[[#This Row],[SKU]],'All Skus'!$A:$AC,21,FALSE)),""))</f>
        <v>11.75</v>
      </c>
      <c r="T858" s="61" t="str">
        <f>(IF((VLOOKUP(Table6[[#This Row],[SKU]],'All Skus'!$A:$AC,2,FALSE))="JBL",(VLOOKUP(Table6[[#This Row],[SKU]],'All Skus'!$A:$AC,22,FALSE)),""))</f>
        <v>CN</v>
      </c>
      <c r="U858" t="str">
        <f>(IF((VLOOKUP(Table6[[#This Row],[SKU]],'All Skus'!$A:$AC,2,FALSE))="JBL",(VLOOKUP(Table6[[#This Row],[SKU]],'All Skus'!$A:$AC,23,FALSE)),""))</f>
        <v>Non Compliant</v>
      </c>
      <c r="V858" s="284" t="str">
        <f>HYPERLINK((IF((VLOOKUP(Table6[[#This Row],[SKU]],'All Skus'!$A:$AC,2,FALSE))="JBL",(VLOOKUP(Table6[[#This Row],[SKU]],'All Skus'!$A:$AC,24,FALSE)),"")))</f>
        <v>http://www.jblpro.com/www/products/recording-broadcast/control-1-pro#.VkxQUYRqBJo</v>
      </c>
      <c r="W858" s="151">
        <v>856</v>
      </c>
    </row>
    <row r="859" spans="1:23" ht="15" hidden="1" customHeight="1">
      <c r="A859" s="13" t="s">
        <v>1869</v>
      </c>
      <c r="B859" s="12" t="str">
        <f>(IF((VLOOKUP(Table6[[#This Row],[SKU]],'All Skus'!$A:$AC,2,FALSE))="JBL",(VLOOKUP(Table6[[#This Row],[SKU]],'All Skus'!$A:$AC,3,FALSE)),""))</f>
        <v>CONTROL SERIES</v>
      </c>
      <c r="C859" s="12" t="str">
        <f>(IF((VLOOKUP(Table6[[#This Row],[SKU]],'All Skus'!$A:$AC,2,FALSE))="JBL",(VLOOKUP(Table6[[#This Row],[SKU]],'All Skus'!$A:$AC,4,FALSE)),""))</f>
        <v>C2PS</v>
      </c>
      <c r="D859" s="61" t="str">
        <f>(IF((VLOOKUP(Table6[[#This Row],[SKU]],'All Skus'!$A:$AC,2,FALSE))="JBL",(VLOOKUP(Table6[[#This Row],[SKU]],'All Skus'!$A:$AC,5,FALSE)),""))</f>
        <v>JBL029</v>
      </c>
      <c r="E859" s="137">
        <f>(IF((VLOOKUP(Table6[[#This Row],[SKU]],'All Skus'!$A:$AC,2,FALSE))="JBL",(VLOOKUP(Table6[[#This Row],[SKU]],'All Skus'!$A:$AC,6,FALSE)),""))</f>
        <v>0</v>
      </c>
      <c r="F859" s="61">
        <f>(IF((VLOOKUP(Table6[[#This Row],[SKU]],'All Skus'!$A:$AC,2,FALSE))="JBL",(VLOOKUP(Table6[[#This Row],[SKU]],'All Skus'!$A:$AC,7,FALSE)),""))</f>
        <v>0</v>
      </c>
      <c r="G859" t="str">
        <f>(IF((VLOOKUP(Table6[[#This Row],[SKU]],'All Skus'!$A:$AC,2,FALSE))="JBL",(VLOOKUP(Table6[[#This Row],[SKU]],'All Skus'!$A:$AC,8,FALSE)),""))</f>
        <v>CONTROL 2P  2-SPEAKER SYSTEM</v>
      </c>
      <c r="H859" s="8" t="str">
        <f>(IF((VLOOKUP(Table6[[#This Row],[SKU]],'All Skus'!$A:$AC,2,FALSE))="JBL",(VLOOKUP(Table6[[#This Row],[SKU]],'All Skus'!$A:$AC,9,FALSE)),""))</f>
        <v>Control 2P Stereo Set. Includes one C2PM powered master, one Passive Extension Speaker,  one Power Supply and two Snap-On Angle Pedestals. Both speakers have a 5.25" Low Frequency and .75" Polycarbonate Dome Tweeter, Shielded Magnets, Molded Enclosures. Powered master incorporates 35 watts amplification x 2 channels; two Balanced XLR ¼” and two unbalanced RCA inputs; Stereo Volume Control; Stereo Headphone Jack; HF Contour Control.</v>
      </c>
      <c r="I859" s="101">
        <f>(IF((VLOOKUP(Table6[[#This Row],[SKU]],'All Skus'!$A:$AC,2,FALSE))="JBL",(VLOOKUP(Table6[[#This Row],[SKU]],'All Skus'!$A:$AC,10,FALSE)),""))</f>
        <v>315.25</v>
      </c>
      <c r="J859" s="101">
        <f>(IF((VLOOKUP(Table6[[#This Row],[SKU]],'All Skus'!$A:$AC,2,FALSE))="JBL",(VLOOKUP(Table6[[#This Row],[SKU]],'All Skus'!$A:$AC,11,FALSE)),""))</f>
        <v>253</v>
      </c>
      <c r="K859" s="102">
        <f>(IF((VLOOKUP(Table6[[#This Row],[SKU]],'All Skus'!$A:$AC,2,FALSE))="JBL",(VLOOKUP(Table6[[#This Row],[SKU]],'All Skus'!$A:$AC,13,FALSE)),""))</f>
        <v>0</v>
      </c>
      <c r="L859" s="102">
        <f>(IF((VLOOKUP(Table6[[#This Row],[SKU]],'All Skus'!$A:$AC,2,FALSE))="JBL",(VLOOKUP(Table6[[#This Row],[SKU]],'All Skus'!$A:$AC,14,FALSE)),""))</f>
        <v>0</v>
      </c>
      <c r="M859" s="143">
        <f>(IF((VLOOKUP(Table6[[#This Row],[SKU]],'All Skus'!$A:$AC,2,FALSE))="JBL",(VLOOKUP(Table6[[#This Row],[SKU]],'All Skus'!$A:$AC,15,FALSE)),""))</f>
        <v>0</v>
      </c>
      <c r="N859" s="137">
        <f>(IF((VLOOKUP(Table6[[#This Row],[SKU]],'All Skus'!$A:$AC,2,FALSE))="JBL",(VLOOKUP(Table6[[#This Row],[SKU]],'All Skus'!$A:$AC,16,FALSE)),""))</f>
        <v>50036903547</v>
      </c>
      <c r="O859" s="61">
        <f>(IF((VLOOKUP(Table6[[#This Row],[SKU]],'All Skus'!$A:$AC,2,FALSE))="JBL",(VLOOKUP(Table6[[#This Row],[SKU]],'All Skus'!$A:$AC,17,FALSE)),""))</f>
        <v>0</v>
      </c>
      <c r="P859" s="136">
        <f>(IF((VLOOKUP(Table6[[#This Row],[SKU]],'All Skus'!$A:$AC,2,FALSE))="JBL",(VLOOKUP(Table6[[#This Row],[SKU]],'All Skus'!$A:$AC,18,FALSE)),""))</f>
        <v>13.25</v>
      </c>
      <c r="Q859" s="136">
        <f>(IF((VLOOKUP(Table6[[#This Row],[SKU]],'All Skus'!$A:$AC,2,FALSE))="JBL",(VLOOKUP(Table6[[#This Row],[SKU]],'All Skus'!$A:$AC,19,FALSE)),""))</f>
        <v>8</v>
      </c>
      <c r="R859" s="136">
        <f>(IF((VLOOKUP(Table6[[#This Row],[SKU]],'All Skus'!$A:$AC,2,FALSE))="JBL",(VLOOKUP(Table6[[#This Row],[SKU]],'All Skus'!$A:$AC,20,FALSE)),""))</f>
        <v>14</v>
      </c>
      <c r="S859" s="61">
        <f>(IF((VLOOKUP(Table6[[#This Row],[SKU]],'All Skus'!$A:$AC,2,FALSE))="JBL",(VLOOKUP(Table6[[#This Row],[SKU]],'All Skus'!$A:$AC,21,FALSE)),""))</f>
        <v>13</v>
      </c>
      <c r="T859" s="61" t="str">
        <f>(IF((VLOOKUP(Table6[[#This Row],[SKU]],'All Skus'!$A:$AC,2,FALSE))="JBL",(VLOOKUP(Table6[[#This Row],[SKU]],'All Skus'!$A:$AC,22,FALSE)),""))</f>
        <v>CN</v>
      </c>
      <c r="U859" t="str">
        <f>(IF((VLOOKUP(Table6[[#This Row],[SKU]],'All Skus'!$A:$AC,2,FALSE))="JBL",(VLOOKUP(Table6[[#This Row],[SKU]],'All Skus'!$A:$AC,23,FALSE)),""))</f>
        <v>Non Compliant</v>
      </c>
      <c r="V859" s="284" t="str">
        <f>HYPERLINK((IF((VLOOKUP(Table6[[#This Row],[SKU]],'All Skus'!$A:$AC,2,FALSE))="JBL",(VLOOKUP(Table6[[#This Row],[SKU]],'All Skus'!$A:$AC,24,FALSE)),"")))</f>
        <v>http://www.jblpro.com/www/products/recording-broadcast/control-2p/mtc-2p-mounting-kit#.VkxQ_IRqBJo</v>
      </c>
      <c r="W859" s="151">
        <v>857</v>
      </c>
    </row>
    <row r="860" spans="1:23" ht="15" hidden="1" customHeight="1">
      <c r="A860" s="13" t="s">
        <v>1868</v>
      </c>
      <c r="B860" s="12" t="str">
        <f>(IF((VLOOKUP(Table6[[#This Row],[SKU]],'All Skus'!$A:$AC,2,FALSE))="JBL",(VLOOKUP(Table6[[#This Row],[SKU]],'All Skus'!$A:$AC,3,FALSE)),""))</f>
        <v>CONTROL SERIES</v>
      </c>
      <c r="C860" s="12" t="str">
        <f>(IF((VLOOKUP(Table6[[#This Row],[SKU]],'All Skus'!$A:$AC,2,FALSE))="JBL",(VLOOKUP(Table6[[#This Row],[SKU]],'All Skus'!$A:$AC,4,FALSE)),""))</f>
        <v>C2PM</v>
      </c>
      <c r="D860" s="61" t="str">
        <f>(IF((VLOOKUP(Table6[[#This Row],[SKU]],'All Skus'!$A:$AC,2,FALSE))="JBL",(VLOOKUP(Table6[[#This Row],[SKU]],'All Skus'!$A:$AC,5,FALSE)),""))</f>
        <v>JBL029</v>
      </c>
      <c r="E860" s="137">
        <f>(IF((VLOOKUP(Table6[[#This Row],[SKU]],'All Skus'!$A:$AC,2,FALSE))="JBL",(VLOOKUP(Table6[[#This Row],[SKU]],'All Skus'!$A:$AC,6,FALSE)),""))</f>
        <v>0</v>
      </c>
      <c r="F860" s="61">
        <f>(IF((VLOOKUP(Table6[[#This Row],[SKU]],'All Skus'!$A:$AC,2,FALSE))="JBL",(VLOOKUP(Table6[[#This Row],[SKU]],'All Skus'!$A:$AC,7,FALSE)),""))</f>
        <v>0</v>
      </c>
      <c r="G860" t="str">
        <f>(IF((VLOOKUP(Table6[[#This Row],[SKU]],'All Skus'!$A:$AC,2,FALSE))="JBL",(VLOOKUP(Table6[[#This Row],[SKU]],'All Skus'!$A:$AC,8,FALSE)),""))</f>
        <v>CONTROL 2P MASTER POWERED SPEAKER</v>
      </c>
      <c r="H860" s="8" t="str">
        <f>(IF((VLOOKUP(Table6[[#This Row],[SKU]],'All Skus'!$A:$AC,2,FALSE))="JBL",(VLOOKUP(Table6[[#This Row],[SKU]],'All Skus'!$A:$AC,9,FALSE)),""))</f>
        <v>One Control 2P Powered Master speaker, (without passive extension speaker) and power supply.</v>
      </c>
      <c r="I860" s="101">
        <f>(IF((VLOOKUP(Table6[[#This Row],[SKU]],'All Skus'!$A:$AC,2,FALSE))="JBL",(VLOOKUP(Table6[[#This Row],[SKU]],'All Skus'!$A:$AC,10,FALSE)),""))</f>
        <v>242.49</v>
      </c>
      <c r="J860" s="101">
        <f>(IF((VLOOKUP(Table6[[#This Row],[SKU]],'All Skus'!$A:$AC,2,FALSE))="JBL",(VLOOKUP(Table6[[#This Row],[SKU]],'All Skus'!$A:$AC,11,FALSE)),""))</f>
        <v>195</v>
      </c>
      <c r="K860" s="102">
        <f>(IF((VLOOKUP(Table6[[#This Row],[SKU]],'All Skus'!$A:$AC,2,FALSE))="JBL",(VLOOKUP(Table6[[#This Row],[SKU]],'All Skus'!$A:$AC,13,FALSE)),""))</f>
        <v>0</v>
      </c>
      <c r="L860" s="102">
        <f>(IF((VLOOKUP(Table6[[#This Row],[SKU]],'All Skus'!$A:$AC,2,FALSE))="JBL",(VLOOKUP(Table6[[#This Row],[SKU]],'All Skus'!$A:$AC,14,FALSE)),""))</f>
        <v>0</v>
      </c>
      <c r="M860" s="143">
        <f>(IF((VLOOKUP(Table6[[#This Row],[SKU]],'All Skus'!$A:$AC,2,FALSE))="JBL",(VLOOKUP(Table6[[#This Row],[SKU]],'All Skus'!$A:$AC,15,FALSE)),""))</f>
        <v>0</v>
      </c>
      <c r="N860" s="137">
        <f>(IF((VLOOKUP(Table6[[#This Row],[SKU]],'All Skus'!$A:$AC,2,FALSE))="JBL",(VLOOKUP(Table6[[#This Row],[SKU]],'All Skus'!$A:$AC,16,FALSE)),""))</f>
        <v>50036903615</v>
      </c>
      <c r="O860" s="61">
        <f>(IF((VLOOKUP(Table6[[#This Row],[SKU]],'All Skus'!$A:$AC,2,FALSE))="JBL",(VLOOKUP(Table6[[#This Row],[SKU]],'All Skus'!$A:$AC,17,FALSE)),""))</f>
        <v>0</v>
      </c>
      <c r="P860" s="136">
        <f>(IF((VLOOKUP(Table6[[#This Row],[SKU]],'All Skus'!$A:$AC,2,FALSE))="JBL",(VLOOKUP(Table6[[#This Row],[SKU]],'All Skus'!$A:$AC,18,FALSE)),""))</f>
        <v>8</v>
      </c>
      <c r="Q860" s="136">
        <f>(IF((VLOOKUP(Table6[[#This Row],[SKU]],'All Skus'!$A:$AC,2,FALSE))="JBL",(VLOOKUP(Table6[[#This Row],[SKU]],'All Skus'!$A:$AC,19,FALSE)),""))</f>
        <v>7.75</v>
      </c>
      <c r="R860" s="136">
        <f>(IF((VLOOKUP(Table6[[#This Row],[SKU]],'All Skus'!$A:$AC,2,FALSE))="JBL",(VLOOKUP(Table6[[#This Row],[SKU]],'All Skus'!$A:$AC,20,FALSE)),""))</f>
        <v>8</v>
      </c>
      <c r="S860" s="61">
        <f>(IF((VLOOKUP(Table6[[#This Row],[SKU]],'All Skus'!$A:$AC,2,FALSE))="JBL",(VLOOKUP(Table6[[#This Row],[SKU]],'All Skus'!$A:$AC,21,FALSE)),""))</f>
        <v>13.5</v>
      </c>
      <c r="T860" s="61" t="str">
        <f>(IF((VLOOKUP(Table6[[#This Row],[SKU]],'All Skus'!$A:$AC,2,FALSE))="JBL",(VLOOKUP(Table6[[#This Row],[SKU]],'All Skus'!$A:$AC,22,FALSE)),""))</f>
        <v>CN</v>
      </c>
      <c r="U860" t="str">
        <f>(IF((VLOOKUP(Table6[[#This Row],[SKU]],'All Skus'!$A:$AC,2,FALSE))="JBL",(VLOOKUP(Table6[[#This Row],[SKU]],'All Skus'!$A:$AC,23,FALSE)),""))</f>
        <v>Non Compliant</v>
      </c>
      <c r="V860" s="284" t="str">
        <f>HYPERLINK((IF((VLOOKUP(Table6[[#This Row],[SKU]],'All Skus'!$A:$AC,2,FALSE))="JBL",(VLOOKUP(Table6[[#This Row],[SKU]],'All Skus'!$A:$AC,24,FALSE)),"")))</f>
        <v>http://www.jblpro.com/www/products/recording-broadcast/control-2p/control-2p---stereo-pair#.VkxQxIRqBJo</v>
      </c>
      <c r="W860" s="151">
        <v>858</v>
      </c>
    </row>
    <row r="861" spans="1:23" ht="15" hidden="1" customHeight="1">
      <c r="A861" s="13" t="s">
        <v>1871</v>
      </c>
      <c r="B861" s="12" t="str">
        <f>(IF((VLOOKUP(Table6[[#This Row],[SKU]],'All Skus'!$A:$AC,2,FALSE))="JBL",(VLOOKUP(Table6[[#This Row],[SKU]],'All Skus'!$A:$AC,3,FALSE)),""))</f>
        <v>CONTROL SERIES</v>
      </c>
      <c r="C861" s="12" t="str">
        <f>(IF((VLOOKUP(Table6[[#This Row],[SKU]],'All Skus'!$A:$AC,2,FALSE))="JBL",(VLOOKUP(Table6[[#This Row],[SKU]],'All Skus'!$A:$AC,4,FALSE)),""))</f>
        <v>CONTROL 5</v>
      </c>
      <c r="D861" s="61" t="str">
        <f>(IF((VLOOKUP(Table6[[#This Row],[SKU]],'All Skus'!$A:$AC,2,FALSE))="JBL",(VLOOKUP(Table6[[#This Row],[SKU]],'All Skus'!$A:$AC,5,FALSE)),""))</f>
        <v>JBL029</v>
      </c>
      <c r="E861" s="137">
        <f>(IF((VLOOKUP(Table6[[#This Row],[SKU]],'All Skus'!$A:$AC,2,FALSE))="JBL",(VLOOKUP(Table6[[#This Row],[SKU]],'All Skus'!$A:$AC,6,FALSE)),""))</f>
        <v>0</v>
      </c>
      <c r="F861" s="61">
        <f>(IF((VLOOKUP(Table6[[#This Row],[SKU]],'All Skus'!$A:$AC,2,FALSE))="JBL",(VLOOKUP(Table6[[#This Row],[SKU]],'All Skus'!$A:$AC,7,FALSE)),""))</f>
        <v>0</v>
      </c>
      <c r="G861" t="str">
        <f>(IF((VLOOKUP(Table6[[#This Row],[SKU]],'All Skus'!$A:$AC,2,FALSE))="JBL",(VLOOKUP(Table6[[#This Row],[SKU]],'All Skus'!$A:$AC,8,FALSE)),""))</f>
        <v>PERS CONTROL MONITOR-BL (2/BX)</v>
      </c>
      <c r="H861" s="8" t="str">
        <f>(IF((VLOOKUP(Table6[[#This Row],[SKU]],'All Skus'!$A:$AC,2,FALSE))="JBL",(VLOOKUP(Table6[[#This Row],[SKU]],'All Skus'!$A:$AC,9,FALSE)),""))</f>
        <v>Compact Size Two-Way, 6.5" Low Frequency, 1" Pure Titanium Dome Tweeter, Molded Enclosure, Shielded Magnet,  Black, Priced as Each.  Master Pack Quantity:  2 Pieces.</v>
      </c>
      <c r="I861" s="101">
        <f>(IF((VLOOKUP(Table6[[#This Row],[SKU]],'All Skus'!$A:$AC,2,FALSE))="JBL",(VLOOKUP(Table6[[#This Row],[SKU]],'All Skus'!$A:$AC,10,FALSE)),""))</f>
        <v>264.32</v>
      </c>
      <c r="J861" s="101">
        <f>(IF((VLOOKUP(Table6[[#This Row],[SKU]],'All Skus'!$A:$AC,2,FALSE))="JBL",(VLOOKUP(Table6[[#This Row],[SKU]],'All Skus'!$A:$AC,11,FALSE)),""))</f>
        <v>205</v>
      </c>
      <c r="K861" s="102">
        <f>(IF((VLOOKUP(Table6[[#This Row],[SKU]],'All Skus'!$A:$AC,2,FALSE))="JBL",(VLOOKUP(Table6[[#This Row],[SKU]],'All Skus'!$A:$AC,13,FALSE)),""))</f>
        <v>0</v>
      </c>
      <c r="L861" s="102">
        <f>(IF((VLOOKUP(Table6[[#This Row],[SKU]],'All Skus'!$A:$AC,2,FALSE))="JBL",(VLOOKUP(Table6[[#This Row],[SKU]],'All Skus'!$A:$AC,14,FALSE)),""))</f>
        <v>0</v>
      </c>
      <c r="M861" s="143">
        <f>(IF((VLOOKUP(Table6[[#This Row],[SKU]],'All Skus'!$A:$AC,2,FALSE))="JBL",(VLOOKUP(Table6[[#This Row],[SKU]],'All Skus'!$A:$AC,15,FALSE)),""))</f>
        <v>2</v>
      </c>
      <c r="N861" s="137">
        <f>(IF((VLOOKUP(Table6[[#This Row],[SKU]],'All Skus'!$A:$AC,2,FALSE))="JBL",(VLOOKUP(Table6[[#This Row],[SKU]],'All Skus'!$A:$AC,16,FALSE)),""))</f>
        <v>50036903462</v>
      </c>
      <c r="O861" s="61">
        <f>(IF((VLOOKUP(Table6[[#This Row],[SKU]],'All Skus'!$A:$AC,2,FALSE))="JBL",(VLOOKUP(Table6[[#This Row],[SKU]],'All Skus'!$A:$AC,17,FALSE)),""))</f>
        <v>0</v>
      </c>
      <c r="P861" s="136">
        <f>(IF((VLOOKUP(Table6[[#This Row],[SKU]],'All Skus'!$A:$AC,2,FALSE))="JBL",(VLOOKUP(Table6[[#This Row],[SKU]],'All Skus'!$A:$AC,18,FALSE)),""))</f>
        <v>13.5</v>
      </c>
      <c r="Q861" s="136">
        <f>(IF((VLOOKUP(Table6[[#This Row],[SKU]],'All Skus'!$A:$AC,2,FALSE))="JBL",(VLOOKUP(Table6[[#This Row],[SKU]],'All Skus'!$A:$AC,19,FALSE)),""))</f>
        <v>10</v>
      </c>
      <c r="R861" s="136">
        <f>(IF((VLOOKUP(Table6[[#This Row],[SKU]],'All Skus'!$A:$AC,2,FALSE))="JBL",(VLOOKUP(Table6[[#This Row],[SKU]],'All Skus'!$A:$AC,20,FALSE)),""))</f>
        <v>6</v>
      </c>
      <c r="S861" s="61">
        <f>(IF((VLOOKUP(Table6[[#This Row],[SKU]],'All Skus'!$A:$AC,2,FALSE))="JBL",(VLOOKUP(Table6[[#This Row],[SKU]],'All Skus'!$A:$AC,21,FALSE)),""))</f>
        <v>9</v>
      </c>
      <c r="T861" s="61" t="str">
        <f>(IF((VLOOKUP(Table6[[#This Row],[SKU]],'All Skus'!$A:$AC,2,FALSE))="JBL",(VLOOKUP(Table6[[#This Row],[SKU]],'All Skus'!$A:$AC,22,FALSE)),""))</f>
        <v>CN</v>
      </c>
      <c r="U861" t="str">
        <f>(IF((VLOOKUP(Table6[[#This Row],[SKU]],'All Skus'!$A:$AC,2,FALSE))="JBL",(VLOOKUP(Table6[[#This Row],[SKU]],'All Skus'!$A:$AC,23,FALSE)),""))</f>
        <v>Non Compliant</v>
      </c>
      <c r="V861" s="284" t="str">
        <f>HYPERLINK((IF((VLOOKUP(Table6[[#This Row],[SKU]],'All Skus'!$A:$AC,2,FALSE))="JBL",(VLOOKUP(Table6[[#This Row],[SKU]],'All Skus'!$A:$AC,24,FALSE)),"")))</f>
        <v>http://www.jblpro.com/www/products/recording-broadcast/control-5/control-5#.VkxQ5IRqBJo</v>
      </c>
      <c r="W861" s="151">
        <v>859</v>
      </c>
    </row>
    <row r="862" spans="1:23" ht="15" hidden="1" customHeight="1">
      <c r="A862" s="13" t="s">
        <v>1870</v>
      </c>
      <c r="B862" s="12" t="str">
        <f>(IF((VLOOKUP(Table6[[#This Row],[SKU]],'All Skus'!$A:$AC,2,FALSE))="JBL",(VLOOKUP(Table6[[#This Row],[SKU]],'All Skus'!$A:$AC,3,FALSE)),""))</f>
        <v>CONTROL SERIES</v>
      </c>
      <c r="C862" s="12" t="str">
        <f>(IF((VLOOKUP(Table6[[#This Row],[SKU]],'All Skus'!$A:$AC,2,FALSE))="JBL",(VLOOKUP(Table6[[#This Row],[SKU]],'All Skus'!$A:$AC,4,FALSE)),""))</f>
        <v>MTC-2P</v>
      </c>
      <c r="D862" s="61" t="str">
        <f>(IF((VLOOKUP(Table6[[#This Row],[SKU]],'All Skus'!$A:$AC,2,FALSE))="JBL",(VLOOKUP(Table6[[#This Row],[SKU]],'All Skus'!$A:$AC,5,FALSE)),""))</f>
        <v>JBL029</v>
      </c>
      <c r="E862" s="137">
        <f>(IF((VLOOKUP(Table6[[#This Row],[SKU]],'All Skus'!$A:$AC,2,FALSE))="JBL",(VLOOKUP(Table6[[#This Row],[SKU]],'All Skus'!$A:$AC,6,FALSE)),""))</f>
        <v>0</v>
      </c>
      <c r="F862" s="61">
        <f>(IF((VLOOKUP(Table6[[#This Row],[SKU]],'All Skus'!$A:$AC,2,FALSE))="JBL",(VLOOKUP(Table6[[#This Row],[SKU]],'All Skus'!$A:$AC,7,FALSE)),""))</f>
        <v>0</v>
      </c>
      <c r="G862" t="str">
        <f>(IF((VLOOKUP(Table6[[#This Row],[SKU]],'All Skus'!$A:$AC,2,FALSE))="JBL",(VLOOKUP(Table6[[#This Row],[SKU]],'All Skus'!$A:$AC,8,FALSE)),""))</f>
        <v>MOUNTING KIT FOR C2PS</v>
      </c>
      <c r="H862" s="8" t="str">
        <f>(IF((VLOOKUP(Table6[[#This Row],[SKU]],'All Skus'!$A:$AC,2,FALSE))="JBL",(VLOOKUP(Table6[[#This Row],[SKU]],'All Skus'!$A:$AC,9,FALSE)),""))</f>
        <v>Wall-Mount Bracket Kit for Control 2P.  Includes Two Wall Mounts, Not Recommended For Mobile Applications.</v>
      </c>
      <c r="I862" s="101">
        <f>(IF((VLOOKUP(Table6[[#This Row],[SKU]],'All Skus'!$A:$AC,2,FALSE))="JBL",(VLOOKUP(Table6[[#This Row],[SKU]],'All Skus'!$A:$AC,10,FALSE)),""))</f>
        <v>33.03</v>
      </c>
      <c r="J862" s="101">
        <f>(IF((VLOOKUP(Table6[[#This Row],[SKU]],'All Skus'!$A:$AC,2,FALSE))="JBL",(VLOOKUP(Table6[[#This Row],[SKU]],'All Skus'!$A:$AC,11,FALSE)),""))</f>
        <v>26</v>
      </c>
      <c r="K862" s="102">
        <f>(IF((VLOOKUP(Table6[[#This Row],[SKU]],'All Skus'!$A:$AC,2,FALSE))="JBL",(VLOOKUP(Table6[[#This Row],[SKU]],'All Skus'!$A:$AC,13,FALSE)),""))</f>
        <v>0</v>
      </c>
      <c r="L862" s="102">
        <f>(IF((VLOOKUP(Table6[[#This Row],[SKU]],'All Skus'!$A:$AC,2,FALSE))="JBL",(VLOOKUP(Table6[[#This Row],[SKU]],'All Skus'!$A:$AC,14,FALSE)),""))</f>
        <v>0</v>
      </c>
      <c r="M862" s="143">
        <f>(IF((VLOOKUP(Table6[[#This Row],[SKU]],'All Skus'!$A:$AC,2,FALSE))="JBL",(VLOOKUP(Table6[[#This Row],[SKU]],'All Skus'!$A:$AC,15,FALSE)),""))</f>
        <v>0</v>
      </c>
      <c r="N862" s="137">
        <f>(IF((VLOOKUP(Table6[[#This Row],[SKU]],'All Skus'!$A:$AC,2,FALSE))="JBL",(VLOOKUP(Table6[[#This Row],[SKU]],'All Skus'!$A:$AC,16,FALSE)),""))</f>
        <v>50036903554</v>
      </c>
      <c r="O862" s="61">
        <f>(IF((VLOOKUP(Table6[[#This Row],[SKU]],'All Skus'!$A:$AC,2,FALSE))="JBL",(VLOOKUP(Table6[[#This Row],[SKU]],'All Skus'!$A:$AC,17,FALSE)),""))</f>
        <v>0</v>
      </c>
      <c r="P862" s="136">
        <f>(IF((VLOOKUP(Table6[[#This Row],[SKU]],'All Skus'!$A:$AC,2,FALSE))="JBL",(VLOOKUP(Table6[[#This Row],[SKU]],'All Skus'!$A:$AC,18,FALSE)),""))</f>
        <v>0.75</v>
      </c>
      <c r="Q862" s="136">
        <f>(IF((VLOOKUP(Table6[[#This Row],[SKU]],'All Skus'!$A:$AC,2,FALSE))="JBL",(VLOOKUP(Table6[[#This Row],[SKU]],'All Skus'!$A:$AC,19,FALSE)),""))</f>
        <v>8.25</v>
      </c>
      <c r="R862" s="136">
        <f>(IF((VLOOKUP(Table6[[#This Row],[SKU]],'All Skus'!$A:$AC,2,FALSE))="JBL",(VLOOKUP(Table6[[#This Row],[SKU]],'All Skus'!$A:$AC,20,FALSE)),""))</f>
        <v>2.75</v>
      </c>
      <c r="S862" s="61">
        <f>(IF((VLOOKUP(Table6[[#This Row],[SKU]],'All Skus'!$A:$AC,2,FALSE))="JBL",(VLOOKUP(Table6[[#This Row],[SKU]],'All Skus'!$A:$AC,21,FALSE)),""))</f>
        <v>3.25</v>
      </c>
      <c r="T862" s="61" t="str">
        <f>(IF((VLOOKUP(Table6[[#This Row],[SKU]],'All Skus'!$A:$AC,2,FALSE))="JBL",(VLOOKUP(Table6[[#This Row],[SKU]],'All Skus'!$A:$AC,22,FALSE)),""))</f>
        <v>CN</v>
      </c>
      <c r="U862" t="str">
        <f>(IF((VLOOKUP(Table6[[#This Row],[SKU]],'All Skus'!$A:$AC,2,FALSE))="JBL",(VLOOKUP(Table6[[#This Row],[SKU]],'All Skus'!$A:$AC,23,FALSE)),""))</f>
        <v>Non Compliant</v>
      </c>
      <c r="V862" s="284" t="str">
        <f>HYPERLINK((IF((VLOOKUP(Table6[[#This Row],[SKU]],'All Skus'!$A:$AC,2,FALSE))="JBL",(VLOOKUP(Table6[[#This Row],[SKU]],'All Skus'!$A:$AC,24,FALSE)),"")))</f>
        <v>http://www.jblpro.com/www/products/recording-broadcast/control-5/control-5#.VkxQ5IRqBJo</v>
      </c>
      <c r="W862" s="151">
        <v>860</v>
      </c>
    </row>
    <row r="863" spans="1:23" ht="15" hidden="1" customHeight="1">
      <c r="A863" s="13" t="s">
        <v>1873</v>
      </c>
      <c r="B863" s="12" t="str">
        <f>(IF((VLOOKUP(Table6[[#This Row],[SKU]],'All Skus'!$A:$AC,2,FALSE))="JBL",(VLOOKUP(Table6[[#This Row],[SKU]],'All Skus'!$A:$AC,3,FALSE)),""))</f>
        <v>STUDIO MONITORS</v>
      </c>
      <c r="C863" s="12" t="str">
        <f>(IF((VLOOKUP(Table6[[#This Row],[SKU]],'All Skus'!$A:$AC,2,FALSE))="JBL",(VLOOKUP(Table6[[#This Row],[SKU]],'All Skus'!$A:$AC,4,FALSE)),""))</f>
        <v>351145-001</v>
      </c>
      <c r="D863" s="61" t="str">
        <f>(IF((VLOOKUP(Table6[[#This Row],[SKU]],'All Skus'!$A:$AC,2,FALSE))="JBL",(VLOOKUP(Table6[[#This Row],[SKU]],'All Skus'!$A:$AC,5,FALSE)),""))</f>
        <v>JBL025</v>
      </c>
      <c r="E863" s="137">
        <f>(IF((VLOOKUP(Table6[[#This Row],[SKU]],'All Skus'!$A:$AC,2,FALSE))="JBL",(VLOOKUP(Table6[[#This Row],[SKU]],'All Skus'!$A:$AC,6,FALSE)),""))</f>
        <v>0</v>
      </c>
      <c r="F863" s="61">
        <f>(IF((VLOOKUP(Table6[[#This Row],[SKU]],'All Skus'!$A:$AC,2,FALSE))="JBL",(VLOOKUP(Table6[[#This Row],[SKU]],'All Skus'!$A:$AC,7,FALSE)),""))</f>
        <v>0</v>
      </c>
      <c r="G863" t="str">
        <f>(IF((VLOOKUP(Table6[[#This Row],[SKU]],'All Skus'!$A:$AC,2,FALSE))="JBL",(VLOOKUP(Table6[[#This Row],[SKU]],'All Skus'!$A:$AC,8,FALSE)),""))</f>
        <v>RMC KIT, LSR63XX</v>
      </c>
      <c r="H863" s="8" t="str">
        <f>(IF((VLOOKUP(Table6[[#This Row],[SKU]],'All Skus'!$A:$AC,2,FALSE))="JBL",(VLOOKUP(Table6[[#This Row],[SKU]],'All Skus'!$A:$AC,9,FALSE)),""))</f>
        <v>RMC KIT, LSR6328P and LSR6312SP</v>
      </c>
      <c r="I863" s="101">
        <f>(IF((VLOOKUP(Table6[[#This Row],[SKU]],'All Skus'!$A:$AC,2,FALSE))="JBL",(VLOOKUP(Table6[[#This Row],[SKU]],'All Skus'!$A:$AC,10,FALSE)),""))</f>
        <v>0</v>
      </c>
      <c r="J863" s="101">
        <f>(IF((VLOOKUP(Table6[[#This Row],[SKU]],'All Skus'!$A:$AC,2,FALSE))="JBL",(VLOOKUP(Table6[[#This Row],[SKU]],'All Skus'!$A:$AC,11,FALSE)),""))</f>
        <v>0</v>
      </c>
      <c r="K863" s="102">
        <f>(IF((VLOOKUP(Table6[[#This Row],[SKU]],'All Skus'!$A:$AC,2,FALSE))="JBL",(VLOOKUP(Table6[[#This Row],[SKU]],'All Skus'!$A:$AC,13,FALSE)),""))</f>
        <v>0</v>
      </c>
      <c r="L863" s="102">
        <f>(IF((VLOOKUP(Table6[[#This Row],[SKU]],'All Skus'!$A:$AC,2,FALSE))="JBL",(VLOOKUP(Table6[[#This Row],[SKU]],'All Skus'!$A:$AC,14,FALSE)),""))</f>
        <v>0</v>
      </c>
      <c r="M863" s="143">
        <f>(IF((VLOOKUP(Table6[[#This Row],[SKU]],'All Skus'!$A:$AC,2,FALSE))="JBL",(VLOOKUP(Table6[[#This Row],[SKU]],'All Skus'!$A:$AC,15,FALSE)),""))</f>
        <v>0</v>
      </c>
      <c r="N863" s="137">
        <f>(IF((VLOOKUP(Table6[[#This Row],[SKU]],'All Skus'!$A:$AC,2,FALSE))="JBL",(VLOOKUP(Table6[[#This Row],[SKU]],'All Skus'!$A:$AC,16,FALSE)),""))</f>
        <v>50036902953</v>
      </c>
      <c r="O863" s="61">
        <f>(IF((VLOOKUP(Table6[[#This Row],[SKU]],'All Skus'!$A:$AC,2,FALSE))="JBL",(VLOOKUP(Table6[[#This Row],[SKU]],'All Skus'!$A:$AC,17,FALSE)),""))</f>
        <v>0</v>
      </c>
      <c r="P863" s="136">
        <f>(IF((VLOOKUP(Table6[[#This Row],[SKU]],'All Skus'!$A:$AC,2,FALSE))="JBL",(VLOOKUP(Table6[[#This Row],[SKU]],'All Skus'!$A:$AC,18,FALSE)),""))</f>
        <v>0</v>
      </c>
      <c r="Q863" s="136">
        <f>(IF((VLOOKUP(Table6[[#This Row],[SKU]],'All Skus'!$A:$AC,2,FALSE))="JBL",(VLOOKUP(Table6[[#This Row],[SKU]],'All Skus'!$A:$AC,19,FALSE)),""))</f>
        <v>0</v>
      </c>
      <c r="R863" s="136">
        <f>(IF((VLOOKUP(Table6[[#This Row],[SKU]],'All Skus'!$A:$AC,2,FALSE))="JBL",(VLOOKUP(Table6[[#This Row],[SKU]],'All Skus'!$A:$AC,20,FALSE)),""))</f>
        <v>0</v>
      </c>
      <c r="S863" s="61">
        <f>(IF((VLOOKUP(Table6[[#This Row],[SKU]],'All Skus'!$A:$AC,2,FALSE))="JBL",(VLOOKUP(Table6[[#This Row],[SKU]],'All Skus'!$A:$AC,21,FALSE)),""))</f>
        <v>0</v>
      </c>
      <c r="T863" s="61">
        <f>(IF((VLOOKUP(Table6[[#This Row],[SKU]],'All Skus'!$A:$AC,2,FALSE))="JBL",(VLOOKUP(Table6[[#This Row],[SKU]],'All Skus'!$A:$AC,22,FALSE)),""))</f>
        <v>0</v>
      </c>
      <c r="U863">
        <f>(IF((VLOOKUP(Table6[[#This Row],[SKU]],'All Skus'!$A:$AC,2,FALSE))="JBL",(VLOOKUP(Table6[[#This Row],[SKU]],'All Skus'!$A:$AC,23,FALSE)),""))</f>
        <v>0</v>
      </c>
      <c r="V863" s="284" t="str">
        <f>HYPERLINK((IF((VLOOKUP(Table6[[#This Row],[SKU]],'All Skus'!$A:$AC,2,FALSE))="JBL",(VLOOKUP(Table6[[#This Row],[SKU]],'All Skus'!$A:$AC,24,FALSE)),"")))</f>
        <v/>
      </c>
      <c r="W863" s="151">
        <v>861</v>
      </c>
    </row>
    <row r="864" spans="1:23" ht="15" hidden="1" customHeight="1">
      <c r="A864" s="13" t="s">
        <v>1872</v>
      </c>
      <c r="B864" s="12" t="str">
        <f>(IF((VLOOKUP(Table6[[#This Row],[SKU]],'All Skus'!$A:$AC,2,FALSE))="JBL",(VLOOKUP(Table6[[#This Row],[SKU]],'All Skus'!$A:$AC,3,FALSE)),""))</f>
        <v>STUDIO ACCESSORIES</v>
      </c>
      <c r="C864" s="12" t="str">
        <f>(IF((VLOOKUP(Table6[[#This Row],[SKU]],'All Skus'!$A:$AC,2,FALSE))="JBL",(VLOOKUP(Table6[[#This Row],[SKU]],'All Skus'!$A:$AC,4,FALSE)),""))</f>
        <v>NPATCH BLK</v>
      </c>
      <c r="D864" s="61" t="str">
        <f>(IF((VLOOKUP(Table6[[#This Row],[SKU]],'All Skus'!$A:$AC,2,FALSE))="JBL",(VLOOKUP(Table6[[#This Row],[SKU]],'All Skus'!$A:$AC,5,FALSE)),""))</f>
        <v>JBL031</v>
      </c>
      <c r="E864" s="137">
        <f>(IF((VLOOKUP(Table6[[#This Row],[SKU]],'All Skus'!$A:$AC,2,FALSE))="JBL",(VLOOKUP(Table6[[#This Row],[SKU]],'All Skus'!$A:$AC,6,FALSE)),""))</f>
        <v>0</v>
      </c>
      <c r="F864" s="61" t="str">
        <f>(IF((VLOOKUP(Table6[[#This Row],[SKU]],'All Skus'!$A:$AC,2,FALSE))="JBL",(VLOOKUP(Table6[[#This Row],[SKU]],'All Skus'!$A:$AC,7,FALSE)),""))</f>
        <v>Limited Quantity</v>
      </c>
      <c r="G864" t="str">
        <f>(IF((VLOOKUP(Table6[[#This Row],[SKU]],'All Skus'!$A:$AC,2,FALSE))="JBL",(VLOOKUP(Table6[[#This Row],[SKU]],'All Skus'!$A:$AC,8,FALSE)),""))</f>
        <v>Compact Passive Volume Controller</v>
      </c>
      <c r="H864" s="8" t="str">
        <f>(IF((VLOOKUP(Table6[[#This Row],[SKU]],'All Skus'!$A:$AC,2,FALSE))="JBL",(VLOOKUP(Table6[[#This Row],[SKU]],'All Skus'!$A:$AC,9,FALSE)),""))</f>
        <v>Compact 2 channel analog passive volume control with Rotary volume attenuation control, Mute button;  two TRS/XLR combo inputs (balanced and unbalanced); two TRS outputs (balanced and unbalanced); one Mini jack I/O. Metal enclosure. Passive design - no power required. Dimensions W x D x H:   5.1 in x  3.75 in. 2.0 in  (130 mm x 95 mm x 51 mm) ; Weight: 0.8 lbs (.34 kg)</v>
      </c>
      <c r="I864" s="101">
        <f>(IF((VLOOKUP(Table6[[#This Row],[SKU]],'All Skus'!$A:$AC,2,FALSE))="JBL",(VLOOKUP(Table6[[#This Row],[SKU]],'All Skus'!$A:$AC,10,FALSE)),""))</f>
        <v>82.83</v>
      </c>
      <c r="J864" s="101">
        <f>(IF((VLOOKUP(Table6[[#This Row],[SKU]],'All Skus'!$A:$AC,2,FALSE))="JBL",(VLOOKUP(Table6[[#This Row],[SKU]],'All Skus'!$A:$AC,11,FALSE)),""))</f>
        <v>75</v>
      </c>
      <c r="K864" s="102">
        <f>(IF((VLOOKUP(Table6[[#This Row],[SKU]],'All Skus'!$A:$AC,2,FALSE))="JBL",(VLOOKUP(Table6[[#This Row],[SKU]],'All Skus'!$A:$AC,13,FALSE)),""))</f>
        <v>0</v>
      </c>
      <c r="L864" s="102">
        <f>(IF((VLOOKUP(Table6[[#This Row],[SKU]],'All Skus'!$A:$AC,2,FALSE))="JBL",(VLOOKUP(Table6[[#This Row],[SKU]],'All Skus'!$A:$AC,14,FALSE)),""))</f>
        <v>0</v>
      </c>
      <c r="M864" s="143">
        <f>(IF((VLOOKUP(Table6[[#This Row],[SKU]],'All Skus'!$A:$AC,2,FALSE))="JBL",(VLOOKUP(Table6[[#This Row],[SKU]],'All Skus'!$A:$AC,15,FALSE)),""))</f>
        <v>0</v>
      </c>
      <c r="N864" s="137">
        <f>(IF((VLOOKUP(Table6[[#This Row],[SKU]],'All Skus'!$A:$AC,2,FALSE))="JBL",(VLOOKUP(Table6[[#This Row],[SKU]],'All Skus'!$A:$AC,16,FALSE)),""))</f>
        <v>691991003837</v>
      </c>
      <c r="O864" s="61">
        <f>(IF((VLOOKUP(Table6[[#This Row],[SKU]],'All Skus'!$A:$AC,2,FALSE))="JBL",(VLOOKUP(Table6[[#This Row],[SKU]],'All Skus'!$A:$AC,17,FALSE)),""))</f>
        <v>0</v>
      </c>
      <c r="P864" s="136">
        <f>(IF((VLOOKUP(Table6[[#This Row],[SKU]],'All Skus'!$A:$AC,2,FALSE))="JBL",(VLOOKUP(Table6[[#This Row],[SKU]],'All Skus'!$A:$AC,18,FALSE)),""))</f>
        <v>0.5</v>
      </c>
      <c r="Q864" s="136">
        <f>(IF((VLOOKUP(Table6[[#This Row],[SKU]],'All Skus'!$A:$AC,2,FALSE))="JBL",(VLOOKUP(Table6[[#This Row],[SKU]],'All Skus'!$A:$AC,19,FALSE)),""))</f>
        <v>3</v>
      </c>
      <c r="R864" s="136">
        <f>(IF((VLOOKUP(Table6[[#This Row],[SKU]],'All Skus'!$A:$AC,2,FALSE))="JBL",(VLOOKUP(Table6[[#This Row],[SKU]],'All Skus'!$A:$AC,20,FALSE)),""))</f>
        <v>5.5</v>
      </c>
      <c r="S864" s="61">
        <f>(IF((VLOOKUP(Table6[[#This Row],[SKU]],'All Skus'!$A:$AC,2,FALSE))="JBL",(VLOOKUP(Table6[[#This Row],[SKU]],'All Skus'!$A:$AC,21,FALSE)),""))</f>
        <v>3.5</v>
      </c>
      <c r="T864" s="61" t="str">
        <f>(IF((VLOOKUP(Table6[[#This Row],[SKU]],'All Skus'!$A:$AC,2,FALSE))="JBL",(VLOOKUP(Table6[[#This Row],[SKU]],'All Skus'!$A:$AC,22,FALSE)),""))</f>
        <v>CN</v>
      </c>
      <c r="U864" t="str">
        <f>(IF((VLOOKUP(Table6[[#This Row],[SKU]],'All Skus'!$A:$AC,2,FALSE))="JBL",(VLOOKUP(Table6[[#This Row],[SKU]],'All Skus'!$A:$AC,23,FALSE)),""))</f>
        <v>Non Compliant</v>
      </c>
      <c r="V864" s="284" t="str">
        <f>HYPERLINK((IF((VLOOKUP(Table6[[#This Row],[SKU]],'All Skus'!$A:$AC,2,FALSE))="JBL",(VLOOKUP(Table6[[#This Row],[SKU]],'All Skus'!$A:$AC,24,FALSE)),"")))</f>
        <v>http://www.jblpro.com/www/products/recording-broadcast/monitor-controllers/m-patch-2</v>
      </c>
      <c r="W864" s="151">
        <v>862</v>
      </c>
    </row>
    <row r="865" spans="1:23" ht="15" hidden="1" customHeight="1">
      <c r="A865" s="13" t="s">
        <v>1875</v>
      </c>
      <c r="B865" s="12" t="str">
        <f>(IF((VLOOKUP(Table6[[#This Row],[SKU]],'All Skus'!$A:$AC,2,FALSE))="JBL",(VLOOKUP(Table6[[#This Row],[SKU]],'All Skus'!$A:$AC,3,FALSE)),""))</f>
        <v>CASTER SET OF 4 SWIVEL CASTERS</v>
      </c>
      <c r="C865" s="12" t="str">
        <f>(IF((VLOOKUP(Table6[[#This Row],[SKU]],'All Skus'!$A:$AC,2,FALSE))="JBL",(VLOOKUP(Table6[[#This Row],[SKU]],'All Skus'!$A:$AC,4,FALSE)),""))</f>
        <v>WK-4S</v>
      </c>
      <c r="D865" s="61" t="str">
        <f>(IF((VLOOKUP(Table6[[#This Row],[SKU]],'All Skus'!$A:$AC,2,FALSE))="JBL",(VLOOKUP(Table6[[#This Row],[SKU]],'All Skus'!$A:$AC,5,FALSE)),""))</f>
        <v>JBL022</v>
      </c>
      <c r="E865" s="137">
        <f>(IF((VLOOKUP(Table6[[#This Row],[SKU]],'All Skus'!$A:$AC,2,FALSE))="JBL",(VLOOKUP(Table6[[#This Row],[SKU]],'All Skus'!$A:$AC,6,FALSE)),""))</f>
        <v>0</v>
      </c>
      <c r="F865" s="61">
        <f>(IF((VLOOKUP(Table6[[#This Row],[SKU]],'All Skus'!$A:$AC,2,FALSE))="JBL",(VLOOKUP(Table6[[#This Row],[SKU]],'All Skus'!$A:$AC,7,FALSE)),""))</f>
        <v>0</v>
      </c>
      <c r="G865" t="str">
        <f>(IF((VLOOKUP(Table6[[#This Row],[SKU]],'All Skus'!$A:$AC,2,FALSE))="JBL",(VLOOKUP(Table6[[#This Row],[SKU]],'All Skus'!$A:$AC,8,FALSE)),""))</f>
        <v>CASTER SET OF 4 SWIVEL CASTERS</v>
      </c>
      <c r="H865" s="8" t="str">
        <f>(IF((VLOOKUP(Table6[[#This Row],[SKU]],'All Skus'!$A:$AC,2,FALSE))="JBL",(VLOOKUP(Table6[[#This Row],[SKU]],'All Skus'!$A:$AC,9,FALSE)),""))</f>
        <v>CASTER SET OF 4 SWIVEL CASTERS</v>
      </c>
      <c r="I865" s="101">
        <f>(IF((VLOOKUP(Table6[[#This Row],[SKU]],'All Skus'!$A:$AC,2,FALSE))="JBL",(VLOOKUP(Table6[[#This Row],[SKU]],'All Skus'!$A:$AC,10,FALSE)),""))</f>
        <v>105.81</v>
      </c>
      <c r="J865" s="101">
        <f>(IF((VLOOKUP(Table6[[#This Row],[SKU]],'All Skus'!$A:$AC,2,FALSE))="JBL",(VLOOKUP(Table6[[#This Row],[SKU]],'All Skus'!$A:$AC,11,FALSE)),""))</f>
        <v>105.81</v>
      </c>
      <c r="K865" s="102">
        <f>(IF((VLOOKUP(Table6[[#This Row],[SKU]],'All Skus'!$A:$AC,2,FALSE))="JBL",(VLOOKUP(Table6[[#This Row],[SKU]],'All Skus'!$A:$AC,13,FALSE)),""))</f>
        <v>0</v>
      </c>
      <c r="L865" s="102">
        <f>(IF((VLOOKUP(Table6[[#This Row],[SKU]],'All Skus'!$A:$AC,2,FALSE))="JBL",(VLOOKUP(Table6[[#This Row],[SKU]],'All Skus'!$A:$AC,14,FALSE)),""))</f>
        <v>0</v>
      </c>
      <c r="M865" s="143">
        <f>(IF((VLOOKUP(Table6[[#This Row],[SKU]],'All Skus'!$A:$AC,2,FALSE))="JBL",(VLOOKUP(Table6[[#This Row],[SKU]],'All Skus'!$A:$AC,15,FALSE)),""))</f>
        <v>1</v>
      </c>
      <c r="N865" s="137">
        <f>(IF((VLOOKUP(Table6[[#This Row],[SKU]],'All Skus'!$A:$AC,2,FALSE))="JBL",(VLOOKUP(Table6[[#This Row],[SKU]],'All Skus'!$A:$AC,16,FALSE)),""))</f>
        <v>691991003868</v>
      </c>
      <c r="O865" s="61">
        <f>(IF((VLOOKUP(Table6[[#This Row],[SKU]],'All Skus'!$A:$AC,2,FALSE))="JBL",(VLOOKUP(Table6[[#This Row],[SKU]],'All Skus'!$A:$AC,17,FALSE)),""))</f>
        <v>0</v>
      </c>
      <c r="P865" s="136">
        <f>(IF((VLOOKUP(Table6[[#This Row],[SKU]],'All Skus'!$A:$AC,2,FALSE))="JBL",(VLOOKUP(Table6[[#This Row],[SKU]],'All Skus'!$A:$AC,18,FALSE)),""))</f>
        <v>7.35</v>
      </c>
      <c r="Q865" s="136">
        <f>(IF((VLOOKUP(Table6[[#This Row],[SKU]],'All Skus'!$A:$AC,2,FALSE))="JBL",(VLOOKUP(Table6[[#This Row],[SKU]],'All Skus'!$A:$AC,19,FALSE)),""))</f>
        <v>8</v>
      </c>
      <c r="R865" s="136">
        <f>(IF((VLOOKUP(Table6[[#This Row],[SKU]],'All Skus'!$A:$AC,2,FALSE))="JBL",(VLOOKUP(Table6[[#This Row],[SKU]],'All Skus'!$A:$AC,20,FALSE)),""))</f>
        <v>10</v>
      </c>
      <c r="S865" s="61">
        <f>(IF((VLOOKUP(Table6[[#This Row],[SKU]],'All Skus'!$A:$AC,2,FALSE))="JBL",(VLOOKUP(Table6[[#This Row],[SKU]],'All Skus'!$A:$AC,21,FALSE)),""))</f>
        <v>14</v>
      </c>
      <c r="T865" s="61" t="str">
        <f>(IF((VLOOKUP(Table6[[#This Row],[SKU]],'All Skus'!$A:$AC,2,FALSE))="JBL",(VLOOKUP(Table6[[#This Row],[SKU]],'All Skus'!$A:$AC,22,FALSE)),""))</f>
        <v>CN</v>
      </c>
      <c r="U865" t="str">
        <f>(IF((VLOOKUP(Table6[[#This Row],[SKU]],'All Skus'!$A:$AC,2,FALSE))="JBL",(VLOOKUP(Table6[[#This Row],[SKU]],'All Skus'!$A:$AC,23,FALSE)),""))</f>
        <v>Non Compliant</v>
      </c>
      <c r="V865" s="284" t="str">
        <f>HYPERLINK((IF((VLOOKUP(Table6[[#This Row],[SKU]],'All Skus'!$A:$AC,2,FALSE))="JBL",(VLOOKUP(Table6[[#This Row],[SKU]],'All Skus'!$A:$AC,24,FALSE)),"")))</f>
        <v/>
      </c>
      <c r="W865" s="151">
        <v>863</v>
      </c>
    </row>
    <row r="866" spans="1:23" ht="15" hidden="1" customHeight="1">
      <c r="A866" s="13" t="s">
        <v>1874</v>
      </c>
      <c r="B866" s="12" t="str">
        <f>(IF((VLOOKUP(Table6[[#This Row],[SKU]],'All Skus'!$A:$AC,2,FALSE))="JBL",(VLOOKUP(Table6[[#This Row],[SKU]],'All Skus'!$A:$AC,3,FALSE)),""))</f>
        <v>Ceiling Speaker</v>
      </c>
      <c r="C866" s="12" t="str">
        <f>(IF((VLOOKUP(Table6[[#This Row],[SKU]],'All Skus'!$A:$AC,2,FALSE))="JBL",(VLOOKUP(Table6[[#This Row],[SKU]],'All Skus'!$A:$AC,4,FALSE)),""))</f>
        <v>CONTROL SB-210</v>
      </c>
      <c r="D866" s="61" t="str">
        <f>(IF((VLOOKUP(Table6[[#This Row],[SKU]],'All Skus'!$A:$AC,2,FALSE))="JBL",(VLOOKUP(Table6[[#This Row],[SKU]],'All Skus'!$A:$AC,5,FALSE)),""))</f>
        <v>JBL018</v>
      </c>
      <c r="E866" s="137">
        <f>(IF((VLOOKUP(Table6[[#This Row],[SKU]],'All Skus'!$A:$AC,2,FALSE))="JBL",(VLOOKUP(Table6[[#This Row],[SKU]],'All Skus'!$A:$AC,6,FALSE)),""))</f>
        <v>0</v>
      </c>
      <c r="F866" s="61" t="str">
        <f>(IF((VLOOKUP(Table6[[#This Row],[SKU]],'All Skus'!$A:$AC,2,FALSE))="JBL",(VLOOKUP(Table6[[#This Row],[SKU]],'All Skus'!$A:$AC,7,FALSE)),""))</f>
        <v>Limited Quantity</v>
      </c>
      <c r="G866" t="str">
        <f>(IF((VLOOKUP(Table6[[#This Row],[SKU]],'All Skus'!$A:$AC,2,FALSE))="JBL",(VLOOKUP(Table6[[#This Row],[SKU]],'All Skus'!$A:$AC,8,FALSE)),""))</f>
        <v>Control sb-210</v>
      </c>
      <c r="H866" s="8" t="str">
        <f>(IF((VLOOKUP(Table6[[#This Row],[SKU]],'All Skus'!$A:$AC,2,FALSE))="JBL",(VLOOKUP(Table6[[#This Row],[SKU]],'All Skus'!$A:$AC,9,FALSE)),""))</f>
        <v>Control sb-210</v>
      </c>
      <c r="I866" s="101">
        <f>(IF((VLOOKUP(Table6[[#This Row],[SKU]],'All Skus'!$A:$AC,2,FALSE))="JBL",(VLOOKUP(Table6[[#This Row],[SKU]],'All Skus'!$A:$AC,10,FALSE)),""))</f>
        <v>880.95</v>
      </c>
      <c r="J866" s="101">
        <f>(IF((VLOOKUP(Table6[[#This Row],[SKU]],'All Skus'!$A:$AC,2,FALSE))="JBL",(VLOOKUP(Table6[[#This Row],[SKU]],'All Skus'!$A:$AC,11,FALSE)),""))</f>
        <v>700</v>
      </c>
      <c r="K866" s="102">
        <f>(IF((VLOOKUP(Table6[[#This Row],[SKU]],'All Skus'!$A:$AC,2,FALSE))="JBL",(VLOOKUP(Table6[[#This Row],[SKU]],'All Skus'!$A:$AC,13,FALSE)),""))</f>
        <v>0</v>
      </c>
      <c r="L866" s="102">
        <f>(IF((VLOOKUP(Table6[[#This Row],[SKU]],'All Skus'!$A:$AC,2,FALSE))="JBL",(VLOOKUP(Table6[[#This Row],[SKU]],'All Skus'!$A:$AC,14,FALSE)),""))</f>
        <v>0</v>
      </c>
      <c r="M866" s="143">
        <f>(IF((VLOOKUP(Table6[[#This Row],[SKU]],'All Skus'!$A:$AC,2,FALSE))="JBL",(VLOOKUP(Table6[[#This Row],[SKU]],'All Skus'!$A:$AC,15,FALSE)),""))</f>
        <v>0</v>
      </c>
      <c r="N866" s="137">
        <f>(IF((VLOOKUP(Table6[[#This Row],[SKU]],'All Skus'!$A:$AC,2,FALSE))="JBL",(VLOOKUP(Table6[[#This Row],[SKU]],'All Skus'!$A:$AC,16,FALSE)),""))</f>
        <v>50036903431</v>
      </c>
      <c r="O866" s="61">
        <f>(IF((VLOOKUP(Table6[[#This Row],[SKU]],'All Skus'!$A:$AC,2,FALSE))="JBL",(VLOOKUP(Table6[[#This Row],[SKU]],'All Skus'!$A:$AC,17,FALSE)),""))</f>
        <v>0</v>
      </c>
      <c r="P866" s="136">
        <f>(IF((VLOOKUP(Table6[[#This Row],[SKU]],'All Skus'!$A:$AC,2,FALSE))="JBL",(VLOOKUP(Table6[[#This Row],[SKU]],'All Skus'!$A:$AC,18,FALSE)),""))</f>
        <v>0</v>
      </c>
      <c r="Q866" s="136">
        <f>(IF((VLOOKUP(Table6[[#This Row],[SKU]],'All Skus'!$A:$AC,2,FALSE))="JBL",(VLOOKUP(Table6[[#This Row],[SKU]],'All Skus'!$A:$AC,19,FALSE)),""))</f>
        <v>0</v>
      </c>
      <c r="R866" s="136">
        <f>(IF((VLOOKUP(Table6[[#This Row],[SKU]],'All Skus'!$A:$AC,2,FALSE))="JBL",(VLOOKUP(Table6[[#This Row],[SKU]],'All Skus'!$A:$AC,20,FALSE)),""))</f>
        <v>0</v>
      </c>
      <c r="S866" s="61">
        <f>(IF((VLOOKUP(Table6[[#This Row],[SKU]],'All Skus'!$A:$AC,2,FALSE))="JBL",(VLOOKUP(Table6[[#This Row],[SKU]],'All Skus'!$A:$AC,21,FALSE)),""))</f>
        <v>0</v>
      </c>
      <c r="T866" s="61" t="str">
        <f>(IF((VLOOKUP(Table6[[#This Row],[SKU]],'All Skus'!$A:$AC,2,FALSE))="JBL",(VLOOKUP(Table6[[#This Row],[SKU]],'All Skus'!$A:$AC,22,FALSE)),""))</f>
        <v>CN</v>
      </c>
      <c r="U866">
        <f>(IF((VLOOKUP(Table6[[#This Row],[SKU]],'All Skus'!$A:$AC,2,FALSE))="JBL",(VLOOKUP(Table6[[#This Row],[SKU]],'All Skus'!$A:$AC,23,FALSE)),""))</f>
        <v>0</v>
      </c>
      <c r="V866" s="284" t="str">
        <f>HYPERLINK((IF((VLOOKUP(Table6[[#This Row],[SKU]],'All Skus'!$A:$AC,2,FALSE))="JBL",(VLOOKUP(Table6[[#This Row],[SKU]],'All Skus'!$A:$AC,24,FALSE)),"")))</f>
        <v/>
      </c>
      <c r="W866" s="151">
        <v>864</v>
      </c>
    </row>
    <row r="867" spans="1:23" hidden="1">
      <c r="A867" s="13" t="s">
        <v>1877</v>
      </c>
      <c r="B867" s="12" t="str">
        <f>(IF((VLOOKUP(Table6[[#This Row],[SKU]],'All Skus'!$A:$AC,2,FALSE))="JBL",(VLOOKUP(Table6[[#This Row],[SKU]],'All Skus'!$A:$AC,3,FALSE)),""))</f>
        <v>Intellivox 430 Series</v>
      </c>
      <c r="C867" s="12" t="str">
        <f>(IF((VLOOKUP(Table6[[#This Row],[SKU]],'All Skus'!$A:$AC,2,FALSE))="JBL",(VLOOKUP(Table6[[#This Row],[SKU]],'All Skus'!$A:$AC,4,FALSE)),""))</f>
        <v>IVX-97745012</v>
      </c>
      <c r="D867" s="61">
        <f>(IF((VLOOKUP(Table6[[#This Row],[SKU]],'All Skus'!$A:$AC,2,FALSE))="JBL",(VLOOKUP(Table6[[#This Row],[SKU]],'All Skus'!$A:$AC,5,FALSE)),""))</f>
        <v>0</v>
      </c>
      <c r="E867" s="137" t="str">
        <f>(IF((VLOOKUP(Table6[[#This Row],[SKU]],'All Skus'!$A:$AC,2,FALSE))="JBL",(VLOOKUP(Table6[[#This Row],[SKU]],'All Skus'!$A:$AC,6,FALSE)),""))</f>
        <v>YES</v>
      </c>
      <c r="F867" s="61">
        <f>(IF((VLOOKUP(Table6[[#This Row],[SKU]],'All Skus'!$A:$AC,2,FALSE))="JBL",(VLOOKUP(Table6[[#This Row],[SKU]],'All Skus'!$A:$AC,7,FALSE)),""))</f>
        <v>0</v>
      </c>
      <c r="G867" t="str">
        <f>(IF((VLOOKUP(Table6[[#This Row],[SKU]],'All Skus'!$A:$AC,2,FALSE))="JBL",(VLOOKUP(Table6[[#This Row],[SKU]],'All Skus'!$A:$AC,8,FALSE)),""))</f>
        <v>Dummy Enclosure. Intellivox 430 series</v>
      </c>
      <c r="H867" s="8" t="str">
        <f>(IF((VLOOKUP(Table6[[#This Row],[SKU]],'All Skus'!$A:$AC,2,FALSE))="JBL",(VLOOKUP(Table6[[#This Row],[SKU]],'All Skus'!$A:$AC,9,FALSE)),""))</f>
        <v>Dummy Enclosure. Intellivox 430 series.  Made to Order Call for availability</v>
      </c>
      <c r="I867" s="101">
        <f>(IF((VLOOKUP(Table6[[#This Row],[SKU]],'All Skus'!$A:$AC,2,FALSE))="JBL",(VLOOKUP(Table6[[#This Row],[SKU]],'All Skus'!$A:$AC,10,FALSE)),""))</f>
        <v>5608.89</v>
      </c>
      <c r="J867" s="101">
        <f>(IF((VLOOKUP(Table6[[#This Row],[SKU]],'All Skus'!$A:$AC,2,FALSE))="JBL",(VLOOKUP(Table6[[#This Row],[SKU]],'All Skus'!$A:$AC,11,FALSE)),""))</f>
        <v>5608.89</v>
      </c>
      <c r="K867" s="102">
        <f>(IF((VLOOKUP(Table6[[#This Row],[SKU]],'All Skus'!$A:$AC,2,FALSE))="JBL",(VLOOKUP(Table6[[#This Row],[SKU]],'All Skus'!$A:$AC,13,FALSE)),""))</f>
        <v>0</v>
      </c>
      <c r="L867" s="102">
        <f>(IF((VLOOKUP(Table6[[#This Row],[SKU]],'All Skus'!$A:$AC,2,FALSE))="JBL",(VLOOKUP(Table6[[#This Row],[SKU]],'All Skus'!$A:$AC,14,FALSE)),""))</f>
        <v>0</v>
      </c>
      <c r="M867" s="143">
        <f>(IF((VLOOKUP(Table6[[#This Row],[SKU]],'All Skus'!$A:$AC,2,FALSE))="JBL",(VLOOKUP(Table6[[#This Row],[SKU]],'All Skus'!$A:$AC,15,FALSE)),""))</f>
        <v>0</v>
      </c>
      <c r="N867" s="137">
        <f>(IF((VLOOKUP(Table6[[#This Row],[SKU]],'All Skus'!$A:$AC,2,FALSE))="JBL",(VLOOKUP(Table6[[#This Row],[SKU]],'All Skus'!$A:$AC,16,FALSE)),""))</f>
        <v>0</v>
      </c>
      <c r="O867" s="61">
        <f>(IF((VLOOKUP(Table6[[#This Row],[SKU]],'All Skus'!$A:$AC,2,FALSE))="JBL",(VLOOKUP(Table6[[#This Row],[SKU]],'All Skus'!$A:$AC,17,FALSE)),""))</f>
        <v>0</v>
      </c>
      <c r="P867" s="136">
        <f>(IF((VLOOKUP(Table6[[#This Row],[SKU]],'All Skus'!$A:$AC,2,FALSE))="JBL",(VLOOKUP(Table6[[#This Row],[SKU]],'All Skus'!$A:$AC,18,FALSE)),""))</f>
        <v>0</v>
      </c>
      <c r="Q867" s="136">
        <f>(IF((VLOOKUP(Table6[[#This Row],[SKU]],'All Skus'!$A:$AC,2,FALSE))="JBL",(VLOOKUP(Table6[[#This Row],[SKU]],'All Skus'!$A:$AC,19,FALSE)),""))</f>
        <v>0</v>
      </c>
      <c r="R867" s="136">
        <f>(IF((VLOOKUP(Table6[[#This Row],[SKU]],'All Skus'!$A:$AC,2,FALSE))="JBL",(VLOOKUP(Table6[[#This Row],[SKU]],'All Skus'!$A:$AC,20,FALSE)),""))</f>
        <v>0</v>
      </c>
      <c r="S867" s="61">
        <f>(IF((VLOOKUP(Table6[[#This Row],[SKU]],'All Skus'!$A:$AC,2,FALSE))="JBL",(VLOOKUP(Table6[[#This Row],[SKU]],'All Skus'!$A:$AC,21,FALSE)),""))</f>
        <v>0</v>
      </c>
      <c r="T867" s="61">
        <f>(IF((VLOOKUP(Table6[[#This Row],[SKU]],'All Skus'!$A:$AC,2,FALSE))="JBL",(VLOOKUP(Table6[[#This Row],[SKU]],'All Skus'!$A:$AC,22,FALSE)),""))</f>
        <v>0</v>
      </c>
      <c r="U867">
        <f>(IF((VLOOKUP(Table6[[#This Row],[SKU]],'All Skus'!$A:$AC,2,FALSE))="JBL",(VLOOKUP(Table6[[#This Row],[SKU]],'All Skus'!$A:$AC,23,FALSE)),""))</f>
        <v>0</v>
      </c>
      <c r="V867" s="284" t="str">
        <f>HYPERLINK((IF((VLOOKUP(Table6[[#This Row],[SKU]],'All Skus'!$A:$AC,2,FALSE))="JBL",(VLOOKUP(Table6[[#This Row],[SKU]],'All Skus'!$A:$AC,24,FALSE)),"")))</f>
        <v/>
      </c>
      <c r="W867" s="151">
        <v>865</v>
      </c>
    </row>
    <row r="868" spans="1:23" hidden="1">
      <c r="A868" s="13" t="s">
        <v>1876</v>
      </c>
      <c r="B868" s="12" t="str">
        <f>(IF((VLOOKUP(Table6[[#This Row],[SKU]],'All Skus'!$A:$AC,2,FALSE))="JBL",(VLOOKUP(Table6[[#This Row],[SKU]],'All Skus'!$A:$AC,3,FALSE)),""))</f>
        <v>Intellivox 280 &amp; 280H Series Accessories</v>
      </c>
      <c r="C868" s="12" t="str">
        <f>(IF((VLOOKUP(Table6[[#This Row],[SKU]],'All Skus'!$A:$AC,2,FALSE))="JBL",(VLOOKUP(Table6[[#This Row],[SKU]],'All Skus'!$A:$AC,4,FALSE)),""))</f>
        <v>IVX-97665012</v>
      </c>
      <c r="D868" s="61" t="str">
        <f>(IF((VLOOKUP(Table6[[#This Row],[SKU]],'All Skus'!$A:$AC,2,FALSE))="JBL",(VLOOKUP(Table6[[#This Row],[SKU]],'All Skus'!$A:$AC,5,FALSE)),""))</f>
        <v>JBL053</v>
      </c>
      <c r="E868" s="137" t="str">
        <f>(IF((VLOOKUP(Table6[[#This Row],[SKU]],'All Skus'!$A:$AC,2,FALSE))="JBL",(VLOOKUP(Table6[[#This Row],[SKU]],'All Skus'!$A:$AC,6,FALSE)),""))</f>
        <v>YES</v>
      </c>
      <c r="F868" s="61">
        <f>(IF((VLOOKUP(Table6[[#This Row],[SKU]],'All Skus'!$A:$AC,2,FALSE))="JBL",(VLOOKUP(Table6[[#This Row],[SKU]],'All Skus'!$A:$AC,7,FALSE)),""))</f>
        <v>0</v>
      </c>
      <c r="G868" t="str">
        <f>(IF((VLOOKUP(Table6[[#This Row],[SKU]],'All Skus'!$A:$AC,2,FALSE))="JBL",(VLOOKUP(Table6[[#This Row],[SKU]],'All Skus'!$A:$AC,8,FALSE)),""))</f>
        <v>Dummy Enclosure. Intellivox 280 series</v>
      </c>
      <c r="H868" s="8" t="str">
        <f>(IF((VLOOKUP(Table6[[#This Row],[SKU]],'All Skus'!$A:$AC,2,FALSE))="JBL",(VLOOKUP(Table6[[#This Row],[SKU]],'All Skus'!$A:$AC,9,FALSE)),""))</f>
        <v>Dummy Enclosure. Intellivox 280 series.  Made to Order Call for availability</v>
      </c>
      <c r="I868" s="101">
        <f>(IF((VLOOKUP(Table6[[#This Row],[SKU]],'All Skus'!$A:$AC,2,FALSE))="JBL",(VLOOKUP(Table6[[#This Row],[SKU]],'All Skus'!$A:$AC,10,FALSE)),""))</f>
        <v>3239.72</v>
      </c>
      <c r="J868" s="101">
        <f>(IF((VLOOKUP(Table6[[#This Row],[SKU]],'All Skus'!$A:$AC,2,FALSE))="JBL",(VLOOKUP(Table6[[#This Row],[SKU]],'All Skus'!$A:$AC,11,FALSE)),""))</f>
        <v>3239.72</v>
      </c>
      <c r="K868" s="102">
        <f>(IF((VLOOKUP(Table6[[#This Row],[SKU]],'All Skus'!$A:$AC,2,FALSE))="JBL",(VLOOKUP(Table6[[#This Row],[SKU]],'All Skus'!$A:$AC,13,FALSE)),""))</f>
        <v>0</v>
      </c>
      <c r="L868" s="102">
        <f>(IF((VLOOKUP(Table6[[#This Row],[SKU]],'All Skus'!$A:$AC,2,FALSE))="JBL",(VLOOKUP(Table6[[#This Row],[SKU]],'All Skus'!$A:$AC,14,FALSE)),""))</f>
        <v>0</v>
      </c>
      <c r="M868" s="143">
        <f>(IF((VLOOKUP(Table6[[#This Row],[SKU]],'All Skus'!$A:$AC,2,FALSE))="JBL",(VLOOKUP(Table6[[#This Row],[SKU]],'All Skus'!$A:$AC,15,FALSE)),""))</f>
        <v>0</v>
      </c>
      <c r="N868" s="137">
        <f>(IF((VLOOKUP(Table6[[#This Row],[SKU]],'All Skus'!$A:$AC,2,FALSE))="JBL",(VLOOKUP(Table6[[#This Row],[SKU]],'All Skus'!$A:$AC,16,FALSE)),""))</f>
        <v>0</v>
      </c>
      <c r="O868" s="61">
        <f>(IF((VLOOKUP(Table6[[#This Row],[SKU]],'All Skus'!$A:$AC,2,FALSE))="JBL",(VLOOKUP(Table6[[#This Row],[SKU]],'All Skus'!$A:$AC,17,FALSE)),""))</f>
        <v>0</v>
      </c>
      <c r="P868" s="136">
        <f>(IF((VLOOKUP(Table6[[#This Row],[SKU]],'All Skus'!$A:$AC,2,FALSE))="JBL",(VLOOKUP(Table6[[#This Row],[SKU]],'All Skus'!$A:$AC,18,FALSE)),""))</f>
        <v>0</v>
      </c>
      <c r="Q868" s="136">
        <f>(IF((VLOOKUP(Table6[[#This Row],[SKU]],'All Skus'!$A:$AC,2,FALSE))="JBL",(VLOOKUP(Table6[[#This Row],[SKU]],'All Skus'!$A:$AC,19,FALSE)),""))</f>
        <v>0</v>
      </c>
      <c r="R868" s="136">
        <f>(IF((VLOOKUP(Table6[[#This Row],[SKU]],'All Skus'!$A:$AC,2,FALSE))="JBL",(VLOOKUP(Table6[[#This Row],[SKU]],'All Skus'!$A:$AC,20,FALSE)),""))</f>
        <v>0</v>
      </c>
      <c r="S868" s="61">
        <f>(IF((VLOOKUP(Table6[[#This Row],[SKU]],'All Skus'!$A:$AC,2,FALSE))="JBL",(VLOOKUP(Table6[[#This Row],[SKU]],'All Skus'!$A:$AC,21,FALSE)),""))</f>
        <v>0</v>
      </c>
      <c r="T868" s="61">
        <f>(IF((VLOOKUP(Table6[[#This Row],[SKU]],'All Skus'!$A:$AC,2,FALSE))="JBL",(VLOOKUP(Table6[[#This Row],[SKU]],'All Skus'!$A:$AC,22,FALSE)),""))</f>
        <v>0</v>
      </c>
      <c r="U868">
        <f>(IF((VLOOKUP(Table6[[#This Row],[SKU]],'All Skus'!$A:$AC,2,FALSE))="JBL",(VLOOKUP(Table6[[#This Row],[SKU]],'All Skus'!$A:$AC,23,FALSE)),""))</f>
        <v>0</v>
      </c>
      <c r="V868" s="284" t="str">
        <f>HYPERLINK((IF((VLOOKUP(Table6[[#This Row],[SKU]],'All Skus'!$A:$AC,2,FALSE))="JBL",(VLOOKUP(Table6[[#This Row],[SKU]],'All Skus'!$A:$AC,24,FALSE)),"")))</f>
        <v/>
      </c>
      <c r="W868" s="151">
        <v>866</v>
      </c>
    </row>
  </sheetData>
  <conditionalFormatting sqref="X1:XFD1048576 A1:W1 A2:T2 A3:V868 A868:W1048576">
    <cfRule type="cellIs" dxfId="27" priority="1" operator="equal">
      <formula>0</formula>
    </cfRule>
  </conditionalFormatting>
  <conditionalFormatting sqref="U2:V2">
    <cfRule type="cellIs" dxfId="26" priority="3" operator="equal">
      <formula>0</formula>
    </cfRule>
  </conditionalFormatting>
  <pageMargins left="0.7" right="0.7" top="0.75" bottom="0.75" header="0.3" footer="0.3"/>
  <pageSetup orientation="portrait" horizontalDpi="4294967295" verticalDpi="4294967295" r:id="rId1"/>
  <customProperties>
    <customPr name="EpmWorksheetKeyString_GUID" r:id="rId2"/>
    <customPr name="FPMExcelClientCellBasedFunctionStatus" r:id="rId3"/>
    <customPr name="IbpWorksheetKeyString_GUID" r:id="rId4"/>
  </customProperties>
  <drawing r:id="rId5"/>
  <tableParts count="1">
    <tablePart r:id="rId6"/>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V899"/>
  <sheetViews>
    <sheetView zoomScale="75" zoomScaleNormal="75" workbookViewId="0">
      <pane xSplit="1" ySplit="1" topLeftCell="H2" activePane="bottomRight" state="frozen"/>
      <selection pane="topRight" activeCell="D35" sqref="D35"/>
      <selection pane="bottomLeft" activeCell="D35" sqref="D35"/>
      <selection pane="bottomRight" activeCell="K1" sqref="K1:K1048576"/>
    </sheetView>
  </sheetViews>
  <sheetFormatPr defaultColWidth="9.140625" defaultRowHeight="15"/>
  <cols>
    <col min="1" max="1" width="67.28515625" style="52" bestFit="1" customWidth="1"/>
    <col min="2" max="2" width="31.85546875" style="52" bestFit="1" customWidth="1"/>
    <col min="3" max="3" width="20.85546875" style="45" bestFit="1" customWidth="1"/>
    <col min="4" max="4" width="20.85546875" style="52" bestFit="1" customWidth="1"/>
    <col min="5" max="5" width="21.28515625" style="52" bestFit="1" customWidth="1"/>
    <col min="6" max="6" width="16.5703125" style="52" bestFit="1" customWidth="1"/>
    <col min="7" max="7" width="51.42578125" style="52" bestFit="1" customWidth="1"/>
    <col min="8" max="8" width="106.140625" style="53" customWidth="1"/>
    <col min="9" max="9" width="12.85546875" style="53" bestFit="1" customWidth="1"/>
    <col min="10" max="10" width="12.140625" style="53" bestFit="1" customWidth="1"/>
    <col min="11" max="11" width="19.5703125" style="108" bestFit="1" customWidth="1"/>
    <col min="12" max="12" width="16" style="108" bestFit="1" customWidth="1"/>
    <col min="13" max="13" width="21.85546875" style="45" bestFit="1" customWidth="1"/>
    <col min="14" max="14" width="15.140625" style="47" customWidth="1"/>
    <col min="15" max="15" width="11" style="52" bestFit="1" customWidth="1"/>
    <col min="16" max="16" width="18.28515625" style="64" bestFit="1" customWidth="1"/>
    <col min="17" max="17" width="16.28515625" style="64" bestFit="1" customWidth="1"/>
    <col min="18" max="18" width="17.28515625" style="64" bestFit="1" customWidth="1"/>
    <col min="19" max="19" width="16.7109375" style="64" bestFit="1" customWidth="1"/>
    <col min="20" max="20" width="25.28515625" style="52" bestFit="1" customWidth="1"/>
    <col min="21" max="21" width="81.28515625" style="52" bestFit="1" customWidth="1"/>
    <col min="22" max="22" width="20.7109375" style="52" bestFit="1" customWidth="1"/>
    <col min="23" max="16384" width="9.140625" style="52"/>
  </cols>
  <sheetData>
    <row r="1" spans="1:22" s="67" customFormat="1" ht="61.5" customHeight="1">
      <c r="A1" s="66"/>
      <c r="B1" s="66"/>
      <c r="C1" s="66"/>
      <c r="F1" s="66"/>
      <c r="G1" s="95"/>
      <c r="H1" s="106"/>
      <c r="I1" s="106"/>
      <c r="J1" s="106"/>
      <c r="K1" s="107"/>
      <c r="L1" s="107"/>
      <c r="M1" s="74"/>
      <c r="N1" s="86"/>
      <c r="O1" s="65"/>
      <c r="P1" s="131"/>
      <c r="Q1" s="131"/>
      <c r="R1" s="131"/>
      <c r="S1" s="131"/>
    </row>
    <row r="2" spans="1:22" ht="35.25" customHeight="1">
      <c r="A2" s="100" t="s">
        <v>138</v>
      </c>
      <c r="B2" s="75" t="s">
        <v>139</v>
      </c>
      <c r="C2" s="75" t="s">
        <v>140</v>
      </c>
      <c r="D2" s="75" t="s">
        <v>141</v>
      </c>
      <c r="E2" s="75" t="s">
        <v>142</v>
      </c>
      <c r="F2" s="75" t="s">
        <v>143</v>
      </c>
      <c r="G2" s="75" t="s">
        <v>144</v>
      </c>
      <c r="H2" s="75" t="s">
        <v>145</v>
      </c>
      <c r="I2" s="87" t="s">
        <v>146</v>
      </c>
      <c r="J2" s="87" t="s">
        <v>808</v>
      </c>
      <c r="K2" s="75" t="s">
        <v>1010</v>
      </c>
      <c r="L2" s="88" t="s">
        <v>1011</v>
      </c>
      <c r="M2" s="75" t="s">
        <v>149</v>
      </c>
      <c r="N2" s="145" t="s">
        <v>150</v>
      </c>
      <c r="O2" s="145" t="s">
        <v>151</v>
      </c>
      <c r="P2" s="145" t="s">
        <v>152</v>
      </c>
      <c r="Q2" s="145" t="s">
        <v>153</v>
      </c>
      <c r="R2" s="145" t="s">
        <v>154</v>
      </c>
      <c r="S2" s="145" t="s">
        <v>155</v>
      </c>
      <c r="T2" s="75" t="s">
        <v>156</v>
      </c>
      <c r="U2" s="75" t="s">
        <v>158</v>
      </c>
      <c r="V2" s="148" t="s">
        <v>159</v>
      </c>
    </row>
    <row r="3" spans="1:22" ht="15" customHeight="1">
      <c r="A3" s="48" t="s">
        <v>82</v>
      </c>
      <c r="B3" s="45">
        <f>(VLOOKUP(Table7[[#This Row],[SKU]],'All Skus'!$A:$AC,3,FALSE))</f>
        <v>0</v>
      </c>
      <c r="C3" s="45">
        <f>(VLOOKUP(Table7[[#This Row],[SKU]],'All Skus'!$A:$AC,4,FALSE))</f>
        <v>0</v>
      </c>
      <c r="D3" s="60">
        <f>(VLOOKUP(Table7[[#This Row],[SKU]],'All Skus'!$A:$AC,5,FALSE))</f>
        <v>0</v>
      </c>
      <c r="E3" s="52">
        <f>(VLOOKUP(Table7[[#This Row],[SKU]],'All Skus'!$A:$AC,6,FALSE))</f>
        <v>0</v>
      </c>
      <c r="F3" s="52">
        <f>(VLOOKUP(Table7[[#This Row],[SKU]],'All Skus'!$A:$AC,7,FALSE))</f>
        <v>0</v>
      </c>
      <c r="G3" s="52">
        <f>(VLOOKUP(Table7[[#This Row],[SKU]],'All Skus'!$A:$AC,8,FALSE))</f>
        <v>0</v>
      </c>
      <c r="H3" s="53">
        <f>(VLOOKUP(Table7[[#This Row],[SKU]],'All Skus'!$A:$AC,9,FALSE))</f>
        <v>0</v>
      </c>
      <c r="I3" s="89">
        <f>(VLOOKUP(Table7[[#This Row],[SKU]],'All Skus'!$A:$AC,10,FALSE))</f>
        <v>0</v>
      </c>
      <c r="J3" s="89">
        <f>(VLOOKUP(Table7[[#This Row],[SKU]],'All Skus'!$A:$AC,11,FALSE))</f>
        <v>0</v>
      </c>
      <c r="K3" s="108">
        <f>(VLOOKUP(Table7[[#This Row],[SKU]],'All Skus'!$A:$AC,13,FALSE))</f>
        <v>0</v>
      </c>
      <c r="L3" s="108">
        <f>(VLOOKUP(Table7[[#This Row],[SKU]],'All Skus'!$A:$AC,14,FALSE))</f>
        <v>0</v>
      </c>
      <c r="M3" s="60">
        <f>(VLOOKUP(Table7[[#This Row],[SKU]],'All Skus'!$A:$AC,15,FALSE))</f>
        <v>0</v>
      </c>
      <c r="N3" s="47">
        <f>(VLOOKUP(Table7[[#This Row],[SKU]],'All Skus'!$A:$AC,16,FALSE))</f>
        <v>0</v>
      </c>
      <c r="O3" s="52">
        <f>(VLOOKUP(Table7[[#This Row],[SKU]],'All Skus'!$A:$AC,17,FALSE))</f>
        <v>0</v>
      </c>
      <c r="P3" s="64">
        <f>(VLOOKUP(Table7[[#This Row],[SKU]],'All Skus'!$A:$AC,18,FALSE))</f>
        <v>0</v>
      </c>
      <c r="Q3" s="64">
        <f>(VLOOKUP(Table7[[#This Row],[SKU]],'All Skus'!$A:$AC,19,FALSE))</f>
        <v>0</v>
      </c>
      <c r="R3" s="64">
        <f>(VLOOKUP(Table7[[#This Row],[SKU]],'All Skus'!$A:$AC,20,FALSE))</f>
        <v>0</v>
      </c>
      <c r="S3" s="64">
        <f>(VLOOKUP(Table7[[#This Row],[SKU]],'All Skus'!$A:$AC,21,FALSE))</f>
        <v>0</v>
      </c>
      <c r="T3" s="185">
        <f>(VLOOKUP(Table7[[#This Row],[SKU]],'All Skus'!$A:$AC,22,FALSE))</f>
        <v>0</v>
      </c>
      <c r="U3" s="212" t="str">
        <f>HYPERLINK(((VLOOKUP(Table7[[#This Row],[SKU]],'All Skus'!$A:$AC,24,FALSE))))</f>
        <v/>
      </c>
      <c r="V3" s="151" t="s">
        <v>1878</v>
      </c>
    </row>
    <row r="4" spans="1:22" ht="15" customHeight="1">
      <c r="A4" s="109" t="s">
        <v>1029</v>
      </c>
      <c r="B4" s="45">
        <f>(VLOOKUP(Table7[[#This Row],[SKU]],'All Skus'!$A:$AC,3,FALSE))</f>
        <v>0</v>
      </c>
      <c r="C4" s="45">
        <f>(VLOOKUP(Table7[[#This Row],[SKU]],'All Skus'!$A:$AC,4,FALSE))</f>
        <v>0</v>
      </c>
      <c r="D4" s="60">
        <f>(VLOOKUP(Table7[[#This Row],[SKU]],'All Skus'!$A:$AC,5,FALSE))</f>
        <v>0</v>
      </c>
      <c r="E4" s="52">
        <f>(VLOOKUP(Table7[[#This Row],[SKU]],'All Skus'!$A:$AC,6,FALSE))</f>
        <v>0</v>
      </c>
      <c r="F4" s="52">
        <f>(VLOOKUP(Table7[[#This Row],[SKU]],'All Skus'!$A:$AC,7,FALSE))</f>
        <v>0</v>
      </c>
      <c r="G4" s="52">
        <f>(VLOOKUP(Table7[[#This Row],[SKU]],'All Skus'!$A:$AC,8,FALSE))</f>
        <v>0</v>
      </c>
      <c r="H4" s="53">
        <f>(VLOOKUP(Table7[[#This Row],[SKU]],'All Skus'!$A:$AC,9,FALSE))</f>
        <v>0</v>
      </c>
      <c r="I4" s="89">
        <f>(VLOOKUP(Table7[[#This Row],[SKU]],'All Skus'!$A:$AC,10,FALSE))</f>
        <v>0</v>
      </c>
      <c r="J4" s="89">
        <f>(VLOOKUP(Table7[[#This Row],[SKU]],'All Skus'!$A:$AC,11,FALSE))</f>
        <v>0</v>
      </c>
      <c r="K4" s="108">
        <f>(VLOOKUP(Table7[[#This Row],[SKU]],'All Skus'!$A:$AC,13,FALSE))</f>
        <v>0</v>
      </c>
      <c r="L4" s="108">
        <f>(VLOOKUP(Table7[[#This Row],[SKU]],'All Skus'!$A:$AC,14,FALSE))</f>
        <v>0</v>
      </c>
      <c r="M4" s="60">
        <f>(VLOOKUP(Table7[[#This Row],[SKU]],'All Skus'!$A:$AC,15,FALSE))</f>
        <v>0</v>
      </c>
      <c r="N4" s="47">
        <f>(VLOOKUP(Table7[[#This Row],[SKU]],'All Skus'!$A:$AC,16,FALSE))</f>
        <v>0</v>
      </c>
      <c r="O4" s="52">
        <f>(VLOOKUP(Table7[[#This Row],[SKU]],'All Skus'!$A:$AC,17,FALSE))</f>
        <v>0</v>
      </c>
      <c r="P4" s="64">
        <f>(VLOOKUP(Table7[[#This Row],[SKU]],'All Skus'!$A:$AC,18,FALSE))</f>
        <v>0</v>
      </c>
      <c r="Q4" s="64">
        <f>(VLOOKUP(Table7[[#This Row],[SKU]],'All Skus'!$A:$AC,19,FALSE))</f>
        <v>0</v>
      </c>
      <c r="R4" s="64">
        <f>(VLOOKUP(Table7[[#This Row],[SKU]],'All Skus'!$A:$AC,20,FALSE))</f>
        <v>0</v>
      </c>
      <c r="S4" s="64">
        <f>(VLOOKUP(Table7[[#This Row],[SKU]],'All Skus'!$A:$AC,21,FALSE))</f>
        <v>0</v>
      </c>
      <c r="T4" s="185">
        <f>(VLOOKUP(Table7[[#This Row],[SKU]],'All Skus'!$A:$AC,22,FALSE))</f>
        <v>0</v>
      </c>
      <c r="U4" s="212" t="str">
        <f>HYPERLINK(((VLOOKUP(Table7[[#This Row],[SKU]],'All Skus'!$A:$AC,24,FALSE))))</f>
        <v/>
      </c>
      <c r="V4" s="151">
        <v>2</v>
      </c>
    </row>
    <row r="5" spans="1:22" ht="15" customHeight="1">
      <c r="A5" s="48" t="s">
        <v>1041</v>
      </c>
      <c r="B5" s="45">
        <f>(VLOOKUP(Table7[[#This Row],[SKU]],'All Skus'!$A:$AC,3,FALSE))</f>
        <v>0</v>
      </c>
      <c r="C5" s="45">
        <f>(VLOOKUP(Table7[[#This Row],[SKU]],'All Skus'!$A:$AC,4,FALSE))</f>
        <v>0</v>
      </c>
      <c r="D5" s="60">
        <f>(VLOOKUP(Table7[[#This Row],[SKU]],'All Skus'!$A:$AC,5,FALSE))</f>
        <v>0</v>
      </c>
      <c r="E5" s="52">
        <f>(VLOOKUP(Table7[[#This Row],[SKU]],'All Skus'!$A:$AC,6,FALSE))</f>
        <v>0</v>
      </c>
      <c r="F5" s="52">
        <f>(VLOOKUP(Table7[[#This Row],[SKU]],'All Skus'!$A:$AC,7,FALSE))</f>
        <v>0</v>
      </c>
      <c r="G5" s="52">
        <f>(VLOOKUP(Table7[[#This Row],[SKU]],'All Skus'!$A:$AC,8,FALSE))</f>
        <v>0</v>
      </c>
      <c r="H5" s="53">
        <f>(VLOOKUP(Table7[[#This Row],[SKU]],'All Skus'!$A:$AC,9,FALSE))</f>
        <v>0</v>
      </c>
      <c r="I5" s="89">
        <f>(VLOOKUP(Table7[[#This Row],[SKU]],'All Skus'!$A:$AC,10,FALSE))</f>
        <v>0</v>
      </c>
      <c r="J5" s="89">
        <f>(VLOOKUP(Table7[[#This Row],[SKU]],'All Skus'!$A:$AC,11,FALSE))</f>
        <v>0</v>
      </c>
      <c r="K5" s="108">
        <f>(VLOOKUP(Table7[[#This Row],[SKU]],'All Skus'!$A:$AC,13,FALSE))</f>
        <v>0</v>
      </c>
      <c r="L5" s="108">
        <f>(VLOOKUP(Table7[[#This Row],[SKU]],'All Skus'!$A:$AC,14,FALSE))</f>
        <v>0</v>
      </c>
      <c r="M5" s="60">
        <f>(VLOOKUP(Table7[[#This Row],[SKU]],'All Skus'!$A:$AC,15,FALSE))</f>
        <v>0</v>
      </c>
      <c r="N5" s="47">
        <f>(VLOOKUP(Table7[[#This Row],[SKU]],'All Skus'!$A:$AC,16,FALSE))</f>
        <v>0</v>
      </c>
      <c r="O5" s="52">
        <f>(VLOOKUP(Table7[[#This Row],[SKU]],'All Skus'!$A:$AC,17,FALSE))</f>
        <v>0</v>
      </c>
      <c r="P5" s="64">
        <f>(VLOOKUP(Table7[[#This Row],[SKU]],'All Skus'!$A:$AC,18,FALSE))</f>
        <v>0</v>
      </c>
      <c r="Q5" s="64">
        <f>(VLOOKUP(Table7[[#This Row],[SKU]],'All Skus'!$A:$AC,19,FALSE))</f>
        <v>0</v>
      </c>
      <c r="R5" s="64">
        <f>(VLOOKUP(Table7[[#This Row],[SKU]],'All Skus'!$A:$AC,20,FALSE))</f>
        <v>0</v>
      </c>
      <c r="S5" s="64">
        <f>(VLOOKUP(Table7[[#This Row],[SKU]],'All Skus'!$A:$AC,21,FALSE))</f>
        <v>0</v>
      </c>
      <c r="T5" s="185">
        <f>(VLOOKUP(Table7[[#This Row],[SKU]],'All Skus'!$A:$AC,22,FALSE))</f>
        <v>0</v>
      </c>
      <c r="U5" s="212" t="str">
        <f>HYPERLINK(((VLOOKUP(Table7[[#This Row],[SKU]],'All Skus'!$A:$AC,24,FALSE))))</f>
        <v/>
      </c>
      <c r="V5" s="151">
        <v>3</v>
      </c>
    </row>
    <row r="6" spans="1:22" ht="15" customHeight="1">
      <c r="A6" s="52" t="s">
        <v>1042</v>
      </c>
      <c r="B6" s="45" t="str">
        <f>(VLOOKUP(Table7[[#This Row],[SKU]],'All Skus'!$A:$AC,3,FALSE))</f>
        <v>COMMERCIAL WALL CONTROLLERS</v>
      </c>
      <c r="C6" s="45" t="str">
        <f>(VLOOKUP(Table7[[#This Row],[SKU]],'All Skus'!$A:$AC,4,FALSE))</f>
        <v>JBLCSR2SVBLKV</v>
      </c>
      <c r="D6" s="60" t="str">
        <f>(VLOOKUP(Table7[[#This Row],[SKU]],'All Skus'!$A:$AC,5,FALSE))</f>
        <v>JBL017</v>
      </c>
      <c r="E6" s="52">
        <f>(VLOOKUP(Table7[[#This Row],[SKU]],'All Skus'!$A:$AC,6,FALSE))</f>
        <v>0</v>
      </c>
      <c r="F6" s="52" t="str">
        <f>(VLOOKUP(Table7[[#This Row],[SKU]],'All Skus'!$A:$AC,7,FALSE))</f>
        <v>Limited Quantity</v>
      </c>
      <c r="G6" s="52" t="str">
        <f>(VLOOKUP(Table7[[#This Row],[SKU]],'All Skus'!$A:$AC,8,FALSE))</f>
        <v>CSR-2SV-BLK</v>
      </c>
      <c r="H6" s="53" t="str">
        <f>(VLOOKUP(Table7[[#This Row],[SKU]],'All Skus'!$A:$AC,9,FALSE))</f>
        <v>Wall Controller with 2-Position Source Selector and Volume Control; US Version (Black) For use with CSM-21, CSM-32</v>
      </c>
      <c r="I6" s="89">
        <f>(VLOOKUP(Table7[[#This Row],[SKU]],'All Skus'!$A:$AC,10,FALSE))</f>
        <v>100.61</v>
      </c>
      <c r="J6" s="89">
        <f>(VLOOKUP(Table7[[#This Row],[SKU]],'All Skus'!$A:$AC,11,FALSE))</f>
        <v>78</v>
      </c>
      <c r="K6" s="108">
        <f>(VLOOKUP(Table7[[#This Row],[SKU]],'All Skus'!$A:$AC,13,FALSE))</f>
        <v>0</v>
      </c>
      <c r="L6" s="108">
        <f>(VLOOKUP(Table7[[#This Row],[SKU]],'All Skus'!$A:$AC,14,FALSE))</f>
        <v>0</v>
      </c>
      <c r="M6" s="60">
        <f>(VLOOKUP(Table7[[#This Row],[SKU]],'All Skus'!$A:$AC,15,FALSE))</f>
        <v>0</v>
      </c>
      <c r="N6" s="47">
        <f>(VLOOKUP(Table7[[#This Row],[SKU]],'All Skus'!$A:$AC,16,FALSE))</f>
        <v>691991401404</v>
      </c>
      <c r="O6" s="52">
        <f>(VLOOKUP(Table7[[#This Row],[SKU]],'All Skus'!$A:$AC,17,FALSE))</f>
        <v>0</v>
      </c>
      <c r="P6" s="64">
        <f>(VLOOKUP(Table7[[#This Row],[SKU]],'All Skus'!$A:$AC,18,FALSE))</f>
        <v>0.5</v>
      </c>
      <c r="Q6" s="64">
        <f>(VLOOKUP(Table7[[#This Row],[SKU]],'All Skus'!$A:$AC,19,FALSE))</f>
        <v>7</v>
      </c>
      <c r="R6" s="64">
        <f>(VLOOKUP(Table7[[#This Row],[SKU]],'All Skus'!$A:$AC,20,FALSE))</f>
        <v>5.5</v>
      </c>
      <c r="S6" s="64">
        <f>(VLOOKUP(Table7[[#This Row],[SKU]],'All Skus'!$A:$AC,21,FALSE))</f>
        <v>3.5</v>
      </c>
      <c r="T6" s="185" t="str">
        <f>(VLOOKUP(Table7[[#This Row],[SKU]],'All Skus'!$A:$AC,22,FALSE))</f>
        <v>CN</v>
      </c>
      <c r="U6" s="212" t="str">
        <f>HYPERLINK(((VLOOKUP(Table7[[#This Row],[SKU]],'All Skus'!$A:$AC,24,FALSE))))</f>
        <v/>
      </c>
      <c r="V6" s="151">
        <v>4</v>
      </c>
    </row>
    <row r="7" spans="1:22" ht="15" customHeight="1">
      <c r="A7" s="52" t="s">
        <v>1043</v>
      </c>
      <c r="B7" s="45" t="str">
        <f>(VLOOKUP(Table7[[#This Row],[SKU]],'All Skus'!$A:$AC,3,FALSE))</f>
        <v>COMMERCIAL WALL CONTROLLERS</v>
      </c>
      <c r="C7" s="45" t="str">
        <f>(VLOOKUP(Table7[[#This Row],[SKU]],'All Skus'!$A:$AC,4,FALSE))</f>
        <v>JBLCSR2SVWHTV</v>
      </c>
      <c r="D7" s="60" t="str">
        <f>(VLOOKUP(Table7[[#This Row],[SKU]],'All Skus'!$A:$AC,5,FALSE))</f>
        <v>JBL017</v>
      </c>
      <c r="E7" s="52">
        <f>(VLOOKUP(Table7[[#This Row],[SKU]],'All Skus'!$A:$AC,6,FALSE))</f>
        <v>0</v>
      </c>
      <c r="F7" s="52" t="str">
        <f>(VLOOKUP(Table7[[#This Row],[SKU]],'All Skus'!$A:$AC,7,FALSE))</f>
        <v>Limited Quantity</v>
      </c>
      <c r="G7" s="52" t="str">
        <f>(VLOOKUP(Table7[[#This Row],[SKU]],'All Skus'!$A:$AC,8,FALSE))</f>
        <v>CSR-2SV-WHT</v>
      </c>
      <c r="H7" s="53" t="str">
        <f>(VLOOKUP(Table7[[#This Row],[SKU]],'All Skus'!$A:$AC,9,FALSE))</f>
        <v>Wall Controller with 2-Position Source Selector and Volume Control; US Version (White) For use with CSM-21, CSM-32</v>
      </c>
      <c r="I7" s="89">
        <f>(VLOOKUP(Table7[[#This Row],[SKU]],'All Skus'!$A:$AC,10,FALSE))</f>
        <v>101.62</v>
      </c>
      <c r="J7" s="89">
        <f>(VLOOKUP(Table7[[#This Row],[SKU]],'All Skus'!$A:$AC,11,FALSE))</f>
        <v>78</v>
      </c>
      <c r="K7" s="108">
        <f>(VLOOKUP(Table7[[#This Row],[SKU]],'All Skus'!$A:$AC,13,FALSE))</f>
        <v>0</v>
      </c>
      <c r="L7" s="108">
        <f>(VLOOKUP(Table7[[#This Row],[SKU]],'All Skus'!$A:$AC,14,FALSE))</f>
        <v>0</v>
      </c>
      <c r="M7" s="60">
        <f>(VLOOKUP(Table7[[#This Row],[SKU]],'All Skus'!$A:$AC,15,FALSE))</f>
        <v>0</v>
      </c>
      <c r="N7" s="47">
        <f>(VLOOKUP(Table7[[#This Row],[SKU]],'All Skus'!$A:$AC,16,FALSE))</f>
        <v>691991401374</v>
      </c>
      <c r="O7" s="52">
        <f>(VLOOKUP(Table7[[#This Row],[SKU]],'All Skus'!$A:$AC,17,FALSE))</f>
        <v>0</v>
      </c>
      <c r="P7" s="64">
        <f>(VLOOKUP(Table7[[#This Row],[SKU]],'All Skus'!$A:$AC,18,FALSE))</f>
        <v>0.1</v>
      </c>
      <c r="Q7" s="64">
        <f>(VLOOKUP(Table7[[#This Row],[SKU]],'All Skus'!$A:$AC,19,FALSE))</f>
        <v>7</v>
      </c>
      <c r="R7" s="64">
        <f>(VLOOKUP(Table7[[#This Row],[SKU]],'All Skus'!$A:$AC,20,FALSE))</f>
        <v>3.5</v>
      </c>
      <c r="S7" s="64">
        <f>(VLOOKUP(Table7[[#This Row],[SKU]],'All Skus'!$A:$AC,21,FALSE))</f>
        <v>5.5</v>
      </c>
      <c r="T7" s="185" t="str">
        <f>(VLOOKUP(Table7[[#This Row],[SKU]],'All Skus'!$A:$AC,22,FALSE))</f>
        <v>CN</v>
      </c>
      <c r="U7" s="212" t="str">
        <f>HYPERLINK(((VLOOKUP(Table7[[#This Row],[SKU]],'All Skus'!$A:$AC,24,FALSE))))</f>
        <v/>
      </c>
      <c r="V7" s="151">
        <v>5</v>
      </c>
    </row>
    <row r="8" spans="1:22" ht="15" customHeight="1">
      <c r="A8" s="52" t="s">
        <v>1044</v>
      </c>
      <c r="B8" s="45" t="str">
        <f>(VLOOKUP(Table7[[#This Row],[SKU]],'All Skus'!$A:$AC,3,FALSE))</f>
        <v>COMMERCIAL WALL CONTROLLERS</v>
      </c>
      <c r="C8" s="45" t="str">
        <f>(VLOOKUP(Table7[[#This Row],[SKU]],'All Skus'!$A:$AC,4,FALSE))</f>
        <v>JBLCSR3SVBLKV</v>
      </c>
      <c r="D8" s="60" t="str">
        <f>(VLOOKUP(Table7[[#This Row],[SKU]],'All Skus'!$A:$AC,5,FALSE))</f>
        <v>JBL017</v>
      </c>
      <c r="E8" s="52">
        <f>(VLOOKUP(Table7[[#This Row],[SKU]],'All Skus'!$A:$AC,6,FALSE))</f>
        <v>0</v>
      </c>
      <c r="F8" s="52" t="str">
        <f>(VLOOKUP(Table7[[#This Row],[SKU]],'All Skus'!$A:$AC,7,FALSE))</f>
        <v>Limited Quantity</v>
      </c>
      <c r="G8" s="52" t="str">
        <f>(VLOOKUP(Table7[[#This Row],[SKU]],'All Skus'!$A:$AC,8,FALSE))</f>
        <v>CSR-3SV-BLK</v>
      </c>
      <c r="H8" s="53" t="str">
        <f>(VLOOKUP(Table7[[#This Row],[SKU]],'All Skus'!$A:$AC,9,FALSE))</f>
        <v>Controller with 3-Position Source Selector and Volume Control; US Version (Black) For use with CSM-32</v>
      </c>
      <c r="I8" s="89">
        <f>(VLOOKUP(Table7[[#This Row],[SKU]],'All Skus'!$A:$AC,10,FALSE))</f>
        <v>100.61</v>
      </c>
      <c r="J8" s="89">
        <f>(VLOOKUP(Table7[[#This Row],[SKU]],'All Skus'!$A:$AC,11,FALSE))</f>
        <v>78</v>
      </c>
      <c r="K8" s="108">
        <f>(VLOOKUP(Table7[[#This Row],[SKU]],'All Skus'!$A:$AC,13,FALSE))</f>
        <v>0</v>
      </c>
      <c r="L8" s="108">
        <f>(VLOOKUP(Table7[[#This Row],[SKU]],'All Skus'!$A:$AC,14,FALSE))</f>
        <v>0</v>
      </c>
      <c r="M8" s="60">
        <f>(VLOOKUP(Table7[[#This Row],[SKU]],'All Skus'!$A:$AC,15,FALSE))</f>
        <v>0</v>
      </c>
      <c r="N8" s="47">
        <f>(VLOOKUP(Table7[[#This Row],[SKU]],'All Skus'!$A:$AC,16,FALSE))</f>
        <v>691991401411</v>
      </c>
      <c r="O8" s="52">
        <f>(VLOOKUP(Table7[[#This Row],[SKU]],'All Skus'!$A:$AC,17,FALSE))</f>
        <v>0</v>
      </c>
      <c r="P8" s="64">
        <f>(VLOOKUP(Table7[[#This Row],[SKU]],'All Skus'!$A:$AC,18,FALSE))</f>
        <v>0.5</v>
      </c>
      <c r="Q8" s="64">
        <f>(VLOOKUP(Table7[[#This Row],[SKU]],'All Skus'!$A:$AC,19,FALSE))</f>
        <v>7</v>
      </c>
      <c r="R8" s="64">
        <f>(VLOOKUP(Table7[[#This Row],[SKU]],'All Skus'!$A:$AC,20,FALSE))</f>
        <v>5.5</v>
      </c>
      <c r="S8" s="64">
        <f>(VLOOKUP(Table7[[#This Row],[SKU]],'All Skus'!$A:$AC,21,FALSE))</f>
        <v>3.5</v>
      </c>
      <c r="T8" s="185" t="str">
        <f>(VLOOKUP(Table7[[#This Row],[SKU]],'All Skus'!$A:$AC,22,FALSE))</f>
        <v>CN</v>
      </c>
      <c r="U8" s="212" t="str">
        <f>HYPERLINK(((VLOOKUP(Table7[[#This Row],[SKU]],'All Skus'!$A:$AC,24,FALSE))))</f>
        <v/>
      </c>
      <c r="V8" s="151">
        <v>6</v>
      </c>
    </row>
    <row r="9" spans="1:22" ht="15" customHeight="1">
      <c r="A9" s="52" t="s">
        <v>1045</v>
      </c>
      <c r="B9" s="45" t="str">
        <f>(VLOOKUP(Table7[[#This Row],[SKU]],'All Skus'!$A:$AC,3,FALSE))</f>
        <v>COMMERCIAL WALL CONTROLLERS</v>
      </c>
      <c r="C9" s="45" t="str">
        <f>(VLOOKUP(Table7[[#This Row],[SKU]],'All Skus'!$A:$AC,4,FALSE))</f>
        <v>JBLCSR3SVWHTV</v>
      </c>
      <c r="D9" s="60" t="str">
        <f>(VLOOKUP(Table7[[#This Row],[SKU]],'All Skus'!$A:$AC,5,FALSE))</f>
        <v>JBL017</v>
      </c>
      <c r="E9" s="52">
        <f>(VLOOKUP(Table7[[#This Row],[SKU]],'All Skus'!$A:$AC,6,FALSE))</f>
        <v>0</v>
      </c>
      <c r="F9" s="52">
        <f>(VLOOKUP(Table7[[#This Row],[SKU]],'All Skus'!$A:$AC,7,FALSE))</f>
        <v>0</v>
      </c>
      <c r="G9" s="52" t="str">
        <f>(VLOOKUP(Table7[[#This Row],[SKU]],'All Skus'!$A:$AC,8,FALSE))</f>
        <v>CSR-3SV-WHT</v>
      </c>
      <c r="H9" s="53" t="str">
        <f>(VLOOKUP(Table7[[#This Row],[SKU]],'All Skus'!$A:$AC,9,FALSE))</f>
        <v>Wall Controller with 3-Position Source Selector and Volume Control; US Version (White)  For use with CSM-32</v>
      </c>
      <c r="I9" s="89">
        <f>(VLOOKUP(Table7[[#This Row],[SKU]],'All Skus'!$A:$AC,10,FALSE))</f>
        <v>100.61</v>
      </c>
      <c r="J9" s="89">
        <f>(VLOOKUP(Table7[[#This Row],[SKU]],'All Skus'!$A:$AC,11,FALSE))</f>
        <v>78</v>
      </c>
      <c r="K9" s="108">
        <f>(VLOOKUP(Table7[[#This Row],[SKU]],'All Skus'!$A:$AC,13,FALSE))</f>
        <v>0</v>
      </c>
      <c r="L9" s="108">
        <f>(VLOOKUP(Table7[[#This Row],[SKU]],'All Skus'!$A:$AC,14,FALSE))</f>
        <v>0</v>
      </c>
      <c r="M9" s="60">
        <f>(VLOOKUP(Table7[[#This Row],[SKU]],'All Skus'!$A:$AC,15,FALSE))</f>
        <v>0</v>
      </c>
      <c r="N9" s="47">
        <f>(VLOOKUP(Table7[[#This Row],[SKU]],'All Skus'!$A:$AC,16,FALSE))</f>
        <v>691991401381</v>
      </c>
      <c r="O9" s="52">
        <f>(VLOOKUP(Table7[[#This Row],[SKU]],'All Skus'!$A:$AC,17,FALSE))</f>
        <v>0</v>
      </c>
      <c r="P9" s="64">
        <f>(VLOOKUP(Table7[[#This Row],[SKU]],'All Skus'!$A:$AC,18,FALSE))</f>
        <v>0.2</v>
      </c>
      <c r="Q9" s="64">
        <f>(VLOOKUP(Table7[[#This Row],[SKU]],'All Skus'!$A:$AC,19,FALSE))</f>
        <v>7</v>
      </c>
      <c r="R9" s="64">
        <f>(VLOOKUP(Table7[[#This Row],[SKU]],'All Skus'!$A:$AC,20,FALSE))</f>
        <v>3</v>
      </c>
      <c r="S9" s="64">
        <f>(VLOOKUP(Table7[[#This Row],[SKU]],'All Skus'!$A:$AC,21,FALSE))</f>
        <v>5</v>
      </c>
      <c r="T9" s="185" t="str">
        <f>(VLOOKUP(Table7[[#This Row],[SKU]],'All Skus'!$A:$AC,22,FALSE))</f>
        <v>CN</v>
      </c>
      <c r="U9" s="212" t="str">
        <f>HYPERLINK(((VLOOKUP(Table7[[#This Row],[SKU]],'All Skus'!$A:$AC,24,FALSE))))</f>
        <v/>
      </c>
      <c r="V9" s="151">
        <v>7</v>
      </c>
    </row>
    <row r="10" spans="1:22" ht="15" customHeight="1">
      <c r="A10" s="52" t="s">
        <v>1046</v>
      </c>
      <c r="B10" s="45" t="str">
        <f>(VLOOKUP(Table7[[#This Row],[SKU]],'All Skus'!$A:$AC,3,FALSE))</f>
        <v>COMMERCIAL WALL CONTROLLERS</v>
      </c>
      <c r="C10" s="45" t="str">
        <f>(VLOOKUP(Table7[[#This Row],[SKU]],'All Skus'!$A:$AC,4,FALSE))</f>
        <v>JBLCSRVBLKV</v>
      </c>
      <c r="D10" s="60" t="str">
        <f>(VLOOKUP(Table7[[#This Row],[SKU]],'All Skus'!$A:$AC,5,FALSE))</f>
        <v>JBL017</v>
      </c>
      <c r="E10" s="52">
        <f>(VLOOKUP(Table7[[#This Row],[SKU]],'All Skus'!$A:$AC,6,FALSE))</f>
        <v>0</v>
      </c>
      <c r="F10" s="52">
        <f>(VLOOKUP(Table7[[#This Row],[SKU]],'All Skus'!$A:$AC,7,FALSE))</f>
        <v>0</v>
      </c>
      <c r="G10" s="52" t="str">
        <f>(VLOOKUP(Table7[[#This Row],[SKU]],'All Skus'!$A:$AC,8,FALSE))</f>
        <v>CSR-V-BLK</v>
      </c>
      <c r="H10" s="53" t="str">
        <f>(VLOOKUP(Table7[[#This Row],[SKU]],'All Skus'!$A:$AC,9,FALSE))</f>
        <v>Wall Controller with Volume Control; US Version (Black)  For use with CSM-21, CSM-32, All CSMA</v>
      </c>
      <c r="I10" s="89">
        <f>(VLOOKUP(Table7[[#This Row],[SKU]],'All Skus'!$A:$AC,10,FALSE))</f>
        <v>100.61</v>
      </c>
      <c r="J10" s="89">
        <f>(VLOOKUP(Table7[[#This Row],[SKU]],'All Skus'!$A:$AC,11,FALSE))</f>
        <v>72</v>
      </c>
      <c r="K10" s="108">
        <f>(VLOOKUP(Table7[[#This Row],[SKU]],'All Skus'!$A:$AC,13,FALSE))</f>
        <v>0</v>
      </c>
      <c r="L10" s="108">
        <f>(VLOOKUP(Table7[[#This Row],[SKU]],'All Skus'!$A:$AC,14,FALSE))</f>
        <v>0</v>
      </c>
      <c r="M10" s="60">
        <f>(VLOOKUP(Table7[[#This Row],[SKU]],'All Skus'!$A:$AC,15,FALSE))</f>
        <v>0</v>
      </c>
      <c r="N10" s="47">
        <f>(VLOOKUP(Table7[[#This Row],[SKU]],'All Skus'!$A:$AC,16,FALSE))</f>
        <v>691991401398</v>
      </c>
      <c r="O10" s="52">
        <f>(VLOOKUP(Table7[[#This Row],[SKU]],'All Skus'!$A:$AC,17,FALSE))</f>
        <v>0</v>
      </c>
      <c r="P10" s="64">
        <f>(VLOOKUP(Table7[[#This Row],[SKU]],'All Skus'!$A:$AC,18,FALSE))</f>
        <v>0.5</v>
      </c>
      <c r="Q10" s="64">
        <f>(VLOOKUP(Table7[[#This Row],[SKU]],'All Skus'!$A:$AC,19,FALSE))</f>
        <v>7</v>
      </c>
      <c r="R10" s="64">
        <f>(VLOOKUP(Table7[[#This Row],[SKU]],'All Skus'!$A:$AC,20,FALSE))</f>
        <v>5.5</v>
      </c>
      <c r="S10" s="64">
        <f>(VLOOKUP(Table7[[#This Row],[SKU]],'All Skus'!$A:$AC,21,FALSE))</f>
        <v>3.5</v>
      </c>
      <c r="T10" s="185" t="str">
        <f>(VLOOKUP(Table7[[#This Row],[SKU]],'All Skus'!$A:$AC,22,FALSE))</f>
        <v>CN</v>
      </c>
      <c r="U10" s="212" t="str">
        <f>HYPERLINK(((VLOOKUP(Table7[[#This Row],[SKU]],'All Skus'!$A:$AC,24,FALSE))))</f>
        <v/>
      </c>
      <c r="V10" s="151">
        <v>8</v>
      </c>
    </row>
    <row r="11" spans="1:22" ht="15" customHeight="1">
      <c r="A11" s="52" t="s">
        <v>1047</v>
      </c>
      <c r="B11" s="45" t="str">
        <f>(VLOOKUP(Table7[[#This Row],[SKU]],'All Skus'!$A:$AC,3,FALSE))</f>
        <v>COMMERCIAL WALL CONTROLLERS</v>
      </c>
      <c r="C11" s="45" t="str">
        <f>(VLOOKUP(Table7[[#This Row],[SKU]],'All Skus'!$A:$AC,4,FALSE))</f>
        <v>JBLCSRVWHTV</v>
      </c>
      <c r="D11" s="60" t="str">
        <f>(VLOOKUP(Table7[[#This Row],[SKU]],'All Skus'!$A:$AC,5,FALSE))</f>
        <v>JBL017</v>
      </c>
      <c r="E11" s="52">
        <f>(VLOOKUP(Table7[[#This Row],[SKU]],'All Skus'!$A:$AC,6,FALSE))</f>
        <v>0</v>
      </c>
      <c r="F11" s="52">
        <f>(VLOOKUP(Table7[[#This Row],[SKU]],'All Skus'!$A:$AC,7,FALSE))</f>
        <v>0</v>
      </c>
      <c r="G11" s="52" t="str">
        <f>(VLOOKUP(Table7[[#This Row],[SKU]],'All Skus'!$A:$AC,8,FALSE))</f>
        <v>CSR-V-WHT</v>
      </c>
      <c r="H11" s="53" t="str">
        <f>(VLOOKUP(Table7[[#This Row],[SKU]],'All Skus'!$A:$AC,9,FALSE))</f>
        <v>Wall Controller with Volume Control; US Version (White)  For use with CSM-21, CSM-32, All CSMA</v>
      </c>
      <c r="I11" s="89">
        <f>(VLOOKUP(Table7[[#This Row],[SKU]],'All Skus'!$A:$AC,10,FALSE))</f>
        <v>101.62</v>
      </c>
      <c r="J11" s="89">
        <f>(VLOOKUP(Table7[[#This Row],[SKU]],'All Skus'!$A:$AC,11,FALSE))</f>
        <v>72</v>
      </c>
      <c r="K11" s="108">
        <f>(VLOOKUP(Table7[[#This Row],[SKU]],'All Skus'!$A:$AC,13,FALSE))</f>
        <v>0</v>
      </c>
      <c r="L11" s="108">
        <f>(VLOOKUP(Table7[[#This Row],[SKU]],'All Skus'!$A:$AC,14,FALSE))</f>
        <v>0</v>
      </c>
      <c r="M11" s="60">
        <f>(VLOOKUP(Table7[[#This Row],[SKU]],'All Skus'!$A:$AC,15,FALSE))</f>
        <v>0</v>
      </c>
      <c r="N11" s="47">
        <f>(VLOOKUP(Table7[[#This Row],[SKU]],'All Skus'!$A:$AC,16,FALSE))</f>
        <v>691991401367</v>
      </c>
      <c r="O11" s="52">
        <f>(VLOOKUP(Table7[[#This Row],[SKU]],'All Skus'!$A:$AC,17,FALSE))</f>
        <v>0</v>
      </c>
      <c r="P11" s="64">
        <f>(VLOOKUP(Table7[[#This Row],[SKU]],'All Skus'!$A:$AC,18,FALSE))</f>
        <v>0.5</v>
      </c>
      <c r="Q11" s="64">
        <f>(VLOOKUP(Table7[[#This Row],[SKU]],'All Skus'!$A:$AC,19,FALSE))</f>
        <v>7</v>
      </c>
      <c r="R11" s="64">
        <f>(VLOOKUP(Table7[[#This Row],[SKU]],'All Skus'!$A:$AC,20,FALSE))</f>
        <v>5.5</v>
      </c>
      <c r="S11" s="64">
        <f>(VLOOKUP(Table7[[#This Row],[SKU]],'All Skus'!$A:$AC,21,FALSE))</f>
        <v>3.5</v>
      </c>
      <c r="T11" s="185" t="str">
        <f>(VLOOKUP(Table7[[#This Row],[SKU]],'All Skus'!$A:$AC,22,FALSE))</f>
        <v>CN</v>
      </c>
      <c r="U11" s="212" t="str">
        <f>HYPERLINK(((VLOOKUP(Table7[[#This Row],[SKU]],'All Skus'!$A:$AC,24,FALSE))))</f>
        <v/>
      </c>
      <c r="V11" s="151">
        <v>9</v>
      </c>
    </row>
    <row r="12" spans="1:22" ht="15" customHeight="1">
      <c r="A12" s="48" t="s">
        <v>1048</v>
      </c>
      <c r="B12" s="45">
        <f>(VLOOKUP(Table7[[#This Row],[SKU]],'All Skus'!$A:$AC,3,FALSE))</f>
        <v>0</v>
      </c>
      <c r="C12" s="45">
        <f>(VLOOKUP(Table7[[#This Row],[SKU]],'All Skus'!$A:$AC,4,FALSE))</f>
        <v>0</v>
      </c>
      <c r="D12" s="60">
        <f>(VLOOKUP(Table7[[#This Row],[SKU]],'All Skus'!$A:$AC,5,FALSE))</f>
        <v>0</v>
      </c>
      <c r="E12" s="52">
        <f>(VLOOKUP(Table7[[#This Row],[SKU]],'All Skus'!$A:$AC,6,FALSE))</f>
        <v>0</v>
      </c>
      <c r="F12" s="52">
        <f>(VLOOKUP(Table7[[#This Row],[SKU]],'All Skus'!$A:$AC,7,FALSE))</f>
        <v>0</v>
      </c>
      <c r="G12" s="52">
        <f>(VLOOKUP(Table7[[#This Row],[SKU]],'All Skus'!$A:$AC,8,FALSE))</f>
        <v>0</v>
      </c>
      <c r="H12" s="53">
        <f>(VLOOKUP(Table7[[#This Row],[SKU]],'All Skus'!$A:$AC,9,FALSE))</f>
        <v>0</v>
      </c>
      <c r="I12" s="89">
        <f>(VLOOKUP(Table7[[#This Row],[SKU]],'All Skus'!$A:$AC,10,FALSE))</f>
        <v>0</v>
      </c>
      <c r="J12" s="89">
        <f>(VLOOKUP(Table7[[#This Row],[SKU]],'All Skus'!$A:$AC,11,FALSE))</f>
        <v>0</v>
      </c>
      <c r="K12" s="108">
        <f>(VLOOKUP(Table7[[#This Row],[SKU]],'All Skus'!$A:$AC,13,FALSE))</f>
        <v>0</v>
      </c>
      <c r="L12" s="108">
        <f>(VLOOKUP(Table7[[#This Row],[SKU]],'All Skus'!$A:$AC,14,FALSE))</f>
        <v>0</v>
      </c>
      <c r="M12" s="60">
        <f>(VLOOKUP(Table7[[#This Row],[SKU]],'All Skus'!$A:$AC,15,FALSE))</f>
        <v>0</v>
      </c>
      <c r="N12" s="47">
        <f>(VLOOKUP(Table7[[#This Row],[SKU]],'All Skus'!$A:$AC,16,FALSE))</f>
        <v>0</v>
      </c>
      <c r="O12" s="52">
        <f>(VLOOKUP(Table7[[#This Row],[SKU]],'All Skus'!$A:$AC,17,FALSE))</f>
        <v>0</v>
      </c>
      <c r="P12" s="64">
        <f>(VLOOKUP(Table7[[#This Row],[SKU]],'All Skus'!$A:$AC,18,FALSE))</f>
        <v>0</v>
      </c>
      <c r="Q12" s="64">
        <f>(VLOOKUP(Table7[[#This Row],[SKU]],'All Skus'!$A:$AC,19,FALSE))</f>
        <v>0</v>
      </c>
      <c r="R12" s="64">
        <f>(VLOOKUP(Table7[[#This Row],[SKU]],'All Skus'!$A:$AC,20,FALSE))</f>
        <v>0</v>
      </c>
      <c r="S12" s="64">
        <f>(VLOOKUP(Table7[[#This Row],[SKU]],'All Skus'!$A:$AC,21,FALSE))</f>
        <v>0</v>
      </c>
      <c r="T12" s="185">
        <f>(VLOOKUP(Table7[[#This Row],[SKU]],'All Skus'!$A:$AC,22,FALSE))</f>
        <v>0</v>
      </c>
      <c r="U12" s="212" t="str">
        <f>HYPERLINK(((VLOOKUP(Table7[[#This Row],[SKU]],'All Skus'!$A:$AC,24,FALSE))))</f>
        <v/>
      </c>
      <c r="V12" s="151">
        <v>10</v>
      </c>
    </row>
    <row r="13" spans="1:22" ht="15" customHeight="1">
      <c r="A13" s="52" t="s">
        <v>1049</v>
      </c>
      <c r="B13" s="45" t="str">
        <f>(VLOOKUP(Table7[[#This Row],[SKU]],'All Skus'!$A:$AC,3,FALSE))</f>
        <v>Ceiling Speaker</v>
      </c>
      <c r="C13" s="45" t="str">
        <f>(VLOOKUP(Table7[[#This Row],[SKU]],'All Skus'!$A:$AC,4,FALSE))</f>
        <v>CSS8004</v>
      </c>
      <c r="D13" s="60" t="str">
        <f>(VLOOKUP(Table7[[#This Row],[SKU]],'All Skus'!$A:$AC,5,FALSE))</f>
        <v>JBL017</v>
      </c>
      <c r="E13" s="52">
        <f>(VLOOKUP(Table7[[#This Row],[SKU]],'All Skus'!$A:$AC,6,FALSE))</f>
        <v>0</v>
      </c>
      <c r="F13" s="52">
        <f>(VLOOKUP(Table7[[#This Row],[SKU]],'All Skus'!$A:$AC,7,FALSE))</f>
        <v>0</v>
      </c>
      <c r="G13" s="52" t="str">
        <f>(VLOOKUP(Table7[[#This Row],[SKU]],'All Skus'!$A:$AC,8,FALSE))</f>
        <v>S/M, CSS8004 - 4", 5W</v>
      </c>
      <c r="H13" s="53" t="str">
        <f>(VLOOKUP(Table7[[#This Row],[SKU]],'All Skus'!$A:$AC,9,FALSE))</f>
        <v>4" Commercial Series Ceiling Speaker.  90 dB sens, 5W multi-tap for 100V/70V 25V, pre-assembled with driver/grille/transformer, 175 deg coverage; punched metal grille, compatible with CSS-BB4 backcan and CSS-TB4/8 tile rails (priced as each; sold individually; master packs are 6 pcs).</v>
      </c>
      <c r="I13" s="89">
        <f>(VLOOKUP(Table7[[#This Row],[SKU]],'All Skus'!$A:$AC,10,FALSE))</f>
        <v>29.5</v>
      </c>
      <c r="J13" s="89">
        <f>(VLOOKUP(Table7[[#This Row],[SKU]],'All Skus'!$A:$AC,11,FALSE))</f>
        <v>20</v>
      </c>
      <c r="K13" s="108">
        <f>(VLOOKUP(Table7[[#This Row],[SKU]],'All Skus'!$A:$AC,13,FALSE))</f>
        <v>0</v>
      </c>
      <c r="L13" s="108">
        <f>(VLOOKUP(Table7[[#This Row],[SKU]],'All Skus'!$A:$AC,14,FALSE))</f>
        <v>0</v>
      </c>
      <c r="M13" s="60">
        <f>(VLOOKUP(Table7[[#This Row],[SKU]],'All Skus'!$A:$AC,15,FALSE))</f>
        <v>0</v>
      </c>
      <c r="N13" s="47">
        <f>(VLOOKUP(Table7[[#This Row],[SKU]],'All Skus'!$A:$AC,16,FALSE))</f>
        <v>50036903912</v>
      </c>
      <c r="O13" s="52">
        <f>(VLOOKUP(Table7[[#This Row],[SKU]],'All Skus'!$A:$AC,17,FALSE))</f>
        <v>0</v>
      </c>
      <c r="P13" s="64">
        <f>(VLOOKUP(Table7[[#This Row],[SKU]],'All Skus'!$A:$AC,18,FALSE))</f>
        <v>2.5</v>
      </c>
      <c r="Q13" s="64">
        <f>(VLOOKUP(Table7[[#This Row],[SKU]],'All Skus'!$A:$AC,19,FALSE))</f>
        <v>5</v>
      </c>
      <c r="R13" s="64">
        <f>(VLOOKUP(Table7[[#This Row],[SKU]],'All Skus'!$A:$AC,20,FALSE))</f>
        <v>9</v>
      </c>
      <c r="S13" s="64">
        <f>(VLOOKUP(Table7[[#This Row],[SKU]],'All Skus'!$A:$AC,21,FALSE))</f>
        <v>10</v>
      </c>
      <c r="T13" s="185" t="str">
        <f>(VLOOKUP(Table7[[#This Row],[SKU]],'All Skus'!$A:$AC,22,FALSE))</f>
        <v>CN</v>
      </c>
      <c r="U13" s="212" t="str">
        <f>HYPERLINK(((VLOOKUP(Table7[[#This Row],[SKU]],'All Skus'!$A:$AC,24,FALSE))))</f>
        <v xml:space="preserve">http://www.jblpro.com/www/products/installed-sound/commercial-series/css8004 </v>
      </c>
      <c r="V13" s="151">
        <v>11</v>
      </c>
    </row>
    <row r="14" spans="1:22" ht="15" customHeight="1">
      <c r="A14" s="52" t="s">
        <v>1050</v>
      </c>
      <c r="B14" s="45" t="str">
        <f>(VLOOKUP(Table7[[#This Row],[SKU]],'All Skus'!$A:$AC,3,FALSE))</f>
        <v>Ceiling Speaker</v>
      </c>
      <c r="C14" s="45" t="str">
        <f>(VLOOKUP(Table7[[#This Row],[SKU]],'All Skus'!$A:$AC,4,FALSE))</f>
        <v>CSS8008</v>
      </c>
      <c r="D14" s="60" t="str">
        <f>(VLOOKUP(Table7[[#This Row],[SKU]],'All Skus'!$A:$AC,5,FALSE))</f>
        <v>JBL017</v>
      </c>
      <c r="E14" s="52">
        <f>(VLOOKUP(Table7[[#This Row],[SKU]],'All Skus'!$A:$AC,6,FALSE))</f>
        <v>0</v>
      </c>
      <c r="F14" s="52">
        <f>(VLOOKUP(Table7[[#This Row],[SKU]],'All Skus'!$A:$AC,7,FALSE))</f>
        <v>0</v>
      </c>
      <c r="G14" s="52" t="str">
        <f>(VLOOKUP(Table7[[#This Row],[SKU]],'All Skus'!$A:$AC,8,FALSE))</f>
        <v>S/M, CSS8008 8", 5w</v>
      </c>
      <c r="H14" s="53" t="str">
        <f>(VLOOKUP(Table7[[#This Row],[SKU]],'All Skus'!$A:$AC,9,FALSE))</f>
        <v>8" Commercial Series Ceiling Speaker.  96 dB sens, 5W multi-tap for 100V/70V 25V, pre-assembled with driver/grille/transformer, 120 deg coverage; punched metal grille, compatible with CSS-BB8 backcan and CSS-TB4/8 tile rails (priced as each; sold individually; master packs are 6 pcs).</v>
      </c>
      <c r="I14" s="89">
        <f>(VLOOKUP(Table7[[#This Row],[SKU]],'All Skus'!$A:$AC,10,FALSE))</f>
        <v>39.770000000000003</v>
      </c>
      <c r="J14" s="89">
        <f>(VLOOKUP(Table7[[#This Row],[SKU]],'All Skus'!$A:$AC,11,FALSE))</f>
        <v>30</v>
      </c>
      <c r="K14" s="108">
        <f>(VLOOKUP(Table7[[#This Row],[SKU]],'All Skus'!$A:$AC,13,FALSE))</f>
        <v>0</v>
      </c>
      <c r="L14" s="108">
        <f>(VLOOKUP(Table7[[#This Row],[SKU]],'All Skus'!$A:$AC,14,FALSE))</f>
        <v>0</v>
      </c>
      <c r="M14" s="60">
        <f>(VLOOKUP(Table7[[#This Row],[SKU]],'All Skus'!$A:$AC,15,FALSE))</f>
        <v>0</v>
      </c>
      <c r="N14" s="47">
        <f>(VLOOKUP(Table7[[#This Row],[SKU]],'All Skus'!$A:$AC,16,FALSE))</f>
        <v>50036903929</v>
      </c>
      <c r="O14" s="52">
        <f>(VLOOKUP(Table7[[#This Row],[SKU]],'All Skus'!$A:$AC,17,FALSE))</f>
        <v>0</v>
      </c>
      <c r="P14" s="64">
        <f>(VLOOKUP(Table7[[#This Row],[SKU]],'All Skus'!$A:$AC,18,FALSE))</f>
        <v>4.25</v>
      </c>
      <c r="Q14" s="64">
        <f>(VLOOKUP(Table7[[#This Row],[SKU]],'All Skus'!$A:$AC,19,FALSE))</f>
        <v>15</v>
      </c>
      <c r="R14" s="64">
        <f>(VLOOKUP(Table7[[#This Row],[SKU]],'All Skus'!$A:$AC,20,FALSE))</f>
        <v>15</v>
      </c>
      <c r="S14" s="64">
        <f>(VLOOKUP(Table7[[#This Row],[SKU]],'All Skus'!$A:$AC,21,FALSE))</f>
        <v>4</v>
      </c>
      <c r="T14" s="185" t="str">
        <f>(VLOOKUP(Table7[[#This Row],[SKU]],'All Skus'!$A:$AC,22,FALSE))</f>
        <v>CN</v>
      </c>
      <c r="U14" s="212" t="str">
        <f>HYPERLINK(((VLOOKUP(Table7[[#This Row],[SKU]],'All Skus'!$A:$AC,24,FALSE))))</f>
        <v xml:space="preserve">http://www.jblpro.com/www/products/installed-sound/commercial-series/css8008 </v>
      </c>
      <c r="V14" s="151">
        <v>12</v>
      </c>
    </row>
    <row r="15" spans="1:22" ht="15" customHeight="1">
      <c r="A15" s="52" t="s">
        <v>1051</v>
      </c>
      <c r="B15" s="45" t="str">
        <f>(VLOOKUP(Table7[[#This Row],[SKU]],'All Skus'!$A:$AC,3,FALSE))</f>
        <v>Ceiling Speaker</v>
      </c>
      <c r="C15" s="45" t="str">
        <f>(VLOOKUP(Table7[[#This Row],[SKU]],'All Skus'!$A:$AC,4,FALSE))</f>
        <v>CSS8018</v>
      </c>
      <c r="D15" s="60" t="str">
        <f>(VLOOKUP(Table7[[#This Row],[SKU]],'All Skus'!$A:$AC,5,FALSE))</f>
        <v>JBL017</v>
      </c>
      <c r="E15" s="52">
        <f>(VLOOKUP(Table7[[#This Row],[SKU]],'All Skus'!$A:$AC,6,FALSE))</f>
        <v>0</v>
      </c>
      <c r="F15" s="52">
        <f>(VLOOKUP(Table7[[#This Row],[SKU]],'All Skus'!$A:$AC,7,FALSE))</f>
        <v>0</v>
      </c>
      <c r="G15" s="52" t="str">
        <f>(VLOOKUP(Table7[[#This Row],[SKU]],'All Skus'!$A:$AC,8,FALSE))</f>
        <v>S/M, CSS8018 8", 10W</v>
      </c>
      <c r="H15" s="53" t="str">
        <f>(VLOOKUP(Table7[[#This Row],[SKU]],'All Skus'!$A:$AC,9,FALSE))</f>
        <v>8" Commercial Series Ceiling Speaker.  Very high 97 dB sens, 10W multi-tap for 100V/70V 25V, pre-assembled with driver/grille/transformer, 110 deg coverage; punched metal grille, compatible with CSS-BB8 backcan and CSS-TB4/8 tile rails (priced as each; sold individually; master packs are 6 pcs).</v>
      </c>
      <c r="I15" s="89">
        <f>(VLOOKUP(Table7[[#This Row],[SKU]],'All Skus'!$A:$AC,10,FALSE))</f>
        <v>53.87</v>
      </c>
      <c r="J15" s="89">
        <f>(VLOOKUP(Table7[[#This Row],[SKU]],'All Skus'!$A:$AC,11,FALSE))</f>
        <v>47</v>
      </c>
      <c r="K15" s="108">
        <f>(VLOOKUP(Table7[[#This Row],[SKU]],'All Skus'!$A:$AC,13,FALSE))</f>
        <v>0</v>
      </c>
      <c r="L15" s="108">
        <f>(VLOOKUP(Table7[[#This Row],[SKU]],'All Skus'!$A:$AC,14,FALSE))</f>
        <v>0</v>
      </c>
      <c r="M15" s="60">
        <f>(VLOOKUP(Table7[[#This Row],[SKU]],'All Skus'!$A:$AC,15,FALSE))</f>
        <v>0</v>
      </c>
      <c r="N15" s="47">
        <f>(VLOOKUP(Table7[[#This Row],[SKU]],'All Skus'!$A:$AC,16,FALSE))</f>
        <v>50036903936</v>
      </c>
      <c r="O15" s="52">
        <f>(VLOOKUP(Table7[[#This Row],[SKU]],'All Skus'!$A:$AC,17,FALSE))</f>
        <v>0</v>
      </c>
      <c r="P15" s="64">
        <f>(VLOOKUP(Table7[[#This Row],[SKU]],'All Skus'!$A:$AC,18,FALSE))</f>
        <v>8</v>
      </c>
      <c r="Q15" s="64">
        <f>(VLOOKUP(Table7[[#This Row],[SKU]],'All Skus'!$A:$AC,19,FALSE))</f>
        <v>16</v>
      </c>
      <c r="R15" s="64">
        <f>(VLOOKUP(Table7[[#This Row],[SKU]],'All Skus'!$A:$AC,20,FALSE))</f>
        <v>14</v>
      </c>
      <c r="S15" s="64">
        <f>(VLOOKUP(Table7[[#This Row],[SKU]],'All Skus'!$A:$AC,21,FALSE))</f>
        <v>5</v>
      </c>
      <c r="T15" s="185" t="str">
        <f>(VLOOKUP(Table7[[#This Row],[SKU]],'All Skus'!$A:$AC,22,FALSE))</f>
        <v>CN</v>
      </c>
      <c r="U15" s="212" t="str">
        <f>HYPERLINK(((VLOOKUP(Table7[[#This Row],[SKU]],'All Skus'!$A:$AC,24,FALSE))))</f>
        <v xml:space="preserve">http://www.jblpro.com/www/products/installed-sound/commercial-series/css8018 </v>
      </c>
      <c r="V15" s="151">
        <v>13</v>
      </c>
    </row>
    <row r="16" spans="1:22" ht="15" customHeight="1">
      <c r="A16" s="48" t="s">
        <v>119</v>
      </c>
      <c r="B16" s="45">
        <f>(VLOOKUP(Table7[[#This Row],[SKU]],'All Skus'!$A:$AC,3,FALSE))</f>
        <v>0</v>
      </c>
      <c r="C16" s="45">
        <f>(VLOOKUP(Table7[[#This Row],[SKU]],'All Skus'!$A:$AC,4,FALSE))</f>
        <v>0</v>
      </c>
      <c r="D16" s="60">
        <f>(VLOOKUP(Table7[[#This Row],[SKU]],'All Skus'!$A:$AC,5,FALSE))</f>
        <v>0</v>
      </c>
      <c r="E16" s="52">
        <f>(VLOOKUP(Table7[[#This Row],[SKU]],'All Skus'!$A:$AC,6,FALSE))</f>
        <v>0</v>
      </c>
      <c r="F16" s="52">
        <f>(VLOOKUP(Table7[[#This Row],[SKU]],'All Skus'!$A:$AC,7,FALSE))</f>
        <v>0</v>
      </c>
      <c r="G16" s="52">
        <f>(VLOOKUP(Table7[[#This Row],[SKU]],'All Skus'!$A:$AC,8,FALSE))</f>
        <v>0</v>
      </c>
      <c r="H16" s="53">
        <f>(VLOOKUP(Table7[[#This Row],[SKU]],'All Skus'!$A:$AC,9,FALSE))</f>
        <v>0</v>
      </c>
      <c r="I16" s="89">
        <f>(VLOOKUP(Table7[[#This Row],[SKU]],'All Skus'!$A:$AC,10,FALSE))</f>
        <v>0</v>
      </c>
      <c r="J16" s="89">
        <f>(VLOOKUP(Table7[[#This Row],[SKU]],'All Skus'!$A:$AC,11,FALSE))</f>
        <v>0</v>
      </c>
      <c r="K16" s="108">
        <f>(VLOOKUP(Table7[[#This Row],[SKU]],'All Skus'!$A:$AC,13,FALSE))</f>
        <v>0</v>
      </c>
      <c r="L16" s="108">
        <f>(VLOOKUP(Table7[[#This Row],[SKU]],'All Skus'!$A:$AC,14,FALSE))</f>
        <v>0</v>
      </c>
      <c r="M16" s="60">
        <f>(VLOOKUP(Table7[[#This Row],[SKU]],'All Skus'!$A:$AC,15,FALSE))</f>
        <v>0</v>
      </c>
      <c r="N16" s="47">
        <f>(VLOOKUP(Table7[[#This Row],[SKU]],'All Skus'!$A:$AC,16,FALSE))</f>
        <v>0</v>
      </c>
      <c r="O16" s="52">
        <f>(VLOOKUP(Table7[[#This Row],[SKU]],'All Skus'!$A:$AC,17,FALSE))</f>
        <v>0</v>
      </c>
      <c r="P16" s="64">
        <f>(VLOOKUP(Table7[[#This Row],[SKU]],'All Skus'!$A:$AC,18,FALSE))</f>
        <v>0</v>
      </c>
      <c r="Q16" s="64">
        <f>(VLOOKUP(Table7[[#This Row],[SKU]],'All Skus'!$A:$AC,19,FALSE))</f>
        <v>0</v>
      </c>
      <c r="R16" s="64">
        <f>(VLOOKUP(Table7[[#This Row],[SKU]],'All Skus'!$A:$AC,20,FALSE))</f>
        <v>0</v>
      </c>
      <c r="S16" s="64">
        <f>(VLOOKUP(Table7[[#This Row],[SKU]],'All Skus'!$A:$AC,21,FALSE))</f>
        <v>0</v>
      </c>
      <c r="T16" s="185">
        <f>(VLOOKUP(Table7[[#This Row],[SKU]],'All Skus'!$A:$AC,22,FALSE))</f>
        <v>0</v>
      </c>
      <c r="U16" s="212" t="str">
        <f>HYPERLINK(((VLOOKUP(Table7[[#This Row],[SKU]],'All Skus'!$A:$AC,24,FALSE))))</f>
        <v/>
      </c>
      <c r="V16" s="151">
        <v>14</v>
      </c>
    </row>
    <row r="17" spans="1:22" ht="15" customHeight="1">
      <c r="A17" s="52" t="s">
        <v>1052</v>
      </c>
      <c r="B17" s="45" t="str">
        <f>(VLOOKUP(Table7[[#This Row],[SKU]],'All Skus'!$A:$AC,3,FALSE))</f>
        <v>Accessory</v>
      </c>
      <c r="C17" s="45" t="str">
        <f>(VLOOKUP(Table7[[#This Row],[SKU]],'All Skus'!$A:$AC,4,FALSE))</f>
        <v>CSS-BB4X6</v>
      </c>
      <c r="D17" s="60" t="str">
        <f>(VLOOKUP(Table7[[#This Row],[SKU]],'All Skus'!$A:$AC,5,FALSE))</f>
        <v>JBL017</v>
      </c>
      <c r="E17" s="52">
        <f>(VLOOKUP(Table7[[#This Row],[SKU]],'All Skus'!$A:$AC,6,FALSE))</f>
        <v>0</v>
      </c>
      <c r="F17" s="52">
        <f>(VLOOKUP(Table7[[#This Row],[SKU]],'All Skus'!$A:$AC,7,FALSE))</f>
        <v>0</v>
      </c>
      <c r="G17" s="52" t="str">
        <f>(VLOOKUP(Table7[[#This Row],[SKU]],'All Skus'!$A:$AC,8,FALSE))</f>
        <v>S/M, CSS-BB4X6-- 4" BACKCAN (1=6 PCS)</v>
      </c>
      <c r="H17" s="53" t="str">
        <f>(VLOOKUP(Table7[[#This Row],[SKU]],'All Skus'!$A:$AC,9,FALSE))</f>
        <v>Pack of 6 pcs of 4" backcans for CSS8004.  Steel, zinc-plated, powder-coated, 4.8" (121mm) deep, 5 knockouts (priced an sold as a pack of 6 pcs).</v>
      </c>
      <c r="I17" s="89">
        <f>(VLOOKUP(Table7[[#This Row],[SKU]],'All Skus'!$A:$AC,10,FALSE))</f>
        <v>75.680000000000007</v>
      </c>
      <c r="J17" s="89">
        <f>(VLOOKUP(Table7[[#This Row],[SKU]],'All Skus'!$A:$AC,11,FALSE))</f>
        <v>75.680000000000007</v>
      </c>
      <c r="K17" s="108">
        <f>(VLOOKUP(Table7[[#This Row],[SKU]],'All Skus'!$A:$AC,13,FALSE))</f>
        <v>0</v>
      </c>
      <c r="L17" s="108">
        <f>(VLOOKUP(Table7[[#This Row],[SKU]],'All Skus'!$A:$AC,14,FALSE))</f>
        <v>0</v>
      </c>
      <c r="M17" s="60">
        <f>(VLOOKUP(Table7[[#This Row],[SKU]],'All Skus'!$A:$AC,15,FALSE))</f>
        <v>0</v>
      </c>
      <c r="N17" s="47">
        <f>(VLOOKUP(Table7[[#This Row],[SKU]],'All Skus'!$A:$AC,16,FALSE))</f>
        <v>691991300059</v>
      </c>
      <c r="O17" s="52">
        <f>(VLOOKUP(Table7[[#This Row],[SKU]],'All Skus'!$A:$AC,17,FALSE))</f>
        <v>0</v>
      </c>
      <c r="P17" s="64">
        <f>(VLOOKUP(Table7[[#This Row],[SKU]],'All Skus'!$A:$AC,18,FALSE))</f>
        <v>6</v>
      </c>
      <c r="Q17" s="64">
        <f>(VLOOKUP(Table7[[#This Row],[SKU]],'All Skus'!$A:$AC,19,FALSE))</f>
        <v>8</v>
      </c>
      <c r="R17" s="64">
        <f>(VLOOKUP(Table7[[#This Row],[SKU]],'All Skus'!$A:$AC,20,FALSE))</f>
        <v>8</v>
      </c>
      <c r="S17" s="64">
        <f>(VLOOKUP(Table7[[#This Row],[SKU]],'All Skus'!$A:$AC,21,FALSE))</f>
        <v>5</v>
      </c>
      <c r="T17" s="185" t="str">
        <f>(VLOOKUP(Table7[[#This Row],[SKU]],'All Skus'!$A:$AC,22,FALSE))</f>
        <v>CN</v>
      </c>
      <c r="U17" s="212" t="str">
        <f>HYPERLINK(((VLOOKUP(Table7[[#This Row],[SKU]],'All Skus'!$A:$AC,24,FALSE))))</f>
        <v xml:space="preserve">http://www.jblpro.com/www/products/installed-sound/commercial-series/css-bb4x6 </v>
      </c>
      <c r="V17" s="151">
        <v>15</v>
      </c>
    </row>
    <row r="18" spans="1:22" ht="15" customHeight="1">
      <c r="A18" s="52" t="s">
        <v>1053</v>
      </c>
      <c r="B18" s="45" t="str">
        <f>(VLOOKUP(Table7[[#This Row],[SKU]],'All Skus'!$A:$AC,3,FALSE))</f>
        <v>Accessory</v>
      </c>
      <c r="C18" s="45" t="str">
        <f>(VLOOKUP(Table7[[#This Row],[SKU]],'All Skus'!$A:$AC,4,FALSE))</f>
        <v>CSS-BB8X6</v>
      </c>
      <c r="D18" s="60" t="str">
        <f>(VLOOKUP(Table7[[#This Row],[SKU]],'All Skus'!$A:$AC,5,FALSE))</f>
        <v>JBL017</v>
      </c>
      <c r="E18" s="52">
        <f>(VLOOKUP(Table7[[#This Row],[SKU]],'All Skus'!$A:$AC,6,FALSE))</f>
        <v>0</v>
      </c>
      <c r="F18" s="52">
        <f>(VLOOKUP(Table7[[#This Row],[SKU]],'All Skus'!$A:$AC,7,FALSE))</f>
        <v>0</v>
      </c>
      <c r="G18" s="52" t="str">
        <f>(VLOOKUP(Table7[[#This Row],[SKU]],'All Skus'!$A:$AC,8,FALSE))</f>
        <v>CSS-BB8X6 8" BACKCAN (1 = 6 PCS)</v>
      </c>
      <c r="H18" s="53" t="str">
        <f>(VLOOKUP(Table7[[#This Row],[SKU]],'All Skus'!$A:$AC,9,FALSE))</f>
        <v>Pack of 6 pcs of 8" backcans for CSS8008 or CSS8018.  Steel, zinc-plated, powder-coated, 4.8" (121 mm) deep, 5 knockouts (priced an sold as a pack of 6 pcs).</v>
      </c>
      <c r="I18" s="89">
        <f>(VLOOKUP(Table7[[#This Row],[SKU]],'All Skus'!$A:$AC,10,FALSE))</f>
        <v>139.82</v>
      </c>
      <c r="J18" s="89">
        <f>(VLOOKUP(Table7[[#This Row],[SKU]],'All Skus'!$A:$AC,11,FALSE))</f>
        <v>139.82</v>
      </c>
      <c r="K18" s="108">
        <f>(VLOOKUP(Table7[[#This Row],[SKU]],'All Skus'!$A:$AC,13,FALSE))</f>
        <v>0</v>
      </c>
      <c r="L18" s="108">
        <f>(VLOOKUP(Table7[[#This Row],[SKU]],'All Skus'!$A:$AC,14,FALSE))</f>
        <v>0</v>
      </c>
      <c r="M18" s="60">
        <f>(VLOOKUP(Table7[[#This Row],[SKU]],'All Skus'!$A:$AC,15,FALSE))</f>
        <v>0</v>
      </c>
      <c r="N18" s="47">
        <f>(VLOOKUP(Table7[[#This Row],[SKU]],'All Skus'!$A:$AC,16,FALSE))</f>
        <v>50036905350</v>
      </c>
      <c r="O18" s="52">
        <f>(VLOOKUP(Table7[[#This Row],[SKU]],'All Skus'!$A:$AC,17,FALSE))</f>
        <v>0</v>
      </c>
      <c r="P18" s="64">
        <f>(VLOOKUP(Table7[[#This Row],[SKU]],'All Skus'!$A:$AC,18,FALSE))</f>
        <v>13</v>
      </c>
      <c r="Q18" s="64">
        <f>(VLOOKUP(Table7[[#This Row],[SKU]],'All Skus'!$A:$AC,19,FALSE))</f>
        <v>14</v>
      </c>
      <c r="R18" s="64">
        <f>(VLOOKUP(Table7[[#This Row],[SKU]],'All Skus'!$A:$AC,20,FALSE))</f>
        <v>15</v>
      </c>
      <c r="S18" s="64">
        <f>(VLOOKUP(Table7[[#This Row],[SKU]],'All Skus'!$A:$AC,21,FALSE))</f>
        <v>9</v>
      </c>
      <c r="T18" s="185" t="str">
        <f>(VLOOKUP(Table7[[#This Row],[SKU]],'All Skus'!$A:$AC,22,FALSE))</f>
        <v>CN</v>
      </c>
      <c r="U18" s="212" t="str">
        <f>HYPERLINK(((VLOOKUP(Table7[[#This Row],[SKU]],'All Skus'!$A:$AC,24,FALSE))))</f>
        <v xml:space="preserve">http://www.jblpro.com/www/products/installed-sound/commercial-series/css-bb8x6 </v>
      </c>
      <c r="V18" s="151">
        <v>16</v>
      </c>
    </row>
    <row r="19" spans="1:22" ht="15" customHeight="1">
      <c r="A19" s="48" t="s">
        <v>1054</v>
      </c>
      <c r="B19" s="45" t="str">
        <f>(VLOOKUP(Table7[[#This Row],[SKU]],'All Skus'!$A:$AC,3,FALSE))</f>
        <v>COMMERCIAL ACCESSORIES</v>
      </c>
      <c r="C19" s="45" t="str">
        <f>(VLOOKUP(Table7[[#This Row],[SKU]],'All Skus'!$A:$AC,4,FALSE))</f>
        <v>CSS-TR4/8x12</v>
      </c>
      <c r="D19" s="60" t="str">
        <f>(VLOOKUP(Table7[[#This Row],[SKU]],'All Skus'!$A:$AC,5,FALSE))</f>
        <v>JBL017</v>
      </c>
      <c r="E19" s="52">
        <f>(VLOOKUP(Table7[[#This Row],[SKU]],'All Skus'!$A:$AC,6,FALSE))</f>
        <v>0</v>
      </c>
      <c r="F19" s="52">
        <f>(VLOOKUP(Table7[[#This Row],[SKU]],'All Skus'!$A:$AC,7,FALSE))</f>
        <v>0</v>
      </c>
      <c r="G19" s="52" t="str">
        <f>(VLOOKUP(Table7[[#This Row],[SKU]],'All Skus'!$A:$AC,8,FALSE))</f>
        <v>CSS-TR4/8x12</v>
      </c>
      <c r="H19" s="53" t="str">
        <f>(VLOOKUP(Table7[[#This Row],[SKU]],'All Skus'!$A:$AC,9,FALSE))</f>
        <v>Pack of 12 pcs Tile Rails for CSS-BB4 and CSS-BB8 Backcans  (Priced as package)</v>
      </c>
      <c r="I19" s="89">
        <f>(VLOOKUP(Table7[[#This Row],[SKU]],'All Skus'!$A:$AC,10,FALSE))</f>
        <v>51.31</v>
      </c>
      <c r="J19" s="89">
        <f>(VLOOKUP(Table7[[#This Row],[SKU]],'All Skus'!$A:$AC,11,FALSE))</f>
        <v>47</v>
      </c>
      <c r="K19" s="108">
        <f>(VLOOKUP(Table7[[#This Row],[SKU]],'All Skus'!$A:$AC,13,FALSE))</f>
        <v>0</v>
      </c>
      <c r="L19" s="108">
        <f>(VLOOKUP(Table7[[#This Row],[SKU]],'All Skus'!$A:$AC,14,FALSE))</f>
        <v>0</v>
      </c>
      <c r="M19" s="60">
        <f>(VLOOKUP(Table7[[#This Row],[SKU]],'All Skus'!$A:$AC,15,FALSE))</f>
        <v>0</v>
      </c>
      <c r="N19" s="47">
        <f>(VLOOKUP(Table7[[#This Row],[SKU]],'All Skus'!$A:$AC,16,FALSE))</f>
        <v>50036904933</v>
      </c>
      <c r="O19" s="52">
        <f>(VLOOKUP(Table7[[#This Row],[SKU]],'All Skus'!$A:$AC,17,FALSE))</f>
        <v>0</v>
      </c>
      <c r="P19" s="64">
        <f>(VLOOKUP(Table7[[#This Row],[SKU]],'All Skus'!$A:$AC,18,FALSE))</f>
        <v>6.25</v>
      </c>
      <c r="Q19" s="64">
        <f>(VLOOKUP(Table7[[#This Row],[SKU]],'All Skus'!$A:$AC,19,FALSE))</f>
        <v>26</v>
      </c>
      <c r="R19" s="64">
        <f>(VLOOKUP(Table7[[#This Row],[SKU]],'All Skus'!$A:$AC,20,FALSE))</f>
        <v>3</v>
      </c>
      <c r="S19" s="64">
        <f>(VLOOKUP(Table7[[#This Row],[SKU]],'All Skus'!$A:$AC,21,FALSE))</f>
        <v>11</v>
      </c>
      <c r="T19" s="185" t="str">
        <f>(VLOOKUP(Table7[[#This Row],[SKU]],'All Skus'!$A:$AC,22,FALSE))</f>
        <v>CN</v>
      </c>
      <c r="U19" s="212" t="str">
        <f>HYPERLINK(((VLOOKUP(Table7[[#This Row],[SKU]],'All Skus'!$A:$AC,24,FALSE))))</f>
        <v/>
      </c>
      <c r="V19" s="151">
        <v>17</v>
      </c>
    </row>
    <row r="20" spans="1:22" ht="15" customHeight="1">
      <c r="A20" s="48" t="s">
        <v>1055</v>
      </c>
      <c r="B20" s="45">
        <f>(VLOOKUP(Table7[[#This Row],[SKU]],'All Skus'!$A:$AC,3,FALSE))</f>
        <v>0</v>
      </c>
      <c r="C20" s="45">
        <f>(VLOOKUP(Table7[[#This Row],[SKU]],'All Skus'!$A:$AC,4,FALSE))</f>
        <v>0</v>
      </c>
      <c r="D20" s="60">
        <f>(VLOOKUP(Table7[[#This Row],[SKU]],'All Skus'!$A:$AC,5,FALSE))</f>
        <v>0</v>
      </c>
      <c r="E20" s="52">
        <f>(VLOOKUP(Table7[[#This Row],[SKU]],'All Skus'!$A:$AC,6,FALSE))</f>
        <v>0</v>
      </c>
      <c r="F20" s="52">
        <f>(VLOOKUP(Table7[[#This Row],[SKU]],'All Skus'!$A:$AC,7,FALSE))</f>
        <v>0</v>
      </c>
      <c r="G20" s="52">
        <f>(VLOOKUP(Table7[[#This Row],[SKU]],'All Skus'!$A:$AC,8,FALSE))</f>
        <v>0</v>
      </c>
      <c r="H20" s="53">
        <f>(VLOOKUP(Table7[[#This Row],[SKU]],'All Skus'!$A:$AC,9,FALSE))</f>
        <v>0</v>
      </c>
      <c r="I20" s="89">
        <f>(VLOOKUP(Table7[[#This Row],[SKU]],'All Skus'!$A:$AC,10,FALSE))</f>
        <v>0</v>
      </c>
      <c r="J20" s="89">
        <f>(VLOOKUP(Table7[[#This Row],[SKU]],'All Skus'!$A:$AC,11,FALSE))</f>
        <v>0</v>
      </c>
      <c r="K20" s="108">
        <f>(VLOOKUP(Table7[[#This Row],[SKU]],'All Skus'!$A:$AC,13,FALSE))</f>
        <v>0</v>
      </c>
      <c r="L20" s="108">
        <f>(VLOOKUP(Table7[[#This Row],[SKU]],'All Skus'!$A:$AC,14,FALSE))</f>
        <v>0</v>
      </c>
      <c r="M20" s="60">
        <f>(VLOOKUP(Table7[[#This Row],[SKU]],'All Skus'!$A:$AC,15,FALSE))</f>
        <v>0</v>
      </c>
      <c r="N20" s="47">
        <f>(VLOOKUP(Table7[[#This Row],[SKU]],'All Skus'!$A:$AC,16,FALSE))</f>
        <v>0</v>
      </c>
      <c r="O20" s="52">
        <f>(VLOOKUP(Table7[[#This Row],[SKU]],'All Skus'!$A:$AC,17,FALSE))</f>
        <v>0</v>
      </c>
      <c r="P20" s="64">
        <f>(VLOOKUP(Table7[[#This Row],[SKU]],'All Skus'!$A:$AC,18,FALSE))</f>
        <v>0</v>
      </c>
      <c r="Q20" s="64">
        <f>(VLOOKUP(Table7[[#This Row],[SKU]],'All Skus'!$A:$AC,19,FALSE))</f>
        <v>0</v>
      </c>
      <c r="R20" s="64">
        <f>(VLOOKUP(Table7[[#This Row],[SKU]],'All Skus'!$A:$AC,20,FALSE))</f>
        <v>0</v>
      </c>
      <c r="S20" s="64">
        <f>(VLOOKUP(Table7[[#This Row],[SKU]],'All Skus'!$A:$AC,21,FALSE))</f>
        <v>0</v>
      </c>
      <c r="T20" s="185">
        <f>(VLOOKUP(Table7[[#This Row],[SKU]],'All Skus'!$A:$AC,22,FALSE))</f>
        <v>0</v>
      </c>
      <c r="U20" s="212" t="str">
        <f>HYPERLINK(((VLOOKUP(Table7[[#This Row],[SKU]],'All Skus'!$A:$AC,24,FALSE))))</f>
        <v/>
      </c>
      <c r="V20" s="151">
        <v>18</v>
      </c>
    </row>
    <row r="21" spans="1:22" ht="15" customHeight="1">
      <c r="A21" s="52" t="s">
        <v>1056</v>
      </c>
      <c r="B21" s="45" t="str">
        <f>(VLOOKUP(Table7[[#This Row],[SKU]],'All Skus'!$A:$AC,3,FALSE))</f>
        <v>Ceiling Speaker</v>
      </c>
      <c r="C21" s="45" t="str">
        <f>(VLOOKUP(Table7[[#This Row],[SKU]],'All Skus'!$A:$AC,4,FALSE))</f>
        <v>LCT 81C/T</v>
      </c>
      <c r="D21" s="60" t="str">
        <f>(VLOOKUP(Table7[[#This Row],[SKU]],'All Skus'!$A:$AC,5,FALSE))</f>
        <v>JBL017</v>
      </c>
      <c r="E21" s="52">
        <f>(VLOOKUP(Table7[[#This Row],[SKU]],'All Skus'!$A:$AC,6,FALSE))</f>
        <v>0</v>
      </c>
      <c r="F21" s="52">
        <f>(VLOOKUP(Table7[[#This Row],[SKU]],'All Skus'!$A:$AC,7,FALSE))</f>
        <v>0</v>
      </c>
      <c r="G21" s="52" t="str">
        <f>(VLOOKUP(Table7[[#This Row],[SKU]],'All Skus'!$A:$AC,8,FALSE))</f>
        <v>Low-Profile Lay-In 2' x 2' Ceiling Tile Speaker w 8" driver</v>
      </c>
      <c r="H21" s="53" t="str">
        <f>(VLOOKUP(Table7[[#This Row],[SKU]],'All Skus'!$A:$AC,9,FALSE))</f>
        <v xml:space="preserve">Lay-in Ceiling Tile Speaker, 8" driver, for US-size suspended grid ceilings (NOT for 600 x 600 mm metric grids), combined 70V/100V and low impedance direct operation, 20W at 8Ω, 10W multi-tap transformer with taps at 10W, 5W, 2.5W (and 1.3W for 70V only) via rotary tap-selector switch, max SPL of 108 (peaks of 114 dB) a 1m (low-Z), very low-profile at 103 mm (4.1") deep, bare-wire connection in protected compartment, very high 96 dB sensitivity, 100° conical coverage pattern, designed for high intelligibility, UL1480 and UL2043, white full-face grille.   priced as each sold in pairs
</v>
      </c>
      <c r="I21" s="89">
        <f>(VLOOKUP(Table7[[#This Row],[SKU]],'All Skus'!$A:$AC,10,FALSE))</f>
        <v>166.77</v>
      </c>
      <c r="J21" s="89">
        <f>(VLOOKUP(Table7[[#This Row],[SKU]],'All Skus'!$A:$AC,11,FALSE))</f>
        <v>133</v>
      </c>
      <c r="K21" s="108">
        <f>(VLOOKUP(Table7[[#This Row],[SKU]],'All Skus'!$A:$AC,13,FALSE))</f>
        <v>0</v>
      </c>
      <c r="L21" s="108">
        <f>(VLOOKUP(Table7[[#This Row],[SKU]],'All Skus'!$A:$AC,14,FALSE))</f>
        <v>0</v>
      </c>
      <c r="M21" s="60">
        <f>(VLOOKUP(Table7[[#This Row],[SKU]],'All Skus'!$A:$AC,15,FALSE))</f>
        <v>2</v>
      </c>
      <c r="N21" s="47">
        <f>(VLOOKUP(Table7[[#This Row],[SKU]],'All Skus'!$A:$AC,16,FALSE))</f>
        <v>691991007446</v>
      </c>
      <c r="O21" s="52">
        <f>(VLOOKUP(Table7[[#This Row],[SKU]],'All Skus'!$A:$AC,17,FALSE))</f>
        <v>0</v>
      </c>
      <c r="P21" s="64">
        <f>(VLOOKUP(Table7[[#This Row],[SKU]],'All Skus'!$A:$AC,18,FALSE))</f>
        <v>35</v>
      </c>
      <c r="Q21" s="64">
        <f>(VLOOKUP(Table7[[#This Row],[SKU]],'All Skus'!$A:$AC,19,FALSE))</f>
        <v>27.5</v>
      </c>
      <c r="R21" s="64">
        <f>(VLOOKUP(Table7[[#This Row],[SKU]],'All Skus'!$A:$AC,20,FALSE))</f>
        <v>12</v>
      </c>
      <c r="S21" s="64">
        <f>(VLOOKUP(Table7[[#This Row],[SKU]],'All Skus'!$A:$AC,21,FALSE))</f>
        <v>27</v>
      </c>
      <c r="T21" s="185" t="str">
        <f>(VLOOKUP(Table7[[#This Row],[SKU]],'All Skus'!$A:$AC,22,FALSE))</f>
        <v>CN</v>
      </c>
      <c r="U21" s="212" t="str">
        <f>HYPERLINK(((VLOOKUP(Table7[[#This Row],[SKU]],'All Skus'!$A:$AC,24,FALSE))))</f>
        <v/>
      </c>
      <c r="V21" s="151">
        <v>19</v>
      </c>
    </row>
    <row r="22" spans="1:22" ht="15" customHeight="1">
      <c r="A22" s="48" t="s">
        <v>1136</v>
      </c>
      <c r="B22" s="45">
        <f>(VLOOKUP(Table7[[#This Row],[SKU]],'All Skus'!$A:$AC,3,FALSE))</f>
        <v>0</v>
      </c>
      <c r="C22" s="45">
        <f>(VLOOKUP(Table7[[#This Row],[SKU]],'All Skus'!$A:$AC,4,FALSE))</f>
        <v>0</v>
      </c>
      <c r="D22" s="60">
        <f>(VLOOKUP(Table7[[#This Row],[SKU]],'All Skus'!$A:$AC,5,FALSE))</f>
        <v>0</v>
      </c>
      <c r="E22" s="52">
        <f>(VLOOKUP(Table7[[#This Row],[SKU]],'All Skus'!$A:$AC,6,FALSE))</f>
        <v>0</v>
      </c>
      <c r="F22" s="52">
        <f>(VLOOKUP(Table7[[#This Row],[SKU]],'All Skus'!$A:$AC,7,FALSE))</f>
        <v>0</v>
      </c>
      <c r="G22" s="52">
        <f>(VLOOKUP(Table7[[#This Row],[SKU]],'All Skus'!$A:$AC,8,FALSE))</f>
        <v>0</v>
      </c>
      <c r="H22" s="53">
        <f>(VLOOKUP(Table7[[#This Row],[SKU]],'All Skus'!$A:$AC,9,FALSE))</f>
        <v>0</v>
      </c>
      <c r="I22" s="89">
        <f>(VLOOKUP(Table7[[#This Row],[SKU]],'All Skus'!$A:$AC,10,FALSE))</f>
        <v>0</v>
      </c>
      <c r="J22" s="89">
        <f>(VLOOKUP(Table7[[#This Row],[SKU]],'All Skus'!$A:$AC,11,FALSE))</f>
        <v>0</v>
      </c>
      <c r="K22" s="108">
        <f>(VLOOKUP(Table7[[#This Row],[SKU]],'All Skus'!$A:$AC,13,FALSE))</f>
        <v>0</v>
      </c>
      <c r="L22" s="108">
        <f>(VLOOKUP(Table7[[#This Row],[SKU]],'All Skus'!$A:$AC,14,FALSE))</f>
        <v>0</v>
      </c>
      <c r="M22" s="60">
        <f>(VLOOKUP(Table7[[#This Row],[SKU]],'All Skus'!$A:$AC,15,FALSE))</f>
        <v>0</v>
      </c>
      <c r="N22" s="47">
        <f>(VLOOKUP(Table7[[#This Row],[SKU]],'All Skus'!$A:$AC,16,FALSE))</f>
        <v>0</v>
      </c>
      <c r="O22" s="52">
        <f>(VLOOKUP(Table7[[#This Row],[SKU]],'All Skus'!$A:$AC,17,FALSE))</f>
        <v>0</v>
      </c>
      <c r="P22" s="64">
        <f>(VLOOKUP(Table7[[#This Row],[SKU]],'All Skus'!$A:$AC,18,FALSE))</f>
        <v>0</v>
      </c>
      <c r="Q22" s="64">
        <f>(VLOOKUP(Table7[[#This Row],[SKU]],'All Skus'!$A:$AC,19,FALSE))</f>
        <v>0</v>
      </c>
      <c r="R22" s="64">
        <f>(VLOOKUP(Table7[[#This Row],[SKU]],'All Skus'!$A:$AC,20,FALSE))</f>
        <v>0</v>
      </c>
      <c r="S22" s="64">
        <f>(VLOOKUP(Table7[[#This Row],[SKU]],'All Skus'!$A:$AC,21,FALSE))</f>
        <v>0</v>
      </c>
      <c r="T22" s="185" t="str">
        <f>(VLOOKUP(Table7[[#This Row],[SKU]],'All Skus'!$A:$AC,22,FALSE))</f>
        <v>CN</v>
      </c>
      <c r="U22" s="212" t="str">
        <f>HYPERLINK(((VLOOKUP(Table7[[#This Row],[SKU]],'All Skus'!$A:$AC,24,FALSE))))</f>
        <v/>
      </c>
      <c r="V22" s="151">
        <v>20</v>
      </c>
    </row>
    <row r="23" spans="1:22" ht="15" customHeight="1">
      <c r="A23" s="52" t="s">
        <v>1137</v>
      </c>
      <c r="B23" s="45" t="str">
        <f>(VLOOKUP(Table7[[#This Row],[SKU]],'All Skus'!$A:$AC,3,FALSE))</f>
        <v>Surface-Mount Speaker</v>
      </c>
      <c r="C23" s="45" t="str">
        <f>(VLOOKUP(Table7[[#This Row],[SKU]],'All Skus'!$A:$AC,4,FALSE))</f>
        <v>CSS-1S/T</v>
      </c>
      <c r="D23" s="60" t="str">
        <f>(VLOOKUP(Table7[[#This Row],[SKU]],'All Skus'!$A:$AC,5,FALSE))</f>
        <v>JBL017</v>
      </c>
      <c r="E23" s="52">
        <f>(VLOOKUP(Table7[[#This Row],[SKU]],'All Skus'!$A:$AC,6,FALSE))</f>
        <v>0</v>
      </c>
      <c r="F23" s="52">
        <f>(VLOOKUP(Table7[[#This Row],[SKU]],'All Skus'!$A:$AC,7,FALSE))</f>
        <v>0</v>
      </c>
      <c r="G23" s="52" t="str">
        <f>(VLOOKUP(Table7[[#This Row],[SKU]],'All Skus'!$A:$AC,8,FALSE))</f>
        <v>2-way Surface-Mount Speaker with 8-ohm..</v>
      </c>
      <c r="H23" s="53" t="str">
        <f>(VLOOKUP(Table7[[#This Row],[SKU]],'All Skus'!$A:$AC,9,FALSE))</f>
        <v xml:space="preserve">Compact 2-Way 100V/70V/8Ω Surface-Mount Loudspeaker. 5¼” LF and ¾” HF, 85 Hz – 18 kHz, 10 Watt Multi-Tap Transformer for 100V
or 70V Distributed Speaker Lines (10W and 5W taps, plus 2.5W at 70V
only), or 60W at 8Ω, ball-type wall-mount included. (priced as each; sold in pairs).
5¼” LF and ¾” HF, 85 Hz – 18 kHz, 10 Watt Multi-Tap Transformer for 100V
or 70V Distributed Speaker Lines (10W and 5W taps, plus 2.5W at 70V
only), or 60W at 8Ω, ball-type wall-mount included. (priced as each; sold inCompact 2-Way </v>
      </c>
      <c r="I23" s="89">
        <f>(VLOOKUP(Table7[[#This Row],[SKU]],'All Skus'!$A:$AC,10,FALSE))</f>
        <v>165.12</v>
      </c>
      <c r="J23" s="89">
        <f>(VLOOKUP(Table7[[#This Row],[SKU]],'All Skus'!$A:$AC,11,FALSE))</f>
        <v>129</v>
      </c>
      <c r="K23" s="108">
        <f>(VLOOKUP(Table7[[#This Row],[SKU]],'All Skus'!$A:$AC,13,FALSE))</f>
        <v>0</v>
      </c>
      <c r="L23" s="108">
        <f>(VLOOKUP(Table7[[#This Row],[SKU]],'All Skus'!$A:$AC,14,FALSE))</f>
        <v>0</v>
      </c>
      <c r="M23" s="60">
        <f>(VLOOKUP(Table7[[#This Row],[SKU]],'All Skus'!$A:$AC,15,FALSE))</f>
        <v>2</v>
      </c>
      <c r="N23" s="47">
        <f>(VLOOKUP(Table7[[#This Row],[SKU]],'All Skus'!$A:$AC,16,FALSE))</f>
        <v>50036904698</v>
      </c>
      <c r="O23" s="52">
        <f>(VLOOKUP(Table7[[#This Row],[SKU]],'All Skus'!$A:$AC,17,FALSE))</f>
        <v>0</v>
      </c>
      <c r="P23" s="64">
        <f>(VLOOKUP(Table7[[#This Row],[SKU]],'All Skus'!$A:$AC,18,FALSE))</f>
        <v>6.1</v>
      </c>
      <c r="Q23" s="64">
        <f>(VLOOKUP(Table7[[#This Row],[SKU]],'All Skus'!$A:$AC,19,FALSE))</f>
        <v>28</v>
      </c>
      <c r="R23" s="64">
        <f>(VLOOKUP(Table7[[#This Row],[SKU]],'All Skus'!$A:$AC,20,FALSE))</f>
        <v>15</v>
      </c>
      <c r="S23" s="64">
        <f>(VLOOKUP(Table7[[#This Row],[SKU]],'All Skus'!$A:$AC,21,FALSE))</f>
        <v>15</v>
      </c>
      <c r="T23" s="185" t="str">
        <f>(VLOOKUP(Table7[[#This Row],[SKU]],'All Skus'!$A:$AC,22,FALSE))</f>
        <v>CN</v>
      </c>
      <c r="U23" s="212" t="str">
        <f>HYPERLINK(((VLOOKUP(Table7[[#This Row],[SKU]],'All Skus'!$A:$AC,24,FALSE))))</f>
        <v xml:space="preserve">http://www.jblpro.com/www/products/installed-sound/commercial-series/css-1s-t </v>
      </c>
      <c r="V23" s="151">
        <v>21</v>
      </c>
    </row>
    <row r="24" spans="1:22" ht="15" customHeight="1">
      <c r="A24" s="48" t="s">
        <v>1138</v>
      </c>
      <c r="B24" s="45">
        <f>(VLOOKUP(Table7[[#This Row],[SKU]],'All Skus'!$A:$AC,3,FALSE))</f>
        <v>0</v>
      </c>
      <c r="C24" s="45">
        <f>(VLOOKUP(Table7[[#This Row],[SKU]],'All Skus'!$A:$AC,4,FALSE))</f>
        <v>0</v>
      </c>
      <c r="D24" s="60">
        <f>(VLOOKUP(Table7[[#This Row],[SKU]],'All Skus'!$A:$AC,5,FALSE))</f>
        <v>0</v>
      </c>
      <c r="E24" s="52">
        <f>(VLOOKUP(Table7[[#This Row],[SKU]],'All Skus'!$A:$AC,6,FALSE))</f>
        <v>0</v>
      </c>
      <c r="F24" s="52">
        <f>(VLOOKUP(Table7[[#This Row],[SKU]],'All Skus'!$A:$AC,7,FALSE))</f>
        <v>0</v>
      </c>
      <c r="G24" s="52">
        <f>(VLOOKUP(Table7[[#This Row],[SKU]],'All Skus'!$A:$AC,8,FALSE))</f>
        <v>0</v>
      </c>
      <c r="H24" s="53">
        <f>(VLOOKUP(Table7[[#This Row],[SKU]],'All Skus'!$A:$AC,9,FALSE))</f>
        <v>0</v>
      </c>
      <c r="I24" s="89">
        <f>(VLOOKUP(Table7[[#This Row],[SKU]],'All Skus'!$A:$AC,10,FALSE))</f>
        <v>0</v>
      </c>
      <c r="J24" s="89">
        <f>(VLOOKUP(Table7[[#This Row],[SKU]],'All Skus'!$A:$AC,11,FALSE))</f>
        <v>0</v>
      </c>
      <c r="K24" s="108">
        <f>(VLOOKUP(Table7[[#This Row],[SKU]],'All Skus'!$A:$AC,13,FALSE))</f>
        <v>0</v>
      </c>
      <c r="L24" s="108">
        <f>(VLOOKUP(Table7[[#This Row],[SKU]],'All Skus'!$A:$AC,14,FALSE))</f>
        <v>0</v>
      </c>
      <c r="M24" s="60">
        <f>(VLOOKUP(Table7[[#This Row],[SKU]],'All Skus'!$A:$AC,15,FALSE))</f>
        <v>0</v>
      </c>
      <c r="N24" s="47">
        <f>(VLOOKUP(Table7[[#This Row],[SKU]],'All Skus'!$A:$AC,16,FALSE))</f>
        <v>0</v>
      </c>
      <c r="O24" s="52">
        <f>(VLOOKUP(Table7[[#This Row],[SKU]],'All Skus'!$A:$AC,17,FALSE))</f>
        <v>0</v>
      </c>
      <c r="P24" s="64">
        <f>(VLOOKUP(Table7[[#This Row],[SKU]],'All Skus'!$A:$AC,18,FALSE))</f>
        <v>0</v>
      </c>
      <c r="Q24" s="64">
        <f>(VLOOKUP(Table7[[#This Row],[SKU]],'All Skus'!$A:$AC,19,FALSE))</f>
        <v>0</v>
      </c>
      <c r="R24" s="64">
        <f>(VLOOKUP(Table7[[#This Row],[SKU]],'All Skus'!$A:$AC,20,FALSE))</f>
        <v>0</v>
      </c>
      <c r="S24" s="64">
        <f>(VLOOKUP(Table7[[#This Row],[SKU]],'All Skus'!$A:$AC,21,FALSE))</f>
        <v>0</v>
      </c>
      <c r="T24" s="185" t="str">
        <f>(VLOOKUP(Table7[[#This Row],[SKU]],'All Skus'!$A:$AC,22,FALSE))</f>
        <v>CN</v>
      </c>
      <c r="U24" s="212" t="str">
        <f>HYPERLINK(((VLOOKUP(Table7[[#This Row],[SKU]],'All Skus'!$A:$AC,24,FALSE))))</f>
        <v/>
      </c>
      <c r="V24" s="151">
        <v>22</v>
      </c>
    </row>
    <row r="25" spans="1:22" ht="15" customHeight="1">
      <c r="A25" s="52" t="s">
        <v>1139</v>
      </c>
      <c r="B25" s="45" t="str">
        <f>(VLOOKUP(Table7[[#This Row],[SKU]],'All Skus'!$A:$AC,3,FALSE))</f>
        <v>Paging Horn Speaker</v>
      </c>
      <c r="C25" s="45" t="str">
        <f>(VLOOKUP(Table7[[#This Row],[SKU]],'All Skus'!$A:$AC,4,FALSE))</f>
        <v>CSS-H15</v>
      </c>
      <c r="D25" s="60" t="str">
        <f>(VLOOKUP(Table7[[#This Row],[SKU]],'All Skus'!$A:$AC,5,FALSE))</f>
        <v>JBL017</v>
      </c>
      <c r="E25" s="52">
        <f>(VLOOKUP(Table7[[#This Row],[SKU]],'All Skus'!$A:$AC,6,FALSE))</f>
        <v>0</v>
      </c>
      <c r="F25" s="52">
        <f>(VLOOKUP(Table7[[#This Row],[SKU]],'All Skus'!$A:$AC,7,FALSE))</f>
        <v>0</v>
      </c>
      <c r="G25" s="52" t="str">
        <f>(VLOOKUP(Table7[[#This Row],[SKU]],'All Skus'!$A:$AC,8,FALSE))</f>
        <v>15 Watt Paging Horn (6 in masterpack)</v>
      </c>
      <c r="H25" s="53" t="str">
        <f>(VLOOKUP(Table7[[#This Row],[SKU]],'All Skus'!$A:$AC,9,FALSE))</f>
        <v>15 Watt Paging Horn. (Priced as each, 6 in masterpack)</v>
      </c>
      <c r="I25" s="89">
        <f>(VLOOKUP(Table7[[#This Row],[SKU]],'All Skus'!$A:$AC,10,FALSE))</f>
        <v>121.87</v>
      </c>
      <c r="J25" s="89">
        <f>(VLOOKUP(Table7[[#This Row],[SKU]],'All Skus'!$A:$AC,11,FALSE))</f>
        <v>98</v>
      </c>
      <c r="K25" s="108">
        <f>(VLOOKUP(Table7[[#This Row],[SKU]],'All Skus'!$A:$AC,13,FALSE))</f>
        <v>0</v>
      </c>
      <c r="L25" s="108">
        <f>(VLOOKUP(Table7[[#This Row],[SKU]],'All Skus'!$A:$AC,14,FALSE))</f>
        <v>0</v>
      </c>
      <c r="M25" s="60">
        <f>(VLOOKUP(Table7[[#This Row],[SKU]],'All Skus'!$A:$AC,15,FALSE))</f>
        <v>0</v>
      </c>
      <c r="N25" s="47">
        <f>(VLOOKUP(Table7[[#This Row],[SKU]],'All Skus'!$A:$AC,16,FALSE))</f>
        <v>50036904704</v>
      </c>
      <c r="O25" s="52">
        <f>(VLOOKUP(Table7[[#This Row],[SKU]],'All Skus'!$A:$AC,17,FALSE))</f>
        <v>0</v>
      </c>
      <c r="P25" s="64">
        <f>(VLOOKUP(Table7[[#This Row],[SKU]],'All Skus'!$A:$AC,18,FALSE))</f>
        <v>3.5</v>
      </c>
      <c r="Q25" s="64">
        <f>(VLOOKUP(Table7[[#This Row],[SKU]],'All Skus'!$A:$AC,19,FALSE))</f>
        <v>10</v>
      </c>
      <c r="R25" s="64">
        <f>(VLOOKUP(Table7[[#This Row],[SKU]],'All Skus'!$A:$AC,20,FALSE))</f>
        <v>7.5</v>
      </c>
      <c r="S25" s="64">
        <f>(VLOOKUP(Table7[[#This Row],[SKU]],'All Skus'!$A:$AC,21,FALSE))</f>
        <v>9.25</v>
      </c>
      <c r="T25" s="185" t="str">
        <f>(VLOOKUP(Table7[[#This Row],[SKU]],'All Skus'!$A:$AC,22,FALSE))</f>
        <v>CN</v>
      </c>
      <c r="U25" s="212" t="str">
        <f>HYPERLINK(((VLOOKUP(Table7[[#This Row],[SKU]],'All Skus'!$A:$AC,24,FALSE))))</f>
        <v xml:space="preserve">http://www.jblpro.com/www/products/installed-sound/commercial-series/css-h15 </v>
      </c>
      <c r="V25" s="151">
        <v>23</v>
      </c>
    </row>
    <row r="26" spans="1:22">
      <c r="A26" s="52" t="s">
        <v>1140</v>
      </c>
      <c r="B26" s="45" t="str">
        <f>(VLOOKUP(Table7[[#This Row],[SKU]],'All Skus'!$A:$AC,3,FALSE))</f>
        <v>Paging Horn Speaker</v>
      </c>
      <c r="C26" s="45" t="str">
        <f>(VLOOKUP(Table7[[#This Row],[SKU]],'All Skus'!$A:$AC,4,FALSE))</f>
        <v>CSS-H30</v>
      </c>
      <c r="D26" s="60" t="str">
        <f>(VLOOKUP(Table7[[#This Row],[SKU]],'All Skus'!$A:$AC,5,FALSE))</f>
        <v>JBL017</v>
      </c>
      <c r="E26" s="52">
        <f>(VLOOKUP(Table7[[#This Row],[SKU]],'All Skus'!$A:$AC,6,FALSE))</f>
        <v>0</v>
      </c>
      <c r="F26" s="52">
        <f>(VLOOKUP(Table7[[#This Row],[SKU]],'All Skus'!$A:$AC,7,FALSE))</f>
        <v>0</v>
      </c>
      <c r="G26" s="52" t="str">
        <f>(VLOOKUP(Table7[[#This Row],[SKU]],'All Skus'!$A:$AC,8,FALSE))</f>
        <v>30 Watt Paging Horn (4 in masterpack)</v>
      </c>
      <c r="H26" s="53" t="str">
        <f>(VLOOKUP(Table7[[#This Row],[SKU]],'All Skus'!$A:$AC,9,FALSE))</f>
        <v>30 Watt Paging Horn (Priced as each, 4 in masterpack)</v>
      </c>
      <c r="I26" s="89">
        <f>(VLOOKUP(Table7[[#This Row],[SKU]],'All Skus'!$A:$AC,10,FALSE))</f>
        <v>166.77</v>
      </c>
      <c r="J26" s="89">
        <f>(VLOOKUP(Table7[[#This Row],[SKU]],'All Skus'!$A:$AC,11,FALSE))</f>
        <v>133</v>
      </c>
      <c r="K26" s="108">
        <f>(VLOOKUP(Table7[[#This Row],[SKU]],'All Skus'!$A:$AC,13,FALSE))</f>
        <v>0</v>
      </c>
      <c r="L26" s="108">
        <f>(VLOOKUP(Table7[[#This Row],[SKU]],'All Skus'!$A:$AC,14,FALSE))</f>
        <v>0</v>
      </c>
      <c r="M26" s="60">
        <f>(VLOOKUP(Table7[[#This Row],[SKU]],'All Skus'!$A:$AC,15,FALSE))</f>
        <v>0</v>
      </c>
      <c r="N26" s="47">
        <f>(VLOOKUP(Table7[[#This Row],[SKU]],'All Skus'!$A:$AC,16,FALSE))</f>
        <v>50036904711</v>
      </c>
      <c r="O26" s="52">
        <f>(VLOOKUP(Table7[[#This Row],[SKU]],'All Skus'!$A:$AC,17,FALSE))</f>
        <v>0</v>
      </c>
      <c r="P26" s="64">
        <f>(VLOOKUP(Table7[[#This Row],[SKU]],'All Skus'!$A:$AC,18,FALSE))</f>
        <v>6</v>
      </c>
      <c r="Q26" s="64">
        <f>(VLOOKUP(Table7[[#This Row],[SKU]],'All Skus'!$A:$AC,19,FALSE))</f>
        <v>13</v>
      </c>
      <c r="R26" s="64">
        <f>(VLOOKUP(Table7[[#This Row],[SKU]],'All Skus'!$A:$AC,20,FALSE))</f>
        <v>10.5</v>
      </c>
      <c r="S26" s="64">
        <f>(VLOOKUP(Table7[[#This Row],[SKU]],'All Skus'!$A:$AC,21,FALSE))</f>
        <v>12</v>
      </c>
      <c r="T26" s="185" t="str">
        <f>(VLOOKUP(Table7[[#This Row],[SKU]],'All Skus'!$A:$AC,22,FALSE))</f>
        <v>CN</v>
      </c>
      <c r="U26" s="212" t="str">
        <f>HYPERLINK(((VLOOKUP(Table7[[#This Row],[SKU]],'All Skus'!$A:$AC,24,FALSE))))</f>
        <v xml:space="preserve">http://www.jblpro.com/www/products/installed-sound/commercial-series/css-h30 </v>
      </c>
      <c r="V26" s="151">
        <v>24</v>
      </c>
    </row>
    <row r="27" spans="1:22">
      <c r="I27" s="89"/>
      <c r="J27" s="89"/>
    </row>
    <row r="28" spans="1:22">
      <c r="I28" s="89"/>
      <c r="J28" s="89"/>
    </row>
    <row r="29" spans="1:22">
      <c r="I29" s="89"/>
      <c r="J29" s="89"/>
    </row>
    <row r="30" spans="1:22">
      <c r="I30" s="89"/>
      <c r="J30" s="89"/>
    </row>
    <row r="31" spans="1:22">
      <c r="I31" s="89"/>
      <c r="J31" s="89"/>
    </row>
    <row r="32" spans="1:22">
      <c r="I32" s="89"/>
      <c r="J32" s="89"/>
    </row>
    <row r="33" spans="9:10">
      <c r="I33" s="89"/>
      <c r="J33" s="89"/>
    </row>
    <row r="34" spans="9:10">
      <c r="I34" s="89"/>
      <c r="J34" s="89"/>
    </row>
    <row r="35" spans="9:10">
      <c r="I35" s="89"/>
      <c r="J35" s="89"/>
    </row>
    <row r="36" spans="9:10">
      <c r="I36" s="89"/>
      <c r="J36" s="89"/>
    </row>
    <row r="37" spans="9:10">
      <c r="I37" s="89"/>
      <c r="J37" s="89"/>
    </row>
    <row r="38" spans="9:10">
      <c r="I38" s="89"/>
      <c r="J38" s="89"/>
    </row>
    <row r="39" spans="9:10">
      <c r="I39" s="89"/>
      <c r="J39" s="89"/>
    </row>
    <row r="40" spans="9:10">
      <c r="I40" s="89"/>
      <c r="J40" s="89"/>
    </row>
    <row r="41" spans="9:10">
      <c r="I41" s="89"/>
      <c r="J41" s="89"/>
    </row>
    <row r="42" spans="9:10">
      <c r="I42" s="89"/>
      <c r="J42" s="89"/>
    </row>
    <row r="43" spans="9:10">
      <c r="I43" s="89"/>
      <c r="J43" s="89"/>
    </row>
    <row r="44" spans="9:10">
      <c r="I44" s="89"/>
      <c r="J44" s="89"/>
    </row>
    <row r="45" spans="9:10">
      <c r="I45" s="89"/>
      <c r="J45" s="89"/>
    </row>
    <row r="46" spans="9:10">
      <c r="I46" s="89"/>
      <c r="J46" s="89"/>
    </row>
    <row r="47" spans="9:10">
      <c r="I47" s="89"/>
      <c r="J47" s="89"/>
    </row>
    <row r="48" spans="9:10">
      <c r="I48" s="89"/>
      <c r="J48" s="89"/>
    </row>
    <row r="49" spans="9:10">
      <c r="I49" s="89"/>
      <c r="J49" s="89"/>
    </row>
    <row r="50" spans="9:10">
      <c r="I50" s="89"/>
      <c r="J50" s="89"/>
    </row>
    <row r="51" spans="9:10">
      <c r="I51" s="89"/>
      <c r="J51" s="89"/>
    </row>
    <row r="52" spans="9:10">
      <c r="I52" s="89"/>
      <c r="J52" s="89"/>
    </row>
    <row r="53" spans="9:10">
      <c r="I53" s="89"/>
      <c r="J53" s="89"/>
    </row>
    <row r="54" spans="9:10">
      <c r="I54" s="89"/>
      <c r="J54" s="89"/>
    </row>
    <row r="55" spans="9:10">
      <c r="I55" s="89"/>
      <c r="J55" s="89"/>
    </row>
    <row r="56" spans="9:10">
      <c r="I56" s="89"/>
      <c r="J56" s="89"/>
    </row>
    <row r="57" spans="9:10">
      <c r="I57" s="89"/>
      <c r="J57" s="89"/>
    </row>
    <row r="58" spans="9:10">
      <c r="I58" s="89"/>
      <c r="J58" s="89"/>
    </row>
    <row r="59" spans="9:10">
      <c r="I59" s="89"/>
      <c r="J59" s="89"/>
    </row>
    <row r="60" spans="9:10">
      <c r="I60" s="89"/>
      <c r="J60" s="89"/>
    </row>
    <row r="61" spans="9:10">
      <c r="I61" s="89"/>
      <c r="J61" s="89"/>
    </row>
    <row r="62" spans="9:10">
      <c r="I62" s="89"/>
      <c r="J62" s="89"/>
    </row>
    <row r="63" spans="9:10">
      <c r="I63" s="89"/>
      <c r="J63" s="89"/>
    </row>
    <row r="64" spans="9:10">
      <c r="I64" s="89"/>
      <c r="J64" s="89"/>
    </row>
    <row r="65" spans="9:10">
      <c r="I65" s="89"/>
      <c r="J65" s="89"/>
    </row>
    <row r="66" spans="9:10">
      <c r="I66" s="89"/>
      <c r="J66" s="89"/>
    </row>
    <row r="67" spans="9:10">
      <c r="I67" s="89"/>
      <c r="J67" s="89"/>
    </row>
    <row r="68" spans="9:10">
      <c r="I68" s="89"/>
      <c r="J68" s="89"/>
    </row>
    <row r="69" spans="9:10">
      <c r="I69" s="89"/>
      <c r="J69" s="89"/>
    </row>
    <row r="70" spans="9:10">
      <c r="I70" s="89"/>
      <c r="J70" s="89"/>
    </row>
    <row r="71" spans="9:10">
      <c r="I71" s="89"/>
      <c r="J71" s="89"/>
    </row>
    <row r="72" spans="9:10">
      <c r="I72" s="89"/>
      <c r="J72" s="89"/>
    </row>
    <row r="73" spans="9:10">
      <c r="I73" s="89"/>
      <c r="J73" s="89"/>
    </row>
    <row r="74" spans="9:10">
      <c r="I74" s="89"/>
      <c r="J74" s="89"/>
    </row>
    <row r="75" spans="9:10">
      <c r="I75" s="89"/>
      <c r="J75" s="89"/>
    </row>
    <row r="76" spans="9:10">
      <c r="I76" s="89"/>
      <c r="J76" s="89"/>
    </row>
    <row r="77" spans="9:10">
      <c r="I77" s="89"/>
      <c r="J77" s="89"/>
    </row>
    <row r="78" spans="9:10">
      <c r="I78" s="89"/>
      <c r="J78" s="89"/>
    </row>
    <row r="79" spans="9:10">
      <c r="I79" s="89"/>
      <c r="J79" s="89"/>
    </row>
    <row r="80" spans="9:10">
      <c r="I80" s="89"/>
      <c r="J80" s="89"/>
    </row>
    <row r="81" spans="9:10">
      <c r="I81" s="89"/>
      <c r="J81" s="89"/>
    </row>
    <row r="82" spans="9:10">
      <c r="I82" s="89"/>
      <c r="J82" s="89"/>
    </row>
    <row r="83" spans="9:10">
      <c r="I83" s="89"/>
      <c r="J83" s="89"/>
    </row>
    <row r="84" spans="9:10">
      <c r="I84" s="89"/>
      <c r="J84" s="89"/>
    </row>
    <row r="85" spans="9:10">
      <c r="I85" s="89"/>
      <c r="J85" s="89"/>
    </row>
    <row r="86" spans="9:10">
      <c r="I86" s="89"/>
      <c r="J86" s="89"/>
    </row>
    <row r="87" spans="9:10">
      <c r="I87" s="89"/>
      <c r="J87" s="89"/>
    </row>
    <row r="88" spans="9:10">
      <c r="I88" s="89"/>
      <c r="J88" s="89"/>
    </row>
    <row r="89" spans="9:10">
      <c r="I89" s="89"/>
      <c r="J89" s="89"/>
    </row>
    <row r="90" spans="9:10">
      <c r="I90" s="89"/>
      <c r="J90" s="89"/>
    </row>
    <row r="91" spans="9:10">
      <c r="I91" s="89"/>
      <c r="J91" s="89"/>
    </row>
    <row r="92" spans="9:10">
      <c r="I92" s="89"/>
      <c r="J92" s="89"/>
    </row>
    <row r="93" spans="9:10">
      <c r="I93" s="89"/>
      <c r="J93" s="89"/>
    </row>
    <row r="94" spans="9:10">
      <c r="I94" s="89"/>
      <c r="J94" s="89"/>
    </row>
    <row r="95" spans="9:10">
      <c r="I95" s="89"/>
      <c r="J95" s="89"/>
    </row>
    <row r="96" spans="9:10">
      <c r="I96" s="89"/>
      <c r="J96" s="89"/>
    </row>
    <row r="97" spans="9:10">
      <c r="I97" s="89"/>
      <c r="J97" s="89"/>
    </row>
    <row r="98" spans="9:10">
      <c r="I98" s="89"/>
      <c r="J98" s="89"/>
    </row>
    <row r="99" spans="9:10">
      <c r="I99" s="89"/>
      <c r="J99" s="89"/>
    </row>
    <row r="100" spans="9:10">
      <c r="I100" s="89"/>
      <c r="J100" s="89"/>
    </row>
    <row r="101" spans="9:10">
      <c r="I101" s="89"/>
      <c r="J101" s="89"/>
    </row>
    <row r="102" spans="9:10">
      <c r="I102" s="89"/>
      <c r="J102" s="89"/>
    </row>
    <row r="103" spans="9:10">
      <c r="I103" s="89"/>
      <c r="J103" s="89"/>
    </row>
    <row r="104" spans="9:10">
      <c r="I104" s="89"/>
      <c r="J104" s="89"/>
    </row>
    <row r="105" spans="9:10">
      <c r="I105" s="89"/>
      <c r="J105" s="89"/>
    </row>
    <row r="106" spans="9:10">
      <c r="I106" s="89"/>
      <c r="J106" s="89"/>
    </row>
    <row r="107" spans="9:10">
      <c r="I107" s="89"/>
      <c r="J107" s="89"/>
    </row>
    <row r="108" spans="9:10">
      <c r="I108" s="89"/>
      <c r="J108" s="89"/>
    </row>
    <row r="109" spans="9:10">
      <c r="I109" s="89"/>
      <c r="J109" s="89"/>
    </row>
    <row r="110" spans="9:10">
      <c r="I110" s="89"/>
      <c r="J110" s="89"/>
    </row>
    <row r="111" spans="9:10">
      <c r="I111" s="89"/>
      <c r="J111" s="89"/>
    </row>
    <row r="112" spans="9:10">
      <c r="I112" s="89"/>
      <c r="J112" s="89"/>
    </row>
    <row r="113" spans="9:10">
      <c r="I113" s="89"/>
      <c r="J113" s="89"/>
    </row>
    <row r="114" spans="9:10">
      <c r="I114" s="89"/>
      <c r="J114" s="89"/>
    </row>
    <row r="115" spans="9:10">
      <c r="I115" s="89"/>
      <c r="J115" s="89"/>
    </row>
    <row r="116" spans="9:10">
      <c r="I116" s="89"/>
      <c r="J116" s="89"/>
    </row>
    <row r="117" spans="9:10">
      <c r="I117" s="89"/>
      <c r="J117" s="89"/>
    </row>
    <row r="118" spans="9:10">
      <c r="I118" s="89"/>
      <c r="J118" s="89"/>
    </row>
    <row r="119" spans="9:10">
      <c r="I119" s="89"/>
      <c r="J119" s="89"/>
    </row>
    <row r="120" spans="9:10">
      <c r="I120" s="89"/>
      <c r="J120" s="89"/>
    </row>
    <row r="121" spans="9:10">
      <c r="I121" s="89"/>
      <c r="J121" s="89"/>
    </row>
    <row r="122" spans="9:10">
      <c r="I122" s="89"/>
      <c r="J122" s="89"/>
    </row>
    <row r="123" spans="9:10">
      <c r="I123" s="89"/>
      <c r="J123" s="89"/>
    </row>
    <row r="124" spans="9:10">
      <c r="I124" s="89"/>
      <c r="J124" s="89"/>
    </row>
    <row r="125" spans="9:10">
      <c r="I125" s="89"/>
      <c r="J125" s="89"/>
    </row>
    <row r="126" spans="9:10">
      <c r="I126" s="89"/>
      <c r="J126" s="89"/>
    </row>
    <row r="127" spans="9:10">
      <c r="I127" s="89"/>
      <c r="J127" s="89"/>
    </row>
    <row r="128" spans="9:10">
      <c r="I128" s="89"/>
      <c r="J128" s="89"/>
    </row>
    <row r="129" spans="9:10">
      <c r="I129" s="89"/>
      <c r="J129" s="89"/>
    </row>
    <row r="130" spans="9:10">
      <c r="I130" s="89"/>
      <c r="J130" s="89"/>
    </row>
    <row r="131" spans="9:10">
      <c r="I131" s="89"/>
      <c r="J131" s="89"/>
    </row>
    <row r="132" spans="9:10">
      <c r="I132" s="89"/>
      <c r="J132" s="89"/>
    </row>
    <row r="133" spans="9:10">
      <c r="I133" s="89"/>
      <c r="J133" s="89"/>
    </row>
    <row r="134" spans="9:10">
      <c r="I134" s="89"/>
      <c r="J134" s="89"/>
    </row>
    <row r="135" spans="9:10">
      <c r="I135" s="89"/>
      <c r="J135" s="89"/>
    </row>
    <row r="136" spans="9:10">
      <c r="I136" s="89"/>
      <c r="J136" s="89"/>
    </row>
    <row r="137" spans="9:10">
      <c r="I137" s="89"/>
      <c r="J137" s="89"/>
    </row>
    <row r="138" spans="9:10">
      <c r="I138" s="89"/>
      <c r="J138" s="89"/>
    </row>
    <row r="139" spans="9:10">
      <c r="I139" s="89"/>
      <c r="J139" s="89"/>
    </row>
    <row r="140" spans="9:10">
      <c r="I140" s="89"/>
      <c r="J140" s="89"/>
    </row>
    <row r="141" spans="9:10">
      <c r="I141" s="89"/>
      <c r="J141" s="89"/>
    </row>
    <row r="142" spans="9:10">
      <c r="I142" s="89"/>
      <c r="J142" s="89"/>
    </row>
    <row r="143" spans="9:10">
      <c r="I143" s="89"/>
      <c r="J143" s="89"/>
    </row>
    <row r="144" spans="9:10">
      <c r="I144" s="89"/>
      <c r="J144" s="89"/>
    </row>
    <row r="145" spans="9:10">
      <c r="I145" s="89"/>
      <c r="J145" s="89"/>
    </row>
    <row r="146" spans="9:10">
      <c r="I146" s="89"/>
      <c r="J146" s="89"/>
    </row>
    <row r="147" spans="9:10">
      <c r="I147" s="89"/>
      <c r="J147" s="89"/>
    </row>
    <row r="148" spans="9:10">
      <c r="I148" s="89"/>
      <c r="J148" s="89"/>
    </row>
    <row r="149" spans="9:10">
      <c r="I149" s="89"/>
      <c r="J149" s="89"/>
    </row>
    <row r="150" spans="9:10">
      <c r="I150" s="89"/>
      <c r="J150" s="89"/>
    </row>
    <row r="151" spans="9:10">
      <c r="I151" s="89"/>
      <c r="J151" s="89"/>
    </row>
    <row r="152" spans="9:10">
      <c r="I152" s="89"/>
      <c r="J152" s="89"/>
    </row>
    <row r="153" spans="9:10">
      <c r="I153" s="89"/>
      <c r="J153" s="89"/>
    </row>
    <row r="154" spans="9:10">
      <c r="I154" s="89"/>
      <c r="J154" s="89"/>
    </row>
    <row r="155" spans="9:10">
      <c r="I155" s="89"/>
      <c r="J155" s="89"/>
    </row>
    <row r="156" spans="9:10">
      <c r="I156" s="89"/>
      <c r="J156" s="89"/>
    </row>
    <row r="157" spans="9:10">
      <c r="I157" s="89"/>
      <c r="J157" s="89"/>
    </row>
    <row r="158" spans="9:10">
      <c r="I158" s="89"/>
      <c r="J158" s="89"/>
    </row>
    <row r="159" spans="9:10">
      <c r="I159" s="89"/>
      <c r="J159" s="89"/>
    </row>
    <row r="160" spans="9:10">
      <c r="I160" s="89"/>
      <c r="J160" s="89"/>
    </row>
    <row r="161" spans="9:10">
      <c r="I161" s="89"/>
      <c r="J161" s="89"/>
    </row>
    <row r="162" spans="9:10">
      <c r="I162" s="89"/>
      <c r="J162" s="89"/>
    </row>
    <row r="163" spans="9:10">
      <c r="I163" s="89"/>
      <c r="J163" s="89"/>
    </row>
    <row r="164" spans="9:10">
      <c r="I164" s="89"/>
      <c r="J164" s="89"/>
    </row>
    <row r="165" spans="9:10">
      <c r="I165" s="89"/>
      <c r="J165" s="89"/>
    </row>
    <row r="166" spans="9:10">
      <c r="I166" s="89"/>
      <c r="J166" s="89"/>
    </row>
    <row r="167" spans="9:10">
      <c r="I167" s="89"/>
      <c r="J167" s="89"/>
    </row>
    <row r="168" spans="9:10">
      <c r="I168" s="89"/>
      <c r="J168" s="89"/>
    </row>
    <row r="169" spans="9:10">
      <c r="I169" s="89"/>
      <c r="J169" s="89"/>
    </row>
    <row r="170" spans="9:10">
      <c r="I170" s="89"/>
      <c r="J170" s="89"/>
    </row>
    <row r="171" spans="9:10">
      <c r="I171" s="89"/>
      <c r="J171" s="89"/>
    </row>
    <row r="172" spans="9:10">
      <c r="I172" s="89"/>
      <c r="J172" s="89"/>
    </row>
    <row r="173" spans="9:10">
      <c r="I173" s="89"/>
      <c r="J173" s="89"/>
    </row>
    <row r="174" spans="9:10">
      <c r="I174" s="89"/>
      <c r="J174" s="89"/>
    </row>
    <row r="175" spans="9:10">
      <c r="I175" s="89"/>
      <c r="J175" s="89"/>
    </row>
    <row r="176" spans="9:10">
      <c r="I176" s="89"/>
      <c r="J176" s="89"/>
    </row>
    <row r="177" spans="9:10">
      <c r="I177" s="89"/>
      <c r="J177" s="89"/>
    </row>
    <row r="178" spans="9:10">
      <c r="I178" s="89"/>
      <c r="J178" s="89"/>
    </row>
    <row r="179" spans="9:10">
      <c r="I179" s="89"/>
      <c r="J179" s="89"/>
    </row>
    <row r="180" spans="9:10">
      <c r="I180" s="89"/>
      <c r="J180" s="89"/>
    </row>
    <row r="181" spans="9:10">
      <c r="I181" s="89"/>
      <c r="J181" s="89"/>
    </row>
    <row r="182" spans="9:10">
      <c r="I182" s="89"/>
      <c r="J182" s="89"/>
    </row>
    <row r="183" spans="9:10">
      <c r="I183" s="89"/>
      <c r="J183" s="89"/>
    </row>
    <row r="184" spans="9:10">
      <c r="I184" s="89"/>
      <c r="J184" s="89"/>
    </row>
    <row r="185" spans="9:10">
      <c r="I185" s="89"/>
      <c r="J185" s="89"/>
    </row>
    <row r="186" spans="9:10">
      <c r="I186" s="89"/>
      <c r="J186" s="89"/>
    </row>
    <row r="187" spans="9:10">
      <c r="I187" s="89"/>
      <c r="J187" s="89"/>
    </row>
    <row r="188" spans="9:10">
      <c r="I188" s="89"/>
      <c r="J188" s="89"/>
    </row>
    <row r="189" spans="9:10">
      <c r="I189" s="89"/>
      <c r="J189" s="89"/>
    </row>
    <row r="190" spans="9:10">
      <c r="I190" s="89"/>
      <c r="J190" s="89"/>
    </row>
    <row r="191" spans="9:10">
      <c r="I191" s="89"/>
      <c r="J191" s="89"/>
    </row>
    <row r="192" spans="9:10">
      <c r="I192" s="89"/>
      <c r="J192" s="89"/>
    </row>
    <row r="193" spans="9:10">
      <c r="I193" s="89"/>
      <c r="J193" s="89"/>
    </row>
    <row r="194" spans="9:10">
      <c r="I194" s="89"/>
      <c r="J194" s="89"/>
    </row>
    <row r="195" spans="9:10">
      <c r="I195" s="89"/>
      <c r="J195" s="89"/>
    </row>
    <row r="196" spans="9:10">
      <c r="I196" s="89"/>
      <c r="J196" s="89"/>
    </row>
    <row r="197" spans="9:10">
      <c r="I197" s="89"/>
      <c r="J197" s="89"/>
    </row>
    <row r="198" spans="9:10">
      <c r="I198" s="89"/>
      <c r="J198" s="89"/>
    </row>
    <row r="199" spans="9:10">
      <c r="I199" s="89"/>
      <c r="J199" s="89"/>
    </row>
    <row r="200" spans="9:10">
      <c r="I200" s="89"/>
      <c r="J200" s="89"/>
    </row>
    <row r="201" spans="9:10">
      <c r="I201" s="89"/>
      <c r="J201" s="89"/>
    </row>
    <row r="202" spans="9:10">
      <c r="I202" s="89"/>
      <c r="J202" s="89"/>
    </row>
    <row r="203" spans="9:10">
      <c r="I203" s="89"/>
      <c r="J203" s="89"/>
    </row>
    <row r="204" spans="9:10">
      <c r="I204" s="89"/>
      <c r="J204" s="89"/>
    </row>
    <row r="205" spans="9:10">
      <c r="I205" s="89"/>
      <c r="J205" s="89"/>
    </row>
    <row r="206" spans="9:10">
      <c r="I206" s="89"/>
      <c r="J206" s="89"/>
    </row>
    <row r="207" spans="9:10">
      <c r="I207" s="89"/>
      <c r="J207" s="89"/>
    </row>
    <row r="208" spans="9:10">
      <c r="I208" s="89"/>
      <c r="J208" s="89"/>
    </row>
    <row r="209" spans="9:10">
      <c r="I209" s="89"/>
      <c r="J209" s="89"/>
    </row>
    <row r="210" spans="9:10">
      <c r="I210" s="89"/>
      <c r="J210" s="89"/>
    </row>
    <row r="211" spans="9:10">
      <c r="I211" s="89"/>
      <c r="J211" s="89"/>
    </row>
    <row r="212" spans="9:10">
      <c r="I212" s="89"/>
      <c r="J212" s="89"/>
    </row>
    <row r="213" spans="9:10">
      <c r="I213" s="89"/>
      <c r="J213" s="89"/>
    </row>
    <row r="214" spans="9:10">
      <c r="I214" s="89"/>
      <c r="J214" s="89"/>
    </row>
    <row r="215" spans="9:10">
      <c r="I215" s="89"/>
      <c r="J215" s="89"/>
    </row>
    <row r="216" spans="9:10">
      <c r="I216" s="89"/>
      <c r="J216" s="89"/>
    </row>
    <row r="217" spans="9:10">
      <c r="I217" s="89"/>
      <c r="J217" s="89"/>
    </row>
    <row r="218" spans="9:10">
      <c r="I218" s="89"/>
      <c r="J218" s="89"/>
    </row>
    <row r="219" spans="9:10">
      <c r="I219" s="89"/>
      <c r="J219" s="89"/>
    </row>
    <row r="220" spans="9:10">
      <c r="I220" s="89"/>
      <c r="J220" s="89"/>
    </row>
    <row r="221" spans="9:10">
      <c r="I221" s="89"/>
      <c r="J221" s="89"/>
    </row>
    <row r="222" spans="9:10">
      <c r="I222" s="89"/>
      <c r="J222" s="89"/>
    </row>
    <row r="223" spans="9:10">
      <c r="I223" s="89"/>
      <c r="J223" s="89"/>
    </row>
    <row r="224" spans="9:10">
      <c r="I224" s="89"/>
      <c r="J224" s="89"/>
    </row>
    <row r="225" spans="9:10">
      <c r="I225" s="89"/>
      <c r="J225" s="89"/>
    </row>
    <row r="226" spans="9:10">
      <c r="I226" s="89"/>
      <c r="J226" s="89"/>
    </row>
    <row r="227" spans="9:10">
      <c r="I227" s="89"/>
      <c r="J227" s="89"/>
    </row>
    <row r="228" spans="9:10">
      <c r="I228" s="89"/>
      <c r="J228" s="89"/>
    </row>
    <row r="229" spans="9:10">
      <c r="I229" s="89"/>
      <c r="J229" s="89"/>
    </row>
    <row r="230" spans="9:10">
      <c r="I230" s="89"/>
      <c r="J230" s="89"/>
    </row>
    <row r="231" spans="9:10">
      <c r="I231" s="89"/>
      <c r="J231" s="89"/>
    </row>
    <row r="232" spans="9:10">
      <c r="I232" s="89"/>
      <c r="J232" s="89"/>
    </row>
    <row r="233" spans="9:10">
      <c r="I233" s="89"/>
      <c r="J233" s="89"/>
    </row>
    <row r="234" spans="9:10">
      <c r="I234" s="89"/>
      <c r="J234" s="89"/>
    </row>
    <row r="235" spans="9:10">
      <c r="I235" s="89"/>
      <c r="J235" s="89"/>
    </row>
    <row r="236" spans="9:10">
      <c r="I236" s="89"/>
      <c r="J236" s="89"/>
    </row>
    <row r="237" spans="9:10">
      <c r="I237" s="89"/>
      <c r="J237" s="89"/>
    </row>
    <row r="238" spans="9:10">
      <c r="I238" s="89"/>
      <c r="J238" s="89"/>
    </row>
    <row r="239" spans="9:10">
      <c r="I239" s="89"/>
      <c r="J239" s="89"/>
    </row>
    <row r="240" spans="9:10">
      <c r="I240" s="89"/>
      <c r="J240" s="89"/>
    </row>
    <row r="241" spans="9:10">
      <c r="I241" s="89"/>
      <c r="J241" s="89"/>
    </row>
    <row r="242" spans="9:10">
      <c r="I242" s="89"/>
      <c r="J242" s="89"/>
    </row>
    <row r="243" spans="9:10">
      <c r="I243" s="89"/>
      <c r="J243" s="89"/>
    </row>
    <row r="244" spans="9:10">
      <c r="I244" s="89"/>
      <c r="J244" s="89"/>
    </row>
    <row r="245" spans="9:10">
      <c r="I245" s="89"/>
      <c r="J245" s="89"/>
    </row>
    <row r="246" spans="9:10">
      <c r="I246" s="89"/>
      <c r="J246" s="89"/>
    </row>
    <row r="247" spans="9:10">
      <c r="I247" s="89"/>
      <c r="J247" s="89"/>
    </row>
    <row r="248" spans="9:10">
      <c r="I248" s="89"/>
      <c r="J248" s="89"/>
    </row>
    <row r="249" spans="9:10">
      <c r="I249" s="89"/>
      <c r="J249" s="89"/>
    </row>
    <row r="250" spans="9:10">
      <c r="I250" s="89"/>
      <c r="J250" s="89"/>
    </row>
    <row r="251" spans="9:10">
      <c r="I251" s="89"/>
      <c r="J251" s="89"/>
    </row>
    <row r="252" spans="9:10">
      <c r="I252" s="89"/>
      <c r="J252" s="89"/>
    </row>
    <row r="253" spans="9:10">
      <c r="I253" s="89"/>
      <c r="J253" s="89"/>
    </row>
    <row r="254" spans="9:10">
      <c r="I254" s="89"/>
      <c r="J254" s="89"/>
    </row>
    <row r="255" spans="9:10">
      <c r="I255" s="89"/>
      <c r="J255" s="89"/>
    </row>
    <row r="256" spans="9:10">
      <c r="I256" s="89"/>
      <c r="J256" s="89"/>
    </row>
    <row r="257" spans="9:10">
      <c r="I257" s="89"/>
      <c r="J257" s="89"/>
    </row>
    <row r="258" spans="9:10">
      <c r="I258" s="89"/>
      <c r="J258" s="89"/>
    </row>
    <row r="259" spans="9:10">
      <c r="I259" s="89"/>
      <c r="J259" s="89"/>
    </row>
    <row r="260" spans="9:10">
      <c r="I260" s="89"/>
      <c r="J260" s="89"/>
    </row>
    <row r="261" spans="9:10">
      <c r="I261" s="89"/>
      <c r="J261" s="89"/>
    </row>
    <row r="262" spans="9:10">
      <c r="I262" s="89"/>
      <c r="J262" s="89"/>
    </row>
    <row r="263" spans="9:10">
      <c r="I263" s="89"/>
      <c r="J263" s="89"/>
    </row>
    <row r="264" spans="9:10">
      <c r="I264" s="89"/>
      <c r="J264" s="89"/>
    </row>
    <row r="265" spans="9:10">
      <c r="I265" s="89"/>
      <c r="J265" s="89"/>
    </row>
    <row r="266" spans="9:10">
      <c r="I266" s="89"/>
      <c r="J266" s="89"/>
    </row>
    <row r="267" spans="9:10">
      <c r="I267" s="89"/>
      <c r="J267" s="89"/>
    </row>
    <row r="268" spans="9:10">
      <c r="I268" s="89"/>
      <c r="J268" s="89"/>
    </row>
    <row r="269" spans="9:10">
      <c r="I269" s="89"/>
      <c r="J269" s="89"/>
    </row>
    <row r="270" spans="9:10">
      <c r="I270" s="89"/>
      <c r="J270" s="89"/>
    </row>
    <row r="271" spans="9:10">
      <c r="I271" s="89"/>
      <c r="J271" s="89"/>
    </row>
    <row r="272" spans="9:10">
      <c r="I272" s="89"/>
      <c r="J272" s="89"/>
    </row>
    <row r="273" spans="9:10">
      <c r="I273" s="89"/>
      <c r="J273" s="89"/>
    </row>
    <row r="274" spans="9:10">
      <c r="I274" s="89"/>
      <c r="J274" s="89"/>
    </row>
    <row r="275" spans="9:10">
      <c r="I275" s="89"/>
      <c r="J275" s="89"/>
    </row>
    <row r="276" spans="9:10">
      <c r="I276" s="89"/>
      <c r="J276" s="89"/>
    </row>
    <row r="277" spans="9:10">
      <c r="I277" s="89"/>
      <c r="J277" s="89"/>
    </row>
    <row r="278" spans="9:10">
      <c r="I278" s="89"/>
      <c r="J278" s="89"/>
    </row>
    <row r="279" spans="9:10">
      <c r="I279" s="89"/>
      <c r="J279" s="89"/>
    </row>
    <row r="280" spans="9:10">
      <c r="I280" s="89"/>
      <c r="J280" s="89"/>
    </row>
    <row r="281" spans="9:10">
      <c r="I281" s="89"/>
      <c r="J281" s="89"/>
    </row>
    <row r="282" spans="9:10">
      <c r="I282" s="89"/>
      <c r="J282" s="89"/>
    </row>
    <row r="283" spans="9:10">
      <c r="I283" s="89"/>
      <c r="J283" s="89"/>
    </row>
    <row r="284" spans="9:10">
      <c r="I284" s="89"/>
      <c r="J284" s="89"/>
    </row>
    <row r="285" spans="9:10">
      <c r="I285" s="89"/>
      <c r="J285" s="89"/>
    </row>
    <row r="286" spans="9:10">
      <c r="I286" s="89"/>
      <c r="J286" s="89"/>
    </row>
    <row r="287" spans="9:10">
      <c r="I287" s="89"/>
      <c r="J287" s="89"/>
    </row>
    <row r="288" spans="9:10">
      <c r="I288" s="89"/>
      <c r="J288" s="89"/>
    </row>
    <row r="289" spans="9:10">
      <c r="I289" s="89"/>
      <c r="J289" s="89"/>
    </row>
    <row r="290" spans="9:10">
      <c r="I290" s="89"/>
      <c r="J290" s="89"/>
    </row>
    <row r="291" spans="9:10">
      <c r="I291" s="89"/>
      <c r="J291" s="89"/>
    </row>
    <row r="292" spans="9:10">
      <c r="I292" s="89"/>
      <c r="J292" s="89"/>
    </row>
    <row r="293" spans="9:10">
      <c r="I293" s="89"/>
      <c r="J293" s="89"/>
    </row>
    <row r="294" spans="9:10">
      <c r="I294" s="89"/>
      <c r="J294" s="89"/>
    </row>
    <row r="295" spans="9:10">
      <c r="I295" s="89"/>
      <c r="J295" s="89"/>
    </row>
    <row r="296" spans="9:10">
      <c r="I296" s="89"/>
      <c r="J296" s="89"/>
    </row>
    <row r="297" spans="9:10">
      <c r="I297" s="89"/>
      <c r="J297" s="89"/>
    </row>
    <row r="298" spans="9:10">
      <c r="I298" s="89"/>
      <c r="J298" s="89"/>
    </row>
    <row r="299" spans="9:10">
      <c r="I299" s="89"/>
      <c r="J299" s="89"/>
    </row>
    <row r="300" spans="9:10">
      <c r="I300" s="89"/>
      <c r="J300" s="89"/>
    </row>
    <row r="301" spans="9:10">
      <c r="I301" s="89"/>
      <c r="J301" s="89"/>
    </row>
    <row r="302" spans="9:10">
      <c r="I302" s="89"/>
      <c r="J302" s="89"/>
    </row>
    <row r="303" spans="9:10">
      <c r="I303" s="89"/>
      <c r="J303" s="89"/>
    </row>
    <row r="304" spans="9:10">
      <c r="I304" s="89"/>
      <c r="J304" s="89"/>
    </row>
    <row r="305" spans="9:10">
      <c r="I305" s="89"/>
      <c r="J305" s="89"/>
    </row>
    <row r="306" spans="9:10">
      <c r="I306" s="89"/>
      <c r="J306" s="89"/>
    </row>
    <row r="307" spans="9:10">
      <c r="I307" s="89"/>
      <c r="J307" s="89"/>
    </row>
    <row r="308" spans="9:10">
      <c r="I308" s="89"/>
      <c r="J308" s="89"/>
    </row>
    <row r="309" spans="9:10">
      <c r="I309" s="89"/>
      <c r="J309" s="89"/>
    </row>
    <row r="310" spans="9:10">
      <c r="I310" s="89"/>
      <c r="J310" s="89"/>
    </row>
    <row r="311" spans="9:10">
      <c r="I311" s="89"/>
      <c r="J311" s="89"/>
    </row>
    <row r="312" spans="9:10">
      <c r="I312" s="89"/>
      <c r="J312" s="89"/>
    </row>
    <row r="313" spans="9:10">
      <c r="I313" s="89"/>
      <c r="J313" s="89"/>
    </row>
    <row r="314" spans="9:10">
      <c r="I314" s="89"/>
      <c r="J314" s="89"/>
    </row>
    <row r="315" spans="9:10">
      <c r="I315" s="89"/>
      <c r="J315" s="89"/>
    </row>
    <row r="316" spans="9:10">
      <c r="I316" s="89"/>
      <c r="J316" s="89"/>
    </row>
    <row r="317" spans="9:10">
      <c r="I317" s="89"/>
      <c r="J317" s="89"/>
    </row>
    <row r="318" spans="9:10">
      <c r="I318" s="89"/>
      <c r="J318" s="89"/>
    </row>
    <row r="319" spans="9:10">
      <c r="I319" s="89"/>
      <c r="J319" s="89"/>
    </row>
    <row r="320" spans="9:10">
      <c r="I320" s="89"/>
      <c r="J320" s="89"/>
    </row>
    <row r="321" spans="9:10">
      <c r="I321" s="89"/>
      <c r="J321" s="89"/>
    </row>
    <row r="322" spans="9:10">
      <c r="I322" s="89"/>
      <c r="J322" s="89"/>
    </row>
    <row r="323" spans="9:10">
      <c r="I323" s="89"/>
      <c r="J323" s="89"/>
    </row>
    <row r="324" spans="9:10">
      <c r="I324" s="89"/>
      <c r="J324" s="89"/>
    </row>
    <row r="325" spans="9:10">
      <c r="I325" s="89"/>
      <c r="J325" s="89"/>
    </row>
    <row r="326" spans="9:10">
      <c r="I326" s="89"/>
      <c r="J326" s="89"/>
    </row>
    <row r="327" spans="9:10">
      <c r="I327" s="89"/>
      <c r="J327" s="89"/>
    </row>
    <row r="328" spans="9:10">
      <c r="I328" s="89"/>
      <c r="J328" s="89"/>
    </row>
    <row r="329" spans="9:10">
      <c r="I329" s="89"/>
      <c r="J329" s="89"/>
    </row>
    <row r="330" spans="9:10">
      <c r="I330" s="89"/>
      <c r="J330" s="89"/>
    </row>
    <row r="331" spans="9:10">
      <c r="I331" s="89"/>
      <c r="J331" s="89"/>
    </row>
    <row r="332" spans="9:10">
      <c r="I332" s="89"/>
      <c r="J332" s="89"/>
    </row>
    <row r="333" spans="9:10">
      <c r="I333" s="89"/>
      <c r="J333" s="89"/>
    </row>
    <row r="334" spans="9:10">
      <c r="I334" s="89"/>
      <c r="J334" s="89"/>
    </row>
    <row r="335" spans="9:10">
      <c r="I335" s="89"/>
      <c r="J335" s="89"/>
    </row>
    <row r="336" spans="9:10">
      <c r="I336" s="89"/>
      <c r="J336" s="89"/>
    </row>
    <row r="337" spans="9:10">
      <c r="I337" s="89"/>
      <c r="J337" s="89"/>
    </row>
    <row r="338" spans="9:10">
      <c r="I338" s="89"/>
      <c r="J338" s="89"/>
    </row>
    <row r="339" spans="9:10">
      <c r="I339" s="89"/>
      <c r="J339" s="89"/>
    </row>
    <row r="340" spans="9:10">
      <c r="I340" s="89"/>
      <c r="J340" s="89"/>
    </row>
    <row r="341" spans="9:10">
      <c r="I341" s="89"/>
      <c r="J341" s="89"/>
    </row>
    <row r="342" spans="9:10">
      <c r="I342" s="89"/>
      <c r="J342" s="89"/>
    </row>
    <row r="343" spans="9:10">
      <c r="I343" s="89"/>
      <c r="J343" s="89"/>
    </row>
    <row r="344" spans="9:10">
      <c r="I344" s="89"/>
      <c r="J344" s="89"/>
    </row>
    <row r="345" spans="9:10">
      <c r="I345" s="89"/>
      <c r="J345" s="89"/>
    </row>
    <row r="346" spans="9:10">
      <c r="I346" s="89"/>
      <c r="J346" s="89"/>
    </row>
    <row r="347" spans="9:10">
      <c r="I347" s="89"/>
      <c r="J347" s="89"/>
    </row>
    <row r="348" spans="9:10">
      <c r="I348" s="89"/>
      <c r="J348" s="89"/>
    </row>
    <row r="349" spans="9:10">
      <c r="I349" s="89"/>
      <c r="J349" s="89"/>
    </row>
    <row r="350" spans="9:10">
      <c r="I350" s="89"/>
      <c r="J350" s="89"/>
    </row>
    <row r="351" spans="9:10">
      <c r="I351" s="89"/>
      <c r="J351" s="89"/>
    </row>
    <row r="352" spans="9:10">
      <c r="I352" s="89"/>
      <c r="J352" s="89"/>
    </row>
    <row r="353" spans="9:10">
      <c r="I353" s="89"/>
      <c r="J353" s="89"/>
    </row>
    <row r="354" spans="9:10">
      <c r="I354" s="89"/>
      <c r="J354" s="89"/>
    </row>
    <row r="355" spans="9:10">
      <c r="I355" s="89"/>
      <c r="J355" s="89"/>
    </row>
    <row r="356" spans="9:10">
      <c r="I356" s="89"/>
      <c r="J356" s="89"/>
    </row>
    <row r="357" spans="9:10">
      <c r="I357" s="89"/>
      <c r="J357" s="89"/>
    </row>
    <row r="358" spans="9:10">
      <c r="I358" s="89"/>
      <c r="J358" s="89"/>
    </row>
    <row r="359" spans="9:10">
      <c r="I359" s="89"/>
      <c r="J359" s="89"/>
    </row>
    <row r="360" spans="9:10">
      <c r="I360" s="89"/>
      <c r="J360" s="89"/>
    </row>
    <row r="361" spans="9:10">
      <c r="I361" s="89"/>
      <c r="J361" s="89"/>
    </row>
    <row r="362" spans="9:10">
      <c r="I362" s="89"/>
      <c r="J362" s="89"/>
    </row>
    <row r="363" spans="9:10">
      <c r="I363" s="89"/>
      <c r="J363" s="89"/>
    </row>
    <row r="364" spans="9:10">
      <c r="I364" s="89"/>
      <c r="J364" s="89"/>
    </row>
    <row r="365" spans="9:10">
      <c r="I365" s="89"/>
      <c r="J365" s="89"/>
    </row>
    <row r="366" spans="9:10">
      <c r="I366" s="89"/>
      <c r="J366" s="89"/>
    </row>
    <row r="367" spans="9:10">
      <c r="I367" s="89"/>
      <c r="J367" s="89"/>
    </row>
    <row r="368" spans="9:10">
      <c r="I368" s="89"/>
      <c r="J368" s="89"/>
    </row>
    <row r="369" spans="9:10">
      <c r="I369" s="89"/>
      <c r="J369" s="89"/>
    </row>
    <row r="370" spans="9:10">
      <c r="I370" s="89"/>
      <c r="J370" s="89"/>
    </row>
    <row r="371" spans="9:10">
      <c r="I371" s="89"/>
      <c r="J371" s="89"/>
    </row>
    <row r="372" spans="9:10">
      <c r="I372" s="89"/>
      <c r="J372" s="89"/>
    </row>
    <row r="373" spans="9:10">
      <c r="I373" s="89"/>
      <c r="J373" s="89"/>
    </row>
    <row r="374" spans="9:10">
      <c r="I374" s="89"/>
      <c r="J374" s="89"/>
    </row>
    <row r="375" spans="9:10">
      <c r="I375" s="89"/>
      <c r="J375" s="89"/>
    </row>
    <row r="376" spans="9:10">
      <c r="I376" s="89"/>
      <c r="J376" s="89"/>
    </row>
    <row r="377" spans="9:10">
      <c r="I377" s="89"/>
      <c r="J377" s="89"/>
    </row>
    <row r="378" spans="9:10">
      <c r="I378" s="89"/>
      <c r="J378" s="89"/>
    </row>
    <row r="379" spans="9:10">
      <c r="I379" s="89"/>
      <c r="J379" s="89"/>
    </row>
    <row r="380" spans="9:10">
      <c r="I380" s="89"/>
      <c r="J380" s="89"/>
    </row>
    <row r="381" spans="9:10">
      <c r="I381" s="89"/>
      <c r="J381" s="89"/>
    </row>
    <row r="382" spans="9:10">
      <c r="I382" s="89"/>
      <c r="J382" s="89"/>
    </row>
    <row r="383" spans="9:10">
      <c r="I383" s="89"/>
      <c r="J383" s="89"/>
    </row>
    <row r="384" spans="9:10">
      <c r="I384" s="89"/>
      <c r="J384" s="89"/>
    </row>
    <row r="385" spans="9:10">
      <c r="I385" s="89"/>
      <c r="J385" s="89"/>
    </row>
    <row r="386" spans="9:10">
      <c r="I386" s="89"/>
      <c r="J386" s="89"/>
    </row>
    <row r="387" spans="9:10">
      <c r="I387" s="89"/>
      <c r="J387" s="89"/>
    </row>
    <row r="388" spans="9:10">
      <c r="I388" s="89"/>
      <c r="J388" s="89"/>
    </row>
    <row r="389" spans="9:10">
      <c r="I389" s="89"/>
      <c r="J389" s="89"/>
    </row>
    <row r="390" spans="9:10">
      <c r="I390" s="89"/>
      <c r="J390" s="89"/>
    </row>
    <row r="391" spans="9:10">
      <c r="I391" s="89"/>
      <c r="J391" s="89"/>
    </row>
    <row r="392" spans="9:10">
      <c r="I392" s="89"/>
      <c r="J392" s="89"/>
    </row>
    <row r="393" spans="9:10">
      <c r="I393" s="89"/>
      <c r="J393" s="89"/>
    </row>
    <row r="394" spans="9:10">
      <c r="I394" s="89"/>
      <c r="J394" s="89"/>
    </row>
    <row r="395" spans="9:10">
      <c r="I395" s="89"/>
      <c r="J395" s="89"/>
    </row>
    <row r="396" spans="9:10">
      <c r="I396" s="89"/>
      <c r="J396" s="89"/>
    </row>
    <row r="397" spans="9:10">
      <c r="I397" s="89"/>
      <c r="J397" s="89"/>
    </row>
    <row r="398" spans="9:10">
      <c r="I398" s="89"/>
      <c r="J398" s="89"/>
    </row>
    <row r="399" spans="9:10">
      <c r="I399" s="89"/>
      <c r="J399" s="89"/>
    </row>
    <row r="400" spans="9:10">
      <c r="I400" s="89"/>
      <c r="J400" s="89"/>
    </row>
    <row r="401" spans="9:10">
      <c r="I401" s="89"/>
      <c r="J401" s="89"/>
    </row>
    <row r="402" spans="9:10">
      <c r="I402" s="89"/>
      <c r="J402" s="89"/>
    </row>
    <row r="403" spans="9:10">
      <c r="I403" s="89"/>
      <c r="J403" s="89"/>
    </row>
    <row r="404" spans="9:10">
      <c r="I404" s="89"/>
      <c r="J404" s="89"/>
    </row>
    <row r="405" spans="9:10">
      <c r="I405" s="89"/>
      <c r="J405" s="89"/>
    </row>
    <row r="406" spans="9:10">
      <c r="I406" s="89"/>
      <c r="J406" s="89"/>
    </row>
    <row r="407" spans="9:10">
      <c r="I407" s="89"/>
      <c r="J407" s="89"/>
    </row>
    <row r="408" spans="9:10">
      <c r="I408" s="89"/>
      <c r="J408" s="89"/>
    </row>
    <row r="409" spans="9:10">
      <c r="I409" s="89"/>
      <c r="J409" s="89"/>
    </row>
    <row r="410" spans="9:10">
      <c r="I410" s="89"/>
      <c r="J410" s="89"/>
    </row>
    <row r="411" spans="9:10">
      <c r="I411" s="89"/>
      <c r="J411" s="89"/>
    </row>
    <row r="412" spans="9:10">
      <c r="I412" s="89"/>
      <c r="J412" s="89"/>
    </row>
    <row r="413" spans="9:10">
      <c r="I413" s="89"/>
      <c r="J413" s="89"/>
    </row>
    <row r="414" spans="9:10">
      <c r="I414" s="89"/>
      <c r="J414" s="89"/>
    </row>
    <row r="415" spans="9:10">
      <c r="I415" s="89"/>
      <c r="J415" s="89"/>
    </row>
    <row r="416" spans="9:10">
      <c r="I416" s="89"/>
      <c r="J416" s="89"/>
    </row>
    <row r="417" spans="9:10">
      <c r="I417" s="89"/>
      <c r="J417" s="89"/>
    </row>
    <row r="418" spans="9:10">
      <c r="I418" s="89"/>
      <c r="J418" s="89"/>
    </row>
    <row r="419" spans="9:10">
      <c r="I419" s="89"/>
      <c r="J419" s="89"/>
    </row>
    <row r="420" spans="9:10">
      <c r="I420" s="89"/>
      <c r="J420" s="89"/>
    </row>
    <row r="421" spans="9:10">
      <c r="I421" s="89"/>
      <c r="J421" s="89"/>
    </row>
    <row r="422" spans="9:10">
      <c r="I422" s="89"/>
      <c r="J422" s="89"/>
    </row>
    <row r="423" spans="9:10">
      <c r="I423" s="89"/>
      <c r="J423" s="89"/>
    </row>
    <row r="424" spans="9:10">
      <c r="I424" s="89"/>
      <c r="J424" s="89"/>
    </row>
    <row r="425" spans="9:10">
      <c r="I425" s="89"/>
      <c r="J425" s="89"/>
    </row>
    <row r="426" spans="9:10">
      <c r="I426" s="89"/>
      <c r="J426" s="89"/>
    </row>
    <row r="427" spans="9:10">
      <c r="I427" s="89"/>
      <c r="J427" s="89"/>
    </row>
    <row r="428" spans="9:10">
      <c r="I428" s="89"/>
      <c r="J428" s="89"/>
    </row>
    <row r="429" spans="9:10">
      <c r="I429" s="89"/>
      <c r="J429" s="89"/>
    </row>
    <row r="430" spans="9:10">
      <c r="I430" s="89"/>
      <c r="J430" s="89"/>
    </row>
    <row r="431" spans="9:10">
      <c r="I431" s="89"/>
      <c r="J431" s="89"/>
    </row>
    <row r="432" spans="9:10">
      <c r="I432" s="89"/>
      <c r="J432" s="89"/>
    </row>
    <row r="433" spans="9:10">
      <c r="I433" s="89"/>
      <c r="J433" s="89"/>
    </row>
    <row r="434" spans="9:10">
      <c r="I434" s="89"/>
      <c r="J434" s="89"/>
    </row>
    <row r="435" spans="9:10">
      <c r="I435" s="89"/>
      <c r="J435" s="89"/>
    </row>
    <row r="436" spans="9:10">
      <c r="I436" s="89"/>
      <c r="J436" s="89"/>
    </row>
    <row r="437" spans="9:10">
      <c r="I437" s="89"/>
      <c r="J437" s="89"/>
    </row>
    <row r="438" spans="9:10">
      <c r="I438" s="89"/>
      <c r="J438" s="89"/>
    </row>
    <row r="439" spans="9:10">
      <c r="I439" s="89"/>
      <c r="J439" s="89"/>
    </row>
    <row r="440" spans="9:10">
      <c r="I440" s="89"/>
      <c r="J440" s="89"/>
    </row>
    <row r="441" spans="9:10">
      <c r="I441" s="89"/>
      <c r="J441" s="89"/>
    </row>
    <row r="442" spans="9:10">
      <c r="I442" s="89"/>
      <c r="J442" s="89"/>
    </row>
    <row r="443" spans="9:10">
      <c r="I443" s="89"/>
      <c r="J443" s="89"/>
    </row>
    <row r="444" spans="9:10">
      <c r="I444" s="89"/>
      <c r="J444" s="89"/>
    </row>
    <row r="445" spans="9:10">
      <c r="I445" s="89"/>
      <c r="J445" s="89"/>
    </row>
    <row r="446" spans="9:10">
      <c r="I446" s="89"/>
      <c r="J446" s="89"/>
    </row>
    <row r="447" spans="9:10">
      <c r="I447" s="89"/>
      <c r="J447" s="89"/>
    </row>
    <row r="448" spans="9:10">
      <c r="I448" s="89"/>
      <c r="J448" s="89"/>
    </row>
    <row r="449" spans="9:10">
      <c r="I449" s="89"/>
      <c r="J449" s="89"/>
    </row>
    <row r="450" spans="9:10">
      <c r="I450" s="89"/>
      <c r="J450" s="89"/>
    </row>
    <row r="451" spans="9:10">
      <c r="I451" s="89"/>
      <c r="J451" s="89"/>
    </row>
    <row r="452" spans="9:10">
      <c r="I452" s="89"/>
      <c r="J452" s="89"/>
    </row>
    <row r="453" spans="9:10">
      <c r="I453" s="89"/>
      <c r="J453" s="89"/>
    </row>
    <row r="454" spans="9:10">
      <c r="I454" s="89"/>
      <c r="J454" s="89"/>
    </row>
    <row r="455" spans="9:10">
      <c r="I455" s="89"/>
      <c r="J455" s="89"/>
    </row>
    <row r="456" spans="9:10">
      <c r="I456" s="89"/>
      <c r="J456" s="89"/>
    </row>
    <row r="457" spans="9:10">
      <c r="I457" s="89"/>
      <c r="J457" s="89"/>
    </row>
    <row r="458" spans="9:10">
      <c r="I458" s="89"/>
      <c r="J458" s="89"/>
    </row>
    <row r="459" spans="9:10">
      <c r="I459" s="89"/>
      <c r="J459" s="89"/>
    </row>
    <row r="460" spans="9:10">
      <c r="I460" s="89"/>
      <c r="J460" s="89"/>
    </row>
    <row r="461" spans="9:10">
      <c r="I461" s="89"/>
      <c r="J461" s="89"/>
    </row>
    <row r="462" spans="9:10">
      <c r="I462" s="89"/>
      <c r="J462" s="89"/>
    </row>
    <row r="463" spans="9:10">
      <c r="I463" s="89"/>
      <c r="J463" s="89"/>
    </row>
    <row r="464" spans="9:10">
      <c r="I464" s="89"/>
      <c r="J464" s="89"/>
    </row>
    <row r="465" spans="9:10">
      <c r="I465" s="89"/>
      <c r="J465" s="89"/>
    </row>
    <row r="466" spans="9:10">
      <c r="I466" s="89"/>
      <c r="J466" s="89"/>
    </row>
    <row r="467" spans="9:10">
      <c r="I467" s="89"/>
      <c r="J467" s="89"/>
    </row>
    <row r="468" spans="9:10">
      <c r="I468" s="89"/>
      <c r="J468" s="89"/>
    </row>
    <row r="469" spans="9:10">
      <c r="I469" s="89"/>
      <c r="J469" s="89"/>
    </row>
    <row r="470" spans="9:10">
      <c r="I470" s="89"/>
      <c r="J470" s="89"/>
    </row>
    <row r="471" spans="9:10">
      <c r="I471" s="89"/>
      <c r="J471" s="89"/>
    </row>
    <row r="472" spans="9:10">
      <c r="I472" s="89"/>
      <c r="J472" s="89"/>
    </row>
    <row r="473" spans="9:10">
      <c r="I473" s="89"/>
      <c r="J473" s="89"/>
    </row>
    <row r="474" spans="9:10">
      <c r="I474" s="89"/>
      <c r="J474" s="89"/>
    </row>
    <row r="475" spans="9:10">
      <c r="I475" s="89"/>
      <c r="J475" s="89"/>
    </row>
    <row r="476" spans="9:10">
      <c r="I476" s="89"/>
      <c r="J476" s="89"/>
    </row>
    <row r="477" spans="9:10">
      <c r="I477" s="89"/>
      <c r="J477" s="89"/>
    </row>
    <row r="478" spans="9:10">
      <c r="I478" s="89"/>
      <c r="J478" s="89"/>
    </row>
    <row r="479" spans="9:10">
      <c r="I479" s="89"/>
      <c r="J479" s="89"/>
    </row>
    <row r="480" spans="9:10">
      <c r="I480" s="89"/>
      <c r="J480" s="89"/>
    </row>
    <row r="481" spans="9:10">
      <c r="I481" s="89"/>
      <c r="J481" s="89"/>
    </row>
    <row r="482" spans="9:10">
      <c r="I482" s="89"/>
      <c r="J482" s="89"/>
    </row>
    <row r="483" spans="9:10">
      <c r="I483" s="89"/>
      <c r="J483" s="89"/>
    </row>
    <row r="484" spans="9:10">
      <c r="I484" s="89"/>
      <c r="J484" s="89"/>
    </row>
    <row r="485" spans="9:10">
      <c r="I485" s="89"/>
      <c r="J485" s="89"/>
    </row>
    <row r="486" spans="9:10">
      <c r="I486" s="89"/>
      <c r="J486" s="89"/>
    </row>
    <row r="487" spans="9:10">
      <c r="I487" s="89"/>
      <c r="J487" s="89"/>
    </row>
    <row r="488" spans="9:10">
      <c r="I488" s="89"/>
      <c r="J488" s="89"/>
    </row>
    <row r="489" spans="9:10">
      <c r="I489" s="89"/>
      <c r="J489" s="89"/>
    </row>
    <row r="490" spans="9:10">
      <c r="I490" s="89"/>
      <c r="J490" s="89"/>
    </row>
    <row r="491" spans="9:10">
      <c r="I491" s="89"/>
      <c r="J491" s="89"/>
    </row>
    <row r="492" spans="9:10">
      <c r="I492" s="89"/>
      <c r="J492" s="89"/>
    </row>
    <row r="493" spans="9:10">
      <c r="I493" s="89"/>
      <c r="J493" s="89"/>
    </row>
    <row r="494" spans="9:10">
      <c r="I494" s="89"/>
      <c r="J494" s="89"/>
    </row>
    <row r="495" spans="9:10">
      <c r="I495" s="89"/>
      <c r="J495" s="89"/>
    </row>
    <row r="496" spans="9:10">
      <c r="I496" s="89"/>
      <c r="J496" s="89"/>
    </row>
    <row r="497" spans="9:10">
      <c r="I497" s="89"/>
      <c r="J497" s="89"/>
    </row>
    <row r="498" spans="9:10">
      <c r="I498" s="89"/>
      <c r="J498" s="89"/>
    </row>
    <row r="499" spans="9:10">
      <c r="I499" s="89"/>
      <c r="J499" s="89"/>
    </row>
    <row r="500" spans="9:10">
      <c r="I500" s="89"/>
      <c r="J500" s="89"/>
    </row>
    <row r="501" spans="9:10">
      <c r="I501" s="89"/>
      <c r="J501" s="89"/>
    </row>
    <row r="502" spans="9:10">
      <c r="I502" s="89"/>
      <c r="J502" s="89"/>
    </row>
    <row r="503" spans="9:10">
      <c r="I503" s="89"/>
      <c r="J503" s="89"/>
    </row>
    <row r="504" spans="9:10">
      <c r="I504" s="89"/>
      <c r="J504" s="89"/>
    </row>
    <row r="505" spans="9:10">
      <c r="I505" s="89"/>
      <c r="J505" s="89"/>
    </row>
    <row r="506" spans="9:10">
      <c r="I506" s="89"/>
      <c r="J506" s="89"/>
    </row>
    <row r="507" spans="9:10">
      <c r="I507" s="89"/>
      <c r="J507" s="89"/>
    </row>
    <row r="508" spans="9:10">
      <c r="I508" s="89"/>
      <c r="J508" s="89"/>
    </row>
    <row r="509" spans="9:10">
      <c r="I509" s="89"/>
      <c r="J509" s="89"/>
    </row>
    <row r="510" spans="9:10">
      <c r="I510" s="89"/>
      <c r="J510" s="89"/>
    </row>
    <row r="511" spans="9:10">
      <c r="I511" s="89"/>
      <c r="J511" s="89"/>
    </row>
    <row r="512" spans="9:10">
      <c r="I512" s="89"/>
      <c r="J512" s="89"/>
    </row>
    <row r="513" spans="9:10">
      <c r="I513" s="89"/>
      <c r="J513" s="89"/>
    </row>
    <row r="514" spans="9:10">
      <c r="I514" s="89"/>
      <c r="J514" s="89"/>
    </row>
    <row r="515" spans="9:10">
      <c r="I515" s="89"/>
      <c r="J515" s="89"/>
    </row>
    <row r="516" spans="9:10">
      <c r="I516" s="89"/>
      <c r="J516" s="89"/>
    </row>
    <row r="517" spans="9:10">
      <c r="I517" s="89"/>
      <c r="J517" s="89"/>
    </row>
    <row r="518" spans="9:10">
      <c r="I518" s="89"/>
      <c r="J518" s="89"/>
    </row>
    <row r="519" spans="9:10">
      <c r="I519" s="89"/>
      <c r="J519" s="89"/>
    </row>
    <row r="520" spans="9:10">
      <c r="I520" s="89"/>
      <c r="J520" s="89"/>
    </row>
    <row r="521" spans="9:10">
      <c r="I521" s="89"/>
      <c r="J521" s="89"/>
    </row>
    <row r="522" spans="9:10">
      <c r="I522" s="89"/>
      <c r="J522" s="89"/>
    </row>
    <row r="523" spans="9:10">
      <c r="I523" s="89"/>
      <c r="J523" s="89"/>
    </row>
    <row r="524" spans="9:10">
      <c r="I524" s="89"/>
      <c r="J524" s="89"/>
    </row>
    <row r="525" spans="9:10">
      <c r="I525" s="89"/>
      <c r="J525" s="89"/>
    </row>
    <row r="526" spans="9:10">
      <c r="I526" s="89"/>
      <c r="J526" s="89"/>
    </row>
    <row r="527" spans="9:10">
      <c r="I527" s="89"/>
      <c r="J527" s="89"/>
    </row>
    <row r="528" spans="9:10">
      <c r="I528" s="89"/>
      <c r="J528" s="89"/>
    </row>
    <row r="529" spans="9:10">
      <c r="I529" s="89"/>
      <c r="J529" s="89"/>
    </row>
    <row r="530" spans="9:10">
      <c r="I530" s="89"/>
      <c r="J530" s="89"/>
    </row>
    <row r="531" spans="9:10">
      <c r="I531" s="89"/>
      <c r="J531" s="89"/>
    </row>
    <row r="532" spans="9:10">
      <c r="I532" s="89"/>
      <c r="J532" s="89"/>
    </row>
    <row r="533" spans="9:10">
      <c r="I533" s="89"/>
      <c r="J533" s="89"/>
    </row>
    <row r="534" spans="9:10">
      <c r="I534" s="89"/>
      <c r="J534" s="89"/>
    </row>
    <row r="535" spans="9:10">
      <c r="I535" s="89"/>
      <c r="J535" s="89"/>
    </row>
    <row r="536" spans="9:10">
      <c r="I536" s="89"/>
      <c r="J536" s="89"/>
    </row>
    <row r="537" spans="9:10">
      <c r="I537" s="89"/>
      <c r="J537" s="89"/>
    </row>
    <row r="538" spans="9:10">
      <c r="I538" s="89"/>
      <c r="J538" s="89"/>
    </row>
    <row r="539" spans="9:10">
      <c r="I539" s="89"/>
      <c r="J539" s="89"/>
    </row>
    <row r="540" spans="9:10">
      <c r="I540" s="89"/>
      <c r="J540" s="89"/>
    </row>
    <row r="541" spans="9:10">
      <c r="I541" s="89"/>
      <c r="J541" s="89"/>
    </row>
    <row r="542" spans="9:10">
      <c r="I542" s="89"/>
      <c r="J542" s="89"/>
    </row>
    <row r="543" spans="9:10">
      <c r="I543" s="89"/>
      <c r="J543" s="89"/>
    </row>
    <row r="544" spans="9:10">
      <c r="I544" s="89"/>
      <c r="J544" s="89"/>
    </row>
    <row r="545" spans="9:10">
      <c r="I545" s="89"/>
      <c r="J545" s="89"/>
    </row>
    <row r="546" spans="9:10">
      <c r="I546" s="89"/>
      <c r="J546" s="89"/>
    </row>
    <row r="547" spans="9:10">
      <c r="I547" s="89"/>
      <c r="J547" s="89"/>
    </row>
    <row r="548" spans="9:10">
      <c r="I548" s="89"/>
      <c r="J548" s="89"/>
    </row>
    <row r="549" spans="9:10">
      <c r="I549" s="89"/>
      <c r="J549" s="89"/>
    </row>
    <row r="550" spans="9:10">
      <c r="I550" s="89"/>
      <c r="J550" s="89"/>
    </row>
    <row r="551" spans="9:10">
      <c r="I551" s="89"/>
      <c r="J551" s="89"/>
    </row>
    <row r="552" spans="9:10">
      <c r="I552" s="89"/>
      <c r="J552" s="89"/>
    </row>
    <row r="553" spans="9:10">
      <c r="I553" s="89"/>
      <c r="J553" s="89"/>
    </row>
    <row r="554" spans="9:10">
      <c r="I554" s="89"/>
      <c r="J554" s="89"/>
    </row>
    <row r="555" spans="9:10">
      <c r="I555" s="89"/>
      <c r="J555" s="89"/>
    </row>
    <row r="556" spans="9:10">
      <c r="I556" s="89"/>
      <c r="J556" s="89"/>
    </row>
    <row r="557" spans="9:10">
      <c r="I557" s="89"/>
      <c r="J557" s="89"/>
    </row>
    <row r="558" spans="9:10">
      <c r="I558" s="89"/>
      <c r="J558" s="89"/>
    </row>
    <row r="559" spans="9:10">
      <c r="I559" s="89"/>
      <c r="J559" s="89"/>
    </row>
    <row r="560" spans="9:10">
      <c r="I560" s="89"/>
      <c r="J560" s="89"/>
    </row>
    <row r="561" spans="9:10">
      <c r="I561" s="89"/>
      <c r="J561" s="89"/>
    </row>
    <row r="562" spans="9:10">
      <c r="I562" s="89"/>
      <c r="J562" s="89"/>
    </row>
    <row r="563" spans="9:10">
      <c r="I563" s="89"/>
      <c r="J563" s="89"/>
    </row>
    <row r="564" spans="9:10">
      <c r="I564" s="89"/>
      <c r="J564" s="89"/>
    </row>
    <row r="565" spans="9:10">
      <c r="I565" s="89"/>
      <c r="J565" s="89"/>
    </row>
    <row r="566" spans="9:10">
      <c r="I566" s="89"/>
      <c r="J566" s="89"/>
    </row>
    <row r="567" spans="9:10">
      <c r="I567" s="89"/>
      <c r="J567" s="89"/>
    </row>
    <row r="568" spans="9:10">
      <c r="I568" s="89"/>
      <c r="J568" s="89"/>
    </row>
    <row r="569" spans="9:10">
      <c r="I569" s="89"/>
      <c r="J569" s="89"/>
    </row>
    <row r="570" spans="9:10">
      <c r="I570" s="89"/>
      <c r="J570" s="89"/>
    </row>
    <row r="571" spans="9:10">
      <c r="I571" s="89"/>
      <c r="J571" s="89"/>
    </row>
    <row r="572" spans="9:10">
      <c r="I572" s="89"/>
      <c r="J572" s="89"/>
    </row>
    <row r="573" spans="9:10">
      <c r="I573" s="89"/>
      <c r="J573" s="89"/>
    </row>
    <row r="574" spans="9:10">
      <c r="I574" s="89"/>
      <c r="J574" s="89"/>
    </row>
    <row r="575" spans="9:10">
      <c r="I575" s="89"/>
      <c r="J575" s="89"/>
    </row>
    <row r="576" spans="9:10">
      <c r="I576" s="89"/>
      <c r="J576" s="89"/>
    </row>
    <row r="577" spans="9:10">
      <c r="I577" s="89"/>
      <c r="J577" s="89"/>
    </row>
    <row r="578" spans="9:10">
      <c r="I578" s="89"/>
      <c r="J578" s="89"/>
    </row>
    <row r="579" spans="9:10">
      <c r="I579" s="89"/>
      <c r="J579" s="89"/>
    </row>
    <row r="580" spans="9:10">
      <c r="I580" s="89"/>
      <c r="J580" s="89"/>
    </row>
    <row r="581" spans="9:10">
      <c r="I581" s="89"/>
      <c r="J581" s="89"/>
    </row>
    <row r="582" spans="9:10">
      <c r="I582" s="89"/>
      <c r="J582" s="89"/>
    </row>
    <row r="583" spans="9:10">
      <c r="I583" s="89"/>
      <c r="J583" s="89"/>
    </row>
    <row r="584" spans="9:10">
      <c r="I584" s="89"/>
      <c r="J584" s="89"/>
    </row>
    <row r="585" spans="9:10">
      <c r="I585" s="89"/>
      <c r="J585" s="89"/>
    </row>
    <row r="586" spans="9:10">
      <c r="I586" s="89"/>
      <c r="J586" s="89"/>
    </row>
    <row r="587" spans="9:10">
      <c r="I587" s="89"/>
      <c r="J587" s="89"/>
    </row>
    <row r="588" spans="9:10">
      <c r="I588" s="89"/>
      <c r="J588" s="89"/>
    </row>
    <row r="589" spans="9:10">
      <c r="I589" s="89"/>
      <c r="J589" s="89"/>
    </row>
    <row r="590" spans="9:10">
      <c r="I590" s="89"/>
      <c r="J590" s="89"/>
    </row>
    <row r="591" spans="9:10">
      <c r="I591" s="89"/>
      <c r="J591" s="89"/>
    </row>
    <row r="592" spans="9:10">
      <c r="I592" s="89"/>
      <c r="J592" s="89"/>
    </row>
    <row r="593" spans="9:10">
      <c r="I593" s="89"/>
      <c r="J593" s="89"/>
    </row>
    <row r="594" spans="9:10">
      <c r="I594" s="89"/>
      <c r="J594" s="89"/>
    </row>
    <row r="595" spans="9:10">
      <c r="I595" s="89"/>
      <c r="J595" s="89"/>
    </row>
    <row r="596" spans="9:10">
      <c r="I596" s="89"/>
      <c r="J596" s="89"/>
    </row>
    <row r="597" spans="9:10">
      <c r="I597" s="89"/>
      <c r="J597" s="89"/>
    </row>
    <row r="598" spans="9:10">
      <c r="I598" s="89"/>
      <c r="J598" s="89"/>
    </row>
    <row r="599" spans="9:10">
      <c r="I599" s="89"/>
      <c r="J599" s="89"/>
    </row>
    <row r="600" spans="9:10">
      <c r="I600" s="89"/>
      <c r="J600" s="89"/>
    </row>
    <row r="601" spans="9:10">
      <c r="I601" s="89"/>
      <c r="J601" s="89"/>
    </row>
    <row r="602" spans="9:10">
      <c r="I602" s="89"/>
      <c r="J602" s="89"/>
    </row>
    <row r="603" spans="9:10">
      <c r="I603" s="89"/>
      <c r="J603" s="89"/>
    </row>
    <row r="604" spans="9:10">
      <c r="I604" s="89"/>
      <c r="J604" s="89"/>
    </row>
    <row r="605" spans="9:10">
      <c r="I605" s="89"/>
      <c r="J605" s="89"/>
    </row>
    <row r="606" spans="9:10">
      <c r="I606" s="89"/>
      <c r="J606" s="89"/>
    </row>
    <row r="607" spans="9:10">
      <c r="I607" s="89"/>
      <c r="J607" s="89"/>
    </row>
    <row r="608" spans="9:10">
      <c r="I608" s="89"/>
      <c r="J608" s="89"/>
    </row>
    <row r="609" spans="9:10">
      <c r="I609" s="89"/>
      <c r="J609" s="89"/>
    </row>
    <row r="610" spans="9:10">
      <c r="I610" s="89"/>
      <c r="J610" s="89"/>
    </row>
    <row r="611" spans="9:10">
      <c r="I611" s="89"/>
      <c r="J611" s="89"/>
    </row>
    <row r="612" spans="9:10">
      <c r="I612" s="89"/>
      <c r="J612" s="89"/>
    </row>
    <row r="613" spans="9:10">
      <c r="I613" s="89"/>
      <c r="J613" s="89"/>
    </row>
    <row r="614" spans="9:10">
      <c r="I614" s="89"/>
      <c r="J614" s="89"/>
    </row>
    <row r="615" spans="9:10">
      <c r="I615" s="89"/>
      <c r="J615" s="89"/>
    </row>
    <row r="616" spans="9:10">
      <c r="I616" s="89"/>
      <c r="J616" s="89"/>
    </row>
    <row r="617" spans="9:10">
      <c r="I617" s="89"/>
      <c r="J617" s="89"/>
    </row>
    <row r="618" spans="9:10">
      <c r="I618" s="89"/>
      <c r="J618" s="89"/>
    </row>
    <row r="619" spans="9:10">
      <c r="I619" s="89"/>
      <c r="J619" s="89"/>
    </row>
    <row r="620" spans="9:10">
      <c r="I620" s="89"/>
      <c r="J620" s="89"/>
    </row>
    <row r="621" spans="9:10">
      <c r="I621" s="89"/>
      <c r="J621" s="89"/>
    </row>
    <row r="622" spans="9:10">
      <c r="I622" s="89"/>
      <c r="J622" s="89"/>
    </row>
    <row r="623" spans="9:10">
      <c r="I623" s="89"/>
      <c r="J623" s="89"/>
    </row>
    <row r="624" spans="9:10">
      <c r="I624" s="89"/>
      <c r="J624" s="89"/>
    </row>
    <row r="625" spans="9:10">
      <c r="I625" s="89"/>
      <c r="J625" s="89"/>
    </row>
    <row r="626" spans="9:10">
      <c r="I626" s="89"/>
      <c r="J626" s="89"/>
    </row>
    <row r="627" spans="9:10">
      <c r="I627" s="89"/>
      <c r="J627" s="89"/>
    </row>
    <row r="628" spans="9:10">
      <c r="I628" s="89"/>
      <c r="J628" s="89"/>
    </row>
    <row r="629" spans="9:10">
      <c r="I629" s="89"/>
      <c r="J629" s="89"/>
    </row>
    <row r="630" spans="9:10">
      <c r="I630" s="89"/>
      <c r="J630" s="89"/>
    </row>
    <row r="631" spans="9:10">
      <c r="I631" s="89"/>
      <c r="J631" s="89"/>
    </row>
    <row r="632" spans="9:10">
      <c r="I632" s="89"/>
      <c r="J632" s="89"/>
    </row>
    <row r="633" spans="9:10">
      <c r="I633" s="89"/>
      <c r="J633" s="89"/>
    </row>
    <row r="634" spans="9:10">
      <c r="I634" s="89"/>
      <c r="J634" s="89"/>
    </row>
    <row r="635" spans="9:10">
      <c r="I635" s="89"/>
      <c r="J635" s="89"/>
    </row>
    <row r="636" spans="9:10">
      <c r="I636" s="89"/>
      <c r="J636" s="89"/>
    </row>
    <row r="637" spans="9:10">
      <c r="I637" s="89"/>
      <c r="J637" s="89"/>
    </row>
    <row r="638" spans="9:10">
      <c r="I638" s="89"/>
      <c r="J638" s="89"/>
    </row>
    <row r="639" spans="9:10">
      <c r="I639" s="89"/>
      <c r="J639" s="89"/>
    </row>
    <row r="640" spans="9:10">
      <c r="I640" s="89"/>
      <c r="J640" s="89"/>
    </row>
    <row r="641" spans="9:10">
      <c r="I641" s="89"/>
      <c r="J641" s="89"/>
    </row>
    <row r="642" spans="9:10">
      <c r="I642" s="89"/>
      <c r="J642" s="89"/>
    </row>
    <row r="643" spans="9:10">
      <c r="I643" s="89"/>
      <c r="J643" s="89"/>
    </row>
    <row r="644" spans="9:10">
      <c r="I644" s="89"/>
      <c r="J644" s="89"/>
    </row>
    <row r="645" spans="9:10">
      <c r="I645" s="89"/>
      <c r="J645" s="89"/>
    </row>
    <row r="646" spans="9:10">
      <c r="I646" s="89"/>
      <c r="J646" s="89"/>
    </row>
    <row r="647" spans="9:10">
      <c r="I647" s="89"/>
      <c r="J647" s="89"/>
    </row>
    <row r="648" spans="9:10">
      <c r="I648" s="89"/>
      <c r="J648" s="89"/>
    </row>
    <row r="649" spans="9:10">
      <c r="I649" s="89"/>
      <c r="J649" s="89"/>
    </row>
    <row r="650" spans="9:10">
      <c r="I650" s="89"/>
      <c r="J650" s="89"/>
    </row>
    <row r="651" spans="9:10">
      <c r="I651" s="89"/>
      <c r="J651" s="89"/>
    </row>
    <row r="652" spans="9:10">
      <c r="I652" s="89"/>
      <c r="J652" s="89"/>
    </row>
    <row r="653" spans="9:10">
      <c r="I653" s="89"/>
      <c r="J653" s="89"/>
    </row>
    <row r="654" spans="9:10">
      <c r="I654" s="89"/>
      <c r="J654" s="89"/>
    </row>
    <row r="655" spans="9:10">
      <c r="I655" s="89"/>
      <c r="J655" s="89"/>
    </row>
    <row r="656" spans="9:10">
      <c r="I656" s="89"/>
      <c r="J656" s="89"/>
    </row>
    <row r="657" spans="9:10">
      <c r="I657" s="89"/>
      <c r="J657" s="89"/>
    </row>
    <row r="658" spans="9:10">
      <c r="I658" s="89"/>
      <c r="J658" s="89"/>
    </row>
    <row r="659" spans="9:10">
      <c r="I659" s="89"/>
      <c r="J659" s="89"/>
    </row>
    <row r="660" spans="9:10">
      <c r="I660" s="89"/>
      <c r="J660" s="89"/>
    </row>
    <row r="661" spans="9:10">
      <c r="I661" s="89"/>
      <c r="J661" s="89"/>
    </row>
    <row r="662" spans="9:10">
      <c r="I662" s="89"/>
      <c r="J662" s="89"/>
    </row>
    <row r="663" spans="9:10">
      <c r="I663" s="89"/>
      <c r="J663" s="89"/>
    </row>
    <row r="664" spans="9:10">
      <c r="I664" s="89"/>
      <c r="J664" s="89"/>
    </row>
    <row r="665" spans="9:10">
      <c r="I665" s="89"/>
      <c r="J665" s="89"/>
    </row>
    <row r="666" spans="9:10">
      <c r="I666" s="89"/>
      <c r="J666" s="89"/>
    </row>
    <row r="667" spans="9:10">
      <c r="I667" s="89"/>
      <c r="J667" s="89"/>
    </row>
    <row r="668" spans="9:10">
      <c r="I668" s="89"/>
      <c r="J668" s="89"/>
    </row>
    <row r="669" spans="9:10">
      <c r="I669" s="89"/>
      <c r="J669" s="89"/>
    </row>
    <row r="670" spans="9:10">
      <c r="I670" s="89"/>
      <c r="J670" s="89"/>
    </row>
    <row r="671" spans="9:10">
      <c r="I671" s="89"/>
      <c r="J671" s="89"/>
    </row>
    <row r="672" spans="9:10">
      <c r="I672" s="89"/>
      <c r="J672" s="89"/>
    </row>
    <row r="673" spans="9:10">
      <c r="I673" s="89"/>
      <c r="J673" s="89"/>
    </row>
    <row r="674" spans="9:10">
      <c r="I674" s="89"/>
      <c r="J674" s="89"/>
    </row>
    <row r="675" spans="9:10">
      <c r="I675" s="89"/>
      <c r="J675" s="89"/>
    </row>
    <row r="676" spans="9:10">
      <c r="I676" s="89"/>
      <c r="J676" s="89"/>
    </row>
    <row r="677" spans="9:10">
      <c r="I677" s="89"/>
      <c r="J677" s="89"/>
    </row>
    <row r="678" spans="9:10">
      <c r="I678" s="89"/>
      <c r="J678" s="89"/>
    </row>
    <row r="679" spans="9:10">
      <c r="I679" s="89"/>
      <c r="J679" s="89"/>
    </row>
    <row r="680" spans="9:10">
      <c r="I680" s="89"/>
      <c r="J680" s="89"/>
    </row>
    <row r="681" spans="9:10">
      <c r="I681" s="89"/>
      <c r="J681" s="89"/>
    </row>
    <row r="682" spans="9:10">
      <c r="I682" s="89"/>
      <c r="J682" s="89"/>
    </row>
    <row r="683" spans="9:10">
      <c r="I683" s="89"/>
      <c r="J683" s="89"/>
    </row>
    <row r="684" spans="9:10">
      <c r="I684" s="89"/>
      <c r="J684" s="89"/>
    </row>
    <row r="685" spans="9:10">
      <c r="I685" s="89"/>
      <c r="J685" s="89"/>
    </row>
    <row r="686" spans="9:10">
      <c r="I686" s="89"/>
      <c r="J686" s="89"/>
    </row>
    <row r="687" spans="9:10">
      <c r="I687" s="89"/>
      <c r="J687" s="89"/>
    </row>
    <row r="688" spans="9:10">
      <c r="I688" s="89"/>
      <c r="J688" s="89"/>
    </row>
    <row r="689" spans="9:10">
      <c r="I689" s="89"/>
      <c r="J689" s="89"/>
    </row>
    <row r="690" spans="9:10">
      <c r="I690" s="89"/>
      <c r="J690" s="89"/>
    </row>
    <row r="691" spans="9:10">
      <c r="I691" s="89"/>
      <c r="J691" s="89"/>
    </row>
    <row r="692" spans="9:10">
      <c r="I692" s="89"/>
      <c r="J692" s="89"/>
    </row>
    <row r="693" spans="9:10">
      <c r="I693" s="89"/>
      <c r="J693" s="89"/>
    </row>
    <row r="694" spans="9:10">
      <c r="I694" s="89"/>
      <c r="J694" s="89"/>
    </row>
    <row r="695" spans="9:10">
      <c r="I695" s="89"/>
      <c r="J695" s="89"/>
    </row>
    <row r="696" spans="9:10">
      <c r="I696" s="89"/>
      <c r="J696" s="89"/>
    </row>
    <row r="697" spans="9:10">
      <c r="I697" s="89"/>
      <c r="J697" s="89"/>
    </row>
    <row r="698" spans="9:10">
      <c r="I698" s="89"/>
      <c r="J698" s="89"/>
    </row>
    <row r="699" spans="9:10">
      <c r="I699" s="89"/>
      <c r="J699" s="89"/>
    </row>
    <row r="700" spans="9:10">
      <c r="I700" s="89"/>
      <c r="J700" s="89"/>
    </row>
    <row r="701" spans="9:10">
      <c r="I701" s="89"/>
      <c r="J701" s="89"/>
    </row>
    <row r="702" spans="9:10">
      <c r="I702" s="89"/>
      <c r="J702" s="89"/>
    </row>
    <row r="703" spans="9:10">
      <c r="I703" s="89"/>
      <c r="J703" s="89"/>
    </row>
    <row r="704" spans="9:10">
      <c r="I704" s="89"/>
      <c r="J704" s="89"/>
    </row>
    <row r="705" spans="9:10">
      <c r="I705" s="89"/>
      <c r="J705" s="89"/>
    </row>
    <row r="706" spans="9:10">
      <c r="I706" s="89"/>
      <c r="J706" s="89"/>
    </row>
    <row r="707" spans="9:10">
      <c r="I707" s="89"/>
      <c r="J707" s="89"/>
    </row>
    <row r="708" spans="9:10">
      <c r="I708" s="89"/>
      <c r="J708" s="89"/>
    </row>
    <row r="709" spans="9:10">
      <c r="I709" s="89"/>
      <c r="J709" s="89"/>
    </row>
    <row r="710" spans="9:10">
      <c r="I710" s="89"/>
      <c r="J710" s="89"/>
    </row>
    <row r="711" spans="9:10">
      <c r="I711" s="89"/>
      <c r="J711" s="89"/>
    </row>
    <row r="712" spans="9:10">
      <c r="I712" s="89"/>
      <c r="J712" s="89"/>
    </row>
    <row r="713" spans="9:10">
      <c r="I713" s="89"/>
      <c r="J713" s="89"/>
    </row>
    <row r="714" spans="9:10">
      <c r="I714" s="89"/>
      <c r="J714" s="89"/>
    </row>
    <row r="715" spans="9:10">
      <c r="I715" s="89"/>
      <c r="J715" s="89"/>
    </row>
    <row r="716" spans="9:10">
      <c r="I716" s="89"/>
      <c r="J716" s="89"/>
    </row>
    <row r="717" spans="9:10">
      <c r="I717" s="89"/>
      <c r="J717" s="89"/>
    </row>
    <row r="718" spans="9:10">
      <c r="I718" s="89"/>
      <c r="J718" s="89"/>
    </row>
    <row r="719" spans="9:10">
      <c r="I719" s="89"/>
      <c r="J719" s="89"/>
    </row>
    <row r="720" spans="9:10">
      <c r="I720" s="89"/>
      <c r="J720" s="89"/>
    </row>
    <row r="721" spans="9:10">
      <c r="I721" s="89"/>
      <c r="J721" s="89"/>
    </row>
    <row r="722" spans="9:10">
      <c r="I722" s="89"/>
      <c r="J722" s="89"/>
    </row>
    <row r="723" spans="9:10">
      <c r="I723" s="89"/>
      <c r="J723" s="89"/>
    </row>
    <row r="724" spans="9:10">
      <c r="I724" s="89"/>
      <c r="J724" s="89"/>
    </row>
    <row r="725" spans="9:10">
      <c r="I725" s="89"/>
      <c r="J725" s="89"/>
    </row>
    <row r="726" spans="9:10">
      <c r="I726" s="89"/>
      <c r="J726" s="89"/>
    </row>
    <row r="727" spans="9:10">
      <c r="I727" s="89"/>
      <c r="J727" s="89"/>
    </row>
    <row r="728" spans="9:10">
      <c r="I728" s="89"/>
      <c r="J728" s="89"/>
    </row>
    <row r="729" spans="9:10">
      <c r="I729" s="89"/>
      <c r="J729" s="89"/>
    </row>
    <row r="730" spans="9:10">
      <c r="I730" s="89"/>
      <c r="J730" s="89"/>
    </row>
    <row r="731" spans="9:10">
      <c r="I731" s="89"/>
      <c r="J731" s="89"/>
    </row>
    <row r="732" spans="9:10">
      <c r="I732" s="89"/>
      <c r="J732" s="89"/>
    </row>
    <row r="733" spans="9:10">
      <c r="I733" s="89"/>
      <c r="J733" s="89"/>
    </row>
    <row r="734" spans="9:10">
      <c r="I734" s="89"/>
      <c r="J734" s="89"/>
    </row>
    <row r="735" spans="9:10">
      <c r="I735" s="89"/>
      <c r="J735" s="89"/>
    </row>
    <row r="736" spans="9:10">
      <c r="I736" s="89"/>
      <c r="J736" s="89"/>
    </row>
    <row r="737" spans="9:10">
      <c r="I737" s="89"/>
      <c r="J737" s="89"/>
    </row>
    <row r="738" spans="9:10">
      <c r="I738" s="89"/>
      <c r="J738" s="89"/>
    </row>
    <row r="739" spans="9:10">
      <c r="I739" s="89"/>
      <c r="J739" s="89"/>
    </row>
    <row r="740" spans="9:10">
      <c r="I740" s="89"/>
      <c r="J740" s="89"/>
    </row>
    <row r="741" spans="9:10">
      <c r="I741" s="89"/>
      <c r="J741" s="89"/>
    </row>
    <row r="742" spans="9:10">
      <c r="I742" s="89"/>
      <c r="J742" s="89"/>
    </row>
    <row r="743" spans="9:10">
      <c r="I743" s="89"/>
      <c r="J743" s="89"/>
    </row>
    <row r="744" spans="9:10">
      <c r="I744" s="89"/>
      <c r="J744" s="89"/>
    </row>
    <row r="745" spans="9:10">
      <c r="I745" s="89"/>
      <c r="J745" s="89"/>
    </row>
    <row r="746" spans="9:10">
      <c r="I746" s="89"/>
      <c r="J746" s="89"/>
    </row>
    <row r="747" spans="9:10">
      <c r="I747" s="89"/>
      <c r="J747" s="89"/>
    </row>
    <row r="748" spans="9:10">
      <c r="I748" s="89"/>
      <c r="J748" s="89"/>
    </row>
    <row r="749" spans="9:10">
      <c r="I749" s="89"/>
      <c r="J749" s="89"/>
    </row>
    <row r="750" spans="9:10">
      <c r="I750" s="89"/>
      <c r="J750" s="89"/>
    </row>
    <row r="751" spans="9:10">
      <c r="I751" s="89"/>
      <c r="J751" s="89"/>
    </row>
    <row r="752" spans="9:10">
      <c r="I752" s="89"/>
      <c r="J752" s="89"/>
    </row>
    <row r="753" spans="9:10">
      <c r="I753" s="89"/>
      <c r="J753" s="89"/>
    </row>
    <row r="754" spans="9:10">
      <c r="I754" s="89"/>
      <c r="J754" s="89"/>
    </row>
    <row r="755" spans="9:10">
      <c r="I755" s="89"/>
      <c r="J755" s="89"/>
    </row>
    <row r="756" spans="9:10">
      <c r="I756" s="89"/>
      <c r="J756" s="89"/>
    </row>
    <row r="757" spans="9:10">
      <c r="I757" s="89"/>
      <c r="J757" s="89"/>
    </row>
    <row r="758" spans="9:10">
      <c r="I758" s="89"/>
      <c r="J758" s="89"/>
    </row>
    <row r="759" spans="9:10">
      <c r="I759" s="89"/>
      <c r="J759" s="89"/>
    </row>
    <row r="760" spans="9:10">
      <c r="I760" s="89"/>
      <c r="J760" s="89"/>
    </row>
    <row r="761" spans="9:10">
      <c r="I761" s="89"/>
      <c r="J761" s="89"/>
    </row>
    <row r="762" spans="9:10">
      <c r="I762" s="89"/>
      <c r="J762" s="89"/>
    </row>
    <row r="763" spans="9:10">
      <c r="I763" s="89"/>
      <c r="J763" s="89"/>
    </row>
    <row r="764" spans="9:10">
      <c r="I764" s="89"/>
      <c r="J764" s="89"/>
    </row>
    <row r="765" spans="9:10">
      <c r="I765" s="89"/>
      <c r="J765" s="89"/>
    </row>
    <row r="766" spans="9:10">
      <c r="I766" s="89"/>
      <c r="J766" s="89"/>
    </row>
    <row r="767" spans="9:10">
      <c r="I767" s="89"/>
      <c r="J767" s="89"/>
    </row>
    <row r="768" spans="9:10">
      <c r="I768" s="89"/>
      <c r="J768" s="89"/>
    </row>
    <row r="769" spans="9:10">
      <c r="I769" s="89"/>
      <c r="J769" s="89"/>
    </row>
    <row r="770" spans="9:10">
      <c r="I770" s="89"/>
      <c r="J770" s="89"/>
    </row>
    <row r="771" spans="9:10">
      <c r="I771" s="89"/>
      <c r="J771" s="89"/>
    </row>
    <row r="772" spans="9:10">
      <c r="I772" s="89"/>
      <c r="J772" s="89"/>
    </row>
    <row r="773" spans="9:10">
      <c r="I773" s="89"/>
      <c r="J773" s="89"/>
    </row>
    <row r="774" spans="9:10">
      <c r="I774" s="89"/>
      <c r="J774" s="89"/>
    </row>
    <row r="775" spans="9:10">
      <c r="I775" s="89"/>
      <c r="J775" s="89"/>
    </row>
    <row r="776" spans="9:10">
      <c r="I776" s="89"/>
      <c r="J776" s="89"/>
    </row>
    <row r="777" spans="9:10">
      <c r="I777" s="89"/>
      <c r="J777" s="89"/>
    </row>
    <row r="778" spans="9:10">
      <c r="I778" s="89"/>
      <c r="J778" s="89"/>
    </row>
    <row r="779" spans="9:10">
      <c r="I779" s="89"/>
      <c r="J779" s="89"/>
    </row>
    <row r="780" spans="9:10">
      <c r="I780" s="89"/>
      <c r="J780" s="89"/>
    </row>
    <row r="781" spans="9:10">
      <c r="I781" s="89"/>
      <c r="J781" s="89"/>
    </row>
    <row r="782" spans="9:10">
      <c r="I782" s="89"/>
      <c r="J782" s="89"/>
    </row>
    <row r="783" spans="9:10">
      <c r="I783" s="89"/>
      <c r="J783" s="89"/>
    </row>
    <row r="784" spans="9:10">
      <c r="I784" s="89"/>
      <c r="J784" s="89"/>
    </row>
    <row r="785" spans="9:10">
      <c r="I785" s="89"/>
      <c r="J785" s="89"/>
    </row>
    <row r="786" spans="9:10">
      <c r="I786" s="89"/>
      <c r="J786" s="89"/>
    </row>
    <row r="787" spans="9:10">
      <c r="I787" s="89"/>
      <c r="J787" s="89"/>
    </row>
    <row r="788" spans="9:10">
      <c r="I788" s="89"/>
      <c r="J788" s="89"/>
    </row>
    <row r="789" spans="9:10">
      <c r="I789" s="89"/>
      <c r="J789" s="89"/>
    </row>
    <row r="790" spans="9:10">
      <c r="I790" s="89"/>
      <c r="J790" s="89"/>
    </row>
    <row r="791" spans="9:10">
      <c r="I791" s="89"/>
      <c r="J791" s="89"/>
    </row>
    <row r="792" spans="9:10">
      <c r="I792" s="89"/>
      <c r="J792" s="89"/>
    </row>
    <row r="793" spans="9:10">
      <c r="I793" s="89"/>
      <c r="J793" s="89"/>
    </row>
    <row r="794" spans="9:10">
      <c r="I794" s="89"/>
      <c r="J794" s="89"/>
    </row>
    <row r="795" spans="9:10">
      <c r="I795" s="89"/>
      <c r="J795" s="89"/>
    </row>
    <row r="796" spans="9:10">
      <c r="I796" s="89"/>
      <c r="J796" s="89"/>
    </row>
    <row r="797" spans="9:10">
      <c r="I797" s="89"/>
      <c r="J797" s="89"/>
    </row>
    <row r="798" spans="9:10">
      <c r="I798" s="89"/>
      <c r="J798" s="89"/>
    </row>
    <row r="799" spans="9:10">
      <c r="I799" s="89"/>
      <c r="J799" s="89"/>
    </row>
    <row r="800" spans="9:10">
      <c r="I800" s="89"/>
      <c r="J800" s="89"/>
    </row>
    <row r="801" spans="9:10">
      <c r="I801" s="89"/>
      <c r="J801" s="89"/>
    </row>
    <row r="802" spans="9:10">
      <c r="I802" s="89"/>
      <c r="J802" s="89"/>
    </row>
    <row r="803" spans="9:10">
      <c r="I803" s="89"/>
      <c r="J803" s="89"/>
    </row>
    <row r="804" spans="9:10">
      <c r="I804" s="89"/>
      <c r="J804" s="89"/>
    </row>
    <row r="805" spans="9:10">
      <c r="I805" s="89"/>
      <c r="J805" s="89"/>
    </row>
    <row r="806" spans="9:10">
      <c r="I806" s="89"/>
      <c r="J806" s="89"/>
    </row>
    <row r="807" spans="9:10">
      <c r="I807" s="89"/>
      <c r="J807" s="89"/>
    </row>
    <row r="808" spans="9:10">
      <c r="I808" s="89"/>
      <c r="J808" s="89"/>
    </row>
    <row r="809" spans="9:10">
      <c r="I809" s="89"/>
      <c r="J809" s="89"/>
    </row>
    <row r="810" spans="9:10">
      <c r="I810" s="89"/>
      <c r="J810" s="89"/>
    </row>
    <row r="811" spans="9:10">
      <c r="I811" s="89"/>
      <c r="J811" s="89"/>
    </row>
    <row r="812" spans="9:10">
      <c r="I812" s="89"/>
      <c r="J812" s="89"/>
    </row>
    <row r="813" spans="9:10">
      <c r="I813" s="89"/>
      <c r="J813" s="89"/>
    </row>
    <row r="814" spans="9:10">
      <c r="I814" s="89"/>
      <c r="J814" s="89"/>
    </row>
    <row r="815" spans="9:10">
      <c r="I815" s="89"/>
      <c r="J815" s="89"/>
    </row>
    <row r="816" spans="9:10">
      <c r="I816" s="89"/>
      <c r="J816" s="89"/>
    </row>
    <row r="817" spans="9:10">
      <c r="I817" s="89"/>
      <c r="J817" s="89"/>
    </row>
    <row r="818" spans="9:10">
      <c r="I818" s="89"/>
      <c r="J818" s="89"/>
    </row>
    <row r="819" spans="9:10">
      <c r="I819" s="89"/>
      <c r="J819" s="89"/>
    </row>
    <row r="820" spans="9:10">
      <c r="I820" s="89"/>
      <c r="J820" s="89"/>
    </row>
    <row r="821" spans="9:10">
      <c r="I821" s="89"/>
      <c r="J821" s="89"/>
    </row>
    <row r="822" spans="9:10">
      <c r="I822" s="89"/>
      <c r="J822" s="89"/>
    </row>
    <row r="823" spans="9:10">
      <c r="I823" s="89"/>
      <c r="J823" s="89"/>
    </row>
    <row r="824" spans="9:10">
      <c r="I824" s="89"/>
      <c r="J824" s="89"/>
    </row>
    <row r="825" spans="9:10">
      <c r="I825" s="89"/>
      <c r="J825" s="89"/>
    </row>
    <row r="826" spans="9:10">
      <c r="I826" s="89"/>
      <c r="J826" s="89"/>
    </row>
    <row r="827" spans="9:10">
      <c r="I827" s="89"/>
      <c r="J827" s="89"/>
    </row>
    <row r="828" spans="9:10">
      <c r="I828" s="89"/>
      <c r="J828" s="89"/>
    </row>
    <row r="829" spans="9:10">
      <c r="I829" s="89"/>
      <c r="J829" s="89"/>
    </row>
    <row r="830" spans="9:10">
      <c r="I830" s="89"/>
      <c r="J830" s="89"/>
    </row>
    <row r="831" spans="9:10">
      <c r="I831" s="89"/>
      <c r="J831" s="89"/>
    </row>
    <row r="832" spans="9:10">
      <c r="I832" s="89"/>
      <c r="J832" s="89"/>
    </row>
    <row r="833" spans="9:10">
      <c r="I833" s="89"/>
      <c r="J833" s="89"/>
    </row>
    <row r="834" spans="9:10">
      <c r="I834" s="89"/>
      <c r="J834" s="89"/>
    </row>
    <row r="835" spans="9:10">
      <c r="I835" s="89"/>
      <c r="J835" s="89"/>
    </row>
    <row r="836" spans="9:10">
      <c r="I836" s="89"/>
      <c r="J836" s="89"/>
    </row>
    <row r="837" spans="9:10">
      <c r="I837" s="89"/>
      <c r="J837" s="89"/>
    </row>
    <row r="838" spans="9:10">
      <c r="I838" s="89"/>
      <c r="J838" s="89"/>
    </row>
    <row r="839" spans="9:10">
      <c r="I839" s="89"/>
      <c r="J839" s="89"/>
    </row>
    <row r="840" spans="9:10">
      <c r="I840" s="89"/>
      <c r="J840" s="89"/>
    </row>
    <row r="841" spans="9:10">
      <c r="I841" s="89"/>
      <c r="J841" s="89"/>
    </row>
    <row r="842" spans="9:10">
      <c r="I842" s="89"/>
      <c r="J842" s="89"/>
    </row>
    <row r="843" spans="9:10">
      <c r="I843" s="89"/>
      <c r="J843" s="89"/>
    </row>
    <row r="844" spans="9:10">
      <c r="I844" s="89"/>
      <c r="J844" s="89"/>
    </row>
    <row r="845" spans="9:10">
      <c r="I845" s="89"/>
      <c r="J845" s="89"/>
    </row>
    <row r="846" spans="9:10">
      <c r="I846" s="89"/>
      <c r="J846" s="89"/>
    </row>
    <row r="847" spans="9:10">
      <c r="I847" s="89"/>
      <c r="J847" s="89"/>
    </row>
    <row r="848" spans="9:10">
      <c r="I848" s="89"/>
      <c r="J848" s="89"/>
    </row>
    <row r="849" spans="9:10">
      <c r="I849" s="89"/>
      <c r="J849" s="89"/>
    </row>
    <row r="850" spans="9:10">
      <c r="I850" s="89"/>
      <c r="J850" s="89"/>
    </row>
    <row r="851" spans="9:10">
      <c r="I851" s="89"/>
      <c r="J851" s="89"/>
    </row>
    <row r="852" spans="9:10">
      <c r="I852" s="89"/>
      <c r="J852" s="89"/>
    </row>
    <row r="853" spans="9:10">
      <c r="I853" s="89"/>
      <c r="J853" s="89"/>
    </row>
    <row r="854" spans="9:10">
      <c r="I854" s="89"/>
      <c r="J854" s="89"/>
    </row>
    <row r="855" spans="9:10">
      <c r="I855" s="89"/>
      <c r="J855" s="89"/>
    </row>
    <row r="856" spans="9:10">
      <c r="I856" s="89"/>
      <c r="J856" s="89"/>
    </row>
    <row r="857" spans="9:10">
      <c r="I857" s="89"/>
      <c r="J857" s="89"/>
    </row>
    <row r="858" spans="9:10">
      <c r="I858" s="89"/>
      <c r="J858" s="89"/>
    </row>
    <row r="859" spans="9:10">
      <c r="I859" s="89"/>
      <c r="J859" s="89"/>
    </row>
    <row r="860" spans="9:10">
      <c r="I860" s="89"/>
      <c r="J860" s="89"/>
    </row>
    <row r="861" spans="9:10">
      <c r="I861" s="89"/>
      <c r="J861" s="89"/>
    </row>
    <row r="862" spans="9:10">
      <c r="I862" s="89"/>
      <c r="J862" s="89"/>
    </row>
    <row r="863" spans="9:10">
      <c r="I863" s="89"/>
      <c r="J863" s="89"/>
    </row>
    <row r="864" spans="9:10">
      <c r="I864" s="89"/>
      <c r="J864" s="89"/>
    </row>
    <row r="865" spans="9:10">
      <c r="I865" s="89"/>
      <c r="J865" s="89"/>
    </row>
    <row r="866" spans="9:10">
      <c r="I866" s="89"/>
      <c r="J866" s="89"/>
    </row>
    <row r="867" spans="9:10">
      <c r="I867" s="89"/>
      <c r="J867" s="89"/>
    </row>
    <row r="868" spans="9:10">
      <c r="I868" s="89"/>
      <c r="J868" s="89"/>
    </row>
    <row r="869" spans="9:10">
      <c r="I869" s="89"/>
      <c r="J869" s="89"/>
    </row>
    <row r="870" spans="9:10">
      <c r="I870" s="89"/>
      <c r="J870" s="89"/>
    </row>
    <row r="871" spans="9:10">
      <c r="I871" s="89"/>
      <c r="J871" s="89"/>
    </row>
    <row r="872" spans="9:10">
      <c r="I872" s="89"/>
      <c r="J872" s="89"/>
    </row>
    <row r="873" spans="9:10">
      <c r="I873" s="89"/>
      <c r="J873" s="89"/>
    </row>
    <row r="874" spans="9:10">
      <c r="I874" s="89"/>
      <c r="J874" s="89"/>
    </row>
    <row r="875" spans="9:10">
      <c r="I875" s="89"/>
      <c r="J875" s="89"/>
    </row>
    <row r="876" spans="9:10">
      <c r="I876" s="89"/>
      <c r="J876" s="89"/>
    </row>
    <row r="877" spans="9:10">
      <c r="I877" s="89"/>
      <c r="J877" s="89"/>
    </row>
    <row r="878" spans="9:10">
      <c r="I878" s="89"/>
      <c r="J878" s="89"/>
    </row>
    <row r="879" spans="9:10">
      <c r="I879" s="89"/>
      <c r="J879" s="89"/>
    </row>
    <row r="880" spans="9:10">
      <c r="I880" s="89"/>
      <c r="J880" s="89"/>
    </row>
    <row r="881" spans="9:10">
      <c r="I881" s="89"/>
      <c r="J881" s="89"/>
    </row>
    <row r="882" spans="9:10">
      <c r="I882" s="89"/>
      <c r="J882" s="89"/>
    </row>
    <row r="883" spans="9:10">
      <c r="I883" s="89"/>
      <c r="J883" s="89"/>
    </row>
    <row r="884" spans="9:10">
      <c r="I884" s="89"/>
      <c r="J884" s="89"/>
    </row>
    <row r="885" spans="9:10">
      <c r="I885" s="89"/>
      <c r="J885" s="89"/>
    </row>
    <row r="886" spans="9:10">
      <c r="I886" s="89"/>
      <c r="J886" s="89"/>
    </row>
    <row r="887" spans="9:10">
      <c r="I887" s="89"/>
      <c r="J887" s="89"/>
    </row>
    <row r="888" spans="9:10">
      <c r="I888" s="89"/>
      <c r="J888" s="89"/>
    </row>
    <row r="889" spans="9:10">
      <c r="I889" s="89"/>
      <c r="J889" s="89"/>
    </row>
    <row r="890" spans="9:10">
      <c r="I890" s="89"/>
      <c r="J890" s="89"/>
    </row>
    <row r="891" spans="9:10">
      <c r="I891" s="89"/>
      <c r="J891" s="89"/>
    </row>
    <row r="892" spans="9:10">
      <c r="I892" s="89"/>
      <c r="J892" s="89"/>
    </row>
    <row r="893" spans="9:10">
      <c r="I893" s="89"/>
      <c r="J893" s="89"/>
    </row>
    <row r="894" spans="9:10">
      <c r="I894" s="89"/>
      <c r="J894" s="89"/>
    </row>
    <row r="895" spans="9:10">
      <c r="I895" s="89"/>
      <c r="J895" s="89"/>
    </row>
    <row r="896" spans="9:10">
      <c r="I896" s="89"/>
      <c r="J896" s="89"/>
    </row>
    <row r="897" spans="9:10">
      <c r="I897" s="89"/>
      <c r="J897" s="89"/>
    </row>
    <row r="898" spans="9:10">
      <c r="I898" s="89"/>
      <c r="J898" s="89"/>
    </row>
    <row r="899" spans="9:10">
      <c r="I899" s="89"/>
      <c r="J899" s="89"/>
    </row>
  </sheetData>
  <conditionalFormatting sqref="V3:XFD3 A1:XFD2 A3:T3 A4:XFD1048576">
    <cfRule type="cellIs" dxfId="25" priority="3" operator="equal">
      <formula>0</formula>
    </cfRule>
  </conditionalFormatting>
  <conditionalFormatting sqref="U3:U26">
    <cfRule type="cellIs" dxfId="24" priority="1" operator="equal">
      <formula>0</formula>
    </cfRule>
  </conditionalFormatting>
  <pageMargins left="0.7" right="0.7" top="0.75" bottom="0.75" header="0.3" footer="0.3"/>
  <pageSetup orientation="portrait" horizontalDpi="90" verticalDpi="90" r:id="rId1"/>
  <customProperties>
    <customPr name="EpmWorksheetKeyString_GUID" r:id="rId2"/>
    <customPr name="IbpWorksheetKeyString_GUID" r:id="rId3"/>
  </customProperties>
  <drawing r:id="rId4"/>
  <tableParts count="1">
    <tablePart r:id="rId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60"/>
  <sheetViews>
    <sheetView zoomScale="75" zoomScaleNormal="75" workbookViewId="0">
      <pane xSplit="1" ySplit="1" topLeftCell="H2" activePane="bottomRight" state="frozen"/>
      <selection pane="topRight" activeCell="D35" sqref="D35"/>
      <selection pane="bottomLeft" activeCell="D35" sqref="D35"/>
      <selection pane="bottomRight" activeCell="K1" sqref="K1:K1048576"/>
    </sheetView>
  </sheetViews>
  <sheetFormatPr defaultRowHeight="15"/>
  <cols>
    <col min="1" max="1" width="16" bestFit="1" customWidth="1"/>
    <col min="2" max="2" width="15.140625" bestFit="1" customWidth="1"/>
    <col min="3" max="3" width="20.85546875" style="12" bestFit="1" customWidth="1"/>
    <col min="4" max="4" width="19.28515625" style="61" bestFit="1" customWidth="1"/>
    <col min="5" max="5" width="21.7109375" style="61" bestFit="1" customWidth="1"/>
    <col min="6" max="6" width="16.5703125" bestFit="1" customWidth="1"/>
    <col min="7" max="7" width="69.42578125" bestFit="1" customWidth="1"/>
    <col min="8" max="8" width="131.85546875" style="8" customWidth="1"/>
    <col min="9" max="9" width="12.85546875" style="53" bestFit="1" customWidth="1"/>
    <col min="10" max="10" width="12.140625" style="53" bestFit="1" customWidth="1"/>
    <col min="11" max="11" width="18" style="135" bestFit="1" customWidth="1"/>
    <col min="12" max="12" width="15.140625" style="137" bestFit="1" customWidth="1"/>
    <col min="13" max="13" width="11" style="61" bestFit="1" customWidth="1"/>
    <col min="14" max="14" width="18.28515625" style="136" bestFit="1" customWidth="1"/>
    <col min="15" max="15" width="16.28515625" style="136" bestFit="1" customWidth="1"/>
    <col min="16" max="16" width="17.28515625" style="136" bestFit="1" customWidth="1"/>
    <col min="17" max="17" width="16.7109375" style="136" bestFit="1" customWidth="1"/>
    <col min="18" max="18" width="25.28515625" style="61" bestFit="1" customWidth="1"/>
    <col min="19" max="19" width="20.5703125" bestFit="1" customWidth="1"/>
    <col min="20" max="20" width="15.42578125" customWidth="1"/>
    <col min="21" max="21" width="15.140625" bestFit="1" customWidth="1"/>
  </cols>
  <sheetData>
    <row r="1" spans="1:22" s="67" customFormat="1" ht="61.5" customHeight="1">
      <c r="A1" s="72"/>
      <c r="B1" s="70"/>
      <c r="C1" s="70"/>
      <c r="D1" s="78"/>
      <c r="E1" s="78"/>
      <c r="F1" s="70"/>
      <c r="G1" s="71"/>
      <c r="H1" s="72"/>
      <c r="I1" s="72"/>
      <c r="J1" s="72"/>
      <c r="K1" s="144"/>
      <c r="L1" s="86"/>
      <c r="M1" s="65"/>
      <c r="N1" s="131"/>
      <c r="O1" s="131"/>
      <c r="P1" s="131"/>
      <c r="Q1" s="131"/>
      <c r="R1" s="65"/>
    </row>
    <row r="2" spans="1:22" ht="35.25" customHeight="1">
      <c r="A2" s="100" t="s">
        <v>138</v>
      </c>
      <c r="B2" s="75" t="s">
        <v>139</v>
      </c>
      <c r="C2" s="75" t="s">
        <v>140</v>
      </c>
      <c r="D2" s="75" t="s">
        <v>141</v>
      </c>
      <c r="E2" s="75" t="s">
        <v>1879</v>
      </c>
      <c r="F2" s="75" t="s">
        <v>143</v>
      </c>
      <c r="G2" s="75" t="s">
        <v>144</v>
      </c>
      <c r="H2" s="75" t="s">
        <v>145</v>
      </c>
      <c r="I2" s="87" t="s">
        <v>146</v>
      </c>
      <c r="J2" s="87" t="s">
        <v>808</v>
      </c>
      <c r="K2" s="75" t="s">
        <v>149</v>
      </c>
      <c r="L2" s="88" t="s">
        <v>150</v>
      </c>
      <c r="M2" s="75" t="s">
        <v>151</v>
      </c>
      <c r="N2" s="145" t="s">
        <v>152</v>
      </c>
      <c r="O2" s="145" t="s">
        <v>153</v>
      </c>
      <c r="P2" s="145" t="s">
        <v>154</v>
      </c>
      <c r="Q2" s="145" t="s">
        <v>155</v>
      </c>
      <c r="R2" s="75" t="s">
        <v>156</v>
      </c>
      <c r="S2" s="75" t="s">
        <v>157</v>
      </c>
      <c r="T2" s="75" t="s">
        <v>158</v>
      </c>
      <c r="U2" s="148" t="s">
        <v>159</v>
      </c>
      <c r="V2" s="68"/>
    </row>
    <row r="3" spans="1:22" ht="15" customHeight="1">
      <c r="A3" s="103">
        <v>2516</v>
      </c>
      <c r="B3" s="12" t="str">
        <f>(IF((VLOOKUP(Table8[[#This Row],[SKU]],'All Skus'!$A:$AC,2,FALSE))="Cinema",(VLOOKUP(Table8[[#This Row],[SKU]],'All Skus'!$A:$AC,3,FALSE)),""))</f>
        <v>Cinema</v>
      </c>
      <c r="C3" s="146">
        <f>(IF((VLOOKUP(Table8[[#This Row],[SKU]],'All Skus'!$A:$AC,2,FALSE))="Cinema",(VLOOKUP(Table8[[#This Row],[SKU]],'All Skus'!$A:$AC,4,FALSE)),""))</f>
        <v>2516</v>
      </c>
      <c r="D3" s="61">
        <f>(IF((VLOOKUP(Table8[[#This Row],[SKU]],'All Skus'!$A:$AC,2,FALSE))="Cinema",(VLOOKUP(Table8[[#This Row],[SKU]],'All Skus'!$A:$AC,5,FALSE)),""))</f>
        <v>0</v>
      </c>
      <c r="E3" s="61">
        <f>(IF((VLOOKUP(Table8[[#This Row],[SKU]],'All Skus'!$A:$AC,2,FALSE))="Cinema",(VLOOKUP(Table8[[#This Row],[SKU]],'All Skus'!$A:$AC,6,FALSE)),""))</f>
        <v>0</v>
      </c>
      <c r="F3">
        <f>(IF((VLOOKUP(Table8[[#This Row],[SKU]],'All Skus'!$A:$AC,2,FALSE))="Cinema",(VLOOKUP(Table8[[#This Row],[SKU]],'All Skus'!$A:$AC,7,FALSE)),""))</f>
        <v>0</v>
      </c>
      <c r="G3" s="7" t="str">
        <f>(IF((VLOOKUP(Table8[[#This Row],[SKU]],'All Skus'!$A:$AC,2,FALSE))="Cinema",(VLOOKUP(Table8[[#This Row],[SKU]],'All Skus'!$A:$AC,8,FALSE)),""))</f>
        <v>MTG BKT-8330A/40A-(2EA/M.PK)</v>
      </c>
      <c r="H3" s="8" t="str">
        <f>(IF((VLOOKUP(Table8[[#This Row],[SKU]],'All Skus'!$A:$AC,2,FALSE))="Cinema",(VLOOKUP(Table8[[#This Row],[SKU]],'All Skus'!$A:$AC,9,FALSE)),""))</f>
        <v>Quick-Mount® Fixed Angle Bracket for 8330A and 8340A.  Packed 2 Pieces Per  Master Pack.</v>
      </c>
      <c r="I3" s="89">
        <f>(IF((VLOOKUP(Table8[[#This Row],[SKU]],'All Skus'!$A:$AC,2,FALSE))="Cinema",(VLOOKUP(Table8[[#This Row],[SKU]],'All Skus'!$A:$AC,10,FALSE)),""))</f>
        <v>52.45</v>
      </c>
      <c r="J3" s="89">
        <f>(IF((VLOOKUP(Table8[[#This Row],[SKU]],'All Skus'!$A:$AC,2,FALSE))="Cinema",(VLOOKUP(Table8[[#This Row],[SKU]],'All Skus'!$A:$AC,11,FALSE)),""))</f>
        <v>52.45</v>
      </c>
      <c r="K3" s="135">
        <f>(IF((VLOOKUP(Table8[[#This Row],[SKU]],'All Skus'!$A:$AC,2,FALSE))="Cinema",(VLOOKUP(Table8[[#This Row],[SKU]],'All Skus'!$A:$AC,15,FALSE)),""))</f>
        <v>2</v>
      </c>
      <c r="L3" s="137">
        <f>(IF((VLOOKUP(Table8[[#This Row],[SKU]],'All Skus'!$A:$AC,2,FALSE))="Cinema",(VLOOKUP(Table8[[#This Row],[SKU]],'All Skus'!$A:$AC,16,FALSE)),""))</f>
        <v>69191027376</v>
      </c>
      <c r="M3" s="61">
        <f>(IF((VLOOKUP(Table8[[#This Row],[SKU]],'All Skus'!$A:$AC,2,FALSE))="Cinema",(VLOOKUP(Table8[[#This Row],[SKU]],'All Skus'!$A:$AC,17,FALSE)),""))</f>
        <v>0</v>
      </c>
      <c r="N3" s="136">
        <f>(IF((VLOOKUP(Table8[[#This Row],[SKU]],'All Skus'!$A:$AC,2,FALSE))="Cinema",(VLOOKUP(Table8[[#This Row],[SKU]],'All Skus'!$A:$AC,18,FALSE)),""))</f>
        <v>3</v>
      </c>
      <c r="O3" s="136">
        <f>(IF((VLOOKUP(Table8[[#This Row],[SKU]],'All Skus'!$A:$AC,2,FALSE))="Cinema",(VLOOKUP(Table8[[#This Row],[SKU]],'All Skus'!$A:$AC,19,FALSE)),""))</f>
        <v>11</v>
      </c>
      <c r="P3" s="136">
        <f>(IF((VLOOKUP(Table8[[#This Row],[SKU]],'All Skus'!$A:$AC,2,FALSE))="Cinema",(VLOOKUP(Table8[[#This Row],[SKU]],'All Skus'!$A:$AC,20,FALSE)),""))</f>
        <v>11</v>
      </c>
      <c r="Q3" s="136">
        <f>(IF((VLOOKUP(Table8[[#This Row],[SKU]],'All Skus'!$A:$AC,2,FALSE))="Cinema",(VLOOKUP(Table8[[#This Row],[SKU]],'All Skus'!$A:$AC,21,FALSE)),""))</f>
        <v>8</v>
      </c>
      <c r="R3" s="61" t="str">
        <f>(IF((VLOOKUP(Table8[[#This Row],[SKU]],'All Skus'!$A:$AC,2,FALSE))="Cinema",(VLOOKUP(Table8[[#This Row],[SKU]],'All Skus'!$A:$AC,22,FALSE)),""))</f>
        <v>US</v>
      </c>
      <c r="S3" t="str">
        <f>(IF((VLOOKUP(Table8[[#This Row],[SKU]],'All Skus'!$A:$AC,2,FALSE))="Cinema",(VLOOKUP(Table8[[#This Row],[SKU]],'All Skus'!$A:$AC,23,FALSE)),""))</f>
        <v>Compliant</v>
      </c>
      <c r="T3" s="76" t="str">
        <f>HYPERLINK((IF((VLOOKUP(Table8[[#This Row],[SKU]],'All Skus'!$A:$AC,2,FALSE))="Cinema",(VLOOKUP(Table8[[#This Row],[SKU]],'All Skus'!$A:$AC,24,FALSE)),"")))</f>
        <v/>
      </c>
      <c r="U3" s="151">
        <v>1</v>
      </c>
    </row>
    <row r="4" spans="1:22" ht="14.65" customHeight="1">
      <c r="A4" s="103" t="s">
        <v>1880</v>
      </c>
      <c r="B4" s="12" t="str">
        <f>(IF((VLOOKUP(Table8[[#This Row],[SKU]],'All Skus'!$A:$AC,2,FALSE))="Cinema",(VLOOKUP(Table8[[#This Row],[SKU]],'All Skus'!$A:$AC,3,FALSE)),""))</f>
        <v>Cinema</v>
      </c>
      <c r="C4" s="146" t="str">
        <f>(IF((VLOOKUP(Table8[[#This Row],[SKU]],'All Skus'!$A:$AC,2,FALSE))="Cinema",(VLOOKUP(Table8[[#This Row],[SKU]],'All Skus'!$A:$AC,4,FALSE)),""))</f>
        <v>3722-HF</v>
      </c>
      <c r="D4" s="61" t="str">
        <f>(IF((VLOOKUP(Table8[[#This Row],[SKU]],'All Skus'!$A:$AC,2,FALSE))="Cinema",(VLOOKUP(Table8[[#This Row],[SKU]],'All Skus'!$A:$AC,5,FALSE)),""))</f>
        <v>JBL030</v>
      </c>
      <c r="E4" s="61">
        <f>(IF((VLOOKUP(Table8[[#This Row],[SKU]],'All Skus'!$A:$AC,2,FALSE))="Cinema",(VLOOKUP(Table8[[#This Row],[SKU]],'All Skus'!$A:$AC,6,FALSE)),""))</f>
        <v>0</v>
      </c>
      <c r="F4" t="str">
        <f>(IF((VLOOKUP(Table8[[#This Row],[SKU]],'All Skus'!$A:$AC,2,FALSE))="Cinema",(VLOOKUP(Table8[[#This Row],[SKU]],'All Skus'!$A:$AC,7,FALSE)),""))</f>
        <v>Limited Quantity</v>
      </c>
      <c r="G4" s="7" t="str">
        <f>(IF((VLOOKUP(Table8[[#This Row],[SKU]],'All Skus'!$A:$AC,2,FALSE))="Cinema",(VLOOKUP(Table8[[#This Row],[SKU]],'All Skus'!$A:$AC,8,FALSE)),""))</f>
        <v>S/M, 3722-HF</v>
      </c>
      <c r="H4" s="8" t="str">
        <f>(IF((VLOOKUP(Table8[[#This Row],[SKU]],'All Skus'!$A:$AC,2,FALSE))="Cinema",(VLOOKUP(Table8[[#This Row],[SKU]],'All Skus'!$A:$AC,9,FALSE)),""))</f>
        <v>High Frequency Section for 3722 System.  Bi-Am Components 2374 ScreenArray Horn, 2418H-1 Driver Pre-Assembled.</v>
      </c>
      <c r="I4" s="89">
        <f>(IF((VLOOKUP(Table8[[#This Row],[SKU]],'All Skus'!$A:$AC,2,FALSE))="Cinema",(VLOOKUP(Table8[[#This Row],[SKU]],'All Skus'!$A:$AC,10,FALSE)),""))</f>
        <v>549.84</v>
      </c>
      <c r="J4" s="89">
        <f>(IF((VLOOKUP(Table8[[#This Row],[SKU]],'All Skus'!$A:$AC,2,FALSE))="Cinema",(VLOOKUP(Table8[[#This Row],[SKU]],'All Skus'!$A:$AC,11,FALSE)),""))</f>
        <v>549.84</v>
      </c>
      <c r="K4" s="135">
        <f>(IF((VLOOKUP(Table8[[#This Row],[SKU]],'All Skus'!$A:$AC,2,FALSE))="Cinema",(VLOOKUP(Table8[[#This Row],[SKU]],'All Skus'!$A:$AC,15,FALSE)),""))</f>
        <v>0</v>
      </c>
      <c r="L4" s="137">
        <f>(IF((VLOOKUP(Table8[[#This Row],[SKU]],'All Skus'!$A:$AC,2,FALSE))="Cinema",(VLOOKUP(Table8[[#This Row],[SKU]],'All Skus'!$A:$AC,16,FALSE)),""))</f>
        <v>0</v>
      </c>
      <c r="M4" s="61">
        <f>(IF((VLOOKUP(Table8[[#This Row],[SKU]],'All Skus'!$A:$AC,2,FALSE))="Cinema",(VLOOKUP(Table8[[#This Row],[SKU]],'All Skus'!$A:$AC,17,FALSE)),""))</f>
        <v>0</v>
      </c>
      <c r="N4" s="136">
        <f>(IF((VLOOKUP(Table8[[#This Row],[SKU]],'All Skus'!$A:$AC,2,FALSE))="Cinema",(VLOOKUP(Table8[[#This Row],[SKU]],'All Skus'!$A:$AC,18,FALSE)),""))</f>
        <v>3</v>
      </c>
      <c r="O4" s="136">
        <f>(IF((VLOOKUP(Table8[[#This Row],[SKU]],'All Skus'!$A:$AC,2,FALSE))="Cinema",(VLOOKUP(Table8[[#This Row],[SKU]],'All Skus'!$A:$AC,19,FALSE)),""))</f>
        <v>12</v>
      </c>
      <c r="P4" s="136">
        <f>(IF((VLOOKUP(Table8[[#This Row],[SKU]],'All Skus'!$A:$AC,2,FALSE))="Cinema",(VLOOKUP(Table8[[#This Row],[SKU]],'All Skus'!$A:$AC,20,FALSE)),""))</f>
        <v>24</v>
      </c>
      <c r="Q4" s="136">
        <f>(IF((VLOOKUP(Table8[[#This Row],[SKU]],'All Skus'!$A:$AC,2,FALSE))="Cinema",(VLOOKUP(Table8[[#This Row],[SKU]],'All Skus'!$A:$AC,21,FALSE)),""))</f>
        <v>5</v>
      </c>
      <c r="R4" s="61" t="str">
        <f>(IF((VLOOKUP(Table8[[#This Row],[SKU]],'All Skus'!$A:$AC,2,FALSE))="Cinema",(VLOOKUP(Table8[[#This Row],[SKU]],'All Skus'!$A:$AC,22,FALSE)),""))</f>
        <v>MX</v>
      </c>
      <c r="S4" t="str">
        <f>(IF((VLOOKUP(Table8[[#This Row],[SKU]],'All Skus'!$A:$AC,2,FALSE))="Cinema",(VLOOKUP(Table8[[#This Row],[SKU]],'All Skus'!$A:$AC,23,FALSE)),""))</f>
        <v>Compliant</v>
      </c>
      <c r="T4" s="76" t="str">
        <f>HYPERLINK((IF((VLOOKUP(Table8[[#This Row],[SKU]],'All Skus'!$A:$AC,2,FALSE))="Cinema",(VLOOKUP(Table8[[#This Row],[SKU]],'All Skus'!$A:$AC,24,FALSE)),"")))</f>
        <v/>
      </c>
      <c r="U4" s="151">
        <v>2</v>
      </c>
    </row>
    <row r="5" spans="1:22" ht="15" customHeight="1">
      <c r="A5" s="103" t="s">
        <v>1881</v>
      </c>
      <c r="B5" s="12" t="str">
        <f>(IF((VLOOKUP(Table8[[#This Row],[SKU]],'All Skus'!$A:$AC,2,FALSE))="Cinema",(VLOOKUP(Table8[[#This Row],[SKU]],'All Skus'!$A:$AC,3,FALSE)),""))</f>
        <v>Cinema</v>
      </c>
      <c r="C5" s="146" t="str">
        <f>(IF((VLOOKUP(Table8[[#This Row],[SKU]],'All Skus'!$A:$AC,2,FALSE))="Cinema",(VLOOKUP(Table8[[#This Row],[SKU]],'All Skus'!$A:$AC,4,FALSE)),""))</f>
        <v>3722N-HF</v>
      </c>
      <c r="D5" s="61" t="str">
        <f>(IF((VLOOKUP(Table8[[#This Row],[SKU]],'All Skus'!$A:$AC,2,FALSE))="Cinema",(VLOOKUP(Table8[[#This Row],[SKU]],'All Skus'!$A:$AC,5,FALSE)),""))</f>
        <v>JBL030</v>
      </c>
      <c r="E5" s="61">
        <f>(IF((VLOOKUP(Table8[[#This Row],[SKU]],'All Skus'!$A:$AC,2,FALSE))="Cinema",(VLOOKUP(Table8[[#This Row],[SKU]],'All Skus'!$A:$AC,6,FALSE)),""))</f>
        <v>0</v>
      </c>
      <c r="F5">
        <f>(IF((VLOOKUP(Table8[[#This Row],[SKU]],'All Skus'!$A:$AC,2,FALSE))="Cinema",(VLOOKUP(Table8[[#This Row],[SKU]],'All Skus'!$A:$AC,7,FALSE)),""))</f>
        <v>0</v>
      </c>
      <c r="G5" s="7" t="str">
        <f>(IF((VLOOKUP(Table8[[#This Row],[SKU]],'All Skus'!$A:$AC,2,FALSE))="Cinema",(VLOOKUP(Table8[[#This Row],[SKU]],'All Skus'!$A:$AC,8,FALSE)),""))</f>
        <v>S/M, 3722N-HF</v>
      </c>
      <c r="H5" s="8" t="str">
        <f>(IF((VLOOKUP(Table8[[#This Row],[SKU]],'All Skus'!$A:$AC,2,FALSE))="Cinema",(VLOOKUP(Table8[[#This Row],[SKU]],'All Skus'!$A:$AC,9,FALSE)),""))</f>
        <v>High Frequency Section for 3722N System – Passive. Components: 2374 ScreenArray Horn, 2418H-1 Driver, Network and Bracket Pre-Assembled</v>
      </c>
      <c r="I5" s="89">
        <f>(IF((VLOOKUP(Table8[[#This Row],[SKU]],'All Skus'!$A:$AC,2,FALSE))="Cinema",(VLOOKUP(Table8[[#This Row],[SKU]],'All Skus'!$A:$AC,10,FALSE)),""))</f>
        <v>551.01</v>
      </c>
      <c r="J5" s="89">
        <f>(IF((VLOOKUP(Table8[[#This Row],[SKU]],'All Skus'!$A:$AC,2,FALSE))="Cinema",(VLOOKUP(Table8[[#This Row],[SKU]],'All Skus'!$A:$AC,11,FALSE)),""))</f>
        <v>551</v>
      </c>
      <c r="K5" s="135">
        <f>(IF((VLOOKUP(Table8[[#This Row],[SKU]],'All Skus'!$A:$AC,2,FALSE))="Cinema",(VLOOKUP(Table8[[#This Row],[SKU]],'All Skus'!$A:$AC,15,FALSE)),""))</f>
        <v>0</v>
      </c>
      <c r="L5" s="137">
        <f>(IF((VLOOKUP(Table8[[#This Row],[SKU]],'All Skus'!$A:$AC,2,FALSE))="Cinema",(VLOOKUP(Table8[[#This Row],[SKU]],'All Skus'!$A:$AC,16,FALSE)),""))</f>
        <v>691991028380</v>
      </c>
      <c r="M5" s="61">
        <f>(IF((VLOOKUP(Table8[[#This Row],[SKU]],'All Skus'!$A:$AC,2,FALSE))="Cinema",(VLOOKUP(Table8[[#This Row],[SKU]],'All Skus'!$A:$AC,17,FALSE)),""))</f>
        <v>0</v>
      </c>
      <c r="N5" s="136">
        <f>(IF((VLOOKUP(Table8[[#This Row],[SKU]],'All Skus'!$A:$AC,2,FALSE))="Cinema",(VLOOKUP(Table8[[#This Row],[SKU]],'All Skus'!$A:$AC,18,FALSE)),""))</f>
        <v>3</v>
      </c>
      <c r="O5" s="136">
        <f>(IF((VLOOKUP(Table8[[#This Row],[SKU]],'All Skus'!$A:$AC,2,FALSE))="Cinema",(VLOOKUP(Table8[[#This Row],[SKU]],'All Skus'!$A:$AC,19,FALSE)),""))</f>
        <v>8.5</v>
      </c>
      <c r="P5" s="136">
        <f>(IF((VLOOKUP(Table8[[#This Row],[SKU]],'All Skus'!$A:$AC,2,FALSE))="Cinema",(VLOOKUP(Table8[[#This Row],[SKU]],'All Skus'!$A:$AC,20,FALSE)),""))</f>
        <v>3</v>
      </c>
      <c r="Q5" s="136">
        <f>(IF((VLOOKUP(Table8[[#This Row],[SKU]],'All Skus'!$A:$AC,2,FALSE))="Cinema",(VLOOKUP(Table8[[#This Row],[SKU]],'All Skus'!$A:$AC,21,FALSE)),""))</f>
        <v>2</v>
      </c>
      <c r="R5" s="61" t="str">
        <f>(IF((VLOOKUP(Table8[[#This Row],[SKU]],'All Skus'!$A:$AC,2,FALSE))="Cinema",(VLOOKUP(Table8[[#This Row],[SKU]],'All Skus'!$A:$AC,22,FALSE)),""))</f>
        <v>MX</v>
      </c>
      <c r="S5" t="str">
        <f>(IF((VLOOKUP(Table8[[#This Row],[SKU]],'All Skus'!$A:$AC,2,FALSE))="Cinema",(VLOOKUP(Table8[[#This Row],[SKU]],'All Skus'!$A:$AC,23,FALSE)),""))</f>
        <v>Compliant</v>
      </c>
      <c r="T5" s="76" t="str">
        <f>HYPERLINK((IF((VLOOKUP(Table8[[#This Row],[SKU]],'All Skus'!$A:$AC,2,FALSE))="Cinema",(VLOOKUP(Table8[[#This Row],[SKU]],'All Skus'!$A:$AC,24,FALSE)),"")))</f>
        <v/>
      </c>
      <c r="U5" s="151">
        <v>3</v>
      </c>
    </row>
    <row r="6" spans="1:22" ht="15" customHeight="1">
      <c r="A6" s="103" t="s">
        <v>1882</v>
      </c>
      <c r="B6" s="12" t="str">
        <f>(IF((VLOOKUP(Table8[[#This Row],[SKU]],'All Skus'!$A:$AC,2,FALSE))="Cinema",(VLOOKUP(Table8[[#This Row],[SKU]],'All Skus'!$A:$AC,3,FALSE)),""))</f>
        <v>Cinema</v>
      </c>
      <c r="C6" s="146" t="str">
        <f>(IF((VLOOKUP(Table8[[#This Row],[SKU]],'All Skus'!$A:$AC,2,FALSE))="Cinema",(VLOOKUP(Table8[[#This Row],[SKU]],'All Skus'!$A:$AC,4,FALSE)),""))</f>
        <v>3730-M/HF</v>
      </c>
      <c r="D6" s="61" t="str">
        <f>(IF((VLOOKUP(Table8[[#This Row],[SKU]],'All Skus'!$A:$AC,2,FALSE))="Cinema",(VLOOKUP(Table8[[#This Row],[SKU]],'All Skus'!$A:$AC,5,FALSE)),""))</f>
        <v>JBL030</v>
      </c>
      <c r="E6" s="61" t="str">
        <f>(IF((VLOOKUP(Table8[[#This Row],[SKU]],'All Skus'!$A:$AC,2,FALSE))="Cinema",(VLOOKUP(Table8[[#This Row],[SKU]],'All Skus'!$A:$AC,6,FALSE)),""))</f>
        <v>YES</v>
      </c>
      <c r="F6">
        <f>(IF((VLOOKUP(Table8[[#This Row],[SKU]],'All Skus'!$A:$AC,2,FALSE))="Cinema",(VLOOKUP(Table8[[#This Row],[SKU]],'All Skus'!$A:$AC,7,FALSE)),""))</f>
        <v>0</v>
      </c>
      <c r="G6" s="7" t="str">
        <f>(IF((VLOOKUP(Table8[[#This Row],[SKU]],'All Skus'!$A:$AC,2,FALSE))="Cinema",(VLOOKUP(Table8[[#This Row],[SKU]],'All Skus'!$A:$AC,8,FALSE)),""))</f>
        <v>S/M, 3730-M/HF</v>
      </c>
      <c r="H6" s="8" t="str">
        <f>(IF((VLOOKUP(Table8[[#This Row],[SKU]],'All Skus'!$A:$AC,2,FALSE))="Cinema",(VLOOKUP(Table8[[#This Row],[SKU]],'All Skus'!$A:$AC,9,FALSE)),""))</f>
        <v>Mid/High Frequency Section for 3730 System. Components: One 195H mid frequency and one 2414H high frequency. Pre-Assembled, Pre-Aimed.</v>
      </c>
      <c r="I6" s="89">
        <f>(IF((VLOOKUP(Table8[[#This Row],[SKU]],'All Skus'!$A:$AC,2,FALSE))="Cinema",(VLOOKUP(Table8[[#This Row],[SKU]],'All Skus'!$A:$AC,10,FALSE)),""))</f>
        <v>1198.6500000000001</v>
      </c>
      <c r="J6" s="89">
        <f>(IF((VLOOKUP(Table8[[#This Row],[SKU]],'All Skus'!$A:$AC,2,FALSE))="Cinema",(VLOOKUP(Table8[[#This Row],[SKU]],'All Skus'!$A:$AC,11,FALSE)),""))</f>
        <v>1198.6500000000001</v>
      </c>
      <c r="K6" s="135">
        <f>(IF((VLOOKUP(Table8[[#This Row],[SKU]],'All Skus'!$A:$AC,2,FALSE))="Cinema",(VLOOKUP(Table8[[#This Row],[SKU]],'All Skus'!$A:$AC,15,FALSE)),""))</f>
        <v>0</v>
      </c>
      <c r="L6" s="137">
        <f>(IF((VLOOKUP(Table8[[#This Row],[SKU]],'All Skus'!$A:$AC,2,FALSE))="Cinema",(VLOOKUP(Table8[[#This Row],[SKU]],'All Skus'!$A:$AC,16,FALSE)),""))</f>
        <v>691991028397</v>
      </c>
      <c r="M6" s="61">
        <f>(IF((VLOOKUP(Table8[[#This Row],[SKU]],'All Skus'!$A:$AC,2,FALSE))="Cinema",(VLOOKUP(Table8[[#This Row],[SKU]],'All Skus'!$A:$AC,17,FALSE)),""))</f>
        <v>0</v>
      </c>
      <c r="N6" s="136">
        <f>(IF((VLOOKUP(Table8[[#This Row],[SKU]],'All Skus'!$A:$AC,2,FALSE))="Cinema",(VLOOKUP(Table8[[#This Row],[SKU]],'All Skus'!$A:$AC,18,FALSE)),""))</f>
        <v>3</v>
      </c>
      <c r="O6" s="136">
        <f>(IF((VLOOKUP(Table8[[#This Row],[SKU]],'All Skus'!$A:$AC,2,FALSE))="Cinema",(VLOOKUP(Table8[[#This Row],[SKU]],'All Skus'!$A:$AC,19,FALSE)),""))</f>
        <v>8</v>
      </c>
      <c r="P6" s="136">
        <f>(IF((VLOOKUP(Table8[[#This Row],[SKU]],'All Skus'!$A:$AC,2,FALSE))="Cinema",(VLOOKUP(Table8[[#This Row],[SKU]],'All Skus'!$A:$AC,20,FALSE)),""))</f>
        <v>2</v>
      </c>
      <c r="Q6" s="136">
        <f>(IF((VLOOKUP(Table8[[#This Row],[SKU]],'All Skus'!$A:$AC,2,FALSE))="Cinema",(VLOOKUP(Table8[[#This Row],[SKU]],'All Skus'!$A:$AC,21,FALSE)),""))</f>
        <v>3</v>
      </c>
      <c r="R6" s="61" t="str">
        <f>(IF((VLOOKUP(Table8[[#This Row],[SKU]],'All Skus'!$A:$AC,2,FALSE))="Cinema",(VLOOKUP(Table8[[#This Row],[SKU]],'All Skus'!$A:$AC,22,FALSE)),""))</f>
        <v>MX</v>
      </c>
      <c r="S6" t="str">
        <f>(IF((VLOOKUP(Table8[[#This Row],[SKU]],'All Skus'!$A:$AC,2,FALSE))="Cinema",(VLOOKUP(Table8[[#This Row],[SKU]],'All Skus'!$A:$AC,23,FALSE)),""))</f>
        <v>Compliant</v>
      </c>
      <c r="T6" s="76" t="str">
        <f>HYPERLINK((IF((VLOOKUP(Table8[[#This Row],[SKU]],'All Skus'!$A:$AC,2,FALSE))="Cinema",(VLOOKUP(Table8[[#This Row],[SKU]],'All Skus'!$A:$AC,24,FALSE)),"")))</f>
        <v/>
      </c>
      <c r="U6" s="151">
        <v>4</v>
      </c>
    </row>
    <row r="7" spans="1:22" ht="15" customHeight="1">
      <c r="A7" s="103" t="s">
        <v>1883</v>
      </c>
      <c r="B7" s="12" t="str">
        <f>(IF((VLOOKUP(Table8[[#This Row],[SKU]],'All Skus'!$A:$AC,2,FALSE))="Cinema",(VLOOKUP(Table8[[#This Row],[SKU]],'All Skus'!$A:$AC,3,FALSE)),""))</f>
        <v>Cinema</v>
      </c>
      <c r="C7" s="146" t="str">
        <f>(IF((VLOOKUP(Table8[[#This Row],[SKU]],'All Skus'!$A:$AC,2,FALSE))="Cinema",(VLOOKUP(Table8[[#This Row],[SKU]],'All Skus'!$A:$AC,4,FALSE)),""))</f>
        <v>3732-M/HF</v>
      </c>
      <c r="D7" s="61" t="str">
        <f>(IF((VLOOKUP(Table8[[#This Row],[SKU]],'All Skus'!$A:$AC,2,FALSE))="Cinema",(VLOOKUP(Table8[[#This Row],[SKU]],'All Skus'!$A:$AC,5,FALSE)),""))</f>
        <v>JBL030</v>
      </c>
      <c r="E7" s="61" t="str">
        <f>(IF((VLOOKUP(Table8[[#This Row],[SKU]],'All Skus'!$A:$AC,2,FALSE))="Cinema",(VLOOKUP(Table8[[#This Row],[SKU]],'All Skus'!$A:$AC,6,FALSE)),""))</f>
        <v>YES</v>
      </c>
      <c r="F7">
        <f>(IF((VLOOKUP(Table8[[#This Row],[SKU]],'All Skus'!$A:$AC,2,FALSE))="Cinema",(VLOOKUP(Table8[[#This Row],[SKU]],'All Skus'!$A:$AC,7,FALSE)),""))</f>
        <v>0</v>
      </c>
      <c r="G7" s="7" t="str">
        <f>(IF((VLOOKUP(Table8[[#This Row],[SKU]],'All Skus'!$A:$AC,2,FALSE))="Cinema",(VLOOKUP(Table8[[#This Row],[SKU]],'All Skus'!$A:$AC,8,FALSE)),""))</f>
        <v>S/M, 3732-M/HF</v>
      </c>
      <c r="H7" s="8" t="str">
        <f>(IF((VLOOKUP(Table8[[#This Row],[SKU]],'All Skus'!$A:$AC,2,FALSE))="Cinema",(VLOOKUP(Table8[[#This Row],[SKU]],'All Skus'!$A:$AC,9,FALSE)),""))</f>
        <v>Mid/High Frequency Section for 3732 System - Components: Two 165H Mid Frequency and One 2432H High Freq. Pre-Assembled and Pre-Aimed</v>
      </c>
      <c r="I7" s="89">
        <f>(IF((VLOOKUP(Table8[[#This Row],[SKU]],'All Skus'!$A:$AC,2,FALSE))="Cinema",(VLOOKUP(Table8[[#This Row],[SKU]],'All Skus'!$A:$AC,10,FALSE)),""))</f>
        <v>2493.34</v>
      </c>
      <c r="J7" s="89">
        <f>(IF((VLOOKUP(Table8[[#This Row],[SKU]],'All Skus'!$A:$AC,2,FALSE))="Cinema",(VLOOKUP(Table8[[#This Row],[SKU]],'All Skus'!$A:$AC,11,FALSE)),""))</f>
        <v>2493.34</v>
      </c>
      <c r="K7" s="135">
        <f>(IF((VLOOKUP(Table8[[#This Row],[SKU]],'All Skus'!$A:$AC,2,FALSE))="Cinema",(VLOOKUP(Table8[[#This Row],[SKU]],'All Skus'!$A:$AC,15,FALSE)),""))</f>
        <v>0</v>
      </c>
      <c r="L7" s="137">
        <f>(IF((VLOOKUP(Table8[[#This Row],[SKU]],'All Skus'!$A:$AC,2,FALSE))="Cinema",(VLOOKUP(Table8[[#This Row],[SKU]],'All Skus'!$A:$AC,16,FALSE)),""))</f>
        <v>691991028410</v>
      </c>
      <c r="M7" s="61">
        <f>(IF((VLOOKUP(Table8[[#This Row],[SKU]],'All Skus'!$A:$AC,2,FALSE))="Cinema",(VLOOKUP(Table8[[#This Row],[SKU]],'All Skus'!$A:$AC,17,FALSE)),""))</f>
        <v>0</v>
      </c>
      <c r="N7" s="136">
        <f>(IF((VLOOKUP(Table8[[#This Row],[SKU]],'All Skus'!$A:$AC,2,FALSE))="Cinema",(VLOOKUP(Table8[[#This Row],[SKU]],'All Skus'!$A:$AC,18,FALSE)),""))</f>
        <v>3</v>
      </c>
      <c r="O7" s="136">
        <f>(IF((VLOOKUP(Table8[[#This Row],[SKU]],'All Skus'!$A:$AC,2,FALSE))="Cinema",(VLOOKUP(Table8[[#This Row],[SKU]],'All Skus'!$A:$AC,19,FALSE)),""))</f>
        <v>13</v>
      </c>
      <c r="P7" s="136">
        <f>(IF((VLOOKUP(Table8[[#This Row],[SKU]],'All Skus'!$A:$AC,2,FALSE))="Cinema",(VLOOKUP(Table8[[#This Row],[SKU]],'All Skus'!$A:$AC,20,FALSE)),""))</f>
        <v>13</v>
      </c>
      <c r="Q7" s="136">
        <f>(IF((VLOOKUP(Table8[[#This Row],[SKU]],'All Skus'!$A:$AC,2,FALSE))="Cinema",(VLOOKUP(Table8[[#This Row],[SKU]],'All Skus'!$A:$AC,21,FALSE)),""))</f>
        <v>7</v>
      </c>
      <c r="R7" s="61" t="str">
        <f>(IF((VLOOKUP(Table8[[#This Row],[SKU]],'All Skus'!$A:$AC,2,FALSE))="Cinema",(VLOOKUP(Table8[[#This Row],[SKU]],'All Skus'!$A:$AC,22,FALSE)),""))</f>
        <v>MX</v>
      </c>
      <c r="S7" t="str">
        <f>(IF((VLOOKUP(Table8[[#This Row],[SKU]],'All Skus'!$A:$AC,2,FALSE))="Cinema",(VLOOKUP(Table8[[#This Row],[SKU]],'All Skus'!$A:$AC,23,FALSE)),""))</f>
        <v>Compliant</v>
      </c>
      <c r="T7" s="76" t="str">
        <f>HYPERLINK((IF((VLOOKUP(Table8[[#This Row],[SKU]],'All Skus'!$A:$AC,2,FALSE))="Cinema",(VLOOKUP(Table8[[#This Row],[SKU]],'All Skus'!$A:$AC,24,FALSE)),"")))</f>
        <v/>
      </c>
      <c r="U7" s="151">
        <v>5</v>
      </c>
    </row>
    <row r="8" spans="1:22" ht="15" customHeight="1">
      <c r="A8" s="103" t="s">
        <v>1884</v>
      </c>
      <c r="B8" s="12" t="str">
        <f>(IF((VLOOKUP(Table8[[#This Row],[SKU]],'All Skus'!$A:$AC,2,FALSE))="Cinema",(VLOOKUP(Table8[[#This Row],[SKU]],'All Skus'!$A:$AC,3,FALSE)),""))</f>
        <v>Cinema</v>
      </c>
      <c r="C8" s="146" t="str">
        <f>(IF((VLOOKUP(Table8[[#This Row],[SKU]],'All Skus'!$A:$AC,2,FALSE))="Cinema",(VLOOKUP(Table8[[#This Row],[SKU]],'All Skus'!$A:$AC,4,FALSE)),""))</f>
        <v>3732-M/HF-T</v>
      </c>
      <c r="D8" s="61" t="str">
        <f>(IF((VLOOKUP(Table8[[#This Row],[SKU]],'All Skus'!$A:$AC,2,FALSE))="Cinema",(VLOOKUP(Table8[[#This Row],[SKU]],'All Skus'!$A:$AC,5,FALSE)),""))</f>
        <v>JBL030</v>
      </c>
      <c r="E8" s="61" t="str">
        <f>(IF((VLOOKUP(Table8[[#This Row],[SKU]],'All Skus'!$A:$AC,2,FALSE))="Cinema",(VLOOKUP(Table8[[#This Row],[SKU]],'All Skus'!$A:$AC,6,FALSE)),""))</f>
        <v>YES</v>
      </c>
      <c r="F8">
        <f>(IF((VLOOKUP(Table8[[#This Row],[SKU]],'All Skus'!$A:$AC,2,FALSE))="Cinema",(VLOOKUP(Table8[[#This Row],[SKU]],'All Skus'!$A:$AC,7,FALSE)),""))</f>
        <v>0</v>
      </c>
      <c r="G8" s="7" t="str">
        <f>(IF((VLOOKUP(Table8[[#This Row],[SKU]],'All Skus'!$A:$AC,2,FALSE))="Cinema",(VLOOKUP(Table8[[#This Row],[SKU]],'All Skus'!$A:$AC,8,FALSE)),""))</f>
        <v>S/M, 3732-M/HF-T</v>
      </c>
      <c r="H8" s="8" t="str">
        <f>(IF((VLOOKUP(Table8[[#This Row],[SKU]],'All Skus'!$A:$AC,2,FALSE))="Cinema",(VLOOKUP(Table8[[#This Row],[SKU]],'All Skus'!$A:$AC,9,FALSE)),""))</f>
        <v>Mid/High Frequency Section for 3732T System.  Components: Two 165H Mid Frequency and One 2432H High Freq. Pre-Assembled and Pre-Aimed</v>
      </c>
      <c r="I8" s="89">
        <f>(IF((VLOOKUP(Table8[[#This Row],[SKU]],'All Skus'!$A:$AC,2,FALSE))="Cinema",(VLOOKUP(Table8[[#This Row],[SKU]],'All Skus'!$A:$AC,10,FALSE)),""))</f>
        <v>2493.0300000000002</v>
      </c>
      <c r="J8" s="89">
        <f>(IF((VLOOKUP(Table8[[#This Row],[SKU]],'All Skus'!$A:$AC,2,FALSE))="Cinema",(VLOOKUP(Table8[[#This Row],[SKU]],'All Skus'!$A:$AC,11,FALSE)),""))</f>
        <v>2493</v>
      </c>
      <c r="K8" s="135">
        <f>(IF((VLOOKUP(Table8[[#This Row],[SKU]],'All Skus'!$A:$AC,2,FALSE))="Cinema",(VLOOKUP(Table8[[#This Row],[SKU]],'All Skus'!$A:$AC,15,FALSE)),""))</f>
        <v>0</v>
      </c>
      <c r="L8" s="137">
        <f>(IF((VLOOKUP(Table8[[#This Row],[SKU]],'All Skus'!$A:$AC,2,FALSE))="Cinema",(VLOOKUP(Table8[[#This Row],[SKU]],'All Skus'!$A:$AC,16,FALSE)),""))</f>
        <v>691991028410</v>
      </c>
      <c r="M8" s="61">
        <f>(IF((VLOOKUP(Table8[[#This Row],[SKU]],'All Skus'!$A:$AC,2,FALSE))="Cinema",(VLOOKUP(Table8[[#This Row],[SKU]],'All Skus'!$A:$AC,17,FALSE)),""))</f>
        <v>0</v>
      </c>
      <c r="N8" s="136">
        <f>(IF((VLOOKUP(Table8[[#This Row],[SKU]],'All Skus'!$A:$AC,2,FALSE))="Cinema",(VLOOKUP(Table8[[#This Row],[SKU]],'All Skus'!$A:$AC,18,FALSE)),""))</f>
        <v>3</v>
      </c>
      <c r="O8" s="136">
        <f>(IF((VLOOKUP(Table8[[#This Row],[SKU]],'All Skus'!$A:$AC,2,FALSE))="Cinema",(VLOOKUP(Table8[[#This Row],[SKU]],'All Skus'!$A:$AC,19,FALSE)),""))</f>
        <v>13</v>
      </c>
      <c r="P8" s="136">
        <f>(IF((VLOOKUP(Table8[[#This Row],[SKU]],'All Skus'!$A:$AC,2,FALSE))="Cinema",(VLOOKUP(Table8[[#This Row],[SKU]],'All Skus'!$A:$AC,20,FALSE)),""))</f>
        <v>13</v>
      </c>
      <c r="Q8" s="136">
        <f>(IF((VLOOKUP(Table8[[#This Row],[SKU]],'All Skus'!$A:$AC,2,FALSE))="Cinema",(VLOOKUP(Table8[[#This Row],[SKU]],'All Skus'!$A:$AC,21,FALSE)),""))</f>
        <v>8</v>
      </c>
      <c r="R8" s="61" t="str">
        <f>(IF((VLOOKUP(Table8[[#This Row],[SKU]],'All Skus'!$A:$AC,2,FALSE))="Cinema",(VLOOKUP(Table8[[#This Row],[SKU]],'All Skus'!$A:$AC,22,FALSE)),""))</f>
        <v>MX</v>
      </c>
      <c r="S8" t="str">
        <f>(IF((VLOOKUP(Table8[[#This Row],[SKU]],'All Skus'!$A:$AC,2,FALSE))="Cinema",(VLOOKUP(Table8[[#This Row],[SKU]],'All Skus'!$A:$AC,23,FALSE)),""))</f>
        <v>Compliant</v>
      </c>
      <c r="T8" s="76" t="str">
        <f>HYPERLINK((IF((VLOOKUP(Table8[[#This Row],[SKU]],'All Skus'!$A:$AC,2,FALSE))="Cinema",(VLOOKUP(Table8[[#This Row],[SKU]],'All Skus'!$A:$AC,24,FALSE)),"")))</f>
        <v/>
      </c>
      <c r="U8" s="151">
        <v>6</v>
      </c>
    </row>
    <row r="9" spans="1:22" ht="15" customHeight="1">
      <c r="A9" s="103" t="s">
        <v>1885</v>
      </c>
      <c r="B9" s="12" t="str">
        <f>(IF((VLOOKUP(Table8[[#This Row],[SKU]],'All Skus'!$A:$AC,2,FALSE))="Cinema",(VLOOKUP(Table8[[#This Row],[SKU]],'All Skus'!$A:$AC,3,FALSE)),""))</f>
        <v>Cinema</v>
      </c>
      <c r="C9" s="146" t="str">
        <f>(IF((VLOOKUP(Table8[[#This Row],[SKU]],'All Skus'!$A:$AC,2,FALSE))="Cinema",(VLOOKUP(Table8[[#This Row],[SKU]],'All Skus'!$A:$AC,4,FALSE)),""))</f>
        <v>3733-M/HF</v>
      </c>
      <c r="D9" s="61" t="str">
        <f>(IF((VLOOKUP(Table8[[#This Row],[SKU]],'All Skus'!$A:$AC,2,FALSE))="Cinema",(VLOOKUP(Table8[[#This Row],[SKU]],'All Skus'!$A:$AC,5,FALSE)),""))</f>
        <v>JBL030</v>
      </c>
      <c r="E9" s="61" t="str">
        <f>(IF((VLOOKUP(Table8[[#This Row],[SKU]],'All Skus'!$A:$AC,2,FALSE))="Cinema",(VLOOKUP(Table8[[#This Row],[SKU]],'All Skus'!$A:$AC,6,FALSE)),""))</f>
        <v>YES</v>
      </c>
      <c r="F9">
        <f>(IF((VLOOKUP(Table8[[#This Row],[SKU]],'All Skus'!$A:$AC,2,FALSE))="Cinema",(VLOOKUP(Table8[[#This Row],[SKU]],'All Skus'!$A:$AC,7,FALSE)),""))</f>
        <v>0</v>
      </c>
      <c r="G9" s="7" t="str">
        <f>(IF((VLOOKUP(Table8[[#This Row],[SKU]],'All Skus'!$A:$AC,2,FALSE))="Cinema",(VLOOKUP(Table8[[#This Row],[SKU]],'All Skus'!$A:$AC,8,FALSE)),""))</f>
        <v>3733-M/HF</v>
      </c>
      <c r="H9" s="8" t="str">
        <f>(IF((VLOOKUP(Table8[[#This Row],[SKU]],'All Skus'!$A:$AC,2,FALSE))="Cinema",(VLOOKUP(Table8[[#This Row],[SKU]],'All Skus'!$A:$AC,9,FALSE)),""))</f>
        <v>3733-M/HF</v>
      </c>
      <c r="I9" s="89">
        <f>(IF((VLOOKUP(Table8[[#This Row],[SKU]],'All Skus'!$A:$AC,2,FALSE))="Cinema",(VLOOKUP(Table8[[#This Row],[SKU]],'All Skus'!$A:$AC,10,FALSE)),""))</f>
        <v>3303.63</v>
      </c>
      <c r="J9" s="89">
        <f>(IF((VLOOKUP(Table8[[#This Row],[SKU]],'All Skus'!$A:$AC,2,FALSE))="Cinema",(VLOOKUP(Table8[[#This Row],[SKU]],'All Skus'!$A:$AC,11,FALSE)),""))</f>
        <v>3303.63</v>
      </c>
      <c r="K9" s="135">
        <f>(IF((VLOOKUP(Table8[[#This Row],[SKU]],'All Skus'!$A:$AC,2,FALSE))="Cinema",(VLOOKUP(Table8[[#This Row],[SKU]],'All Skus'!$A:$AC,15,FALSE)),""))</f>
        <v>0</v>
      </c>
      <c r="L9" s="137">
        <f>(IF((VLOOKUP(Table8[[#This Row],[SKU]],'All Skus'!$A:$AC,2,FALSE))="Cinema",(VLOOKUP(Table8[[#This Row],[SKU]],'All Skus'!$A:$AC,16,FALSE)),""))</f>
        <v>691991010415</v>
      </c>
      <c r="M9" s="61">
        <f>(IF((VLOOKUP(Table8[[#This Row],[SKU]],'All Skus'!$A:$AC,2,FALSE))="Cinema",(VLOOKUP(Table8[[#This Row],[SKU]],'All Skus'!$A:$AC,17,FALSE)),""))</f>
        <v>0</v>
      </c>
      <c r="N9" s="136">
        <f>(IF((VLOOKUP(Table8[[#This Row],[SKU]],'All Skus'!$A:$AC,2,FALSE))="Cinema",(VLOOKUP(Table8[[#This Row],[SKU]],'All Skus'!$A:$AC,18,FALSE)),""))</f>
        <v>3</v>
      </c>
      <c r="O9" s="136">
        <f>(IF((VLOOKUP(Table8[[#This Row],[SKU]],'All Skus'!$A:$AC,2,FALSE))="Cinema",(VLOOKUP(Table8[[#This Row],[SKU]],'All Skus'!$A:$AC,19,FALSE)),""))</f>
        <v>13</v>
      </c>
      <c r="P9" s="136">
        <f>(IF((VLOOKUP(Table8[[#This Row],[SKU]],'All Skus'!$A:$AC,2,FALSE))="Cinema",(VLOOKUP(Table8[[#This Row],[SKU]],'All Skus'!$A:$AC,20,FALSE)),""))</f>
        <v>13</v>
      </c>
      <c r="Q9" s="136">
        <f>(IF((VLOOKUP(Table8[[#This Row],[SKU]],'All Skus'!$A:$AC,2,FALSE))="Cinema",(VLOOKUP(Table8[[#This Row],[SKU]],'All Skus'!$A:$AC,21,FALSE)),""))</f>
        <v>8</v>
      </c>
      <c r="R9" s="61" t="str">
        <f>(IF((VLOOKUP(Table8[[#This Row],[SKU]],'All Skus'!$A:$AC,2,FALSE))="Cinema",(VLOOKUP(Table8[[#This Row],[SKU]],'All Skus'!$A:$AC,22,FALSE)),""))</f>
        <v>MX</v>
      </c>
      <c r="S9" t="str">
        <f>(IF((VLOOKUP(Table8[[#This Row],[SKU]],'All Skus'!$A:$AC,2,FALSE))="Cinema",(VLOOKUP(Table8[[#This Row],[SKU]],'All Skus'!$A:$AC,23,FALSE)),""))</f>
        <v>Compliant</v>
      </c>
      <c r="T9" s="76" t="str">
        <f>HYPERLINK((IF((VLOOKUP(Table8[[#This Row],[SKU]],'All Skus'!$A:$AC,2,FALSE))="Cinema",(VLOOKUP(Table8[[#This Row],[SKU]],'All Skus'!$A:$AC,24,FALSE)),"")))</f>
        <v/>
      </c>
      <c r="U9" s="151">
        <v>7</v>
      </c>
    </row>
    <row r="10" spans="1:22" ht="15" customHeight="1">
      <c r="A10" s="103" t="s">
        <v>1886</v>
      </c>
      <c r="B10" s="12" t="str">
        <f>(IF((VLOOKUP(Table8[[#This Row],[SKU]],'All Skus'!$A:$AC,2,FALSE))="Cinema",(VLOOKUP(Table8[[#This Row],[SKU]],'All Skus'!$A:$AC,3,FALSE)),""))</f>
        <v>Cinema</v>
      </c>
      <c r="C10" s="146" t="str">
        <f>(IF((VLOOKUP(Table8[[#This Row],[SKU]],'All Skus'!$A:$AC,2,FALSE))="Cinema",(VLOOKUP(Table8[[#This Row],[SKU]],'All Skus'!$A:$AC,4,FALSE)),""))</f>
        <v>3733-MK</v>
      </c>
      <c r="D10" s="61" t="str">
        <f>(IF((VLOOKUP(Table8[[#This Row],[SKU]],'All Skus'!$A:$AC,2,FALSE))="Cinema",(VLOOKUP(Table8[[#This Row],[SKU]],'All Skus'!$A:$AC,5,FALSE)),""))</f>
        <v>JBL030</v>
      </c>
      <c r="E10" s="61" t="str">
        <f>(IF((VLOOKUP(Table8[[#This Row],[SKU]],'All Skus'!$A:$AC,2,FALSE))="Cinema",(VLOOKUP(Table8[[#This Row],[SKU]],'All Skus'!$A:$AC,6,FALSE)),""))</f>
        <v>YES</v>
      </c>
      <c r="F10">
        <f>(IF((VLOOKUP(Table8[[#This Row],[SKU]],'All Skus'!$A:$AC,2,FALSE))="Cinema",(VLOOKUP(Table8[[#This Row],[SKU]],'All Skus'!$A:$AC,7,FALSE)),""))</f>
        <v>0</v>
      </c>
      <c r="G10" s="7" t="str">
        <f>(IF((VLOOKUP(Table8[[#This Row],[SKU]],'All Skus'!$A:$AC,2,FALSE))="Cinema",(VLOOKUP(Table8[[#This Row],[SKU]],'All Skus'!$A:$AC,8,FALSE)),""))</f>
        <v>3733-MK</v>
      </c>
      <c r="H10" s="8" t="str">
        <f>(IF((VLOOKUP(Table8[[#This Row],[SKU]],'All Skus'!$A:$AC,2,FALSE))="Cinema",(VLOOKUP(Table8[[#This Row],[SKU]],'All Skus'!$A:$AC,9,FALSE)),""))</f>
        <v>3733-MK</v>
      </c>
      <c r="I10" s="89">
        <f>(IF((VLOOKUP(Table8[[#This Row],[SKU]],'All Skus'!$A:$AC,2,FALSE))="Cinema",(VLOOKUP(Table8[[#This Row],[SKU]],'All Skus'!$A:$AC,10,FALSE)),""))</f>
        <v>854.68</v>
      </c>
      <c r="J10" s="89">
        <f>(IF((VLOOKUP(Table8[[#This Row],[SKU]],'All Skus'!$A:$AC,2,FALSE))="Cinema",(VLOOKUP(Table8[[#This Row],[SKU]],'All Skus'!$A:$AC,11,FALSE)),""))</f>
        <v>854.68</v>
      </c>
      <c r="K10" s="135">
        <f>(IF((VLOOKUP(Table8[[#This Row],[SKU]],'All Skus'!$A:$AC,2,FALSE))="Cinema",(VLOOKUP(Table8[[#This Row],[SKU]],'All Skus'!$A:$AC,15,FALSE)),""))</f>
        <v>0</v>
      </c>
      <c r="L10" s="137">
        <f>(IF((VLOOKUP(Table8[[#This Row],[SKU]],'All Skus'!$A:$AC,2,FALSE))="Cinema",(VLOOKUP(Table8[[#This Row],[SKU]],'All Skus'!$A:$AC,16,FALSE)),""))</f>
        <v>691991010408</v>
      </c>
      <c r="M10" s="61">
        <f>(IF((VLOOKUP(Table8[[#This Row],[SKU]],'All Skus'!$A:$AC,2,FALSE))="Cinema",(VLOOKUP(Table8[[#This Row],[SKU]],'All Skus'!$A:$AC,17,FALSE)),""))</f>
        <v>0</v>
      </c>
      <c r="N10" s="136">
        <f>(IF((VLOOKUP(Table8[[#This Row],[SKU]],'All Skus'!$A:$AC,2,FALSE))="Cinema",(VLOOKUP(Table8[[#This Row],[SKU]],'All Skus'!$A:$AC,18,FALSE)),""))</f>
        <v>3</v>
      </c>
      <c r="O10" s="136">
        <f>(IF((VLOOKUP(Table8[[#This Row],[SKU]],'All Skus'!$A:$AC,2,FALSE))="Cinema",(VLOOKUP(Table8[[#This Row],[SKU]],'All Skus'!$A:$AC,19,FALSE)),""))</f>
        <v>11</v>
      </c>
      <c r="P10" s="136">
        <f>(IF((VLOOKUP(Table8[[#This Row],[SKU]],'All Skus'!$A:$AC,2,FALSE))="Cinema",(VLOOKUP(Table8[[#This Row],[SKU]],'All Skus'!$A:$AC,20,FALSE)),""))</f>
        <v>11</v>
      </c>
      <c r="Q10" s="136">
        <f>(IF((VLOOKUP(Table8[[#This Row],[SKU]],'All Skus'!$A:$AC,2,FALSE))="Cinema",(VLOOKUP(Table8[[#This Row],[SKU]],'All Skus'!$A:$AC,21,FALSE)),""))</f>
        <v>8</v>
      </c>
      <c r="R10" s="61" t="str">
        <f>(IF((VLOOKUP(Table8[[#This Row],[SKU]],'All Skus'!$A:$AC,2,FALSE))="Cinema",(VLOOKUP(Table8[[#This Row],[SKU]],'All Skus'!$A:$AC,22,FALSE)),""))</f>
        <v>MX</v>
      </c>
      <c r="S10" t="str">
        <f>(IF((VLOOKUP(Table8[[#This Row],[SKU]],'All Skus'!$A:$AC,2,FALSE))="Cinema",(VLOOKUP(Table8[[#This Row],[SKU]],'All Skus'!$A:$AC,23,FALSE)),""))</f>
        <v>Compliant</v>
      </c>
      <c r="T10" s="76" t="str">
        <f>HYPERLINK((IF((VLOOKUP(Table8[[#This Row],[SKU]],'All Skus'!$A:$AC,2,FALSE))="Cinema",(VLOOKUP(Table8[[#This Row],[SKU]],'All Skus'!$A:$AC,24,FALSE)),"")))</f>
        <v/>
      </c>
      <c r="U10" s="151">
        <v>8</v>
      </c>
    </row>
    <row r="11" spans="1:22" ht="15" customHeight="1">
      <c r="A11" s="103" t="s">
        <v>1887</v>
      </c>
      <c r="B11" s="12" t="str">
        <f>(IF((VLOOKUP(Table8[[#This Row],[SKU]],'All Skus'!$A:$AC,2,FALSE))="Cinema",(VLOOKUP(Table8[[#This Row],[SKU]],'All Skus'!$A:$AC,3,FALSE)),""))</f>
        <v>Cinema</v>
      </c>
      <c r="C11" s="146" t="str">
        <f>(IF((VLOOKUP(Table8[[#This Row],[SKU]],'All Skus'!$A:$AC,2,FALSE))="Cinema",(VLOOKUP(Table8[[#This Row],[SKU]],'All Skus'!$A:$AC,4,FALSE)),""))</f>
        <v>4642A</v>
      </c>
      <c r="D11" s="61" t="str">
        <f>(IF((VLOOKUP(Table8[[#This Row],[SKU]],'All Skus'!$A:$AC,2,FALSE))="Cinema",(VLOOKUP(Table8[[#This Row],[SKU]],'All Skus'!$A:$AC,5,FALSE)),""))</f>
        <v>JBL030</v>
      </c>
      <c r="E11" s="61" t="str">
        <f>(IF((VLOOKUP(Table8[[#This Row],[SKU]],'All Skus'!$A:$AC,2,FALSE))="Cinema",(VLOOKUP(Table8[[#This Row],[SKU]],'All Skus'!$A:$AC,6,FALSE)),""))</f>
        <v>YES</v>
      </c>
      <c r="F11">
        <f>(IF((VLOOKUP(Table8[[#This Row],[SKU]],'All Skus'!$A:$AC,2,FALSE))="Cinema",(VLOOKUP(Table8[[#This Row],[SKU]],'All Skus'!$A:$AC,7,FALSE)),""))</f>
        <v>0</v>
      </c>
      <c r="G11" s="7" t="str">
        <f>(IF((VLOOKUP(Table8[[#This Row],[SKU]],'All Skus'!$A:$AC,2,FALSE))="Cinema",(VLOOKUP(Table8[[#This Row],[SKU]],'All Skus'!$A:$AC,8,FALSE)),""))</f>
        <v>2X18 SUBWOOFER SYSTEM</v>
      </c>
      <c r="H11" s="8" t="str">
        <f>(IF((VLOOKUP(Table8[[#This Row],[SKU]],'All Skus'!$A:$AC,2,FALSE))="Cinema",(VLOOKUP(Table8[[#This Row],[SKU]],'All Skus'!$A:$AC,9,FALSE)),""))</f>
        <v>4 ohm, Dual 18" Bass Reflex Subwoofer System.  Components:  Two 2241H Installed in Dual 18" Enclosure, 1200 watts. Approved by Lucasfilm, Ltd., for THX® System Installations.</v>
      </c>
      <c r="I11" s="89">
        <f>(IF((VLOOKUP(Table8[[#This Row],[SKU]],'All Skus'!$A:$AC,2,FALSE))="Cinema",(VLOOKUP(Table8[[#This Row],[SKU]],'All Skus'!$A:$AC,10,FALSE)),""))</f>
        <v>2448.9499999999998</v>
      </c>
      <c r="J11" s="89">
        <f>(IF((VLOOKUP(Table8[[#This Row],[SKU]],'All Skus'!$A:$AC,2,FALSE))="Cinema",(VLOOKUP(Table8[[#This Row],[SKU]],'All Skus'!$A:$AC,11,FALSE)),""))</f>
        <v>2448.9499999999998</v>
      </c>
      <c r="K11" s="135">
        <f>(IF((VLOOKUP(Table8[[#This Row],[SKU]],'All Skus'!$A:$AC,2,FALSE))="Cinema",(VLOOKUP(Table8[[#This Row],[SKU]],'All Skus'!$A:$AC,15,FALSE)),""))</f>
        <v>0</v>
      </c>
      <c r="L11" s="137">
        <f>(IF((VLOOKUP(Table8[[#This Row],[SKU]],'All Skus'!$A:$AC,2,FALSE))="Cinema",(VLOOKUP(Table8[[#This Row],[SKU]],'All Skus'!$A:$AC,16,FALSE)),""))</f>
        <v>691991010408</v>
      </c>
      <c r="M11" s="61">
        <f>(IF((VLOOKUP(Table8[[#This Row],[SKU]],'All Skus'!$A:$AC,2,FALSE))="Cinema",(VLOOKUP(Table8[[#This Row],[SKU]],'All Skus'!$A:$AC,17,FALSE)),""))</f>
        <v>0</v>
      </c>
      <c r="N11" s="136">
        <f>(IF((VLOOKUP(Table8[[#This Row],[SKU]],'All Skus'!$A:$AC,2,FALSE))="Cinema",(VLOOKUP(Table8[[#This Row],[SKU]],'All Skus'!$A:$AC,18,FALSE)),""))</f>
        <v>3</v>
      </c>
      <c r="O11" s="136">
        <f>(IF((VLOOKUP(Table8[[#This Row],[SKU]],'All Skus'!$A:$AC,2,FALSE))="Cinema",(VLOOKUP(Table8[[#This Row],[SKU]],'All Skus'!$A:$AC,19,FALSE)),""))</f>
        <v>10</v>
      </c>
      <c r="P11" s="136">
        <f>(IF((VLOOKUP(Table8[[#This Row],[SKU]],'All Skus'!$A:$AC,2,FALSE))="Cinema",(VLOOKUP(Table8[[#This Row],[SKU]],'All Skus'!$A:$AC,20,FALSE)),""))</f>
        <v>10</v>
      </c>
      <c r="Q11" s="136">
        <f>(IF((VLOOKUP(Table8[[#This Row],[SKU]],'All Skus'!$A:$AC,2,FALSE))="Cinema",(VLOOKUP(Table8[[#This Row],[SKU]],'All Skus'!$A:$AC,21,FALSE)),""))</f>
        <v>8</v>
      </c>
      <c r="R11" s="61" t="str">
        <f>(IF((VLOOKUP(Table8[[#This Row],[SKU]],'All Skus'!$A:$AC,2,FALSE))="Cinema",(VLOOKUP(Table8[[#This Row],[SKU]],'All Skus'!$A:$AC,22,FALSE)),""))</f>
        <v>MX</v>
      </c>
      <c r="S11" t="str">
        <f>(IF((VLOOKUP(Table8[[#This Row],[SKU]],'All Skus'!$A:$AC,2,FALSE))="Cinema",(VLOOKUP(Table8[[#This Row],[SKU]],'All Skus'!$A:$AC,23,FALSE)),""))</f>
        <v>Compliant</v>
      </c>
      <c r="T11" s="76" t="str">
        <f>HYPERLINK((IF((VLOOKUP(Table8[[#This Row],[SKU]],'All Skus'!$A:$AC,2,FALSE))="Cinema",(VLOOKUP(Table8[[#This Row],[SKU]],'All Skus'!$A:$AC,24,FALSE)),"")))</f>
        <v/>
      </c>
      <c r="U11" s="151">
        <v>9</v>
      </c>
    </row>
    <row r="12" spans="1:22" ht="15" customHeight="1">
      <c r="A12" s="103" t="s">
        <v>1888</v>
      </c>
      <c r="B12" s="12" t="str">
        <f>(IF((VLOOKUP(Table8[[#This Row],[SKU]],'All Skus'!$A:$AC,2,FALSE))="Cinema",(VLOOKUP(Table8[[#This Row],[SKU]],'All Skus'!$A:$AC,3,FALSE)),""))</f>
        <v>Cinema</v>
      </c>
      <c r="C12" s="146" t="str">
        <f>(IF((VLOOKUP(Table8[[#This Row],[SKU]],'All Skus'!$A:$AC,2,FALSE))="Cinema",(VLOOKUP(Table8[[#This Row],[SKU]],'All Skus'!$A:$AC,4,FALSE)),""))</f>
        <v>4645C</v>
      </c>
      <c r="D12" s="61" t="str">
        <f>(IF((VLOOKUP(Table8[[#This Row],[SKU]],'All Skus'!$A:$AC,2,FALSE))="Cinema",(VLOOKUP(Table8[[#This Row],[SKU]],'All Skus'!$A:$AC,5,FALSE)),""))</f>
        <v>JBL030</v>
      </c>
      <c r="E12" s="61" t="str">
        <f>(IF((VLOOKUP(Table8[[#This Row],[SKU]],'All Skus'!$A:$AC,2,FALSE))="Cinema",(VLOOKUP(Table8[[#This Row],[SKU]],'All Skus'!$A:$AC,6,FALSE)),""))</f>
        <v>YES</v>
      </c>
      <c r="F12">
        <f>(IF((VLOOKUP(Table8[[#This Row],[SKU]],'All Skus'!$A:$AC,2,FALSE))="Cinema",(VLOOKUP(Table8[[#This Row],[SKU]],'All Skus'!$A:$AC,7,FALSE)),""))</f>
        <v>0</v>
      </c>
      <c r="G12" s="7" t="str">
        <f>(IF((VLOOKUP(Table8[[#This Row],[SKU]],'All Skus'!$A:$AC,2,FALSE))="Cinema",(VLOOKUP(Table8[[#This Row],[SKU]],'All Skus'!$A:$AC,8,FALSE)),""))</f>
        <v>S/M 4645C SINGLE PORT SUB</v>
      </c>
      <c r="H12" s="8" t="str">
        <f>(IF((VLOOKUP(Table8[[#This Row],[SKU]],'All Skus'!$A:$AC,2,FALSE))="Cinema",(VLOOKUP(Table8[[#This Row],[SKU]],'All Skus'!$A:$AC,9,FALSE)),""))</f>
        <v>8 ohm, Single 18" Bass Reflex Subwoofer System.  Components:  2242H Installed in 4518A Enclosure, Single Port,  800 watts. Approved by Lucasfilm, Ltd., for THX® System Installations.</v>
      </c>
      <c r="I12" s="89">
        <f>(IF((VLOOKUP(Table8[[#This Row],[SKU]],'All Skus'!$A:$AC,2,FALSE))="Cinema",(VLOOKUP(Table8[[#This Row],[SKU]],'All Skus'!$A:$AC,10,FALSE)),""))</f>
        <v>1775.49</v>
      </c>
      <c r="J12" s="89">
        <f>(IF((VLOOKUP(Table8[[#This Row],[SKU]],'All Skus'!$A:$AC,2,FALSE))="Cinema",(VLOOKUP(Table8[[#This Row],[SKU]],'All Skus'!$A:$AC,11,FALSE)),""))</f>
        <v>1775.49</v>
      </c>
      <c r="K12" s="135">
        <f>(IF((VLOOKUP(Table8[[#This Row],[SKU]],'All Skus'!$A:$AC,2,FALSE))="Cinema",(VLOOKUP(Table8[[#This Row],[SKU]],'All Skus'!$A:$AC,15,FALSE)),""))</f>
        <v>0</v>
      </c>
      <c r="L12" s="137">
        <f>(IF((VLOOKUP(Table8[[#This Row],[SKU]],'All Skus'!$A:$AC,2,FALSE))="Cinema",(VLOOKUP(Table8[[#This Row],[SKU]],'All Skus'!$A:$AC,16,FALSE)),""))</f>
        <v>691991028526</v>
      </c>
      <c r="M12" s="61">
        <f>(IF((VLOOKUP(Table8[[#This Row],[SKU]],'All Skus'!$A:$AC,2,FALSE))="Cinema",(VLOOKUP(Table8[[#This Row],[SKU]],'All Skus'!$A:$AC,17,FALSE)),""))</f>
        <v>0</v>
      </c>
      <c r="N12" s="136">
        <f>(IF((VLOOKUP(Table8[[#This Row],[SKU]],'All Skus'!$A:$AC,2,FALSE))="Cinema",(VLOOKUP(Table8[[#This Row],[SKU]],'All Skus'!$A:$AC,18,FALSE)),""))</f>
        <v>3</v>
      </c>
      <c r="O12" s="136">
        <f>(IF((VLOOKUP(Table8[[#This Row],[SKU]],'All Skus'!$A:$AC,2,FALSE))="Cinema",(VLOOKUP(Table8[[#This Row],[SKU]],'All Skus'!$A:$AC,19,FALSE)),""))</f>
        <v>18</v>
      </c>
      <c r="P12" s="136">
        <f>(IF((VLOOKUP(Table8[[#This Row],[SKU]],'All Skus'!$A:$AC,2,FALSE))="Cinema",(VLOOKUP(Table8[[#This Row],[SKU]],'All Skus'!$A:$AC,20,FALSE)),""))</f>
        <v>18</v>
      </c>
      <c r="Q12" s="136">
        <f>(IF((VLOOKUP(Table8[[#This Row],[SKU]],'All Skus'!$A:$AC,2,FALSE))="Cinema",(VLOOKUP(Table8[[#This Row],[SKU]],'All Skus'!$A:$AC,21,FALSE)),""))</f>
        <v>8.5</v>
      </c>
      <c r="R12" s="61" t="str">
        <f>(IF((VLOOKUP(Table8[[#This Row],[SKU]],'All Skus'!$A:$AC,2,FALSE))="Cinema",(VLOOKUP(Table8[[#This Row],[SKU]],'All Skus'!$A:$AC,22,FALSE)),""))</f>
        <v>MX</v>
      </c>
      <c r="S12" t="str">
        <f>(IF((VLOOKUP(Table8[[#This Row],[SKU]],'All Skus'!$A:$AC,2,FALSE))="Cinema",(VLOOKUP(Table8[[#This Row],[SKU]],'All Skus'!$A:$AC,23,FALSE)),""))</f>
        <v>Compliant</v>
      </c>
      <c r="T12" s="76" t="str">
        <f>HYPERLINK((IF((VLOOKUP(Table8[[#This Row],[SKU]],'All Skus'!$A:$AC,2,FALSE))="Cinema",(VLOOKUP(Table8[[#This Row],[SKU]],'All Skus'!$A:$AC,24,FALSE)),"")))</f>
        <v/>
      </c>
      <c r="U12" s="151">
        <v>10</v>
      </c>
    </row>
    <row r="13" spans="1:22" ht="15" customHeight="1">
      <c r="A13" s="103" t="s">
        <v>1889</v>
      </c>
      <c r="B13" s="12" t="str">
        <f>(IF((VLOOKUP(Table8[[#This Row],[SKU]],'All Skus'!$A:$AC,2,FALSE))="Cinema",(VLOOKUP(Table8[[#This Row],[SKU]],'All Skus'!$A:$AC,3,FALSE)),""))</f>
        <v>Cinema</v>
      </c>
      <c r="C13" s="146" t="str">
        <f>(IF((VLOOKUP(Table8[[#This Row],[SKU]],'All Skus'!$A:$AC,2,FALSE))="Cinema",(VLOOKUP(Table8[[#This Row],[SKU]],'All Skus'!$A:$AC,4,FALSE)),""))</f>
        <v>4722-HF</v>
      </c>
      <c r="D13" s="61" t="str">
        <f>(IF((VLOOKUP(Table8[[#This Row],[SKU]],'All Skus'!$A:$AC,2,FALSE))="Cinema",(VLOOKUP(Table8[[#This Row],[SKU]],'All Skus'!$A:$AC,5,FALSE)),""))</f>
        <v>JBL030</v>
      </c>
      <c r="E13" s="61">
        <f>(IF((VLOOKUP(Table8[[#This Row],[SKU]],'All Skus'!$A:$AC,2,FALSE))="Cinema",(VLOOKUP(Table8[[#This Row],[SKU]],'All Skus'!$A:$AC,6,FALSE)),""))</f>
        <v>0</v>
      </c>
      <c r="F13">
        <f>(IF((VLOOKUP(Table8[[#This Row],[SKU]],'All Skus'!$A:$AC,2,FALSE))="Cinema",(VLOOKUP(Table8[[#This Row],[SKU]],'All Skus'!$A:$AC,7,FALSE)),""))</f>
        <v>0</v>
      </c>
      <c r="G13" s="7" t="str">
        <f>(IF((VLOOKUP(Table8[[#This Row],[SKU]],'All Skus'!$A:$AC,2,FALSE))="Cinema",(VLOOKUP(Table8[[#This Row],[SKU]],'All Skus'!$A:$AC,8,FALSE)),""))</f>
        <v>S/M, 4722-HF</v>
      </c>
      <c r="H13" s="8" t="str">
        <f>(IF((VLOOKUP(Table8[[#This Row],[SKU]],'All Skus'!$A:$AC,2,FALSE))="Cinema",(VLOOKUP(Table8[[#This Row],[SKU]],'All Skus'!$A:$AC,9,FALSE)),""))</f>
        <v>High Frequency Section for 4722 System – Bi-Amp.  Components: 2384 ScreenArray Horn, 2432H Driver, and Bracket.  Pre-Assembled</v>
      </c>
      <c r="I13" s="89">
        <f>(IF((VLOOKUP(Table8[[#This Row],[SKU]],'All Skus'!$A:$AC,2,FALSE))="Cinema",(VLOOKUP(Table8[[#This Row],[SKU]],'All Skus'!$A:$AC,10,FALSE)),""))</f>
        <v>910.56</v>
      </c>
      <c r="J13" s="89">
        <f>(IF((VLOOKUP(Table8[[#This Row],[SKU]],'All Skus'!$A:$AC,2,FALSE))="Cinema",(VLOOKUP(Table8[[#This Row],[SKU]],'All Skus'!$A:$AC,11,FALSE)),""))</f>
        <v>910.56</v>
      </c>
      <c r="K13" s="135">
        <f>(IF((VLOOKUP(Table8[[#This Row],[SKU]],'All Skus'!$A:$AC,2,FALSE))="Cinema",(VLOOKUP(Table8[[#This Row],[SKU]],'All Skus'!$A:$AC,15,FALSE)),""))</f>
        <v>0</v>
      </c>
      <c r="L13" s="137">
        <f>(IF((VLOOKUP(Table8[[#This Row],[SKU]],'All Skus'!$A:$AC,2,FALSE))="Cinema",(VLOOKUP(Table8[[#This Row],[SKU]],'All Skus'!$A:$AC,16,FALSE)),""))</f>
        <v>691991028533</v>
      </c>
      <c r="M13" s="61">
        <f>(IF((VLOOKUP(Table8[[#This Row],[SKU]],'All Skus'!$A:$AC,2,FALSE))="Cinema",(VLOOKUP(Table8[[#This Row],[SKU]],'All Skus'!$A:$AC,17,FALSE)),""))</f>
        <v>0</v>
      </c>
      <c r="N13" s="136">
        <f>(IF((VLOOKUP(Table8[[#This Row],[SKU]],'All Skus'!$A:$AC,2,FALSE))="Cinema",(VLOOKUP(Table8[[#This Row],[SKU]],'All Skus'!$A:$AC,18,FALSE)),""))</f>
        <v>3</v>
      </c>
      <c r="O13" s="136">
        <f>(IF((VLOOKUP(Table8[[#This Row],[SKU]],'All Skus'!$A:$AC,2,FALSE))="Cinema",(VLOOKUP(Table8[[#This Row],[SKU]],'All Skus'!$A:$AC,19,FALSE)),""))</f>
        <v>7</v>
      </c>
      <c r="P13" s="136">
        <f>(IF((VLOOKUP(Table8[[#This Row],[SKU]],'All Skus'!$A:$AC,2,FALSE))="Cinema",(VLOOKUP(Table8[[#This Row],[SKU]],'All Skus'!$A:$AC,20,FALSE)),""))</f>
        <v>7</v>
      </c>
      <c r="Q13" s="136">
        <f>(IF((VLOOKUP(Table8[[#This Row],[SKU]],'All Skus'!$A:$AC,2,FALSE))="Cinema",(VLOOKUP(Table8[[#This Row],[SKU]],'All Skus'!$A:$AC,21,FALSE)),""))</f>
        <v>6</v>
      </c>
      <c r="R13" s="61" t="str">
        <f>(IF((VLOOKUP(Table8[[#This Row],[SKU]],'All Skus'!$A:$AC,2,FALSE))="Cinema",(VLOOKUP(Table8[[#This Row],[SKU]],'All Skus'!$A:$AC,22,FALSE)),""))</f>
        <v>MX</v>
      </c>
      <c r="S13" t="str">
        <f>(IF((VLOOKUP(Table8[[#This Row],[SKU]],'All Skus'!$A:$AC,2,FALSE))="Cinema",(VLOOKUP(Table8[[#This Row],[SKU]],'All Skus'!$A:$AC,23,FALSE)),""))</f>
        <v>Compliant</v>
      </c>
      <c r="T13" s="76" t="str">
        <f>HYPERLINK((IF((VLOOKUP(Table8[[#This Row],[SKU]],'All Skus'!$A:$AC,2,FALSE))="Cinema",(VLOOKUP(Table8[[#This Row],[SKU]],'All Skus'!$A:$AC,24,FALSE)),"")))</f>
        <v/>
      </c>
      <c r="U13" s="151">
        <v>11</v>
      </c>
    </row>
    <row r="14" spans="1:22" ht="15" customHeight="1">
      <c r="A14" s="103" t="s">
        <v>1890</v>
      </c>
      <c r="B14" s="12" t="str">
        <f>(IF((VLOOKUP(Table8[[#This Row],[SKU]],'All Skus'!$A:$AC,2,FALSE))="Cinema",(VLOOKUP(Table8[[#This Row],[SKU]],'All Skus'!$A:$AC,3,FALSE)),""))</f>
        <v>Cinema</v>
      </c>
      <c r="C14" s="146" t="str">
        <f>(IF((VLOOKUP(Table8[[#This Row],[SKU]],'All Skus'!$A:$AC,2,FALSE))="Cinema",(VLOOKUP(Table8[[#This Row],[SKU]],'All Skus'!$A:$AC,4,FALSE)),""))</f>
        <v>4722N</v>
      </c>
      <c r="D14" s="61">
        <f>(IF((VLOOKUP(Table8[[#This Row],[SKU]],'All Skus'!$A:$AC,2,FALSE))="Cinema",(VLOOKUP(Table8[[#This Row],[SKU]],'All Skus'!$A:$AC,5,FALSE)),""))</f>
        <v>0</v>
      </c>
      <c r="E14" s="61">
        <f>(IF((VLOOKUP(Table8[[#This Row],[SKU]],'All Skus'!$A:$AC,2,FALSE))="Cinema",(VLOOKUP(Table8[[#This Row],[SKU]],'All Skus'!$A:$AC,6,FALSE)),""))</f>
        <v>0</v>
      </c>
      <c r="F14">
        <f>(IF((VLOOKUP(Table8[[#This Row],[SKU]],'All Skus'!$A:$AC,2,FALSE))="Cinema",(VLOOKUP(Table8[[#This Row],[SKU]],'All Skus'!$A:$AC,7,FALSE)),""))</f>
        <v>0</v>
      </c>
      <c r="G14" s="7" t="str">
        <f>(IF((VLOOKUP(Table8[[#This Row],[SKU]],'All Skus'!$A:$AC,2,FALSE))="Cinema",(VLOOKUP(Table8[[#This Row],[SKU]],'All Skus'!$A:$AC,8,FALSE)),""))</f>
        <v>2WAY SCREEN ARRAY W/NTWRK-PASSIVE APPL</v>
      </c>
      <c r="H14" s="8" t="str">
        <f>(IF((VLOOKUP(Table8[[#This Row],[SKU]],'All Skus'!$A:$AC,2,FALSE))="Cinema",(VLOOKUP(Table8[[#This Row],[SKU]],'All Skus'!$A:$AC,9,FALSE)),""))</f>
        <v>Two-Way ScreenArray for Small to Medium Cinemas For Passive Applications, 4722 Model with Network. 750 Hz</v>
      </c>
      <c r="I14" s="89">
        <f>(IF((VLOOKUP(Table8[[#This Row],[SKU]],'All Skus'!$A:$AC,2,FALSE))="Cinema",(VLOOKUP(Table8[[#This Row],[SKU]],'All Skus'!$A:$AC,10,FALSE)),""))</f>
        <v>2483.23</v>
      </c>
      <c r="J14" s="89">
        <f>(IF((VLOOKUP(Table8[[#This Row],[SKU]],'All Skus'!$A:$AC,2,FALSE))="Cinema",(VLOOKUP(Table8[[#This Row],[SKU]],'All Skus'!$A:$AC,11,FALSE)),""))</f>
        <v>2483</v>
      </c>
      <c r="K14" s="135">
        <f>(IF((VLOOKUP(Table8[[#This Row],[SKU]],'All Skus'!$A:$AC,2,FALSE))="Cinema",(VLOOKUP(Table8[[#This Row],[SKU]],'All Skus'!$A:$AC,15,FALSE)),""))</f>
        <v>0</v>
      </c>
      <c r="L14" s="137">
        <f>(IF((VLOOKUP(Table8[[#This Row],[SKU]],'All Skus'!$A:$AC,2,FALSE))="Cinema",(VLOOKUP(Table8[[#This Row],[SKU]],'All Skus'!$A:$AC,16,FALSE)),""))</f>
        <v>691991028625</v>
      </c>
      <c r="M14" s="61">
        <f>(IF((VLOOKUP(Table8[[#This Row],[SKU]],'All Skus'!$A:$AC,2,FALSE))="Cinema",(VLOOKUP(Table8[[#This Row],[SKU]],'All Skus'!$A:$AC,17,FALSE)),""))</f>
        <v>0</v>
      </c>
      <c r="N14" s="136">
        <f>(IF((VLOOKUP(Table8[[#This Row],[SKU]],'All Skus'!$A:$AC,2,FALSE))="Cinema",(VLOOKUP(Table8[[#This Row],[SKU]],'All Skus'!$A:$AC,18,FALSE)),""))</f>
        <v>3</v>
      </c>
      <c r="O14" s="136">
        <f>(IF((VLOOKUP(Table8[[#This Row],[SKU]],'All Skus'!$A:$AC,2,FALSE))="Cinema",(VLOOKUP(Table8[[#This Row],[SKU]],'All Skus'!$A:$AC,19,FALSE)),""))</f>
        <v>7</v>
      </c>
      <c r="P14" s="136">
        <f>(IF((VLOOKUP(Table8[[#This Row],[SKU]],'All Skus'!$A:$AC,2,FALSE))="Cinema",(VLOOKUP(Table8[[#This Row],[SKU]],'All Skus'!$A:$AC,20,FALSE)),""))</f>
        <v>7</v>
      </c>
      <c r="Q14" s="136">
        <f>(IF((VLOOKUP(Table8[[#This Row],[SKU]],'All Skus'!$A:$AC,2,FALSE))="Cinema",(VLOOKUP(Table8[[#This Row],[SKU]],'All Skus'!$A:$AC,21,FALSE)),""))</f>
        <v>7</v>
      </c>
      <c r="R14" s="61" t="str">
        <f>(IF((VLOOKUP(Table8[[#This Row],[SKU]],'All Skus'!$A:$AC,2,FALSE))="Cinema",(VLOOKUP(Table8[[#This Row],[SKU]],'All Skus'!$A:$AC,22,FALSE)),""))</f>
        <v>MX</v>
      </c>
      <c r="S14" t="str">
        <f>(IF((VLOOKUP(Table8[[#This Row],[SKU]],'All Skus'!$A:$AC,2,FALSE))="Cinema",(VLOOKUP(Table8[[#This Row],[SKU]],'All Skus'!$A:$AC,23,FALSE)),""))</f>
        <v>Compliant</v>
      </c>
      <c r="T14" s="76" t="str">
        <f>HYPERLINK((IF((VLOOKUP(Table8[[#This Row],[SKU]],'All Skus'!$A:$AC,2,FALSE))="Cinema",(VLOOKUP(Table8[[#This Row],[SKU]],'All Skus'!$A:$AC,24,FALSE)),"")))</f>
        <v/>
      </c>
      <c r="U14" s="151">
        <v>12</v>
      </c>
    </row>
    <row r="15" spans="1:22" ht="15" customHeight="1">
      <c r="A15" s="103" t="s">
        <v>1891</v>
      </c>
      <c r="B15" s="12" t="str">
        <f>(IF((VLOOKUP(Table8[[#This Row],[SKU]],'All Skus'!$A:$AC,2,FALSE))="Cinema",(VLOOKUP(Table8[[#This Row],[SKU]],'All Skus'!$A:$AC,3,FALSE)),""))</f>
        <v>Cinema</v>
      </c>
      <c r="C15" s="146" t="str">
        <f>(IF((VLOOKUP(Table8[[#This Row],[SKU]],'All Skus'!$A:$AC,2,FALSE))="Cinema",(VLOOKUP(Table8[[#This Row],[SKU]],'All Skus'!$A:$AC,4,FALSE)),""))</f>
        <v>4722N-HF</v>
      </c>
      <c r="D15" s="61" t="str">
        <f>(IF((VLOOKUP(Table8[[#This Row],[SKU]],'All Skus'!$A:$AC,2,FALSE))="Cinema",(VLOOKUP(Table8[[#This Row],[SKU]],'All Skus'!$A:$AC,5,FALSE)),""))</f>
        <v>JBL030</v>
      </c>
      <c r="E15" s="61">
        <f>(IF((VLOOKUP(Table8[[#This Row],[SKU]],'All Skus'!$A:$AC,2,FALSE))="Cinema",(VLOOKUP(Table8[[#This Row],[SKU]],'All Skus'!$A:$AC,6,FALSE)),""))</f>
        <v>0</v>
      </c>
      <c r="F15">
        <f>(IF((VLOOKUP(Table8[[#This Row],[SKU]],'All Skus'!$A:$AC,2,FALSE))="Cinema",(VLOOKUP(Table8[[#This Row],[SKU]],'All Skus'!$A:$AC,7,FALSE)),""))</f>
        <v>0</v>
      </c>
      <c r="G15" s="7" t="str">
        <f>(IF((VLOOKUP(Table8[[#This Row],[SKU]],'All Skus'!$A:$AC,2,FALSE))="Cinema",(VLOOKUP(Table8[[#This Row],[SKU]],'All Skus'!$A:$AC,8,FALSE)),""))</f>
        <v>S/M, 4722N-HF</v>
      </c>
      <c r="H15" s="8" t="str">
        <f>(IF((VLOOKUP(Table8[[#This Row],[SKU]],'All Skus'!$A:$AC,2,FALSE))="Cinema",(VLOOKUP(Table8[[#This Row],[SKU]],'All Skus'!$A:$AC,9,FALSE)),""))</f>
        <v>High Frequency Section for 4722N System – Passive.  Components: 2384 ScreenArray Horn, 2432H Driver, Network and Bracket. Pre-Assembled</v>
      </c>
      <c r="I15" s="89">
        <f>(IF((VLOOKUP(Table8[[#This Row],[SKU]],'All Skus'!$A:$AC,2,FALSE))="Cinema",(VLOOKUP(Table8[[#This Row],[SKU]],'All Skus'!$A:$AC,10,FALSE)),""))</f>
        <v>911.01</v>
      </c>
      <c r="J15" s="89">
        <f>(IF((VLOOKUP(Table8[[#This Row],[SKU]],'All Skus'!$A:$AC,2,FALSE))="Cinema",(VLOOKUP(Table8[[#This Row],[SKU]],'All Skus'!$A:$AC,11,FALSE)),""))</f>
        <v>911</v>
      </c>
      <c r="K15" s="135">
        <f>(IF((VLOOKUP(Table8[[#This Row],[SKU]],'All Skus'!$A:$AC,2,FALSE))="Cinema",(VLOOKUP(Table8[[#This Row],[SKU]],'All Skus'!$A:$AC,15,FALSE)),""))</f>
        <v>0</v>
      </c>
      <c r="L15" s="137">
        <f>(IF((VLOOKUP(Table8[[#This Row],[SKU]],'All Skus'!$A:$AC,2,FALSE))="Cinema",(VLOOKUP(Table8[[#This Row],[SKU]],'All Skus'!$A:$AC,16,FALSE)),""))</f>
        <v>691991028649</v>
      </c>
      <c r="M15" s="61">
        <f>(IF((VLOOKUP(Table8[[#This Row],[SKU]],'All Skus'!$A:$AC,2,FALSE))="Cinema",(VLOOKUP(Table8[[#This Row],[SKU]],'All Skus'!$A:$AC,17,FALSE)),""))</f>
        <v>0</v>
      </c>
      <c r="N15" s="136">
        <f>(IF((VLOOKUP(Table8[[#This Row],[SKU]],'All Skus'!$A:$AC,2,FALSE))="Cinema",(VLOOKUP(Table8[[#This Row],[SKU]],'All Skus'!$A:$AC,18,FALSE)),""))</f>
        <v>3</v>
      </c>
      <c r="O15" s="136">
        <f>(IF((VLOOKUP(Table8[[#This Row],[SKU]],'All Skus'!$A:$AC,2,FALSE))="Cinema",(VLOOKUP(Table8[[#This Row],[SKU]],'All Skus'!$A:$AC,19,FALSE)),""))</f>
        <v>11</v>
      </c>
      <c r="P15" s="136">
        <f>(IF((VLOOKUP(Table8[[#This Row],[SKU]],'All Skus'!$A:$AC,2,FALSE))="Cinema",(VLOOKUP(Table8[[#This Row],[SKU]],'All Skus'!$A:$AC,20,FALSE)),""))</f>
        <v>11</v>
      </c>
      <c r="Q15" s="136">
        <f>(IF((VLOOKUP(Table8[[#This Row],[SKU]],'All Skus'!$A:$AC,2,FALSE))="Cinema",(VLOOKUP(Table8[[#This Row],[SKU]],'All Skus'!$A:$AC,21,FALSE)),""))</f>
        <v>7</v>
      </c>
      <c r="R15" s="61" t="str">
        <f>(IF((VLOOKUP(Table8[[#This Row],[SKU]],'All Skus'!$A:$AC,2,FALSE))="Cinema",(VLOOKUP(Table8[[#This Row],[SKU]],'All Skus'!$A:$AC,22,FALSE)),""))</f>
        <v>MX</v>
      </c>
      <c r="S15" t="str">
        <f>(IF((VLOOKUP(Table8[[#This Row],[SKU]],'All Skus'!$A:$AC,2,FALSE))="Cinema",(VLOOKUP(Table8[[#This Row],[SKU]],'All Skus'!$A:$AC,23,FALSE)),""))</f>
        <v>Compliant</v>
      </c>
      <c r="T15" s="76" t="str">
        <f>HYPERLINK((IF((VLOOKUP(Table8[[#This Row],[SKU]],'All Skus'!$A:$AC,2,FALSE))="Cinema",(VLOOKUP(Table8[[#This Row],[SKU]],'All Skus'!$A:$AC,24,FALSE)),"")))</f>
        <v/>
      </c>
      <c r="U15" s="151">
        <v>13</v>
      </c>
    </row>
    <row r="16" spans="1:22" ht="15" customHeight="1">
      <c r="A16" s="103" t="s">
        <v>1892</v>
      </c>
      <c r="B16" s="12" t="str">
        <f>(IF((VLOOKUP(Table8[[#This Row],[SKU]],'All Skus'!$A:$AC,2,FALSE))="Cinema",(VLOOKUP(Table8[[#This Row],[SKU]],'All Skus'!$A:$AC,3,FALSE)),""))</f>
        <v>Cinema</v>
      </c>
      <c r="C16" s="146" t="str">
        <f>(IF((VLOOKUP(Table8[[#This Row],[SKU]],'All Skus'!$A:$AC,2,FALSE))="Cinema",(VLOOKUP(Table8[[#This Row],[SKU]],'All Skus'!$A:$AC,4,FALSE)),""))</f>
        <v>4732-M/HF</v>
      </c>
      <c r="D16" s="61" t="str">
        <f>(IF((VLOOKUP(Table8[[#This Row],[SKU]],'All Skus'!$A:$AC,2,FALSE))="Cinema",(VLOOKUP(Table8[[#This Row],[SKU]],'All Skus'!$A:$AC,5,FALSE)),""))</f>
        <v>JBL030</v>
      </c>
      <c r="E16" s="61" t="str">
        <f>(IF((VLOOKUP(Table8[[#This Row],[SKU]],'All Skus'!$A:$AC,2,FALSE))="Cinema",(VLOOKUP(Table8[[#This Row],[SKU]],'All Skus'!$A:$AC,6,FALSE)),""))</f>
        <v>YES</v>
      </c>
      <c r="F16">
        <f>(IF((VLOOKUP(Table8[[#This Row],[SKU]],'All Skus'!$A:$AC,2,FALSE))="Cinema",(VLOOKUP(Table8[[#This Row],[SKU]],'All Skus'!$A:$AC,7,FALSE)),""))</f>
        <v>0</v>
      </c>
      <c r="G16" s="7" t="str">
        <f>(IF((VLOOKUP(Table8[[#This Row],[SKU]],'All Skus'!$A:$AC,2,FALSE))="Cinema",(VLOOKUP(Table8[[#This Row],[SKU]],'All Skus'!$A:$AC,8,FALSE)),""))</f>
        <v>S/M, 4732-M/HF</v>
      </c>
      <c r="H16" s="8" t="str">
        <f>(IF((VLOOKUP(Table8[[#This Row],[SKU]],'All Skus'!$A:$AC,2,FALSE))="Cinema",(VLOOKUP(Table8[[#This Row],[SKU]],'All Skus'!$A:$AC,9,FALSE)),""))</f>
        <v>Mid/High Frequency Section for 4732 System.  Components: Four 165H Mid Frequency and One 2432H High Freq. Pre-Assembled and Pre-Aimed</v>
      </c>
      <c r="I16" s="89">
        <f>(IF((VLOOKUP(Table8[[#This Row],[SKU]],'All Skus'!$A:$AC,2,FALSE))="Cinema",(VLOOKUP(Table8[[#This Row],[SKU]],'All Skus'!$A:$AC,10,FALSE)),""))</f>
        <v>3183.63</v>
      </c>
      <c r="J16" s="89">
        <f>(IF((VLOOKUP(Table8[[#This Row],[SKU]],'All Skus'!$A:$AC,2,FALSE))="Cinema",(VLOOKUP(Table8[[#This Row],[SKU]],'All Skus'!$A:$AC,11,FALSE)),""))</f>
        <v>3183.63</v>
      </c>
      <c r="K16" s="135">
        <f>(IF((VLOOKUP(Table8[[#This Row],[SKU]],'All Skus'!$A:$AC,2,FALSE))="Cinema",(VLOOKUP(Table8[[#This Row],[SKU]],'All Skus'!$A:$AC,15,FALSE)),""))</f>
        <v>0</v>
      </c>
      <c r="L16" s="137">
        <f>(IF((VLOOKUP(Table8[[#This Row],[SKU]],'All Skus'!$A:$AC,2,FALSE))="Cinema",(VLOOKUP(Table8[[#This Row],[SKU]],'All Skus'!$A:$AC,16,FALSE)),""))</f>
        <v>691991028656</v>
      </c>
      <c r="M16" s="61">
        <f>(IF((VLOOKUP(Table8[[#This Row],[SKU]],'All Skus'!$A:$AC,2,FALSE))="Cinema",(VLOOKUP(Table8[[#This Row],[SKU]],'All Skus'!$A:$AC,17,FALSE)),""))</f>
        <v>0</v>
      </c>
      <c r="N16" s="136">
        <f>(IF((VLOOKUP(Table8[[#This Row],[SKU]],'All Skus'!$A:$AC,2,FALSE))="Cinema",(VLOOKUP(Table8[[#This Row],[SKU]],'All Skus'!$A:$AC,18,FALSE)),""))</f>
        <v>3</v>
      </c>
      <c r="O16" s="136">
        <f>(IF((VLOOKUP(Table8[[#This Row],[SKU]],'All Skus'!$A:$AC,2,FALSE))="Cinema",(VLOOKUP(Table8[[#This Row],[SKU]],'All Skus'!$A:$AC,19,FALSE)),""))</f>
        <v>15</v>
      </c>
      <c r="P16" s="136">
        <f>(IF((VLOOKUP(Table8[[#This Row],[SKU]],'All Skus'!$A:$AC,2,FALSE))="Cinema",(VLOOKUP(Table8[[#This Row],[SKU]],'All Skus'!$A:$AC,20,FALSE)),""))</f>
        <v>15</v>
      </c>
      <c r="Q16" s="136">
        <f>(IF((VLOOKUP(Table8[[#This Row],[SKU]],'All Skus'!$A:$AC,2,FALSE))="Cinema",(VLOOKUP(Table8[[#This Row],[SKU]],'All Skus'!$A:$AC,21,FALSE)),""))</f>
        <v>9</v>
      </c>
      <c r="R16" s="61" t="str">
        <f>(IF((VLOOKUP(Table8[[#This Row],[SKU]],'All Skus'!$A:$AC,2,FALSE))="Cinema",(VLOOKUP(Table8[[#This Row],[SKU]],'All Skus'!$A:$AC,22,FALSE)),""))</f>
        <v>MX</v>
      </c>
      <c r="S16" t="str">
        <f>(IF((VLOOKUP(Table8[[#This Row],[SKU]],'All Skus'!$A:$AC,2,FALSE))="Cinema",(VLOOKUP(Table8[[#This Row],[SKU]],'All Skus'!$A:$AC,23,FALSE)),""))</f>
        <v>Compliant</v>
      </c>
      <c r="T16" s="76" t="str">
        <f>HYPERLINK((IF((VLOOKUP(Table8[[#This Row],[SKU]],'All Skus'!$A:$AC,2,FALSE))="Cinema",(VLOOKUP(Table8[[#This Row],[SKU]],'All Skus'!$A:$AC,24,FALSE)),"")))</f>
        <v/>
      </c>
      <c r="U16" s="151">
        <v>14</v>
      </c>
    </row>
    <row r="17" spans="1:21" ht="15" customHeight="1">
      <c r="A17" s="103" t="s">
        <v>1893</v>
      </c>
      <c r="B17" s="12" t="str">
        <f>(IF((VLOOKUP(Table8[[#This Row],[SKU]],'All Skus'!$A:$AC,2,FALSE))="Cinema",(VLOOKUP(Table8[[#This Row],[SKU]],'All Skus'!$A:$AC,3,FALSE)),""))</f>
        <v>Cinema</v>
      </c>
      <c r="C17" s="146" t="str">
        <f>(IF((VLOOKUP(Table8[[#This Row],[SKU]],'All Skus'!$A:$AC,2,FALSE))="Cinema",(VLOOKUP(Table8[[#This Row],[SKU]],'All Skus'!$A:$AC,4,FALSE)),""))</f>
        <v>4732-M/HF-T</v>
      </c>
      <c r="D17" s="61" t="str">
        <f>(IF((VLOOKUP(Table8[[#This Row],[SKU]],'All Skus'!$A:$AC,2,FALSE))="Cinema",(VLOOKUP(Table8[[#This Row],[SKU]],'All Skus'!$A:$AC,5,FALSE)),""))</f>
        <v>JBL030</v>
      </c>
      <c r="E17" s="61" t="str">
        <f>(IF((VLOOKUP(Table8[[#This Row],[SKU]],'All Skus'!$A:$AC,2,FALSE))="Cinema",(VLOOKUP(Table8[[#This Row],[SKU]],'All Skus'!$A:$AC,6,FALSE)),""))</f>
        <v>YES</v>
      </c>
      <c r="F17">
        <f>(IF((VLOOKUP(Table8[[#This Row],[SKU]],'All Skus'!$A:$AC,2,FALSE))="Cinema",(VLOOKUP(Table8[[#This Row],[SKU]],'All Skus'!$A:$AC,7,FALSE)),""))</f>
        <v>0</v>
      </c>
      <c r="G17" s="7" t="str">
        <f>(IF((VLOOKUP(Table8[[#This Row],[SKU]],'All Skus'!$A:$AC,2,FALSE))="Cinema",(VLOOKUP(Table8[[#This Row],[SKU]],'All Skus'!$A:$AC,8,FALSE)),""))</f>
        <v>S/M, 4732-M/HF-T</v>
      </c>
      <c r="H17" s="8" t="str">
        <f>(IF((VLOOKUP(Table8[[#This Row],[SKU]],'All Skus'!$A:$AC,2,FALSE))="Cinema",(VLOOKUP(Table8[[#This Row],[SKU]],'All Skus'!$A:$AC,9,FALSE)),""))</f>
        <v>Mid/High Frequency Section for 4732T System Components: Four 165H 6.5” Mid Range and One 2432H High Freq. Pre-Assembled and Pre-Aimed</v>
      </c>
      <c r="I17" s="89">
        <f>(IF((VLOOKUP(Table8[[#This Row],[SKU]],'All Skus'!$A:$AC,2,FALSE))="Cinema",(VLOOKUP(Table8[[#This Row],[SKU]],'All Skus'!$A:$AC,10,FALSE)),""))</f>
        <v>3183.63</v>
      </c>
      <c r="J17" s="89">
        <f>(IF((VLOOKUP(Table8[[#This Row],[SKU]],'All Skus'!$A:$AC,2,FALSE))="Cinema",(VLOOKUP(Table8[[#This Row],[SKU]],'All Skus'!$A:$AC,11,FALSE)),""))</f>
        <v>3183.63</v>
      </c>
      <c r="K17" s="135">
        <f>(IF((VLOOKUP(Table8[[#This Row],[SKU]],'All Skus'!$A:$AC,2,FALSE))="Cinema",(VLOOKUP(Table8[[#This Row],[SKU]],'All Skus'!$A:$AC,15,FALSE)),""))</f>
        <v>0</v>
      </c>
      <c r="L17" s="137">
        <f>(IF((VLOOKUP(Table8[[#This Row],[SKU]],'All Skus'!$A:$AC,2,FALSE))="Cinema",(VLOOKUP(Table8[[#This Row],[SKU]],'All Skus'!$A:$AC,16,FALSE)),""))</f>
        <v>691991028670</v>
      </c>
      <c r="M17" s="61">
        <f>(IF((VLOOKUP(Table8[[#This Row],[SKU]],'All Skus'!$A:$AC,2,FALSE))="Cinema",(VLOOKUP(Table8[[#This Row],[SKU]],'All Skus'!$A:$AC,17,FALSE)),""))</f>
        <v>0</v>
      </c>
      <c r="N17" s="136">
        <f>(IF((VLOOKUP(Table8[[#This Row],[SKU]],'All Skus'!$A:$AC,2,FALSE))="Cinema",(VLOOKUP(Table8[[#This Row],[SKU]],'All Skus'!$A:$AC,18,FALSE)),""))</f>
        <v>3</v>
      </c>
      <c r="O17" s="136">
        <f>(IF((VLOOKUP(Table8[[#This Row],[SKU]],'All Skus'!$A:$AC,2,FALSE))="Cinema",(VLOOKUP(Table8[[#This Row],[SKU]],'All Skus'!$A:$AC,19,FALSE)),""))</f>
        <v>15</v>
      </c>
      <c r="P17" s="136">
        <f>(IF((VLOOKUP(Table8[[#This Row],[SKU]],'All Skus'!$A:$AC,2,FALSE))="Cinema",(VLOOKUP(Table8[[#This Row],[SKU]],'All Skus'!$A:$AC,20,FALSE)),""))</f>
        <v>15</v>
      </c>
      <c r="Q17" s="136">
        <f>(IF((VLOOKUP(Table8[[#This Row],[SKU]],'All Skus'!$A:$AC,2,FALSE))="Cinema",(VLOOKUP(Table8[[#This Row],[SKU]],'All Skus'!$A:$AC,21,FALSE)),""))</f>
        <v>9</v>
      </c>
      <c r="R17" s="61" t="str">
        <f>(IF((VLOOKUP(Table8[[#This Row],[SKU]],'All Skus'!$A:$AC,2,FALSE))="Cinema",(VLOOKUP(Table8[[#This Row],[SKU]],'All Skus'!$A:$AC,22,FALSE)),""))</f>
        <v>MX</v>
      </c>
      <c r="S17" t="str">
        <f>(IF((VLOOKUP(Table8[[#This Row],[SKU]],'All Skus'!$A:$AC,2,FALSE))="Cinema",(VLOOKUP(Table8[[#This Row],[SKU]],'All Skus'!$A:$AC,23,FALSE)),""))</f>
        <v>Compliant</v>
      </c>
      <c r="T17" s="76" t="str">
        <f>HYPERLINK((IF((VLOOKUP(Table8[[#This Row],[SKU]],'All Skus'!$A:$AC,2,FALSE))="Cinema",(VLOOKUP(Table8[[#This Row],[SKU]],'All Skus'!$A:$AC,24,FALSE)),"")))</f>
        <v/>
      </c>
      <c r="U17" s="151">
        <v>15</v>
      </c>
    </row>
    <row r="18" spans="1:21" ht="15" customHeight="1">
      <c r="A18" s="103" t="s">
        <v>1894</v>
      </c>
      <c r="B18" s="12" t="str">
        <f>(IF((VLOOKUP(Table8[[#This Row],[SKU]],'All Skus'!$A:$AC,2,FALSE))="Cinema",(VLOOKUP(Table8[[#This Row],[SKU]],'All Skus'!$A:$AC,3,FALSE)),""))</f>
        <v>Cinema</v>
      </c>
      <c r="C18" s="146" t="str">
        <f>(IF((VLOOKUP(Table8[[#This Row],[SKU]],'All Skus'!$A:$AC,2,FALSE))="Cinema",(VLOOKUP(Table8[[#This Row],[SKU]],'All Skus'!$A:$AC,4,FALSE)),""))</f>
        <v>5732-M/HF</v>
      </c>
      <c r="D18" s="61" t="str">
        <f>(IF((VLOOKUP(Table8[[#This Row],[SKU]],'All Skus'!$A:$AC,2,FALSE))="Cinema",(VLOOKUP(Table8[[#This Row],[SKU]],'All Skus'!$A:$AC,5,FALSE)),""))</f>
        <v>JBL030</v>
      </c>
      <c r="E18" s="61" t="str">
        <f>(IF((VLOOKUP(Table8[[#This Row],[SKU]],'All Skus'!$A:$AC,2,FALSE))="Cinema",(VLOOKUP(Table8[[#This Row],[SKU]],'All Skus'!$A:$AC,6,FALSE)),""))</f>
        <v>YES</v>
      </c>
      <c r="F18">
        <f>(IF((VLOOKUP(Table8[[#This Row],[SKU]],'All Skus'!$A:$AC,2,FALSE))="Cinema",(VLOOKUP(Table8[[#This Row],[SKU]],'All Skus'!$A:$AC,7,FALSE)),""))</f>
        <v>0</v>
      </c>
      <c r="G18" s="7" t="str">
        <f>(IF((VLOOKUP(Table8[[#This Row],[SKU]],'All Skus'!$A:$AC,2,FALSE))="Cinema",(VLOOKUP(Table8[[#This Row],[SKU]],'All Skus'!$A:$AC,8,FALSE)),""))</f>
        <v>MID HIGH SECTION 3-WAY SCREEN ARRAY</v>
      </c>
      <c r="H18" s="8" t="str">
        <f>(IF((VLOOKUP(Table8[[#This Row],[SKU]],'All Skus'!$A:$AC,2,FALSE))="Cinema",(VLOOKUP(Table8[[#This Row],[SKU]],'All Skus'!$A:$AC,9,FALSE)),""))</f>
        <v>Mid-High Frequency Section for 5732 System. Components: Two 2169J 200mm (8 inch) Differential Drive® Mid Frequency and one 2452H-SL 4” Titanium Diaphragm High Frequency Compression Driver.  Pre-Assembled and Pre-Aimed.</v>
      </c>
      <c r="I18" s="89">
        <f>(IF((VLOOKUP(Table8[[#This Row],[SKU]],'All Skus'!$A:$AC,2,FALSE))="Cinema",(VLOOKUP(Table8[[#This Row],[SKU]],'All Skus'!$A:$AC,10,FALSE)),""))</f>
        <v>3183.63</v>
      </c>
      <c r="J18" s="89">
        <f>(IF((VLOOKUP(Table8[[#This Row],[SKU]],'All Skus'!$A:$AC,2,FALSE))="Cinema",(VLOOKUP(Table8[[#This Row],[SKU]],'All Skus'!$A:$AC,11,FALSE)),""))</f>
        <v>3183.63</v>
      </c>
      <c r="K18" s="135">
        <f>(IF((VLOOKUP(Table8[[#This Row],[SKU]],'All Skus'!$A:$AC,2,FALSE))="Cinema",(VLOOKUP(Table8[[#This Row],[SKU]],'All Skus'!$A:$AC,15,FALSE)),""))</f>
        <v>0</v>
      </c>
      <c r="L18" s="137">
        <f>(IF((VLOOKUP(Table8[[#This Row],[SKU]],'All Skus'!$A:$AC,2,FALSE))="Cinema",(VLOOKUP(Table8[[#This Row],[SKU]],'All Skus'!$A:$AC,16,FALSE)),""))</f>
        <v>691991028694</v>
      </c>
      <c r="M18" s="61">
        <f>(IF((VLOOKUP(Table8[[#This Row],[SKU]],'All Skus'!$A:$AC,2,FALSE))="Cinema",(VLOOKUP(Table8[[#This Row],[SKU]],'All Skus'!$A:$AC,17,FALSE)),""))</f>
        <v>0</v>
      </c>
      <c r="N18" s="136">
        <f>(IF((VLOOKUP(Table8[[#This Row],[SKU]],'All Skus'!$A:$AC,2,FALSE))="Cinema",(VLOOKUP(Table8[[#This Row],[SKU]],'All Skus'!$A:$AC,18,FALSE)),""))</f>
        <v>3</v>
      </c>
      <c r="O18" s="136">
        <f>(IF((VLOOKUP(Table8[[#This Row],[SKU]],'All Skus'!$A:$AC,2,FALSE))="Cinema",(VLOOKUP(Table8[[#This Row],[SKU]],'All Skus'!$A:$AC,19,FALSE)),""))</f>
        <v>18</v>
      </c>
      <c r="P18" s="136">
        <f>(IF((VLOOKUP(Table8[[#This Row],[SKU]],'All Skus'!$A:$AC,2,FALSE))="Cinema",(VLOOKUP(Table8[[#This Row],[SKU]],'All Skus'!$A:$AC,20,FALSE)),""))</f>
        <v>28</v>
      </c>
      <c r="Q18" s="136">
        <f>(IF((VLOOKUP(Table8[[#This Row],[SKU]],'All Skus'!$A:$AC,2,FALSE))="Cinema",(VLOOKUP(Table8[[#This Row],[SKU]],'All Skus'!$A:$AC,21,FALSE)),""))</f>
        <v>10</v>
      </c>
      <c r="R18" s="61" t="str">
        <f>(IF((VLOOKUP(Table8[[#This Row],[SKU]],'All Skus'!$A:$AC,2,FALSE))="Cinema",(VLOOKUP(Table8[[#This Row],[SKU]],'All Skus'!$A:$AC,22,FALSE)),""))</f>
        <v>MX</v>
      </c>
      <c r="S18" t="str">
        <f>(IF((VLOOKUP(Table8[[#This Row],[SKU]],'All Skus'!$A:$AC,2,FALSE))="Cinema",(VLOOKUP(Table8[[#This Row],[SKU]],'All Skus'!$A:$AC,23,FALSE)),""))</f>
        <v>Compliant</v>
      </c>
      <c r="T18" s="76" t="str">
        <f>HYPERLINK((IF((VLOOKUP(Table8[[#This Row],[SKU]],'All Skus'!$A:$AC,2,FALSE))="Cinema",(VLOOKUP(Table8[[#This Row],[SKU]],'All Skus'!$A:$AC,24,FALSE)),"")))</f>
        <v/>
      </c>
      <c r="U18" s="151">
        <v>16</v>
      </c>
    </row>
    <row r="19" spans="1:21" ht="15" customHeight="1">
      <c r="A19" s="103" t="s">
        <v>1895</v>
      </c>
      <c r="B19" s="12" t="str">
        <f>(IF((VLOOKUP(Table8[[#This Row],[SKU]],'All Skus'!$A:$AC,2,FALSE))="Cinema",(VLOOKUP(Table8[[#This Row],[SKU]],'All Skus'!$A:$AC,3,FALSE)),""))</f>
        <v>Cinema</v>
      </c>
      <c r="C19" s="146" t="str">
        <f>(IF((VLOOKUP(Table8[[#This Row],[SKU]],'All Skus'!$A:$AC,2,FALSE))="Cinema",(VLOOKUP(Table8[[#This Row],[SKU]],'All Skus'!$A:$AC,4,FALSE)),""))</f>
        <v>5742-M/HF</v>
      </c>
      <c r="D19" s="61" t="str">
        <f>(IF((VLOOKUP(Table8[[#This Row],[SKU]],'All Skus'!$A:$AC,2,FALSE))="Cinema",(VLOOKUP(Table8[[#This Row],[SKU]],'All Skus'!$A:$AC,5,FALSE)),""))</f>
        <v>JBL030</v>
      </c>
      <c r="E19" s="61" t="str">
        <f>(IF((VLOOKUP(Table8[[#This Row],[SKU]],'All Skus'!$A:$AC,2,FALSE))="Cinema",(VLOOKUP(Table8[[#This Row],[SKU]],'All Skus'!$A:$AC,6,FALSE)),""))</f>
        <v>YES</v>
      </c>
      <c r="F19">
        <f>(IF((VLOOKUP(Table8[[#This Row],[SKU]],'All Skus'!$A:$AC,2,FALSE))="Cinema",(VLOOKUP(Table8[[#This Row],[SKU]],'All Skus'!$A:$AC,7,FALSE)),""))</f>
        <v>0</v>
      </c>
      <c r="G19" s="7" t="str">
        <f>(IF((VLOOKUP(Table8[[#This Row],[SKU]],'All Skus'!$A:$AC,2,FALSE))="Cinema",(VLOOKUP(Table8[[#This Row],[SKU]],'All Skus'!$A:$AC,8,FALSE)),""))</f>
        <v>HIGH POWER 4-WAY SCREEN ARRAY M/HF</v>
      </c>
      <c r="H19" s="8" t="str">
        <f>(IF((VLOOKUP(Table8[[#This Row],[SKU]],'All Skus'!$A:$AC,2,FALSE))="Cinema",(VLOOKUP(Table8[[#This Row],[SKU]],'All Skus'!$A:$AC,9,FALSE)),""))</f>
        <v>Mid-High Frequency Section for 5742 System. Components: Four 2169J 200mm (8 inch) Differential Drive® Mid Frequency and one 2452H-SL 4” Titanium Diaphragm High Frequency Compression Driver.  Pre-Assembled and Pre-Aimed.</v>
      </c>
      <c r="I19" s="89">
        <f>(IF((VLOOKUP(Table8[[#This Row],[SKU]],'All Skus'!$A:$AC,2,FALSE))="Cinema",(VLOOKUP(Table8[[#This Row],[SKU]],'All Skus'!$A:$AC,10,FALSE)),""))</f>
        <v>4163.21</v>
      </c>
      <c r="J19" s="89">
        <f>(IF((VLOOKUP(Table8[[#This Row],[SKU]],'All Skus'!$A:$AC,2,FALSE))="Cinema",(VLOOKUP(Table8[[#This Row],[SKU]],'All Skus'!$A:$AC,11,FALSE)),""))</f>
        <v>4163</v>
      </c>
      <c r="K19" s="135">
        <f>(IF((VLOOKUP(Table8[[#This Row],[SKU]],'All Skus'!$A:$AC,2,FALSE))="Cinema",(VLOOKUP(Table8[[#This Row],[SKU]],'All Skus'!$A:$AC,15,FALSE)),""))</f>
        <v>0</v>
      </c>
      <c r="L19" s="137">
        <f>(IF((VLOOKUP(Table8[[#This Row],[SKU]],'All Skus'!$A:$AC,2,FALSE))="Cinema",(VLOOKUP(Table8[[#This Row],[SKU]],'All Skus'!$A:$AC,16,FALSE)),""))</f>
        <v>691991028762</v>
      </c>
      <c r="M19" s="61">
        <f>(IF((VLOOKUP(Table8[[#This Row],[SKU]],'All Skus'!$A:$AC,2,FALSE))="Cinema",(VLOOKUP(Table8[[#This Row],[SKU]],'All Skus'!$A:$AC,17,FALSE)),""))</f>
        <v>0</v>
      </c>
      <c r="N19" s="136">
        <f>(IF((VLOOKUP(Table8[[#This Row],[SKU]],'All Skus'!$A:$AC,2,FALSE))="Cinema",(VLOOKUP(Table8[[#This Row],[SKU]],'All Skus'!$A:$AC,18,FALSE)),""))</f>
        <v>3</v>
      </c>
      <c r="O19" s="136">
        <f>(IF((VLOOKUP(Table8[[#This Row],[SKU]],'All Skus'!$A:$AC,2,FALSE))="Cinema",(VLOOKUP(Table8[[#This Row],[SKU]],'All Skus'!$A:$AC,19,FALSE)),""))</f>
        <v>11</v>
      </c>
      <c r="P19" s="136">
        <f>(IF((VLOOKUP(Table8[[#This Row],[SKU]],'All Skus'!$A:$AC,2,FALSE))="Cinema",(VLOOKUP(Table8[[#This Row],[SKU]],'All Skus'!$A:$AC,20,FALSE)),""))</f>
        <v>11</v>
      </c>
      <c r="Q19" s="136">
        <f>(IF((VLOOKUP(Table8[[#This Row],[SKU]],'All Skus'!$A:$AC,2,FALSE))="Cinema",(VLOOKUP(Table8[[#This Row],[SKU]],'All Skus'!$A:$AC,21,FALSE)),""))</f>
        <v>8</v>
      </c>
      <c r="R19" s="61" t="str">
        <f>(IF((VLOOKUP(Table8[[#This Row],[SKU]],'All Skus'!$A:$AC,2,FALSE))="Cinema",(VLOOKUP(Table8[[#This Row],[SKU]],'All Skus'!$A:$AC,22,FALSE)),""))</f>
        <v>MX</v>
      </c>
      <c r="S19" t="str">
        <f>(IF((VLOOKUP(Table8[[#This Row],[SKU]],'All Skus'!$A:$AC,2,FALSE))="Cinema",(VLOOKUP(Table8[[#This Row],[SKU]],'All Skus'!$A:$AC,23,FALSE)),""))</f>
        <v>Compliant</v>
      </c>
      <c r="T19" s="76" t="str">
        <f>HYPERLINK((IF((VLOOKUP(Table8[[#This Row],[SKU]],'All Skus'!$A:$AC,2,FALSE))="Cinema",(VLOOKUP(Table8[[#This Row],[SKU]],'All Skus'!$A:$AC,24,FALSE)),"")))</f>
        <v/>
      </c>
      <c r="U19" s="151">
        <v>17</v>
      </c>
    </row>
    <row r="20" spans="1:21" ht="15" customHeight="1">
      <c r="A20" s="103" t="s">
        <v>1896</v>
      </c>
      <c r="B20" s="12" t="str">
        <f>(IF((VLOOKUP(Table8[[#This Row],[SKU]],'All Skus'!$A:$AC,2,FALSE))="Cinema",(VLOOKUP(Table8[[#This Row],[SKU]],'All Skus'!$A:$AC,3,FALSE)),""))</f>
        <v>Cinema</v>
      </c>
      <c r="C20" s="146" t="str">
        <f>(IF((VLOOKUP(Table8[[#This Row],[SKU]],'All Skus'!$A:$AC,2,FALSE))="Cinema",(VLOOKUP(Table8[[#This Row],[SKU]],'All Skus'!$A:$AC,4,FALSE)),""))</f>
        <v>C211</v>
      </c>
      <c r="D20" s="61" t="str">
        <f>(IF((VLOOKUP(Table8[[#This Row],[SKU]],'All Skus'!$A:$AC,2,FALSE))="Cinema",(VLOOKUP(Table8[[#This Row],[SKU]],'All Skus'!$A:$AC,5,FALSE)),""))</f>
        <v>JBL030</v>
      </c>
      <c r="E20" s="61">
        <f>(IF((VLOOKUP(Table8[[#This Row],[SKU]],'All Skus'!$A:$AC,2,FALSE))="Cinema",(VLOOKUP(Table8[[#This Row],[SKU]],'All Skus'!$A:$AC,6,FALSE)),""))</f>
        <v>0</v>
      </c>
      <c r="F20">
        <f>(IF((VLOOKUP(Table8[[#This Row],[SKU]],'All Skus'!$A:$AC,2,FALSE))="Cinema",(VLOOKUP(Table8[[#This Row],[SKU]],'All Skus'!$A:$AC,7,FALSE)),""))</f>
        <v>0</v>
      </c>
      <c r="G20" s="7" t="str">
        <f>(IF((VLOOKUP(Table8[[#This Row],[SKU]],'All Skus'!$A:$AC,2,FALSE))="Cinema",(VLOOKUP(Table8[[#This Row],[SKU]],'All Skus'!$A:$AC,8,FALSE)),""))</f>
        <v>Two-Way ScreenArray® Cinema Loudspeaker</v>
      </c>
      <c r="H20" s="8" t="str">
        <f>(IF((VLOOKUP(Table8[[#This Row],[SKU]],'All Skus'!$A:$AC,2,FALSE))="Cinema",(VLOOKUP(Table8[[#This Row],[SKU]],'All Skus'!$A:$AC,9,FALSE)),""))</f>
        <v>Two-Way ScreenArray® Cinema Loudspeaker</v>
      </c>
      <c r="I20" s="89">
        <f>(IF((VLOOKUP(Table8[[#This Row],[SKU]],'All Skus'!$A:$AC,2,FALSE))="Cinema",(VLOOKUP(Table8[[#This Row],[SKU]],'All Skus'!$A:$AC,10,FALSE)),""))</f>
        <v>915.29</v>
      </c>
      <c r="J20" s="89">
        <f>(IF((VLOOKUP(Table8[[#This Row],[SKU]],'All Skus'!$A:$AC,2,FALSE))="Cinema",(VLOOKUP(Table8[[#This Row],[SKU]],'All Skus'!$A:$AC,11,FALSE)),""))</f>
        <v>915.29</v>
      </c>
      <c r="K20" s="135">
        <f>(IF((VLOOKUP(Table8[[#This Row],[SKU]],'All Skus'!$A:$AC,2,FALSE))="Cinema",(VLOOKUP(Table8[[#This Row],[SKU]],'All Skus'!$A:$AC,15,FALSE)),""))</f>
        <v>1</v>
      </c>
      <c r="L20" s="137">
        <f>(IF((VLOOKUP(Table8[[#This Row],[SKU]],'All Skus'!$A:$AC,2,FALSE))="Cinema",(VLOOKUP(Table8[[#This Row],[SKU]],'All Skus'!$A:$AC,16,FALSE)),""))</f>
        <v>691991007668</v>
      </c>
      <c r="M20" s="61">
        <f>(IF((VLOOKUP(Table8[[#This Row],[SKU]],'All Skus'!$A:$AC,2,FALSE))="Cinema",(VLOOKUP(Table8[[#This Row],[SKU]],'All Skus'!$A:$AC,17,FALSE)),""))</f>
        <v>0</v>
      </c>
      <c r="N20" s="136">
        <f>(IF((VLOOKUP(Table8[[#This Row],[SKU]],'All Skus'!$A:$AC,2,FALSE))="Cinema",(VLOOKUP(Table8[[#This Row],[SKU]],'All Skus'!$A:$AC,18,FALSE)),""))</f>
        <v>3</v>
      </c>
      <c r="O20" s="136">
        <f>(IF((VLOOKUP(Table8[[#This Row],[SKU]],'All Skus'!$A:$AC,2,FALSE))="Cinema",(VLOOKUP(Table8[[#This Row],[SKU]],'All Skus'!$A:$AC,19,FALSE)),""))</f>
        <v>11</v>
      </c>
      <c r="P20" s="136">
        <f>(IF((VLOOKUP(Table8[[#This Row],[SKU]],'All Skus'!$A:$AC,2,FALSE))="Cinema",(VLOOKUP(Table8[[#This Row],[SKU]],'All Skus'!$A:$AC,20,FALSE)),""))</f>
        <v>11</v>
      </c>
      <c r="Q20" s="136">
        <f>(IF((VLOOKUP(Table8[[#This Row],[SKU]],'All Skus'!$A:$AC,2,FALSE))="Cinema",(VLOOKUP(Table8[[#This Row],[SKU]],'All Skus'!$A:$AC,21,FALSE)),""))</f>
        <v>8</v>
      </c>
      <c r="R20" s="61" t="str">
        <f>(IF((VLOOKUP(Table8[[#This Row],[SKU]],'All Skus'!$A:$AC,2,FALSE))="Cinema",(VLOOKUP(Table8[[#This Row],[SKU]],'All Skus'!$A:$AC,22,FALSE)),""))</f>
        <v>MX</v>
      </c>
      <c r="S20" t="str">
        <f>(IF((VLOOKUP(Table8[[#This Row],[SKU]],'All Skus'!$A:$AC,2,FALSE))="Cinema",(VLOOKUP(Table8[[#This Row],[SKU]],'All Skus'!$A:$AC,23,FALSE)),""))</f>
        <v>Compliant</v>
      </c>
      <c r="T20" s="76" t="str">
        <f>HYPERLINK((IF((VLOOKUP(Table8[[#This Row],[SKU]],'All Skus'!$A:$AC,2,FALSE))="Cinema",(VLOOKUP(Table8[[#This Row],[SKU]],'All Skus'!$A:$AC,24,FALSE)),"")))</f>
        <v/>
      </c>
      <c r="U20" s="151">
        <v>18</v>
      </c>
    </row>
    <row r="21" spans="1:21" ht="15" customHeight="1">
      <c r="A21" s="103" t="s">
        <v>1897</v>
      </c>
      <c r="B21" s="12" t="str">
        <f>(IF((VLOOKUP(Table8[[#This Row],[SKU]],'All Skus'!$A:$AC,2,FALSE))="Cinema",(VLOOKUP(Table8[[#This Row],[SKU]],'All Skus'!$A:$AC,3,FALSE)),""))</f>
        <v>Cinema</v>
      </c>
      <c r="C21" s="146" t="str">
        <f>(IF((VLOOKUP(Table8[[#This Row],[SKU]],'All Skus'!$A:$AC,2,FALSE))="Cinema",(VLOOKUP(Table8[[#This Row],[SKU]],'All Skus'!$A:$AC,4,FALSE)),""))</f>
        <v>C221</v>
      </c>
      <c r="D21" s="61" t="str">
        <f>(IF((VLOOKUP(Table8[[#This Row],[SKU]],'All Skus'!$A:$AC,2,FALSE))="Cinema",(VLOOKUP(Table8[[#This Row],[SKU]],'All Skus'!$A:$AC,5,FALSE)),""))</f>
        <v>JBL030</v>
      </c>
      <c r="E21" s="61" t="str">
        <f>(IF((VLOOKUP(Table8[[#This Row],[SKU]],'All Skus'!$A:$AC,2,FALSE))="Cinema",(VLOOKUP(Table8[[#This Row],[SKU]],'All Skus'!$A:$AC,6,FALSE)),""))</f>
        <v>YES</v>
      </c>
      <c r="F21">
        <f>(IF((VLOOKUP(Table8[[#This Row],[SKU]],'All Skus'!$A:$AC,2,FALSE))="Cinema",(VLOOKUP(Table8[[#This Row],[SKU]],'All Skus'!$A:$AC,7,FALSE)),""))</f>
        <v>0</v>
      </c>
      <c r="G21" s="7" t="str">
        <f>(IF((VLOOKUP(Table8[[#This Row],[SKU]],'All Skus'!$A:$AC,2,FALSE))="Cinema",(VLOOKUP(Table8[[#This Row],[SKU]],'All Skus'!$A:$AC,8,FALSE)),""))</f>
        <v>S/M, C221</v>
      </c>
      <c r="H21" s="8" t="str">
        <f>(IF((VLOOKUP(Table8[[#This Row],[SKU]],'All Skus'!$A:$AC,2,FALSE))="Cinema",(VLOOKUP(Table8[[#This Row],[SKU]],'All Skus'!$A:$AC,9,FALSE)),""))</f>
        <v>S/M, C221</v>
      </c>
      <c r="I21" s="89">
        <f>(IF((VLOOKUP(Table8[[#This Row],[SKU]],'All Skus'!$A:$AC,2,FALSE))="Cinema",(VLOOKUP(Table8[[#This Row],[SKU]],'All Skus'!$A:$AC,10,FALSE)),""))</f>
        <v>1593.56</v>
      </c>
      <c r="J21" s="89">
        <f>(IF((VLOOKUP(Table8[[#This Row],[SKU]],'All Skus'!$A:$AC,2,FALSE))="Cinema",(VLOOKUP(Table8[[#This Row],[SKU]],'All Skus'!$A:$AC,11,FALSE)),""))</f>
        <v>1593.56</v>
      </c>
      <c r="K21" s="135">
        <f>(IF((VLOOKUP(Table8[[#This Row],[SKU]],'All Skus'!$A:$AC,2,FALSE))="Cinema",(VLOOKUP(Table8[[#This Row],[SKU]],'All Skus'!$A:$AC,15,FALSE)),""))</f>
        <v>1</v>
      </c>
      <c r="L21" s="137">
        <f>(IF((VLOOKUP(Table8[[#This Row],[SKU]],'All Skus'!$A:$AC,2,FALSE))="Cinema",(VLOOKUP(Table8[[#This Row],[SKU]],'All Skus'!$A:$AC,16,FALSE)),""))</f>
        <v>691991007675</v>
      </c>
      <c r="M21" s="61">
        <f>(IF((VLOOKUP(Table8[[#This Row],[SKU]],'All Skus'!$A:$AC,2,FALSE))="Cinema",(VLOOKUP(Table8[[#This Row],[SKU]],'All Skus'!$A:$AC,17,FALSE)),""))</f>
        <v>0</v>
      </c>
      <c r="N21" s="136">
        <f>(IF((VLOOKUP(Table8[[#This Row],[SKU]],'All Skus'!$A:$AC,2,FALSE))="Cinema",(VLOOKUP(Table8[[#This Row],[SKU]],'All Skus'!$A:$AC,18,FALSE)),""))</f>
        <v>3</v>
      </c>
      <c r="O21" s="136">
        <f>(IF((VLOOKUP(Table8[[#This Row],[SKU]],'All Skus'!$A:$AC,2,FALSE))="Cinema",(VLOOKUP(Table8[[#This Row],[SKU]],'All Skus'!$A:$AC,19,FALSE)),""))</f>
        <v>11</v>
      </c>
      <c r="P21" s="136">
        <f>(IF((VLOOKUP(Table8[[#This Row],[SKU]],'All Skus'!$A:$AC,2,FALSE))="Cinema",(VLOOKUP(Table8[[#This Row],[SKU]],'All Skus'!$A:$AC,20,FALSE)),""))</f>
        <v>11</v>
      </c>
      <c r="Q21" s="136">
        <f>(IF((VLOOKUP(Table8[[#This Row],[SKU]],'All Skus'!$A:$AC,2,FALSE))="Cinema",(VLOOKUP(Table8[[#This Row],[SKU]],'All Skus'!$A:$AC,21,FALSE)),""))</f>
        <v>8</v>
      </c>
      <c r="R21" s="61" t="str">
        <f>(IF((VLOOKUP(Table8[[#This Row],[SKU]],'All Skus'!$A:$AC,2,FALSE))="Cinema",(VLOOKUP(Table8[[#This Row],[SKU]],'All Skus'!$A:$AC,22,FALSE)),""))</f>
        <v>MX</v>
      </c>
      <c r="S21" t="str">
        <f>(IF((VLOOKUP(Table8[[#This Row],[SKU]],'All Skus'!$A:$AC,2,FALSE))="Cinema",(VLOOKUP(Table8[[#This Row],[SKU]],'All Skus'!$A:$AC,23,FALSE)),""))</f>
        <v>Compliant</v>
      </c>
      <c r="T21" s="76" t="str">
        <f>HYPERLINK((IF((VLOOKUP(Table8[[#This Row],[SKU]],'All Skus'!$A:$AC,2,FALSE))="Cinema",(VLOOKUP(Table8[[#This Row],[SKU]],'All Skus'!$A:$AC,24,FALSE)),"")))</f>
        <v/>
      </c>
      <c r="U21" s="151">
        <v>19</v>
      </c>
    </row>
    <row r="22" spans="1:21" ht="15" customHeight="1">
      <c r="A22" s="103" t="s">
        <v>1898</v>
      </c>
      <c r="B22" s="12" t="str">
        <f>(IF((VLOOKUP(Table8[[#This Row],[SKU]],'All Skus'!$A:$AC,2,FALSE))="Cinema",(VLOOKUP(Table8[[#This Row],[SKU]],'All Skus'!$A:$AC,3,FALSE)),""))</f>
        <v>Cinema</v>
      </c>
      <c r="C22" s="146" t="str">
        <f>(IF((VLOOKUP(Table8[[#This Row],[SKU]],'All Skus'!$A:$AC,2,FALSE))="Cinema",(VLOOKUP(Table8[[#This Row],[SKU]],'All Skus'!$A:$AC,4,FALSE)),""))</f>
        <v>C222-BOT</v>
      </c>
      <c r="D22" s="61" t="str">
        <f>(IF((VLOOKUP(Table8[[#This Row],[SKU]],'All Skus'!$A:$AC,2,FALSE))="Cinema",(VLOOKUP(Table8[[#This Row],[SKU]],'All Skus'!$A:$AC,5,FALSE)),""))</f>
        <v>JBL030</v>
      </c>
      <c r="E22" s="61" t="str">
        <f>(IF((VLOOKUP(Table8[[#This Row],[SKU]],'All Skus'!$A:$AC,2,FALSE))="Cinema",(VLOOKUP(Table8[[#This Row],[SKU]],'All Skus'!$A:$AC,6,FALSE)),""))</f>
        <v>YES</v>
      </c>
      <c r="F22">
        <f>(IF((VLOOKUP(Table8[[#This Row],[SKU]],'All Skus'!$A:$AC,2,FALSE))="Cinema",(VLOOKUP(Table8[[#This Row],[SKU]],'All Skus'!$A:$AC,7,FALSE)),""))</f>
        <v>0</v>
      </c>
      <c r="G22" s="7" t="str">
        <f>(IF((VLOOKUP(Table8[[#This Row],[SKU]],'All Skus'!$A:$AC,2,FALSE))="Cinema",(VLOOKUP(Table8[[#This Row],[SKU]],'All Skus'!$A:$AC,8,FALSE)),""))</f>
        <v>C222-BOT</v>
      </c>
      <c r="H22" s="8" t="str">
        <f>(IF((VLOOKUP(Table8[[#This Row],[SKU]],'All Skus'!$A:$AC,2,FALSE))="Cinema",(VLOOKUP(Table8[[#This Row],[SKU]],'All Skus'!$A:$AC,9,FALSE)),""))</f>
        <v>C222-BOT</v>
      </c>
      <c r="I22" s="89">
        <f>(IF((VLOOKUP(Table8[[#This Row],[SKU]],'All Skus'!$A:$AC,2,FALSE))="Cinema",(VLOOKUP(Table8[[#This Row],[SKU]],'All Skus'!$A:$AC,10,FALSE)),""))</f>
        <v>671.01</v>
      </c>
      <c r="J22" s="89">
        <f>(IF((VLOOKUP(Table8[[#This Row],[SKU]],'All Skus'!$A:$AC,2,FALSE))="Cinema",(VLOOKUP(Table8[[#This Row],[SKU]],'All Skus'!$A:$AC,11,FALSE)),""))</f>
        <v>671</v>
      </c>
      <c r="K22" s="135">
        <f>(IF((VLOOKUP(Table8[[#This Row],[SKU]],'All Skus'!$A:$AC,2,FALSE))="Cinema",(VLOOKUP(Table8[[#This Row],[SKU]],'All Skus'!$A:$AC,15,FALSE)),""))</f>
        <v>0</v>
      </c>
      <c r="L22" s="137">
        <f>(IF((VLOOKUP(Table8[[#This Row],[SKU]],'All Skus'!$A:$AC,2,FALSE))="Cinema",(VLOOKUP(Table8[[#This Row],[SKU]],'All Skus'!$A:$AC,16,FALSE)),""))</f>
        <v>691991010002</v>
      </c>
      <c r="M22" s="61">
        <f>(IF((VLOOKUP(Table8[[#This Row],[SKU]],'All Skus'!$A:$AC,2,FALSE))="Cinema",(VLOOKUP(Table8[[#This Row],[SKU]],'All Skus'!$A:$AC,17,FALSE)),""))</f>
        <v>0</v>
      </c>
      <c r="N22" s="136">
        <f>(IF((VLOOKUP(Table8[[#This Row],[SKU]],'All Skus'!$A:$AC,2,FALSE))="Cinema",(VLOOKUP(Table8[[#This Row],[SKU]],'All Skus'!$A:$AC,18,FALSE)),""))</f>
        <v>3</v>
      </c>
      <c r="O22" s="136">
        <f>(IF((VLOOKUP(Table8[[#This Row],[SKU]],'All Skus'!$A:$AC,2,FALSE))="Cinema",(VLOOKUP(Table8[[#This Row],[SKU]],'All Skus'!$A:$AC,19,FALSE)),""))</f>
        <v>18</v>
      </c>
      <c r="P22" s="136">
        <f>(IF((VLOOKUP(Table8[[#This Row],[SKU]],'All Skus'!$A:$AC,2,FALSE))="Cinema",(VLOOKUP(Table8[[#This Row],[SKU]],'All Skus'!$A:$AC,20,FALSE)),""))</f>
        <v>18</v>
      </c>
      <c r="Q22" s="136">
        <f>(IF((VLOOKUP(Table8[[#This Row],[SKU]],'All Skus'!$A:$AC,2,FALSE))="Cinema",(VLOOKUP(Table8[[#This Row],[SKU]],'All Skus'!$A:$AC,21,FALSE)),""))</f>
        <v>9</v>
      </c>
      <c r="R22" s="61" t="str">
        <f>(IF((VLOOKUP(Table8[[#This Row],[SKU]],'All Skus'!$A:$AC,2,FALSE))="Cinema",(VLOOKUP(Table8[[#This Row],[SKU]],'All Skus'!$A:$AC,22,FALSE)),""))</f>
        <v>MX</v>
      </c>
      <c r="S22" t="str">
        <f>(IF((VLOOKUP(Table8[[#This Row],[SKU]],'All Skus'!$A:$AC,2,FALSE))="Cinema",(VLOOKUP(Table8[[#This Row],[SKU]],'All Skus'!$A:$AC,23,FALSE)),""))</f>
        <v>Compliant</v>
      </c>
      <c r="T22" s="76" t="str">
        <f>HYPERLINK((IF((VLOOKUP(Table8[[#This Row],[SKU]],'All Skus'!$A:$AC,2,FALSE))="Cinema",(VLOOKUP(Table8[[#This Row],[SKU]],'All Skus'!$A:$AC,24,FALSE)),"")))</f>
        <v/>
      </c>
      <c r="U22" s="151">
        <v>20</v>
      </c>
    </row>
    <row r="23" spans="1:21" ht="15" customHeight="1">
      <c r="A23" s="103" t="s">
        <v>1899</v>
      </c>
      <c r="B23" s="12" t="str">
        <f>(IF((VLOOKUP(Table8[[#This Row],[SKU]],'All Skus'!$A:$AC,2,FALSE))="Cinema",(VLOOKUP(Table8[[#This Row],[SKU]],'All Skus'!$A:$AC,3,FALSE)),""))</f>
        <v>Cinema</v>
      </c>
      <c r="C23" s="146" t="str">
        <f>(IF((VLOOKUP(Table8[[#This Row],[SKU]],'All Skus'!$A:$AC,2,FALSE))="Cinema",(VLOOKUP(Table8[[#This Row],[SKU]],'All Skus'!$A:$AC,4,FALSE)),""))</f>
        <v>C222HP-BOT</v>
      </c>
      <c r="D23" s="61" t="str">
        <f>(IF((VLOOKUP(Table8[[#This Row],[SKU]],'All Skus'!$A:$AC,2,FALSE))="Cinema",(VLOOKUP(Table8[[#This Row],[SKU]],'All Skus'!$A:$AC,5,FALSE)),""))</f>
        <v>JBL030</v>
      </c>
      <c r="E23" s="61" t="str">
        <f>(IF((VLOOKUP(Table8[[#This Row],[SKU]],'All Skus'!$A:$AC,2,FALSE))="Cinema",(VLOOKUP(Table8[[#This Row],[SKU]],'All Skus'!$A:$AC,6,FALSE)),""))</f>
        <v>YES</v>
      </c>
      <c r="F23">
        <f>(IF((VLOOKUP(Table8[[#This Row],[SKU]],'All Skus'!$A:$AC,2,FALSE))="Cinema",(VLOOKUP(Table8[[#This Row],[SKU]],'All Skus'!$A:$AC,7,FALSE)),""))</f>
        <v>0</v>
      </c>
      <c r="G23" s="7">
        <f>(IF((VLOOKUP(Table8[[#This Row],[SKU]],'All Skus'!$A:$AC,2,FALSE))="Cinema",(VLOOKUP(Table8[[#This Row],[SKU]],'All Skus'!$A:$AC,8,FALSE)),""))</f>
        <v>0</v>
      </c>
      <c r="H23" s="8">
        <f>(IF((VLOOKUP(Table8[[#This Row],[SKU]],'All Skus'!$A:$AC,2,FALSE))="Cinema",(VLOOKUP(Table8[[#This Row],[SKU]],'All Skus'!$A:$AC,9,FALSE)),""))</f>
        <v>0</v>
      </c>
      <c r="I23" s="89">
        <f>(IF((VLOOKUP(Table8[[#This Row],[SKU]],'All Skus'!$A:$AC,2,FALSE))="Cinema",(VLOOKUP(Table8[[#This Row],[SKU]],'All Skus'!$A:$AC,10,FALSE)),""))</f>
        <v>1222.03</v>
      </c>
      <c r="J23" s="89">
        <f>(IF((VLOOKUP(Table8[[#This Row],[SKU]],'All Skus'!$A:$AC,2,FALSE))="Cinema",(VLOOKUP(Table8[[#This Row],[SKU]],'All Skus'!$A:$AC,11,FALSE)),""))</f>
        <v>1222</v>
      </c>
      <c r="K23" s="135">
        <f>(IF((VLOOKUP(Table8[[#This Row],[SKU]],'All Skus'!$A:$AC,2,FALSE))="Cinema",(VLOOKUP(Table8[[#This Row],[SKU]],'All Skus'!$A:$AC,15,FALSE)),""))</f>
        <v>0</v>
      </c>
      <c r="L23" s="137">
        <f>(IF((VLOOKUP(Table8[[#This Row],[SKU]],'All Skus'!$A:$AC,2,FALSE))="Cinema",(VLOOKUP(Table8[[#This Row],[SKU]],'All Skus'!$A:$AC,16,FALSE)),""))</f>
        <v>691991010002</v>
      </c>
      <c r="M23" s="61">
        <f>(IF((VLOOKUP(Table8[[#This Row],[SKU]],'All Skus'!$A:$AC,2,FALSE))="Cinema",(VLOOKUP(Table8[[#This Row],[SKU]],'All Skus'!$A:$AC,17,FALSE)),""))</f>
        <v>0</v>
      </c>
      <c r="N23" s="136">
        <f>(IF((VLOOKUP(Table8[[#This Row],[SKU]],'All Skus'!$A:$AC,2,FALSE))="Cinema",(VLOOKUP(Table8[[#This Row],[SKU]],'All Skus'!$A:$AC,18,FALSE)),""))</f>
        <v>3</v>
      </c>
      <c r="O23" s="136">
        <f>(IF((VLOOKUP(Table8[[#This Row],[SKU]],'All Skus'!$A:$AC,2,FALSE))="Cinema",(VLOOKUP(Table8[[#This Row],[SKU]],'All Skus'!$A:$AC,19,FALSE)),""))</f>
        <v>9</v>
      </c>
      <c r="P23" s="136">
        <f>(IF((VLOOKUP(Table8[[#This Row],[SKU]],'All Skus'!$A:$AC,2,FALSE))="Cinema",(VLOOKUP(Table8[[#This Row],[SKU]],'All Skus'!$A:$AC,20,FALSE)),""))</f>
        <v>9</v>
      </c>
      <c r="Q23" s="136">
        <f>(IF((VLOOKUP(Table8[[#This Row],[SKU]],'All Skus'!$A:$AC,2,FALSE))="Cinema",(VLOOKUP(Table8[[#This Row],[SKU]],'All Skus'!$A:$AC,21,FALSE)),""))</f>
        <v>4</v>
      </c>
      <c r="R23" s="61" t="str">
        <f>(IF((VLOOKUP(Table8[[#This Row],[SKU]],'All Skus'!$A:$AC,2,FALSE))="Cinema",(VLOOKUP(Table8[[#This Row],[SKU]],'All Skus'!$A:$AC,22,FALSE)),""))</f>
        <v>MX</v>
      </c>
      <c r="S23" t="str">
        <f>(IF((VLOOKUP(Table8[[#This Row],[SKU]],'All Skus'!$A:$AC,2,FALSE))="Cinema",(VLOOKUP(Table8[[#This Row],[SKU]],'All Skus'!$A:$AC,23,FALSE)),""))</f>
        <v>Compliant</v>
      </c>
      <c r="T23" s="76" t="str">
        <f>HYPERLINK((IF((VLOOKUP(Table8[[#This Row],[SKU]],'All Skus'!$A:$AC,2,FALSE))="Cinema",(VLOOKUP(Table8[[#This Row],[SKU]],'All Skus'!$A:$AC,24,FALSE)),"")))</f>
        <v/>
      </c>
      <c r="U23" s="151">
        <v>21</v>
      </c>
    </row>
    <row r="24" spans="1:21" ht="15" customHeight="1">
      <c r="A24" s="103" t="s">
        <v>1900</v>
      </c>
      <c r="B24" s="12" t="str">
        <f>(IF((VLOOKUP(Table8[[#This Row],[SKU]],'All Skus'!$A:$AC,2,FALSE))="Cinema",(VLOOKUP(Table8[[#This Row],[SKU]],'All Skus'!$A:$AC,3,FALSE)),""))</f>
        <v>Cinema</v>
      </c>
      <c r="C24" s="146" t="str">
        <f>(IF((VLOOKUP(Table8[[#This Row],[SKU]],'All Skus'!$A:$AC,2,FALSE))="Cinema",(VLOOKUP(Table8[[#This Row],[SKU]],'All Skus'!$A:$AC,4,FALSE)),""))</f>
        <v>C222HP-TOP</v>
      </c>
      <c r="D24" s="61" t="str">
        <f>(IF((VLOOKUP(Table8[[#This Row],[SKU]],'All Skus'!$A:$AC,2,FALSE))="Cinema",(VLOOKUP(Table8[[#This Row],[SKU]],'All Skus'!$A:$AC,5,FALSE)),""))</f>
        <v>JBL030</v>
      </c>
      <c r="E24" s="61" t="str">
        <f>(IF((VLOOKUP(Table8[[#This Row],[SKU]],'All Skus'!$A:$AC,2,FALSE))="Cinema",(VLOOKUP(Table8[[#This Row],[SKU]],'All Skus'!$A:$AC,6,FALSE)),""))</f>
        <v>YES</v>
      </c>
      <c r="F24">
        <f>(IF((VLOOKUP(Table8[[#This Row],[SKU]],'All Skus'!$A:$AC,2,FALSE))="Cinema",(VLOOKUP(Table8[[#This Row],[SKU]],'All Skus'!$A:$AC,7,FALSE)),""))</f>
        <v>0</v>
      </c>
      <c r="G24" s="7" t="str">
        <f>(IF((VLOOKUP(Table8[[#This Row],[SKU]],'All Skus'!$A:$AC,2,FALSE))="Cinema",(VLOOKUP(Table8[[#This Row],[SKU]],'All Skus'!$A:$AC,8,FALSE)),""))</f>
        <v>C222-TOP</v>
      </c>
      <c r="H24" s="8" t="str">
        <f>(IF((VLOOKUP(Table8[[#This Row],[SKU]],'All Skus'!$A:$AC,2,FALSE))="Cinema",(VLOOKUP(Table8[[#This Row],[SKU]],'All Skus'!$A:$AC,9,FALSE)),""))</f>
        <v>C222-TOP</v>
      </c>
      <c r="I24" s="89">
        <f>(IF((VLOOKUP(Table8[[#This Row],[SKU]],'All Skus'!$A:$AC,2,FALSE))="Cinema",(VLOOKUP(Table8[[#This Row],[SKU]],'All Skus'!$A:$AC,10,FALSE)),""))</f>
        <v>1956.71</v>
      </c>
      <c r="J24" s="89">
        <f>(IF((VLOOKUP(Table8[[#This Row],[SKU]],'All Skus'!$A:$AC,2,FALSE))="Cinema",(VLOOKUP(Table8[[#This Row],[SKU]],'All Skus'!$A:$AC,11,FALSE)),""))</f>
        <v>1956.71</v>
      </c>
      <c r="K24" s="135">
        <f>(IF((VLOOKUP(Table8[[#This Row],[SKU]],'All Skus'!$A:$AC,2,FALSE))="Cinema",(VLOOKUP(Table8[[#This Row],[SKU]],'All Skus'!$A:$AC,15,FALSE)),""))</f>
        <v>0</v>
      </c>
      <c r="L24" s="137">
        <f>(IF((VLOOKUP(Table8[[#This Row],[SKU]],'All Skus'!$A:$AC,2,FALSE))="Cinema",(VLOOKUP(Table8[[#This Row],[SKU]],'All Skus'!$A:$AC,16,FALSE)),""))</f>
        <v>691991033810</v>
      </c>
      <c r="M24" s="61">
        <f>(IF((VLOOKUP(Table8[[#This Row],[SKU]],'All Skus'!$A:$AC,2,FALSE))="Cinema",(VLOOKUP(Table8[[#This Row],[SKU]],'All Skus'!$A:$AC,17,FALSE)),""))</f>
        <v>0</v>
      </c>
      <c r="N24" s="136">
        <f>(IF((VLOOKUP(Table8[[#This Row],[SKU]],'All Skus'!$A:$AC,2,FALSE))="Cinema",(VLOOKUP(Table8[[#This Row],[SKU]],'All Skus'!$A:$AC,18,FALSE)),""))</f>
        <v>3</v>
      </c>
      <c r="O24" s="136">
        <f>(IF((VLOOKUP(Table8[[#This Row],[SKU]],'All Skus'!$A:$AC,2,FALSE))="Cinema",(VLOOKUP(Table8[[#This Row],[SKU]],'All Skus'!$A:$AC,19,FALSE)),""))</f>
        <v>6</v>
      </c>
      <c r="P24" s="136">
        <f>(IF((VLOOKUP(Table8[[#This Row],[SKU]],'All Skus'!$A:$AC,2,FALSE))="Cinema",(VLOOKUP(Table8[[#This Row],[SKU]],'All Skus'!$A:$AC,20,FALSE)),""))</f>
        <v>6</v>
      </c>
      <c r="Q24" s="136">
        <f>(IF((VLOOKUP(Table8[[#This Row],[SKU]],'All Skus'!$A:$AC,2,FALSE))="Cinema",(VLOOKUP(Table8[[#This Row],[SKU]],'All Skus'!$A:$AC,21,FALSE)),""))</f>
        <v>3</v>
      </c>
      <c r="R24" s="61" t="str">
        <f>(IF((VLOOKUP(Table8[[#This Row],[SKU]],'All Skus'!$A:$AC,2,FALSE))="Cinema",(VLOOKUP(Table8[[#This Row],[SKU]],'All Skus'!$A:$AC,22,FALSE)),""))</f>
        <v>MX</v>
      </c>
      <c r="S24" t="str">
        <f>(IF((VLOOKUP(Table8[[#This Row],[SKU]],'All Skus'!$A:$AC,2,FALSE))="Cinema",(VLOOKUP(Table8[[#This Row],[SKU]],'All Skus'!$A:$AC,23,FALSE)),""))</f>
        <v>Compliant</v>
      </c>
      <c r="T24" s="76" t="str">
        <f>HYPERLINK((IF((VLOOKUP(Table8[[#This Row],[SKU]],'All Skus'!$A:$AC,2,FALSE))="Cinema",(VLOOKUP(Table8[[#This Row],[SKU]],'All Skus'!$A:$AC,24,FALSE)),"")))</f>
        <v/>
      </c>
      <c r="U24" s="151">
        <v>22</v>
      </c>
    </row>
    <row r="25" spans="1:21" ht="15" customHeight="1">
      <c r="A25" s="103" t="s">
        <v>1901</v>
      </c>
      <c r="B25" s="12" t="str">
        <f>(IF((VLOOKUP(Table8[[#This Row],[SKU]],'All Skus'!$A:$AC,2,FALSE))="Cinema",(VLOOKUP(Table8[[#This Row],[SKU]],'All Skus'!$A:$AC,3,FALSE)),""))</f>
        <v>Cinema</v>
      </c>
      <c r="C25" s="146" t="str">
        <f>(IF((VLOOKUP(Table8[[#This Row],[SKU]],'All Skus'!$A:$AC,2,FALSE))="Cinema",(VLOOKUP(Table8[[#This Row],[SKU]],'All Skus'!$A:$AC,4,FALSE)),""))</f>
        <v>C222-TOP</v>
      </c>
      <c r="D25" s="61" t="str">
        <f>(IF((VLOOKUP(Table8[[#This Row],[SKU]],'All Skus'!$A:$AC,2,FALSE))="Cinema",(VLOOKUP(Table8[[#This Row],[SKU]],'All Skus'!$A:$AC,5,FALSE)),""))</f>
        <v>JBL030</v>
      </c>
      <c r="E25" s="61" t="str">
        <f>(IF((VLOOKUP(Table8[[#This Row],[SKU]],'All Skus'!$A:$AC,2,FALSE))="Cinema",(VLOOKUP(Table8[[#This Row],[SKU]],'All Skus'!$A:$AC,6,FALSE)),""))</f>
        <v>YES</v>
      </c>
      <c r="F25">
        <f>(IF((VLOOKUP(Table8[[#This Row],[SKU]],'All Skus'!$A:$AC,2,FALSE))="Cinema",(VLOOKUP(Table8[[#This Row],[SKU]],'All Skus'!$A:$AC,7,FALSE)),""))</f>
        <v>0</v>
      </c>
      <c r="G25" s="7" t="str">
        <f>(IF((VLOOKUP(Table8[[#This Row],[SKU]],'All Skus'!$A:$AC,2,FALSE))="Cinema",(VLOOKUP(Table8[[#This Row],[SKU]],'All Skus'!$A:$AC,8,FALSE)),""))</f>
        <v>C222-TOP</v>
      </c>
      <c r="H25" s="8" t="str">
        <f>(IF((VLOOKUP(Table8[[#This Row],[SKU]],'All Skus'!$A:$AC,2,FALSE))="Cinema",(VLOOKUP(Table8[[#This Row],[SKU]],'All Skus'!$A:$AC,9,FALSE)),""))</f>
        <v>C222-TOP</v>
      </c>
      <c r="I25" s="89">
        <f>(IF((VLOOKUP(Table8[[#This Row],[SKU]],'All Skus'!$A:$AC,2,FALSE))="Cinema",(VLOOKUP(Table8[[#This Row],[SKU]],'All Skus'!$A:$AC,10,FALSE)),""))</f>
        <v>1236.72</v>
      </c>
      <c r="J25" s="89">
        <f>(IF((VLOOKUP(Table8[[#This Row],[SKU]],'All Skus'!$A:$AC,2,FALSE))="Cinema",(VLOOKUP(Table8[[#This Row],[SKU]],'All Skus'!$A:$AC,11,FALSE)),""))</f>
        <v>1236.72</v>
      </c>
      <c r="K25" s="135">
        <f>(IF((VLOOKUP(Table8[[#This Row],[SKU]],'All Skus'!$A:$AC,2,FALSE))="Cinema",(VLOOKUP(Table8[[#This Row],[SKU]],'All Skus'!$A:$AC,15,FALSE)),""))</f>
        <v>0</v>
      </c>
      <c r="L25" s="137">
        <f>(IF((VLOOKUP(Table8[[#This Row],[SKU]],'All Skus'!$A:$AC,2,FALSE))="Cinema",(VLOOKUP(Table8[[#This Row],[SKU]],'All Skus'!$A:$AC,16,FALSE)),""))</f>
        <v>691991010019</v>
      </c>
      <c r="M25" s="61">
        <f>(IF((VLOOKUP(Table8[[#This Row],[SKU]],'All Skus'!$A:$AC,2,FALSE))="Cinema",(VLOOKUP(Table8[[#This Row],[SKU]],'All Skus'!$A:$AC,17,FALSE)),""))</f>
        <v>0</v>
      </c>
      <c r="N25" s="136">
        <f>(IF((VLOOKUP(Table8[[#This Row],[SKU]],'All Skus'!$A:$AC,2,FALSE))="Cinema",(VLOOKUP(Table8[[#This Row],[SKU]],'All Skus'!$A:$AC,18,FALSE)),""))</f>
        <v>3</v>
      </c>
      <c r="O25" s="136">
        <f>(IF((VLOOKUP(Table8[[#This Row],[SKU]],'All Skus'!$A:$AC,2,FALSE))="Cinema",(VLOOKUP(Table8[[#This Row],[SKU]],'All Skus'!$A:$AC,19,FALSE)),""))</f>
        <v>18</v>
      </c>
      <c r="P25" s="136">
        <f>(IF((VLOOKUP(Table8[[#This Row],[SKU]],'All Skus'!$A:$AC,2,FALSE))="Cinema",(VLOOKUP(Table8[[#This Row],[SKU]],'All Skus'!$A:$AC,20,FALSE)),""))</f>
        <v>18</v>
      </c>
      <c r="Q25" s="136">
        <f>(IF((VLOOKUP(Table8[[#This Row],[SKU]],'All Skus'!$A:$AC,2,FALSE))="Cinema",(VLOOKUP(Table8[[#This Row],[SKU]],'All Skus'!$A:$AC,21,FALSE)),""))</f>
        <v>9</v>
      </c>
      <c r="R25" s="61" t="str">
        <f>(IF((VLOOKUP(Table8[[#This Row],[SKU]],'All Skus'!$A:$AC,2,FALSE))="Cinema",(VLOOKUP(Table8[[#This Row],[SKU]],'All Skus'!$A:$AC,22,FALSE)),""))</f>
        <v>MX</v>
      </c>
      <c r="S25" t="str">
        <f>(IF((VLOOKUP(Table8[[#This Row],[SKU]],'All Skus'!$A:$AC,2,FALSE))="Cinema",(VLOOKUP(Table8[[#This Row],[SKU]],'All Skus'!$A:$AC,23,FALSE)),""))</f>
        <v>Compliant</v>
      </c>
      <c r="T25" s="76" t="str">
        <f>HYPERLINK((IF((VLOOKUP(Table8[[#This Row],[SKU]],'All Skus'!$A:$AC,2,FALSE))="Cinema",(VLOOKUP(Table8[[#This Row],[SKU]],'All Skus'!$A:$AC,24,FALSE)),"")))</f>
        <v/>
      </c>
      <c r="U25" s="151">
        <v>23</v>
      </c>
    </row>
    <row r="26" spans="1:21" ht="15" customHeight="1">
      <c r="A26" s="103" t="s">
        <v>1902</v>
      </c>
      <c r="B26" s="12" t="str">
        <f>(IF((VLOOKUP(Table8[[#This Row],[SKU]],'All Skus'!$A:$AC,2,FALSE))="Cinema",(VLOOKUP(Table8[[#This Row],[SKU]],'All Skus'!$A:$AC,3,FALSE)),""))</f>
        <v>Cinema</v>
      </c>
      <c r="C26" s="146" t="str">
        <f>(IF((VLOOKUP(Table8[[#This Row],[SKU]],'All Skus'!$A:$AC,2,FALSE))="Cinema",(VLOOKUP(Table8[[#This Row],[SKU]],'All Skus'!$A:$AC,4,FALSE)),""))</f>
        <v>CRF2</v>
      </c>
      <c r="D26" s="61" t="str">
        <f>(IF((VLOOKUP(Table8[[#This Row],[SKU]],'All Skus'!$A:$AC,2,FALSE))="Cinema",(VLOOKUP(Table8[[#This Row],[SKU]],'All Skus'!$A:$AC,5,FALSE)),""))</f>
        <v>JBL030</v>
      </c>
      <c r="E26" s="61" t="str">
        <f>(IF((VLOOKUP(Table8[[#This Row],[SKU]],'All Skus'!$A:$AC,2,FALSE))="Cinema",(VLOOKUP(Table8[[#This Row],[SKU]],'All Skus'!$A:$AC,6,FALSE)),""))</f>
        <v>YES</v>
      </c>
      <c r="F26">
        <f>(IF((VLOOKUP(Table8[[#This Row],[SKU]],'All Skus'!$A:$AC,2,FALSE))="Cinema",(VLOOKUP(Table8[[#This Row],[SKU]],'All Skus'!$A:$AC,7,FALSE)),""))</f>
        <v>0</v>
      </c>
      <c r="G26" s="7" t="str">
        <f>(IF((VLOOKUP(Table8[[#This Row],[SKU]],'All Skus'!$A:$AC,2,FALSE))="Cinema",(VLOOKUP(Table8[[#This Row],[SKU]],'All Skus'!$A:$AC,8,FALSE)),""))</f>
        <v>CRF2</v>
      </c>
      <c r="H26" s="8" t="str">
        <f>(IF((VLOOKUP(Table8[[#This Row],[SKU]],'All Skus'!$A:$AC,2,FALSE))="Cinema",(VLOOKUP(Table8[[#This Row],[SKU]],'All Skus'!$A:$AC,9,FALSE)),""))</f>
        <v>CRF2</v>
      </c>
      <c r="I26" s="89">
        <f>(IF((VLOOKUP(Table8[[#This Row],[SKU]],'All Skus'!$A:$AC,2,FALSE))="Cinema",(VLOOKUP(Table8[[#This Row],[SKU]],'All Skus'!$A:$AC,10,FALSE)),""))</f>
        <v>4895.45</v>
      </c>
      <c r="J26" s="89">
        <f>(IF((VLOOKUP(Table8[[#This Row],[SKU]],'All Skus'!$A:$AC,2,FALSE))="Cinema",(VLOOKUP(Table8[[#This Row],[SKU]],'All Skus'!$A:$AC,11,FALSE)),""))</f>
        <v>4895</v>
      </c>
      <c r="K26" s="135">
        <f>(IF((VLOOKUP(Table8[[#This Row],[SKU]],'All Skus'!$A:$AC,2,FALSE))="Cinema",(VLOOKUP(Table8[[#This Row],[SKU]],'All Skus'!$A:$AC,15,FALSE)),""))</f>
        <v>0</v>
      </c>
      <c r="L26" s="137">
        <f>(IF((VLOOKUP(Table8[[#This Row],[SKU]],'All Skus'!$A:$AC,2,FALSE))="Cinema",(VLOOKUP(Table8[[#This Row],[SKU]],'All Skus'!$A:$AC,16,FALSE)),""))</f>
        <v>691991010019</v>
      </c>
      <c r="M26" s="61">
        <f>(IF((VLOOKUP(Table8[[#This Row],[SKU]],'All Skus'!$A:$AC,2,FALSE))="Cinema",(VLOOKUP(Table8[[#This Row],[SKU]],'All Skus'!$A:$AC,17,FALSE)),""))</f>
        <v>0</v>
      </c>
      <c r="N26" s="136">
        <f>(IF((VLOOKUP(Table8[[#This Row],[SKU]],'All Skus'!$A:$AC,2,FALSE))="Cinema",(VLOOKUP(Table8[[#This Row],[SKU]],'All Skus'!$A:$AC,18,FALSE)),""))</f>
        <v>3</v>
      </c>
      <c r="O26" s="136">
        <f>(IF((VLOOKUP(Table8[[#This Row],[SKU]],'All Skus'!$A:$AC,2,FALSE))="Cinema",(VLOOKUP(Table8[[#This Row],[SKU]],'All Skus'!$A:$AC,19,FALSE)),""))</f>
        <v>35</v>
      </c>
      <c r="P26" s="136">
        <f>(IF((VLOOKUP(Table8[[#This Row],[SKU]],'All Skus'!$A:$AC,2,FALSE))="Cinema",(VLOOKUP(Table8[[#This Row],[SKU]],'All Skus'!$A:$AC,20,FALSE)),""))</f>
        <v>15</v>
      </c>
      <c r="Q26" s="136">
        <f>(IF((VLOOKUP(Table8[[#This Row],[SKU]],'All Skus'!$A:$AC,2,FALSE))="Cinema",(VLOOKUP(Table8[[#This Row],[SKU]],'All Skus'!$A:$AC,21,FALSE)),""))</f>
        <v>52</v>
      </c>
      <c r="R26" s="61" t="str">
        <f>(IF((VLOOKUP(Table8[[#This Row],[SKU]],'All Skus'!$A:$AC,2,FALSE))="Cinema",(VLOOKUP(Table8[[#This Row],[SKU]],'All Skus'!$A:$AC,22,FALSE)),""))</f>
        <v>MX</v>
      </c>
      <c r="S26" t="str">
        <f>(IF((VLOOKUP(Table8[[#This Row],[SKU]],'All Skus'!$A:$AC,2,FALSE))="Cinema",(VLOOKUP(Table8[[#This Row],[SKU]],'All Skus'!$A:$AC,23,FALSE)),""))</f>
        <v>Compliant</v>
      </c>
      <c r="T26" s="76" t="str">
        <f>HYPERLINK((IF((VLOOKUP(Table8[[#This Row],[SKU]],'All Skus'!$A:$AC,2,FALSE))="Cinema",(VLOOKUP(Table8[[#This Row],[SKU]],'All Skus'!$A:$AC,24,FALSE)),"")))</f>
        <v/>
      </c>
      <c r="U26" s="151">
        <v>24</v>
      </c>
    </row>
    <row r="27" spans="1:21" ht="15" customHeight="1">
      <c r="A27" s="103" t="s">
        <v>1903</v>
      </c>
      <c r="B27" s="12" t="str">
        <f>(IF((VLOOKUP(Table8[[#This Row],[SKU]],'All Skus'!$A:$AC,2,FALSE))="Cinema",(VLOOKUP(Table8[[#This Row],[SKU]],'All Skus'!$A:$AC,3,FALSE)),""))</f>
        <v>Cinema</v>
      </c>
      <c r="C27" s="146" t="str">
        <f>(IF((VLOOKUP(Table8[[#This Row],[SKU]],'All Skus'!$A:$AC,2,FALSE))="Cinema",(VLOOKUP(Table8[[#This Row],[SKU]],'All Skus'!$A:$AC,4,FALSE)),""))</f>
        <v>HPD2520</v>
      </c>
      <c r="D27" s="61" t="str">
        <f>(IF((VLOOKUP(Table8[[#This Row],[SKU]],'All Skus'!$A:$AC,2,FALSE))="Cinema",(VLOOKUP(Table8[[#This Row],[SKU]],'All Skus'!$A:$AC,5,FALSE)),""))</f>
        <v>JBL030</v>
      </c>
      <c r="E27" s="61" t="str">
        <f>(IF((VLOOKUP(Table8[[#This Row],[SKU]],'All Skus'!$A:$AC,2,FALSE))="Cinema",(VLOOKUP(Table8[[#This Row],[SKU]],'All Skus'!$A:$AC,6,FALSE)),""))</f>
        <v>YES</v>
      </c>
      <c r="F27">
        <f>(IF((VLOOKUP(Table8[[#This Row],[SKU]],'All Skus'!$A:$AC,2,FALSE))="Cinema",(VLOOKUP(Table8[[#This Row],[SKU]],'All Skus'!$A:$AC,7,FALSE)),""))</f>
        <v>0</v>
      </c>
      <c r="G27" s="7" t="str">
        <f>(IF((VLOOKUP(Table8[[#This Row],[SKU]],'All Skus'!$A:$AC,2,FALSE))="Cinema",(VLOOKUP(Table8[[#This Row],[SKU]],'All Skus'!$A:$AC,8,FALSE)),""))</f>
        <v>BRKT 9300/9310/9350</v>
      </c>
      <c r="H27" s="8" t="str">
        <f>(IF((VLOOKUP(Table8[[#This Row],[SKU]],'All Skus'!$A:$AC,2,FALSE))="Cinema",(VLOOKUP(Table8[[#This Row],[SKU]],'All Skus'!$A:$AC,9,FALSE)),""))</f>
        <v>Heavy Duty Steel Adjustable-Position Mounting Bracket for 9300/9310/9350</v>
      </c>
      <c r="I27" s="89">
        <f>(IF((VLOOKUP(Table8[[#This Row],[SKU]],'All Skus'!$A:$AC,2,FALSE))="Cinema",(VLOOKUP(Table8[[#This Row],[SKU]],'All Skus'!$A:$AC,10,FALSE)),""))</f>
        <v>55.1</v>
      </c>
      <c r="J27" s="89">
        <f>(IF((VLOOKUP(Table8[[#This Row],[SKU]],'All Skus'!$A:$AC,2,FALSE))="Cinema",(VLOOKUP(Table8[[#This Row],[SKU]],'All Skus'!$A:$AC,11,FALSE)),""))</f>
        <v>55.1</v>
      </c>
      <c r="K27" s="135">
        <f>(IF((VLOOKUP(Table8[[#This Row],[SKU]],'All Skus'!$A:$AC,2,FALSE))="Cinema",(VLOOKUP(Table8[[#This Row],[SKU]],'All Skus'!$A:$AC,15,FALSE)),""))</f>
        <v>0</v>
      </c>
      <c r="L27" s="137">
        <f>(IF((VLOOKUP(Table8[[#This Row],[SKU]],'All Skus'!$A:$AC,2,FALSE))="Cinema",(VLOOKUP(Table8[[#This Row],[SKU]],'All Skus'!$A:$AC,16,FALSE)),""))</f>
        <v>691991004902</v>
      </c>
      <c r="M27" s="61">
        <f>(IF((VLOOKUP(Table8[[#This Row],[SKU]],'All Skus'!$A:$AC,2,FALSE))="Cinema",(VLOOKUP(Table8[[#This Row],[SKU]],'All Skus'!$A:$AC,17,FALSE)),""))</f>
        <v>0</v>
      </c>
      <c r="N27" s="136">
        <f>(IF((VLOOKUP(Table8[[#This Row],[SKU]],'All Skus'!$A:$AC,2,FALSE))="Cinema",(VLOOKUP(Table8[[#This Row],[SKU]],'All Skus'!$A:$AC,18,FALSE)),""))</f>
        <v>3</v>
      </c>
      <c r="O27" s="136">
        <f>(IF((VLOOKUP(Table8[[#This Row],[SKU]],'All Skus'!$A:$AC,2,FALSE))="Cinema",(VLOOKUP(Table8[[#This Row],[SKU]],'All Skus'!$A:$AC,19,FALSE)),""))</f>
        <v>11</v>
      </c>
      <c r="P27" s="136">
        <f>(IF((VLOOKUP(Table8[[#This Row],[SKU]],'All Skus'!$A:$AC,2,FALSE))="Cinema",(VLOOKUP(Table8[[#This Row],[SKU]],'All Skus'!$A:$AC,20,FALSE)),""))</f>
        <v>11</v>
      </c>
      <c r="Q27" s="136">
        <f>(IF((VLOOKUP(Table8[[#This Row],[SKU]],'All Skus'!$A:$AC,2,FALSE))="Cinema",(VLOOKUP(Table8[[#This Row],[SKU]],'All Skus'!$A:$AC,21,FALSE)),""))</f>
        <v>9</v>
      </c>
      <c r="R27" s="61" t="str">
        <f>(IF((VLOOKUP(Table8[[#This Row],[SKU]],'All Skus'!$A:$AC,2,FALSE))="Cinema",(VLOOKUP(Table8[[#This Row],[SKU]],'All Skus'!$A:$AC,22,FALSE)),""))</f>
        <v>CN</v>
      </c>
      <c r="S27" t="str">
        <f>(IF((VLOOKUP(Table8[[#This Row],[SKU]],'All Skus'!$A:$AC,2,FALSE))="Cinema",(VLOOKUP(Table8[[#This Row],[SKU]],'All Skus'!$A:$AC,23,FALSE)),""))</f>
        <v>Non compliant</v>
      </c>
      <c r="T27" s="76" t="str">
        <f>HYPERLINK((IF((VLOOKUP(Table8[[#This Row],[SKU]],'All Skus'!$A:$AC,2,FALSE))="Cinema",(VLOOKUP(Table8[[#This Row],[SKU]],'All Skus'!$A:$AC,24,FALSE)),"")))</f>
        <v/>
      </c>
      <c r="U27" s="151">
        <v>25</v>
      </c>
    </row>
    <row r="28" spans="1:21" ht="15" customHeight="1">
      <c r="A28" s="103" t="s">
        <v>1904</v>
      </c>
      <c r="B28" s="12" t="str">
        <f>(IF((VLOOKUP(Table8[[#This Row],[SKU]],'All Skus'!$A:$AC,2,FALSE))="Cinema",(VLOOKUP(Table8[[#This Row],[SKU]],'All Skus'!$A:$AC,3,FALSE)),""))</f>
        <v>Cinema</v>
      </c>
      <c r="C28" s="146">
        <f>(IF((VLOOKUP(Table8[[#This Row],[SKU]],'All Skus'!$A:$AC,2,FALSE))="Cinema",(VLOOKUP(Table8[[#This Row],[SKU]],'All Skus'!$A:$AC,4,FALSE)),""))</f>
        <v>3635</v>
      </c>
      <c r="D28" s="61" t="str">
        <f>(IF((VLOOKUP(Table8[[#This Row],[SKU]],'All Skus'!$A:$AC,2,FALSE))="Cinema",(VLOOKUP(Table8[[#This Row],[SKU]],'All Skus'!$A:$AC,5,FALSE)),""))</f>
        <v>JBL030</v>
      </c>
      <c r="E28" s="61">
        <f>(IF((VLOOKUP(Table8[[#This Row],[SKU]],'All Skus'!$A:$AC,2,FALSE))="Cinema",(VLOOKUP(Table8[[#This Row],[SKU]],'All Skus'!$A:$AC,6,FALSE)),""))</f>
        <v>0</v>
      </c>
      <c r="F28">
        <f>(IF((VLOOKUP(Table8[[#This Row],[SKU]],'All Skus'!$A:$AC,2,FALSE))="Cinema",(VLOOKUP(Table8[[#This Row],[SKU]],'All Skus'!$A:$AC,7,FALSE)),""))</f>
        <v>0</v>
      </c>
      <c r="G28" s="7" t="str">
        <f>(IF((VLOOKUP(Table8[[#This Row],[SKU]],'All Skus'!$A:$AC,2,FALSE))="Cinema",(VLOOKUP(Table8[[#This Row],[SKU]],'All Skus'!$A:$AC,8,FALSE)),""))</f>
        <v>LC-SUB,18" PRO SYSTEM</v>
      </c>
      <c r="H28" s="8" t="str">
        <f>(IF((VLOOKUP(Table8[[#This Row],[SKU]],'All Skus'!$A:$AC,2,FALSE))="Cinema",(VLOOKUP(Table8[[#This Row],[SKU]],'All Skus'!$A:$AC,9,FALSE)),""))</f>
        <v>8 ohm, Single 18" Bass Reflex Subwoofer System, Shallow Profile.  Components:  Single 2042H, 300 watts.</v>
      </c>
      <c r="I28" s="89">
        <f>(IF((VLOOKUP(Table8[[#This Row],[SKU]],'All Skus'!$A:$AC,2,FALSE))="Cinema",(VLOOKUP(Table8[[#This Row],[SKU]],'All Skus'!$A:$AC,10,FALSE)),""))</f>
        <v>1303.08</v>
      </c>
      <c r="J28" s="89">
        <f>(IF((VLOOKUP(Table8[[#This Row],[SKU]],'All Skus'!$A:$AC,2,FALSE))="Cinema",(VLOOKUP(Table8[[#This Row],[SKU]],'All Skus'!$A:$AC,11,FALSE)),""))</f>
        <v>1303</v>
      </c>
      <c r="K28" s="135">
        <f>(IF((VLOOKUP(Table8[[#This Row],[SKU]],'All Skus'!$A:$AC,2,FALSE))="Cinema",(VLOOKUP(Table8[[#This Row],[SKU]],'All Skus'!$A:$AC,15,FALSE)),""))</f>
        <v>0</v>
      </c>
      <c r="L28" s="137">
        <f>(IF((VLOOKUP(Table8[[#This Row],[SKU]],'All Skus'!$A:$AC,2,FALSE))="Cinema",(VLOOKUP(Table8[[#This Row],[SKU]],'All Skus'!$A:$AC,16,FALSE)),""))</f>
        <v>691991015441</v>
      </c>
      <c r="M28" s="61">
        <f>(IF((VLOOKUP(Table8[[#This Row],[SKU]],'All Skus'!$A:$AC,2,FALSE))="Cinema",(VLOOKUP(Table8[[#This Row],[SKU]],'All Skus'!$A:$AC,17,FALSE)),""))</f>
        <v>0</v>
      </c>
      <c r="N28" s="136">
        <f>(IF((VLOOKUP(Table8[[#This Row],[SKU]],'All Skus'!$A:$AC,2,FALSE))="Cinema",(VLOOKUP(Table8[[#This Row],[SKU]],'All Skus'!$A:$AC,18,FALSE)),""))</f>
        <v>3</v>
      </c>
      <c r="O28" s="136">
        <f>(IF((VLOOKUP(Table8[[#This Row],[SKU]],'All Skus'!$A:$AC,2,FALSE))="Cinema",(VLOOKUP(Table8[[#This Row],[SKU]],'All Skus'!$A:$AC,19,FALSE)),""))</f>
        <v>13</v>
      </c>
      <c r="P28" s="136">
        <f>(IF((VLOOKUP(Table8[[#This Row],[SKU]],'All Skus'!$A:$AC,2,FALSE))="Cinema",(VLOOKUP(Table8[[#This Row],[SKU]],'All Skus'!$A:$AC,20,FALSE)),""))</f>
        <v>13</v>
      </c>
      <c r="Q28" s="136">
        <f>(IF((VLOOKUP(Table8[[#This Row],[SKU]],'All Skus'!$A:$AC,2,FALSE))="Cinema",(VLOOKUP(Table8[[#This Row],[SKU]],'All Skus'!$A:$AC,21,FALSE)),""))</f>
        <v>7</v>
      </c>
      <c r="R28" s="61" t="str">
        <f>(IF((VLOOKUP(Table8[[#This Row],[SKU]],'All Skus'!$A:$AC,2,FALSE))="Cinema",(VLOOKUP(Table8[[#This Row],[SKU]],'All Skus'!$A:$AC,22,FALSE)),""))</f>
        <v>MX</v>
      </c>
      <c r="S28" t="str">
        <f>(IF((VLOOKUP(Table8[[#This Row],[SKU]],'All Skus'!$A:$AC,2,FALSE))="Cinema",(VLOOKUP(Table8[[#This Row],[SKU]],'All Skus'!$A:$AC,23,FALSE)),""))</f>
        <v>Compliant</v>
      </c>
      <c r="T28" s="76" t="str">
        <f>HYPERLINK((IF((VLOOKUP(Table8[[#This Row],[SKU]],'All Skus'!$A:$AC,2,FALSE))="Cinema",(VLOOKUP(Table8[[#This Row],[SKU]],'All Skus'!$A:$AC,24,FALSE)),"")))</f>
        <v/>
      </c>
      <c r="U28" s="151">
        <v>26</v>
      </c>
    </row>
    <row r="29" spans="1:21" ht="15" customHeight="1">
      <c r="A29" s="103" t="s">
        <v>1905</v>
      </c>
      <c r="B29" s="12" t="str">
        <f>(IF((VLOOKUP(Table8[[#This Row],[SKU]],'All Skus'!$A:$AC,2,FALSE))="Cinema",(VLOOKUP(Table8[[#This Row],[SKU]],'All Skus'!$A:$AC,3,FALSE)),""))</f>
        <v>Cinema</v>
      </c>
      <c r="C29" s="146" t="str">
        <f>(IF((VLOOKUP(Table8[[#This Row],[SKU]],'All Skus'!$A:$AC,2,FALSE))="Cinema",(VLOOKUP(Table8[[#This Row],[SKU]],'All Skus'!$A:$AC,4,FALSE)),""))</f>
        <v>HPD3730</v>
      </c>
      <c r="D29" s="61">
        <f>(IF((VLOOKUP(Table8[[#This Row],[SKU]],'All Skus'!$A:$AC,2,FALSE))="Cinema",(VLOOKUP(Table8[[#This Row],[SKU]],'All Skus'!$A:$AC,5,FALSE)),""))</f>
        <v>0</v>
      </c>
      <c r="E29" s="61" t="str">
        <f>(IF((VLOOKUP(Table8[[#This Row],[SKU]],'All Skus'!$A:$AC,2,FALSE))="Cinema",(VLOOKUP(Table8[[#This Row],[SKU]],'All Skus'!$A:$AC,6,FALSE)),""))</f>
        <v>YES</v>
      </c>
      <c r="F29">
        <f>(IF((VLOOKUP(Table8[[#This Row],[SKU]],'All Skus'!$A:$AC,2,FALSE))="Cinema",(VLOOKUP(Table8[[#This Row],[SKU]],'All Skus'!$A:$AC,7,FALSE)),""))</f>
        <v>0</v>
      </c>
      <c r="G29" s="7" t="str">
        <f>(IF((VLOOKUP(Table8[[#This Row],[SKU]],'All Skus'!$A:$AC,2,FALSE))="Cinema",(VLOOKUP(Table8[[#This Row],[SKU]],'All Skus'!$A:$AC,8,FALSE)),""))</f>
        <v>SCREEN ARRAY THREE-WAY CINEMA SYSTEM</v>
      </c>
      <c r="H29" s="8" t="str">
        <f>(IF((VLOOKUP(Table8[[#This Row],[SKU]],'All Skus'!$A:$AC,2,FALSE))="Cinema",(VLOOKUP(Table8[[#This Row],[SKU]],'All Skus'!$A:$AC,9,FALSE)),""))</f>
        <v>Three Way ScreenArray for small to medium cinemas for Passive/Bi Amp Applications. Flat Front design for easy baffle wall application. Mid High Section  Completely Assembled and Pre-Aimed. Components: 3739 Low Frequency Section, 3730-M/HF Mid-High Frequency Section.</v>
      </c>
      <c r="I29" s="89">
        <f>(IF((VLOOKUP(Table8[[#This Row],[SKU]],'All Skus'!$A:$AC,2,FALSE))="Cinema",(VLOOKUP(Table8[[#This Row],[SKU]],'All Skus'!$A:$AC,10,FALSE)),""))</f>
        <v>1198.6500000000001</v>
      </c>
      <c r="J29" s="89">
        <f>(IF((VLOOKUP(Table8[[#This Row],[SKU]],'All Skus'!$A:$AC,2,FALSE))="Cinema",(VLOOKUP(Table8[[#This Row],[SKU]],'All Skus'!$A:$AC,11,FALSE)),""))</f>
        <v>1198.6500000000001</v>
      </c>
      <c r="K29" s="135">
        <f>(IF((VLOOKUP(Table8[[#This Row],[SKU]],'All Skus'!$A:$AC,2,FALSE))="Cinema",(VLOOKUP(Table8[[#This Row],[SKU]],'All Skus'!$A:$AC,15,FALSE)),""))</f>
        <v>0</v>
      </c>
      <c r="L29" s="137">
        <f>(IF((VLOOKUP(Table8[[#This Row],[SKU]],'All Skus'!$A:$AC,2,FALSE))="Cinema",(VLOOKUP(Table8[[#This Row],[SKU]],'All Skus'!$A:$AC,16,FALSE)),""))</f>
        <v>691991015441</v>
      </c>
      <c r="M29" s="61">
        <f>(IF((VLOOKUP(Table8[[#This Row],[SKU]],'All Skus'!$A:$AC,2,FALSE))="Cinema",(VLOOKUP(Table8[[#This Row],[SKU]],'All Skus'!$A:$AC,17,FALSE)),""))</f>
        <v>0</v>
      </c>
      <c r="N29" s="136">
        <f>(IF((VLOOKUP(Table8[[#This Row],[SKU]],'All Skus'!$A:$AC,2,FALSE))="Cinema",(VLOOKUP(Table8[[#This Row],[SKU]],'All Skus'!$A:$AC,18,FALSE)),""))</f>
        <v>3</v>
      </c>
      <c r="O29" s="136">
        <f>(IF((VLOOKUP(Table8[[#This Row],[SKU]],'All Skus'!$A:$AC,2,FALSE))="Cinema",(VLOOKUP(Table8[[#This Row],[SKU]],'All Skus'!$A:$AC,19,FALSE)),""))</f>
        <v>7</v>
      </c>
      <c r="P29" s="136">
        <f>(IF((VLOOKUP(Table8[[#This Row],[SKU]],'All Skus'!$A:$AC,2,FALSE))="Cinema",(VLOOKUP(Table8[[#This Row],[SKU]],'All Skus'!$A:$AC,20,FALSE)),""))</f>
        <v>3</v>
      </c>
      <c r="Q29" s="136">
        <f>(IF((VLOOKUP(Table8[[#This Row],[SKU]],'All Skus'!$A:$AC,2,FALSE))="Cinema",(VLOOKUP(Table8[[#This Row],[SKU]],'All Skus'!$A:$AC,21,FALSE)),""))</f>
        <v>6</v>
      </c>
      <c r="R29" s="61">
        <f>(IF((VLOOKUP(Table8[[#This Row],[SKU]],'All Skus'!$A:$AC,2,FALSE))="Cinema",(VLOOKUP(Table8[[#This Row],[SKU]],'All Skus'!$A:$AC,22,FALSE)),""))</f>
        <v>0</v>
      </c>
      <c r="S29">
        <f>(IF((VLOOKUP(Table8[[#This Row],[SKU]],'All Skus'!$A:$AC,2,FALSE))="Cinema",(VLOOKUP(Table8[[#This Row],[SKU]],'All Skus'!$A:$AC,23,FALSE)),""))</f>
        <v>0</v>
      </c>
      <c r="T29" s="76" t="str">
        <f>HYPERLINK((IF((VLOOKUP(Table8[[#This Row],[SKU]],'All Skus'!$A:$AC,2,FALSE))="Cinema",(VLOOKUP(Table8[[#This Row],[SKU]],'All Skus'!$A:$AC,24,FALSE)),"")))</f>
        <v/>
      </c>
      <c r="U29" s="151">
        <v>27</v>
      </c>
    </row>
    <row r="30" spans="1:21" ht="15" customHeight="1">
      <c r="A30" s="103" t="s">
        <v>1906</v>
      </c>
      <c r="B30" s="12" t="str">
        <f>(IF((VLOOKUP(Table8[[#This Row],[SKU]],'All Skus'!$A:$AC,2,FALSE))="Cinema",(VLOOKUP(Table8[[#This Row],[SKU]],'All Skus'!$A:$AC,3,FALSE)),""))</f>
        <v>Cinema</v>
      </c>
      <c r="C30" s="146" t="str">
        <f>(IF((VLOOKUP(Table8[[#This Row],[SKU]],'All Skus'!$A:$AC,2,FALSE))="Cinema",(VLOOKUP(Table8[[#This Row],[SKU]],'All Skus'!$A:$AC,4,FALSE)),""))</f>
        <v>HPD3739</v>
      </c>
      <c r="D30" s="61" t="str">
        <f>(IF((VLOOKUP(Table8[[#This Row],[SKU]],'All Skus'!$A:$AC,2,FALSE))="Cinema",(VLOOKUP(Table8[[#This Row],[SKU]],'All Skus'!$A:$AC,5,FALSE)),""))</f>
        <v>JBL030</v>
      </c>
      <c r="E30" s="61">
        <f>(IF((VLOOKUP(Table8[[#This Row],[SKU]],'All Skus'!$A:$AC,2,FALSE))="Cinema",(VLOOKUP(Table8[[#This Row],[SKU]],'All Skus'!$A:$AC,6,FALSE)),""))</f>
        <v>0</v>
      </c>
      <c r="F30" t="str">
        <f>(IF((VLOOKUP(Table8[[#This Row],[SKU]],'All Skus'!$A:$AC,2,FALSE))="Cinema",(VLOOKUP(Table8[[#This Row],[SKU]],'All Skus'!$A:$AC,7,FALSE)),""))</f>
        <v>Limited Quantity</v>
      </c>
      <c r="G30" s="7" t="str">
        <f>(IF((VLOOKUP(Table8[[#This Row],[SKU]],'All Skus'!$A:$AC,2,FALSE))="Cinema",(VLOOKUP(Table8[[#This Row],[SKU]],'All Skus'!$A:$AC,8,FALSE)),""))</f>
        <v>LF FOR 3732  SCREEN ARRAY</v>
      </c>
      <c r="H30" s="8" t="str">
        <f>(IF((VLOOKUP(Table8[[#This Row],[SKU]],'All Skus'!$A:$AC,2,FALSE))="Cinema",(VLOOKUP(Table8[[#This Row],[SKU]],'All Skus'!$A:$AC,9,FALSE)),""))</f>
        <v>4 ohm Low Frequency Section for 3732 and 3722N System Components: Two M115-8A Installed in 3639 Enclosure</v>
      </c>
      <c r="I30" s="89">
        <f>(IF((VLOOKUP(Table8[[#This Row],[SKU]],'All Skus'!$A:$AC,2,FALSE))="Cinema",(VLOOKUP(Table8[[#This Row],[SKU]],'All Skus'!$A:$AC,10,FALSE)),""))</f>
        <v>1158.47</v>
      </c>
      <c r="J30" s="89">
        <f>(IF((VLOOKUP(Table8[[#This Row],[SKU]],'All Skus'!$A:$AC,2,FALSE))="Cinema",(VLOOKUP(Table8[[#This Row],[SKU]],'All Skus'!$A:$AC,11,FALSE)),""))</f>
        <v>1158.47</v>
      </c>
      <c r="K30" s="135">
        <f>(IF((VLOOKUP(Table8[[#This Row],[SKU]],'All Skus'!$A:$AC,2,FALSE))="Cinema",(VLOOKUP(Table8[[#This Row],[SKU]],'All Skus'!$A:$AC,15,FALSE)),""))</f>
        <v>0</v>
      </c>
      <c r="L30" s="137">
        <f>(IF((VLOOKUP(Table8[[#This Row],[SKU]],'All Skus'!$A:$AC,2,FALSE))="Cinema",(VLOOKUP(Table8[[#This Row],[SKU]],'All Skus'!$A:$AC,16,FALSE)),""))</f>
        <v>691991015489</v>
      </c>
      <c r="M30" s="61">
        <f>(IF((VLOOKUP(Table8[[#This Row],[SKU]],'All Skus'!$A:$AC,2,FALSE))="Cinema",(VLOOKUP(Table8[[#This Row],[SKU]],'All Skus'!$A:$AC,17,FALSE)),""))</f>
        <v>0</v>
      </c>
      <c r="N30" s="136">
        <f>(IF((VLOOKUP(Table8[[#This Row],[SKU]],'All Skus'!$A:$AC,2,FALSE))="Cinema",(VLOOKUP(Table8[[#This Row],[SKU]],'All Skus'!$A:$AC,18,FALSE)),""))</f>
        <v>3</v>
      </c>
      <c r="O30" s="136">
        <f>(IF((VLOOKUP(Table8[[#This Row],[SKU]],'All Skus'!$A:$AC,2,FALSE))="Cinema",(VLOOKUP(Table8[[#This Row],[SKU]],'All Skus'!$A:$AC,19,FALSE)),""))</f>
        <v>5</v>
      </c>
      <c r="P30" s="136">
        <f>(IF((VLOOKUP(Table8[[#This Row],[SKU]],'All Skus'!$A:$AC,2,FALSE))="Cinema",(VLOOKUP(Table8[[#This Row],[SKU]],'All Skus'!$A:$AC,20,FALSE)),""))</f>
        <v>5</v>
      </c>
      <c r="Q30" s="136">
        <f>(IF((VLOOKUP(Table8[[#This Row],[SKU]],'All Skus'!$A:$AC,2,FALSE))="Cinema",(VLOOKUP(Table8[[#This Row],[SKU]],'All Skus'!$A:$AC,21,FALSE)),""))</f>
        <v>5</v>
      </c>
      <c r="R30" s="61" t="str">
        <f>(IF((VLOOKUP(Table8[[#This Row],[SKU]],'All Skus'!$A:$AC,2,FALSE))="Cinema",(VLOOKUP(Table8[[#This Row],[SKU]],'All Skus'!$A:$AC,22,FALSE)),""))</f>
        <v>MX</v>
      </c>
      <c r="S30" t="str">
        <f>(IF((VLOOKUP(Table8[[#This Row],[SKU]],'All Skus'!$A:$AC,2,FALSE))="Cinema",(VLOOKUP(Table8[[#This Row],[SKU]],'All Skus'!$A:$AC,23,FALSE)),""))</f>
        <v>Compliant</v>
      </c>
      <c r="T30" s="76" t="str">
        <f>HYPERLINK((IF((VLOOKUP(Table8[[#This Row],[SKU]],'All Skus'!$A:$AC,2,FALSE))="Cinema",(VLOOKUP(Table8[[#This Row],[SKU]],'All Skus'!$A:$AC,24,FALSE)),"")))</f>
        <v/>
      </c>
      <c r="U30" s="151">
        <v>28</v>
      </c>
    </row>
    <row r="31" spans="1:21" ht="15" customHeight="1">
      <c r="A31" s="103" t="s">
        <v>1907</v>
      </c>
      <c r="B31" s="12" t="str">
        <f>(IF((VLOOKUP(Table8[[#This Row],[SKU]],'All Skus'!$A:$AC,2,FALSE))="Cinema",(VLOOKUP(Table8[[#This Row],[SKU]],'All Skus'!$A:$AC,3,FALSE)),""))</f>
        <v>Cinema</v>
      </c>
      <c r="C31" s="146" t="str">
        <f>(IF((VLOOKUP(Table8[[#This Row],[SKU]],'All Skus'!$A:$AC,2,FALSE))="Cinema",(VLOOKUP(Table8[[#This Row],[SKU]],'All Skus'!$A:$AC,4,FALSE)),""))</f>
        <v>HPD4641</v>
      </c>
      <c r="D31" s="61" t="str">
        <f>(IF((VLOOKUP(Table8[[#This Row],[SKU]],'All Skus'!$A:$AC,2,FALSE))="Cinema",(VLOOKUP(Table8[[#This Row],[SKU]],'All Skus'!$A:$AC,5,FALSE)),""))</f>
        <v>JBL030</v>
      </c>
      <c r="E31" s="61" t="str">
        <f>(IF((VLOOKUP(Table8[[#This Row],[SKU]],'All Skus'!$A:$AC,2,FALSE))="Cinema",(VLOOKUP(Table8[[#This Row],[SKU]],'All Skus'!$A:$AC,6,FALSE)),""))</f>
        <v>YES</v>
      </c>
      <c r="F31" t="str">
        <f>(IF((VLOOKUP(Table8[[#This Row],[SKU]],'All Skus'!$A:$AC,2,FALSE))="Cinema",(VLOOKUP(Table8[[#This Row],[SKU]],'All Skus'!$A:$AC,7,FALSE)),""))</f>
        <v>Limited Quantity</v>
      </c>
      <c r="G31" s="7" t="str">
        <f>(IF((VLOOKUP(Table8[[#This Row],[SKU]],'All Skus'!$A:$AC,2,FALSE))="Cinema",(VLOOKUP(Table8[[#This Row],[SKU]],'All Skus'!$A:$AC,8,FALSE)),""))</f>
        <v>18" SUBWOOFER</v>
      </c>
      <c r="H31" s="8" t="str">
        <f>(IF((VLOOKUP(Table8[[#This Row],[SKU]],'All Skus'!$A:$AC,2,FALSE))="Cinema",(VLOOKUP(Table8[[#This Row],[SKU]],'All Skus'!$A:$AC,9,FALSE)),""))</f>
        <v>8 ohm, Single 18" Bass Reflex Subwoofer System. Components:  2241H Installed in a Single 18" Enclosure, 600 watts.  Approved by Lucasfilm, Ltd., for THX® System Installations.</v>
      </c>
      <c r="I31" s="89">
        <f>(IF((VLOOKUP(Table8[[#This Row],[SKU]],'All Skus'!$A:$AC,2,FALSE))="Cinema",(VLOOKUP(Table8[[#This Row],[SKU]],'All Skus'!$A:$AC,10,FALSE)),""))</f>
        <v>1224.47</v>
      </c>
      <c r="J31" s="89">
        <f>(IF((VLOOKUP(Table8[[#This Row],[SKU]],'All Skus'!$A:$AC,2,FALSE))="Cinema",(VLOOKUP(Table8[[#This Row],[SKU]],'All Skus'!$A:$AC,11,FALSE)),""))</f>
        <v>1224.47</v>
      </c>
      <c r="K31" s="135">
        <f>(IF((VLOOKUP(Table8[[#This Row],[SKU]],'All Skus'!$A:$AC,2,FALSE))="Cinema",(VLOOKUP(Table8[[#This Row],[SKU]],'All Skus'!$A:$AC,15,FALSE)),""))</f>
        <v>0</v>
      </c>
      <c r="L31" s="137">
        <f>(IF((VLOOKUP(Table8[[#This Row],[SKU]],'All Skus'!$A:$AC,2,FALSE))="Cinema",(VLOOKUP(Table8[[#This Row],[SKU]],'All Skus'!$A:$AC,16,FALSE)),""))</f>
        <v>691991015328</v>
      </c>
      <c r="M31" s="61">
        <f>(IF((VLOOKUP(Table8[[#This Row],[SKU]],'All Skus'!$A:$AC,2,FALSE))="Cinema",(VLOOKUP(Table8[[#This Row],[SKU]],'All Skus'!$A:$AC,17,FALSE)),""))</f>
        <v>0</v>
      </c>
      <c r="N31" s="136">
        <f>(IF((VLOOKUP(Table8[[#This Row],[SKU]],'All Skus'!$A:$AC,2,FALSE))="Cinema",(VLOOKUP(Table8[[#This Row],[SKU]],'All Skus'!$A:$AC,18,FALSE)),""))</f>
        <v>3</v>
      </c>
      <c r="O31" s="136">
        <f>(IF((VLOOKUP(Table8[[#This Row],[SKU]],'All Skus'!$A:$AC,2,FALSE))="Cinema",(VLOOKUP(Table8[[#This Row],[SKU]],'All Skus'!$A:$AC,19,FALSE)),""))</f>
        <v>10</v>
      </c>
      <c r="P31" s="136">
        <f>(IF((VLOOKUP(Table8[[#This Row],[SKU]],'All Skus'!$A:$AC,2,FALSE))="Cinema",(VLOOKUP(Table8[[#This Row],[SKU]],'All Skus'!$A:$AC,20,FALSE)),""))</f>
        <v>10</v>
      </c>
      <c r="Q31" s="136">
        <f>(IF((VLOOKUP(Table8[[#This Row],[SKU]],'All Skus'!$A:$AC,2,FALSE))="Cinema",(VLOOKUP(Table8[[#This Row],[SKU]],'All Skus'!$A:$AC,21,FALSE)),""))</f>
        <v>8</v>
      </c>
      <c r="R31" s="61" t="str">
        <f>(IF((VLOOKUP(Table8[[#This Row],[SKU]],'All Skus'!$A:$AC,2,FALSE))="Cinema",(VLOOKUP(Table8[[#This Row],[SKU]],'All Skus'!$A:$AC,22,FALSE)),""))</f>
        <v>MX</v>
      </c>
      <c r="S31" t="str">
        <f>(IF((VLOOKUP(Table8[[#This Row],[SKU]],'All Skus'!$A:$AC,2,FALSE))="Cinema",(VLOOKUP(Table8[[#This Row],[SKU]],'All Skus'!$A:$AC,23,FALSE)),""))</f>
        <v>Compliant</v>
      </c>
      <c r="T31" s="76" t="str">
        <f>HYPERLINK((IF((VLOOKUP(Table8[[#This Row],[SKU]],'All Skus'!$A:$AC,2,FALSE))="Cinema",(VLOOKUP(Table8[[#This Row],[SKU]],'All Skus'!$A:$AC,24,FALSE)),"")))</f>
        <v/>
      </c>
      <c r="U31" s="151">
        <v>29</v>
      </c>
    </row>
    <row r="32" spans="1:21" ht="15" customHeight="1">
      <c r="A32" s="103" t="s">
        <v>1908</v>
      </c>
      <c r="B32" s="12" t="str">
        <f>(IF((VLOOKUP(Table8[[#This Row],[SKU]],'All Skus'!$A:$AC,2,FALSE))="Cinema",(VLOOKUP(Table8[[#This Row],[SKU]],'All Skus'!$A:$AC,3,FALSE)),""))</f>
        <v>Cinema</v>
      </c>
      <c r="C32" s="146" t="str">
        <f>(IF((VLOOKUP(Table8[[#This Row],[SKU]],'All Skus'!$A:$AC,2,FALSE))="Cinema",(VLOOKUP(Table8[[#This Row],[SKU]],'All Skus'!$A:$AC,4,FALSE)),""))</f>
        <v>HPD4739</v>
      </c>
      <c r="D32" s="61" t="str">
        <f>(IF((VLOOKUP(Table8[[#This Row],[SKU]],'All Skus'!$A:$AC,2,FALSE))="Cinema",(VLOOKUP(Table8[[#This Row],[SKU]],'All Skus'!$A:$AC,5,FALSE)),""))</f>
        <v>JBL030</v>
      </c>
      <c r="E32" s="61">
        <f>(IF((VLOOKUP(Table8[[#This Row],[SKU]],'All Skus'!$A:$AC,2,FALSE))="Cinema",(VLOOKUP(Table8[[#This Row],[SKU]],'All Skus'!$A:$AC,6,FALSE)),""))</f>
        <v>0</v>
      </c>
      <c r="F32">
        <f>(IF((VLOOKUP(Table8[[#This Row],[SKU]],'All Skus'!$A:$AC,2,FALSE))="Cinema",(VLOOKUP(Table8[[#This Row],[SKU]],'All Skus'!$A:$AC,7,FALSE)),""))</f>
        <v>0</v>
      </c>
      <c r="G32" s="7" t="str">
        <f>(IF((VLOOKUP(Table8[[#This Row],[SKU]],'All Skus'!$A:$AC,2,FALSE))="Cinema",(VLOOKUP(Table8[[#This Row],[SKU]],'All Skus'!$A:$AC,8,FALSE)),""))</f>
        <v>S/M, 4739</v>
      </c>
      <c r="H32" s="8" t="str">
        <f>(IF((VLOOKUP(Table8[[#This Row],[SKU]],'All Skus'!$A:$AC,2,FALSE))="Cinema",(VLOOKUP(Table8[[#This Row],[SKU]],'All Skus'!$A:$AC,9,FALSE)),""))</f>
        <v>4 ohm Low Frequency Section for 3732T, 4732 and 4732T Components: Two 265H Installed in 4739 Enclosure</v>
      </c>
      <c r="I32" s="89">
        <f>(IF((VLOOKUP(Table8[[#This Row],[SKU]],'All Skus'!$A:$AC,2,FALSE))="Cinema",(VLOOKUP(Table8[[#This Row],[SKU]],'All Skus'!$A:$AC,10,FALSE)),""))</f>
        <v>1571.64</v>
      </c>
      <c r="J32" s="89">
        <f>(IF((VLOOKUP(Table8[[#This Row],[SKU]],'All Skus'!$A:$AC,2,FALSE))="Cinema",(VLOOKUP(Table8[[#This Row],[SKU]],'All Skus'!$A:$AC,11,FALSE)),""))</f>
        <v>1571.64</v>
      </c>
      <c r="K32" s="135">
        <f>(IF((VLOOKUP(Table8[[#This Row],[SKU]],'All Skus'!$A:$AC,2,FALSE))="Cinema",(VLOOKUP(Table8[[#This Row],[SKU]],'All Skus'!$A:$AC,15,FALSE)),""))</f>
        <v>0</v>
      </c>
      <c r="L32" s="137">
        <f>(IF((VLOOKUP(Table8[[#This Row],[SKU]],'All Skus'!$A:$AC,2,FALSE))="Cinema",(VLOOKUP(Table8[[#This Row],[SKU]],'All Skus'!$A:$AC,16,FALSE)),""))</f>
        <v>691991015465</v>
      </c>
      <c r="M32" s="61">
        <f>(IF((VLOOKUP(Table8[[#This Row],[SKU]],'All Skus'!$A:$AC,2,FALSE))="Cinema",(VLOOKUP(Table8[[#This Row],[SKU]],'All Skus'!$A:$AC,17,FALSE)),""))</f>
        <v>0</v>
      </c>
      <c r="N32" s="136">
        <f>(IF((VLOOKUP(Table8[[#This Row],[SKU]],'All Skus'!$A:$AC,2,FALSE))="Cinema",(VLOOKUP(Table8[[#This Row],[SKU]],'All Skus'!$A:$AC,18,FALSE)),""))</f>
        <v>3</v>
      </c>
      <c r="O32" s="136">
        <f>(IF((VLOOKUP(Table8[[#This Row],[SKU]],'All Skus'!$A:$AC,2,FALSE))="Cinema",(VLOOKUP(Table8[[#This Row],[SKU]],'All Skus'!$A:$AC,19,FALSE)),""))</f>
        <v>15</v>
      </c>
      <c r="P32" s="136">
        <f>(IF((VLOOKUP(Table8[[#This Row],[SKU]],'All Skus'!$A:$AC,2,FALSE))="Cinema",(VLOOKUP(Table8[[#This Row],[SKU]],'All Skus'!$A:$AC,20,FALSE)),""))</f>
        <v>15</v>
      </c>
      <c r="Q32" s="136">
        <f>(IF((VLOOKUP(Table8[[#This Row],[SKU]],'All Skus'!$A:$AC,2,FALSE))="Cinema",(VLOOKUP(Table8[[#This Row],[SKU]],'All Skus'!$A:$AC,21,FALSE)),""))</f>
        <v>9</v>
      </c>
      <c r="R32" s="61" t="str">
        <f>(IF((VLOOKUP(Table8[[#This Row],[SKU]],'All Skus'!$A:$AC,2,FALSE))="Cinema",(VLOOKUP(Table8[[#This Row],[SKU]],'All Skus'!$A:$AC,22,FALSE)),""))</f>
        <v>MX</v>
      </c>
      <c r="S32" t="str">
        <f>(IF((VLOOKUP(Table8[[#This Row],[SKU]],'All Skus'!$A:$AC,2,FALSE))="Cinema",(VLOOKUP(Table8[[#This Row],[SKU]],'All Skus'!$A:$AC,23,FALSE)),""))</f>
        <v>Compliant</v>
      </c>
      <c r="T32" s="76" t="str">
        <f>HYPERLINK((IF((VLOOKUP(Table8[[#This Row],[SKU]],'All Skus'!$A:$AC,2,FALSE))="Cinema",(VLOOKUP(Table8[[#This Row],[SKU]],'All Skus'!$A:$AC,24,FALSE)),"")))</f>
        <v/>
      </c>
      <c r="U32" s="151">
        <v>30</v>
      </c>
    </row>
    <row r="33" spans="1:21" ht="15" customHeight="1">
      <c r="A33" s="103" t="s">
        <v>1909</v>
      </c>
      <c r="B33" s="12" t="str">
        <f>(IF((VLOOKUP(Table8[[#This Row],[SKU]],'All Skus'!$A:$AC,2,FALSE))="Cinema",(VLOOKUP(Table8[[#This Row],[SKU]],'All Skus'!$A:$AC,3,FALSE)),""))</f>
        <v>Cinema</v>
      </c>
      <c r="C33" s="146" t="str">
        <f>(IF((VLOOKUP(Table8[[#This Row],[SKU]],'All Skus'!$A:$AC,2,FALSE))="Cinema",(VLOOKUP(Table8[[#This Row],[SKU]],'All Skus'!$A:$AC,4,FALSE)),""))</f>
        <v>HPD5628</v>
      </c>
      <c r="D33" s="61" t="str">
        <f>(IF((VLOOKUP(Table8[[#This Row],[SKU]],'All Skus'!$A:$AC,2,FALSE))="Cinema",(VLOOKUP(Table8[[#This Row],[SKU]],'All Skus'!$A:$AC,5,FALSE)),""))</f>
        <v>JBL030</v>
      </c>
      <c r="E33" s="61" t="str">
        <f>(IF((VLOOKUP(Table8[[#This Row],[SKU]],'All Skus'!$A:$AC,2,FALSE))="Cinema",(VLOOKUP(Table8[[#This Row],[SKU]],'All Skus'!$A:$AC,6,FALSE)),""))</f>
        <v>YES</v>
      </c>
      <c r="F33">
        <f>(IF((VLOOKUP(Table8[[#This Row],[SKU]],'All Skus'!$A:$AC,2,FALSE))="Cinema",(VLOOKUP(Table8[[#This Row],[SKU]],'All Skus'!$A:$AC,7,FALSE)),""))</f>
        <v>0</v>
      </c>
      <c r="G33" s="7" t="str">
        <f>(IF((VLOOKUP(Table8[[#This Row],[SKU]],'All Skus'!$A:$AC,2,FALSE))="Cinema",(VLOOKUP(Table8[[#This Row],[SKU]],'All Skus'!$A:$AC,8,FALSE)),""))</f>
        <v>Very High Power dual 18'' Cinema Subwoofer</v>
      </c>
      <c r="H33" s="8" t="str">
        <f>(IF((VLOOKUP(Table8[[#This Row],[SKU]],'All Skus'!$A:$AC,2,FALSE))="Cinema",(VLOOKUP(Table8[[#This Row],[SKU]],'All Skus'!$A:$AC,9,FALSE)),""))</f>
        <v>4,000 Watt, dual 2269H 18" drivers, Very High Power Cinema Subwoofer</v>
      </c>
      <c r="I33" s="89">
        <f>(IF((VLOOKUP(Table8[[#This Row],[SKU]],'All Skus'!$A:$AC,2,FALSE))="Cinema",(VLOOKUP(Table8[[#This Row],[SKU]],'All Skus'!$A:$AC,10,FALSE)),""))</f>
        <v>4040.77</v>
      </c>
      <c r="J33" s="89">
        <f>(IF((VLOOKUP(Table8[[#This Row],[SKU]],'All Skus'!$A:$AC,2,FALSE))="Cinema",(VLOOKUP(Table8[[#This Row],[SKU]],'All Skus'!$A:$AC,11,FALSE)),""))</f>
        <v>4040.77</v>
      </c>
      <c r="K33" s="135">
        <f>(IF((VLOOKUP(Table8[[#This Row],[SKU]],'All Skus'!$A:$AC,2,FALSE))="Cinema",(VLOOKUP(Table8[[#This Row],[SKU]],'All Skus'!$A:$AC,15,FALSE)),""))</f>
        <v>0</v>
      </c>
      <c r="L33" s="137">
        <f>(IF((VLOOKUP(Table8[[#This Row],[SKU]],'All Skus'!$A:$AC,2,FALSE))="Cinema",(VLOOKUP(Table8[[#This Row],[SKU]],'All Skus'!$A:$AC,16,FALSE)),""))</f>
        <v>691991015335</v>
      </c>
      <c r="M33" s="61">
        <f>(IF((VLOOKUP(Table8[[#This Row],[SKU]],'All Skus'!$A:$AC,2,FALSE))="Cinema",(VLOOKUP(Table8[[#This Row],[SKU]],'All Skus'!$A:$AC,17,FALSE)),""))</f>
        <v>0</v>
      </c>
      <c r="N33" s="136">
        <f>(IF((VLOOKUP(Table8[[#This Row],[SKU]],'All Skus'!$A:$AC,2,FALSE))="Cinema",(VLOOKUP(Table8[[#This Row],[SKU]],'All Skus'!$A:$AC,18,FALSE)),""))</f>
        <v>3</v>
      </c>
      <c r="O33" s="136">
        <f>(IF((VLOOKUP(Table8[[#This Row],[SKU]],'All Skus'!$A:$AC,2,FALSE))="Cinema",(VLOOKUP(Table8[[#This Row],[SKU]],'All Skus'!$A:$AC,19,FALSE)),""))</f>
        <v>17</v>
      </c>
      <c r="P33" s="136">
        <f>(IF((VLOOKUP(Table8[[#This Row],[SKU]],'All Skus'!$A:$AC,2,FALSE))="Cinema",(VLOOKUP(Table8[[#This Row],[SKU]],'All Skus'!$A:$AC,20,FALSE)),""))</f>
        <v>17</v>
      </c>
      <c r="Q33" s="136">
        <f>(IF((VLOOKUP(Table8[[#This Row],[SKU]],'All Skus'!$A:$AC,2,FALSE))="Cinema",(VLOOKUP(Table8[[#This Row],[SKU]],'All Skus'!$A:$AC,21,FALSE)),""))</f>
        <v>8</v>
      </c>
      <c r="R33" s="61" t="str">
        <f>(IF((VLOOKUP(Table8[[#This Row],[SKU]],'All Skus'!$A:$AC,2,FALSE))="Cinema",(VLOOKUP(Table8[[#This Row],[SKU]],'All Skus'!$A:$AC,22,FALSE)),""))</f>
        <v>MX</v>
      </c>
      <c r="S33" t="str">
        <f>(IF((VLOOKUP(Table8[[#This Row],[SKU]],'All Skus'!$A:$AC,2,FALSE))="Cinema",(VLOOKUP(Table8[[#This Row],[SKU]],'All Skus'!$A:$AC,23,FALSE)),""))</f>
        <v>Compliant</v>
      </c>
      <c r="T33" s="76" t="str">
        <f>HYPERLINK((IF((VLOOKUP(Table8[[#This Row],[SKU]],'All Skus'!$A:$AC,2,FALSE))="Cinema",(VLOOKUP(Table8[[#This Row],[SKU]],'All Skus'!$A:$AC,24,FALSE)),"")))</f>
        <v/>
      </c>
      <c r="U33" s="151">
        <v>31</v>
      </c>
    </row>
    <row r="34" spans="1:21" ht="15" customHeight="1">
      <c r="A34" s="103" t="s">
        <v>1910</v>
      </c>
      <c r="B34" s="12" t="str">
        <f>(IF((VLOOKUP(Table8[[#This Row],[SKU]],'All Skus'!$A:$AC,2,FALSE))="Cinema",(VLOOKUP(Table8[[#This Row],[SKU]],'All Skus'!$A:$AC,3,FALSE)),""))</f>
        <v>Cinema</v>
      </c>
      <c r="C34" s="146" t="str">
        <f>(IF((VLOOKUP(Table8[[#This Row],[SKU]],'All Skus'!$A:$AC,2,FALSE))="Cinema",(VLOOKUP(Table8[[#This Row],[SKU]],'All Skus'!$A:$AC,4,FALSE)),""))</f>
        <v>HPD5641</v>
      </c>
      <c r="D34" s="61" t="str">
        <f>(IF((VLOOKUP(Table8[[#This Row],[SKU]],'All Skus'!$A:$AC,2,FALSE))="Cinema",(VLOOKUP(Table8[[#This Row],[SKU]],'All Skus'!$A:$AC,5,FALSE)),""))</f>
        <v>JBL030</v>
      </c>
      <c r="E34" s="61" t="str">
        <f>(IF((VLOOKUP(Table8[[#This Row],[SKU]],'All Skus'!$A:$AC,2,FALSE))="Cinema",(VLOOKUP(Table8[[#This Row],[SKU]],'All Skus'!$A:$AC,6,FALSE)),""))</f>
        <v>YES</v>
      </c>
      <c r="F34">
        <f>(IF((VLOOKUP(Table8[[#This Row],[SKU]],'All Skus'!$A:$AC,2,FALSE))="Cinema",(VLOOKUP(Table8[[#This Row],[SKU]],'All Skus'!$A:$AC,7,FALSE)),""))</f>
        <v>0</v>
      </c>
      <c r="G34" s="7" t="str">
        <f>(IF((VLOOKUP(Table8[[#This Row],[SKU]],'All Skus'!$A:$AC,2,FALSE))="Cinema",(VLOOKUP(Table8[[#This Row],[SKU]],'All Skus'!$A:$AC,8,FALSE)),""))</f>
        <v>15"  Single LOADED CABINET THEATER SYSTEM</v>
      </c>
      <c r="H34" s="8" t="str">
        <f>(IF((VLOOKUP(Table8[[#This Row],[SKU]],'All Skus'!$A:$AC,2,FALSE))="Cinema",(VLOOKUP(Table8[[#This Row],[SKU]],'All Skus'!$A:$AC,9,FALSE)),""))</f>
        <v>4 ohm  Low frequency Section for 3731 ScreenArray  1 x 2226 driver</v>
      </c>
      <c r="I34" s="89">
        <f>(IF((VLOOKUP(Table8[[#This Row],[SKU]],'All Skus'!$A:$AC,2,FALSE))="Cinema",(VLOOKUP(Table8[[#This Row],[SKU]],'All Skus'!$A:$AC,10,FALSE)),""))</f>
        <v>1210.76</v>
      </c>
      <c r="J34" s="89">
        <f>(IF((VLOOKUP(Table8[[#This Row],[SKU]],'All Skus'!$A:$AC,2,FALSE))="Cinema",(VLOOKUP(Table8[[#This Row],[SKU]],'All Skus'!$A:$AC,11,FALSE)),""))</f>
        <v>1210.76</v>
      </c>
      <c r="K34" s="135">
        <f>(IF((VLOOKUP(Table8[[#This Row],[SKU]],'All Skus'!$A:$AC,2,FALSE))="Cinema",(VLOOKUP(Table8[[#This Row],[SKU]],'All Skus'!$A:$AC,15,FALSE)),""))</f>
        <v>0</v>
      </c>
      <c r="L34" s="137">
        <f>(IF((VLOOKUP(Table8[[#This Row],[SKU]],'All Skus'!$A:$AC,2,FALSE))="Cinema",(VLOOKUP(Table8[[#This Row],[SKU]],'All Skus'!$A:$AC,16,FALSE)),""))</f>
        <v>691991015342</v>
      </c>
      <c r="M34" s="61">
        <f>(IF((VLOOKUP(Table8[[#This Row],[SKU]],'All Skus'!$A:$AC,2,FALSE))="Cinema",(VLOOKUP(Table8[[#This Row],[SKU]],'All Skus'!$A:$AC,17,FALSE)),""))</f>
        <v>0</v>
      </c>
      <c r="N34" s="136">
        <f>(IF((VLOOKUP(Table8[[#This Row],[SKU]],'All Skus'!$A:$AC,2,FALSE))="Cinema",(VLOOKUP(Table8[[#This Row],[SKU]],'All Skus'!$A:$AC,18,FALSE)),""))</f>
        <v>3</v>
      </c>
      <c r="O34" s="136">
        <f>(IF((VLOOKUP(Table8[[#This Row],[SKU]],'All Skus'!$A:$AC,2,FALSE))="Cinema",(VLOOKUP(Table8[[#This Row],[SKU]],'All Skus'!$A:$AC,19,FALSE)),""))</f>
        <v>15</v>
      </c>
      <c r="P34" s="136">
        <f>(IF((VLOOKUP(Table8[[#This Row],[SKU]],'All Skus'!$A:$AC,2,FALSE))="Cinema",(VLOOKUP(Table8[[#This Row],[SKU]],'All Skus'!$A:$AC,20,FALSE)),""))</f>
        <v>15</v>
      </c>
      <c r="Q34" s="136">
        <f>(IF((VLOOKUP(Table8[[#This Row],[SKU]],'All Skus'!$A:$AC,2,FALSE))="Cinema",(VLOOKUP(Table8[[#This Row],[SKU]],'All Skus'!$A:$AC,21,FALSE)),""))</f>
        <v>9</v>
      </c>
      <c r="R34" s="61" t="str">
        <f>(IF((VLOOKUP(Table8[[#This Row],[SKU]],'All Skus'!$A:$AC,2,FALSE))="Cinema",(VLOOKUP(Table8[[#This Row],[SKU]],'All Skus'!$A:$AC,22,FALSE)),""))</f>
        <v>MX</v>
      </c>
      <c r="S34" t="str">
        <f>(IF((VLOOKUP(Table8[[#This Row],[SKU]],'All Skus'!$A:$AC,2,FALSE))="Cinema",(VLOOKUP(Table8[[#This Row],[SKU]],'All Skus'!$A:$AC,23,FALSE)),""))</f>
        <v>Compliant</v>
      </c>
      <c r="T34" s="76" t="str">
        <f>HYPERLINK((IF((VLOOKUP(Table8[[#This Row],[SKU]],'All Skus'!$A:$AC,2,FALSE))="Cinema",(VLOOKUP(Table8[[#This Row],[SKU]],'All Skus'!$A:$AC,24,FALSE)),"")))</f>
        <v/>
      </c>
      <c r="U34" s="151">
        <v>32</v>
      </c>
    </row>
    <row r="35" spans="1:21" ht="15" customHeight="1">
      <c r="A35" s="103" t="s">
        <v>1911</v>
      </c>
      <c r="B35" s="12" t="str">
        <f>(IF((VLOOKUP(Table8[[#This Row],[SKU]],'All Skus'!$A:$AC,2,FALSE))="Cinema",(VLOOKUP(Table8[[#This Row],[SKU]],'All Skus'!$A:$AC,3,FALSE)),""))</f>
        <v>Cinema</v>
      </c>
      <c r="C35" s="146" t="str">
        <f>(IF((VLOOKUP(Table8[[#This Row],[SKU]],'All Skus'!$A:$AC,2,FALSE))="Cinema",(VLOOKUP(Table8[[#This Row],[SKU]],'All Skus'!$A:$AC,4,FALSE)),""))</f>
        <v>HPD5739</v>
      </c>
      <c r="D35" s="61" t="str">
        <f>(IF((VLOOKUP(Table8[[#This Row],[SKU]],'All Skus'!$A:$AC,2,FALSE))="Cinema",(VLOOKUP(Table8[[#This Row],[SKU]],'All Skus'!$A:$AC,5,FALSE)),""))</f>
        <v>JBL030</v>
      </c>
      <c r="E35" s="61" t="str">
        <f>(IF((VLOOKUP(Table8[[#This Row],[SKU]],'All Skus'!$A:$AC,2,FALSE))="Cinema",(VLOOKUP(Table8[[#This Row],[SKU]],'All Skus'!$A:$AC,6,FALSE)),""))</f>
        <v>YES</v>
      </c>
      <c r="F35">
        <f>(IF((VLOOKUP(Table8[[#This Row],[SKU]],'All Skus'!$A:$AC,2,FALSE))="Cinema",(VLOOKUP(Table8[[#This Row],[SKU]],'All Skus'!$A:$AC,7,FALSE)),""))</f>
        <v>0</v>
      </c>
      <c r="G35" s="7" t="str">
        <f>(IF((VLOOKUP(Table8[[#This Row],[SKU]],'All Skus'!$A:$AC,2,FALSE))="Cinema",(VLOOKUP(Table8[[#This Row],[SKU]],'All Skus'!$A:$AC,8,FALSE)),""))</f>
        <v>LOW FREQUENCY for 5732  SCREEN ARRAY</v>
      </c>
      <c r="H35" s="8" t="str">
        <f>(IF((VLOOKUP(Table8[[#This Row],[SKU]],'All Skus'!$A:$AC,2,FALSE))="Cinema",(VLOOKUP(Table8[[#This Row],[SKU]],'All Skus'!$A:$AC,9,FALSE)),""))</f>
        <v>4 ohm Low Frequency Section for 5732 System. Components: Two 2226HPL VGC™ Vented Gap Cooled 380mm (15”) Woofers installed in a 4739 Enclosure.</v>
      </c>
      <c r="I35" s="89">
        <f>(IF((VLOOKUP(Table8[[#This Row],[SKU]],'All Skus'!$A:$AC,2,FALSE))="Cinema",(VLOOKUP(Table8[[#This Row],[SKU]],'All Skus'!$A:$AC,10,FALSE)),""))</f>
        <v>2010.24</v>
      </c>
      <c r="J35" s="89">
        <f>(IF((VLOOKUP(Table8[[#This Row],[SKU]],'All Skus'!$A:$AC,2,FALSE))="Cinema",(VLOOKUP(Table8[[#This Row],[SKU]],'All Skus'!$A:$AC,11,FALSE)),""))</f>
        <v>2010.24</v>
      </c>
      <c r="K35" s="135">
        <f>(IF((VLOOKUP(Table8[[#This Row],[SKU]],'All Skus'!$A:$AC,2,FALSE))="Cinema",(VLOOKUP(Table8[[#This Row],[SKU]],'All Skus'!$A:$AC,15,FALSE)),""))</f>
        <v>0</v>
      </c>
      <c r="L35" s="137">
        <f>(IF((VLOOKUP(Table8[[#This Row],[SKU]],'All Skus'!$A:$AC,2,FALSE))="Cinema",(VLOOKUP(Table8[[#This Row],[SKU]],'All Skus'!$A:$AC,16,FALSE)),""))</f>
        <v>691991015366</v>
      </c>
      <c r="M35" s="61">
        <f>(IF((VLOOKUP(Table8[[#This Row],[SKU]],'All Skus'!$A:$AC,2,FALSE))="Cinema",(VLOOKUP(Table8[[#This Row],[SKU]],'All Skus'!$A:$AC,17,FALSE)),""))</f>
        <v>0</v>
      </c>
      <c r="N35" s="136">
        <f>(IF((VLOOKUP(Table8[[#This Row],[SKU]],'All Skus'!$A:$AC,2,FALSE))="Cinema",(VLOOKUP(Table8[[#This Row],[SKU]],'All Skus'!$A:$AC,18,FALSE)),""))</f>
        <v>3</v>
      </c>
      <c r="O35" s="136">
        <f>(IF((VLOOKUP(Table8[[#This Row],[SKU]],'All Skus'!$A:$AC,2,FALSE))="Cinema",(VLOOKUP(Table8[[#This Row],[SKU]],'All Skus'!$A:$AC,19,FALSE)),""))</f>
        <v>11</v>
      </c>
      <c r="P35" s="136">
        <f>(IF((VLOOKUP(Table8[[#This Row],[SKU]],'All Skus'!$A:$AC,2,FALSE))="Cinema",(VLOOKUP(Table8[[#This Row],[SKU]],'All Skus'!$A:$AC,20,FALSE)),""))</f>
        <v>11</v>
      </c>
      <c r="Q35" s="136">
        <f>(IF((VLOOKUP(Table8[[#This Row],[SKU]],'All Skus'!$A:$AC,2,FALSE))="Cinema",(VLOOKUP(Table8[[#This Row],[SKU]],'All Skus'!$A:$AC,21,FALSE)),""))</f>
        <v>6</v>
      </c>
      <c r="R35" s="61" t="str">
        <f>(IF((VLOOKUP(Table8[[#This Row],[SKU]],'All Skus'!$A:$AC,2,FALSE))="Cinema",(VLOOKUP(Table8[[#This Row],[SKU]],'All Skus'!$A:$AC,22,FALSE)),""))</f>
        <v>MX</v>
      </c>
      <c r="S35" t="str">
        <f>(IF((VLOOKUP(Table8[[#This Row],[SKU]],'All Skus'!$A:$AC,2,FALSE))="Cinema",(VLOOKUP(Table8[[#This Row],[SKU]],'All Skus'!$A:$AC,23,FALSE)),""))</f>
        <v>Compliant</v>
      </c>
      <c r="T35" s="76" t="str">
        <f>HYPERLINK((IF((VLOOKUP(Table8[[#This Row],[SKU]],'All Skus'!$A:$AC,2,FALSE))="Cinema",(VLOOKUP(Table8[[#This Row],[SKU]],'All Skus'!$A:$AC,24,FALSE)),"")))</f>
        <v/>
      </c>
      <c r="U35" s="151">
        <v>33</v>
      </c>
    </row>
    <row r="36" spans="1:21" ht="15" customHeight="1">
      <c r="A36" s="103" t="s">
        <v>1912</v>
      </c>
      <c r="B36" s="12" t="str">
        <f>(IF((VLOOKUP(Table8[[#This Row],[SKU]],'All Skus'!$A:$AC,2,FALSE))="Cinema",(VLOOKUP(Table8[[#This Row],[SKU]],'All Skus'!$A:$AC,3,FALSE)),""))</f>
        <v>Cinema</v>
      </c>
      <c r="C36" s="146" t="str">
        <f>(IF((VLOOKUP(Table8[[#This Row],[SKU]],'All Skus'!$A:$AC,2,FALSE))="Cinema",(VLOOKUP(Table8[[#This Row],[SKU]],'All Skus'!$A:$AC,4,FALSE)),""))</f>
        <v>HPD5749</v>
      </c>
      <c r="D36" s="61" t="str">
        <f>(IF((VLOOKUP(Table8[[#This Row],[SKU]],'All Skus'!$A:$AC,2,FALSE))="Cinema",(VLOOKUP(Table8[[#This Row],[SKU]],'All Skus'!$A:$AC,5,FALSE)),""))</f>
        <v>JBL030</v>
      </c>
      <c r="E36" s="61" t="str">
        <f>(IF((VLOOKUP(Table8[[#This Row],[SKU]],'All Skus'!$A:$AC,2,FALSE))="Cinema",(VLOOKUP(Table8[[#This Row],[SKU]],'All Skus'!$A:$AC,6,FALSE)),""))</f>
        <v>YES</v>
      </c>
      <c r="F36">
        <f>(IF((VLOOKUP(Table8[[#This Row],[SKU]],'All Skus'!$A:$AC,2,FALSE))="Cinema",(VLOOKUP(Table8[[#This Row],[SKU]],'All Skus'!$A:$AC,7,FALSE)),""))</f>
        <v>0</v>
      </c>
      <c r="G36" s="7" t="str">
        <f>(IF((VLOOKUP(Table8[[#This Row],[SKU]],'All Skus'!$A:$AC,2,FALSE))="Cinema",(VLOOKUP(Table8[[#This Row],[SKU]],'All Skus'!$A:$AC,8,FALSE)),""))</f>
        <v>LOW FREQUENCY  for 5742 SCREEN ARRAY</v>
      </c>
      <c r="H36" s="8" t="str">
        <f>(IF((VLOOKUP(Table8[[#This Row],[SKU]],'All Skus'!$A:$AC,2,FALSE))="Cinema",(VLOOKUP(Table8[[#This Row],[SKU]],'All Skus'!$A:$AC,9,FALSE)),""))</f>
        <v>4 ohm Low Frequency Section for the 5742 System. Components: Two 2242HPL SVG™ Super Vented Gap Cooled 460mm (18”) Woofers installed in a 5749 Enclosure.</v>
      </c>
      <c r="I36" s="89">
        <f>(IF((VLOOKUP(Table8[[#This Row],[SKU]],'All Skus'!$A:$AC,2,FALSE))="Cinema",(VLOOKUP(Table8[[#This Row],[SKU]],'All Skus'!$A:$AC,10,FALSE)),""))</f>
        <v>2938.74</v>
      </c>
      <c r="J36" s="89">
        <f>(IF((VLOOKUP(Table8[[#This Row],[SKU]],'All Skus'!$A:$AC,2,FALSE))="Cinema",(VLOOKUP(Table8[[#This Row],[SKU]],'All Skus'!$A:$AC,11,FALSE)),""))</f>
        <v>2938.74</v>
      </c>
      <c r="K36" s="135">
        <f>(IF((VLOOKUP(Table8[[#This Row],[SKU]],'All Skus'!$A:$AC,2,FALSE))="Cinema",(VLOOKUP(Table8[[#This Row],[SKU]],'All Skus'!$A:$AC,15,FALSE)),""))</f>
        <v>0</v>
      </c>
      <c r="L36" s="137">
        <f>(IF((VLOOKUP(Table8[[#This Row],[SKU]],'All Skus'!$A:$AC,2,FALSE))="Cinema",(VLOOKUP(Table8[[#This Row],[SKU]],'All Skus'!$A:$AC,16,FALSE)),""))</f>
        <v>691991015359</v>
      </c>
      <c r="M36" s="61">
        <f>(IF((VLOOKUP(Table8[[#This Row],[SKU]],'All Skus'!$A:$AC,2,FALSE))="Cinema",(VLOOKUP(Table8[[#This Row],[SKU]],'All Skus'!$A:$AC,17,FALSE)),""))</f>
        <v>0</v>
      </c>
      <c r="N36" s="136">
        <f>(IF((VLOOKUP(Table8[[#This Row],[SKU]],'All Skus'!$A:$AC,2,FALSE))="Cinema",(VLOOKUP(Table8[[#This Row],[SKU]],'All Skus'!$A:$AC,18,FALSE)),""))</f>
        <v>3</v>
      </c>
      <c r="O36" s="136">
        <f>(IF((VLOOKUP(Table8[[#This Row],[SKU]],'All Skus'!$A:$AC,2,FALSE))="Cinema",(VLOOKUP(Table8[[#This Row],[SKU]],'All Skus'!$A:$AC,19,FALSE)),""))</f>
        <v>11</v>
      </c>
      <c r="P36" s="136">
        <f>(IF((VLOOKUP(Table8[[#This Row],[SKU]],'All Skus'!$A:$AC,2,FALSE))="Cinema",(VLOOKUP(Table8[[#This Row],[SKU]],'All Skus'!$A:$AC,20,FALSE)),""))</f>
        <v>11</v>
      </c>
      <c r="Q36" s="136">
        <f>(IF((VLOOKUP(Table8[[#This Row],[SKU]],'All Skus'!$A:$AC,2,FALSE))="Cinema",(VLOOKUP(Table8[[#This Row],[SKU]],'All Skus'!$A:$AC,21,FALSE)),""))</f>
        <v>7</v>
      </c>
      <c r="R36" s="61" t="str">
        <f>(IF((VLOOKUP(Table8[[#This Row],[SKU]],'All Skus'!$A:$AC,2,FALSE))="Cinema",(VLOOKUP(Table8[[#This Row],[SKU]],'All Skus'!$A:$AC,22,FALSE)),""))</f>
        <v>MX</v>
      </c>
      <c r="S36" t="str">
        <f>(IF((VLOOKUP(Table8[[#This Row],[SKU]],'All Skus'!$A:$AC,2,FALSE))="Cinema",(VLOOKUP(Table8[[#This Row],[SKU]],'All Skus'!$A:$AC,23,FALSE)),""))</f>
        <v>Compliant</v>
      </c>
      <c r="T36" s="76" t="str">
        <f>HYPERLINK((IF((VLOOKUP(Table8[[#This Row],[SKU]],'All Skus'!$A:$AC,2,FALSE))="Cinema",(VLOOKUP(Table8[[#This Row],[SKU]],'All Skus'!$A:$AC,24,FALSE)),"")))</f>
        <v/>
      </c>
      <c r="U36" s="151">
        <v>34</v>
      </c>
    </row>
    <row r="37" spans="1:21" ht="15" customHeight="1">
      <c r="A37" s="103" t="s">
        <v>1913</v>
      </c>
      <c r="B37" s="12" t="str">
        <f>(IF((VLOOKUP(Table8[[#This Row],[SKU]],'All Skus'!$A:$AC,2,FALSE))="Cinema",(VLOOKUP(Table8[[#This Row],[SKU]],'All Skus'!$A:$AC,3,FALSE)),""))</f>
        <v>Cinema</v>
      </c>
      <c r="C37" s="146" t="str">
        <f>(IF((VLOOKUP(Table8[[#This Row],[SKU]],'All Skus'!$A:$AC,2,FALSE))="Cinema",(VLOOKUP(Table8[[#This Row],[SKU]],'All Skus'!$A:$AC,4,FALSE)),""))</f>
        <v>HPD8320</v>
      </c>
      <c r="D37" s="61" t="str">
        <f>(IF((VLOOKUP(Table8[[#This Row],[SKU]],'All Skus'!$A:$AC,2,FALSE))="Cinema",(VLOOKUP(Table8[[#This Row],[SKU]],'All Skus'!$A:$AC,5,FALSE)),""))</f>
        <v>JBL030</v>
      </c>
      <c r="E37" s="61">
        <f>(IF((VLOOKUP(Table8[[#This Row],[SKU]],'All Skus'!$A:$AC,2,FALSE))="Cinema",(VLOOKUP(Table8[[#This Row],[SKU]],'All Skus'!$A:$AC,6,FALSE)),""))</f>
        <v>0</v>
      </c>
      <c r="F37">
        <f>(IF((VLOOKUP(Table8[[#This Row],[SKU]],'All Skus'!$A:$AC,2,FALSE))="Cinema",(VLOOKUP(Table8[[#This Row],[SKU]],'All Skus'!$A:$AC,7,FALSE)),""))</f>
        <v>0</v>
      </c>
      <c r="G37" s="7" t="str">
        <f>(IF((VLOOKUP(Table8[[#This Row],[SKU]],'All Skus'!$A:$AC,2,FALSE))="Cinema",(VLOOKUP(Table8[[#This Row],[SKU]],'All Skus'!$A:$AC,8,FALSE)),""))</f>
        <v>150W COMPACT SURROUND SPEAKER</v>
      </c>
      <c r="H37" s="8" t="str">
        <f>(IF((VLOOKUP(Table8[[#This Row],[SKU]],'All Skus'!$A:$AC,2,FALSE))="Cinema",(VLOOKUP(Table8[[#This Row],[SKU]],'All Skus'!$A:$AC,9,FALSE)),""))</f>
        <v>Two-Way Surround System, 8" Low Frequency Driver, 1” Dome Tweeter, HF Protection Circuit, 8 ohms.  Packed 2 Pieces Per Master Pack.</v>
      </c>
      <c r="I37" s="89">
        <f>(IF((VLOOKUP(Table8[[#This Row],[SKU]],'All Skus'!$A:$AC,2,FALSE))="Cinema",(VLOOKUP(Table8[[#This Row],[SKU]],'All Skus'!$A:$AC,10,FALSE)),""))</f>
        <v>373.44</v>
      </c>
      <c r="J37" s="89">
        <f>(IF((VLOOKUP(Table8[[#This Row],[SKU]],'All Skus'!$A:$AC,2,FALSE))="Cinema",(VLOOKUP(Table8[[#This Row],[SKU]],'All Skus'!$A:$AC,11,FALSE)),""))</f>
        <v>373.44</v>
      </c>
      <c r="K37" s="135">
        <f>(IF((VLOOKUP(Table8[[#This Row],[SKU]],'All Skus'!$A:$AC,2,FALSE))="Cinema",(VLOOKUP(Table8[[#This Row],[SKU]],'All Skus'!$A:$AC,15,FALSE)),""))</f>
        <v>2</v>
      </c>
      <c r="L37" s="137">
        <f>(IF((VLOOKUP(Table8[[#This Row],[SKU]],'All Skus'!$A:$AC,2,FALSE))="Cinema",(VLOOKUP(Table8[[#This Row],[SKU]],'All Skus'!$A:$AC,16,FALSE)),""))</f>
        <v>691991015427</v>
      </c>
      <c r="M37" s="61">
        <f>(IF((VLOOKUP(Table8[[#This Row],[SKU]],'All Skus'!$A:$AC,2,FALSE))="Cinema",(VLOOKUP(Table8[[#This Row],[SKU]],'All Skus'!$A:$AC,17,FALSE)),""))</f>
        <v>0</v>
      </c>
      <c r="N37" s="136">
        <f>(IF((VLOOKUP(Table8[[#This Row],[SKU]],'All Skus'!$A:$AC,2,FALSE))="Cinema",(VLOOKUP(Table8[[#This Row],[SKU]],'All Skus'!$A:$AC,18,FALSE)),""))</f>
        <v>3</v>
      </c>
      <c r="O37" s="136">
        <f>(IF((VLOOKUP(Table8[[#This Row],[SKU]],'All Skus'!$A:$AC,2,FALSE))="Cinema",(VLOOKUP(Table8[[#This Row],[SKU]],'All Skus'!$A:$AC,19,FALSE)),""))</f>
        <v>18</v>
      </c>
      <c r="P37" s="136">
        <f>(IF((VLOOKUP(Table8[[#This Row],[SKU]],'All Skus'!$A:$AC,2,FALSE))="Cinema",(VLOOKUP(Table8[[#This Row],[SKU]],'All Skus'!$A:$AC,20,FALSE)),""))</f>
        <v>18</v>
      </c>
      <c r="Q37" s="136">
        <f>(IF((VLOOKUP(Table8[[#This Row],[SKU]],'All Skus'!$A:$AC,2,FALSE))="Cinema",(VLOOKUP(Table8[[#This Row],[SKU]],'All Skus'!$A:$AC,21,FALSE)),""))</f>
        <v>9</v>
      </c>
      <c r="R37" s="61" t="str">
        <f>(IF((VLOOKUP(Table8[[#This Row],[SKU]],'All Skus'!$A:$AC,2,FALSE))="Cinema",(VLOOKUP(Table8[[#This Row],[SKU]],'All Skus'!$A:$AC,22,FALSE)),""))</f>
        <v>TW</v>
      </c>
      <c r="S37" t="str">
        <f>(IF((VLOOKUP(Table8[[#This Row],[SKU]],'All Skus'!$A:$AC,2,FALSE))="Cinema",(VLOOKUP(Table8[[#This Row],[SKU]],'All Skus'!$A:$AC,23,FALSE)),""))</f>
        <v>Compliant</v>
      </c>
      <c r="T37" s="76" t="str">
        <f>HYPERLINK((IF((VLOOKUP(Table8[[#This Row],[SKU]],'All Skus'!$A:$AC,2,FALSE))="Cinema",(VLOOKUP(Table8[[#This Row],[SKU]],'All Skus'!$A:$AC,24,FALSE)),"")))</f>
        <v/>
      </c>
      <c r="U37" s="151">
        <v>35</v>
      </c>
    </row>
    <row r="38" spans="1:21" ht="15" customHeight="1">
      <c r="A38" s="103" t="s">
        <v>1914</v>
      </c>
      <c r="B38" s="12" t="str">
        <f>(IF((VLOOKUP(Table8[[#This Row],[SKU]],'All Skus'!$A:$AC,2,FALSE))="Cinema",(VLOOKUP(Table8[[#This Row],[SKU]],'All Skus'!$A:$AC,3,FALSE)),""))</f>
        <v>Cinema</v>
      </c>
      <c r="C38" s="146" t="str">
        <f>(IF((VLOOKUP(Table8[[#This Row],[SKU]],'All Skus'!$A:$AC,2,FALSE))="Cinema",(VLOOKUP(Table8[[#This Row],[SKU]],'All Skus'!$A:$AC,4,FALSE)),""))</f>
        <v>HPD9300</v>
      </c>
      <c r="D38" s="61" t="str">
        <f>(IF((VLOOKUP(Table8[[#This Row],[SKU]],'All Skus'!$A:$AC,2,FALSE))="Cinema",(VLOOKUP(Table8[[#This Row],[SKU]],'All Skus'!$A:$AC,5,FALSE)),""))</f>
        <v>JBL030</v>
      </c>
      <c r="E38" s="61" t="str">
        <f>(IF((VLOOKUP(Table8[[#This Row],[SKU]],'All Skus'!$A:$AC,2,FALSE))="Cinema",(VLOOKUP(Table8[[#This Row],[SKU]],'All Skus'!$A:$AC,6,FALSE)),""))</f>
        <v>YES</v>
      </c>
      <c r="F38">
        <f>(IF((VLOOKUP(Table8[[#This Row],[SKU]],'All Skus'!$A:$AC,2,FALSE))="Cinema",(VLOOKUP(Table8[[#This Row],[SKU]],'All Skus'!$A:$AC,7,FALSE)),""))</f>
        <v>0</v>
      </c>
      <c r="G38" s="7" t="str">
        <f>(IF((VLOOKUP(Table8[[#This Row],[SKU]],'All Skus'!$A:$AC,2,FALSE))="Cinema",(VLOOKUP(Table8[[#This Row],[SKU]],'All Skus'!$A:$AC,8,FALSE)),""))</f>
        <v>250W 10" 2way Cinema Surround (must be ordered in pairs)</v>
      </c>
      <c r="H38" s="8" t="str">
        <f>(IF((VLOOKUP(Table8[[#This Row],[SKU]],'All Skus'!$A:$AC,2,FALSE))="Cinema",(VLOOKUP(Table8[[#This Row],[SKU]],'All Skus'!$A:$AC,9,FALSE)),""))</f>
        <v>250W 10" 2way Cinema Surround (must be ordered in pairs)</v>
      </c>
      <c r="I38" s="89">
        <f>(IF((VLOOKUP(Table8[[#This Row],[SKU]],'All Skus'!$A:$AC,2,FALSE))="Cinema",(VLOOKUP(Table8[[#This Row],[SKU]],'All Skus'!$A:$AC,10,FALSE)),""))</f>
        <v>551.01</v>
      </c>
      <c r="J38" s="89">
        <f>(IF((VLOOKUP(Table8[[#This Row],[SKU]],'All Skus'!$A:$AC,2,FALSE))="Cinema",(VLOOKUP(Table8[[#This Row],[SKU]],'All Skus'!$A:$AC,11,FALSE)),""))</f>
        <v>551</v>
      </c>
      <c r="K38" s="135">
        <f>(IF((VLOOKUP(Table8[[#This Row],[SKU]],'All Skus'!$A:$AC,2,FALSE))="Cinema",(VLOOKUP(Table8[[#This Row],[SKU]],'All Skus'!$A:$AC,15,FALSE)),""))</f>
        <v>2</v>
      </c>
      <c r="L38" s="137">
        <f>(IF((VLOOKUP(Table8[[#This Row],[SKU]],'All Skus'!$A:$AC,2,FALSE))="Cinema",(VLOOKUP(Table8[[#This Row],[SKU]],'All Skus'!$A:$AC,16,FALSE)),""))</f>
        <v>691991015410</v>
      </c>
      <c r="M38" s="61">
        <f>(IF((VLOOKUP(Table8[[#This Row],[SKU]],'All Skus'!$A:$AC,2,FALSE))="Cinema",(VLOOKUP(Table8[[#This Row],[SKU]],'All Skus'!$A:$AC,17,FALSE)),""))</f>
        <v>0</v>
      </c>
      <c r="N38" s="136">
        <f>(IF((VLOOKUP(Table8[[#This Row],[SKU]],'All Skus'!$A:$AC,2,FALSE))="Cinema",(VLOOKUP(Table8[[#This Row],[SKU]],'All Skus'!$A:$AC,18,FALSE)),""))</f>
        <v>3</v>
      </c>
      <c r="O38" s="136">
        <f>(IF((VLOOKUP(Table8[[#This Row],[SKU]],'All Skus'!$A:$AC,2,FALSE))="Cinema",(VLOOKUP(Table8[[#This Row],[SKU]],'All Skus'!$A:$AC,19,FALSE)),""))</f>
        <v>17</v>
      </c>
      <c r="P38" s="136">
        <f>(IF((VLOOKUP(Table8[[#This Row],[SKU]],'All Skus'!$A:$AC,2,FALSE))="Cinema",(VLOOKUP(Table8[[#This Row],[SKU]],'All Skus'!$A:$AC,20,FALSE)),""))</f>
        <v>18</v>
      </c>
      <c r="Q38" s="136">
        <f>(IF((VLOOKUP(Table8[[#This Row],[SKU]],'All Skus'!$A:$AC,2,FALSE))="Cinema",(VLOOKUP(Table8[[#This Row],[SKU]],'All Skus'!$A:$AC,21,FALSE)),""))</f>
        <v>9</v>
      </c>
      <c r="R38" s="61" t="str">
        <f>(IF((VLOOKUP(Table8[[#This Row],[SKU]],'All Skus'!$A:$AC,2,FALSE))="Cinema",(VLOOKUP(Table8[[#This Row],[SKU]],'All Skus'!$A:$AC,22,FALSE)),""))</f>
        <v>MX</v>
      </c>
      <c r="S38" t="str">
        <f>(IF((VLOOKUP(Table8[[#This Row],[SKU]],'All Skus'!$A:$AC,2,FALSE))="Cinema",(VLOOKUP(Table8[[#This Row],[SKU]],'All Skus'!$A:$AC,23,FALSE)),""))</f>
        <v>Compliant</v>
      </c>
      <c r="T38" s="76" t="str">
        <f>HYPERLINK((IF((VLOOKUP(Table8[[#This Row],[SKU]],'All Skus'!$A:$AC,2,FALSE))="Cinema",(VLOOKUP(Table8[[#This Row],[SKU]],'All Skus'!$A:$AC,24,FALSE)),"")))</f>
        <v/>
      </c>
      <c r="U38" s="151">
        <v>36</v>
      </c>
    </row>
    <row r="39" spans="1:21" ht="15" customHeight="1">
      <c r="A39" s="103" t="s">
        <v>1915</v>
      </c>
      <c r="B39" s="12" t="str">
        <f>(IF((VLOOKUP(Table8[[#This Row],[SKU]],'All Skus'!$A:$AC,2,FALSE))="Cinema",(VLOOKUP(Table8[[#This Row],[SKU]],'All Skus'!$A:$AC,3,FALSE)),""))</f>
        <v>Cinema</v>
      </c>
      <c r="C39" s="146" t="str">
        <f>(IF((VLOOKUP(Table8[[#This Row],[SKU]],'All Skus'!$A:$AC,2,FALSE))="Cinema",(VLOOKUP(Table8[[#This Row],[SKU]],'All Skus'!$A:$AC,4,FALSE)),""))</f>
        <v>HPD9310</v>
      </c>
      <c r="D39" s="61" t="str">
        <f>(IF((VLOOKUP(Table8[[#This Row],[SKU]],'All Skus'!$A:$AC,2,FALSE))="Cinema",(VLOOKUP(Table8[[#This Row],[SKU]],'All Skus'!$A:$AC,5,FALSE)),""))</f>
        <v>JBL030</v>
      </c>
      <c r="E39" s="61" t="str">
        <f>(IF((VLOOKUP(Table8[[#This Row],[SKU]],'All Skus'!$A:$AC,2,FALSE))="Cinema",(VLOOKUP(Table8[[#This Row],[SKU]],'All Skus'!$A:$AC,6,FALSE)),""))</f>
        <v>YES</v>
      </c>
      <c r="F39" t="str">
        <f>(IF((VLOOKUP(Table8[[#This Row],[SKU]],'All Skus'!$A:$AC,2,FALSE))="Cinema",(VLOOKUP(Table8[[#This Row],[SKU]],'All Skus'!$A:$AC,7,FALSE)),""))</f>
        <v>Limited Quantity</v>
      </c>
      <c r="G39" s="7" t="str">
        <f>(IF((VLOOKUP(Table8[[#This Row],[SKU]],'All Skus'!$A:$AC,2,FALSE))="Cinema",(VLOOKUP(Table8[[#This Row],[SKU]],'All Skus'!$A:$AC,8,FALSE)),""))</f>
        <v>350W High Powered 10" 2way Cinema Surround (must be ordered in pairs)</v>
      </c>
      <c r="H39" s="8" t="str">
        <f>(IF((VLOOKUP(Table8[[#This Row],[SKU]],'All Skus'!$A:$AC,2,FALSE))="Cinema",(VLOOKUP(Table8[[#This Row],[SKU]],'All Skus'!$A:$AC,9,FALSE)),""))</f>
        <v>350W High Powered 10" 2way Cinema Surround (must be ordered in pairs)</v>
      </c>
      <c r="I39" s="89">
        <f>(IF((VLOOKUP(Table8[[#This Row],[SKU]],'All Skus'!$A:$AC,2,FALSE))="Cinema",(VLOOKUP(Table8[[#This Row],[SKU]],'All Skus'!$A:$AC,10,FALSE)),""))</f>
        <v>710.2</v>
      </c>
      <c r="J39" s="89">
        <f>(IF((VLOOKUP(Table8[[#This Row],[SKU]],'All Skus'!$A:$AC,2,FALSE))="Cinema",(VLOOKUP(Table8[[#This Row],[SKU]],'All Skus'!$A:$AC,11,FALSE)),""))</f>
        <v>710.2</v>
      </c>
      <c r="K39" s="135">
        <f>(IF((VLOOKUP(Table8[[#This Row],[SKU]],'All Skus'!$A:$AC,2,FALSE))="Cinema",(VLOOKUP(Table8[[#This Row],[SKU]],'All Skus'!$A:$AC,15,FALSE)),""))</f>
        <v>2</v>
      </c>
      <c r="L39" s="137">
        <f>(IF((VLOOKUP(Table8[[#This Row],[SKU]],'All Skus'!$A:$AC,2,FALSE))="Cinema",(VLOOKUP(Table8[[#This Row],[SKU]],'All Skus'!$A:$AC,16,FALSE)),""))</f>
        <v>691991015403</v>
      </c>
      <c r="M39" s="61">
        <f>(IF((VLOOKUP(Table8[[#This Row],[SKU]],'All Skus'!$A:$AC,2,FALSE))="Cinema",(VLOOKUP(Table8[[#This Row],[SKU]],'All Skus'!$A:$AC,17,FALSE)),""))</f>
        <v>0</v>
      </c>
      <c r="N39" s="136">
        <f>(IF((VLOOKUP(Table8[[#This Row],[SKU]],'All Skus'!$A:$AC,2,FALSE))="Cinema",(VLOOKUP(Table8[[#This Row],[SKU]],'All Skus'!$A:$AC,18,FALSE)),""))</f>
        <v>3</v>
      </c>
      <c r="O39" s="136">
        <f>(IF((VLOOKUP(Table8[[#This Row],[SKU]],'All Skus'!$A:$AC,2,FALSE))="Cinema",(VLOOKUP(Table8[[#This Row],[SKU]],'All Skus'!$A:$AC,19,FALSE)),""))</f>
        <v>18</v>
      </c>
      <c r="P39" s="136">
        <f>(IF((VLOOKUP(Table8[[#This Row],[SKU]],'All Skus'!$A:$AC,2,FALSE))="Cinema",(VLOOKUP(Table8[[#This Row],[SKU]],'All Skus'!$A:$AC,20,FALSE)),""))</f>
        <v>18</v>
      </c>
      <c r="Q39" s="136">
        <f>(IF((VLOOKUP(Table8[[#This Row],[SKU]],'All Skus'!$A:$AC,2,FALSE))="Cinema",(VLOOKUP(Table8[[#This Row],[SKU]],'All Skus'!$A:$AC,21,FALSE)),""))</f>
        <v>9</v>
      </c>
      <c r="R39" s="61" t="str">
        <f>(IF((VLOOKUP(Table8[[#This Row],[SKU]],'All Skus'!$A:$AC,2,FALSE))="Cinema",(VLOOKUP(Table8[[#This Row],[SKU]],'All Skus'!$A:$AC,22,FALSE)),""))</f>
        <v>MX</v>
      </c>
      <c r="S39" t="str">
        <f>(IF((VLOOKUP(Table8[[#This Row],[SKU]],'All Skus'!$A:$AC,2,FALSE))="Cinema",(VLOOKUP(Table8[[#This Row],[SKU]],'All Skus'!$A:$AC,23,FALSE)),""))</f>
        <v>Compliant</v>
      </c>
      <c r="T39" s="76" t="str">
        <f>HYPERLINK((IF((VLOOKUP(Table8[[#This Row],[SKU]],'All Skus'!$A:$AC,2,FALSE))="Cinema",(VLOOKUP(Table8[[#This Row],[SKU]],'All Skus'!$A:$AC,24,FALSE)),"")))</f>
        <v/>
      </c>
      <c r="U39" s="151">
        <v>37</v>
      </c>
    </row>
    <row r="40" spans="1:21" ht="15" customHeight="1">
      <c r="A40" s="103" t="s">
        <v>1916</v>
      </c>
      <c r="B40" s="12" t="str">
        <f>(IF((VLOOKUP(Table8[[#This Row],[SKU]],'All Skus'!$A:$AC,2,FALSE))="Cinema",(VLOOKUP(Table8[[#This Row],[SKU]],'All Skus'!$A:$AC,3,FALSE)),""))</f>
        <v>Cinema</v>
      </c>
      <c r="C40" s="146" t="str">
        <f>(IF((VLOOKUP(Table8[[#This Row],[SKU]],'All Skus'!$A:$AC,2,FALSE))="Cinema",(VLOOKUP(Table8[[#This Row],[SKU]],'All Skus'!$A:$AC,4,FALSE)),""))</f>
        <v>HBD9320</v>
      </c>
      <c r="D40" s="61" t="str">
        <f>(IF((VLOOKUP(Table8[[#This Row],[SKU]],'All Skus'!$A:$AC,2,FALSE))="Cinema",(VLOOKUP(Table8[[#This Row],[SKU]],'All Skus'!$A:$AC,5,FALSE)),""))</f>
        <v>JBL030</v>
      </c>
      <c r="E40" s="61" t="str">
        <f>(IF((VLOOKUP(Table8[[#This Row],[SKU]],'All Skus'!$A:$AC,2,FALSE))="Cinema",(VLOOKUP(Table8[[#This Row],[SKU]],'All Skus'!$A:$AC,6,FALSE)),""))</f>
        <v>YES</v>
      </c>
      <c r="F40">
        <f>(IF((VLOOKUP(Table8[[#This Row],[SKU]],'All Skus'!$A:$AC,2,FALSE))="Cinema",(VLOOKUP(Table8[[#This Row],[SKU]],'All Skus'!$A:$AC,7,FALSE)),""))</f>
        <v>0</v>
      </c>
      <c r="G40" s="7" t="str">
        <f>(IF((VLOOKUP(Table8[[#This Row],[SKU]],'All Skus'!$A:$AC,2,FALSE))="Cinema",(VLOOKUP(Table8[[#This Row],[SKU]],'All Skus'!$A:$AC,8,FALSE)),""))</f>
        <v>S/M, 9320</v>
      </c>
      <c r="H40" s="8" t="str">
        <f>(IF((VLOOKUP(Table8[[#This Row],[SKU]],'All Skus'!$A:$AC,2,FALSE))="Cinema",(VLOOKUP(Table8[[#This Row],[SKU]],'All Skus'!$A:$AC,9,FALSE)),""))</f>
        <v>12", two way Cinema Surround. Ideal for multi-channel surround applications. 380mm (12") low frequency driver; 2408H-1 high frequency driver. Rotatable wave guide for vertical or horizontal orientation. Net weight 38.5 lbs.</v>
      </c>
      <c r="I40" s="89">
        <f>(IF((VLOOKUP(Table8[[#This Row],[SKU]],'All Skus'!$A:$AC,2,FALSE))="Cinema",(VLOOKUP(Table8[[#This Row],[SKU]],'All Skus'!$A:$AC,10,FALSE)),""))</f>
        <v>1040.8</v>
      </c>
      <c r="J40" s="89">
        <f>(IF((VLOOKUP(Table8[[#This Row],[SKU]],'All Skus'!$A:$AC,2,FALSE))="Cinema",(VLOOKUP(Table8[[#This Row],[SKU]],'All Skus'!$A:$AC,11,FALSE)),""))</f>
        <v>1040.8</v>
      </c>
      <c r="K40" s="135">
        <f>(IF((VLOOKUP(Table8[[#This Row],[SKU]],'All Skus'!$A:$AC,2,FALSE))="Cinema",(VLOOKUP(Table8[[#This Row],[SKU]],'All Skus'!$A:$AC,15,FALSE)),""))</f>
        <v>0</v>
      </c>
      <c r="L40" s="137">
        <f>(IF((VLOOKUP(Table8[[#This Row],[SKU]],'All Skus'!$A:$AC,2,FALSE))="Cinema",(VLOOKUP(Table8[[#This Row],[SKU]],'All Skus'!$A:$AC,16,FALSE)),""))</f>
        <v>691991015397</v>
      </c>
      <c r="M40" s="61">
        <f>(IF((VLOOKUP(Table8[[#This Row],[SKU]],'All Skus'!$A:$AC,2,FALSE))="Cinema",(VLOOKUP(Table8[[#This Row],[SKU]],'All Skus'!$A:$AC,17,FALSE)),""))</f>
        <v>0</v>
      </c>
      <c r="N40" s="136">
        <f>(IF((VLOOKUP(Table8[[#This Row],[SKU]],'All Skus'!$A:$AC,2,FALSE))="Cinema",(VLOOKUP(Table8[[#This Row],[SKU]],'All Skus'!$A:$AC,18,FALSE)),""))</f>
        <v>3</v>
      </c>
      <c r="O40" s="136">
        <f>(IF((VLOOKUP(Table8[[#This Row],[SKU]],'All Skus'!$A:$AC,2,FALSE))="Cinema",(VLOOKUP(Table8[[#This Row],[SKU]],'All Skus'!$A:$AC,19,FALSE)),""))</f>
        <v>11</v>
      </c>
      <c r="P40" s="136">
        <f>(IF((VLOOKUP(Table8[[#This Row],[SKU]],'All Skus'!$A:$AC,2,FALSE))="Cinema",(VLOOKUP(Table8[[#This Row],[SKU]],'All Skus'!$A:$AC,20,FALSE)),""))</f>
        <v>11</v>
      </c>
      <c r="Q40" s="136">
        <f>(IF((VLOOKUP(Table8[[#This Row],[SKU]],'All Skus'!$A:$AC,2,FALSE))="Cinema",(VLOOKUP(Table8[[#This Row],[SKU]],'All Skus'!$A:$AC,21,FALSE)),""))</f>
        <v>8</v>
      </c>
      <c r="R40" s="61" t="str">
        <f>(IF((VLOOKUP(Table8[[#This Row],[SKU]],'All Skus'!$A:$AC,2,FALSE))="Cinema",(VLOOKUP(Table8[[#This Row],[SKU]],'All Skus'!$A:$AC,22,FALSE)),""))</f>
        <v>MX</v>
      </c>
      <c r="S40" t="str">
        <f>(IF((VLOOKUP(Table8[[#This Row],[SKU]],'All Skus'!$A:$AC,2,FALSE))="Cinema",(VLOOKUP(Table8[[#This Row],[SKU]],'All Skus'!$A:$AC,23,FALSE)),""))</f>
        <v>Compliant</v>
      </c>
      <c r="T40" s="76" t="str">
        <f>HYPERLINK((IF((VLOOKUP(Table8[[#This Row],[SKU]],'All Skus'!$A:$AC,2,FALSE))="Cinema",(VLOOKUP(Table8[[#This Row],[SKU]],'All Skus'!$A:$AC,24,FALSE)),"")))</f>
        <v/>
      </c>
      <c r="U40" s="151">
        <v>38</v>
      </c>
    </row>
    <row r="41" spans="1:21" ht="15" customHeight="1">
      <c r="A41" s="103" t="s">
        <v>1917</v>
      </c>
      <c r="B41" s="12" t="str">
        <f>(IF((VLOOKUP(Table8[[#This Row],[SKU]],'All Skus'!$A:$AC,2,FALSE))="Cinema",(VLOOKUP(Table8[[#This Row],[SKU]],'All Skus'!$A:$AC,3,FALSE)),""))</f>
        <v>Cinema</v>
      </c>
      <c r="C41" s="146" t="str">
        <f>(IF((VLOOKUP(Table8[[#This Row],[SKU]],'All Skus'!$A:$AC,2,FALSE))="Cinema",(VLOOKUP(Table8[[#This Row],[SKU]],'All Skus'!$A:$AC,4,FALSE)),""))</f>
        <v>HPD9350</v>
      </c>
      <c r="D41" s="61" t="str">
        <f>(IF((VLOOKUP(Table8[[#This Row],[SKU]],'All Skus'!$A:$AC,2,FALSE))="Cinema",(VLOOKUP(Table8[[#This Row],[SKU]],'All Skus'!$A:$AC,5,FALSE)),""))</f>
        <v>JBL030</v>
      </c>
      <c r="E41" s="61" t="str">
        <f>(IF((VLOOKUP(Table8[[#This Row],[SKU]],'All Skus'!$A:$AC,2,FALSE))="Cinema",(VLOOKUP(Table8[[#This Row],[SKU]],'All Skus'!$A:$AC,6,FALSE)),""))</f>
        <v>YES</v>
      </c>
      <c r="F41">
        <f>(IF((VLOOKUP(Table8[[#This Row],[SKU]],'All Skus'!$A:$AC,2,FALSE))="Cinema",(VLOOKUP(Table8[[#This Row],[SKU]],'All Skus'!$A:$AC,7,FALSE)),""))</f>
        <v>0</v>
      </c>
      <c r="G41" s="7" t="str">
        <f>(IF((VLOOKUP(Table8[[#This Row],[SKU]],'All Skus'!$A:$AC,2,FALSE))="Cinema",(VLOOKUP(Table8[[#This Row],[SKU]],'All Skus'!$A:$AC,8,FALSE)),""))</f>
        <v>High Powered Surround 15" 2-Way</v>
      </c>
      <c r="H41" s="8" t="str">
        <f>(IF((VLOOKUP(Table8[[#This Row],[SKU]],'All Skus'!$A:$AC,2,FALSE))="Cinema",(VLOOKUP(Table8[[#This Row],[SKU]],'All Skus'!$A:$AC,9,FALSE)),""))</f>
        <v>15" High Powered Surround  with configurable pattern</v>
      </c>
      <c r="I41" s="89">
        <f>(IF((VLOOKUP(Table8[[#This Row],[SKU]],'All Skus'!$A:$AC,2,FALSE))="Cinema",(VLOOKUP(Table8[[#This Row],[SKU]],'All Skus'!$A:$AC,10,FALSE)),""))</f>
        <v>1714.26</v>
      </c>
      <c r="J41" s="89">
        <f>(IF((VLOOKUP(Table8[[#This Row],[SKU]],'All Skus'!$A:$AC,2,FALSE))="Cinema",(VLOOKUP(Table8[[#This Row],[SKU]],'All Skus'!$A:$AC,11,FALSE)),""))</f>
        <v>1714.26</v>
      </c>
      <c r="K41" s="135">
        <f>(IF((VLOOKUP(Table8[[#This Row],[SKU]],'All Skus'!$A:$AC,2,FALSE))="Cinema",(VLOOKUP(Table8[[#This Row],[SKU]],'All Skus'!$A:$AC,15,FALSE)),""))</f>
        <v>0</v>
      </c>
      <c r="L41" s="137">
        <f>(IF((VLOOKUP(Table8[[#This Row],[SKU]],'All Skus'!$A:$AC,2,FALSE))="Cinema",(VLOOKUP(Table8[[#This Row],[SKU]],'All Skus'!$A:$AC,16,FALSE)),""))</f>
        <v>691991015373</v>
      </c>
      <c r="M41" s="61">
        <f>(IF((VLOOKUP(Table8[[#This Row],[SKU]],'All Skus'!$A:$AC,2,FALSE))="Cinema",(VLOOKUP(Table8[[#This Row],[SKU]],'All Skus'!$A:$AC,17,FALSE)),""))</f>
        <v>0</v>
      </c>
      <c r="N41" s="136">
        <f>(IF((VLOOKUP(Table8[[#This Row],[SKU]],'All Skus'!$A:$AC,2,FALSE))="Cinema",(VLOOKUP(Table8[[#This Row],[SKU]],'All Skus'!$A:$AC,18,FALSE)),""))</f>
        <v>3</v>
      </c>
      <c r="O41" s="136">
        <f>(IF((VLOOKUP(Table8[[#This Row],[SKU]],'All Skus'!$A:$AC,2,FALSE))="Cinema",(VLOOKUP(Table8[[#This Row],[SKU]],'All Skus'!$A:$AC,19,FALSE)),""))</f>
        <v>11</v>
      </c>
      <c r="P41" s="136">
        <f>(IF((VLOOKUP(Table8[[#This Row],[SKU]],'All Skus'!$A:$AC,2,FALSE))="Cinema",(VLOOKUP(Table8[[#This Row],[SKU]],'All Skus'!$A:$AC,20,FALSE)),""))</f>
        <v>11</v>
      </c>
      <c r="Q41" s="136">
        <f>(IF((VLOOKUP(Table8[[#This Row],[SKU]],'All Skus'!$A:$AC,2,FALSE))="Cinema",(VLOOKUP(Table8[[#This Row],[SKU]],'All Skus'!$A:$AC,21,FALSE)),""))</f>
        <v>7</v>
      </c>
      <c r="R41" s="61" t="str">
        <f>(IF((VLOOKUP(Table8[[#This Row],[SKU]],'All Skus'!$A:$AC,2,FALSE))="Cinema",(VLOOKUP(Table8[[#This Row],[SKU]],'All Skus'!$A:$AC,22,FALSE)),""))</f>
        <v>MX</v>
      </c>
      <c r="S41" t="str">
        <f>(IF((VLOOKUP(Table8[[#This Row],[SKU]],'All Skus'!$A:$AC,2,FALSE))="Cinema",(VLOOKUP(Table8[[#This Row],[SKU]],'All Skus'!$A:$AC,23,FALSE)),""))</f>
        <v>Compliant</v>
      </c>
      <c r="T41" s="76" t="str">
        <f>HYPERLINK((IF((VLOOKUP(Table8[[#This Row],[SKU]],'All Skus'!$A:$AC,2,FALSE))="Cinema",(VLOOKUP(Table8[[#This Row],[SKU]],'All Skus'!$A:$AC,24,FALSE)),"")))</f>
        <v/>
      </c>
      <c r="U41" s="151">
        <v>39</v>
      </c>
    </row>
    <row r="42" spans="1:21" ht="15" customHeight="1">
      <c r="A42" s="103" t="s">
        <v>1918</v>
      </c>
      <c r="B42" s="12" t="str">
        <f>(IF((VLOOKUP(Table8[[#This Row],[SKU]],'All Skus'!$A:$AC,2,FALSE))="Cinema",(VLOOKUP(Table8[[#This Row],[SKU]],'All Skus'!$A:$AC,3,FALSE)),""))</f>
        <v>Cinema</v>
      </c>
      <c r="C42" s="146" t="str">
        <f>(IF((VLOOKUP(Table8[[#This Row],[SKU]],'All Skus'!$A:$AC,2,FALSE))="Cinema",(VLOOKUP(Table8[[#This Row],[SKU]],'All Skus'!$A:$AC,4,FALSE)),""))</f>
        <v>MTU-9320</v>
      </c>
      <c r="D42" s="61" t="str">
        <f>(IF((VLOOKUP(Table8[[#This Row],[SKU]],'All Skus'!$A:$AC,2,FALSE))="Cinema",(VLOOKUP(Table8[[#This Row],[SKU]],'All Skus'!$A:$AC,5,FALSE)),""))</f>
        <v>JBL030</v>
      </c>
      <c r="E42" s="61" t="str">
        <f>(IF((VLOOKUP(Table8[[#This Row],[SKU]],'All Skus'!$A:$AC,2,FALSE))="Cinema",(VLOOKUP(Table8[[#This Row],[SKU]],'All Skus'!$A:$AC,6,FALSE)),""))</f>
        <v>YES</v>
      </c>
      <c r="F42">
        <f>(IF((VLOOKUP(Table8[[#This Row],[SKU]],'All Skus'!$A:$AC,2,FALSE))="Cinema",(VLOOKUP(Table8[[#This Row],[SKU]],'All Skus'!$A:$AC,7,FALSE)),""))</f>
        <v>0</v>
      </c>
      <c r="G42" s="7" t="str">
        <f>(IF((VLOOKUP(Table8[[#This Row],[SKU]],'All Skus'!$A:$AC,2,FALSE))="Cinema",(VLOOKUP(Table8[[#This Row],[SKU]],'All Skus'!$A:$AC,8,FALSE)),""))</f>
        <v>S/M, MTU-9320</v>
      </c>
      <c r="H42" s="8" t="str">
        <f>(IF((VLOOKUP(Table8[[#This Row],[SKU]],'All Skus'!$A:$AC,2,FALSE))="Cinema",(VLOOKUP(Table8[[#This Row],[SKU]],'All Skus'!$A:$AC,9,FALSE)),""))</f>
        <v>S/M, MTU-9320</v>
      </c>
      <c r="I42" s="89">
        <f>(IF((VLOOKUP(Table8[[#This Row],[SKU]],'All Skus'!$A:$AC,2,FALSE))="Cinema",(VLOOKUP(Table8[[#This Row],[SKU]],'All Skus'!$A:$AC,10,FALSE)),""))</f>
        <v>81.72</v>
      </c>
      <c r="J42" s="89">
        <f>(IF((VLOOKUP(Table8[[#This Row],[SKU]],'All Skus'!$A:$AC,2,FALSE))="Cinema",(VLOOKUP(Table8[[#This Row],[SKU]],'All Skus'!$A:$AC,11,FALSE)),""))</f>
        <v>81.72</v>
      </c>
      <c r="K42" s="135">
        <f>(IF((VLOOKUP(Table8[[#This Row],[SKU]],'All Skus'!$A:$AC,2,FALSE))="Cinema",(VLOOKUP(Table8[[#This Row],[SKU]],'All Skus'!$A:$AC,15,FALSE)),""))</f>
        <v>2</v>
      </c>
      <c r="L42" s="137">
        <f>(IF((VLOOKUP(Table8[[#This Row],[SKU]],'All Skus'!$A:$AC,2,FALSE))="Cinema",(VLOOKUP(Table8[[#This Row],[SKU]],'All Skus'!$A:$AC,16,FALSE)),""))</f>
        <v>691991015373</v>
      </c>
      <c r="M42" s="61">
        <f>(IF((VLOOKUP(Table8[[#This Row],[SKU]],'All Skus'!$A:$AC,2,FALSE))="Cinema",(VLOOKUP(Table8[[#This Row],[SKU]],'All Skus'!$A:$AC,17,FALSE)),""))</f>
        <v>0</v>
      </c>
      <c r="N42" s="136">
        <f>(IF((VLOOKUP(Table8[[#This Row],[SKU]],'All Skus'!$A:$AC,2,FALSE))="Cinema",(VLOOKUP(Table8[[#This Row],[SKU]],'All Skus'!$A:$AC,18,FALSE)),""))</f>
        <v>3</v>
      </c>
      <c r="O42" s="136">
        <f>(IF((VLOOKUP(Table8[[#This Row],[SKU]],'All Skus'!$A:$AC,2,FALSE))="Cinema",(VLOOKUP(Table8[[#This Row],[SKU]],'All Skus'!$A:$AC,19,FALSE)),""))</f>
        <v>12</v>
      </c>
      <c r="P42" s="136">
        <f>(IF((VLOOKUP(Table8[[#This Row],[SKU]],'All Skus'!$A:$AC,2,FALSE))="Cinema",(VLOOKUP(Table8[[#This Row],[SKU]],'All Skus'!$A:$AC,20,FALSE)),""))</f>
        <v>12</v>
      </c>
      <c r="Q42" s="136">
        <f>(IF((VLOOKUP(Table8[[#This Row],[SKU]],'All Skus'!$A:$AC,2,FALSE))="Cinema",(VLOOKUP(Table8[[#This Row],[SKU]],'All Skus'!$A:$AC,21,FALSE)),""))</f>
        <v>8</v>
      </c>
      <c r="R42" s="61" t="str">
        <f>(IF((VLOOKUP(Table8[[#This Row],[SKU]],'All Skus'!$A:$AC,2,FALSE))="Cinema",(VLOOKUP(Table8[[#This Row],[SKU]],'All Skus'!$A:$AC,22,FALSE)),""))</f>
        <v>CN</v>
      </c>
      <c r="S42" t="str">
        <f>(IF((VLOOKUP(Table8[[#This Row],[SKU]],'All Skus'!$A:$AC,2,FALSE))="Cinema",(VLOOKUP(Table8[[#This Row],[SKU]],'All Skus'!$A:$AC,23,FALSE)),""))</f>
        <v>Non compliant</v>
      </c>
      <c r="T42" s="76" t="str">
        <f>HYPERLINK((IF((VLOOKUP(Table8[[#This Row],[SKU]],'All Skus'!$A:$AC,2,FALSE))="Cinema",(VLOOKUP(Table8[[#This Row],[SKU]],'All Skus'!$A:$AC,24,FALSE)),"")))</f>
        <v/>
      </c>
      <c r="U42" s="151">
        <v>40</v>
      </c>
    </row>
    <row r="43" spans="1:21" ht="15" customHeight="1">
      <c r="A43" s="103" t="s">
        <v>1919</v>
      </c>
      <c r="B43" s="12" t="str">
        <f>(IF((VLOOKUP(Table8[[#This Row],[SKU]],'All Skus'!$A:$AC,2,FALSE))="Cinema",(VLOOKUP(Table8[[#This Row],[SKU]],'All Skus'!$A:$AC,3,FALSE)),""))</f>
        <v>Cinema</v>
      </c>
      <c r="C43" s="146" t="str">
        <f>(IF((VLOOKUP(Table8[[#This Row],[SKU]],'All Skus'!$A:$AC,2,FALSE))="Cinema",(VLOOKUP(Table8[[#This Row],[SKU]],'All Skus'!$A:$AC,4,FALSE)),""))</f>
        <v>SCS12</v>
      </c>
      <c r="D43" s="61" t="str">
        <f>(IF((VLOOKUP(Table8[[#This Row],[SKU]],'All Skus'!$A:$AC,2,FALSE))="Cinema",(VLOOKUP(Table8[[#This Row],[SKU]],'All Skus'!$A:$AC,5,FALSE)),""))</f>
        <v>JBL030</v>
      </c>
      <c r="E43" s="61" t="str">
        <f>(IF((VLOOKUP(Table8[[#This Row],[SKU]],'All Skus'!$A:$AC,2,FALSE))="Cinema",(VLOOKUP(Table8[[#This Row],[SKU]],'All Skus'!$A:$AC,6,FALSE)),""))</f>
        <v>YES</v>
      </c>
      <c r="F43">
        <f>(IF((VLOOKUP(Table8[[#This Row],[SKU]],'All Skus'!$A:$AC,2,FALSE))="Cinema",(VLOOKUP(Table8[[#This Row],[SKU]],'All Skus'!$A:$AC,7,FALSE)),""))</f>
        <v>0</v>
      </c>
      <c r="G43" s="7" t="str">
        <f>(IF((VLOOKUP(Table8[[#This Row],[SKU]],'All Skus'!$A:$AC,2,FALSE))="Cinema",(VLOOKUP(Table8[[#This Row],[SKU]],'All Skus'!$A:$AC,8,FALSE)),""))</f>
        <v>SPATIALLY CUED SURROUND 12"</v>
      </c>
      <c r="H43" s="8" t="str">
        <f>(IF((VLOOKUP(Table8[[#This Row],[SKU]],'All Skus'!$A:$AC,2,FALSE))="Cinema",(VLOOKUP(Table8[[#This Row],[SKU]],'All Skus'!$A:$AC,9,FALSE)),""))</f>
        <v>Two-way Full Range Cinema Surround Speaker ideal for Multi Channel Surround Formats and is Designed for overhead installation as well as for the standard on-wall installations.  The SCS12 is comprised of a high-power coaxial 305 mm (12 in) Low Frequency Driver and a 25 mm (1 in) High Frequency compression driver</v>
      </c>
      <c r="I43" s="89">
        <f>(IF((VLOOKUP(Table8[[#This Row],[SKU]],'All Skus'!$A:$AC,2,FALSE))="Cinema",(VLOOKUP(Table8[[#This Row],[SKU]],'All Skus'!$A:$AC,10,FALSE)),""))</f>
        <v>918.36</v>
      </c>
      <c r="J43" s="89">
        <f>(IF((VLOOKUP(Table8[[#This Row],[SKU]],'All Skus'!$A:$AC,2,FALSE))="Cinema",(VLOOKUP(Table8[[#This Row],[SKU]],'All Skus'!$A:$AC,11,FALSE)),""))</f>
        <v>918.36</v>
      </c>
      <c r="K43" s="135">
        <f>(IF((VLOOKUP(Table8[[#This Row],[SKU]],'All Skus'!$A:$AC,2,FALSE))="Cinema",(VLOOKUP(Table8[[#This Row],[SKU]],'All Skus'!$A:$AC,15,FALSE)),""))</f>
        <v>0</v>
      </c>
      <c r="L43" s="137">
        <f>(IF((VLOOKUP(Table8[[#This Row],[SKU]],'All Skus'!$A:$AC,2,FALSE))="Cinema",(VLOOKUP(Table8[[#This Row],[SKU]],'All Skus'!$A:$AC,16,FALSE)),""))</f>
        <v>50036904384</v>
      </c>
      <c r="M43" s="61">
        <f>(IF((VLOOKUP(Table8[[#This Row],[SKU]],'All Skus'!$A:$AC,2,FALSE))="Cinema",(VLOOKUP(Table8[[#This Row],[SKU]],'All Skus'!$A:$AC,17,FALSE)),""))</f>
        <v>0</v>
      </c>
      <c r="N43" s="136">
        <f>(IF((VLOOKUP(Table8[[#This Row],[SKU]],'All Skus'!$A:$AC,2,FALSE))="Cinema",(VLOOKUP(Table8[[#This Row],[SKU]],'All Skus'!$A:$AC,18,FALSE)),""))</f>
        <v>3</v>
      </c>
      <c r="O43" s="136">
        <f>(IF((VLOOKUP(Table8[[#This Row],[SKU]],'All Skus'!$A:$AC,2,FALSE))="Cinema",(VLOOKUP(Table8[[#This Row],[SKU]],'All Skus'!$A:$AC,19,FALSE)),""))</f>
        <v>11</v>
      </c>
      <c r="P43" s="136">
        <f>(IF((VLOOKUP(Table8[[#This Row],[SKU]],'All Skus'!$A:$AC,2,FALSE))="Cinema",(VLOOKUP(Table8[[#This Row],[SKU]],'All Skus'!$A:$AC,20,FALSE)),""))</f>
        <v>11</v>
      </c>
      <c r="Q43" s="136">
        <f>(IF((VLOOKUP(Table8[[#This Row],[SKU]],'All Skus'!$A:$AC,2,FALSE))="Cinema",(VLOOKUP(Table8[[#This Row],[SKU]],'All Skus'!$A:$AC,21,FALSE)),""))</f>
        <v>8</v>
      </c>
      <c r="R43" s="61" t="str">
        <f>(IF((VLOOKUP(Table8[[#This Row],[SKU]],'All Skus'!$A:$AC,2,FALSE))="Cinema",(VLOOKUP(Table8[[#This Row],[SKU]],'All Skus'!$A:$AC,22,FALSE)),""))</f>
        <v>CN</v>
      </c>
      <c r="S43" t="str">
        <f>(IF((VLOOKUP(Table8[[#This Row],[SKU]],'All Skus'!$A:$AC,2,FALSE))="Cinema",(VLOOKUP(Table8[[#This Row],[SKU]],'All Skus'!$A:$AC,23,FALSE)),""))</f>
        <v>Non compliant</v>
      </c>
      <c r="T43" s="76" t="str">
        <f>HYPERLINK((IF((VLOOKUP(Table8[[#This Row],[SKU]],'All Skus'!$A:$AC,2,FALSE))="Cinema",(VLOOKUP(Table8[[#This Row],[SKU]],'All Skus'!$A:$AC,24,FALSE)),"")))</f>
        <v/>
      </c>
      <c r="U43" s="151">
        <v>41</v>
      </c>
    </row>
    <row r="44" spans="1:21" ht="15" customHeight="1">
      <c r="A44" s="103" t="s">
        <v>1920</v>
      </c>
      <c r="B44" s="12" t="str">
        <f>(IF((VLOOKUP(Table8[[#This Row],[SKU]],'All Skus'!$A:$AC,2,FALSE))="Cinema",(VLOOKUP(Table8[[#This Row],[SKU]],'All Skus'!$A:$AC,3,FALSE)),""))</f>
        <v>Cinema</v>
      </c>
      <c r="C44" s="146" t="str">
        <f>(IF((VLOOKUP(Table8[[#This Row],[SKU]],'All Skus'!$A:$AC,2,FALSE))="Cinema",(VLOOKUP(Table8[[#This Row],[SKU]],'All Skus'!$A:$AC,4,FALSE)),""))</f>
        <v>SCS8</v>
      </c>
      <c r="D44" s="61" t="str">
        <f>(IF((VLOOKUP(Table8[[#This Row],[SKU]],'All Skus'!$A:$AC,2,FALSE))="Cinema",(VLOOKUP(Table8[[#This Row],[SKU]],'All Skus'!$A:$AC,5,FALSE)),""))</f>
        <v>JBL030</v>
      </c>
      <c r="E44" s="61">
        <f>(IF((VLOOKUP(Table8[[#This Row],[SKU]],'All Skus'!$A:$AC,2,FALSE))="Cinema",(VLOOKUP(Table8[[#This Row],[SKU]],'All Skus'!$A:$AC,6,FALSE)),""))</f>
        <v>0</v>
      </c>
      <c r="F44">
        <f>(IF((VLOOKUP(Table8[[#This Row],[SKU]],'All Skus'!$A:$AC,2,FALSE))="Cinema",(VLOOKUP(Table8[[#This Row],[SKU]],'All Skus'!$A:$AC,7,FALSE)),""))</f>
        <v>0</v>
      </c>
      <c r="G44" s="7" t="str">
        <f>(IF((VLOOKUP(Table8[[#This Row],[SKU]],'All Skus'!$A:$AC,2,FALSE))="Cinema",(VLOOKUP(Table8[[#This Row],[SKU]],'All Skus'!$A:$AC,8,FALSE)),""))</f>
        <v>SPATIALLY CUED SURROUND 8"</v>
      </c>
      <c r="H44" s="8" t="str">
        <f>(IF((VLOOKUP(Table8[[#This Row],[SKU]],'All Skus'!$A:$AC,2,FALSE))="Cinema",(VLOOKUP(Table8[[#This Row],[SKU]],'All Skus'!$A:$AC,9,FALSE)),""))</f>
        <v>Two-way Full Range Cinema Surround Speaker ideal for Multi Channel Surround Formats for Medium Sized auditoriums.  The SCS8 is comprised of a high-power coaxial 203 mm (8 in) Low Frequency Driver and a 25 mm (1 in) High Frequency compression driver</v>
      </c>
      <c r="I44" s="89">
        <f>(IF((VLOOKUP(Table8[[#This Row],[SKU]],'All Skus'!$A:$AC,2,FALSE))="Cinema",(VLOOKUP(Table8[[#This Row],[SKU]],'All Skus'!$A:$AC,10,FALSE)),""))</f>
        <v>612.24</v>
      </c>
      <c r="J44" s="89">
        <f>(IF((VLOOKUP(Table8[[#This Row],[SKU]],'All Skus'!$A:$AC,2,FALSE))="Cinema",(VLOOKUP(Table8[[#This Row],[SKU]],'All Skus'!$A:$AC,11,FALSE)),""))</f>
        <v>612.24</v>
      </c>
      <c r="K44" s="135">
        <f>(IF((VLOOKUP(Table8[[#This Row],[SKU]],'All Skus'!$A:$AC,2,FALSE))="Cinema",(VLOOKUP(Table8[[#This Row],[SKU]],'All Skus'!$A:$AC,15,FALSE)),""))</f>
        <v>0</v>
      </c>
      <c r="L44" s="137">
        <f>(IF((VLOOKUP(Table8[[#This Row],[SKU]],'All Skus'!$A:$AC,2,FALSE))="Cinema",(VLOOKUP(Table8[[#This Row],[SKU]],'All Skus'!$A:$AC,16,FALSE)),""))</f>
        <v>50036904377</v>
      </c>
      <c r="M44" s="61">
        <f>(IF((VLOOKUP(Table8[[#This Row],[SKU]],'All Skus'!$A:$AC,2,FALSE))="Cinema",(VLOOKUP(Table8[[#This Row],[SKU]],'All Skus'!$A:$AC,17,FALSE)),""))</f>
        <v>0</v>
      </c>
      <c r="N44" s="136">
        <f>(IF((VLOOKUP(Table8[[#This Row],[SKU]],'All Skus'!$A:$AC,2,FALSE))="Cinema",(VLOOKUP(Table8[[#This Row],[SKU]],'All Skus'!$A:$AC,18,FALSE)),""))</f>
        <v>3</v>
      </c>
      <c r="O44" s="136">
        <f>(IF((VLOOKUP(Table8[[#This Row],[SKU]],'All Skus'!$A:$AC,2,FALSE))="Cinema",(VLOOKUP(Table8[[#This Row],[SKU]],'All Skus'!$A:$AC,19,FALSE)),""))</f>
        <v>10</v>
      </c>
      <c r="P44" s="136">
        <f>(IF((VLOOKUP(Table8[[#This Row],[SKU]],'All Skus'!$A:$AC,2,FALSE))="Cinema",(VLOOKUP(Table8[[#This Row],[SKU]],'All Skus'!$A:$AC,20,FALSE)),""))</f>
        <v>10</v>
      </c>
      <c r="Q44" s="136">
        <f>(IF((VLOOKUP(Table8[[#This Row],[SKU]],'All Skus'!$A:$AC,2,FALSE))="Cinema",(VLOOKUP(Table8[[#This Row],[SKU]],'All Skus'!$A:$AC,21,FALSE)),""))</f>
        <v>8</v>
      </c>
      <c r="R44" s="61" t="str">
        <f>(IF((VLOOKUP(Table8[[#This Row],[SKU]],'All Skus'!$A:$AC,2,FALSE))="Cinema",(VLOOKUP(Table8[[#This Row],[SKU]],'All Skus'!$A:$AC,22,FALSE)),""))</f>
        <v>CN</v>
      </c>
      <c r="S44" t="str">
        <f>(IF((VLOOKUP(Table8[[#This Row],[SKU]],'All Skus'!$A:$AC,2,FALSE))="Cinema",(VLOOKUP(Table8[[#This Row],[SKU]],'All Skus'!$A:$AC,23,FALSE)),""))</f>
        <v>Non compliant</v>
      </c>
      <c r="T44" s="76" t="str">
        <f>HYPERLINK((IF((VLOOKUP(Table8[[#This Row],[SKU]],'All Skus'!$A:$AC,2,FALSE))="Cinema",(VLOOKUP(Table8[[#This Row],[SKU]],'All Skus'!$A:$AC,24,FALSE)),"")))</f>
        <v/>
      </c>
      <c r="U44" s="151">
        <v>42</v>
      </c>
    </row>
    <row r="45" spans="1:21" ht="15" customHeight="1">
      <c r="A45" s="13" t="s">
        <v>1921</v>
      </c>
      <c r="B45" s="12" t="str">
        <f>(IF((VLOOKUP(Table8[[#This Row],[SKU]],'All Skus'!$A:$AC,2,FALSE))="Cinema",(VLOOKUP(Table8[[#This Row],[SKU]],'All Skus'!$A:$AC,3,FALSE)),""))</f>
        <v>Amplifier</v>
      </c>
      <c r="C45" s="146" t="str">
        <f>(IF((VLOOKUP(Table8[[#This Row],[SKU]],'All Skus'!$A:$AC,2,FALSE))="Cinema",(VLOOKUP(Table8[[#This Row],[SKU]],'All Skus'!$A:$AC,4,FALSE)),""))</f>
        <v>LA4-D</v>
      </c>
      <c r="D45" s="61" t="str">
        <f>(IF((VLOOKUP(Table8[[#This Row],[SKU]],'All Skus'!$A:$AC,2,FALSE))="Cinema",(VLOOKUP(Table8[[#This Row],[SKU]],'All Skus'!$A:$AC,5,FALSE)),""))</f>
        <v>DSI</v>
      </c>
      <c r="E45" s="61" t="str">
        <f>(IF((VLOOKUP(Table8[[#This Row],[SKU]],'All Skus'!$A:$AC,2,FALSE))="Cinema",(VLOOKUP(Table8[[#This Row],[SKU]],'All Skus'!$A:$AC,6,FALSE)),""))</f>
        <v>YES</v>
      </c>
      <c r="F45">
        <f>(IF((VLOOKUP(Table8[[#This Row],[SKU]],'All Skus'!$A:$AC,2,FALSE))="Cinema",(VLOOKUP(Table8[[#This Row],[SKU]],'All Skus'!$A:$AC,7,FALSE)),""))</f>
        <v>0</v>
      </c>
      <c r="G45" s="7" t="str">
        <f>(IF((VLOOKUP(Table8[[#This Row],[SKU]],'All Skus'!$A:$AC,2,FALSE))="Cinema",(VLOOKUP(Table8[[#This Row],[SKU]],'All Skus'!$A:$AC,8,FALSE)),""))</f>
        <v>DSi LA4-D, 4 CH AMP, DANTE, US VER</v>
      </c>
      <c r="H45" s="8" t="str">
        <f>(IF((VLOOKUP(Table8[[#This Row],[SKU]],'All Skus'!$A:$AC,2,FALSE))="Cinema",(VLOOKUP(Table8[[#This Row],[SKU]],'All Skus'!$A:$AC,9,FALSE)),""))</f>
        <v>DSi LA4-D, 4 CH AMP, DANTE, US VER</v>
      </c>
      <c r="I45" s="89">
        <f>(IF((VLOOKUP(Table8[[#This Row],[SKU]],'All Skus'!$A:$AC,2,FALSE))="Cinema",(VLOOKUP(Table8[[#This Row],[SKU]],'All Skus'!$A:$AC,10,FALSE)),""))</f>
        <v>4500.54</v>
      </c>
      <c r="J45" s="89">
        <f>(IF((VLOOKUP(Table8[[#This Row],[SKU]],'All Skus'!$A:$AC,2,FALSE))="Cinema",(VLOOKUP(Table8[[#This Row],[SKU]],'All Skus'!$A:$AC,11,FALSE)),""))</f>
        <v>4500.54</v>
      </c>
      <c r="K45" s="135">
        <f>(IF((VLOOKUP(Table8[[#This Row],[SKU]],'All Skus'!$A:$AC,2,FALSE))="Cinema",(VLOOKUP(Table8[[#This Row],[SKU]],'All Skus'!$A:$AC,15,FALSE)),""))</f>
        <v>0</v>
      </c>
      <c r="L45" s="137">
        <f>(IF((VLOOKUP(Table8[[#This Row],[SKU]],'All Skus'!$A:$AC,2,FALSE))="Cinema",(VLOOKUP(Table8[[#This Row],[SKU]],'All Skus'!$A:$AC,16,FALSE)),""))</f>
        <v>691991017070</v>
      </c>
      <c r="M45" s="61">
        <f>(IF((VLOOKUP(Table8[[#This Row],[SKU]],'All Skus'!$A:$AC,2,FALSE))="Cinema",(VLOOKUP(Table8[[#This Row],[SKU]],'All Skus'!$A:$AC,17,FALSE)),""))</f>
        <v>0</v>
      </c>
      <c r="N45" s="136">
        <f>(IF((VLOOKUP(Table8[[#This Row],[SKU]],'All Skus'!$A:$AC,2,FALSE))="Cinema",(VLOOKUP(Table8[[#This Row],[SKU]],'All Skus'!$A:$AC,18,FALSE)),""))</f>
        <v>0</v>
      </c>
      <c r="O45" s="136">
        <f>(IF((VLOOKUP(Table8[[#This Row],[SKU]],'All Skus'!$A:$AC,2,FALSE))="Cinema",(VLOOKUP(Table8[[#This Row],[SKU]],'All Skus'!$A:$AC,19,FALSE)),""))</f>
        <v>0</v>
      </c>
      <c r="P45" s="136">
        <f>(IF((VLOOKUP(Table8[[#This Row],[SKU]],'All Skus'!$A:$AC,2,FALSE))="Cinema",(VLOOKUP(Table8[[#This Row],[SKU]],'All Skus'!$A:$AC,20,FALSE)),""))</f>
        <v>0</v>
      </c>
      <c r="Q45" s="136">
        <f>(IF((VLOOKUP(Table8[[#This Row],[SKU]],'All Skus'!$A:$AC,2,FALSE))="Cinema",(VLOOKUP(Table8[[#This Row],[SKU]],'All Skus'!$A:$AC,21,FALSE)),""))</f>
        <v>0</v>
      </c>
      <c r="R45" s="61" t="str">
        <f>(IF((VLOOKUP(Table8[[#This Row],[SKU]],'All Skus'!$A:$AC,2,FALSE))="Cinema",(VLOOKUP(Table8[[#This Row],[SKU]],'All Skus'!$A:$AC,22,FALSE)),""))</f>
        <v>CN</v>
      </c>
      <c r="S45" t="str">
        <f>(IF((VLOOKUP(Table8[[#This Row],[SKU]],'All Skus'!$A:$AC,2,FALSE))="Cinema",(VLOOKUP(Table8[[#This Row],[SKU]],'All Skus'!$A:$AC,23,FALSE)),""))</f>
        <v>Non compliant</v>
      </c>
      <c r="T45" s="76" t="str">
        <f>HYPERLINK((IF((VLOOKUP(Table8[[#This Row],[SKU]],'All Skus'!$A:$AC,2,FALSE))="Cinema",(VLOOKUP(Table8[[#This Row],[SKU]],'All Skus'!$A:$AC,24,FALSE)),"")))</f>
        <v/>
      </c>
      <c r="U45" s="151">
        <v>43</v>
      </c>
    </row>
    <row r="46" spans="1:21" ht="15" customHeight="1">
      <c r="A46" s="13" t="s">
        <v>1922</v>
      </c>
      <c r="B46" s="12" t="str">
        <f>(IF((VLOOKUP(Table8[[#This Row],[SKU]],'All Skus'!$A:$AC,2,FALSE))="Cinema",(VLOOKUP(Table8[[#This Row],[SKU]],'All Skus'!$A:$AC,3,FALSE)),""))</f>
        <v>Amplifier</v>
      </c>
      <c r="C46" s="146" t="str">
        <f>(IF((VLOOKUP(Table8[[#This Row],[SKU]],'All Skus'!$A:$AC,2,FALSE))="Cinema",(VLOOKUP(Table8[[#This Row],[SKU]],'All Skus'!$A:$AC,4,FALSE)),""))</f>
        <v>LA4</v>
      </c>
      <c r="D46" s="61" t="str">
        <f>(IF((VLOOKUP(Table8[[#This Row],[SKU]],'All Skus'!$A:$AC,2,FALSE))="Cinema",(VLOOKUP(Table8[[#This Row],[SKU]],'All Skus'!$A:$AC,5,FALSE)),""))</f>
        <v>DSI</v>
      </c>
      <c r="E46" s="61" t="str">
        <f>(IF((VLOOKUP(Table8[[#This Row],[SKU]],'All Skus'!$A:$AC,2,FALSE))="Cinema",(VLOOKUP(Table8[[#This Row],[SKU]],'All Skus'!$A:$AC,6,FALSE)),""))</f>
        <v>YES</v>
      </c>
      <c r="F46">
        <f>(IF((VLOOKUP(Table8[[#This Row],[SKU]],'All Skus'!$A:$AC,2,FALSE))="Cinema",(VLOOKUP(Table8[[#This Row],[SKU]],'All Skus'!$A:$AC,7,FALSE)),""))</f>
        <v>0</v>
      </c>
      <c r="G46" s="7" t="str">
        <f>(IF((VLOOKUP(Table8[[#This Row],[SKU]],'All Skus'!$A:$AC,2,FALSE))="Cinema",(VLOOKUP(Table8[[#This Row],[SKU]],'All Skus'!$A:$AC,8,FALSE)),""))</f>
        <v>DSi LA4, 4 CH AMP, US VER</v>
      </c>
      <c r="H46" s="8" t="str">
        <f>(IF((VLOOKUP(Table8[[#This Row],[SKU]],'All Skus'!$A:$AC,2,FALSE))="Cinema",(VLOOKUP(Table8[[#This Row],[SKU]],'All Skus'!$A:$AC,9,FALSE)),""))</f>
        <v>DSi LA4, 4 CH AMP, US VER</v>
      </c>
      <c r="I46" s="89">
        <f>(IF((VLOOKUP(Table8[[#This Row],[SKU]],'All Skus'!$A:$AC,2,FALSE))="Cinema",(VLOOKUP(Table8[[#This Row],[SKU]],'All Skus'!$A:$AC,10,FALSE)),""))</f>
        <v>4080.38</v>
      </c>
      <c r="J46" s="89">
        <f>(IF((VLOOKUP(Table8[[#This Row],[SKU]],'All Skus'!$A:$AC,2,FALSE))="Cinema",(VLOOKUP(Table8[[#This Row],[SKU]],'All Skus'!$A:$AC,11,FALSE)),""))</f>
        <v>4080</v>
      </c>
      <c r="K46" s="135">
        <f>(IF((VLOOKUP(Table8[[#This Row],[SKU]],'All Skus'!$A:$AC,2,FALSE))="Cinema",(VLOOKUP(Table8[[#This Row],[SKU]],'All Skus'!$A:$AC,15,FALSE)),""))</f>
        <v>0</v>
      </c>
      <c r="L46" s="137">
        <f>(IF((VLOOKUP(Table8[[#This Row],[SKU]],'All Skus'!$A:$AC,2,FALSE))="Cinema",(VLOOKUP(Table8[[#This Row],[SKU]],'All Skus'!$A:$AC,16,FALSE)),""))</f>
        <v>691991016950</v>
      </c>
      <c r="M46" s="61">
        <f>(IF((VLOOKUP(Table8[[#This Row],[SKU]],'All Skus'!$A:$AC,2,FALSE))="Cinema",(VLOOKUP(Table8[[#This Row],[SKU]],'All Skus'!$A:$AC,17,FALSE)),""))</f>
        <v>0</v>
      </c>
      <c r="N46" s="136">
        <f>(IF((VLOOKUP(Table8[[#This Row],[SKU]],'All Skus'!$A:$AC,2,FALSE))="Cinema",(VLOOKUP(Table8[[#This Row],[SKU]],'All Skus'!$A:$AC,18,FALSE)),""))</f>
        <v>0</v>
      </c>
      <c r="O46" s="136">
        <f>(IF((VLOOKUP(Table8[[#This Row],[SKU]],'All Skus'!$A:$AC,2,FALSE))="Cinema",(VLOOKUP(Table8[[#This Row],[SKU]],'All Skus'!$A:$AC,19,FALSE)),""))</f>
        <v>0</v>
      </c>
      <c r="P46" s="136">
        <f>(IF((VLOOKUP(Table8[[#This Row],[SKU]],'All Skus'!$A:$AC,2,FALSE))="Cinema",(VLOOKUP(Table8[[#This Row],[SKU]],'All Skus'!$A:$AC,20,FALSE)),""))</f>
        <v>0</v>
      </c>
      <c r="Q46" s="136">
        <f>(IF((VLOOKUP(Table8[[#This Row],[SKU]],'All Skus'!$A:$AC,2,FALSE))="Cinema",(VLOOKUP(Table8[[#This Row],[SKU]],'All Skus'!$A:$AC,21,FALSE)),""))</f>
        <v>0</v>
      </c>
      <c r="R46" s="61" t="str">
        <f>(IF((VLOOKUP(Table8[[#This Row],[SKU]],'All Skus'!$A:$AC,2,FALSE))="Cinema",(VLOOKUP(Table8[[#This Row],[SKU]],'All Skus'!$A:$AC,22,FALSE)),""))</f>
        <v>CN</v>
      </c>
      <c r="S46" t="str">
        <f>(IF((VLOOKUP(Table8[[#This Row],[SKU]],'All Skus'!$A:$AC,2,FALSE))="Cinema",(VLOOKUP(Table8[[#This Row],[SKU]],'All Skus'!$A:$AC,23,FALSE)),""))</f>
        <v>Non compliant</v>
      </c>
      <c r="T46" s="76" t="str">
        <f>HYPERLINK((IF((VLOOKUP(Table8[[#This Row],[SKU]],'All Skus'!$A:$AC,2,FALSE))="Cinema",(VLOOKUP(Table8[[#This Row],[SKU]],'All Skus'!$A:$AC,24,FALSE)),"")))</f>
        <v/>
      </c>
      <c r="U46" s="151">
        <v>44</v>
      </c>
    </row>
    <row r="47" spans="1:21" ht="15" customHeight="1">
      <c r="A47" s="13" t="s">
        <v>1923</v>
      </c>
      <c r="B47" s="12" t="str">
        <f>(IF((VLOOKUP(Table8[[#This Row],[SKU]],'All Skus'!$A:$AC,2,FALSE))="Cinema",(VLOOKUP(Table8[[#This Row],[SKU]],'All Skus'!$A:$AC,3,FALSE)),""))</f>
        <v>Amplifier</v>
      </c>
      <c r="C47" s="146" t="str">
        <f>(IF((VLOOKUP(Table8[[#This Row],[SKU]],'All Skus'!$A:$AC,2,FALSE))="Cinema",(VLOOKUP(Table8[[#This Row],[SKU]],'All Skus'!$A:$AC,4,FALSE)),""))</f>
        <v>MA4-D</v>
      </c>
      <c r="D47" s="61" t="str">
        <f>(IF((VLOOKUP(Table8[[#This Row],[SKU]],'All Skus'!$A:$AC,2,FALSE))="Cinema",(VLOOKUP(Table8[[#This Row],[SKU]],'All Skus'!$A:$AC,5,FALSE)),""))</f>
        <v>DSI</v>
      </c>
      <c r="E47" s="61" t="str">
        <f>(IF((VLOOKUP(Table8[[#This Row],[SKU]],'All Skus'!$A:$AC,2,FALSE))="Cinema",(VLOOKUP(Table8[[#This Row],[SKU]],'All Skus'!$A:$AC,6,FALSE)),""))</f>
        <v>YES</v>
      </c>
      <c r="F47">
        <f>(IF((VLOOKUP(Table8[[#This Row],[SKU]],'All Skus'!$A:$AC,2,FALSE))="Cinema",(VLOOKUP(Table8[[#This Row],[SKU]],'All Skus'!$A:$AC,7,FALSE)),""))</f>
        <v>0</v>
      </c>
      <c r="G47" s="7" t="str">
        <f>(IF((VLOOKUP(Table8[[#This Row],[SKU]],'All Skus'!$A:$AC,2,FALSE))="Cinema",(VLOOKUP(Table8[[#This Row],[SKU]],'All Skus'!$A:$AC,8,FALSE)),""))</f>
        <v>DSi MA4-D, 4 CH AMP, DANTE, US VER</v>
      </c>
      <c r="H47" s="8" t="str">
        <f>(IF((VLOOKUP(Table8[[#This Row],[SKU]],'All Skus'!$A:$AC,2,FALSE))="Cinema",(VLOOKUP(Table8[[#This Row],[SKU]],'All Skus'!$A:$AC,9,FALSE)),""))</f>
        <v>DSi MA4-D, 4 CH AMP, DANTE, US VER</v>
      </c>
      <c r="I47" s="89">
        <f>(IF((VLOOKUP(Table8[[#This Row],[SKU]],'All Skus'!$A:$AC,2,FALSE))="Cinema",(VLOOKUP(Table8[[#This Row],[SKU]],'All Skus'!$A:$AC,10,FALSE)),""))</f>
        <v>3600.19</v>
      </c>
      <c r="J47" s="89">
        <f>(IF((VLOOKUP(Table8[[#This Row],[SKU]],'All Skus'!$A:$AC,2,FALSE))="Cinema",(VLOOKUP(Table8[[#This Row],[SKU]],'All Skus'!$A:$AC,11,FALSE)),""))</f>
        <v>3600</v>
      </c>
      <c r="K47" s="135">
        <f>(IF((VLOOKUP(Table8[[#This Row],[SKU]],'All Skus'!$A:$AC,2,FALSE))="Cinema",(VLOOKUP(Table8[[#This Row],[SKU]],'All Skus'!$A:$AC,15,FALSE)),""))</f>
        <v>0</v>
      </c>
      <c r="L47" s="137">
        <f>(IF((VLOOKUP(Table8[[#This Row],[SKU]],'All Skus'!$A:$AC,2,FALSE))="Cinema",(VLOOKUP(Table8[[#This Row],[SKU]],'All Skus'!$A:$AC,16,FALSE)),""))</f>
        <v>691991017032</v>
      </c>
      <c r="M47" s="61">
        <f>(IF((VLOOKUP(Table8[[#This Row],[SKU]],'All Skus'!$A:$AC,2,FALSE))="Cinema",(VLOOKUP(Table8[[#This Row],[SKU]],'All Skus'!$A:$AC,17,FALSE)),""))</f>
        <v>0</v>
      </c>
      <c r="N47" s="136">
        <f>(IF((VLOOKUP(Table8[[#This Row],[SKU]],'All Skus'!$A:$AC,2,FALSE))="Cinema",(VLOOKUP(Table8[[#This Row],[SKU]],'All Skus'!$A:$AC,18,FALSE)),""))</f>
        <v>0</v>
      </c>
      <c r="O47" s="136">
        <f>(IF((VLOOKUP(Table8[[#This Row],[SKU]],'All Skus'!$A:$AC,2,FALSE))="Cinema",(VLOOKUP(Table8[[#This Row],[SKU]],'All Skus'!$A:$AC,19,FALSE)),""))</f>
        <v>0</v>
      </c>
      <c r="P47" s="136">
        <f>(IF((VLOOKUP(Table8[[#This Row],[SKU]],'All Skus'!$A:$AC,2,FALSE))="Cinema",(VLOOKUP(Table8[[#This Row],[SKU]],'All Skus'!$A:$AC,20,FALSE)),""))</f>
        <v>0</v>
      </c>
      <c r="Q47" s="136">
        <f>(IF((VLOOKUP(Table8[[#This Row],[SKU]],'All Skus'!$A:$AC,2,FALSE))="Cinema",(VLOOKUP(Table8[[#This Row],[SKU]],'All Skus'!$A:$AC,21,FALSE)),""))</f>
        <v>0</v>
      </c>
      <c r="R47" s="61" t="str">
        <f>(IF((VLOOKUP(Table8[[#This Row],[SKU]],'All Skus'!$A:$AC,2,FALSE))="Cinema",(VLOOKUP(Table8[[#This Row],[SKU]],'All Skus'!$A:$AC,22,FALSE)),""))</f>
        <v>CN</v>
      </c>
      <c r="S47" t="str">
        <f>(IF((VLOOKUP(Table8[[#This Row],[SKU]],'All Skus'!$A:$AC,2,FALSE))="Cinema",(VLOOKUP(Table8[[#This Row],[SKU]],'All Skus'!$A:$AC,23,FALSE)),""))</f>
        <v>Non compliant</v>
      </c>
      <c r="T47" s="76" t="str">
        <f>HYPERLINK((IF((VLOOKUP(Table8[[#This Row],[SKU]],'All Skus'!$A:$AC,2,FALSE))="Cinema",(VLOOKUP(Table8[[#This Row],[SKU]],'All Skus'!$A:$AC,24,FALSE)),"")))</f>
        <v/>
      </c>
      <c r="U47" s="151">
        <v>45</v>
      </c>
    </row>
    <row r="48" spans="1:21" ht="15" customHeight="1">
      <c r="A48" s="13" t="s">
        <v>1924</v>
      </c>
      <c r="B48" s="12" t="str">
        <f>(IF((VLOOKUP(Table8[[#This Row],[SKU]],'All Skus'!$A:$AC,2,FALSE))="Cinema",(VLOOKUP(Table8[[#This Row],[SKU]],'All Skus'!$A:$AC,3,FALSE)),""))</f>
        <v>Amplifier</v>
      </c>
      <c r="C48" s="146" t="str">
        <f>(IF((VLOOKUP(Table8[[#This Row],[SKU]],'All Skus'!$A:$AC,2,FALSE))="Cinema",(VLOOKUP(Table8[[#This Row],[SKU]],'All Skus'!$A:$AC,4,FALSE)),""))</f>
        <v>MA4</v>
      </c>
      <c r="D48" s="61" t="str">
        <f>(IF((VLOOKUP(Table8[[#This Row],[SKU]],'All Skus'!$A:$AC,2,FALSE))="Cinema",(VLOOKUP(Table8[[#This Row],[SKU]],'All Skus'!$A:$AC,5,FALSE)),""))</f>
        <v>DSI</v>
      </c>
      <c r="E48" s="61" t="str">
        <f>(IF((VLOOKUP(Table8[[#This Row],[SKU]],'All Skus'!$A:$AC,2,FALSE))="Cinema",(VLOOKUP(Table8[[#This Row],[SKU]],'All Skus'!$A:$AC,6,FALSE)),""))</f>
        <v>YES</v>
      </c>
      <c r="F48">
        <f>(IF((VLOOKUP(Table8[[#This Row],[SKU]],'All Skus'!$A:$AC,2,FALSE))="Cinema",(VLOOKUP(Table8[[#This Row],[SKU]],'All Skus'!$A:$AC,7,FALSE)),""))</f>
        <v>0</v>
      </c>
      <c r="G48" s="7" t="str">
        <f>(IF((VLOOKUP(Table8[[#This Row],[SKU]],'All Skus'!$A:$AC,2,FALSE))="Cinema",(VLOOKUP(Table8[[#This Row],[SKU]],'All Skus'!$A:$AC,8,FALSE)),""))</f>
        <v>DSi MA4, 4 CH AMP, US VER</v>
      </c>
      <c r="H48" s="8" t="str">
        <f>(IF((VLOOKUP(Table8[[#This Row],[SKU]],'All Skus'!$A:$AC,2,FALSE))="Cinema",(VLOOKUP(Table8[[#This Row],[SKU]],'All Skus'!$A:$AC,9,FALSE)),""))</f>
        <v>DSi MA4, 4 CH AMP, US VER</v>
      </c>
      <c r="I48" s="89">
        <f>(IF((VLOOKUP(Table8[[#This Row],[SKU]],'All Skus'!$A:$AC,2,FALSE))="Cinema",(VLOOKUP(Table8[[#This Row],[SKU]],'All Skus'!$A:$AC,10,FALSE)),""))</f>
        <v>3600.19</v>
      </c>
      <c r="J48" s="89">
        <f>(IF((VLOOKUP(Table8[[#This Row],[SKU]],'All Skus'!$A:$AC,2,FALSE))="Cinema",(VLOOKUP(Table8[[#This Row],[SKU]],'All Skus'!$A:$AC,11,FALSE)),""))</f>
        <v>3600</v>
      </c>
      <c r="K48" s="135">
        <f>(IF((VLOOKUP(Table8[[#This Row],[SKU]],'All Skus'!$A:$AC,2,FALSE))="Cinema",(VLOOKUP(Table8[[#This Row],[SKU]],'All Skus'!$A:$AC,15,FALSE)),""))</f>
        <v>0</v>
      </c>
      <c r="L48" s="137">
        <f>(IF((VLOOKUP(Table8[[#This Row],[SKU]],'All Skus'!$A:$AC,2,FALSE))="Cinema",(VLOOKUP(Table8[[#This Row],[SKU]],'All Skus'!$A:$AC,16,FALSE)),""))</f>
        <v>691991016912</v>
      </c>
      <c r="M48" s="61">
        <f>(IF((VLOOKUP(Table8[[#This Row],[SKU]],'All Skus'!$A:$AC,2,FALSE))="Cinema",(VLOOKUP(Table8[[#This Row],[SKU]],'All Skus'!$A:$AC,17,FALSE)),""))</f>
        <v>0</v>
      </c>
      <c r="N48" s="136">
        <f>(IF((VLOOKUP(Table8[[#This Row],[SKU]],'All Skus'!$A:$AC,2,FALSE))="Cinema",(VLOOKUP(Table8[[#This Row],[SKU]],'All Skus'!$A:$AC,18,FALSE)),""))</f>
        <v>0</v>
      </c>
      <c r="O48" s="136">
        <f>(IF((VLOOKUP(Table8[[#This Row],[SKU]],'All Skus'!$A:$AC,2,FALSE))="Cinema",(VLOOKUP(Table8[[#This Row],[SKU]],'All Skus'!$A:$AC,19,FALSE)),""))</f>
        <v>0</v>
      </c>
      <c r="P48" s="136">
        <f>(IF((VLOOKUP(Table8[[#This Row],[SKU]],'All Skus'!$A:$AC,2,FALSE))="Cinema",(VLOOKUP(Table8[[#This Row],[SKU]],'All Skus'!$A:$AC,20,FALSE)),""))</f>
        <v>0</v>
      </c>
      <c r="Q48" s="136">
        <f>(IF((VLOOKUP(Table8[[#This Row],[SKU]],'All Skus'!$A:$AC,2,FALSE))="Cinema",(VLOOKUP(Table8[[#This Row],[SKU]],'All Skus'!$A:$AC,21,FALSE)),""))</f>
        <v>0</v>
      </c>
      <c r="R48" s="61" t="str">
        <f>(IF((VLOOKUP(Table8[[#This Row],[SKU]],'All Skus'!$A:$AC,2,FALSE))="Cinema",(VLOOKUP(Table8[[#This Row],[SKU]],'All Skus'!$A:$AC,22,FALSE)),""))</f>
        <v>CN</v>
      </c>
      <c r="S48" t="str">
        <f>(IF((VLOOKUP(Table8[[#This Row],[SKU]],'All Skus'!$A:$AC,2,FALSE))="Cinema",(VLOOKUP(Table8[[#This Row],[SKU]],'All Skus'!$A:$AC,23,FALSE)),""))</f>
        <v>Non compliant</v>
      </c>
      <c r="T48" s="76" t="str">
        <f>HYPERLINK((IF((VLOOKUP(Table8[[#This Row],[SKU]],'All Skus'!$A:$AC,2,FALSE))="Cinema",(VLOOKUP(Table8[[#This Row],[SKU]],'All Skus'!$A:$AC,24,FALSE)),"")))</f>
        <v/>
      </c>
      <c r="U48" s="151">
        <v>46</v>
      </c>
    </row>
    <row r="49" spans="1:21" ht="15" customHeight="1">
      <c r="A49" s="13" t="s">
        <v>1925</v>
      </c>
      <c r="B49" s="12" t="str">
        <f>(IF((VLOOKUP(Table8[[#This Row],[SKU]],'All Skus'!$A:$AC,2,FALSE))="Cinema",(VLOOKUP(Table8[[#This Row],[SKU]],'All Skus'!$A:$AC,3,FALSE)),""))</f>
        <v>Amplifier</v>
      </c>
      <c r="C49" s="146" t="str">
        <f>(IF((VLOOKUP(Table8[[#This Row],[SKU]],'All Skus'!$A:$AC,2,FALSE))="Cinema",(VLOOKUP(Table8[[#This Row],[SKU]],'All Skus'!$A:$AC,4,FALSE)),""))</f>
        <v>SA4-D</v>
      </c>
      <c r="D49" s="61" t="str">
        <f>(IF((VLOOKUP(Table8[[#This Row],[SKU]],'All Skus'!$A:$AC,2,FALSE))="Cinema",(VLOOKUP(Table8[[#This Row],[SKU]],'All Skus'!$A:$AC,5,FALSE)),""))</f>
        <v>DSI</v>
      </c>
      <c r="E49" s="61" t="str">
        <f>(IF((VLOOKUP(Table8[[#This Row],[SKU]],'All Skus'!$A:$AC,2,FALSE))="Cinema",(VLOOKUP(Table8[[#This Row],[SKU]],'All Skus'!$A:$AC,6,FALSE)),""))</f>
        <v>YES</v>
      </c>
      <c r="F49">
        <f>(IF((VLOOKUP(Table8[[#This Row],[SKU]],'All Skus'!$A:$AC,2,FALSE))="Cinema",(VLOOKUP(Table8[[#This Row],[SKU]],'All Skus'!$A:$AC,7,FALSE)),""))</f>
        <v>0</v>
      </c>
      <c r="G49" s="7" t="str">
        <f>(IF((VLOOKUP(Table8[[#This Row],[SKU]],'All Skus'!$A:$AC,2,FALSE))="Cinema",(VLOOKUP(Table8[[#This Row],[SKU]],'All Skus'!$A:$AC,8,FALSE)),""))</f>
        <v>DSi SA4-D, 4 CH AMP, DANTE, US VER</v>
      </c>
      <c r="H49" s="8" t="str">
        <f>(IF((VLOOKUP(Table8[[#This Row],[SKU]],'All Skus'!$A:$AC,2,FALSE))="Cinema",(VLOOKUP(Table8[[#This Row],[SKU]],'All Skus'!$A:$AC,9,FALSE)),""))</f>
        <v>DSi SA4-D, 4 CH AMP, DANTE, US VER</v>
      </c>
      <c r="I49" s="89">
        <f>(IF((VLOOKUP(Table8[[#This Row],[SKU]],'All Skus'!$A:$AC,2,FALSE))="Cinema",(VLOOKUP(Table8[[#This Row],[SKU]],'All Skus'!$A:$AC,10,FALSE)),""))</f>
        <v>2819.89</v>
      </c>
      <c r="J49" s="89">
        <f>(IF((VLOOKUP(Table8[[#This Row],[SKU]],'All Skus'!$A:$AC,2,FALSE))="Cinema",(VLOOKUP(Table8[[#This Row],[SKU]],'All Skus'!$A:$AC,11,FALSE)),""))</f>
        <v>2819.89</v>
      </c>
      <c r="K49" s="135">
        <f>(IF((VLOOKUP(Table8[[#This Row],[SKU]],'All Skus'!$A:$AC,2,FALSE))="Cinema",(VLOOKUP(Table8[[#This Row],[SKU]],'All Skus'!$A:$AC,15,FALSE)),""))</f>
        <v>0</v>
      </c>
      <c r="L49" s="137">
        <f>(IF((VLOOKUP(Table8[[#This Row],[SKU]],'All Skus'!$A:$AC,2,FALSE))="Cinema",(VLOOKUP(Table8[[#This Row],[SKU]],'All Skus'!$A:$AC,16,FALSE)),""))</f>
        <v>691991016998</v>
      </c>
      <c r="M49" s="61">
        <f>(IF((VLOOKUP(Table8[[#This Row],[SKU]],'All Skus'!$A:$AC,2,FALSE))="Cinema",(VLOOKUP(Table8[[#This Row],[SKU]],'All Skus'!$A:$AC,17,FALSE)),""))</f>
        <v>0</v>
      </c>
      <c r="N49" s="136">
        <f>(IF((VLOOKUP(Table8[[#This Row],[SKU]],'All Skus'!$A:$AC,2,FALSE))="Cinema",(VLOOKUP(Table8[[#This Row],[SKU]],'All Skus'!$A:$AC,18,FALSE)),""))</f>
        <v>0</v>
      </c>
      <c r="O49" s="136">
        <f>(IF((VLOOKUP(Table8[[#This Row],[SKU]],'All Skus'!$A:$AC,2,FALSE))="Cinema",(VLOOKUP(Table8[[#This Row],[SKU]],'All Skus'!$A:$AC,19,FALSE)),""))</f>
        <v>0</v>
      </c>
      <c r="P49" s="136">
        <f>(IF((VLOOKUP(Table8[[#This Row],[SKU]],'All Skus'!$A:$AC,2,FALSE))="Cinema",(VLOOKUP(Table8[[#This Row],[SKU]],'All Skus'!$A:$AC,20,FALSE)),""))</f>
        <v>0</v>
      </c>
      <c r="Q49" s="136">
        <f>(IF((VLOOKUP(Table8[[#This Row],[SKU]],'All Skus'!$A:$AC,2,FALSE))="Cinema",(VLOOKUP(Table8[[#This Row],[SKU]],'All Skus'!$A:$AC,21,FALSE)),""))</f>
        <v>0</v>
      </c>
      <c r="R49" s="61" t="str">
        <f>(IF((VLOOKUP(Table8[[#This Row],[SKU]],'All Skus'!$A:$AC,2,FALSE))="Cinema",(VLOOKUP(Table8[[#This Row],[SKU]],'All Skus'!$A:$AC,22,FALSE)),""))</f>
        <v>CN</v>
      </c>
      <c r="S49" t="str">
        <f>(IF((VLOOKUP(Table8[[#This Row],[SKU]],'All Skus'!$A:$AC,2,FALSE))="Cinema",(VLOOKUP(Table8[[#This Row],[SKU]],'All Skus'!$A:$AC,23,FALSE)),""))</f>
        <v>Non compliant</v>
      </c>
      <c r="T49" s="76" t="str">
        <f>HYPERLINK((IF((VLOOKUP(Table8[[#This Row],[SKU]],'All Skus'!$A:$AC,2,FALSE))="Cinema",(VLOOKUP(Table8[[#This Row],[SKU]],'All Skus'!$A:$AC,24,FALSE)),"")))</f>
        <v/>
      </c>
      <c r="U49" s="151">
        <v>47</v>
      </c>
    </row>
    <row r="50" spans="1:21" ht="15" customHeight="1">
      <c r="A50" s="13" t="s">
        <v>1926</v>
      </c>
      <c r="B50" s="12" t="str">
        <f>(IF((VLOOKUP(Table8[[#This Row],[SKU]],'All Skus'!$A:$AC,2,FALSE))="Cinema",(VLOOKUP(Table8[[#This Row],[SKU]],'All Skus'!$A:$AC,3,FALSE)),""))</f>
        <v>Amplifier</v>
      </c>
      <c r="C50" s="146" t="str">
        <f>(IF((VLOOKUP(Table8[[#This Row],[SKU]],'All Skus'!$A:$AC,2,FALSE))="Cinema",(VLOOKUP(Table8[[#This Row],[SKU]],'All Skus'!$A:$AC,4,FALSE)),""))</f>
        <v>SA4</v>
      </c>
      <c r="D50" s="61" t="str">
        <f>(IF((VLOOKUP(Table8[[#This Row],[SKU]],'All Skus'!$A:$AC,2,FALSE))="Cinema",(VLOOKUP(Table8[[#This Row],[SKU]],'All Skus'!$A:$AC,5,FALSE)),""))</f>
        <v>DSI</v>
      </c>
      <c r="E50" s="61" t="str">
        <f>(IF((VLOOKUP(Table8[[#This Row],[SKU]],'All Skus'!$A:$AC,2,FALSE))="Cinema",(VLOOKUP(Table8[[#This Row],[SKU]],'All Skus'!$A:$AC,6,FALSE)),""))</f>
        <v>YES</v>
      </c>
      <c r="F50">
        <f>(IF((VLOOKUP(Table8[[#This Row],[SKU]],'All Skus'!$A:$AC,2,FALSE))="Cinema",(VLOOKUP(Table8[[#This Row],[SKU]],'All Skus'!$A:$AC,7,FALSE)),""))</f>
        <v>0</v>
      </c>
      <c r="G50" s="7" t="str">
        <f>(IF((VLOOKUP(Table8[[#This Row],[SKU]],'All Skus'!$A:$AC,2,FALSE))="Cinema",(VLOOKUP(Table8[[#This Row],[SKU]],'All Skus'!$A:$AC,8,FALSE)),""))</f>
        <v>DSi SA4, 4 CH AMP, US VER</v>
      </c>
      <c r="H50" s="8" t="str">
        <f>(IF((VLOOKUP(Table8[[#This Row],[SKU]],'All Skus'!$A:$AC,2,FALSE))="Cinema",(VLOOKUP(Table8[[#This Row],[SKU]],'All Skus'!$A:$AC,9,FALSE)),""))</f>
        <v>DSi SA4, 4 CH AMP, US VER</v>
      </c>
      <c r="I50" s="89">
        <f>(IF((VLOOKUP(Table8[[#This Row],[SKU]],'All Skus'!$A:$AC,2,FALSE))="Cinema",(VLOOKUP(Table8[[#This Row],[SKU]],'All Skus'!$A:$AC,10,FALSE)),""))</f>
        <v>2399.73</v>
      </c>
      <c r="J50" s="89">
        <f>(IF((VLOOKUP(Table8[[#This Row],[SKU]],'All Skus'!$A:$AC,2,FALSE))="Cinema",(VLOOKUP(Table8[[#This Row],[SKU]],'All Skus'!$A:$AC,11,FALSE)),""))</f>
        <v>2399.73</v>
      </c>
      <c r="K50" s="135">
        <f>(IF((VLOOKUP(Table8[[#This Row],[SKU]],'All Skus'!$A:$AC,2,FALSE))="Cinema",(VLOOKUP(Table8[[#This Row],[SKU]],'All Skus'!$A:$AC,15,FALSE)),""))</f>
        <v>0</v>
      </c>
      <c r="L50" s="137">
        <f>(IF((VLOOKUP(Table8[[#This Row],[SKU]],'All Skus'!$A:$AC,2,FALSE))="Cinema",(VLOOKUP(Table8[[#This Row],[SKU]],'All Skus'!$A:$AC,16,FALSE)),""))</f>
        <v>691991016875</v>
      </c>
      <c r="M50" s="61">
        <f>(IF((VLOOKUP(Table8[[#This Row],[SKU]],'All Skus'!$A:$AC,2,FALSE))="Cinema",(VLOOKUP(Table8[[#This Row],[SKU]],'All Skus'!$A:$AC,17,FALSE)),""))</f>
        <v>0</v>
      </c>
      <c r="N50" s="136">
        <f>(IF((VLOOKUP(Table8[[#This Row],[SKU]],'All Skus'!$A:$AC,2,FALSE))="Cinema",(VLOOKUP(Table8[[#This Row],[SKU]],'All Skus'!$A:$AC,18,FALSE)),""))</f>
        <v>0</v>
      </c>
      <c r="O50" s="136">
        <f>(IF((VLOOKUP(Table8[[#This Row],[SKU]],'All Skus'!$A:$AC,2,FALSE))="Cinema",(VLOOKUP(Table8[[#This Row],[SKU]],'All Skus'!$A:$AC,19,FALSE)),""))</f>
        <v>0</v>
      </c>
      <c r="P50" s="136">
        <f>(IF((VLOOKUP(Table8[[#This Row],[SKU]],'All Skus'!$A:$AC,2,FALSE))="Cinema",(VLOOKUP(Table8[[#This Row],[SKU]],'All Skus'!$A:$AC,20,FALSE)),""))</f>
        <v>0</v>
      </c>
      <c r="Q50" s="136">
        <f>(IF((VLOOKUP(Table8[[#This Row],[SKU]],'All Skus'!$A:$AC,2,FALSE))="Cinema",(VLOOKUP(Table8[[#This Row],[SKU]],'All Skus'!$A:$AC,21,FALSE)),""))</f>
        <v>0</v>
      </c>
      <c r="R50" s="61" t="str">
        <f>(IF((VLOOKUP(Table8[[#This Row],[SKU]],'All Skus'!$A:$AC,2,FALSE))="Cinema",(VLOOKUP(Table8[[#This Row],[SKU]],'All Skus'!$A:$AC,22,FALSE)),""))</f>
        <v>CN</v>
      </c>
      <c r="S50" t="str">
        <f>(IF((VLOOKUP(Table8[[#This Row],[SKU]],'All Skus'!$A:$AC,2,FALSE))="Cinema",(VLOOKUP(Table8[[#This Row],[SKU]],'All Skus'!$A:$AC,23,FALSE)),""))</f>
        <v>Non compliant</v>
      </c>
      <c r="T50" s="76" t="str">
        <f>HYPERLINK((IF((VLOOKUP(Table8[[#This Row],[SKU]],'All Skus'!$A:$AC,2,FALSE))="Cinema",(VLOOKUP(Table8[[#This Row],[SKU]],'All Skus'!$A:$AC,24,FALSE)),"")))</f>
        <v/>
      </c>
      <c r="U50" s="151">
        <v>48</v>
      </c>
    </row>
    <row r="51" spans="1:21" ht="15" customHeight="1">
      <c r="A51" s="13" t="s">
        <v>1927</v>
      </c>
      <c r="B51" s="12" t="str">
        <f>(IF((VLOOKUP(Table8[[#This Row],[SKU]],'All Skus'!$A:$AC,2,FALSE))="Cinema",(VLOOKUP(Table8[[#This Row],[SKU]],'All Skus'!$A:$AC,3,FALSE)),""))</f>
        <v>Amplifier</v>
      </c>
      <c r="C51" s="146" t="str">
        <f>(IF((VLOOKUP(Table8[[#This Row],[SKU]],'All Skus'!$A:$AC,2,FALSE))="Cinema",(VLOOKUP(Table8[[#This Row],[SKU]],'All Skus'!$A:$AC,4,FALSE)),""))</f>
        <v>LA4-D</v>
      </c>
      <c r="D51" s="61" t="str">
        <f>(IF((VLOOKUP(Table8[[#This Row],[SKU]],'All Skus'!$A:$AC,2,FALSE))="Cinema",(VLOOKUP(Table8[[#This Row],[SKU]],'All Skus'!$A:$AC,5,FALSE)),""))</f>
        <v>DSI</v>
      </c>
      <c r="E51" s="61">
        <f>(IF((VLOOKUP(Table8[[#This Row],[SKU]],'All Skus'!$A:$AC,2,FALSE))="Cinema",(VLOOKUP(Table8[[#This Row],[SKU]],'All Skus'!$A:$AC,6,FALSE)),""))</f>
        <v>0</v>
      </c>
      <c r="F51">
        <f>(IF((VLOOKUP(Table8[[#This Row],[SKU]],'All Skus'!$A:$AC,2,FALSE))="Cinema",(VLOOKUP(Table8[[#This Row],[SKU]],'All Skus'!$A:$AC,7,FALSE)),""))</f>
        <v>0</v>
      </c>
      <c r="G51" s="7" t="str">
        <f>(IF((VLOOKUP(Table8[[#This Row],[SKU]],'All Skus'!$A:$AC,2,FALSE))="Cinema",(VLOOKUP(Table8[[#This Row],[SKU]],'All Skus'!$A:$AC,8,FALSE)),""))</f>
        <v>DSi LA4-D, 4 CH AMP, DANTE, NP VER</v>
      </c>
      <c r="H51" s="8" t="str">
        <f>(IF((VLOOKUP(Table8[[#This Row],[SKU]],'All Skus'!$A:$AC,2,FALSE))="Cinema",(VLOOKUP(Table8[[#This Row],[SKU]],'All Skus'!$A:$AC,9,FALSE)),""))</f>
        <v>DSi LA4-D, 4 CH AMP, DANTE, NP VER</v>
      </c>
      <c r="I51" s="89">
        <f>(IF((VLOOKUP(Table8[[#This Row],[SKU]],'All Skus'!$A:$AC,2,FALSE))="Cinema",(VLOOKUP(Table8[[#This Row],[SKU]],'All Skus'!$A:$AC,10,FALSE)),""))</f>
        <v>4500.54</v>
      </c>
      <c r="J51" s="89">
        <f>(IF((VLOOKUP(Table8[[#This Row],[SKU]],'All Skus'!$A:$AC,2,FALSE))="Cinema",(VLOOKUP(Table8[[#This Row],[SKU]],'All Skus'!$A:$AC,11,FALSE)),""))</f>
        <v>4500.54</v>
      </c>
      <c r="K51" s="135">
        <f>(IF((VLOOKUP(Table8[[#This Row],[SKU]],'All Skus'!$A:$AC,2,FALSE))="Cinema",(VLOOKUP(Table8[[#This Row],[SKU]],'All Skus'!$A:$AC,15,FALSE)),""))</f>
        <v>0</v>
      </c>
      <c r="L51" s="137">
        <f>(IF((VLOOKUP(Table8[[#This Row],[SKU]],'All Skus'!$A:$AC,2,FALSE))="Cinema",(VLOOKUP(Table8[[#This Row],[SKU]],'All Skus'!$A:$AC,16,FALSE)),""))</f>
        <v>691991017100</v>
      </c>
      <c r="M51" s="61">
        <f>(IF((VLOOKUP(Table8[[#This Row],[SKU]],'All Skus'!$A:$AC,2,FALSE))="Cinema",(VLOOKUP(Table8[[#This Row],[SKU]],'All Skus'!$A:$AC,17,FALSE)),""))</f>
        <v>0</v>
      </c>
      <c r="N51" s="136">
        <f>(IF((VLOOKUP(Table8[[#This Row],[SKU]],'All Skus'!$A:$AC,2,FALSE))="Cinema",(VLOOKUP(Table8[[#This Row],[SKU]],'All Skus'!$A:$AC,18,FALSE)),""))</f>
        <v>0</v>
      </c>
      <c r="O51" s="136">
        <f>(IF((VLOOKUP(Table8[[#This Row],[SKU]],'All Skus'!$A:$AC,2,FALSE))="Cinema",(VLOOKUP(Table8[[#This Row],[SKU]],'All Skus'!$A:$AC,19,FALSE)),""))</f>
        <v>0</v>
      </c>
      <c r="P51" s="136">
        <f>(IF((VLOOKUP(Table8[[#This Row],[SKU]],'All Skus'!$A:$AC,2,FALSE))="Cinema",(VLOOKUP(Table8[[#This Row],[SKU]],'All Skus'!$A:$AC,20,FALSE)),""))</f>
        <v>0</v>
      </c>
      <c r="Q51" s="136">
        <f>(IF((VLOOKUP(Table8[[#This Row],[SKU]],'All Skus'!$A:$AC,2,FALSE))="Cinema",(VLOOKUP(Table8[[#This Row],[SKU]],'All Skus'!$A:$AC,21,FALSE)),""))</f>
        <v>0</v>
      </c>
      <c r="R51" s="61">
        <f>(IF((VLOOKUP(Table8[[#This Row],[SKU]],'All Skus'!$A:$AC,2,FALSE))="Cinema",(VLOOKUP(Table8[[#This Row],[SKU]],'All Skus'!$A:$AC,22,FALSE)),""))</f>
        <v>0</v>
      </c>
      <c r="S51">
        <f>(IF((VLOOKUP(Table8[[#This Row],[SKU]],'All Skus'!$A:$AC,2,FALSE))="Cinema",(VLOOKUP(Table8[[#This Row],[SKU]],'All Skus'!$A:$AC,23,FALSE)),""))</f>
        <v>0</v>
      </c>
      <c r="T51" s="76" t="str">
        <f>HYPERLINK((IF((VLOOKUP(Table8[[#This Row],[SKU]],'All Skus'!$A:$AC,2,FALSE))="Cinema",(VLOOKUP(Table8[[#This Row],[SKU]],'All Skus'!$A:$AC,24,FALSE)),"")))</f>
        <v/>
      </c>
      <c r="U51" s="151">
        <v>49</v>
      </c>
    </row>
    <row r="52" spans="1:21" ht="15" customHeight="1">
      <c r="A52" s="13" t="s">
        <v>1928</v>
      </c>
      <c r="B52" s="12" t="str">
        <f>(IF((VLOOKUP(Table8[[#This Row],[SKU]],'All Skus'!$A:$AC,2,FALSE))="Cinema",(VLOOKUP(Table8[[#This Row],[SKU]],'All Skus'!$A:$AC,3,FALSE)),""))</f>
        <v>Amplifier</v>
      </c>
      <c r="C52" s="146" t="str">
        <f>(IF((VLOOKUP(Table8[[#This Row],[SKU]],'All Skus'!$A:$AC,2,FALSE))="Cinema",(VLOOKUP(Table8[[#This Row],[SKU]],'All Skus'!$A:$AC,4,FALSE)),""))</f>
        <v>MA4-D</v>
      </c>
      <c r="D52" s="61" t="str">
        <f>(IF((VLOOKUP(Table8[[#This Row],[SKU]],'All Skus'!$A:$AC,2,FALSE))="Cinema",(VLOOKUP(Table8[[#This Row],[SKU]],'All Skus'!$A:$AC,5,FALSE)),""))</f>
        <v>DSI</v>
      </c>
      <c r="E52" s="61">
        <f>(IF((VLOOKUP(Table8[[#This Row],[SKU]],'All Skus'!$A:$AC,2,FALSE))="Cinema",(VLOOKUP(Table8[[#This Row],[SKU]],'All Skus'!$A:$AC,6,FALSE)),""))</f>
        <v>0</v>
      </c>
      <c r="F52">
        <f>(IF((VLOOKUP(Table8[[#This Row],[SKU]],'All Skus'!$A:$AC,2,FALSE))="Cinema",(VLOOKUP(Table8[[#This Row],[SKU]],'All Skus'!$A:$AC,7,FALSE)),""))</f>
        <v>0</v>
      </c>
      <c r="G52" s="7" t="str">
        <f>(IF((VLOOKUP(Table8[[#This Row],[SKU]],'All Skus'!$A:$AC,2,FALSE))="Cinema",(VLOOKUP(Table8[[#This Row],[SKU]],'All Skus'!$A:$AC,8,FALSE)),""))</f>
        <v>DSi MA4-D, 4 CH AMP, DANTE, NP VER</v>
      </c>
      <c r="H52" s="8" t="str">
        <f>(IF((VLOOKUP(Table8[[#This Row],[SKU]],'All Skus'!$A:$AC,2,FALSE))="Cinema",(VLOOKUP(Table8[[#This Row],[SKU]],'All Skus'!$A:$AC,9,FALSE)),""))</f>
        <v>DSi MA4-D, 4 CH AMP, DANTE, NP VER</v>
      </c>
      <c r="I52" s="89">
        <f>(IF((VLOOKUP(Table8[[#This Row],[SKU]],'All Skus'!$A:$AC,2,FALSE))="Cinema",(VLOOKUP(Table8[[#This Row],[SKU]],'All Skus'!$A:$AC,10,FALSE)),""))</f>
        <v>3600.19</v>
      </c>
      <c r="J52" s="89">
        <f>(IF((VLOOKUP(Table8[[#This Row],[SKU]],'All Skus'!$A:$AC,2,FALSE))="Cinema",(VLOOKUP(Table8[[#This Row],[SKU]],'All Skus'!$A:$AC,11,FALSE)),""))</f>
        <v>3600</v>
      </c>
      <c r="K52" s="135">
        <f>(IF((VLOOKUP(Table8[[#This Row],[SKU]],'All Skus'!$A:$AC,2,FALSE))="Cinema",(VLOOKUP(Table8[[#This Row],[SKU]],'All Skus'!$A:$AC,15,FALSE)),""))</f>
        <v>0</v>
      </c>
      <c r="L52" s="137">
        <f>(IF((VLOOKUP(Table8[[#This Row],[SKU]],'All Skus'!$A:$AC,2,FALSE))="Cinema",(VLOOKUP(Table8[[#This Row],[SKU]],'All Skus'!$A:$AC,16,FALSE)),""))</f>
        <v>691991017063</v>
      </c>
      <c r="M52" s="61">
        <f>(IF((VLOOKUP(Table8[[#This Row],[SKU]],'All Skus'!$A:$AC,2,FALSE))="Cinema",(VLOOKUP(Table8[[#This Row],[SKU]],'All Skus'!$A:$AC,17,FALSE)),""))</f>
        <v>0</v>
      </c>
      <c r="N52" s="136">
        <f>(IF((VLOOKUP(Table8[[#This Row],[SKU]],'All Skus'!$A:$AC,2,FALSE))="Cinema",(VLOOKUP(Table8[[#This Row],[SKU]],'All Skus'!$A:$AC,18,FALSE)),""))</f>
        <v>0</v>
      </c>
      <c r="O52" s="136">
        <f>(IF((VLOOKUP(Table8[[#This Row],[SKU]],'All Skus'!$A:$AC,2,FALSE))="Cinema",(VLOOKUP(Table8[[#This Row],[SKU]],'All Skus'!$A:$AC,19,FALSE)),""))</f>
        <v>0</v>
      </c>
      <c r="P52" s="136">
        <f>(IF((VLOOKUP(Table8[[#This Row],[SKU]],'All Skus'!$A:$AC,2,FALSE))="Cinema",(VLOOKUP(Table8[[#This Row],[SKU]],'All Skus'!$A:$AC,20,FALSE)),""))</f>
        <v>0</v>
      </c>
      <c r="Q52" s="136">
        <f>(IF((VLOOKUP(Table8[[#This Row],[SKU]],'All Skus'!$A:$AC,2,FALSE))="Cinema",(VLOOKUP(Table8[[#This Row],[SKU]],'All Skus'!$A:$AC,21,FALSE)),""))</f>
        <v>0</v>
      </c>
      <c r="R52" s="61">
        <f>(IF((VLOOKUP(Table8[[#This Row],[SKU]],'All Skus'!$A:$AC,2,FALSE))="Cinema",(VLOOKUP(Table8[[#This Row],[SKU]],'All Skus'!$A:$AC,22,FALSE)),""))</f>
        <v>0</v>
      </c>
      <c r="S52">
        <f>(IF((VLOOKUP(Table8[[#This Row],[SKU]],'All Skus'!$A:$AC,2,FALSE))="Cinema",(VLOOKUP(Table8[[#This Row],[SKU]],'All Skus'!$A:$AC,23,FALSE)),""))</f>
        <v>0</v>
      </c>
      <c r="T52" s="76" t="str">
        <f>HYPERLINK((IF((VLOOKUP(Table8[[#This Row],[SKU]],'All Skus'!$A:$AC,2,FALSE))="Cinema",(VLOOKUP(Table8[[#This Row],[SKU]],'All Skus'!$A:$AC,24,FALSE)),"")))</f>
        <v/>
      </c>
      <c r="U52" s="151">
        <v>50</v>
      </c>
    </row>
    <row r="53" spans="1:21" ht="15" customHeight="1">
      <c r="A53" s="13" t="s">
        <v>1929</v>
      </c>
      <c r="B53" s="12" t="str">
        <f>(IF((VLOOKUP(Table8[[#This Row],[SKU]],'All Skus'!$A:$AC,2,FALSE))="Cinema",(VLOOKUP(Table8[[#This Row],[SKU]],'All Skus'!$A:$AC,3,FALSE)),""))</f>
        <v>Amplifier</v>
      </c>
      <c r="C53" s="146" t="str">
        <f>(IF((VLOOKUP(Table8[[#This Row],[SKU]],'All Skus'!$A:$AC,2,FALSE))="Cinema",(VLOOKUP(Table8[[#This Row],[SKU]],'All Skus'!$A:$AC,4,FALSE)),""))</f>
        <v>MA4</v>
      </c>
      <c r="D53" s="61" t="str">
        <f>(IF((VLOOKUP(Table8[[#This Row],[SKU]],'All Skus'!$A:$AC,2,FALSE))="Cinema",(VLOOKUP(Table8[[#This Row],[SKU]],'All Skus'!$A:$AC,5,FALSE)),""))</f>
        <v>DSI</v>
      </c>
      <c r="E53" s="61">
        <f>(IF((VLOOKUP(Table8[[#This Row],[SKU]],'All Skus'!$A:$AC,2,FALSE))="Cinema",(VLOOKUP(Table8[[#This Row],[SKU]],'All Skus'!$A:$AC,6,FALSE)),""))</f>
        <v>0</v>
      </c>
      <c r="F53">
        <f>(IF((VLOOKUP(Table8[[#This Row],[SKU]],'All Skus'!$A:$AC,2,FALSE))="Cinema",(VLOOKUP(Table8[[#This Row],[SKU]],'All Skus'!$A:$AC,7,FALSE)),""))</f>
        <v>0</v>
      </c>
      <c r="G53" s="7" t="str">
        <f>(IF((VLOOKUP(Table8[[#This Row],[SKU]],'All Skus'!$A:$AC,2,FALSE))="Cinema",(VLOOKUP(Table8[[#This Row],[SKU]],'All Skus'!$A:$AC,8,FALSE)),""))</f>
        <v>DSi MA4, 4 CH AMP, NP VER</v>
      </c>
      <c r="H53" s="8" t="str">
        <f>(IF((VLOOKUP(Table8[[#This Row],[SKU]],'All Skus'!$A:$AC,2,FALSE))="Cinema",(VLOOKUP(Table8[[#This Row],[SKU]],'All Skus'!$A:$AC,9,FALSE)),""))</f>
        <v>DSi MA4, 4 CH AMP, NP VER</v>
      </c>
      <c r="I53" s="89">
        <f>(IF((VLOOKUP(Table8[[#This Row],[SKU]],'All Skus'!$A:$AC,2,FALSE))="Cinema",(VLOOKUP(Table8[[#This Row],[SKU]],'All Skus'!$A:$AC,10,FALSE)),""))</f>
        <v>3600.19</v>
      </c>
      <c r="J53" s="89">
        <f>(IF((VLOOKUP(Table8[[#This Row],[SKU]],'All Skus'!$A:$AC,2,FALSE))="Cinema",(VLOOKUP(Table8[[#This Row],[SKU]],'All Skus'!$A:$AC,11,FALSE)),""))</f>
        <v>3600</v>
      </c>
      <c r="K53" s="135">
        <f>(IF((VLOOKUP(Table8[[#This Row],[SKU]],'All Skus'!$A:$AC,2,FALSE))="Cinema",(VLOOKUP(Table8[[#This Row],[SKU]],'All Skus'!$A:$AC,15,FALSE)),""))</f>
        <v>0</v>
      </c>
      <c r="L53" s="137">
        <f>(IF((VLOOKUP(Table8[[#This Row],[SKU]],'All Skus'!$A:$AC,2,FALSE))="Cinema",(VLOOKUP(Table8[[#This Row],[SKU]],'All Skus'!$A:$AC,16,FALSE)),""))</f>
        <v>691991016943</v>
      </c>
      <c r="M53" s="61">
        <f>(IF((VLOOKUP(Table8[[#This Row],[SKU]],'All Skus'!$A:$AC,2,FALSE))="Cinema",(VLOOKUP(Table8[[#This Row],[SKU]],'All Skus'!$A:$AC,17,FALSE)),""))</f>
        <v>0</v>
      </c>
      <c r="N53" s="136">
        <f>(IF((VLOOKUP(Table8[[#This Row],[SKU]],'All Skus'!$A:$AC,2,FALSE))="Cinema",(VLOOKUP(Table8[[#This Row],[SKU]],'All Skus'!$A:$AC,18,FALSE)),""))</f>
        <v>0</v>
      </c>
      <c r="O53" s="136">
        <f>(IF((VLOOKUP(Table8[[#This Row],[SKU]],'All Skus'!$A:$AC,2,FALSE))="Cinema",(VLOOKUP(Table8[[#This Row],[SKU]],'All Skus'!$A:$AC,19,FALSE)),""))</f>
        <v>0</v>
      </c>
      <c r="P53" s="136">
        <f>(IF((VLOOKUP(Table8[[#This Row],[SKU]],'All Skus'!$A:$AC,2,FALSE))="Cinema",(VLOOKUP(Table8[[#This Row],[SKU]],'All Skus'!$A:$AC,20,FALSE)),""))</f>
        <v>0</v>
      </c>
      <c r="Q53" s="136">
        <f>(IF((VLOOKUP(Table8[[#This Row],[SKU]],'All Skus'!$A:$AC,2,FALSE))="Cinema",(VLOOKUP(Table8[[#This Row],[SKU]],'All Skus'!$A:$AC,21,FALSE)),""))</f>
        <v>0</v>
      </c>
      <c r="R53" s="61">
        <f>(IF((VLOOKUP(Table8[[#This Row],[SKU]],'All Skus'!$A:$AC,2,FALSE))="Cinema",(VLOOKUP(Table8[[#This Row],[SKU]],'All Skus'!$A:$AC,22,FALSE)),""))</f>
        <v>0</v>
      </c>
      <c r="S53">
        <f>(IF((VLOOKUP(Table8[[#This Row],[SKU]],'All Skus'!$A:$AC,2,FALSE))="Cinema",(VLOOKUP(Table8[[#This Row],[SKU]],'All Skus'!$A:$AC,23,FALSE)),""))</f>
        <v>0</v>
      </c>
      <c r="T53" s="76" t="str">
        <f>HYPERLINK((IF((VLOOKUP(Table8[[#This Row],[SKU]],'All Skus'!$A:$AC,2,FALSE))="Cinema",(VLOOKUP(Table8[[#This Row],[SKU]],'All Skus'!$A:$AC,24,FALSE)),"")))</f>
        <v/>
      </c>
      <c r="U53" s="151">
        <v>51</v>
      </c>
    </row>
    <row r="54" spans="1:21" ht="15" customHeight="1">
      <c r="A54" s="13" t="s">
        <v>1930</v>
      </c>
      <c r="B54" s="12" t="str">
        <f>(IF((VLOOKUP(Table8[[#This Row],[SKU]],'All Skus'!$A:$AC,2,FALSE))="Cinema",(VLOOKUP(Table8[[#This Row],[SKU]],'All Skus'!$A:$AC,3,FALSE)),""))</f>
        <v>Amplifier</v>
      </c>
      <c r="C54" s="146">
        <f>(IF((VLOOKUP(Table8[[#This Row],[SKU]],'All Skus'!$A:$AC,2,FALSE))="Cinema",(VLOOKUP(Table8[[#This Row],[SKU]],'All Skus'!$A:$AC,4,FALSE)),""))</f>
        <v>0</v>
      </c>
      <c r="D54" s="61" t="str">
        <f>(IF((VLOOKUP(Table8[[#This Row],[SKU]],'All Skus'!$A:$AC,2,FALSE))="Cinema",(VLOOKUP(Table8[[#This Row],[SKU]],'All Skus'!$A:$AC,5,FALSE)),""))</f>
        <v>JBL030</v>
      </c>
      <c r="E54" s="61">
        <f>(IF((VLOOKUP(Table8[[#This Row],[SKU]],'All Skus'!$A:$AC,2,FALSE))="Cinema",(VLOOKUP(Table8[[#This Row],[SKU]],'All Skus'!$A:$AC,6,FALSE)),""))</f>
        <v>0</v>
      </c>
      <c r="F54">
        <f>(IF((VLOOKUP(Table8[[#This Row],[SKU]],'All Skus'!$A:$AC,2,FALSE))="Cinema",(VLOOKUP(Table8[[#This Row],[SKU]],'All Skus'!$A:$AC,7,FALSE)),""))</f>
        <v>0</v>
      </c>
      <c r="G54" s="7" t="str">
        <f>(IF((VLOOKUP(Table8[[#This Row],[SKU]],'All Skus'!$A:$AC,2,FALSE))="Cinema",(VLOOKUP(Table8[[#This Row],[SKU]],'All Skus'!$A:$AC,8,FALSE)),""))</f>
        <v>CPI2000</v>
      </c>
      <c r="H54" s="8" t="str">
        <f>(IF((VLOOKUP(Table8[[#This Row],[SKU]],'All Skus'!$A:$AC,2,FALSE))="Cinema",(VLOOKUP(Table8[[#This Row],[SKU]],'All Skus'!$A:$AC,9,FALSE)),""))</f>
        <v>CPI2000</v>
      </c>
      <c r="I54" s="89">
        <f>(IF((VLOOKUP(Table8[[#This Row],[SKU]],'All Skus'!$A:$AC,2,FALSE))="Cinema",(VLOOKUP(Table8[[#This Row],[SKU]],'All Skus'!$A:$AC,10,FALSE)),""))</f>
        <v>2881.12</v>
      </c>
      <c r="J54" s="89">
        <f>(IF((VLOOKUP(Table8[[#This Row],[SKU]],'All Skus'!$A:$AC,2,FALSE))="Cinema",(VLOOKUP(Table8[[#This Row],[SKU]],'All Skus'!$A:$AC,11,FALSE)),""))</f>
        <v>2881</v>
      </c>
      <c r="K54" s="135">
        <f>(IF((VLOOKUP(Table8[[#This Row],[SKU]],'All Skus'!$A:$AC,2,FALSE))="Cinema",(VLOOKUP(Table8[[#This Row],[SKU]],'All Skus'!$A:$AC,15,FALSE)),""))</f>
        <v>0</v>
      </c>
      <c r="L54" s="137">
        <f>(IF((VLOOKUP(Table8[[#This Row],[SKU]],'All Skus'!$A:$AC,2,FALSE))="Cinema",(VLOOKUP(Table8[[#This Row],[SKU]],'All Skus'!$A:$AC,16,FALSE)),""))</f>
        <v>691991015694</v>
      </c>
      <c r="M54" s="61">
        <f>(IF((VLOOKUP(Table8[[#This Row],[SKU]],'All Skus'!$A:$AC,2,FALSE))="Cinema",(VLOOKUP(Table8[[#This Row],[SKU]],'All Skus'!$A:$AC,17,FALSE)),""))</f>
        <v>0</v>
      </c>
      <c r="N54" s="136">
        <f>(IF((VLOOKUP(Table8[[#This Row],[SKU]],'All Skus'!$A:$AC,2,FALSE))="Cinema",(VLOOKUP(Table8[[#This Row],[SKU]],'All Skus'!$A:$AC,18,FALSE)),""))</f>
        <v>0</v>
      </c>
      <c r="O54" s="136">
        <f>(IF((VLOOKUP(Table8[[#This Row],[SKU]],'All Skus'!$A:$AC,2,FALSE))="Cinema",(VLOOKUP(Table8[[#This Row],[SKU]],'All Skus'!$A:$AC,19,FALSE)),""))</f>
        <v>0</v>
      </c>
      <c r="P54" s="136">
        <f>(IF((VLOOKUP(Table8[[#This Row],[SKU]],'All Skus'!$A:$AC,2,FALSE))="Cinema",(VLOOKUP(Table8[[#This Row],[SKU]],'All Skus'!$A:$AC,20,FALSE)),""))</f>
        <v>0</v>
      </c>
      <c r="Q54" s="136">
        <f>(IF((VLOOKUP(Table8[[#This Row],[SKU]],'All Skus'!$A:$AC,2,FALSE))="Cinema",(VLOOKUP(Table8[[#This Row],[SKU]],'All Skus'!$A:$AC,21,FALSE)),""))</f>
        <v>0</v>
      </c>
      <c r="R54" s="61">
        <f>(IF((VLOOKUP(Table8[[#This Row],[SKU]],'All Skus'!$A:$AC,2,FALSE))="Cinema",(VLOOKUP(Table8[[#This Row],[SKU]],'All Skus'!$A:$AC,22,FALSE)),""))</f>
        <v>0</v>
      </c>
      <c r="S54">
        <f>(IF((VLOOKUP(Table8[[#This Row],[SKU]],'All Skus'!$A:$AC,2,FALSE))="Cinema",(VLOOKUP(Table8[[#This Row],[SKU]],'All Skus'!$A:$AC,23,FALSE)),""))</f>
        <v>0</v>
      </c>
      <c r="T54" s="76" t="str">
        <f>HYPERLINK((IF((VLOOKUP(Table8[[#This Row],[SKU]],'All Skus'!$A:$AC,2,FALSE))="Cinema",(VLOOKUP(Table8[[#This Row],[SKU]],'All Skus'!$A:$AC,24,FALSE)),"")))</f>
        <v/>
      </c>
      <c r="U54" s="151">
        <v>52</v>
      </c>
    </row>
    <row r="55" spans="1:21" ht="15" customHeight="1">
      <c r="A55" s="13" t="s">
        <v>1931</v>
      </c>
      <c r="B55" s="12" t="str">
        <f>(IF((VLOOKUP(Table8[[#This Row],[SKU]],'All Skus'!$A:$AC,2,FALSE))="Cinema",(VLOOKUP(Table8[[#This Row],[SKU]],'All Skus'!$A:$AC,3,FALSE)),""))</f>
        <v>Dsi Series</v>
      </c>
      <c r="C55" s="146" t="str">
        <f>(IF((VLOOKUP(Table8[[#This Row],[SKU]],'All Skus'!$A:$AC,2,FALSE))="Cinema",(VLOOKUP(Table8[[#This Row],[SKU]],'All Skus'!$A:$AC,4,FALSE)),""))</f>
        <v>NDSI8MN</v>
      </c>
      <c r="D55" s="61" t="str">
        <f>(IF((VLOOKUP(Table8[[#This Row],[SKU]],'All Skus'!$A:$AC,2,FALSE))="Cinema",(VLOOKUP(Table8[[#This Row],[SKU]],'All Skus'!$A:$AC,5,FALSE)),""))</f>
        <v>DSI</v>
      </c>
      <c r="E55" s="61">
        <f>(IF((VLOOKUP(Table8[[#This Row],[SKU]],'All Skus'!$A:$AC,2,FALSE))="Cinema",(VLOOKUP(Table8[[#This Row],[SKU]],'All Skus'!$A:$AC,6,FALSE)),""))</f>
        <v>0</v>
      </c>
      <c r="F55">
        <f>(IF((VLOOKUP(Table8[[#This Row],[SKU]],'All Skus'!$A:$AC,2,FALSE))="Cinema",(VLOOKUP(Table8[[#This Row],[SKU]],'All Skus'!$A:$AC,7,FALSE)),""))</f>
        <v>0</v>
      </c>
      <c r="G55" s="7" t="str">
        <f>(IF((VLOOKUP(Table8[[#This Row],[SKU]],'All Skus'!$A:$AC,2,FALSE))="Cinema",(VLOOKUP(Table8[[#This Row],[SKU]],'All Skus'!$A:$AC,8,FALSE)),""))</f>
        <v>Cinema System Monitor</v>
      </c>
      <c r="H55" s="8" t="str">
        <f>(IF((VLOOKUP(Table8[[#This Row],[SKU]],'All Skus'!$A:$AC,2,FALSE))="Cinema",(VLOOKUP(Table8[[#This Row],[SKU]],'All Skus'!$A:$AC,9,FALSE)),""))</f>
        <v>Cinema System Monitor with Network</v>
      </c>
      <c r="I55" s="89">
        <f>(IF((VLOOKUP(Table8[[#This Row],[SKU]],'All Skus'!$A:$AC,2,FALSE))="Cinema",(VLOOKUP(Table8[[#This Row],[SKU]],'All Skus'!$A:$AC,10,FALSE)),""))</f>
        <v>3101.88</v>
      </c>
      <c r="J55" s="89">
        <f>(IF((VLOOKUP(Table8[[#This Row],[SKU]],'All Skus'!$A:$AC,2,FALSE))="Cinema",(VLOOKUP(Table8[[#This Row],[SKU]],'All Skus'!$A:$AC,11,FALSE)),""))</f>
        <v>3101.88</v>
      </c>
      <c r="K55" s="135">
        <f>(IF((VLOOKUP(Table8[[#This Row],[SKU]],'All Skus'!$A:$AC,2,FALSE))="Cinema",(VLOOKUP(Table8[[#This Row],[SKU]],'All Skus'!$A:$AC,15,FALSE)),""))</f>
        <v>0</v>
      </c>
      <c r="L55" s="137">
        <f>(IF((VLOOKUP(Table8[[#This Row],[SKU]],'All Skus'!$A:$AC,2,FALSE))="Cinema",(VLOOKUP(Table8[[#This Row],[SKU]],'All Skus'!$A:$AC,16,FALSE)),""))</f>
        <v>691991001338</v>
      </c>
      <c r="M55" s="61">
        <f>(IF((VLOOKUP(Table8[[#This Row],[SKU]],'All Skus'!$A:$AC,2,FALSE))="Cinema",(VLOOKUP(Table8[[#This Row],[SKU]],'All Skus'!$A:$AC,17,FALSE)),""))</f>
        <v>0</v>
      </c>
      <c r="N55" s="136">
        <f>(IF((VLOOKUP(Table8[[#This Row],[SKU]],'All Skus'!$A:$AC,2,FALSE))="Cinema",(VLOOKUP(Table8[[#This Row],[SKU]],'All Skus'!$A:$AC,18,FALSE)),""))</f>
        <v>0</v>
      </c>
      <c r="O55" s="136">
        <f>(IF((VLOOKUP(Table8[[#This Row],[SKU]],'All Skus'!$A:$AC,2,FALSE))="Cinema",(VLOOKUP(Table8[[#This Row],[SKU]],'All Skus'!$A:$AC,19,FALSE)),""))</f>
        <v>0</v>
      </c>
      <c r="P55" s="136">
        <f>(IF((VLOOKUP(Table8[[#This Row],[SKU]],'All Skus'!$A:$AC,2,FALSE))="Cinema",(VLOOKUP(Table8[[#This Row],[SKU]],'All Skus'!$A:$AC,20,FALSE)),""))</f>
        <v>0</v>
      </c>
      <c r="Q55" s="136">
        <f>(IF((VLOOKUP(Table8[[#This Row],[SKU]],'All Skus'!$A:$AC,2,FALSE))="Cinema",(VLOOKUP(Table8[[#This Row],[SKU]],'All Skus'!$A:$AC,21,FALSE)),""))</f>
        <v>0</v>
      </c>
      <c r="R55" s="61">
        <f>(IF((VLOOKUP(Table8[[#This Row],[SKU]],'All Skus'!$A:$AC,2,FALSE))="Cinema",(VLOOKUP(Table8[[#This Row],[SKU]],'All Skus'!$A:$AC,22,FALSE)),""))</f>
        <v>0</v>
      </c>
      <c r="S55">
        <f>(IF((VLOOKUP(Table8[[#This Row],[SKU]],'All Skus'!$A:$AC,2,FALSE))="Cinema",(VLOOKUP(Table8[[#This Row],[SKU]],'All Skus'!$A:$AC,23,FALSE)),""))</f>
        <v>0</v>
      </c>
      <c r="T55" s="76" t="str">
        <f>HYPERLINK((IF((VLOOKUP(Table8[[#This Row],[SKU]],'All Skus'!$A:$AC,2,FALSE))="Cinema",(VLOOKUP(Table8[[#This Row],[SKU]],'All Skus'!$A:$AC,24,FALSE)),"")))</f>
        <v/>
      </c>
      <c r="U55" s="151">
        <v>53</v>
      </c>
    </row>
    <row r="56" spans="1:21" ht="15" customHeight="1">
      <c r="A56" s="103" t="s">
        <v>1932</v>
      </c>
      <c r="B56" s="12">
        <f>(IF((VLOOKUP(Table8[[#This Row],[SKU]],'All Skus'!$A:$AC,2,FALSE))="Cinema",(VLOOKUP(Table8[[#This Row],[SKU]],'All Skus'!$A:$AC,3,FALSE)),""))</f>
        <v>0</v>
      </c>
      <c r="C56" s="146">
        <f>(IF((VLOOKUP(Table8[[#This Row],[SKU]],'All Skus'!$A:$AC,2,FALSE))="Cinema",(VLOOKUP(Table8[[#This Row],[SKU]],'All Skus'!$A:$AC,4,FALSE)),""))</f>
        <v>0</v>
      </c>
      <c r="D56" s="61" t="str">
        <f>(IF((VLOOKUP(Table8[[#This Row],[SKU]],'All Skus'!$A:$AC,2,FALSE))="Cinema",(VLOOKUP(Table8[[#This Row],[SKU]],'All Skus'!$A:$AC,5,FALSE)),""))</f>
        <v>JBL030</v>
      </c>
      <c r="E56" s="61">
        <f>(IF((VLOOKUP(Table8[[#This Row],[SKU]],'All Skus'!$A:$AC,2,FALSE))="Cinema",(VLOOKUP(Table8[[#This Row],[SKU]],'All Skus'!$A:$AC,6,FALSE)),""))</f>
        <v>0</v>
      </c>
      <c r="F56">
        <f>(IF((VLOOKUP(Table8[[#This Row],[SKU]],'All Skus'!$A:$AC,2,FALSE))="Cinema",(VLOOKUP(Table8[[#This Row],[SKU]],'All Skus'!$A:$AC,7,FALSE)),""))</f>
        <v>0</v>
      </c>
      <c r="G56" s="7" t="str">
        <f>(IF((VLOOKUP(Table8[[#This Row],[SKU]],'All Skus'!$A:$AC,2,FALSE))="Cinema",(VLOOKUP(Table8[[#This Row],[SKU]],'All Skus'!$A:$AC,8,FALSE)),""))</f>
        <v>Singe 18" 4 Ω Subwoofer - Fly able</v>
      </c>
      <c r="H56" s="8" t="str">
        <f>(IF((VLOOKUP(Table8[[#This Row],[SKU]],'All Skus'!$A:$AC,2,FALSE))="Cinema",(VLOOKUP(Table8[[#This Row],[SKU]],'All Skus'!$A:$AC,9,FALSE)),""))</f>
        <v>Singe 18" 4 Ω Subwoofer - Fly able</v>
      </c>
      <c r="I56" s="89">
        <f>(IF((VLOOKUP(Table8[[#This Row],[SKU]],'All Skus'!$A:$AC,2,FALSE))="Cinema",(VLOOKUP(Table8[[#This Row],[SKU]],'All Skus'!$A:$AC,10,FALSE)),""))</f>
        <v>630.24</v>
      </c>
      <c r="J56" s="89">
        <f>(IF((VLOOKUP(Table8[[#This Row],[SKU]],'All Skus'!$A:$AC,2,FALSE))="Cinema",(VLOOKUP(Table8[[#This Row],[SKU]],'All Skus'!$A:$AC,11,FALSE)),""))</f>
        <v>630.24</v>
      </c>
      <c r="K56" s="135">
        <f>(IF((VLOOKUP(Table8[[#This Row],[SKU]],'All Skus'!$A:$AC,2,FALSE))="Cinema",(VLOOKUP(Table8[[#This Row],[SKU]],'All Skus'!$A:$AC,15,FALSE)),""))</f>
        <v>0</v>
      </c>
      <c r="L56" s="137">
        <f>(IF((VLOOKUP(Table8[[#This Row],[SKU]],'All Skus'!$A:$AC,2,FALSE))="Cinema",(VLOOKUP(Table8[[#This Row],[SKU]],'All Skus'!$A:$AC,16,FALSE)),""))</f>
        <v>691991033919</v>
      </c>
      <c r="M56" s="61">
        <f>(IF((VLOOKUP(Table8[[#This Row],[SKU]],'All Skus'!$A:$AC,2,FALSE))="Cinema",(VLOOKUP(Table8[[#This Row],[SKU]],'All Skus'!$A:$AC,17,FALSE)),""))</f>
        <v>0</v>
      </c>
      <c r="N56" s="136">
        <f>(IF((VLOOKUP(Table8[[#This Row],[SKU]],'All Skus'!$A:$AC,2,FALSE))="Cinema",(VLOOKUP(Table8[[#This Row],[SKU]],'All Skus'!$A:$AC,18,FALSE)),""))</f>
        <v>0</v>
      </c>
      <c r="O56" s="136">
        <f>(IF((VLOOKUP(Table8[[#This Row],[SKU]],'All Skus'!$A:$AC,2,FALSE))="Cinema",(VLOOKUP(Table8[[#This Row],[SKU]],'All Skus'!$A:$AC,19,FALSE)),""))</f>
        <v>0</v>
      </c>
      <c r="P56" s="136">
        <f>(IF((VLOOKUP(Table8[[#This Row],[SKU]],'All Skus'!$A:$AC,2,FALSE))="Cinema",(VLOOKUP(Table8[[#This Row],[SKU]],'All Skus'!$A:$AC,20,FALSE)),""))</f>
        <v>0</v>
      </c>
      <c r="Q56" s="136">
        <f>(IF((VLOOKUP(Table8[[#This Row],[SKU]],'All Skus'!$A:$AC,2,FALSE))="Cinema",(VLOOKUP(Table8[[#This Row],[SKU]],'All Skus'!$A:$AC,21,FALSE)),""))</f>
        <v>0</v>
      </c>
      <c r="R56" s="61">
        <f>(IF((VLOOKUP(Table8[[#This Row],[SKU]],'All Skus'!$A:$AC,2,FALSE))="Cinema",(VLOOKUP(Table8[[#This Row],[SKU]],'All Skus'!$A:$AC,22,FALSE)),""))</f>
        <v>0</v>
      </c>
      <c r="S56">
        <f>(IF((VLOOKUP(Table8[[#This Row],[SKU]],'All Skus'!$A:$AC,2,FALSE))="Cinema",(VLOOKUP(Table8[[#This Row],[SKU]],'All Skus'!$A:$AC,23,FALSE)),""))</f>
        <v>0</v>
      </c>
      <c r="T56" s="76" t="str">
        <f>HYPERLINK((IF((VLOOKUP(Table8[[#This Row],[SKU]],'All Skus'!$A:$AC,2,FALSE))="Cinema",(VLOOKUP(Table8[[#This Row],[SKU]],'All Skus'!$A:$AC,24,FALSE)),"")))</f>
        <v/>
      </c>
      <c r="U56" s="151">
        <v>54</v>
      </c>
    </row>
    <row r="57" spans="1:21" ht="15" customHeight="1">
      <c r="A57" s="103" t="s">
        <v>1933</v>
      </c>
      <c r="B57" s="12">
        <f>(IF((VLOOKUP(Table8[[#This Row],[SKU]],'All Skus'!$A:$AC,2,FALSE))="Cinema",(VLOOKUP(Table8[[#This Row],[SKU]],'All Skus'!$A:$AC,3,FALSE)),""))</f>
        <v>0</v>
      </c>
      <c r="C57" s="146">
        <f>(IF((VLOOKUP(Table8[[#This Row],[SKU]],'All Skus'!$A:$AC,2,FALSE))="Cinema",(VLOOKUP(Table8[[#This Row],[SKU]],'All Skus'!$A:$AC,4,FALSE)),""))</f>
        <v>0</v>
      </c>
      <c r="D57" s="61" t="str">
        <f>(IF((VLOOKUP(Table8[[#This Row],[SKU]],'All Skus'!$A:$AC,2,FALSE))="Cinema",(VLOOKUP(Table8[[#This Row],[SKU]],'All Skus'!$A:$AC,5,FALSE)),""))</f>
        <v>JBL030</v>
      </c>
      <c r="E57" s="61">
        <f>(IF((VLOOKUP(Table8[[#This Row],[SKU]],'All Skus'!$A:$AC,2,FALSE))="Cinema",(VLOOKUP(Table8[[#This Row],[SKU]],'All Skus'!$A:$AC,6,FALSE)),""))</f>
        <v>0</v>
      </c>
      <c r="F57">
        <f>(IF((VLOOKUP(Table8[[#This Row],[SKU]],'All Skus'!$A:$AC,2,FALSE))="Cinema",(VLOOKUP(Table8[[#This Row],[SKU]],'All Skus'!$A:$AC,7,FALSE)),""))</f>
        <v>0</v>
      </c>
      <c r="G57" s="7" t="str">
        <f>(IF((VLOOKUP(Table8[[#This Row],[SKU]],'All Skus'!$A:$AC,2,FALSE))="Cinema",(VLOOKUP(Table8[[#This Row],[SKU]],'All Skus'!$A:$AC,8,FALSE)),""))</f>
        <v>Dual 18" 4 Ω Subwoofer - Fly able</v>
      </c>
      <c r="H57" s="8" t="str">
        <f>(IF((VLOOKUP(Table8[[#This Row],[SKU]],'All Skus'!$A:$AC,2,FALSE))="Cinema",(VLOOKUP(Table8[[#This Row],[SKU]],'All Skus'!$A:$AC,9,FALSE)),""))</f>
        <v>Dual 18" 4 Ω Subwoofer - Fly able</v>
      </c>
      <c r="I57" s="89">
        <f>(IF((VLOOKUP(Table8[[#This Row],[SKU]],'All Skus'!$A:$AC,2,FALSE))="Cinema",(VLOOKUP(Table8[[#This Row],[SKU]],'All Skus'!$A:$AC,10,FALSE)),""))</f>
        <v>1200.47</v>
      </c>
      <c r="J57" s="89">
        <f>(IF((VLOOKUP(Table8[[#This Row],[SKU]],'All Skus'!$A:$AC,2,FALSE))="Cinema",(VLOOKUP(Table8[[#This Row],[SKU]],'All Skus'!$A:$AC,11,FALSE)),""))</f>
        <v>1200.47</v>
      </c>
      <c r="K57" s="135">
        <f>(IF((VLOOKUP(Table8[[#This Row],[SKU]],'All Skus'!$A:$AC,2,FALSE))="Cinema",(VLOOKUP(Table8[[#This Row],[SKU]],'All Skus'!$A:$AC,15,FALSE)),""))</f>
        <v>0</v>
      </c>
      <c r="L57" s="137">
        <f>(IF((VLOOKUP(Table8[[#This Row],[SKU]],'All Skus'!$A:$AC,2,FALSE))="Cinema",(VLOOKUP(Table8[[#This Row],[SKU]],'All Skus'!$A:$AC,16,FALSE)),""))</f>
        <v>691991033933</v>
      </c>
      <c r="M57" s="61">
        <f>(IF((VLOOKUP(Table8[[#This Row],[SKU]],'All Skus'!$A:$AC,2,FALSE))="Cinema",(VLOOKUP(Table8[[#This Row],[SKU]],'All Skus'!$A:$AC,17,FALSE)),""))</f>
        <v>0</v>
      </c>
      <c r="N57" s="136">
        <f>(IF((VLOOKUP(Table8[[#This Row],[SKU]],'All Skus'!$A:$AC,2,FALSE))="Cinema",(VLOOKUP(Table8[[#This Row],[SKU]],'All Skus'!$A:$AC,18,FALSE)),""))</f>
        <v>0</v>
      </c>
      <c r="O57" s="136">
        <f>(IF((VLOOKUP(Table8[[#This Row],[SKU]],'All Skus'!$A:$AC,2,FALSE))="Cinema",(VLOOKUP(Table8[[#This Row],[SKU]],'All Skus'!$A:$AC,19,FALSE)),""))</f>
        <v>0</v>
      </c>
      <c r="P57" s="136">
        <f>(IF((VLOOKUP(Table8[[#This Row],[SKU]],'All Skus'!$A:$AC,2,FALSE))="Cinema",(VLOOKUP(Table8[[#This Row],[SKU]],'All Skus'!$A:$AC,20,FALSE)),""))</f>
        <v>0</v>
      </c>
      <c r="Q57" s="136">
        <f>(IF((VLOOKUP(Table8[[#This Row],[SKU]],'All Skus'!$A:$AC,2,FALSE))="Cinema",(VLOOKUP(Table8[[#This Row],[SKU]],'All Skus'!$A:$AC,21,FALSE)),""))</f>
        <v>0</v>
      </c>
      <c r="R57" s="61">
        <f>(IF((VLOOKUP(Table8[[#This Row],[SKU]],'All Skus'!$A:$AC,2,FALSE))="Cinema",(VLOOKUP(Table8[[#This Row],[SKU]],'All Skus'!$A:$AC,22,FALSE)),""))</f>
        <v>0</v>
      </c>
      <c r="S57">
        <f>(IF((VLOOKUP(Table8[[#This Row],[SKU]],'All Skus'!$A:$AC,2,FALSE))="Cinema",(VLOOKUP(Table8[[#This Row],[SKU]],'All Skus'!$A:$AC,23,FALSE)),""))</f>
        <v>0</v>
      </c>
      <c r="T57" s="76" t="str">
        <f>HYPERLINK((IF((VLOOKUP(Table8[[#This Row],[SKU]],'All Skus'!$A:$AC,2,FALSE))="Cinema",(VLOOKUP(Table8[[#This Row],[SKU]],'All Skus'!$A:$AC,24,FALSE)),"")))</f>
        <v/>
      </c>
      <c r="U57" s="151">
        <v>55</v>
      </c>
    </row>
    <row r="58" spans="1:21" ht="14.65" customHeight="1">
      <c r="A58" s="13" t="s">
        <v>1934</v>
      </c>
      <c r="B58" s="12" t="str">
        <f>(IF((VLOOKUP(Table8[[#This Row],[SKU]],'All Skus'!$A:$AC,2,FALSE))="Cinema",(VLOOKUP(Table8[[#This Row],[SKU]],'All Skus'!$A:$AC,3,FALSE)),""))</f>
        <v>Amplifier</v>
      </c>
      <c r="C58" s="146" t="str">
        <f>(IF((VLOOKUP(Table8[[#This Row],[SKU]],'All Skus'!$A:$AC,2,FALSE))="Cinema",(VLOOKUP(Table8[[#This Row],[SKU]],'All Skus'!$A:$AC,4,FALSE)),""))</f>
        <v>NXLC21300-0-US</v>
      </c>
      <c r="D58" s="61" t="str">
        <f>(IF((VLOOKUP(Table8[[#This Row],[SKU]],'All Skus'!$A:$AC,2,FALSE))="Cinema",(VLOOKUP(Table8[[#This Row],[SKU]],'All Skus'!$A:$AC,5,FALSE)),""))</f>
        <v>XLC</v>
      </c>
      <c r="E58" s="61">
        <f>(IF((VLOOKUP(Table8[[#This Row],[SKU]],'All Skus'!$A:$AC,2,FALSE))="Cinema",(VLOOKUP(Table8[[#This Row],[SKU]],'All Skus'!$A:$AC,6,FALSE)),""))</f>
        <v>0</v>
      </c>
      <c r="F58">
        <f>(IF((VLOOKUP(Table8[[#This Row],[SKU]],'All Skus'!$A:$AC,2,FALSE))="Cinema",(VLOOKUP(Table8[[#This Row],[SKU]],'All Skus'!$A:$AC,7,FALSE)),""))</f>
        <v>0</v>
      </c>
      <c r="G58" s="7" t="str">
        <f>(IF((VLOOKUP(Table8[[#This Row],[SKU]],'All Skus'!$A:$AC,2,FALSE))="Cinema",(VLOOKUP(Table8[[#This Row],[SKU]],'All Skus'!$A:$AC,8,FALSE)),""))</f>
        <v>2 x 1300W @ 4Ω Amplifier</v>
      </c>
      <c r="H58" s="8" t="str">
        <f>(IF((VLOOKUP(Table8[[#This Row],[SKU]],'All Skus'!$A:$AC,2,FALSE))="Cinema",(VLOOKUP(Table8[[#This Row],[SKU]],'All Skus'!$A:$AC,9,FALSE)),""))</f>
        <v>2 x 1300W @ 4Ω Amplifier Made to Order</v>
      </c>
      <c r="I58" s="89">
        <f>(IF((VLOOKUP(Table8[[#This Row],[SKU]],'All Skus'!$A:$AC,2,FALSE))="Cinema",(VLOOKUP(Table8[[#This Row],[SKU]],'All Skus'!$A:$AC,10,FALSE)),""))</f>
        <v>1680.65</v>
      </c>
      <c r="J58" s="89">
        <f>(IF((VLOOKUP(Table8[[#This Row],[SKU]],'All Skus'!$A:$AC,2,FALSE))="Cinema",(VLOOKUP(Table8[[#This Row],[SKU]],'All Skus'!$A:$AC,11,FALSE)),""))</f>
        <v>1680.65</v>
      </c>
      <c r="K58" s="135">
        <f>(IF((VLOOKUP(Table8[[#This Row],[SKU]],'All Skus'!$A:$AC,2,FALSE))="Cinema",(VLOOKUP(Table8[[#This Row],[SKU]],'All Skus'!$A:$AC,15,FALSE)),""))</f>
        <v>0</v>
      </c>
      <c r="L58" s="137">
        <f>(IF((VLOOKUP(Table8[[#This Row],[SKU]],'All Skus'!$A:$AC,2,FALSE))="Cinema",(VLOOKUP(Table8[[#This Row],[SKU]],'All Skus'!$A:$AC,16,FALSE)),""))</f>
        <v>691991033940</v>
      </c>
      <c r="M58" s="61">
        <f>(IF((VLOOKUP(Table8[[#This Row],[SKU]],'All Skus'!$A:$AC,2,FALSE))="Cinema",(VLOOKUP(Table8[[#This Row],[SKU]],'All Skus'!$A:$AC,17,FALSE)),""))</f>
        <v>0</v>
      </c>
      <c r="N58" s="136">
        <f>(IF((VLOOKUP(Table8[[#This Row],[SKU]],'All Skus'!$A:$AC,2,FALSE))="Cinema",(VLOOKUP(Table8[[#This Row],[SKU]],'All Skus'!$A:$AC,18,FALSE)),""))</f>
        <v>0</v>
      </c>
      <c r="O58" s="136">
        <f>(IF((VLOOKUP(Table8[[#This Row],[SKU]],'All Skus'!$A:$AC,2,FALSE))="Cinema",(VLOOKUP(Table8[[#This Row],[SKU]],'All Skus'!$A:$AC,19,FALSE)),""))</f>
        <v>0</v>
      </c>
      <c r="P58" s="136">
        <f>(IF((VLOOKUP(Table8[[#This Row],[SKU]],'All Skus'!$A:$AC,2,FALSE))="Cinema",(VLOOKUP(Table8[[#This Row],[SKU]],'All Skus'!$A:$AC,20,FALSE)),""))</f>
        <v>0</v>
      </c>
      <c r="Q58" s="136">
        <f>(IF((VLOOKUP(Table8[[#This Row],[SKU]],'All Skus'!$A:$AC,2,FALSE))="Cinema",(VLOOKUP(Table8[[#This Row],[SKU]],'All Skus'!$A:$AC,21,FALSE)),""))</f>
        <v>0</v>
      </c>
      <c r="R58" s="61" t="str">
        <f>(IF((VLOOKUP(Table8[[#This Row],[SKU]],'All Skus'!$A:$AC,2,FALSE))="Cinema",(VLOOKUP(Table8[[#This Row],[SKU]],'All Skus'!$A:$AC,22,FALSE)),""))</f>
        <v>CN</v>
      </c>
      <c r="S58">
        <f>(IF((VLOOKUP(Table8[[#This Row],[SKU]],'All Skus'!$A:$AC,2,FALSE))="Cinema",(VLOOKUP(Table8[[#This Row],[SKU]],'All Skus'!$A:$AC,23,FALSE)),""))</f>
        <v>0</v>
      </c>
      <c r="T58" s="76" t="str">
        <f>HYPERLINK((IF((VLOOKUP(Table8[[#This Row],[SKU]],'All Skus'!$A:$AC,2,FALSE))="Cinema",(VLOOKUP(Table8[[#This Row],[SKU]],'All Skus'!$A:$AC,24,FALSE)),"")))</f>
        <v/>
      </c>
      <c r="U58" s="151">
        <v>56</v>
      </c>
    </row>
    <row r="59" spans="1:21" ht="14.65" customHeight="1">
      <c r="A59" s="13" t="s">
        <v>1935</v>
      </c>
      <c r="B59" s="12" t="str">
        <f>(IF((VLOOKUP(Table8[[#This Row],[SKU]],'All Skus'!$A:$AC,2,FALSE))="Cinema",(VLOOKUP(Table8[[#This Row],[SKU]],'All Skus'!$A:$AC,3,FALSE)),""))</f>
        <v>XLC</v>
      </c>
      <c r="C59" s="146" t="str">
        <f>(IF((VLOOKUP(Table8[[#This Row],[SKU]],'All Skus'!$A:$AC,2,FALSE))="Cinema",(VLOOKUP(Table8[[#This Row],[SKU]],'All Skus'!$A:$AC,4,FALSE)),""))</f>
        <v xml:space="preserve">XLC2500 </v>
      </c>
      <c r="D59" s="61" t="str">
        <f>(IF((VLOOKUP(Table8[[#This Row],[SKU]],'All Skus'!$A:$AC,2,FALSE))="Cinema",(VLOOKUP(Table8[[#This Row],[SKU]],'All Skus'!$A:$AC,5,FALSE)),""))</f>
        <v>XLC</v>
      </c>
      <c r="E59" s="61">
        <f>(IF((VLOOKUP(Table8[[#This Row],[SKU]],'All Skus'!$A:$AC,2,FALSE))="Cinema",(VLOOKUP(Table8[[#This Row],[SKU]],'All Skus'!$A:$AC,6,FALSE)),""))</f>
        <v>0</v>
      </c>
      <c r="F59">
        <f>(IF((VLOOKUP(Table8[[#This Row],[SKU]],'All Skus'!$A:$AC,2,FALSE))="Cinema",(VLOOKUP(Table8[[#This Row],[SKU]],'All Skus'!$A:$AC,7,FALSE)),""))</f>
        <v>0</v>
      </c>
      <c r="G59" s="7" t="str">
        <f>(IF((VLOOKUP(Table8[[#This Row],[SKU]],'All Skus'!$A:$AC,2,FALSE))="Cinema",(VLOOKUP(Table8[[#This Row],[SKU]],'All Skus'!$A:$AC,8,FALSE)),""))</f>
        <v>2x500W Cinema Amplifier w/o DSP</v>
      </c>
      <c r="H59" s="8" t="str">
        <f>(IF((VLOOKUP(Table8[[#This Row],[SKU]],'All Skus'!$A:$AC,2,FALSE))="Cinema",(VLOOKUP(Table8[[#This Row],[SKU]],'All Skus'!$A:$AC,9,FALSE)),""))</f>
        <v>2x500W Cinema Amplifier w/o DSP</v>
      </c>
      <c r="I59" s="89">
        <f>(IF((VLOOKUP(Table8[[#This Row],[SKU]],'All Skus'!$A:$AC,2,FALSE))="Cinema",(VLOOKUP(Table8[[#This Row],[SKU]],'All Skus'!$A:$AC,10,FALSE)),""))</f>
        <v>855.11</v>
      </c>
      <c r="J59" s="89">
        <f>(IF((VLOOKUP(Table8[[#This Row],[SKU]],'All Skus'!$A:$AC,2,FALSE))="Cinema",(VLOOKUP(Table8[[#This Row],[SKU]],'All Skus'!$A:$AC,11,FALSE)),""))</f>
        <v>855.11</v>
      </c>
      <c r="K59" s="135">
        <f>(IF((VLOOKUP(Table8[[#This Row],[SKU]],'All Skus'!$A:$AC,2,FALSE))="Cinema",(VLOOKUP(Table8[[#This Row],[SKU]],'All Skus'!$A:$AC,15,FALSE)),""))</f>
        <v>1</v>
      </c>
      <c r="L59" s="137">
        <f>(IF((VLOOKUP(Table8[[#This Row],[SKU]],'All Skus'!$A:$AC,2,FALSE))="Cinema",(VLOOKUP(Table8[[#This Row],[SKU]],'All Skus'!$A:$AC,16,FALSE)),""))</f>
        <v>871015007762</v>
      </c>
      <c r="M59" s="61">
        <f>(IF((VLOOKUP(Table8[[#This Row],[SKU]],'All Skus'!$A:$AC,2,FALSE))="Cinema",(VLOOKUP(Table8[[#This Row],[SKU]],'All Skus'!$A:$AC,17,FALSE)),""))</f>
        <v>0</v>
      </c>
      <c r="N59" s="136">
        <f>(IF((VLOOKUP(Table8[[#This Row],[SKU]],'All Skus'!$A:$AC,2,FALSE))="Cinema",(VLOOKUP(Table8[[#This Row],[SKU]],'All Skus'!$A:$AC,18,FALSE)),""))</f>
        <v>11.5</v>
      </c>
      <c r="O59" s="136">
        <f>(IF((VLOOKUP(Table8[[#This Row],[SKU]],'All Skus'!$A:$AC,2,FALSE))="Cinema",(VLOOKUP(Table8[[#This Row],[SKU]],'All Skus'!$A:$AC,19,FALSE)),""))</f>
        <v>22</v>
      </c>
      <c r="P59" s="136">
        <f>(IF((VLOOKUP(Table8[[#This Row],[SKU]],'All Skus'!$A:$AC,2,FALSE))="Cinema",(VLOOKUP(Table8[[#This Row],[SKU]],'All Skus'!$A:$AC,20,FALSE)),""))</f>
        <v>6.5</v>
      </c>
      <c r="Q59" s="136">
        <f>(IF((VLOOKUP(Table8[[#This Row],[SKU]],'All Skus'!$A:$AC,2,FALSE))="Cinema",(VLOOKUP(Table8[[#This Row],[SKU]],'All Skus'!$A:$AC,21,FALSE)),""))</f>
        <v>13</v>
      </c>
      <c r="R59" s="61" t="str">
        <f>(IF((VLOOKUP(Table8[[#This Row],[SKU]],'All Skus'!$A:$AC,2,FALSE))="Cinema",(VLOOKUP(Table8[[#This Row],[SKU]],'All Skus'!$A:$AC,22,FALSE)),""))</f>
        <v>CN</v>
      </c>
      <c r="S59" t="str">
        <f>(IF((VLOOKUP(Table8[[#This Row],[SKU]],'All Skus'!$A:$AC,2,FALSE))="Cinema",(VLOOKUP(Table8[[#This Row],[SKU]],'All Skus'!$A:$AC,23,FALSE)),""))</f>
        <v>Non Compliant</v>
      </c>
      <c r="T59" s="76" t="str">
        <f>HYPERLINK((IF((VLOOKUP(Table8[[#This Row],[SKU]],'All Skus'!$A:$AC,2,FALSE))="Cinema",(VLOOKUP(Table8[[#This Row],[SKU]],'All Skus'!$A:$AC,24,FALSE)),"")))</f>
        <v/>
      </c>
      <c r="U59" s="151">
        <v>57</v>
      </c>
    </row>
    <row r="60" spans="1:21" ht="15" customHeight="1">
      <c r="A60" s="13" t="s">
        <v>1936</v>
      </c>
      <c r="B60" s="12" t="str">
        <f>(IF((VLOOKUP(Table8[[#This Row],[SKU]],'All Skus'!$A:$AC,2,FALSE))="Cinema",(VLOOKUP(Table8[[#This Row],[SKU]],'All Skus'!$A:$AC,3,FALSE)),""))</f>
        <v>XLC</v>
      </c>
      <c r="C60" s="146" t="str">
        <f>(IF((VLOOKUP(Table8[[#This Row],[SKU]],'All Skus'!$A:$AC,2,FALSE))="Cinema",(VLOOKUP(Table8[[#This Row],[SKU]],'All Skus'!$A:$AC,4,FALSE)),""))</f>
        <v xml:space="preserve">XLC2800 </v>
      </c>
      <c r="D60" s="61" t="str">
        <f>(IF((VLOOKUP(Table8[[#This Row],[SKU]],'All Skus'!$A:$AC,2,FALSE))="Cinema",(VLOOKUP(Table8[[#This Row],[SKU]],'All Skus'!$A:$AC,5,FALSE)),""))</f>
        <v>XLC</v>
      </c>
      <c r="E60" s="61">
        <f>(IF((VLOOKUP(Table8[[#This Row],[SKU]],'All Skus'!$A:$AC,2,FALSE))="Cinema",(VLOOKUP(Table8[[#This Row],[SKU]],'All Skus'!$A:$AC,6,FALSE)),""))</f>
        <v>0</v>
      </c>
      <c r="F60">
        <f>(IF((VLOOKUP(Table8[[#This Row],[SKU]],'All Skus'!$A:$AC,2,FALSE))="Cinema",(VLOOKUP(Table8[[#This Row],[SKU]],'All Skus'!$A:$AC,7,FALSE)),""))</f>
        <v>0</v>
      </c>
      <c r="G60" s="7" t="str">
        <f>(IF((VLOOKUP(Table8[[#This Row],[SKU]],'All Skus'!$A:$AC,2,FALSE))="Cinema",(VLOOKUP(Table8[[#This Row],[SKU]],'All Skus'!$A:$AC,8,FALSE)),""))</f>
        <v>2x775W Cinema Amplifier w/o DSP</v>
      </c>
      <c r="H60" s="8" t="str">
        <f>(IF((VLOOKUP(Table8[[#This Row],[SKU]],'All Skus'!$A:$AC,2,FALSE))="Cinema",(VLOOKUP(Table8[[#This Row],[SKU]],'All Skus'!$A:$AC,9,FALSE)),""))</f>
        <v>2x775W Cinema Amplifier w/o DSP</v>
      </c>
      <c r="I60" s="89">
        <f>(IF((VLOOKUP(Table8[[#This Row],[SKU]],'All Skus'!$A:$AC,2,FALSE))="Cinema",(VLOOKUP(Table8[[#This Row],[SKU]],'All Skus'!$A:$AC,10,FALSE)),""))</f>
        <v>1344.44</v>
      </c>
      <c r="J60" s="89">
        <f>(IF((VLOOKUP(Table8[[#This Row],[SKU]],'All Skus'!$A:$AC,2,FALSE))="Cinema",(VLOOKUP(Table8[[#This Row],[SKU]],'All Skus'!$A:$AC,11,FALSE)),""))</f>
        <v>1174</v>
      </c>
      <c r="K60" s="135">
        <f>(IF((VLOOKUP(Table8[[#This Row],[SKU]],'All Skus'!$A:$AC,2,FALSE))="Cinema",(VLOOKUP(Table8[[#This Row],[SKU]],'All Skus'!$A:$AC,15,FALSE)),""))</f>
        <v>1</v>
      </c>
      <c r="L60" s="137">
        <f>(IF((VLOOKUP(Table8[[#This Row],[SKU]],'All Skus'!$A:$AC,2,FALSE))="Cinema",(VLOOKUP(Table8[[#This Row],[SKU]],'All Skus'!$A:$AC,16,FALSE)),""))</f>
        <v>871015007809</v>
      </c>
      <c r="M60" s="61">
        <f>(IF((VLOOKUP(Table8[[#This Row],[SKU]],'All Skus'!$A:$AC,2,FALSE))="Cinema",(VLOOKUP(Table8[[#This Row],[SKU]],'All Skus'!$A:$AC,17,FALSE)),""))</f>
        <v>0</v>
      </c>
      <c r="N60" s="136">
        <f>(IF((VLOOKUP(Table8[[#This Row],[SKU]],'All Skus'!$A:$AC,2,FALSE))="Cinema",(VLOOKUP(Table8[[#This Row],[SKU]],'All Skus'!$A:$AC,18,FALSE)),""))</f>
        <v>13.5</v>
      </c>
      <c r="O60" s="136">
        <f>(IF((VLOOKUP(Table8[[#This Row],[SKU]],'All Skus'!$A:$AC,2,FALSE))="Cinema",(VLOOKUP(Table8[[#This Row],[SKU]],'All Skus'!$A:$AC,19,FALSE)),""))</f>
        <v>22</v>
      </c>
      <c r="P60" s="136">
        <f>(IF((VLOOKUP(Table8[[#This Row],[SKU]],'All Skus'!$A:$AC,2,FALSE))="Cinema",(VLOOKUP(Table8[[#This Row],[SKU]],'All Skus'!$A:$AC,20,FALSE)),""))</f>
        <v>15</v>
      </c>
      <c r="Q60" s="136">
        <f>(IF((VLOOKUP(Table8[[#This Row],[SKU]],'All Skus'!$A:$AC,2,FALSE))="Cinema",(VLOOKUP(Table8[[#This Row],[SKU]],'All Skus'!$A:$AC,21,FALSE)),""))</f>
        <v>6</v>
      </c>
      <c r="R60" s="61" t="str">
        <f>(IF((VLOOKUP(Table8[[#This Row],[SKU]],'All Skus'!$A:$AC,2,FALSE))="Cinema",(VLOOKUP(Table8[[#This Row],[SKU]],'All Skus'!$A:$AC,22,FALSE)),""))</f>
        <v>CN</v>
      </c>
      <c r="S60" t="str">
        <f>(IF((VLOOKUP(Table8[[#This Row],[SKU]],'All Skus'!$A:$AC,2,FALSE))="Cinema",(VLOOKUP(Table8[[#This Row],[SKU]],'All Skus'!$A:$AC,23,FALSE)),""))</f>
        <v>Non Compliant</v>
      </c>
      <c r="T60" s="76" t="str">
        <f>HYPERLINK((IF((VLOOKUP(Table8[[#This Row],[SKU]],'All Skus'!$A:$AC,2,FALSE))="Cinema",(VLOOKUP(Table8[[#This Row],[SKU]],'All Skus'!$A:$AC,24,FALSE)),"")))</f>
        <v/>
      </c>
      <c r="U60" s="151">
        <v>58</v>
      </c>
    </row>
  </sheetData>
  <conditionalFormatting sqref="V2:XFD60 A1:XFD1 A2:T60 A61:XFD1048576">
    <cfRule type="cellIs" dxfId="23" priority="1" operator="equal">
      <formula>0</formula>
    </cfRule>
  </conditionalFormatting>
  <pageMargins left="0.7" right="0.7" top="0.75" bottom="0.75" header="0.3" footer="0.3"/>
  <pageSetup orientation="portrait" horizontalDpi="4294967295" verticalDpi="4294967295" r:id="rId1"/>
  <customProperties>
    <customPr name="EpmWorksheetKeyString_GUID" r:id="rId2"/>
    <customPr name="IbpWorksheetKeyString_GUID" r:id="rId3"/>
  </customProperties>
  <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4629954-616b-40a2-94d7-f16364fb8a2f">
      <Terms xmlns="http://schemas.microsoft.com/office/infopath/2007/PartnerControls"/>
    </lcf76f155ced4ddcb4097134ff3c332f>
    <TaxCatchAll xmlns="7c901080-e461-4550-be18-63bf716c290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4A2046954A9D74DB11451B7E06D1872" ma:contentTypeVersion="14" ma:contentTypeDescription="Create a new document." ma:contentTypeScope="" ma:versionID="5b6e27cab7ae122c9edfe346c7a9c9a6">
  <xsd:schema xmlns:xsd="http://www.w3.org/2001/XMLSchema" xmlns:xs="http://www.w3.org/2001/XMLSchema" xmlns:p="http://schemas.microsoft.com/office/2006/metadata/properties" xmlns:ns2="14629954-616b-40a2-94d7-f16364fb8a2f" xmlns:ns3="7c901080-e461-4550-be18-63bf716c290a" targetNamespace="http://schemas.microsoft.com/office/2006/metadata/properties" ma:root="true" ma:fieldsID="9229a88b4477b5334258276d21683c09" ns2:_="" ns3:_="">
    <xsd:import namespace="14629954-616b-40a2-94d7-f16364fb8a2f"/>
    <xsd:import namespace="7c901080-e461-4550-be18-63bf716c290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4629954-616b-40a2-94d7-f16364fb8a2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0b1fd0f-5a3d-4959-b31f-33afc576b739"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c901080-e461-4550-be18-63bf716c290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d11c0ed-19ca-438d-be14-328f3cd21fc2}" ma:internalName="TaxCatchAll" ma:showField="CatchAllData" ma:web="7c901080-e461-4550-be18-63bf716c290a">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24824FC-AD49-464F-9118-BA1CDD428B47}">
  <ds:schemaRefs>
    <ds:schemaRef ds:uri="http://schemas.microsoft.com/office/2006/metadata/properties"/>
    <ds:schemaRef ds:uri="http://schemas.microsoft.com/office/infopath/2007/PartnerControls"/>
    <ds:schemaRef ds:uri="5f40e61e-9154-4d69-a3f9-000539ca8247"/>
  </ds:schemaRefs>
</ds:datastoreItem>
</file>

<file path=customXml/itemProps2.xml><?xml version="1.0" encoding="utf-8"?>
<ds:datastoreItem xmlns:ds="http://schemas.openxmlformats.org/officeDocument/2006/customXml" ds:itemID="{6CBA20A3-553E-417F-8B77-88A07A2EB270}"/>
</file>

<file path=customXml/itemProps3.xml><?xml version="1.0" encoding="utf-8"?>
<ds:datastoreItem xmlns:ds="http://schemas.openxmlformats.org/officeDocument/2006/customXml" ds:itemID="{F9265CFF-E981-4AF1-AD3E-458F780180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Cover</vt:lpstr>
      <vt:lpstr>AKG</vt:lpstr>
      <vt:lpstr>AMX</vt:lpstr>
      <vt:lpstr>BSS</vt:lpstr>
      <vt:lpstr>Crown</vt:lpstr>
      <vt:lpstr>DBX</vt:lpstr>
      <vt:lpstr>JBL</vt:lpstr>
      <vt:lpstr>JBL Commercial</vt:lpstr>
      <vt:lpstr>Cinema</vt:lpstr>
      <vt:lpstr>Lexicon</vt:lpstr>
      <vt:lpstr>Martin</vt:lpstr>
      <vt:lpstr>Soundcraft</vt:lpstr>
      <vt:lpstr>Customer Care</vt:lpstr>
      <vt:lpstr>Post-Sales Support</vt:lpstr>
      <vt:lpstr>US Channel Map</vt:lpstr>
      <vt:lpstr>Martin Territory Map</vt:lpstr>
      <vt:lpstr>Change Log</vt:lpstr>
      <vt:lpstr>All Skus</vt:lpstr>
      <vt:lpstr>'Change Log'!Print_Area</vt:lpstr>
    </vt:vector>
  </TitlesOfParts>
  <Manager/>
  <Company>Harman International Corp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Hwang;Dau, Jordan</dc:creator>
  <cp:keywords/>
  <dc:description/>
  <cp:lastModifiedBy>Jayden Vyne</cp:lastModifiedBy>
  <cp:revision/>
  <dcterms:created xsi:type="dcterms:W3CDTF">2019-05-02T00:48:26Z</dcterms:created>
  <dcterms:modified xsi:type="dcterms:W3CDTF">2023-11-13T18:01:50Z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0x010100A4A2046954A9D74DB11451B7E06D1872</vt:lpwstr>
  </property>
  <property fmtid="{D5CDD505-2E9C-101B-9397-08002B2CF9AE}" pid="3" name="MSIP_Label_9c215d82-5bf5-4d07-af41-65de05a9c87a_Enabled">
    <vt:lpwstr>true</vt:lpwstr>
  </property>
  <property fmtid="{D5CDD505-2E9C-101B-9397-08002B2CF9AE}" pid="4" name="MSIP_Label_9c215d82-5bf5-4d07-af41-65de05a9c87a_SetDate">
    <vt:lpwstr>2023-11-07T17:17:05Z</vt:lpwstr>
  </property>
  <property fmtid="{D5CDD505-2E9C-101B-9397-08002B2CF9AE}" pid="5" name="MSIP_Label_9c215d82-5bf5-4d07-af41-65de05a9c87a_Method">
    <vt:lpwstr>Standard</vt:lpwstr>
  </property>
  <property fmtid="{D5CDD505-2E9C-101B-9397-08002B2CF9AE}" pid="6" name="MSIP_Label_9c215d82-5bf5-4d07-af41-65de05a9c87a_Name">
    <vt:lpwstr>Amber</vt:lpwstr>
  </property>
  <property fmtid="{D5CDD505-2E9C-101B-9397-08002B2CF9AE}" pid="7" name="MSIP_Label_9c215d82-5bf5-4d07-af41-65de05a9c87a_SiteId">
    <vt:lpwstr>f66b6bd3-ebc2-4f54-8769-d22858de97c5</vt:lpwstr>
  </property>
  <property fmtid="{D5CDD505-2E9C-101B-9397-08002B2CF9AE}" pid="8" name="MSIP_Label_9c215d82-5bf5-4d07-af41-65de05a9c87a_ActionId">
    <vt:lpwstr>a482f119-b250-47de-aaae-8be2b8205ff9</vt:lpwstr>
  </property>
  <property fmtid="{D5CDD505-2E9C-101B-9397-08002B2CF9AE}" pid="9" name="MSIP_Label_9c215d82-5bf5-4d07-af41-65de05a9c87a_ContentBits">
    <vt:lpwstr>0</vt:lpwstr>
  </property>
</Properties>
</file>